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S:\Finance Department\Budget Files\FY 2024-25\Budget Prep\"/>
    </mc:Choice>
  </mc:AlternateContent>
  <xr:revisionPtr revIDLastSave="0" documentId="13_ncr:1_{2E9BCCE6-F278-413D-A1F9-C1125AE692D2}" xr6:coauthVersionLast="47" xr6:coauthVersionMax="47" xr10:uidLastSave="{00000000-0000-0000-0000-000000000000}"/>
  <bookViews>
    <workbookView xWindow="28680" yWindow="-120" windowWidth="29040" windowHeight="15720" tabRatio="918" activeTab="1" xr2:uid="{00000000-000D-0000-FFFF-FFFF00000000}"/>
  </bookViews>
  <sheets>
    <sheet name="Anticipated Needs" sheetId="32" r:id="rId1"/>
    <sheet name="5 Year Forecast" sheetId="3" r:id="rId2"/>
    <sheet name="Import" sheetId="39" state="hidden" r:id="rId3"/>
    <sheet name="Enter Fund Line-Item Details" sheetId="115" state="hidden" r:id="rId4"/>
    <sheet name="Other Fund Line-Item Details" sheetId="114" r:id="rId5"/>
    <sheet name="PROPERTY TAX ANALYSIS" sheetId="6" r:id="rId6"/>
    <sheet name="GL Category" sheetId="103" r:id="rId7"/>
    <sheet name="DEBT SUMMARY" sheetId="9" r:id="rId8"/>
    <sheet name="General Fund Line-Item Details" sheetId="68" r:id="rId9"/>
  </sheets>
  <externalReferences>
    <externalReference r:id="rId10"/>
    <externalReference r:id="rId11"/>
    <externalReference r:id="rId12"/>
    <externalReference r:id="rId13"/>
    <externalReference r:id="rId14"/>
  </externalReferences>
  <definedNames>
    <definedName name="\A" localSheetId="3">[1]A!#REF!</definedName>
    <definedName name="\A" localSheetId="8">[1]A!#REF!</definedName>
    <definedName name="\A" localSheetId="4">[1]A!#REF!</definedName>
    <definedName name="\A">[1]A!#REF!</definedName>
    <definedName name="\F" localSheetId="3">[1]A!#REF!</definedName>
    <definedName name="\F" localSheetId="8">[1]A!#REF!</definedName>
    <definedName name="\F" localSheetId="4">[1]A!#REF!</definedName>
    <definedName name="\F">[1]A!#REF!</definedName>
    <definedName name="\G" localSheetId="3">[1]A!#REF!</definedName>
    <definedName name="\G" localSheetId="8">[1]A!#REF!</definedName>
    <definedName name="\G" localSheetId="4">[1]A!#REF!</definedName>
    <definedName name="\G">[1]A!#REF!</definedName>
    <definedName name="\U" localSheetId="3">[1]A!#REF!</definedName>
    <definedName name="\U" localSheetId="8">[1]A!#REF!</definedName>
    <definedName name="\U" localSheetId="4">[1]A!#REF!</definedName>
    <definedName name="\U">[1]A!#REF!</definedName>
    <definedName name="\X" localSheetId="3">[1]A!#REF!</definedName>
    <definedName name="\X" localSheetId="8">[1]A!#REF!</definedName>
    <definedName name="\X" localSheetId="4">[1]A!#REF!</definedName>
    <definedName name="\X">[1]A!#REF!</definedName>
    <definedName name="_xlnm._FilterDatabase" localSheetId="8" hidden="1">'General Fund Line-Item Details'!$A$1:$A$4814</definedName>
    <definedName name="_xlnm._FilterDatabase" localSheetId="6" hidden="1">'GL Category'!$A$2:$C$728</definedName>
    <definedName name="_xlnm._FilterDatabase" localSheetId="2" hidden="1">Import!$A$3:$AA$1877</definedName>
    <definedName name="_Order1" hidden="1">0</definedName>
    <definedName name="ADA" localSheetId="3">#REF!</definedName>
    <definedName name="ADA" localSheetId="8">#REF!</definedName>
    <definedName name="ADA" localSheetId="4">#REF!</definedName>
    <definedName name="ADA">#REF!</definedName>
    <definedName name="adagrowth" localSheetId="3">#REF!</definedName>
    <definedName name="adagrowth" localSheetId="8">#REF!</definedName>
    <definedName name="adagrowth" localSheetId="4">#REF!</definedName>
    <definedName name="adagrowth">#REF!</definedName>
    <definedName name="AirportRepave1100ofAirportLoopRoad" localSheetId="3">[2]Airport!#REF!</definedName>
    <definedName name="AirportRepave1100ofAirportLoopRoad" localSheetId="8">[2]Airport!#REF!</definedName>
    <definedName name="AirportRepave1100ofAirportLoopRoad" localSheetId="4">[2]Airport!#REF!</definedName>
    <definedName name="AirportRepave1100ofAirportLoopRoad">[2]Airport!#REF!</definedName>
    <definedName name="AirportWaterLinewithLowProfileFireHydrants" localSheetId="3">[2]Airport!#REF!</definedName>
    <definedName name="AirportWaterLinewithLowProfileFireHydrants" localSheetId="8">[2]Airport!#REF!</definedName>
    <definedName name="AirportWaterLinewithLowProfileFireHydrants" localSheetId="4">[2]Airport!#REF!</definedName>
    <definedName name="AirportWaterLinewithLowProfileFireHydrants">[2]Airport!#REF!</definedName>
    <definedName name="AniCnt_div" localSheetId="3">'Enter Fund Line-Item Details'!#REF!</definedName>
    <definedName name="AniCnt_div" localSheetId="4">'Other Fund Line-Item Details'!#REF!</definedName>
    <definedName name="AniCnt_div">'General Fund Line-Item Details'!$H$513:$T$516</definedName>
    <definedName name="ANIMAL" localSheetId="3">#REF!</definedName>
    <definedName name="ANIMAL" localSheetId="4">#REF!</definedName>
    <definedName name="ANIMAL">#REF!</definedName>
    <definedName name="Animal_Control" localSheetId="3">'Enter Fund Line-Item Details'!#REF!</definedName>
    <definedName name="Animal_Control" localSheetId="8">'General Fund Line-Item Details'!$H$513:$T$533</definedName>
    <definedName name="Animal_Control" localSheetId="4">'Other Fund Line-Item Details'!#REF!</definedName>
    <definedName name="Animal_Control">#REF!</definedName>
    <definedName name="BI_Div" localSheetId="3">'Enter Fund Line-Item Details'!#REF!</definedName>
    <definedName name="BI_Div" localSheetId="4">'Other Fund Line-Item Details'!#REF!</definedName>
    <definedName name="BI_Div">'General Fund Line-Item Details'!$H$689:$T$697</definedName>
    <definedName name="BUILDING" localSheetId="3">#REF!</definedName>
    <definedName name="BUILDING" localSheetId="4">#REF!</definedName>
    <definedName name="BUILDING">#REF!</definedName>
    <definedName name="Building_Insp" localSheetId="3">'Enter Fund Line-Item Details'!#REF!</definedName>
    <definedName name="Building_Insp" localSheetId="8">'General Fund Line-Item Details'!$H$689:$T$717</definedName>
    <definedName name="Building_Insp" localSheetId="4">'Other Fund Line-Item Details'!#REF!</definedName>
    <definedName name="Building_Insp">#REF!</definedName>
    <definedName name="City_Mgr" localSheetId="3">'Enter Fund Line-Item Details'!#REF!</definedName>
    <definedName name="City_Mgr" localSheetId="8">'General Fund Line-Item Details'!$H$158:$T$184</definedName>
    <definedName name="City_Mgr" localSheetId="4">'Other Fund Line-Item Details'!#REF!</definedName>
    <definedName name="City_Mgr">#REF!</definedName>
    <definedName name="City_Sec" localSheetId="3">'Enter Fund Line-Item Details'!#REF!</definedName>
    <definedName name="City_Sec" localSheetId="8">'General Fund Line-Item Details'!$H$186:$T$208</definedName>
    <definedName name="City_Sec" localSheetId="4">'Other Fund Line-Item Details'!#REF!</definedName>
    <definedName name="City_Sec">#REF!</definedName>
    <definedName name="CITYSEC" localSheetId="3">#REF!</definedName>
    <definedName name="CITYSEC" localSheetId="4">#REF!</definedName>
    <definedName name="CITYSEC">#REF!</definedName>
    <definedName name="CitySec_div" localSheetId="3">'Enter Fund Line-Item Details'!#REF!</definedName>
    <definedName name="CitySec_div" localSheetId="4">'Other Fund Line-Item Details'!#REF!</definedName>
    <definedName name="CitySec_div">'General Fund Line-Item Details'!$H$186:$T$189</definedName>
    <definedName name="CM_Div" localSheetId="3">'Enter Fund Line-Item Details'!#REF!</definedName>
    <definedName name="CM_Div" localSheetId="4">'Other Fund Line-Item Details'!#REF!</definedName>
    <definedName name="CM_Div">'General Fund Line-Item Details'!$H$158:$T$161</definedName>
    <definedName name="Code" localSheetId="3">'Enter Fund Line-Item Details'!#REF!</definedName>
    <definedName name="Code" localSheetId="8">'General Fund Line-Item Details'!$H$719:$T$738</definedName>
    <definedName name="Code" localSheetId="4">'Other Fund Line-Item Details'!#REF!</definedName>
    <definedName name="Code">#REF!</definedName>
    <definedName name="Code_Div" localSheetId="3">'Enter Fund Line-Item Details'!#REF!</definedName>
    <definedName name="Code_Div" localSheetId="4">'Other Fund Line-Item Details'!#REF!</definedName>
    <definedName name="Code_Div">'General Fund Line-Item Details'!$H$719:$T$726</definedName>
    <definedName name="CODEENF" localSheetId="3">#REF!</definedName>
    <definedName name="CODEENF" localSheetId="4">#REF!</definedName>
    <definedName name="CODEENF">#REF!</definedName>
    <definedName name="Coll" localSheetId="3">'[3]Summary Sheet'!#REF!</definedName>
    <definedName name="Coll" localSheetId="8">'[3]Summary Sheet'!#REF!</definedName>
    <definedName name="Coll" localSheetId="4">'[3]Summary Sheet'!#REF!</definedName>
    <definedName name="Coll">'[3]Summary Sheet'!#REF!</definedName>
    <definedName name="COUN" localSheetId="3">#REF!</definedName>
    <definedName name="COUN" localSheetId="4">#REF!</definedName>
    <definedName name="COUN">#REF!</definedName>
    <definedName name="Coun_div" localSheetId="3">'Enter Fund Line-Item Details'!#REF!</definedName>
    <definedName name="Coun_div" localSheetId="4">'Other Fund Line-Item Details'!#REF!</definedName>
    <definedName name="Coun_div">'General Fund Line-Item Details'!$H$136:$T$145</definedName>
    <definedName name="Council" localSheetId="3">'Enter Fund Line-Item Details'!#REF!</definedName>
    <definedName name="Council" localSheetId="8">'General Fund Line-Item Details'!$H$136:$T$156</definedName>
    <definedName name="Council" localSheetId="4">'Other Fund Line-Item Details'!#REF!</definedName>
    <definedName name="Council">#REF!</definedName>
    <definedName name="Court_div" localSheetId="3">'Enter Fund Line-Item Details'!#REF!</definedName>
    <definedName name="Court_div" localSheetId="4">'Other Fund Line-Item Details'!#REF!</definedName>
    <definedName name="Court_div">'General Fund Line-Item Details'!$H$332:$T$335</definedName>
    <definedName name="CPTD" localSheetId="3">#REF!</definedName>
    <definedName name="CPTD" localSheetId="8">#REF!</definedName>
    <definedName name="CPTD" localSheetId="4">#REF!</definedName>
    <definedName name="CPTD">#REF!</definedName>
    <definedName name="CTMNGR" localSheetId="3">#REF!</definedName>
    <definedName name="CTMNGR" localSheetId="4">#REF!</definedName>
    <definedName name="CTMNGR">#REF!</definedName>
    <definedName name="dated6" localSheetId="3">'[4]Debt schedules'!#REF!</definedName>
    <definedName name="dated6" localSheetId="8">'[4]Debt schedules'!#REF!</definedName>
    <definedName name="dated6" localSheetId="4">'[4]Debt schedules'!#REF!</definedName>
    <definedName name="dated6">'[4]Debt schedules'!#REF!</definedName>
    <definedName name="District" localSheetId="3">#REF!</definedName>
    <definedName name="District" localSheetId="8">#REF!</definedName>
    <definedName name="District" localSheetId="4">#REF!</definedName>
    <definedName name="District">#REF!</definedName>
    <definedName name="Districtname" localSheetId="3">#REF!</definedName>
    <definedName name="Districtname" localSheetId="8">#REF!</definedName>
    <definedName name="Districtname" localSheetId="4">#REF!</definedName>
    <definedName name="Districtname">#REF!</definedName>
    <definedName name="Districtnames" localSheetId="3">#REF!</definedName>
    <definedName name="Districtnames" localSheetId="8">#REF!</definedName>
    <definedName name="Districtnames" localSheetId="4">#REF!</definedName>
    <definedName name="Districtnames">#REF!</definedName>
    <definedName name="DTR" localSheetId="3">#REF!</definedName>
    <definedName name="DTR" localSheetId="8">#REF!</definedName>
    <definedName name="DTR" localSheetId="4">#REF!</definedName>
    <definedName name="DTR">#REF!</definedName>
    <definedName name="Econ_Devel" localSheetId="3">'Enter Fund Line-Item Details'!#REF!</definedName>
    <definedName name="Econ_Devel" localSheetId="8">'General Fund Line-Item Details'!$H$581:$T$615</definedName>
    <definedName name="Econ_Devel" localSheetId="4">'Other Fund Line-Item Details'!#REF!</definedName>
    <definedName name="Econ_Devel">#REF!</definedName>
    <definedName name="EconDe_Div" localSheetId="3">'Enter Fund Line-Item Details'!#REF!</definedName>
    <definedName name="EconDe_Div" localSheetId="4">'Other Fund Line-Item Details'!#REF!</definedName>
    <definedName name="EconDe_Div">'General Fund Line-Item Details'!$H$581:$T$583</definedName>
    <definedName name="ECONDEV" localSheetId="3">#REF!</definedName>
    <definedName name="ECONDEV" localSheetId="4">#REF!</definedName>
    <definedName name="ECONDEV">#REF!</definedName>
    <definedName name="Emergency_Mgmt" localSheetId="3">'Enter Fund Line-Item Details'!#REF!</definedName>
    <definedName name="Emergency_Mgmt" localSheetId="8">'General Fund Line-Item Details'!$H$1600:$T$1646</definedName>
    <definedName name="Emergency_Mgmt" localSheetId="4">'Other Fund Line-Item Details'!#REF!</definedName>
    <definedName name="Emergency_Mgmt">#REF!</definedName>
    <definedName name="EMERMGMT" localSheetId="3">#REF!</definedName>
    <definedName name="EMERMGMT" localSheetId="4">#REF!</definedName>
    <definedName name="EMERMGMT">#REF!</definedName>
    <definedName name="EMMGT_Div" localSheetId="3">'Enter Fund Line-Item Details'!#REF!</definedName>
    <definedName name="EMMGT_Div" localSheetId="4">'Other Fund Line-Item Details'!#REF!</definedName>
    <definedName name="EMMGT_Div">'General Fund Line-Item Details'!$H$1600:$T$1608</definedName>
    <definedName name="Eng_Div" localSheetId="3">'Enter Fund Line-Item Details'!#REF!</definedName>
    <definedName name="Eng_Div" localSheetId="4">'Other Fund Line-Item Details'!#REF!</definedName>
    <definedName name="Eng_Div">'General Fund Line-Item Details'!$H$617:$T$618</definedName>
    <definedName name="ENGINEER" localSheetId="3">#REF!</definedName>
    <definedName name="ENGINEER" localSheetId="4">#REF!</definedName>
    <definedName name="ENGINEER">#REF!</definedName>
    <definedName name="Engineering" localSheetId="3">'Enter Fund Line-Item Details'!#REF!</definedName>
    <definedName name="Engineering" localSheetId="8">'General Fund Line-Item Details'!$H$617:$T$633</definedName>
    <definedName name="Engineering" localSheetId="4">'Other Fund Line-Item Details'!#REF!</definedName>
    <definedName name="Engineering">#REF!</definedName>
    <definedName name="EQUIP" localSheetId="3">#REF!</definedName>
    <definedName name="EQUIP" localSheetId="4">#REF!</definedName>
    <definedName name="EQUIP">#REF!</definedName>
    <definedName name="Equip_Maint" localSheetId="3">'Enter Fund Line-Item Details'!#REF!</definedName>
    <definedName name="Equip_Maint" localSheetId="8">'General Fund Line-Item Details'!$H$1215:$T$1234</definedName>
    <definedName name="Equip_Maint" localSheetId="4">'Other Fund Line-Item Details'!#REF!</definedName>
    <definedName name="Equip_Maint">#REF!</definedName>
    <definedName name="ExternalData_1" localSheetId="1">'5 Year Forecast'!#REF!</definedName>
    <definedName name="ExternalData_2" localSheetId="1">'5 Year Forecast'!$H$89:$H$109</definedName>
    <definedName name="FacilitiesPoliceRenovations" localSheetId="3">[2]Facilities!#REF!</definedName>
    <definedName name="FacilitiesPoliceRenovations" localSheetId="8">[2]Facilities!#REF!</definedName>
    <definedName name="FacilitiesPoliceRenovations" localSheetId="4">[2]Facilities!#REF!</definedName>
    <definedName name="FacilitiesPoliceRenovations">[2]Facilities!#REF!</definedName>
    <definedName name="Fin_div" localSheetId="3">'Enter Fund Line-Item Details'!#REF!</definedName>
    <definedName name="Fin_div" localSheetId="4">'Other Fund Line-Item Details'!#REF!</definedName>
    <definedName name="Fin_div">'General Fund Line-Item Details'!$H$210:$T$213</definedName>
    <definedName name="FINA" localSheetId="3">#REF!</definedName>
    <definedName name="FINA" localSheetId="4">#REF!</definedName>
    <definedName name="FINA">#REF!</definedName>
    <definedName name="Finance" localSheetId="3">'Enter Fund Line-Item Details'!#REF!</definedName>
    <definedName name="Finance" localSheetId="8">'General Fund Line-Item Details'!$H$210:$T$228</definedName>
    <definedName name="Finance" localSheetId="4">'Other Fund Line-Item Details'!#REF!</definedName>
    <definedName name="Finance">#REF!</definedName>
    <definedName name="Fire" localSheetId="3">'Enter Fund Line-Item Details'!#REF!</definedName>
    <definedName name="Fire" localSheetId="8">'General Fund Line-Item Details'!$H$879:$T$911</definedName>
    <definedName name="Fire" localSheetId="4">'Other Fund Line-Item Details'!#REF!</definedName>
    <definedName name="Fire">#REF!</definedName>
    <definedName name="FireAdm_Div" localSheetId="3">'Enter Fund Line-Item Details'!#REF!</definedName>
    <definedName name="FireAdm_Div" localSheetId="4">'Other Fund Line-Item Details'!#REF!</definedName>
    <definedName name="FireAdm_Div">'General Fund Line-Item Details'!$H$879:$T$883</definedName>
    <definedName name="FireSpp_Div" localSheetId="3">'Enter Fund Line-Item Details'!#REF!</definedName>
    <definedName name="FireSpp_Div" localSheetId="4">'Other Fund Line-Item Details'!#REF!</definedName>
    <definedName name="FireSpp_Div">'General Fund Line-Item Details'!$H$923:$T$927</definedName>
    <definedName name="FireStation4">'[2]Public Safety'!$A$1:$I$32</definedName>
    <definedName name="FIRESVCS" localSheetId="3">#REF!</definedName>
    <definedName name="FIRESVCS" localSheetId="4">#REF!</definedName>
    <definedName name="FIRESVCS">#REF!</definedName>
    <definedName name="Fleet_Div" localSheetId="3">'Enter Fund Line-Item Details'!#REF!</definedName>
    <definedName name="Fleet_Div" localSheetId="4">'Other Fund Line-Item Details'!#REF!</definedName>
    <definedName name="Fleet_Div">'General Fund Line-Item Details'!$H$1215:$T$1216</definedName>
    <definedName name="FMars_Div" localSheetId="3">'Enter Fund Line-Item Details'!#REF!</definedName>
    <definedName name="FMars_Div" localSheetId="4">'Other Fund Line-Item Details'!#REF!</definedName>
    <definedName name="FMars_Div">'General Fund Line-Item Details'!#REF!</definedName>
    <definedName name="FundingSummary" localSheetId="3">#REF!</definedName>
    <definedName name="FundingSummary" localSheetId="8">#REF!</definedName>
    <definedName name="FundingSummary" localSheetId="4">#REF!</definedName>
    <definedName name="FundingSummary">#REF!</definedName>
    <definedName name="FundingYear07" localSheetId="3">#REF!</definedName>
    <definedName name="FundingYear07" localSheetId="8">#REF!</definedName>
    <definedName name="FundingYear07" localSheetId="4">#REF!</definedName>
    <definedName name="FundingYear07">#REF!</definedName>
    <definedName name="Gen_Admin" localSheetId="3">'Enter Fund Line-Item Details'!#REF!</definedName>
    <definedName name="Gen_Admin" localSheetId="8">'General Fund Line-Item Details'!$H$99:$T$125</definedName>
    <definedName name="Gen_Admin" localSheetId="4">'Other Fund Line-Item Details'!#REF!</definedName>
    <definedName name="Gen_Admin">#REF!</definedName>
    <definedName name="GENADMIN" localSheetId="3">#REF!</definedName>
    <definedName name="GENADMIN" localSheetId="4">#REF!</definedName>
    <definedName name="GENADMIN">#REF!</definedName>
    <definedName name="GF_nondiv" localSheetId="3">'Enter Fund Line-Item Details'!#REF!</definedName>
    <definedName name="GF_nondiv" localSheetId="4">'Other Fund Line-Item Details'!#REF!</definedName>
    <definedName name="GF_nondiv">'General Fund Line-Item Details'!$H$99:$T$100</definedName>
    <definedName name="GF_Summary" localSheetId="3">'Enter Fund Line-Item Details'!#REF!</definedName>
    <definedName name="GF_Summary" localSheetId="8">'General Fund Line-Item Details'!$H$1691:$T$1710</definedName>
    <definedName name="GF_Summary" localSheetId="4">'Other Fund Line-Item Details'!#REF!</definedName>
    <definedName name="GF_Summary">#REF!</definedName>
    <definedName name="GFSUM" localSheetId="3">'Enter Fund Line-Item Details'!#REF!</definedName>
    <definedName name="GFSUM" localSheetId="8">'General Fund Line-Item Details'!$H$1689:$T$1710</definedName>
    <definedName name="GFSUM" localSheetId="4">'Other Fund Line-Item Details'!#REF!</definedName>
    <definedName name="GFSUM">#REF!</definedName>
    <definedName name="HR_div" localSheetId="3">'Enter Fund Line-Item Details'!#REF!</definedName>
    <definedName name="HR_div" localSheetId="4">'Other Fund Line-Item Details'!#REF!</definedName>
    <definedName name="HR_div">'General Fund Line-Item Details'!$H$317:$T$320</definedName>
    <definedName name="Human_Resources" localSheetId="3">'Enter Fund Line-Item Details'!#REF!</definedName>
    <definedName name="Human_Resources" localSheetId="8">'General Fund Line-Item Details'!$H$317:$T$330</definedName>
    <definedName name="Human_Resources" localSheetId="4">'Other Fund Line-Item Details'!#REF!</definedName>
    <definedName name="Human_Resources">#REF!</definedName>
    <definedName name="HUMRES" localSheetId="3">#REF!</definedName>
    <definedName name="HUMRES" localSheetId="4">#REF!</definedName>
    <definedName name="HUMRES">#REF!</definedName>
    <definedName name="Info_Tech" localSheetId="3">'Enter Fund Line-Item Details'!#REF!</definedName>
    <definedName name="Info_Tech" localSheetId="8">'General Fund Line-Item Details'!#REF!</definedName>
    <definedName name="Info_Tech" localSheetId="4">'Other Fund Line-Item Details'!#REF!</definedName>
    <definedName name="Info_Tech">#REF!</definedName>
    <definedName name="INFOTECH" localSheetId="3">#REF!</definedName>
    <definedName name="INFOTECH" localSheetId="4">#REF!</definedName>
    <definedName name="INFOTECH">#REF!</definedName>
    <definedName name="IntroPrintArea" localSheetId="3" hidden="1">#REF!</definedName>
    <definedName name="IntroPrintArea" localSheetId="8" hidden="1">#REF!</definedName>
    <definedName name="IntroPrintArea" localSheetId="4" hidden="1">#REF!</definedName>
    <definedName name="IntroPrintArea" hidden="1">#REF!</definedName>
    <definedName name="IT_div" localSheetId="3">'Enter Fund Line-Item Details'!#REF!</definedName>
    <definedName name="IT_div" localSheetId="4">'Other Fund Line-Item Details'!#REF!</definedName>
    <definedName name="IT_div">'General Fund Line-Item Details'!#REF!</definedName>
    <definedName name="Legal" localSheetId="3">'Enter Fund Line-Item Details'!#REF!</definedName>
    <definedName name="Legal" localSheetId="8">'General Fund Line-Item Details'!$H$1572:$T$1596</definedName>
    <definedName name="Legal" localSheetId="4">'Other Fund Line-Item Details'!#REF!</definedName>
    <definedName name="Legal">#REF!</definedName>
    <definedName name="Legal_Div" localSheetId="3">'Enter Fund Line-Item Details'!#REF!</definedName>
    <definedName name="Legal_Div" localSheetId="4">'Other Fund Line-Item Details'!#REF!</definedName>
    <definedName name="Legal_Div">'General Fund Line-Item Details'!$H$1572:$T$1577</definedName>
    <definedName name="Legal_Services" localSheetId="3">'Enter Fund Line-Item Details'!#REF!</definedName>
    <definedName name="Legal_Services" localSheetId="8">'General Fund Line-Item Details'!$H$1572:$T$1598</definedName>
    <definedName name="Legal_Services" localSheetId="4">'Other Fund Line-Item Details'!#REF!</definedName>
    <definedName name="Legal_Services">#REF!</definedName>
    <definedName name="LEGALSVCS" localSheetId="3">#REF!</definedName>
    <definedName name="LEGALSVCS" localSheetId="4">#REF!</definedName>
    <definedName name="LEGALSVCS">#REF!</definedName>
    <definedName name="LIBR" localSheetId="3">#REF!</definedName>
    <definedName name="LIBR" localSheetId="4">#REF!</definedName>
    <definedName name="LIBR">#REF!</definedName>
    <definedName name="Libr_Div" localSheetId="3">'Enter Fund Line-Item Details'!#REF!</definedName>
    <definedName name="Libr_Div" localSheetId="4">'Other Fund Line-Item Details'!#REF!</definedName>
    <definedName name="Libr_Div">'General Fund Line-Item Details'!$H$1518:$T$1525</definedName>
    <definedName name="Library" localSheetId="3">'Enter Fund Line-Item Details'!#REF!</definedName>
    <definedName name="Library" localSheetId="8">'General Fund Line-Item Details'!$H$1518:$T$1562</definedName>
    <definedName name="Library" localSheetId="4">'Other Fund Line-Item Details'!#REF!</definedName>
    <definedName name="Library">#REF!</definedName>
    <definedName name="Look1Area" localSheetId="3">#REF!</definedName>
    <definedName name="Look1Area" localSheetId="8">#REF!</definedName>
    <definedName name="Look1Area" localSheetId="4">#REF!</definedName>
    <definedName name="Look1Area">#REF!</definedName>
    <definedName name="Look2Area" localSheetId="3">#REF!</definedName>
    <definedName name="Look2Area" localSheetId="8">#REF!</definedName>
    <definedName name="Look2Area" localSheetId="4">#REF!</definedName>
    <definedName name="Look2Area">#REF!</definedName>
    <definedName name="Look3Area" localSheetId="3">#REF!</definedName>
    <definedName name="Look3Area" localSheetId="8">#REF!</definedName>
    <definedName name="Look3Area" localSheetId="4">#REF!</definedName>
    <definedName name="Look3Area">#REF!</definedName>
    <definedName name="Look4Area" localSheetId="3">#REF!</definedName>
    <definedName name="Look4Area" localSheetId="8">#REF!</definedName>
    <definedName name="Look4Area" localSheetId="4">#REF!</definedName>
    <definedName name="Look4Area">#REF!</definedName>
    <definedName name="Look5Area" localSheetId="3">#REF!</definedName>
    <definedName name="Look5Area" localSheetId="8">#REF!</definedName>
    <definedName name="Look5Area" localSheetId="4">#REF!</definedName>
    <definedName name="Look5Area">#REF!</definedName>
    <definedName name="MasterbyFundingSource" localSheetId="3">#REF!</definedName>
    <definedName name="MasterbyFundingSource" localSheetId="8">#REF!</definedName>
    <definedName name="MasterbyFundingSource" localSheetId="4">#REF!</definedName>
    <definedName name="MasterbyFundingSource">#REF!</definedName>
    <definedName name="Media_Div" localSheetId="3">'Enter Fund Line-Item Details'!#REF!</definedName>
    <definedName name="Media_Div" localSheetId="4">'Other Fund Line-Item Details'!#REF!</definedName>
    <definedName name="Media_Div">'General Fund Line-Item Details'!#REF!</definedName>
    <definedName name="Meter_Svcs" localSheetId="3">'Enter Fund Line-Item Details'!#REF!</definedName>
    <definedName name="Meter_Svcs" localSheetId="4">'Other Fund Line-Item Details'!$H$88:$T$172</definedName>
    <definedName name="Meter_Svcs">'General Fund Line-Item Details'!$H$2087:$T$2160</definedName>
    <definedName name="MG" localSheetId="3">[1]A!#REF!</definedName>
    <definedName name="MG" localSheetId="8">[1]A!#REF!</definedName>
    <definedName name="MG" localSheetId="4">[1]A!#REF!</definedName>
    <definedName name="MG">[1]A!#REF!</definedName>
    <definedName name="Muni_Court" localSheetId="3">'Enter Fund Line-Item Details'!#REF!</definedName>
    <definedName name="Muni_Court" localSheetId="8">'General Fund Line-Item Details'!$H$332:$T$360</definedName>
    <definedName name="Muni_Court" localSheetId="4">'Other Fund Line-Item Details'!#REF!</definedName>
    <definedName name="Muni_Court">#REF!</definedName>
    <definedName name="MUNICRT" localSheetId="3">#REF!</definedName>
    <definedName name="MUNICRT" localSheetId="4">#REF!</definedName>
    <definedName name="MUNICRT">#REF!</definedName>
    <definedName name="NewRoadwayMARTINRADERSTREET" localSheetId="3">#REF!</definedName>
    <definedName name="NewRoadwayMARTINRADERSTREET" localSheetId="8">#REF!</definedName>
    <definedName name="NewRoadwayMARTINRADERSTREET" localSheetId="4">#REF!</definedName>
    <definedName name="NewRoadwayMARTINRADERSTREET">#REF!</definedName>
    <definedName name="NewRoadwayOLYMPICDRIVEEXT" localSheetId="3">#REF!</definedName>
    <definedName name="NewRoadwayOLYMPICDRIVEEXT" localSheetId="8">#REF!</definedName>
    <definedName name="NewRoadwayOLYMPICDRIVEEXT" localSheetId="4">#REF!</definedName>
    <definedName name="NewRoadwayOLYMPICDRIVEEXT">#REF!</definedName>
    <definedName name="NewRoadwayPARKLANEextension" localSheetId="3">#REF!</definedName>
    <definedName name="NewRoadwayPARKLANEextension" localSheetId="8">#REF!</definedName>
    <definedName name="NewRoadwayPARKLANEextension" localSheetId="4">#REF!</definedName>
    <definedName name="NewRoadwayPARKLANEextension">#REF!</definedName>
    <definedName name="nosais" hidden="1">{"Left Half",#N/A,FALSE,"GO Table";"Right Half",#N/A,FALSE,"GO Table"}</definedName>
    <definedName name="NPS_WF" localSheetId="3">#REF!</definedName>
    <definedName name="NPS_WF" localSheetId="4">#REF!</definedName>
    <definedName name="NPS_WF">#REF!</definedName>
    <definedName name="PandDBARNETTSTREETRECON" localSheetId="3">#REF!</definedName>
    <definedName name="PandDBARNETTSTREETRECON" localSheetId="8">#REF!</definedName>
    <definedName name="PandDBARNETTSTREETRECON" localSheetId="4">#REF!</definedName>
    <definedName name="PandDBARNETTSTREETRECON">#REF!</definedName>
    <definedName name="PandDDRIVECAPACITYIMPROVEMENTSandRECONSTRUCTION" localSheetId="3">#REF!</definedName>
    <definedName name="PandDDRIVECAPACITYIMPROVEMENTSandRECONSTRUCTION" localSheetId="8">#REF!</definedName>
    <definedName name="PandDDRIVECAPACITYIMPROVEMENTSandRECONSTRUCTION" localSheetId="4">#REF!</definedName>
    <definedName name="PandDDRIVECAPACITYIMPROVEMENTSandRECONSTRUCTION">#REF!</definedName>
    <definedName name="PandDJACKSONROADRECON" localSheetId="3">#REF!</definedName>
    <definedName name="PandDJACKSONROADRECON" localSheetId="8">#REF!</definedName>
    <definedName name="PandDJACKSONROADRECON" localSheetId="4">#REF!</definedName>
    <definedName name="PandDJACKSONROADRECON">#REF!</definedName>
    <definedName name="PandDJefferson" localSheetId="3">#REF!</definedName>
    <definedName name="PandDJefferson" localSheetId="8">#REF!</definedName>
    <definedName name="PandDJefferson" localSheetId="4">#REF!</definedName>
    <definedName name="PandDJefferson">#REF!</definedName>
    <definedName name="PandDLeslieDriveImprovandRecon" localSheetId="3">#REF!</definedName>
    <definedName name="PandDLeslieDriveImprovandRecon" localSheetId="8">#REF!</definedName>
    <definedName name="PandDLeslieDriveImprovandRecon" localSheetId="4">#REF!</definedName>
    <definedName name="PandDLeslieDriveImprovandRecon">#REF!</definedName>
    <definedName name="PandDMeadowviewBurlesonDrainageImprov" localSheetId="3">#REF!</definedName>
    <definedName name="PandDMeadowviewBurlesonDrainageImprov" localSheetId="8">#REF!</definedName>
    <definedName name="PandDMeadowviewBurlesonDrainageImprov" localSheetId="4">#REF!</definedName>
    <definedName name="PandDMeadowviewBurlesonDrainageImprov">#REF!</definedName>
    <definedName name="PandDMeekerDriveReconstruction" localSheetId="3">#REF!</definedName>
    <definedName name="PandDMeekerDriveReconstruction" localSheetId="8">#REF!</definedName>
    <definedName name="PandDMeekerDriveReconstruction" localSheetId="4">#REF!</definedName>
    <definedName name="PandDMeekerDriveReconstruction">#REF!</definedName>
    <definedName name="PandDRemschelDriveRecon" localSheetId="3">#REF!</definedName>
    <definedName name="PandDRemschelDriveRecon" localSheetId="8">#REF!</definedName>
    <definedName name="PandDRemschelDriveRecon" localSheetId="4">#REF!</definedName>
    <definedName name="PandDRemschelDriveRecon">#REF!</definedName>
    <definedName name="PandDRiverhillSubdivision" localSheetId="3">#REF!</definedName>
    <definedName name="PandDRiverhillSubdivision" localSheetId="8">#REF!</definedName>
    <definedName name="PandDRiverhillSubdivision" localSheetId="4">#REF!</definedName>
    <definedName name="PandDRiverhillSubdivision">#REF!</definedName>
    <definedName name="PandDWaterStreetRecon" localSheetId="3">#REF!</definedName>
    <definedName name="PandDWaterStreetRecon" localSheetId="8">#REF!</definedName>
    <definedName name="PandDWaterStreetRecon" localSheetId="4">#REF!</definedName>
    <definedName name="PandDWaterStreetRecon">#REF!</definedName>
    <definedName name="PandDWESTLANDPLACEDrainageImprov" localSheetId="3">#REF!</definedName>
    <definedName name="PandDWESTLANDPLACEDrainageImprov" localSheetId="8">#REF!</definedName>
    <definedName name="PandDWESTLANDPLACEDrainageImprov" localSheetId="4">#REF!</definedName>
    <definedName name="PandDWESTLANDPLACEDrainageImprov">#REF!</definedName>
    <definedName name="PARKS" localSheetId="3">#REF!</definedName>
    <definedName name="PARKS" localSheetId="4">#REF!</definedName>
    <definedName name="PARKS">#REF!</definedName>
    <definedName name="Parks_Rec" localSheetId="3">'Enter Fund Line-Item Details'!#REF!</definedName>
    <definedName name="Parks_Rec" localSheetId="8">'General Fund Line-Item Details'!$H$1329:$T$1347</definedName>
    <definedName name="Parks_Rec" localSheetId="4">'Other Fund Line-Item Details'!#REF!</definedName>
    <definedName name="Parks_Rec">#REF!</definedName>
    <definedName name="ParksandOpensSpacesGOLFCOURSEDRIVINGRANGELIGHTS" localSheetId="3">'[2]Parks&amp;OpenSpaces'!#REF!</definedName>
    <definedName name="ParksandOpensSpacesGOLFCOURSEDRIVINGRANGELIGHTS" localSheetId="8">'[2]Parks&amp;OpenSpaces'!#REF!</definedName>
    <definedName name="ParksandOpensSpacesGOLFCOURSEDRIVINGRANGELIGHTS" localSheetId="4">'[2]Parks&amp;OpenSpaces'!#REF!</definedName>
    <definedName name="ParksandOpensSpacesGOLFCOURSEDRIVINGRANGELIGHTS">'[2]Parks&amp;OpenSpaces'!#REF!</definedName>
    <definedName name="ParksandOpensSpacesSchreinerGOLFCOURSERESTROOM">'[2]Parks&amp;OpenSpaces'!$A$239:$I$272</definedName>
    <definedName name="ParksOpsenSpacesSchreinerGolfRESTROOMS" localSheetId="3">[2]Facilities!#REF!</definedName>
    <definedName name="ParksOpsenSpacesSchreinerGolfRESTROOMS" localSheetId="8">[2]Facilities!#REF!</definedName>
    <definedName name="ParksOpsenSpacesSchreinerGolfRESTROOMS" localSheetId="4">[2]Facilities!#REF!</definedName>
    <definedName name="ParksOpsenSpacesSchreinerGolfRESTROOMS">[2]Facilities!#REF!</definedName>
    <definedName name="PavingandDrainage" localSheetId="3">#REF!</definedName>
    <definedName name="PavingandDrainage" localSheetId="8">#REF!</definedName>
    <definedName name="PavingandDrainage" localSheetId="4">#REF!</definedName>
    <definedName name="PavingandDrainage">#REF!</definedName>
    <definedName name="PavingDrainage" localSheetId="3">#REF!</definedName>
    <definedName name="PavingDrainage" localSheetId="8">#REF!</definedName>
    <definedName name="PavingDrainage" localSheetId="4">#REF!</definedName>
    <definedName name="PavingDrainage">#REF!</definedName>
    <definedName name="PLANN" localSheetId="3">#REF!</definedName>
    <definedName name="PLANN" localSheetId="4">#REF!</definedName>
    <definedName name="PLANN">#REF!</definedName>
    <definedName name="plann_Div" localSheetId="3">'Enter Fund Line-Item Details'!#REF!</definedName>
    <definedName name="plann_Div" localSheetId="4">'Other Fund Line-Item Details'!#REF!</definedName>
    <definedName name="plann_Div">'General Fund Line-Item Details'!$H$635:$T$636</definedName>
    <definedName name="Planning" localSheetId="3">'Enter Fund Line-Item Details'!#REF!</definedName>
    <definedName name="Planning" localSheetId="8">'General Fund Line-Item Details'!$H$635:$T$641</definedName>
    <definedName name="Planning" localSheetId="4">'Other Fund Line-Item Details'!#REF!</definedName>
    <definedName name="Planning">#REF!</definedName>
    <definedName name="PolComm_Div" localSheetId="3">'Enter Fund Line-Item Details'!#REF!</definedName>
    <definedName name="PolComm_Div" localSheetId="4">'Other Fund Line-Item Details'!#REF!</definedName>
    <definedName name="PolComm_Div">'General Fund Line-Item Details'!$H$455:$T$458</definedName>
    <definedName name="POLI" localSheetId="3">#REF!</definedName>
    <definedName name="POLI" localSheetId="4">#REF!</definedName>
    <definedName name="POLI">#REF!</definedName>
    <definedName name="Police" localSheetId="3">'Enter Fund Line-Item Details'!#REF!</definedName>
    <definedName name="Police" localSheetId="8">'General Fund Line-Item Details'!$H$362:$T$372</definedName>
    <definedName name="Police" localSheetId="4">'Other Fund Line-Item Details'!#REF!</definedName>
    <definedName name="Police">#REF!</definedName>
    <definedName name="PoliceAdmin_div" localSheetId="3">'Enter Fund Line-Item Details'!#REF!</definedName>
    <definedName name="PoliceAdmin_div" localSheetId="4">'Other Fund Line-Item Details'!#REF!</definedName>
    <definedName name="PoliceAdmin_div">'General Fund Line-Item Details'!$H$362:$T$363</definedName>
    <definedName name="PolOper_Div" localSheetId="3">'Enter Fund Line-Item Details'!#REF!</definedName>
    <definedName name="PolOper_Div" localSheetId="4">'Other Fund Line-Item Details'!#REF!</definedName>
    <definedName name="PolOper_Div">'General Fund Line-Item Details'!$H$421:$T$423</definedName>
    <definedName name="PolSprt_Div" localSheetId="3">'Enter Fund Line-Item Details'!#REF!</definedName>
    <definedName name="PolSprt_Div" localSheetId="4">'Other Fund Line-Item Details'!#REF!</definedName>
    <definedName name="PolSprt_Div">'General Fund Line-Item Details'!$H$490:$T$491</definedName>
    <definedName name="PRAdmin_Div" localSheetId="3">'Enter Fund Line-Item Details'!#REF!</definedName>
    <definedName name="PRAdmin_Div" localSheetId="4">'Other Fund Line-Item Details'!#REF!</definedName>
    <definedName name="PRAdmin_Div">'General Fund Line-Item Details'!$H$1329:$T$1333</definedName>
    <definedName name="PRAuq_Div" localSheetId="3">'Enter Fund Line-Item Details'!#REF!</definedName>
    <definedName name="PRAuq_Div" localSheetId="4">'Other Fund Line-Item Details'!#REF!</definedName>
    <definedName name="PRAuq_Div">'General Fund Line-Item Details'!$H$1447:$T$1448</definedName>
    <definedName name="PRCOmmRec_Div" localSheetId="3">'Enter Fund Line-Item Details'!#REF!</definedName>
    <definedName name="PRCOmmRec_Div" localSheetId="4">'Other Fund Line-Item Details'!#REF!</definedName>
    <definedName name="PRCOmmRec_Div">'General Fund Line-Item Details'!#REF!</definedName>
    <definedName name="_xlnm.Print_Area" localSheetId="1">'5 Year Forecast'!$A$1:$P$309</definedName>
    <definedName name="_xlnm.Print_Area" localSheetId="3">'Enter Fund Line-Item Details'!$H$5:$U$1048</definedName>
    <definedName name="_xlnm.Print_Area" localSheetId="8">'General Fund Line-Item Details'!$H$5:$U$1931</definedName>
    <definedName name="_xlnm.Print_Area" localSheetId="4">'Other Fund Line-Item Details'!$H$6:$V$756</definedName>
    <definedName name="_xlnm.Print_Area" localSheetId="5">'PROPERTY TAX ANALYSIS'!$A$6:$BC$155</definedName>
    <definedName name="_xlnm.Print_Titles" localSheetId="0">'Anticipated Needs'!$3:$4</definedName>
    <definedName name="_xlnm.Print_Titles" localSheetId="3">'Enter Fund Line-Item Details'!$5:$5</definedName>
    <definedName name="_xlnm.Print_Titles" localSheetId="8">'General Fund Line-Item Details'!$5:$5</definedName>
    <definedName name="_xlnm.Print_Titles" localSheetId="4">'Other Fund Line-Item Details'!$6:$6</definedName>
    <definedName name="PROPT_Div" localSheetId="3">'Enter Fund Line-Item Details'!#REF!</definedName>
    <definedName name="PROPT_Div" localSheetId="4">'Other Fund Line-Item Details'!#REF!</definedName>
    <definedName name="PROPT_Div">'General Fund Line-Item Details'!$H$1357:$T$1361</definedName>
    <definedName name="PS_WF" localSheetId="3">#REF!</definedName>
    <definedName name="PS_WF" localSheetId="4">#REF!</definedName>
    <definedName name="PS_WF">#REF!</definedName>
    <definedName name="PSA" localSheetId="3">[1]A!#REF!</definedName>
    <definedName name="PSA" localSheetId="8">[1]A!#REF!</definedName>
    <definedName name="PSA" localSheetId="4">[1]A!#REF!</definedName>
    <definedName name="PSA">[1]A!#REF!</definedName>
    <definedName name="PUBINFO" localSheetId="3">#REF!</definedName>
    <definedName name="PUBINFO" localSheetId="4">#REF!</definedName>
    <definedName name="PUBINFO">#REF!</definedName>
    <definedName name="Public_Info" localSheetId="3">'Enter Fund Line-Item Details'!#REF!</definedName>
    <definedName name="Public_Info" localSheetId="8">'General Fund Line-Item Details'!#REF!</definedName>
    <definedName name="Public_Info" localSheetId="4">'Other Fund Line-Item Details'!#REF!</definedName>
    <definedName name="Public_Info">#REF!</definedName>
    <definedName name="Pump_Motors" localSheetId="3">'Enter Fund Line-Item Details'!#REF!</definedName>
    <definedName name="Pump_Motors" localSheetId="4">'Other Fund Line-Item Details'!#REF!</definedName>
    <definedName name="Pump_Motors">'General Fund Line-Item Details'!#REF!</definedName>
    <definedName name="Rec_Div" localSheetId="3">'Enter Fund Line-Item Details'!#REF!</definedName>
    <definedName name="Rec_Div" localSheetId="4">'Other Fund Line-Item Details'!#REF!</definedName>
    <definedName name="Rec_Div">'General Fund Line-Item Details'!$H$1398:$T$1403</definedName>
    <definedName name="Revenue" localSheetId="3">'Enter Fund Line-Item Details'!$H$10:$T$38</definedName>
    <definedName name="Revenue" localSheetId="8">'General Fund Line-Item Details'!$H$9:$T$96</definedName>
    <definedName name="Revenue" localSheetId="4">'Other Fund Line-Item Details'!#REF!</definedName>
    <definedName name="Revenue">#REF!</definedName>
    <definedName name="RG___7131" localSheetId="1">'5 Year Forecast'!$G$1:$H$88</definedName>
    <definedName name="RG___7192" localSheetId="1">'5 Year Forecast'!#REF!</definedName>
    <definedName name="RG___7216" localSheetId="1">'5 Year Forecast'!#REF!</definedName>
    <definedName name="RG___7269" localSheetId="1">'5 Year Forecast'!#REF!</definedName>
    <definedName name="Sign_Div" localSheetId="3">'Enter Fund Line-Item Details'!#REF!</definedName>
    <definedName name="Sign_Div" localSheetId="4">'Other Fund Line-Item Details'!#REF!</definedName>
    <definedName name="Sign_Div">'General Fund Line-Item Details'!$H$1118:$T$1121</definedName>
    <definedName name="SIGNAL" localSheetId="3">#REF!</definedName>
    <definedName name="SIGNAL" localSheetId="4">#REF!</definedName>
    <definedName name="SIGNAL">#REF!</definedName>
    <definedName name="Signal_Maint" localSheetId="3">'Enter Fund Line-Item Details'!#REF!</definedName>
    <definedName name="Signal_Maint" localSheetId="8">'General Fund Line-Item Details'!$H$1118:$T$1155</definedName>
    <definedName name="Signal_Maint" localSheetId="4">'Other Fund Line-Item Details'!#REF!</definedName>
    <definedName name="Signal_Maint">#REF!</definedName>
    <definedName name="state" localSheetId="3">#REF!</definedName>
    <definedName name="state" localSheetId="8">#REF!</definedName>
    <definedName name="state" localSheetId="4">#REF!</definedName>
    <definedName name="state">#REF!</definedName>
    <definedName name="Str_Maint" localSheetId="3">'Enter Fund Line-Item Details'!#REF!</definedName>
    <definedName name="Str_Maint" localSheetId="8">'General Fund Line-Item Details'!$H$1009:$T$1049</definedName>
    <definedName name="Str_Maint" localSheetId="4">'Other Fund Line-Item Details'!#REF!</definedName>
    <definedName name="Str_Maint">#REF!</definedName>
    <definedName name="StrMnt_Div" localSheetId="3">'Enter Fund Line-Item Details'!#REF!</definedName>
    <definedName name="StrMnt_Div" localSheetId="4">'Other Fund Line-Item Details'!#REF!</definedName>
    <definedName name="StrMnt_Div">'General Fund Line-Item Details'!$H$1009:$T$1015</definedName>
    <definedName name="STRTMAINT" localSheetId="3">#REF!</definedName>
    <definedName name="STRTMAINT" localSheetId="4">#REF!</definedName>
    <definedName name="STRTMAINT">#REF!</definedName>
    <definedName name="Summary" localSheetId="3">'Enter Fund Line-Item Details'!#REF!</definedName>
    <definedName name="Summary" localSheetId="8">'General Fund Line-Item Details'!$H$1691:$T$1710</definedName>
    <definedName name="Summary" localSheetId="4">'Other Fund Line-Item Details'!#REF!</definedName>
    <definedName name="Summary">#REF!</definedName>
    <definedName name="Target6" localSheetId="3">'[4]Debt schedules'!#REF!</definedName>
    <definedName name="Target6" localSheetId="8">'[4]Debt schedules'!#REF!</definedName>
    <definedName name="Target6" localSheetId="4">'[4]Debt schedules'!#REF!</definedName>
    <definedName name="Target6">'[4]Debt schedules'!#REF!</definedName>
    <definedName name="TAV" localSheetId="3">'[3]Summary Sheet'!#REF!</definedName>
    <definedName name="TAV" localSheetId="8">'[3]Summary Sheet'!#REF!</definedName>
    <definedName name="TAV" localSheetId="4">'[3]Summary Sheet'!#REF!</definedName>
    <definedName name="TAV">'[3]Summary Sheet'!#REF!</definedName>
    <definedName name="TOUR" localSheetId="3">#REF!</definedName>
    <definedName name="TOUR" localSheetId="4">#REF!</definedName>
    <definedName name="TOUR">#REF!</definedName>
    <definedName name="Tourism" localSheetId="3">'Enter Fund Line-Item Details'!#REF!</definedName>
    <definedName name="Tourism" localSheetId="8">'General Fund Line-Item Details'!$H$1649:$T$1686</definedName>
    <definedName name="Tourism" localSheetId="4">'Other Fund Line-Item Details'!#REF!</definedName>
    <definedName name="Tourism">#REF!</definedName>
    <definedName name="Tourism_Div" localSheetId="3">'Enter Fund Line-Item Details'!#REF!</definedName>
    <definedName name="Tourism_Div" localSheetId="4">'Other Fund Line-Item Details'!#REF!</definedName>
    <definedName name="Tourism_Div">'General Fund Line-Item Details'!$H$1649:$T$1655</definedName>
    <definedName name="UBilling" localSheetId="3">'Enter Fund Line-Item Details'!#REF!</definedName>
    <definedName name="UBilling" localSheetId="4">'Other Fund Line-Item Details'!$H$9:$T$38</definedName>
    <definedName name="UBilling">'General Fund Line-Item Details'!$H$1925:$T$1974</definedName>
    <definedName name="UF_Summ" localSheetId="3">'Enter Fund Line-Item Details'!#REF!</definedName>
    <definedName name="UF_Summ" localSheetId="4">'Other Fund Line-Item Details'!$H$286:$T$290</definedName>
    <definedName name="UF_Summ">'General Fund Line-Item Details'!$H$2451:$T$2458</definedName>
    <definedName name="UT_Admin" localSheetId="3">'Enter Fund Line-Item Details'!#REF!</definedName>
    <definedName name="UT_Admin" localSheetId="4">'Other Fund Line-Item Details'!#REF!</definedName>
    <definedName name="UT_Admin">'General Fund Line-Item Details'!#REF!</definedName>
    <definedName name="UT_Non" localSheetId="3">'Enter Fund Line-Item Details'!#REF!</definedName>
    <definedName name="UT_Non" localSheetId="4">'Other Fund Line-Item Details'!$H$256:$T$283</definedName>
    <definedName name="UT_Non">'General Fund Line-Item Details'!$H$2391:$T$2425</definedName>
    <definedName name="UTILITIES_DEPT">#REF!</definedName>
    <definedName name="varrateprincipal">'[5]1_21_97 Debt Plan  '!$E$9</definedName>
    <definedName name="W_Dist" localSheetId="3">'Enter Fund Line-Item Details'!#REF!</definedName>
    <definedName name="W_Dist" localSheetId="4">'Other Fund Line-Item Details'!#REF!</definedName>
    <definedName name="W_Dist">'General Fund Line-Item Details'!#REF!</definedName>
    <definedName name="W_Recl" localSheetId="3">'Enter Fund Line-Item Details'!#REF!</definedName>
    <definedName name="W_Recl" localSheetId="4">'Other Fund Line-Item Details'!$H$193:$T$208</definedName>
    <definedName name="W_Recl">'General Fund Line-Item Details'!$H$2184:$T$2240</definedName>
    <definedName name="WADA" localSheetId="3">#REF!</definedName>
    <definedName name="WADA" localSheetId="8">#REF!</definedName>
    <definedName name="WADA" localSheetId="4">#REF!</definedName>
    <definedName name="WADA">#REF!</definedName>
    <definedName name="WastewaterHOLDSWORTHeast" localSheetId="3">[2]Wastewater!#REF!</definedName>
    <definedName name="WastewaterHOLDSWORTHeast" localSheetId="8">[2]Wastewater!#REF!</definedName>
    <definedName name="WastewaterHOLDSWORTHeast" localSheetId="4">[2]Wastewater!#REF!</definedName>
    <definedName name="WastewaterHOLDSWORTHeast">[2]Wastewater!#REF!</definedName>
    <definedName name="WastewaterHOLDSWORTHwest" localSheetId="3">[2]Wastewater!#REF!</definedName>
    <definedName name="WastewaterHOLDSWORTHwest" localSheetId="8">[2]Wastewater!#REF!</definedName>
    <definedName name="WastewaterHOLDSWORTHwest" localSheetId="4">[2]Wastewater!#REF!</definedName>
    <definedName name="WastewaterHOLDSWORTHwest">[2]Wastewater!#REF!</definedName>
    <definedName name="WastewaterHWY27WESTWSTWTRMAINextMILRUN" localSheetId="3">[2]Wastewater!#REF!</definedName>
    <definedName name="WastewaterHWY27WESTWSTWTRMAINextMILRUN" localSheetId="8">[2]Wastewater!#REF!</definedName>
    <definedName name="WastewaterHWY27WESTWSTWTRMAINextMILRUN" localSheetId="4">[2]Wastewater!#REF!</definedName>
    <definedName name="WastewaterHWY27WESTWSTWTRMAINextMILRUN">[2]Wastewater!#REF!</definedName>
    <definedName name="WastewaterROTOUPGRADES" localSheetId="3">[2]Wastewater!#REF!</definedName>
    <definedName name="WastewaterROTOUPGRADES" localSheetId="8">[2]Wastewater!#REF!</definedName>
    <definedName name="WastewaterROTOUPGRADES" localSheetId="4">[2]Wastewater!#REF!</definedName>
    <definedName name="WastewaterROTOUPGRADES">[2]Wastewater!#REF!</definedName>
    <definedName name="WastewaterSCADA" localSheetId="3">[2]Wastewater!#REF!</definedName>
    <definedName name="WastewaterSCADA" localSheetId="8">[2]Wastewater!#REF!</definedName>
    <definedName name="WastewaterSCADA" localSheetId="4">[2]Wastewater!#REF!</definedName>
    <definedName name="WastewaterSCADA">[2]Wastewater!#REF!</definedName>
    <definedName name="WastewaterSYSTEMMODELING" localSheetId="3">[2]Wastewater!#REF!</definedName>
    <definedName name="WastewaterSYSTEMMODELING" localSheetId="8">[2]Wastewater!#REF!</definedName>
    <definedName name="WastewaterSYSTEMMODELING" localSheetId="4">[2]Wastewater!#REF!</definedName>
    <definedName name="WastewaterSYSTEMMODELING">[2]Wastewater!#REF!</definedName>
    <definedName name="WastewaterUTILITYRATEMODEL" localSheetId="3">[2]Wastewater!#REF!</definedName>
    <definedName name="WastewaterUTILITYRATEMODEL" localSheetId="8">[2]Wastewater!#REF!</definedName>
    <definedName name="WastewaterUTILITYRATEMODEL" localSheetId="4">[2]Wastewater!#REF!</definedName>
    <definedName name="WastewaterUTILITYRATEMODEL">[2]Wastewater!#REF!</definedName>
    <definedName name="Water_TP" localSheetId="3">'Enter Fund Line-Item Details'!#REF!</definedName>
    <definedName name="Water_TP" localSheetId="4">'Other Fund Line-Item Details'!#REF!</definedName>
    <definedName name="Water_TP">'General Fund Line-Item Details'!#REF!</definedName>
    <definedName name="WaterCOLLEGEcoveGROUNDstorageTANK" localSheetId="3">[2]Water!#REF!</definedName>
    <definedName name="WaterCOLLEGEcoveGROUNDstorageTANK" localSheetId="8">[2]Water!#REF!</definedName>
    <definedName name="WaterCOLLEGEcoveGROUNDstorageTANK" localSheetId="4">[2]Water!#REF!</definedName>
    <definedName name="WaterCOLLEGEcoveGROUNDstorageTANK">[2]Water!#REF!</definedName>
    <definedName name="WaterCOMANCHEtraceWELL" localSheetId="3">[2]Water!#REF!</definedName>
    <definedName name="WaterCOMANCHEtraceWELL" localSheetId="8">[2]Water!#REF!</definedName>
    <definedName name="WaterCOMANCHEtraceWELL" localSheetId="4">[2]Water!#REF!</definedName>
    <definedName name="WaterCOMANCHEtraceWELL">[2]Water!#REF!</definedName>
    <definedName name="WaterDISTRIBUTIONUPGRADES" localSheetId="3">[2]Water!#REF!</definedName>
    <definedName name="WaterDISTRIBUTIONUPGRADES" localSheetId="8">[2]Water!#REF!</definedName>
    <definedName name="WaterDISTRIBUTIONUPGRADES" localSheetId="4">[2]Water!#REF!</definedName>
    <definedName name="WaterDISTRIBUTIONUPGRADES">[2]Water!#REF!</definedName>
    <definedName name="WaterLEAKDETECTION" localSheetId="3">[2]Water!#REF!</definedName>
    <definedName name="WaterLEAKDETECTION" localSheetId="8">[2]Water!#REF!</definedName>
    <definedName name="WaterLEAKDETECTION" localSheetId="4">[2]Water!#REF!</definedName>
    <definedName name="WaterLEAKDETECTION">[2]Water!#REF!</definedName>
    <definedName name="WaterRiverhillElevatedWaterStorageTank" localSheetId="3">[2]Water!#REF!</definedName>
    <definedName name="WaterRiverhillElevatedWaterStorageTank" localSheetId="8">[2]Water!#REF!</definedName>
    <definedName name="WaterRiverhillElevatedWaterStorageTank" localSheetId="4">[2]Water!#REF!</definedName>
    <definedName name="WaterRiverhillElevatedWaterStorageTank">[2]Water!#REF!</definedName>
    <definedName name="WaterSTANDBYPOWERPROJECTPHII" localSheetId="3">[2]Water!#REF!</definedName>
    <definedName name="WaterSTANDBYPOWERPROJECTPHII" localSheetId="8">[2]Water!#REF!</definedName>
    <definedName name="WaterSTANDBYPOWERPROJECTPHII" localSheetId="4">[2]Water!#REF!</definedName>
    <definedName name="WaterSTANDBYPOWERPROJECTPHII">[2]Water!#REF!</definedName>
    <definedName name="WaterSTONERIDGEWATERSYSTEM" localSheetId="3">[2]Water!#REF!</definedName>
    <definedName name="WaterSTONERIDGEWATERSYSTEM" localSheetId="8">[2]Water!#REF!</definedName>
    <definedName name="WaterSTONERIDGEWATERSYSTEM" localSheetId="4">[2]Water!#REF!</definedName>
    <definedName name="WaterSTONERIDGEWATERSYSTEM">[2]Water!#REF!</definedName>
    <definedName name="WEE_DIV" localSheetId="3">'Enter Fund Line-Item Details'!#REF!</definedName>
    <definedName name="WEE_DIV" localSheetId="4">'Other Fund Line-Item Details'!$H$42:$T$42</definedName>
    <definedName name="WEE_DIV">'General Fund Line-Item Details'!$H$1978:$T$1986</definedName>
    <definedName name="wrn.Both._.Halves." hidden="1">{"Left Half",#N/A,FALSE,"GO Table";"Right Half",#N/A,FALSE,"GO Table"}</definedName>
    <definedName name="wrn.print._.all." hidden="1">{"os stuff",#N/A,FALSE,"Test Sheet";"calculations",#N/A,FALSE,"Test Sheet";"max ds",#N/A,FALSE,"Test Sheet"}</definedName>
    <definedName name="wrn.print._.both." hidden="1">{"os stuff",#N/A,FALSE,"Test Sheet";"calculations",#N/A,FALSE,"Test Sheet"}</definedName>
    <definedName name="WW_Collection" localSheetId="3">'Enter Fund Line-Item Details'!#REF!</definedName>
    <definedName name="WW_Collection" localSheetId="4">'Other Fund Line-Item Details'!#REF!</definedName>
    <definedName name="WW_Collection">'General Fund Line-Item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0" i="103" l="1"/>
  <c r="L34" i="3"/>
  <c r="M16" i="3"/>
  <c r="V41" i="3"/>
  <c r="E84" i="103"/>
  <c r="D84" i="103"/>
  <c r="D36" i="103"/>
  <c r="D27" i="103"/>
  <c r="D21" i="103"/>
  <c r="D9" i="103"/>
  <c r="F8" i="103"/>
  <c r="E8" i="103"/>
  <c r="D8" i="103"/>
  <c r="E252" i="103" l="1"/>
  <c r="D252" i="103"/>
  <c r="D283" i="103"/>
  <c r="D346" i="103"/>
  <c r="D351" i="103"/>
  <c r="M30" i="3"/>
  <c r="N30" i="3" s="1"/>
  <c r="O30" i="3" s="1"/>
  <c r="P30" i="3" s="1"/>
  <c r="H30" i="3"/>
  <c r="V52" i="3"/>
  <c r="V51" i="3"/>
  <c r="V50" i="3"/>
  <c r="V49" i="3"/>
  <c r="V48" i="3"/>
  <c r="V47" i="3"/>
  <c r="V46" i="3"/>
  <c r="V45" i="3"/>
  <c r="V44" i="3"/>
  <c r="H118" i="3"/>
  <c r="H110" i="3"/>
  <c r="H86" i="3"/>
  <c r="H78" i="3"/>
  <c r="H70" i="3"/>
  <c r="H62" i="3"/>
  <c r="H54" i="3"/>
  <c r="R188" i="32" l="1"/>
  <c r="Q188" i="32"/>
  <c r="M188" i="32"/>
  <c r="L109" i="32"/>
  <c r="K109" i="32"/>
  <c r="R107" i="32"/>
  <c r="Q107" i="32"/>
  <c r="S107" i="32" s="1"/>
  <c r="M107" i="32"/>
  <c r="R61" i="32"/>
  <c r="Q61" i="32"/>
  <c r="M61" i="32"/>
  <c r="R60" i="32"/>
  <c r="Q60" i="32"/>
  <c r="M60" i="32"/>
  <c r="R59" i="32"/>
  <c r="Q59" i="32"/>
  <c r="M59" i="32"/>
  <c r="R58" i="32"/>
  <c r="Q58" i="32"/>
  <c r="S58" i="32" s="1"/>
  <c r="M58" i="32"/>
  <c r="R57" i="32"/>
  <c r="Q57" i="32"/>
  <c r="S57" i="32" s="1"/>
  <c r="M57" i="32"/>
  <c r="M109" i="32" s="1"/>
  <c r="R120" i="32"/>
  <c r="L121" i="32"/>
  <c r="K121" i="32"/>
  <c r="R67" i="32"/>
  <c r="Q67" i="32"/>
  <c r="M67" i="32"/>
  <c r="R66" i="32"/>
  <c r="Q66" i="32"/>
  <c r="S66" i="32" s="1"/>
  <c r="M66" i="32"/>
  <c r="R65" i="32"/>
  <c r="Q65" i="32"/>
  <c r="S65" i="32" s="1"/>
  <c r="M65" i="32"/>
  <c r="R64" i="32"/>
  <c r="Q64" i="32"/>
  <c r="S64" i="32" s="1"/>
  <c r="M64" i="32"/>
  <c r="R63" i="32"/>
  <c r="Q63" i="32"/>
  <c r="M63" i="32"/>
  <c r="S188" i="32" l="1"/>
  <c r="Q109" i="32"/>
  <c r="R109" i="32"/>
  <c r="S59" i="32"/>
  <c r="S109" i="32" s="1"/>
  <c r="S67" i="32"/>
  <c r="S60" i="32"/>
  <c r="S61" i="32"/>
  <c r="M121" i="32"/>
  <c r="R121" i="32"/>
  <c r="S63" i="32"/>
  <c r="Q121" i="32"/>
  <c r="S121" i="32" l="1"/>
  <c r="L176" i="32" l="1"/>
  <c r="L175" i="32"/>
  <c r="L174" i="32"/>
  <c r="L173" i="32"/>
  <c r="L172" i="32"/>
  <c r="R173" i="32" l="1"/>
  <c r="Q173" i="32"/>
  <c r="M173" i="32"/>
  <c r="D212" i="103"/>
  <c r="X680" i="114"/>
  <c r="X678" i="114"/>
  <c r="X676" i="114"/>
  <c r="L154" i="32"/>
  <c r="K154" i="32"/>
  <c r="L162" i="32"/>
  <c r="K162" i="32"/>
  <c r="R73" i="32"/>
  <c r="Q73" i="32"/>
  <c r="M73" i="32"/>
  <c r="R72" i="32"/>
  <c r="Q72" i="32"/>
  <c r="S72" i="32" s="1"/>
  <c r="M72" i="32"/>
  <c r="R71" i="32"/>
  <c r="Q71" i="32"/>
  <c r="M71" i="32"/>
  <c r="R70" i="32"/>
  <c r="Q70" i="32"/>
  <c r="S70" i="32" s="1"/>
  <c r="M70" i="32"/>
  <c r="R69" i="32"/>
  <c r="Q69" i="32"/>
  <c r="M69" i="32"/>
  <c r="R80" i="32"/>
  <c r="Q80" i="32"/>
  <c r="M80" i="32"/>
  <c r="R79" i="32"/>
  <c r="Q79" i="32"/>
  <c r="M79" i="32"/>
  <c r="R78" i="32"/>
  <c r="Q78" i="32"/>
  <c r="M78" i="32"/>
  <c r="R77" i="32"/>
  <c r="Q77" i="32"/>
  <c r="S77" i="32" s="1"/>
  <c r="M77" i="32"/>
  <c r="E190" i="103"/>
  <c r="D190" i="103"/>
  <c r="X396" i="114"/>
  <c r="X518" i="114"/>
  <c r="X397" i="114"/>
  <c r="S80" i="32" l="1"/>
  <c r="S69" i="32"/>
  <c r="R154" i="32"/>
  <c r="M154" i="32"/>
  <c r="S173" i="32"/>
  <c r="S71" i="32"/>
  <c r="Q154" i="32"/>
  <c r="S79" i="32"/>
  <c r="S73" i="32"/>
  <c r="S78" i="32"/>
  <c r="S154" i="32" l="1"/>
  <c r="AM329" i="114" l="1"/>
  <c r="AJ329" i="114"/>
  <c r="AG329" i="114"/>
  <c r="AD329" i="114"/>
  <c r="AA329" i="114"/>
  <c r="Y329" i="114"/>
  <c r="AM387" i="114"/>
  <c r="AJ387" i="114"/>
  <c r="AG387" i="114"/>
  <c r="AD387" i="114"/>
  <c r="AA387" i="114"/>
  <c r="I65" i="3"/>
  <c r="I64" i="3"/>
  <c r="AM66" i="114"/>
  <c r="AJ66" i="114"/>
  <c r="AG66" i="114"/>
  <c r="AD66" i="114"/>
  <c r="AA66" i="114"/>
  <c r="AM22" i="114"/>
  <c r="AJ22" i="114"/>
  <c r="AG22" i="114"/>
  <c r="AD22" i="114"/>
  <c r="AA22" i="114"/>
  <c r="AM689" i="114" l="1"/>
  <c r="AJ689" i="114"/>
  <c r="AG689" i="114"/>
  <c r="AD689" i="114"/>
  <c r="AA689" i="114"/>
  <c r="AM729" i="114"/>
  <c r="AJ729" i="114"/>
  <c r="AG729" i="114"/>
  <c r="AD729" i="114"/>
  <c r="AA729" i="114"/>
  <c r="AM752" i="114"/>
  <c r="AJ752" i="114"/>
  <c r="AG752" i="114"/>
  <c r="AD752" i="114"/>
  <c r="AA752" i="114"/>
  <c r="AM741" i="114"/>
  <c r="AJ741" i="114"/>
  <c r="AG741" i="114"/>
  <c r="AD741" i="114"/>
  <c r="AA741" i="114"/>
  <c r="AM406" i="114"/>
  <c r="AJ406" i="114"/>
  <c r="AG406" i="114"/>
  <c r="AD406" i="114"/>
  <c r="AA406" i="114"/>
  <c r="H537" i="114"/>
  <c r="AM539" i="114"/>
  <c r="AJ539" i="114"/>
  <c r="AG539" i="114"/>
  <c r="AD539" i="114"/>
  <c r="AA539" i="114"/>
  <c r="AM669" i="114"/>
  <c r="AJ669" i="114"/>
  <c r="AG669" i="114"/>
  <c r="AD669" i="114"/>
  <c r="AA669" i="114"/>
  <c r="AM659" i="114"/>
  <c r="AJ659" i="114"/>
  <c r="AG659" i="114"/>
  <c r="AD659" i="114"/>
  <c r="AA659" i="114"/>
  <c r="AM643" i="114"/>
  <c r="AJ643" i="114"/>
  <c r="AG643" i="114"/>
  <c r="AD643" i="114"/>
  <c r="AA643" i="114"/>
  <c r="AM627" i="114"/>
  <c r="AJ627" i="114"/>
  <c r="AG627" i="114"/>
  <c r="AD627" i="114"/>
  <c r="AA627" i="114"/>
  <c r="AM613" i="114" l="1"/>
  <c r="AJ613" i="114"/>
  <c r="AG613" i="114"/>
  <c r="AD613" i="114"/>
  <c r="AA613" i="114"/>
  <c r="AM598" i="114"/>
  <c r="AJ598" i="114"/>
  <c r="AG598" i="114"/>
  <c r="AD598" i="114"/>
  <c r="AA598" i="114"/>
  <c r="AM577" i="114"/>
  <c r="AJ577" i="114"/>
  <c r="AG577" i="114"/>
  <c r="AD577" i="114"/>
  <c r="AA577" i="114"/>
  <c r="AM572" i="114"/>
  <c r="AJ572" i="114"/>
  <c r="AG572" i="114"/>
  <c r="AD572" i="114"/>
  <c r="AA572" i="114"/>
  <c r="X1512" i="68" l="1"/>
  <c r="AB45" i="3"/>
  <c r="A10" i="32"/>
  <c r="A11" i="32"/>
  <c r="E199" i="68"/>
  <c r="A14" i="32"/>
  <c r="A13" i="32"/>
  <c r="A12" i="32"/>
  <c r="A9" i="32"/>
  <c r="A8" i="32"/>
  <c r="X97" i="68"/>
  <c r="X1504" i="68"/>
  <c r="X1937" i="68" s="1"/>
  <c r="X1503" i="68"/>
  <c r="X5" i="68"/>
  <c r="E284" i="103"/>
  <c r="E292" i="103" s="1"/>
  <c r="E319" i="103" s="1"/>
  <c r="E326" i="103" s="1"/>
  <c r="E332" i="103" s="1"/>
  <c r="E338" i="103" s="1"/>
  <c r="E368" i="103" s="1"/>
  <c r="E369" i="103" s="1"/>
  <c r="E370" i="103" s="1"/>
  <c r="E372" i="103" s="1"/>
  <c r="E374" i="103" s="1"/>
  <c r="D284" i="103"/>
  <c r="D292" i="103" s="1"/>
  <c r="D319" i="103" s="1"/>
  <c r="D326" i="103" s="1"/>
  <c r="D332" i="103" s="1"/>
  <c r="D338" i="103" s="1"/>
  <c r="D368" i="103" s="1"/>
  <c r="D258" i="103"/>
  <c r="D259" i="103" s="1"/>
  <c r="D260" i="103" s="1"/>
  <c r="L33" i="3" s="1"/>
  <c r="D261" i="103" s="1"/>
  <c r="D255" i="103"/>
  <c r="D256" i="103" s="1"/>
  <c r="D257" i="103" s="1"/>
  <c r="D262" i="103" s="1"/>
  <c r="D263" i="103" s="1"/>
  <c r="D271" i="103" s="1"/>
  <c r="D272" i="103" s="1"/>
  <c r="E245" i="103"/>
  <c r="E246" i="103" s="1"/>
  <c r="E247" i="103" s="1"/>
  <c r="E248" i="103" s="1"/>
  <c r="E249" i="103" s="1"/>
  <c r="E250" i="103" s="1"/>
  <c r="E251" i="103" s="1"/>
  <c r="D245" i="103"/>
  <c r="D246" i="103" s="1"/>
  <c r="D247" i="103" s="1"/>
  <c r="D248" i="103" s="1"/>
  <c r="D249" i="103" s="1"/>
  <c r="D250" i="103" s="1"/>
  <c r="D251" i="103" s="1"/>
  <c r="F205" i="103"/>
  <c r="F206" i="103" s="1"/>
  <c r="F207" i="103" s="1"/>
  <c r="F208" i="103" s="1"/>
  <c r="E205" i="103"/>
  <c r="E206" i="103" s="1"/>
  <c r="E207" i="103" s="1"/>
  <c r="E208" i="103" s="1"/>
  <c r="D205" i="103"/>
  <c r="D206" i="103" s="1"/>
  <c r="D207" i="103" s="1"/>
  <c r="D208" i="103" s="1"/>
  <c r="F78" i="103"/>
  <c r="F79" i="103" s="1"/>
  <c r="F80" i="103" s="1"/>
  <c r="E78" i="103"/>
  <c r="E79" i="103" s="1"/>
  <c r="E80" i="103" s="1"/>
  <c r="D78" i="103"/>
  <c r="D65" i="103"/>
  <c r="D66" i="103" s="1"/>
  <c r="D67" i="103" s="1"/>
  <c r="D68" i="103" s="1"/>
  <c r="D60" i="103"/>
  <c r="D61" i="103" s="1"/>
  <c r="D38" i="103"/>
  <c r="D39" i="103" s="1"/>
  <c r="D40" i="103" s="1"/>
  <c r="D41" i="103" s="1"/>
  <c r="D42" i="103" s="1"/>
  <c r="D43" i="103" s="1"/>
  <c r="D44" i="103" s="1"/>
  <c r="D45" i="103" s="1"/>
  <c r="D46" i="103" s="1"/>
  <c r="D47" i="103" s="1"/>
  <c r="D48" i="103" s="1"/>
  <c r="D49" i="103" s="1"/>
  <c r="D138" i="103" s="1"/>
  <c r="D139" i="103" s="1"/>
  <c r="D140" i="103" s="1"/>
  <c r="D141" i="103" s="1"/>
  <c r="D142" i="103" s="1"/>
  <c r="D143" i="103" s="1"/>
  <c r="D144" i="103" s="1"/>
  <c r="D145" i="103" s="1"/>
  <c r="D146" i="103" s="1"/>
  <c r="D37" i="103"/>
  <c r="D50" i="103" s="1"/>
  <c r="D51" i="103" s="1"/>
  <c r="D52" i="103" s="1"/>
  <c r="D53" i="103" s="1"/>
  <c r="D54" i="103" s="1"/>
  <c r="D55" i="103" s="1"/>
  <c r="D56" i="103" s="1"/>
  <c r="D57" i="103" s="1"/>
  <c r="D58" i="103" s="1"/>
  <c r="D59" i="103" s="1"/>
  <c r="D62" i="103" s="1"/>
  <c r="D63" i="103" s="1"/>
  <c r="D64" i="103" s="1"/>
  <c r="D22" i="103"/>
  <c r="D23" i="103" s="1"/>
  <c r="D24" i="103" s="1"/>
  <c r="D25" i="103" s="1"/>
  <c r="D26" i="103" s="1"/>
  <c r="D28" i="103" s="1"/>
  <c r="D29" i="103" s="1"/>
  <c r="D30" i="103" s="1"/>
  <c r="D31" i="103" s="1"/>
  <c r="D32" i="103" s="1"/>
  <c r="D33" i="103" s="1"/>
  <c r="D34" i="103" s="1"/>
  <c r="D35" i="103" s="1"/>
  <c r="D10" i="103"/>
  <c r="D11" i="103" s="1"/>
  <c r="D12" i="103" s="1"/>
  <c r="D13" i="103" s="1"/>
  <c r="D14" i="103" s="1"/>
  <c r="D15" i="103" s="1"/>
  <c r="D16" i="103" s="1"/>
  <c r="D17" i="103" s="1"/>
  <c r="D18" i="103" s="1"/>
  <c r="D19" i="103" s="1"/>
  <c r="F4" i="103"/>
  <c r="F5" i="103" s="1"/>
  <c r="F6" i="103" s="1"/>
  <c r="F7" i="103" s="1"/>
  <c r="E4" i="103"/>
  <c r="E5" i="103" s="1"/>
  <c r="E6" i="103" s="1"/>
  <c r="E7" i="103" s="1"/>
  <c r="D4" i="103"/>
  <c r="D5" i="103" s="1"/>
  <c r="D6" i="103" s="1"/>
  <c r="D7" i="103" s="1"/>
  <c r="C22" i="6"/>
  <c r="C21" i="6"/>
  <c r="C20" i="6"/>
  <c r="C1142" i="103"/>
  <c r="C1141" i="103"/>
  <c r="C1140" i="103"/>
  <c r="C1139" i="103"/>
  <c r="C1138" i="103"/>
  <c r="C1137" i="103"/>
  <c r="C1136" i="103"/>
  <c r="C1135" i="103"/>
  <c r="C1134" i="103"/>
  <c r="C1133" i="103"/>
  <c r="C1132" i="103"/>
  <c r="C1131" i="103"/>
  <c r="C1130" i="103"/>
  <c r="C1129" i="103"/>
  <c r="C1128" i="103"/>
  <c r="C1127" i="103"/>
  <c r="C1126" i="103"/>
  <c r="C1125" i="103"/>
  <c r="C1124" i="103"/>
  <c r="C1123" i="103"/>
  <c r="C1122" i="103"/>
  <c r="C1121" i="103"/>
  <c r="C1120" i="103"/>
  <c r="C1119" i="103"/>
  <c r="C1118" i="103"/>
  <c r="C1117" i="103"/>
  <c r="C1116" i="103"/>
  <c r="C1115" i="103"/>
  <c r="C1114" i="103"/>
  <c r="C1113" i="103"/>
  <c r="C1112" i="103"/>
  <c r="C1111" i="103"/>
  <c r="C1110" i="103"/>
  <c r="C1109" i="103"/>
  <c r="C1108" i="103"/>
  <c r="C1107" i="103"/>
  <c r="C1106" i="103"/>
  <c r="C1105" i="103"/>
  <c r="C1104" i="103"/>
  <c r="C1103" i="103"/>
  <c r="C1102" i="103"/>
  <c r="C1101" i="103"/>
  <c r="C1100" i="103"/>
  <c r="C1099" i="103"/>
  <c r="C1098" i="103"/>
  <c r="C1097" i="103"/>
  <c r="C1096" i="103"/>
  <c r="C1095" i="103"/>
  <c r="C1094" i="103"/>
  <c r="C1093" i="103"/>
  <c r="C1092" i="103"/>
  <c r="C1091" i="103"/>
  <c r="C1090" i="103"/>
  <c r="C1089" i="103"/>
  <c r="C1088" i="103"/>
  <c r="C1087" i="103"/>
  <c r="C1086" i="103"/>
  <c r="C1085" i="103"/>
  <c r="C1084" i="103"/>
  <c r="C1083" i="103"/>
  <c r="C1082" i="103"/>
  <c r="C1081" i="103"/>
  <c r="C1080" i="103"/>
  <c r="C1079" i="103"/>
  <c r="C1078" i="103"/>
  <c r="C1077" i="103"/>
  <c r="C1076" i="103"/>
  <c r="C1075" i="103"/>
  <c r="C1074" i="103"/>
  <c r="C1073" i="103"/>
  <c r="C1072" i="103"/>
  <c r="C1071" i="103"/>
  <c r="C1070" i="103"/>
  <c r="C1069" i="103"/>
  <c r="C1068" i="103"/>
  <c r="C1067" i="103"/>
  <c r="C1066" i="103"/>
  <c r="C1065" i="103"/>
  <c r="C1064" i="103"/>
  <c r="C1063" i="103"/>
  <c r="C1062" i="103"/>
  <c r="C1061" i="103"/>
  <c r="C1060" i="103"/>
  <c r="C1059" i="103"/>
  <c r="C1058" i="103"/>
  <c r="C1057" i="103"/>
  <c r="C1056" i="103"/>
  <c r="C1055" i="103"/>
  <c r="C1054" i="103"/>
  <c r="C1053" i="103"/>
  <c r="C1052" i="103"/>
  <c r="C1051" i="103"/>
  <c r="C1050" i="103"/>
  <c r="C1049" i="103"/>
  <c r="C1048" i="103"/>
  <c r="C1047" i="103"/>
  <c r="C1046" i="103"/>
  <c r="C1045" i="103"/>
  <c r="C1044" i="103"/>
  <c r="C1043" i="103"/>
  <c r="C1042" i="103"/>
  <c r="C1041" i="103"/>
  <c r="C1040" i="103"/>
  <c r="C1039" i="103"/>
  <c r="C1038" i="103"/>
  <c r="C1037" i="103"/>
  <c r="C1036" i="103"/>
  <c r="C1035" i="103"/>
  <c r="C1034" i="103"/>
  <c r="C1033" i="103"/>
  <c r="C1032" i="103"/>
  <c r="C1031" i="103"/>
  <c r="C1030" i="103"/>
  <c r="C1029" i="103"/>
  <c r="C1028" i="103"/>
  <c r="C1027" i="103"/>
  <c r="C1026" i="103"/>
  <c r="C1025" i="103"/>
  <c r="C1024" i="103"/>
  <c r="C1023" i="103"/>
  <c r="C1022" i="103"/>
  <c r="C1021" i="103"/>
  <c r="C1020" i="103"/>
  <c r="C1019" i="103"/>
  <c r="C1018" i="103"/>
  <c r="C1017" i="103"/>
  <c r="C1016" i="103"/>
  <c r="C1015" i="103"/>
  <c r="C1014" i="103"/>
  <c r="C1013" i="103"/>
  <c r="C1012" i="103"/>
  <c r="C1011" i="103"/>
  <c r="C1010" i="103"/>
  <c r="C1009" i="103"/>
  <c r="C1008" i="103"/>
  <c r="C1007" i="103"/>
  <c r="C1006" i="103"/>
  <c r="C1005" i="103"/>
  <c r="C1004" i="103"/>
  <c r="C1003" i="103"/>
  <c r="C1002" i="103"/>
  <c r="C1001" i="103"/>
  <c r="C1000" i="103"/>
  <c r="C999" i="103"/>
  <c r="C998" i="103"/>
  <c r="C997" i="103"/>
  <c r="C996" i="103"/>
  <c r="C995" i="103"/>
  <c r="C994" i="103"/>
  <c r="C993" i="103"/>
  <c r="C992" i="103"/>
  <c r="C991" i="103"/>
  <c r="C990" i="103"/>
  <c r="C989" i="103"/>
  <c r="C988" i="103"/>
  <c r="C987" i="103"/>
  <c r="C986" i="103"/>
  <c r="C985" i="103"/>
  <c r="C984" i="103"/>
  <c r="C983" i="103"/>
  <c r="C982" i="103"/>
  <c r="C981" i="103"/>
  <c r="C980" i="103"/>
  <c r="C979" i="103"/>
  <c r="C978" i="103"/>
  <c r="C977" i="103"/>
  <c r="C976" i="103"/>
  <c r="C975" i="103"/>
  <c r="C974" i="103"/>
  <c r="C973" i="103"/>
  <c r="C972" i="103"/>
  <c r="C971" i="103"/>
  <c r="C970" i="103"/>
  <c r="C969" i="103"/>
  <c r="C968" i="103"/>
  <c r="C967" i="103"/>
  <c r="C966" i="103"/>
  <c r="C965" i="103"/>
  <c r="C964" i="103"/>
  <c r="C963" i="103"/>
  <c r="C962" i="103"/>
  <c r="C961" i="103"/>
  <c r="C960" i="103"/>
  <c r="C959" i="103"/>
  <c r="C958" i="103"/>
  <c r="C957" i="103"/>
  <c r="C956" i="103"/>
  <c r="C955" i="103"/>
  <c r="C954" i="103"/>
  <c r="C953" i="103"/>
  <c r="C952" i="103"/>
  <c r="C951" i="103"/>
  <c r="C950" i="103"/>
  <c r="C949" i="103"/>
  <c r="C948" i="103"/>
  <c r="C947" i="103"/>
  <c r="C946" i="103"/>
  <c r="C945" i="103"/>
  <c r="C944" i="103"/>
  <c r="C943" i="103"/>
  <c r="C942" i="103"/>
  <c r="C941" i="103"/>
  <c r="C940" i="103"/>
  <c r="C939" i="103"/>
  <c r="C938" i="103"/>
  <c r="C937" i="103"/>
  <c r="C936" i="103"/>
  <c r="C935" i="103"/>
  <c r="C934" i="103"/>
  <c r="C933" i="103"/>
  <c r="C932" i="103"/>
  <c r="C931" i="103"/>
  <c r="C930" i="103"/>
  <c r="C929" i="103"/>
  <c r="C928" i="103"/>
  <c r="C927" i="103"/>
  <c r="C926" i="103"/>
  <c r="C925" i="103"/>
  <c r="C924" i="103"/>
  <c r="C923" i="103"/>
  <c r="C922" i="103"/>
  <c r="C921" i="103"/>
  <c r="C920" i="103"/>
  <c r="C919" i="103"/>
  <c r="C918" i="103"/>
  <c r="C917" i="103"/>
  <c r="C916" i="103"/>
  <c r="C915" i="103"/>
  <c r="C914" i="103"/>
  <c r="C913" i="103"/>
  <c r="C912" i="103"/>
  <c r="C911" i="103"/>
  <c r="C910" i="103"/>
  <c r="C909" i="103"/>
  <c r="C908" i="103"/>
  <c r="C907" i="103"/>
  <c r="C906" i="103"/>
  <c r="C905" i="103"/>
  <c r="C904" i="103"/>
  <c r="C903" i="103"/>
  <c r="C902" i="103"/>
  <c r="C901" i="103"/>
  <c r="C900" i="103"/>
  <c r="C899" i="103"/>
  <c r="C898" i="103"/>
  <c r="C897" i="103"/>
  <c r="C896" i="103"/>
  <c r="C895" i="103"/>
  <c r="C894" i="103"/>
  <c r="C893" i="103"/>
  <c r="C892" i="103"/>
  <c r="C891" i="103"/>
  <c r="C890" i="103"/>
  <c r="C889" i="103"/>
  <c r="C888" i="103"/>
  <c r="C887" i="103"/>
  <c r="C886" i="103"/>
  <c r="C885" i="103"/>
  <c r="C884" i="103"/>
  <c r="C883" i="103"/>
  <c r="C882" i="103"/>
  <c r="C881" i="103"/>
  <c r="C880" i="103"/>
  <c r="C879" i="103"/>
  <c r="C878" i="103"/>
  <c r="C877" i="103"/>
  <c r="C876" i="103"/>
  <c r="C875" i="103"/>
  <c r="C874" i="103"/>
  <c r="C873" i="103"/>
  <c r="C872" i="103"/>
  <c r="C871" i="103"/>
  <c r="C870" i="103"/>
  <c r="C869" i="103"/>
  <c r="C868" i="103"/>
  <c r="C867" i="103"/>
  <c r="C866" i="103"/>
  <c r="C865" i="103"/>
  <c r="C864" i="103"/>
  <c r="C863" i="103"/>
  <c r="C862" i="103"/>
  <c r="C861" i="103"/>
  <c r="C860" i="103"/>
  <c r="C859" i="103"/>
  <c r="C858" i="103"/>
  <c r="C857" i="103"/>
  <c r="C856" i="103"/>
  <c r="C855" i="103"/>
  <c r="C854" i="103"/>
  <c r="C853" i="103"/>
  <c r="C852" i="103"/>
  <c r="C851" i="103"/>
  <c r="C850" i="103"/>
  <c r="C849" i="103"/>
  <c r="C848" i="103"/>
  <c r="C847" i="103"/>
  <c r="C846" i="103"/>
  <c r="C845" i="103"/>
  <c r="C844" i="103"/>
  <c r="C843" i="103"/>
  <c r="C842" i="103"/>
  <c r="C841" i="103"/>
  <c r="C840" i="103"/>
  <c r="C839" i="103"/>
  <c r="C838" i="103"/>
  <c r="C837" i="103"/>
  <c r="C836" i="103"/>
  <c r="C835" i="103"/>
  <c r="C834" i="103"/>
  <c r="C833" i="103"/>
  <c r="C832" i="103"/>
  <c r="C831" i="103"/>
  <c r="C830" i="103"/>
  <c r="C829" i="103"/>
  <c r="C828" i="103"/>
  <c r="C827" i="103"/>
  <c r="C826" i="103"/>
  <c r="C825" i="103"/>
  <c r="C824" i="103"/>
  <c r="C823" i="103"/>
  <c r="C822" i="103"/>
  <c r="C821" i="103"/>
  <c r="C820" i="103"/>
  <c r="C819" i="103"/>
  <c r="C818" i="103"/>
  <c r="C817" i="103"/>
  <c r="C816" i="103"/>
  <c r="C815" i="103"/>
  <c r="C814" i="103"/>
  <c r="C813" i="103"/>
  <c r="C812" i="103"/>
  <c r="C811" i="103"/>
  <c r="C810" i="103"/>
  <c r="C809" i="103"/>
  <c r="C808" i="103"/>
  <c r="C807" i="103"/>
  <c r="C806" i="103"/>
  <c r="C805" i="103"/>
  <c r="C804" i="103"/>
  <c r="C803" i="103"/>
  <c r="C802" i="103"/>
  <c r="C801" i="103"/>
  <c r="C800" i="103"/>
  <c r="C799" i="103"/>
  <c r="C798" i="103"/>
  <c r="C797" i="103"/>
  <c r="C796" i="103"/>
  <c r="C795" i="103"/>
  <c r="C794" i="103"/>
  <c r="C793" i="103"/>
  <c r="C792" i="103"/>
  <c r="C791" i="103"/>
  <c r="C790" i="103"/>
  <c r="C789" i="103"/>
  <c r="C788" i="103"/>
  <c r="C787" i="103"/>
  <c r="C786" i="103"/>
  <c r="C785" i="103"/>
  <c r="C784" i="103"/>
  <c r="C783" i="103"/>
  <c r="C782" i="103"/>
  <c r="C781" i="103"/>
  <c r="C780" i="103"/>
  <c r="C779" i="103"/>
  <c r="C778" i="103"/>
  <c r="C777" i="103"/>
  <c r="C776" i="103"/>
  <c r="C775" i="103"/>
  <c r="C774" i="103"/>
  <c r="C773" i="103"/>
  <c r="C772" i="103"/>
  <c r="C771" i="103"/>
  <c r="C770" i="103"/>
  <c r="C769" i="103"/>
  <c r="C768" i="103"/>
  <c r="C767" i="103"/>
  <c r="C766" i="103"/>
  <c r="C765" i="103"/>
  <c r="C764" i="103"/>
  <c r="C763" i="103"/>
  <c r="C762" i="103"/>
  <c r="C761" i="103"/>
  <c r="C760" i="103"/>
  <c r="C759" i="103"/>
  <c r="C758" i="103"/>
  <c r="C757" i="103"/>
  <c r="C756" i="103"/>
  <c r="C755" i="103"/>
  <c r="C754" i="103"/>
  <c r="C753" i="103"/>
  <c r="C752" i="103"/>
  <c r="C751" i="103"/>
  <c r="C750" i="103"/>
  <c r="C749" i="103"/>
  <c r="C748" i="103"/>
  <c r="C747" i="103"/>
  <c r="C746" i="103"/>
  <c r="C745" i="103"/>
  <c r="C744" i="103"/>
  <c r="C743" i="103"/>
  <c r="C742" i="103"/>
  <c r="C741" i="103"/>
  <c r="D168" i="103" l="1"/>
  <c r="D169" i="103" s="1"/>
  <c r="D209" i="103"/>
  <c r="D210" i="103" s="1"/>
  <c r="D211" i="103" s="1"/>
  <c r="D218" i="103" s="1"/>
  <c r="E253" i="103"/>
  <c r="E254" i="103" s="1"/>
  <c r="D264" i="103"/>
  <c r="D265" i="103" s="1"/>
  <c r="D266" i="103" s="1"/>
  <c r="D161" i="103"/>
  <c r="D253" i="103"/>
  <c r="D254" i="103" s="1"/>
  <c r="F127" i="103"/>
  <c r="X1939" i="68"/>
  <c r="J42" i="3"/>
  <c r="E126" i="103"/>
  <c r="F126" i="103"/>
  <c r="D99" i="103"/>
  <c r="D106" i="103" s="1"/>
  <c r="D107" i="103" s="1"/>
  <c r="D108" i="103" s="1"/>
  <c r="D109" i="103" s="1"/>
  <c r="D110" i="103" s="1"/>
  <c r="D111" i="103" s="1"/>
  <c r="D112" i="103" s="1"/>
  <c r="D113" i="103" s="1"/>
  <c r="D114" i="103" s="1"/>
  <c r="D115" i="103" s="1"/>
  <c r="D116" i="103" s="1"/>
  <c r="D117" i="103" s="1"/>
  <c r="D118" i="103" s="1"/>
  <c r="D119" i="103" s="1"/>
  <c r="D120" i="103" s="1"/>
  <c r="D121" i="103" s="1"/>
  <c r="D122" i="103" s="1"/>
  <c r="D77" i="103"/>
  <c r="D125" i="103" s="1"/>
  <c r="D369" i="103"/>
  <c r="E392" i="103"/>
  <c r="E375" i="103"/>
  <c r="E81" i="103"/>
  <c r="E128" i="103"/>
  <c r="D79" i="103"/>
  <c r="D126" i="103"/>
  <c r="E127" i="103"/>
  <c r="F81" i="103"/>
  <c r="F128" i="103"/>
  <c r="D273" i="103"/>
  <c r="D69" i="103"/>
  <c r="D70" i="103" s="1"/>
  <c r="D71" i="103" s="1"/>
  <c r="D301" i="103" l="1"/>
  <c r="D327" i="103" s="1"/>
  <c r="D352" i="103"/>
  <c r="D373" i="103" s="1"/>
  <c r="D376" i="103" s="1"/>
  <c r="E352" i="103"/>
  <c r="E373" i="103" s="1"/>
  <c r="E376" i="103" s="1"/>
  <c r="E301" i="103"/>
  <c r="E327" i="103" s="1"/>
  <c r="D80" i="103"/>
  <c r="D127" i="103"/>
  <c r="D370" i="103"/>
  <c r="F82" i="103"/>
  <c r="F129" i="103"/>
  <c r="E82" i="103"/>
  <c r="E129" i="103"/>
  <c r="D267" i="103"/>
  <c r="D268" i="103" s="1"/>
  <c r="D269" i="103" s="1"/>
  <c r="D270" i="103" s="1"/>
  <c r="D279" i="103" s="1"/>
  <c r="D274" i="103"/>
  <c r="D72" i="103"/>
  <c r="D73" i="103" s="1"/>
  <c r="D74" i="103" s="1"/>
  <c r="F83" i="103" l="1"/>
  <c r="F85" i="103" s="1"/>
  <c r="F130" i="103"/>
  <c r="D372" i="103"/>
  <c r="D374" i="103" s="1"/>
  <c r="D280" i="103"/>
  <c r="D281" i="103" s="1"/>
  <c r="D282" i="103" s="1"/>
  <c r="D81" i="103"/>
  <c r="D128" i="103"/>
  <c r="E83" i="103"/>
  <c r="E85" i="103" s="1"/>
  <c r="E130" i="103"/>
  <c r="D275" i="103"/>
  <c r="D75" i="103"/>
  <c r="D123" i="103" s="1"/>
  <c r="D147" i="103" s="1"/>
  <c r="D148" i="103" s="1"/>
  <c r="D149" i="103" s="1"/>
  <c r="D150" i="103" s="1"/>
  <c r="AS31" i="6"/>
  <c r="AS32" i="6" s="1"/>
  <c r="W19" i="6"/>
  <c r="D276" i="103" l="1"/>
  <c r="E131" i="103"/>
  <c r="D392" i="103"/>
  <c r="D375" i="103"/>
  <c r="F131" i="103"/>
  <c r="D151" i="103"/>
  <c r="D152" i="103" s="1"/>
  <c r="D285" i="103"/>
  <c r="D82" i="103"/>
  <c r="D129" i="103"/>
  <c r="D76" i="103"/>
  <c r="E132" i="103" l="1"/>
  <c r="D83" i="103"/>
  <c r="D85" i="103" s="1"/>
  <c r="D130" i="103"/>
  <c r="D286" i="103"/>
  <c r="D217" i="103"/>
  <c r="D242" i="103" s="1"/>
  <c r="D158" i="103"/>
  <c r="D277" i="103"/>
  <c r="D278" i="103" l="1"/>
  <c r="D289" i="103" s="1"/>
  <c r="D293" i="103" s="1"/>
  <c r="F86" i="103"/>
  <c r="F133" i="103"/>
  <c r="D287" i="103"/>
  <c r="E86" i="103"/>
  <c r="E133" i="103"/>
  <c r="D131" i="103"/>
  <c r="E87" i="103" l="1"/>
  <c r="E134" i="103"/>
  <c r="D302" i="103"/>
  <c r="D303" i="103" s="1"/>
  <c r="D288" i="103"/>
  <c r="D290" i="103" s="1"/>
  <c r="D291" i="103" s="1"/>
  <c r="D295" i="103" s="1"/>
  <c r="D296" i="103" s="1"/>
  <c r="D297" i="103" s="1"/>
  <c r="D298" i="103" s="1"/>
  <c r="D299" i="103" s="1"/>
  <c r="F87" i="103"/>
  <c r="F134" i="103"/>
  <c r="D132" i="103"/>
  <c r="D86" i="103" l="1"/>
  <c r="D133" i="103"/>
  <c r="F88" i="103"/>
  <c r="F135" i="103"/>
  <c r="D308" i="103"/>
  <c r="D309" i="103" s="1"/>
  <c r="D310" i="103" s="1"/>
  <c r="D314" i="103" s="1"/>
  <c r="D316" i="103" s="1"/>
  <c r="E88" i="103"/>
  <c r="E135" i="103"/>
  <c r="D300" i="103"/>
  <c r="F73" i="68"/>
  <c r="H73" i="68" s="1"/>
  <c r="E73" i="68"/>
  <c r="D73" i="68"/>
  <c r="C73" i="68"/>
  <c r="B73" i="68"/>
  <c r="F281" i="114"/>
  <c r="H281" i="114" s="1"/>
  <c r="E281" i="114"/>
  <c r="D281" i="114"/>
  <c r="C281" i="114"/>
  <c r="B281" i="114"/>
  <c r="F367" i="114"/>
  <c r="E367" i="114"/>
  <c r="D367" i="114"/>
  <c r="C367" i="114"/>
  <c r="B367" i="114"/>
  <c r="D317" i="103" l="1"/>
  <c r="D318" i="103" s="1"/>
  <c r="D320" i="103" s="1"/>
  <c r="D321" i="103" s="1"/>
  <c r="D322" i="103" s="1"/>
  <c r="F89" i="103"/>
  <c r="F90" i="103" s="1"/>
  <c r="F136" i="103"/>
  <c r="F153" i="103" s="1"/>
  <c r="F159" i="103" s="1"/>
  <c r="D87" i="103"/>
  <c r="D134" i="103"/>
  <c r="E89" i="103"/>
  <c r="E90" i="103" s="1"/>
  <c r="E136" i="103"/>
  <c r="E153" i="103" s="1"/>
  <c r="E159" i="103" s="1"/>
  <c r="D304" i="103"/>
  <c r="D305" i="103"/>
  <c r="G73" i="68"/>
  <c r="H367" i="114"/>
  <c r="E91" i="103" l="1"/>
  <c r="E124" i="103"/>
  <c r="D88" i="103"/>
  <c r="D135" i="103"/>
  <c r="F91" i="103"/>
  <c r="F124" i="103"/>
  <c r="D306" i="103"/>
  <c r="D307" i="103" s="1"/>
  <c r="D311" i="103" s="1"/>
  <c r="D324" i="103"/>
  <c r="D328" i="103" s="1"/>
  <c r="D329" i="103" s="1"/>
  <c r="D334" i="103" s="1"/>
  <c r="D339" i="103" s="1"/>
  <c r="D341" i="103" s="1"/>
  <c r="D359" i="103" s="1"/>
  <c r="D366" i="103" s="1"/>
  <c r="D377" i="103" l="1"/>
  <c r="D379" i="103" s="1"/>
  <c r="D385" i="103" s="1"/>
  <c r="D386" i="103" s="1"/>
  <c r="D387" i="103" s="1"/>
  <c r="D388" i="103" s="1"/>
  <c r="D389" i="103" s="1"/>
  <c r="D323" i="103"/>
  <c r="D325" i="103" s="1"/>
  <c r="D315" i="103"/>
  <c r="D89" i="103"/>
  <c r="D90" i="103" s="1"/>
  <c r="D136" i="103"/>
  <c r="D153" i="103" s="1"/>
  <c r="D159" i="103" s="1"/>
  <c r="F1025" i="68"/>
  <c r="H1025" i="68" s="1"/>
  <c r="E1025" i="68"/>
  <c r="D1025" i="68"/>
  <c r="C1025" i="68"/>
  <c r="B1025" i="68"/>
  <c r="D330" i="103" l="1"/>
  <c r="D331" i="103" s="1"/>
  <c r="D335" i="103" s="1"/>
  <c r="D336" i="103" s="1"/>
  <c r="D337" i="103" s="1"/>
  <c r="D91" i="103"/>
  <c r="D124" i="103"/>
  <c r="D390" i="103"/>
  <c r="D394" i="103"/>
  <c r="D398" i="103" s="1"/>
  <c r="D342" i="103" l="1"/>
  <c r="D343" i="103" s="1"/>
  <c r="F19" i="6"/>
  <c r="D48" i="6"/>
  <c r="D344" i="103" l="1"/>
  <c r="D347" i="103" s="1"/>
  <c r="F766" i="115"/>
  <c r="H766" i="115" s="1"/>
  <c r="E766" i="115"/>
  <c r="D766" i="115"/>
  <c r="C766" i="115"/>
  <c r="B766" i="115"/>
  <c r="F750" i="114"/>
  <c r="H750" i="114" s="1"/>
  <c r="E750" i="114"/>
  <c r="D750" i="114"/>
  <c r="C750" i="114"/>
  <c r="B750" i="114"/>
  <c r="F745" i="114"/>
  <c r="H745" i="114" s="1"/>
  <c r="E745" i="114"/>
  <c r="D745" i="114"/>
  <c r="C745" i="114"/>
  <c r="B745" i="114"/>
  <c r="D353" i="103" l="1"/>
  <c r="D354" i="103" s="1"/>
  <c r="D355" i="103" s="1"/>
  <c r="D356" i="103" s="1"/>
  <c r="D357" i="103" s="1"/>
  <c r="D358" i="103" s="1"/>
  <c r="D360" i="103" s="1"/>
  <c r="D361" i="103" s="1"/>
  <c r="D362" i="103" s="1"/>
  <c r="D363" i="103" s="1"/>
  <c r="D364" i="103" s="1"/>
  <c r="D365" i="103" s="1"/>
  <c r="D378" i="103" s="1"/>
  <c r="D382" i="103" s="1"/>
  <c r="D108" i="6"/>
  <c r="D107" i="6"/>
  <c r="D106" i="6"/>
  <c r="D105" i="6"/>
  <c r="D104" i="6"/>
  <c r="D103" i="6"/>
  <c r="D384" i="103" l="1"/>
  <c r="D391" i="103" s="1"/>
  <c r="D397" i="103" s="1"/>
  <c r="D399" i="103" s="1"/>
  <c r="N1867" i="39"/>
  <c r="N1866" i="39"/>
  <c r="N1865" i="39"/>
  <c r="I2" i="6" l="1"/>
  <c r="R28" i="32" l="1"/>
  <c r="Q28" i="32"/>
  <c r="R27" i="32"/>
  <c r="Q27" i="32"/>
  <c r="R26" i="32"/>
  <c r="Q26" i="32"/>
  <c r="S26" i="32" s="1"/>
  <c r="R25" i="32"/>
  <c r="Q25" i="32"/>
  <c r="R24" i="32"/>
  <c r="Q24" i="32"/>
  <c r="R55" i="32"/>
  <c r="Q55" i="32"/>
  <c r="R54" i="32"/>
  <c r="Q54" i="32"/>
  <c r="R53" i="32"/>
  <c r="Q53" i="32"/>
  <c r="R52" i="32"/>
  <c r="Q52" i="32"/>
  <c r="R51" i="32"/>
  <c r="Q51" i="32"/>
  <c r="R50" i="32"/>
  <c r="Q50" i="32"/>
  <c r="R49" i="32"/>
  <c r="Q49" i="32"/>
  <c r="R48" i="32"/>
  <c r="Q48" i="32"/>
  <c r="S48" i="32" s="1"/>
  <c r="R47" i="32"/>
  <c r="Q47" i="32"/>
  <c r="R46" i="32"/>
  <c r="Q46" i="32"/>
  <c r="R45" i="32"/>
  <c r="Q45" i="32"/>
  <c r="R44" i="32"/>
  <c r="Q44" i="32"/>
  <c r="R43" i="32"/>
  <c r="Q43" i="32"/>
  <c r="R42" i="32"/>
  <c r="Q42" i="32"/>
  <c r="R41" i="32"/>
  <c r="Q41" i="32"/>
  <c r="S43" i="32" l="1"/>
  <c r="S24" i="32"/>
  <c r="S25" i="32"/>
  <c r="S28" i="32"/>
  <c r="S27" i="32"/>
  <c r="S53" i="32"/>
  <c r="S44" i="32"/>
  <c r="S49" i="32"/>
  <c r="S54" i="32"/>
  <c r="S47" i="32"/>
  <c r="S41" i="32"/>
  <c r="S52" i="32"/>
  <c r="S50" i="32"/>
  <c r="S55" i="32"/>
  <c r="S46" i="32"/>
  <c r="S51" i="32"/>
  <c r="S42" i="32"/>
  <c r="S45" i="32"/>
  <c r="M41" i="32" l="1"/>
  <c r="M42" i="32"/>
  <c r="M43" i="32"/>
  <c r="M44" i="32"/>
  <c r="M45" i="32"/>
  <c r="M46" i="32"/>
  <c r="M47" i="32"/>
  <c r="M48" i="32"/>
  <c r="M49" i="32"/>
  <c r="M50" i="32"/>
  <c r="M51" i="32"/>
  <c r="M52" i="32"/>
  <c r="M53" i="32"/>
  <c r="M54" i="32"/>
  <c r="M55" i="32"/>
  <c r="T22" i="9" l="1"/>
  <c r="C18" i="6" l="1"/>
  <c r="AR18" i="6"/>
  <c r="AQ18" i="6"/>
  <c r="V18" i="6"/>
  <c r="W18" i="6" s="1"/>
  <c r="AS18" i="6"/>
  <c r="AT18" i="6" s="1"/>
  <c r="AL18" i="6" l="1"/>
  <c r="AJ18" i="6"/>
  <c r="N18" i="6"/>
  <c r="AG18" i="6"/>
  <c r="AO18" i="6" s="1"/>
  <c r="P18" i="6"/>
  <c r="O18" i="6"/>
  <c r="F1564" i="68"/>
  <c r="H1564" i="68" s="1"/>
  <c r="E1564" i="68"/>
  <c r="D1564" i="68"/>
  <c r="C1564" i="68"/>
  <c r="B1564" i="68"/>
  <c r="AW18" i="6" l="1"/>
  <c r="AX18" i="6" s="1"/>
  <c r="AU18" i="6"/>
  <c r="AV18" i="6" s="1"/>
  <c r="AP18" i="6"/>
  <c r="T18" i="6"/>
  <c r="S18" i="6"/>
  <c r="Q18" i="6"/>
  <c r="AM18" i="6" l="1"/>
  <c r="AK18" i="6"/>
  <c r="N1864" i="39" l="1"/>
  <c r="P1864" i="39" s="1"/>
  <c r="N1863" i="39"/>
  <c r="P1863" i="39" s="1"/>
  <c r="N1862" i="39"/>
  <c r="P1862" i="39" s="1"/>
  <c r="N1861" i="39"/>
  <c r="P1861" i="39" s="1"/>
  <c r="N1860" i="39"/>
  <c r="P1860" i="39" s="1"/>
  <c r="N1859" i="39"/>
  <c r="P1859" i="39" s="1"/>
  <c r="N1858" i="39"/>
  <c r="P1858" i="39" s="1"/>
  <c r="N1857" i="39"/>
  <c r="P1857" i="39" s="1"/>
  <c r="N1856" i="39"/>
  <c r="P1856" i="39" s="1"/>
  <c r="N1855" i="39"/>
  <c r="P1855" i="39" s="1"/>
  <c r="N1854" i="39"/>
  <c r="P1854" i="39" s="1"/>
  <c r="N1853" i="39"/>
  <c r="P1853" i="39" s="1"/>
  <c r="N1852" i="39"/>
  <c r="P1852" i="39" s="1"/>
  <c r="N1851" i="39"/>
  <c r="P1851" i="39" s="1"/>
  <c r="N1850" i="39"/>
  <c r="P1850" i="39" s="1"/>
  <c r="N1849" i="39"/>
  <c r="P1849" i="39" s="1"/>
  <c r="I5" i="68"/>
  <c r="C103" i="6" l="1"/>
  <c r="T5" i="68"/>
  <c r="B6" i="68" l="1"/>
  <c r="C6" i="68" s="1"/>
  <c r="K1021" i="115"/>
  <c r="K1018" i="115"/>
  <c r="K1011" i="115"/>
  <c r="L5" i="68"/>
  <c r="C106" i="6" l="1"/>
  <c r="H106" i="6" s="1"/>
  <c r="D6" i="68"/>
  <c r="E6" i="68" s="1"/>
  <c r="F6" i="68" s="1"/>
  <c r="G6" i="68" s="1"/>
  <c r="H6" i="68" s="1"/>
  <c r="I6" i="68" s="1"/>
  <c r="J6" i="68" s="1"/>
  <c r="K6" i="68" s="1"/>
  <c r="L6" i="68" s="1"/>
  <c r="L6" i="114"/>
  <c r="L5" i="115"/>
  <c r="K1023" i="115"/>
  <c r="K141" i="32"/>
  <c r="M6" i="68" l="1"/>
  <c r="N6" i="68" s="1"/>
  <c r="O6" i="68" s="1"/>
  <c r="P6" i="68" s="1"/>
  <c r="Q6" i="68" s="1"/>
  <c r="R6" i="68" s="1"/>
  <c r="S6" i="68" s="1"/>
  <c r="T6" i="68" s="1"/>
  <c r="I108" i="6"/>
  <c r="F292" i="115"/>
  <c r="H292" i="115" s="1"/>
  <c r="E292" i="115"/>
  <c r="D292" i="115"/>
  <c r="C292" i="115"/>
  <c r="B292" i="115"/>
  <c r="F139" i="68" l="1"/>
  <c r="H139" i="68" s="1"/>
  <c r="E139" i="68"/>
  <c r="D139" i="68"/>
  <c r="C139" i="68"/>
  <c r="B139" i="68"/>
  <c r="L2" i="9" l="1"/>
  <c r="N24" i="3"/>
  <c r="F245" i="103" l="1"/>
  <c r="F246" i="103" s="1"/>
  <c r="F247" i="103" l="1"/>
  <c r="F248" i="103" l="1"/>
  <c r="F249" i="103" s="1"/>
  <c r="T28" i="9"/>
  <c r="C48" i="9"/>
  <c r="F250" i="103" l="1"/>
  <c r="F251" i="103" s="1"/>
  <c r="F252" i="103" s="1"/>
  <c r="F253" i="103" l="1"/>
  <c r="F190" i="103"/>
  <c r="F254" i="103" l="1"/>
  <c r="F352" i="103" l="1"/>
  <c r="F373" i="103" s="1"/>
  <c r="F301" i="103"/>
  <c r="F327" i="103" l="1"/>
  <c r="F376" i="103"/>
  <c r="F145" i="6" l="1"/>
  <c r="F384" i="114" l="1"/>
  <c r="E384" i="114"/>
  <c r="D384" i="114"/>
  <c r="C384" i="114"/>
  <c r="B384" i="114"/>
  <c r="U1292" i="39"/>
  <c r="T1292" i="39"/>
  <c r="S1292" i="39"/>
  <c r="R1292" i="39"/>
  <c r="Q1292" i="39"/>
  <c r="N1292" i="39"/>
  <c r="H384" i="114" l="1"/>
  <c r="N1848" i="39" l="1"/>
  <c r="P1848" i="39" s="1"/>
  <c r="U1847" i="39"/>
  <c r="T1847" i="39"/>
  <c r="S1847" i="39"/>
  <c r="R1847" i="39"/>
  <c r="Q1847" i="39"/>
  <c r="N1847" i="39"/>
  <c r="P1847" i="39" s="1"/>
  <c r="U1846" i="39"/>
  <c r="T1846" i="39"/>
  <c r="S1846" i="39"/>
  <c r="R1846" i="39"/>
  <c r="Q1846" i="39"/>
  <c r="N1846" i="39"/>
  <c r="P1846" i="39" s="1"/>
  <c r="U1845" i="39"/>
  <c r="T1845" i="39"/>
  <c r="S1845" i="39"/>
  <c r="R1845" i="39"/>
  <c r="Q1845" i="39"/>
  <c r="N1845" i="39"/>
  <c r="P1845" i="39" s="1"/>
  <c r="U1844" i="39"/>
  <c r="T1844" i="39"/>
  <c r="S1844" i="39"/>
  <c r="R1844" i="39"/>
  <c r="Q1844" i="39"/>
  <c r="N1844" i="39"/>
  <c r="P1844" i="39" s="1"/>
  <c r="U1843" i="39"/>
  <c r="T1843" i="39"/>
  <c r="S1843" i="39"/>
  <c r="R1843" i="39"/>
  <c r="Q1843" i="39"/>
  <c r="N1843" i="39"/>
  <c r="P1843" i="39" s="1"/>
  <c r="U1842" i="39"/>
  <c r="T1842" i="39"/>
  <c r="S1842" i="39"/>
  <c r="R1842" i="39"/>
  <c r="Q1842" i="39"/>
  <c r="N1842" i="39"/>
  <c r="P1842" i="39" s="1"/>
  <c r="U1841" i="39"/>
  <c r="T1841" i="39"/>
  <c r="S1841" i="39"/>
  <c r="R1841" i="39"/>
  <c r="Q1841" i="39"/>
  <c r="N1841" i="39"/>
  <c r="U1840" i="39"/>
  <c r="T1840" i="39"/>
  <c r="S1840" i="39"/>
  <c r="R1840" i="39"/>
  <c r="Q1840" i="39"/>
  <c r="N1840" i="39"/>
  <c r="U1839" i="39"/>
  <c r="T1839" i="39"/>
  <c r="S1839" i="39"/>
  <c r="R1839" i="39"/>
  <c r="Q1839" i="39"/>
  <c r="N1839" i="39"/>
  <c r="P1839" i="39" s="1"/>
  <c r="Q87" i="32"/>
  <c r="M28" i="32" l="1"/>
  <c r="M27" i="32"/>
  <c r="M23" i="32"/>
  <c r="R11" i="32" l="1"/>
  <c r="Q11" i="32"/>
  <c r="M14" i="32"/>
  <c r="Q14" i="32"/>
  <c r="R14" i="32"/>
  <c r="S11" i="32" l="1"/>
  <c r="S14" i="32"/>
  <c r="J4" i="9" l="1"/>
  <c r="H1494" i="68" l="1"/>
  <c r="E1494" i="68"/>
  <c r="D1494" i="68"/>
  <c r="F1429" i="68" l="1"/>
  <c r="H1429" i="68" s="1"/>
  <c r="E1429" i="68"/>
  <c r="D1429" i="68"/>
  <c r="C1429" i="68"/>
  <c r="B1429" i="68"/>
  <c r="Z682" i="115" l="1"/>
  <c r="F682" i="115"/>
  <c r="H682" i="115" s="1"/>
  <c r="E682" i="115"/>
  <c r="D682" i="115"/>
  <c r="C682" i="115"/>
  <c r="B682" i="115"/>
  <c r="S5" i="68" l="1"/>
  <c r="B1335" i="68"/>
  <c r="C1335" i="68"/>
  <c r="D1335" i="68"/>
  <c r="E1335" i="68"/>
  <c r="F1335" i="68"/>
  <c r="H1335" i="68" l="1"/>
  <c r="H1934" i="68" l="1"/>
  <c r="H1935" i="68" s="1"/>
  <c r="N1838" i="39" l="1"/>
  <c r="P1838" i="39" s="1"/>
  <c r="N1837" i="39"/>
  <c r="P1837" i="39" s="1"/>
  <c r="N1836" i="39"/>
  <c r="P1836" i="39" s="1"/>
  <c r="N1835" i="39"/>
  <c r="P1835" i="39" s="1"/>
  <c r="N1834" i="39"/>
  <c r="P1834" i="39" s="1"/>
  <c r="N1833" i="39"/>
  <c r="P1833" i="39" s="1"/>
  <c r="N1832" i="39"/>
  <c r="P1832" i="39" s="1"/>
  <c r="N1831" i="39"/>
  <c r="P1831" i="39" s="1"/>
  <c r="N1830" i="39"/>
  <c r="P1830" i="39" s="1"/>
  <c r="N1829" i="39"/>
  <c r="P1829" i="39" s="1"/>
  <c r="N1828" i="39"/>
  <c r="N1827" i="39"/>
  <c r="N1826" i="39"/>
  <c r="N1825" i="39"/>
  <c r="N1824" i="39"/>
  <c r="N1823" i="39"/>
  <c r="N1822" i="39"/>
  <c r="N1821" i="39"/>
  <c r="N1820" i="39"/>
  <c r="N1819" i="39"/>
  <c r="N1818" i="39"/>
  <c r="N1817" i="39"/>
  <c r="N1816" i="39"/>
  <c r="N1815" i="39"/>
  <c r="N1814" i="39"/>
  <c r="N1813" i="39"/>
  <c r="N1812" i="39"/>
  <c r="N1811" i="39"/>
  <c r="N1810" i="39"/>
  <c r="N1809" i="39"/>
  <c r="N1808" i="39"/>
  <c r="N1807" i="39"/>
  <c r="N1806" i="39"/>
  <c r="N1805" i="39"/>
  <c r="N1804" i="39"/>
  <c r="P1804" i="39" s="1"/>
  <c r="N1803" i="39"/>
  <c r="P1803" i="39" s="1"/>
  <c r="N1802" i="39"/>
  <c r="P1802" i="39" s="1"/>
  <c r="N1801" i="39"/>
  <c r="P1801" i="39" s="1"/>
  <c r="N1800" i="39"/>
  <c r="P1800" i="39" s="1"/>
  <c r="N1799" i="39"/>
  <c r="P1799" i="39" s="1"/>
  <c r="N1798" i="39"/>
  <c r="P1798" i="39" s="1"/>
  <c r="N1797" i="39"/>
  <c r="P1797" i="39" s="1"/>
  <c r="N1796" i="39"/>
  <c r="N1795" i="39"/>
  <c r="N1794" i="39"/>
  <c r="N1793" i="39"/>
  <c r="N1792" i="39"/>
  <c r="N1791" i="39"/>
  <c r="N1790" i="39"/>
  <c r="N1789" i="39"/>
  <c r="P1789" i="39" s="1"/>
  <c r="N1788" i="39"/>
  <c r="N1787" i="39"/>
  <c r="N1786" i="39"/>
  <c r="P1786" i="39" s="1"/>
  <c r="N1785" i="39"/>
  <c r="P1785" i="39" s="1"/>
  <c r="N1784" i="39"/>
  <c r="P1784" i="39" s="1"/>
  <c r="N1783" i="39"/>
  <c r="P1783" i="39" s="1"/>
  <c r="N1782" i="39"/>
  <c r="P1782" i="39" s="1"/>
  <c r="N1781" i="39"/>
  <c r="P1781" i="39" s="1"/>
  <c r="N1780" i="39"/>
  <c r="P1780" i="39" s="1"/>
  <c r="N1779" i="39"/>
  <c r="P1779" i="39" s="1"/>
  <c r="N1778" i="39"/>
  <c r="P1778" i="39" s="1"/>
  <c r="N1777" i="39"/>
  <c r="P1777" i="39" s="1"/>
  <c r="N1776" i="39"/>
  <c r="N1775" i="39"/>
  <c r="N1774" i="39"/>
  <c r="N1773" i="39"/>
  <c r="N1772" i="39"/>
  <c r="N1771" i="39"/>
  <c r="N1770" i="39"/>
  <c r="N1769" i="39"/>
  <c r="N1768" i="39"/>
  <c r="N1767" i="39"/>
  <c r="N1766" i="39"/>
  <c r="N1765" i="39"/>
  <c r="N1764" i="39"/>
  <c r="N1763" i="39"/>
  <c r="N1762" i="39"/>
  <c r="N1761" i="39"/>
  <c r="N1760" i="39"/>
  <c r="N1759" i="39"/>
  <c r="N1758" i="39"/>
  <c r="N1757" i="39"/>
  <c r="N1756" i="39"/>
  <c r="N1755" i="39"/>
  <c r="N1754" i="39"/>
  <c r="N1753" i="39"/>
  <c r="N1752" i="39"/>
  <c r="N1751" i="39"/>
  <c r="N1750" i="39"/>
  <c r="N1749" i="39"/>
  <c r="N1748" i="39"/>
  <c r="N1747" i="39"/>
  <c r="P1747" i="39" s="1"/>
  <c r="N1746" i="39"/>
  <c r="P1746" i="39" s="1"/>
  <c r="N1745" i="39"/>
  <c r="P1745" i="39" s="1"/>
  <c r="N1744" i="39"/>
  <c r="P1744" i="39" s="1"/>
  <c r="N1743" i="39"/>
  <c r="P1743" i="39" s="1"/>
  <c r="N1742" i="39"/>
  <c r="P1742" i="39" s="1"/>
  <c r="N1741" i="39"/>
  <c r="P1741" i="39" s="1"/>
  <c r="N1740" i="39"/>
  <c r="P1740" i="39" s="1"/>
  <c r="N1739" i="39"/>
  <c r="P1739" i="39" s="1"/>
  <c r="N1738" i="39"/>
  <c r="P1738" i="39" s="1"/>
  <c r="N1737" i="39"/>
  <c r="P1737" i="39" s="1"/>
  <c r="N1736" i="39"/>
  <c r="N1735" i="39"/>
  <c r="N1734" i="39"/>
  <c r="N1733" i="39"/>
  <c r="N1732" i="39"/>
  <c r="N1731" i="39"/>
  <c r="N1730" i="39"/>
  <c r="N1729" i="39"/>
  <c r="N1728" i="39"/>
  <c r="N1727" i="39"/>
  <c r="N1726" i="39"/>
  <c r="N1725" i="39"/>
  <c r="N1724" i="39"/>
  <c r="N1723" i="39"/>
  <c r="N1722" i="39"/>
  <c r="N1721" i="39"/>
  <c r="N1720" i="39"/>
  <c r="N1719" i="39"/>
  <c r="N1718" i="39"/>
  <c r="N1717" i="39"/>
  <c r="N1716" i="39"/>
  <c r="N1715" i="39"/>
  <c r="N1714" i="39"/>
  <c r="N1713" i="39"/>
  <c r="N1712" i="39"/>
  <c r="P1712" i="39" s="1"/>
  <c r="N1711" i="39"/>
  <c r="P1711" i="39" s="1"/>
  <c r="N1710" i="39"/>
  <c r="P1710" i="39" s="1"/>
  <c r="N1709" i="39"/>
  <c r="P1709" i="39" s="1"/>
  <c r="N1708" i="39"/>
  <c r="P1708" i="39" s="1"/>
  <c r="N1707" i="39"/>
  <c r="P1707" i="39" s="1"/>
  <c r="N1706" i="39"/>
  <c r="P1706" i="39" s="1"/>
  <c r="N1705" i="39"/>
  <c r="P1705" i="39" s="1"/>
  <c r="N1704" i="39"/>
  <c r="P1704" i="39" s="1"/>
  <c r="N1703" i="39"/>
  <c r="P1703" i="39" s="1"/>
  <c r="N1702" i="39"/>
  <c r="N1701" i="39"/>
  <c r="N1700" i="39"/>
  <c r="N1699" i="39"/>
  <c r="N1698" i="39"/>
  <c r="N1697" i="39"/>
  <c r="N1696" i="39"/>
  <c r="N1695" i="39"/>
  <c r="N1694" i="39"/>
  <c r="N1693" i="39"/>
  <c r="N1692" i="39"/>
  <c r="N1691" i="39"/>
  <c r="N1690" i="39"/>
  <c r="N1689" i="39"/>
  <c r="N1688" i="39"/>
  <c r="N1687" i="39"/>
  <c r="N1686" i="39"/>
  <c r="N1685" i="39"/>
  <c r="N1684" i="39"/>
  <c r="N1683" i="39"/>
  <c r="N1682" i="39"/>
  <c r="P1682" i="39" s="1"/>
  <c r="N1681" i="39"/>
  <c r="P1681" i="39" s="1"/>
  <c r="N1680" i="39"/>
  <c r="P1680" i="39" s="1"/>
  <c r="N1679" i="39"/>
  <c r="P1679" i="39" s="1"/>
  <c r="N1678" i="39"/>
  <c r="P1678" i="39" s="1"/>
  <c r="N1677" i="39"/>
  <c r="P1677" i="39" s="1"/>
  <c r="N1676" i="39"/>
  <c r="P1676" i="39" s="1"/>
  <c r="N1675" i="39"/>
  <c r="P1675" i="39" s="1"/>
  <c r="N1674" i="39"/>
  <c r="P1674" i="39" s="1"/>
  <c r="N1673" i="39"/>
  <c r="P1673" i="39" s="1"/>
  <c r="N1672" i="39"/>
  <c r="N1671" i="39"/>
  <c r="P1671" i="39" s="1"/>
  <c r="N1670" i="39"/>
  <c r="N1669" i="39"/>
  <c r="N1668" i="39"/>
  <c r="N1667" i="39"/>
  <c r="N1666" i="39"/>
  <c r="N1665" i="39"/>
  <c r="N1664" i="39"/>
  <c r="N1663" i="39"/>
  <c r="N1662" i="39"/>
  <c r="N1661" i="39"/>
  <c r="N1660" i="39"/>
  <c r="N1659" i="39"/>
  <c r="N1658" i="39"/>
  <c r="N1657" i="39"/>
  <c r="N1656" i="39"/>
  <c r="N1655" i="39"/>
  <c r="N1654" i="39"/>
  <c r="N1653" i="39"/>
  <c r="N1652" i="39"/>
  <c r="N1651" i="39"/>
  <c r="N1650" i="39"/>
  <c r="N1649" i="39"/>
  <c r="N1648" i="39"/>
  <c r="N1647" i="39"/>
  <c r="N1646" i="39"/>
  <c r="N1645" i="39"/>
  <c r="N1644" i="39"/>
  <c r="P1644" i="39" s="1"/>
  <c r="N1643" i="39"/>
  <c r="P1643" i="39" s="1"/>
  <c r="N1642" i="39"/>
  <c r="N1641" i="39"/>
  <c r="N1640" i="39"/>
  <c r="N1639" i="39"/>
  <c r="N1638" i="39"/>
  <c r="N1637" i="39"/>
  <c r="N1636" i="39"/>
  <c r="N1635" i="39"/>
  <c r="N1634" i="39"/>
  <c r="N1633" i="39"/>
  <c r="N1632" i="39"/>
  <c r="N1631" i="39"/>
  <c r="N1630" i="39"/>
  <c r="N1629" i="39"/>
  <c r="P1629" i="39" s="1"/>
  <c r="N1628" i="39"/>
  <c r="P1628" i="39" s="1"/>
  <c r="N1627" i="39"/>
  <c r="P1627" i="39" s="1"/>
  <c r="N1626" i="39"/>
  <c r="P1626" i="39" s="1"/>
  <c r="N1625" i="39"/>
  <c r="P1625" i="39" s="1"/>
  <c r="N1624" i="39"/>
  <c r="P1624" i="39" s="1"/>
  <c r="N1623" i="39"/>
  <c r="P1623" i="39" s="1"/>
  <c r="N1622" i="39"/>
  <c r="P1622" i="39" s="1"/>
  <c r="N1621" i="39"/>
  <c r="N1620" i="39"/>
  <c r="N1619" i="39"/>
  <c r="N1618" i="39"/>
  <c r="N1617" i="39"/>
  <c r="N1616" i="39"/>
  <c r="N1615" i="39"/>
  <c r="N1614" i="39"/>
  <c r="N1613" i="39"/>
  <c r="N1612" i="39"/>
  <c r="N1611" i="39"/>
  <c r="N1610" i="39"/>
  <c r="N1609" i="39"/>
  <c r="P1609" i="39" s="1"/>
  <c r="N1608" i="39"/>
  <c r="P1608" i="39" s="1"/>
  <c r="N1607" i="39"/>
  <c r="P1607" i="39" s="1"/>
  <c r="N1606" i="39"/>
  <c r="P1606" i="39" s="1"/>
  <c r="N1605" i="39"/>
  <c r="P1605" i="39" s="1"/>
  <c r="N1604" i="39"/>
  <c r="P1604" i="39" s="1"/>
  <c r="N1603" i="39"/>
  <c r="P1603" i="39" s="1"/>
  <c r="N1602" i="39"/>
  <c r="P1602" i="39" s="1"/>
  <c r="N1601" i="39"/>
  <c r="P1601" i="39" s="1"/>
  <c r="N1600" i="39"/>
  <c r="P1600" i="39" s="1"/>
  <c r="N1599" i="39"/>
  <c r="P1599" i="39" s="1"/>
  <c r="N1598" i="39"/>
  <c r="N1597" i="39"/>
  <c r="N1596" i="39"/>
  <c r="N1595" i="39"/>
  <c r="N1594" i="39"/>
  <c r="N1593" i="39"/>
  <c r="N1592" i="39"/>
  <c r="N1591" i="39"/>
  <c r="N1590" i="39"/>
  <c r="N1589" i="39"/>
  <c r="N1588" i="39"/>
  <c r="N1587" i="39"/>
  <c r="N1586" i="39"/>
  <c r="N1585" i="39"/>
  <c r="N1584" i="39"/>
  <c r="N1583" i="39"/>
  <c r="N1582" i="39"/>
  <c r="N1581" i="39"/>
  <c r="N1580" i="39"/>
  <c r="N1579" i="39"/>
  <c r="N1578" i="39"/>
  <c r="N1577" i="39"/>
  <c r="N1576" i="39"/>
  <c r="N1575" i="39"/>
  <c r="N1574" i="39"/>
  <c r="N1573" i="39"/>
  <c r="N1572" i="39"/>
  <c r="N1571" i="39"/>
  <c r="N1570" i="39"/>
  <c r="N1569" i="39"/>
  <c r="N1568" i="39"/>
  <c r="N1567" i="39"/>
  <c r="N1566" i="39"/>
  <c r="N1565" i="39"/>
  <c r="N1564" i="39"/>
  <c r="N1563" i="39"/>
  <c r="N1562" i="39"/>
  <c r="N1561" i="39"/>
  <c r="N1560" i="39"/>
  <c r="N1559" i="39"/>
  <c r="N1558" i="39"/>
  <c r="N1557" i="39"/>
  <c r="N1556" i="39"/>
  <c r="N1555" i="39"/>
  <c r="N1554" i="39"/>
  <c r="N1553" i="39"/>
  <c r="N1552" i="39"/>
  <c r="N1551" i="39"/>
  <c r="N1550" i="39"/>
  <c r="N1549" i="39"/>
  <c r="N1548" i="39"/>
  <c r="N1547" i="39"/>
  <c r="N1546" i="39"/>
  <c r="N1545" i="39"/>
  <c r="N1544" i="39"/>
  <c r="N1543" i="39"/>
  <c r="N1542" i="39"/>
  <c r="N1541" i="39"/>
  <c r="N1540" i="39"/>
  <c r="N1539" i="39"/>
  <c r="N1538" i="39"/>
  <c r="N1537" i="39"/>
  <c r="N1536" i="39"/>
  <c r="N1535" i="39"/>
  <c r="N1534" i="39"/>
  <c r="N1533" i="39"/>
  <c r="N1532" i="39"/>
  <c r="N1531" i="39"/>
  <c r="N1530" i="39"/>
  <c r="N1529" i="39"/>
  <c r="N1528" i="39"/>
  <c r="N1527" i="39"/>
  <c r="N1526" i="39"/>
  <c r="N1525" i="39"/>
  <c r="N1524" i="39"/>
  <c r="N1523" i="39"/>
  <c r="N1522" i="39"/>
  <c r="N1521" i="39"/>
  <c r="N1520" i="39"/>
  <c r="N1519" i="39"/>
  <c r="N1518" i="39"/>
  <c r="N1517" i="39"/>
  <c r="N1516" i="39"/>
  <c r="N1515" i="39"/>
  <c r="N1514" i="39"/>
  <c r="N1513" i="39"/>
  <c r="N1512" i="39"/>
  <c r="N1511" i="39"/>
  <c r="N1510" i="39"/>
  <c r="N1509" i="39"/>
  <c r="P1509" i="39" s="1"/>
  <c r="N1508" i="39"/>
  <c r="N1507" i="39"/>
  <c r="N1506" i="39"/>
  <c r="N1505" i="39"/>
  <c r="P1505" i="39" s="1"/>
  <c r="N1504" i="39"/>
  <c r="P1504" i="39" s="1"/>
  <c r="N1503" i="39"/>
  <c r="P1503" i="39" s="1"/>
  <c r="N1502" i="39"/>
  <c r="P1502" i="39" s="1"/>
  <c r="N1501" i="39"/>
  <c r="N1500" i="39"/>
  <c r="N1499" i="39"/>
  <c r="N1498" i="39"/>
  <c r="N1497" i="39"/>
  <c r="N1496" i="39"/>
  <c r="N1495" i="39"/>
  <c r="N1494" i="39"/>
  <c r="N1493" i="39"/>
  <c r="P1493" i="39" s="1"/>
  <c r="N1492" i="39"/>
  <c r="P1492" i="39" s="1"/>
  <c r="N1491" i="39"/>
  <c r="N1490" i="39"/>
  <c r="N1489" i="39"/>
  <c r="N1488" i="39"/>
  <c r="N1487" i="39"/>
  <c r="N1486" i="39"/>
  <c r="N1485" i="39"/>
  <c r="N1484" i="39"/>
  <c r="N1483" i="39"/>
  <c r="N1482" i="39"/>
  <c r="N1481" i="39"/>
  <c r="N1480" i="39"/>
  <c r="N1479" i="39"/>
  <c r="N1478" i="39"/>
  <c r="N1477" i="39"/>
  <c r="N1476" i="39"/>
  <c r="N1475" i="39"/>
  <c r="N1474" i="39"/>
  <c r="N1473" i="39"/>
  <c r="N1472" i="39"/>
  <c r="N1471" i="39"/>
  <c r="P1471" i="39" s="1"/>
  <c r="N1470" i="39"/>
  <c r="P1470" i="39" s="1"/>
  <c r="N1469" i="39"/>
  <c r="P1469" i="39" s="1"/>
  <c r="N1468" i="39"/>
  <c r="P1468" i="39" s="1"/>
  <c r="N1467" i="39"/>
  <c r="P1467" i="39" s="1"/>
  <c r="N1466" i="39"/>
  <c r="P1466" i="39" s="1"/>
  <c r="N1465" i="39"/>
  <c r="N1464" i="39"/>
  <c r="N1463" i="39"/>
  <c r="N1462" i="39"/>
  <c r="N1461" i="39"/>
  <c r="N1460" i="39"/>
  <c r="N1459" i="39"/>
  <c r="N1458" i="39"/>
  <c r="N1457" i="39"/>
  <c r="N1456" i="39"/>
  <c r="N1455" i="39"/>
  <c r="N1454" i="39"/>
  <c r="N1453" i="39"/>
  <c r="N1452" i="39"/>
  <c r="N1451" i="39"/>
  <c r="N1450" i="39"/>
  <c r="N1449" i="39"/>
  <c r="N1448" i="39"/>
  <c r="N1447" i="39"/>
  <c r="N1446" i="39"/>
  <c r="N1445" i="39"/>
  <c r="N1444" i="39"/>
  <c r="N1443" i="39"/>
  <c r="N1442" i="39"/>
  <c r="N1441" i="39"/>
  <c r="N1440" i="39"/>
  <c r="P1440" i="39" s="1"/>
  <c r="N1439" i="39"/>
  <c r="P1439" i="39" s="1"/>
  <c r="N1438" i="39"/>
  <c r="P1438" i="39" s="1"/>
  <c r="N1437" i="39"/>
  <c r="P1437" i="39" s="1"/>
  <c r="N1436" i="39"/>
  <c r="P1436" i="39" s="1"/>
  <c r="N1435" i="39"/>
  <c r="P1435" i="39" s="1"/>
  <c r="N1434" i="39"/>
  <c r="N1433" i="39"/>
  <c r="N1432" i="39"/>
  <c r="N1431" i="39"/>
  <c r="N1430" i="39"/>
  <c r="N1429" i="39"/>
  <c r="N1428" i="39"/>
  <c r="N1427" i="39"/>
  <c r="N1426" i="39"/>
  <c r="N1425" i="39"/>
  <c r="N1424" i="39"/>
  <c r="N1423" i="39"/>
  <c r="N1422" i="39"/>
  <c r="N1421" i="39"/>
  <c r="N1420" i="39"/>
  <c r="N1419" i="39"/>
  <c r="N1418" i="39"/>
  <c r="P1418" i="39" s="1"/>
  <c r="N1417" i="39"/>
  <c r="P1417" i="39" s="1"/>
  <c r="N1416" i="39"/>
  <c r="N1415" i="39"/>
  <c r="N1414" i="39"/>
  <c r="N1413" i="39"/>
  <c r="N1412" i="39"/>
  <c r="N1411" i="39"/>
  <c r="N1410" i="39"/>
  <c r="N1409" i="39"/>
  <c r="N1408" i="39"/>
  <c r="N1407" i="39"/>
  <c r="N1406" i="39"/>
  <c r="P1406" i="39" s="1"/>
  <c r="N1405" i="39"/>
  <c r="P1405" i="39" s="1"/>
  <c r="N1404" i="39"/>
  <c r="P1404" i="39" s="1"/>
  <c r="N1403" i="39"/>
  <c r="P1403" i="39" s="1"/>
  <c r="N1402" i="39"/>
  <c r="N1401" i="39"/>
  <c r="N1400" i="39"/>
  <c r="N1399" i="39"/>
  <c r="N1398" i="39"/>
  <c r="N1397" i="39"/>
  <c r="N1396" i="39"/>
  <c r="N1395" i="39"/>
  <c r="N1394" i="39"/>
  <c r="N1393" i="39"/>
  <c r="N1392" i="39"/>
  <c r="N1391" i="39"/>
  <c r="N1390" i="39"/>
  <c r="N1389" i="39"/>
  <c r="N1388" i="39"/>
  <c r="N1387" i="39"/>
  <c r="N1386" i="39"/>
  <c r="N1385" i="39"/>
  <c r="N1384" i="39"/>
  <c r="N1383" i="39"/>
  <c r="N1382" i="39"/>
  <c r="N1381" i="39"/>
  <c r="N1380" i="39"/>
  <c r="N1379" i="39"/>
  <c r="P1379" i="39" s="1"/>
  <c r="N1378" i="39"/>
  <c r="P1378" i="39" s="1"/>
  <c r="N1377" i="39"/>
  <c r="P1377" i="39" s="1"/>
  <c r="N1376" i="39"/>
  <c r="P1376" i="39" s="1"/>
  <c r="N1375" i="39"/>
  <c r="P1375" i="39" s="1"/>
  <c r="N1374" i="39"/>
  <c r="P1374" i="39" s="1"/>
  <c r="N1373" i="39"/>
  <c r="P1373" i="39" s="1"/>
  <c r="N1372" i="39"/>
  <c r="P1372" i="39" s="1"/>
  <c r="N1371" i="39"/>
  <c r="P1371" i="39" s="1"/>
  <c r="N1370" i="39"/>
  <c r="P1370" i="39" s="1"/>
  <c r="N1369" i="39"/>
  <c r="P1369" i="39" s="1"/>
  <c r="N1368" i="39"/>
  <c r="P1368" i="39" s="1"/>
  <c r="N1367" i="39"/>
  <c r="P1367" i="39" s="1"/>
  <c r="N1366" i="39"/>
  <c r="P1366" i="39" s="1"/>
  <c r="N1365" i="39"/>
  <c r="P1365" i="39" s="1"/>
  <c r="N1364" i="39"/>
  <c r="P1364" i="39" s="1"/>
  <c r="N1363" i="39"/>
  <c r="P1363" i="39" s="1"/>
  <c r="N1362" i="39"/>
  <c r="P1362" i="39" s="1"/>
  <c r="N1361" i="39"/>
  <c r="N1360" i="39"/>
  <c r="N1359" i="39"/>
  <c r="N1358" i="39"/>
  <c r="N1357" i="39"/>
  <c r="N1356" i="39"/>
  <c r="N1355" i="39"/>
  <c r="N1354" i="39"/>
  <c r="N1353" i="39"/>
  <c r="N1352" i="39"/>
  <c r="N1351" i="39"/>
  <c r="N1350" i="39"/>
  <c r="N1349" i="39"/>
  <c r="N1348" i="39"/>
  <c r="N1347" i="39"/>
  <c r="N1346" i="39"/>
  <c r="P1346" i="39" s="1"/>
  <c r="N1345" i="39"/>
  <c r="P1345" i="39" s="1"/>
  <c r="N1344" i="39"/>
  <c r="P1344" i="39" s="1"/>
  <c r="N1343" i="39"/>
  <c r="N1342" i="39"/>
  <c r="N1341" i="39"/>
  <c r="N1340" i="39"/>
  <c r="N1339" i="39"/>
  <c r="N1338" i="39"/>
  <c r="N1337" i="39"/>
  <c r="N1336" i="39"/>
  <c r="N1335" i="39"/>
  <c r="P1335" i="39" s="1"/>
  <c r="N1334" i="39"/>
  <c r="P1334" i="39" s="1"/>
  <c r="N1333" i="39"/>
  <c r="P1333" i="39" s="1"/>
  <c r="N1332" i="39"/>
  <c r="P1332" i="39" s="1"/>
  <c r="N1331" i="39"/>
  <c r="N1330" i="39"/>
  <c r="N1329" i="39"/>
  <c r="N1328" i="39"/>
  <c r="N1327" i="39"/>
  <c r="N1326" i="39"/>
  <c r="N1325" i="39"/>
  <c r="N1324" i="39"/>
  <c r="N1323" i="39"/>
  <c r="N1322" i="39"/>
  <c r="N1321" i="39"/>
  <c r="N1320" i="39"/>
  <c r="N1319" i="39"/>
  <c r="N1318" i="39"/>
  <c r="N1317" i="39"/>
  <c r="P1317" i="39" s="1"/>
  <c r="N1316" i="39"/>
  <c r="P1316" i="39" s="1"/>
  <c r="N1315" i="39"/>
  <c r="P1315" i="39" s="1"/>
  <c r="N1314" i="39"/>
  <c r="P1314" i="39" s="1"/>
  <c r="N1313" i="39"/>
  <c r="P1313" i="39" s="1"/>
  <c r="N1312" i="39"/>
  <c r="P1312" i="39" s="1"/>
  <c r="N1311" i="39"/>
  <c r="N1310" i="39"/>
  <c r="N1309" i="39"/>
  <c r="N1308" i="39"/>
  <c r="N1307" i="39"/>
  <c r="N1306" i="39"/>
  <c r="N1305" i="39"/>
  <c r="N1304" i="39"/>
  <c r="N1303" i="39"/>
  <c r="N1302" i="39"/>
  <c r="N1301" i="39"/>
  <c r="N1300" i="39"/>
  <c r="N1299" i="39"/>
  <c r="N1298" i="39"/>
  <c r="N1297" i="39"/>
  <c r="N1296" i="39"/>
  <c r="N1295" i="39"/>
  <c r="N1294" i="39"/>
  <c r="N1293" i="39"/>
  <c r="N1291" i="39"/>
  <c r="N1290" i="39"/>
  <c r="N1289" i="39"/>
  <c r="N1288" i="39"/>
  <c r="N1287" i="39"/>
  <c r="N1286" i="39"/>
  <c r="N1285" i="39"/>
  <c r="N1284" i="39"/>
  <c r="N1283" i="39"/>
  <c r="N1282" i="39"/>
  <c r="N1281" i="39"/>
  <c r="N1280" i="39"/>
  <c r="N1279" i="39"/>
  <c r="N1278" i="39"/>
  <c r="N1277" i="39"/>
  <c r="N1276" i="39"/>
  <c r="N1275" i="39"/>
  <c r="N1274" i="39"/>
  <c r="N1273" i="39"/>
  <c r="P1273" i="39" s="1"/>
  <c r="N1272" i="39"/>
  <c r="N1271" i="39"/>
  <c r="N1270" i="39"/>
  <c r="N1269" i="39"/>
  <c r="N1268" i="39"/>
  <c r="N1267" i="39"/>
  <c r="N1266" i="39"/>
  <c r="P1266" i="39" s="1"/>
  <c r="N1265" i="39"/>
  <c r="N1264" i="39"/>
  <c r="N1263" i="39"/>
  <c r="N1262" i="39"/>
  <c r="N1261" i="39"/>
  <c r="N1260" i="39"/>
  <c r="N1259" i="39"/>
  <c r="N1258" i="39"/>
  <c r="N1257" i="39"/>
  <c r="N1256" i="39"/>
  <c r="N1255" i="39"/>
  <c r="N1254" i="39"/>
  <c r="P1254" i="39" s="1"/>
  <c r="N1253" i="39"/>
  <c r="P1253" i="39" s="1"/>
  <c r="N1252" i="39"/>
  <c r="N1251" i="39"/>
  <c r="N1250" i="39"/>
  <c r="N1249" i="39"/>
  <c r="N1248" i="39"/>
  <c r="P1248" i="39" s="1"/>
  <c r="N1247" i="39"/>
  <c r="P1247" i="39" s="1"/>
  <c r="N1246" i="39"/>
  <c r="N1245" i="39"/>
  <c r="N1244" i="39"/>
  <c r="P1244" i="39" s="1"/>
  <c r="N1243" i="39"/>
  <c r="P1243" i="39" s="1"/>
  <c r="N1242" i="39"/>
  <c r="N1241" i="39"/>
  <c r="N1240" i="39"/>
  <c r="P1240" i="39" s="1"/>
  <c r="N1239" i="39"/>
  <c r="P1239" i="39" s="1"/>
  <c r="N1238" i="39"/>
  <c r="N1237" i="39"/>
  <c r="N1236" i="39"/>
  <c r="N1235" i="39"/>
  <c r="P1235" i="39" s="1"/>
  <c r="N1234" i="39"/>
  <c r="N1233" i="39"/>
  <c r="N1232" i="39"/>
  <c r="N1231" i="39"/>
  <c r="N1230" i="39"/>
  <c r="N1229" i="39"/>
  <c r="N1228" i="39"/>
  <c r="N1227" i="39"/>
  <c r="N1226" i="39"/>
  <c r="N1225" i="39"/>
  <c r="N1224" i="39"/>
  <c r="N1223" i="39"/>
  <c r="N1222" i="39"/>
  <c r="N1221" i="39"/>
  <c r="N1220" i="39"/>
  <c r="N1219" i="39"/>
  <c r="P1219" i="39" s="1"/>
  <c r="N1218" i="39"/>
  <c r="P1218" i="39" s="1"/>
  <c r="N1217" i="39"/>
  <c r="P1217" i="39" s="1"/>
  <c r="N1216" i="39"/>
  <c r="P1216" i="39" s="1"/>
  <c r="N1215" i="39"/>
  <c r="P1215" i="39" s="1"/>
  <c r="N1214" i="39"/>
  <c r="P1214" i="39" s="1"/>
  <c r="N1213" i="39"/>
  <c r="P1213" i="39" s="1"/>
  <c r="N1212" i="39"/>
  <c r="P1212" i="39" s="1"/>
  <c r="N1211" i="39"/>
  <c r="P1211" i="39" s="1"/>
  <c r="N1210" i="39"/>
  <c r="P1210" i="39" s="1"/>
  <c r="N1209" i="39"/>
  <c r="P1209" i="39" s="1"/>
  <c r="N1208" i="39"/>
  <c r="N1207" i="39"/>
  <c r="P1207" i="39" s="1"/>
  <c r="N1206" i="39"/>
  <c r="P1206" i="39" s="1"/>
  <c r="N1205" i="39"/>
  <c r="P1205" i="39" s="1"/>
  <c r="N1204" i="39"/>
  <c r="N1203" i="39"/>
  <c r="N1202" i="39"/>
  <c r="N1201" i="39"/>
  <c r="N1200" i="39"/>
  <c r="N1199" i="39"/>
  <c r="N1198" i="39"/>
  <c r="P1198" i="39" s="1"/>
  <c r="N1197" i="39"/>
  <c r="P1197" i="39" s="1"/>
  <c r="N1196" i="39"/>
  <c r="P1196" i="39" s="1"/>
  <c r="N1195" i="39"/>
  <c r="P1195" i="39" s="1"/>
  <c r="N1194" i="39"/>
  <c r="N1193" i="39"/>
  <c r="N1192" i="39"/>
  <c r="N1191" i="39"/>
  <c r="N1190" i="39"/>
  <c r="N1189" i="39"/>
  <c r="N1188" i="39"/>
  <c r="P1188" i="39" s="1"/>
  <c r="N1187" i="39"/>
  <c r="P1187" i="39" s="1"/>
  <c r="N1186" i="39"/>
  <c r="N1185" i="39"/>
  <c r="N1184" i="39"/>
  <c r="N1183" i="39"/>
  <c r="N1182" i="39"/>
  <c r="N1181" i="39"/>
  <c r="P1181" i="39" s="1"/>
  <c r="N1180" i="39"/>
  <c r="P1180" i="39" s="1"/>
  <c r="N1179" i="39"/>
  <c r="P1179" i="39" s="1"/>
  <c r="N1178" i="39"/>
  <c r="P1178" i="39" s="1"/>
  <c r="N1177" i="39"/>
  <c r="P1177" i="39" s="1"/>
  <c r="N1176" i="39"/>
  <c r="P1176" i="39" s="1"/>
  <c r="N1175" i="39"/>
  <c r="P1175" i="39" s="1"/>
  <c r="N1174" i="39"/>
  <c r="N1173" i="39"/>
  <c r="N1172" i="39"/>
  <c r="N1171" i="39"/>
  <c r="N1170" i="39"/>
  <c r="P1170" i="39" s="1"/>
  <c r="N1169" i="39"/>
  <c r="P1169" i="39" s="1"/>
  <c r="N1168" i="39"/>
  <c r="P1168" i="39" s="1"/>
  <c r="N1167" i="39"/>
  <c r="P1167" i="39" s="1"/>
  <c r="N1166" i="39"/>
  <c r="P1166" i="39" s="1"/>
  <c r="N1165" i="39"/>
  <c r="P1165" i="39" s="1"/>
  <c r="N1164" i="39"/>
  <c r="N1163" i="39"/>
  <c r="N1162" i="39"/>
  <c r="N1161" i="39"/>
  <c r="N1160" i="39"/>
  <c r="N1159" i="39"/>
  <c r="N1158" i="39"/>
  <c r="N1157" i="39"/>
  <c r="N1156" i="39"/>
  <c r="N1155" i="39"/>
  <c r="P1155" i="39" s="1"/>
  <c r="N1154" i="39"/>
  <c r="P1154" i="39" s="1"/>
  <c r="N1153" i="39"/>
  <c r="P1153" i="39" s="1"/>
  <c r="N1152" i="39"/>
  <c r="P1152" i="39" s="1"/>
  <c r="N1151" i="39"/>
  <c r="P1151" i="39" s="1"/>
  <c r="N1150" i="39"/>
  <c r="P1150" i="39" s="1"/>
  <c r="N1149" i="39"/>
  <c r="P1149" i="39" s="1"/>
  <c r="N1148" i="39"/>
  <c r="P1148" i="39" s="1"/>
  <c r="N1147" i="39"/>
  <c r="P1147" i="39" s="1"/>
  <c r="N1146" i="39"/>
  <c r="P1146" i="39" s="1"/>
  <c r="N1145" i="39"/>
  <c r="N1144" i="39"/>
  <c r="N1143" i="39"/>
  <c r="N1142" i="39"/>
  <c r="N1141" i="39"/>
  <c r="N1140" i="39"/>
  <c r="N1139" i="39"/>
  <c r="N1138" i="39"/>
  <c r="N1137" i="39"/>
  <c r="N1136" i="39"/>
  <c r="N1135" i="39"/>
  <c r="N1134" i="39"/>
  <c r="N1133" i="39"/>
  <c r="N1132" i="39"/>
  <c r="N1131" i="39"/>
  <c r="N1130" i="39"/>
  <c r="N1129" i="39"/>
  <c r="N1128" i="39"/>
  <c r="N1127" i="39"/>
  <c r="N1126" i="39"/>
  <c r="N1125" i="39"/>
  <c r="N1124" i="39"/>
  <c r="N1123" i="39"/>
  <c r="N1122" i="39"/>
  <c r="N1121" i="39"/>
  <c r="P1121" i="39" s="1"/>
  <c r="N1120" i="39"/>
  <c r="P1120" i="39" s="1"/>
  <c r="N1119" i="39"/>
  <c r="P1119" i="39" s="1"/>
  <c r="N1118" i="39"/>
  <c r="P1118" i="39" s="1"/>
  <c r="N1117" i="39"/>
  <c r="P1117" i="39" s="1"/>
  <c r="N1116" i="39"/>
  <c r="P1116" i="39" s="1"/>
  <c r="N1115" i="39"/>
  <c r="P1115" i="39" s="1"/>
  <c r="N1114" i="39"/>
  <c r="P1114" i="39" s="1"/>
  <c r="N1113" i="39"/>
  <c r="P1113" i="39" s="1"/>
  <c r="N1112" i="39"/>
  <c r="P1112" i="39" s="1"/>
  <c r="N1111" i="39"/>
  <c r="P1111" i="39" s="1"/>
  <c r="N1110" i="39"/>
  <c r="P1110" i="39" s="1"/>
  <c r="N1109" i="39"/>
  <c r="P1109" i="39" s="1"/>
  <c r="N1108" i="39"/>
  <c r="N1107" i="39"/>
  <c r="N1106" i="39"/>
  <c r="N1105" i="39"/>
  <c r="N1104" i="39"/>
  <c r="N1103" i="39"/>
  <c r="N1102" i="39"/>
  <c r="N1101" i="39"/>
  <c r="N1100" i="39"/>
  <c r="N1099" i="39"/>
  <c r="N1098" i="39"/>
  <c r="N1097" i="39"/>
  <c r="N1096" i="39"/>
  <c r="N1095" i="39"/>
  <c r="N1094" i="39"/>
  <c r="N1093" i="39"/>
  <c r="N1092" i="39"/>
  <c r="N1091" i="39"/>
  <c r="N1090" i="39"/>
  <c r="N1089" i="39"/>
  <c r="P1089" i="39" s="1"/>
  <c r="N1088" i="39"/>
  <c r="P1088" i="39" s="1"/>
  <c r="N1087" i="39"/>
  <c r="P1087" i="39" s="1"/>
  <c r="N1086" i="39"/>
  <c r="P1086" i="39" s="1"/>
  <c r="N1085" i="39"/>
  <c r="P1085" i="39" s="1"/>
  <c r="N1084" i="39"/>
  <c r="P1084" i="39" s="1"/>
  <c r="N1083" i="39"/>
  <c r="P1083" i="39" s="1"/>
  <c r="N1082" i="39"/>
  <c r="P1082" i="39" s="1"/>
  <c r="N1081" i="39"/>
  <c r="N1080" i="39"/>
  <c r="N1079" i="39"/>
  <c r="N1078" i="39"/>
  <c r="N1077" i="39"/>
  <c r="N1076" i="39"/>
  <c r="N1075" i="39"/>
  <c r="N1074" i="39"/>
  <c r="N1073" i="39"/>
  <c r="N1072" i="39"/>
  <c r="N1071" i="39"/>
  <c r="N1070" i="39"/>
  <c r="N1069" i="39"/>
  <c r="N1068" i="39"/>
  <c r="N1067" i="39"/>
  <c r="P1067" i="39" s="1"/>
  <c r="N1066" i="39"/>
  <c r="P1066" i="39" s="1"/>
  <c r="N1065" i="39"/>
  <c r="P1065" i="39" s="1"/>
  <c r="N1064" i="39"/>
  <c r="P1064" i="39" s="1"/>
  <c r="N1063" i="39"/>
  <c r="P1063" i="39" s="1"/>
  <c r="N1062" i="39"/>
  <c r="P1062" i="39" s="1"/>
  <c r="N1061" i="39"/>
  <c r="P1061" i="39" s="1"/>
  <c r="N1060" i="39"/>
  <c r="P1060" i="39" s="1"/>
  <c r="N1059" i="39"/>
  <c r="P1059" i="39" s="1"/>
  <c r="N1058" i="39"/>
  <c r="P1058" i="39" s="1"/>
  <c r="N1057" i="39"/>
  <c r="P1057" i="39" s="1"/>
  <c r="N1056" i="39"/>
  <c r="P1056" i="39" s="1"/>
  <c r="N1055" i="39"/>
  <c r="N1054" i="39"/>
  <c r="N1053" i="39"/>
  <c r="N1052" i="39"/>
  <c r="N1051" i="39"/>
  <c r="N1050" i="39"/>
  <c r="N1049" i="39"/>
  <c r="N1048" i="39"/>
  <c r="N1047" i="39"/>
  <c r="N1046" i="39"/>
  <c r="N1045" i="39"/>
  <c r="N1044" i="39"/>
  <c r="N1043" i="39"/>
  <c r="N1042" i="39"/>
  <c r="N1041" i="39"/>
  <c r="N1040" i="39"/>
  <c r="N1039" i="39"/>
  <c r="N1038" i="39"/>
  <c r="N1037" i="39"/>
  <c r="N1036" i="39"/>
  <c r="N1035" i="39"/>
  <c r="N1034" i="39"/>
  <c r="N1033" i="39"/>
  <c r="N1032" i="39"/>
  <c r="N1031" i="39"/>
  <c r="N1030" i="39"/>
  <c r="N1029" i="39"/>
  <c r="N1028" i="39"/>
  <c r="N1027" i="39"/>
  <c r="N1026" i="39"/>
  <c r="N1025" i="39"/>
  <c r="N1024" i="39"/>
  <c r="N1023" i="39"/>
  <c r="P1023" i="39" s="1"/>
  <c r="N1022" i="39"/>
  <c r="P1022" i="39" s="1"/>
  <c r="N1021" i="39"/>
  <c r="P1021" i="39" s="1"/>
  <c r="N1020" i="39"/>
  <c r="P1020" i="39" s="1"/>
  <c r="N1019" i="39"/>
  <c r="P1019" i="39" s="1"/>
  <c r="N1018" i="39"/>
  <c r="N1017" i="39"/>
  <c r="N1016" i="39"/>
  <c r="N1015" i="39"/>
  <c r="N1014" i="39"/>
  <c r="N1013" i="39"/>
  <c r="N1012" i="39"/>
  <c r="N1011" i="39"/>
  <c r="N1010" i="39"/>
  <c r="N1009" i="39"/>
  <c r="N1008" i="39"/>
  <c r="P1008" i="39" s="1"/>
  <c r="N1007" i="39"/>
  <c r="P1007" i="39" s="1"/>
  <c r="N1006" i="39"/>
  <c r="P1006" i="39" s="1"/>
  <c r="N1005" i="39"/>
  <c r="P1005" i="39" s="1"/>
  <c r="N1004" i="39"/>
  <c r="P1004" i="39" s="1"/>
  <c r="N1003" i="39"/>
  <c r="P1003" i="39" s="1"/>
  <c r="N1002" i="39"/>
  <c r="P1002" i="39" s="1"/>
  <c r="N1001" i="39"/>
  <c r="P1001" i="39" s="1"/>
  <c r="N1000" i="39"/>
  <c r="P1000" i="39" s="1"/>
  <c r="N999" i="39"/>
  <c r="P999" i="39" s="1"/>
  <c r="N998" i="39"/>
  <c r="P998" i="39" s="1"/>
  <c r="N997" i="39"/>
  <c r="P997" i="39" s="1"/>
  <c r="N996" i="39"/>
  <c r="P996" i="39" s="1"/>
  <c r="N995" i="39"/>
  <c r="P995" i="39" s="1"/>
  <c r="N994" i="39"/>
  <c r="N993" i="39"/>
  <c r="N992" i="39"/>
  <c r="N991" i="39"/>
  <c r="N990" i="39"/>
  <c r="N989" i="39"/>
  <c r="N988" i="39"/>
  <c r="N987" i="39"/>
  <c r="N986" i="39"/>
  <c r="N985" i="39"/>
  <c r="N984" i="39"/>
  <c r="N983" i="39"/>
  <c r="N982" i="39"/>
  <c r="N981" i="39"/>
  <c r="N980" i="39"/>
  <c r="N979" i="39"/>
  <c r="N978" i="39"/>
  <c r="N977" i="39"/>
  <c r="N976" i="39"/>
  <c r="N975" i="39"/>
  <c r="N974" i="39"/>
  <c r="N973" i="39"/>
  <c r="N972" i="39"/>
  <c r="P972" i="39" s="1"/>
  <c r="N971" i="39"/>
  <c r="P971" i="39" s="1"/>
  <c r="N970" i="39"/>
  <c r="N969" i="39"/>
  <c r="N968" i="39"/>
  <c r="N967" i="39"/>
  <c r="P967" i="39" s="1"/>
  <c r="N966" i="39"/>
  <c r="P966" i="39" s="1"/>
  <c r="N965" i="39"/>
  <c r="P965" i="39" s="1"/>
  <c r="N964" i="39"/>
  <c r="P964" i="39" s="1"/>
  <c r="N963" i="39"/>
  <c r="P963" i="39" s="1"/>
  <c r="N962" i="39"/>
  <c r="P962" i="39" s="1"/>
  <c r="N961" i="39"/>
  <c r="P961" i="39" s="1"/>
  <c r="N960" i="39"/>
  <c r="P960" i="39" s="1"/>
  <c r="N959" i="39"/>
  <c r="P959" i="39" s="1"/>
  <c r="N958" i="39"/>
  <c r="P958" i="39" s="1"/>
  <c r="N957" i="39"/>
  <c r="N956" i="39"/>
  <c r="N955" i="39"/>
  <c r="N954" i="39"/>
  <c r="N953" i="39"/>
  <c r="N952" i="39"/>
  <c r="N951" i="39"/>
  <c r="N950" i="39"/>
  <c r="N949" i="39"/>
  <c r="N948" i="39"/>
  <c r="N947" i="39"/>
  <c r="N946" i="39"/>
  <c r="N945" i="39"/>
  <c r="N944" i="39"/>
  <c r="N943" i="39"/>
  <c r="N942" i="39"/>
  <c r="N941" i="39"/>
  <c r="N940" i="39"/>
  <c r="N939" i="39"/>
  <c r="N938" i="39"/>
  <c r="N937" i="39"/>
  <c r="N936" i="39"/>
  <c r="N935" i="39"/>
  <c r="N934" i="39"/>
  <c r="N933" i="39"/>
  <c r="N932" i="39"/>
  <c r="P932" i="39" s="1"/>
  <c r="N931" i="39"/>
  <c r="P931" i="39" s="1"/>
  <c r="N930" i="39"/>
  <c r="P930" i="39" s="1"/>
  <c r="N929" i="39"/>
  <c r="P929" i="39" s="1"/>
  <c r="N928" i="39"/>
  <c r="P928" i="39" s="1"/>
  <c r="N927" i="39"/>
  <c r="N926" i="39"/>
  <c r="N925" i="39"/>
  <c r="N924" i="39"/>
  <c r="N923" i="39"/>
  <c r="N922" i="39"/>
  <c r="N921" i="39"/>
  <c r="N920" i="39"/>
  <c r="N919" i="39"/>
  <c r="N918" i="39"/>
  <c r="N917" i="39"/>
  <c r="N916" i="39"/>
  <c r="N915" i="39"/>
  <c r="N914" i="39"/>
  <c r="N913" i="39"/>
  <c r="N912" i="39"/>
  <c r="P912" i="39" s="1"/>
  <c r="N911" i="39"/>
  <c r="P911" i="39" s="1"/>
  <c r="N910" i="39"/>
  <c r="P910" i="39" s="1"/>
  <c r="N909" i="39"/>
  <c r="P909" i="39" s="1"/>
  <c r="N908" i="39"/>
  <c r="N907" i="39"/>
  <c r="N906" i="39"/>
  <c r="N905" i="39"/>
  <c r="N904" i="39"/>
  <c r="N903" i="39"/>
  <c r="N902" i="39"/>
  <c r="N901" i="39"/>
  <c r="N900" i="39"/>
  <c r="N899" i="39"/>
  <c r="N898" i="39"/>
  <c r="N897" i="39"/>
  <c r="N896" i="39"/>
  <c r="N895" i="39"/>
  <c r="N894" i="39"/>
  <c r="N893" i="39"/>
  <c r="N892" i="39"/>
  <c r="P892" i="39" s="1"/>
  <c r="N891" i="39"/>
  <c r="P891" i="39" s="1"/>
  <c r="N890" i="39"/>
  <c r="P890" i="39" s="1"/>
  <c r="N889" i="39"/>
  <c r="P889" i="39" s="1"/>
  <c r="N888" i="39"/>
  <c r="P888" i="39" s="1"/>
  <c r="N887" i="39"/>
  <c r="N886" i="39"/>
  <c r="N885" i="39"/>
  <c r="N884" i="39"/>
  <c r="N883" i="39"/>
  <c r="N882" i="39"/>
  <c r="N881" i="39"/>
  <c r="P881" i="39" s="1"/>
  <c r="N880" i="39"/>
  <c r="P880" i="39" s="1"/>
  <c r="N879" i="39"/>
  <c r="P879" i="39" s="1"/>
  <c r="N878" i="39"/>
  <c r="P878" i="39" s="1"/>
  <c r="N877" i="39"/>
  <c r="P877" i="39" s="1"/>
  <c r="N876" i="39"/>
  <c r="P876" i="39" s="1"/>
  <c r="N875" i="39"/>
  <c r="P875" i="39" s="1"/>
  <c r="N874" i="39"/>
  <c r="N873" i="39"/>
  <c r="N872" i="39"/>
  <c r="N871" i="39"/>
  <c r="N870" i="39"/>
  <c r="N869" i="39"/>
  <c r="N868" i="39"/>
  <c r="N867" i="39"/>
  <c r="N866" i="39"/>
  <c r="N865" i="39"/>
  <c r="N864" i="39"/>
  <c r="N863" i="39"/>
  <c r="N862" i="39"/>
  <c r="N861" i="39"/>
  <c r="N860" i="39"/>
  <c r="P860" i="39" s="1"/>
  <c r="N859" i="39"/>
  <c r="P859" i="39" s="1"/>
  <c r="N858" i="39"/>
  <c r="P858" i="39" s="1"/>
  <c r="N857" i="39"/>
  <c r="P857" i="39" s="1"/>
  <c r="N856" i="39"/>
  <c r="P856" i="39" s="1"/>
  <c r="N855" i="39"/>
  <c r="P855" i="39" s="1"/>
  <c r="N854" i="39"/>
  <c r="P854" i="39" s="1"/>
  <c r="N853" i="39"/>
  <c r="P853" i="39" s="1"/>
  <c r="N852" i="39"/>
  <c r="P852" i="39" s="1"/>
  <c r="N851" i="39"/>
  <c r="P851" i="39" s="1"/>
  <c r="N850" i="39"/>
  <c r="N849" i="39"/>
  <c r="N848" i="39"/>
  <c r="N847" i="39"/>
  <c r="N846" i="39"/>
  <c r="N845" i="39"/>
  <c r="N844" i="39"/>
  <c r="N843" i="39"/>
  <c r="N842" i="39"/>
  <c r="N841" i="39"/>
  <c r="N840" i="39"/>
  <c r="N839" i="39"/>
  <c r="N838" i="39"/>
  <c r="N837" i="39"/>
  <c r="N836" i="39"/>
  <c r="N835" i="39"/>
  <c r="N834" i="39"/>
  <c r="N833" i="39"/>
  <c r="N832" i="39"/>
  <c r="N831" i="39"/>
  <c r="N830" i="39"/>
  <c r="N829" i="39"/>
  <c r="N828" i="39"/>
  <c r="N827" i="39"/>
  <c r="P827" i="39" s="1"/>
  <c r="N826" i="39"/>
  <c r="P826" i="39" s="1"/>
  <c r="N825" i="39"/>
  <c r="P825" i="39" s="1"/>
  <c r="N824" i="39"/>
  <c r="P824" i="39" s="1"/>
  <c r="N823" i="39"/>
  <c r="P823" i="39" s="1"/>
  <c r="N822" i="39"/>
  <c r="P822" i="39" s="1"/>
  <c r="N821" i="39"/>
  <c r="P821" i="39" s="1"/>
  <c r="N820" i="39"/>
  <c r="P820" i="39" s="1"/>
  <c r="N819" i="39"/>
  <c r="N818" i="39"/>
  <c r="N817" i="39"/>
  <c r="N816" i="39"/>
  <c r="N815" i="39"/>
  <c r="N814" i="39"/>
  <c r="N813" i="39"/>
  <c r="N812" i="39"/>
  <c r="N811" i="39"/>
  <c r="N810" i="39"/>
  <c r="N809" i="39"/>
  <c r="N808" i="39"/>
  <c r="N807" i="39"/>
  <c r="N806" i="39"/>
  <c r="N805" i="39"/>
  <c r="N804" i="39"/>
  <c r="N803" i="39"/>
  <c r="P803" i="39" s="1"/>
  <c r="N802" i="39"/>
  <c r="P802" i="39" s="1"/>
  <c r="N801" i="39"/>
  <c r="P801" i="39" s="1"/>
  <c r="N800" i="39"/>
  <c r="P800" i="39" s="1"/>
  <c r="N799" i="39"/>
  <c r="P799" i="39" s="1"/>
  <c r="N798" i="39"/>
  <c r="P798" i="39" s="1"/>
  <c r="N797" i="39"/>
  <c r="P797" i="39" s="1"/>
  <c r="N796" i="39"/>
  <c r="P796" i="39" s="1"/>
  <c r="N795" i="39"/>
  <c r="P795" i="39" s="1"/>
  <c r="N794" i="39"/>
  <c r="N793" i="39"/>
  <c r="N792" i="39"/>
  <c r="N791" i="39"/>
  <c r="N790" i="39"/>
  <c r="N789" i="39"/>
  <c r="N788" i="39"/>
  <c r="N787" i="39"/>
  <c r="N786" i="39"/>
  <c r="N785" i="39"/>
  <c r="N784" i="39"/>
  <c r="N783" i="39"/>
  <c r="N782" i="39"/>
  <c r="N781" i="39"/>
  <c r="N780" i="39"/>
  <c r="N779" i="39"/>
  <c r="N778" i="39"/>
  <c r="N777" i="39"/>
  <c r="N776" i="39"/>
  <c r="N775" i="39"/>
  <c r="N774" i="39"/>
  <c r="P774" i="39" s="1"/>
  <c r="N773" i="39"/>
  <c r="P773" i="39" s="1"/>
  <c r="N772" i="39"/>
  <c r="P772" i="39" s="1"/>
  <c r="N771" i="39"/>
  <c r="P771" i="39" s="1"/>
  <c r="N770" i="39"/>
  <c r="P770" i="39" s="1"/>
  <c r="N769" i="39"/>
  <c r="P769" i="39" s="1"/>
  <c r="N768" i="39"/>
  <c r="P768" i="39" s="1"/>
  <c r="N767" i="39"/>
  <c r="P767" i="39" s="1"/>
  <c r="N766" i="39"/>
  <c r="P766" i="39" s="1"/>
  <c r="N765" i="39"/>
  <c r="P765" i="39" s="1"/>
  <c r="N764" i="39"/>
  <c r="N763" i="39"/>
  <c r="N762" i="39"/>
  <c r="N761" i="39"/>
  <c r="N760" i="39"/>
  <c r="N759" i="39"/>
  <c r="N758" i="39"/>
  <c r="N757" i="39"/>
  <c r="N756" i="39"/>
  <c r="N755" i="39"/>
  <c r="N754" i="39"/>
  <c r="N753" i="39"/>
  <c r="N752" i="39"/>
  <c r="N751" i="39"/>
  <c r="N750" i="39"/>
  <c r="N749" i="39"/>
  <c r="N748" i="39"/>
  <c r="N747" i="39"/>
  <c r="N746" i="39"/>
  <c r="N745" i="39"/>
  <c r="N744" i="39"/>
  <c r="N743" i="39"/>
  <c r="N742" i="39"/>
  <c r="P742" i="39" s="1"/>
  <c r="N741" i="39"/>
  <c r="P741" i="39" s="1"/>
  <c r="N740" i="39"/>
  <c r="P740" i="39" s="1"/>
  <c r="N739" i="39"/>
  <c r="P739" i="39" s="1"/>
  <c r="N738" i="39"/>
  <c r="P738" i="39" s="1"/>
  <c r="N737" i="39"/>
  <c r="P737" i="39" s="1"/>
  <c r="N736" i="39"/>
  <c r="P736" i="39" s="1"/>
  <c r="N735" i="39"/>
  <c r="P735" i="39" s="1"/>
  <c r="N734" i="39"/>
  <c r="P734" i="39" s="1"/>
  <c r="N733" i="39"/>
  <c r="P733" i="39" s="1"/>
  <c r="N732" i="39"/>
  <c r="N731" i="39"/>
  <c r="N730" i="39"/>
  <c r="N729" i="39"/>
  <c r="N728" i="39"/>
  <c r="N727" i="39"/>
  <c r="N726" i="39"/>
  <c r="N725" i="39"/>
  <c r="N724" i="39"/>
  <c r="N723" i="39"/>
  <c r="N722" i="39"/>
  <c r="N721" i="39"/>
  <c r="N720" i="39"/>
  <c r="N719" i="39"/>
  <c r="N718" i="39"/>
  <c r="N717" i="39"/>
  <c r="N716" i="39"/>
  <c r="N715" i="39"/>
  <c r="N714" i="39"/>
  <c r="N713" i="39"/>
  <c r="N712" i="39"/>
  <c r="P712" i="39" s="1"/>
  <c r="N711" i="39"/>
  <c r="P711" i="39" s="1"/>
  <c r="N710" i="39"/>
  <c r="P710" i="39" s="1"/>
  <c r="N709" i="39"/>
  <c r="P709" i="39" s="1"/>
  <c r="N708" i="39"/>
  <c r="P708" i="39" s="1"/>
  <c r="N707" i="39"/>
  <c r="P707" i="39" s="1"/>
  <c r="N706" i="39"/>
  <c r="P706" i="39" s="1"/>
  <c r="N705" i="39"/>
  <c r="P705" i="39" s="1"/>
  <c r="N704" i="39"/>
  <c r="P704" i="39" s="1"/>
  <c r="N703" i="39"/>
  <c r="N702" i="39"/>
  <c r="N701" i="39"/>
  <c r="N700" i="39"/>
  <c r="N699" i="39"/>
  <c r="N698" i="39"/>
  <c r="N697" i="39"/>
  <c r="N696" i="39"/>
  <c r="N695" i="39"/>
  <c r="N694" i="39"/>
  <c r="N693" i="39"/>
  <c r="N692" i="39"/>
  <c r="N691" i="39"/>
  <c r="N690" i="39"/>
  <c r="N689" i="39"/>
  <c r="N688" i="39"/>
  <c r="N687" i="39"/>
  <c r="N686" i="39"/>
  <c r="N685" i="39"/>
  <c r="N684" i="39"/>
  <c r="N683" i="39"/>
  <c r="N682" i="39"/>
  <c r="N681" i="39"/>
  <c r="P681" i="39" s="1"/>
  <c r="N680" i="39"/>
  <c r="P680" i="39" s="1"/>
  <c r="N679" i="39"/>
  <c r="P679" i="39" s="1"/>
  <c r="N678" i="39"/>
  <c r="P678" i="39" s="1"/>
  <c r="N677" i="39"/>
  <c r="P677" i="39" s="1"/>
  <c r="N676" i="39"/>
  <c r="P676" i="39" s="1"/>
  <c r="N675" i="39"/>
  <c r="P675" i="39" s="1"/>
  <c r="N674" i="39"/>
  <c r="P674" i="39" s="1"/>
  <c r="N673" i="39"/>
  <c r="P673" i="39" s="1"/>
  <c r="N672" i="39"/>
  <c r="P672" i="39" s="1"/>
  <c r="N671" i="39"/>
  <c r="P671" i="39" s="1"/>
  <c r="N670" i="39"/>
  <c r="P670" i="39" s="1"/>
  <c r="N669" i="39"/>
  <c r="P669" i="39" s="1"/>
  <c r="N668" i="39"/>
  <c r="N667" i="39"/>
  <c r="N666" i="39"/>
  <c r="N665" i="39"/>
  <c r="N664" i="39"/>
  <c r="N663" i="39"/>
  <c r="N662" i="39"/>
  <c r="N661" i="39"/>
  <c r="N660" i="39"/>
  <c r="N659" i="39"/>
  <c r="N658" i="39"/>
  <c r="N657" i="39"/>
  <c r="N656" i="39"/>
  <c r="N655" i="39"/>
  <c r="N654" i="39"/>
  <c r="N653" i="39"/>
  <c r="N652" i="39"/>
  <c r="N651" i="39"/>
  <c r="N650" i="39"/>
  <c r="N649" i="39"/>
  <c r="N648" i="39"/>
  <c r="N647" i="39"/>
  <c r="N646" i="39"/>
  <c r="N645" i="39"/>
  <c r="P645" i="39" s="1"/>
  <c r="N644" i="39"/>
  <c r="P644" i="39" s="1"/>
  <c r="N643" i="39"/>
  <c r="P643" i="39" s="1"/>
  <c r="N642" i="39"/>
  <c r="P642" i="39" s="1"/>
  <c r="N641" i="39"/>
  <c r="P641" i="39" s="1"/>
  <c r="N640" i="39"/>
  <c r="N639" i="39"/>
  <c r="N638" i="39"/>
  <c r="N637" i="39"/>
  <c r="N636" i="39"/>
  <c r="N635" i="39"/>
  <c r="N634" i="39"/>
  <c r="N633" i="39"/>
  <c r="N632" i="39"/>
  <c r="N631" i="39"/>
  <c r="N630" i="39"/>
  <c r="N629" i="39"/>
  <c r="N628" i="39"/>
  <c r="N627" i="39"/>
  <c r="P627" i="39" s="1"/>
  <c r="N626" i="39"/>
  <c r="P626" i="39" s="1"/>
  <c r="N625" i="39"/>
  <c r="P625" i="39" s="1"/>
  <c r="N624" i="39"/>
  <c r="P624" i="39" s="1"/>
  <c r="N623" i="39"/>
  <c r="P623" i="39" s="1"/>
  <c r="N622" i="39"/>
  <c r="P622" i="39" s="1"/>
  <c r="N621" i="39"/>
  <c r="P621" i="39" s="1"/>
  <c r="N620" i="39"/>
  <c r="N619" i="39"/>
  <c r="N618" i="39"/>
  <c r="N617" i="39"/>
  <c r="N616" i="39"/>
  <c r="N615" i="39"/>
  <c r="N614" i="39"/>
  <c r="N613" i="39"/>
  <c r="N612" i="39"/>
  <c r="N611" i="39"/>
  <c r="N610" i="39"/>
  <c r="N609" i="39"/>
  <c r="N608" i="39"/>
  <c r="N607" i="39"/>
  <c r="N606" i="39"/>
  <c r="P606" i="39" s="1"/>
  <c r="N605" i="39"/>
  <c r="P605" i="39" s="1"/>
  <c r="N604" i="39"/>
  <c r="P604" i="39" s="1"/>
  <c r="N603" i="39"/>
  <c r="P603" i="39" s="1"/>
  <c r="N602" i="39"/>
  <c r="P602" i="39" s="1"/>
  <c r="N601" i="39"/>
  <c r="N600" i="39"/>
  <c r="N599" i="39"/>
  <c r="N598" i="39"/>
  <c r="N597" i="39"/>
  <c r="N596" i="39"/>
  <c r="N595" i="39"/>
  <c r="N594" i="39"/>
  <c r="N593" i="39"/>
  <c r="N592" i="39"/>
  <c r="N591" i="39"/>
  <c r="N590" i="39"/>
  <c r="N589" i="39"/>
  <c r="N588" i="39"/>
  <c r="P588" i="39" s="1"/>
  <c r="N587" i="39"/>
  <c r="P587" i="39" s="1"/>
  <c r="N586" i="39"/>
  <c r="P586" i="39" s="1"/>
  <c r="N585" i="39"/>
  <c r="P585" i="39" s="1"/>
  <c r="N584" i="39"/>
  <c r="P584" i="39" s="1"/>
  <c r="N583" i="39"/>
  <c r="P583" i="39" s="1"/>
  <c r="N582" i="39"/>
  <c r="P582" i="39" s="1"/>
  <c r="N581" i="39"/>
  <c r="P581" i="39" s="1"/>
  <c r="N580" i="39"/>
  <c r="P580" i="39" s="1"/>
  <c r="N579" i="39"/>
  <c r="P579" i="39" s="1"/>
  <c r="N578" i="39"/>
  <c r="P578" i="39" s="1"/>
  <c r="N577" i="39"/>
  <c r="N576" i="39"/>
  <c r="N575" i="39"/>
  <c r="N574" i="39"/>
  <c r="N573" i="39"/>
  <c r="N572" i="39"/>
  <c r="N571" i="39"/>
  <c r="N570" i="39"/>
  <c r="N569" i="39"/>
  <c r="N568" i="39"/>
  <c r="N567" i="39"/>
  <c r="N566" i="39"/>
  <c r="N565" i="39"/>
  <c r="N564" i="39"/>
  <c r="N563" i="39"/>
  <c r="P563" i="39" s="1"/>
  <c r="N562" i="39"/>
  <c r="P562" i="39" s="1"/>
  <c r="N561" i="39"/>
  <c r="P561" i="39" s="1"/>
  <c r="N560" i="39"/>
  <c r="N559" i="39"/>
  <c r="N558" i="39"/>
  <c r="N557" i="39"/>
  <c r="P557" i="39" s="1"/>
  <c r="N556" i="39"/>
  <c r="P556" i="39" s="1"/>
  <c r="N555" i="39"/>
  <c r="P555" i="39" s="1"/>
  <c r="N554" i="39"/>
  <c r="P554" i="39" s="1"/>
  <c r="N553" i="39"/>
  <c r="P553" i="39" s="1"/>
  <c r="N552" i="39"/>
  <c r="P552" i="39" s="1"/>
  <c r="N551" i="39"/>
  <c r="P551" i="39" s="1"/>
  <c r="N550" i="39"/>
  <c r="P550" i="39" s="1"/>
  <c r="N549" i="39"/>
  <c r="N548" i="39"/>
  <c r="N547" i="39"/>
  <c r="N546" i="39"/>
  <c r="N545" i="39"/>
  <c r="N544" i="39"/>
  <c r="N543" i="39"/>
  <c r="N542" i="39"/>
  <c r="N541" i="39"/>
  <c r="N540" i="39"/>
  <c r="N539" i="39"/>
  <c r="N538" i="39"/>
  <c r="N537" i="39"/>
  <c r="P537" i="39" s="1"/>
  <c r="N536" i="39"/>
  <c r="P536" i="39" s="1"/>
  <c r="N535" i="39"/>
  <c r="P535" i="39" s="1"/>
  <c r="N534" i="39"/>
  <c r="P534" i="39" s="1"/>
  <c r="N533" i="39"/>
  <c r="P533" i="39" s="1"/>
  <c r="N532" i="39"/>
  <c r="P532" i="39" s="1"/>
  <c r="N531" i="39"/>
  <c r="P531" i="39" s="1"/>
  <c r="N530" i="39"/>
  <c r="P530" i="39" s="1"/>
  <c r="N529" i="39"/>
  <c r="P529" i="39" s="1"/>
  <c r="N528" i="39"/>
  <c r="P528" i="39" s="1"/>
  <c r="N527" i="39"/>
  <c r="N526" i="39"/>
  <c r="N525" i="39"/>
  <c r="N524" i="39"/>
  <c r="N523" i="39"/>
  <c r="N522" i="39"/>
  <c r="N521" i="39"/>
  <c r="N520" i="39"/>
  <c r="N519" i="39"/>
  <c r="N518" i="39"/>
  <c r="N517" i="39"/>
  <c r="P517" i="39" s="1"/>
  <c r="N516" i="39"/>
  <c r="P516" i="39" s="1"/>
  <c r="N515" i="39"/>
  <c r="P515" i="39" s="1"/>
  <c r="N514" i="39"/>
  <c r="N513" i="39"/>
  <c r="N512" i="39"/>
  <c r="N511" i="39"/>
  <c r="N510" i="39"/>
  <c r="N509" i="39"/>
  <c r="P509" i="39" s="1"/>
  <c r="N508" i="39"/>
  <c r="P508" i="39" s="1"/>
  <c r="N507" i="39"/>
  <c r="P507" i="39" s="1"/>
  <c r="N506" i="39"/>
  <c r="P506" i="39" s="1"/>
  <c r="N505" i="39"/>
  <c r="P505" i="39" s="1"/>
  <c r="N504" i="39"/>
  <c r="P504" i="39" s="1"/>
  <c r="N503" i="39"/>
  <c r="P503" i="39" s="1"/>
  <c r="N502" i="39"/>
  <c r="P502" i="39" s="1"/>
  <c r="N501" i="39"/>
  <c r="P501" i="39" s="1"/>
  <c r="N500" i="39"/>
  <c r="N499" i="39"/>
  <c r="N498" i="39"/>
  <c r="N497" i="39"/>
  <c r="N496" i="39"/>
  <c r="N495" i="39"/>
  <c r="N494" i="39"/>
  <c r="N493" i="39"/>
  <c r="N492" i="39"/>
  <c r="N491" i="39"/>
  <c r="N490" i="39"/>
  <c r="N489" i="39"/>
  <c r="N488" i="39"/>
  <c r="N487" i="39"/>
  <c r="N486" i="39"/>
  <c r="N485" i="39"/>
  <c r="N484" i="39"/>
  <c r="N483" i="39"/>
  <c r="N482" i="39"/>
  <c r="N481" i="39"/>
  <c r="N480" i="39"/>
  <c r="P480" i="39" s="1"/>
  <c r="N479" i="39"/>
  <c r="N478" i="39"/>
  <c r="N477" i="39"/>
  <c r="N476" i="39"/>
  <c r="N475" i="39"/>
  <c r="N474" i="39"/>
  <c r="P474" i="39" s="1"/>
  <c r="N473" i="39"/>
  <c r="P473" i="39" s="1"/>
  <c r="N472" i="39"/>
  <c r="P472" i="39" s="1"/>
  <c r="N471" i="39"/>
  <c r="P471" i="39" s="1"/>
  <c r="N470" i="39"/>
  <c r="P470" i="39" s="1"/>
  <c r="N469" i="39"/>
  <c r="P469" i="39" s="1"/>
  <c r="N468" i="39"/>
  <c r="P468" i="39" s="1"/>
  <c r="N467" i="39"/>
  <c r="N466" i="39"/>
  <c r="N465" i="39"/>
  <c r="N464" i="39"/>
  <c r="N463" i="39"/>
  <c r="N462" i="39"/>
  <c r="N461" i="39"/>
  <c r="N460" i="39"/>
  <c r="P460" i="39" s="1"/>
  <c r="N459" i="39"/>
  <c r="P459" i="39" s="1"/>
  <c r="N458" i="39"/>
  <c r="P458" i="39" s="1"/>
  <c r="N457" i="39"/>
  <c r="P457" i="39" s="1"/>
  <c r="N456" i="39"/>
  <c r="P456" i="39" s="1"/>
  <c r="N455" i="39"/>
  <c r="P455" i="39" s="1"/>
  <c r="N454" i="39"/>
  <c r="N453" i="39"/>
  <c r="N452" i="39"/>
  <c r="N451" i="39"/>
  <c r="N450" i="39"/>
  <c r="N449" i="39"/>
  <c r="N448" i="39"/>
  <c r="N447" i="39"/>
  <c r="N446" i="39"/>
  <c r="N445" i="39"/>
  <c r="N444" i="39"/>
  <c r="P444" i="39" s="1"/>
  <c r="N443" i="39"/>
  <c r="P443" i="39" s="1"/>
  <c r="N442" i="39"/>
  <c r="P442" i="39" s="1"/>
  <c r="N441" i="39"/>
  <c r="N440" i="39"/>
  <c r="N439" i="39"/>
  <c r="N438" i="39"/>
  <c r="N437" i="39"/>
  <c r="N436" i="39"/>
  <c r="N435" i="39"/>
  <c r="N434" i="39"/>
  <c r="N433" i="39"/>
  <c r="N432" i="39"/>
  <c r="P432" i="39" s="1"/>
  <c r="N431" i="39"/>
  <c r="P431" i="39" s="1"/>
  <c r="N430" i="39"/>
  <c r="P430" i="39" s="1"/>
  <c r="N429" i="39"/>
  <c r="P429" i="39" s="1"/>
  <c r="N428" i="39"/>
  <c r="N427" i="39"/>
  <c r="N426" i="39"/>
  <c r="N425" i="39"/>
  <c r="N424" i="39"/>
  <c r="N423" i="39"/>
  <c r="N422" i="39"/>
  <c r="N421" i="39"/>
  <c r="N420" i="39"/>
  <c r="N419" i="39"/>
  <c r="N418" i="39"/>
  <c r="N417" i="39"/>
  <c r="N416" i="39"/>
  <c r="N415" i="39"/>
  <c r="N414" i="39"/>
  <c r="N413" i="39"/>
  <c r="N412" i="39"/>
  <c r="N411" i="39"/>
  <c r="N410" i="39"/>
  <c r="N409" i="39"/>
  <c r="N408" i="39"/>
  <c r="N407" i="39"/>
  <c r="N406" i="39"/>
  <c r="N405" i="39"/>
  <c r="N404" i="39"/>
  <c r="N403" i="39"/>
  <c r="N402" i="39"/>
  <c r="N401" i="39"/>
  <c r="N400" i="39"/>
  <c r="N399" i="39"/>
  <c r="N398" i="39"/>
  <c r="N397" i="39"/>
  <c r="N396" i="39"/>
  <c r="N395" i="39"/>
  <c r="N394" i="39"/>
  <c r="N393" i="39"/>
  <c r="N392" i="39"/>
  <c r="N391" i="39"/>
  <c r="N390" i="39"/>
  <c r="N389" i="39"/>
  <c r="N388" i="39"/>
  <c r="N387" i="39"/>
  <c r="N386" i="39"/>
  <c r="N385" i="39"/>
  <c r="N384" i="39"/>
  <c r="N383" i="39"/>
  <c r="N382" i="39"/>
  <c r="N381" i="39"/>
  <c r="N380" i="39"/>
  <c r="N379" i="39"/>
  <c r="N378" i="39"/>
  <c r="N377" i="39"/>
  <c r="N376" i="39"/>
  <c r="N375" i="39"/>
  <c r="N374" i="39"/>
  <c r="N373" i="39"/>
  <c r="N372" i="39"/>
  <c r="N371" i="39"/>
  <c r="N370" i="39"/>
  <c r="N369" i="39"/>
  <c r="N368" i="39"/>
  <c r="N367" i="39"/>
  <c r="N366" i="39"/>
  <c r="N365" i="39"/>
  <c r="N364" i="39"/>
  <c r="N363" i="39"/>
  <c r="N362" i="39"/>
  <c r="N361" i="39"/>
  <c r="N360" i="39"/>
  <c r="N359" i="39"/>
  <c r="N358" i="39"/>
  <c r="N357" i="39"/>
  <c r="N356" i="39"/>
  <c r="N355" i="39"/>
  <c r="N354" i="39"/>
  <c r="N353" i="39"/>
  <c r="N352" i="39"/>
  <c r="N351" i="39"/>
  <c r="N350" i="39"/>
  <c r="N349" i="39"/>
  <c r="N348" i="39"/>
  <c r="N347" i="39"/>
  <c r="N346" i="39"/>
  <c r="N345" i="39"/>
  <c r="N344" i="39"/>
  <c r="N343" i="39"/>
  <c r="N342" i="39"/>
  <c r="N341" i="39"/>
  <c r="N340" i="39"/>
  <c r="N339" i="39"/>
  <c r="N338" i="39"/>
  <c r="N337" i="39"/>
  <c r="N336" i="39"/>
  <c r="N335" i="39"/>
  <c r="N334" i="39"/>
  <c r="N333" i="39"/>
  <c r="N332" i="39"/>
  <c r="N331" i="39"/>
  <c r="N330" i="39"/>
  <c r="N329" i="39"/>
  <c r="N328" i="39"/>
  <c r="N327" i="39"/>
  <c r="N326" i="39"/>
  <c r="N325" i="39"/>
  <c r="N324" i="39"/>
  <c r="N323" i="39"/>
  <c r="N322" i="39"/>
  <c r="N321" i="39"/>
  <c r="N320" i="39"/>
  <c r="N319" i="39"/>
  <c r="N318" i="39"/>
  <c r="N317" i="39"/>
  <c r="N316" i="39"/>
  <c r="N315" i="39"/>
  <c r="N314" i="39"/>
  <c r="N313" i="39"/>
  <c r="N312" i="39"/>
  <c r="N311" i="39"/>
  <c r="N310" i="39"/>
  <c r="N309" i="39"/>
  <c r="N308" i="39"/>
  <c r="N307" i="39"/>
  <c r="N306" i="39"/>
  <c r="N305" i="39"/>
  <c r="N304" i="39"/>
  <c r="N303" i="39"/>
  <c r="N302" i="39"/>
  <c r="N301" i="39"/>
  <c r="N300" i="39"/>
  <c r="N299" i="39"/>
  <c r="N298" i="39"/>
  <c r="N297" i="39"/>
  <c r="N296" i="39"/>
  <c r="N295" i="39"/>
  <c r="N294" i="39"/>
  <c r="N293" i="39"/>
  <c r="N292" i="39"/>
  <c r="N291" i="39"/>
  <c r="N290" i="39"/>
  <c r="N289" i="39"/>
  <c r="N288" i="39"/>
  <c r="N287" i="39"/>
  <c r="N286" i="39"/>
  <c r="N285" i="39"/>
  <c r="P285" i="39" s="1"/>
  <c r="N284" i="39"/>
  <c r="P284" i="39" s="1"/>
  <c r="N283" i="39"/>
  <c r="P283" i="39" s="1"/>
  <c r="N282" i="39"/>
  <c r="P282" i="39" s="1"/>
  <c r="N281" i="39"/>
  <c r="P281" i="39" s="1"/>
  <c r="N280" i="39"/>
  <c r="P280" i="39" s="1"/>
  <c r="N279" i="39"/>
  <c r="P279" i="39" s="1"/>
  <c r="N278" i="39"/>
  <c r="N277" i="39"/>
  <c r="N276" i="39"/>
  <c r="N275" i="39"/>
  <c r="N274" i="39"/>
  <c r="N273" i="39"/>
  <c r="N272" i="39"/>
  <c r="N271" i="39"/>
  <c r="N270" i="39"/>
  <c r="N269" i="39"/>
  <c r="N268" i="39"/>
  <c r="N267" i="39"/>
  <c r="N266" i="39"/>
  <c r="N265" i="39"/>
  <c r="N264" i="39"/>
  <c r="N263" i="39"/>
  <c r="N262" i="39"/>
  <c r="N261" i="39"/>
  <c r="N260" i="39"/>
  <c r="N259" i="39"/>
  <c r="N258" i="39"/>
  <c r="N257" i="39"/>
  <c r="N256" i="39"/>
  <c r="N255" i="39"/>
  <c r="N254" i="39"/>
  <c r="N253" i="39"/>
  <c r="N252" i="39"/>
  <c r="N251" i="39"/>
  <c r="N250" i="39"/>
  <c r="N249" i="39"/>
  <c r="N248" i="39"/>
  <c r="N247" i="39"/>
  <c r="N246" i="39"/>
  <c r="N245" i="39"/>
  <c r="N244" i="39"/>
  <c r="N243" i="39"/>
  <c r="N242" i="39"/>
  <c r="N241" i="39"/>
  <c r="N240" i="39"/>
  <c r="N239" i="39"/>
  <c r="N238" i="39"/>
  <c r="N237" i="39"/>
  <c r="N236" i="39"/>
  <c r="N235" i="39"/>
  <c r="N234" i="39"/>
  <c r="N233" i="39"/>
  <c r="N232" i="39"/>
  <c r="N231" i="39"/>
  <c r="N230" i="39"/>
  <c r="N229" i="39"/>
  <c r="N228" i="39"/>
  <c r="N227" i="39"/>
  <c r="N226" i="39"/>
  <c r="N225" i="39"/>
  <c r="N224" i="39"/>
  <c r="N223" i="39"/>
  <c r="N222" i="39"/>
  <c r="N221" i="39"/>
  <c r="N220" i="39"/>
  <c r="N219" i="39"/>
  <c r="N218" i="39"/>
  <c r="N217" i="39"/>
  <c r="N216" i="39"/>
  <c r="N215" i="39"/>
  <c r="N214" i="39"/>
  <c r="N213" i="39"/>
  <c r="N212" i="39"/>
  <c r="N211" i="39"/>
  <c r="N210" i="39"/>
  <c r="N209" i="39"/>
  <c r="N208" i="39"/>
  <c r="N207" i="39"/>
  <c r="N206" i="39"/>
  <c r="N205" i="39"/>
  <c r="N204" i="39"/>
  <c r="N203" i="39"/>
  <c r="N202" i="39"/>
  <c r="N201" i="39"/>
  <c r="N200" i="39"/>
  <c r="N199" i="39"/>
  <c r="N198" i="39"/>
  <c r="N197" i="39"/>
  <c r="N196" i="39"/>
  <c r="N195" i="39"/>
  <c r="N194" i="39"/>
  <c r="N193" i="39"/>
  <c r="N192" i="39"/>
  <c r="N191" i="39"/>
  <c r="N190" i="39"/>
  <c r="N189" i="39"/>
  <c r="N188" i="39"/>
  <c r="N187" i="39"/>
  <c r="N186" i="39"/>
  <c r="N185" i="39"/>
  <c r="N184" i="39"/>
  <c r="N183" i="39"/>
  <c r="N182" i="39"/>
  <c r="N181" i="39"/>
  <c r="N180" i="39"/>
  <c r="N179" i="39"/>
  <c r="N178" i="39"/>
  <c r="N177" i="39"/>
  <c r="N176" i="39"/>
  <c r="N175" i="39"/>
  <c r="N174" i="39"/>
  <c r="N173" i="39"/>
  <c r="N172" i="39"/>
  <c r="N171" i="39"/>
  <c r="N170" i="39"/>
  <c r="N169" i="39"/>
  <c r="N168" i="39"/>
  <c r="N167" i="39"/>
  <c r="N166" i="39"/>
  <c r="N165" i="39"/>
  <c r="N164" i="39"/>
  <c r="N163" i="39"/>
  <c r="N162" i="39"/>
  <c r="N161" i="39"/>
  <c r="N160" i="39"/>
  <c r="N159" i="39"/>
  <c r="N158" i="39"/>
  <c r="N157" i="39"/>
  <c r="N156" i="39"/>
  <c r="N155" i="39"/>
  <c r="N154" i="39"/>
  <c r="N153" i="39"/>
  <c r="N152" i="39"/>
  <c r="N151" i="39"/>
  <c r="N150" i="39"/>
  <c r="N149" i="39"/>
  <c r="N148" i="39"/>
  <c r="N147" i="39"/>
  <c r="N146" i="39"/>
  <c r="N145" i="39"/>
  <c r="N144" i="39"/>
  <c r="N143" i="39"/>
  <c r="N142" i="39"/>
  <c r="N141" i="39"/>
  <c r="N140" i="39"/>
  <c r="N139" i="39"/>
  <c r="N138" i="39"/>
  <c r="N137" i="39"/>
  <c r="N136" i="39"/>
  <c r="N135" i="39"/>
  <c r="N134" i="39"/>
  <c r="N133" i="39"/>
  <c r="N132" i="39"/>
  <c r="N131" i="39"/>
  <c r="N130" i="39"/>
  <c r="N129"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N94" i="39"/>
  <c r="N93" i="39"/>
  <c r="N92" i="39"/>
  <c r="N91" i="39"/>
  <c r="N90" i="39"/>
  <c r="N89" i="39"/>
  <c r="N88" i="39"/>
  <c r="N87" i="39"/>
  <c r="N86" i="39"/>
  <c r="N85" i="39"/>
  <c r="N84" i="39"/>
  <c r="N83" i="39"/>
  <c r="N82" i="39"/>
  <c r="N81" i="39"/>
  <c r="N80" i="39"/>
  <c r="N79" i="39"/>
  <c r="N78" i="39"/>
  <c r="N77" i="39"/>
  <c r="N76" i="39"/>
  <c r="N75" i="39"/>
  <c r="N74" i="39"/>
  <c r="N73" i="39"/>
  <c r="N72" i="39"/>
  <c r="N71" i="39"/>
  <c r="N70" i="39"/>
  <c r="N69" i="39"/>
  <c r="N68" i="39"/>
  <c r="N67" i="39"/>
  <c r="N66" i="39"/>
  <c r="N65" i="39"/>
  <c r="N64" i="39"/>
  <c r="N63" i="39"/>
  <c r="N62" i="39"/>
  <c r="N61" i="39"/>
  <c r="N60" i="39"/>
  <c r="N59" i="39"/>
  <c r="N58" i="39"/>
  <c r="N57" i="39"/>
  <c r="N56" i="39"/>
  <c r="N55" i="39"/>
  <c r="N54" i="39"/>
  <c r="N53" i="39"/>
  <c r="N52" i="39"/>
  <c r="N51" i="39"/>
  <c r="N50" i="39"/>
  <c r="N49" i="39"/>
  <c r="N48" i="39"/>
  <c r="N47" i="39"/>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N10" i="39"/>
  <c r="N9" i="39"/>
  <c r="N8" i="39"/>
  <c r="N7" i="39"/>
  <c r="N6" i="39"/>
  <c r="N5" i="39"/>
  <c r="P1224" i="39" l="1"/>
  <c r="P1267" i="39"/>
  <c r="P1287" i="39"/>
  <c r="P1274" i="39"/>
  <c r="P1286" i="39"/>
  <c r="P1278" i="39"/>
  <c r="P1828" i="39"/>
  <c r="O1828" i="39"/>
  <c r="Q1945" i="68"/>
  <c r="Q1943" i="68"/>
  <c r="Q1944" i="68"/>
  <c r="Q1947" i="68" l="1"/>
  <c r="D45" i="9" l="1"/>
  <c r="D43" i="9"/>
  <c r="AS16" i="6" l="1"/>
  <c r="AT16" i="6" s="1"/>
  <c r="AR16" i="6"/>
  <c r="AQ16" i="6"/>
  <c r="AL16" i="6"/>
  <c r="AJ16" i="6"/>
  <c r="AG16" i="6"/>
  <c r="AO16" i="6" s="1"/>
  <c r="V16" i="6"/>
  <c r="W16" i="6" s="1"/>
  <c r="P16" i="6"/>
  <c r="O16" i="6"/>
  <c r="N16" i="6"/>
  <c r="AS15" i="6"/>
  <c r="AT15" i="6" s="1"/>
  <c r="AR15" i="6"/>
  <c r="AQ15" i="6"/>
  <c r="AL15" i="6"/>
  <c r="AJ15" i="6"/>
  <c r="AG15" i="6"/>
  <c r="AO15" i="6" s="1"/>
  <c r="W15" i="6"/>
  <c r="P15" i="6"/>
  <c r="O15" i="6"/>
  <c r="N15" i="6"/>
  <c r="AS14" i="6"/>
  <c r="AT14" i="6" s="1"/>
  <c r="AR14" i="6"/>
  <c r="AQ14" i="6"/>
  <c r="AG14" i="6"/>
  <c r="AO14" i="6" s="1"/>
  <c r="W14" i="6"/>
  <c r="P14" i="6"/>
  <c r="K14" i="6"/>
  <c r="G14" i="6"/>
  <c r="AS13" i="6"/>
  <c r="AT13" i="6" s="1"/>
  <c r="AR13" i="6"/>
  <c r="AQ13" i="6"/>
  <c r="AG13" i="6"/>
  <c r="AO13" i="6" s="1"/>
  <c r="W13" i="6"/>
  <c r="P13" i="6"/>
  <c r="K13" i="6"/>
  <c r="G13" i="6"/>
  <c r="AS12" i="6"/>
  <c r="AT12" i="6" s="1"/>
  <c r="AR12" i="6"/>
  <c r="AQ12" i="6"/>
  <c r="AG12" i="6"/>
  <c r="AO12" i="6" s="1"/>
  <c r="W12" i="6"/>
  <c r="P12" i="6"/>
  <c r="K12" i="6"/>
  <c r="G12" i="6"/>
  <c r="AR11" i="6"/>
  <c r="AQ11" i="6"/>
  <c r="AG11" i="6"/>
  <c r="AS11" i="6" s="1"/>
  <c r="AT11" i="6" s="1"/>
  <c r="W11" i="6"/>
  <c r="M11" i="6"/>
  <c r="P11" i="6" s="1"/>
  <c r="K11" i="6"/>
  <c r="G11" i="6"/>
  <c r="AR10" i="6"/>
  <c r="AQ10" i="6"/>
  <c r="AG10" i="6"/>
  <c r="AO10" i="6" s="1"/>
  <c r="W10" i="6"/>
  <c r="P10" i="6"/>
  <c r="K10" i="6"/>
  <c r="G10" i="6"/>
  <c r="AR9" i="6"/>
  <c r="AQ9" i="6"/>
  <c r="AG9" i="6"/>
  <c r="W9" i="6"/>
  <c r="P9" i="6"/>
  <c r="K9" i="6"/>
  <c r="G9" i="6"/>
  <c r="AL9" i="6" s="1"/>
  <c r="AR8" i="6"/>
  <c r="AQ8" i="6"/>
  <c r="AG8" i="6"/>
  <c r="AO8" i="6" s="1"/>
  <c r="W8" i="6"/>
  <c r="P8" i="6"/>
  <c r="K8" i="6"/>
  <c r="G8" i="6"/>
  <c r="AR7" i="6"/>
  <c r="AQ7" i="6"/>
  <c r="AG7" i="6"/>
  <c r="AO7" i="6" s="1"/>
  <c r="W7" i="6"/>
  <c r="P7" i="6"/>
  <c r="K7" i="6"/>
  <c r="G7" i="6"/>
  <c r="AL7" i="6" s="1"/>
  <c r="AR6" i="6"/>
  <c r="AQ6" i="6"/>
  <c r="AG6" i="6"/>
  <c r="AO6" i="6" s="1"/>
  <c r="W6" i="6"/>
  <c r="P6" i="6"/>
  <c r="K6" i="6"/>
  <c r="G6" i="6"/>
  <c r="AJ6" i="6" s="1"/>
  <c r="AJ13" i="6" l="1"/>
  <c r="AJ11" i="6"/>
  <c r="AL14" i="6"/>
  <c r="AL10" i="6"/>
  <c r="AL12" i="6"/>
  <c r="T16" i="6"/>
  <c r="O8" i="6"/>
  <c r="AU6" i="6"/>
  <c r="AV6" i="6" s="1"/>
  <c r="S16" i="6"/>
  <c r="O10" i="6"/>
  <c r="AS6" i="6"/>
  <c r="AT6" i="6" s="1"/>
  <c r="O9" i="6"/>
  <c r="O11" i="6"/>
  <c r="AU15" i="6"/>
  <c r="AV15" i="6" s="1"/>
  <c r="O7" i="6"/>
  <c r="N8" i="6"/>
  <c r="O13" i="6"/>
  <c r="AJ7" i="6"/>
  <c r="AL8" i="6"/>
  <c r="AJ10" i="6"/>
  <c r="T15" i="6"/>
  <c r="N10" i="6"/>
  <c r="O6" i="6"/>
  <c r="N7" i="6"/>
  <c r="AS7" i="6"/>
  <c r="AT7" i="6" s="1"/>
  <c r="AP16" i="6"/>
  <c r="AW16" i="6"/>
  <c r="AX16" i="6" s="1"/>
  <c r="AU16" i="6"/>
  <c r="AV16" i="6" s="1"/>
  <c r="Q16" i="6"/>
  <c r="R18" i="6" s="1"/>
  <c r="AW7" i="6"/>
  <c r="AX7" i="6" s="1"/>
  <c r="AU7" i="6"/>
  <c r="AV7" i="6" s="1"/>
  <c r="AL6" i="6"/>
  <c r="N6" i="6"/>
  <c r="AW8" i="6"/>
  <c r="AX8" i="6" s="1"/>
  <c r="AP8" i="6"/>
  <c r="AP10" i="6"/>
  <c r="AW10" i="6"/>
  <c r="AX10" i="6" s="1"/>
  <c r="AU10" i="6"/>
  <c r="AV10" i="6" s="1"/>
  <c r="AW12" i="6"/>
  <c r="AX12" i="6" s="1"/>
  <c r="AU12" i="6"/>
  <c r="AV12" i="6" s="1"/>
  <c r="AP12" i="6"/>
  <c r="AS9" i="6"/>
  <c r="AT9" i="6" s="1"/>
  <c r="AO9" i="6"/>
  <c r="AP13" i="6"/>
  <c r="AW13" i="6"/>
  <c r="AX13" i="6" s="1"/>
  <c r="AU13" i="6"/>
  <c r="AV13" i="6" s="1"/>
  <c r="AU8" i="6"/>
  <c r="AV8" i="6" s="1"/>
  <c r="AW14" i="6"/>
  <c r="AX14" i="6" s="1"/>
  <c r="AU14" i="6"/>
  <c r="AV14" i="6" s="1"/>
  <c r="AP14" i="6"/>
  <c r="AP7" i="6"/>
  <c r="AL11" i="6"/>
  <c r="O12" i="6"/>
  <c r="AL13" i="6"/>
  <c r="AJ8" i="6"/>
  <c r="AS8" i="6"/>
  <c r="AT8" i="6" s="1"/>
  <c r="N9" i="6"/>
  <c r="AO11" i="6"/>
  <c r="AJ12" i="6"/>
  <c r="AJ14" i="6"/>
  <c r="N12" i="6"/>
  <c r="N14" i="6"/>
  <c r="AW15" i="6"/>
  <c r="AX15" i="6" s="1"/>
  <c r="AW6" i="6"/>
  <c r="AX6" i="6" s="1"/>
  <c r="O14" i="6"/>
  <c r="AP15" i="6"/>
  <c r="AP6" i="6"/>
  <c r="AS10" i="6"/>
  <c r="AT10" i="6" s="1"/>
  <c r="N11" i="6"/>
  <c r="N13" i="6"/>
  <c r="Q15" i="6"/>
  <c r="AJ9" i="6"/>
  <c r="S15" i="6"/>
  <c r="Q8" i="6" l="1"/>
  <c r="AK8" i="6" s="1"/>
  <c r="U18" i="6"/>
  <c r="X18" i="6" s="1"/>
  <c r="T8" i="6"/>
  <c r="S10" i="6"/>
  <c r="T10" i="6"/>
  <c r="S8" i="6"/>
  <c r="Q10" i="6"/>
  <c r="R10" i="6" s="1"/>
  <c r="T7" i="6"/>
  <c r="S7" i="6"/>
  <c r="Q7" i="6"/>
  <c r="AK7" i="6" s="1"/>
  <c r="AM16" i="6"/>
  <c r="U16" i="6"/>
  <c r="X16" i="6" s="1"/>
  <c r="AK16" i="6"/>
  <c r="R16" i="6"/>
  <c r="AP11" i="6"/>
  <c r="AU11" i="6"/>
  <c r="AV11" i="6" s="1"/>
  <c r="AW11" i="6"/>
  <c r="AX11" i="6" s="1"/>
  <c r="Q11" i="6"/>
  <c r="T11" i="6"/>
  <c r="S11" i="6"/>
  <c r="T14" i="6"/>
  <c r="S14" i="6"/>
  <c r="Q14" i="6"/>
  <c r="R15" i="6" s="1"/>
  <c r="R13" i="6"/>
  <c r="Q13" i="6"/>
  <c r="T13" i="6"/>
  <c r="S13" i="6"/>
  <c r="Q9" i="6"/>
  <c r="T9" i="6"/>
  <c r="S9" i="6"/>
  <c r="AU9" i="6"/>
  <c r="AV9" i="6" s="1"/>
  <c r="AP9" i="6"/>
  <c r="AW9" i="6"/>
  <c r="AX9" i="6" s="1"/>
  <c r="T12" i="6"/>
  <c r="S12" i="6"/>
  <c r="Q12" i="6"/>
  <c r="AM15" i="6"/>
  <c r="AK15" i="6"/>
  <c r="R14" i="6"/>
  <c r="S6" i="6"/>
  <c r="T6" i="6"/>
  <c r="Q6" i="6"/>
  <c r="AM8" i="6" l="1"/>
  <c r="R8" i="6"/>
  <c r="AK10" i="6"/>
  <c r="U8" i="6"/>
  <c r="X8" i="6" s="1"/>
  <c r="AM10" i="6"/>
  <c r="U7" i="6"/>
  <c r="X7" i="6" s="1"/>
  <c r="R7" i="6"/>
  <c r="AM7" i="6"/>
  <c r="AK6" i="6"/>
  <c r="U6" i="6"/>
  <c r="X6" i="6" s="1"/>
  <c r="AM6" i="6"/>
  <c r="R6" i="6"/>
  <c r="AK9" i="6"/>
  <c r="U9" i="6"/>
  <c r="X9" i="6" s="1"/>
  <c r="AM9" i="6"/>
  <c r="R9" i="6"/>
  <c r="U12" i="6"/>
  <c r="X12" i="6" s="1"/>
  <c r="AM12" i="6"/>
  <c r="AK12" i="6"/>
  <c r="R12" i="6"/>
  <c r="U11" i="6"/>
  <c r="X11" i="6" s="1"/>
  <c r="AM11" i="6"/>
  <c r="AK11" i="6"/>
  <c r="R11" i="6"/>
  <c r="U14" i="6"/>
  <c r="AM14" i="6"/>
  <c r="AK14" i="6"/>
  <c r="U13" i="6"/>
  <c r="X13" i="6" s="1"/>
  <c r="AM13" i="6"/>
  <c r="AK13" i="6"/>
  <c r="U10" i="6"/>
  <c r="X10" i="6" s="1"/>
  <c r="U15" i="6"/>
  <c r="X15" i="6" s="1"/>
  <c r="X14" i="6" l="1"/>
  <c r="Z24" i="6"/>
  <c r="G792" i="68" l="1"/>
  <c r="Q1838" i="39" l="1"/>
  <c r="R1838" i="39"/>
  <c r="S1838" i="39"/>
  <c r="T1838" i="39"/>
  <c r="U1838" i="39"/>
  <c r="Q266" i="39" l="1"/>
  <c r="V266" i="39" s="1"/>
  <c r="R266" i="39"/>
  <c r="S266" i="39"/>
  <c r="T266" i="39"/>
  <c r="U266" i="39"/>
  <c r="Q1836" i="39" l="1"/>
  <c r="R1836" i="39"/>
  <c r="S1836" i="39"/>
  <c r="T1836" i="39"/>
  <c r="U1836" i="39"/>
  <c r="Q1837" i="39"/>
  <c r="R1837" i="39"/>
  <c r="S1837" i="39"/>
  <c r="T1837" i="39"/>
  <c r="U1837" i="39"/>
  <c r="U1877" i="39" l="1"/>
  <c r="T1877" i="39"/>
  <c r="S1877" i="39"/>
  <c r="R1877" i="39"/>
  <c r="Q1877" i="39"/>
  <c r="V1877" i="39" s="1"/>
  <c r="U1876" i="39"/>
  <c r="T1876" i="39"/>
  <c r="S1876" i="39"/>
  <c r="R1876" i="39"/>
  <c r="Q1876" i="39"/>
  <c r="V1876" i="39" s="1"/>
  <c r="U1875" i="39"/>
  <c r="T1875" i="39"/>
  <c r="S1875" i="39"/>
  <c r="R1875" i="39"/>
  <c r="Q1875" i="39"/>
  <c r="V1875" i="39" s="1"/>
  <c r="U1874" i="39"/>
  <c r="T1874" i="39"/>
  <c r="S1874" i="39"/>
  <c r="R1874" i="39"/>
  <c r="Q1874" i="39"/>
  <c r="V1874" i="39" s="1"/>
  <c r="U1873" i="39"/>
  <c r="T1873" i="39"/>
  <c r="S1873" i="39"/>
  <c r="R1873" i="39"/>
  <c r="Q1873" i="39"/>
  <c r="V1873" i="39" s="1"/>
  <c r="U1872" i="39"/>
  <c r="T1872" i="39"/>
  <c r="S1872" i="39"/>
  <c r="R1872" i="39"/>
  <c r="Q1872" i="39"/>
  <c r="V1872" i="39" s="1"/>
  <c r="U1871" i="39"/>
  <c r="T1871" i="39"/>
  <c r="S1871" i="39"/>
  <c r="R1871" i="39"/>
  <c r="Q1871" i="39"/>
  <c r="V1871" i="39" s="1"/>
  <c r="U1870" i="39"/>
  <c r="T1870" i="39"/>
  <c r="S1870" i="39"/>
  <c r="R1870" i="39"/>
  <c r="Q1870" i="39"/>
  <c r="V1870" i="39" s="1"/>
  <c r="U1869" i="39"/>
  <c r="T1869" i="39"/>
  <c r="S1869" i="39"/>
  <c r="R1869" i="39"/>
  <c r="Q1869" i="39"/>
  <c r="V1869" i="39" s="1"/>
  <c r="U1868" i="39"/>
  <c r="T1868" i="39"/>
  <c r="S1868" i="39"/>
  <c r="R1868" i="39"/>
  <c r="Q1868" i="39"/>
  <c r="V1868" i="39" s="1"/>
  <c r="U1867" i="39"/>
  <c r="T1867" i="39"/>
  <c r="S1867" i="39"/>
  <c r="R1867" i="39"/>
  <c r="Q1867" i="39"/>
  <c r="U1866" i="39"/>
  <c r="T1866" i="39"/>
  <c r="S1866" i="39"/>
  <c r="R1866" i="39"/>
  <c r="Q1866" i="39"/>
  <c r="U1865" i="39"/>
  <c r="T1865" i="39"/>
  <c r="S1865" i="39"/>
  <c r="R1865" i="39"/>
  <c r="Q1865" i="39"/>
  <c r="U1864" i="39"/>
  <c r="T1864" i="39"/>
  <c r="S1864" i="39"/>
  <c r="R1864" i="39"/>
  <c r="Q1864" i="39"/>
  <c r="U1863" i="39"/>
  <c r="T1863" i="39"/>
  <c r="S1863" i="39"/>
  <c r="R1863" i="39"/>
  <c r="Q1863" i="39"/>
  <c r="U1862" i="39"/>
  <c r="T1862" i="39"/>
  <c r="S1862" i="39"/>
  <c r="R1862" i="39"/>
  <c r="Q1862" i="39"/>
  <c r="U1861" i="39"/>
  <c r="T1861" i="39"/>
  <c r="S1861" i="39"/>
  <c r="R1861" i="39"/>
  <c r="Q1861" i="39"/>
  <c r="U1860" i="39"/>
  <c r="T1860" i="39"/>
  <c r="S1860" i="39"/>
  <c r="R1860" i="39"/>
  <c r="Q1860" i="39"/>
  <c r="U1859" i="39"/>
  <c r="T1859" i="39"/>
  <c r="S1859" i="39"/>
  <c r="R1859" i="39"/>
  <c r="Q1859" i="39"/>
  <c r="U1858" i="39"/>
  <c r="T1858" i="39"/>
  <c r="S1858" i="39"/>
  <c r="R1858" i="39"/>
  <c r="Q1858" i="39"/>
  <c r="U1857" i="39"/>
  <c r="T1857" i="39"/>
  <c r="S1857" i="39"/>
  <c r="R1857" i="39"/>
  <c r="Q1857" i="39"/>
  <c r="U1856" i="39"/>
  <c r="T1856" i="39"/>
  <c r="S1856" i="39"/>
  <c r="R1856" i="39"/>
  <c r="Q1856" i="39"/>
  <c r="U1855" i="39"/>
  <c r="T1855" i="39"/>
  <c r="S1855" i="39"/>
  <c r="R1855" i="39"/>
  <c r="Q1855" i="39"/>
  <c r="U1854" i="39"/>
  <c r="T1854" i="39"/>
  <c r="S1854" i="39"/>
  <c r="R1854" i="39"/>
  <c r="Q1854" i="39"/>
  <c r="U1853" i="39"/>
  <c r="T1853" i="39"/>
  <c r="S1853" i="39"/>
  <c r="R1853" i="39"/>
  <c r="Q1853" i="39"/>
  <c r="U1852" i="39"/>
  <c r="T1852" i="39"/>
  <c r="S1852" i="39"/>
  <c r="R1852" i="39"/>
  <c r="Q1852" i="39"/>
  <c r="U1851" i="39"/>
  <c r="T1851" i="39"/>
  <c r="S1851" i="39"/>
  <c r="R1851" i="39"/>
  <c r="Q1851" i="39"/>
  <c r="U1850" i="39"/>
  <c r="T1850" i="39"/>
  <c r="S1850" i="39"/>
  <c r="R1850" i="39"/>
  <c r="Q1850" i="39"/>
  <c r="U1849" i="39"/>
  <c r="T1849" i="39"/>
  <c r="S1849" i="39"/>
  <c r="R1849" i="39"/>
  <c r="Q1849" i="39"/>
  <c r="U1848" i="39"/>
  <c r="T1848" i="39"/>
  <c r="S1848" i="39"/>
  <c r="R1848" i="39"/>
  <c r="Q1848" i="39"/>
  <c r="U1835" i="39"/>
  <c r="T1835" i="39"/>
  <c r="S1835" i="39"/>
  <c r="R1835" i="39"/>
  <c r="Q1835" i="39"/>
  <c r="U1834" i="39"/>
  <c r="T1834" i="39"/>
  <c r="S1834" i="39"/>
  <c r="R1834" i="39"/>
  <c r="Q1834" i="39"/>
  <c r="U1833" i="39"/>
  <c r="T1833" i="39"/>
  <c r="S1833" i="39"/>
  <c r="R1833" i="39"/>
  <c r="Q1833" i="39"/>
  <c r="U1832" i="39"/>
  <c r="T1832" i="39"/>
  <c r="S1832" i="39"/>
  <c r="R1832" i="39"/>
  <c r="Q1832" i="39"/>
  <c r="U1831" i="39"/>
  <c r="T1831" i="39"/>
  <c r="S1831" i="39"/>
  <c r="R1831" i="39"/>
  <c r="Q1831" i="39"/>
  <c r="U1830" i="39"/>
  <c r="T1830" i="39"/>
  <c r="S1830" i="39"/>
  <c r="R1830" i="39"/>
  <c r="Q1830" i="39"/>
  <c r="U1829" i="39"/>
  <c r="T1829" i="39"/>
  <c r="S1829" i="39"/>
  <c r="R1829" i="39"/>
  <c r="Q1829" i="39"/>
  <c r="U1828" i="39"/>
  <c r="T1828" i="39"/>
  <c r="S1828" i="39"/>
  <c r="R1828" i="39"/>
  <c r="Q1828" i="39"/>
  <c r="U1827" i="39"/>
  <c r="T1827" i="39"/>
  <c r="S1827" i="39"/>
  <c r="R1827" i="39"/>
  <c r="Q1827" i="39"/>
  <c r="U1790" i="39" l="1"/>
  <c r="T1790" i="39"/>
  <c r="S1790" i="39"/>
  <c r="R1790" i="39"/>
  <c r="U1789" i="39"/>
  <c r="T1789" i="39"/>
  <c r="S1789" i="39"/>
  <c r="R1789" i="39"/>
  <c r="U1788" i="39"/>
  <c r="T1788" i="39"/>
  <c r="S1788" i="39"/>
  <c r="R1788" i="39"/>
  <c r="U1787" i="39"/>
  <c r="T1787" i="39"/>
  <c r="S1787" i="39"/>
  <c r="R1787" i="39"/>
  <c r="U1786" i="39"/>
  <c r="T1786" i="39"/>
  <c r="S1786" i="39"/>
  <c r="R1786" i="39"/>
  <c r="U1785" i="39"/>
  <c r="T1785" i="39"/>
  <c r="S1785" i="39"/>
  <c r="R1785" i="39"/>
  <c r="U1784" i="39"/>
  <c r="T1784" i="39"/>
  <c r="S1784" i="39"/>
  <c r="R1784" i="39"/>
  <c r="U1783" i="39"/>
  <c r="T1783" i="39"/>
  <c r="S1783" i="39"/>
  <c r="R1783" i="39"/>
  <c r="U1782" i="39"/>
  <c r="T1782" i="39"/>
  <c r="S1782" i="39"/>
  <c r="R1782" i="39"/>
  <c r="U1781" i="39"/>
  <c r="T1781" i="39"/>
  <c r="S1781" i="39"/>
  <c r="R1781" i="39"/>
  <c r="U1780" i="39"/>
  <c r="T1780" i="39"/>
  <c r="S1780" i="39"/>
  <c r="R1780" i="39"/>
  <c r="U1826" i="39"/>
  <c r="T1826" i="39"/>
  <c r="S1826" i="39"/>
  <c r="U1825" i="39"/>
  <c r="T1825" i="39"/>
  <c r="S1825" i="39"/>
  <c r="U1824" i="39"/>
  <c r="T1824" i="39"/>
  <c r="S1824" i="39"/>
  <c r="U1823" i="39"/>
  <c r="T1823" i="39"/>
  <c r="S1823" i="39"/>
  <c r="U1822" i="39"/>
  <c r="T1822" i="39"/>
  <c r="S1822" i="39"/>
  <c r="U1821" i="39"/>
  <c r="T1821" i="39"/>
  <c r="S1821" i="39"/>
  <c r="U1820" i="39"/>
  <c r="T1820" i="39"/>
  <c r="S1820" i="39"/>
  <c r="U1819" i="39"/>
  <c r="T1819" i="39"/>
  <c r="S1819" i="39"/>
  <c r="U1818" i="39"/>
  <c r="T1818" i="39"/>
  <c r="S1818" i="39"/>
  <c r="U1817" i="39"/>
  <c r="T1817" i="39"/>
  <c r="S1817" i="39"/>
  <c r="U1816" i="39"/>
  <c r="T1816" i="39"/>
  <c r="S1816" i="39"/>
  <c r="U1815" i="39"/>
  <c r="T1815" i="39"/>
  <c r="S1815" i="39"/>
  <c r="U1814" i="39"/>
  <c r="T1814" i="39"/>
  <c r="S1814" i="39"/>
  <c r="U1813" i="39"/>
  <c r="T1813" i="39"/>
  <c r="S1813" i="39"/>
  <c r="U1812" i="39"/>
  <c r="T1812" i="39"/>
  <c r="S1812" i="39"/>
  <c r="U1811" i="39"/>
  <c r="T1811" i="39"/>
  <c r="S1811" i="39"/>
  <c r="U1810" i="39"/>
  <c r="T1810" i="39"/>
  <c r="S1810" i="39"/>
  <c r="U1809" i="39"/>
  <c r="T1809" i="39"/>
  <c r="S1809" i="39"/>
  <c r="U1808" i="39"/>
  <c r="T1808" i="39"/>
  <c r="S1808" i="39"/>
  <c r="U1807" i="39"/>
  <c r="T1807" i="39"/>
  <c r="S1807" i="39"/>
  <c r="U1806" i="39"/>
  <c r="T1806" i="39"/>
  <c r="S1806" i="39"/>
  <c r="U1805" i="39"/>
  <c r="T1805" i="39"/>
  <c r="S1805" i="39"/>
  <c r="U1804" i="39"/>
  <c r="T1804" i="39"/>
  <c r="S1804" i="39"/>
  <c r="U1803" i="39"/>
  <c r="T1803" i="39"/>
  <c r="S1803" i="39"/>
  <c r="U1802" i="39"/>
  <c r="T1802" i="39"/>
  <c r="S1802" i="39"/>
  <c r="U1801" i="39"/>
  <c r="T1801" i="39"/>
  <c r="S1801" i="39"/>
  <c r="U1800" i="39"/>
  <c r="T1800" i="39"/>
  <c r="S1800" i="39"/>
  <c r="U1799" i="39"/>
  <c r="T1799" i="39"/>
  <c r="S1799" i="39"/>
  <c r="U1798" i="39"/>
  <c r="T1798" i="39"/>
  <c r="S1798" i="39"/>
  <c r="U1797" i="39"/>
  <c r="T1797" i="39"/>
  <c r="S1797" i="39"/>
  <c r="U1796" i="39"/>
  <c r="T1796" i="39"/>
  <c r="S1796" i="39"/>
  <c r="U1795" i="39"/>
  <c r="T1795" i="39"/>
  <c r="S1795" i="39"/>
  <c r="U1794" i="39"/>
  <c r="T1794" i="39"/>
  <c r="S1794" i="39"/>
  <c r="U1793" i="39"/>
  <c r="T1793" i="39"/>
  <c r="S1793" i="39"/>
  <c r="U1792" i="39"/>
  <c r="T1792" i="39"/>
  <c r="S1792" i="39"/>
  <c r="U1791" i="39"/>
  <c r="T1791" i="39"/>
  <c r="S1791" i="39"/>
  <c r="F764" i="115" l="1"/>
  <c r="H764" i="115" s="1"/>
  <c r="E764" i="115"/>
  <c r="D764" i="115"/>
  <c r="C764" i="115"/>
  <c r="B764" i="115"/>
  <c r="F168" i="114"/>
  <c r="G168" i="114" s="1"/>
  <c r="E168" i="114"/>
  <c r="D168" i="114"/>
  <c r="C168" i="114"/>
  <c r="B168" i="114"/>
  <c r="F115" i="114"/>
  <c r="H115" i="114" s="1"/>
  <c r="E115" i="114"/>
  <c r="D115" i="114"/>
  <c r="C115" i="114"/>
  <c r="B115" i="114"/>
  <c r="F1345" i="68"/>
  <c r="H1345" i="68" s="1"/>
  <c r="E1345" i="68"/>
  <c r="D1345" i="68"/>
  <c r="C1345" i="68"/>
  <c r="B1345" i="68"/>
  <c r="F152" i="68"/>
  <c r="H152" i="68" s="1"/>
  <c r="E152" i="68"/>
  <c r="D152" i="68"/>
  <c r="C152" i="68"/>
  <c r="B152" i="68"/>
  <c r="F737" i="114"/>
  <c r="H737" i="114" s="1"/>
  <c r="E737" i="114"/>
  <c r="D737" i="114"/>
  <c r="C737" i="114"/>
  <c r="B737" i="114"/>
  <c r="F375" i="114"/>
  <c r="H375" i="114" s="1"/>
  <c r="E375" i="114"/>
  <c r="D375" i="114"/>
  <c r="C375" i="114"/>
  <c r="B375" i="114"/>
  <c r="F748" i="114"/>
  <c r="H748" i="114" s="1"/>
  <c r="E748" i="114"/>
  <c r="D748" i="114"/>
  <c r="C748" i="114"/>
  <c r="B748" i="114"/>
  <c r="H534" i="114"/>
  <c r="G534" i="114"/>
  <c r="E534" i="114"/>
  <c r="D534" i="114"/>
  <c r="B534" i="114"/>
  <c r="F738" i="114"/>
  <c r="H738" i="114" s="1"/>
  <c r="E738" i="114"/>
  <c r="D738" i="114"/>
  <c r="C738" i="114"/>
  <c r="B738" i="114"/>
  <c r="G738" i="114" l="1"/>
  <c r="G764" i="115"/>
  <c r="G737" i="114"/>
  <c r="B2" i="39"/>
  <c r="L1021" i="115"/>
  <c r="L1018" i="115"/>
  <c r="L1011" i="115"/>
  <c r="L343" i="114"/>
  <c r="J395" i="114"/>
  <c r="J356" i="114"/>
  <c r="J334" i="114"/>
  <c r="J271" i="114"/>
  <c r="J177" i="114"/>
  <c r="J172" i="114"/>
  <c r="J145" i="114"/>
  <c r="J109" i="114"/>
  <c r="J92" i="114"/>
  <c r="J39" i="114"/>
  <c r="I720" i="114"/>
  <c r="I719" i="114"/>
  <c r="I676" i="114"/>
  <c r="I664" i="114"/>
  <c r="I662" i="114"/>
  <c r="I623" i="114"/>
  <c r="I606" i="114"/>
  <c r="I594" i="114"/>
  <c r="I575" i="114"/>
  <c r="I544" i="114"/>
  <c r="I477" i="114"/>
  <c r="I468" i="114"/>
  <c r="I438" i="114"/>
  <c r="I437" i="114"/>
  <c r="I416" i="114"/>
  <c r="I410" i="114"/>
  <c r="I402" i="114"/>
  <c r="I372" i="114"/>
  <c r="I354" i="114"/>
  <c r="I353" i="114"/>
  <c r="I334" i="114"/>
  <c r="I303" i="114"/>
  <c r="I302" i="114"/>
  <c r="I292" i="114"/>
  <c r="I264" i="114"/>
  <c r="I261" i="114"/>
  <c r="I226" i="114"/>
  <c r="I215" i="114"/>
  <c r="I214" i="114"/>
  <c r="I192" i="114"/>
  <c r="I184" i="114"/>
  <c r="I180" i="114"/>
  <c r="I158" i="114"/>
  <c r="I155" i="114"/>
  <c r="I142" i="114"/>
  <c r="I137" i="114"/>
  <c r="I107" i="114"/>
  <c r="I106" i="114"/>
  <c r="I94" i="114"/>
  <c r="I84" i="114"/>
  <c r="I83" i="114"/>
  <c r="I45" i="114"/>
  <c r="I40" i="114"/>
  <c r="I39" i="114"/>
  <c r="J1927" i="68"/>
  <c r="J1910" i="68"/>
  <c r="J1812" i="68"/>
  <c r="J1788" i="68"/>
  <c r="J1772" i="68"/>
  <c r="J1758" i="68"/>
  <c r="J1742" i="68"/>
  <c r="J1730" i="68"/>
  <c r="J1711" i="68"/>
  <c r="J1705" i="68"/>
  <c r="J1703" i="68"/>
  <c r="J1667" i="68"/>
  <c r="J1662" i="68"/>
  <c r="J1661" i="68"/>
  <c r="J1632" i="68"/>
  <c r="J1617" i="68"/>
  <c r="J1615" i="68"/>
  <c r="J1592" i="68"/>
  <c r="J1587" i="68"/>
  <c r="J1560" i="68"/>
  <c r="J1554" i="68"/>
  <c r="J1536" i="68"/>
  <c r="J1535" i="68"/>
  <c r="J1526" i="68"/>
  <c r="J1421" i="68"/>
  <c r="J1420" i="68"/>
  <c r="J1411" i="68"/>
  <c r="J1378" i="68"/>
  <c r="J1377" i="68"/>
  <c r="J1363" i="68"/>
  <c r="J1351" i="68"/>
  <c r="J1343" i="68"/>
  <c r="J1247" i="68"/>
  <c r="J1232" i="68"/>
  <c r="J1231" i="68"/>
  <c r="J1206" i="68"/>
  <c r="J1188" i="68"/>
  <c r="J1187" i="68"/>
  <c r="J1170" i="68"/>
  <c r="J1164" i="68"/>
  <c r="J1145" i="68"/>
  <c r="J1131" i="68"/>
  <c r="J1046" i="68"/>
  <c r="J1042" i="68"/>
  <c r="J1038" i="68"/>
  <c r="J1011" i="68"/>
  <c r="J1002" i="68"/>
  <c r="J995" i="68"/>
  <c r="J974" i="68"/>
  <c r="J973" i="68"/>
  <c r="J948" i="68"/>
  <c r="J942" i="68"/>
  <c r="J938" i="68"/>
  <c r="J913" i="68"/>
  <c r="J898" i="68"/>
  <c r="J897" i="68"/>
  <c r="J882" i="68"/>
  <c r="J869" i="68"/>
  <c r="J862" i="68"/>
  <c r="J848" i="68"/>
  <c r="J842" i="68"/>
  <c r="J841" i="68"/>
  <c r="J759" i="68"/>
  <c r="J741" i="68"/>
  <c r="J740" i="68"/>
  <c r="J726" i="68"/>
  <c r="J713" i="68"/>
  <c r="J704" i="68"/>
  <c r="J630" i="68"/>
  <c r="J608" i="68"/>
  <c r="J606" i="68"/>
  <c r="J588" i="68"/>
  <c r="J585" i="68"/>
  <c r="J516" i="68"/>
  <c r="J503" i="68"/>
  <c r="J475" i="68"/>
  <c r="J469" i="68"/>
  <c r="J459" i="68"/>
  <c r="J440" i="68"/>
  <c r="J437" i="68"/>
  <c r="J357" i="68"/>
  <c r="J346" i="68"/>
  <c r="J343" i="68"/>
  <c r="J336" i="68"/>
  <c r="J303" i="68"/>
  <c r="J296" i="68"/>
  <c r="J285" i="68"/>
  <c r="J223" i="68"/>
  <c r="J220" i="68"/>
  <c r="J199" i="68"/>
  <c r="J170" i="68"/>
  <c r="J167" i="68"/>
  <c r="J148" i="68"/>
  <c r="J127" i="68"/>
  <c r="J121" i="68"/>
  <c r="J103" i="68"/>
  <c r="J93" i="68"/>
  <c r="J89" i="68"/>
  <c r="J70" i="68"/>
  <c r="J63" i="68"/>
  <c r="J62" i="68"/>
  <c r="J48" i="68"/>
  <c r="J44" i="68"/>
  <c r="J35" i="68"/>
  <c r="J24" i="68"/>
  <c r="J13" i="68"/>
  <c r="J12" i="68"/>
  <c r="I1906" i="68"/>
  <c r="I1899" i="68"/>
  <c r="I1896" i="68"/>
  <c r="I1796" i="68"/>
  <c r="I1789" i="68"/>
  <c r="I1788" i="68"/>
  <c r="I1758" i="68"/>
  <c r="I1754" i="68"/>
  <c r="I1753" i="68"/>
  <c r="I1733" i="68"/>
  <c r="I1717" i="68"/>
  <c r="I1714" i="68"/>
  <c r="I1702" i="68"/>
  <c r="I1697" i="68"/>
  <c r="I1691" i="68"/>
  <c r="I1666" i="68"/>
  <c r="I1658" i="68"/>
  <c r="I1657" i="68"/>
  <c r="I1638" i="68"/>
  <c r="I1635" i="68"/>
  <c r="I1626" i="68"/>
  <c r="I1615" i="68"/>
  <c r="I1610" i="68"/>
  <c r="I1609" i="68"/>
  <c r="I1590" i="68"/>
  <c r="I1580" i="68"/>
  <c r="I1579" i="68"/>
  <c r="I1558" i="68"/>
  <c r="I1554" i="68"/>
  <c r="I1553" i="68"/>
  <c r="I1537" i="68"/>
  <c r="I1532" i="68"/>
  <c r="I1529" i="68"/>
  <c r="I1441" i="68"/>
  <c r="I1430" i="68"/>
  <c r="I1427" i="68"/>
  <c r="I1414" i="68"/>
  <c r="I1410" i="68"/>
  <c r="I1407" i="68"/>
  <c r="I1385" i="68"/>
  <c r="I1376" i="68"/>
  <c r="I1375" i="68"/>
  <c r="I1367" i="68"/>
  <c r="I1361" i="68"/>
  <c r="I1351" i="68"/>
  <c r="I1336" i="68"/>
  <c r="I1331" i="68"/>
  <c r="I1256" i="68"/>
  <c r="I1236" i="68"/>
  <c r="I1231" i="68"/>
  <c r="I1230" i="68"/>
  <c r="I1219" i="68"/>
  <c r="I1203" i="68"/>
  <c r="I1202" i="68"/>
  <c r="I1189" i="68"/>
  <c r="I1185" i="68"/>
  <c r="I1182" i="68"/>
  <c r="I1175" i="68"/>
  <c r="I1165" i="68"/>
  <c r="I1164" i="68"/>
  <c r="I1146" i="68"/>
  <c r="I1142" i="68"/>
  <c r="I1139" i="68"/>
  <c r="I1124" i="68"/>
  <c r="I1120" i="68"/>
  <c r="I1046" i="68"/>
  <c r="I1039" i="68"/>
  <c r="I1036" i="68"/>
  <c r="I1027" i="68"/>
  <c r="I1015" i="68"/>
  <c r="I1012" i="68"/>
  <c r="I1011" i="68"/>
  <c r="I991" i="68"/>
  <c r="I985" i="68"/>
  <c r="I984" i="68"/>
  <c r="I972" i="68"/>
  <c r="I969" i="68"/>
  <c r="I968" i="68"/>
  <c r="I952" i="68"/>
  <c r="I943" i="68"/>
  <c r="I942" i="68"/>
  <c r="I933" i="68"/>
  <c r="I925" i="68"/>
  <c r="I915" i="68"/>
  <c r="I908" i="68"/>
  <c r="I902" i="68"/>
  <c r="I901" i="68"/>
  <c r="I887" i="68"/>
  <c r="I882" i="68"/>
  <c r="I881" i="68"/>
  <c r="I867" i="68"/>
  <c r="I863" i="68"/>
  <c r="I857" i="68"/>
  <c r="I854" i="68"/>
  <c r="I853" i="68"/>
  <c r="I850" i="68"/>
  <c r="I849" i="68"/>
  <c r="I848" i="68"/>
  <c r="I843" i="68"/>
  <c r="I841" i="68"/>
  <c r="I840" i="68"/>
  <c r="I839" i="68"/>
  <c r="I838" i="68"/>
  <c r="I780" i="68"/>
  <c r="I773" i="68"/>
  <c r="I770" i="68"/>
  <c r="I769" i="68"/>
  <c r="I768" i="68"/>
  <c r="I767" i="68"/>
  <c r="I759" i="68"/>
  <c r="I758" i="68"/>
  <c r="I756" i="68"/>
  <c r="I755" i="68"/>
  <c r="I749" i="68"/>
  <c r="I746" i="68"/>
  <c r="I744" i="68"/>
  <c r="I743" i="68"/>
  <c r="I742" i="68"/>
  <c r="I736" i="68"/>
  <c r="I728" i="68"/>
  <c r="I727" i="68"/>
  <c r="I725" i="68"/>
  <c r="I724" i="68"/>
  <c r="I723" i="68"/>
  <c r="I722" i="68"/>
  <c r="I713" i="68"/>
  <c r="I712" i="68"/>
  <c r="I710" i="68"/>
  <c r="I709" i="68"/>
  <c r="I706" i="68"/>
  <c r="I697" i="68"/>
  <c r="I696" i="68"/>
  <c r="I695" i="68"/>
  <c r="I694" i="68"/>
  <c r="I693" i="68"/>
  <c r="I630" i="68"/>
  <c r="I627" i="68"/>
  <c r="I626" i="68"/>
  <c r="I623" i="68"/>
  <c r="I622" i="68"/>
  <c r="I619" i="68"/>
  <c r="I608" i="68"/>
  <c r="I607" i="68"/>
  <c r="I602" i="68"/>
  <c r="I600" i="68"/>
  <c r="I597" i="68"/>
  <c r="I596" i="68"/>
  <c r="I594" i="68"/>
  <c r="I591" i="68"/>
  <c r="I590" i="68"/>
  <c r="I587" i="68"/>
  <c r="I583" i="68"/>
  <c r="I530" i="68"/>
  <c r="I529" i="68"/>
  <c r="I528" i="68"/>
  <c r="I527" i="68"/>
  <c r="I518" i="68"/>
  <c r="I516" i="68"/>
  <c r="I515" i="68"/>
  <c r="I504" i="68"/>
  <c r="I503" i="68"/>
  <c r="I502" i="68"/>
  <c r="I501" i="68"/>
  <c r="I500" i="68"/>
  <c r="I497" i="68"/>
  <c r="I496" i="68"/>
  <c r="I495" i="68"/>
  <c r="I482" i="68"/>
  <c r="I478" i="68"/>
  <c r="I477" i="68"/>
  <c r="I474" i="68"/>
  <c r="I471" i="68"/>
  <c r="I470" i="68"/>
  <c r="I465" i="68"/>
  <c r="I464" i="68"/>
  <c r="I462" i="68"/>
  <c r="I461" i="68"/>
  <c r="I459" i="68"/>
  <c r="I458" i="68"/>
  <c r="I457" i="68"/>
  <c r="I449" i="68"/>
  <c r="I446" i="68"/>
  <c r="I440" i="68"/>
  <c r="I435" i="68"/>
  <c r="I434" i="68"/>
  <c r="I430" i="68"/>
  <c r="I429" i="68"/>
  <c r="I428" i="68"/>
  <c r="I426" i="68"/>
  <c r="I424" i="68"/>
  <c r="I423" i="68"/>
  <c r="I370" i="68"/>
  <c r="I369" i="68"/>
  <c r="I367" i="68"/>
  <c r="I355" i="68"/>
  <c r="I354" i="68"/>
  <c r="I353" i="68"/>
  <c r="I352" i="68"/>
  <c r="I351" i="68"/>
  <c r="I342" i="68"/>
  <c r="I341" i="68"/>
  <c r="I340" i="68"/>
  <c r="I339" i="68"/>
  <c r="I338" i="68"/>
  <c r="I337" i="68"/>
  <c r="I334" i="68"/>
  <c r="I327" i="68"/>
  <c r="I320" i="68"/>
  <c r="I319" i="68"/>
  <c r="I312" i="68"/>
  <c r="I309" i="68"/>
  <c r="I306" i="68"/>
  <c r="I305" i="68"/>
  <c r="I304" i="68"/>
  <c r="I303" i="68"/>
  <c r="I298" i="68"/>
  <c r="I297" i="68"/>
  <c r="I296" i="68"/>
  <c r="I295" i="68"/>
  <c r="I294" i="68"/>
  <c r="I290" i="68"/>
  <c r="I288" i="68"/>
  <c r="I285" i="68"/>
  <c r="I282" i="68"/>
  <c r="I281" i="68"/>
  <c r="I280" i="68"/>
  <c r="I279" i="68"/>
  <c r="I278" i="68"/>
  <c r="I225" i="68"/>
  <c r="I224" i="68"/>
  <c r="I223" i="68"/>
  <c r="I216" i="68"/>
  <c r="I215" i="68"/>
  <c r="I212" i="68"/>
  <c r="I205" i="68"/>
  <c r="I204" i="68"/>
  <c r="I203" i="68"/>
  <c r="I200" i="68"/>
  <c r="I199" i="68"/>
  <c r="I193" i="68"/>
  <c r="I192" i="68"/>
  <c r="I191" i="68"/>
  <c r="I190" i="68"/>
  <c r="I189" i="68"/>
  <c r="I188" i="68"/>
  <c r="I181" i="68"/>
  <c r="I180" i="68"/>
  <c r="I175" i="68"/>
  <c r="I172" i="68"/>
  <c r="I171" i="68"/>
  <c r="I167" i="68"/>
  <c r="I166" i="68"/>
  <c r="I164" i="68"/>
  <c r="I163" i="68"/>
  <c r="I161" i="68"/>
  <c r="I160" i="68"/>
  <c r="I153" i="68"/>
  <c r="I151" i="68"/>
  <c r="I148" i="68"/>
  <c r="I147" i="68"/>
  <c r="I142" i="68"/>
  <c r="I141" i="68"/>
  <c r="I130" i="68"/>
  <c r="I127" i="68"/>
  <c r="I126" i="68"/>
  <c r="I125" i="68"/>
  <c r="I124" i="68"/>
  <c r="I123" i="68"/>
  <c r="I121" i="68"/>
  <c r="I120" i="68"/>
  <c r="I118" i="68"/>
  <c r="I115" i="68"/>
  <c r="I114" i="68"/>
  <c r="I113" i="68"/>
  <c r="I108" i="68"/>
  <c r="I107" i="68"/>
  <c r="I106" i="68"/>
  <c r="I105" i="68"/>
  <c r="I102" i="68"/>
  <c r="I101" i="68"/>
  <c r="I94" i="68"/>
  <c r="I93" i="68"/>
  <c r="I92" i="68"/>
  <c r="I91" i="68"/>
  <c r="I89" i="68"/>
  <c r="I88" i="68"/>
  <c r="I86" i="68"/>
  <c r="I85" i="68"/>
  <c r="I82" i="68"/>
  <c r="I81" i="68"/>
  <c r="I80" i="68"/>
  <c r="I79" i="68"/>
  <c r="I78" i="68"/>
  <c r="I77" i="68"/>
  <c r="I74" i="68"/>
  <c r="I72" i="68"/>
  <c r="I71" i="68"/>
  <c r="I70" i="68"/>
  <c r="I69" i="68"/>
  <c r="I68" i="68"/>
  <c r="I66" i="68"/>
  <c r="I65" i="68"/>
  <c r="I61" i="68"/>
  <c r="I60" i="68"/>
  <c r="I59" i="68"/>
  <c r="I58" i="68"/>
  <c r="I57" i="68"/>
  <c r="I56" i="68"/>
  <c r="I55" i="68"/>
  <c r="I54" i="68"/>
  <c r="I51" i="68"/>
  <c r="I50" i="68"/>
  <c r="I49" i="68"/>
  <c r="I48" i="68"/>
  <c r="I47" i="68"/>
  <c r="I46" i="68"/>
  <c r="I44" i="68"/>
  <c r="I41" i="68"/>
  <c r="I39" i="68"/>
  <c r="I38" i="68"/>
  <c r="I37" i="68"/>
  <c r="I36" i="68"/>
  <c r="I35" i="68"/>
  <c r="I34" i="68"/>
  <c r="I33" i="68"/>
  <c r="I32" i="68"/>
  <c r="I29" i="68"/>
  <c r="I28" i="68"/>
  <c r="I27" i="68"/>
  <c r="I26" i="68"/>
  <c r="I25" i="68"/>
  <c r="I24" i="68"/>
  <c r="I20" i="68"/>
  <c r="I19" i="68"/>
  <c r="I17" i="68"/>
  <c r="I16" i="68"/>
  <c r="I15" i="68"/>
  <c r="I14" i="68"/>
  <c r="I13" i="68"/>
  <c r="I12" i="68"/>
  <c r="I11" i="68"/>
  <c r="I10" i="68"/>
  <c r="N281" i="114" l="1"/>
  <c r="S73" i="68"/>
  <c r="M281" i="114"/>
  <c r="V281" i="114" s="1"/>
  <c r="L73" i="68"/>
  <c r="K73" i="68"/>
  <c r="J73" i="68"/>
  <c r="I73" i="68"/>
  <c r="R73" i="68"/>
  <c r="L281" i="114"/>
  <c r="K281" i="114"/>
  <c r="O73" i="68"/>
  <c r="J281" i="114"/>
  <c r="N73" i="68"/>
  <c r="I281" i="114"/>
  <c r="M73" i="68"/>
  <c r="V73" i="68" s="1"/>
  <c r="Q73" i="68"/>
  <c r="S367" i="114"/>
  <c r="R367" i="114"/>
  <c r="Q367" i="114"/>
  <c r="O367" i="114"/>
  <c r="N367" i="114"/>
  <c r="S281" i="114"/>
  <c r="M367" i="114"/>
  <c r="V367" i="114" s="1"/>
  <c r="R281" i="114"/>
  <c r="L367" i="114"/>
  <c r="Q281" i="114"/>
  <c r="K367" i="114"/>
  <c r="O281" i="114"/>
  <c r="J367" i="114"/>
  <c r="I367" i="114"/>
  <c r="T73" i="68"/>
  <c r="Y73" i="68" s="1"/>
  <c r="Z73" i="68" s="1"/>
  <c r="AB73" i="68" s="1"/>
  <c r="T281" i="114"/>
  <c r="T367" i="114"/>
  <c r="Y367" i="114" s="1"/>
  <c r="Z367" i="114" s="1"/>
  <c r="AB367" i="114" s="1"/>
  <c r="S1025" i="68"/>
  <c r="R1025" i="68"/>
  <c r="Q1025" i="68"/>
  <c r="O1025" i="68"/>
  <c r="N1025" i="68"/>
  <c r="M1025" i="68"/>
  <c r="L1025" i="68"/>
  <c r="K1025" i="68"/>
  <c r="J1025" i="68"/>
  <c r="I1025" i="68"/>
  <c r="T1025" i="68"/>
  <c r="S766" i="115"/>
  <c r="J766" i="115"/>
  <c r="R750" i="114"/>
  <c r="I750" i="114"/>
  <c r="Q745" i="114"/>
  <c r="R766" i="115"/>
  <c r="I766" i="115"/>
  <c r="Q750" i="114"/>
  <c r="O745" i="114"/>
  <c r="R745" i="114"/>
  <c r="Q766" i="115"/>
  <c r="O750" i="114"/>
  <c r="N745" i="114"/>
  <c r="I745" i="114"/>
  <c r="O766" i="115"/>
  <c r="N750" i="114"/>
  <c r="M745" i="114"/>
  <c r="V745" i="114" s="1"/>
  <c r="J750" i="114"/>
  <c r="N766" i="115"/>
  <c r="M750" i="114"/>
  <c r="V750" i="114" s="1"/>
  <c r="L745" i="114"/>
  <c r="S750" i="114"/>
  <c r="M766" i="115"/>
  <c r="V766" i="115" s="1"/>
  <c r="L750" i="114"/>
  <c r="K745" i="114"/>
  <c r="K766" i="115"/>
  <c r="L766" i="115"/>
  <c r="K750" i="114"/>
  <c r="S745" i="114"/>
  <c r="J745" i="114"/>
  <c r="T745" i="114"/>
  <c r="Y745" i="114" s="1"/>
  <c r="Z745" i="114" s="1"/>
  <c r="AB745" i="114" s="1"/>
  <c r="AC745" i="114" s="1"/>
  <c r="AE745" i="114" s="1"/>
  <c r="T750" i="114"/>
  <c r="Y750" i="114" s="1"/>
  <c r="Z750" i="114" s="1"/>
  <c r="AB750" i="114" s="1"/>
  <c r="AC750" i="114" s="1"/>
  <c r="AE750" i="114" s="1"/>
  <c r="T766" i="115"/>
  <c r="J548" i="114"/>
  <c r="J305" i="114"/>
  <c r="J169" i="114"/>
  <c r="I711" i="114"/>
  <c r="I661" i="114"/>
  <c r="I590" i="114"/>
  <c r="I475" i="114"/>
  <c r="I435" i="114"/>
  <c r="I399" i="114"/>
  <c r="I343" i="114"/>
  <c r="I301" i="114"/>
  <c r="I260" i="114"/>
  <c r="I213" i="114"/>
  <c r="I168" i="114"/>
  <c r="I140" i="114"/>
  <c r="I99" i="114"/>
  <c r="I62" i="114"/>
  <c r="I31" i="114"/>
  <c r="J1768" i="68"/>
  <c r="J1723" i="68"/>
  <c r="J1699" i="68"/>
  <c r="J1653" i="68"/>
  <c r="J1609" i="68"/>
  <c r="J1557" i="68"/>
  <c r="J1534" i="68"/>
  <c r="J1419" i="68"/>
  <c r="J1376" i="68"/>
  <c r="J1337" i="68"/>
  <c r="J1228" i="68"/>
  <c r="J1177" i="68"/>
  <c r="J1142" i="68"/>
  <c r="J1041" i="68"/>
  <c r="J1001" i="68"/>
  <c r="J966" i="68"/>
  <c r="J932" i="68"/>
  <c r="J896" i="68"/>
  <c r="J856" i="68"/>
  <c r="J838" i="68"/>
  <c r="J735" i="68"/>
  <c r="J697" i="68"/>
  <c r="J602" i="68"/>
  <c r="J506" i="68"/>
  <c r="J466" i="68"/>
  <c r="J436" i="68"/>
  <c r="J340" i="68"/>
  <c r="J295" i="68"/>
  <c r="J215" i="68"/>
  <c r="J166" i="68"/>
  <c r="J119" i="68"/>
  <c r="J87" i="68"/>
  <c r="J58" i="68"/>
  <c r="J32" i="68"/>
  <c r="J10" i="68"/>
  <c r="E104" i="6" s="1"/>
  <c r="I1809" i="68"/>
  <c r="I1787" i="68"/>
  <c r="I1744" i="68"/>
  <c r="I1711" i="68"/>
  <c r="I1677" i="68"/>
  <c r="I1656" i="68"/>
  <c r="I1624" i="68"/>
  <c r="I1608" i="68"/>
  <c r="I1574" i="68"/>
  <c r="I1552" i="68"/>
  <c r="I1527" i="68"/>
  <c r="I1426" i="68"/>
  <c r="I1405" i="68"/>
  <c r="I1374" i="68"/>
  <c r="I1343" i="68"/>
  <c r="I1255" i="68"/>
  <c r="I1223" i="68"/>
  <c r="I1201" i="68"/>
  <c r="I1179" i="68"/>
  <c r="I1157" i="68"/>
  <c r="I1158" i="68" s="1"/>
  <c r="I1136" i="68"/>
  <c r="I1045" i="68"/>
  <c r="I1023" i="68"/>
  <c r="I1003" i="68"/>
  <c r="I981" i="68"/>
  <c r="I967" i="68"/>
  <c r="I940" i="68"/>
  <c r="I914" i="68"/>
  <c r="I899" i="68"/>
  <c r="I874" i="68"/>
  <c r="J416" i="114"/>
  <c r="J275" i="114"/>
  <c r="J165" i="114"/>
  <c r="J56" i="114"/>
  <c r="I692" i="114"/>
  <c r="I658" i="114"/>
  <c r="I588" i="114"/>
  <c r="I474" i="114"/>
  <c r="I434" i="114"/>
  <c r="I374" i="114"/>
  <c r="I336" i="114"/>
  <c r="I294" i="114"/>
  <c r="I259" i="114"/>
  <c r="I206" i="114"/>
  <c r="I167" i="114"/>
  <c r="I139" i="114"/>
  <c r="I98" i="114"/>
  <c r="I16" i="114"/>
  <c r="J1894" i="68"/>
  <c r="J1767" i="68"/>
  <c r="J1722" i="68"/>
  <c r="J1698" i="68"/>
  <c r="J1637" i="68"/>
  <c r="J1608" i="68"/>
  <c r="J1556" i="68"/>
  <c r="J1528" i="68"/>
  <c r="J1418" i="68"/>
  <c r="J1375" i="68"/>
  <c r="J1336" i="68"/>
  <c r="J1210" i="68"/>
  <c r="J1176" i="68"/>
  <c r="J1133" i="68"/>
  <c r="J1040" i="68"/>
  <c r="J998" i="68"/>
  <c r="J965" i="68"/>
  <c r="J931" i="68"/>
  <c r="J895" i="68"/>
  <c r="J851" i="68"/>
  <c r="J761" i="68"/>
  <c r="J734" i="68"/>
  <c r="J638" i="68"/>
  <c r="J601" i="68"/>
  <c r="J505" i="68"/>
  <c r="J465" i="68"/>
  <c r="J435" i="68"/>
  <c r="J339" i="68"/>
  <c r="J294" i="68"/>
  <c r="J214" i="68"/>
  <c r="J164" i="68"/>
  <c r="J118" i="68"/>
  <c r="J86" i="68"/>
  <c r="J57" i="68"/>
  <c r="J30" i="68"/>
  <c r="I1927" i="68"/>
  <c r="I1808" i="68"/>
  <c r="I1773" i="68"/>
  <c r="I1743" i="68"/>
  <c r="I1710" i="68"/>
  <c r="I1676" i="68"/>
  <c r="I1653" i="68"/>
  <c r="I1623" i="68"/>
  <c r="I1605" i="68"/>
  <c r="I1567" i="68"/>
  <c r="I1541" i="68"/>
  <c r="I1526" i="68"/>
  <c r="I1425" i="68"/>
  <c r="I1404" i="68"/>
  <c r="I1373" i="68"/>
  <c r="I1340" i="68"/>
  <c r="I1254" i="68"/>
  <c r="I1222" i="68"/>
  <c r="I1197" i="68"/>
  <c r="I1178" i="68"/>
  <c r="I1154" i="68"/>
  <c r="I1135" i="68"/>
  <c r="I1044" i="68"/>
  <c r="I1020" i="68"/>
  <c r="I1000" i="68"/>
  <c r="I980" i="68"/>
  <c r="I956" i="68"/>
  <c r="I939" i="68"/>
  <c r="I913" i="68"/>
  <c r="I898" i="68"/>
  <c r="I873" i="68"/>
  <c r="J415" i="114"/>
  <c r="J274" i="114"/>
  <c r="J146" i="114"/>
  <c r="J45" i="114"/>
  <c r="I688" i="114"/>
  <c r="I630" i="114"/>
  <c r="I576" i="114"/>
  <c r="I471" i="114"/>
  <c r="I428" i="114"/>
  <c r="I373" i="114"/>
  <c r="I335" i="114"/>
  <c r="I293" i="114"/>
  <c r="I234" i="114"/>
  <c r="I197" i="114"/>
  <c r="I162" i="114"/>
  <c r="I138" i="114"/>
  <c r="I97" i="114"/>
  <c r="I46" i="114"/>
  <c r="I15" i="114"/>
  <c r="J1893" i="68"/>
  <c r="J1766" i="68"/>
  <c r="J1721" i="68"/>
  <c r="J1670" i="68"/>
  <c r="J1633" i="68"/>
  <c r="J1594" i="68"/>
  <c r="J1555" i="68"/>
  <c r="J1527" i="68"/>
  <c r="J1412" i="68"/>
  <c r="J1374" i="68"/>
  <c r="J1248" i="68"/>
  <c r="J1207" i="68"/>
  <c r="J1175" i="68"/>
  <c r="J1132" i="68"/>
  <c r="J1039" i="68"/>
  <c r="J996" i="68"/>
  <c r="J958" i="68"/>
  <c r="J914" i="68"/>
  <c r="J889" i="68"/>
  <c r="J850" i="68"/>
  <c r="J760" i="68"/>
  <c r="J733" i="68"/>
  <c r="J637" i="68"/>
  <c r="J589" i="68"/>
  <c r="J504" i="68"/>
  <c r="J460" i="68"/>
  <c r="J369" i="68"/>
  <c r="J337" i="68"/>
  <c r="J291" i="68"/>
  <c r="J213" i="68"/>
  <c r="J162" i="68"/>
  <c r="J115" i="68"/>
  <c r="J72" i="68"/>
  <c r="J54" i="68"/>
  <c r="J25" i="68"/>
  <c r="I1922" i="68"/>
  <c r="I1801" i="68"/>
  <c r="I1762" i="68"/>
  <c r="I1741" i="68"/>
  <c r="I1703" i="68"/>
  <c r="I1670" i="68"/>
  <c r="I1639" i="68"/>
  <c r="I1616" i="68"/>
  <c r="I1595" i="68"/>
  <c r="I1559" i="68"/>
  <c r="I1538" i="68"/>
  <c r="I1449" i="68"/>
  <c r="I1417" i="68"/>
  <c r="I1392" i="68"/>
  <c r="I1368" i="68"/>
  <c r="I1337" i="68"/>
  <c r="I1249" i="68"/>
  <c r="I1220" i="68"/>
  <c r="I1190" i="68"/>
  <c r="I1176" i="68"/>
  <c r="I1147" i="68"/>
  <c r="I1126" i="68"/>
  <c r="I1040" i="68"/>
  <c r="I1016" i="68"/>
  <c r="I996" i="68"/>
  <c r="I973" i="68"/>
  <c r="I953" i="68"/>
  <c r="I936" i="68"/>
  <c r="I909" i="68"/>
  <c r="I888" i="68"/>
  <c r="I870" i="68"/>
  <c r="J379" i="114"/>
  <c r="J218" i="114"/>
  <c r="J142" i="114"/>
  <c r="J25" i="114"/>
  <c r="I668" i="114"/>
  <c r="I621" i="114"/>
  <c r="I574" i="114"/>
  <c r="I455" i="114"/>
  <c r="I412" i="114"/>
  <c r="I359" i="114"/>
  <c r="I325" i="114"/>
  <c r="I291" i="114"/>
  <c r="I225" i="114"/>
  <c r="I191" i="114"/>
  <c r="I157" i="114"/>
  <c r="I128" i="114"/>
  <c r="I86" i="114"/>
  <c r="I44" i="114"/>
  <c r="J1924" i="68"/>
  <c r="J1809" i="68"/>
  <c r="J1754" i="68"/>
  <c r="J1707" i="68"/>
  <c r="J1666" i="68"/>
  <c r="J1631" i="68"/>
  <c r="J1591" i="68"/>
  <c r="J1543" i="68"/>
  <c r="J1522" i="68"/>
  <c r="J1403" i="68"/>
  <c r="J1362" i="68"/>
  <c r="J1246" i="68"/>
  <c r="J1202" i="68"/>
  <c r="J1166" i="68"/>
  <c r="J1125" i="68"/>
  <c r="J1026" i="68"/>
  <c r="J982" i="68"/>
  <c r="J944" i="68"/>
  <c r="J912" i="68"/>
  <c r="J881" i="68"/>
  <c r="J847" i="68"/>
  <c r="J758" i="68"/>
  <c r="J721" i="68"/>
  <c r="J622" i="68"/>
  <c r="J587" i="68"/>
  <c r="J500" i="68"/>
  <c r="J458" i="68"/>
  <c r="J356" i="68"/>
  <c r="J327" i="68"/>
  <c r="J225" i="68"/>
  <c r="J188" i="68"/>
  <c r="J147" i="68"/>
  <c r="J101" i="68"/>
  <c r="J69" i="68"/>
  <c r="J46" i="68"/>
  <c r="J23" i="68"/>
  <c r="I1903" i="68"/>
  <c r="I1795" i="68"/>
  <c r="I1756" i="68"/>
  <c r="I1730" i="68"/>
  <c r="I1699" i="68"/>
  <c r="I1665" i="68"/>
  <c r="I1637" i="68"/>
  <c r="I1614" i="68"/>
  <c r="I1585" i="68"/>
  <c r="I1557" i="68"/>
  <c r="I1533" i="68"/>
  <c r="I1438" i="68"/>
  <c r="I1412" i="68"/>
  <c r="I1384" i="68"/>
  <c r="I1365" i="68"/>
  <c r="I1334" i="68"/>
  <c r="I1233" i="68"/>
  <c r="I1218" i="68"/>
  <c r="I1187" i="68"/>
  <c r="I1174" i="68"/>
  <c r="I1145" i="68"/>
  <c r="I1123" i="68"/>
  <c r="I1038" i="68"/>
  <c r="I1014" i="68"/>
  <c r="I988" i="68"/>
  <c r="I971" i="68"/>
  <c r="I947" i="68"/>
  <c r="I932" i="68"/>
  <c r="I906" i="68"/>
  <c r="I886" i="68"/>
  <c r="I865" i="68"/>
  <c r="J361" i="114"/>
  <c r="J185" i="114"/>
  <c r="J118" i="114"/>
  <c r="J14" i="114"/>
  <c r="I665" i="114"/>
  <c r="I607" i="114"/>
  <c r="I562" i="114"/>
  <c r="I447" i="114"/>
  <c r="I411" i="114"/>
  <c r="I356" i="114"/>
  <c r="I307" i="114"/>
  <c r="I265" i="114"/>
  <c r="I222" i="114"/>
  <c r="I190" i="114"/>
  <c r="I156" i="114"/>
  <c r="I108" i="114"/>
  <c r="I85" i="114"/>
  <c r="I43" i="114"/>
  <c r="J1923" i="68"/>
  <c r="J1795" i="68"/>
  <c r="J1753" i="68"/>
  <c r="J1706" i="68"/>
  <c r="J1663" i="68"/>
  <c r="J1622" i="68"/>
  <c r="J1590" i="68"/>
  <c r="J1542" i="68"/>
  <c r="J1427" i="68"/>
  <c r="J1402" i="68"/>
  <c r="J1361" i="68"/>
  <c r="J1233" i="68"/>
  <c r="J1195" i="68"/>
  <c r="J1165" i="68"/>
  <c r="J1124" i="68"/>
  <c r="J1014" i="68"/>
  <c r="J980" i="68"/>
  <c r="J943" i="68"/>
  <c r="J908" i="68"/>
  <c r="J874" i="68"/>
  <c r="J843" i="68"/>
  <c r="J757" i="68"/>
  <c r="J714" i="68"/>
  <c r="J609" i="68"/>
  <c r="J586" i="68"/>
  <c r="J492" i="68"/>
  <c r="J457" i="68"/>
  <c r="J347" i="68"/>
  <c r="J304" i="68"/>
  <c r="J224" i="68"/>
  <c r="J146" i="68"/>
  <c r="J94" i="68"/>
  <c r="J68" i="68"/>
  <c r="J45" i="68"/>
  <c r="J17" i="68"/>
  <c r="I1902" i="68"/>
  <c r="I1794" i="68"/>
  <c r="I1755" i="68"/>
  <c r="I1718" i="68"/>
  <c r="I1698" i="68"/>
  <c r="I1664" i="68"/>
  <c r="I1636" i="68"/>
  <c r="I1611" i="68"/>
  <c r="I1581" i="68"/>
  <c r="I1555" i="68"/>
  <c r="I1431" i="68"/>
  <c r="I1411" i="68"/>
  <c r="I1383" i="68"/>
  <c r="I1364" i="68"/>
  <c r="I1333" i="68"/>
  <c r="I1232" i="68"/>
  <c r="I1207" i="68"/>
  <c r="I1186" i="68"/>
  <c r="I1166" i="68"/>
  <c r="I1144" i="68"/>
  <c r="I1122" i="68"/>
  <c r="I1037" i="68"/>
  <c r="I1013" i="68"/>
  <c r="I986" i="68"/>
  <c r="I970" i="68"/>
  <c r="I944" i="68"/>
  <c r="I928" i="68"/>
  <c r="I903" i="68"/>
  <c r="I885" i="68"/>
  <c r="I864" i="68"/>
  <c r="E103" i="6"/>
  <c r="J339" i="114"/>
  <c r="J320" i="114"/>
  <c r="J153" i="114"/>
  <c r="I743" i="114"/>
  <c r="I653" i="114"/>
  <c r="I560" i="114"/>
  <c r="I424" i="114"/>
  <c r="I348" i="114"/>
  <c r="I283" i="114"/>
  <c r="I205" i="114"/>
  <c r="I145" i="114"/>
  <c r="I92" i="114"/>
  <c r="I29" i="114"/>
  <c r="J1794" i="68"/>
  <c r="J1719" i="68"/>
  <c r="J1652" i="68"/>
  <c r="J1581" i="68"/>
  <c r="J1433" i="68"/>
  <c r="J1366" i="68"/>
  <c r="J1219" i="68"/>
  <c r="J1154" i="68"/>
  <c r="J1024" i="68"/>
  <c r="J956" i="68"/>
  <c r="J894" i="68"/>
  <c r="J777" i="68"/>
  <c r="J701" i="68"/>
  <c r="J519" i="68"/>
  <c r="J443" i="68"/>
  <c r="J321" i="68"/>
  <c r="J191" i="68"/>
  <c r="J109" i="68"/>
  <c r="J56" i="68"/>
  <c r="I1924" i="68"/>
  <c r="I1767" i="68"/>
  <c r="I1706" i="68"/>
  <c r="I1651" i="68"/>
  <c r="I1603" i="68"/>
  <c r="I1540" i="68"/>
  <c r="I1421" i="68"/>
  <c r="I1372" i="68"/>
  <c r="I1253" i="68"/>
  <c r="I1196" i="68"/>
  <c r="I1149" i="68"/>
  <c r="I1042" i="68"/>
  <c r="I998" i="68"/>
  <c r="I955" i="68"/>
  <c r="I911" i="68"/>
  <c r="I872" i="68"/>
  <c r="I837" i="68"/>
  <c r="I733" i="68"/>
  <c r="I638" i="68"/>
  <c r="I585" i="68"/>
  <c r="I492" i="68"/>
  <c r="I437" i="68"/>
  <c r="I347" i="68"/>
  <c r="I302" i="68"/>
  <c r="I220" i="68"/>
  <c r="I179" i="68"/>
  <c r="I140" i="68"/>
  <c r="I104" i="68"/>
  <c r="I76" i="68"/>
  <c r="I53" i="68"/>
  <c r="I31" i="68"/>
  <c r="I422" i="114"/>
  <c r="I143" i="114"/>
  <c r="I27" i="114"/>
  <c r="J1789" i="68"/>
  <c r="J1579" i="68"/>
  <c r="J1430" i="68"/>
  <c r="J1217" i="68"/>
  <c r="J954" i="68"/>
  <c r="J775" i="68"/>
  <c r="J517" i="68"/>
  <c r="J441" i="68"/>
  <c r="J189" i="68"/>
  <c r="J316" i="114"/>
  <c r="J150" i="114"/>
  <c r="I727" i="114"/>
  <c r="I650" i="114"/>
  <c r="I559" i="114"/>
  <c r="I423" i="114"/>
  <c r="I347" i="114"/>
  <c r="I282" i="114"/>
  <c r="I199" i="114"/>
  <c r="I144" i="114"/>
  <c r="I90" i="114"/>
  <c r="I28" i="114"/>
  <c r="J1793" i="68"/>
  <c r="J1718" i="68"/>
  <c r="J1651" i="68"/>
  <c r="J1580" i="68"/>
  <c r="J1431" i="68"/>
  <c r="J1365" i="68"/>
  <c r="J1218" i="68"/>
  <c r="J1153" i="68"/>
  <c r="J1016" i="68"/>
  <c r="J955" i="68"/>
  <c r="J893" i="68"/>
  <c r="J776" i="68"/>
  <c r="J699" i="68"/>
  <c r="J518" i="68"/>
  <c r="J442" i="68"/>
  <c r="J309" i="68"/>
  <c r="J190" i="68"/>
  <c r="J105" i="68"/>
  <c r="J55" i="68"/>
  <c r="I1923" i="68"/>
  <c r="I1765" i="68"/>
  <c r="I1705" i="68"/>
  <c r="I1642" i="68"/>
  <c r="I1602" i="68"/>
  <c r="I1539" i="68"/>
  <c r="I1420" i="68"/>
  <c r="I1369" i="68"/>
  <c r="I1252" i="68"/>
  <c r="I1193" i="68"/>
  <c r="I1148" i="68"/>
  <c r="I1041" i="68"/>
  <c r="I997" i="68"/>
  <c r="I954" i="68"/>
  <c r="I910" i="68"/>
  <c r="I871" i="68"/>
  <c r="I836" i="68"/>
  <c r="I729" i="68"/>
  <c r="I637" i="68"/>
  <c r="I584" i="68"/>
  <c r="I483" i="68"/>
  <c r="I436" i="68"/>
  <c r="I343" i="68"/>
  <c r="I301" i="68"/>
  <c r="I219" i="68"/>
  <c r="I176" i="68"/>
  <c r="I138" i="68"/>
  <c r="I103" i="68"/>
  <c r="I75" i="68"/>
  <c r="I52" i="68"/>
  <c r="I30" i="68"/>
  <c r="J149" i="114"/>
  <c r="I724" i="114"/>
  <c r="I640" i="114"/>
  <c r="I545" i="114"/>
  <c r="I346" i="114"/>
  <c r="I277" i="114"/>
  <c r="I198" i="114"/>
  <c r="I89" i="114"/>
  <c r="J1717" i="68"/>
  <c r="J1643" i="68"/>
  <c r="J1364" i="68"/>
  <c r="J1152" i="68"/>
  <c r="J1015" i="68"/>
  <c r="J892" i="68"/>
  <c r="J698" i="68"/>
  <c r="J308" i="68"/>
  <c r="J104" i="68"/>
  <c r="J308" i="114"/>
  <c r="J585" i="114"/>
  <c r="J261" i="114"/>
  <c r="J105" i="114"/>
  <c r="I691" i="114"/>
  <c r="I603" i="114"/>
  <c r="I470" i="114"/>
  <c r="I401" i="114"/>
  <c r="I322" i="114"/>
  <c r="I240" i="114"/>
  <c r="I182" i="114"/>
  <c r="I133" i="114"/>
  <c r="I61" i="114"/>
  <c r="J1919" i="68"/>
  <c r="J1761" i="68"/>
  <c r="J1702" i="68"/>
  <c r="J1621" i="68"/>
  <c r="J1546" i="68"/>
  <c r="J1413" i="68"/>
  <c r="J1338" i="68"/>
  <c r="J1194" i="68"/>
  <c r="J1126" i="68"/>
  <c r="J997" i="68"/>
  <c r="J933" i="68"/>
  <c r="J864" i="68"/>
  <c r="J742" i="68"/>
  <c r="J612" i="68"/>
  <c r="J501" i="68"/>
  <c r="J368" i="68"/>
  <c r="J292" i="68"/>
  <c r="J165" i="68"/>
  <c r="J88" i="68"/>
  <c r="J34" i="68"/>
  <c r="I1812" i="68"/>
  <c r="I1751" i="68"/>
  <c r="I1680" i="68"/>
  <c r="I1625" i="68"/>
  <c r="I1575" i="68"/>
  <c r="I1528" i="68"/>
  <c r="I1406" i="68"/>
  <c r="I1346" i="68"/>
  <c r="I1226" i="68"/>
  <c r="I1180" i="68"/>
  <c r="I1137" i="68"/>
  <c r="I1026" i="68"/>
  <c r="I982" i="68"/>
  <c r="I941" i="68"/>
  <c r="I900" i="68"/>
  <c r="I856" i="68"/>
  <c r="I760" i="68"/>
  <c r="I714" i="68"/>
  <c r="I609" i="68"/>
  <c r="I517" i="68"/>
  <c r="I466" i="68"/>
  <c r="I425" i="68"/>
  <c r="I335" i="68"/>
  <c r="I289" i="68"/>
  <c r="I202" i="68"/>
  <c r="I165" i="68"/>
  <c r="I122" i="68"/>
  <c r="I90" i="68"/>
  <c r="I67" i="68"/>
  <c r="I45" i="68"/>
  <c r="I21" i="68"/>
  <c r="J574" i="114"/>
  <c r="J240" i="114"/>
  <c r="J102" i="114"/>
  <c r="I595" i="114"/>
  <c r="I469" i="114"/>
  <c r="I400" i="114"/>
  <c r="I318" i="114"/>
  <c r="I237" i="114"/>
  <c r="I181" i="114"/>
  <c r="I132" i="114"/>
  <c r="I58" i="114"/>
  <c r="J1918" i="68"/>
  <c r="J1760" i="68"/>
  <c r="J467" i="114"/>
  <c r="J232" i="114"/>
  <c r="J79" i="114"/>
  <c r="I685" i="114"/>
  <c r="I593" i="114"/>
  <c r="I458" i="114"/>
  <c r="I379" i="114"/>
  <c r="I306" i="114"/>
  <c r="I230" i="114"/>
  <c r="I179" i="114"/>
  <c r="I117" i="114"/>
  <c r="J1903" i="68"/>
  <c r="J1757" i="68"/>
  <c r="J1675" i="68"/>
  <c r="J1614" i="68"/>
  <c r="J1538" i="68"/>
  <c r="J1406" i="68"/>
  <c r="J1256" i="68"/>
  <c r="J1186" i="68"/>
  <c r="J1123" i="68"/>
  <c r="J987" i="68"/>
  <c r="J925" i="68"/>
  <c r="J855" i="68"/>
  <c r="J736" i="68"/>
  <c r="J607" i="68"/>
  <c r="J479" i="68"/>
  <c r="J355" i="68"/>
  <c r="J280" i="68"/>
  <c r="J161" i="68"/>
  <c r="J74" i="68"/>
  <c r="J29" i="68"/>
  <c r="I1805" i="68"/>
  <c r="I1742" i="68"/>
  <c r="I1671" i="68"/>
  <c r="I1622" i="68"/>
  <c r="I1561" i="68"/>
  <c r="I1521" i="68"/>
  <c r="I1393" i="68"/>
  <c r="I1339" i="68"/>
  <c r="I1221" i="68"/>
  <c r="I1177" i="68"/>
  <c r="I1131" i="68"/>
  <c r="I1019" i="68"/>
  <c r="I977" i="68"/>
  <c r="I938" i="68"/>
  <c r="I889" i="68"/>
  <c r="I852" i="68"/>
  <c r="I757" i="68"/>
  <c r="I711" i="68"/>
  <c r="I603" i="68"/>
  <c r="I508" i="68"/>
  <c r="I463" i="68"/>
  <c r="I371" i="68"/>
  <c r="I321" i="68"/>
  <c r="I284" i="68"/>
  <c r="I196" i="68"/>
  <c r="I162" i="68"/>
  <c r="I119" i="68"/>
  <c r="I87" i="68"/>
  <c r="I64" i="68"/>
  <c r="I40" i="68"/>
  <c r="I18" i="68"/>
  <c r="J435" i="114"/>
  <c r="J231" i="114"/>
  <c r="J76" i="114"/>
  <c r="I677" i="114"/>
  <c r="I591" i="114"/>
  <c r="I456" i="114"/>
  <c r="I376" i="114"/>
  <c r="I304" i="114"/>
  <c r="I229" i="114"/>
  <c r="I176" i="114"/>
  <c r="I110" i="114"/>
  <c r="I47" i="114"/>
  <c r="J1895" i="68"/>
  <c r="J1755" i="68"/>
  <c r="J1674" i="68"/>
  <c r="J1610" i="68"/>
  <c r="J1537" i="68"/>
  <c r="J1405" i="68"/>
  <c r="J1252" i="68"/>
  <c r="J1178" i="68"/>
  <c r="J1047" i="68"/>
  <c r="J983" i="68"/>
  <c r="I589" i="114"/>
  <c r="I723" i="114"/>
  <c r="J221" i="114"/>
  <c r="J237" i="114"/>
  <c r="J24" i="114"/>
  <c r="J270" i="114"/>
  <c r="I170" i="68"/>
  <c r="I201" i="68"/>
  <c r="I283" i="68"/>
  <c r="I307" i="68"/>
  <c r="I350" i="68"/>
  <c r="I431" i="68"/>
  <c r="I469" i="68"/>
  <c r="I505" i="68"/>
  <c r="I595" i="68"/>
  <c r="I692" i="68"/>
  <c r="I726" i="68"/>
  <c r="I762" i="68"/>
  <c r="I851" i="68"/>
  <c r="I884" i="68"/>
  <c r="I912" i="68"/>
  <c r="I949" i="68"/>
  <c r="I983" i="68"/>
  <c r="I1018" i="68"/>
  <c r="I1121" i="68"/>
  <c r="I1151" i="68"/>
  <c r="I1188" i="68"/>
  <c r="I1229" i="68"/>
  <c r="I1338" i="68"/>
  <c r="I1378" i="68"/>
  <c r="I1422" i="68"/>
  <c r="I1536" i="68"/>
  <c r="I1578" i="68"/>
  <c r="I1618" i="68"/>
  <c r="I1663" i="68"/>
  <c r="I1708" i="68"/>
  <c r="I1757" i="68"/>
  <c r="I1894" i="68"/>
  <c r="J26" i="68"/>
  <c r="J67" i="68"/>
  <c r="J114" i="68"/>
  <c r="J179" i="68"/>
  <c r="J293" i="68"/>
  <c r="J354" i="68"/>
  <c r="J461" i="68"/>
  <c r="J523" i="68"/>
  <c r="J691" i="68"/>
  <c r="J746" i="68"/>
  <c r="J854" i="68"/>
  <c r="J903" i="68"/>
  <c r="J957" i="68"/>
  <c r="J1013" i="68"/>
  <c r="J1128" i="68"/>
  <c r="J1180" i="68"/>
  <c r="J1236" i="68"/>
  <c r="J1373" i="68"/>
  <c r="J1426" i="68"/>
  <c r="J1550" i="68"/>
  <c r="J1611" i="68"/>
  <c r="J1665" i="68"/>
  <c r="J1720" i="68"/>
  <c r="J1776" i="68"/>
  <c r="J1920" i="68"/>
  <c r="I57" i="114"/>
  <c r="I105" i="114"/>
  <c r="I152" i="114"/>
  <c r="I196" i="114"/>
  <c r="I246" i="114"/>
  <c r="I305" i="114"/>
  <c r="I361" i="114"/>
  <c r="I425" i="114"/>
  <c r="I491" i="114"/>
  <c r="I605" i="114"/>
  <c r="I679" i="114"/>
  <c r="J44" i="114"/>
  <c r="J162" i="114"/>
  <c r="J278" i="114"/>
  <c r="J683" i="114"/>
  <c r="I22" i="68"/>
  <c r="I42" i="68"/>
  <c r="I62" i="68"/>
  <c r="I83" i="68"/>
  <c r="I109" i="68"/>
  <c r="I143" i="68"/>
  <c r="I177" i="68"/>
  <c r="I213" i="68"/>
  <c r="I291" i="68"/>
  <c r="I322" i="68"/>
  <c r="I356" i="68"/>
  <c r="I441" i="68"/>
  <c r="I479" i="68"/>
  <c r="I519" i="68"/>
  <c r="I604" i="68"/>
  <c r="I698" i="68"/>
  <c r="I737" i="68"/>
  <c r="I774" i="68"/>
  <c r="I860" i="68"/>
  <c r="I892" i="68"/>
  <c r="I929" i="68"/>
  <c r="I957" i="68"/>
  <c r="I992" i="68"/>
  <c r="I1028" i="68"/>
  <c r="I1132" i="68"/>
  <c r="I1167" i="68"/>
  <c r="I1198" i="68"/>
  <c r="I1243" i="68"/>
  <c r="I1352" i="68"/>
  <c r="I1400" i="68"/>
  <c r="I1433" i="68"/>
  <c r="I1542" i="68"/>
  <c r="I1592" i="68"/>
  <c r="I1627" i="68"/>
  <c r="I1672" i="68"/>
  <c r="I1719" i="68"/>
  <c r="I1776" i="68"/>
  <c r="I1909" i="68"/>
  <c r="J36" i="68"/>
  <c r="J75" i="68"/>
  <c r="J130" i="68"/>
  <c r="J200" i="68"/>
  <c r="J305" i="68"/>
  <c r="J371" i="68"/>
  <c r="J480" i="68"/>
  <c r="J590" i="68"/>
  <c r="J705" i="68"/>
  <c r="J762" i="68"/>
  <c r="J870" i="68"/>
  <c r="J926" i="68"/>
  <c r="J977" i="68"/>
  <c r="J1027" i="68"/>
  <c r="J1146" i="68"/>
  <c r="J1196" i="68"/>
  <c r="J1259" i="68"/>
  <c r="J1381" i="68"/>
  <c r="J1523" i="68"/>
  <c r="J1575" i="68"/>
  <c r="J1623" i="68"/>
  <c r="J1676" i="68"/>
  <c r="J1743" i="68"/>
  <c r="J1796" i="68"/>
  <c r="I17" i="114"/>
  <c r="I63" i="114"/>
  <c r="I118" i="114"/>
  <c r="I163" i="114"/>
  <c r="I208" i="114"/>
  <c r="I266" i="114"/>
  <c r="I326" i="114"/>
  <c r="I380" i="114"/>
  <c r="I439" i="114"/>
  <c r="I563" i="114"/>
  <c r="I634" i="114"/>
  <c r="I693" i="114"/>
  <c r="J80" i="114"/>
  <c r="J190" i="114"/>
  <c r="J707" i="114"/>
  <c r="Q1564" i="68"/>
  <c r="Q1565" i="68" s="1"/>
  <c r="T1564" i="68"/>
  <c r="Y1564" i="68" s="1"/>
  <c r="Z1564" i="68" s="1"/>
  <c r="T1561" i="68"/>
  <c r="Y1561" i="68" s="1"/>
  <c r="R1564" i="68"/>
  <c r="R1565" i="68" s="1"/>
  <c r="O1564" i="68"/>
  <c r="M1564" i="68"/>
  <c r="N1564" i="68"/>
  <c r="N1565" i="68" s="1"/>
  <c r="S1564" i="68"/>
  <c r="S1565" i="68" s="1"/>
  <c r="L1564" i="68"/>
  <c r="L1565" i="68" s="1"/>
  <c r="J1564" i="68"/>
  <c r="J1565" i="68" s="1"/>
  <c r="K1564" i="68"/>
  <c r="K1565" i="68" s="1"/>
  <c r="I1564" i="68"/>
  <c r="I1565" i="68" s="1"/>
  <c r="M361" i="114"/>
  <c r="J380" i="114"/>
  <c r="J264" i="114"/>
  <c r="J161" i="114"/>
  <c r="J75" i="114"/>
  <c r="I699" i="114"/>
  <c r="I657" i="114"/>
  <c r="I592" i="114"/>
  <c r="I478" i="114"/>
  <c r="I436" i="114"/>
  <c r="I394" i="114"/>
  <c r="I342" i="114"/>
  <c r="I295" i="114"/>
  <c r="I243" i="114"/>
  <c r="I202" i="114"/>
  <c r="I165" i="114"/>
  <c r="I134" i="114"/>
  <c r="I93" i="114"/>
  <c r="I52" i="114"/>
  <c r="I13" i="114"/>
  <c r="J1800" i="68"/>
  <c r="J1756" i="68"/>
  <c r="J1708" i="68"/>
  <c r="J1664" i="68"/>
  <c r="J1618" i="68"/>
  <c r="J1577" i="68"/>
  <c r="J1529" i="68"/>
  <c r="J1417" i="68"/>
  <c r="J1367" i="68"/>
  <c r="J1249" i="68"/>
  <c r="J1198" i="68"/>
  <c r="J1157" i="68"/>
  <c r="J1158" i="68" s="1"/>
  <c r="J1120" i="68"/>
  <c r="J1012" i="68"/>
  <c r="J970" i="68"/>
  <c r="J928" i="68"/>
  <c r="J883" i="68"/>
  <c r="J844" i="68"/>
  <c r="J743" i="68"/>
  <c r="J700" i="68"/>
  <c r="J595" i="68"/>
  <c r="J502" i="68"/>
  <c r="J444" i="68"/>
  <c r="J353" i="68"/>
  <c r="J297" i="68"/>
  <c r="J202" i="68"/>
  <c r="J151" i="68"/>
  <c r="J102" i="68"/>
  <c r="J64" i="68"/>
  <c r="J33" i="68"/>
  <c r="I1918" i="68"/>
  <c r="I1793" i="68"/>
  <c r="I1752" i="68"/>
  <c r="I1707" i="68"/>
  <c r="I1667" i="68"/>
  <c r="I1633" i="68"/>
  <c r="I1604" i="68"/>
  <c r="I1560" i="68"/>
  <c r="I1535" i="68"/>
  <c r="I1428" i="68"/>
  <c r="I1402" i="68"/>
  <c r="I1366" i="68"/>
  <c r="I1332" i="68"/>
  <c r="I1228" i="68"/>
  <c r="I1194" i="68"/>
  <c r="I1169" i="68"/>
  <c r="I1138" i="68"/>
  <c r="I1043" i="68"/>
  <c r="I1017" i="68"/>
  <c r="I987" i="68"/>
  <c r="I965" i="68"/>
  <c r="I937" i="68"/>
  <c r="I907" i="68"/>
  <c r="I883" i="68"/>
  <c r="I855" i="68"/>
  <c r="I776" i="68"/>
  <c r="I745" i="68"/>
  <c r="I721" i="68"/>
  <c r="I691" i="68"/>
  <c r="I601" i="68"/>
  <c r="I523" i="68"/>
  <c r="I484" i="68"/>
  <c r="I460" i="68"/>
  <c r="I427" i="68"/>
  <c r="I346" i="68"/>
  <c r="I308" i="68"/>
  <c r="L158" i="114"/>
  <c r="J333" i="114"/>
  <c r="J217" i="114"/>
  <c r="J114" i="114"/>
  <c r="J19" i="114"/>
  <c r="I681" i="114"/>
  <c r="I629" i="114"/>
  <c r="I571" i="114"/>
  <c r="I463" i="114"/>
  <c r="I418" i="114"/>
  <c r="I363" i="114"/>
  <c r="I324" i="114"/>
  <c r="I274" i="114"/>
  <c r="I224" i="114"/>
  <c r="I187" i="114"/>
  <c r="I154" i="114"/>
  <c r="I112" i="114"/>
  <c r="I82" i="114"/>
  <c r="I35" i="114"/>
  <c r="J1909" i="68"/>
  <c r="J1785" i="68"/>
  <c r="J1741" i="68"/>
  <c r="J1695" i="68"/>
  <c r="J1642" i="68"/>
  <c r="J1605" i="68"/>
  <c r="J1552" i="68"/>
  <c r="J1437" i="68"/>
  <c r="J1401" i="68"/>
  <c r="J1346" i="68"/>
  <c r="J1230" i="68"/>
  <c r="J1183" i="68"/>
  <c r="J1144" i="68"/>
  <c r="J1032" i="68"/>
  <c r="J994" i="68"/>
  <c r="J950" i="68"/>
  <c r="J907" i="68"/>
  <c r="J866" i="68"/>
  <c r="J774" i="68"/>
  <c r="J728" i="68"/>
  <c r="J627" i="68"/>
  <c r="J530" i="68"/>
  <c r="J477" i="68"/>
  <c r="J427" i="68"/>
  <c r="J335" i="68"/>
  <c r="J282" i="68"/>
  <c r="J181" i="68"/>
  <c r="J124" i="68"/>
  <c r="J85" i="68"/>
  <c r="J50" i="68"/>
  <c r="J22" i="68"/>
  <c r="I1772" i="68"/>
  <c r="I1727" i="68"/>
  <c r="I1694" i="68"/>
  <c r="I1655" i="68"/>
  <c r="I1621" i="68"/>
  <c r="I1587" i="68"/>
  <c r="I1551" i="68"/>
  <c r="I1525" i="68"/>
  <c r="I1416" i="68"/>
  <c r="I1382" i="68"/>
  <c r="I1350" i="68"/>
  <c r="I1248" i="68"/>
  <c r="I1217" i="68"/>
  <c r="I1184" i="68"/>
  <c r="I1153" i="68"/>
  <c r="I1128" i="68"/>
  <c r="I1035" i="68"/>
  <c r="I1002" i="68"/>
  <c r="I979" i="68"/>
  <c r="I951" i="68"/>
  <c r="I927" i="68"/>
  <c r="I897" i="68"/>
  <c r="I869" i="68"/>
  <c r="I847" i="68"/>
  <c r="I766" i="68"/>
  <c r="I735" i="68"/>
  <c r="I705" i="68"/>
  <c r="I621" i="68"/>
  <c r="I589" i="68"/>
  <c r="I507" i="68"/>
  <c r="I476" i="68"/>
  <c r="I443" i="68"/>
  <c r="I368" i="68"/>
  <c r="I336" i="68"/>
  <c r="L137" i="114"/>
  <c r="J323" i="114"/>
  <c r="J208" i="114"/>
  <c r="J113" i="114"/>
  <c r="J18" i="114"/>
  <c r="I680" i="114"/>
  <c r="I626" i="114"/>
  <c r="I570" i="114"/>
  <c r="I459" i="114"/>
  <c r="I417" i="114"/>
  <c r="I362" i="114"/>
  <c r="I323" i="114"/>
  <c r="I273" i="114"/>
  <c r="I223" i="114"/>
  <c r="I186" i="114"/>
  <c r="I153" i="114"/>
  <c r="I111" i="114"/>
  <c r="I78" i="114"/>
  <c r="I34" i="114"/>
  <c r="J1906" i="68"/>
  <c r="J1784" i="68"/>
  <c r="J1733" i="68"/>
  <c r="J1694" i="68"/>
  <c r="J1639" i="68"/>
  <c r="J1595" i="68"/>
  <c r="J1551" i="68"/>
  <c r="J1436" i="68"/>
  <c r="J1400" i="68"/>
  <c r="J1344" i="68"/>
  <c r="J1229" i="68"/>
  <c r="J1182" i="68"/>
  <c r="J1143" i="68"/>
  <c r="J1031" i="68"/>
  <c r="J988" i="68"/>
  <c r="J949" i="68"/>
  <c r="J906" i="68"/>
  <c r="J865" i="68"/>
  <c r="J773" i="68"/>
  <c r="J727" i="68"/>
  <c r="J626" i="68"/>
  <c r="J524" i="68"/>
  <c r="J476" i="68"/>
  <c r="J426" i="68"/>
  <c r="J334" i="68"/>
  <c r="J281" i="68"/>
  <c r="J180" i="68"/>
  <c r="J123" i="68"/>
  <c r="J84" i="68"/>
  <c r="J49" i="68"/>
  <c r="J18" i="68"/>
  <c r="I1768" i="68"/>
  <c r="I1725" i="68"/>
  <c r="I1693" i="68"/>
  <c r="I1654" i="68"/>
  <c r="I1620" i="68"/>
  <c r="I1586" i="68"/>
  <c r="I1550" i="68"/>
  <c r="I1524" i="68"/>
  <c r="I1415" i="68"/>
  <c r="I1381" i="68"/>
  <c r="I1349" i="68"/>
  <c r="I1247" i="68"/>
  <c r="I1210" i="68"/>
  <c r="I1183" i="68"/>
  <c r="I1152" i="68"/>
  <c r="I1127" i="68"/>
  <c r="I1032" i="68"/>
  <c r="I1001" i="68"/>
  <c r="I978" i="68"/>
  <c r="I950" i="68"/>
  <c r="I926" i="68"/>
  <c r="I896" i="68"/>
  <c r="I868" i="68"/>
  <c r="I844" i="68"/>
  <c r="I763" i="68"/>
  <c r="I734" i="68"/>
  <c r="I704" i="68"/>
  <c r="I620" i="68"/>
  <c r="I588" i="68"/>
  <c r="I506" i="68"/>
  <c r="I475" i="68"/>
  <c r="I442" i="68"/>
  <c r="J655" i="114"/>
  <c r="J319" i="114"/>
  <c r="J194" i="114"/>
  <c r="J106" i="114"/>
  <c r="I747" i="114"/>
  <c r="I678" i="114"/>
  <c r="I622" i="114"/>
  <c r="I567" i="114"/>
  <c r="I457" i="114"/>
  <c r="I415" i="114"/>
  <c r="I360" i="114"/>
  <c r="I321" i="114"/>
  <c r="I271" i="114"/>
  <c r="I221" i="114"/>
  <c r="I183" i="114"/>
  <c r="I148" i="114"/>
  <c r="I109" i="114"/>
  <c r="I76" i="114"/>
  <c r="I30" i="114"/>
  <c r="J1902" i="68"/>
  <c r="J1773" i="68"/>
  <c r="J1727" i="68"/>
  <c r="J1680" i="68"/>
  <c r="J1636" i="68"/>
  <c r="J1593" i="68"/>
  <c r="J1549" i="68"/>
  <c r="J1432" i="68"/>
  <c r="J1392" i="68"/>
  <c r="J1340" i="68"/>
  <c r="J1227" i="68"/>
  <c r="J1179" i="68"/>
  <c r="J1136" i="68"/>
  <c r="J1029" i="68"/>
  <c r="J986" i="68"/>
  <c r="J947" i="68"/>
  <c r="J902" i="68"/>
  <c r="J863" i="68"/>
  <c r="J769" i="68"/>
  <c r="J722" i="68"/>
  <c r="J621" i="68"/>
  <c r="J520" i="68"/>
  <c r="J474" i="68"/>
  <c r="J424" i="68"/>
  <c r="J326" i="68"/>
  <c r="J279" i="68"/>
  <c r="J178" i="68"/>
  <c r="J120" i="68"/>
  <c r="J79" i="68"/>
  <c r="J47" i="68"/>
  <c r="J16" i="68"/>
  <c r="I1893" i="68"/>
  <c r="I1766" i="68"/>
  <c r="I1721" i="68"/>
  <c r="I1683" i="68"/>
  <c r="I1652" i="68"/>
  <c r="I1617" i="68"/>
  <c r="I1584" i="68"/>
  <c r="I1548" i="68"/>
  <c r="I1520" i="68"/>
  <c r="I1413" i="68"/>
  <c r="I1377" i="68"/>
  <c r="I1344" i="68"/>
  <c r="I1245" i="68"/>
  <c r="I1206" i="68"/>
  <c r="I1181" i="68"/>
  <c r="I1150" i="68"/>
  <c r="I1125" i="68"/>
  <c r="I1030" i="68"/>
  <c r="I999" i="68"/>
  <c r="I974" i="68"/>
  <c r="I948" i="68"/>
  <c r="I918" i="68"/>
  <c r="I894" i="68"/>
  <c r="I866" i="68"/>
  <c r="I842" i="68"/>
  <c r="I761" i="68"/>
  <c r="I730" i="68"/>
  <c r="I700" i="68"/>
  <c r="I612" i="68"/>
  <c r="I586" i="68"/>
  <c r="I23" i="68"/>
  <c r="I43" i="68"/>
  <c r="I63" i="68"/>
  <c r="I84" i="68"/>
  <c r="I110" i="68"/>
  <c r="I146" i="68"/>
  <c r="I178" i="68"/>
  <c r="I214" i="68"/>
  <c r="I292" i="68"/>
  <c r="I325" i="68"/>
  <c r="I357" i="68"/>
  <c r="I444" i="68"/>
  <c r="I480" i="68"/>
  <c r="I520" i="68"/>
  <c r="I605" i="68"/>
  <c r="I699" i="68"/>
  <c r="I740" i="68"/>
  <c r="I775" i="68"/>
  <c r="I861" i="68"/>
  <c r="I893" i="68"/>
  <c r="I930" i="68"/>
  <c r="I958" i="68"/>
  <c r="I993" i="68"/>
  <c r="I1029" i="68"/>
  <c r="I1133" i="68"/>
  <c r="I1168" i="68"/>
  <c r="I1199" i="68"/>
  <c r="I1244" i="68"/>
  <c r="I1359" i="68"/>
  <c r="I1401" i="68"/>
  <c r="I1436" i="68"/>
  <c r="I1547" i="68"/>
  <c r="I1593" i="68"/>
  <c r="I1632" i="68"/>
  <c r="I1673" i="68"/>
  <c r="I1720" i="68"/>
  <c r="I1784" i="68"/>
  <c r="I1910" i="68"/>
  <c r="J37" i="68"/>
  <c r="J76" i="68"/>
  <c r="J138" i="68"/>
  <c r="J201" i="68"/>
  <c r="J306" i="68"/>
  <c r="J423" i="68"/>
  <c r="J481" i="68"/>
  <c r="J594" i="68"/>
  <c r="J706" i="68"/>
  <c r="J763" i="68"/>
  <c r="J872" i="68"/>
  <c r="J927" i="68"/>
  <c r="J978" i="68"/>
  <c r="J1028" i="68"/>
  <c r="J1147" i="68"/>
  <c r="J1197" i="68"/>
  <c r="J1331" i="68"/>
  <c r="J1385" i="68"/>
  <c r="J1524" i="68"/>
  <c r="J1576" i="68"/>
  <c r="J1627" i="68"/>
  <c r="J1677" i="68"/>
  <c r="J1744" i="68"/>
  <c r="J1799" i="68"/>
  <c r="I18" i="114"/>
  <c r="I73" i="114"/>
  <c r="I119" i="114"/>
  <c r="I164" i="114"/>
  <c r="I211" i="114"/>
  <c r="I269" i="114"/>
  <c r="I328" i="114"/>
  <c r="I381" i="114"/>
  <c r="I440" i="114"/>
  <c r="I566" i="114"/>
  <c r="I636" i="114"/>
  <c r="I695" i="114"/>
  <c r="J83" i="114"/>
  <c r="J193" i="114"/>
  <c r="J343" i="114"/>
  <c r="I293" i="68"/>
  <c r="I326" i="68"/>
  <c r="I364" i="68"/>
  <c r="I445" i="68"/>
  <c r="I481" i="68"/>
  <c r="I524" i="68"/>
  <c r="I606" i="68"/>
  <c r="I701" i="68"/>
  <c r="I741" i="68"/>
  <c r="I777" i="68"/>
  <c r="I862" i="68"/>
  <c r="I895" i="68"/>
  <c r="I931" i="68"/>
  <c r="I966" i="68"/>
  <c r="I994" i="68"/>
  <c r="I1031" i="68"/>
  <c r="I1134" i="68"/>
  <c r="I1170" i="68"/>
  <c r="I1200" i="68"/>
  <c r="I1246" i="68"/>
  <c r="I1360" i="68"/>
  <c r="I1403" i="68"/>
  <c r="I1437" i="68"/>
  <c r="I1549" i="68"/>
  <c r="I1594" i="68"/>
  <c r="I1634" i="68"/>
  <c r="I1675" i="68"/>
  <c r="I1724" i="68"/>
  <c r="I1786" i="68"/>
  <c r="I1921" i="68"/>
  <c r="J43" i="68"/>
  <c r="J83" i="68"/>
  <c r="J143" i="68"/>
  <c r="J203" i="68"/>
  <c r="J307" i="68"/>
  <c r="J425" i="68"/>
  <c r="J482" i="68"/>
  <c r="J600" i="68"/>
  <c r="J712" i="68"/>
  <c r="J770" i="68"/>
  <c r="J873" i="68"/>
  <c r="J930" i="68"/>
  <c r="J979" i="68"/>
  <c r="J1030" i="68"/>
  <c r="J1148" i="68"/>
  <c r="J1201" i="68"/>
  <c r="J1334" i="68"/>
  <c r="J1393" i="68"/>
  <c r="J1525" i="68"/>
  <c r="J1578" i="68"/>
  <c r="J1628" i="68"/>
  <c r="J1693" i="68"/>
  <c r="J1748" i="68"/>
  <c r="J1808" i="68"/>
  <c r="I21" i="114"/>
  <c r="I77" i="114"/>
  <c r="I120" i="114"/>
  <c r="I166" i="114"/>
  <c r="I212" i="114"/>
  <c r="I272" i="114"/>
  <c r="I331" i="114"/>
  <c r="I398" i="114"/>
  <c r="I446" i="114"/>
  <c r="I569" i="114"/>
  <c r="I637" i="114"/>
  <c r="I707" i="114"/>
  <c r="J91" i="114"/>
  <c r="J207" i="114"/>
  <c r="J355" i="114"/>
  <c r="J15" i="114"/>
  <c r="J97" i="114"/>
  <c r="J166" i="114"/>
  <c r="J256" i="114"/>
  <c r="J340" i="114"/>
  <c r="J461" i="114"/>
  <c r="J350" i="114"/>
  <c r="J295" i="114"/>
  <c r="J226" i="114"/>
  <c r="J182" i="114"/>
  <c r="J138" i="114"/>
  <c r="J88" i="114"/>
  <c r="J35" i="114"/>
  <c r="I716" i="114"/>
  <c r="I684" i="114"/>
  <c r="I656" i="114"/>
  <c r="I620" i="114"/>
  <c r="I586" i="114"/>
  <c r="I552" i="114"/>
  <c r="I462" i="114"/>
  <c r="I433" i="114"/>
  <c r="I405" i="114"/>
  <c r="I370" i="114"/>
  <c r="I341" i="114"/>
  <c r="I317" i="114"/>
  <c r="I280" i="114"/>
  <c r="I258" i="114"/>
  <c r="I219" i="114"/>
  <c r="I195" i="114"/>
  <c r="I175" i="114"/>
  <c r="I151" i="114"/>
  <c r="I131" i="114"/>
  <c r="I103" i="114"/>
  <c r="I81" i="114"/>
  <c r="I51" i="114"/>
  <c r="I26" i="114"/>
  <c r="J1917" i="68"/>
  <c r="J1804" i="68"/>
  <c r="J1771" i="68"/>
  <c r="J1747" i="68"/>
  <c r="J1716" i="68"/>
  <c r="J1692" i="68"/>
  <c r="J1657" i="68"/>
  <c r="J1626" i="68"/>
  <c r="J1604" i="68"/>
  <c r="J1574" i="68"/>
  <c r="J1541" i="68"/>
  <c r="J1520" i="68"/>
  <c r="J1416" i="68"/>
  <c r="J1384" i="68"/>
  <c r="J1360" i="68"/>
  <c r="J1255" i="68"/>
  <c r="J1223" i="68"/>
  <c r="J1193" i="68"/>
  <c r="J1169" i="68"/>
  <c r="J1139" i="68"/>
  <c r="J1045" i="68"/>
  <c r="J1020" i="68"/>
  <c r="J993" i="68"/>
  <c r="J969" i="68"/>
  <c r="J941" i="68"/>
  <c r="J911" i="68"/>
  <c r="J887" i="68"/>
  <c r="J861" i="68"/>
  <c r="J837" i="68"/>
  <c r="J756" i="68"/>
  <c r="J725" i="68"/>
  <c r="J695" i="68"/>
  <c r="J605" i="68"/>
  <c r="J529" i="68"/>
  <c r="J497" i="68"/>
  <c r="J464" i="68"/>
  <c r="J431" i="68"/>
  <c r="J352" i="68"/>
  <c r="J320" i="68"/>
  <c r="J290" i="68"/>
  <c r="J212" i="68"/>
  <c r="J176" i="68"/>
  <c r="J142" i="68"/>
  <c r="J108" i="68"/>
  <c r="J82" i="68"/>
  <c r="J61" i="68"/>
  <c r="J41" i="68"/>
  <c r="J21" i="68"/>
  <c r="I1917" i="68"/>
  <c r="I1804" i="68"/>
  <c r="I1771" i="68"/>
  <c r="I1747" i="68"/>
  <c r="I1716" i="68"/>
  <c r="I1692" i="68"/>
  <c r="J456" i="114"/>
  <c r="J349" i="114"/>
  <c r="J294" i="114"/>
  <c r="J225" i="114"/>
  <c r="J181" i="114"/>
  <c r="J137" i="114"/>
  <c r="J87" i="114"/>
  <c r="J34" i="114"/>
  <c r="I715" i="114"/>
  <c r="I683" i="114"/>
  <c r="I655" i="114"/>
  <c r="I619" i="114"/>
  <c r="G103" i="6" s="1"/>
  <c r="I585" i="114"/>
  <c r="I551" i="114"/>
  <c r="I461" i="114"/>
  <c r="I432" i="114"/>
  <c r="I404" i="114"/>
  <c r="I369" i="114"/>
  <c r="I340" i="114"/>
  <c r="I316" i="114"/>
  <c r="I279" i="114"/>
  <c r="I257" i="114"/>
  <c r="I218" i="114"/>
  <c r="I194" i="114"/>
  <c r="I172" i="114"/>
  <c r="I150" i="114"/>
  <c r="I130" i="114"/>
  <c r="I102" i="114"/>
  <c r="I80" i="114"/>
  <c r="I50" i="114"/>
  <c r="I25" i="114"/>
  <c r="J1914" i="68"/>
  <c r="J1803" i="68"/>
  <c r="J1770" i="68"/>
  <c r="J1746" i="68"/>
  <c r="J1715" i="68"/>
  <c r="J1691" i="68"/>
  <c r="J1656" i="68"/>
  <c r="J1625" i="68"/>
  <c r="J1603" i="68"/>
  <c r="J1567" i="68"/>
  <c r="J1540" i="68"/>
  <c r="J1449" i="68"/>
  <c r="J1415" i="68"/>
  <c r="J1383" i="68"/>
  <c r="J1359" i="68"/>
  <c r="J1254" i="68"/>
  <c r="J1222" i="68"/>
  <c r="J1190" i="68"/>
  <c r="J1168" i="68"/>
  <c r="J1138" i="68"/>
  <c r="J1044" i="68"/>
  <c r="J1019" i="68"/>
  <c r="J992" i="68"/>
  <c r="J968" i="68"/>
  <c r="J940" i="68"/>
  <c r="J910" i="68"/>
  <c r="J886" i="68"/>
  <c r="J860" i="68"/>
  <c r="J836" i="68"/>
  <c r="J755" i="68"/>
  <c r="J724" i="68"/>
  <c r="J694" i="68"/>
  <c r="J604" i="68"/>
  <c r="J528" i="68"/>
  <c r="J496" i="68"/>
  <c r="J463" i="68"/>
  <c r="J430" i="68"/>
  <c r="J351" i="68"/>
  <c r="J319" i="68"/>
  <c r="J289" i="68"/>
  <c r="J205" i="68"/>
  <c r="J175" i="68"/>
  <c r="J141" i="68"/>
  <c r="J107" i="68"/>
  <c r="J81" i="68"/>
  <c r="J60" i="68"/>
  <c r="J40" i="68"/>
  <c r="J20" i="68"/>
  <c r="I1914" i="68"/>
  <c r="I1803" i="68"/>
  <c r="I1770" i="68"/>
  <c r="I1746" i="68"/>
  <c r="I1715" i="68"/>
  <c r="J439" i="114"/>
  <c r="J346" i="114"/>
  <c r="J291" i="114"/>
  <c r="J222" i="114"/>
  <c r="J178" i="114"/>
  <c r="J134" i="114"/>
  <c r="J84" i="114"/>
  <c r="J29" i="114"/>
  <c r="I712" i="114"/>
  <c r="I682" i="114"/>
  <c r="I654" i="114"/>
  <c r="I610" i="114"/>
  <c r="I584" i="114"/>
  <c r="I548" i="114"/>
  <c r="I460" i="114"/>
  <c r="I429" i="114"/>
  <c r="I403" i="114"/>
  <c r="I368" i="114"/>
  <c r="I339" i="114"/>
  <c r="I308" i="114"/>
  <c r="I278" i="114"/>
  <c r="I256" i="114"/>
  <c r="I217" i="114"/>
  <c r="I193" i="114"/>
  <c r="I169" i="114"/>
  <c r="I149" i="114"/>
  <c r="I129" i="114"/>
  <c r="I101" i="114"/>
  <c r="I79" i="114"/>
  <c r="I24" i="114"/>
  <c r="J1911" i="68"/>
  <c r="J1802" i="68"/>
  <c r="J1769" i="68"/>
  <c r="J1745" i="68"/>
  <c r="J1714" i="68"/>
  <c r="J1683" i="68"/>
  <c r="J1655" i="68"/>
  <c r="J1624" i="68"/>
  <c r="J1602" i="68"/>
  <c r="J1561" i="68"/>
  <c r="J1539" i="68"/>
  <c r="J1441" i="68"/>
  <c r="J1414" i="68"/>
  <c r="J1382" i="68"/>
  <c r="J1352" i="68"/>
  <c r="J1253" i="68"/>
  <c r="J1221" i="68"/>
  <c r="J1189" i="68"/>
  <c r="J1167" i="68"/>
  <c r="J1137" i="68"/>
  <c r="J1043" i="68"/>
  <c r="J1018" i="68"/>
  <c r="J991" i="68"/>
  <c r="J967" i="68"/>
  <c r="J939" i="68"/>
  <c r="J909" i="68"/>
  <c r="J885" i="68"/>
  <c r="J857" i="68"/>
  <c r="J780" i="68"/>
  <c r="J749" i="68"/>
  <c r="J723" i="68"/>
  <c r="J693" i="68"/>
  <c r="J603" i="68"/>
  <c r="J527" i="68"/>
  <c r="J495" i="68"/>
  <c r="J462" i="68"/>
  <c r="J429" i="68"/>
  <c r="J350" i="68"/>
  <c r="J312" i="68"/>
  <c r="J288" i="68"/>
  <c r="J204" i="68"/>
  <c r="J172" i="68"/>
  <c r="J140" i="68"/>
  <c r="J106" i="68"/>
  <c r="J80" i="68"/>
  <c r="J59" i="68"/>
  <c r="J39" i="68"/>
  <c r="J19" i="68"/>
  <c r="I1911" i="68"/>
  <c r="I1802" i="68"/>
  <c r="I1769" i="68"/>
  <c r="I1745" i="68"/>
  <c r="L84" i="114"/>
  <c r="J399" i="114"/>
  <c r="J324" i="114"/>
  <c r="J265" i="114"/>
  <c r="J204" i="114"/>
  <c r="J158" i="114"/>
  <c r="J110" i="114"/>
  <c r="J58" i="114"/>
  <c r="I749" i="114"/>
  <c r="I696" i="114"/>
  <c r="I667" i="114"/>
  <c r="I635" i="114"/>
  <c r="I596" i="114"/>
  <c r="I568" i="114"/>
  <c r="I476" i="114"/>
  <c r="I445" i="114"/>
  <c r="I419" i="114"/>
  <c r="I395" i="114"/>
  <c r="I355" i="114"/>
  <c r="I327" i="114"/>
  <c r="I300" i="114"/>
  <c r="I270" i="114"/>
  <c r="I231" i="114"/>
  <c r="I207" i="114"/>
  <c r="I185" i="114"/>
  <c r="I161" i="114"/>
  <c r="I141" i="114"/>
  <c r="I113" i="114"/>
  <c r="I91" i="114"/>
  <c r="I38" i="114"/>
  <c r="I14" i="114"/>
  <c r="J1790" i="68"/>
  <c r="J1759" i="68"/>
  <c r="J1726" i="68"/>
  <c r="J1704" i="68"/>
  <c r="J1671" i="68"/>
  <c r="J1638" i="68"/>
  <c r="J1616" i="68"/>
  <c r="J1586" i="68"/>
  <c r="J1553" i="68"/>
  <c r="J1532" i="68"/>
  <c r="J1428" i="68"/>
  <c r="J1404" i="68"/>
  <c r="J1372" i="68"/>
  <c r="J1339" i="68"/>
  <c r="J1243" i="68"/>
  <c r="J1203" i="68"/>
  <c r="J1181" i="68"/>
  <c r="J1151" i="68"/>
  <c r="J1127" i="68"/>
  <c r="J1035" i="68"/>
  <c r="J1003" i="68"/>
  <c r="J981" i="68"/>
  <c r="J953" i="68"/>
  <c r="J929" i="68"/>
  <c r="J899" i="68"/>
  <c r="J871" i="68"/>
  <c r="J849" i="68"/>
  <c r="J768" i="68"/>
  <c r="J737" i="68"/>
  <c r="J709" i="68"/>
  <c r="J623" i="68"/>
  <c r="J591" i="68"/>
  <c r="J515" i="68"/>
  <c r="J478" i="68"/>
  <c r="J445" i="68"/>
  <c r="J370" i="68"/>
  <c r="J338" i="68"/>
  <c r="J302" i="68"/>
  <c r="J278" i="68"/>
  <c r="J192" i="68"/>
  <c r="J163" i="68"/>
  <c r="J122" i="68"/>
  <c r="J92" i="68"/>
  <c r="J71" i="68"/>
  <c r="J51" i="68"/>
  <c r="J31" i="68"/>
  <c r="J11" i="68"/>
  <c r="I1790" i="68"/>
  <c r="I1759" i="68"/>
  <c r="I1726" i="68"/>
  <c r="I1704" i="68"/>
  <c r="J429" i="114"/>
  <c r="J328" i="114"/>
  <c r="J260" i="114"/>
  <c r="J189" i="114"/>
  <c r="J130" i="114"/>
  <c r="J63" i="114"/>
  <c r="I740" i="114"/>
  <c r="I687" i="114"/>
  <c r="I652" i="114"/>
  <c r="I600" i="114"/>
  <c r="I565" i="114"/>
  <c r="I467" i="114"/>
  <c r="I427" i="114"/>
  <c r="I397" i="114"/>
  <c r="I350" i="114"/>
  <c r="I320" i="114"/>
  <c r="I276" i="114"/>
  <c r="I233" i="114"/>
  <c r="I204" i="114"/>
  <c r="I178" i="114"/>
  <c r="I147" i="114"/>
  <c r="I116" i="114"/>
  <c r="I88" i="114"/>
  <c r="I56" i="114"/>
  <c r="I20" i="114"/>
  <c r="J1899" i="68"/>
  <c r="J1787" i="68"/>
  <c r="J1752" i="68"/>
  <c r="J1710" i="68"/>
  <c r="J1673" i="68"/>
  <c r="J1635" i="68"/>
  <c r="J1607" i="68"/>
  <c r="J1559" i="68"/>
  <c r="J1533" i="68"/>
  <c r="J1425" i="68"/>
  <c r="J1389" i="68"/>
  <c r="J1350" i="68"/>
  <c r="J1245" i="68"/>
  <c r="J1200" i="68"/>
  <c r="J1174" i="68"/>
  <c r="J1135" i="68"/>
  <c r="J1037" i="68"/>
  <c r="J1000" i="68"/>
  <c r="J972" i="68"/>
  <c r="J937" i="68"/>
  <c r="J901" i="68"/>
  <c r="J868" i="68"/>
  <c r="J840" i="68"/>
  <c r="J745" i="68"/>
  <c r="J711" i="68"/>
  <c r="J620" i="68"/>
  <c r="J584" i="68"/>
  <c r="J484" i="68"/>
  <c r="J449" i="68"/>
  <c r="J367" i="68"/>
  <c r="J325" i="68"/>
  <c r="J284" i="68"/>
  <c r="J196" i="68"/>
  <c r="J160" i="68"/>
  <c r="J113" i="68"/>
  <c r="J78" i="68"/>
  <c r="J53" i="68"/>
  <c r="J28" i="68"/>
  <c r="I1920" i="68"/>
  <c r="I1800" i="68"/>
  <c r="I1761" i="68"/>
  <c r="I1723" i="68"/>
  <c r="I1696" i="68"/>
  <c r="I1662" i="68"/>
  <c r="I1631" i="68"/>
  <c r="I1607" i="68"/>
  <c r="I1577" i="68"/>
  <c r="I1546" i="68"/>
  <c r="I1523" i="68"/>
  <c r="I1419" i="68"/>
  <c r="I1389" i="68"/>
  <c r="I1363" i="68"/>
  <c r="J419" i="114"/>
  <c r="J327" i="114"/>
  <c r="J257" i="114"/>
  <c r="J186" i="114"/>
  <c r="J129" i="114"/>
  <c r="I728" i="114"/>
  <c r="I686" i="114"/>
  <c r="I651" i="114"/>
  <c r="I597" i="114"/>
  <c r="I564" i="114"/>
  <c r="I464" i="114"/>
  <c r="I426" i="114"/>
  <c r="I396" i="114"/>
  <c r="I349" i="114"/>
  <c r="I319" i="114"/>
  <c r="I275" i="114"/>
  <c r="I232" i="114"/>
  <c r="I203" i="114"/>
  <c r="I177" i="114"/>
  <c r="I146" i="114"/>
  <c r="I114" i="114"/>
  <c r="I87" i="114"/>
  <c r="I55" i="114"/>
  <c r="I19" i="114"/>
  <c r="J1896" i="68"/>
  <c r="J1786" i="68"/>
  <c r="J1751" i="68"/>
  <c r="J1709" i="68"/>
  <c r="J1672" i="68"/>
  <c r="J1634" i="68"/>
  <c r="J1606" i="68"/>
  <c r="J1558" i="68"/>
  <c r="J1422" i="68"/>
  <c r="J1386" i="68"/>
  <c r="J1349" i="68"/>
  <c r="J1244" i="68"/>
  <c r="J1199" i="68"/>
  <c r="J1171" i="68"/>
  <c r="J1134" i="68"/>
  <c r="J1036" i="68"/>
  <c r="J999" i="68"/>
  <c r="J971" i="68"/>
  <c r="J936" i="68"/>
  <c r="J900" i="68"/>
  <c r="J867" i="68"/>
  <c r="J839" i="68"/>
  <c r="J744" i="68"/>
  <c r="J710" i="68"/>
  <c r="J619" i="68"/>
  <c r="J583" i="68"/>
  <c r="J483" i="68"/>
  <c r="J446" i="68"/>
  <c r="J364" i="68"/>
  <c r="J322" i="68"/>
  <c r="J283" i="68"/>
  <c r="J193" i="68"/>
  <c r="J153" i="68"/>
  <c r="J110" i="68"/>
  <c r="J77" i="68"/>
  <c r="J52" i="68"/>
  <c r="J27" i="68"/>
  <c r="I1919" i="68"/>
  <c r="I1799" i="68"/>
  <c r="I1760" i="68"/>
  <c r="I1722" i="68"/>
  <c r="I1695" i="68"/>
  <c r="I1661" i="68"/>
  <c r="I1628" i="68"/>
  <c r="I1606" i="68"/>
  <c r="I1576" i="68"/>
  <c r="I1543" i="68"/>
  <c r="I1522" i="68"/>
  <c r="I1418" i="68"/>
  <c r="I1386" i="68"/>
  <c r="I1362" i="68"/>
  <c r="I1259" i="68"/>
  <c r="I1227" i="68"/>
  <c r="I1195" i="68"/>
  <c r="I1171" i="68"/>
  <c r="I1143" i="68"/>
  <c r="I1047" i="68"/>
  <c r="I1024" i="68"/>
  <c r="I995" i="68"/>
  <c r="L55" i="114"/>
  <c r="J368" i="114"/>
  <c r="J300" i="114"/>
  <c r="J214" i="114"/>
  <c r="J157" i="114"/>
  <c r="J101" i="114"/>
  <c r="J38" i="114"/>
  <c r="I704" i="114"/>
  <c r="I666" i="114"/>
  <c r="I625" i="114"/>
  <c r="I587" i="114"/>
  <c r="I487" i="114"/>
  <c r="I442" i="114"/>
  <c r="I414" i="114"/>
  <c r="I371" i="114"/>
  <c r="I333" i="114"/>
  <c r="I297" i="114"/>
  <c r="I263" i="114"/>
  <c r="I220" i="114"/>
  <c r="I189" i="114"/>
  <c r="I160" i="114"/>
  <c r="I136" i="114"/>
  <c r="I104" i="114"/>
  <c r="I75" i="114"/>
  <c r="I37" i="114"/>
  <c r="J1922" i="68"/>
  <c r="J1805" i="68"/>
  <c r="J1765" i="68"/>
  <c r="J1725" i="68"/>
  <c r="J1697" i="68"/>
  <c r="J1658" i="68"/>
  <c r="J1620" i="68"/>
  <c r="J1585" i="68"/>
  <c r="J1548" i="68"/>
  <c r="J1521" i="68"/>
  <c r="J1410" i="68"/>
  <c r="J1369" i="68"/>
  <c r="J1333" i="68"/>
  <c r="J1226" i="68"/>
  <c r="J1185" i="68"/>
  <c r="J1150" i="68"/>
  <c r="J1122" i="68"/>
  <c r="J1023" i="68"/>
  <c r="J985" i="68"/>
  <c r="J952" i="68"/>
  <c r="J918" i="68"/>
  <c r="J888" i="68"/>
  <c r="J853" i="68"/>
  <c r="J767" i="68"/>
  <c r="J730" i="68"/>
  <c r="J696" i="68"/>
  <c r="J597" i="68"/>
  <c r="J508" i="68"/>
  <c r="J471" i="68"/>
  <c r="J434" i="68"/>
  <c r="J342" i="68"/>
  <c r="J301" i="68"/>
  <c r="J219" i="68"/>
  <c r="J177" i="68"/>
  <c r="J126" i="68"/>
  <c r="J91" i="68"/>
  <c r="J66" i="68"/>
  <c r="J42" i="68"/>
  <c r="J15" i="68"/>
  <c r="I1895" i="68"/>
  <c r="I1785" i="68"/>
  <c r="I1748" i="68"/>
  <c r="I1709" i="68"/>
  <c r="I1674" i="68"/>
  <c r="I1643" i="68"/>
  <c r="I1619" i="68"/>
  <c r="I1591" i="68"/>
  <c r="I1556" i="68"/>
  <c r="I1534" i="68"/>
  <c r="I1432" i="68"/>
  <c r="L25" i="114"/>
  <c r="J362" i="114"/>
  <c r="J283" i="114"/>
  <c r="J213" i="114"/>
  <c r="J154" i="114"/>
  <c r="J98" i="114"/>
  <c r="J28" i="114"/>
  <c r="I703" i="114"/>
  <c r="I624" i="114"/>
  <c r="I583" i="114"/>
  <c r="F103" i="6" s="1"/>
  <c r="I486" i="114"/>
  <c r="I441" i="114"/>
  <c r="I413" i="114"/>
  <c r="I366" i="114"/>
  <c r="I332" i="114"/>
  <c r="I296" i="114"/>
  <c r="I262" i="114"/>
  <c r="I216" i="114"/>
  <c r="I188" i="114"/>
  <c r="I159" i="114"/>
  <c r="I135" i="114"/>
  <c r="I100" i="114"/>
  <c r="I74" i="114"/>
  <c r="I36" i="114"/>
  <c r="J1921" i="68"/>
  <c r="J1801" i="68"/>
  <c r="J1762" i="68"/>
  <c r="J1724" i="68"/>
  <c r="J1696" i="68"/>
  <c r="J1654" i="68"/>
  <c r="J1619" i="68"/>
  <c r="J1584" i="68"/>
  <c r="J1547" i="68"/>
  <c r="J1438" i="68"/>
  <c r="J1407" i="68"/>
  <c r="J1368" i="68"/>
  <c r="J1332" i="68"/>
  <c r="J1220" i="68"/>
  <c r="J1184" i="68"/>
  <c r="J1149" i="68"/>
  <c r="J1121" i="68"/>
  <c r="J1017" i="68"/>
  <c r="J984" i="68"/>
  <c r="J951" i="68"/>
  <c r="J915" i="68"/>
  <c r="J884" i="68"/>
  <c r="J852" i="68"/>
  <c r="J766" i="68"/>
  <c r="J729" i="68"/>
  <c r="J692" i="68"/>
  <c r="J596" i="68"/>
  <c r="J507" i="68"/>
  <c r="J470" i="68"/>
  <c r="J428" i="68"/>
  <c r="J341" i="68"/>
  <c r="J298" i="68"/>
  <c r="J216" i="68"/>
  <c r="J171" i="68"/>
  <c r="J125" i="68"/>
  <c r="J90" i="68"/>
  <c r="J65" i="68"/>
  <c r="J38" i="68"/>
  <c r="J14" i="68"/>
  <c r="I700" i="114"/>
  <c r="J119" i="114"/>
  <c r="J197" i="114"/>
  <c r="J279" i="114"/>
  <c r="J396" i="114"/>
  <c r="J50" i="114"/>
  <c r="J133" i="114"/>
  <c r="J198" i="114"/>
  <c r="J301" i="114"/>
  <c r="J411" i="114"/>
  <c r="I561" i="114"/>
  <c r="I604" i="114"/>
  <c r="I663" i="114"/>
  <c r="I708" i="114"/>
  <c r="J55" i="114"/>
  <c r="J141" i="114"/>
  <c r="J203" i="114"/>
  <c r="J304" i="114"/>
  <c r="J412" i="114"/>
  <c r="K740" i="114"/>
  <c r="K713" i="114"/>
  <c r="K693" i="114"/>
  <c r="K630" i="114"/>
  <c r="K594" i="114"/>
  <c r="K566" i="114"/>
  <c r="K474" i="114"/>
  <c r="K441" i="114"/>
  <c r="K417" i="114"/>
  <c r="K384" i="114"/>
  <c r="K355" i="114"/>
  <c r="K327" i="114"/>
  <c r="K300" i="114"/>
  <c r="K270" i="114"/>
  <c r="K231" i="114"/>
  <c r="K207" i="114"/>
  <c r="K185" i="114"/>
  <c r="K161" i="114"/>
  <c r="K141" i="114"/>
  <c r="K114" i="114"/>
  <c r="K92" i="114"/>
  <c r="K63" i="114"/>
  <c r="K39" i="114"/>
  <c r="K15" i="114"/>
  <c r="K992" i="115"/>
  <c r="K961" i="115"/>
  <c r="K937" i="115"/>
  <c r="K906" i="115"/>
  <c r="K874" i="115"/>
  <c r="K843" i="115"/>
  <c r="K812" i="115"/>
  <c r="K790" i="115"/>
  <c r="K762" i="115"/>
  <c r="K742" i="115"/>
  <c r="K710" i="115"/>
  <c r="K677" i="115"/>
  <c r="K653" i="115"/>
  <c r="K621" i="115"/>
  <c r="K739" i="114"/>
  <c r="K738" i="114"/>
  <c r="K737" i="114"/>
  <c r="K736" i="114"/>
  <c r="K728" i="114"/>
  <c r="K727" i="114"/>
  <c r="K726" i="114"/>
  <c r="K725" i="114"/>
  <c r="K724" i="114"/>
  <c r="K704" i="114"/>
  <c r="K683" i="114"/>
  <c r="K655" i="114"/>
  <c r="K619" i="114"/>
  <c r="G105" i="6" s="1"/>
  <c r="K585" i="114"/>
  <c r="K551" i="114"/>
  <c r="K461" i="114"/>
  <c r="K432" i="114"/>
  <c r="K404" i="114"/>
  <c r="K371" i="114"/>
  <c r="K342" i="114"/>
  <c r="K318" i="114"/>
  <c r="K282" i="114"/>
  <c r="K259" i="114"/>
  <c r="K220" i="114"/>
  <c r="K196" i="114"/>
  <c r="K176" i="114"/>
  <c r="K152" i="114"/>
  <c r="K132" i="114"/>
  <c r="K105" i="114"/>
  <c r="K83" i="114"/>
  <c r="K55" i="114"/>
  <c r="K28" i="114"/>
  <c r="K1032" i="115"/>
  <c r="K981" i="115"/>
  <c r="K950" i="115"/>
  <c r="K921" i="115"/>
  <c r="K889" i="115"/>
  <c r="K856" i="115"/>
  <c r="K832" i="115"/>
  <c r="K803" i="115"/>
  <c r="K779" i="115"/>
  <c r="K753" i="115"/>
  <c r="K733" i="115"/>
  <c r="K688" i="115"/>
  <c r="K666" i="115"/>
  <c r="K642" i="115"/>
  <c r="K605" i="115"/>
  <c r="K612" i="115" s="1"/>
  <c r="K723" i="114"/>
  <c r="K722" i="114"/>
  <c r="K702" i="114"/>
  <c r="K681" i="114"/>
  <c r="K653" i="114"/>
  <c r="K607" i="114"/>
  <c r="K583" i="114"/>
  <c r="F105" i="6" s="1"/>
  <c r="K545" i="114"/>
  <c r="K459" i="114"/>
  <c r="K428" i="114"/>
  <c r="K402" i="114"/>
  <c r="K369" i="114"/>
  <c r="K340" i="114"/>
  <c r="K316" i="114"/>
  <c r="K279" i="114"/>
  <c r="K257" i="114"/>
  <c r="K218" i="114"/>
  <c r="K194" i="114"/>
  <c r="K172" i="114"/>
  <c r="K150" i="114"/>
  <c r="K130" i="114"/>
  <c r="K103" i="114"/>
  <c r="K81" i="114"/>
  <c r="K51" i="114"/>
  <c r="K26" i="114"/>
  <c r="K1028" i="115"/>
  <c r="K979" i="115"/>
  <c r="K948" i="115"/>
  <c r="K919" i="115"/>
  <c r="K885" i="115"/>
  <c r="K854" i="115"/>
  <c r="K830" i="115"/>
  <c r="K801" i="115"/>
  <c r="K777" i="115"/>
  <c r="K751" i="115"/>
  <c r="K719" i="115"/>
  <c r="K686" i="115"/>
  <c r="K664" i="115"/>
  <c r="K632" i="115"/>
  <c r="K601" i="115"/>
  <c r="K563" i="115"/>
  <c r="K529" i="115"/>
  <c r="K505" i="115"/>
  <c r="K721" i="114"/>
  <c r="K701" i="114"/>
  <c r="K680" i="114"/>
  <c r="K652" i="114"/>
  <c r="K606" i="114"/>
  <c r="K576" i="114"/>
  <c r="K544" i="114"/>
  <c r="K458" i="114"/>
  <c r="K427" i="114"/>
  <c r="K401" i="114"/>
  <c r="K368" i="114"/>
  <c r="K339" i="114"/>
  <c r="K308" i="114"/>
  <c r="K278" i="114"/>
  <c r="K256" i="114"/>
  <c r="K217" i="114"/>
  <c r="K193" i="114"/>
  <c r="K169" i="114"/>
  <c r="K149" i="114"/>
  <c r="K129" i="114"/>
  <c r="K102" i="114"/>
  <c r="K80" i="114"/>
  <c r="K50" i="114"/>
  <c r="K25" i="114"/>
  <c r="K978" i="115"/>
  <c r="K947" i="115"/>
  <c r="K916" i="115"/>
  <c r="K917" i="115" s="1"/>
  <c r="K884" i="115"/>
  <c r="K851" i="115"/>
  <c r="K829" i="115"/>
  <c r="K800" i="115"/>
  <c r="K776" i="115"/>
  <c r="K750" i="115"/>
  <c r="K718" i="115"/>
  <c r="K685" i="115"/>
  <c r="K751" i="114"/>
  <c r="K748" i="114"/>
  <c r="K718" i="114"/>
  <c r="K698" i="114"/>
  <c r="K677" i="114"/>
  <c r="K640" i="114"/>
  <c r="K603" i="114"/>
  <c r="K571" i="114"/>
  <c r="K486" i="114"/>
  <c r="K455" i="114"/>
  <c r="K424" i="114"/>
  <c r="K398" i="114"/>
  <c r="K362" i="114"/>
  <c r="K334" i="114"/>
  <c r="K305" i="114"/>
  <c r="K275" i="114"/>
  <c r="K240" i="114"/>
  <c r="K241" i="114" s="1"/>
  <c r="K214" i="114"/>
  <c r="K190" i="114"/>
  <c r="K166" i="114"/>
  <c r="K146" i="114"/>
  <c r="K119" i="114"/>
  <c r="K99" i="114"/>
  <c r="K77" i="114"/>
  <c r="K46" i="114"/>
  <c r="K20" i="114"/>
  <c r="K999" i="115"/>
  <c r="K975" i="115"/>
  <c r="K942" i="115"/>
  <c r="K911" i="115"/>
  <c r="K879" i="115"/>
  <c r="K848" i="115"/>
  <c r="K817" i="115"/>
  <c r="K797" i="115"/>
  <c r="K773" i="115"/>
  <c r="K747" i="115"/>
  <c r="K715" i="115"/>
  <c r="K682" i="115"/>
  <c r="K658" i="115"/>
  <c r="K628" i="115"/>
  <c r="K591" i="115"/>
  <c r="K559" i="115"/>
  <c r="K525" i="115"/>
  <c r="K501" i="115"/>
  <c r="K398" i="115"/>
  <c r="K374" i="115"/>
  <c r="K275" i="115"/>
  <c r="K251" i="115"/>
  <c r="K220" i="115"/>
  <c r="K198" i="115"/>
  <c r="K121" i="115"/>
  <c r="K90" i="115"/>
  <c r="K61" i="115"/>
  <c r="K33" i="115"/>
  <c r="K13" i="115"/>
  <c r="L1899" i="68"/>
  <c r="K747" i="114"/>
  <c r="K717" i="114"/>
  <c r="K697" i="114"/>
  <c r="K676" i="114"/>
  <c r="K637" i="114"/>
  <c r="K600" i="114"/>
  <c r="K570" i="114"/>
  <c r="K478" i="114"/>
  <c r="K447" i="114"/>
  <c r="K423" i="114"/>
  <c r="K397" i="114"/>
  <c r="K361" i="114"/>
  <c r="K333" i="114"/>
  <c r="K304" i="114"/>
  <c r="K274" i="114"/>
  <c r="K237" i="114"/>
  <c r="K238" i="114" s="1"/>
  <c r="K213" i="114"/>
  <c r="K189" i="114"/>
  <c r="K165" i="114"/>
  <c r="K145" i="114"/>
  <c r="K118" i="114"/>
  <c r="K98" i="114"/>
  <c r="K76" i="114"/>
  <c r="K45" i="114"/>
  <c r="K19" i="114"/>
  <c r="K998" i="115"/>
  <c r="K967" i="115"/>
  <c r="K968" i="115" s="1"/>
  <c r="K941" i="115"/>
  <c r="K910" i="115"/>
  <c r="K878" i="115"/>
  <c r="K847" i="115"/>
  <c r="K816" i="115"/>
  <c r="K796" i="115"/>
  <c r="K767" i="115"/>
  <c r="K746" i="115"/>
  <c r="K714" i="115"/>
  <c r="K681" i="115"/>
  <c r="K657" i="115"/>
  <c r="K627" i="115"/>
  <c r="K590" i="115"/>
  <c r="K558" i="115"/>
  <c r="K522" i="115"/>
  <c r="K500" i="115"/>
  <c r="K397" i="115"/>
  <c r="K373" i="115"/>
  <c r="K274" i="115"/>
  <c r="K250" i="115"/>
  <c r="K219" i="115"/>
  <c r="K197" i="115"/>
  <c r="K120" i="115"/>
  <c r="K89" i="115"/>
  <c r="K60" i="115"/>
  <c r="K32" i="115"/>
  <c r="K12" i="115"/>
  <c r="L1896" i="68"/>
  <c r="L1793" i="68"/>
  <c r="L1760" i="68"/>
  <c r="L1727" i="68"/>
  <c r="L1705" i="68"/>
  <c r="L1672" i="68"/>
  <c r="L1639" i="68"/>
  <c r="L1617" i="68"/>
  <c r="L1587" i="68"/>
  <c r="L1554" i="68"/>
  <c r="L1430" i="68"/>
  <c r="L1406" i="68"/>
  <c r="L1374" i="68"/>
  <c r="L1344" i="68"/>
  <c r="L1247" i="68"/>
  <c r="L1217" i="68"/>
  <c r="L1185" i="68"/>
  <c r="L1157" i="68"/>
  <c r="L1158" i="68" s="1"/>
  <c r="L1133" i="68"/>
  <c r="L1039" i="68"/>
  <c r="L1014" i="68"/>
  <c r="L985" i="68"/>
  <c r="L957" i="68"/>
  <c r="L933" i="68"/>
  <c r="L903" i="68"/>
  <c r="L881" i="68"/>
  <c r="L853" i="68"/>
  <c r="L774" i="68"/>
  <c r="K746" i="114"/>
  <c r="K744" i="114"/>
  <c r="K715" i="114"/>
  <c r="K695" i="114"/>
  <c r="K667" i="114"/>
  <c r="K635" i="114"/>
  <c r="K596" i="114"/>
  <c r="K568" i="114"/>
  <c r="K476" i="114"/>
  <c r="K445" i="114"/>
  <c r="K419" i="114"/>
  <c r="K395" i="114"/>
  <c r="K359" i="114"/>
  <c r="K331" i="114"/>
  <c r="K302" i="114"/>
  <c r="K272" i="114"/>
  <c r="K233" i="114"/>
  <c r="K211" i="114"/>
  <c r="K187" i="114"/>
  <c r="K163" i="114"/>
  <c r="K143" i="114"/>
  <c r="K116" i="114"/>
  <c r="K94" i="114"/>
  <c r="K74" i="114"/>
  <c r="K43" i="114"/>
  <c r="K17" i="114"/>
  <c r="K994" i="115"/>
  <c r="K963" i="115"/>
  <c r="K939" i="115"/>
  <c r="K908" i="115"/>
  <c r="K876" i="115"/>
  <c r="K845" i="115"/>
  <c r="K814" i="115"/>
  <c r="K792" i="115"/>
  <c r="K764" i="115"/>
  <c r="K744" i="115"/>
  <c r="K712" i="115"/>
  <c r="K679" i="115"/>
  <c r="K655" i="115"/>
  <c r="K625" i="115"/>
  <c r="K743" i="114"/>
  <c r="K714" i="114"/>
  <c r="K694" i="114"/>
  <c r="K666" i="114"/>
  <c r="K634" i="114"/>
  <c r="K595" i="114"/>
  <c r="K567" i="114"/>
  <c r="K475" i="114"/>
  <c r="K442" i="114"/>
  <c r="K418" i="114"/>
  <c r="K394" i="114"/>
  <c r="K356" i="114"/>
  <c r="K328" i="114"/>
  <c r="K301" i="114"/>
  <c r="K271" i="114"/>
  <c r="K232" i="114"/>
  <c r="K208" i="114"/>
  <c r="K186" i="114"/>
  <c r="K162" i="114"/>
  <c r="K142" i="114"/>
  <c r="K115" i="114"/>
  <c r="K93" i="114"/>
  <c r="K73" i="114"/>
  <c r="K40" i="114"/>
  <c r="K16" i="114"/>
  <c r="K993" i="115"/>
  <c r="K962" i="115"/>
  <c r="K938" i="115"/>
  <c r="K907" i="115"/>
  <c r="K875" i="115"/>
  <c r="K844" i="115"/>
  <c r="K813" i="115"/>
  <c r="K791" i="115"/>
  <c r="K763" i="115"/>
  <c r="K743" i="115"/>
  <c r="K711" i="115"/>
  <c r="K678" i="115"/>
  <c r="K654" i="115"/>
  <c r="K624" i="115"/>
  <c r="K633" i="115" s="1"/>
  <c r="K579" i="115"/>
  <c r="K545" i="115"/>
  <c r="K519" i="115"/>
  <c r="K427" i="115"/>
  <c r="K428" i="115" s="1"/>
  <c r="K430" i="115" s="1"/>
  <c r="K392" i="115"/>
  <c r="K370" i="115"/>
  <c r="K269" i="115"/>
  <c r="K247" i="115"/>
  <c r="K216" i="115"/>
  <c r="K141" i="115"/>
  <c r="K110" i="115"/>
  <c r="K86" i="115"/>
  <c r="K57" i="115"/>
  <c r="K29" i="115"/>
  <c r="K688" i="114"/>
  <c r="K636" i="114"/>
  <c r="K586" i="114"/>
  <c r="K468" i="114"/>
  <c r="K422" i="114"/>
  <c r="K372" i="114"/>
  <c r="K323" i="114"/>
  <c r="K273" i="114"/>
  <c r="K221" i="114"/>
  <c r="K181" i="114"/>
  <c r="K144" i="114"/>
  <c r="K106" i="114"/>
  <c r="K58" i="114"/>
  <c r="K18" i="114"/>
  <c r="K983" i="115"/>
  <c r="K934" i="115"/>
  <c r="K880" i="115"/>
  <c r="K834" i="115"/>
  <c r="K787" i="115"/>
  <c r="K748" i="115"/>
  <c r="K692" i="115"/>
  <c r="K651" i="115"/>
  <c r="K602" i="115"/>
  <c r="K557" i="115"/>
  <c r="K516" i="115"/>
  <c r="K409" i="115"/>
  <c r="K410" i="115" s="1"/>
  <c r="K382" i="115"/>
  <c r="K278" i="115"/>
  <c r="K249" i="115"/>
  <c r="K214" i="115"/>
  <c r="K134" i="115"/>
  <c r="K100" i="115"/>
  <c r="K68" i="115"/>
  <c r="K35" i="115"/>
  <c r="L1786" i="68"/>
  <c r="L1754" i="68"/>
  <c r="L1720" i="68"/>
  <c r="L1695" i="68"/>
  <c r="L1661" i="68"/>
  <c r="L1627" i="68"/>
  <c r="L1604" i="68"/>
  <c r="L1567" i="68"/>
  <c r="L1568" i="68" s="1"/>
  <c r="L1539" i="68"/>
  <c r="L1438" i="68"/>
  <c r="L1413" i="68"/>
  <c r="L1378" i="68"/>
  <c r="L1349" i="68"/>
  <c r="L1249" i="68"/>
  <c r="L1218" i="68"/>
  <c r="L1184" i="68"/>
  <c r="L1153" i="68"/>
  <c r="L1128" i="68"/>
  <c r="L1035" i="68"/>
  <c r="L1002" i="68"/>
  <c r="L979" i="68"/>
  <c r="L950" i="68"/>
  <c r="L925" i="68"/>
  <c r="L894" i="68"/>
  <c r="L865" i="68"/>
  <c r="L840" i="68"/>
  <c r="L758" i="68"/>
  <c r="L727" i="68"/>
  <c r="L697" i="68"/>
  <c r="L607" i="68"/>
  <c r="L583" i="68"/>
  <c r="L501" i="68"/>
  <c r="L466" i="68"/>
  <c r="L435" i="68"/>
  <c r="L354" i="68"/>
  <c r="L322" i="68"/>
  <c r="L292" i="68"/>
  <c r="L214" i="68"/>
  <c r="L178" i="68"/>
  <c r="L147" i="68"/>
  <c r="L114" i="68"/>
  <c r="L86" i="68"/>
  <c r="L65" i="68"/>
  <c r="L45" i="68"/>
  <c r="L25" i="68"/>
  <c r="K1922" i="68"/>
  <c r="K1893" i="68"/>
  <c r="K749" i="114"/>
  <c r="K687" i="114"/>
  <c r="K629" i="114"/>
  <c r="K584" i="114"/>
  <c r="K467" i="114"/>
  <c r="K416" i="114"/>
  <c r="K370" i="114"/>
  <c r="K322" i="114"/>
  <c r="K269" i="114"/>
  <c r="K219" i="114"/>
  <c r="K180" i="114"/>
  <c r="K140" i="114"/>
  <c r="K104" i="114"/>
  <c r="K14" i="114"/>
  <c r="K982" i="115"/>
  <c r="K933" i="115"/>
  <c r="K877" i="115"/>
  <c r="K833" i="115"/>
  <c r="K786" i="115"/>
  <c r="K745" i="115"/>
  <c r="K691" i="115"/>
  <c r="K648" i="115"/>
  <c r="K600" i="115"/>
  <c r="K554" i="115"/>
  <c r="K515" i="115"/>
  <c r="K406" i="115"/>
  <c r="K381" i="115"/>
  <c r="K277" i="115"/>
  <c r="K248" i="115"/>
  <c r="K213" i="115"/>
  <c r="K133" i="115"/>
  <c r="K99" i="115"/>
  <c r="K67" i="115"/>
  <c r="K34" i="115"/>
  <c r="L1927" i="68"/>
  <c r="L1928" i="68" s="1"/>
  <c r="L1894" i="68"/>
  <c r="L1785" i="68"/>
  <c r="L1753" i="68"/>
  <c r="L1719" i="68"/>
  <c r="L1694" i="68"/>
  <c r="L1658" i="68"/>
  <c r="L1626" i="68"/>
  <c r="L1603" i="68"/>
  <c r="L1561" i="68"/>
  <c r="L1538" i="68"/>
  <c r="L1437" i="68"/>
  <c r="L1412" i="68"/>
  <c r="L1377" i="68"/>
  <c r="L1346" i="68"/>
  <c r="L1248" i="68"/>
  <c r="L1210" i="68"/>
  <c r="L1211" i="68" s="1"/>
  <c r="L1183" i="68"/>
  <c r="L1152" i="68"/>
  <c r="L1127" i="68"/>
  <c r="L1032" i="68"/>
  <c r="L1001" i="68"/>
  <c r="L978" i="68"/>
  <c r="L949" i="68"/>
  <c r="L918" i="68"/>
  <c r="L919" i="68" s="1"/>
  <c r="L893" i="68"/>
  <c r="L864" i="68"/>
  <c r="L839" i="68"/>
  <c r="L757" i="68"/>
  <c r="L726" i="68"/>
  <c r="L696" i="68"/>
  <c r="L606" i="68"/>
  <c r="L530" i="68"/>
  <c r="L500" i="68"/>
  <c r="L465" i="68"/>
  <c r="L434" i="68"/>
  <c r="L353" i="68"/>
  <c r="L321" i="68"/>
  <c r="L291" i="68"/>
  <c r="L213" i="68"/>
  <c r="L177" i="68"/>
  <c r="L146" i="68"/>
  <c r="L113" i="68"/>
  <c r="L85" i="68"/>
  <c r="L64" i="68"/>
  <c r="L44" i="68"/>
  <c r="L24" i="68"/>
  <c r="K1921" i="68"/>
  <c r="K1812" i="68"/>
  <c r="K1784" i="68"/>
  <c r="K720" i="114"/>
  <c r="K686" i="114"/>
  <c r="K626" i="114"/>
  <c r="K575" i="114"/>
  <c r="K464" i="114"/>
  <c r="K415" i="114"/>
  <c r="K366" i="114"/>
  <c r="K321" i="114"/>
  <c r="K266" i="114"/>
  <c r="K216" i="114"/>
  <c r="K179" i="114"/>
  <c r="K139" i="114"/>
  <c r="K101" i="114"/>
  <c r="K13" i="114"/>
  <c r="K980" i="115"/>
  <c r="K925" i="115"/>
  <c r="K873" i="115"/>
  <c r="K831" i="115"/>
  <c r="K783" i="115"/>
  <c r="K741" i="115"/>
  <c r="K687" i="115"/>
  <c r="K647" i="115"/>
  <c r="K599" i="115"/>
  <c r="K544" i="115"/>
  <c r="K514" i="115"/>
  <c r="K405" i="115"/>
  <c r="K380" i="115"/>
  <c r="K276" i="115"/>
  <c r="K246" i="115"/>
  <c r="K212" i="115"/>
  <c r="K132" i="115"/>
  <c r="K98" i="115"/>
  <c r="K66" i="115"/>
  <c r="K31" i="115"/>
  <c r="L1924" i="68"/>
  <c r="L1893" i="68"/>
  <c r="L1784" i="68"/>
  <c r="L1752" i="68"/>
  <c r="L1718" i="68"/>
  <c r="L1693" i="68"/>
  <c r="L1657" i="68"/>
  <c r="L1625" i="68"/>
  <c r="L1602" i="68"/>
  <c r="L1560" i="68"/>
  <c r="L1537" i="68"/>
  <c r="L1436" i="68"/>
  <c r="L1411" i="68"/>
  <c r="L1376" i="68"/>
  <c r="L1345" i="68"/>
  <c r="L1246" i="68"/>
  <c r="L1207" i="68"/>
  <c r="L1182" i="68"/>
  <c r="L1151" i="68"/>
  <c r="L1126" i="68"/>
  <c r="L1031" i="68"/>
  <c r="L1000" i="68"/>
  <c r="L977" i="68"/>
  <c r="L948" i="68"/>
  <c r="L915" i="68"/>
  <c r="L892" i="68"/>
  <c r="L863" i="68"/>
  <c r="L838" i="68"/>
  <c r="L756" i="68"/>
  <c r="L725" i="68"/>
  <c r="L695" i="68"/>
  <c r="L605" i="68"/>
  <c r="L529" i="68"/>
  <c r="L497" i="68"/>
  <c r="L464" i="68"/>
  <c r="L431" i="68"/>
  <c r="L352" i="68"/>
  <c r="L320" i="68"/>
  <c r="L290" i="68"/>
  <c r="L212" i="68"/>
  <c r="L176" i="68"/>
  <c r="L143" i="68"/>
  <c r="L110" i="68"/>
  <c r="L84" i="68"/>
  <c r="L63" i="68"/>
  <c r="L43" i="68"/>
  <c r="L23" i="68"/>
  <c r="K1920" i="68"/>
  <c r="K1809" i="68"/>
  <c r="K719" i="114"/>
  <c r="K685" i="114"/>
  <c r="K625" i="114"/>
  <c r="K574" i="114"/>
  <c r="K463" i="114"/>
  <c r="K414" i="114"/>
  <c r="K363" i="114"/>
  <c r="K320" i="114"/>
  <c r="K265" i="114"/>
  <c r="K215" i="114"/>
  <c r="K178" i="114"/>
  <c r="K138" i="114"/>
  <c r="K100" i="114"/>
  <c r="K57" i="114"/>
  <c r="K977" i="115"/>
  <c r="K924" i="115"/>
  <c r="K872" i="115"/>
  <c r="K821" i="115"/>
  <c r="K822" i="115" s="1"/>
  <c r="K782" i="115"/>
  <c r="K740" i="115"/>
  <c r="K684" i="115"/>
  <c r="K646" i="115"/>
  <c r="K592" i="115"/>
  <c r="K541" i="115"/>
  <c r="K513" i="115"/>
  <c r="K404" i="115"/>
  <c r="K379" i="115"/>
  <c r="K271" i="115"/>
  <c r="K245" i="115"/>
  <c r="K211" i="115"/>
  <c r="K131" i="115"/>
  <c r="K97" i="115"/>
  <c r="K63" i="115"/>
  <c r="K30" i="115"/>
  <c r="L1923" i="68"/>
  <c r="L1812" i="68"/>
  <c r="L1813" i="68" s="1"/>
  <c r="L1776" i="68"/>
  <c r="L1777" i="68" s="1"/>
  <c r="L1751" i="68"/>
  <c r="L1717" i="68"/>
  <c r="L1692" i="68"/>
  <c r="L1656" i="68"/>
  <c r="L1624" i="68"/>
  <c r="L1595" i="68"/>
  <c r="L1559" i="68"/>
  <c r="L1536" i="68"/>
  <c r="L1433" i="68"/>
  <c r="L1410" i="68"/>
  <c r="L1375" i="68"/>
  <c r="L1343" i="68"/>
  <c r="L1245" i="68"/>
  <c r="L1206" i="68"/>
  <c r="L1181" i="68"/>
  <c r="L1150" i="68"/>
  <c r="L1125" i="68"/>
  <c r="L1030" i="68"/>
  <c r="L999" i="68"/>
  <c r="L974" i="68"/>
  <c r="L947" i="68"/>
  <c r="L914" i="68"/>
  <c r="L889" i="68"/>
  <c r="L862" i="68"/>
  <c r="L837" i="68"/>
  <c r="L755" i="68"/>
  <c r="L724" i="68"/>
  <c r="L694" i="68"/>
  <c r="L604" i="68"/>
  <c r="L528" i="68"/>
  <c r="L496" i="68"/>
  <c r="L463" i="68"/>
  <c r="L430" i="68"/>
  <c r="L351" i="68"/>
  <c r="L319" i="68"/>
  <c r="L289" i="68"/>
  <c r="L205" i="68"/>
  <c r="L175" i="68"/>
  <c r="L142" i="68"/>
  <c r="L109" i="68"/>
  <c r="L83" i="68"/>
  <c r="L62" i="68"/>
  <c r="K716" i="114"/>
  <c r="K684" i="114"/>
  <c r="K624" i="114"/>
  <c r="K569" i="114"/>
  <c r="K462" i="114"/>
  <c r="K413" i="114"/>
  <c r="K360" i="114"/>
  <c r="K319" i="114"/>
  <c r="K264" i="114"/>
  <c r="K706" i="114"/>
  <c r="K663" i="114"/>
  <c r="K604" i="114"/>
  <c r="K559" i="114"/>
  <c r="K438" i="114"/>
  <c r="K399" i="114"/>
  <c r="K346" i="114"/>
  <c r="K295" i="114"/>
  <c r="K243" i="114"/>
  <c r="K244" i="114" s="1"/>
  <c r="K198" i="114"/>
  <c r="K158" i="114"/>
  <c r="K120" i="114"/>
  <c r="K85" i="114"/>
  <c r="K36" i="114"/>
  <c r="K953" i="115"/>
  <c r="K904" i="115"/>
  <c r="K850" i="115"/>
  <c r="K806" i="115"/>
  <c r="K760" i="115"/>
  <c r="K717" i="115"/>
  <c r="K669" i="115"/>
  <c r="K626" i="115"/>
  <c r="K571" i="115"/>
  <c r="K531" i="115"/>
  <c r="K502" i="115"/>
  <c r="K391" i="115"/>
  <c r="K291" i="115"/>
  <c r="K262" i="115"/>
  <c r="K228" i="115"/>
  <c r="K201" i="115"/>
  <c r="K664" i="114"/>
  <c r="K589" i="114"/>
  <c r="K446" i="114"/>
  <c r="K379" i="114"/>
  <c r="K307" i="114"/>
  <c r="K230" i="114"/>
  <c r="K183" i="114"/>
  <c r="K134" i="114"/>
  <c r="K82" i="114"/>
  <c r="K24" i="114"/>
  <c r="K960" i="115"/>
  <c r="K897" i="115"/>
  <c r="K837" i="115"/>
  <c r="K778" i="115"/>
  <c r="K716" i="115"/>
  <c r="K661" i="115"/>
  <c r="K578" i="115"/>
  <c r="K530" i="115"/>
  <c r="K414" i="115"/>
  <c r="K372" i="115"/>
  <c r="K261" i="115"/>
  <c r="K218" i="115"/>
  <c r="K126" i="115"/>
  <c r="K85" i="115"/>
  <c r="K47" i="115"/>
  <c r="K14" i="115"/>
  <c r="L1805" i="68"/>
  <c r="L1767" i="68"/>
  <c r="L1726" i="68"/>
  <c r="L1697" i="68"/>
  <c r="L1653" i="68"/>
  <c r="L1616" i="68"/>
  <c r="L1579" i="68"/>
  <c r="L1541" i="68"/>
  <c r="L1429" i="68"/>
  <c r="L1400" i="68"/>
  <c r="L1361" i="68"/>
  <c r="L1253" i="68"/>
  <c r="L1201" i="68"/>
  <c r="L1174" i="68"/>
  <c r="L1137" i="68"/>
  <c r="L1037" i="68"/>
  <c r="L996" i="68"/>
  <c r="L967" i="68"/>
  <c r="L931" i="68"/>
  <c r="L896" i="68"/>
  <c r="L857" i="68"/>
  <c r="L770" i="68"/>
  <c r="L735" i="68"/>
  <c r="L699" i="68"/>
  <c r="L601" i="68"/>
  <c r="L517" i="68"/>
  <c r="L476" i="68"/>
  <c r="L437" i="68"/>
  <c r="L346" i="68"/>
  <c r="L304" i="68"/>
  <c r="L224" i="68"/>
  <c r="L180" i="68"/>
  <c r="L139" i="68"/>
  <c r="L102" i="68"/>
  <c r="L71" i="68"/>
  <c r="L47" i="68"/>
  <c r="L21" i="68"/>
  <c r="K1911" i="68"/>
  <c r="K1799" i="68"/>
  <c r="K1765" i="68"/>
  <c r="K1741" i="68"/>
  <c r="K1708" i="68"/>
  <c r="K1675" i="68"/>
  <c r="K1651" i="68"/>
  <c r="K1620" i="68"/>
  <c r="K1592" i="68"/>
  <c r="K1557" i="68"/>
  <c r="K1535" i="68"/>
  <c r="K1433" i="68"/>
  <c r="K1411" i="68"/>
  <c r="K1377" i="68"/>
  <c r="K1349" i="68"/>
  <c r="K1252" i="68"/>
  <c r="K1220" i="68"/>
  <c r="K1188" i="68"/>
  <c r="K1166" i="68"/>
  <c r="K1136" i="68"/>
  <c r="K1042" i="68"/>
  <c r="K1017" i="68"/>
  <c r="K712" i="114"/>
  <c r="K662" i="114"/>
  <c r="K588" i="114"/>
  <c r="K440" i="114"/>
  <c r="K376" i="114"/>
  <c r="K306" i="114"/>
  <c r="K229" i="114"/>
  <c r="K182" i="114"/>
  <c r="K133" i="114"/>
  <c r="K79" i="114"/>
  <c r="K21" i="114"/>
  <c r="K959" i="115"/>
  <c r="K896" i="115"/>
  <c r="K836" i="115"/>
  <c r="K775" i="115"/>
  <c r="K713" i="115"/>
  <c r="K656" i="115"/>
  <c r="K577" i="115"/>
  <c r="K528" i="115"/>
  <c r="K413" i="115"/>
  <c r="K371" i="115"/>
  <c r="K260" i="115"/>
  <c r="K217" i="115"/>
  <c r="K125" i="115"/>
  <c r="K77" i="115"/>
  <c r="K46" i="115"/>
  <c r="K11" i="115"/>
  <c r="L1804" i="68"/>
  <c r="L1766" i="68"/>
  <c r="L1725" i="68"/>
  <c r="L1696" i="68"/>
  <c r="L1652" i="68"/>
  <c r="L1615" i="68"/>
  <c r="L1578" i="68"/>
  <c r="L1540" i="68"/>
  <c r="L1428" i="68"/>
  <c r="L1393" i="68"/>
  <c r="L1360" i="68"/>
  <c r="L1252" i="68"/>
  <c r="L1200" i="68"/>
  <c r="L1171" i="68"/>
  <c r="L1136" i="68"/>
  <c r="L1036" i="68"/>
  <c r="L995" i="68"/>
  <c r="L966" i="68"/>
  <c r="L930" i="68"/>
  <c r="L895" i="68"/>
  <c r="L856" i="68"/>
  <c r="L769" i="68"/>
  <c r="L734" i="68"/>
  <c r="L698" i="68"/>
  <c r="L600" i="68"/>
  <c r="L516" i="68"/>
  <c r="L475" i="68"/>
  <c r="L436" i="68"/>
  <c r="L343" i="68"/>
  <c r="L303" i="68"/>
  <c r="L223" i="68"/>
  <c r="L179" i="68"/>
  <c r="L138" i="68"/>
  <c r="L101" i="68"/>
  <c r="L70" i="68"/>
  <c r="L46" i="68"/>
  <c r="L20" i="68"/>
  <c r="K1910" i="68"/>
  <c r="K1796" i="68"/>
  <c r="K1762" i="68"/>
  <c r="K1733" i="68"/>
  <c r="K1707" i="68"/>
  <c r="K1674" i="68"/>
  <c r="K1643" i="68"/>
  <c r="K1619" i="68"/>
  <c r="K1591" i="68"/>
  <c r="K1556" i="68"/>
  <c r="K1534" i="68"/>
  <c r="K1432" i="68"/>
  <c r="K1410" i="68"/>
  <c r="K1376" i="68"/>
  <c r="K1346" i="68"/>
  <c r="K1249" i="68"/>
  <c r="K1219" i="68"/>
  <c r="K1187" i="68"/>
  <c r="K1165" i="68"/>
  <c r="K1135" i="68"/>
  <c r="K711" i="114"/>
  <c r="K661" i="114"/>
  <c r="K587" i="114"/>
  <c r="K439" i="114"/>
  <c r="K375" i="114"/>
  <c r="K303" i="114"/>
  <c r="K226" i="114"/>
  <c r="K177" i="114"/>
  <c r="K131" i="114"/>
  <c r="K78" i="114"/>
  <c r="K958" i="115"/>
  <c r="K893" i="115"/>
  <c r="K835" i="115"/>
  <c r="K774" i="115"/>
  <c r="K709" i="115"/>
  <c r="K652" i="115"/>
  <c r="K574" i="115"/>
  <c r="K527" i="115"/>
  <c r="K412" i="115"/>
  <c r="K369" i="115"/>
  <c r="K259" i="115"/>
  <c r="K215" i="115"/>
  <c r="K708" i="114"/>
  <c r="K656" i="114"/>
  <c r="K563" i="114"/>
  <c r="K435" i="114"/>
  <c r="K354" i="114"/>
  <c r="K294" i="114"/>
  <c r="K223" i="114"/>
  <c r="K167" i="114"/>
  <c r="K113" i="114"/>
  <c r="K62" i="114"/>
  <c r="K1040" i="115"/>
  <c r="K952" i="115"/>
  <c r="K890" i="115"/>
  <c r="K811" i="115"/>
  <c r="K759" i="115"/>
  <c r="K697" i="115"/>
  <c r="K643" i="115"/>
  <c r="K570" i="115"/>
  <c r="K520" i="115"/>
  <c r="K401" i="115"/>
  <c r="K288" i="115"/>
  <c r="K256" i="115"/>
  <c r="K208" i="115"/>
  <c r="K112" i="115"/>
  <c r="K73" i="115"/>
  <c r="K36" i="115"/>
  <c r="L1919" i="68"/>
  <c r="L1800" i="68"/>
  <c r="L1759" i="68"/>
  <c r="L1721" i="68"/>
  <c r="L1677" i="68"/>
  <c r="L1638" i="68"/>
  <c r="L1609" i="68"/>
  <c r="L1574" i="68"/>
  <c r="L1532" i="68"/>
  <c r="L1422" i="68"/>
  <c r="L1385" i="68"/>
  <c r="L1350" i="68"/>
  <c r="L1233" i="68"/>
  <c r="L1196" i="68"/>
  <c r="L1167" i="68"/>
  <c r="L1131" i="68"/>
  <c r="L1026" i="68"/>
  <c r="L991" i="68"/>
  <c r="L955" i="68"/>
  <c r="L926" i="68"/>
  <c r="L885" i="68"/>
  <c r="L851" i="68"/>
  <c r="L763" i="68"/>
  <c r="L728" i="68"/>
  <c r="L638" i="68"/>
  <c r="L594" i="68"/>
  <c r="L506" i="68"/>
  <c r="L469" i="68"/>
  <c r="L426" i="68"/>
  <c r="L339" i="68"/>
  <c r="L297" i="68"/>
  <c r="L215" i="68"/>
  <c r="L170" i="68"/>
  <c r="L125" i="68"/>
  <c r="L91" i="68"/>
  <c r="L66" i="68"/>
  <c r="L39" i="68"/>
  <c r="L16" i="68"/>
  <c r="K1902" i="68"/>
  <c r="K1790" i="68"/>
  <c r="K1758" i="68"/>
  <c r="K1725" i="68"/>
  <c r="K1703" i="68"/>
  <c r="K1670" i="68"/>
  <c r="K1637" i="68"/>
  <c r="K1615" i="68"/>
  <c r="K1585" i="68"/>
  <c r="K1552" i="68"/>
  <c r="K696" i="114"/>
  <c r="K621" i="114"/>
  <c r="K491" i="114"/>
  <c r="K492" i="114" s="1"/>
  <c r="K412" i="114"/>
  <c r="K343" i="114"/>
  <c r="K277" i="114"/>
  <c r="K203" i="114"/>
  <c r="K155" i="114"/>
  <c r="K107" i="114"/>
  <c r="K44" i="114"/>
  <c r="K997" i="115"/>
  <c r="K936" i="115"/>
  <c r="K859" i="115"/>
  <c r="K804" i="115"/>
  <c r="K752" i="115"/>
  <c r="K675" i="115"/>
  <c r="K619" i="115"/>
  <c r="K561" i="115"/>
  <c r="K509" i="115"/>
  <c r="K389" i="115"/>
  <c r="K280" i="115"/>
  <c r="K232" i="115"/>
  <c r="K199" i="115"/>
  <c r="K105" i="115"/>
  <c r="K59" i="115"/>
  <c r="K23" i="115"/>
  <c r="L1909" i="68"/>
  <c r="L1789" i="68"/>
  <c r="L1747" i="68"/>
  <c r="L1709" i="68"/>
  <c r="L1670" i="68"/>
  <c r="L1632" i="68"/>
  <c r="L1593" i="68"/>
  <c r="K692" i="114"/>
  <c r="K620" i="114"/>
  <c r="K487" i="114"/>
  <c r="K411" i="114"/>
  <c r="K341" i="114"/>
  <c r="K276" i="114"/>
  <c r="K202" i="114"/>
  <c r="K154" i="114"/>
  <c r="K97" i="114"/>
  <c r="K38" i="114"/>
  <c r="K991" i="115"/>
  <c r="K935" i="115"/>
  <c r="K858" i="115"/>
  <c r="K802" i="115"/>
  <c r="K749" i="115"/>
  <c r="K672" i="115"/>
  <c r="K611" i="115"/>
  <c r="K560" i="115"/>
  <c r="K506" i="115"/>
  <c r="K388" i="115"/>
  <c r="K279" i="115"/>
  <c r="K231" i="115"/>
  <c r="K143" i="115"/>
  <c r="K104" i="115"/>
  <c r="K58" i="115"/>
  <c r="K22" i="115"/>
  <c r="L1906" i="68"/>
  <c r="L1788" i="68"/>
  <c r="L1746" i="68"/>
  <c r="L1708" i="68"/>
  <c r="L1667" i="68"/>
  <c r="L1631" i="68"/>
  <c r="L1592" i="68"/>
  <c r="L1551" i="68"/>
  <c r="L1523" i="68"/>
  <c r="L1415" i="68"/>
  <c r="L1369" i="68"/>
  <c r="L1334" i="68"/>
  <c r="L1226" i="68"/>
  <c r="L1187" i="68"/>
  <c r="L1147" i="68"/>
  <c r="L1046" i="68"/>
  <c r="L1016" i="68"/>
  <c r="L981" i="68"/>
  <c r="L942" i="68"/>
  <c r="L907" i="68"/>
  <c r="L871" i="68"/>
  <c r="L842" i="68"/>
  <c r="L745" i="68"/>
  <c r="L711" i="68"/>
  <c r="L621" i="68"/>
  <c r="L585" i="68"/>
  <c r="L484" i="68"/>
  <c r="L449" i="68"/>
  <c r="L450" i="68" s="1"/>
  <c r="L368" i="68"/>
  <c r="L326" i="68"/>
  <c r="L284" i="68"/>
  <c r="L196" i="68"/>
  <c r="L197" i="68" s="1"/>
  <c r="L161" i="68"/>
  <c r="L118" i="68"/>
  <c r="L80" i="68"/>
  <c r="L55" i="68"/>
  <c r="L32" i="68"/>
  <c r="K1894" i="68"/>
  <c r="K1773" i="68"/>
  <c r="K1751" i="68"/>
  <c r="K1718" i="68"/>
  <c r="K1694" i="68"/>
  <c r="K1661" i="68"/>
  <c r="K1628" i="68"/>
  <c r="K1606" i="68"/>
  <c r="K1576" i="68"/>
  <c r="K1543" i="68"/>
  <c r="K1522" i="68"/>
  <c r="K1419" i="68"/>
  <c r="K691" i="114"/>
  <c r="K610" i="114"/>
  <c r="K611" i="114" s="1"/>
  <c r="K477" i="114"/>
  <c r="K410" i="114"/>
  <c r="K336" i="114"/>
  <c r="K263" i="114"/>
  <c r="K199" i="114"/>
  <c r="K153" i="114"/>
  <c r="K91" i="114"/>
  <c r="K37" i="114"/>
  <c r="K990" i="115"/>
  <c r="K923" i="115"/>
  <c r="K857" i="115"/>
  <c r="K799" i="115"/>
  <c r="K739" i="115"/>
  <c r="K671" i="115"/>
  <c r="K610" i="115"/>
  <c r="K540" i="115"/>
  <c r="K504" i="115"/>
  <c r="K387" i="115"/>
  <c r="K270" i="115"/>
  <c r="K230" i="115"/>
  <c r="K142" i="115"/>
  <c r="K101" i="115"/>
  <c r="K56" i="115"/>
  <c r="K21" i="115"/>
  <c r="L1903" i="68"/>
  <c r="L1787" i="68"/>
  <c r="L1745" i="68"/>
  <c r="L1707" i="68"/>
  <c r="L1666" i="68"/>
  <c r="L1628" i="68"/>
  <c r="K622" i="114"/>
  <c r="K437" i="114"/>
  <c r="K335" i="114"/>
  <c r="K224" i="114"/>
  <c r="K148" i="114"/>
  <c r="K61" i="114"/>
  <c r="K987" i="115"/>
  <c r="K883" i="115"/>
  <c r="K788" i="115"/>
  <c r="K683" i="115"/>
  <c r="K589" i="115"/>
  <c r="K511" i="115"/>
  <c r="K375" i="115"/>
  <c r="K233" i="115"/>
  <c r="K124" i="115"/>
  <c r="K69" i="115"/>
  <c r="K16" i="115"/>
  <c r="L1796" i="68"/>
  <c r="L1742" i="68"/>
  <c r="L1680" i="68"/>
  <c r="L1681" i="68" s="1"/>
  <c r="L1623" i="68"/>
  <c r="L1580" i="68"/>
  <c r="L1529" i="68"/>
  <c r="L1417" i="68"/>
  <c r="L1366" i="68"/>
  <c r="L1254" i="68"/>
  <c r="L1195" i="68"/>
  <c r="L1149" i="68"/>
  <c r="L1043" i="68"/>
  <c r="L997" i="68"/>
  <c r="L954" i="68"/>
  <c r="L909" i="68"/>
  <c r="L868" i="68"/>
  <c r="L773" i="68"/>
  <c r="L723" i="68"/>
  <c r="L623" i="68"/>
  <c r="L524" i="68"/>
  <c r="L477" i="68"/>
  <c r="L425" i="68"/>
  <c r="L334" i="68"/>
  <c r="L281" i="68"/>
  <c r="L181" i="68"/>
  <c r="L124" i="68"/>
  <c r="L82" i="68"/>
  <c r="L52" i="68"/>
  <c r="L22" i="68"/>
  <c r="K1903" i="68"/>
  <c r="K1786" i="68"/>
  <c r="K1747" i="68"/>
  <c r="K1710" i="68"/>
  <c r="K1671" i="68"/>
  <c r="K1633" i="68"/>
  <c r="K1604" i="68"/>
  <c r="K1559" i="68"/>
  <c r="K1532" i="68"/>
  <c r="K1426" i="68"/>
  <c r="K1393" i="68"/>
  <c r="K1363" i="68"/>
  <c r="K1331" i="68"/>
  <c r="K1226" i="68"/>
  <c r="K1190" i="68"/>
  <c r="K1164" i="68"/>
  <c r="K1132" i="68"/>
  <c r="K1037" i="68"/>
  <c r="K1011" i="68"/>
  <c r="K982" i="68"/>
  <c r="K710" i="114"/>
  <c r="K605" i="114"/>
  <c r="K436" i="114"/>
  <c r="K332" i="114"/>
  <c r="K222" i="114"/>
  <c r="K147" i="114"/>
  <c r="K56" i="114"/>
  <c r="K984" i="115"/>
  <c r="K871" i="115"/>
  <c r="K781" i="115"/>
  <c r="K680" i="115"/>
  <c r="K580" i="115"/>
  <c r="K510" i="115"/>
  <c r="K293" i="115"/>
  <c r="K229" i="115"/>
  <c r="K123" i="115"/>
  <c r="K62" i="115"/>
  <c r="K15" i="115"/>
  <c r="L1795" i="68"/>
  <c r="L1741" i="68"/>
  <c r="L1676" i="68"/>
  <c r="L1622" i="68"/>
  <c r="L1577" i="68"/>
  <c r="L1528" i="68"/>
  <c r="L1416" i="68"/>
  <c r="L1365" i="68"/>
  <c r="L1244" i="68"/>
  <c r="L1194" i="68"/>
  <c r="L1148" i="68"/>
  <c r="L1042" i="68"/>
  <c r="L994" i="68"/>
  <c r="L953" i="68"/>
  <c r="L908" i="68"/>
  <c r="L867" i="68"/>
  <c r="L768" i="68"/>
  <c r="L722" i="68"/>
  <c r="L622" i="68"/>
  <c r="L523" i="68"/>
  <c r="L474" i="68"/>
  <c r="L424" i="68"/>
  <c r="L327" i="68"/>
  <c r="L280" i="68"/>
  <c r="L172" i="68"/>
  <c r="L123" i="68"/>
  <c r="L81" i="68"/>
  <c r="L51" i="68"/>
  <c r="L19" i="68"/>
  <c r="K1899" i="68"/>
  <c r="K1785" i="68"/>
  <c r="K1746" i="68"/>
  <c r="K1709" i="68"/>
  <c r="K1667" i="68"/>
  <c r="K1632" i="68"/>
  <c r="K1603" i="68"/>
  <c r="K1558" i="68"/>
  <c r="K1529" i="68"/>
  <c r="K1425" i="68"/>
  <c r="K1392" i="68"/>
  <c r="K1362" i="68"/>
  <c r="K1259" i="68"/>
  <c r="K1223" i="68"/>
  <c r="K1189" i="68"/>
  <c r="K1157" i="68"/>
  <c r="K1158" i="68" s="1"/>
  <c r="K1131" i="68"/>
  <c r="K1036" i="68"/>
  <c r="K1003" i="68"/>
  <c r="K981" i="68"/>
  <c r="K953" i="68"/>
  <c r="K929" i="68"/>
  <c r="K899" i="68"/>
  <c r="K871" i="68"/>
  <c r="K849" i="68"/>
  <c r="K768" i="68"/>
  <c r="K737" i="68"/>
  <c r="K709" i="68"/>
  <c r="K623" i="68"/>
  <c r="K591" i="68"/>
  <c r="K515" i="68"/>
  <c r="K478" i="68"/>
  <c r="K709" i="114"/>
  <c r="K597" i="114"/>
  <c r="K434" i="114"/>
  <c r="K326" i="114"/>
  <c r="K212" i="114"/>
  <c r="K137" i="114"/>
  <c r="K52" i="114"/>
  <c r="K976" i="115"/>
  <c r="K863" i="115"/>
  <c r="K780" i="115"/>
  <c r="K676" i="115"/>
  <c r="K573" i="115"/>
  <c r="K503" i="115"/>
  <c r="K292" i="115"/>
  <c r="K227" i="115"/>
  <c r="K122" i="115"/>
  <c r="K53" i="115"/>
  <c r="L1922" i="68"/>
  <c r="L1794" i="68"/>
  <c r="L1733" i="68"/>
  <c r="L1734" i="68" s="1"/>
  <c r="L1675" i="68"/>
  <c r="L1621" i="68"/>
  <c r="L1576" i="68"/>
  <c r="L1527" i="68"/>
  <c r="L1414" i="68"/>
  <c r="L1364" i="68"/>
  <c r="L1243" i="68"/>
  <c r="L1193" i="68"/>
  <c r="L1146" i="68"/>
  <c r="L1041" i="68"/>
  <c r="L993" i="68"/>
  <c r="L952" i="68"/>
  <c r="L906" i="68"/>
  <c r="L866" i="68"/>
  <c r="L767" i="68"/>
  <c r="L721" i="68"/>
  <c r="L620" i="68"/>
  <c r="L520" i="68"/>
  <c r="L471" i="68"/>
  <c r="L423" i="68"/>
  <c r="L325" i="68"/>
  <c r="L279" i="68"/>
  <c r="L171" i="68"/>
  <c r="L122" i="68"/>
  <c r="L79" i="68"/>
  <c r="L50" i="68"/>
  <c r="L18" i="68"/>
  <c r="K1896" i="68"/>
  <c r="K1776" i="68"/>
  <c r="K1745" i="68"/>
  <c r="K1706" i="68"/>
  <c r="K1666" i="68"/>
  <c r="K1631" i="68"/>
  <c r="K1602" i="68"/>
  <c r="K1555" i="68"/>
  <c r="K1528" i="68"/>
  <c r="K1422" i="68"/>
  <c r="K1389" i="68"/>
  <c r="K1361" i="68"/>
  <c r="K1256" i="68"/>
  <c r="K1222" i="68"/>
  <c r="K1186" i="68"/>
  <c r="K1154" i="68"/>
  <c r="K1128" i="68"/>
  <c r="K1035" i="68"/>
  <c r="K1002" i="68"/>
  <c r="K980" i="68"/>
  <c r="K952" i="68"/>
  <c r="K928" i="68"/>
  <c r="K898" i="68"/>
  <c r="K870" i="68"/>
  <c r="K848" i="68"/>
  <c r="K767" i="68"/>
  <c r="K736" i="68"/>
  <c r="K706" i="68"/>
  <c r="K622" i="68"/>
  <c r="K590" i="68"/>
  <c r="K508" i="68"/>
  <c r="K477" i="68"/>
  <c r="K444" i="68"/>
  <c r="K369" i="68"/>
  <c r="K337" i="68"/>
  <c r="K301" i="68"/>
  <c r="K225" i="68"/>
  <c r="K191" i="68"/>
  <c r="K707" i="114"/>
  <c r="K593" i="114"/>
  <c r="K433" i="114"/>
  <c r="K325" i="114"/>
  <c r="K206" i="114"/>
  <c r="K136" i="114"/>
  <c r="K964" i="115"/>
  <c r="K862" i="115"/>
  <c r="K765" i="115"/>
  <c r="K670" i="115"/>
  <c r="K572" i="115"/>
  <c r="K499" i="115"/>
  <c r="K287" i="115"/>
  <c r="K226" i="115"/>
  <c r="K111" i="115"/>
  <c r="K705" i="114"/>
  <c r="K592" i="114"/>
  <c r="K429" i="114"/>
  <c r="K324" i="114"/>
  <c r="K205" i="114"/>
  <c r="K135" i="114"/>
  <c r="K47" i="114"/>
  <c r="K955" i="115"/>
  <c r="K855" i="115"/>
  <c r="K761" i="115"/>
  <c r="K668" i="115"/>
  <c r="K567" i="115"/>
  <c r="K498" i="115"/>
  <c r="K286" i="115"/>
  <c r="K225" i="115"/>
  <c r="K109" i="115"/>
  <c r="K51" i="115"/>
  <c r="L1920" i="68"/>
  <c r="L1773" i="68"/>
  <c r="L1724" i="68"/>
  <c r="L1673" i="68"/>
  <c r="L1619" i="68"/>
  <c r="L1558" i="68"/>
  <c r="L1525" i="68"/>
  <c r="L1405" i="68"/>
  <c r="L1362" i="68"/>
  <c r="L1232" i="68"/>
  <c r="L1189" i="68"/>
  <c r="L1144" i="68"/>
  <c r="K703" i="114"/>
  <c r="K591" i="114"/>
  <c r="K426" i="114"/>
  <c r="K317" i="114"/>
  <c r="K204" i="114"/>
  <c r="K128" i="114"/>
  <c r="K35" i="114"/>
  <c r="K954" i="115"/>
  <c r="K849" i="115"/>
  <c r="K758" i="115"/>
  <c r="K667" i="115"/>
  <c r="K566" i="115"/>
  <c r="K419" i="115"/>
  <c r="K285" i="115"/>
  <c r="K224" i="115"/>
  <c r="K108" i="115"/>
  <c r="K50" i="115"/>
  <c r="L1918" i="68"/>
  <c r="L1772" i="68"/>
  <c r="L1723" i="68"/>
  <c r="L1671" i="68"/>
  <c r="L1618" i="68"/>
  <c r="L1557" i="68"/>
  <c r="L1524" i="68"/>
  <c r="L1404" i="68"/>
  <c r="L1359" i="68"/>
  <c r="L1231" i="68"/>
  <c r="L1188" i="68"/>
  <c r="L1143" i="68"/>
  <c r="L1029" i="68"/>
  <c r="L987" i="68"/>
  <c r="L943" i="68"/>
  <c r="L900" i="68"/>
  <c r="L855" i="68"/>
  <c r="L761" i="68"/>
  <c r="L712" i="68"/>
  <c r="L609" i="68"/>
  <c r="L515" i="68"/>
  <c r="L461" i="68"/>
  <c r="L369" i="68"/>
  <c r="L308" i="68"/>
  <c r="L220" i="68"/>
  <c r="L166" i="68"/>
  <c r="L119" i="68"/>
  <c r="L76" i="68"/>
  <c r="L42" i="68"/>
  <c r="L14" i="68"/>
  <c r="K1770" i="68"/>
  <c r="K1742" i="68"/>
  <c r="K1702" i="68"/>
  <c r="K1663" i="68"/>
  <c r="K1625" i="68"/>
  <c r="K1593" i="68"/>
  <c r="K1551" i="68"/>
  <c r="K1525" i="68"/>
  <c r="K1418" i="68"/>
  <c r="K1384" i="68"/>
  <c r="K1352" i="68"/>
  <c r="K1253" i="68"/>
  <c r="K1217" i="68"/>
  <c r="K1183" i="68"/>
  <c r="K1151" i="68"/>
  <c r="K1125" i="68"/>
  <c r="K1030" i="68"/>
  <c r="K999" i="68"/>
  <c r="K977" i="68"/>
  <c r="K949" i="68"/>
  <c r="K925" i="68"/>
  <c r="K895" i="68"/>
  <c r="K867" i="68"/>
  <c r="K843" i="68"/>
  <c r="K762" i="68"/>
  <c r="K733" i="68"/>
  <c r="K701" i="68"/>
  <c r="K619" i="68"/>
  <c r="K587" i="68"/>
  <c r="K505" i="68"/>
  <c r="K474" i="68"/>
  <c r="K441" i="68"/>
  <c r="K678" i="114"/>
  <c r="K560" i="114"/>
  <c r="K381" i="114"/>
  <c r="K283" i="114"/>
  <c r="K184" i="114"/>
  <c r="K108" i="114"/>
  <c r="K1042" i="115"/>
  <c r="K922" i="115"/>
  <c r="K815" i="115"/>
  <c r="K737" i="115"/>
  <c r="K641" i="115"/>
  <c r="K535" i="115"/>
  <c r="K399" i="115"/>
  <c r="K265" i="115"/>
  <c r="K203" i="115"/>
  <c r="K91" i="115"/>
  <c r="K28" i="115"/>
  <c r="L1762" i="68"/>
  <c r="L1710" i="68"/>
  <c r="L1654" i="68"/>
  <c r="L1606" i="68"/>
  <c r="L1549" i="68"/>
  <c r="L1432" i="68"/>
  <c r="L1386" i="68"/>
  <c r="L1337" i="68"/>
  <c r="L1222" i="68"/>
  <c r="L1176" i="68"/>
  <c r="L1132" i="68"/>
  <c r="K668" i="114"/>
  <c r="K552" i="114"/>
  <c r="K380" i="114"/>
  <c r="K280" i="114"/>
  <c r="K175" i="114"/>
  <c r="K90" i="114"/>
  <c r="K1041" i="115"/>
  <c r="K920" i="115"/>
  <c r="K810" i="115"/>
  <c r="K736" i="115"/>
  <c r="K631" i="115"/>
  <c r="K534" i="115"/>
  <c r="K396" i="115"/>
  <c r="K264" i="115"/>
  <c r="K202" i="115"/>
  <c r="K88" i="115"/>
  <c r="K27" i="115"/>
  <c r="L1895" i="68"/>
  <c r="L1761" i="68"/>
  <c r="L1706" i="68"/>
  <c r="L1651" i="68"/>
  <c r="L1605" i="68"/>
  <c r="L1548" i="68"/>
  <c r="L1431" i="68"/>
  <c r="L1384" i="68"/>
  <c r="L1336" i="68"/>
  <c r="L1221" i="68"/>
  <c r="L1175" i="68"/>
  <c r="L1124" i="68"/>
  <c r="K665" i="114"/>
  <c r="K548" i="114"/>
  <c r="K549" i="114" s="1"/>
  <c r="K374" i="114"/>
  <c r="K262" i="114"/>
  <c r="K168" i="114"/>
  <c r="K89" i="114"/>
  <c r="K1033" i="115"/>
  <c r="K913" i="115"/>
  <c r="K809" i="115"/>
  <c r="K735" i="115"/>
  <c r="K630" i="115"/>
  <c r="K533" i="115"/>
  <c r="K393" i="115"/>
  <c r="K263" i="115"/>
  <c r="K200" i="115"/>
  <c r="K87" i="115"/>
  <c r="K26" i="115"/>
  <c r="L1758" i="68"/>
  <c r="L1704" i="68"/>
  <c r="L1643" i="68"/>
  <c r="L1594" i="68"/>
  <c r="L1547" i="68"/>
  <c r="L1427" i="68"/>
  <c r="L1383" i="68"/>
  <c r="L1335" i="68"/>
  <c r="L1220" i="68"/>
  <c r="L1170" i="68"/>
  <c r="L1123" i="68"/>
  <c r="L1017" i="68"/>
  <c r="K460" i="114"/>
  <c r="K260" i="114"/>
  <c r="K109" i="114"/>
  <c r="K946" i="115"/>
  <c r="K757" i="115"/>
  <c r="K607" i="115"/>
  <c r="K385" i="115"/>
  <c r="K140" i="115"/>
  <c r="K45" i="115"/>
  <c r="L1799" i="68"/>
  <c r="L1702" i="68"/>
  <c r="L1610" i="68"/>
  <c r="L1533" i="68"/>
  <c r="L1381" i="68"/>
  <c r="L1228" i="68"/>
  <c r="L1154" i="68"/>
  <c r="L1019" i="68"/>
  <c r="L968" i="68"/>
  <c r="L902" i="68"/>
  <c r="L850" i="68"/>
  <c r="L742" i="68"/>
  <c r="L637" i="68"/>
  <c r="L519" i="68"/>
  <c r="L458" i="68"/>
  <c r="L347" i="68"/>
  <c r="L288" i="68"/>
  <c r="L107" i="68"/>
  <c r="L61" i="68"/>
  <c r="L29" i="68"/>
  <c r="K1767" i="68"/>
  <c r="K1721" i="68"/>
  <c r="K1677" i="68"/>
  <c r="K1627" i="68"/>
  <c r="K1586" i="68"/>
  <c r="K1541" i="68"/>
  <c r="K1430" i="68"/>
  <c r="K1386" i="68"/>
  <c r="K1345" i="68"/>
  <c r="K1236" i="68"/>
  <c r="K1196" i="68"/>
  <c r="K1153" i="68"/>
  <c r="K1122" i="68"/>
  <c r="K1020" i="68"/>
  <c r="K986" i="68"/>
  <c r="K954" i="68"/>
  <c r="K918" i="68"/>
  <c r="K889" i="68"/>
  <c r="K860" i="68"/>
  <c r="K776" i="68"/>
  <c r="K742" i="68"/>
  <c r="K705" i="68"/>
  <c r="K609" i="68"/>
  <c r="K530" i="68"/>
  <c r="K495" i="68"/>
  <c r="K459" i="68"/>
  <c r="K424" i="68"/>
  <c r="K340" i="68"/>
  <c r="K303" i="68"/>
  <c r="K278" i="68"/>
  <c r="K190" i="68"/>
  <c r="K161" i="68"/>
  <c r="K122" i="68"/>
  <c r="K92" i="68"/>
  <c r="K71" i="68"/>
  <c r="K51" i="68"/>
  <c r="K31" i="68"/>
  <c r="K11" i="68"/>
  <c r="K1719" i="68"/>
  <c r="K1383" i="68"/>
  <c r="K1232" i="68"/>
  <c r="K1018" i="68"/>
  <c r="K950" i="68"/>
  <c r="K887" i="68"/>
  <c r="K774" i="68"/>
  <c r="K607" i="68"/>
  <c r="K528" i="68"/>
  <c r="K457" i="68"/>
  <c r="K371" i="68"/>
  <c r="K188" i="68"/>
  <c r="K120" i="68"/>
  <c r="K69" i="68"/>
  <c r="K700" i="114"/>
  <c r="K457" i="114"/>
  <c r="K258" i="114"/>
  <c r="K88" i="114"/>
  <c r="K945" i="115"/>
  <c r="K756" i="115"/>
  <c r="K606" i="115"/>
  <c r="K384" i="115"/>
  <c r="K139" i="115"/>
  <c r="K44" i="115"/>
  <c r="L1790" i="68"/>
  <c r="L1699" i="68"/>
  <c r="L1608" i="68"/>
  <c r="L1526" i="68"/>
  <c r="L1373" i="68"/>
  <c r="L1227" i="68"/>
  <c r="L1145" i="68"/>
  <c r="L1018" i="68"/>
  <c r="L965" i="68"/>
  <c r="L901" i="68"/>
  <c r="L849" i="68"/>
  <c r="L741" i="68"/>
  <c r="L630" i="68"/>
  <c r="L631" i="68" s="1"/>
  <c r="L518" i="68"/>
  <c r="L457" i="68"/>
  <c r="L342" i="68"/>
  <c r="L285" i="68"/>
  <c r="L167" i="68"/>
  <c r="L106" i="68"/>
  <c r="L60" i="68"/>
  <c r="L28" i="68"/>
  <c r="K1895" i="68"/>
  <c r="K1766" i="68"/>
  <c r="K1720" i="68"/>
  <c r="K1676" i="68"/>
  <c r="K1626" i="68"/>
  <c r="K1584" i="68"/>
  <c r="K1540" i="68"/>
  <c r="K1429" i="68"/>
  <c r="K1385" i="68"/>
  <c r="K1344" i="68"/>
  <c r="K1233" i="68"/>
  <c r="K1195" i="68"/>
  <c r="K1152" i="68"/>
  <c r="K1121" i="68"/>
  <c r="K1019" i="68"/>
  <c r="K985" i="68"/>
  <c r="K951" i="68"/>
  <c r="K915" i="68"/>
  <c r="K888" i="68"/>
  <c r="K857" i="68"/>
  <c r="K775" i="68"/>
  <c r="K741" i="68"/>
  <c r="K704" i="68"/>
  <c r="K608" i="68"/>
  <c r="K529" i="68"/>
  <c r="K492" i="68"/>
  <c r="K458" i="68"/>
  <c r="K423" i="68"/>
  <c r="K339" i="68"/>
  <c r="K302" i="68"/>
  <c r="K224" i="68"/>
  <c r="K189" i="68"/>
  <c r="K160" i="68"/>
  <c r="K121" i="68"/>
  <c r="K91" i="68"/>
  <c r="K70" i="68"/>
  <c r="K50" i="68"/>
  <c r="K30" i="68"/>
  <c r="K10" i="68"/>
  <c r="E105" i="6" s="1"/>
  <c r="K1761" i="68"/>
  <c r="K1624" i="68"/>
  <c r="K1581" i="68"/>
  <c r="K1539" i="68"/>
  <c r="K1343" i="68"/>
  <c r="K1194" i="68"/>
  <c r="K1150" i="68"/>
  <c r="K984" i="68"/>
  <c r="K914" i="68"/>
  <c r="K856" i="68"/>
  <c r="K740" i="68"/>
  <c r="K484" i="68"/>
  <c r="K338" i="68"/>
  <c r="K298" i="68"/>
  <c r="K153" i="68"/>
  <c r="K90" i="68"/>
  <c r="K29" i="68"/>
  <c r="K699" i="114"/>
  <c r="K456" i="114"/>
  <c r="K246" i="114"/>
  <c r="K247" i="114" s="1"/>
  <c r="K87" i="114"/>
  <c r="K940" i="115"/>
  <c r="K755" i="115"/>
  <c r="K565" i="115"/>
  <c r="K383" i="115"/>
  <c r="K136" i="115"/>
  <c r="K43" i="115"/>
  <c r="L1771" i="68"/>
  <c r="L1698" i="68"/>
  <c r="L1607" i="68"/>
  <c r="L1522" i="68"/>
  <c r="L1372" i="68"/>
  <c r="L1223" i="68"/>
  <c r="L1142" i="68"/>
  <c r="L1015" i="68"/>
  <c r="L958" i="68"/>
  <c r="L899" i="68"/>
  <c r="L848" i="68"/>
  <c r="L740" i="68"/>
  <c r="L627" i="68"/>
  <c r="L508" i="68"/>
  <c r="L446" i="68"/>
  <c r="L341" i="68"/>
  <c r="L283" i="68"/>
  <c r="L165" i="68"/>
  <c r="L105" i="68"/>
  <c r="L59" i="68"/>
  <c r="L27" i="68"/>
  <c r="K1673" i="68"/>
  <c r="K1428" i="68"/>
  <c r="K1120" i="68"/>
  <c r="K700" i="68"/>
  <c r="K223" i="68"/>
  <c r="K49" i="68"/>
  <c r="K425" i="114"/>
  <c r="K234" i="114"/>
  <c r="K86" i="114"/>
  <c r="K912" i="115"/>
  <c r="K754" i="115"/>
  <c r="K564" i="115"/>
  <c r="K376" i="115"/>
  <c r="K135" i="115"/>
  <c r="K25" i="115"/>
  <c r="L1770" i="68"/>
  <c r="L1691" i="68"/>
  <c r="L1591" i="68"/>
  <c r="L1521" i="68"/>
  <c r="L1368" i="68"/>
  <c r="L1219" i="68"/>
  <c r="L1139" i="68"/>
  <c r="L1013" i="68"/>
  <c r="L956" i="68"/>
  <c r="L898" i="68"/>
  <c r="L847" i="68"/>
  <c r="L737" i="68"/>
  <c r="L626" i="68"/>
  <c r="L507" i="68"/>
  <c r="L445" i="68"/>
  <c r="L340" i="68"/>
  <c r="L282" i="68"/>
  <c r="L164" i="68"/>
  <c r="L104" i="68"/>
  <c r="L58" i="68"/>
  <c r="L26" i="68"/>
  <c r="K1808" i="68"/>
  <c r="K1760" i="68"/>
  <c r="K1717" i="68"/>
  <c r="K1672" i="68"/>
  <c r="K1623" i="68"/>
  <c r="K1580" i="68"/>
  <c r="K1538" i="68"/>
  <c r="K1427" i="68"/>
  <c r="K682" i="114"/>
  <c r="K405" i="114"/>
  <c r="K225" i="114"/>
  <c r="K84" i="114"/>
  <c r="K909" i="115"/>
  <c r="K738" i="115"/>
  <c r="K562" i="115"/>
  <c r="K282" i="115"/>
  <c r="K130" i="115"/>
  <c r="K24" i="115"/>
  <c r="L1769" i="68"/>
  <c r="L1683" i="68"/>
  <c r="L1684" i="68" s="1"/>
  <c r="L1590" i="68"/>
  <c r="L1520" i="68"/>
  <c r="L1367" i="68"/>
  <c r="L1203" i="68"/>
  <c r="L1138" i="68"/>
  <c r="L1012" i="68"/>
  <c r="L951" i="68"/>
  <c r="L897" i="68"/>
  <c r="L844" i="68"/>
  <c r="L736" i="68"/>
  <c r="L619" i="68"/>
  <c r="K658" i="114"/>
  <c r="K400" i="114"/>
  <c r="K195" i="114"/>
  <c r="K892" i="115"/>
  <c r="K720" i="115"/>
  <c r="K536" i="115"/>
  <c r="K268" i="115"/>
  <c r="K107" i="115"/>
  <c r="K19" i="115"/>
  <c r="L1765" i="68"/>
  <c r="L1665" i="68"/>
  <c r="L1585" i="68"/>
  <c r="L1441" i="68"/>
  <c r="L1442" i="68" s="1"/>
  <c r="L1352" i="68"/>
  <c r="L1199" i="68"/>
  <c r="L1134" i="68"/>
  <c r="L1003" i="68"/>
  <c r="L941" i="68"/>
  <c r="L887" i="68"/>
  <c r="L841" i="68"/>
  <c r="L730" i="68"/>
  <c r="L608" i="68"/>
  <c r="L503" i="68"/>
  <c r="L442" i="68"/>
  <c r="L336" i="68"/>
  <c r="L219" i="68"/>
  <c r="L160" i="68"/>
  <c r="L93" i="68"/>
  <c r="L54" i="68"/>
  <c r="L13" i="68"/>
  <c r="K1803" i="68"/>
  <c r="K1756" i="68"/>
  <c r="K1714" i="68"/>
  <c r="K1662" i="68"/>
  <c r="K1618" i="68"/>
  <c r="K1577" i="68"/>
  <c r="K1533" i="68"/>
  <c r="K1417" i="68"/>
  <c r="K1375" i="68"/>
  <c r="K1337" i="68"/>
  <c r="K1228" i="68"/>
  <c r="K1182" i="68"/>
  <c r="K1146" i="68"/>
  <c r="K1044" i="68"/>
  <c r="K1013" i="68"/>
  <c r="K974" i="68"/>
  <c r="K943" i="68"/>
  <c r="K910" i="68"/>
  <c r="K883" i="68"/>
  <c r="K852" i="68"/>
  <c r="K766" i="68"/>
  <c r="K729" i="68"/>
  <c r="K696" i="68"/>
  <c r="K603" i="68"/>
  <c r="K520" i="68"/>
  <c r="K480" i="68"/>
  <c r="K443" i="68"/>
  <c r="K364" i="68"/>
  <c r="K327" i="68"/>
  <c r="K294" i="68"/>
  <c r="K215" i="68"/>
  <c r="K178" i="68"/>
  <c r="K147" i="68"/>
  <c r="K114" i="68"/>
  <c r="K86" i="68"/>
  <c r="K65" i="68"/>
  <c r="K45" i="68"/>
  <c r="K25" i="68"/>
  <c r="K657" i="114"/>
  <c r="K396" i="114"/>
  <c r="K192" i="114"/>
  <c r="K34" i="114"/>
  <c r="K891" i="115"/>
  <c r="K701" i="115"/>
  <c r="K532" i="115"/>
  <c r="K267" i="115"/>
  <c r="K106" i="115"/>
  <c r="K18" i="115"/>
  <c r="L1757" i="68"/>
  <c r="L1664" i="68"/>
  <c r="L1584" i="68"/>
  <c r="L1426" i="68"/>
  <c r="L1351" i="68"/>
  <c r="L1198" i="68"/>
  <c r="K623" i="114"/>
  <c r="K349" i="114"/>
  <c r="K160" i="114"/>
  <c r="K27" i="114"/>
  <c r="K841" i="115"/>
  <c r="K665" i="115"/>
  <c r="K517" i="115"/>
  <c r="K255" i="115"/>
  <c r="K76" i="115"/>
  <c r="L1914" i="68"/>
  <c r="L1915" i="68" s="1"/>
  <c r="L1744" i="68"/>
  <c r="L1642" i="68"/>
  <c r="L1555" i="68"/>
  <c r="L1419" i="68"/>
  <c r="L1333" i="68"/>
  <c r="L1180" i="68"/>
  <c r="L1045" i="68"/>
  <c r="L984" i="68"/>
  <c r="L936" i="68"/>
  <c r="L874" i="68"/>
  <c r="L775" i="68"/>
  <c r="L709" i="68"/>
  <c r="L595" i="68"/>
  <c r="L482" i="68"/>
  <c r="L427" i="68"/>
  <c r="L306" i="68"/>
  <c r="L201" i="68"/>
  <c r="L141" i="68"/>
  <c r="L87" i="68"/>
  <c r="L40" i="68"/>
  <c r="K1927" i="68"/>
  <c r="K1794" i="68"/>
  <c r="K1748" i="68"/>
  <c r="K1698" i="68"/>
  <c r="K1654" i="68"/>
  <c r="K1610" i="68"/>
  <c r="K1560" i="68"/>
  <c r="K590" i="114"/>
  <c r="K348" i="114"/>
  <c r="K159" i="114"/>
  <c r="K1031" i="115"/>
  <c r="K838" i="115"/>
  <c r="K663" i="115"/>
  <c r="K512" i="115"/>
  <c r="K254" i="115"/>
  <c r="K75" i="115"/>
  <c r="L1911" i="68"/>
  <c r="L1743" i="68"/>
  <c r="L1637" i="68"/>
  <c r="L1553" i="68"/>
  <c r="L1418" i="68"/>
  <c r="L1332" i="68"/>
  <c r="L1179" i="68"/>
  <c r="L1044" i="68"/>
  <c r="L983" i="68"/>
  <c r="L932" i="68"/>
  <c r="L873" i="68"/>
  <c r="L766" i="68"/>
  <c r="L706" i="68"/>
  <c r="L591" i="68"/>
  <c r="L481" i="68"/>
  <c r="L371" i="68"/>
  <c r="L305" i="68"/>
  <c r="L200" i="68"/>
  <c r="L140" i="68"/>
  <c r="L78" i="68"/>
  <c r="L38" i="68"/>
  <c r="K1924" i="68"/>
  <c r="K1793" i="68"/>
  <c r="K1744" i="68"/>
  <c r="K1697" i="68"/>
  <c r="K565" i="114"/>
  <c r="K347" i="114"/>
  <c r="K157" i="114"/>
  <c r="K818" i="115"/>
  <c r="K662" i="115"/>
  <c r="K418" i="115"/>
  <c r="K244" i="115"/>
  <c r="K74" i="115"/>
  <c r="L1910" i="68"/>
  <c r="L1730" i="68"/>
  <c r="L1731" i="68" s="1"/>
  <c r="L1636" i="68"/>
  <c r="L1552" i="68"/>
  <c r="L1407" i="68"/>
  <c r="L1331" i="68"/>
  <c r="L1178" i="68"/>
  <c r="L1040" i="68"/>
  <c r="L982" i="68"/>
  <c r="L929" i="68"/>
  <c r="L872" i="68"/>
  <c r="L762" i="68"/>
  <c r="L705" i="68"/>
  <c r="L590" i="68"/>
  <c r="L480" i="68"/>
  <c r="L370" i="68"/>
  <c r="L302" i="68"/>
  <c r="L199" i="68"/>
  <c r="L130" i="68"/>
  <c r="L131" i="68" s="1"/>
  <c r="L77" i="68"/>
  <c r="L37" i="68"/>
  <c r="K1923" i="68"/>
  <c r="K1789" i="68"/>
  <c r="K1743" i="68"/>
  <c r="K1696" i="68"/>
  <c r="K1652" i="68"/>
  <c r="K1608" i="68"/>
  <c r="K1553" i="68"/>
  <c r="K1520" i="68"/>
  <c r="K1406" i="68"/>
  <c r="K1366" i="68"/>
  <c r="K1254" i="68"/>
  <c r="K1203" i="68"/>
  <c r="K1175" i="68"/>
  <c r="K1137" i="68"/>
  <c r="K1031" i="68"/>
  <c r="K995" i="68"/>
  <c r="K967" i="68"/>
  <c r="K936" i="68"/>
  <c r="K901" i="68"/>
  <c r="K868" i="68"/>
  <c r="K840" i="68"/>
  <c r="K756" i="68"/>
  <c r="K722" i="68"/>
  <c r="K637" i="68"/>
  <c r="K594" i="68"/>
  <c r="K504" i="68"/>
  <c r="K466" i="68"/>
  <c r="K431" i="68"/>
  <c r="K351" i="68"/>
  <c r="K312" i="68"/>
  <c r="K285" i="68"/>
  <c r="K202" i="68"/>
  <c r="K170" i="68"/>
  <c r="K138" i="68"/>
  <c r="K105" i="68"/>
  <c r="K79" i="68"/>
  <c r="K58" i="68"/>
  <c r="K38" i="68"/>
  <c r="K18" i="68"/>
  <c r="K564" i="114"/>
  <c r="K297" i="114"/>
  <c r="K156" i="114"/>
  <c r="K191" i="114"/>
  <c r="K888" i="115"/>
  <c r="K526" i="115"/>
  <c r="K96" i="115"/>
  <c r="L1756" i="68"/>
  <c r="L1581" i="68"/>
  <c r="L1340" i="68"/>
  <c r="L1122" i="68"/>
  <c r="L969" i="68"/>
  <c r="L860" i="68"/>
  <c r="L701" i="68"/>
  <c r="L492" i="68"/>
  <c r="L493" i="68" s="1"/>
  <c r="L338" i="68"/>
  <c r="L191" i="68"/>
  <c r="L89" i="68"/>
  <c r="L17" i="68"/>
  <c r="K1772" i="68"/>
  <c r="K1704" i="68"/>
  <c r="K1634" i="68"/>
  <c r="K1554" i="68"/>
  <c r="K1431" i="68"/>
  <c r="K1372" i="68"/>
  <c r="K1247" i="68"/>
  <c r="K1193" i="68"/>
  <c r="K1143" i="68"/>
  <c r="K1028" i="68"/>
  <c r="K983" i="68"/>
  <c r="K940" i="68"/>
  <c r="K897" i="68"/>
  <c r="K855" i="68"/>
  <c r="K760" i="68"/>
  <c r="K714" i="68"/>
  <c r="K606" i="68"/>
  <c r="K517" i="68"/>
  <c r="K464" i="68"/>
  <c r="K370" i="68"/>
  <c r="K322" i="68"/>
  <c r="K283" i="68"/>
  <c r="K181" i="68"/>
  <c r="K142" i="68"/>
  <c r="K679" i="114"/>
  <c r="K188" i="114"/>
  <c r="K846" i="115"/>
  <c r="K521" i="115"/>
  <c r="K95" i="115"/>
  <c r="L1755" i="68"/>
  <c r="L1575" i="68"/>
  <c r="L1339" i="68"/>
  <c r="L1121" i="68"/>
  <c r="L944" i="68"/>
  <c r="L854" i="68"/>
  <c r="L700" i="68"/>
  <c r="L483" i="68"/>
  <c r="L337" i="68"/>
  <c r="L190" i="68"/>
  <c r="L88" i="68"/>
  <c r="L15" i="68"/>
  <c r="K1771" i="68"/>
  <c r="K1699" i="68"/>
  <c r="K1622" i="68"/>
  <c r="K1550" i="68"/>
  <c r="K1421" i="68"/>
  <c r="K1369" i="68"/>
  <c r="K1246" i="68"/>
  <c r="K1185" i="68"/>
  <c r="K1142" i="68"/>
  <c r="K1027" i="68"/>
  <c r="K979" i="68"/>
  <c r="K939" i="68"/>
  <c r="K896" i="68"/>
  <c r="K854" i="68"/>
  <c r="K759" i="68"/>
  <c r="K713" i="68"/>
  <c r="K605" i="68"/>
  <c r="K516" i="68"/>
  <c r="K463" i="68"/>
  <c r="K368" i="68"/>
  <c r="K321" i="68"/>
  <c r="K282" i="68"/>
  <c r="K180" i="68"/>
  <c r="K141" i="68"/>
  <c r="K102" i="68"/>
  <c r="K67" i="68"/>
  <c r="K41" i="68"/>
  <c r="K15" i="68"/>
  <c r="K14" i="68"/>
  <c r="K1768" i="68"/>
  <c r="K1617" i="68"/>
  <c r="K1548" i="68"/>
  <c r="K1367" i="68"/>
  <c r="K1244" i="68"/>
  <c r="K1181" i="68"/>
  <c r="K1024" i="68"/>
  <c r="K973" i="68"/>
  <c r="K893" i="68"/>
  <c r="K602" i="68"/>
  <c r="K461" i="68"/>
  <c r="K280" i="68"/>
  <c r="K94" i="68"/>
  <c r="K13" i="68"/>
  <c r="K502" i="68"/>
  <c r="K220" i="68"/>
  <c r="K89" i="68"/>
  <c r="K596" i="68"/>
  <c r="K353" i="68"/>
  <c r="K216" i="68"/>
  <c r="K34" i="68"/>
  <c r="K789" i="115"/>
  <c r="L597" i="68"/>
  <c r="L151" i="68"/>
  <c r="K1665" i="68"/>
  <c r="K1407" i="68"/>
  <c r="K1012" i="68"/>
  <c r="K882" i="68"/>
  <c r="K695" i="68"/>
  <c r="K124" i="68"/>
  <c r="K59" i="68"/>
  <c r="L1674" i="68"/>
  <c r="L912" i="68"/>
  <c r="K1914" i="68"/>
  <c r="K1221" i="68"/>
  <c r="K1001" i="68"/>
  <c r="K694" i="68"/>
  <c r="K213" i="68"/>
  <c r="K57" i="68"/>
  <c r="L1663" i="68"/>
  <c r="L749" i="68"/>
  <c r="L750" i="68" s="1"/>
  <c r="L441" i="68"/>
  <c r="K1909" i="68"/>
  <c r="K1658" i="68"/>
  <c r="K1218" i="68"/>
  <c r="K654" i="114"/>
  <c r="K164" i="114"/>
  <c r="K842" i="115"/>
  <c r="K518" i="115"/>
  <c r="K92" i="115"/>
  <c r="L1748" i="68"/>
  <c r="L1556" i="68"/>
  <c r="L1338" i="68"/>
  <c r="L1120" i="68"/>
  <c r="L940" i="68"/>
  <c r="L852" i="68"/>
  <c r="L693" i="68"/>
  <c r="L479" i="68"/>
  <c r="L335" i="68"/>
  <c r="L189" i="68"/>
  <c r="L75" i="68"/>
  <c r="L12" i="68"/>
  <c r="K1769" i="68"/>
  <c r="K1695" i="68"/>
  <c r="K1621" i="68"/>
  <c r="K1549" i="68"/>
  <c r="K1420" i="68"/>
  <c r="K1368" i="68"/>
  <c r="K1245" i="68"/>
  <c r="K1184" i="68"/>
  <c r="K1139" i="68"/>
  <c r="K1026" i="68"/>
  <c r="K978" i="68"/>
  <c r="K938" i="68"/>
  <c r="K894" i="68"/>
  <c r="K853" i="68"/>
  <c r="K758" i="68"/>
  <c r="K712" i="68"/>
  <c r="K604" i="68"/>
  <c r="K507" i="68"/>
  <c r="K462" i="68"/>
  <c r="K367" i="68"/>
  <c r="K320" i="68"/>
  <c r="K281" i="68"/>
  <c r="K179" i="68"/>
  <c r="K140" i="68"/>
  <c r="K101" i="68"/>
  <c r="K66" i="68"/>
  <c r="K40" i="68"/>
  <c r="K937" i="68"/>
  <c r="K757" i="68"/>
  <c r="K711" i="68"/>
  <c r="K357" i="68"/>
  <c r="K319" i="68"/>
  <c r="K177" i="68"/>
  <c r="K64" i="68"/>
  <c r="K39" i="68"/>
  <c r="K847" i="68"/>
  <c r="K699" i="68"/>
  <c r="K355" i="68"/>
  <c r="K175" i="68"/>
  <c r="K36" i="68"/>
  <c r="K125" i="68"/>
  <c r="K470" i="114"/>
  <c r="L1023" i="68"/>
  <c r="L444" i="68"/>
  <c r="L57" i="68"/>
  <c r="K1753" i="68"/>
  <c r="K1176" i="68"/>
  <c r="K968" i="68"/>
  <c r="K841" i="68"/>
  <c r="K595" i="68"/>
  <c r="K214" i="68"/>
  <c r="K85" i="68"/>
  <c r="K31" i="114"/>
  <c r="L1449" i="68"/>
  <c r="L1450" i="68" s="1"/>
  <c r="L1452" i="68" s="1"/>
  <c r="L443" i="68"/>
  <c r="L56" i="68"/>
  <c r="K1174" i="68"/>
  <c r="K966" i="68"/>
  <c r="K839" i="68"/>
  <c r="K350" i="68"/>
  <c r="K123" i="68"/>
  <c r="K30" i="114"/>
  <c r="L1425" i="68"/>
  <c r="L1011" i="68"/>
  <c r="L589" i="68"/>
  <c r="L53" i="68"/>
  <c r="K1340" i="68"/>
  <c r="K1047" i="68"/>
  <c r="K651" i="114"/>
  <c r="K151" i="114"/>
  <c r="K808" i="115"/>
  <c r="K417" i="115"/>
  <c r="K72" i="115"/>
  <c r="L1722" i="68"/>
  <c r="L1550" i="68"/>
  <c r="L1259" i="68"/>
  <c r="L1260" i="68" s="1"/>
  <c r="L1047" i="68"/>
  <c r="L939" i="68"/>
  <c r="L843" i="68"/>
  <c r="L692" i="68"/>
  <c r="L478" i="68"/>
  <c r="L312" i="68"/>
  <c r="L313" i="68" s="1"/>
  <c r="L188" i="68"/>
  <c r="L74" i="68"/>
  <c r="L11" i="68"/>
  <c r="K1693" i="68"/>
  <c r="K1416" i="68"/>
  <c r="K1138" i="68"/>
  <c r="K851" i="68"/>
  <c r="K506" i="68"/>
  <c r="K139" i="68"/>
  <c r="K449" i="68"/>
  <c r="K500" i="68"/>
  <c r="K60" i="68"/>
  <c r="L1534" i="68"/>
  <c r="K1227" i="68"/>
  <c r="K497" i="68"/>
  <c r="K734" i="115"/>
  <c r="K1605" i="68"/>
  <c r="K589" i="68"/>
  <c r="K266" i="115"/>
  <c r="K1404" i="68"/>
  <c r="K650" i="114"/>
  <c r="K117" i="114"/>
  <c r="K807" i="115"/>
  <c r="K403" i="115"/>
  <c r="K71" i="115"/>
  <c r="L1716" i="68"/>
  <c r="L1546" i="68"/>
  <c r="L1256" i="68"/>
  <c r="L1038" i="68"/>
  <c r="L938" i="68"/>
  <c r="L836" i="68"/>
  <c r="L691" i="68"/>
  <c r="L470" i="68"/>
  <c r="L309" i="68"/>
  <c r="L163" i="68"/>
  <c r="L72" i="68"/>
  <c r="L10" i="68"/>
  <c r="E106" i="6" s="1"/>
  <c r="K1759" i="68"/>
  <c r="K1692" i="68"/>
  <c r="K1616" i="68"/>
  <c r="K1547" i="68"/>
  <c r="K1415" i="68"/>
  <c r="K1365" i="68"/>
  <c r="K1243" i="68"/>
  <c r="K1180" i="68"/>
  <c r="K1134" i="68"/>
  <c r="K1023" i="68"/>
  <c r="K972" i="68"/>
  <c r="K933" i="68"/>
  <c r="K892" i="68"/>
  <c r="K850" i="68"/>
  <c r="K755" i="68"/>
  <c r="K710" i="68"/>
  <c r="K601" i="68"/>
  <c r="K503" i="68"/>
  <c r="K460" i="68"/>
  <c r="K356" i="68"/>
  <c r="K309" i="68"/>
  <c r="K279" i="68"/>
  <c r="K176" i="68"/>
  <c r="K130" i="68"/>
  <c r="K93" i="68"/>
  <c r="K63" i="68"/>
  <c r="K37" i="68"/>
  <c r="K12" i="68"/>
  <c r="K1691" i="68"/>
  <c r="K1546" i="68"/>
  <c r="K1414" i="68"/>
  <c r="K1364" i="68"/>
  <c r="K1231" i="68"/>
  <c r="K1179" i="68"/>
  <c r="K1133" i="68"/>
  <c r="K1016" i="68"/>
  <c r="K971" i="68"/>
  <c r="K932" i="68"/>
  <c r="K886" i="68"/>
  <c r="K749" i="68"/>
  <c r="K600" i="68"/>
  <c r="K308" i="68"/>
  <c r="K127" i="68"/>
  <c r="K62" i="68"/>
  <c r="K445" i="68"/>
  <c r="K171" i="68"/>
  <c r="K386" i="115"/>
  <c r="L1229" i="68"/>
  <c r="L760" i="68"/>
  <c r="L296" i="68"/>
  <c r="K1607" i="68"/>
  <c r="K305" i="68"/>
  <c r="K33" i="68"/>
  <c r="K281" i="115"/>
  <c r="L1020" i="68"/>
  <c r="L596" i="68"/>
  <c r="L148" i="68"/>
  <c r="K1752" i="68"/>
  <c r="K1405" i="68"/>
  <c r="K926" i="68"/>
  <c r="K496" i="68"/>
  <c r="K167" i="68"/>
  <c r="K32" i="68"/>
  <c r="K700" i="115"/>
  <c r="L1197" i="68"/>
  <c r="L127" i="68"/>
  <c r="K1527" i="68"/>
  <c r="K1171" i="68"/>
  <c r="K562" i="114"/>
  <c r="K112" i="114"/>
  <c r="K805" i="115"/>
  <c r="K402" i="115"/>
  <c r="K70" i="115"/>
  <c r="L1715" i="68"/>
  <c r="L1543" i="68"/>
  <c r="L1255" i="68"/>
  <c r="L1028" i="68"/>
  <c r="L937" i="68"/>
  <c r="L780" i="68"/>
  <c r="L781" i="68" s="1"/>
  <c r="L612" i="68"/>
  <c r="L613" i="68" s="1"/>
  <c r="L462" i="68"/>
  <c r="L307" i="68"/>
  <c r="L162" i="68"/>
  <c r="L69" i="68"/>
  <c r="K1757" i="68"/>
  <c r="K1614" i="68"/>
  <c r="K561" i="114"/>
  <c r="K111" i="114"/>
  <c r="K798" i="115"/>
  <c r="K400" i="115"/>
  <c r="K52" i="115"/>
  <c r="L1714" i="68"/>
  <c r="L1542" i="68"/>
  <c r="L1236" i="68"/>
  <c r="L1237" i="68" s="1"/>
  <c r="L1027" i="68"/>
  <c r="L928" i="68"/>
  <c r="L777" i="68"/>
  <c r="L603" i="68"/>
  <c r="L460" i="68"/>
  <c r="L301" i="68"/>
  <c r="L153" i="68"/>
  <c r="L68" i="68"/>
  <c r="K1919" i="68"/>
  <c r="K1755" i="68"/>
  <c r="K1683" i="68"/>
  <c r="K1611" i="68"/>
  <c r="K1542" i="68"/>
  <c r="K1413" i="68"/>
  <c r="K1360" i="68"/>
  <c r="K1230" i="68"/>
  <c r="K1178" i="68"/>
  <c r="K1127" i="68"/>
  <c r="K1015" i="68"/>
  <c r="K970" i="68"/>
  <c r="K931" i="68"/>
  <c r="K885" i="68"/>
  <c r="K844" i="68"/>
  <c r="K746" i="68"/>
  <c r="K698" i="68"/>
  <c r="K597" i="68"/>
  <c r="K501" i="68"/>
  <c r="K446" i="68"/>
  <c r="K354" i="68"/>
  <c r="K307" i="68"/>
  <c r="K219" i="68"/>
  <c r="K172" i="68"/>
  <c r="K126" i="68"/>
  <c r="K88" i="68"/>
  <c r="K61" i="68"/>
  <c r="K35" i="68"/>
  <c r="L776" i="68"/>
  <c r="L459" i="68"/>
  <c r="L298" i="68"/>
  <c r="L67" i="68"/>
  <c r="K1918" i="68"/>
  <c r="K1754" i="68"/>
  <c r="K1609" i="68"/>
  <c r="K1537" i="68"/>
  <c r="K1412" i="68"/>
  <c r="K1229" i="68"/>
  <c r="K1177" i="68"/>
  <c r="K1126" i="68"/>
  <c r="K969" i="68"/>
  <c r="K930" i="68"/>
  <c r="K884" i="68"/>
  <c r="K745" i="68"/>
  <c r="K697" i="68"/>
  <c r="K306" i="68"/>
  <c r="K75" i="114"/>
  <c r="L1703" i="68"/>
  <c r="L913" i="68"/>
  <c r="K1917" i="68"/>
  <c r="K1536" i="68"/>
  <c r="K1124" i="68"/>
  <c r="K927" i="68"/>
  <c r="K744" i="68"/>
  <c r="K442" i="68"/>
  <c r="K469" i="114"/>
  <c r="L1202" i="68"/>
  <c r="L759" i="68"/>
  <c r="L295" i="68"/>
  <c r="K1664" i="68"/>
  <c r="K1350" i="68"/>
  <c r="K1123" i="68"/>
  <c r="K881" i="68"/>
  <c r="K743" i="68"/>
  <c r="K304" i="68"/>
  <c r="K84" i="68"/>
  <c r="K403" i="114"/>
  <c r="L911" i="68"/>
  <c r="L294" i="68"/>
  <c r="K1730" i="68"/>
  <c r="K1000" i="68"/>
  <c r="K471" i="114"/>
  <c r="K110" i="114"/>
  <c r="K793" i="115"/>
  <c r="K390" i="115"/>
  <c r="K49" i="115"/>
  <c r="L1711" i="68"/>
  <c r="L1535" i="68"/>
  <c r="L1230" i="68"/>
  <c r="L1024" i="68"/>
  <c r="L927" i="68"/>
  <c r="L602" i="68"/>
  <c r="L152" i="68"/>
  <c r="K1680" i="68"/>
  <c r="K1359" i="68"/>
  <c r="K1014" i="68"/>
  <c r="K842" i="68"/>
  <c r="K87" i="68"/>
  <c r="K48" i="115"/>
  <c r="K1351" i="68"/>
  <c r="K352" i="68"/>
  <c r="K20" i="115"/>
  <c r="K440" i="68"/>
  <c r="K17" i="115"/>
  <c r="K1595" i="68"/>
  <c r="K373" i="114"/>
  <c r="K29" i="114"/>
  <c r="K696" i="115"/>
  <c r="K258" i="115"/>
  <c r="L1921" i="68"/>
  <c r="L1662" i="68"/>
  <c r="L1421" i="68"/>
  <c r="L1190" i="68"/>
  <c r="L998" i="68"/>
  <c r="L910" i="68"/>
  <c r="L746" i="68"/>
  <c r="L588" i="68"/>
  <c r="L440" i="68"/>
  <c r="L293" i="68"/>
  <c r="L126" i="68"/>
  <c r="L49" i="68"/>
  <c r="K1906" i="68"/>
  <c r="K1727" i="68"/>
  <c r="K1657" i="68"/>
  <c r="K1594" i="68"/>
  <c r="K1526" i="68"/>
  <c r="K1403" i="68"/>
  <c r="K1339" i="68"/>
  <c r="K1210" i="68"/>
  <c r="K1170" i="68"/>
  <c r="K1046" i="68"/>
  <c r="K998" i="68"/>
  <c r="K958" i="68"/>
  <c r="K912" i="68"/>
  <c r="K873" i="68"/>
  <c r="K837" i="68"/>
  <c r="K734" i="68"/>
  <c r="K692" i="68"/>
  <c r="K586" i="68"/>
  <c r="K482" i="68"/>
  <c r="K436" i="68"/>
  <c r="K346" i="68"/>
  <c r="K296" i="68"/>
  <c r="K205" i="68"/>
  <c r="K629" i="115"/>
  <c r="L1768" i="68"/>
  <c r="L1168" i="68"/>
  <c r="L861" i="68"/>
  <c r="L364" i="68"/>
  <c r="L90" i="68"/>
  <c r="K1723" i="68"/>
  <c r="K1567" i="68"/>
  <c r="K1335" i="68"/>
  <c r="K1145" i="68"/>
  <c r="K956" i="68"/>
  <c r="K865" i="68"/>
  <c r="K724" i="68"/>
  <c r="K518" i="68"/>
  <c r="K343" i="68"/>
  <c r="K201" i="68"/>
  <c r="K110" i="68"/>
  <c r="K54" i="68"/>
  <c r="K200" i="68"/>
  <c r="K53" i="68"/>
  <c r="L1164" i="68"/>
  <c r="L36" i="68"/>
  <c r="K1523" i="68"/>
  <c r="K947" i="68"/>
  <c r="K196" i="68"/>
  <c r="L1135" i="68"/>
  <c r="L35" i="68"/>
  <c r="K1255" i="68"/>
  <c r="K691" i="68"/>
  <c r="K106" i="68"/>
  <c r="K475" i="68"/>
  <c r="K192" i="68"/>
  <c r="K941" i="68"/>
  <c r="K471" i="68"/>
  <c r="K44" i="68"/>
  <c r="L1611" i="68"/>
  <c r="K1206" i="68"/>
  <c r="K1038" i="68"/>
  <c r="K627" i="68"/>
  <c r="K43" i="68"/>
  <c r="L1586" i="68"/>
  <c r="K1437" i="68"/>
  <c r="K1032" i="68"/>
  <c r="K626" i="68"/>
  <c r="K297" i="68"/>
  <c r="K209" i="115"/>
  <c r="L587" i="68"/>
  <c r="K1029" i="68"/>
  <c r="K295" i="68"/>
  <c r="K28" i="68"/>
  <c r="L1403" i="68"/>
  <c r="K1200" i="68"/>
  <c r="K770" i="68"/>
  <c r="K293" i="68"/>
  <c r="K584" i="68"/>
  <c r="L884" i="68"/>
  <c r="K991" i="68"/>
  <c r="K21" i="68"/>
  <c r="L495" i="68"/>
  <c r="K1167" i="68"/>
  <c r="K874" i="68"/>
  <c r="K119" i="68"/>
  <c r="K695" i="115"/>
  <c r="K1578" i="68"/>
  <c r="K426" i="68"/>
  <c r="K645" i="115"/>
  <c r="K1575" i="68"/>
  <c r="K726" i="68"/>
  <c r="K115" i="68"/>
  <c r="L1801" i="68"/>
  <c r="K1336" i="68"/>
  <c r="K203" i="68"/>
  <c r="K353" i="114"/>
  <c r="K620" i="115"/>
  <c r="L1655" i="68"/>
  <c r="L1166" i="68"/>
  <c r="L744" i="68"/>
  <c r="L357" i="68"/>
  <c r="L48" i="68"/>
  <c r="K1722" i="68"/>
  <c r="K1561" i="68"/>
  <c r="K1334" i="68"/>
  <c r="K1144" i="68"/>
  <c r="K955" i="68"/>
  <c r="K864" i="68"/>
  <c r="K723" i="68"/>
  <c r="K483" i="68"/>
  <c r="K342" i="68"/>
  <c r="K109" i="68"/>
  <c r="L1634" i="68"/>
  <c r="L355" i="68"/>
  <c r="K1715" i="68"/>
  <c r="K693" i="68"/>
  <c r="K336" i="68"/>
  <c r="K48" i="68"/>
  <c r="L729" i="68"/>
  <c r="K1521" i="68"/>
  <c r="K944" i="68"/>
  <c r="K193" i="68"/>
  <c r="K334" i="68"/>
  <c r="K166" i="68"/>
  <c r="K261" i="114"/>
  <c r="K1438" i="68"/>
  <c r="K780" i="68"/>
  <c r="K325" i="68"/>
  <c r="K197" i="114"/>
  <c r="L980" i="68"/>
  <c r="L204" i="68"/>
  <c r="K1202" i="68"/>
  <c r="K911" i="68"/>
  <c r="K469" i="68"/>
  <c r="K42" i="68"/>
  <c r="L973" i="68"/>
  <c r="K1642" i="68"/>
  <c r="K1436" i="68"/>
  <c r="K773" i="68"/>
  <c r="K163" i="68"/>
  <c r="L586" i="68"/>
  <c r="K1639" i="68"/>
  <c r="K908" i="68"/>
  <c r="K437" i="68"/>
  <c r="K146" i="68"/>
  <c r="L1809" i="68"/>
  <c r="K1378" i="68"/>
  <c r="K288" i="68"/>
  <c r="L1808" i="68"/>
  <c r="K1374" i="68"/>
  <c r="K728" i="68"/>
  <c r="K20" i="68"/>
  <c r="L1186" i="68"/>
  <c r="K987" i="68"/>
  <c r="K118" i="68"/>
  <c r="L1177" i="68"/>
  <c r="K1148" i="68"/>
  <c r="L869" i="68"/>
  <c r="K1147" i="68"/>
  <c r="K519" i="68"/>
  <c r="K16" i="68"/>
  <c r="K350" i="114"/>
  <c r="K609" i="115"/>
  <c r="L1635" i="68"/>
  <c r="L1165" i="68"/>
  <c r="L743" i="68"/>
  <c r="L356" i="68"/>
  <c r="L41" i="68"/>
  <c r="K1716" i="68"/>
  <c r="K1524" i="68"/>
  <c r="K1333" i="68"/>
  <c r="K1045" i="68"/>
  <c r="K948" i="68"/>
  <c r="K863" i="68"/>
  <c r="K721" i="68"/>
  <c r="K481" i="68"/>
  <c r="K341" i="68"/>
  <c r="K199" i="68"/>
  <c r="K108" i="68"/>
  <c r="K52" i="68"/>
  <c r="K608" i="115"/>
  <c r="L733" i="68"/>
  <c r="K1043" i="68"/>
  <c r="K862" i="68"/>
  <c r="K479" i="68"/>
  <c r="K107" i="68"/>
  <c r="L350" i="68"/>
  <c r="K1041" i="68"/>
  <c r="K861" i="68"/>
  <c r="K335" i="68"/>
  <c r="K47" i="68"/>
  <c r="K838" i="68"/>
  <c r="K46" i="68"/>
  <c r="K836" i="68"/>
  <c r="K221" i="115"/>
  <c r="L31" i="68"/>
  <c r="K913" i="68"/>
  <c r="K1201" i="68"/>
  <c r="K465" i="68"/>
  <c r="K81" i="68"/>
  <c r="K207" i="115"/>
  <c r="K1805" i="68"/>
  <c r="K997" i="68"/>
  <c r="K620" i="68"/>
  <c r="K429" i="68"/>
  <c r="K75" i="68"/>
  <c r="K949" i="115"/>
  <c r="K1168" i="68"/>
  <c r="K730" i="68"/>
  <c r="K143" i="68"/>
  <c r="K905" i="115"/>
  <c r="K1579" i="68"/>
  <c r="K72" i="68"/>
  <c r="L103" i="68"/>
  <c r="K524" i="68"/>
  <c r="K68" i="68"/>
  <c r="L1802" i="68"/>
  <c r="L94" i="68"/>
  <c r="K1338" i="68"/>
  <c r="K523" i="68"/>
  <c r="K17" i="68"/>
  <c r="K1574" i="68"/>
  <c r="K725" i="68"/>
  <c r="K113" i="68"/>
  <c r="K296" i="114"/>
  <c r="K1332" i="68"/>
  <c r="K1711" i="68"/>
  <c r="K104" i="68"/>
  <c r="K103" i="68"/>
  <c r="L710" i="68"/>
  <c r="K470" i="68"/>
  <c r="L704" i="68"/>
  <c r="L1420" i="68"/>
  <c r="K621" i="68"/>
  <c r="K1402" i="68"/>
  <c r="K80" i="68"/>
  <c r="K1587" i="68"/>
  <c r="L883" i="68"/>
  <c r="K427" i="68"/>
  <c r="K1373" i="68"/>
  <c r="K19" i="68"/>
  <c r="K869" i="68"/>
  <c r="L367" i="68"/>
  <c r="K55" i="68"/>
  <c r="K293" i="114"/>
  <c r="K539" i="115"/>
  <c r="L1633" i="68"/>
  <c r="K476" i="68"/>
  <c r="K630" i="68"/>
  <c r="L216" i="68"/>
  <c r="K165" i="68"/>
  <c r="L30" i="68"/>
  <c r="K82" i="68"/>
  <c r="L203" i="68"/>
  <c r="L202" i="68"/>
  <c r="K162" i="68"/>
  <c r="L502" i="68"/>
  <c r="K583" i="68"/>
  <c r="K1788" i="68"/>
  <c r="L882" i="68"/>
  <c r="K872" i="68"/>
  <c r="L870" i="68"/>
  <c r="L1169" i="68"/>
  <c r="K292" i="114"/>
  <c r="K257" i="115"/>
  <c r="L1620" i="68"/>
  <c r="L992" i="68"/>
  <c r="L714" i="68"/>
  <c r="L278" i="68"/>
  <c r="L34" i="68"/>
  <c r="K1705" i="68"/>
  <c r="K1449" i="68"/>
  <c r="K1248" i="68"/>
  <c r="K1040" i="68"/>
  <c r="K942" i="68"/>
  <c r="K638" i="68"/>
  <c r="K326" i="68"/>
  <c r="L986" i="68"/>
  <c r="K83" i="68"/>
  <c r="K1653" i="68"/>
  <c r="K164" i="68"/>
  <c r="K909" i="68"/>
  <c r="L972" i="68"/>
  <c r="K27" i="68"/>
  <c r="K1795" i="68"/>
  <c r="K74" i="68"/>
  <c r="K284" i="68"/>
  <c r="K1787" i="68"/>
  <c r="L428" i="68"/>
  <c r="K56" i="68"/>
  <c r="K866" i="68"/>
  <c r="K291" i="114"/>
  <c r="K236" i="115"/>
  <c r="K237" i="115" s="1"/>
  <c r="L1614" i="68"/>
  <c r="L988" i="68"/>
  <c r="L713" i="68"/>
  <c r="L225" i="68"/>
  <c r="L33" i="68"/>
  <c r="K1656" i="68"/>
  <c r="K1441" i="68"/>
  <c r="K1207" i="68"/>
  <c r="K1039" i="68"/>
  <c r="K1655" i="68"/>
  <c r="K210" i="115"/>
  <c r="K777" i="68"/>
  <c r="K204" i="115"/>
  <c r="L1402" i="68"/>
  <c r="L971" i="68"/>
  <c r="L584" i="68"/>
  <c r="L193" i="68"/>
  <c r="K1804" i="68"/>
  <c r="K1638" i="68"/>
  <c r="K1401" i="68"/>
  <c r="K1199" i="68"/>
  <c r="K996" i="68"/>
  <c r="K907" i="68"/>
  <c r="K769" i="68"/>
  <c r="K612" i="68"/>
  <c r="K435" i="68"/>
  <c r="K292" i="68"/>
  <c r="K152" i="68"/>
  <c r="K78" i="68"/>
  <c r="K26" i="68"/>
  <c r="K735" i="68"/>
  <c r="L115" i="68"/>
  <c r="L1363" i="68"/>
  <c r="L429" i="68"/>
  <c r="K212" i="68"/>
  <c r="K425" i="68"/>
  <c r="L92" i="68"/>
  <c r="K989" i="115"/>
  <c r="K127" i="115"/>
  <c r="L1401" i="68"/>
  <c r="L970" i="68"/>
  <c r="L527" i="68"/>
  <c r="L192" i="68"/>
  <c r="K1802" i="68"/>
  <c r="K1636" i="68"/>
  <c r="K1400" i="68"/>
  <c r="K1198" i="68"/>
  <c r="K994" i="68"/>
  <c r="K906" i="68"/>
  <c r="K763" i="68"/>
  <c r="K588" i="68"/>
  <c r="K434" i="68"/>
  <c r="K291" i="68"/>
  <c r="K151" i="68"/>
  <c r="K77" i="68"/>
  <c r="K24" i="68"/>
  <c r="K988" i="115"/>
  <c r="L1917" i="68"/>
  <c r="L1392" i="68"/>
  <c r="L888" i="68"/>
  <c r="L505" i="68"/>
  <c r="L121" i="68"/>
  <c r="K1801" i="68"/>
  <c r="K1635" i="68"/>
  <c r="K1382" i="68"/>
  <c r="K1197" i="68"/>
  <c r="K993" i="68"/>
  <c r="K903" i="68"/>
  <c r="K761" i="68"/>
  <c r="K585" i="68"/>
  <c r="K430" i="68"/>
  <c r="K290" i="68"/>
  <c r="K148" i="68"/>
  <c r="K76" i="68"/>
  <c r="K23" i="68"/>
  <c r="K951" i="115"/>
  <c r="L1902" i="68"/>
  <c r="L1389" i="68"/>
  <c r="L1390" i="68" s="1"/>
  <c r="L886" i="68"/>
  <c r="L504" i="68"/>
  <c r="L120" i="68"/>
  <c r="K1800" i="68"/>
  <c r="K1590" i="68"/>
  <c r="K1381" i="68"/>
  <c r="K1169" i="68"/>
  <c r="K992" i="68"/>
  <c r="K902" i="68"/>
  <c r="K289" i="68"/>
  <c r="K22" i="68"/>
  <c r="L1382" i="68"/>
  <c r="K900" i="68"/>
  <c r="K428" i="68"/>
  <c r="L108" i="68"/>
  <c r="K988" i="68"/>
  <c r="K527" i="68"/>
  <c r="L1803" i="68"/>
  <c r="K1149" i="68"/>
  <c r="K727" i="68"/>
  <c r="K1726" i="68"/>
  <c r="K965" i="68"/>
  <c r="K204" i="68"/>
  <c r="K644" i="115"/>
  <c r="K1724" i="68"/>
  <c r="K957" i="68"/>
  <c r="K347" i="68"/>
  <c r="T292" i="115"/>
  <c r="S292" i="115"/>
  <c r="R292" i="115"/>
  <c r="Q292" i="115"/>
  <c r="O292" i="115"/>
  <c r="N292" i="115"/>
  <c r="M292" i="115"/>
  <c r="V292" i="115" s="1"/>
  <c r="L292" i="115"/>
  <c r="J292" i="115"/>
  <c r="I292" i="115"/>
  <c r="S139" i="68"/>
  <c r="I139" i="68"/>
  <c r="R139" i="68"/>
  <c r="Q139" i="68"/>
  <c r="O139" i="68"/>
  <c r="N139" i="68"/>
  <c r="M139" i="68"/>
  <c r="J139" i="68"/>
  <c r="T139" i="68"/>
  <c r="S384" i="114"/>
  <c r="I384" i="114"/>
  <c r="R384" i="114"/>
  <c r="Q384" i="114"/>
  <c r="O384" i="114"/>
  <c r="N384" i="114"/>
  <c r="M384" i="114"/>
  <c r="L384" i="114"/>
  <c r="J384" i="114"/>
  <c r="T384" i="114"/>
  <c r="Y384" i="114" s="1"/>
  <c r="O179" i="68"/>
  <c r="S1429" i="68"/>
  <c r="I1429" i="68"/>
  <c r="R1429" i="68"/>
  <c r="Q1429" i="68"/>
  <c r="O1429" i="68"/>
  <c r="N1429" i="68"/>
  <c r="M1429" i="68"/>
  <c r="V1429" i="68" s="1"/>
  <c r="J1429" i="68"/>
  <c r="J682" i="115"/>
  <c r="S682" i="115"/>
  <c r="I682" i="115"/>
  <c r="R682" i="115"/>
  <c r="L682" i="115"/>
  <c r="Q682" i="115"/>
  <c r="O682" i="115"/>
  <c r="N682" i="115"/>
  <c r="M682" i="115"/>
  <c r="V682" i="115" s="1"/>
  <c r="Q1335" i="68"/>
  <c r="R1335" i="68"/>
  <c r="I1335" i="68"/>
  <c r="S1335" i="68"/>
  <c r="J1335" i="68"/>
  <c r="M1335" i="68"/>
  <c r="N1335" i="68"/>
  <c r="O1335" i="68"/>
  <c r="T1335" i="68"/>
  <c r="T1429" i="68"/>
  <c r="T682" i="115"/>
  <c r="L166" i="114"/>
  <c r="J369" i="114"/>
  <c r="J400" i="114"/>
  <c r="J422" i="114"/>
  <c r="J440" i="114"/>
  <c r="J471" i="114"/>
  <c r="J605" i="114"/>
  <c r="J724" i="114"/>
  <c r="L105" i="114"/>
  <c r="J372" i="114"/>
  <c r="J403" i="114"/>
  <c r="J425" i="114"/>
  <c r="J445" i="114"/>
  <c r="J477" i="114"/>
  <c r="J610" i="114"/>
  <c r="J728" i="114"/>
  <c r="L106" i="114"/>
  <c r="J373" i="114"/>
  <c r="J404" i="114"/>
  <c r="J426" i="114"/>
  <c r="J446" i="114"/>
  <c r="J491" i="114"/>
  <c r="J651" i="114"/>
  <c r="L24" i="114"/>
  <c r="L134" i="114"/>
  <c r="J432" i="114"/>
  <c r="J457" i="114"/>
  <c r="J551" i="114"/>
  <c r="J682" i="114"/>
  <c r="L50" i="114"/>
  <c r="L154" i="114"/>
  <c r="J436" i="114"/>
  <c r="J464" i="114"/>
  <c r="J575" i="114"/>
  <c r="J704" i="114"/>
  <c r="L80" i="114"/>
  <c r="L295" i="114"/>
  <c r="J561" i="114"/>
  <c r="J589" i="114"/>
  <c r="J626" i="114"/>
  <c r="J665" i="114"/>
  <c r="J692" i="114"/>
  <c r="J715" i="114"/>
  <c r="J749" i="114"/>
  <c r="L35" i="114"/>
  <c r="L92" i="114"/>
  <c r="L114" i="114"/>
  <c r="L145" i="114"/>
  <c r="L182" i="114"/>
  <c r="J564" i="114"/>
  <c r="J593" i="114"/>
  <c r="J629" i="114"/>
  <c r="J667" i="114"/>
  <c r="J696" i="114"/>
  <c r="J716" i="114"/>
  <c r="L14" i="114"/>
  <c r="L39" i="114"/>
  <c r="L63" i="114"/>
  <c r="L97" i="114"/>
  <c r="L119" i="114"/>
  <c r="L146" i="114"/>
  <c r="L197" i="114"/>
  <c r="J565" i="114"/>
  <c r="J596" i="114"/>
  <c r="J636" i="114"/>
  <c r="J668" i="114"/>
  <c r="J699" i="114"/>
  <c r="J720" i="114"/>
  <c r="L15" i="114"/>
  <c r="L44" i="114"/>
  <c r="L76" i="114"/>
  <c r="L98" i="114"/>
  <c r="L129" i="114"/>
  <c r="L150" i="114"/>
  <c r="L206" i="114"/>
  <c r="I498" i="115"/>
  <c r="J476" i="114"/>
  <c r="J569" i="114"/>
  <c r="J597" i="114"/>
  <c r="J650" i="114"/>
  <c r="J679" i="114"/>
  <c r="J700" i="114"/>
  <c r="J723" i="114"/>
  <c r="L19" i="114"/>
  <c r="L45" i="114"/>
  <c r="L79" i="114"/>
  <c r="L102" i="114"/>
  <c r="L130" i="114"/>
  <c r="L153" i="114"/>
  <c r="L237" i="114"/>
  <c r="L238" i="114" s="1"/>
  <c r="J136" i="115"/>
  <c r="J619" i="114"/>
  <c r="G104" i="6" s="1"/>
  <c r="J658" i="114"/>
  <c r="J687" i="114"/>
  <c r="J708" i="114"/>
  <c r="J740" i="114"/>
  <c r="L29" i="114"/>
  <c r="L56" i="114"/>
  <c r="L87" i="114"/>
  <c r="L110" i="114"/>
  <c r="L138" i="114"/>
  <c r="L165" i="114"/>
  <c r="L668" i="114"/>
  <c r="J588" i="114"/>
  <c r="J623" i="114"/>
  <c r="J661" i="114"/>
  <c r="J691" i="114"/>
  <c r="J712" i="114"/>
  <c r="J743" i="114"/>
  <c r="L34" i="114"/>
  <c r="L58" i="114"/>
  <c r="L88" i="114"/>
  <c r="L113" i="114"/>
  <c r="L142" i="114"/>
  <c r="L97" i="115"/>
  <c r="I262" i="115"/>
  <c r="L610" i="114"/>
  <c r="L611" i="114" s="1"/>
  <c r="L231" i="114"/>
  <c r="L178" i="114"/>
  <c r="L157" i="114"/>
  <c r="L149" i="114"/>
  <c r="L141" i="114"/>
  <c r="L133" i="114"/>
  <c r="L118" i="114"/>
  <c r="L109" i="114"/>
  <c r="L101" i="114"/>
  <c r="L91" i="114"/>
  <c r="L83" i="114"/>
  <c r="L75" i="114"/>
  <c r="L38" i="114"/>
  <c r="L28" i="114"/>
  <c r="L18" i="114"/>
  <c r="J747" i="114"/>
  <c r="J727" i="114"/>
  <c r="J719" i="114"/>
  <c r="J711" i="114"/>
  <c r="J703" i="114"/>
  <c r="J695" i="114"/>
  <c r="J686" i="114"/>
  <c r="J678" i="114"/>
  <c r="J664" i="114"/>
  <c r="J654" i="114"/>
  <c r="J635" i="114"/>
  <c r="J622" i="114"/>
  <c r="J604" i="114"/>
  <c r="J592" i="114"/>
  <c r="J584" i="114"/>
  <c r="J568" i="114"/>
  <c r="J560" i="114"/>
  <c r="J487" i="114"/>
  <c r="J470" i="114"/>
  <c r="J460" i="114"/>
  <c r="I136" i="115"/>
  <c r="L426" i="114"/>
  <c r="L224" i="114"/>
  <c r="L176" i="114"/>
  <c r="L156" i="114"/>
  <c r="L148" i="114"/>
  <c r="L140" i="114"/>
  <c r="L132" i="114"/>
  <c r="L117" i="114"/>
  <c r="L108" i="114"/>
  <c r="L100" i="114"/>
  <c r="L90" i="114"/>
  <c r="L82" i="114"/>
  <c r="L74" i="114"/>
  <c r="L47" i="114"/>
  <c r="L37" i="114"/>
  <c r="L27" i="114"/>
  <c r="L17" i="114"/>
  <c r="J746" i="114"/>
  <c r="J726" i="114"/>
  <c r="J718" i="114"/>
  <c r="J710" i="114"/>
  <c r="J702" i="114"/>
  <c r="J694" i="114"/>
  <c r="J685" i="114"/>
  <c r="J677" i="114"/>
  <c r="J663" i="114"/>
  <c r="J653" i="114"/>
  <c r="J634" i="114"/>
  <c r="J621" i="114"/>
  <c r="J603" i="114"/>
  <c r="J591" i="114"/>
  <c r="J583" i="114"/>
  <c r="F104" i="6" s="1"/>
  <c r="J567" i="114"/>
  <c r="J559" i="114"/>
  <c r="J486" i="114"/>
  <c r="J469" i="114"/>
  <c r="J459" i="114"/>
  <c r="J442" i="114"/>
  <c r="J434" i="114"/>
  <c r="J424" i="114"/>
  <c r="J414" i="114"/>
  <c r="J402" i="114"/>
  <c r="J394" i="114"/>
  <c r="J371" i="114"/>
  <c r="J360" i="114"/>
  <c r="J348" i="114"/>
  <c r="J336" i="114"/>
  <c r="J326" i="114"/>
  <c r="J318" i="114"/>
  <c r="J303" i="114"/>
  <c r="J293" i="114"/>
  <c r="J277" i="114"/>
  <c r="J269" i="114"/>
  <c r="J259" i="114"/>
  <c r="J234" i="114"/>
  <c r="J224" i="114"/>
  <c r="J216" i="114"/>
  <c r="J206" i="114"/>
  <c r="J196" i="114"/>
  <c r="J188" i="114"/>
  <c r="J180" i="114"/>
  <c r="J168" i="114"/>
  <c r="J160" i="114"/>
  <c r="J152" i="114"/>
  <c r="J144" i="114"/>
  <c r="J136" i="114"/>
  <c r="J128" i="114"/>
  <c r="J112" i="114"/>
  <c r="J104" i="114"/>
  <c r="J94" i="114"/>
  <c r="J86" i="114"/>
  <c r="J78" i="114"/>
  <c r="J62" i="114"/>
  <c r="J52" i="114"/>
  <c r="J43" i="114"/>
  <c r="J31" i="114"/>
  <c r="J21" i="114"/>
  <c r="J13" i="114"/>
  <c r="I739" i="114"/>
  <c r="I722" i="114"/>
  <c r="I714" i="114"/>
  <c r="I706" i="114"/>
  <c r="I698" i="114"/>
  <c r="I48" i="115"/>
  <c r="L373" i="114"/>
  <c r="L213" i="114"/>
  <c r="L172" i="114"/>
  <c r="L173" i="114" s="1"/>
  <c r="L155" i="114"/>
  <c r="L147" i="114"/>
  <c r="L139" i="114"/>
  <c r="L131" i="114"/>
  <c r="L116" i="114"/>
  <c r="L107" i="114"/>
  <c r="L99" i="114"/>
  <c r="L89" i="114"/>
  <c r="L81" i="114"/>
  <c r="L73" i="114"/>
  <c r="L57" i="114"/>
  <c r="L46" i="114"/>
  <c r="L36" i="114"/>
  <c r="L26" i="114"/>
  <c r="L16" i="114"/>
  <c r="J744" i="114"/>
  <c r="J725" i="114"/>
  <c r="J717" i="114"/>
  <c r="J709" i="114"/>
  <c r="J701" i="114"/>
  <c r="J693" i="114"/>
  <c r="J684" i="114"/>
  <c r="J676" i="114"/>
  <c r="J662" i="114"/>
  <c r="J652" i="114"/>
  <c r="J630" i="114"/>
  <c r="J620" i="114"/>
  <c r="J600" i="114"/>
  <c r="J590" i="114"/>
  <c r="J576" i="114"/>
  <c r="J566" i="114"/>
  <c r="J552" i="114"/>
  <c r="J478" i="114"/>
  <c r="J468" i="114"/>
  <c r="J458" i="114"/>
  <c r="J441" i="114"/>
  <c r="J433" i="114"/>
  <c r="J423" i="114"/>
  <c r="J413" i="114"/>
  <c r="J401" i="114"/>
  <c r="J381" i="114"/>
  <c r="J370" i="114"/>
  <c r="J359" i="114"/>
  <c r="J347" i="114"/>
  <c r="J335" i="114"/>
  <c r="J325" i="114"/>
  <c r="J317" i="114"/>
  <c r="J302" i="114"/>
  <c r="J292" i="114"/>
  <c r="J276" i="114"/>
  <c r="J266" i="114"/>
  <c r="J258" i="114"/>
  <c r="J233" i="114"/>
  <c r="J223" i="114"/>
  <c r="J215" i="114"/>
  <c r="J205" i="114"/>
  <c r="J195" i="114"/>
  <c r="J187" i="114"/>
  <c r="J179" i="114"/>
  <c r="J167" i="114"/>
  <c r="J159" i="114"/>
  <c r="J151" i="114"/>
  <c r="J143" i="114"/>
  <c r="J135" i="114"/>
  <c r="J120" i="114"/>
  <c r="J111" i="114"/>
  <c r="J103" i="114"/>
  <c r="J93" i="114"/>
  <c r="J85" i="114"/>
  <c r="J77" i="114"/>
  <c r="J61" i="114"/>
  <c r="J51" i="114"/>
  <c r="J40" i="114"/>
  <c r="J30" i="114"/>
  <c r="J20" i="114"/>
  <c r="I751" i="114"/>
  <c r="I736" i="114"/>
  <c r="I721" i="114"/>
  <c r="I713" i="114"/>
  <c r="I705" i="114"/>
  <c r="I697" i="114"/>
  <c r="I991" i="115"/>
  <c r="L270" i="114"/>
  <c r="L188" i="114"/>
  <c r="L164" i="114"/>
  <c r="L152" i="114"/>
  <c r="L144" i="114"/>
  <c r="L136" i="114"/>
  <c r="L128" i="114"/>
  <c r="L112" i="114"/>
  <c r="L104" i="114"/>
  <c r="L94" i="114"/>
  <c r="L86" i="114"/>
  <c r="L78" i="114"/>
  <c r="L62" i="114"/>
  <c r="L52" i="114"/>
  <c r="L43" i="114"/>
  <c r="L31" i="114"/>
  <c r="L21" i="114"/>
  <c r="L13" i="114"/>
  <c r="J739" i="114"/>
  <c r="J722" i="114"/>
  <c r="J714" i="114"/>
  <c r="J706" i="114"/>
  <c r="J698" i="114"/>
  <c r="J681" i="114"/>
  <c r="J666" i="114"/>
  <c r="J657" i="114"/>
  <c r="J640" i="114"/>
  <c r="J625" i="114"/>
  <c r="J607" i="114"/>
  <c r="J595" i="114"/>
  <c r="J587" i="114"/>
  <c r="J571" i="114"/>
  <c r="J563" i="114"/>
  <c r="J545" i="114"/>
  <c r="J475" i="114"/>
  <c r="J463" i="114"/>
  <c r="J455" i="114"/>
  <c r="J438" i="114"/>
  <c r="J428" i="114"/>
  <c r="J418" i="114"/>
  <c r="J410" i="114"/>
  <c r="J398" i="114"/>
  <c r="J376" i="114"/>
  <c r="J366" i="114"/>
  <c r="J354" i="114"/>
  <c r="J342" i="114"/>
  <c r="J332" i="114"/>
  <c r="J322" i="114"/>
  <c r="J307" i="114"/>
  <c r="J297" i="114"/>
  <c r="J282" i="114"/>
  <c r="J273" i="114"/>
  <c r="J263" i="114"/>
  <c r="J246" i="114"/>
  <c r="J230" i="114"/>
  <c r="J220" i="114"/>
  <c r="J212" i="114"/>
  <c r="J202" i="114"/>
  <c r="J192" i="114"/>
  <c r="J184" i="114"/>
  <c r="J176" i="114"/>
  <c r="J164" i="114"/>
  <c r="J156" i="114"/>
  <c r="J148" i="114"/>
  <c r="J140" i="114"/>
  <c r="J132" i="114"/>
  <c r="J117" i="114"/>
  <c r="J108" i="114"/>
  <c r="J100" i="114"/>
  <c r="J90" i="114"/>
  <c r="J82" i="114"/>
  <c r="J74" i="114"/>
  <c r="J47" i="114"/>
  <c r="J37" i="114"/>
  <c r="J27" i="114"/>
  <c r="J17" i="114"/>
  <c r="I746" i="114"/>
  <c r="I726" i="114"/>
  <c r="I718" i="114"/>
  <c r="I710" i="114"/>
  <c r="I702" i="114"/>
  <c r="I694" i="114"/>
  <c r="I835" i="115"/>
  <c r="L707" i="114"/>
  <c r="L264" i="114"/>
  <c r="L184" i="114"/>
  <c r="L162" i="114"/>
  <c r="L151" i="114"/>
  <c r="L143" i="114"/>
  <c r="L135" i="114"/>
  <c r="L120" i="114"/>
  <c r="L111" i="114"/>
  <c r="L103" i="114"/>
  <c r="L93" i="114"/>
  <c r="L85" i="114"/>
  <c r="L77" i="114"/>
  <c r="L61" i="114"/>
  <c r="L51" i="114"/>
  <c r="L40" i="114"/>
  <c r="L30" i="114"/>
  <c r="L20" i="114"/>
  <c r="J751" i="114"/>
  <c r="J736" i="114"/>
  <c r="J721" i="114"/>
  <c r="J713" i="114"/>
  <c r="J705" i="114"/>
  <c r="J697" i="114"/>
  <c r="J688" i="114"/>
  <c r="J680" i="114"/>
  <c r="J656" i="114"/>
  <c r="J637" i="114"/>
  <c r="J624" i="114"/>
  <c r="J606" i="114"/>
  <c r="J594" i="114"/>
  <c r="J586" i="114"/>
  <c r="J570" i="114"/>
  <c r="J562" i="114"/>
  <c r="J544" i="114"/>
  <c r="J474" i="114"/>
  <c r="J462" i="114"/>
  <c r="J447" i="114"/>
  <c r="J437" i="114"/>
  <c r="J427" i="114"/>
  <c r="J417" i="114"/>
  <c r="J405" i="114"/>
  <c r="J397" i="114"/>
  <c r="J374" i="114"/>
  <c r="J363" i="114"/>
  <c r="J353" i="114"/>
  <c r="J341" i="114"/>
  <c r="J331" i="114"/>
  <c r="J321" i="114"/>
  <c r="J306" i="114"/>
  <c r="J296" i="114"/>
  <c r="J280" i="114"/>
  <c r="J272" i="114"/>
  <c r="J262" i="114"/>
  <c r="J243" i="114"/>
  <c r="J229" i="114"/>
  <c r="J219" i="114"/>
  <c r="J211" i="114"/>
  <c r="J199" i="114"/>
  <c r="J191" i="114"/>
  <c r="J183" i="114"/>
  <c r="J175" i="114"/>
  <c r="J163" i="114"/>
  <c r="J155" i="114"/>
  <c r="J147" i="114"/>
  <c r="J139" i="114"/>
  <c r="J131" i="114"/>
  <c r="J116" i="114"/>
  <c r="J107" i="114"/>
  <c r="J99" i="114"/>
  <c r="J89" i="114"/>
  <c r="J81" i="114"/>
  <c r="J73" i="114"/>
  <c r="J57" i="114"/>
  <c r="J46" i="114"/>
  <c r="J36" i="114"/>
  <c r="J26" i="114"/>
  <c r="J16" i="114"/>
  <c r="I744" i="114"/>
  <c r="I725" i="114"/>
  <c r="I717" i="114"/>
  <c r="I709" i="114"/>
  <c r="I701" i="114"/>
  <c r="L159" i="114"/>
  <c r="L167" i="114"/>
  <c r="L179" i="114"/>
  <c r="L189" i="114"/>
  <c r="L216" i="114"/>
  <c r="L256" i="114"/>
  <c r="L304" i="114"/>
  <c r="L457" i="114"/>
  <c r="L740" i="114"/>
  <c r="I58" i="115"/>
  <c r="I580" i="115"/>
  <c r="J709" i="115"/>
  <c r="L160" i="114"/>
  <c r="L168" i="114"/>
  <c r="L180" i="114"/>
  <c r="L193" i="114"/>
  <c r="L217" i="114"/>
  <c r="L259" i="114"/>
  <c r="L308" i="114"/>
  <c r="L471" i="114"/>
  <c r="L610" i="115"/>
  <c r="I91" i="115"/>
  <c r="I667" i="115"/>
  <c r="J906" i="115"/>
  <c r="L161" i="114"/>
  <c r="L169" i="114"/>
  <c r="L181" i="114"/>
  <c r="L196" i="114"/>
  <c r="L221" i="114"/>
  <c r="L260" i="114"/>
  <c r="L316" i="114"/>
  <c r="L575" i="114"/>
  <c r="L630" i="115"/>
  <c r="I122" i="115"/>
  <c r="I759" i="115"/>
  <c r="J987" i="115"/>
  <c r="L163" i="114"/>
  <c r="L175" i="114"/>
  <c r="L183" i="114"/>
  <c r="L203" i="114"/>
  <c r="L225" i="114"/>
  <c r="L269" i="114"/>
  <c r="L356" i="114"/>
  <c r="L619" i="114"/>
  <c r="G106" i="6" s="1"/>
  <c r="I221" i="115"/>
  <c r="I877" i="115"/>
  <c r="L177" i="114"/>
  <c r="L185" i="114"/>
  <c r="L207" i="114"/>
  <c r="L234" i="114"/>
  <c r="L274" i="114"/>
  <c r="L396" i="114"/>
  <c r="L699" i="114"/>
  <c r="I21" i="115"/>
  <c r="I264" i="115"/>
  <c r="J101" i="115"/>
  <c r="L277" i="114"/>
  <c r="L321" i="114"/>
  <c r="L399" i="114"/>
  <c r="L491" i="114"/>
  <c r="L492" i="114" s="1"/>
  <c r="L636" i="114"/>
  <c r="L708" i="114"/>
  <c r="I61" i="115"/>
  <c r="I199" i="115"/>
  <c r="I282" i="115"/>
  <c r="I668" i="115"/>
  <c r="I909" i="115"/>
  <c r="J371" i="115"/>
  <c r="L25" i="115"/>
  <c r="L278" i="114"/>
  <c r="L327" i="114"/>
  <c r="L412" i="114"/>
  <c r="L548" i="114"/>
  <c r="L549" i="114" s="1"/>
  <c r="L655" i="114"/>
  <c r="L720" i="114"/>
  <c r="I72" i="115"/>
  <c r="I202" i="115"/>
  <c r="I381" i="115"/>
  <c r="I716" i="115"/>
  <c r="I913" i="115"/>
  <c r="J516" i="115"/>
  <c r="L126" i="115"/>
  <c r="L291" i="114"/>
  <c r="L328" i="114"/>
  <c r="L422" i="114"/>
  <c r="L565" i="114"/>
  <c r="L658" i="114"/>
  <c r="L728" i="114"/>
  <c r="I87" i="115"/>
  <c r="I213" i="115"/>
  <c r="I389" i="115"/>
  <c r="I751" i="115"/>
  <c r="I960" i="115"/>
  <c r="J526" i="115"/>
  <c r="L733" i="115"/>
  <c r="L296" i="114"/>
  <c r="L355" i="114"/>
  <c r="L439" i="114"/>
  <c r="L585" i="114"/>
  <c r="L683" i="114"/>
  <c r="L590" i="115"/>
  <c r="I29" i="115"/>
  <c r="I106" i="115"/>
  <c r="I227" i="115"/>
  <c r="I520" i="115"/>
  <c r="I792" i="115"/>
  <c r="I1031" i="115"/>
  <c r="J786" i="115"/>
  <c r="L456" i="114"/>
  <c r="L596" i="114"/>
  <c r="L687" i="114"/>
  <c r="L606" i="115"/>
  <c r="I30" i="115"/>
  <c r="I121" i="115"/>
  <c r="I250" i="115"/>
  <c r="I534" i="115"/>
  <c r="I815" i="115"/>
  <c r="J33" i="115"/>
  <c r="J808" i="115"/>
  <c r="L186" i="114"/>
  <c r="L194" i="114"/>
  <c r="L204" i="114"/>
  <c r="L214" i="114"/>
  <c r="L222" i="114"/>
  <c r="L232" i="114"/>
  <c r="L257" i="114"/>
  <c r="L265" i="114"/>
  <c r="L275" i="114"/>
  <c r="L292" i="114"/>
  <c r="L305" i="114"/>
  <c r="L323" i="114"/>
  <c r="L346" i="114"/>
  <c r="L379" i="114"/>
  <c r="L416" i="114"/>
  <c r="L440" i="114"/>
  <c r="L476" i="114"/>
  <c r="L569" i="114"/>
  <c r="L597" i="114"/>
  <c r="L650" i="114"/>
  <c r="L679" i="114"/>
  <c r="L700" i="114"/>
  <c r="L723" i="114"/>
  <c r="L600" i="115"/>
  <c r="L631" i="115"/>
  <c r="I22" i="115"/>
  <c r="I51" i="115"/>
  <c r="I76" i="115"/>
  <c r="I107" i="115"/>
  <c r="I141" i="115"/>
  <c r="I217" i="115"/>
  <c r="I251" i="115"/>
  <c r="I288" i="115"/>
  <c r="I511" i="115"/>
  <c r="I644" i="115"/>
  <c r="I736" i="115"/>
  <c r="I803" i="115"/>
  <c r="I880" i="115"/>
  <c r="I977" i="115"/>
  <c r="J67" i="115"/>
  <c r="J372" i="115"/>
  <c r="J741" i="115"/>
  <c r="J950" i="115"/>
  <c r="L142" i="115"/>
  <c r="L187" i="114"/>
  <c r="L195" i="114"/>
  <c r="L205" i="114"/>
  <c r="L215" i="114"/>
  <c r="L223" i="114"/>
  <c r="L233" i="114"/>
  <c r="L258" i="114"/>
  <c r="L266" i="114"/>
  <c r="L276" i="114"/>
  <c r="L294" i="114"/>
  <c r="L306" i="114"/>
  <c r="L324" i="114"/>
  <c r="L350" i="114"/>
  <c r="L380" i="114"/>
  <c r="L419" i="114"/>
  <c r="L446" i="114"/>
  <c r="L477" i="114"/>
  <c r="L574" i="114"/>
  <c r="L605" i="114"/>
  <c r="L651" i="114"/>
  <c r="L682" i="114"/>
  <c r="L704" i="114"/>
  <c r="L724" i="114"/>
  <c r="L605" i="115"/>
  <c r="L612" i="115" s="1"/>
  <c r="I26" i="115"/>
  <c r="I52" i="115"/>
  <c r="I86" i="115"/>
  <c r="I111" i="115"/>
  <c r="I142" i="115"/>
  <c r="I220" i="115"/>
  <c r="I258" i="115"/>
  <c r="I291" i="115"/>
  <c r="I519" i="115"/>
  <c r="I657" i="115"/>
  <c r="I740" i="115"/>
  <c r="I811" i="115"/>
  <c r="I893" i="115"/>
  <c r="I980" i="115"/>
  <c r="J91" i="115"/>
  <c r="J412" i="115"/>
  <c r="J745" i="115"/>
  <c r="J982" i="115"/>
  <c r="L249" i="115"/>
  <c r="L190" i="114"/>
  <c r="L198" i="114"/>
  <c r="L208" i="114"/>
  <c r="L218" i="114"/>
  <c r="L226" i="114"/>
  <c r="L240" i="114"/>
  <c r="L241" i="114" s="1"/>
  <c r="L261" i="114"/>
  <c r="L271" i="114"/>
  <c r="L279" i="114"/>
  <c r="L300" i="114"/>
  <c r="L317" i="114"/>
  <c r="L333" i="114"/>
  <c r="L362" i="114"/>
  <c r="L400" i="114"/>
  <c r="L429" i="114"/>
  <c r="L461" i="114"/>
  <c r="L551" i="114"/>
  <c r="L588" i="114"/>
  <c r="L623" i="114"/>
  <c r="L661" i="114"/>
  <c r="L691" i="114"/>
  <c r="L712" i="114"/>
  <c r="L743" i="114"/>
  <c r="L620" i="115"/>
  <c r="I13" i="115"/>
  <c r="I34" i="115"/>
  <c r="I62" i="115"/>
  <c r="I96" i="115"/>
  <c r="I126" i="115"/>
  <c r="I203" i="115"/>
  <c r="I230" i="115"/>
  <c r="I269" i="115"/>
  <c r="I392" i="115"/>
  <c r="I554" i="115"/>
  <c r="I683" i="115"/>
  <c r="I760" i="115"/>
  <c r="I845" i="115"/>
  <c r="I935" i="115"/>
  <c r="I1041" i="115"/>
  <c r="J213" i="115"/>
  <c r="J564" i="115"/>
  <c r="J816" i="115"/>
  <c r="L52" i="115"/>
  <c r="L191" i="114"/>
  <c r="L199" i="114"/>
  <c r="L211" i="114"/>
  <c r="L219" i="114"/>
  <c r="L229" i="114"/>
  <c r="L243" i="114"/>
  <c r="L244" i="114" s="1"/>
  <c r="L262" i="114"/>
  <c r="L272" i="114"/>
  <c r="L280" i="114"/>
  <c r="L301" i="114"/>
  <c r="L319" i="114"/>
  <c r="L334" i="114"/>
  <c r="L368" i="114"/>
  <c r="L404" i="114"/>
  <c r="L432" i="114"/>
  <c r="L464" i="114"/>
  <c r="L561" i="114"/>
  <c r="L589" i="114"/>
  <c r="L626" i="114"/>
  <c r="L665" i="114"/>
  <c r="L692" i="114"/>
  <c r="L715" i="114"/>
  <c r="L749" i="114"/>
  <c r="L621" i="115"/>
  <c r="I14" i="115"/>
  <c r="I43" i="115"/>
  <c r="I68" i="115"/>
  <c r="I97" i="115"/>
  <c r="I131" i="115"/>
  <c r="I209" i="115"/>
  <c r="I231" i="115"/>
  <c r="I275" i="115"/>
  <c r="I403" i="115"/>
  <c r="I559" i="115"/>
  <c r="I695" i="115"/>
  <c r="I779" i="115"/>
  <c r="I846" i="115"/>
  <c r="I945" i="115"/>
  <c r="J20" i="115"/>
  <c r="J227" i="115"/>
  <c r="J651" i="115"/>
  <c r="J851" i="115"/>
  <c r="L62" i="115"/>
  <c r="L192" i="114"/>
  <c r="L202" i="114"/>
  <c r="L212" i="114"/>
  <c r="L220" i="114"/>
  <c r="L230" i="114"/>
  <c r="L246" i="114"/>
  <c r="L247" i="114" s="1"/>
  <c r="L263" i="114"/>
  <c r="L273" i="114"/>
  <c r="L283" i="114"/>
  <c r="L302" i="114"/>
  <c r="L320" i="114"/>
  <c r="L340" i="114"/>
  <c r="L369" i="114"/>
  <c r="L411" i="114"/>
  <c r="L436" i="114"/>
  <c r="L467" i="114"/>
  <c r="L564" i="114"/>
  <c r="L593" i="114"/>
  <c r="L629" i="114"/>
  <c r="L667" i="114"/>
  <c r="L696" i="114"/>
  <c r="L716" i="114"/>
  <c r="L589" i="115"/>
  <c r="L593" i="115" s="1"/>
  <c r="L627" i="115"/>
  <c r="I18" i="115"/>
  <c r="I44" i="115"/>
  <c r="I71" i="115"/>
  <c r="I101" i="115"/>
  <c r="I132" i="115"/>
  <c r="I212" i="115"/>
  <c r="I246" i="115"/>
  <c r="I276" i="115"/>
  <c r="I417" i="115"/>
  <c r="I570" i="115"/>
  <c r="I700" i="115"/>
  <c r="I789" i="115"/>
  <c r="I862" i="115"/>
  <c r="I946" i="115"/>
  <c r="J30" i="115"/>
  <c r="J266" i="115"/>
  <c r="J664" i="115"/>
  <c r="J889" i="115"/>
  <c r="L997" i="115"/>
  <c r="L513" i="115"/>
  <c r="L374" i="115"/>
  <c r="L260" i="115"/>
  <c r="L226" i="115"/>
  <c r="L212" i="115"/>
  <c r="L202" i="115"/>
  <c r="L141" i="115"/>
  <c r="L131" i="115"/>
  <c r="L121" i="115"/>
  <c r="L106" i="115"/>
  <c r="L96" i="115"/>
  <c r="L86" i="115"/>
  <c r="L71" i="115"/>
  <c r="L61" i="115"/>
  <c r="L51" i="115"/>
  <c r="L43" i="115"/>
  <c r="L29" i="115"/>
  <c r="L21" i="115"/>
  <c r="L13" i="115"/>
  <c r="J1031" i="115"/>
  <c r="J991" i="115"/>
  <c r="J981" i="115"/>
  <c r="J964" i="115"/>
  <c r="J954" i="115"/>
  <c r="J946" i="115"/>
  <c r="J936" i="115"/>
  <c r="J921" i="115"/>
  <c r="J909" i="115"/>
  <c r="J893" i="115"/>
  <c r="J883" i="115"/>
  <c r="J873" i="115"/>
  <c r="J856" i="115"/>
  <c r="J846" i="115"/>
  <c r="J836" i="115"/>
  <c r="J821" i="115"/>
  <c r="J811" i="115"/>
  <c r="J803" i="115"/>
  <c r="J793" i="115"/>
  <c r="J783" i="115"/>
  <c r="J775" i="115"/>
  <c r="J760" i="115"/>
  <c r="J752" i="115"/>
  <c r="J744" i="115"/>
  <c r="J736" i="115"/>
  <c r="J716" i="115"/>
  <c r="J701" i="115"/>
  <c r="J687" i="115"/>
  <c r="J678" i="115"/>
  <c r="J668" i="115"/>
  <c r="J658" i="115"/>
  <c r="J648" i="115"/>
  <c r="J580" i="115"/>
  <c r="J570" i="115"/>
  <c r="J560" i="115"/>
  <c r="J540" i="115"/>
  <c r="J530" i="115"/>
  <c r="J520" i="115"/>
  <c r="J512" i="115"/>
  <c r="J502" i="115"/>
  <c r="J417" i="115"/>
  <c r="J403" i="115"/>
  <c r="J393" i="115"/>
  <c r="J385" i="115"/>
  <c r="J375" i="115"/>
  <c r="J291" i="115"/>
  <c r="J279" i="115"/>
  <c r="J269" i="115"/>
  <c r="J261" i="115"/>
  <c r="J251" i="115"/>
  <c r="J236" i="115"/>
  <c r="J226" i="115"/>
  <c r="J216" i="115"/>
  <c r="J208" i="115"/>
  <c r="J198" i="115"/>
  <c r="J135" i="115"/>
  <c r="J125" i="115"/>
  <c r="J110" i="115"/>
  <c r="J100" i="115"/>
  <c r="J90" i="115"/>
  <c r="L512" i="115"/>
  <c r="L373" i="115"/>
  <c r="L259" i="115"/>
  <c r="L225" i="115"/>
  <c r="L211" i="115"/>
  <c r="L201" i="115"/>
  <c r="L140" i="115"/>
  <c r="L130" i="115"/>
  <c r="L120" i="115"/>
  <c r="L105" i="115"/>
  <c r="L95" i="115"/>
  <c r="L85" i="115"/>
  <c r="L70" i="115"/>
  <c r="L60" i="115"/>
  <c r="L50" i="115"/>
  <c r="L36" i="115"/>
  <c r="L28" i="115"/>
  <c r="L20" i="115"/>
  <c r="L12" i="115"/>
  <c r="J1028" i="115"/>
  <c r="J990" i="115"/>
  <c r="J980" i="115"/>
  <c r="J963" i="115"/>
  <c r="J953" i="115"/>
  <c r="J945" i="115"/>
  <c r="J935" i="115"/>
  <c r="J920" i="115"/>
  <c r="J908" i="115"/>
  <c r="J892" i="115"/>
  <c r="J880" i="115"/>
  <c r="J872" i="115"/>
  <c r="J855" i="115"/>
  <c r="J845" i="115"/>
  <c r="J835" i="115"/>
  <c r="J818" i="115"/>
  <c r="J810" i="115"/>
  <c r="J802" i="115"/>
  <c r="J792" i="115"/>
  <c r="J782" i="115"/>
  <c r="J774" i="115"/>
  <c r="J759" i="115"/>
  <c r="J751" i="115"/>
  <c r="J743" i="115"/>
  <c r="J735" i="115"/>
  <c r="J715" i="115"/>
  <c r="J700" i="115"/>
  <c r="J686" i="115"/>
  <c r="J677" i="115"/>
  <c r="J667" i="115"/>
  <c r="J657" i="115"/>
  <c r="J647" i="115"/>
  <c r="J579" i="115"/>
  <c r="J567" i="115"/>
  <c r="J559" i="115"/>
  <c r="J539" i="115"/>
  <c r="J529" i="115"/>
  <c r="J519" i="115"/>
  <c r="J511" i="115"/>
  <c r="J501" i="115"/>
  <c r="J414" i="115"/>
  <c r="J402" i="115"/>
  <c r="J392" i="115"/>
  <c r="J384" i="115"/>
  <c r="J374" i="115"/>
  <c r="J288" i="115"/>
  <c r="J278" i="115"/>
  <c r="J268" i="115"/>
  <c r="J260" i="115"/>
  <c r="J250" i="115"/>
  <c r="J233" i="115"/>
  <c r="J225" i="115"/>
  <c r="J215" i="115"/>
  <c r="J207" i="115"/>
  <c r="J197" i="115"/>
  <c r="J134" i="115"/>
  <c r="J124" i="115"/>
  <c r="J109" i="115"/>
  <c r="J99" i="115"/>
  <c r="J89" i="115"/>
  <c r="J74" i="115"/>
  <c r="J66" i="115"/>
  <c r="J56" i="115"/>
  <c r="J46" i="115"/>
  <c r="J32" i="115"/>
  <c r="J24" i="115"/>
  <c r="L403" i="115"/>
  <c r="L288" i="115"/>
  <c r="L250" i="115"/>
  <c r="L224" i="115"/>
  <c r="L210" i="115"/>
  <c r="L200" i="115"/>
  <c r="L139" i="115"/>
  <c r="L127" i="115"/>
  <c r="L112" i="115"/>
  <c r="L104" i="115"/>
  <c r="L92" i="115"/>
  <c r="L77" i="115"/>
  <c r="L69" i="115"/>
  <c r="L59" i="115"/>
  <c r="L49" i="115"/>
  <c r="L35" i="115"/>
  <c r="L27" i="115"/>
  <c r="L19" i="115"/>
  <c r="L11" i="115"/>
  <c r="J999" i="115"/>
  <c r="J989" i="115"/>
  <c r="J979" i="115"/>
  <c r="J962" i="115"/>
  <c r="J952" i="115"/>
  <c r="J942" i="115"/>
  <c r="J934" i="115"/>
  <c r="J919" i="115"/>
  <c r="J907" i="115"/>
  <c r="J891" i="115"/>
  <c r="J879" i="115"/>
  <c r="J871" i="115"/>
  <c r="J854" i="115"/>
  <c r="J844" i="115"/>
  <c r="J834" i="115"/>
  <c r="J817" i="115"/>
  <c r="J809" i="115"/>
  <c r="J801" i="115"/>
  <c r="J791" i="115"/>
  <c r="J781" i="115"/>
  <c r="J773" i="115"/>
  <c r="J758" i="115"/>
  <c r="J750" i="115"/>
  <c r="J742" i="115"/>
  <c r="J734" i="115"/>
  <c r="J714" i="115"/>
  <c r="J697" i="115"/>
  <c r="J685" i="115"/>
  <c r="J676" i="115"/>
  <c r="J666" i="115"/>
  <c r="J656" i="115"/>
  <c r="J646" i="115"/>
  <c r="J578" i="115"/>
  <c r="J566" i="115"/>
  <c r="J558" i="115"/>
  <c r="J536" i="115"/>
  <c r="J528" i="115"/>
  <c r="J518" i="115"/>
  <c r="J510" i="115"/>
  <c r="J500" i="115"/>
  <c r="J413" i="115"/>
  <c r="J401" i="115"/>
  <c r="J391" i="115"/>
  <c r="J383" i="115"/>
  <c r="J373" i="115"/>
  <c r="J287" i="115"/>
  <c r="J277" i="115"/>
  <c r="J267" i="115"/>
  <c r="J259" i="115"/>
  <c r="J249" i="115"/>
  <c r="J232" i="115"/>
  <c r="J224" i="115"/>
  <c r="J214" i="115"/>
  <c r="J204" i="115"/>
  <c r="J143" i="115"/>
  <c r="J133" i="115"/>
  <c r="J123" i="115"/>
  <c r="J108" i="115"/>
  <c r="J98" i="115"/>
  <c r="J88" i="115"/>
  <c r="J73" i="115"/>
  <c r="J63" i="115"/>
  <c r="J53" i="115"/>
  <c r="J45" i="115"/>
  <c r="J31" i="115"/>
  <c r="L718" i="115"/>
  <c r="L391" i="115"/>
  <c r="L277" i="115"/>
  <c r="L233" i="115"/>
  <c r="L215" i="115"/>
  <c r="L207" i="115"/>
  <c r="L197" i="115"/>
  <c r="L134" i="115"/>
  <c r="L124" i="115"/>
  <c r="L109" i="115"/>
  <c r="L99" i="115"/>
  <c r="L89" i="115"/>
  <c r="L74" i="115"/>
  <c r="L66" i="115"/>
  <c r="L56" i="115"/>
  <c r="L46" i="115"/>
  <c r="L32" i="115"/>
  <c r="L24" i="115"/>
  <c r="L16" i="115"/>
  <c r="J1040" i="115"/>
  <c r="J994" i="115"/>
  <c r="J984" i="115"/>
  <c r="J976" i="115"/>
  <c r="J959" i="115"/>
  <c r="J949" i="115"/>
  <c r="J939" i="115"/>
  <c r="J924" i="115"/>
  <c r="J912" i="115"/>
  <c r="J904" i="115"/>
  <c r="J888" i="115"/>
  <c r="J876" i="115"/>
  <c r="J859" i="115"/>
  <c r="J849" i="115"/>
  <c r="J841" i="115"/>
  <c r="J831" i="115"/>
  <c r="J814" i="115"/>
  <c r="J806" i="115"/>
  <c r="J798" i="115"/>
  <c r="J788" i="115"/>
  <c r="J778" i="115"/>
  <c r="J763" i="115"/>
  <c r="J755" i="115"/>
  <c r="J747" i="115"/>
  <c r="J739" i="115"/>
  <c r="J719" i="115"/>
  <c r="J711" i="115"/>
  <c r="J692" i="115"/>
  <c r="J681" i="115"/>
  <c r="J671" i="115"/>
  <c r="J663" i="115"/>
  <c r="J653" i="115"/>
  <c r="J643" i="115"/>
  <c r="J573" i="115"/>
  <c r="J563" i="115"/>
  <c r="J545" i="115"/>
  <c r="J533" i="115"/>
  <c r="J525" i="115"/>
  <c r="J515" i="115"/>
  <c r="J505" i="115"/>
  <c r="J427" i="115"/>
  <c r="J406" i="115"/>
  <c r="J398" i="115"/>
  <c r="J388" i="115"/>
  <c r="J380" i="115"/>
  <c r="J370" i="115"/>
  <c r="J282" i="115"/>
  <c r="J274" i="115"/>
  <c r="J264" i="115"/>
  <c r="J256" i="115"/>
  <c r="J246" i="115"/>
  <c r="J229" i="115"/>
  <c r="J219" i="115"/>
  <c r="J211" i="115"/>
  <c r="J201" i="115"/>
  <c r="J140" i="115"/>
  <c r="J130" i="115"/>
  <c r="J120" i="115"/>
  <c r="J105" i="115"/>
  <c r="J95" i="115"/>
  <c r="J85" i="115"/>
  <c r="J70" i="115"/>
  <c r="J60" i="115"/>
  <c r="J50" i="115"/>
  <c r="J36" i="115"/>
  <c r="J28" i="115"/>
  <c r="L577" i="115"/>
  <c r="L384" i="115"/>
  <c r="L268" i="115"/>
  <c r="L232" i="115"/>
  <c r="L214" i="115"/>
  <c r="L204" i="115"/>
  <c r="L143" i="115"/>
  <c r="L133" i="115"/>
  <c r="L123" i="115"/>
  <c r="L108" i="115"/>
  <c r="L98" i="115"/>
  <c r="L88" i="115"/>
  <c r="L73" i="115"/>
  <c r="L63" i="115"/>
  <c r="L53" i="115"/>
  <c r="L45" i="115"/>
  <c r="L31" i="115"/>
  <c r="L23" i="115"/>
  <c r="L15" i="115"/>
  <c r="J1033" i="115"/>
  <c r="J993" i="115"/>
  <c r="J983" i="115"/>
  <c r="J975" i="115"/>
  <c r="J958" i="115"/>
  <c r="J948" i="115"/>
  <c r="J938" i="115"/>
  <c r="J923" i="115"/>
  <c r="J911" i="115"/>
  <c r="J897" i="115"/>
  <c r="J885" i="115"/>
  <c r="J875" i="115"/>
  <c r="J858" i="115"/>
  <c r="J848" i="115"/>
  <c r="J838" i="115"/>
  <c r="J830" i="115"/>
  <c r="J813" i="115"/>
  <c r="J805" i="115"/>
  <c r="J797" i="115"/>
  <c r="J787" i="115"/>
  <c r="J777" i="115"/>
  <c r="J762" i="115"/>
  <c r="J754" i="115"/>
  <c r="J746" i="115"/>
  <c r="J738" i="115"/>
  <c r="J718" i="115"/>
  <c r="J710" i="115"/>
  <c r="J691" i="115"/>
  <c r="J680" i="115"/>
  <c r="J670" i="115"/>
  <c r="J662" i="115"/>
  <c r="J652" i="115"/>
  <c r="J642" i="115"/>
  <c r="J572" i="115"/>
  <c r="J562" i="115"/>
  <c r="J544" i="115"/>
  <c r="J532" i="115"/>
  <c r="J522" i="115"/>
  <c r="J514" i="115"/>
  <c r="J504" i="115"/>
  <c r="J419" i="115"/>
  <c r="J405" i="115"/>
  <c r="J397" i="115"/>
  <c r="J387" i="115"/>
  <c r="J379" i="115"/>
  <c r="J369" i="115"/>
  <c r="J281" i="115"/>
  <c r="J271" i="115"/>
  <c r="J263" i="115"/>
  <c r="J255" i="115"/>
  <c r="J245" i="115"/>
  <c r="J228" i="115"/>
  <c r="J218" i="115"/>
  <c r="J210" i="115"/>
  <c r="J200" i="115"/>
  <c r="J139" i="115"/>
  <c r="J127" i="115"/>
  <c r="J112" i="115"/>
  <c r="J104" i="115"/>
  <c r="J92" i="115"/>
  <c r="J77" i="115"/>
  <c r="J69" i="115"/>
  <c r="J59" i="115"/>
  <c r="J49" i="115"/>
  <c r="J35" i="115"/>
  <c r="L383" i="115"/>
  <c r="L216" i="115"/>
  <c r="L136" i="115"/>
  <c r="L107" i="115"/>
  <c r="L75" i="115"/>
  <c r="L48" i="115"/>
  <c r="L22" i="115"/>
  <c r="J997" i="115"/>
  <c r="J961" i="115"/>
  <c r="J937" i="115"/>
  <c r="J905" i="115"/>
  <c r="J863" i="115"/>
  <c r="J837" i="115"/>
  <c r="J807" i="115"/>
  <c r="J780" i="115"/>
  <c r="J753" i="115"/>
  <c r="J720" i="115"/>
  <c r="J684" i="115"/>
  <c r="J661" i="115"/>
  <c r="J574" i="115"/>
  <c r="J535" i="115"/>
  <c r="J513" i="115"/>
  <c r="J409" i="115"/>
  <c r="J382" i="115"/>
  <c r="J280" i="115"/>
  <c r="J257" i="115"/>
  <c r="J221" i="115"/>
  <c r="J199" i="115"/>
  <c r="J121" i="115"/>
  <c r="J87" i="115"/>
  <c r="J62" i="115"/>
  <c r="J44" i="115"/>
  <c r="J25" i="115"/>
  <c r="J16" i="115"/>
  <c r="I1040" i="115"/>
  <c r="I994" i="115"/>
  <c r="I984" i="115"/>
  <c r="I976" i="115"/>
  <c r="I959" i="115"/>
  <c r="I949" i="115"/>
  <c r="I939" i="115"/>
  <c r="I924" i="115"/>
  <c r="I912" i="115"/>
  <c r="I904" i="115"/>
  <c r="I888" i="115"/>
  <c r="I876" i="115"/>
  <c r="I859" i="115"/>
  <c r="I849" i="115"/>
  <c r="I841" i="115"/>
  <c r="I831" i="115"/>
  <c r="I814" i="115"/>
  <c r="I806" i="115"/>
  <c r="I798" i="115"/>
  <c r="I788" i="115"/>
  <c r="I778" i="115"/>
  <c r="I763" i="115"/>
  <c r="I755" i="115"/>
  <c r="I747" i="115"/>
  <c r="I739" i="115"/>
  <c r="I719" i="115"/>
  <c r="I711" i="115"/>
  <c r="I692" i="115"/>
  <c r="I681" i="115"/>
  <c r="I671" i="115"/>
  <c r="I663" i="115"/>
  <c r="I653" i="115"/>
  <c r="I643" i="115"/>
  <c r="I573" i="115"/>
  <c r="I563" i="115"/>
  <c r="I545" i="115"/>
  <c r="I533" i="115"/>
  <c r="I525" i="115"/>
  <c r="I515" i="115"/>
  <c r="I505" i="115"/>
  <c r="I427" i="115"/>
  <c r="I406" i="115"/>
  <c r="I398" i="115"/>
  <c r="I388" i="115"/>
  <c r="I380" i="115"/>
  <c r="I370" i="115"/>
  <c r="L287" i="115"/>
  <c r="L213" i="115"/>
  <c r="L135" i="115"/>
  <c r="L101" i="115"/>
  <c r="L72" i="115"/>
  <c r="L47" i="115"/>
  <c r="L18" i="115"/>
  <c r="J992" i="115"/>
  <c r="J960" i="115"/>
  <c r="J933" i="115"/>
  <c r="J896" i="115"/>
  <c r="J862" i="115"/>
  <c r="J833" i="115"/>
  <c r="J804" i="115"/>
  <c r="J779" i="115"/>
  <c r="J749" i="115"/>
  <c r="J717" i="115"/>
  <c r="J683" i="115"/>
  <c r="J655" i="115"/>
  <c r="J571" i="115"/>
  <c r="J534" i="115"/>
  <c r="J509" i="115"/>
  <c r="J404" i="115"/>
  <c r="J381" i="115"/>
  <c r="J276" i="115"/>
  <c r="J254" i="115"/>
  <c r="J220" i="115"/>
  <c r="J142" i="115"/>
  <c r="J111" i="115"/>
  <c r="J86" i="115"/>
  <c r="J61" i="115"/>
  <c r="J43" i="115"/>
  <c r="J23" i="115"/>
  <c r="J15" i="115"/>
  <c r="I1033" i="115"/>
  <c r="I993" i="115"/>
  <c r="I983" i="115"/>
  <c r="I975" i="115"/>
  <c r="I958" i="115"/>
  <c r="I948" i="115"/>
  <c r="I938" i="115"/>
  <c r="I923" i="115"/>
  <c r="I911" i="115"/>
  <c r="I897" i="115"/>
  <c r="I885" i="115"/>
  <c r="I875" i="115"/>
  <c r="I858" i="115"/>
  <c r="I848" i="115"/>
  <c r="I838" i="115"/>
  <c r="I830" i="115"/>
  <c r="I813" i="115"/>
  <c r="I805" i="115"/>
  <c r="I797" i="115"/>
  <c r="I787" i="115"/>
  <c r="I777" i="115"/>
  <c r="I762" i="115"/>
  <c r="I754" i="115"/>
  <c r="I746" i="115"/>
  <c r="I738" i="115"/>
  <c r="I718" i="115"/>
  <c r="I710" i="115"/>
  <c r="I691" i="115"/>
  <c r="I680" i="115"/>
  <c r="I670" i="115"/>
  <c r="I662" i="115"/>
  <c r="I652" i="115"/>
  <c r="I642" i="115"/>
  <c r="I572" i="115"/>
  <c r="I562" i="115"/>
  <c r="I544" i="115"/>
  <c r="I532" i="115"/>
  <c r="I522" i="115"/>
  <c r="I514" i="115"/>
  <c r="I504" i="115"/>
  <c r="I419" i="115"/>
  <c r="I405" i="115"/>
  <c r="I397" i="115"/>
  <c r="I387" i="115"/>
  <c r="I379" i="115"/>
  <c r="I369" i="115"/>
  <c r="I281" i="115"/>
  <c r="I271" i="115"/>
  <c r="I263" i="115"/>
  <c r="I255" i="115"/>
  <c r="I245" i="115"/>
  <c r="L278" i="115"/>
  <c r="L209" i="115"/>
  <c r="L132" i="115"/>
  <c r="L100" i="115"/>
  <c r="L68" i="115"/>
  <c r="L44" i="115"/>
  <c r="L17" i="115"/>
  <c r="J988" i="115"/>
  <c r="J955" i="115"/>
  <c r="J925" i="115"/>
  <c r="J890" i="115"/>
  <c r="J857" i="115"/>
  <c r="J832" i="115"/>
  <c r="J800" i="115"/>
  <c r="J776" i="115"/>
  <c r="J748" i="115"/>
  <c r="J713" i="115"/>
  <c r="J679" i="115"/>
  <c r="J654" i="115"/>
  <c r="J565" i="115"/>
  <c r="J531" i="115"/>
  <c r="J506" i="115"/>
  <c r="J400" i="115"/>
  <c r="J376" i="115"/>
  <c r="J275" i="115"/>
  <c r="J248" i="115"/>
  <c r="J217" i="115"/>
  <c r="J141" i="115"/>
  <c r="J107" i="115"/>
  <c r="J76" i="115"/>
  <c r="J58" i="115"/>
  <c r="J34" i="115"/>
  <c r="J22" i="115"/>
  <c r="J14" i="115"/>
  <c r="I1032" i="115"/>
  <c r="I992" i="115"/>
  <c r="I982" i="115"/>
  <c r="I967" i="115"/>
  <c r="I955" i="115"/>
  <c r="I947" i="115"/>
  <c r="I937" i="115"/>
  <c r="I922" i="115"/>
  <c r="I910" i="115"/>
  <c r="I896" i="115"/>
  <c r="I884" i="115"/>
  <c r="I874" i="115"/>
  <c r="I857" i="115"/>
  <c r="I847" i="115"/>
  <c r="I837" i="115"/>
  <c r="I829" i="115"/>
  <c r="I812" i="115"/>
  <c r="I804" i="115"/>
  <c r="I796" i="115"/>
  <c r="I786" i="115"/>
  <c r="I776" i="115"/>
  <c r="I761" i="115"/>
  <c r="I753" i="115"/>
  <c r="I745" i="115"/>
  <c r="I737" i="115"/>
  <c r="I717" i="115"/>
  <c r="I709" i="115"/>
  <c r="I688" i="115"/>
  <c r="I679" i="115"/>
  <c r="I669" i="115"/>
  <c r="I661" i="115"/>
  <c r="I651" i="115"/>
  <c r="I641" i="115"/>
  <c r="I571" i="115"/>
  <c r="I561" i="115"/>
  <c r="I541" i="115"/>
  <c r="I531" i="115"/>
  <c r="I521" i="115"/>
  <c r="I513" i="115"/>
  <c r="I503" i="115"/>
  <c r="I418" i="115"/>
  <c r="I404" i="115"/>
  <c r="I396" i="115"/>
  <c r="I386" i="115"/>
  <c r="I376" i="115"/>
  <c r="I293" i="115"/>
  <c r="L574" i="115"/>
  <c r="L236" i="115"/>
  <c r="L237" i="115" s="1"/>
  <c r="L199" i="115"/>
  <c r="L122" i="115"/>
  <c r="L90" i="115"/>
  <c r="L58" i="115"/>
  <c r="L30" i="115"/>
  <c r="J1041" i="115"/>
  <c r="J978" i="115"/>
  <c r="J947" i="115"/>
  <c r="J913" i="115"/>
  <c r="J878" i="115"/>
  <c r="J847" i="115"/>
  <c r="J815" i="115"/>
  <c r="J790" i="115"/>
  <c r="J761" i="115"/>
  <c r="J740" i="115"/>
  <c r="J696" i="115"/>
  <c r="J669" i="115"/>
  <c r="J644" i="115"/>
  <c r="J557" i="115"/>
  <c r="J521" i="115"/>
  <c r="J498" i="115"/>
  <c r="J390" i="115"/>
  <c r="J293" i="115"/>
  <c r="J265" i="115"/>
  <c r="J231" i="115"/>
  <c r="J209" i="115"/>
  <c r="J131" i="115"/>
  <c r="J97" i="115"/>
  <c r="J71" i="115"/>
  <c r="J51" i="115"/>
  <c r="J29" i="115"/>
  <c r="J19" i="115"/>
  <c r="J11" i="115"/>
  <c r="I999" i="115"/>
  <c r="I989" i="115"/>
  <c r="I979" i="115"/>
  <c r="I962" i="115"/>
  <c r="I952" i="115"/>
  <c r="I942" i="115"/>
  <c r="I934" i="115"/>
  <c r="I919" i="115"/>
  <c r="I907" i="115"/>
  <c r="I891" i="115"/>
  <c r="I879" i="115"/>
  <c r="I871" i="115"/>
  <c r="I854" i="115"/>
  <c r="I844" i="115"/>
  <c r="I834" i="115"/>
  <c r="I817" i="115"/>
  <c r="I809" i="115"/>
  <c r="I801" i="115"/>
  <c r="I791" i="115"/>
  <c r="I781" i="115"/>
  <c r="I773" i="115"/>
  <c r="I758" i="115"/>
  <c r="I750" i="115"/>
  <c r="I742" i="115"/>
  <c r="I734" i="115"/>
  <c r="I714" i="115"/>
  <c r="I697" i="115"/>
  <c r="I685" i="115"/>
  <c r="I676" i="115"/>
  <c r="I666" i="115"/>
  <c r="I656" i="115"/>
  <c r="I646" i="115"/>
  <c r="I578" i="115"/>
  <c r="I566" i="115"/>
  <c r="I558" i="115"/>
  <c r="I536" i="115"/>
  <c r="I528" i="115"/>
  <c r="I518" i="115"/>
  <c r="I510" i="115"/>
  <c r="I500" i="115"/>
  <c r="I413" i="115"/>
  <c r="I401" i="115"/>
  <c r="I391" i="115"/>
  <c r="I383" i="115"/>
  <c r="I373" i="115"/>
  <c r="I287" i="115"/>
  <c r="I277" i="115"/>
  <c r="I267" i="115"/>
  <c r="I259" i="115"/>
  <c r="I249" i="115"/>
  <c r="I232" i="115"/>
  <c r="L401" i="115"/>
  <c r="L227" i="115"/>
  <c r="L198" i="115"/>
  <c r="L111" i="115"/>
  <c r="L87" i="115"/>
  <c r="L57" i="115"/>
  <c r="L26" i="115"/>
  <c r="J1032" i="115"/>
  <c r="J977" i="115"/>
  <c r="J941" i="115"/>
  <c r="J910" i="115"/>
  <c r="J877" i="115"/>
  <c r="J843" i="115"/>
  <c r="J812" i="115"/>
  <c r="J789" i="115"/>
  <c r="J757" i="115"/>
  <c r="J737" i="115"/>
  <c r="J695" i="115"/>
  <c r="J665" i="115"/>
  <c r="J641" i="115"/>
  <c r="J554" i="115"/>
  <c r="J517" i="115"/>
  <c r="J418" i="115"/>
  <c r="J389" i="115"/>
  <c r="J286" i="115"/>
  <c r="J262" i="115"/>
  <c r="J230" i="115"/>
  <c r="J203" i="115"/>
  <c r="J126" i="115"/>
  <c r="J96" i="115"/>
  <c r="J68" i="115"/>
  <c r="J48" i="115"/>
  <c r="J27" i="115"/>
  <c r="J18" i="115"/>
  <c r="I1042" i="115"/>
  <c r="I998" i="115"/>
  <c r="I988" i="115"/>
  <c r="I978" i="115"/>
  <c r="I961" i="115"/>
  <c r="I951" i="115"/>
  <c r="I941" i="115"/>
  <c r="I933" i="115"/>
  <c r="I916" i="115"/>
  <c r="I906" i="115"/>
  <c r="I890" i="115"/>
  <c r="I878" i="115"/>
  <c r="I863" i="115"/>
  <c r="I851" i="115"/>
  <c r="I843" i="115"/>
  <c r="I833" i="115"/>
  <c r="I816" i="115"/>
  <c r="I808" i="115"/>
  <c r="I800" i="115"/>
  <c r="I790" i="115"/>
  <c r="I780" i="115"/>
  <c r="I767" i="115"/>
  <c r="I757" i="115"/>
  <c r="I749" i="115"/>
  <c r="I741" i="115"/>
  <c r="I733" i="115"/>
  <c r="I713" i="115"/>
  <c r="I696" i="115"/>
  <c r="I684" i="115"/>
  <c r="I675" i="115"/>
  <c r="I665" i="115"/>
  <c r="I655" i="115"/>
  <c r="I645" i="115"/>
  <c r="I577" i="115"/>
  <c r="I565" i="115"/>
  <c r="I557" i="115"/>
  <c r="I535" i="115"/>
  <c r="I527" i="115"/>
  <c r="I517" i="115"/>
  <c r="I509" i="115"/>
  <c r="I499" i="115"/>
  <c r="I412" i="115"/>
  <c r="I400" i="115"/>
  <c r="I390" i="115"/>
  <c r="I382" i="115"/>
  <c r="I372" i="115"/>
  <c r="L217" i="115"/>
  <c r="L91" i="115"/>
  <c r="L14" i="115"/>
  <c r="J940" i="115"/>
  <c r="J850" i="115"/>
  <c r="J767" i="115"/>
  <c r="J688" i="115"/>
  <c r="J561" i="115"/>
  <c r="J399" i="115"/>
  <c r="J258" i="115"/>
  <c r="J132" i="115"/>
  <c r="J57" i="115"/>
  <c r="J17" i="115"/>
  <c r="I990" i="115"/>
  <c r="I954" i="115"/>
  <c r="I925" i="115"/>
  <c r="I892" i="115"/>
  <c r="I856" i="115"/>
  <c r="I832" i="115"/>
  <c r="I802" i="115"/>
  <c r="I775" i="115"/>
  <c r="I748" i="115"/>
  <c r="I715" i="115"/>
  <c r="I678" i="115"/>
  <c r="I654" i="115"/>
  <c r="I567" i="115"/>
  <c r="I530" i="115"/>
  <c r="I506" i="115"/>
  <c r="I402" i="115"/>
  <c r="I375" i="115"/>
  <c r="I280" i="115"/>
  <c r="I268" i="115"/>
  <c r="I257" i="115"/>
  <c r="I244" i="115"/>
  <c r="I226" i="115"/>
  <c r="I216" i="115"/>
  <c r="I208" i="115"/>
  <c r="I198" i="115"/>
  <c r="I135" i="115"/>
  <c r="I125" i="115"/>
  <c r="I110" i="115"/>
  <c r="I100" i="115"/>
  <c r="I90" i="115"/>
  <c r="I75" i="115"/>
  <c r="I67" i="115"/>
  <c r="I57" i="115"/>
  <c r="I47" i="115"/>
  <c r="I33" i="115"/>
  <c r="I25" i="115"/>
  <c r="I17" i="115"/>
  <c r="L626" i="115"/>
  <c r="L609" i="115"/>
  <c r="L599" i="115"/>
  <c r="L614" i="115" s="1"/>
  <c r="L747" i="114"/>
  <c r="L727" i="114"/>
  <c r="L719" i="114"/>
  <c r="L711" i="114"/>
  <c r="L703" i="114"/>
  <c r="L695" i="114"/>
  <c r="L686" i="114"/>
  <c r="L678" i="114"/>
  <c r="L664" i="114"/>
  <c r="L654" i="114"/>
  <c r="L635" i="114"/>
  <c r="L622" i="114"/>
  <c r="L604" i="114"/>
  <c r="L592" i="114"/>
  <c r="L584" i="114"/>
  <c r="L568" i="114"/>
  <c r="L560" i="114"/>
  <c r="L487" i="114"/>
  <c r="L470" i="114"/>
  <c r="L460" i="114"/>
  <c r="L445" i="114"/>
  <c r="L435" i="114"/>
  <c r="L425" i="114"/>
  <c r="L415" i="114"/>
  <c r="L403" i="114"/>
  <c r="L395" i="114"/>
  <c r="L372" i="114"/>
  <c r="L361" i="114"/>
  <c r="L349" i="114"/>
  <c r="L339" i="114"/>
  <c r="L208" i="115"/>
  <c r="L76" i="115"/>
  <c r="J1042" i="115"/>
  <c r="J922" i="115"/>
  <c r="J842" i="115"/>
  <c r="J765" i="115"/>
  <c r="J675" i="115"/>
  <c r="J541" i="115"/>
  <c r="J396" i="115"/>
  <c r="J247" i="115"/>
  <c r="J122" i="115"/>
  <c r="J52" i="115"/>
  <c r="J13" i="115"/>
  <c r="I987" i="115"/>
  <c r="I953" i="115"/>
  <c r="I921" i="115"/>
  <c r="I889" i="115"/>
  <c r="I855" i="115"/>
  <c r="I821" i="115"/>
  <c r="I799" i="115"/>
  <c r="I774" i="115"/>
  <c r="I744" i="115"/>
  <c r="I712" i="115"/>
  <c r="I677" i="115"/>
  <c r="I648" i="115"/>
  <c r="I564" i="115"/>
  <c r="I529" i="115"/>
  <c r="I502" i="115"/>
  <c r="I399" i="115"/>
  <c r="I374" i="115"/>
  <c r="I279" i="115"/>
  <c r="I266" i="115"/>
  <c r="I256" i="115"/>
  <c r="I236" i="115"/>
  <c r="I225" i="115"/>
  <c r="I215" i="115"/>
  <c r="I207" i="115"/>
  <c r="I197" i="115"/>
  <c r="I134" i="115"/>
  <c r="I124" i="115"/>
  <c r="I109" i="115"/>
  <c r="I99" i="115"/>
  <c r="I89" i="115"/>
  <c r="I74" i="115"/>
  <c r="I66" i="115"/>
  <c r="I56" i="115"/>
  <c r="I46" i="115"/>
  <c r="I32" i="115"/>
  <c r="I24" i="115"/>
  <c r="I16" i="115"/>
  <c r="L625" i="115"/>
  <c r="L608" i="115"/>
  <c r="L592" i="115"/>
  <c r="L746" i="114"/>
  <c r="L726" i="114"/>
  <c r="L718" i="114"/>
  <c r="L710" i="114"/>
  <c r="L702" i="114"/>
  <c r="L694" i="114"/>
  <c r="L685" i="114"/>
  <c r="L677" i="114"/>
  <c r="L663" i="114"/>
  <c r="L653" i="114"/>
  <c r="L634" i="114"/>
  <c r="L621" i="114"/>
  <c r="L603" i="114"/>
  <c r="L591" i="114"/>
  <c r="L583" i="114"/>
  <c r="F106" i="6" s="1"/>
  <c r="L567" i="114"/>
  <c r="L559" i="114"/>
  <c r="L486" i="114"/>
  <c r="L469" i="114"/>
  <c r="L459" i="114"/>
  <c r="L442" i="114"/>
  <c r="L434" i="114"/>
  <c r="L424" i="114"/>
  <c r="L414" i="114"/>
  <c r="L402" i="114"/>
  <c r="L394" i="114"/>
  <c r="L371" i="114"/>
  <c r="L360" i="114"/>
  <c r="L348" i="114"/>
  <c r="L336" i="114"/>
  <c r="L326" i="114"/>
  <c r="L318" i="114"/>
  <c r="L303" i="114"/>
  <c r="L293" i="114"/>
  <c r="L203" i="115"/>
  <c r="L67" i="115"/>
  <c r="J998" i="115"/>
  <c r="J916" i="115"/>
  <c r="J829" i="115"/>
  <c r="J756" i="115"/>
  <c r="J672" i="115"/>
  <c r="J527" i="115"/>
  <c r="J386" i="115"/>
  <c r="J244" i="115"/>
  <c r="J106" i="115"/>
  <c r="J47" i="115"/>
  <c r="J12" i="115"/>
  <c r="I981" i="115"/>
  <c r="I950" i="115"/>
  <c r="I920" i="115"/>
  <c r="I883" i="115"/>
  <c r="I850" i="115"/>
  <c r="I818" i="115"/>
  <c r="I793" i="115"/>
  <c r="I765" i="115"/>
  <c r="I743" i="115"/>
  <c r="I701" i="115"/>
  <c r="I672" i="115"/>
  <c r="I647" i="115"/>
  <c r="I560" i="115"/>
  <c r="I526" i="115"/>
  <c r="I501" i="115"/>
  <c r="I393" i="115"/>
  <c r="I371" i="115"/>
  <c r="I278" i="115"/>
  <c r="I265" i="115"/>
  <c r="I254" i="115"/>
  <c r="I233" i="115"/>
  <c r="I224" i="115"/>
  <c r="I214" i="115"/>
  <c r="I204" i="115"/>
  <c r="I143" i="115"/>
  <c r="I133" i="115"/>
  <c r="I123" i="115"/>
  <c r="I108" i="115"/>
  <c r="I98" i="115"/>
  <c r="I88" i="115"/>
  <c r="I73" i="115"/>
  <c r="I63" i="115"/>
  <c r="I53" i="115"/>
  <c r="I45" i="115"/>
  <c r="I31" i="115"/>
  <c r="I23" i="115"/>
  <c r="I15" i="115"/>
  <c r="L632" i="115"/>
  <c r="L624" i="115"/>
  <c r="L633" i="115" s="1"/>
  <c r="L607" i="115"/>
  <c r="L591" i="115"/>
  <c r="L744" i="114"/>
  <c r="L725" i="114"/>
  <c r="L717" i="114"/>
  <c r="L709" i="114"/>
  <c r="L701" i="114"/>
  <c r="L693" i="114"/>
  <c r="L684" i="114"/>
  <c r="L676" i="114"/>
  <c r="L662" i="114"/>
  <c r="L652" i="114"/>
  <c r="L630" i="114"/>
  <c r="L620" i="114"/>
  <c r="L600" i="114"/>
  <c r="L601" i="114" s="1"/>
  <c r="L590" i="114"/>
  <c r="L576" i="114"/>
  <c r="L566" i="114"/>
  <c r="L552" i="114"/>
  <c r="L478" i="114"/>
  <c r="L468" i="114"/>
  <c r="L458" i="114"/>
  <c r="L441" i="114"/>
  <c r="L433" i="114"/>
  <c r="L423" i="114"/>
  <c r="L413" i="114"/>
  <c r="L401" i="114"/>
  <c r="L381" i="114"/>
  <c r="L370" i="114"/>
  <c r="L359" i="114"/>
  <c r="L347" i="114"/>
  <c r="L335" i="114"/>
  <c r="L325" i="114"/>
  <c r="L392" i="115"/>
  <c r="L125" i="115"/>
  <c r="L34" i="115"/>
  <c r="J967" i="115"/>
  <c r="J884" i="115"/>
  <c r="J799" i="115"/>
  <c r="J733" i="115"/>
  <c r="J645" i="115"/>
  <c r="J503" i="115"/>
  <c r="J285" i="115"/>
  <c r="J212" i="115"/>
  <c r="J75" i="115"/>
  <c r="J26" i="115"/>
  <c r="I1028" i="115"/>
  <c r="I964" i="115"/>
  <c r="I940" i="115"/>
  <c r="I908" i="115"/>
  <c r="I873" i="115"/>
  <c r="I842" i="115"/>
  <c r="I810" i="115"/>
  <c r="I783" i="115"/>
  <c r="I756" i="115"/>
  <c r="I735" i="115"/>
  <c r="I687" i="115"/>
  <c r="I664" i="115"/>
  <c r="I579" i="115"/>
  <c r="I540" i="115"/>
  <c r="I516" i="115"/>
  <c r="I414" i="115"/>
  <c r="I385" i="115"/>
  <c r="I286" i="115"/>
  <c r="I274" i="115"/>
  <c r="I261" i="115"/>
  <c r="I248" i="115"/>
  <c r="I229" i="115"/>
  <c r="I219" i="115"/>
  <c r="I211" i="115"/>
  <c r="I201" i="115"/>
  <c r="I140" i="115"/>
  <c r="I130" i="115"/>
  <c r="I120" i="115"/>
  <c r="I105" i="115"/>
  <c r="I95" i="115"/>
  <c r="I85" i="115"/>
  <c r="I70" i="115"/>
  <c r="I60" i="115"/>
  <c r="I50" i="115"/>
  <c r="I36" i="115"/>
  <c r="I28" i="115"/>
  <c r="I20" i="115"/>
  <c r="I12" i="115"/>
  <c r="L629" i="115"/>
  <c r="L619" i="115"/>
  <c r="L635" i="115" s="1"/>
  <c r="L602" i="115"/>
  <c r="L739" i="114"/>
  <c r="L722" i="114"/>
  <c r="L714" i="114"/>
  <c r="L706" i="114"/>
  <c r="L698" i="114"/>
  <c r="L681" i="114"/>
  <c r="L666" i="114"/>
  <c r="L657" i="114"/>
  <c r="L640" i="114"/>
  <c r="L625" i="114"/>
  <c r="L607" i="114"/>
  <c r="L595" i="114"/>
  <c r="L587" i="114"/>
  <c r="L571" i="114"/>
  <c r="L563" i="114"/>
  <c r="L545" i="114"/>
  <c r="L475" i="114"/>
  <c r="L463" i="114"/>
  <c r="L455" i="114"/>
  <c r="L438" i="114"/>
  <c r="L428" i="114"/>
  <c r="L418" i="114"/>
  <c r="L410" i="114"/>
  <c r="L398" i="114"/>
  <c r="L376" i="114"/>
  <c r="L366" i="114"/>
  <c r="L354" i="114"/>
  <c r="L342" i="114"/>
  <c r="L332" i="114"/>
  <c r="L322" i="114"/>
  <c r="L307" i="114"/>
  <c r="L297" i="114"/>
  <c r="L282" i="114"/>
  <c r="L267" i="115"/>
  <c r="L110" i="115"/>
  <c r="L33" i="115"/>
  <c r="J951" i="115"/>
  <c r="J874" i="115"/>
  <c r="J796" i="115"/>
  <c r="J712" i="115"/>
  <c r="J577" i="115"/>
  <c r="J499" i="115"/>
  <c r="J270" i="115"/>
  <c r="J202" i="115"/>
  <c r="J72" i="115"/>
  <c r="J21" i="115"/>
  <c r="I997" i="115"/>
  <c r="I963" i="115"/>
  <c r="I936" i="115"/>
  <c r="I905" i="115"/>
  <c r="I872" i="115"/>
  <c r="I836" i="115"/>
  <c r="I807" i="115"/>
  <c r="I782" i="115"/>
  <c r="I752" i="115"/>
  <c r="I720" i="115"/>
  <c r="I686" i="115"/>
  <c r="I658" i="115"/>
  <c r="I574" i="115"/>
  <c r="I539" i="115"/>
  <c r="I512" i="115"/>
  <c r="I409" i="115"/>
  <c r="I384" i="115"/>
  <c r="I285" i="115"/>
  <c r="I270" i="115"/>
  <c r="I260" i="115"/>
  <c r="I247" i="115"/>
  <c r="I228" i="115"/>
  <c r="I218" i="115"/>
  <c r="I210" i="115"/>
  <c r="I200" i="115"/>
  <c r="I139" i="115"/>
  <c r="I127" i="115"/>
  <c r="I112" i="115"/>
  <c r="I104" i="115"/>
  <c r="I92" i="115"/>
  <c r="I77" i="115"/>
  <c r="I69" i="115"/>
  <c r="I59" i="115"/>
  <c r="I49" i="115"/>
  <c r="I35" i="115"/>
  <c r="I27" i="115"/>
  <c r="I19" i="115"/>
  <c r="I11" i="115"/>
  <c r="L628" i="115"/>
  <c r="L611" i="115"/>
  <c r="L601" i="115"/>
  <c r="L751" i="114"/>
  <c r="L736" i="114"/>
  <c r="L721" i="114"/>
  <c r="L713" i="114"/>
  <c r="L705" i="114"/>
  <c r="L697" i="114"/>
  <c r="L688" i="114"/>
  <c r="L680" i="114"/>
  <c r="L656" i="114"/>
  <c r="L637" i="114"/>
  <c r="L624" i="114"/>
  <c r="L606" i="114"/>
  <c r="L594" i="114"/>
  <c r="L586" i="114"/>
  <c r="L570" i="114"/>
  <c r="L562" i="114"/>
  <c r="L544" i="114"/>
  <c r="L474" i="114"/>
  <c r="L462" i="114"/>
  <c r="L447" i="114"/>
  <c r="L437" i="114"/>
  <c r="L427" i="114"/>
  <c r="L417" i="114"/>
  <c r="L405" i="114"/>
  <c r="L397" i="114"/>
  <c r="L374" i="114"/>
  <c r="L363" i="114"/>
  <c r="L353" i="114"/>
  <c r="L341" i="114"/>
  <c r="L331" i="114"/>
  <c r="L218" i="115"/>
  <c r="L228" i="115"/>
  <c r="L245" i="115"/>
  <c r="L255" i="115"/>
  <c r="L263" i="115"/>
  <c r="L271" i="115"/>
  <c r="L281" i="115"/>
  <c r="L369" i="115"/>
  <c r="L379" i="115"/>
  <c r="L387" i="115"/>
  <c r="L397" i="115"/>
  <c r="L417" i="115"/>
  <c r="L532" i="115"/>
  <c r="L670" i="115"/>
  <c r="L762" i="115"/>
  <c r="L219" i="115"/>
  <c r="L229" i="115"/>
  <c r="L246" i="115"/>
  <c r="L256" i="115"/>
  <c r="L264" i="115"/>
  <c r="L274" i="115"/>
  <c r="L282" i="115"/>
  <c r="L370" i="115"/>
  <c r="L380" i="115"/>
  <c r="L388" i="115"/>
  <c r="L398" i="115"/>
  <c r="L418" i="115"/>
  <c r="L534" i="115"/>
  <c r="L675" i="115"/>
  <c r="L767" i="115"/>
  <c r="L220" i="115"/>
  <c r="L230" i="115"/>
  <c r="L247" i="115"/>
  <c r="L257" i="115"/>
  <c r="L265" i="115"/>
  <c r="L275" i="115"/>
  <c r="L285" i="115"/>
  <c r="L371" i="115"/>
  <c r="L381" i="115"/>
  <c r="L389" i="115"/>
  <c r="L399" i="115"/>
  <c r="L502" i="115"/>
  <c r="L558" i="115"/>
  <c r="L691" i="115"/>
  <c r="L801" i="115"/>
  <c r="L221" i="115"/>
  <c r="L231" i="115"/>
  <c r="L248" i="115"/>
  <c r="L258" i="115"/>
  <c r="L266" i="115"/>
  <c r="L276" i="115"/>
  <c r="L286" i="115"/>
  <c r="L372" i="115"/>
  <c r="L382" i="115"/>
  <c r="L390" i="115"/>
  <c r="L400" i="115"/>
  <c r="L503" i="115"/>
  <c r="L559" i="115"/>
  <c r="L696" i="115"/>
  <c r="L814" i="115"/>
  <c r="L251" i="115"/>
  <c r="L261" i="115"/>
  <c r="L269" i="115"/>
  <c r="L279" i="115"/>
  <c r="L291" i="115"/>
  <c r="L375" i="115"/>
  <c r="L385" i="115"/>
  <c r="L393" i="115"/>
  <c r="L404" i="115"/>
  <c r="L520" i="115"/>
  <c r="L652" i="115"/>
  <c r="L746" i="115"/>
  <c r="L244" i="115"/>
  <c r="L254" i="115"/>
  <c r="L262" i="115"/>
  <c r="L270" i="115"/>
  <c r="L280" i="115"/>
  <c r="L293" i="115"/>
  <c r="L376" i="115"/>
  <c r="L386" i="115"/>
  <c r="L396" i="115"/>
  <c r="L405" i="115"/>
  <c r="L521" i="115"/>
  <c r="L655" i="115"/>
  <c r="L749" i="115"/>
  <c r="L409" i="115"/>
  <c r="L410" i="115" s="1"/>
  <c r="L498" i="115"/>
  <c r="L506" i="115"/>
  <c r="L516" i="115"/>
  <c r="L526" i="115"/>
  <c r="L539" i="115"/>
  <c r="L565" i="115"/>
  <c r="L642" i="115"/>
  <c r="L662" i="115"/>
  <c r="L680" i="115"/>
  <c r="L710" i="115"/>
  <c r="L738" i="115"/>
  <c r="L754" i="115"/>
  <c r="L779" i="115"/>
  <c r="L872" i="115"/>
  <c r="L412" i="115"/>
  <c r="L499" i="115"/>
  <c r="L509" i="115"/>
  <c r="L517" i="115"/>
  <c r="L527" i="115"/>
  <c r="L544" i="115"/>
  <c r="L566" i="115"/>
  <c r="L645" i="115"/>
  <c r="L665" i="115"/>
  <c r="L684" i="115"/>
  <c r="L713" i="115"/>
  <c r="L741" i="115"/>
  <c r="L757" i="115"/>
  <c r="L786" i="115"/>
  <c r="L905" i="115"/>
  <c r="L413" i="115"/>
  <c r="L500" i="115"/>
  <c r="L510" i="115"/>
  <c r="L518" i="115"/>
  <c r="L528" i="115"/>
  <c r="L554" i="115"/>
  <c r="L555" i="115" s="1"/>
  <c r="L567" i="115"/>
  <c r="L646" i="115"/>
  <c r="L666" i="115"/>
  <c r="L685" i="115"/>
  <c r="L714" i="115"/>
  <c r="L742" i="115"/>
  <c r="L758" i="115"/>
  <c r="L790" i="115"/>
  <c r="L909" i="115"/>
  <c r="L402" i="115"/>
  <c r="L414" i="115"/>
  <c r="L501" i="115"/>
  <c r="L511" i="115"/>
  <c r="L519" i="115"/>
  <c r="L529" i="115"/>
  <c r="L557" i="115"/>
  <c r="L572" i="115"/>
  <c r="L647" i="115"/>
  <c r="L667" i="115"/>
  <c r="L686" i="115"/>
  <c r="L715" i="115"/>
  <c r="L743" i="115"/>
  <c r="L759" i="115"/>
  <c r="L791" i="115"/>
  <c r="L923" i="115"/>
  <c r="L419" i="115"/>
  <c r="L504" i="115"/>
  <c r="L514" i="115"/>
  <c r="L522" i="115"/>
  <c r="L535" i="115"/>
  <c r="L562" i="115"/>
  <c r="L578" i="115"/>
  <c r="L656" i="115"/>
  <c r="L676" i="115"/>
  <c r="L697" i="115"/>
  <c r="L734" i="115"/>
  <c r="L750" i="115"/>
  <c r="L773" i="115"/>
  <c r="L821" i="115"/>
  <c r="L822" i="115" s="1"/>
  <c r="L406" i="115"/>
  <c r="L427" i="115"/>
  <c r="L428" i="115" s="1"/>
  <c r="L430" i="115" s="1"/>
  <c r="L505" i="115"/>
  <c r="L515" i="115"/>
  <c r="L525" i="115"/>
  <c r="L536" i="115"/>
  <c r="L564" i="115"/>
  <c r="L579" i="115"/>
  <c r="L657" i="115"/>
  <c r="L677" i="115"/>
  <c r="L700" i="115"/>
  <c r="L735" i="115"/>
  <c r="L751" i="115"/>
  <c r="L776" i="115"/>
  <c r="L836" i="115"/>
  <c r="L530" i="115"/>
  <c r="L540" i="115"/>
  <c r="L560" i="115"/>
  <c r="L570" i="115"/>
  <c r="L580" i="115"/>
  <c r="L648" i="115"/>
  <c r="L658" i="115"/>
  <c r="L668" i="115"/>
  <c r="L678" i="115"/>
  <c r="L687" i="115"/>
  <c r="L701" i="115"/>
  <c r="L716" i="115"/>
  <c r="L736" i="115"/>
  <c r="L744" i="115"/>
  <c r="L752" i="115"/>
  <c r="L760" i="115"/>
  <c r="L777" i="115"/>
  <c r="L796" i="115"/>
  <c r="L843" i="115"/>
  <c r="L960" i="115"/>
  <c r="L531" i="115"/>
  <c r="L541" i="115"/>
  <c r="L561" i="115"/>
  <c r="L571" i="115"/>
  <c r="L641" i="115"/>
  <c r="L651" i="115"/>
  <c r="L661" i="115"/>
  <c r="L669" i="115"/>
  <c r="L679" i="115"/>
  <c r="L688" i="115"/>
  <c r="L709" i="115"/>
  <c r="L717" i="115"/>
  <c r="L737" i="115"/>
  <c r="L745" i="115"/>
  <c r="L753" i="115"/>
  <c r="L761" i="115"/>
  <c r="L778" i="115"/>
  <c r="L800" i="115"/>
  <c r="L850" i="115"/>
  <c r="L983" i="115"/>
  <c r="L533" i="115"/>
  <c r="L545" i="115"/>
  <c r="L563" i="115"/>
  <c r="L573" i="115"/>
  <c r="L643" i="115"/>
  <c r="L653" i="115"/>
  <c r="L663" i="115"/>
  <c r="L671" i="115"/>
  <c r="L681" i="115"/>
  <c r="L692" i="115"/>
  <c r="L711" i="115"/>
  <c r="L719" i="115"/>
  <c r="L739" i="115"/>
  <c r="L747" i="115"/>
  <c r="L755" i="115"/>
  <c r="L763" i="115"/>
  <c r="L780" i="115"/>
  <c r="L806" i="115"/>
  <c r="L873" i="115"/>
  <c r="L644" i="115"/>
  <c r="L654" i="115"/>
  <c r="L664" i="115"/>
  <c r="L672" i="115"/>
  <c r="L683" i="115"/>
  <c r="L695" i="115"/>
  <c r="L712" i="115"/>
  <c r="L720" i="115"/>
  <c r="L740" i="115"/>
  <c r="L748" i="115"/>
  <c r="L756" i="115"/>
  <c r="L765" i="115"/>
  <c r="L781" i="115"/>
  <c r="L813" i="115"/>
  <c r="L884" i="115"/>
  <c r="L774" i="115"/>
  <c r="L782" i="115"/>
  <c r="L792" i="115"/>
  <c r="L803" i="115"/>
  <c r="L815" i="115"/>
  <c r="L846" i="115"/>
  <c r="L874" i="115"/>
  <c r="L910" i="115"/>
  <c r="L984" i="115"/>
  <c r="L775" i="115"/>
  <c r="L783" i="115"/>
  <c r="L793" i="115"/>
  <c r="L805" i="115"/>
  <c r="L816" i="115"/>
  <c r="L847" i="115"/>
  <c r="L880" i="115"/>
  <c r="L916" i="115"/>
  <c r="L917" i="115" s="1"/>
  <c r="L987" i="115"/>
  <c r="L787" i="115"/>
  <c r="L797" i="115"/>
  <c r="L807" i="115"/>
  <c r="L832" i="115"/>
  <c r="L851" i="115"/>
  <c r="L889" i="115"/>
  <c r="L939" i="115"/>
  <c r="L788" i="115"/>
  <c r="L798" i="115"/>
  <c r="L808" i="115"/>
  <c r="L833" i="115"/>
  <c r="L857" i="115"/>
  <c r="L890" i="115"/>
  <c r="L948" i="115"/>
  <c r="L789" i="115"/>
  <c r="L799" i="115"/>
  <c r="L811" i="115"/>
  <c r="L835" i="115"/>
  <c r="L863" i="115"/>
  <c r="L892" i="115"/>
  <c r="L950" i="115"/>
  <c r="L809" i="115"/>
  <c r="L817" i="115"/>
  <c r="L837" i="115"/>
  <c r="L855" i="115"/>
  <c r="L877" i="115"/>
  <c r="L893" i="115"/>
  <c r="L920" i="115"/>
  <c r="L951" i="115"/>
  <c r="L993" i="115"/>
  <c r="L802" i="115"/>
  <c r="L810" i="115"/>
  <c r="L818" i="115"/>
  <c r="L842" i="115"/>
  <c r="L856" i="115"/>
  <c r="L878" i="115"/>
  <c r="L896" i="115"/>
  <c r="L922" i="115"/>
  <c r="L952" i="115"/>
  <c r="L998" i="115"/>
  <c r="L804" i="115"/>
  <c r="L812" i="115"/>
  <c r="L829" i="115"/>
  <c r="L845" i="115"/>
  <c r="L862" i="115"/>
  <c r="L883" i="115"/>
  <c r="L906" i="115"/>
  <c r="L934" i="115"/>
  <c r="L962" i="115"/>
  <c r="L908" i="115"/>
  <c r="L938" i="115"/>
  <c r="L979" i="115"/>
  <c r="L967" i="115"/>
  <c r="L968" i="115" s="1"/>
  <c r="L999" i="115"/>
  <c r="L940" i="115"/>
  <c r="L975" i="115"/>
  <c r="L1032" i="115"/>
  <c r="L830" i="115"/>
  <c r="L838" i="115"/>
  <c r="L848" i="115"/>
  <c r="L858" i="115"/>
  <c r="L875" i="115"/>
  <c r="L885" i="115"/>
  <c r="L897" i="115"/>
  <c r="L911" i="115"/>
  <c r="L924" i="115"/>
  <c r="L941" i="115"/>
  <c r="L955" i="115"/>
  <c r="L976" i="115"/>
  <c r="L988" i="115"/>
  <c r="L1033" i="115"/>
  <c r="L831" i="115"/>
  <c r="L841" i="115"/>
  <c r="L849" i="115"/>
  <c r="L859" i="115"/>
  <c r="L876" i="115"/>
  <c r="L888" i="115"/>
  <c r="L904" i="115"/>
  <c r="L912" i="115"/>
  <c r="L925" i="115"/>
  <c r="L942" i="115"/>
  <c r="L958" i="115"/>
  <c r="L977" i="115"/>
  <c r="L989" i="115"/>
  <c r="L1041" i="115"/>
  <c r="L913" i="115"/>
  <c r="L933" i="115"/>
  <c r="L947" i="115"/>
  <c r="L959" i="115"/>
  <c r="L978" i="115"/>
  <c r="L992" i="115"/>
  <c r="L1042" i="115"/>
  <c r="L834" i="115"/>
  <c r="L844" i="115"/>
  <c r="L854" i="115"/>
  <c r="L871" i="115"/>
  <c r="L879" i="115"/>
  <c r="L891" i="115"/>
  <c r="L907" i="115"/>
  <c r="L919" i="115"/>
  <c r="L937" i="115"/>
  <c r="L949" i="115"/>
  <c r="L961" i="115"/>
  <c r="L982" i="115"/>
  <c r="L1023" i="115"/>
  <c r="T764" i="115"/>
  <c r="J764" i="115"/>
  <c r="N115" i="114"/>
  <c r="S152" i="68"/>
  <c r="I152" i="68"/>
  <c r="M737" i="114"/>
  <c r="J375" i="114"/>
  <c r="S748" i="114"/>
  <c r="I748" i="114"/>
  <c r="O738" i="114"/>
  <c r="Q748" i="114"/>
  <c r="S764" i="115"/>
  <c r="I764" i="115"/>
  <c r="M115" i="114"/>
  <c r="V115" i="114" s="1"/>
  <c r="J1345" i="68"/>
  <c r="R152" i="68"/>
  <c r="L737" i="114"/>
  <c r="S375" i="114"/>
  <c r="I375" i="114"/>
  <c r="R748" i="114"/>
  <c r="N738" i="114"/>
  <c r="Q152" i="68"/>
  <c r="R764" i="115"/>
  <c r="L115" i="114"/>
  <c r="S1345" i="68"/>
  <c r="I1345" i="68"/>
  <c r="R375" i="114"/>
  <c r="Q764" i="115"/>
  <c r="J115" i="114"/>
  <c r="R1345" i="68"/>
  <c r="O152" i="68"/>
  <c r="S737" i="114"/>
  <c r="I737" i="114"/>
  <c r="Q375" i="114"/>
  <c r="O748" i="114"/>
  <c r="L738" i="114"/>
  <c r="O764" i="115"/>
  <c r="S115" i="114"/>
  <c r="I115" i="114"/>
  <c r="Q1345" i="68"/>
  <c r="N152" i="68"/>
  <c r="R737" i="114"/>
  <c r="O375" i="114"/>
  <c r="N748" i="114"/>
  <c r="J738" i="114"/>
  <c r="S738" i="114"/>
  <c r="I738" i="114"/>
  <c r="N764" i="115"/>
  <c r="R115" i="114"/>
  <c r="O1345" i="68"/>
  <c r="M152" i="68"/>
  <c r="V152" i="68" s="1"/>
  <c r="Q737" i="114"/>
  <c r="N375" i="114"/>
  <c r="M748" i="114"/>
  <c r="J737" i="114"/>
  <c r="M764" i="115"/>
  <c r="V764" i="115" s="1"/>
  <c r="Q115" i="114"/>
  <c r="N1345" i="68"/>
  <c r="O737" i="114"/>
  <c r="M375" i="114"/>
  <c r="V375" i="114" s="1"/>
  <c r="L748" i="114"/>
  <c r="R738" i="114"/>
  <c r="L764" i="115"/>
  <c r="O115" i="114"/>
  <c r="M1345" i="68"/>
  <c r="V1345" i="68" s="1"/>
  <c r="J152" i="68"/>
  <c r="N737" i="114"/>
  <c r="L375" i="114"/>
  <c r="J748" i="114"/>
  <c r="Q738" i="114"/>
  <c r="M738" i="114"/>
  <c r="L935" i="115"/>
  <c r="L945" i="115"/>
  <c r="L953" i="115"/>
  <c r="L963" i="115"/>
  <c r="L980" i="115"/>
  <c r="L990" i="115"/>
  <c r="L1028" i="115"/>
  <c r="L1029" i="115" s="1"/>
  <c r="L921" i="115"/>
  <c r="L936" i="115"/>
  <c r="L946" i="115"/>
  <c r="L954" i="115"/>
  <c r="L964" i="115"/>
  <c r="L981" i="115"/>
  <c r="L991" i="115"/>
  <c r="L1031" i="115"/>
  <c r="L994" i="115"/>
  <c r="L1040" i="115"/>
  <c r="Z384" i="114" l="1"/>
  <c r="AB384" i="114" s="1"/>
  <c r="AC384" i="114" s="1"/>
  <c r="AE384" i="114" s="1"/>
  <c r="AF384" i="114" s="1"/>
  <c r="AH384" i="114" s="1"/>
  <c r="AI384" i="114" s="1"/>
  <c r="AK384" i="114" s="1"/>
  <c r="AL384" i="114" s="1"/>
  <c r="AN384" i="114" s="1"/>
  <c r="AB1564" i="68"/>
  <c r="AC1564" i="68" s="1"/>
  <c r="AE1564" i="68" s="1"/>
  <c r="P281" i="114"/>
  <c r="U367" i="114"/>
  <c r="P367" i="114"/>
  <c r="U281" i="114"/>
  <c r="P73" i="68"/>
  <c r="U73" i="68"/>
  <c r="U1025" i="68"/>
  <c r="V1025" i="68"/>
  <c r="P1025" i="68"/>
  <c r="U766" i="115"/>
  <c r="U745" i="114"/>
  <c r="U750" i="114"/>
  <c r="P766" i="115"/>
  <c r="P750" i="114"/>
  <c r="P745" i="114"/>
  <c r="L221" i="68"/>
  <c r="I96" i="68"/>
  <c r="M1565" i="68"/>
  <c r="V1565" i="68" s="1"/>
  <c r="V1564" i="68"/>
  <c r="O1565" i="68"/>
  <c r="P1564" i="68"/>
  <c r="P1565" i="68" s="1"/>
  <c r="T1565" i="68"/>
  <c r="U1564" i="68"/>
  <c r="J916" i="68"/>
  <c r="L639" i="68"/>
  <c r="L641" i="68" s="1"/>
  <c r="L1644" i="68"/>
  <c r="L1208" i="68"/>
  <c r="L1900" i="68"/>
  <c r="L1379" i="68"/>
  <c r="K886" i="115"/>
  <c r="K542" i="115"/>
  <c r="K546" i="115" s="1"/>
  <c r="L1439" i="68"/>
  <c r="K693" i="115"/>
  <c r="L323" i="68"/>
  <c r="L875" i="68"/>
  <c r="L1155" i="68"/>
  <c r="K64" i="114"/>
  <c r="K200" i="114"/>
  <c r="L154" i="68"/>
  <c r="K234" i="115"/>
  <c r="L348" i="68"/>
  <c r="K568" i="115"/>
  <c r="L358" i="68"/>
  <c r="K289" i="115"/>
  <c r="K22" i="114"/>
  <c r="L1912" i="68"/>
  <c r="K357" i="114"/>
  <c r="X292" i="115"/>
  <c r="L498" i="68"/>
  <c r="L525" i="68"/>
  <c r="K553" i="114"/>
  <c r="K555" i="114" s="1"/>
  <c r="K96" i="68"/>
  <c r="K8" i="68" s="1"/>
  <c r="K415" i="115"/>
  <c r="K420" i="115" s="1"/>
  <c r="K448" i="114"/>
  <c r="K488" i="114"/>
  <c r="K495" i="114" s="1"/>
  <c r="K377" i="115"/>
  <c r="K577" i="114"/>
  <c r="K144" i="115"/>
  <c r="L1904" i="68"/>
  <c r="L1907" i="68" s="1"/>
  <c r="K1000" i="115"/>
  <c r="K631" i="114"/>
  <c r="L96" i="68"/>
  <c r="L8" i="68" s="1"/>
  <c r="K995" i="115"/>
  <c r="K38" i="115"/>
  <c r="K235" i="114"/>
  <c r="K78" i="115"/>
  <c r="K337" i="114"/>
  <c r="K860" i="115"/>
  <c r="K864" i="115" s="1"/>
  <c r="K698" i="115"/>
  <c r="L1140" i="68"/>
  <c r="L1172" i="68"/>
  <c r="K41" i="114"/>
  <c r="K649" i="115"/>
  <c r="L328" i="68"/>
  <c r="L1749" i="68"/>
  <c r="K669" i="114"/>
  <c r="L1347" i="68"/>
  <c r="L116" i="68"/>
  <c r="L1668" i="68"/>
  <c r="K364" i="114"/>
  <c r="L1797" i="68"/>
  <c r="K443" i="114"/>
  <c r="L217" i="68"/>
  <c r="L372" i="68"/>
  <c r="K102" i="115"/>
  <c r="L975" i="68"/>
  <c r="L1659" i="68"/>
  <c r="L432" i="68"/>
  <c r="L438" i="68" s="1"/>
  <c r="L485" i="68"/>
  <c r="L1640" i="68"/>
  <c r="L173" i="68"/>
  <c r="K32" i="114"/>
  <c r="L149" i="68"/>
  <c r="K943" i="115"/>
  <c r="K926" i="115"/>
  <c r="L1004" i="68"/>
  <c r="K465" i="114"/>
  <c r="K222" i="115"/>
  <c r="L702" i="68"/>
  <c r="K894" i="115"/>
  <c r="K121" i="114"/>
  <c r="K985" i="115"/>
  <c r="K53" i="114"/>
  <c r="K1029" i="115"/>
  <c r="K1036" i="115" s="1"/>
  <c r="K627" i="114"/>
  <c r="L934" i="68"/>
  <c r="L845" i="68"/>
  <c r="L168" i="68"/>
  <c r="L1370" i="68"/>
  <c r="K170" i="114"/>
  <c r="L731" i="68"/>
  <c r="L1544" i="68"/>
  <c r="L111" i="68"/>
  <c r="K914" i="115"/>
  <c r="L1224" i="68"/>
  <c r="K608" i="114"/>
  <c r="L299" i="68"/>
  <c r="K572" i="114"/>
  <c r="K54" i="115"/>
  <c r="L1129" i="68"/>
  <c r="L715" i="68"/>
  <c r="L344" i="68"/>
  <c r="K209" i="114"/>
  <c r="L472" i="68"/>
  <c r="L1582" i="68"/>
  <c r="L144" i="68"/>
  <c r="K377" i="114"/>
  <c r="L1048" i="68"/>
  <c r="K128" i="115"/>
  <c r="K59" i="114"/>
  <c r="K784" i="115"/>
  <c r="L447" i="68"/>
  <c r="L1728" i="68"/>
  <c r="K1034" i="115"/>
  <c r="K137" i="115"/>
  <c r="K507" i="115"/>
  <c r="K523" i="115"/>
  <c r="K721" i="115"/>
  <c r="L1257" i="68"/>
  <c r="K93" i="115"/>
  <c r="K382" i="114"/>
  <c r="K385" i="114" s="1"/>
  <c r="K205" i="115"/>
  <c r="L916" i="68"/>
  <c r="L598" i="68"/>
  <c r="L226" i="68"/>
  <c r="K581" i="115"/>
  <c r="K638" i="114"/>
  <c r="K641" i="114" s="1"/>
  <c r="K48" i="114"/>
  <c r="K479" i="114"/>
  <c r="K329" i="114"/>
  <c r="L531" i="68"/>
  <c r="L1562" i="68"/>
  <c r="L945" i="68"/>
  <c r="L1387" i="68"/>
  <c r="K407" i="115"/>
  <c r="K113" i="115"/>
  <c r="K622" i="115"/>
  <c r="K635" i="115"/>
  <c r="K1043" i="115"/>
  <c r="K1045" i="115" s="1"/>
  <c r="L764" i="68"/>
  <c r="L1612" i="68"/>
  <c r="K614" i="115"/>
  <c r="K603" i="115"/>
  <c r="L509" i="68"/>
  <c r="K284" i="114"/>
  <c r="K537" i="115"/>
  <c r="K272" i="115"/>
  <c r="L1629" i="68"/>
  <c r="K252" i="115"/>
  <c r="L771" i="68"/>
  <c r="K689" i="115"/>
  <c r="K95" i="114"/>
  <c r="K283" i="115"/>
  <c r="K601" i="114"/>
  <c r="L365" i="68"/>
  <c r="L1897" i="68"/>
  <c r="K659" i="115"/>
  <c r="L738" i="68"/>
  <c r="K406" i="114"/>
  <c r="L1700" i="68"/>
  <c r="L206" i="68"/>
  <c r="L1588" i="68"/>
  <c r="L747" i="68"/>
  <c r="K881" i="115"/>
  <c r="K965" i="115"/>
  <c r="L1191" i="68"/>
  <c r="L959" i="68"/>
  <c r="L1763" i="68"/>
  <c r="K173" i="114"/>
  <c r="L1530" i="68"/>
  <c r="L1423" i="68"/>
  <c r="L1341" i="68"/>
  <c r="L1596" i="68"/>
  <c r="K819" i="115"/>
  <c r="L1394" i="68"/>
  <c r="K298" i="114"/>
  <c r="L707" i="68"/>
  <c r="K852" i="115"/>
  <c r="L628" i="68"/>
  <c r="L1712" i="68"/>
  <c r="L778" i="68"/>
  <c r="L904" i="68"/>
  <c r="L1353" i="68"/>
  <c r="K752" i="114"/>
  <c r="K689" i="114"/>
  <c r="K267" i="114"/>
  <c r="K839" i="115"/>
  <c r="L1774" i="68"/>
  <c r="K575" i="115"/>
  <c r="K394" i="115"/>
  <c r="K598" i="114"/>
  <c r="L1925" i="68"/>
  <c r="L624" i="68"/>
  <c r="L1806" i="68"/>
  <c r="L521" i="68"/>
  <c r="L1204" i="68"/>
  <c r="K64" i="115"/>
  <c r="L128" i="68"/>
  <c r="K898" i="115"/>
  <c r="K555" i="115"/>
  <c r="K472" i="114"/>
  <c r="K741" i="114"/>
  <c r="K794" i="115"/>
  <c r="L310" i="68"/>
  <c r="L1021" i="68"/>
  <c r="L858" i="68"/>
  <c r="K729" i="114"/>
  <c r="L1250" i="68"/>
  <c r="K420" i="114"/>
  <c r="L1234" i="68"/>
  <c r="L610" i="68"/>
  <c r="K294" i="115"/>
  <c r="K351" i="114"/>
  <c r="L182" i="68"/>
  <c r="L592" i="68"/>
  <c r="K768" i="115"/>
  <c r="K1149" i="115" s="1"/>
  <c r="K309" i="114"/>
  <c r="L286" i="68"/>
  <c r="L1810" i="68"/>
  <c r="K702" i="115"/>
  <c r="K659" i="114"/>
  <c r="L194" i="68"/>
  <c r="L1434" i="68"/>
  <c r="L1033" i="68"/>
  <c r="L467" i="68"/>
  <c r="K956" i="115"/>
  <c r="K595" i="115"/>
  <c r="K593" i="115"/>
  <c r="L1678" i="68"/>
  <c r="L1408" i="68"/>
  <c r="K673" i="115"/>
  <c r="L989" i="68"/>
  <c r="L1791" i="68"/>
  <c r="K430" i="114"/>
  <c r="K227" i="114"/>
  <c r="L890" i="68"/>
  <c r="K344" i="114"/>
  <c r="V384" i="114"/>
  <c r="V1335" i="68"/>
  <c r="L64" i="114"/>
  <c r="P292" i="115"/>
  <c r="U292" i="115"/>
  <c r="U139" i="68"/>
  <c r="L32" i="114"/>
  <c r="L41" i="114"/>
  <c r="L53" i="114"/>
  <c r="L59" i="114"/>
  <c r="V139" i="68"/>
  <c r="P139" i="68"/>
  <c r="U384" i="114"/>
  <c r="P384" i="114"/>
  <c r="L95" i="114"/>
  <c r="L631" i="114"/>
  <c r="L553" i="114"/>
  <c r="L555" i="114" s="1"/>
  <c r="U682" i="115"/>
  <c r="L472" i="114"/>
  <c r="L638" i="114"/>
  <c r="L641" i="114" s="1"/>
  <c r="L144" i="115"/>
  <c r="L267" i="114"/>
  <c r="L22" i="114"/>
  <c r="L284" i="114"/>
  <c r="L577" i="114"/>
  <c r="U1429" i="68"/>
  <c r="P1335" i="68"/>
  <c r="P1429" i="68"/>
  <c r="U1335" i="68"/>
  <c r="P682" i="115"/>
  <c r="L64" i="115"/>
  <c r="L137" i="115"/>
  <c r="L351" i="114"/>
  <c r="L113" i="115"/>
  <c r="L235" i="114"/>
  <c r="L54" i="115"/>
  <c r="L209" i="114"/>
  <c r="L227" i="114"/>
  <c r="L48" i="114"/>
  <c r="L170" i="114"/>
  <c r="L200" i="114"/>
  <c r="L205" i="115"/>
  <c r="L121" i="114"/>
  <c r="L382" i="114"/>
  <c r="L385" i="114" s="1"/>
  <c r="L93" i="115"/>
  <c r="L102" i="115"/>
  <c r="L289" i="115"/>
  <c r="L669" i="114"/>
  <c r="L752" i="114"/>
  <c r="L309" i="114"/>
  <c r="L465" i="114"/>
  <c r="L128" i="115"/>
  <c r="L595" i="115"/>
  <c r="L603" i="115"/>
  <c r="L78" i="115"/>
  <c r="L38" i="115"/>
  <c r="L377" i="114"/>
  <c r="L659" i="114"/>
  <c r="L298" i="114"/>
  <c r="L689" i="114"/>
  <c r="L608" i="114"/>
  <c r="L613" i="114" s="1"/>
  <c r="L337" i="114"/>
  <c r="L344" i="114"/>
  <c r="L407" i="115"/>
  <c r="L252" i="115"/>
  <c r="L430" i="114"/>
  <c r="L329" i="114"/>
  <c r="L420" i="114"/>
  <c r="L572" i="114"/>
  <c r="L364" i="114"/>
  <c r="L627" i="114"/>
  <c r="L234" i="115"/>
  <c r="L222" i="115"/>
  <c r="L283" i="115"/>
  <c r="L622" i="115"/>
  <c r="L689" i="115"/>
  <c r="L537" i="115"/>
  <c r="L415" i="115"/>
  <c r="L420" i="115" s="1"/>
  <c r="L693" i="115"/>
  <c r="L294" i="115"/>
  <c r="L568" i="115"/>
  <c r="L784" i="115"/>
  <c r="L523" i="115"/>
  <c r="L507" i="115"/>
  <c r="L272" i="115"/>
  <c r="L394" i="115"/>
  <c r="L377" i="115"/>
  <c r="L357" i="114"/>
  <c r="L443" i="114"/>
  <c r="L598" i="114"/>
  <c r="L729" i="114"/>
  <c r="L479" i="114"/>
  <c r="L406" i="114"/>
  <c r="L488" i="114"/>
  <c r="L495" i="114" s="1"/>
  <c r="L698" i="115"/>
  <c r="L448" i="114"/>
  <c r="L741" i="114"/>
  <c r="L673" i="115"/>
  <c r="L794" i="115"/>
  <c r="L1034" i="115"/>
  <c r="L1000" i="115"/>
  <c r="L702" i="115"/>
  <c r="L898" i="115"/>
  <c r="L819" i="115"/>
  <c r="L721" i="115"/>
  <c r="L659" i="115"/>
  <c r="L581" i="115"/>
  <c r="L768" i="115"/>
  <c r="L1149" i="115" s="1"/>
  <c r="L575" i="115"/>
  <c r="L542" i="115"/>
  <c r="L546" i="115" s="1"/>
  <c r="L649" i="115"/>
  <c r="L1043" i="115"/>
  <c r="L1045" i="115" s="1"/>
  <c r="L886" i="115"/>
  <c r="L839" i="115"/>
  <c r="L881" i="115"/>
  <c r="P737" i="114"/>
  <c r="L914" i="115"/>
  <c r="P115" i="114"/>
  <c r="L860" i="115"/>
  <c r="L864" i="115" s="1"/>
  <c r="L926" i="115"/>
  <c r="L852" i="115"/>
  <c r="L965" i="115"/>
  <c r="L894" i="115"/>
  <c r="L995" i="115"/>
  <c r="L985" i="115"/>
  <c r="P764" i="115"/>
  <c r="L956" i="115"/>
  <c r="P375" i="114"/>
  <c r="P748" i="114"/>
  <c r="L943" i="115"/>
  <c r="P1345" i="68"/>
  <c r="P738" i="114"/>
  <c r="L1036" i="115"/>
  <c r="U764" i="115"/>
  <c r="P152" i="68"/>
  <c r="I7" i="68" l="1"/>
  <c r="U1565" i="68"/>
  <c r="I8" i="68"/>
  <c r="L1263" i="68"/>
  <c r="L1239" i="68"/>
  <c r="L133" i="68"/>
  <c r="K643" i="114"/>
  <c r="K645" i="114" s="1"/>
  <c r="K824" i="115"/>
  <c r="K7" i="68"/>
  <c r="K123" i="114"/>
  <c r="L7" i="68"/>
  <c r="L487" i="68"/>
  <c r="K579" i="114"/>
  <c r="K1002" i="115"/>
  <c r="L330" i="68"/>
  <c r="K146" i="115"/>
  <c r="L1930" i="68"/>
  <c r="K928" i="115"/>
  <c r="L1598" i="68"/>
  <c r="L360" i="68"/>
  <c r="L1006" i="68"/>
  <c r="K450" i="114"/>
  <c r="K731" i="114"/>
  <c r="K754" i="114"/>
  <c r="L752" i="68"/>
  <c r="L1686" i="68"/>
  <c r="L1213" i="68"/>
  <c r="K613" i="114"/>
  <c r="K615" i="114" s="1"/>
  <c r="L783" i="68"/>
  <c r="L156" i="68"/>
  <c r="K115" i="115"/>
  <c r="L315" i="68"/>
  <c r="L961" i="68"/>
  <c r="K671" i="114"/>
  <c r="L717" i="68"/>
  <c r="K548" i="115"/>
  <c r="L1444" i="68"/>
  <c r="L1396" i="68"/>
  <c r="L374" i="68"/>
  <c r="L1779" i="68"/>
  <c r="L1050" i="68"/>
  <c r="K286" i="114"/>
  <c r="K66" i="114"/>
  <c r="K68" i="114" s="1"/>
  <c r="K387" i="114"/>
  <c r="K389" i="114" s="1"/>
  <c r="K583" i="115"/>
  <c r="L208" i="68"/>
  <c r="L1646" i="68"/>
  <c r="K239" i="115"/>
  <c r="L633" i="68"/>
  <c r="K249" i="114"/>
  <c r="L452" i="68"/>
  <c r="L1160" i="68"/>
  <c r="L533" i="68"/>
  <c r="L511" i="68"/>
  <c r="L615" i="68"/>
  <c r="K311" i="114"/>
  <c r="L1736" i="68"/>
  <c r="K866" i="115"/>
  <c r="L228" i="68"/>
  <c r="L1570" i="68"/>
  <c r="K481" i="114"/>
  <c r="K970" i="115"/>
  <c r="L1815" i="68"/>
  <c r="K704" i="115"/>
  <c r="K723" i="115" s="1"/>
  <c r="K725" i="115" s="1"/>
  <c r="K80" i="115"/>
  <c r="K251" i="114"/>
  <c r="L921" i="68"/>
  <c r="K296" i="115"/>
  <c r="K900" i="115"/>
  <c r="K422" i="115"/>
  <c r="L877" i="68"/>
  <c r="L184" i="68"/>
  <c r="L1355" i="68"/>
  <c r="L66" i="114"/>
  <c r="L68" i="114" s="1"/>
  <c r="L387" i="114"/>
  <c r="L389" i="114" s="1"/>
  <c r="L123" i="114"/>
  <c r="L643" i="114"/>
  <c r="L645" i="114" s="1"/>
  <c r="L286" i="114"/>
  <c r="L579" i="114"/>
  <c r="L146" i="115"/>
  <c r="L80" i="115"/>
  <c r="L249" i="114"/>
  <c r="L251" i="114"/>
  <c r="L115" i="115"/>
  <c r="L671" i="114"/>
  <c r="L754" i="114"/>
  <c r="L311" i="114"/>
  <c r="L481" i="114"/>
  <c r="L615" i="114"/>
  <c r="L239" i="115"/>
  <c r="L731" i="114"/>
  <c r="L296" i="115"/>
  <c r="L824" i="115"/>
  <c r="L450" i="114"/>
  <c r="L422" i="115"/>
  <c r="L704" i="115"/>
  <c r="L723" i="115" s="1"/>
  <c r="L725" i="115" s="1"/>
  <c r="L583" i="115"/>
  <c r="L548" i="115"/>
  <c r="L900" i="115"/>
  <c r="L928" i="115"/>
  <c r="L866" i="115"/>
  <c r="L970" i="115"/>
  <c r="L1002" i="115"/>
  <c r="K1928" i="68"/>
  <c r="K1915" i="68"/>
  <c r="K1912" i="68"/>
  <c r="K1900" i="68"/>
  <c r="K1813" i="68"/>
  <c r="K1797" i="68"/>
  <c r="K1777" i="68"/>
  <c r="K1734" i="68"/>
  <c r="K1731" i="68"/>
  <c r="K1684" i="68"/>
  <c r="K1681" i="68"/>
  <c r="K1644" i="68"/>
  <c r="K1588" i="68"/>
  <c r="K1568" i="68"/>
  <c r="K1450" i="68"/>
  <c r="K1452" i="68" s="1"/>
  <c r="K1442" i="68"/>
  <c r="K1394" i="68"/>
  <c r="K1390" i="68"/>
  <c r="K1260" i="68"/>
  <c r="K1250" i="68"/>
  <c r="K1237" i="68"/>
  <c r="K1211" i="68"/>
  <c r="K1208" i="68"/>
  <c r="K919" i="68"/>
  <c r="K781" i="68"/>
  <c r="K750" i="68"/>
  <c r="K631" i="68"/>
  <c r="K613" i="68"/>
  <c r="K525" i="68"/>
  <c r="K498" i="68"/>
  <c r="K493" i="68"/>
  <c r="K472" i="68"/>
  <c r="K450" i="68"/>
  <c r="K372" i="68"/>
  <c r="K365" i="68"/>
  <c r="K348" i="68"/>
  <c r="K328" i="68"/>
  <c r="K313" i="68"/>
  <c r="K206" i="68"/>
  <c r="K197" i="68"/>
  <c r="K154" i="68"/>
  <c r="K131" i="68"/>
  <c r="K5" i="68"/>
  <c r="C105" i="6" s="1"/>
  <c r="H105" i="6" s="1"/>
  <c r="K1047" i="115" l="1"/>
  <c r="K6" i="114"/>
  <c r="K5" i="115"/>
  <c r="K1147" i="115" s="1"/>
  <c r="L1047" i="115"/>
  <c r="K116" i="68"/>
  <c r="K173" i="68"/>
  <c r="K226" i="68"/>
  <c r="K1387" i="68"/>
  <c r="K1562" i="68"/>
  <c r="K1712" i="68"/>
  <c r="K299" i="68"/>
  <c r="K598" i="68"/>
  <c r="K144" i="68"/>
  <c r="K531" i="68"/>
  <c r="K778" i="68"/>
  <c r="K975" i="68"/>
  <c r="K989" i="68"/>
  <c r="K1224" i="68"/>
  <c r="K1810" i="68"/>
  <c r="K707" i="68"/>
  <c r="K747" i="68"/>
  <c r="K916" i="68"/>
  <c r="K1048" i="68"/>
  <c r="K1155" i="68"/>
  <c r="K1629" i="68"/>
  <c r="K1700" i="68"/>
  <c r="K1774" i="68"/>
  <c r="K1904" i="68"/>
  <c r="K1907" i="68" s="1"/>
  <c r="K1234" i="68"/>
  <c r="K1341" i="68"/>
  <c r="K1530" i="68"/>
  <c r="K221" i="68"/>
  <c r="K628" i="68"/>
  <c r="K858" i="68"/>
  <c r="K890" i="68"/>
  <c r="K904" i="68"/>
  <c r="K1021" i="68"/>
  <c r="K1172" i="68"/>
  <c r="K1257" i="68"/>
  <c r="K1263" i="68" s="1"/>
  <c r="K1347" i="68"/>
  <c r="K1423" i="68"/>
  <c r="K1434" i="68"/>
  <c r="K111" i="68"/>
  <c r="K168" i="68"/>
  <c r="K310" i="68"/>
  <c r="K358" i="68"/>
  <c r="K945" i="68"/>
  <c r="K959" i="68"/>
  <c r="K1140" i="68"/>
  <c r="K1191" i="68"/>
  <c r="K1204" i="68"/>
  <c r="K1439" i="68"/>
  <c r="K1544" i="68"/>
  <c r="K1640" i="68"/>
  <c r="K1728" i="68"/>
  <c r="K1791" i="68"/>
  <c r="K128" i="68"/>
  <c r="K149" i="68"/>
  <c r="K639" i="68"/>
  <c r="K641" i="68" s="1"/>
  <c r="K875" i="68"/>
  <c r="K1370" i="68"/>
  <c r="K1596" i="68"/>
  <c r="K1612" i="68"/>
  <c r="K1763" i="68"/>
  <c r="K509" i="68"/>
  <c r="K511" i="68" s="1"/>
  <c r="K738" i="68"/>
  <c r="K1004" i="68"/>
  <c r="K1033" i="68"/>
  <c r="K1353" i="68"/>
  <c r="K1408" i="68"/>
  <c r="K485" i="68"/>
  <c r="K521" i="68"/>
  <c r="K1678" i="68"/>
  <c r="K1806" i="68"/>
  <c r="K323" i="68"/>
  <c r="K330" i="68" s="1"/>
  <c r="K182" i="68"/>
  <c r="K344" i="68"/>
  <c r="K845" i="68"/>
  <c r="K1379" i="68"/>
  <c r="K1582" i="68"/>
  <c r="K1659" i="68"/>
  <c r="K1668" i="68"/>
  <c r="K1925" i="68"/>
  <c r="K194" i="68"/>
  <c r="K208" i="68" s="1"/>
  <c r="K432" i="68"/>
  <c r="K467" i="68"/>
  <c r="K217" i="68"/>
  <c r="K374" i="68"/>
  <c r="K610" i="68"/>
  <c r="K592" i="68"/>
  <c r="K447" i="68"/>
  <c r="K715" i="68"/>
  <c r="K731" i="68"/>
  <c r="K764" i="68"/>
  <c r="K771" i="68"/>
  <c r="K286" i="68"/>
  <c r="K624" i="68"/>
  <c r="K702" i="68"/>
  <c r="K1129" i="68"/>
  <c r="K1749" i="68"/>
  <c r="K1897" i="68"/>
  <c r="K934" i="68"/>
  <c r="F295" i="114"/>
  <c r="H295" i="114" s="1"/>
  <c r="E295" i="114"/>
  <c r="D295" i="114"/>
  <c r="C295" i="114"/>
  <c r="B295" i="114"/>
  <c r="F100" i="114"/>
  <c r="H100" i="114" s="1"/>
  <c r="E100" i="114"/>
  <c r="D100" i="114"/>
  <c r="C100" i="114"/>
  <c r="B100" i="114"/>
  <c r="F119" i="114"/>
  <c r="H119" i="114" s="1"/>
  <c r="E119" i="114"/>
  <c r="D119" i="114"/>
  <c r="C119" i="114"/>
  <c r="B119" i="114"/>
  <c r="F89" i="114"/>
  <c r="E89" i="114"/>
  <c r="D89" i="114"/>
  <c r="C89" i="114"/>
  <c r="B89" i="114"/>
  <c r="F90" i="114"/>
  <c r="E90" i="114"/>
  <c r="D90" i="114"/>
  <c r="C90" i="114"/>
  <c r="B90" i="114"/>
  <c r="F91" i="114"/>
  <c r="H91" i="114" s="1"/>
  <c r="E91" i="114"/>
  <c r="D91" i="114"/>
  <c r="C91" i="114"/>
  <c r="B91" i="114"/>
  <c r="F347" i="114"/>
  <c r="H347" i="114" s="1"/>
  <c r="E347" i="114"/>
  <c r="D347" i="114"/>
  <c r="C347" i="114"/>
  <c r="B347" i="114"/>
  <c r="F319" i="114"/>
  <c r="H319" i="114" s="1"/>
  <c r="E319" i="114"/>
  <c r="D319" i="114"/>
  <c r="C319" i="114"/>
  <c r="B319" i="114"/>
  <c r="G90" i="114" l="1"/>
  <c r="K633" i="68"/>
  <c r="K487" i="68"/>
  <c r="K1355" i="68"/>
  <c r="L1147" i="115"/>
  <c r="K1160" i="68"/>
  <c r="K1598" i="68"/>
  <c r="K961" i="68"/>
  <c r="K1570" i="68"/>
  <c r="K184" i="68"/>
  <c r="K1050" i="68"/>
  <c r="K717" i="68"/>
  <c r="K133" i="68"/>
  <c r="K1213" i="68"/>
  <c r="K315" i="68"/>
  <c r="K156" i="68"/>
  <c r="K1239" i="68"/>
  <c r="K877" i="68"/>
  <c r="K1736" i="68"/>
  <c r="K1444" i="68"/>
  <c r="K1815" i="68"/>
  <c r="K1006" i="68"/>
  <c r="K360" i="68"/>
  <c r="K921" i="68"/>
  <c r="K783" i="68"/>
  <c r="K1396" i="68"/>
  <c r="K533" i="68"/>
  <c r="K228" i="68"/>
  <c r="K1646" i="68"/>
  <c r="K1930" i="68"/>
  <c r="K1686" i="68"/>
  <c r="K752" i="68"/>
  <c r="K1779" i="68"/>
  <c r="K615" i="68"/>
  <c r="K438" i="68"/>
  <c r="K452" i="68" s="1"/>
  <c r="G89" i="114"/>
  <c r="G295" i="114"/>
  <c r="H89" i="114"/>
  <c r="H90" i="114"/>
  <c r="G91" i="114"/>
  <c r="G319" i="114"/>
  <c r="F695" i="114"/>
  <c r="H695" i="114" s="1"/>
  <c r="E695" i="114"/>
  <c r="D695" i="114"/>
  <c r="C695" i="114"/>
  <c r="B695" i="114"/>
  <c r="F694" i="114"/>
  <c r="H694" i="114" s="1"/>
  <c r="E694" i="114"/>
  <c r="D694" i="114"/>
  <c r="C694" i="114"/>
  <c r="B694" i="114"/>
  <c r="F698" i="114"/>
  <c r="H698" i="114" s="1"/>
  <c r="E698" i="114"/>
  <c r="D698" i="114"/>
  <c r="C698" i="114"/>
  <c r="B698" i="114"/>
  <c r="F699" i="114"/>
  <c r="H699" i="114" s="1"/>
  <c r="E699" i="114"/>
  <c r="D699" i="114"/>
  <c r="C699" i="114"/>
  <c r="B699" i="114"/>
  <c r="F700" i="114"/>
  <c r="H700" i="114" s="1"/>
  <c r="E700" i="114"/>
  <c r="D700" i="114"/>
  <c r="C700" i="114"/>
  <c r="B700" i="114"/>
  <c r="F705" i="114"/>
  <c r="H705" i="114" s="1"/>
  <c r="E705" i="114"/>
  <c r="D705" i="114"/>
  <c r="C705" i="114"/>
  <c r="B705" i="114"/>
  <c r="T43" i="9" l="1"/>
  <c r="T42" i="9"/>
  <c r="T41" i="9"/>
  <c r="T40" i="9"/>
  <c r="T39" i="9"/>
  <c r="T38" i="9"/>
  <c r="T37" i="9"/>
  <c r="T36" i="9"/>
  <c r="T35" i="9"/>
  <c r="T33" i="9"/>
  <c r="T32" i="9"/>
  <c r="T31" i="9"/>
  <c r="T30" i="9"/>
  <c r="T29" i="9"/>
  <c r="T27" i="9"/>
  <c r="T26" i="9"/>
  <c r="T25" i="9"/>
  <c r="T24" i="9"/>
  <c r="T23" i="9"/>
  <c r="T21" i="9"/>
  <c r="T34" i="9"/>
  <c r="D716" i="114" l="1"/>
  <c r="F716" i="114"/>
  <c r="H716" i="114" s="1"/>
  <c r="E716" i="114"/>
  <c r="C716" i="114"/>
  <c r="B716" i="114"/>
  <c r="U1512" i="39"/>
  <c r="T1512" i="39"/>
  <c r="S1512" i="39"/>
  <c r="R1512" i="39"/>
  <c r="Q1512" i="39"/>
  <c r="F373" i="114" l="1"/>
  <c r="H373" i="114" s="1"/>
  <c r="E373" i="114"/>
  <c r="D373" i="114"/>
  <c r="C373" i="114"/>
  <c r="B373" i="114"/>
  <c r="F20" i="6" l="1"/>
  <c r="H1462" i="68" l="1"/>
  <c r="E1462" i="68"/>
  <c r="D1462" i="68"/>
  <c r="H792" i="68"/>
  <c r="H649" i="68"/>
  <c r="G649" i="68"/>
  <c r="B649" i="68"/>
  <c r="U304" i="39" l="1"/>
  <c r="T304" i="39"/>
  <c r="S304" i="39"/>
  <c r="R304" i="39"/>
  <c r="Q304" i="39"/>
  <c r="V304" i="39" s="1"/>
  <c r="U305" i="39"/>
  <c r="T305" i="39"/>
  <c r="S305" i="39"/>
  <c r="R305" i="39"/>
  <c r="Q305" i="39"/>
  <c r="V305" i="39" s="1"/>
  <c r="F704" i="114" l="1"/>
  <c r="H704" i="114" s="1"/>
  <c r="E704" i="114"/>
  <c r="D704" i="114"/>
  <c r="C704" i="114"/>
  <c r="B704" i="114"/>
  <c r="H439" i="115" l="1"/>
  <c r="F569" i="114" l="1"/>
  <c r="H569" i="114" s="1"/>
  <c r="E569" i="114"/>
  <c r="D569" i="114"/>
  <c r="C569" i="114"/>
  <c r="B569" i="114"/>
  <c r="G569" i="114" l="1"/>
  <c r="F585" i="68" l="1"/>
  <c r="H585" i="68" s="1"/>
  <c r="E585" i="68"/>
  <c r="D585" i="68"/>
  <c r="C585" i="68"/>
  <c r="B585" i="68"/>
  <c r="F667" i="114" l="1"/>
  <c r="H667" i="114" s="1"/>
  <c r="E667" i="114"/>
  <c r="D667" i="114"/>
  <c r="C667" i="114"/>
  <c r="B667" i="114"/>
  <c r="U1485" i="39"/>
  <c r="T1485" i="39"/>
  <c r="S1485" i="39"/>
  <c r="R1485" i="39"/>
  <c r="Q1485" i="39"/>
  <c r="U1491" i="39" l="1"/>
  <c r="T1491" i="39"/>
  <c r="S1491" i="39"/>
  <c r="R1491" i="39"/>
  <c r="Q1491" i="39"/>
  <c r="F271" i="114" l="1"/>
  <c r="H271" i="114" s="1"/>
  <c r="E271" i="114"/>
  <c r="D271" i="114"/>
  <c r="C271" i="114"/>
  <c r="B271" i="114"/>
  <c r="F147" i="68" l="1"/>
  <c r="H147" i="68" s="1"/>
  <c r="E147" i="68"/>
  <c r="D147" i="68"/>
  <c r="C147" i="68"/>
  <c r="B147" i="68"/>
  <c r="C17" i="6" l="1"/>
  <c r="AR17" i="6"/>
  <c r="AQ17" i="6"/>
  <c r="V17" i="6"/>
  <c r="W17" i="6" s="1"/>
  <c r="P17" i="6"/>
  <c r="N62" i="6" s="1"/>
  <c r="AS17" i="6"/>
  <c r="AT17" i="6" s="1"/>
  <c r="AG17" i="6" l="1"/>
  <c r="AO17" i="6" s="1"/>
  <c r="O17" i="6"/>
  <c r="AW17" i="6" l="1"/>
  <c r="AX17" i="6" s="1"/>
  <c r="AU17" i="6"/>
  <c r="AV17" i="6" s="1"/>
  <c r="AP17" i="6"/>
  <c r="AJ17" i="6"/>
  <c r="AL17" i="6"/>
  <c r="N17" i="6"/>
  <c r="S17" i="6" l="1"/>
  <c r="T17" i="6"/>
  <c r="Q17" i="6"/>
  <c r="AM17" i="6" l="1"/>
  <c r="AK17" i="6"/>
  <c r="B1195" i="68" l="1"/>
  <c r="C1195" i="68"/>
  <c r="D1195" i="68"/>
  <c r="E1195" i="68"/>
  <c r="F1195" i="68"/>
  <c r="H1195" i="68" s="1"/>
  <c r="I1021" i="115" l="1"/>
  <c r="I1018" i="115"/>
  <c r="I1011" i="115"/>
  <c r="I6" i="114" l="1"/>
  <c r="I1023" i="115"/>
  <c r="I5" i="115"/>
  <c r="I1147" i="115" s="1"/>
  <c r="Q96" i="39" l="1"/>
  <c r="R96" i="39"/>
  <c r="S96" i="39"/>
  <c r="T96" i="39"/>
  <c r="U96" i="39"/>
  <c r="F1364" i="68" l="1"/>
  <c r="H1364" i="68" s="1"/>
  <c r="E1364" i="68"/>
  <c r="D1364" i="68"/>
  <c r="C1364" i="68"/>
  <c r="B1364" i="68"/>
  <c r="U1511" i="39"/>
  <c r="T1511" i="39"/>
  <c r="S1511" i="39"/>
  <c r="R1511" i="39"/>
  <c r="Q1511" i="39"/>
  <c r="F751" i="114"/>
  <c r="H751" i="114" s="1"/>
  <c r="E751" i="114"/>
  <c r="D751" i="114"/>
  <c r="C751" i="114"/>
  <c r="B751" i="114"/>
  <c r="F739" i="114"/>
  <c r="H739" i="114" s="1"/>
  <c r="E739" i="114"/>
  <c r="D739" i="114"/>
  <c r="C739" i="114"/>
  <c r="B739" i="114"/>
  <c r="F762" i="115"/>
  <c r="H762" i="115" s="1"/>
  <c r="E762" i="115"/>
  <c r="D762" i="115"/>
  <c r="C762" i="115"/>
  <c r="B762" i="115"/>
  <c r="U261" i="39"/>
  <c r="T261" i="39"/>
  <c r="S261" i="39"/>
  <c r="R261" i="39"/>
  <c r="Q261" i="39"/>
  <c r="V261" i="39" s="1"/>
  <c r="G739" i="114" l="1"/>
  <c r="G762" i="115"/>
  <c r="R84" i="32" l="1"/>
  <c r="Q84" i="32"/>
  <c r="M84" i="32"/>
  <c r="S84" i="32" l="1"/>
  <c r="F142" i="6" l="1"/>
  <c r="I105" i="6" l="1"/>
  <c r="I106" i="6"/>
  <c r="B749" i="114" l="1"/>
  <c r="C749" i="114"/>
  <c r="D749" i="114"/>
  <c r="E749" i="114"/>
  <c r="F749" i="114"/>
  <c r="H749" i="114" s="1"/>
  <c r="B726" i="114"/>
  <c r="C726" i="114"/>
  <c r="D726" i="114"/>
  <c r="E726" i="114"/>
  <c r="F726" i="114"/>
  <c r="H726" i="114" s="1"/>
  <c r="F576" i="114" l="1"/>
  <c r="E576" i="114"/>
  <c r="D576" i="114"/>
  <c r="C576" i="114"/>
  <c r="B576" i="114"/>
  <c r="F575" i="114"/>
  <c r="H575" i="114" s="1"/>
  <c r="E575" i="114"/>
  <c r="D575" i="114"/>
  <c r="C575" i="114"/>
  <c r="B575" i="114"/>
  <c r="F574" i="114"/>
  <c r="H574" i="114" s="1"/>
  <c r="E574" i="114"/>
  <c r="D574" i="114"/>
  <c r="C574" i="114"/>
  <c r="B574" i="114"/>
  <c r="F571" i="114"/>
  <c r="H571" i="114" s="1"/>
  <c r="E571" i="114"/>
  <c r="D571" i="114"/>
  <c r="C571" i="114"/>
  <c r="B571" i="114"/>
  <c r="F570" i="114"/>
  <c r="G570" i="114" s="1"/>
  <c r="E570" i="114"/>
  <c r="D570" i="114"/>
  <c r="C570" i="114"/>
  <c r="B570" i="114"/>
  <c r="F568" i="114"/>
  <c r="H568" i="114" s="1"/>
  <c r="E568" i="114"/>
  <c r="D568" i="114"/>
  <c r="C568" i="114"/>
  <c r="B568" i="114"/>
  <c r="F567" i="114"/>
  <c r="H567" i="114" s="1"/>
  <c r="E567" i="114"/>
  <c r="D567" i="114"/>
  <c r="C567" i="114"/>
  <c r="B567" i="114"/>
  <c r="F566" i="114"/>
  <c r="H566" i="114" s="1"/>
  <c r="E566" i="114"/>
  <c r="D566" i="114"/>
  <c r="C566" i="114"/>
  <c r="B566" i="114"/>
  <c r="F565" i="114"/>
  <c r="H565" i="114" s="1"/>
  <c r="E565" i="114"/>
  <c r="D565" i="114"/>
  <c r="C565" i="114"/>
  <c r="B565" i="114"/>
  <c r="F564" i="114"/>
  <c r="H564" i="114" s="1"/>
  <c r="E564" i="114"/>
  <c r="D564" i="114"/>
  <c r="C564" i="114"/>
  <c r="B564" i="114"/>
  <c r="F563" i="114"/>
  <c r="H563" i="114" s="1"/>
  <c r="E563" i="114"/>
  <c r="D563" i="114"/>
  <c r="C563" i="114"/>
  <c r="B563" i="114"/>
  <c r="F562" i="114"/>
  <c r="G562" i="114" s="1"/>
  <c r="E562" i="114"/>
  <c r="D562" i="114"/>
  <c r="C562" i="114"/>
  <c r="B562" i="114"/>
  <c r="F561" i="114"/>
  <c r="H561" i="114" s="1"/>
  <c r="E561" i="114"/>
  <c r="D561" i="114"/>
  <c r="C561" i="114"/>
  <c r="B561" i="114"/>
  <c r="F560" i="114"/>
  <c r="H560" i="114" s="1"/>
  <c r="E560" i="114"/>
  <c r="D560" i="114"/>
  <c r="C560" i="114"/>
  <c r="B560" i="114"/>
  <c r="F559" i="114"/>
  <c r="H559" i="114" s="1"/>
  <c r="E559" i="114"/>
  <c r="D559" i="114"/>
  <c r="C559" i="114"/>
  <c r="B559" i="114"/>
  <c r="H562" i="114" l="1"/>
  <c r="H570" i="114"/>
  <c r="G561" i="114"/>
  <c r="G566" i="114"/>
  <c r="G571" i="114"/>
  <c r="H576" i="114"/>
  <c r="G565" i="114"/>
  <c r="G559" i="114"/>
  <c r="G563" i="114"/>
  <c r="G567" i="114"/>
  <c r="G560" i="114"/>
  <c r="G564" i="114"/>
  <c r="G568" i="114"/>
  <c r="H406" i="114" l="1"/>
  <c r="B68" i="68" l="1"/>
  <c r="C68" i="68"/>
  <c r="D68" i="68"/>
  <c r="E68" i="68"/>
  <c r="F68" i="68"/>
  <c r="G68" i="68" s="1"/>
  <c r="B65" i="68"/>
  <c r="C65" i="68"/>
  <c r="D65" i="68"/>
  <c r="E65" i="68"/>
  <c r="F65" i="68"/>
  <c r="G65" i="68" s="1"/>
  <c r="B66" i="68"/>
  <c r="C66" i="68"/>
  <c r="D66" i="68"/>
  <c r="E66" i="68"/>
  <c r="F66" i="68"/>
  <c r="H66" i="68" s="1"/>
  <c r="G66" i="68" l="1"/>
  <c r="H68" i="68"/>
  <c r="H65" i="68"/>
  <c r="B501" i="115" l="1"/>
  <c r="C501" i="115"/>
  <c r="D501" i="115"/>
  <c r="E501" i="115"/>
  <c r="F501" i="115"/>
  <c r="H501" i="115" l="1"/>
  <c r="L94" i="32" l="1"/>
  <c r="E53" i="6" l="1"/>
  <c r="B539" i="115" l="1"/>
  <c r="C539" i="115"/>
  <c r="D539" i="115"/>
  <c r="E539" i="115"/>
  <c r="F539" i="115"/>
  <c r="H539" i="115" l="1"/>
  <c r="B684" i="115"/>
  <c r="C684" i="115"/>
  <c r="D684" i="115"/>
  <c r="E684" i="115"/>
  <c r="F684" i="115"/>
  <c r="H684" i="115" l="1"/>
  <c r="V20" i="6" l="1"/>
  <c r="AN20" i="6" l="1"/>
  <c r="C16" i="6" l="1"/>
  <c r="J3" i="9" l="1"/>
  <c r="B19" i="6" l="1"/>
  <c r="B18" i="6" s="1"/>
  <c r="AQ19" i="6"/>
  <c r="AR19" i="6"/>
  <c r="A18" i="6" l="1"/>
  <c r="A22" i="9" s="1"/>
  <c r="B22" i="9"/>
  <c r="B17" i="6"/>
  <c r="B16" i="6" s="1"/>
  <c r="B15" i="6" s="1"/>
  <c r="B14" i="6" s="1"/>
  <c r="B13" i="6" s="1"/>
  <c r="B12" i="6" s="1"/>
  <c r="B11" i="6" s="1"/>
  <c r="B10" i="6" s="1"/>
  <c r="B9" i="6" s="1"/>
  <c r="B8" i="6" s="1"/>
  <c r="B7" i="6" s="1"/>
  <c r="B6" i="6" s="1"/>
  <c r="B23" i="9"/>
  <c r="A19" i="6"/>
  <c r="A23" i="9" s="1"/>
  <c r="AS19" i="6"/>
  <c r="AT19" i="6" s="1"/>
  <c r="AG19" i="6"/>
  <c r="P19" i="6"/>
  <c r="B21" i="9" l="1"/>
  <c r="AD18" i="6"/>
  <c r="AC18" i="6"/>
  <c r="AD19" i="6"/>
  <c r="AC19" i="6"/>
  <c r="A17" i="6"/>
  <c r="A21" i="9" s="1"/>
  <c r="B20" i="9"/>
  <c r="AC6" i="6"/>
  <c r="AD15" i="6"/>
  <c r="AC12" i="6"/>
  <c r="AC8" i="6"/>
  <c r="AC14" i="6"/>
  <c r="AC10" i="6"/>
  <c r="AD6" i="6"/>
  <c r="AD14" i="6"/>
  <c r="AC7" i="6"/>
  <c r="AD13" i="6"/>
  <c r="AD11" i="6"/>
  <c r="AD8" i="6"/>
  <c r="AD12" i="6"/>
  <c r="AD7" i="6"/>
  <c r="AC15" i="6"/>
  <c r="AC16" i="6"/>
  <c r="AD10" i="6"/>
  <c r="AD16" i="6"/>
  <c r="AC13" i="6"/>
  <c r="AC9" i="6"/>
  <c r="AD9" i="6"/>
  <c r="AC11" i="6"/>
  <c r="Q619" i="114"/>
  <c r="O62" i="6"/>
  <c r="P62" i="6" s="1"/>
  <c r="AC17" i="6"/>
  <c r="AD17" i="6"/>
  <c r="D142" i="6"/>
  <c r="AO19" i="6"/>
  <c r="AO30" i="6"/>
  <c r="AP19" i="6" l="1"/>
  <c r="AT33" i="6"/>
  <c r="AO20" i="6"/>
  <c r="A16" i="6"/>
  <c r="A20" i="9" s="1"/>
  <c r="B19" i="9"/>
  <c r="R17" i="6"/>
  <c r="U17" i="6"/>
  <c r="AU19" i="6"/>
  <c r="AV19" i="6" s="1"/>
  <c r="AO31" i="6"/>
  <c r="AO32" i="6" s="1"/>
  <c r="AW19" i="6"/>
  <c r="AX19" i="6" s="1"/>
  <c r="F937" i="68"/>
  <c r="H937" i="68" s="1"/>
  <c r="E937" i="68"/>
  <c r="D937" i="68"/>
  <c r="C937" i="68"/>
  <c r="B937" i="68"/>
  <c r="B18" i="9" l="1"/>
  <c r="B17" i="9" l="1"/>
  <c r="B841" i="115"/>
  <c r="C841" i="115"/>
  <c r="D841" i="115"/>
  <c r="E841" i="115"/>
  <c r="F841" i="115"/>
  <c r="H841" i="115" s="1"/>
  <c r="B16" i="9" l="1"/>
  <c r="B1703" i="68"/>
  <c r="C1703" i="68"/>
  <c r="D1703" i="68"/>
  <c r="E1703" i="68"/>
  <c r="F1703" i="68"/>
  <c r="B15" i="9" l="1"/>
  <c r="H1703" i="68"/>
  <c r="B14" i="9" l="1"/>
  <c r="B13" i="9" l="1"/>
  <c r="F1541" i="68"/>
  <c r="H1541" i="68" s="1"/>
  <c r="E1541" i="68"/>
  <c r="D1541" i="68"/>
  <c r="C1541" i="68"/>
  <c r="B1541" i="68"/>
  <c r="B12" i="9" l="1"/>
  <c r="B11" i="9" l="1"/>
  <c r="B10" i="9" l="1"/>
  <c r="J5" i="9" l="1"/>
  <c r="N4" i="39" l="1"/>
  <c r="T737" i="114"/>
  <c r="Y737" i="114" s="1"/>
  <c r="Z737" i="114" s="1"/>
  <c r="AB737" i="114" s="1"/>
  <c r="AC737" i="114" s="1"/>
  <c r="AE737" i="114" s="1"/>
  <c r="AF737" i="114" s="1"/>
  <c r="AH737" i="114" s="1"/>
  <c r="T738" i="114"/>
  <c r="Y738" i="114" s="1"/>
  <c r="Z738" i="114" s="1"/>
  <c r="AB738" i="114" s="1"/>
  <c r="AC738" i="114" s="1"/>
  <c r="AE738" i="114" s="1"/>
  <c r="AF738" i="114" s="1"/>
  <c r="AH738" i="114" s="1"/>
  <c r="AI738" i="114" s="1"/>
  <c r="AK738" i="114" s="1"/>
  <c r="AL738" i="114" s="1"/>
  <c r="AN738" i="114" s="1"/>
  <c r="T748" i="114"/>
  <c r="Y748" i="114" s="1"/>
  <c r="Z748" i="114" s="1"/>
  <c r="AB748" i="114" s="1"/>
  <c r="AC748" i="114" s="1"/>
  <c r="AE748" i="114" s="1"/>
  <c r="U738" i="114" l="1"/>
  <c r="V738" i="114"/>
  <c r="U748" i="114"/>
  <c r="V748" i="114"/>
  <c r="T152" i="68"/>
  <c r="U152" i="68" s="1"/>
  <c r="O1163" i="39"/>
  <c r="T375" i="114"/>
  <c r="T115" i="114"/>
  <c r="U115" i="114" s="1"/>
  <c r="T1345" i="68"/>
  <c r="U1345" i="68" s="1"/>
  <c r="V737" i="114"/>
  <c r="U737" i="114"/>
  <c r="O1715" i="39"/>
  <c r="U375" i="114" l="1"/>
  <c r="Y375" i="114"/>
  <c r="Z375" i="114" s="1"/>
  <c r="AB375" i="114" s="1"/>
  <c r="N1021" i="115"/>
  <c r="N1018" i="115"/>
  <c r="N1011" i="115"/>
  <c r="N1023" i="115" l="1"/>
  <c r="T11" i="68" l="1"/>
  <c r="Y11" i="68" s="1"/>
  <c r="S295" i="114"/>
  <c r="O100" i="114"/>
  <c r="M89" i="114"/>
  <c r="V89" i="114" s="1"/>
  <c r="S90" i="114"/>
  <c r="O91" i="114"/>
  <c r="R319" i="114"/>
  <c r="Q91" i="114"/>
  <c r="R295" i="114"/>
  <c r="N100" i="114"/>
  <c r="R90" i="114"/>
  <c r="N91" i="114"/>
  <c r="Q319" i="114"/>
  <c r="Q100" i="114"/>
  <c r="Q295" i="114"/>
  <c r="M100" i="114"/>
  <c r="V100" i="114" s="1"/>
  <c r="S119" i="114"/>
  <c r="Q90" i="114"/>
  <c r="M91" i="114"/>
  <c r="V91" i="114" s="1"/>
  <c r="S347" i="114"/>
  <c r="O319" i="114"/>
  <c r="O295" i="114"/>
  <c r="R119" i="114"/>
  <c r="S89" i="114"/>
  <c r="O90" i="114"/>
  <c r="R347" i="114"/>
  <c r="N319" i="114"/>
  <c r="N89" i="114"/>
  <c r="N295" i="114"/>
  <c r="Q119" i="114"/>
  <c r="R89" i="114"/>
  <c r="N90" i="114"/>
  <c r="Q347" i="114"/>
  <c r="M319" i="114"/>
  <c r="V319" i="114" s="1"/>
  <c r="S319" i="114"/>
  <c r="M295" i="114"/>
  <c r="V295" i="114" s="1"/>
  <c r="S100" i="114"/>
  <c r="O119" i="114"/>
  <c r="Q89" i="114"/>
  <c r="M90" i="114"/>
  <c r="V90" i="114" s="1"/>
  <c r="S91" i="114"/>
  <c r="O347" i="114"/>
  <c r="M347" i="114"/>
  <c r="V347" i="114" s="1"/>
  <c r="R100" i="114"/>
  <c r="N119" i="114"/>
  <c r="O89" i="114"/>
  <c r="R91" i="114"/>
  <c r="N347" i="114"/>
  <c r="M119" i="114"/>
  <c r="V119" i="114" s="1"/>
  <c r="Q694" i="114"/>
  <c r="M698" i="114"/>
  <c r="V698" i="114" s="1"/>
  <c r="S699" i="114"/>
  <c r="O700" i="114"/>
  <c r="S695" i="114"/>
  <c r="O694" i="114"/>
  <c r="R699" i="114"/>
  <c r="N700" i="114"/>
  <c r="R694" i="114"/>
  <c r="N698" i="114"/>
  <c r="R695" i="114"/>
  <c r="N694" i="114"/>
  <c r="Q699" i="114"/>
  <c r="M700" i="114"/>
  <c r="V700" i="114" s="1"/>
  <c r="S705" i="114"/>
  <c r="Q695" i="114"/>
  <c r="M694" i="114"/>
  <c r="V694" i="114" s="1"/>
  <c r="S698" i="114"/>
  <c r="O699" i="114"/>
  <c r="R705" i="114"/>
  <c r="O695" i="114"/>
  <c r="R698" i="114"/>
  <c r="N699" i="114"/>
  <c r="Q705" i="114"/>
  <c r="N695" i="114"/>
  <c r="Q698" i="114"/>
  <c r="M699" i="114"/>
  <c r="V699" i="114" s="1"/>
  <c r="S700" i="114"/>
  <c r="O705" i="114"/>
  <c r="M695" i="114"/>
  <c r="S694" i="114"/>
  <c r="O698" i="114"/>
  <c r="R700" i="114"/>
  <c r="N705" i="114"/>
  <c r="Q700" i="114"/>
  <c r="M705" i="114"/>
  <c r="V705" i="114" s="1"/>
  <c r="T295" i="114"/>
  <c r="T119" i="114"/>
  <c r="T319" i="114"/>
  <c r="Y319" i="114" s="1"/>
  <c r="Z319" i="114" s="1"/>
  <c r="AB319" i="114" s="1"/>
  <c r="T89" i="114"/>
  <c r="T705" i="114"/>
  <c r="Y705" i="114" s="1"/>
  <c r="Z705" i="114" s="1"/>
  <c r="AB705" i="114" s="1"/>
  <c r="T347" i="114"/>
  <c r="Y347" i="114" s="1"/>
  <c r="Z347" i="114" s="1"/>
  <c r="AB347" i="114" s="1"/>
  <c r="T698" i="114"/>
  <c r="Y698" i="114" s="1"/>
  <c r="Z698" i="114" s="1"/>
  <c r="AB698" i="114" s="1"/>
  <c r="T90" i="114"/>
  <c r="T700" i="114"/>
  <c r="Y700" i="114" s="1"/>
  <c r="Z700" i="114" s="1"/>
  <c r="AB700" i="114" s="1"/>
  <c r="T699" i="114"/>
  <c r="Y699" i="114" s="1"/>
  <c r="Z699" i="114" s="1"/>
  <c r="AB699" i="114" s="1"/>
  <c r="T694" i="114"/>
  <c r="Y694" i="114" s="1"/>
  <c r="Z694" i="114" s="1"/>
  <c r="AB694" i="114" s="1"/>
  <c r="T695" i="114"/>
  <c r="Y695" i="114" s="1"/>
  <c r="Z695" i="114" s="1"/>
  <c r="AB695" i="114" s="1"/>
  <c r="T100" i="114"/>
  <c r="T91" i="114"/>
  <c r="S716" i="114"/>
  <c r="R716" i="114"/>
  <c r="Q716" i="114"/>
  <c r="O716" i="114"/>
  <c r="N716" i="114"/>
  <c r="M716" i="114"/>
  <c r="V716" i="114" s="1"/>
  <c r="T716" i="114"/>
  <c r="Y716" i="114" s="1"/>
  <c r="Z716" i="114" s="1"/>
  <c r="AB716" i="114" s="1"/>
  <c r="AC716" i="114" s="1"/>
  <c r="AE716" i="114" s="1"/>
  <c r="Q699" i="68"/>
  <c r="S373" i="114"/>
  <c r="R373" i="114"/>
  <c r="Q373" i="114"/>
  <c r="O373" i="114"/>
  <c r="N373" i="114"/>
  <c r="M373" i="114"/>
  <c r="V373" i="114" s="1"/>
  <c r="T373" i="114"/>
  <c r="Y373" i="114" s="1"/>
  <c r="Z373" i="114" s="1"/>
  <c r="AB373" i="114" s="1"/>
  <c r="AC373" i="114" s="1"/>
  <c r="AE373" i="114" s="1"/>
  <c r="S704" i="114"/>
  <c r="R704" i="114"/>
  <c r="Q704" i="114"/>
  <c r="O704" i="114"/>
  <c r="N704" i="114"/>
  <c r="M704" i="114"/>
  <c r="T704" i="114"/>
  <c r="Y704" i="114" s="1"/>
  <c r="Z704" i="114" s="1"/>
  <c r="AB704" i="114" s="1"/>
  <c r="AC704" i="114" s="1"/>
  <c r="AE704" i="114" s="1"/>
  <c r="S569" i="114"/>
  <c r="O569" i="114"/>
  <c r="R569" i="114"/>
  <c r="Q569" i="114"/>
  <c r="N569" i="114"/>
  <c r="T569" i="114"/>
  <c r="Y569" i="114" s="1"/>
  <c r="M569" i="114"/>
  <c r="S585" i="68"/>
  <c r="R585" i="68"/>
  <c r="Q585" i="68"/>
  <c r="O585" i="68"/>
  <c r="N585" i="68"/>
  <c r="M585" i="68"/>
  <c r="S667" i="114"/>
  <c r="R667" i="114"/>
  <c r="Q667" i="114"/>
  <c r="O667" i="114"/>
  <c r="N667" i="114"/>
  <c r="M667" i="114"/>
  <c r="T667" i="114"/>
  <c r="Y667" i="114" s="1"/>
  <c r="Z667" i="114" s="1"/>
  <c r="AB667" i="114" s="1"/>
  <c r="T585" i="68"/>
  <c r="M271" i="114"/>
  <c r="S271" i="114"/>
  <c r="R271" i="114"/>
  <c r="Q271" i="114"/>
  <c r="O271" i="114"/>
  <c r="N271" i="114"/>
  <c r="T271" i="114"/>
  <c r="S147" i="68"/>
  <c r="R147" i="68"/>
  <c r="Q147" i="68"/>
  <c r="M147" i="68"/>
  <c r="O147" i="68"/>
  <c r="N147" i="68"/>
  <c r="T147" i="68"/>
  <c r="Q1195" i="68"/>
  <c r="O1195" i="68"/>
  <c r="T1195" i="68"/>
  <c r="N1195" i="68"/>
  <c r="S1195" i="68"/>
  <c r="M1195" i="68"/>
  <c r="R1195" i="68"/>
  <c r="I917" i="115"/>
  <c r="I555" i="115"/>
  <c r="I410" i="115"/>
  <c r="I428" i="115"/>
  <c r="I430" i="115" s="1"/>
  <c r="I611" i="114"/>
  <c r="I968" i="115"/>
  <c r="I822" i="115"/>
  <c r="I237" i="115"/>
  <c r="I492" i="114"/>
  <c r="I1029" i="115"/>
  <c r="I1777" i="68"/>
  <c r="I1568" i="68"/>
  <c r="I1450" i="68"/>
  <c r="I1452" i="68" s="1"/>
  <c r="I1684" i="68"/>
  <c r="I1442" i="68"/>
  <c r="I1681" i="68"/>
  <c r="I247" i="114"/>
  <c r="I1928" i="68"/>
  <c r="I1900" i="68"/>
  <c r="I1813" i="68"/>
  <c r="I244" i="114"/>
  <c r="I1915" i="68"/>
  <c r="I1390" i="68"/>
  <c r="I241" i="114"/>
  <c r="I173" i="114"/>
  <c r="I1731" i="68"/>
  <c r="I781" i="68"/>
  <c r="I493" i="68"/>
  <c r="I131" i="68"/>
  <c r="I1260" i="68"/>
  <c r="I631" i="68"/>
  <c r="I613" i="68"/>
  <c r="I450" i="68"/>
  <c r="I238" i="114"/>
  <c r="I1734" i="68"/>
  <c r="I750" i="68"/>
  <c r="I313" i="68"/>
  <c r="I628" i="115"/>
  <c r="I611" i="115"/>
  <c r="I601" i="115"/>
  <c r="I1237" i="68"/>
  <c r="I627" i="115"/>
  <c r="I610" i="115"/>
  <c r="I600" i="115"/>
  <c r="I629" i="115"/>
  <c r="I626" i="115"/>
  <c r="I609" i="115"/>
  <c r="I599" i="115"/>
  <c r="I625" i="115"/>
  <c r="I608" i="115"/>
  <c r="I592" i="115"/>
  <c r="I348" i="68"/>
  <c r="I197" i="68"/>
  <c r="I632" i="115"/>
  <c r="I624" i="115"/>
  <c r="I633" i="115" s="1"/>
  <c r="I607" i="115"/>
  <c r="I591" i="115"/>
  <c r="I602" i="115"/>
  <c r="I1211" i="68"/>
  <c r="I631" i="115"/>
  <c r="I621" i="115"/>
  <c r="I606" i="115"/>
  <c r="I590" i="115"/>
  <c r="I619" i="115"/>
  <c r="I919" i="68"/>
  <c r="I630" i="115"/>
  <c r="I620" i="115"/>
  <c r="I605" i="115"/>
  <c r="I612" i="115" s="1"/>
  <c r="I589" i="115"/>
  <c r="S1364" i="68"/>
  <c r="R1364" i="68"/>
  <c r="O739" i="114"/>
  <c r="Q1364" i="68"/>
  <c r="S751" i="114"/>
  <c r="N739" i="114"/>
  <c r="S762" i="115"/>
  <c r="O1364" i="68"/>
  <c r="R751" i="114"/>
  <c r="M739" i="114"/>
  <c r="R762" i="115"/>
  <c r="N751" i="114"/>
  <c r="N1364" i="68"/>
  <c r="Q751" i="114"/>
  <c r="Q762" i="115"/>
  <c r="N762" i="115"/>
  <c r="M1364" i="68"/>
  <c r="O751" i="114"/>
  <c r="O762" i="115"/>
  <c r="S739" i="114"/>
  <c r="Q739" i="114"/>
  <c r="M751" i="114"/>
  <c r="R739" i="114"/>
  <c r="M762" i="115"/>
  <c r="T751" i="114"/>
  <c r="Y751" i="114" s="1"/>
  <c r="Z751" i="114" s="1"/>
  <c r="AB751" i="114" s="1"/>
  <c r="AC751" i="114" s="1"/>
  <c r="AE751" i="114" s="1"/>
  <c r="T762" i="115"/>
  <c r="T1364" i="68"/>
  <c r="T739" i="114"/>
  <c r="Y739" i="114" s="1"/>
  <c r="Z739" i="114" s="1"/>
  <c r="AB739" i="114" s="1"/>
  <c r="AC739" i="114" s="1"/>
  <c r="AE739" i="114" s="1"/>
  <c r="AF739" i="114" s="1"/>
  <c r="AH739" i="114" s="1"/>
  <c r="S583" i="114"/>
  <c r="T1896" i="68"/>
  <c r="Y1896" i="68" s="1"/>
  <c r="T749" i="114"/>
  <c r="Y749" i="114" s="1"/>
  <c r="Z749" i="114" s="1"/>
  <c r="AB749" i="114" s="1"/>
  <c r="M749" i="114"/>
  <c r="O749" i="114"/>
  <c r="N726" i="114"/>
  <c r="R726" i="114"/>
  <c r="N749" i="114"/>
  <c r="M726" i="114"/>
  <c r="Q749" i="114"/>
  <c r="O726" i="114"/>
  <c r="R749" i="114"/>
  <c r="Q726" i="114"/>
  <c r="S749" i="114"/>
  <c r="S726" i="114"/>
  <c r="T726" i="114"/>
  <c r="Y726" i="114" s="1"/>
  <c r="Z726" i="114" s="1"/>
  <c r="AB726" i="114" s="1"/>
  <c r="AC726" i="114" s="1"/>
  <c r="AE726" i="114" s="1"/>
  <c r="S576" i="114"/>
  <c r="N575" i="114"/>
  <c r="S574" i="114"/>
  <c r="N571" i="114"/>
  <c r="S570" i="114"/>
  <c r="N568" i="114"/>
  <c r="S567" i="114"/>
  <c r="N566" i="114"/>
  <c r="S565" i="114"/>
  <c r="N564" i="114"/>
  <c r="S563" i="114"/>
  <c r="N562" i="114"/>
  <c r="S561" i="114"/>
  <c r="N560" i="114"/>
  <c r="S559" i="114"/>
  <c r="R576" i="114"/>
  <c r="M575" i="114"/>
  <c r="R574" i="114"/>
  <c r="M571" i="114"/>
  <c r="R570" i="114"/>
  <c r="M568" i="114"/>
  <c r="R567" i="114"/>
  <c r="M566" i="114"/>
  <c r="R565" i="114"/>
  <c r="M564" i="114"/>
  <c r="R563" i="114"/>
  <c r="M562" i="114"/>
  <c r="R561" i="114"/>
  <c r="M560" i="114"/>
  <c r="O563" i="114"/>
  <c r="Q576" i="114"/>
  <c r="Q574" i="114"/>
  <c r="Q570" i="114"/>
  <c r="Q567" i="114"/>
  <c r="Q565" i="114"/>
  <c r="Q563" i="114"/>
  <c r="Q561" i="114"/>
  <c r="Q559" i="114"/>
  <c r="O567" i="114"/>
  <c r="O576" i="114"/>
  <c r="O574" i="114"/>
  <c r="O570" i="114"/>
  <c r="N576" i="114"/>
  <c r="S575" i="114"/>
  <c r="N574" i="114"/>
  <c r="S571" i="114"/>
  <c r="N570" i="114"/>
  <c r="S568" i="114"/>
  <c r="N567" i="114"/>
  <c r="S566" i="114"/>
  <c r="N565" i="114"/>
  <c r="S564" i="114"/>
  <c r="N563" i="114"/>
  <c r="S562" i="114"/>
  <c r="N561" i="114"/>
  <c r="S560" i="114"/>
  <c r="N559" i="114"/>
  <c r="M559" i="114"/>
  <c r="M576" i="114"/>
  <c r="R575" i="114"/>
  <c r="M574" i="114"/>
  <c r="R571" i="114"/>
  <c r="M570" i="114"/>
  <c r="R568" i="114"/>
  <c r="M567" i="114"/>
  <c r="R566" i="114"/>
  <c r="M565" i="114"/>
  <c r="R564" i="114"/>
  <c r="M563" i="114"/>
  <c r="R562" i="114"/>
  <c r="M561" i="114"/>
  <c r="V561" i="114" s="1"/>
  <c r="R560" i="114"/>
  <c r="O561" i="114"/>
  <c r="Q575" i="114"/>
  <c r="Q571" i="114"/>
  <c r="Q568" i="114"/>
  <c r="Q566" i="114"/>
  <c r="Q564" i="114"/>
  <c r="Q562" i="114"/>
  <c r="Q560" i="114"/>
  <c r="R559" i="114"/>
  <c r="O559" i="114"/>
  <c r="O575" i="114"/>
  <c r="O571" i="114"/>
  <c r="O568" i="114"/>
  <c r="O566" i="114"/>
  <c r="O564" i="114"/>
  <c r="O562" i="114"/>
  <c r="O560" i="114"/>
  <c r="O565" i="114"/>
  <c r="T575" i="114"/>
  <c r="Y575" i="114" s="1"/>
  <c r="Z575" i="114" s="1"/>
  <c r="AB575" i="114" s="1"/>
  <c r="T562" i="114"/>
  <c r="Y562" i="114" s="1"/>
  <c r="T566" i="114"/>
  <c r="Y566" i="114" s="1"/>
  <c r="T570" i="114"/>
  <c r="Y570" i="114" s="1"/>
  <c r="Z570" i="114" s="1"/>
  <c r="AB570" i="114" s="1"/>
  <c r="AC570" i="114" s="1"/>
  <c r="AE570" i="114" s="1"/>
  <c r="AF570" i="114" s="1"/>
  <c r="AH570" i="114" s="1"/>
  <c r="AI570" i="114" s="1"/>
  <c r="AK570" i="114" s="1"/>
  <c r="AL570" i="114" s="1"/>
  <c r="AN570" i="114" s="1"/>
  <c r="T576" i="114"/>
  <c r="Y576" i="114" s="1"/>
  <c r="Z576" i="114" s="1"/>
  <c r="AB576" i="114" s="1"/>
  <c r="T561" i="114"/>
  <c r="Y561" i="114" s="1"/>
  <c r="Z561" i="114" s="1"/>
  <c r="AB561" i="114" s="1"/>
  <c r="AC561" i="114" s="1"/>
  <c r="AE561" i="114" s="1"/>
  <c r="AF561" i="114" s="1"/>
  <c r="AH561" i="114" s="1"/>
  <c r="AI561" i="114" s="1"/>
  <c r="AK561" i="114" s="1"/>
  <c r="AL561" i="114" s="1"/>
  <c r="AN561" i="114" s="1"/>
  <c r="T565" i="114"/>
  <c r="Y565" i="114" s="1"/>
  <c r="T568" i="114"/>
  <c r="Y568" i="114" s="1"/>
  <c r="T574" i="114"/>
  <c r="Y574" i="114" s="1"/>
  <c r="T560" i="114"/>
  <c r="Y560" i="114" s="1"/>
  <c r="Z560" i="114" s="1"/>
  <c r="AB560" i="114" s="1"/>
  <c r="AC560" i="114" s="1"/>
  <c r="AE560" i="114" s="1"/>
  <c r="AF560" i="114" s="1"/>
  <c r="AH560" i="114" s="1"/>
  <c r="AI560" i="114" s="1"/>
  <c r="AK560" i="114" s="1"/>
  <c r="AL560" i="114" s="1"/>
  <c r="AN560" i="114" s="1"/>
  <c r="T563" i="114"/>
  <c r="Y563" i="114" s="1"/>
  <c r="T567" i="114"/>
  <c r="Y567" i="114" s="1"/>
  <c r="T564" i="114"/>
  <c r="Y564" i="114" s="1"/>
  <c r="T559" i="114"/>
  <c r="Y559" i="114" s="1"/>
  <c r="T571" i="114"/>
  <c r="Y571" i="114" s="1"/>
  <c r="Z571" i="114" s="1"/>
  <c r="AB571" i="114" s="1"/>
  <c r="AC571" i="114" s="1"/>
  <c r="AE571" i="114" s="1"/>
  <c r="S65" i="68"/>
  <c r="Q68" i="68"/>
  <c r="T65" i="68"/>
  <c r="Y65" i="68" s="1"/>
  <c r="Z65" i="68" s="1"/>
  <c r="AB65" i="68" s="1"/>
  <c r="R68" i="68"/>
  <c r="O66" i="68"/>
  <c r="T68" i="68"/>
  <c r="Y68" i="68" s="1"/>
  <c r="Z68" i="68" s="1"/>
  <c r="AB68" i="68" s="1"/>
  <c r="N65" i="68"/>
  <c r="S68" i="68"/>
  <c r="M65" i="68"/>
  <c r="Q66" i="68"/>
  <c r="O65" i="68"/>
  <c r="S66" i="68"/>
  <c r="T66" i="68"/>
  <c r="Y66" i="68" s="1"/>
  <c r="Z66" i="68" s="1"/>
  <c r="AB66" i="68" s="1"/>
  <c r="O68" i="68"/>
  <c r="M68" i="68"/>
  <c r="Q65" i="68"/>
  <c r="M66" i="68"/>
  <c r="N66" i="68"/>
  <c r="R66" i="68"/>
  <c r="N68" i="68"/>
  <c r="R65" i="68"/>
  <c r="S10" i="68"/>
  <c r="M501" i="115"/>
  <c r="N501" i="115"/>
  <c r="O501" i="115"/>
  <c r="Q501" i="115"/>
  <c r="R501" i="115"/>
  <c r="S501" i="115"/>
  <c r="O539" i="115"/>
  <c r="Q539" i="115"/>
  <c r="R539" i="115"/>
  <c r="N539" i="115"/>
  <c r="S539" i="115"/>
  <c r="M539" i="115"/>
  <c r="S684" i="115"/>
  <c r="M684" i="115"/>
  <c r="N684" i="115"/>
  <c r="R684" i="115"/>
  <c r="O684" i="115"/>
  <c r="Q684" i="115"/>
  <c r="T1546" i="68"/>
  <c r="Y1546" i="68" s="1"/>
  <c r="T937" i="68"/>
  <c r="S937" i="68"/>
  <c r="R937" i="68"/>
  <c r="Q937" i="68"/>
  <c r="O937" i="68"/>
  <c r="N937" i="68"/>
  <c r="M937" i="68"/>
  <c r="V937" i="68" s="1"/>
  <c r="O841" i="115"/>
  <c r="Q841" i="115"/>
  <c r="R841" i="115"/>
  <c r="S841" i="115"/>
  <c r="M841" i="115"/>
  <c r="N841" i="115"/>
  <c r="T841" i="115"/>
  <c r="N1703" i="68"/>
  <c r="Q1703" i="68"/>
  <c r="O1703" i="68"/>
  <c r="R1703" i="68"/>
  <c r="S1703" i="68"/>
  <c r="M1703" i="68"/>
  <c r="T1703" i="68"/>
  <c r="T1541" i="68"/>
  <c r="Y1541" i="68" s="1"/>
  <c r="Z1541" i="68" s="1"/>
  <c r="AB1541" i="68" s="1"/>
  <c r="S1541" i="68"/>
  <c r="R1541" i="68"/>
  <c r="Q1541" i="68"/>
  <c r="N1541" i="68"/>
  <c r="M1541" i="68"/>
  <c r="V1541" i="68" s="1"/>
  <c r="O1541" i="68"/>
  <c r="R1534" i="68"/>
  <c r="S1561" i="68"/>
  <c r="S1560" i="68"/>
  <c r="T1560" i="68"/>
  <c r="Y1560" i="68" s="1"/>
  <c r="R1561" i="68"/>
  <c r="R1560" i="68"/>
  <c r="M1561" i="68"/>
  <c r="Q1561" i="68"/>
  <c r="Q1560" i="68"/>
  <c r="O1561" i="68"/>
  <c r="O1560" i="68"/>
  <c r="N1561" i="68"/>
  <c r="N1560" i="68"/>
  <c r="M1560" i="68"/>
  <c r="N727" i="114"/>
  <c r="N718" i="114"/>
  <c r="N709" i="114"/>
  <c r="N696" i="114"/>
  <c r="N685" i="114"/>
  <c r="N677" i="114"/>
  <c r="N662" i="114"/>
  <c r="N652" i="114"/>
  <c r="N630" i="114"/>
  <c r="N620" i="114"/>
  <c r="N605" i="114"/>
  <c r="N593" i="114"/>
  <c r="N585" i="114"/>
  <c r="N491" i="114"/>
  <c r="N492" i="114" s="1"/>
  <c r="N471" i="114"/>
  <c r="N461" i="114"/>
  <c r="N446" i="114"/>
  <c r="N436" i="114"/>
  <c r="N426" i="114"/>
  <c r="N416" i="114"/>
  <c r="N404" i="114"/>
  <c r="N396" i="114"/>
  <c r="N372" i="114"/>
  <c r="N361" i="114"/>
  <c r="N349" i="114"/>
  <c r="N336" i="114"/>
  <c r="N326" i="114"/>
  <c r="N317" i="114"/>
  <c r="N302" i="114"/>
  <c r="N291" i="114"/>
  <c r="N275" i="114"/>
  <c r="N264" i="114"/>
  <c r="N256" i="114"/>
  <c r="N233" i="114"/>
  <c r="N223" i="114"/>
  <c r="N216" i="114"/>
  <c r="N206" i="114"/>
  <c r="N196" i="114"/>
  <c r="N188" i="114"/>
  <c r="N180" i="114"/>
  <c r="N168" i="114"/>
  <c r="N160" i="114"/>
  <c r="N152" i="114"/>
  <c r="N144" i="114"/>
  <c r="N136" i="114"/>
  <c r="N128" i="114"/>
  <c r="N111" i="114"/>
  <c r="N103" i="114"/>
  <c r="N92" i="114"/>
  <c r="N81" i="114"/>
  <c r="N73" i="114"/>
  <c r="N57" i="114"/>
  <c r="N46" i="114"/>
  <c r="N36" i="114"/>
  <c r="N26" i="114"/>
  <c r="N16" i="114"/>
  <c r="N1040" i="115"/>
  <c r="N999" i="115"/>
  <c r="N989" i="115"/>
  <c r="N979" i="115"/>
  <c r="N962" i="115"/>
  <c r="N952" i="115"/>
  <c r="N942" i="115"/>
  <c r="N934" i="115"/>
  <c r="N919" i="115"/>
  <c r="N907" i="115"/>
  <c r="N891" i="115"/>
  <c r="N879" i="115"/>
  <c r="N871" i="115"/>
  <c r="N854" i="115"/>
  <c r="N844" i="115"/>
  <c r="N833" i="115"/>
  <c r="N817" i="115"/>
  <c r="N809" i="115"/>
  <c r="N801" i="115"/>
  <c r="N791" i="115"/>
  <c r="N781" i="115"/>
  <c r="N773" i="115"/>
  <c r="N757" i="115"/>
  <c r="N749" i="115"/>
  <c r="N741" i="115"/>
  <c r="N733" i="115"/>
  <c r="N713" i="115"/>
  <c r="N696" i="115"/>
  <c r="N747" i="114"/>
  <c r="N725" i="114"/>
  <c r="N717" i="114"/>
  <c r="N708" i="114"/>
  <c r="N693" i="114"/>
  <c r="N684" i="114"/>
  <c r="N676" i="114"/>
  <c r="N661" i="114"/>
  <c r="N651" i="114"/>
  <c r="N629" i="114"/>
  <c r="N604" i="114"/>
  <c r="N592" i="114"/>
  <c r="N584" i="114"/>
  <c r="N487" i="114"/>
  <c r="N470" i="114"/>
  <c r="N460" i="114"/>
  <c r="N445" i="114"/>
  <c r="N435" i="114"/>
  <c r="N425" i="114"/>
  <c r="N415" i="114"/>
  <c r="N403" i="114"/>
  <c r="N395" i="114"/>
  <c r="N371" i="114"/>
  <c r="N360" i="114"/>
  <c r="N348" i="114"/>
  <c r="N335" i="114"/>
  <c r="N325" i="114"/>
  <c r="N316" i="114"/>
  <c r="N301" i="114"/>
  <c r="N283" i="114"/>
  <c r="N274" i="114"/>
  <c r="N263" i="114"/>
  <c r="N246" i="114"/>
  <c r="N247" i="114" s="1"/>
  <c r="N232" i="114"/>
  <c r="N222" i="114"/>
  <c r="N215" i="114"/>
  <c r="N205" i="114"/>
  <c r="N195" i="114"/>
  <c r="N187" i="114"/>
  <c r="N179" i="114"/>
  <c r="N167" i="114"/>
  <c r="N159" i="114"/>
  <c r="N151" i="114"/>
  <c r="N143" i="114"/>
  <c r="N135" i="114"/>
  <c r="N120" i="114"/>
  <c r="N110" i="114"/>
  <c r="N102" i="114"/>
  <c r="N88" i="114"/>
  <c r="N80" i="114"/>
  <c r="N63" i="114"/>
  <c r="N56" i="114"/>
  <c r="N45" i="114"/>
  <c r="N35" i="114"/>
  <c r="N25" i="114"/>
  <c r="N15" i="114"/>
  <c r="N1033" i="115"/>
  <c r="N998" i="115"/>
  <c r="N988" i="115"/>
  <c r="N978" i="115"/>
  <c r="N961" i="115"/>
  <c r="N951" i="115"/>
  <c r="N941" i="115"/>
  <c r="N933" i="115"/>
  <c r="N916" i="115"/>
  <c r="N917" i="115" s="1"/>
  <c r="N906" i="115"/>
  <c r="N890" i="115"/>
  <c r="N878" i="115"/>
  <c r="N863" i="115"/>
  <c r="N851" i="115"/>
  <c r="N843" i="115"/>
  <c r="N832" i="115"/>
  <c r="N816" i="115"/>
  <c r="N808" i="115"/>
  <c r="N800" i="115"/>
  <c r="N790" i="115"/>
  <c r="N780" i="115"/>
  <c r="N767" i="115"/>
  <c r="N756" i="115"/>
  <c r="N748" i="115"/>
  <c r="N740" i="115"/>
  <c r="N720" i="115"/>
  <c r="N712" i="115"/>
  <c r="N695" i="115"/>
  <c r="N746" i="114"/>
  <c r="N724" i="114"/>
  <c r="N715" i="114"/>
  <c r="N707" i="114"/>
  <c r="N692" i="114"/>
  <c r="N683" i="114"/>
  <c r="N668" i="114"/>
  <c r="N658" i="114"/>
  <c r="N650" i="114"/>
  <c r="N626" i="114"/>
  <c r="N603" i="114"/>
  <c r="N591" i="114"/>
  <c r="N583" i="114"/>
  <c r="N486" i="114"/>
  <c r="N469" i="114"/>
  <c r="N459" i="114"/>
  <c r="N442" i="114"/>
  <c r="N434" i="114"/>
  <c r="N424" i="114"/>
  <c r="N414" i="114"/>
  <c r="N402" i="114"/>
  <c r="N394" i="114"/>
  <c r="N370" i="114"/>
  <c r="N359" i="114"/>
  <c r="N346" i="114"/>
  <c r="N334" i="114"/>
  <c r="N324" i="114"/>
  <c r="N308" i="114"/>
  <c r="N300" i="114"/>
  <c r="N282" i="114"/>
  <c r="N273" i="114"/>
  <c r="N262" i="114"/>
  <c r="N243" i="114"/>
  <c r="N244" i="114" s="1"/>
  <c r="N231" i="114"/>
  <c r="N221" i="114"/>
  <c r="N214" i="114"/>
  <c r="N204" i="114"/>
  <c r="N194" i="114"/>
  <c r="N186" i="114"/>
  <c r="N178" i="114"/>
  <c r="N166" i="114"/>
  <c r="N158" i="114"/>
  <c r="N150" i="114"/>
  <c r="N142" i="114"/>
  <c r="N134" i="114"/>
  <c r="N118" i="114"/>
  <c r="N109" i="114"/>
  <c r="N101" i="114"/>
  <c r="N87" i="114"/>
  <c r="N79" i="114"/>
  <c r="N55" i="114"/>
  <c r="N44" i="114"/>
  <c r="N34" i="114"/>
  <c r="N24" i="114"/>
  <c r="N14" i="114"/>
  <c r="N1032" i="115"/>
  <c r="N997" i="115"/>
  <c r="N987" i="115"/>
  <c r="N977" i="115"/>
  <c r="N960" i="115"/>
  <c r="N950" i="115"/>
  <c r="N940" i="115"/>
  <c r="N925" i="115"/>
  <c r="N913" i="115"/>
  <c r="N905" i="115"/>
  <c r="N889" i="115"/>
  <c r="N877" i="115"/>
  <c r="N862" i="115"/>
  <c r="N850" i="115"/>
  <c r="N842" i="115"/>
  <c r="N831" i="115"/>
  <c r="N815" i="115"/>
  <c r="N807" i="115"/>
  <c r="N799" i="115"/>
  <c r="N789" i="115"/>
  <c r="N779" i="115"/>
  <c r="N765" i="115"/>
  <c r="N755" i="115"/>
  <c r="N747" i="115"/>
  <c r="N739" i="115"/>
  <c r="N719" i="115"/>
  <c r="N711" i="115"/>
  <c r="N692" i="115"/>
  <c r="N744" i="114"/>
  <c r="N723" i="114"/>
  <c r="N714" i="114"/>
  <c r="N706" i="114"/>
  <c r="N691" i="114"/>
  <c r="N682" i="114"/>
  <c r="N666" i="114"/>
  <c r="N657" i="114"/>
  <c r="N640" i="114"/>
  <c r="N625" i="114"/>
  <c r="N619" i="114"/>
  <c r="N600" i="114"/>
  <c r="N601" i="114" s="1"/>
  <c r="N590" i="114"/>
  <c r="N552" i="114"/>
  <c r="N478" i="114"/>
  <c r="N468" i="114"/>
  <c r="N458" i="114"/>
  <c r="N441" i="114"/>
  <c r="N433" i="114"/>
  <c r="N423" i="114"/>
  <c r="N413" i="114"/>
  <c r="N401" i="114"/>
  <c r="N381" i="114"/>
  <c r="N369" i="114"/>
  <c r="N356" i="114"/>
  <c r="N343" i="114"/>
  <c r="N333" i="114"/>
  <c r="N323" i="114"/>
  <c r="N307" i="114"/>
  <c r="N297" i="114"/>
  <c r="N280" i="114"/>
  <c r="N272" i="114"/>
  <c r="N261" i="114"/>
  <c r="N230" i="114"/>
  <c r="N220" i="114"/>
  <c r="N213" i="114"/>
  <c r="N203" i="114"/>
  <c r="N193" i="114"/>
  <c r="N185" i="114"/>
  <c r="N177" i="114"/>
  <c r="N165" i="114"/>
  <c r="N157" i="114"/>
  <c r="N149" i="114"/>
  <c r="N141" i="114"/>
  <c r="N133" i="114"/>
  <c r="N117" i="114"/>
  <c r="N108" i="114"/>
  <c r="N99" i="114"/>
  <c r="N86" i="114"/>
  <c r="N78" i="114"/>
  <c r="N62" i="114"/>
  <c r="N52" i="114"/>
  <c r="N43" i="114"/>
  <c r="N31" i="114"/>
  <c r="N21" i="114"/>
  <c r="N13" i="114"/>
  <c r="N1031" i="115"/>
  <c r="N994" i="115"/>
  <c r="N984" i="115"/>
  <c r="N976" i="115"/>
  <c r="N959" i="115"/>
  <c r="N949" i="115"/>
  <c r="N939" i="115"/>
  <c r="N924" i="115"/>
  <c r="N912" i="115"/>
  <c r="N904" i="115"/>
  <c r="N888" i="115"/>
  <c r="N876" i="115"/>
  <c r="N859" i="115"/>
  <c r="N849" i="115"/>
  <c r="N838" i="115"/>
  <c r="N830" i="115"/>
  <c r="N814" i="115"/>
  <c r="N806" i="115"/>
  <c r="N798" i="115"/>
  <c r="N788" i="115"/>
  <c r="N778" i="115"/>
  <c r="N763" i="115"/>
  <c r="N754" i="115"/>
  <c r="N746" i="115"/>
  <c r="N738" i="115"/>
  <c r="N718" i="115"/>
  <c r="N710" i="115"/>
  <c r="N691" i="115"/>
  <c r="N743" i="114"/>
  <c r="N722" i="114"/>
  <c r="N713" i="114"/>
  <c r="N703" i="114"/>
  <c r="N681" i="114"/>
  <c r="N656" i="114"/>
  <c r="N637" i="114"/>
  <c r="N624" i="114"/>
  <c r="N610" i="114"/>
  <c r="N611" i="114" s="1"/>
  <c r="N597" i="114"/>
  <c r="N589" i="114"/>
  <c r="N551" i="114"/>
  <c r="N477" i="114"/>
  <c r="N467" i="114"/>
  <c r="N457" i="114"/>
  <c r="N440" i="114"/>
  <c r="N432" i="114"/>
  <c r="N422" i="114"/>
  <c r="N412" i="114"/>
  <c r="N400" i="114"/>
  <c r="N380" i="114"/>
  <c r="N368" i="114"/>
  <c r="N355" i="114"/>
  <c r="N342" i="114"/>
  <c r="N332" i="114"/>
  <c r="N322" i="114"/>
  <c r="N306" i="114"/>
  <c r="N296" i="114"/>
  <c r="N279" i="114"/>
  <c r="N270" i="114"/>
  <c r="N260" i="114"/>
  <c r="N229" i="114"/>
  <c r="N219" i="114"/>
  <c r="N212" i="114"/>
  <c r="N202" i="114"/>
  <c r="N192" i="114"/>
  <c r="N184" i="114"/>
  <c r="N176" i="114"/>
  <c r="N164" i="114"/>
  <c r="N156" i="114"/>
  <c r="N148" i="114"/>
  <c r="N140" i="114"/>
  <c r="N132" i="114"/>
  <c r="N116" i="114"/>
  <c r="N107" i="114"/>
  <c r="N98" i="114"/>
  <c r="N85" i="114"/>
  <c r="N77" i="114"/>
  <c r="N61" i="114"/>
  <c r="N51" i="114"/>
  <c r="N40" i="114"/>
  <c r="N30" i="114"/>
  <c r="N20" i="114"/>
  <c r="N1028" i="115"/>
  <c r="N1029" i="115" s="1"/>
  <c r="N993" i="115"/>
  <c r="N983" i="115"/>
  <c r="N975" i="115"/>
  <c r="N958" i="115"/>
  <c r="N948" i="115"/>
  <c r="N938" i="115"/>
  <c r="N923" i="115"/>
  <c r="N911" i="115"/>
  <c r="N897" i="115"/>
  <c r="N885" i="115"/>
  <c r="N875" i="115"/>
  <c r="N858" i="115"/>
  <c r="N848" i="115"/>
  <c r="N837" i="115"/>
  <c r="N829" i="115"/>
  <c r="N813" i="115"/>
  <c r="N805" i="115"/>
  <c r="N797" i="115"/>
  <c r="N787" i="115"/>
  <c r="N777" i="115"/>
  <c r="N761" i="115"/>
  <c r="N753" i="115"/>
  <c r="N745" i="115"/>
  <c r="N737" i="115"/>
  <c r="N717" i="115"/>
  <c r="N709" i="115"/>
  <c r="N688" i="115"/>
  <c r="N740" i="114"/>
  <c r="N721" i="114"/>
  <c r="N712" i="114"/>
  <c r="N702" i="114"/>
  <c r="N688" i="114"/>
  <c r="N680" i="114"/>
  <c r="N665" i="114"/>
  <c r="N655" i="114"/>
  <c r="N636" i="114"/>
  <c r="N623" i="114"/>
  <c r="N596" i="114"/>
  <c r="N588" i="114"/>
  <c r="N548" i="114"/>
  <c r="N476" i="114"/>
  <c r="N464" i="114"/>
  <c r="N456" i="114"/>
  <c r="N439" i="114"/>
  <c r="N429" i="114"/>
  <c r="N419" i="114"/>
  <c r="N411" i="114"/>
  <c r="N399" i="114"/>
  <c r="N379" i="114"/>
  <c r="N366" i="114"/>
  <c r="N354" i="114"/>
  <c r="N341" i="114"/>
  <c r="N331" i="114"/>
  <c r="N321" i="114"/>
  <c r="N305" i="114"/>
  <c r="N294" i="114"/>
  <c r="N278" i="114"/>
  <c r="N269" i="114"/>
  <c r="N259" i="114"/>
  <c r="N240" i="114"/>
  <c r="N226" i="114"/>
  <c r="N218" i="114"/>
  <c r="N211" i="114"/>
  <c r="N199" i="114"/>
  <c r="N191" i="114"/>
  <c r="N183" i="114"/>
  <c r="N175" i="114"/>
  <c r="N163" i="114"/>
  <c r="N155" i="114"/>
  <c r="N147" i="114"/>
  <c r="N139" i="114"/>
  <c r="N131" i="114"/>
  <c r="N114" i="114"/>
  <c r="N106" i="114"/>
  <c r="N97" i="114"/>
  <c r="N84" i="114"/>
  <c r="N76" i="114"/>
  <c r="N58" i="114"/>
  <c r="N50" i="114"/>
  <c r="N39" i="114"/>
  <c r="N29" i="114"/>
  <c r="N19" i="114"/>
  <c r="N992" i="115"/>
  <c r="N982" i="115"/>
  <c r="N967" i="115"/>
  <c r="N968" i="115" s="1"/>
  <c r="N955" i="115"/>
  <c r="N947" i="115"/>
  <c r="N937" i="115"/>
  <c r="N922" i="115"/>
  <c r="N910" i="115"/>
  <c r="N896" i="115"/>
  <c r="N884" i="115"/>
  <c r="N874" i="115"/>
  <c r="N857" i="115"/>
  <c r="N847" i="115"/>
  <c r="N836" i="115"/>
  <c r="N812" i="115"/>
  <c r="N804" i="115"/>
  <c r="N796" i="115"/>
  <c r="N786" i="115"/>
  <c r="N776" i="115"/>
  <c r="N760" i="115"/>
  <c r="N752" i="115"/>
  <c r="N744" i="115"/>
  <c r="N736" i="115"/>
  <c r="N716" i="115"/>
  <c r="N701" i="115"/>
  <c r="N687" i="115"/>
  <c r="N728" i="114"/>
  <c r="N719" i="114"/>
  <c r="N710" i="114"/>
  <c r="N697" i="114"/>
  <c r="N686" i="114"/>
  <c r="N678" i="114"/>
  <c r="N663" i="114"/>
  <c r="N653" i="114"/>
  <c r="N634" i="114"/>
  <c r="N621" i="114"/>
  <c r="N606" i="114"/>
  <c r="N594" i="114"/>
  <c r="N586" i="114"/>
  <c r="N544" i="114"/>
  <c r="N474" i="114"/>
  <c r="N462" i="114"/>
  <c r="N447" i="114"/>
  <c r="N437" i="114"/>
  <c r="N427" i="114"/>
  <c r="N417" i="114"/>
  <c r="N405" i="114"/>
  <c r="N397" i="114"/>
  <c r="N374" i="114"/>
  <c r="N362" i="114"/>
  <c r="N350" i="114"/>
  <c r="N339" i="114"/>
  <c r="N327" i="114"/>
  <c r="N318" i="114"/>
  <c r="N303" i="114"/>
  <c r="N292" i="114"/>
  <c r="N276" i="114"/>
  <c r="N265" i="114"/>
  <c r="N257" i="114"/>
  <c r="N234" i="114"/>
  <c r="N224" i="114"/>
  <c r="N207" i="114"/>
  <c r="N197" i="114"/>
  <c r="N189" i="114"/>
  <c r="N181" i="114"/>
  <c r="N169" i="114"/>
  <c r="N161" i="114"/>
  <c r="N153" i="114"/>
  <c r="N145" i="114"/>
  <c r="N137" i="114"/>
  <c r="N129" i="114"/>
  <c r="N112" i="114"/>
  <c r="N104" i="114"/>
  <c r="N93" i="114"/>
  <c r="N82" i="114"/>
  <c r="N74" i="114"/>
  <c r="N47" i="114"/>
  <c r="N37" i="114"/>
  <c r="N27" i="114"/>
  <c r="N17" i="114"/>
  <c r="N1041" i="115"/>
  <c r="N990" i="115"/>
  <c r="N980" i="115"/>
  <c r="N963" i="115"/>
  <c r="N953" i="115"/>
  <c r="N945" i="115"/>
  <c r="N935" i="115"/>
  <c r="N920" i="115"/>
  <c r="N908" i="115"/>
  <c r="N892" i="115"/>
  <c r="N880" i="115"/>
  <c r="N872" i="115"/>
  <c r="N855" i="115"/>
  <c r="N845" i="115"/>
  <c r="N834" i="115"/>
  <c r="N818" i="115"/>
  <c r="N810" i="115"/>
  <c r="N802" i="115"/>
  <c r="N792" i="115"/>
  <c r="N782" i="115"/>
  <c r="N774" i="115"/>
  <c r="N758" i="115"/>
  <c r="N750" i="115"/>
  <c r="N742" i="115"/>
  <c r="N734" i="115"/>
  <c r="N714" i="115"/>
  <c r="N697" i="115"/>
  <c r="N685" i="115"/>
  <c r="N736" i="114"/>
  <c r="N635" i="114"/>
  <c r="N455" i="114"/>
  <c r="N353" i="114"/>
  <c r="N258" i="114"/>
  <c r="N172" i="114"/>
  <c r="N94" i="114"/>
  <c r="N1042" i="115"/>
  <c r="N946" i="115"/>
  <c r="N846" i="115"/>
  <c r="N759" i="115"/>
  <c r="N681" i="115"/>
  <c r="N671" i="115"/>
  <c r="N663" i="115"/>
  <c r="N653" i="115"/>
  <c r="N643" i="115"/>
  <c r="N627" i="115"/>
  <c r="N611" i="115"/>
  <c r="N601" i="115"/>
  <c r="N579" i="115"/>
  <c r="N567" i="115"/>
  <c r="N559" i="115"/>
  <c r="N536" i="115"/>
  <c r="N528" i="115"/>
  <c r="N518" i="115"/>
  <c r="N510" i="115"/>
  <c r="N499" i="115"/>
  <c r="N412" i="115"/>
  <c r="N400" i="115"/>
  <c r="N390" i="115"/>
  <c r="N382" i="115"/>
  <c r="N372" i="115"/>
  <c r="N286" i="115"/>
  <c r="N276" i="115"/>
  <c r="N266" i="115"/>
  <c r="N258" i="115"/>
  <c r="N248" i="115"/>
  <c r="N231" i="115"/>
  <c r="N221" i="115"/>
  <c r="N213" i="115"/>
  <c r="N204" i="115"/>
  <c r="N143" i="115"/>
  <c r="N134" i="115"/>
  <c r="N124" i="115"/>
  <c r="N109" i="115"/>
  <c r="N99" i="115"/>
  <c r="N89" i="115"/>
  <c r="N74" i="115"/>
  <c r="N66" i="115"/>
  <c r="N56" i="115"/>
  <c r="N46" i="115"/>
  <c r="N32" i="115"/>
  <c r="N24" i="115"/>
  <c r="N16" i="115"/>
  <c r="N1918" i="68"/>
  <c r="N1903" i="68"/>
  <c r="N1894" i="68"/>
  <c r="N1802" i="68"/>
  <c r="N1790" i="68"/>
  <c r="N1773" i="68"/>
  <c r="N1765" i="68"/>
  <c r="N1755" i="68"/>
  <c r="N1745" i="68"/>
  <c r="N1726" i="68"/>
  <c r="N1718" i="68"/>
  <c r="N1708" i="68"/>
  <c r="N1697" i="68"/>
  <c r="N1680" i="68"/>
  <c r="N1681" i="68" s="1"/>
  <c r="N1671" i="68"/>
  <c r="N1662" i="68"/>
  <c r="N1652" i="68"/>
  <c r="N1635" i="68"/>
  <c r="N1625" i="68"/>
  <c r="N1617" i="68"/>
  <c r="N1608" i="68"/>
  <c r="N1594" i="68"/>
  <c r="N1584" i="68"/>
  <c r="N1574" i="68"/>
  <c r="N1554" i="68"/>
  <c r="N1546" i="68"/>
  <c r="N1536" i="68"/>
  <c r="N1527" i="68"/>
  <c r="N1449" i="68"/>
  <c r="N1450" i="68" s="1"/>
  <c r="N1452" i="68" s="1"/>
  <c r="N1430" i="68"/>
  <c r="N1419" i="68"/>
  <c r="N720" i="114"/>
  <c r="N622" i="114"/>
  <c r="N438" i="114"/>
  <c r="N340" i="114"/>
  <c r="N237" i="114"/>
  <c r="N238" i="114" s="1"/>
  <c r="N162" i="114"/>
  <c r="N83" i="114"/>
  <c r="N936" i="115"/>
  <c r="N835" i="115"/>
  <c r="N751" i="115"/>
  <c r="N680" i="115"/>
  <c r="N670" i="115"/>
  <c r="N662" i="115"/>
  <c r="N652" i="115"/>
  <c r="N642" i="115"/>
  <c r="N626" i="115"/>
  <c r="N610" i="115"/>
  <c r="N600" i="115"/>
  <c r="N578" i="115"/>
  <c r="N566" i="115"/>
  <c r="N558" i="115"/>
  <c r="N535" i="115"/>
  <c r="N527" i="115"/>
  <c r="N517" i="115"/>
  <c r="N509" i="115"/>
  <c r="N498" i="115"/>
  <c r="N409" i="115"/>
  <c r="N410" i="115" s="1"/>
  <c r="N399" i="115"/>
  <c r="N389" i="115"/>
  <c r="N381" i="115"/>
  <c r="N371" i="115"/>
  <c r="N285" i="115"/>
  <c r="N275" i="115"/>
  <c r="N265" i="115"/>
  <c r="N257" i="115"/>
  <c r="N247" i="115"/>
  <c r="N230" i="115"/>
  <c r="N220" i="115"/>
  <c r="N212" i="115"/>
  <c r="N203" i="115"/>
  <c r="N142" i="115"/>
  <c r="N133" i="115"/>
  <c r="N123" i="115"/>
  <c r="N108" i="115"/>
  <c r="N98" i="115"/>
  <c r="N88" i="115"/>
  <c r="N73" i="115"/>
  <c r="N63" i="115"/>
  <c r="N53" i="115"/>
  <c r="N45" i="115"/>
  <c r="N31" i="115"/>
  <c r="N23" i="115"/>
  <c r="N15" i="115"/>
  <c r="N1927" i="68"/>
  <c r="N1928" i="68" s="1"/>
  <c r="N1917" i="68"/>
  <c r="N1902" i="68"/>
  <c r="N1893" i="68"/>
  <c r="N1801" i="68"/>
  <c r="N1789" i="68"/>
  <c r="N1772" i="68"/>
  <c r="N1762" i="68"/>
  <c r="N1754" i="68"/>
  <c r="N1744" i="68"/>
  <c r="N1725" i="68"/>
  <c r="N1717" i="68"/>
  <c r="N1707" i="68"/>
  <c r="N1696" i="68"/>
  <c r="N1677" i="68"/>
  <c r="N1670" i="68"/>
  <c r="N1661" i="68"/>
  <c r="N1651" i="68"/>
  <c r="N1634" i="68"/>
  <c r="N1624" i="68"/>
  <c r="N1607" i="68"/>
  <c r="N1593" i="68"/>
  <c r="N1581" i="68"/>
  <c r="N1567" i="68"/>
  <c r="N1568" i="68" s="1"/>
  <c r="N1553" i="68"/>
  <c r="N1535" i="68"/>
  <c r="N1526" i="68"/>
  <c r="N1441" i="68"/>
  <c r="N1442" i="68" s="1"/>
  <c r="N1428" i="68"/>
  <c r="N1418" i="68"/>
  <c r="N711" i="114"/>
  <c r="N607" i="114"/>
  <c r="N428" i="114"/>
  <c r="N328" i="114"/>
  <c r="N225" i="114"/>
  <c r="N154" i="114"/>
  <c r="N75" i="114"/>
  <c r="N921" i="115"/>
  <c r="N821" i="115"/>
  <c r="N822" i="115" s="1"/>
  <c r="N743" i="115"/>
  <c r="N679" i="115"/>
  <c r="N669" i="115"/>
  <c r="N661" i="115"/>
  <c r="N651" i="115"/>
  <c r="N641" i="115"/>
  <c r="N625" i="115"/>
  <c r="N609" i="115"/>
  <c r="N599" i="115"/>
  <c r="N577" i="115"/>
  <c r="N565" i="115"/>
  <c r="N557" i="115"/>
  <c r="N534" i="115"/>
  <c r="N526" i="115"/>
  <c r="N516" i="115"/>
  <c r="N506" i="115"/>
  <c r="N427" i="115"/>
  <c r="N428" i="115" s="1"/>
  <c r="N430" i="115" s="1"/>
  <c r="N406" i="115"/>
  <c r="N398" i="115"/>
  <c r="N388" i="115"/>
  <c r="N380" i="115"/>
  <c r="N370" i="115"/>
  <c r="N282" i="115"/>
  <c r="N274" i="115"/>
  <c r="N264" i="115"/>
  <c r="N256" i="115"/>
  <c r="N246" i="115"/>
  <c r="N229" i="115"/>
  <c r="N219" i="115"/>
  <c r="N211" i="115"/>
  <c r="N202" i="115"/>
  <c r="N141" i="115"/>
  <c r="N132" i="115"/>
  <c r="N122" i="115"/>
  <c r="N107" i="115"/>
  <c r="N97" i="115"/>
  <c r="N87" i="115"/>
  <c r="N72" i="115"/>
  <c r="N62" i="115"/>
  <c r="N52" i="115"/>
  <c r="N44" i="115"/>
  <c r="N30" i="115"/>
  <c r="N22" i="115"/>
  <c r="N14" i="115"/>
  <c r="N1924" i="68"/>
  <c r="N1899" i="68"/>
  <c r="N1900" i="68" s="1"/>
  <c r="N1812" i="68"/>
  <c r="N1813" i="68" s="1"/>
  <c r="N1800" i="68"/>
  <c r="N1788" i="68"/>
  <c r="N1771" i="68"/>
  <c r="N1761" i="68"/>
  <c r="N1753" i="68"/>
  <c r="N1743" i="68"/>
  <c r="N1724" i="68"/>
  <c r="N1716" i="68"/>
  <c r="N1706" i="68"/>
  <c r="N1695" i="68"/>
  <c r="N1676" i="68"/>
  <c r="N1658" i="68"/>
  <c r="N1643" i="68"/>
  <c r="N1633" i="68"/>
  <c r="N1623" i="68"/>
  <c r="N1616" i="68"/>
  <c r="N1606" i="68"/>
  <c r="N1592" i="68"/>
  <c r="N1580" i="68"/>
  <c r="N1552" i="68"/>
  <c r="N1543" i="68"/>
  <c r="N1534" i="68"/>
  <c r="N1525" i="68"/>
  <c r="N1438" i="68"/>
  <c r="N1427" i="68"/>
  <c r="N1417" i="68"/>
  <c r="N701" i="114"/>
  <c r="N595" i="114"/>
  <c r="N418" i="114"/>
  <c r="N320" i="114"/>
  <c r="N217" i="114"/>
  <c r="N146" i="114"/>
  <c r="N909" i="115"/>
  <c r="N811" i="115"/>
  <c r="N735" i="115"/>
  <c r="N678" i="115"/>
  <c r="N668" i="115"/>
  <c r="N658" i="115"/>
  <c r="N648" i="115"/>
  <c r="N632" i="115"/>
  <c r="N624" i="115"/>
  <c r="N633" i="115" s="1"/>
  <c r="N608" i="115"/>
  <c r="N592" i="115"/>
  <c r="N574" i="115"/>
  <c r="N564" i="115"/>
  <c r="N554" i="115"/>
  <c r="N555" i="115" s="1"/>
  <c r="N533" i="115"/>
  <c r="N525" i="115"/>
  <c r="N515" i="115"/>
  <c r="N505" i="115"/>
  <c r="N419" i="115"/>
  <c r="N405" i="115"/>
  <c r="N397" i="115"/>
  <c r="N387" i="115"/>
  <c r="N379" i="115"/>
  <c r="N369" i="115"/>
  <c r="N281" i="115"/>
  <c r="N271" i="115"/>
  <c r="N263" i="115"/>
  <c r="N255" i="115"/>
  <c r="N245" i="115"/>
  <c r="N228" i="115"/>
  <c r="N218" i="115"/>
  <c r="N210" i="115"/>
  <c r="N201" i="115"/>
  <c r="N131" i="115"/>
  <c r="N121" i="115"/>
  <c r="N106" i="115"/>
  <c r="N96" i="115"/>
  <c r="N86" i="115"/>
  <c r="N71" i="115"/>
  <c r="N61" i="115"/>
  <c r="N51" i="115"/>
  <c r="N43" i="115"/>
  <c r="N29" i="115"/>
  <c r="N21" i="115"/>
  <c r="N13" i="115"/>
  <c r="N1923" i="68"/>
  <c r="N1914" i="68"/>
  <c r="N1915" i="68" s="1"/>
  <c r="N1896" i="68"/>
  <c r="N1809" i="68"/>
  <c r="N1799" i="68"/>
  <c r="N1787" i="68"/>
  <c r="N1770" i="68"/>
  <c r="N1760" i="68"/>
  <c r="N1752" i="68"/>
  <c r="N1742" i="68"/>
  <c r="N1723" i="68"/>
  <c r="N1715" i="68"/>
  <c r="N1705" i="68"/>
  <c r="N1694" i="68"/>
  <c r="N1675" i="68"/>
  <c r="N1667" i="68"/>
  <c r="N1657" i="68"/>
  <c r="N1642" i="68"/>
  <c r="N1632" i="68"/>
  <c r="N1622" i="68"/>
  <c r="N1615" i="68"/>
  <c r="N1605" i="68"/>
  <c r="N1591" i="68"/>
  <c r="N1579" i="68"/>
  <c r="N1559" i="68"/>
  <c r="N1551" i="68"/>
  <c r="N1542" i="68"/>
  <c r="N1533" i="68"/>
  <c r="N1524" i="68"/>
  <c r="N1437" i="68"/>
  <c r="N1426" i="68"/>
  <c r="N1416" i="68"/>
  <c r="N687" i="114"/>
  <c r="N587" i="114"/>
  <c r="N410" i="114"/>
  <c r="N304" i="114"/>
  <c r="N208" i="114"/>
  <c r="N138" i="114"/>
  <c r="N991" i="115"/>
  <c r="N893" i="115"/>
  <c r="N803" i="115"/>
  <c r="N715" i="115"/>
  <c r="N677" i="115"/>
  <c r="N667" i="115"/>
  <c r="N657" i="115"/>
  <c r="N647" i="115"/>
  <c r="N631" i="115"/>
  <c r="N621" i="115"/>
  <c r="N607" i="115"/>
  <c r="N591" i="115"/>
  <c r="N573" i="115"/>
  <c r="N563" i="115"/>
  <c r="N545" i="115"/>
  <c r="N532" i="115"/>
  <c r="N522" i="115"/>
  <c r="N514" i="115"/>
  <c r="N504" i="115"/>
  <c r="N418" i="115"/>
  <c r="N404" i="115"/>
  <c r="N396" i="115"/>
  <c r="N386" i="115"/>
  <c r="N376" i="115"/>
  <c r="N293" i="115"/>
  <c r="N280" i="115"/>
  <c r="N270" i="115"/>
  <c r="N262" i="115"/>
  <c r="N254" i="115"/>
  <c r="N244" i="115"/>
  <c r="N227" i="115"/>
  <c r="N217" i="115"/>
  <c r="N209" i="115"/>
  <c r="N200" i="115"/>
  <c r="N140" i="115"/>
  <c r="N130" i="115"/>
  <c r="N120" i="115"/>
  <c r="N105" i="115"/>
  <c r="N95" i="115"/>
  <c r="N85" i="115"/>
  <c r="N70" i="115"/>
  <c r="N60" i="115"/>
  <c r="N50" i="115"/>
  <c r="N36" i="115"/>
  <c r="N28" i="115"/>
  <c r="N20" i="115"/>
  <c r="N12" i="115"/>
  <c r="N1922" i="68"/>
  <c r="N1911" i="68"/>
  <c r="N1808" i="68"/>
  <c r="N1796" i="68"/>
  <c r="N1786" i="68"/>
  <c r="N1769" i="68"/>
  <c r="N1759" i="68"/>
  <c r="N1751" i="68"/>
  <c r="N1741" i="68"/>
  <c r="N1722" i="68"/>
  <c r="N1714" i="68"/>
  <c r="N1704" i="68"/>
  <c r="N1693" i="68"/>
  <c r="N1666" i="68"/>
  <c r="N1656" i="68"/>
  <c r="N1639" i="68"/>
  <c r="N1631" i="68"/>
  <c r="N1621" i="68"/>
  <c r="N1614" i="68"/>
  <c r="N1604" i="68"/>
  <c r="N1590" i="68"/>
  <c r="N1578" i="68"/>
  <c r="N1558" i="68"/>
  <c r="N1550" i="68"/>
  <c r="N1540" i="68"/>
  <c r="N1523" i="68"/>
  <c r="N1436" i="68"/>
  <c r="N1425" i="68"/>
  <c r="N679" i="114"/>
  <c r="N545" i="114"/>
  <c r="N398" i="114"/>
  <c r="N293" i="114"/>
  <c r="N198" i="114"/>
  <c r="N130" i="114"/>
  <c r="N38" i="114"/>
  <c r="N981" i="115"/>
  <c r="N883" i="115"/>
  <c r="N793" i="115"/>
  <c r="N700" i="115"/>
  <c r="N676" i="115"/>
  <c r="N666" i="115"/>
  <c r="N656" i="115"/>
  <c r="N646" i="115"/>
  <c r="N630" i="115"/>
  <c r="N620" i="115"/>
  <c r="N606" i="115"/>
  <c r="N590" i="115"/>
  <c r="N572" i="115"/>
  <c r="N562" i="115"/>
  <c r="N544" i="115"/>
  <c r="N531" i="115"/>
  <c r="N521" i="115"/>
  <c r="N513" i="115"/>
  <c r="N503" i="115"/>
  <c r="N417" i="115"/>
  <c r="N403" i="115"/>
  <c r="N393" i="115"/>
  <c r="N385" i="115"/>
  <c r="N375" i="115"/>
  <c r="N291" i="115"/>
  <c r="N279" i="115"/>
  <c r="N269" i="115"/>
  <c r="N261" i="115"/>
  <c r="N251" i="115"/>
  <c r="N236" i="115"/>
  <c r="N237" i="115" s="1"/>
  <c r="N226" i="115"/>
  <c r="N216" i="115"/>
  <c r="N199" i="115"/>
  <c r="N139" i="115"/>
  <c r="N127" i="115"/>
  <c r="N112" i="115"/>
  <c r="N104" i="115"/>
  <c r="N92" i="115"/>
  <c r="N77" i="115"/>
  <c r="N69" i="115"/>
  <c r="N59" i="115"/>
  <c r="N49" i="115"/>
  <c r="N35" i="115"/>
  <c r="N27" i="115"/>
  <c r="N19" i="115"/>
  <c r="N11" i="115"/>
  <c r="N1921" i="68"/>
  <c r="N1910" i="68"/>
  <c r="N1895" i="68"/>
  <c r="N1805" i="68"/>
  <c r="N1795" i="68"/>
  <c r="N1785" i="68"/>
  <c r="N1768" i="68"/>
  <c r="N1758" i="68"/>
  <c r="N1748" i="68"/>
  <c r="N1733" i="68"/>
  <c r="N1734" i="68" s="1"/>
  <c r="N1721" i="68"/>
  <c r="N1711" i="68"/>
  <c r="N1702" i="68"/>
  <c r="N1692" i="68"/>
  <c r="N1674" i="68"/>
  <c r="N1665" i="68"/>
  <c r="N1655" i="68"/>
  <c r="N1638" i="68"/>
  <c r="N1628" i="68"/>
  <c r="N1620" i="68"/>
  <c r="N1611" i="68"/>
  <c r="N1603" i="68"/>
  <c r="N1587" i="68"/>
  <c r="N1577" i="68"/>
  <c r="N1557" i="68"/>
  <c r="N1549" i="68"/>
  <c r="N1539" i="68"/>
  <c r="N1532" i="68"/>
  <c r="N1522" i="68"/>
  <c r="N1433" i="68"/>
  <c r="N1422" i="68"/>
  <c r="N664" i="114"/>
  <c r="N190" i="114"/>
  <c r="N683" i="115"/>
  <c r="N644" i="115"/>
  <c r="N580" i="115"/>
  <c r="N529" i="115"/>
  <c r="N413" i="115"/>
  <c r="N373" i="115"/>
  <c r="N259" i="115"/>
  <c r="N214" i="115"/>
  <c r="N125" i="115"/>
  <c r="N75" i="115"/>
  <c r="N33" i="115"/>
  <c r="N1919" i="68"/>
  <c r="N1793" i="68"/>
  <c r="N1746" i="68"/>
  <c r="N1698" i="68"/>
  <c r="N1653" i="68"/>
  <c r="N1609" i="68"/>
  <c r="N1555" i="68"/>
  <c r="N1520" i="68"/>
  <c r="N1412" i="68"/>
  <c r="N1402" i="68"/>
  <c r="N1385" i="68"/>
  <c r="N1375" i="68"/>
  <c r="N1365" i="68"/>
  <c r="N1350" i="68"/>
  <c r="N1337" i="68"/>
  <c r="N1255" i="68"/>
  <c r="N1245" i="68"/>
  <c r="N1229" i="68"/>
  <c r="N1219" i="68"/>
  <c r="N1201" i="68"/>
  <c r="N1190" i="68"/>
  <c r="N1182" i="68"/>
  <c r="N1174" i="68"/>
  <c r="N1164" i="68"/>
  <c r="N1148" i="68"/>
  <c r="N1139" i="68"/>
  <c r="N1131" i="68"/>
  <c r="N1121" i="68"/>
  <c r="N1041" i="68"/>
  <c r="N1031" i="68"/>
  <c r="N1020" i="68"/>
  <c r="N1012" i="68"/>
  <c r="N997" i="68"/>
  <c r="N987" i="68"/>
  <c r="N979" i="68"/>
  <c r="N969" i="68"/>
  <c r="N955" i="68"/>
  <c r="N947" i="68"/>
  <c r="N936" i="68"/>
  <c r="N926" i="68"/>
  <c r="N910" i="68"/>
  <c r="N900" i="68"/>
  <c r="N892" i="68"/>
  <c r="N882" i="68"/>
  <c r="N868" i="68"/>
  <c r="N860" i="68"/>
  <c r="N850" i="68"/>
  <c r="N840" i="68"/>
  <c r="N775" i="68"/>
  <c r="N763" i="68"/>
  <c r="N755" i="68"/>
  <c r="N740" i="68"/>
  <c r="N728" i="68"/>
  <c r="N714" i="68"/>
  <c r="N704" i="68"/>
  <c r="N694" i="68"/>
  <c r="N626" i="68"/>
  <c r="N608" i="68"/>
  <c r="N600" i="68"/>
  <c r="N588" i="68"/>
  <c r="N527" i="68"/>
  <c r="N515" i="68"/>
  <c r="N501" i="68"/>
  <c r="N483" i="68"/>
  <c r="N475" i="68"/>
  <c r="N463" i="68"/>
  <c r="N449" i="68"/>
  <c r="N450" i="68" s="1"/>
  <c r="N441" i="68"/>
  <c r="N429" i="68"/>
  <c r="N370" i="68"/>
  <c r="N354" i="68"/>
  <c r="N342" i="68"/>
  <c r="N654" i="114"/>
  <c r="N182" i="114"/>
  <c r="N964" i="115"/>
  <c r="N675" i="115"/>
  <c r="N629" i="115"/>
  <c r="N571" i="115"/>
  <c r="N520" i="115"/>
  <c r="N402" i="115"/>
  <c r="N288" i="115"/>
  <c r="N250" i="115"/>
  <c r="N208" i="115"/>
  <c r="N111" i="115"/>
  <c r="N68" i="115"/>
  <c r="N26" i="115"/>
  <c r="N1909" i="68"/>
  <c r="N1784" i="68"/>
  <c r="N1730" i="68"/>
  <c r="N1731" i="68" s="1"/>
  <c r="N1691" i="68"/>
  <c r="N1637" i="68"/>
  <c r="N1602" i="68"/>
  <c r="N1548" i="68"/>
  <c r="N1432" i="68"/>
  <c r="N1411" i="68"/>
  <c r="N1401" i="68"/>
  <c r="N1384" i="68"/>
  <c r="N1374" i="68"/>
  <c r="N1363" i="68"/>
  <c r="N1349" i="68"/>
  <c r="N1336" i="68"/>
  <c r="N1254" i="68"/>
  <c r="N1244" i="68"/>
  <c r="N1228" i="68"/>
  <c r="N1218" i="68"/>
  <c r="N1200" i="68"/>
  <c r="N1189" i="68"/>
  <c r="N1181" i="68"/>
  <c r="N1171" i="68"/>
  <c r="N1157" i="68"/>
  <c r="N1158" i="68" s="1"/>
  <c r="N1147" i="68"/>
  <c r="N1138" i="68"/>
  <c r="N1128" i="68"/>
  <c r="N1120" i="68"/>
  <c r="N1040" i="68"/>
  <c r="N1030" i="68"/>
  <c r="N1019" i="68"/>
  <c r="N1011" i="68"/>
  <c r="N996" i="68"/>
  <c r="N986" i="68"/>
  <c r="N978" i="68"/>
  <c r="N968" i="68"/>
  <c r="N954" i="68"/>
  <c r="N944" i="68"/>
  <c r="N933" i="68"/>
  <c r="N925" i="68"/>
  <c r="N909" i="68"/>
  <c r="N899" i="68"/>
  <c r="N889" i="68"/>
  <c r="N881" i="68"/>
  <c r="N867" i="68"/>
  <c r="N857" i="68"/>
  <c r="N849" i="68"/>
  <c r="N839" i="68"/>
  <c r="N774" i="68"/>
  <c r="N762" i="68"/>
  <c r="N749" i="68"/>
  <c r="N750" i="68" s="1"/>
  <c r="N737" i="68"/>
  <c r="N727" i="68"/>
  <c r="N713" i="68"/>
  <c r="N701" i="68"/>
  <c r="N693" i="68"/>
  <c r="N623" i="68"/>
  <c r="N607" i="68"/>
  <c r="N597" i="68"/>
  <c r="N587" i="68"/>
  <c r="N524" i="68"/>
  <c r="N508" i="68"/>
  <c r="N500" i="68"/>
  <c r="N482" i="68"/>
  <c r="N474" i="68"/>
  <c r="N462" i="68"/>
  <c r="N446" i="68"/>
  <c r="N440" i="68"/>
  <c r="N428" i="68"/>
  <c r="N369" i="68"/>
  <c r="N353" i="68"/>
  <c r="N475" i="114"/>
  <c r="N113" i="114"/>
  <c r="N954" i="115"/>
  <c r="N672" i="115"/>
  <c r="N628" i="115"/>
  <c r="N570" i="115"/>
  <c r="N519" i="115"/>
  <c r="N401" i="115"/>
  <c r="N287" i="115"/>
  <c r="N249" i="115"/>
  <c r="N207" i="115"/>
  <c r="N110" i="115"/>
  <c r="N67" i="115"/>
  <c r="N25" i="115"/>
  <c r="N1906" i="68"/>
  <c r="N1776" i="68"/>
  <c r="N1777" i="68" s="1"/>
  <c r="N1727" i="68"/>
  <c r="N1683" i="68"/>
  <c r="N1684" i="68" s="1"/>
  <c r="N1636" i="68"/>
  <c r="N1595" i="68"/>
  <c r="N1547" i="68"/>
  <c r="N1431" i="68"/>
  <c r="N1410" i="68"/>
  <c r="N1400" i="68"/>
  <c r="N1383" i="68"/>
  <c r="N1373" i="68"/>
  <c r="N1362" i="68"/>
  <c r="N1346" i="68"/>
  <c r="N1334" i="68"/>
  <c r="N1253" i="68"/>
  <c r="N1243" i="68"/>
  <c r="N1227" i="68"/>
  <c r="N1217" i="68"/>
  <c r="N1199" i="68"/>
  <c r="N1188" i="68"/>
  <c r="N1180" i="68"/>
  <c r="N1170" i="68"/>
  <c r="N1154" i="68"/>
  <c r="N1146" i="68"/>
  <c r="N1137" i="68"/>
  <c r="N1127" i="68"/>
  <c r="N1047" i="68"/>
  <c r="N1039" i="68"/>
  <c r="N1029" i="68"/>
  <c r="N1018" i="68"/>
  <c r="N1003" i="68"/>
  <c r="N995" i="68"/>
  <c r="N985" i="68"/>
  <c r="N977" i="68"/>
  <c r="N967" i="68"/>
  <c r="N953" i="68"/>
  <c r="N943" i="68"/>
  <c r="N932" i="68"/>
  <c r="N918" i="68"/>
  <c r="N919" i="68" s="1"/>
  <c r="N908" i="68"/>
  <c r="N898" i="68"/>
  <c r="N888" i="68"/>
  <c r="N874" i="68"/>
  <c r="N866" i="68"/>
  <c r="N856" i="68"/>
  <c r="N848" i="68"/>
  <c r="N838" i="68"/>
  <c r="N773" i="68"/>
  <c r="N761" i="68"/>
  <c r="N746" i="68"/>
  <c r="N736" i="68"/>
  <c r="N726" i="68"/>
  <c r="N712" i="68"/>
  <c r="N700" i="68"/>
  <c r="N692" i="68"/>
  <c r="N622" i="68"/>
  <c r="N606" i="68"/>
  <c r="N596" i="68"/>
  <c r="N586" i="68"/>
  <c r="N523" i="68"/>
  <c r="N507" i="68"/>
  <c r="N497" i="68"/>
  <c r="N481" i="68"/>
  <c r="N471" i="68"/>
  <c r="N461" i="68"/>
  <c r="N445" i="68"/>
  <c r="N437" i="68"/>
  <c r="N427" i="68"/>
  <c r="N368" i="68"/>
  <c r="N352" i="68"/>
  <c r="N463" i="114"/>
  <c r="N105" i="114"/>
  <c r="N873" i="115"/>
  <c r="N665" i="115"/>
  <c r="N619" i="115"/>
  <c r="N561" i="115"/>
  <c r="N512" i="115"/>
  <c r="N392" i="115"/>
  <c r="N278" i="115"/>
  <c r="N233" i="115"/>
  <c r="N198" i="115"/>
  <c r="N101" i="115"/>
  <c r="N58" i="115"/>
  <c r="N18" i="115"/>
  <c r="N1767" i="68"/>
  <c r="N1720" i="68"/>
  <c r="N1673" i="68"/>
  <c r="N1627" i="68"/>
  <c r="N1586" i="68"/>
  <c r="N1538" i="68"/>
  <c r="N1421" i="68"/>
  <c r="N1407" i="68"/>
  <c r="N1382" i="68"/>
  <c r="N1372" i="68"/>
  <c r="N1361" i="68"/>
  <c r="N1344" i="68"/>
  <c r="N1333" i="68"/>
  <c r="N1252" i="68"/>
  <c r="N1236" i="68"/>
  <c r="N1237" i="68" s="1"/>
  <c r="N1226" i="68"/>
  <c r="N1210" i="68"/>
  <c r="N1211" i="68" s="1"/>
  <c r="N1198" i="68"/>
  <c r="N1187" i="68"/>
  <c r="N1179" i="68"/>
  <c r="N1169" i="68"/>
  <c r="N1153" i="68"/>
  <c r="N1145" i="68"/>
  <c r="N1136" i="68"/>
  <c r="N1126" i="68"/>
  <c r="N1046" i="68"/>
  <c r="N1038" i="68"/>
  <c r="N1028" i="68"/>
  <c r="N1017" i="68"/>
  <c r="N1002" i="68"/>
  <c r="N994" i="68"/>
  <c r="N984" i="68"/>
  <c r="N974" i="68"/>
  <c r="N966" i="68"/>
  <c r="N952" i="68"/>
  <c r="N942" i="68"/>
  <c r="N931" i="68"/>
  <c r="N915" i="68"/>
  <c r="N907" i="68"/>
  <c r="N897" i="68"/>
  <c r="N887" i="68"/>
  <c r="N873" i="68"/>
  <c r="N865" i="68"/>
  <c r="N855" i="68"/>
  <c r="N847" i="68"/>
  <c r="N837" i="68"/>
  <c r="N770" i="68"/>
  <c r="N760" i="68"/>
  <c r="N745" i="68"/>
  <c r="N735" i="68"/>
  <c r="N725" i="68"/>
  <c r="N711" i="68"/>
  <c r="N699" i="68"/>
  <c r="N691" i="68"/>
  <c r="N621" i="68"/>
  <c r="N605" i="68"/>
  <c r="N595" i="68"/>
  <c r="N584" i="68"/>
  <c r="N520" i="68"/>
  <c r="N506" i="68"/>
  <c r="N496" i="68"/>
  <c r="N480" i="68"/>
  <c r="N470" i="68"/>
  <c r="N460" i="68"/>
  <c r="N444" i="68"/>
  <c r="N436" i="68"/>
  <c r="N426" i="68"/>
  <c r="N367" i="68"/>
  <c r="N351" i="68"/>
  <c r="N376" i="114"/>
  <c r="N28" i="114"/>
  <c r="N856" i="115"/>
  <c r="N664" i="115"/>
  <c r="N560" i="115"/>
  <c r="N511" i="115"/>
  <c r="N391" i="115"/>
  <c r="N277" i="115"/>
  <c r="N232" i="115"/>
  <c r="N197" i="115"/>
  <c r="N100" i="115"/>
  <c r="N57" i="115"/>
  <c r="N17" i="115"/>
  <c r="N1766" i="68"/>
  <c r="N1719" i="68"/>
  <c r="N1672" i="68"/>
  <c r="N1626" i="68"/>
  <c r="N1585" i="68"/>
  <c r="N1537" i="68"/>
  <c r="N1420" i="68"/>
  <c r="N1406" i="68"/>
  <c r="N1393" i="68"/>
  <c r="N1381" i="68"/>
  <c r="N1369" i="68"/>
  <c r="N1360" i="68"/>
  <c r="N1343" i="68"/>
  <c r="N1332" i="68"/>
  <c r="N1249" i="68"/>
  <c r="N1233" i="68"/>
  <c r="N1223" i="68"/>
  <c r="N1207" i="68"/>
  <c r="N1197" i="68"/>
  <c r="N1186" i="68"/>
  <c r="N1178" i="68"/>
  <c r="N1168" i="68"/>
  <c r="N1152" i="68"/>
  <c r="N1144" i="68"/>
  <c r="N1135" i="68"/>
  <c r="N1125" i="68"/>
  <c r="N1045" i="68"/>
  <c r="N1037" i="68"/>
  <c r="N1027" i="68"/>
  <c r="N1016" i="68"/>
  <c r="N1001" i="68"/>
  <c r="N993" i="68"/>
  <c r="N983" i="68"/>
  <c r="N973" i="68"/>
  <c r="N965" i="68"/>
  <c r="N951" i="68"/>
  <c r="N941" i="68"/>
  <c r="N930" i="68"/>
  <c r="N914" i="68"/>
  <c r="N906" i="68"/>
  <c r="N896" i="68"/>
  <c r="N886" i="68"/>
  <c r="N872" i="68"/>
  <c r="N864" i="68"/>
  <c r="N854" i="68"/>
  <c r="N844" i="68"/>
  <c r="N836" i="68"/>
  <c r="N769" i="68"/>
  <c r="N759" i="68"/>
  <c r="N744" i="68"/>
  <c r="N734" i="68"/>
  <c r="N724" i="68"/>
  <c r="N710" i="68"/>
  <c r="N698" i="68"/>
  <c r="N638" i="68"/>
  <c r="N620" i="68"/>
  <c r="N604" i="68"/>
  <c r="N594" i="68"/>
  <c r="N583" i="68"/>
  <c r="N519" i="68"/>
  <c r="N505" i="68"/>
  <c r="N479" i="68"/>
  <c r="N469" i="68"/>
  <c r="N459" i="68"/>
  <c r="N435" i="68"/>
  <c r="N425" i="68"/>
  <c r="N364" i="68"/>
  <c r="N365" i="68" s="1"/>
  <c r="N350" i="68"/>
  <c r="N363" i="114"/>
  <c r="N18" i="114"/>
  <c r="N783" i="115"/>
  <c r="N655" i="115"/>
  <c r="N605" i="115"/>
  <c r="N612" i="115" s="1"/>
  <c r="N541" i="115"/>
  <c r="N502" i="115"/>
  <c r="N384" i="115"/>
  <c r="N268" i="115"/>
  <c r="N225" i="115"/>
  <c r="N136" i="115"/>
  <c r="N91" i="115"/>
  <c r="N48" i="115"/>
  <c r="N1804" i="68"/>
  <c r="N1757" i="68"/>
  <c r="N1710" i="68"/>
  <c r="N1664" i="68"/>
  <c r="N1619" i="68"/>
  <c r="N1576" i="68"/>
  <c r="N1529" i="68"/>
  <c r="N1415" i="68"/>
  <c r="N1405" i="68"/>
  <c r="N1392" i="68"/>
  <c r="N1378" i="68"/>
  <c r="N1368" i="68"/>
  <c r="N1359" i="68"/>
  <c r="N1340" i="68"/>
  <c r="N1331" i="68"/>
  <c r="N1248" i="68"/>
  <c r="N1232" i="68"/>
  <c r="N1222" i="68"/>
  <c r="N1206" i="68"/>
  <c r="N1196" i="68"/>
  <c r="N1185" i="68"/>
  <c r="N1177" i="68"/>
  <c r="N1167" i="68"/>
  <c r="N1151" i="68"/>
  <c r="N1143" i="68"/>
  <c r="N1134" i="68"/>
  <c r="N1124" i="68"/>
  <c r="N1044" i="68"/>
  <c r="N1036" i="68"/>
  <c r="N1026" i="68"/>
  <c r="N1015" i="68"/>
  <c r="N1000" i="68"/>
  <c r="N992" i="68"/>
  <c r="N982" i="68"/>
  <c r="N972" i="68"/>
  <c r="N958" i="68"/>
  <c r="N950" i="68"/>
  <c r="N940" i="68"/>
  <c r="N929" i="68"/>
  <c r="N913" i="68"/>
  <c r="N903" i="68"/>
  <c r="N895" i="68"/>
  <c r="N885" i="68"/>
  <c r="N871" i="68"/>
  <c r="N863" i="68"/>
  <c r="N853" i="68"/>
  <c r="N843" i="68"/>
  <c r="N780" i="68"/>
  <c r="N781" i="68" s="1"/>
  <c r="N768" i="68"/>
  <c r="N758" i="68"/>
  <c r="N743" i="68"/>
  <c r="N733" i="68"/>
  <c r="N723" i="68"/>
  <c r="N709" i="68"/>
  <c r="N697" i="68"/>
  <c r="N637" i="68"/>
  <c r="N619" i="68"/>
  <c r="N603" i="68"/>
  <c r="N591" i="68"/>
  <c r="N530" i="68"/>
  <c r="N518" i="68"/>
  <c r="N504" i="68"/>
  <c r="N495" i="68"/>
  <c r="N478" i="68"/>
  <c r="N466" i="68"/>
  <c r="N458" i="68"/>
  <c r="N434" i="68"/>
  <c r="N424" i="68"/>
  <c r="N357" i="68"/>
  <c r="N347" i="68"/>
  <c r="N277" i="114"/>
  <c r="N645" i="115"/>
  <c r="N374" i="115"/>
  <c r="N76" i="115"/>
  <c r="N1747" i="68"/>
  <c r="N1556" i="68"/>
  <c r="N1386" i="68"/>
  <c r="N1338" i="68"/>
  <c r="N1220" i="68"/>
  <c r="N1175" i="68"/>
  <c r="N1132" i="68"/>
  <c r="N1023" i="68"/>
  <c r="N980" i="68"/>
  <c r="N938" i="68"/>
  <c r="N893" i="68"/>
  <c r="N851" i="68"/>
  <c r="N756" i="68"/>
  <c r="N705" i="68"/>
  <c r="N601" i="68"/>
  <c r="N502" i="68"/>
  <c r="N355" i="68"/>
  <c r="N336" i="68"/>
  <c r="N320" i="68"/>
  <c r="N304" i="68"/>
  <c r="N294" i="68"/>
  <c r="N284" i="68"/>
  <c r="N224" i="68"/>
  <c r="N212" i="68"/>
  <c r="N196" i="68"/>
  <c r="N197" i="68" s="1"/>
  <c r="N180" i="68"/>
  <c r="N161" i="68"/>
  <c r="N141" i="68"/>
  <c r="N123" i="68"/>
  <c r="N113" i="68"/>
  <c r="N103" i="68"/>
  <c r="N89" i="68"/>
  <c r="N81" i="68"/>
  <c r="N72" i="68"/>
  <c r="N64" i="68"/>
  <c r="N57" i="68"/>
  <c r="N49" i="68"/>
  <c r="N41" i="68"/>
  <c r="N36" i="68"/>
  <c r="N28" i="68"/>
  <c r="N20" i="68"/>
  <c r="N12" i="68"/>
  <c r="N1794" i="68"/>
  <c r="N766" i="68"/>
  <c r="N338" i="68"/>
  <c r="N214" i="68"/>
  <c r="N125" i="68"/>
  <c r="N22" i="68"/>
  <c r="N1575" i="68"/>
  <c r="N894" i="68"/>
  <c r="N457" i="68"/>
  <c r="N285" i="68"/>
  <c r="N162" i="68"/>
  <c r="N82" i="68"/>
  <c r="N37" i="68"/>
  <c r="N266" i="114"/>
  <c r="N602" i="115"/>
  <c r="N267" i="115"/>
  <c r="N47" i="115"/>
  <c r="N1709" i="68"/>
  <c r="N1528" i="68"/>
  <c r="N1377" i="68"/>
  <c r="N1259" i="68"/>
  <c r="N1260" i="68" s="1"/>
  <c r="N1203" i="68"/>
  <c r="N1166" i="68"/>
  <c r="N1123" i="68"/>
  <c r="N1014" i="68"/>
  <c r="N971" i="68"/>
  <c r="N928" i="68"/>
  <c r="N884" i="68"/>
  <c r="N842" i="68"/>
  <c r="N742" i="68"/>
  <c r="N696" i="68"/>
  <c r="N590" i="68"/>
  <c r="N492" i="68"/>
  <c r="N493" i="68" s="1"/>
  <c r="N443" i="68"/>
  <c r="N346" i="68"/>
  <c r="N335" i="68"/>
  <c r="N319" i="68"/>
  <c r="N303" i="68"/>
  <c r="N293" i="68"/>
  <c r="N283" i="68"/>
  <c r="N223" i="68"/>
  <c r="N205" i="68"/>
  <c r="N193" i="68"/>
  <c r="N179" i="68"/>
  <c r="N170" i="68"/>
  <c r="N160" i="68"/>
  <c r="N140" i="68"/>
  <c r="N122" i="68"/>
  <c r="N110" i="68"/>
  <c r="N102" i="68"/>
  <c r="N88" i="68"/>
  <c r="N80" i="68"/>
  <c r="N71" i="68"/>
  <c r="N56" i="68"/>
  <c r="N48" i="68"/>
  <c r="N40" i="68"/>
  <c r="N35" i="68"/>
  <c r="N27" i="68"/>
  <c r="N19" i="68"/>
  <c r="N11" i="68"/>
  <c r="N1403" i="68"/>
  <c r="N1351" i="68"/>
  <c r="N988" i="68"/>
  <c r="N609" i="68"/>
  <c r="N306" i="68"/>
  <c r="N188" i="68"/>
  <c r="N105" i="68"/>
  <c r="N38" i="68"/>
  <c r="N383" i="115"/>
  <c r="N1133" i="68"/>
  <c r="N757" i="68"/>
  <c r="N337" i="68"/>
  <c r="N213" i="68"/>
  <c r="N142" i="68"/>
  <c r="N74" i="68"/>
  <c r="N29" i="68"/>
  <c r="N589" i="115"/>
  <c r="N260" i="115"/>
  <c r="N34" i="115"/>
  <c r="N1699" i="68"/>
  <c r="N1521" i="68"/>
  <c r="N1376" i="68"/>
  <c r="N1256" i="68"/>
  <c r="N1202" i="68"/>
  <c r="N1165" i="68"/>
  <c r="N1122" i="68"/>
  <c r="N1013" i="68"/>
  <c r="N970" i="68"/>
  <c r="N927" i="68"/>
  <c r="N883" i="68"/>
  <c r="N841" i="68"/>
  <c r="N741" i="68"/>
  <c r="N695" i="68"/>
  <c r="N589" i="68"/>
  <c r="N484" i="68"/>
  <c r="N442" i="68"/>
  <c r="N343" i="68"/>
  <c r="N334" i="68"/>
  <c r="N312" i="68"/>
  <c r="N313" i="68" s="1"/>
  <c r="N302" i="68"/>
  <c r="N292" i="68"/>
  <c r="N282" i="68"/>
  <c r="N220" i="68"/>
  <c r="N204" i="68"/>
  <c r="N192" i="68"/>
  <c r="N178" i="68"/>
  <c r="N167" i="68"/>
  <c r="N153" i="68"/>
  <c r="N138" i="68"/>
  <c r="N121" i="68"/>
  <c r="N109" i="68"/>
  <c r="N101" i="68"/>
  <c r="N87" i="68"/>
  <c r="N79" i="68"/>
  <c r="N70" i="68"/>
  <c r="N63" i="68"/>
  <c r="N55" i="68"/>
  <c r="N47" i="68"/>
  <c r="N34" i="68"/>
  <c r="N26" i="68"/>
  <c r="N18" i="68"/>
  <c r="N10" i="68"/>
  <c r="N1610" i="68"/>
  <c r="N1032" i="68"/>
  <c r="N721" i="68"/>
  <c r="N322" i="68"/>
  <c r="N200" i="68"/>
  <c r="N115" i="68"/>
  <c r="N59" i="68"/>
  <c r="N1756" i="68"/>
  <c r="N1176" i="68"/>
  <c r="N852" i="68"/>
  <c r="N356" i="68"/>
  <c r="N225" i="68"/>
  <c r="N124" i="68"/>
  <c r="N13" i="68"/>
  <c r="N540" i="115"/>
  <c r="N224" i="115"/>
  <c r="N1663" i="68"/>
  <c r="N1414" i="68"/>
  <c r="N1367" i="68"/>
  <c r="N1247" i="68"/>
  <c r="N1194" i="68"/>
  <c r="N1150" i="68"/>
  <c r="N1043" i="68"/>
  <c r="N999" i="68"/>
  <c r="N957" i="68"/>
  <c r="N912" i="68"/>
  <c r="N870" i="68"/>
  <c r="N777" i="68"/>
  <c r="N730" i="68"/>
  <c r="N630" i="68"/>
  <c r="N631" i="68" s="1"/>
  <c r="N529" i="68"/>
  <c r="N477" i="68"/>
  <c r="N431" i="68"/>
  <c r="N341" i="68"/>
  <c r="N327" i="68"/>
  <c r="N309" i="68"/>
  <c r="N301" i="68"/>
  <c r="N291" i="68"/>
  <c r="N281" i="68"/>
  <c r="N219" i="68"/>
  <c r="N203" i="68"/>
  <c r="N191" i="68"/>
  <c r="N177" i="68"/>
  <c r="N166" i="68"/>
  <c r="N151" i="68"/>
  <c r="N130" i="68"/>
  <c r="N131" i="68" s="1"/>
  <c r="N120" i="68"/>
  <c r="N108" i="68"/>
  <c r="N94" i="68"/>
  <c r="N86" i="68"/>
  <c r="N78" i="68"/>
  <c r="N69" i="68"/>
  <c r="N62" i="68"/>
  <c r="N54" i="68"/>
  <c r="N46" i="68"/>
  <c r="N33" i="68"/>
  <c r="N25" i="68"/>
  <c r="N17" i="68"/>
  <c r="N126" i="115"/>
  <c r="N1142" i="68"/>
  <c r="N861" i="68"/>
  <c r="N464" i="68"/>
  <c r="N288" i="68"/>
  <c r="N163" i="68"/>
  <c r="N83" i="68"/>
  <c r="N43" i="68"/>
  <c r="N90" i="115"/>
  <c r="N1339" i="68"/>
  <c r="N981" i="68"/>
  <c r="N602" i="68"/>
  <c r="N305" i="68"/>
  <c r="N181" i="68"/>
  <c r="N104" i="68"/>
  <c r="N42" i="68"/>
  <c r="N530" i="115"/>
  <c r="N215" i="115"/>
  <c r="N1920" i="68"/>
  <c r="N1654" i="68"/>
  <c r="N1413" i="68"/>
  <c r="N1366" i="68"/>
  <c r="N1246" i="68"/>
  <c r="N1193" i="68"/>
  <c r="N1149" i="68"/>
  <c r="N1042" i="68"/>
  <c r="N998" i="68"/>
  <c r="N956" i="68"/>
  <c r="N911" i="68"/>
  <c r="N869" i="68"/>
  <c r="N776" i="68"/>
  <c r="N729" i="68"/>
  <c r="N627" i="68"/>
  <c r="N528" i="68"/>
  <c r="N476" i="68"/>
  <c r="N430" i="68"/>
  <c r="N340" i="68"/>
  <c r="N326" i="68"/>
  <c r="N308" i="68"/>
  <c r="N298" i="68"/>
  <c r="N290" i="68"/>
  <c r="N280" i="68"/>
  <c r="N216" i="68"/>
  <c r="N202" i="68"/>
  <c r="N190" i="68"/>
  <c r="N176" i="68"/>
  <c r="N165" i="68"/>
  <c r="N148" i="68"/>
  <c r="N127" i="68"/>
  <c r="N119" i="68"/>
  <c r="N107" i="68"/>
  <c r="N93" i="68"/>
  <c r="N85" i="68"/>
  <c r="N77" i="68"/>
  <c r="N61" i="68"/>
  <c r="N53" i="68"/>
  <c r="N45" i="68"/>
  <c r="N32" i="68"/>
  <c r="N24" i="68"/>
  <c r="N16" i="68"/>
  <c r="N414" i="115"/>
  <c r="N1183" i="68"/>
  <c r="N901" i="68"/>
  <c r="N371" i="68"/>
  <c r="N278" i="68"/>
  <c r="N143" i="68"/>
  <c r="N75" i="68"/>
  <c r="N30" i="68"/>
  <c r="N654" i="115"/>
  <c r="N1221" i="68"/>
  <c r="N939" i="68"/>
  <c r="N503" i="68"/>
  <c r="N295" i="68"/>
  <c r="N171" i="68"/>
  <c r="N90" i="68"/>
  <c r="N50" i="68"/>
  <c r="N775" i="115"/>
  <c r="N500" i="115"/>
  <c r="N135" i="115"/>
  <c r="N1803" i="68"/>
  <c r="N1618" i="68"/>
  <c r="N1404" i="68"/>
  <c r="N1352" i="68"/>
  <c r="N1231" i="68"/>
  <c r="N1184" i="68"/>
  <c r="N1035" i="68"/>
  <c r="N991" i="68"/>
  <c r="N949" i="68"/>
  <c r="N902" i="68"/>
  <c r="N862" i="68"/>
  <c r="N767" i="68"/>
  <c r="N722" i="68"/>
  <c r="N612" i="68"/>
  <c r="N613" i="68" s="1"/>
  <c r="N517" i="68"/>
  <c r="N465" i="68"/>
  <c r="N423" i="68"/>
  <c r="N339" i="68"/>
  <c r="N325" i="68"/>
  <c r="N307" i="68"/>
  <c r="N297" i="68"/>
  <c r="N289" i="68"/>
  <c r="N279" i="68"/>
  <c r="N215" i="68"/>
  <c r="N201" i="68"/>
  <c r="N189" i="68"/>
  <c r="N175" i="68"/>
  <c r="N164" i="68"/>
  <c r="N146" i="68"/>
  <c r="N126" i="68"/>
  <c r="N118" i="68"/>
  <c r="N106" i="68"/>
  <c r="N92" i="68"/>
  <c r="N84" i="68"/>
  <c r="N76" i="68"/>
  <c r="N67" i="68"/>
  <c r="N60" i="68"/>
  <c r="N52" i="68"/>
  <c r="N44" i="68"/>
  <c r="N39" i="68"/>
  <c r="N31" i="68"/>
  <c r="N23" i="68"/>
  <c r="N15" i="68"/>
  <c r="N686" i="115"/>
  <c r="N1230" i="68"/>
  <c r="N948" i="68"/>
  <c r="N516" i="68"/>
  <c r="N296" i="68"/>
  <c r="N172" i="68"/>
  <c r="N91" i="68"/>
  <c r="N51" i="68"/>
  <c r="N14" i="68"/>
  <c r="N1389" i="68"/>
  <c r="N1390" i="68" s="1"/>
  <c r="N1024" i="68"/>
  <c r="N706" i="68"/>
  <c r="N321" i="68"/>
  <c r="N199" i="68"/>
  <c r="N114" i="68"/>
  <c r="N58" i="68"/>
  <c r="N21" i="68"/>
  <c r="Y572" i="114" l="1"/>
  <c r="Z559" i="114"/>
  <c r="Y577" i="114"/>
  <c r="Z574" i="114"/>
  <c r="V695" i="114"/>
  <c r="U347" i="114"/>
  <c r="U91" i="114"/>
  <c r="U89" i="114"/>
  <c r="U319" i="114"/>
  <c r="U119" i="114"/>
  <c r="U698" i="114"/>
  <c r="P698" i="114"/>
  <c r="N96" i="68"/>
  <c r="U90" i="114"/>
  <c r="U100" i="114"/>
  <c r="U694" i="114"/>
  <c r="U699" i="114"/>
  <c r="U295" i="114"/>
  <c r="P89" i="114"/>
  <c r="V1364" i="68"/>
  <c r="U700" i="114"/>
  <c r="V1195" i="68"/>
  <c r="V704" i="114"/>
  <c r="V271" i="114"/>
  <c r="V571" i="114"/>
  <c r="V667" i="114"/>
  <c r="U695" i="114"/>
  <c r="P347" i="114"/>
  <c r="P705" i="114"/>
  <c r="P91" i="114"/>
  <c r="U705" i="114"/>
  <c r="P700" i="114"/>
  <c r="P695" i="114"/>
  <c r="P295" i="114"/>
  <c r="P319" i="114"/>
  <c r="P100" i="114"/>
  <c r="P119" i="114"/>
  <c r="P699" i="114"/>
  <c r="P694" i="114"/>
  <c r="P90" i="114"/>
  <c r="P716" i="114"/>
  <c r="U716" i="114"/>
  <c r="U271" i="114"/>
  <c r="P373" i="114"/>
  <c r="U373" i="114"/>
  <c r="V569" i="114"/>
  <c r="P704" i="114"/>
  <c r="U704" i="114"/>
  <c r="U667" i="114"/>
  <c r="U585" i="68"/>
  <c r="V585" i="68"/>
  <c r="U569" i="114"/>
  <c r="P667" i="114"/>
  <c r="P585" i="68"/>
  <c r="P569" i="114"/>
  <c r="P271" i="114"/>
  <c r="P147" i="68"/>
  <c r="U147" i="68"/>
  <c r="V147" i="68"/>
  <c r="U562" i="114"/>
  <c r="P571" i="114"/>
  <c r="I898" i="115"/>
  <c r="I221" i="68"/>
  <c r="I64" i="115"/>
  <c r="I693" i="115"/>
  <c r="I1043" i="115"/>
  <c r="I1045" i="115" s="1"/>
  <c r="I702" i="115"/>
  <c r="I553" i="114"/>
  <c r="I205" i="115"/>
  <c r="I741" i="114"/>
  <c r="I577" i="114"/>
  <c r="U1195" i="68"/>
  <c r="I628" i="68"/>
  <c r="P1195" i="68"/>
  <c r="I53" i="114"/>
  <c r="I1394" i="68"/>
  <c r="I1644" i="68"/>
  <c r="I448" i="114"/>
  <c r="I1439" i="68"/>
  <c r="I1379" i="68"/>
  <c r="U576" i="114"/>
  <c r="V751" i="114"/>
  <c r="I1387" i="68"/>
  <c r="I149" i="68"/>
  <c r="I443" i="114"/>
  <c r="I638" i="114"/>
  <c r="I641" i="114" s="1"/>
  <c r="I542" i="115"/>
  <c r="I546" i="115" s="1"/>
  <c r="P565" i="114"/>
  <c r="I64" i="114"/>
  <c r="I1034" i="115"/>
  <c r="I1257" i="68"/>
  <c r="U739" i="114"/>
  <c r="U1364" i="68"/>
  <c r="I472" i="114"/>
  <c r="I575" i="115"/>
  <c r="I344" i="68"/>
  <c r="I639" i="68"/>
  <c r="I641" i="68" s="1"/>
  <c r="I154" i="68"/>
  <c r="I1749" i="68"/>
  <c r="I113" i="115"/>
  <c r="I415" i="115"/>
  <c r="I420" i="115" s="1"/>
  <c r="I472" i="68"/>
  <c r="I1347" i="68"/>
  <c r="I989" i="68"/>
  <c r="I194" i="68"/>
  <c r="I1021" i="68"/>
  <c r="I1172" i="68"/>
  <c r="I128" i="68"/>
  <c r="I1204" i="68"/>
  <c r="I95" i="114"/>
  <c r="I337" i="114"/>
  <c r="I1806" i="68"/>
  <c r="I227" i="114"/>
  <c r="I1925" i="68"/>
  <c r="I298" i="114"/>
  <c r="I357" i="114"/>
  <c r="I465" i="114"/>
  <c r="I794" i="115"/>
  <c r="I729" i="114"/>
  <c r="I537" i="115"/>
  <c r="I995" i="115"/>
  <c r="I608" i="114"/>
  <c r="I523" i="115"/>
  <c r="I943" i="115"/>
  <c r="I1224" i="68"/>
  <c r="I168" i="68"/>
  <c r="I1234" i="68"/>
  <c r="I1191" i="68"/>
  <c r="I525" i="68"/>
  <c r="I1048" i="68"/>
  <c r="I358" i="68"/>
  <c r="I707" i="68"/>
  <c r="I945" i="68"/>
  <c r="I1155" i="68"/>
  <c r="I1341" i="68"/>
  <c r="I1912" i="68"/>
  <c r="I48" i="114"/>
  <c r="I344" i="114"/>
  <c r="I294" i="115"/>
  <c r="I252" i="115"/>
  <c r="I407" i="115"/>
  <c r="I721" i="115"/>
  <c r="I819" i="115"/>
  <c r="I144" i="115"/>
  <c r="I93" i="115"/>
  <c r="I1000" i="115"/>
  <c r="I858" i="68"/>
  <c r="I592" i="68"/>
  <c r="I365" i="68"/>
  <c r="I521" i="68"/>
  <c r="I875" i="68"/>
  <c r="I764" i="68"/>
  <c r="I1140" i="68"/>
  <c r="I715" i="68"/>
  <c r="I1612" i="68"/>
  <c r="I956" i="115"/>
  <c r="I1640" i="68"/>
  <c r="I235" i="114"/>
  <c r="I1408" i="68"/>
  <c r="I1659" i="68"/>
  <c r="I926" i="115"/>
  <c r="I272" i="115"/>
  <c r="I549" i="114"/>
  <c r="I102" i="115"/>
  <c r="I54" i="115"/>
  <c r="I507" i="115"/>
  <c r="I631" i="114"/>
  <c r="I689" i="115"/>
  <c r="I111" i="68"/>
  <c r="I635" i="115"/>
  <c r="I622" i="115"/>
  <c r="I614" i="115"/>
  <c r="I603" i="115"/>
  <c r="I217" i="68"/>
  <c r="I702" i="68"/>
  <c r="I116" i="68"/>
  <c r="I144" i="68"/>
  <c r="I598" i="68"/>
  <c r="I934" i="68"/>
  <c r="I286" i="68"/>
  <c r="I531" i="68"/>
  <c r="I771" i="68"/>
  <c r="I1370" i="68"/>
  <c r="I1582" i="68"/>
  <c r="I284" i="114"/>
  <c r="I377" i="114"/>
  <c r="I78" i="115"/>
  <c r="I351" i="114"/>
  <c r="I1596" i="68"/>
  <c r="I1897" i="68"/>
  <c r="I1423" i="68"/>
  <c r="I1668" i="68"/>
  <c r="I1700" i="68"/>
  <c r="I649" i="115"/>
  <c r="I377" i="115"/>
  <c r="I894" i="115"/>
  <c r="I601" i="114"/>
  <c r="I173" i="68"/>
  <c r="I778" i="68"/>
  <c r="I1250" i="68"/>
  <c r="I206" i="68"/>
  <c r="I509" i="68"/>
  <c r="I299" i="68"/>
  <c r="I747" i="68"/>
  <c r="I182" i="68"/>
  <c r="I328" i="68"/>
  <c r="I1033" i="68"/>
  <c r="I738" i="68"/>
  <c r="I1588" i="68"/>
  <c r="I382" i="114"/>
  <c r="I385" i="114" s="1"/>
  <c r="I1544" i="68"/>
  <c r="I1728" i="68"/>
  <c r="I1810" i="68"/>
  <c r="I222" i="115"/>
  <c r="I121" i="114"/>
  <c r="I200" i="114"/>
  <c r="I364" i="114"/>
  <c r="I209" i="114"/>
  <c r="I1904" i="68"/>
  <c r="I1907" i="68" s="1"/>
  <c r="I1774" i="68"/>
  <c r="I32" i="114"/>
  <c r="I1797" i="68"/>
  <c r="I420" i="114"/>
  <c r="I1036" i="115"/>
  <c r="I886" i="115"/>
  <c r="I659" i="115"/>
  <c r="I839" i="115"/>
  <c r="I394" i="115"/>
  <c r="I965" i="115"/>
  <c r="I128" i="115"/>
  <c r="I914" i="115"/>
  <c r="I289" i="115"/>
  <c r="I852" i="115"/>
  <c r="I669" i="114"/>
  <c r="I568" i="115"/>
  <c r="I430" i="114"/>
  <c r="I226" i="68"/>
  <c r="I916" i="68"/>
  <c r="I1353" i="68"/>
  <c r="I610" i="68"/>
  <c r="I904" i="68"/>
  <c r="I447" i="68"/>
  <c r="I1208" i="68"/>
  <c r="I1791" i="68"/>
  <c r="I170" i="114"/>
  <c r="I1629" i="68"/>
  <c r="I329" i="114"/>
  <c r="I267" i="114"/>
  <c r="I41" i="114"/>
  <c r="I784" i="115"/>
  <c r="I860" i="115"/>
  <c r="I864" i="115" s="1"/>
  <c r="I673" i="115"/>
  <c r="I38" i="115"/>
  <c r="I985" i="115"/>
  <c r="I137" i="115"/>
  <c r="I689" i="114"/>
  <c r="I323" i="68"/>
  <c r="I845" i="68"/>
  <c r="I310" i="68"/>
  <c r="I467" i="68"/>
  <c r="I1530" i="68"/>
  <c r="I1712" i="68"/>
  <c r="I1434" i="68"/>
  <c r="I406" i="114"/>
  <c r="I22" i="114"/>
  <c r="I488" i="114"/>
  <c r="I495" i="114" s="1"/>
  <c r="I234" i="115"/>
  <c r="I881" i="115"/>
  <c r="I283" i="115"/>
  <c r="I659" i="114"/>
  <c r="I752" i="114"/>
  <c r="I598" i="114"/>
  <c r="I581" i="115"/>
  <c r="I768" i="115"/>
  <c r="I1149" i="115" s="1"/>
  <c r="I593" i="115"/>
  <c r="I595" i="115"/>
  <c r="I975" i="68"/>
  <c r="I1129" i="68"/>
  <c r="I432" i="68"/>
  <c r="I438" i="68" s="1"/>
  <c r="I498" i="68"/>
  <c r="I890" i="68"/>
  <c r="I485" i="68"/>
  <c r="I372" i="68"/>
  <c r="I731" i="68"/>
  <c r="I959" i="68"/>
  <c r="I624" i="68"/>
  <c r="I1004" i="68"/>
  <c r="I1763" i="68"/>
  <c r="I309" i="114"/>
  <c r="I1678" i="68"/>
  <c r="I59" i="114"/>
  <c r="I1562" i="68"/>
  <c r="I572" i="114"/>
  <c r="I479" i="114"/>
  <c r="I627" i="114"/>
  <c r="I698" i="115"/>
  <c r="V568" i="114"/>
  <c r="V563" i="114"/>
  <c r="V562" i="114"/>
  <c r="V565" i="114"/>
  <c r="V576" i="114"/>
  <c r="V564" i="114"/>
  <c r="V575" i="114"/>
  <c r="V567" i="114"/>
  <c r="V566" i="114"/>
  <c r="V570" i="114"/>
  <c r="P1364" i="68"/>
  <c r="V762" i="115"/>
  <c r="U762" i="115"/>
  <c r="U751" i="114"/>
  <c r="P762" i="115"/>
  <c r="P751" i="114"/>
  <c r="P739" i="114"/>
  <c r="V739" i="114"/>
  <c r="V560" i="114"/>
  <c r="V1703" i="68"/>
  <c r="V749" i="114"/>
  <c r="V726" i="114"/>
  <c r="P562" i="114"/>
  <c r="U563" i="114"/>
  <c r="U575" i="114"/>
  <c r="P575" i="114"/>
  <c r="U571" i="114"/>
  <c r="U565" i="114"/>
  <c r="U564" i="114"/>
  <c r="P564" i="114"/>
  <c r="U726" i="114"/>
  <c r="P749" i="114"/>
  <c r="U749" i="114"/>
  <c r="P568" i="114"/>
  <c r="U560" i="114"/>
  <c r="U568" i="114"/>
  <c r="P560" i="114"/>
  <c r="P726" i="114"/>
  <c r="N577" i="114"/>
  <c r="P566" i="114"/>
  <c r="U566" i="114"/>
  <c r="P567" i="114"/>
  <c r="P563" i="114"/>
  <c r="U567" i="114"/>
  <c r="R572" i="114"/>
  <c r="P561" i="114"/>
  <c r="N572" i="114"/>
  <c r="O577" i="114"/>
  <c r="P574" i="114"/>
  <c r="U559" i="114"/>
  <c r="T572" i="114"/>
  <c r="I80" i="3" s="1"/>
  <c r="K80" i="3" s="1"/>
  <c r="U561" i="114"/>
  <c r="J572" i="114"/>
  <c r="P576" i="114"/>
  <c r="S572" i="114"/>
  <c r="U570" i="114"/>
  <c r="Q572" i="114"/>
  <c r="M577" i="114"/>
  <c r="V574" i="114"/>
  <c r="J577" i="114"/>
  <c r="S577" i="114"/>
  <c r="T577" i="114"/>
  <c r="I81" i="3" s="1"/>
  <c r="K81" i="3" s="1"/>
  <c r="U574" i="114"/>
  <c r="R577" i="114"/>
  <c r="P559" i="114"/>
  <c r="O572" i="114"/>
  <c r="V559" i="114"/>
  <c r="M572" i="114"/>
  <c r="P570" i="114"/>
  <c r="Q577" i="114"/>
  <c r="V65" i="68"/>
  <c r="V66" i="68"/>
  <c r="V68" i="68"/>
  <c r="P68" i="68"/>
  <c r="U66" i="68"/>
  <c r="U68" i="68"/>
  <c r="P66" i="68"/>
  <c r="P65" i="68"/>
  <c r="U65" i="68"/>
  <c r="P501" i="115"/>
  <c r="P684" i="115"/>
  <c r="P539" i="115"/>
  <c r="U841" i="115"/>
  <c r="P937" i="68"/>
  <c r="V841" i="115"/>
  <c r="P1703" i="68"/>
  <c r="P841" i="115"/>
  <c r="U937" i="68"/>
  <c r="U1703" i="68"/>
  <c r="N553" i="114"/>
  <c r="N241" i="114"/>
  <c r="P1541" i="68"/>
  <c r="U1541" i="68"/>
  <c r="N702" i="115"/>
  <c r="P1560" i="68"/>
  <c r="P1561" i="68"/>
  <c r="N631" i="114"/>
  <c r="N542" i="115"/>
  <c r="N546" i="115" s="1"/>
  <c r="N116" i="68"/>
  <c r="N234" i="115"/>
  <c r="N1394" i="68"/>
  <c r="N1347" i="68"/>
  <c r="N149" i="68"/>
  <c r="N1810" i="68"/>
  <c r="N64" i="114"/>
  <c r="N886" i="115"/>
  <c r="N1000" i="115"/>
  <c r="N1204" i="68"/>
  <c r="N498" i="68"/>
  <c r="N598" i="68"/>
  <c r="N1387" i="68"/>
  <c r="N1036" i="115"/>
  <c r="N752" i="114"/>
  <c r="N415" i="115"/>
  <c r="N420" i="115" s="1"/>
  <c r="N53" i="114"/>
  <c r="N420" i="114"/>
  <c r="N738" i="68"/>
  <c r="N217" i="68"/>
  <c r="N357" i="114"/>
  <c r="N1034" i="115"/>
  <c r="N144" i="115"/>
  <c r="N128" i="68"/>
  <c r="N1048" i="68"/>
  <c r="N639" i="68"/>
  <c r="N641" i="68" s="1"/>
  <c r="N294" i="115"/>
  <c r="N407" i="115"/>
  <c r="N472" i="114"/>
  <c r="N693" i="115"/>
  <c r="N1033" i="68"/>
  <c r="N1208" i="68"/>
  <c r="N358" i="68"/>
  <c r="N447" i="68"/>
  <c r="N890" i="68"/>
  <c r="N1129" i="68"/>
  <c r="N1700" i="68"/>
  <c r="N1797" i="68"/>
  <c r="N1640" i="68"/>
  <c r="N394" i="115"/>
  <c r="N603" i="115"/>
  <c r="N614" i="115"/>
  <c r="N1659" i="68"/>
  <c r="N1925" i="68"/>
  <c r="N794" i="115"/>
  <c r="N965" i="115"/>
  <c r="N729" i="114"/>
  <c r="N309" i="114"/>
  <c r="N598" i="114"/>
  <c r="N206" i="68"/>
  <c r="N344" i="68"/>
  <c r="N194" i="68"/>
  <c r="N348" i="68"/>
  <c r="N1234" i="68"/>
  <c r="N628" i="68"/>
  <c r="N1712" i="68"/>
  <c r="N1749" i="68"/>
  <c r="N283" i="115"/>
  <c r="N1668" i="68"/>
  <c r="N465" i="114"/>
  <c r="N479" i="114"/>
  <c r="N819" i="115"/>
  <c r="N121" i="114"/>
  <c r="N200" i="114"/>
  <c r="N985" i="115"/>
  <c r="N430" i="114"/>
  <c r="N22" i="114"/>
  <c r="N59" i="114"/>
  <c r="N351" i="114"/>
  <c r="N448" i="114"/>
  <c r="N784" i="115"/>
  <c r="N860" i="115"/>
  <c r="N864" i="115" s="1"/>
  <c r="N170" i="114"/>
  <c r="N298" i="114"/>
  <c r="N432" i="68"/>
  <c r="N438" i="68" s="1"/>
  <c r="N286" i="68"/>
  <c r="N1004" i="68"/>
  <c r="N1155" i="68"/>
  <c r="N154" i="68"/>
  <c r="N310" i="68"/>
  <c r="N624" i="68"/>
  <c r="N205" i="115"/>
  <c r="N472" i="68"/>
  <c r="N525" i="68"/>
  <c r="N222" i="115"/>
  <c r="N1791" i="68"/>
  <c r="N1172" i="68"/>
  <c r="N1530" i="68"/>
  <c r="N1544" i="68"/>
  <c r="N1763" i="68"/>
  <c r="N93" i="115"/>
  <c r="N64" i="115"/>
  <c r="N956" i="115"/>
  <c r="N284" i="114"/>
  <c r="N377" i="114"/>
  <c r="N721" i="115"/>
  <c r="N235" i="114"/>
  <c r="N443" i="114"/>
  <c r="N995" i="115"/>
  <c r="N608" i="114"/>
  <c r="N613" i="114" s="1"/>
  <c r="N943" i="115"/>
  <c r="N881" i="115"/>
  <c r="N111" i="68"/>
  <c r="N226" i="68"/>
  <c r="N467" i="68"/>
  <c r="N771" i="68"/>
  <c r="N764" i="68"/>
  <c r="N592" i="68"/>
  <c r="N975" i="68"/>
  <c r="N702" i="68"/>
  <c r="N1257" i="68"/>
  <c r="N622" i="115"/>
  <c r="N635" i="115"/>
  <c r="N485" i="68"/>
  <c r="N1912" i="68"/>
  <c r="N707" i="68"/>
  <c r="N945" i="68"/>
  <c r="N1191" i="68"/>
  <c r="N102" i="115"/>
  <c r="N649" i="115"/>
  <c r="N78" i="115"/>
  <c r="N741" i="114"/>
  <c r="N382" i="114"/>
  <c r="N385" i="114" s="1"/>
  <c r="N898" i="115"/>
  <c r="N669" i="114"/>
  <c r="N858" i="68"/>
  <c r="N1224" i="68"/>
  <c r="N934" i="68"/>
  <c r="N1021" i="68"/>
  <c r="N521" i="68"/>
  <c r="N875" i="68"/>
  <c r="N959" i="68"/>
  <c r="N1434" i="68"/>
  <c r="N1596" i="68"/>
  <c r="N252" i="115"/>
  <c r="N1806" i="68"/>
  <c r="N54" i="115"/>
  <c r="N659" i="115"/>
  <c r="N549" i="114"/>
  <c r="N48" i="114"/>
  <c r="N689" i="114"/>
  <c r="N95" i="114"/>
  <c r="N1341" i="68"/>
  <c r="N989" i="68"/>
  <c r="N731" i="68"/>
  <c r="N715" i="68"/>
  <c r="N372" i="68"/>
  <c r="N374" i="68" s="1"/>
  <c r="N1408" i="68"/>
  <c r="N509" i="68"/>
  <c r="N531" i="68"/>
  <c r="N1439" i="68"/>
  <c r="N128" i="115"/>
  <c r="N272" i="115"/>
  <c r="N568" i="115"/>
  <c r="N673" i="115"/>
  <c r="N507" i="115"/>
  <c r="N227" i="114"/>
  <c r="N839" i="115"/>
  <c r="N364" i="114"/>
  <c r="N659" i="114"/>
  <c r="N209" i="114"/>
  <c r="N768" i="115"/>
  <c r="N1149" i="115" s="1"/>
  <c r="N144" i="68"/>
  <c r="N595" i="115"/>
  <c r="N593" i="115"/>
  <c r="N168" i="68"/>
  <c r="N1370" i="68"/>
  <c r="N916" i="68"/>
  <c r="N778" i="68"/>
  <c r="N1250" i="68"/>
  <c r="N1423" i="68"/>
  <c r="N1353" i="68"/>
  <c r="N1612" i="68"/>
  <c r="N689" i="115"/>
  <c r="N747" i="68"/>
  <c r="N38" i="115"/>
  <c r="N1629" i="68"/>
  <c r="N137" i="115"/>
  <c r="N1678" i="68"/>
  <c r="N1897" i="68"/>
  <c r="N523" i="115"/>
  <c r="N1582" i="68"/>
  <c r="N173" i="114"/>
  <c r="N344" i="114"/>
  <c r="N894" i="115"/>
  <c r="N627" i="114"/>
  <c r="N852" i="115"/>
  <c r="N32" i="114"/>
  <c r="N698" i="115"/>
  <c r="N329" i="114"/>
  <c r="N926" i="115"/>
  <c r="N1043" i="115"/>
  <c r="N1045" i="115" s="1"/>
  <c r="N267" i="114"/>
  <c r="N182" i="68"/>
  <c r="N328" i="68"/>
  <c r="N299" i="68"/>
  <c r="N221" i="68"/>
  <c r="N173" i="68"/>
  <c r="N323" i="68"/>
  <c r="N845" i="68"/>
  <c r="N1379" i="68"/>
  <c r="N575" i="115"/>
  <c r="N610" i="68"/>
  <c r="N904" i="68"/>
  <c r="N1140" i="68"/>
  <c r="N113" i="115"/>
  <c r="N1728" i="68"/>
  <c r="N1644" i="68"/>
  <c r="N377" i="115"/>
  <c r="N537" i="115"/>
  <c r="N581" i="115"/>
  <c r="N1904" i="68"/>
  <c r="N1907" i="68" s="1"/>
  <c r="N289" i="115"/>
  <c r="N1588" i="68"/>
  <c r="N1774" i="68"/>
  <c r="N638" i="114"/>
  <c r="N641" i="114" s="1"/>
  <c r="N337" i="114"/>
  <c r="N914" i="115"/>
  <c r="N41" i="114"/>
  <c r="N406" i="114"/>
  <c r="N488" i="114"/>
  <c r="N495" i="114" s="1"/>
  <c r="AB574" i="114" l="1"/>
  <c r="AB577" i="114" s="1"/>
  <c r="L81" i="3" s="1"/>
  <c r="Z577" i="114"/>
  <c r="AB559" i="114"/>
  <c r="I1570" i="68"/>
  <c r="N387" i="114"/>
  <c r="N389" i="114" s="1"/>
  <c r="I387" i="114"/>
  <c r="I389" i="114" s="1"/>
  <c r="N579" i="114"/>
  <c r="I579" i="114"/>
  <c r="I311" i="114"/>
  <c r="I555" i="114"/>
  <c r="I754" i="114"/>
  <c r="I249" i="114"/>
  <c r="I633" i="68"/>
  <c r="I1736" i="68"/>
  <c r="I643" i="114"/>
  <c r="I645" i="114" s="1"/>
  <c r="I928" i="115"/>
  <c r="I613" i="114"/>
  <c r="I615" i="114" s="1"/>
  <c r="I1263" i="68"/>
  <c r="I671" i="114"/>
  <c r="I1002" i="115"/>
  <c r="I1050" i="68"/>
  <c r="I1396" i="68"/>
  <c r="I717" i="68"/>
  <c r="I900" i="115"/>
  <c r="I970" i="115"/>
  <c r="I877" i="68"/>
  <c r="I1779" i="68"/>
  <c r="I156" i="68"/>
  <c r="I452" i="68"/>
  <c r="I1815" i="68"/>
  <c r="I360" i="68"/>
  <c r="I146" i="115"/>
  <c r="I548" i="115"/>
  <c r="I731" i="114"/>
  <c r="I533" i="68"/>
  <c r="I481" i="114"/>
  <c r="I824" i="115"/>
  <c r="I115" i="115"/>
  <c r="I1160" i="68"/>
  <c r="I330" i="68"/>
  <c r="I374" i="68"/>
  <c r="I1646" i="68"/>
  <c r="I921" i="68"/>
  <c r="I251" i="114"/>
  <c r="I1239" i="68"/>
  <c r="I133" i="68"/>
  <c r="I704" i="115"/>
  <c r="I723" i="115" s="1"/>
  <c r="I725" i="115" s="1"/>
  <c r="I450" i="114"/>
  <c r="I1006" i="68"/>
  <c r="I239" i="115"/>
  <c r="I1444" i="68"/>
  <c r="I1686" i="68"/>
  <c r="I80" i="115"/>
  <c r="I286" i="114"/>
  <c r="I866" i="115"/>
  <c r="I583" i="115"/>
  <c r="I487" i="68"/>
  <c r="I296" i="115"/>
  <c r="I422" i="115"/>
  <c r="I1598" i="68"/>
  <c r="I1213" i="68"/>
  <c r="V577" i="114"/>
  <c r="I228" i="68"/>
  <c r="I1355" i="68"/>
  <c r="I315" i="68"/>
  <c r="I184" i="68"/>
  <c r="I66" i="114"/>
  <c r="I68" i="114" s="1"/>
  <c r="I961" i="68"/>
  <c r="I783" i="68"/>
  <c r="I208" i="68"/>
  <c r="I615" i="68"/>
  <c r="I752" i="68"/>
  <c r="I123" i="114"/>
  <c r="I1930" i="68"/>
  <c r="I511" i="68"/>
  <c r="V572" i="114"/>
  <c r="O579" i="114"/>
  <c r="J579" i="114"/>
  <c r="T579" i="114"/>
  <c r="Q579" i="114"/>
  <c r="P577" i="114"/>
  <c r="S579" i="114"/>
  <c r="R579" i="114"/>
  <c r="M579" i="114"/>
  <c r="U577" i="114"/>
  <c r="P572" i="114"/>
  <c r="U572" i="114"/>
  <c r="N615" i="68"/>
  <c r="N704" i="115"/>
  <c r="N723" i="115" s="1"/>
  <c r="N725" i="115" s="1"/>
  <c r="N555" i="114"/>
  <c r="N754" i="114"/>
  <c r="N156" i="68"/>
  <c r="N1263" i="68"/>
  <c r="N511" i="68"/>
  <c r="N133" i="68"/>
  <c r="N311" i="114"/>
  <c r="N1598" i="68"/>
  <c r="N970" i="115"/>
  <c r="N422" i="115"/>
  <c r="N123" i="114"/>
  <c r="N450" i="114"/>
  <c r="N615" i="114"/>
  <c r="N731" i="114"/>
  <c r="N1050" i="68"/>
  <c r="N633" i="68"/>
  <c r="N452" i="68"/>
  <c r="N239" i="115"/>
  <c r="N1646" i="68"/>
  <c r="N80" i="115"/>
  <c r="N671" i="114"/>
  <c r="N1736" i="68"/>
  <c r="N481" i="114"/>
  <c r="N1006" i="68"/>
  <c r="N1355" i="68"/>
  <c r="N583" i="115"/>
  <c r="N1213" i="68"/>
  <c r="N900" i="115"/>
  <c r="N1002" i="115"/>
  <c r="N1444" i="68"/>
  <c r="N296" i="115"/>
  <c r="N1815" i="68"/>
  <c r="N146" i="115"/>
  <c r="N1396" i="68"/>
  <c r="N783" i="68"/>
  <c r="N533" i="68"/>
  <c r="N1930" i="68"/>
  <c r="N866" i="115"/>
  <c r="N249" i="114"/>
  <c r="N487" i="68"/>
  <c r="N1239" i="68"/>
  <c r="N286" i="114"/>
  <c r="N66" i="114"/>
  <c r="N68" i="114" s="1"/>
  <c r="N548" i="115"/>
  <c r="N717" i="68"/>
  <c r="N251" i="114"/>
  <c r="N330" i="68"/>
  <c r="N228" i="68"/>
  <c r="N115" i="115"/>
  <c r="N928" i="115"/>
  <c r="N824" i="115"/>
  <c r="N208" i="68"/>
  <c r="N643" i="114"/>
  <c r="N645" i="114" s="1"/>
  <c r="N360" i="68"/>
  <c r="N877" i="68"/>
  <c r="N752" i="68"/>
  <c r="N315" i="68"/>
  <c r="N1779" i="68"/>
  <c r="N1686" i="68"/>
  <c r="N1160" i="68"/>
  <c r="N184" i="68"/>
  <c r="N961" i="68"/>
  <c r="N921" i="68"/>
  <c r="S1666" i="68"/>
  <c r="R1666" i="68"/>
  <c r="Q1666" i="68"/>
  <c r="O1666" i="68"/>
  <c r="M1666" i="68"/>
  <c r="F1666" i="68"/>
  <c r="H1666" i="68" s="1"/>
  <c r="E1666" i="68"/>
  <c r="D1666" i="68"/>
  <c r="C1666" i="68"/>
  <c r="B1666" i="68"/>
  <c r="S1718" i="68"/>
  <c r="R1718" i="68"/>
  <c r="Q1718" i="68"/>
  <c r="O1718" i="68"/>
  <c r="M1718" i="68"/>
  <c r="F1718" i="68"/>
  <c r="H1718" i="68" s="1"/>
  <c r="E1718" i="68"/>
  <c r="D1718" i="68"/>
  <c r="C1718" i="68"/>
  <c r="B1718" i="68"/>
  <c r="S612" i="68"/>
  <c r="S613" i="68" s="1"/>
  <c r="R612" i="68"/>
  <c r="R613" i="68" s="1"/>
  <c r="Q612" i="68"/>
  <c r="Q613" i="68" s="1"/>
  <c r="O612" i="68"/>
  <c r="O613" i="68" s="1"/>
  <c r="M612" i="68"/>
  <c r="J613" i="68"/>
  <c r="F612" i="68"/>
  <c r="H612" i="68" s="1"/>
  <c r="E612" i="68"/>
  <c r="D612" i="68"/>
  <c r="C612" i="68"/>
  <c r="B612" i="68"/>
  <c r="S208" i="115"/>
  <c r="R208" i="115"/>
  <c r="Q208" i="115"/>
  <c r="O208" i="115"/>
  <c r="M208" i="115"/>
  <c r="F208" i="115"/>
  <c r="H208" i="115" s="1"/>
  <c r="E208" i="115"/>
  <c r="D208" i="115"/>
  <c r="C208" i="115"/>
  <c r="B208" i="115"/>
  <c r="T1042" i="115"/>
  <c r="S1042" i="115"/>
  <c r="R1042" i="115"/>
  <c r="Q1042" i="115"/>
  <c r="O1042" i="115"/>
  <c r="M1042" i="115"/>
  <c r="V1042" i="115" s="1"/>
  <c r="S1041" i="115"/>
  <c r="R1041" i="115"/>
  <c r="Q1041" i="115"/>
  <c r="O1041" i="115"/>
  <c r="M1041" i="115"/>
  <c r="V1041" i="115" s="1"/>
  <c r="S1040" i="115"/>
  <c r="R1040" i="115"/>
  <c r="Q1040" i="115"/>
  <c r="O1040" i="115"/>
  <c r="M1040" i="115"/>
  <c r="V1040" i="115" s="1"/>
  <c r="S1033" i="115"/>
  <c r="R1033" i="115"/>
  <c r="Q1033" i="115"/>
  <c r="O1033" i="115"/>
  <c r="M1033" i="115"/>
  <c r="S1032" i="115"/>
  <c r="R1032" i="115"/>
  <c r="Q1032" i="115"/>
  <c r="O1032" i="115"/>
  <c r="M1032" i="115"/>
  <c r="S1031" i="115"/>
  <c r="R1031" i="115"/>
  <c r="Q1031" i="115"/>
  <c r="O1031" i="115"/>
  <c r="M1031" i="115"/>
  <c r="T1028" i="115"/>
  <c r="S1028" i="115"/>
  <c r="R1028" i="115"/>
  <c r="Q1028" i="115"/>
  <c r="O1028" i="115"/>
  <c r="M1028" i="115"/>
  <c r="V1028" i="115" s="1"/>
  <c r="S999" i="115"/>
  <c r="R999" i="115"/>
  <c r="Q999" i="115"/>
  <c r="O999" i="115"/>
  <c r="M999" i="115"/>
  <c r="S998" i="115"/>
  <c r="R998" i="115"/>
  <c r="Q998" i="115"/>
  <c r="O998" i="115"/>
  <c r="M998" i="115"/>
  <c r="T997" i="115"/>
  <c r="S997" i="115"/>
  <c r="R997" i="115"/>
  <c r="Q997" i="115"/>
  <c r="O997" i="115"/>
  <c r="M997" i="115"/>
  <c r="V997" i="115" s="1"/>
  <c r="T994" i="115"/>
  <c r="S994" i="115"/>
  <c r="R994" i="115"/>
  <c r="Q994" i="115"/>
  <c r="O994" i="115"/>
  <c r="M994" i="115"/>
  <c r="V994" i="115" s="1"/>
  <c r="S993" i="115"/>
  <c r="R993" i="115"/>
  <c r="Q993" i="115"/>
  <c r="O993" i="115"/>
  <c r="M993" i="115"/>
  <c r="S992" i="115"/>
  <c r="R992" i="115"/>
  <c r="Q992" i="115"/>
  <c r="O992" i="115"/>
  <c r="M992" i="115"/>
  <c r="S991" i="115"/>
  <c r="R991" i="115"/>
  <c r="Q991" i="115"/>
  <c r="O991" i="115"/>
  <c r="M991" i="115"/>
  <c r="T990" i="115"/>
  <c r="S990" i="115"/>
  <c r="R990" i="115"/>
  <c r="Q990" i="115"/>
  <c r="O990" i="115"/>
  <c r="M990" i="115"/>
  <c r="V990" i="115" s="1"/>
  <c r="S989" i="115"/>
  <c r="R989" i="115"/>
  <c r="Q989" i="115"/>
  <c r="O989" i="115"/>
  <c r="M989" i="115"/>
  <c r="S988" i="115"/>
  <c r="R988" i="115"/>
  <c r="Q988" i="115"/>
  <c r="O988" i="115"/>
  <c r="M988" i="115"/>
  <c r="S987" i="115"/>
  <c r="R987" i="115"/>
  <c r="Q987" i="115"/>
  <c r="O987" i="115"/>
  <c r="M987" i="115"/>
  <c r="S984" i="115"/>
  <c r="R984" i="115"/>
  <c r="Q984" i="115"/>
  <c r="O984" i="115"/>
  <c r="M984" i="115"/>
  <c r="S983" i="115"/>
  <c r="R983" i="115"/>
  <c r="Q983" i="115"/>
  <c r="O983" i="115"/>
  <c r="M983" i="115"/>
  <c r="S982" i="115"/>
  <c r="R982" i="115"/>
  <c r="Q982" i="115"/>
  <c r="O982" i="115"/>
  <c r="M982" i="115"/>
  <c r="S981" i="115"/>
  <c r="R981" i="115"/>
  <c r="Q981" i="115"/>
  <c r="O981" i="115"/>
  <c r="M981" i="115"/>
  <c r="S980" i="115"/>
  <c r="R980" i="115"/>
  <c r="Q980" i="115"/>
  <c r="O980" i="115"/>
  <c r="M980" i="115"/>
  <c r="S979" i="115"/>
  <c r="R979" i="115"/>
  <c r="Q979" i="115"/>
  <c r="O979" i="115"/>
  <c r="M979" i="115"/>
  <c r="S978" i="115"/>
  <c r="R978" i="115"/>
  <c r="Q978" i="115"/>
  <c r="O978" i="115"/>
  <c r="M978" i="115"/>
  <c r="S977" i="115"/>
  <c r="R977" i="115"/>
  <c r="Q977" i="115"/>
  <c r="O977" i="115"/>
  <c r="M977" i="115"/>
  <c r="S976" i="115"/>
  <c r="R976" i="115"/>
  <c r="Q976" i="115"/>
  <c r="O976" i="115"/>
  <c r="M976" i="115"/>
  <c r="V976" i="115" s="1"/>
  <c r="S975" i="115"/>
  <c r="R975" i="115"/>
  <c r="Q975" i="115"/>
  <c r="O975" i="115"/>
  <c r="M975" i="115"/>
  <c r="T967" i="115"/>
  <c r="S967" i="115"/>
  <c r="R967" i="115"/>
  <c r="Q967" i="115"/>
  <c r="O967" i="115"/>
  <c r="M967" i="115"/>
  <c r="V967" i="115" s="1"/>
  <c r="S964" i="115"/>
  <c r="R964" i="115"/>
  <c r="Q964" i="115"/>
  <c r="O964" i="115"/>
  <c r="M964" i="115"/>
  <c r="S963" i="115"/>
  <c r="R963" i="115"/>
  <c r="Q963" i="115"/>
  <c r="O963" i="115"/>
  <c r="M963" i="115"/>
  <c r="S962" i="115"/>
  <c r="R962" i="115"/>
  <c r="Q962" i="115"/>
  <c r="O962" i="115"/>
  <c r="M962" i="115"/>
  <c r="S961" i="115"/>
  <c r="R961" i="115"/>
  <c r="Q961" i="115"/>
  <c r="O961" i="115"/>
  <c r="M961" i="115"/>
  <c r="S960" i="115"/>
  <c r="R960" i="115"/>
  <c r="Q960" i="115"/>
  <c r="O960" i="115"/>
  <c r="M960" i="115"/>
  <c r="S959" i="115"/>
  <c r="R959" i="115"/>
  <c r="Q959" i="115"/>
  <c r="O959" i="115"/>
  <c r="M959" i="115"/>
  <c r="V959" i="115" s="1"/>
  <c r="T958" i="115"/>
  <c r="S958" i="115"/>
  <c r="R958" i="115"/>
  <c r="Q958" i="115"/>
  <c r="O958" i="115"/>
  <c r="M958" i="115"/>
  <c r="S955" i="115"/>
  <c r="R955" i="115"/>
  <c r="Q955" i="115"/>
  <c r="O955" i="115"/>
  <c r="M955" i="115"/>
  <c r="T954" i="115"/>
  <c r="S954" i="115"/>
  <c r="R954" i="115"/>
  <c r="Q954" i="115"/>
  <c r="O954" i="115"/>
  <c r="M954" i="115"/>
  <c r="V954" i="115" s="1"/>
  <c r="S953" i="115"/>
  <c r="R953" i="115"/>
  <c r="Q953" i="115"/>
  <c r="O953" i="115"/>
  <c r="M953" i="115"/>
  <c r="S952" i="115"/>
  <c r="R952" i="115"/>
  <c r="Q952" i="115"/>
  <c r="O952" i="115"/>
  <c r="M952" i="115"/>
  <c r="V952" i="115" s="1"/>
  <c r="S951" i="115"/>
  <c r="R951" i="115"/>
  <c r="Q951" i="115"/>
  <c r="O951" i="115"/>
  <c r="M951" i="115"/>
  <c r="S950" i="115"/>
  <c r="R950" i="115"/>
  <c r="Q950" i="115"/>
  <c r="O950" i="115"/>
  <c r="M950" i="115"/>
  <c r="V950" i="115" s="1"/>
  <c r="S949" i="115"/>
  <c r="R949" i="115"/>
  <c r="Q949" i="115"/>
  <c r="O949" i="115"/>
  <c r="M949" i="115"/>
  <c r="S948" i="115"/>
  <c r="R948" i="115"/>
  <c r="Q948" i="115"/>
  <c r="O948" i="115"/>
  <c r="M948" i="115"/>
  <c r="S947" i="115"/>
  <c r="R947" i="115"/>
  <c r="Q947" i="115"/>
  <c r="O947" i="115"/>
  <c r="M947" i="115"/>
  <c r="T946" i="115"/>
  <c r="S946" i="115"/>
  <c r="R946" i="115"/>
  <c r="Q946" i="115"/>
  <c r="O946" i="115"/>
  <c r="M946" i="115"/>
  <c r="V946" i="115" s="1"/>
  <c r="S945" i="115"/>
  <c r="R945" i="115"/>
  <c r="Q945" i="115"/>
  <c r="O945" i="115"/>
  <c r="M945" i="115"/>
  <c r="S942" i="115"/>
  <c r="R942" i="115"/>
  <c r="Q942" i="115"/>
  <c r="O942" i="115"/>
  <c r="M942" i="115"/>
  <c r="S941" i="115"/>
  <c r="R941" i="115"/>
  <c r="Q941" i="115"/>
  <c r="O941" i="115"/>
  <c r="M941" i="115"/>
  <c r="S940" i="115"/>
  <c r="R940" i="115"/>
  <c r="Q940" i="115"/>
  <c r="O940" i="115"/>
  <c r="M940" i="115"/>
  <c r="S939" i="115"/>
  <c r="R939" i="115"/>
  <c r="Q939" i="115"/>
  <c r="O939" i="115"/>
  <c r="M939" i="115"/>
  <c r="S938" i="115"/>
  <c r="R938" i="115"/>
  <c r="Q938" i="115"/>
  <c r="O938" i="115"/>
  <c r="M938" i="115"/>
  <c r="S937" i="115"/>
  <c r="R937" i="115"/>
  <c r="Q937" i="115"/>
  <c r="O937" i="115"/>
  <c r="M937" i="115"/>
  <c r="S936" i="115"/>
  <c r="R936" i="115"/>
  <c r="Q936" i="115"/>
  <c r="O936" i="115"/>
  <c r="M936" i="115"/>
  <c r="S935" i="115"/>
  <c r="R935" i="115"/>
  <c r="Q935" i="115"/>
  <c r="O935" i="115"/>
  <c r="M935" i="115"/>
  <c r="V935" i="115" s="1"/>
  <c r="T934" i="115"/>
  <c r="S934" i="115"/>
  <c r="R934" i="115"/>
  <c r="Q934" i="115"/>
  <c r="O934" i="115"/>
  <c r="M934" i="115"/>
  <c r="V934" i="115" s="1"/>
  <c r="S933" i="115"/>
  <c r="R933" i="115"/>
  <c r="Q933" i="115"/>
  <c r="O933" i="115"/>
  <c r="M933" i="115"/>
  <c r="S925" i="115"/>
  <c r="R925" i="115"/>
  <c r="Q925" i="115"/>
  <c r="O925" i="115"/>
  <c r="M925" i="115"/>
  <c r="S924" i="115"/>
  <c r="R924" i="115"/>
  <c r="Q924" i="115"/>
  <c r="O924" i="115"/>
  <c r="M924" i="115"/>
  <c r="S923" i="115"/>
  <c r="R923" i="115"/>
  <c r="Q923" i="115"/>
  <c r="O923" i="115"/>
  <c r="M923" i="115"/>
  <c r="S922" i="115"/>
  <c r="R922" i="115"/>
  <c r="Q922" i="115"/>
  <c r="O922" i="115"/>
  <c r="M922" i="115"/>
  <c r="S921" i="115"/>
  <c r="R921" i="115"/>
  <c r="Q921" i="115"/>
  <c r="O921" i="115"/>
  <c r="M921" i="115"/>
  <c r="S920" i="115"/>
  <c r="R920" i="115"/>
  <c r="Q920" i="115"/>
  <c r="O920" i="115"/>
  <c r="M920" i="115"/>
  <c r="T919" i="115"/>
  <c r="S919" i="115"/>
  <c r="R919" i="115"/>
  <c r="Q919" i="115"/>
  <c r="O919" i="115"/>
  <c r="M919" i="115"/>
  <c r="V919" i="115" s="1"/>
  <c r="S916" i="115"/>
  <c r="R916" i="115"/>
  <c r="Q916" i="115"/>
  <c r="O916" i="115"/>
  <c r="M916" i="115"/>
  <c r="S913" i="115"/>
  <c r="R913" i="115"/>
  <c r="Q913" i="115"/>
  <c r="O913" i="115"/>
  <c r="M913" i="115"/>
  <c r="S912" i="115"/>
  <c r="R912" i="115"/>
  <c r="Q912" i="115"/>
  <c r="O912" i="115"/>
  <c r="M912" i="115"/>
  <c r="S911" i="115"/>
  <c r="R911" i="115"/>
  <c r="Q911" i="115"/>
  <c r="O911" i="115"/>
  <c r="M911" i="115"/>
  <c r="S910" i="115"/>
  <c r="R910" i="115"/>
  <c r="Q910" i="115"/>
  <c r="O910" i="115"/>
  <c r="M910" i="115"/>
  <c r="S909" i="115"/>
  <c r="R909" i="115"/>
  <c r="Q909" i="115"/>
  <c r="O909" i="115"/>
  <c r="M909" i="115"/>
  <c r="S908" i="115"/>
  <c r="R908" i="115"/>
  <c r="Q908" i="115"/>
  <c r="O908" i="115"/>
  <c r="M908" i="115"/>
  <c r="S907" i="115"/>
  <c r="R907" i="115"/>
  <c r="Q907" i="115"/>
  <c r="O907" i="115"/>
  <c r="M907" i="115"/>
  <c r="S906" i="115"/>
  <c r="R906" i="115"/>
  <c r="Q906" i="115"/>
  <c r="O906" i="115"/>
  <c r="M906" i="115"/>
  <c r="S905" i="115"/>
  <c r="R905" i="115"/>
  <c r="Q905" i="115"/>
  <c r="O905" i="115"/>
  <c r="M905" i="115"/>
  <c r="S904" i="115"/>
  <c r="R904" i="115"/>
  <c r="Q904" i="115"/>
  <c r="O904" i="115"/>
  <c r="M904" i="115"/>
  <c r="T897" i="115"/>
  <c r="S897" i="115"/>
  <c r="R897" i="115"/>
  <c r="Q897" i="115"/>
  <c r="O897" i="115"/>
  <c r="M897" i="115"/>
  <c r="V897" i="115" s="1"/>
  <c r="T896" i="115"/>
  <c r="S896" i="115"/>
  <c r="R896" i="115"/>
  <c r="Q896" i="115"/>
  <c r="O896" i="115"/>
  <c r="M896" i="115"/>
  <c r="S893" i="115"/>
  <c r="R893" i="115"/>
  <c r="Q893" i="115"/>
  <c r="O893" i="115"/>
  <c r="M893" i="115"/>
  <c r="S892" i="115"/>
  <c r="R892" i="115"/>
  <c r="Q892" i="115"/>
  <c r="O892" i="115"/>
  <c r="M892" i="115"/>
  <c r="S891" i="115"/>
  <c r="R891" i="115"/>
  <c r="Q891" i="115"/>
  <c r="O891" i="115"/>
  <c r="M891" i="115"/>
  <c r="T890" i="115"/>
  <c r="S890" i="115"/>
  <c r="R890" i="115"/>
  <c r="Q890" i="115"/>
  <c r="O890" i="115"/>
  <c r="M890" i="115"/>
  <c r="V890" i="115" s="1"/>
  <c r="S889" i="115"/>
  <c r="R889" i="115"/>
  <c r="Q889" i="115"/>
  <c r="O889" i="115"/>
  <c r="M889" i="115"/>
  <c r="V889" i="115" s="1"/>
  <c r="T888" i="115"/>
  <c r="S888" i="115"/>
  <c r="R888" i="115"/>
  <c r="Q888" i="115"/>
  <c r="O888" i="115"/>
  <c r="M888" i="115"/>
  <c r="V888" i="115" s="1"/>
  <c r="S885" i="115"/>
  <c r="R885" i="115"/>
  <c r="Q885" i="115"/>
  <c r="O885" i="115"/>
  <c r="M885" i="115"/>
  <c r="T884" i="115"/>
  <c r="S884" i="115"/>
  <c r="R884" i="115"/>
  <c r="Q884" i="115"/>
  <c r="O884" i="115"/>
  <c r="M884" i="115"/>
  <c r="V884" i="115" s="1"/>
  <c r="S883" i="115"/>
  <c r="R883" i="115"/>
  <c r="Q883" i="115"/>
  <c r="O883" i="115"/>
  <c r="M883" i="115"/>
  <c r="S880" i="115"/>
  <c r="R880" i="115"/>
  <c r="Q880" i="115"/>
  <c r="O880" i="115"/>
  <c r="M880" i="115"/>
  <c r="V880" i="115" s="1"/>
  <c r="S879" i="115"/>
  <c r="R879" i="115"/>
  <c r="Q879" i="115"/>
  <c r="O879" i="115"/>
  <c r="M879" i="115"/>
  <c r="S878" i="115"/>
  <c r="R878" i="115"/>
  <c r="Q878" i="115"/>
  <c r="O878" i="115"/>
  <c r="M878" i="115"/>
  <c r="S877" i="115"/>
  <c r="R877" i="115"/>
  <c r="Q877" i="115"/>
  <c r="O877" i="115"/>
  <c r="M877" i="115"/>
  <c r="S876" i="115"/>
  <c r="R876" i="115"/>
  <c r="Q876" i="115"/>
  <c r="O876" i="115"/>
  <c r="M876" i="115"/>
  <c r="T875" i="115"/>
  <c r="S875" i="115"/>
  <c r="R875" i="115"/>
  <c r="Q875" i="115"/>
  <c r="O875" i="115"/>
  <c r="M875" i="115"/>
  <c r="V875" i="115" s="1"/>
  <c r="T874" i="115"/>
  <c r="S874" i="115"/>
  <c r="R874" i="115"/>
  <c r="Q874" i="115"/>
  <c r="O874" i="115"/>
  <c r="M874" i="115"/>
  <c r="V874" i="115" s="1"/>
  <c r="S873" i="115"/>
  <c r="R873" i="115"/>
  <c r="Q873" i="115"/>
  <c r="O873" i="115"/>
  <c r="M873" i="115"/>
  <c r="T872" i="115"/>
  <c r="S872" i="115"/>
  <c r="R872" i="115"/>
  <c r="Q872" i="115"/>
  <c r="O872" i="115"/>
  <c r="M872" i="115"/>
  <c r="V872" i="115" s="1"/>
  <c r="T871" i="115"/>
  <c r="S871" i="115"/>
  <c r="R871" i="115"/>
  <c r="Q871" i="115"/>
  <c r="O871" i="115"/>
  <c r="M871" i="115"/>
  <c r="V871" i="115" s="1"/>
  <c r="T863" i="115"/>
  <c r="S863" i="115"/>
  <c r="R863" i="115"/>
  <c r="Q863" i="115"/>
  <c r="O863" i="115"/>
  <c r="M863" i="115"/>
  <c r="V863" i="115" s="1"/>
  <c r="T862" i="115"/>
  <c r="S862" i="115"/>
  <c r="R862" i="115"/>
  <c r="Q862" i="115"/>
  <c r="O862" i="115"/>
  <c r="M862" i="115"/>
  <c r="V862" i="115" s="1"/>
  <c r="S859" i="115"/>
  <c r="R859" i="115"/>
  <c r="Q859" i="115"/>
  <c r="O859" i="115"/>
  <c r="M859" i="115"/>
  <c r="S858" i="115"/>
  <c r="R858" i="115"/>
  <c r="Q858" i="115"/>
  <c r="O858" i="115"/>
  <c r="M858" i="115"/>
  <c r="S857" i="115"/>
  <c r="R857" i="115"/>
  <c r="Q857" i="115"/>
  <c r="O857" i="115"/>
  <c r="M857" i="115"/>
  <c r="S856" i="115"/>
  <c r="R856" i="115"/>
  <c r="Q856" i="115"/>
  <c r="O856" i="115"/>
  <c r="M856" i="115"/>
  <c r="S855" i="115"/>
  <c r="R855" i="115"/>
  <c r="Q855" i="115"/>
  <c r="O855" i="115"/>
  <c r="M855" i="115"/>
  <c r="S854" i="115"/>
  <c r="R854" i="115"/>
  <c r="Q854" i="115"/>
  <c r="O854" i="115"/>
  <c r="M854" i="115"/>
  <c r="V854" i="115" s="1"/>
  <c r="S851" i="115"/>
  <c r="R851" i="115"/>
  <c r="Q851" i="115"/>
  <c r="O851" i="115"/>
  <c r="M851" i="115"/>
  <c r="S850" i="115"/>
  <c r="R850" i="115"/>
  <c r="Q850" i="115"/>
  <c r="O850" i="115"/>
  <c r="M850" i="115"/>
  <c r="S849" i="115"/>
  <c r="R849" i="115"/>
  <c r="Q849" i="115"/>
  <c r="O849" i="115"/>
  <c r="M849" i="115"/>
  <c r="V849" i="115" s="1"/>
  <c r="S848" i="115"/>
  <c r="R848" i="115"/>
  <c r="Q848" i="115"/>
  <c r="O848" i="115"/>
  <c r="M848" i="115"/>
  <c r="S847" i="115"/>
  <c r="R847" i="115"/>
  <c r="Q847" i="115"/>
  <c r="O847" i="115"/>
  <c r="M847" i="115"/>
  <c r="T846" i="115"/>
  <c r="S846" i="115"/>
  <c r="R846" i="115"/>
  <c r="Q846" i="115"/>
  <c r="O846" i="115"/>
  <c r="M846" i="115"/>
  <c r="V846" i="115" s="1"/>
  <c r="S845" i="115"/>
  <c r="R845" i="115"/>
  <c r="Q845" i="115"/>
  <c r="O845" i="115"/>
  <c r="M845" i="115"/>
  <c r="S844" i="115"/>
  <c r="R844" i="115"/>
  <c r="Q844" i="115"/>
  <c r="O844" i="115"/>
  <c r="M844" i="115"/>
  <c r="S843" i="115"/>
  <c r="R843" i="115"/>
  <c r="Q843" i="115"/>
  <c r="O843" i="115"/>
  <c r="M843" i="115"/>
  <c r="S842" i="115"/>
  <c r="R842" i="115"/>
  <c r="Q842" i="115"/>
  <c r="O842" i="115"/>
  <c r="M842" i="115"/>
  <c r="V842" i="115" s="1"/>
  <c r="S838" i="115"/>
  <c r="R838" i="115"/>
  <c r="Q838" i="115"/>
  <c r="O838" i="115"/>
  <c r="M838" i="115"/>
  <c r="S837" i="115"/>
  <c r="R837" i="115"/>
  <c r="Q837" i="115"/>
  <c r="O837" i="115"/>
  <c r="M837" i="115"/>
  <c r="S836" i="115"/>
  <c r="R836" i="115"/>
  <c r="Q836" i="115"/>
  <c r="O836" i="115"/>
  <c r="M836" i="115"/>
  <c r="S835" i="115"/>
  <c r="R835" i="115"/>
  <c r="Q835" i="115"/>
  <c r="O835" i="115"/>
  <c r="M835" i="115"/>
  <c r="S834" i="115"/>
  <c r="R834" i="115"/>
  <c r="Q834" i="115"/>
  <c r="O834" i="115"/>
  <c r="M834" i="115"/>
  <c r="S833" i="115"/>
  <c r="R833" i="115"/>
  <c r="Q833" i="115"/>
  <c r="O833" i="115"/>
  <c r="M833" i="115"/>
  <c r="S832" i="115"/>
  <c r="R832" i="115"/>
  <c r="Q832" i="115"/>
  <c r="O832" i="115"/>
  <c r="M832" i="115"/>
  <c r="S831" i="115"/>
  <c r="R831" i="115"/>
  <c r="Q831" i="115"/>
  <c r="O831" i="115"/>
  <c r="M831" i="115"/>
  <c r="S830" i="115"/>
  <c r="R830" i="115"/>
  <c r="Q830" i="115"/>
  <c r="O830" i="115"/>
  <c r="M830" i="115"/>
  <c r="S829" i="115"/>
  <c r="R829" i="115"/>
  <c r="Q829" i="115"/>
  <c r="O829" i="115"/>
  <c r="M829" i="115"/>
  <c r="T821" i="115"/>
  <c r="S821" i="115"/>
  <c r="R821" i="115"/>
  <c r="Q821" i="115"/>
  <c r="O821" i="115"/>
  <c r="M821" i="115"/>
  <c r="V821" i="115" s="1"/>
  <c r="S818" i="115"/>
  <c r="R818" i="115"/>
  <c r="Q818" i="115"/>
  <c r="O818" i="115"/>
  <c r="M818" i="115"/>
  <c r="S817" i="115"/>
  <c r="R817" i="115"/>
  <c r="Q817" i="115"/>
  <c r="O817" i="115"/>
  <c r="M817" i="115"/>
  <c r="T816" i="115"/>
  <c r="S816" i="115"/>
  <c r="R816" i="115"/>
  <c r="Q816" i="115"/>
  <c r="O816" i="115"/>
  <c r="M816" i="115"/>
  <c r="V816" i="115" s="1"/>
  <c r="S815" i="115"/>
  <c r="R815" i="115"/>
  <c r="Q815" i="115"/>
  <c r="O815" i="115"/>
  <c r="M815" i="115"/>
  <c r="S814" i="115"/>
  <c r="R814" i="115"/>
  <c r="Q814" i="115"/>
  <c r="O814" i="115"/>
  <c r="M814" i="115"/>
  <c r="S813" i="115"/>
  <c r="R813" i="115"/>
  <c r="Q813" i="115"/>
  <c r="O813" i="115"/>
  <c r="M813" i="115"/>
  <c r="S812" i="115"/>
  <c r="R812" i="115"/>
  <c r="Q812" i="115"/>
  <c r="O812" i="115"/>
  <c r="M812" i="115"/>
  <c r="S811" i="115"/>
  <c r="R811" i="115"/>
  <c r="Q811" i="115"/>
  <c r="O811" i="115"/>
  <c r="M811" i="115"/>
  <c r="S810" i="115"/>
  <c r="R810" i="115"/>
  <c r="Q810" i="115"/>
  <c r="O810" i="115"/>
  <c r="M810" i="115"/>
  <c r="S809" i="115"/>
  <c r="R809" i="115"/>
  <c r="Q809" i="115"/>
  <c r="O809" i="115"/>
  <c r="M809" i="115"/>
  <c r="S808" i="115"/>
  <c r="R808" i="115"/>
  <c r="Q808" i="115"/>
  <c r="O808" i="115"/>
  <c r="M808" i="115"/>
  <c r="S807" i="115"/>
  <c r="R807" i="115"/>
  <c r="Q807" i="115"/>
  <c r="O807" i="115"/>
  <c r="M807" i="115"/>
  <c r="T806" i="115"/>
  <c r="S806" i="115"/>
  <c r="R806" i="115"/>
  <c r="Q806" i="115"/>
  <c r="O806" i="115"/>
  <c r="M806" i="115"/>
  <c r="V806" i="115" s="1"/>
  <c r="T805" i="115"/>
  <c r="S805" i="115"/>
  <c r="R805" i="115"/>
  <c r="Q805" i="115"/>
  <c r="O805" i="115"/>
  <c r="M805" i="115"/>
  <c r="V805" i="115" s="1"/>
  <c r="S804" i="115"/>
  <c r="R804" i="115"/>
  <c r="Q804" i="115"/>
  <c r="O804" i="115"/>
  <c r="M804" i="115"/>
  <c r="S803" i="115"/>
  <c r="R803" i="115"/>
  <c r="Q803" i="115"/>
  <c r="O803" i="115"/>
  <c r="M803" i="115"/>
  <c r="T802" i="115"/>
  <c r="S802" i="115"/>
  <c r="R802" i="115"/>
  <c r="Q802" i="115"/>
  <c r="O802" i="115"/>
  <c r="M802" i="115"/>
  <c r="V802" i="115" s="1"/>
  <c r="S801" i="115"/>
  <c r="R801" i="115"/>
  <c r="Q801" i="115"/>
  <c r="O801" i="115"/>
  <c r="M801" i="115"/>
  <c r="V801" i="115" s="1"/>
  <c r="S800" i="115"/>
  <c r="R800" i="115"/>
  <c r="Q800" i="115"/>
  <c r="O800" i="115"/>
  <c r="M800" i="115"/>
  <c r="S799" i="115"/>
  <c r="R799" i="115"/>
  <c r="Q799" i="115"/>
  <c r="O799" i="115"/>
  <c r="M799" i="115"/>
  <c r="S798" i="115"/>
  <c r="R798" i="115"/>
  <c r="Q798" i="115"/>
  <c r="O798" i="115"/>
  <c r="M798" i="115"/>
  <c r="T797" i="115"/>
  <c r="S797" i="115"/>
  <c r="R797" i="115"/>
  <c r="Q797" i="115"/>
  <c r="O797" i="115"/>
  <c r="M797" i="115"/>
  <c r="V797" i="115" s="1"/>
  <c r="T796" i="115"/>
  <c r="S796" i="115"/>
  <c r="R796" i="115"/>
  <c r="Q796" i="115"/>
  <c r="O796" i="115"/>
  <c r="M796" i="115"/>
  <c r="V796" i="115" s="1"/>
  <c r="S793" i="115"/>
  <c r="R793" i="115"/>
  <c r="Q793" i="115"/>
  <c r="O793" i="115"/>
  <c r="M793" i="115"/>
  <c r="S792" i="115"/>
  <c r="R792" i="115"/>
  <c r="Q792" i="115"/>
  <c r="O792" i="115"/>
  <c r="M792" i="115"/>
  <c r="V792" i="115" s="1"/>
  <c r="S791" i="115"/>
  <c r="R791" i="115"/>
  <c r="Q791" i="115"/>
  <c r="O791" i="115"/>
  <c r="M791" i="115"/>
  <c r="S790" i="115"/>
  <c r="R790" i="115"/>
  <c r="Q790" i="115"/>
  <c r="O790" i="115"/>
  <c r="M790" i="115"/>
  <c r="V790" i="115" s="1"/>
  <c r="S789" i="115"/>
  <c r="R789" i="115"/>
  <c r="Q789" i="115"/>
  <c r="O789" i="115"/>
  <c r="M789" i="115"/>
  <c r="T788" i="115"/>
  <c r="S788" i="115"/>
  <c r="R788" i="115"/>
  <c r="Q788" i="115"/>
  <c r="O788" i="115"/>
  <c r="M788" i="115"/>
  <c r="V788" i="115" s="1"/>
  <c r="S787" i="115"/>
  <c r="R787" i="115"/>
  <c r="Q787" i="115"/>
  <c r="O787" i="115"/>
  <c r="M787" i="115"/>
  <c r="S786" i="115"/>
  <c r="R786" i="115"/>
  <c r="Q786" i="115"/>
  <c r="O786" i="115"/>
  <c r="M786" i="115"/>
  <c r="S783" i="115"/>
  <c r="R783" i="115"/>
  <c r="Q783" i="115"/>
  <c r="O783" i="115"/>
  <c r="M783" i="115"/>
  <c r="T782" i="115"/>
  <c r="S782" i="115"/>
  <c r="R782" i="115"/>
  <c r="Q782" i="115"/>
  <c r="O782" i="115"/>
  <c r="M782" i="115"/>
  <c r="V782" i="115" s="1"/>
  <c r="S781" i="115"/>
  <c r="R781" i="115"/>
  <c r="Q781" i="115"/>
  <c r="O781" i="115"/>
  <c r="M781" i="115"/>
  <c r="S780" i="115"/>
  <c r="R780" i="115"/>
  <c r="Q780" i="115"/>
  <c r="O780" i="115"/>
  <c r="M780" i="115"/>
  <c r="S779" i="115"/>
  <c r="R779" i="115"/>
  <c r="Q779" i="115"/>
  <c r="O779" i="115"/>
  <c r="M779" i="115"/>
  <c r="T778" i="115"/>
  <c r="S778" i="115"/>
  <c r="R778" i="115"/>
  <c r="Q778" i="115"/>
  <c r="O778" i="115"/>
  <c r="M778" i="115"/>
  <c r="V778" i="115" s="1"/>
  <c r="S777" i="115"/>
  <c r="R777" i="115"/>
  <c r="Q777" i="115"/>
  <c r="O777" i="115"/>
  <c r="M777" i="115"/>
  <c r="S776" i="115"/>
  <c r="R776" i="115"/>
  <c r="Q776" i="115"/>
  <c r="O776" i="115"/>
  <c r="M776" i="115"/>
  <c r="S775" i="115"/>
  <c r="R775" i="115"/>
  <c r="Q775" i="115"/>
  <c r="O775" i="115"/>
  <c r="M775" i="115"/>
  <c r="S774" i="115"/>
  <c r="R774" i="115"/>
  <c r="Q774" i="115"/>
  <c r="O774" i="115"/>
  <c r="M774" i="115"/>
  <c r="S773" i="115"/>
  <c r="R773" i="115"/>
  <c r="Q773" i="115"/>
  <c r="O773" i="115"/>
  <c r="M773" i="115"/>
  <c r="S767" i="115"/>
  <c r="R767" i="115"/>
  <c r="Q767" i="115"/>
  <c r="O767" i="115"/>
  <c r="M767" i="115"/>
  <c r="V767" i="115" s="1"/>
  <c r="S765" i="115"/>
  <c r="R765" i="115"/>
  <c r="Q765" i="115"/>
  <c r="O765" i="115"/>
  <c r="M765" i="115"/>
  <c r="V765" i="115" s="1"/>
  <c r="S763" i="115"/>
  <c r="R763" i="115"/>
  <c r="Q763" i="115"/>
  <c r="O763" i="115"/>
  <c r="M763" i="115"/>
  <c r="S761" i="115"/>
  <c r="R761" i="115"/>
  <c r="Q761" i="115"/>
  <c r="O761" i="115"/>
  <c r="M761" i="115"/>
  <c r="S760" i="115"/>
  <c r="R760" i="115"/>
  <c r="Q760" i="115"/>
  <c r="O760" i="115"/>
  <c r="M760" i="115"/>
  <c r="S759" i="115"/>
  <c r="R759" i="115"/>
  <c r="Q759" i="115"/>
  <c r="O759" i="115"/>
  <c r="M759" i="115"/>
  <c r="V759" i="115" s="1"/>
  <c r="S758" i="115"/>
  <c r="R758" i="115"/>
  <c r="Q758" i="115"/>
  <c r="O758" i="115"/>
  <c r="M758" i="115"/>
  <c r="V758" i="115" s="1"/>
  <c r="S757" i="115"/>
  <c r="R757" i="115"/>
  <c r="Q757" i="115"/>
  <c r="O757" i="115"/>
  <c r="M757" i="115"/>
  <c r="S756" i="115"/>
  <c r="R756" i="115"/>
  <c r="Q756" i="115"/>
  <c r="O756" i="115"/>
  <c r="M756" i="115"/>
  <c r="S755" i="115"/>
  <c r="R755" i="115"/>
  <c r="Q755" i="115"/>
  <c r="O755" i="115"/>
  <c r="M755" i="115"/>
  <c r="S754" i="115"/>
  <c r="R754" i="115"/>
  <c r="Q754" i="115"/>
  <c r="O754" i="115"/>
  <c r="M754" i="115"/>
  <c r="S753" i="115"/>
  <c r="R753" i="115"/>
  <c r="Q753" i="115"/>
  <c r="O753" i="115"/>
  <c r="M753" i="115"/>
  <c r="S752" i="115"/>
  <c r="R752" i="115"/>
  <c r="Q752" i="115"/>
  <c r="O752" i="115"/>
  <c r="M752" i="115"/>
  <c r="S751" i="115"/>
  <c r="R751" i="115"/>
  <c r="Q751" i="115"/>
  <c r="O751" i="115"/>
  <c r="M751" i="115"/>
  <c r="S750" i="115"/>
  <c r="R750" i="115"/>
  <c r="Q750" i="115"/>
  <c r="O750" i="115"/>
  <c r="M750" i="115"/>
  <c r="S749" i="115"/>
  <c r="R749" i="115"/>
  <c r="Q749" i="115"/>
  <c r="O749" i="115"/>
  <c r="M749" i="115"/>
  <c r="S748" i="115"/>
  <c r="R748" i="115"/>
  <c r="Q748" i="115"/>
  <c r="O748" i="115"/>
  <c r="M748" i="115"/>
  <c r="S747" i="115"/>
  <c r="R747" i="115"/>
  <c r="Q747" i="115"/>
  <c r="O747" i="115"/>
  <c r="M747" i="115"/>
  <c r="V747" i="115" s="1"/>
  <c r="S746" i="115"/>
  <c r="R746" i="115"/>
  <c r="Q746" i="115"/>
  <c r="O746" i="115"/>
  <c r="M746" i="115"/>
  <c r="S745" i="115"/>
  <c r="R745" i="115"/>
  <c r="Q745" i="115"/>
  <c r="O745" i="115"/>
  <c r="M745" i="115"/>
  <c r="S744" i="115"/>
  <c r="R744" i="115"/>
  <c r="Q744" i="115"/>
  <c r="O744" i="115"/>
  <c r="M744" i="115"/>
  <c r="V744" i="115" s="1"/>
  <c r="S743" i="115"/>
  <c r="R743" i="115"/>
  <c r="Q743" i="115"/>
  <c r="O743" i="115"/>
  <c r="M743" i="115"/>
  <c r="S742" i="115"/>
  <c r="R742" i="115"/>
  <c r="Q742" i="115"/>
  <c r="O742" i="115"/>
  <c r="M742" i="115"/>
  <c r="S741" i="115"/>
  <c r="R741" i="115"/>
  <c r="Q741" i="115"/>
  <c r="O741" i="115"/>
  <c r="M741" i="115"/>
  <c r="S740" i="115"/>
  <c r="R740" i="115"/>
  <c r="Q740" i="115"/>
  <c r="O740" i="115"/>
  <c r="M740" i="115"/>
  <c r="S739" i="115"/>
  <c r="R739" i="115"/>
  <c r="Q739" i="115"/>
  <c r="O739" i="115"/>
  <c r="M739" i="115"/>
  <c r="V739" i="115" s="1"/>
  <c r="S738" i="115"/>
  <c r="R738" i="115"/>
  <c r="Q738" i="115"/>
  <c r="O738" i="115"/>
  <c r="M738" i="115"/>
  <c r="S737" i="115"/>
  <c r="R737" i="115"/>
  <c r="Q737" i="115"/>
  <c r="O737" i="115"/>
  <c r="M737" i="115"/>
  <c r="S736" i="115"/>
  <c r="R736" i="115"/>
  <c r="Q736" i="115"/>
  <c r="O736" i="115"/>
  <c r="M736" i="115"/>
  <c r="S735" i="115"/>
  <c r="R735" i="115"/>
  <c r="Q735" i="115"/>
  <c r="O735" i="115"/>
  <c r="M735" i="115"/>
  <c r="S734" i="115"/>
  <c r="R734" i="115"/>
  <c r="Q734" i="115"/>
  <c r="O734" i="115"/>
  <c r="M734" i="115"/>
  <c r="S733" i="115"/>
  <c r="R733" i="115"/>
  <c r="Q733" i="115"/>
  <c r="O733" i="115"/>
  <c r="M733" i="115"/>
  <c r="S720" i="115"/>
  <c r="R720" i="115"/>
  <c r="Q720" i="115"/>
  <c r="O720" i="115"/>
  <c r="M720" i="115"/>
  <c r="T719" i="115"/>
  <c r="S719" i="115"/>
  <c r="R719" i="115"/>
  <c r="Q719" i="115"/>
  <c r="O719" i="115"/>
  <c r="M719" i="115"/>
  <c r="V719" i="115" s="1"/>
  <c r="S718" i="115"/>
  <c r="R718" i="115"/>
  <c r="Q718" i="115"/>
  <c r="O718" i="115"/>
  <c r="M718" i="115"/>
  <c r="V718" i="115" s="1"/>
  <c r="S717" i="115"/>
  <c r="R717" i="115"/>
  <c r="Q717" i="115"/>
  <c r="O717" i="115"/>
  <c r="M717" i="115"/>
  <c r="S716" i="115"/>
  <c r="R716" i="115"/>
  <c r="Q716" i="115"/>
  <c r="O716" i="115"/>
  <c r="M716" i="115"/>
  <c r="S715" i="115"/>
  <c r="R715" i="115"/>
  <c r="Q715" i="115"/>
  <c r="O715" i="115"/>
  <c r="M715" i="115"/>
  <c r="S714" i="115"/>
  <c r="R714" i="115"/>
  <c r="Q714" i="115"/>
  <c r="O714" i="115"/>
  <c r="M714" i="115"/>
  <c r="S713" i="115"/>
  <c r="R713" i="115"/>
  <c r="Q713" i="115"/>
  <c r="O713" i="115"/>
  <c r="M713" i="115"/>
  <c r="T712" i="115"/>
  <c r="S712" i="115"/>
  <c r="R712" i="115"/>
  <c r="Q712" i="115"/>
  <c r="O712" i="115"/>
  <c r="M712" i="115"/>
  <c r="V712" i="115" s="1"/>
  <c r="T711" i="115"/>
  <c r="S711" i="115"/>
  <c r="R711" i="115"/>
  <c r="Q711" i="115"/>
  <c r="O711" i="115"/>
  <c r="M711" i="115"/>
  <c r="V711" i="115" s="1"/>
  <c r="T710" i="115"/>
  <c r="S710" i="115"/>
  <c r="R710" i="115"/>
  <c r="Q710" i="115"/>
  <c r="O710" i="115"/>
  <c r="M710" i="115"/>
  <c r="V710" i="115" s="1"/>
  <c r="S709" i="115"/>
  <c r="R709" i="115"/>
  <c r="Q709" i="115"/>
  <c r="O709" i="115"/>
  <c r="M709" i="115"/>
  <c r="S701" i="115"/>
  <c r="R701" i="115"/>
  <c r="Q701" i="115"/>
  <c r="O701" i="115"/>
  <c r="M701" i="115"/>
  <c r="T700" i="115"/>
  <c r="S700" i="115"/>
  <c r="R700" i="115"/>
  <c r="Q700" i="115"/>
  <c r="O700" i="115"/>
  <c r="M700" i="115"/>
  <c r="V700" i="115" s="1"/>
  <c r="T697" i="115"/>
  <c r="S697" i="115"/>
  <c r="R697" i="115"/>
  <c r="Q697" i="115"/>
  <c r="O697" i="115"/>
  <c r="M697" i="115"/>
  <c r="V697" i="115" s="1"/>
  <c r="T696" i="115"/>
  <c r="S696" i="115"/>
  <c r="R696" i="115"/>
  <c r="Q696" i="115"/>
  <c r="O696" i="115"/>
  <c r="M696" i="115"/>
  <c r="V696" i="115" s="1"/>
  <c r="T695" i="115"/>
  <c r="S695" i="115"/>
  <c r="R695" i="115"/>
  <c r="Q695" i="115"/>
  <c r="O695" i="115"/>
  <c r="M695" i="115"/>
  <c r="V695" i="115" s="1"/>
  <c r="T692" i="115"/>
  <c r="S692" i="115"/>
  <c r="R692" i="115"/>
  <c r="Q692" i="115"/>
  <c r="O692" i="115"/>
  <c r="M692" i="115"/>
  <c r="V692" i="115" s="1"/>
  <c r="T691" i="115"/>
  <c r="S691" i="115"/>
  <c r="R691" i="115"/>
  <c r="Q691" i="115"/>
  <c r="O691" i="115"/>
  <c r="M691" i="115"/>
  <c r="V691" i="115" s="1"/>
  <c r="S688" i="115"/>
  <c r="R688" i="115"/>
  <c r="Q688" i="115"/>
  <c r="O688" i="115"/>
  <c r="M688" i="115"/>
  <c r="S687" i="115"/>
  <c r="R687" i="115"/>
  <c r="Q687" i="115"/>
  <c r="O687" i="115"/>
  <c r="M687" i="115"/>
  <c r="T686" i="115"/>
  <c r="S686" i="115"/>
  <c r="R686" i="115"/>
  <c r="Q686" i="115"/>
  <c r="O686" i="115"/>
  <c r="M686" i="115"/>
  <c r="V686" i="115" s="1"/>
  <c r="S685" i="115"/>
  <c r="R685" i="115"/>
  <c r="Q685" i="115"/>
  <c r="O685" i="115"/>
  <c r="M685" i="115"/>
  <c r="S683" i="115"/>
  <c r="R683" i="115"/>
  <c r="Q683" i="115"/>
  <c r="O683" i="115"/>
  <c r="M683" i="115"/>
  <c r="S681" i="115"/>
  <c r="R681" i="115"/>
  <c r="Q681" i="115"/>
  <c r="O681" i="115"/>
  <c r="M681" i="115"/>
  <c r="S680" i="115"/>
  <c r="R680" i="115"/>
  <c r="Q680" i="115"/>
  <c r="O680" i="115"/>
  <c r="M680" i="115"/>
  <c r="S679" i="115"/>
  <c r="R679" i="115"/>
  <c r="Q679" i="115"/>
  <c r="O679" i="115"/>
  <c r="M679" i="115"/>
  <c r="S678" i="115"/>
  <c r="R678" i="115"/>
  <c r="Q678" i="115"/>
  <c r="O678" i="115"/>
  <c r="M678" i="115"/>
  <c r="S677" i="115"/>
  <c r="R677" i="115"/>
  <c r="Q677" i="115"/>
  <c r="O677" i="115"/>
  <c r="M677" i="115"/>
  <c r="S676" i="115"/>
  <c r="R676" i="115"/>
  <c r="Q676" i="115"/>
  <c r="O676" i="115"/>
  <c r="M676" i="115"/>
  <c r="S675" i="115"/>
  <c r="R675" i="115"/>
  <c r="Q675" i="115"/>
  <c r="O675" i="115"/>
  <c r="M675" i="115"/>
  <c r="S672" i="115"/>
  <c r="R672" i="115"/>
  <c r="Q672" i="115"/>
  <c r="O672" i="115"/>
  <c r="M672" i="115"/>
  <c r="S671" i="115"/>
  <c r="R671" i="115"/>
  <c r="Q671" i="115"/>
  <c r="O671" i="115"/>
  <c r="M671" i="115"/>
  <c r="S670" i="115"/>
  <c r="R670" i="115"/>
  <c r="Q670" i="115"/>
  <c r="O670" i="115"/>
  <c r="M670" i="115"/>
  <c r="T669" i="115"/>
  <c r="S669" i="115"/>
  <c r="R669" i="115"/>
  <c r="Q669" i="115"/>
  <c r="O669" i="115"/>
  <c r="M669" i="115"/>
  <c r="V669" i="115" s="1"/>
  <c r="S668" i="115"/>
  <c r="R668" i="115"/>
  <c r="Q668" i="115"/>
  <c r="O668" i="115"/>
  <c r="M668" i="115"/>
  <c r="S667" i="115"/>
  <c r="R667" i="115"/>
  <c r="Q667" i="115"/>
  <c r="O667" i="115"/>
  <c r="M667" i="115"/>
  <c r="S666" i="115"/>
  <c r="R666" i="115"/>
  <c r="Q666" i="115"/>
  <c r="O666" i="115"/>
  <c r="M666" i="115"/>
  <c r="S665" i="115"/>
  <c r="R665" i="115"/>
  <c r="Q665" i="115"/>
  <c r="O665" i="115"/>
  <c r="M665" i="115"/>
  <c r="S664" i="115"/>
  <c r="R664" i="115"/>
  <c r="Q664" i="115"/>
  <c r="O664" i="115"/>
  <c r="M664" i="115"/>
  <c r="S663" i="115"/>
  <c r="R663" i="115"/>
  <c r="Q663" i="115"/>
  <c r="O663" i="115"/>
  <c r="M663" i="115"/>
  <c r="S662" i="115"/>
  <c r="R662" i="115"/>
  <c r="Q662" i="115"/>
  <c r="O662" i="115"/>
  <c r="M662" i="115"/>
  <c r="S661" i="115"/>
  <c r="R661" i="115"/>
  <c r="Q661" i="115"/>
  <c r="O661" i="115"/>
  <c r="M661" i="115"/>
  <c r="V661" i="115" s="1"/>
  <c r="S658" i="115"/>
  <c r="R658" i="115"/>
  <c r="Q658" i="115"/>
  <c r="O658" i="115"/>
  <c r="M658" i="115"/>
  <c r="S657" i="115"/>
  <c r="R657" i="115"/>
  <c r="Q657" i="115"/>
  <c r="O657" i="115"/>
  <c r="M657" i="115"/>
  <c r="S656" i="115"/>
  <c r="R656" i="115"/>
  <c r="Q656" i="115"/>
  <c r="O656" i="115"/>
  <c r="M656" i="115"/>
  <c r="S655" i="115"/>
  <c r="R655" i="115"/>
  <c r="Q655" i="115"/>
  <c r="O655" i="115"/>
  <c r="M655" i="115"/>
  <c r="S654" i="115"/>
  <c r="R654" i="115"/>
  <c r="Q654" i="115"/>
  <c r="O654" i="115"/>
  <c r="M654" i="115"/>
  <c r="S653" i="115"/>
  <c r="R653" i="115"/>
  <c r="Q653" i="115"/>
  <c r="O653" i="115"/>
  <c r="M653" i="115"/>
  <c r="S652" i="115"/>
  <c r="R652" i="115"/>
  <c r="Q652" i="115"/>
  <c r="O652" i="115"/>
  <c r="M652" i="115"/>
  <c r="S651" i="115"/>
  <c r="R651" i="115"/>
  <c r="Q651" i="115"/>
  <c r="O651" i="115"/>
  <c r="M651" i="115"/>
  <c r="S648" i="115"/>
  <c r="R648" i="115"/>
  <c r="Q648" i="115"/>
  <c r="O648" i="115"/>
  <c r="M648" i="115"/>
  <c r="V648" i="115" s="1"/>
  <c r="S647" i="115"/>
  <c r="R647" i="115"/>
  <c r="Q647" i="115"/>
  <c r="O647" i="115"/>
  <c r="M647" i="115"/>
  <c r="V647" i="115" s="1"/>
  <c r="S646" i="115"/>
  <c r="R646" i="115"/>
  <c r="Q646" i="115"/>
  <c r="O646" i="115"/>
  <c r="M646" i="115"/>
  <c r="S645" i="115"/>
  <c r="R645" i="115"/>
  <c r="Q645" i="115"/>
  <c r="O645" i="115"/>
  <c r="M645" i="115"/>
  <c r="V645" i="115" s="1"/>
  <c r="S644" i="115"/>
  <c r="R644" i="115"/>
  <c r="Q644" i="115"/>
  <c r="O644" i="115"/>
  <c r="M644" i="115"/>
  <c r="V644" i="115" s="1"/>
  <c r="S643" i="115"/>
  <c r="R643" i="115"/>
  <c r="Q643" i="115"/>
  <c r="O643" i="115"/>
  <c r="M643" i="115"/>
  <c r="V643" i="115" s="1"/>
  <c r="S642" i="115"/>
  <c r="R642" i="115"/>
  <c r="Q642" i="115"/>
  <c r="O642" i="115"/>
  <c r="M642" i="115"/>
  <c r="S641" i="115"/>
  <c r="R641" i="115"/>
  <c r="Q641" i="115"/>
  <c r="O641" i="115"/>
  <c r="M641" i="115"/>
  <c r="T580" i="115"/>
  <c r="S580" i="115"/>
  <c r="R580" i="115"/>
  <c r="Q580" i="115"/>
  <c r="O580" i="115"/>
  <c r="M580" i="115"/>
  <c r="V580" i="115" s="1"/>
  <c r="T579" i="115"/>
  <c r="S579" i="115"/>
  <c r="R579" i="115"/>
  <c r="Q579" i="115"/>
  <c r="O579" i="115"/>
  <c r="M579" i="115"/>
  <c r="V579" i="115" s="1"/>
  <c r="T578" i="115"/>
  <c r="S578" i="115"/>
  <c r="R578" i="115"/>
  <c r="Q578" i="115"/>
  <c r="O578" i="115"/>
  <c r="M578" i="115"/>
  <c r="T577" i="115"/>
  <c r="S577" i="115"/>
  <c r="R577" i="115"/>
  <c r="Q577" i="115"/>
  <c r="O577" i="115"/>
  <c r="M577" i="115"/>
  <c r="V577" i="115" s="1"/>
  <c r="T574" i="115"/>
  <c r="S574" i="115"/>
  <c r="R574" i="115"/>
  <c r="Q574" i="115"/>
  <c r="O574" i="115"/>
  <c r="M574" i="115"/>
  <c r="V574" i="115" s="1"/>
  <c r="T573" i="115"/>
  <c r="S573" i="115"/>
  <c r="R573" i="115"/>
  <c r="Q573" i="115"/>
  <c r="O573" i="115"/>
  <c r="M573" i="115"/>
  <c r="V573" i="115" s="1"/>
  <c r="S572" i="115"/>
  <c r="R572" i="115"/>
  <c r="Q572" i="115"/>
  <c r="O572" i="115"/>
  <c r="M572" i="115"/>
  <c r="S571" i="115"/>
  <c r="R571" i="115"/>
  <c r="Q571" i="115"/>
  <c r="O571" i="115"/>
  <c r="M571" i="115"/>
  <c r="S570" i="115"/>
  <c r="R570" i="115"/>
  <c r="Q570" i="115"/>
  <c r="O570" i="115"/>
  <c r="M570" i="115"/>
  <c r="S567" i="115"/>
  <c r="R567" i="115"/>
  <c r="Q567" i="115"/>
  <c r="O567" i="115"/>
  <c r="M567" i="115"/>
  <c r="T566" i="115"/>
  <c r="S566" i="115"/>
  <c r="R566" i="115"/>
  <c r="Q566" i="115"/>
  <c r="O566" i="115"/>
  <c r="M566" i="115"/>
  <c r="V566" i="115" s="1"/>
  <c r="S565" i="115"/>
  <c r="R565" i="115"/>
  <c r="Q565" i="115"/>
  <c r="O565" i="115"/>
  <c r="M565" i="115"/>
  <c r="S564" i="115"/>
  <c r="R564" i="115"/>
  <c r="Q564" i="115"/>
  <c r="O564" i="115"/>
  <c r="M564" i="115"/>
  <c r="T563" i="115"/>
  <c r="S563" i="115"/>
  <c r="R563" i="115"/>
  <c r="Q563" i="115"/>
  <c r="O563" i="115"/>
  <c r="M563" i="115"/>
  <c r="V563" i="115" s="1"/>
  <c r="S562" i="115"/>
  <c r="R562" i="115"/>
  <c r="Q562" i="115"/>
  <c r="O562" i="115"/>
  <c r="M562" i="115"/>
  <c r="S561" i="115"/>
  <c r="R561" i="115"/>
  <c r="Q561" i="115"/>
  <c r="O561" i="115"/>
  <c r="M561" i="115"/>
  <c r="S560" i="115"/>
  <c r="R560" i="115"/>
  <c r="Q560" i="115"/>
  <c r="O560" i="115"/>
  <c r="M560" i="115"/>
  <c r="S559" i="115"/>
  <c r="R559" i="115"/>
  <c r="Q559" i="115"/>
  <c r="O559" i="115"/>
  <c r="M559" i="115"/>
  <c r="S558" i="115"/>
  <c r="R558" i="115"/>
  <c r="Q558" i="115"/>
  <c r="O558" i="115"/>
  <c r="M558" i="115"/>
  <c r="S557" i="115"/>
  <c r="R557" i="115"/>
  <c r="Q557" i="115"/>
  <c r="O557" i="115"/>
  <c r="M557" i="115"/>
  <c r="S554" i="115"/>
  <c r="R554" i="115"/>
  <c r="Q554" i="115"/>
  <c r="O554" i="115"/>
  <c r="M554" i="115"/>
  <c r="T545" i="115"/>
  <c r="S545" i="115"/>
  <c r="R545" i="115"/>
  <c r="Q545" i="115"/>
  <c r="O545" i="115"/>
  <c r="M545" i="115"/>
  <c r="V545" i="115" s="1"/>
  <c r="T544" i="115"/>
  <c r="S544" i="115"/>
  <c r="R544" i="115"/>
  <c r="Q544" i="115"/>
  <c r="O544" i="115"/>
  <c r="M544" i="115"/>
  <c r="V544" i="115" s="1"/>
  <c r="S541" i="115"/>
  <c r="R541" i="115"/>
  <c r="Q541" i="115"/>
  <c r="O541" i="115"/>
  <c r="M541" i="115"/>
  <c r="T540" i="115"/>
  <c r="S540" i="115"/>
  <c r="R540" i="115"/>
  <c r="Q540" i="115"/>
  <c r="O540" i="115"/>
  <c r="M540" i="115"/>
  <c r="V540" i="115" s="1"/>
  <c r="S536" i="115"/>
  <c r="R536" i="115"/>
  <c r="Q536" i="115"/>
  <c r="O536" i="115"/>
  <c r="M536" i="115"/>
  <c r="S535" i="115"/>
  <c r="R535" i="115"/>
  <c r="Q535" i="115"/>
  <c r="O535" i="115"/>
  <c r="M535" i="115"/>
  <c r="S534" i="115"/>
  <c r="R534" i="115"/>
  <c r="Q534" i="115"/>
  <c r="O534" i="115"/>
  <c r="M534" i="115"/>
  <c r="S533" i="115"/>
  <c r="R533" i="115"/>
  <c r="Q533" i="115"/>
  <c r="O533" i="115"/>
  <c r="M533" i="115"/>
  <c r="S532" i="115"/>
  <c r="R532" i="115"/>
  <c r="Q532" i="115"/>
  <c r="O532" i="115"/>
  <c r="M532" i="115"/>
  <c r="S531" i="115"/>
  <c r="R531" i="115"/>
  <c r="Q531" i="115"/>
  <c r="O531" i="115"/>
  <c r="M531" i="115"/>
  <c r="V531" i="115" s="1"/>
  <c r="S530" i="115"/>
  <c r="R530" i="115"/>
  <c r="Q530" i="115"/>
  <c r="O530" i="115"/>
  <c r="M530" i="115"/>
  <c r="S529" i="115"/>
  <c r="R529" i="115"/>
  <c r="Q529" i="115"/>
  <c r="O529" i="115"/>
  <c r="M529" i="115"/>
  <c r="S528" i="115"/>
  <c r="R528" i="115"/>
  <c r="Q528" i="115"/>
  <c r="O528" i="115"/>
  <c r="M528" i="115"/>
  <c r="T527" i="115"/>
  <c r="S527" i="115"/>
  <c r="R527" i="115"/>
  <c r="Q527" i="115"/>
  <c r="O527" i="115"/>
  <c r="M527" i="115"/>
  <c r="V527" i="115" s="1"/>
  <c r="S526" i="115"/>
  <c r="R526" i="115"/>
  <c r="Q526" i="115"/>
  <c r="O526" i="115"/>
  <c r="M526" i="115"/>
  <c r="S525" i="115"/>
  <c r="R525" i="115"/>
  <c r="Q525" i="115"/>
  <c r="O525" i="115"/>
  <c r="M525" i="115"/>
  <c r="S522" i="115"/>
  <c r="R522" i="115"/>
  <c r="Q522" i="115"/>
  <c r="O522" i="115"/>
  <c r="M522" i="115"/>
  <c r="S521" i="115"/>
  <c r="R521" i="115"/>
  <c r="Q521" i="115"/>
  <c r="O521" i="115"/>
  <c r="M521" i="115"/>
  <c r="S520" i="115"/>
  <c r="R520" i="115"/>
  <c r="Q520" i="115"/>
  <c r="O520" i="115"/>
  <c r="M520" i="115"/>
  <c r="S519" i="115"/>
  <c r="R519" i="115"/>
  <c r="Q519" i="115"/>
  <c r="O519" i="115"/>
  <c r="M519" i="115"/>
  <c r="S518" i="115"/>
  <c r="R518" i="115"/>
  <c r="Q518" i="115"/>
  <c r="O518" i="115"/>
  <c r="M518" i="115"/>
  <c r="S517" i="115"/>
  <c r="R517" i="115"/>
  <c r="Q517" i="115"/>
  <c r="O517" i="115"/>
  <c r="M517" i="115"/>
  <c r="S516" i="115"/>
  <c r="R516" i="115"/>
  <c r="Q516" i="115"/>
  <c r="O516" i="115"/>
  <c r="M516" i="115"/>
  <c r="S515" i="115"/>
  <c r="R515" i="115"/>
  <c r="Q515" i="115"/>
  <c r="O515" i="115"/>
  <c r="M515" i="115"/>
  <c r="S514" i="115"/>
  <c r="R514" i="115"/>
  <c r="Q514" i="115"/>
  <c r="O514" i="115"/>
  <c r="M514" i="115"/>
  <c r="S513" i="115"/>
  <c r="R513" i="115"/>
  <c r="Q513" i="115"/>
  <c r="O513" i="115"/>
  <c r="M513" i="115"/>
  <c r="S512" i="115"/>
  <c r="R512" i="115"/>
  <c r="Q512" i="115"/>
  <c r="O512" i="115"/>
  <c r="M512" i="115"/>
  <c r="S511" i="115"/>
  <c r="R511" i="115"/>
  <c r="Q511" i="115"/>
  <c r="O511" i="115"/>
  <c r="M511" i="115"/>
  <c r="S510" i="115"/>
  <c r="R510" i="115"/>
  <c r="Q510" i="115"/>
  <c r="O510" i="115"/>
  <c r="M510" i="115"/>
  <c r="S509" i="115"/>
  <c r="R509" i="115"/>
  <c r="Q509" i="115"/>
  <c r="O509" i="115"/>
  <c r="M509" i="115"/>
  <c r="S506" i="115"/>
  <c r="R506" i="115"/>
  <c r="Q506" i="115"/>
  <c r="O506" i="115"/>
  <c r="M506" i="115"/>
  <c r="S505" i="115"/>
  <c r="R505" i="115"/>
  <c r="Q505" i="115"/>
  <c r="O505" i="115"/>
  <c r="M505" i="115"/>
  <c r="S504" i="115"/>
  <c r="R504" i="115"/>
  <c r="Q504" i="115"/>
  <c r="O504" i="115"/>
  <c r="M504" i="115"/>
  <c r="S503" i="115"/>
  <c r="R503" i="115"/>
  <c r="Q503" i="115"/>
  <c r="O503" i="115"/>
  <c r="M503" i="115"/>
  <c r="S502" i="115"/>
  <c r="R502" i="115"/>
  <c r="Q502" i="115"/>
  <c r="O502" i="115"/>
  <c r="M502" i="115"/>
  <c r="S500" i="115"/>
  <c r="R500" i="115"/>
  <c r="Q500" i="115"/>
  <c r="O500" i="115"/>
  <c r="M500" i="115"/>
  <c r="S499" i="115"/>
  <c r="R499" i="115"/>
  <c r="Q499" i="115"/>
  <c r="O499" i="115"/>
  <c r="M499" i="115"/>
  <c r="S498" i="115"/>
  <c r="R498" i="115"/>
  <c r="Q498" i="115"/>
  <c r="O498" i="115"/>
  <c r="M498" i="115"/>
  <c r="S427" i="115"/>
  <c r="R427" i="115"/>
  <c r="Q427" i="115"/>
  <c r="O427" i="115"/>
  <c r="M427" i="115"/>
  <c r="S419" i="115"/>
  <c r="R419" i="115"/>
  <c r="Q419" i="115"/>
  <c r="O419" i="115"/>
  <c r="M419" i="115"/>
  <c r="S418" i="115"/>
  <c r="R418" i="115"/>
  <c r="Q418" i="115"/>
  <c r="O418" i="115"/>
  <c r="M418" i="115"/>
  <c r="S417" i="115"/>
  <c r="R417" i="115"/>
  <c r="Q417" i="115"/>
  <c r="O417" i="115"/>
  <c r="M417" i="115"/>
  <c r="T414" i="115"/>
  <c r="S414" i="115"/>
  <c r="R414" i="115"/>
  <c r="Q414" i="115"/>
  <c r="O414" i="115"/>
  <c r="M414" i="115"/>
  <c r="V414" i="115" s="1"/>
  <c r="S413" i="115"/>
  <c r="R413" i="115"/>
  <c r="Q413" i="115"/>
  <c r="O413" i="115"/>
  <c r="M413" i="115"/>
  <c r="V413" i="115" s="1"/>
  <c r="T412" i="115"/>
  <c r="S412" i="115"/>
  <c r="R412" i="115"/>
  <c r="Q412" i="115"/>
  <c r="O412" i="115"/>
  <c r="M412" i="115"/>
  <c r="V412" i="115" s="1"/>
  <c r="T409" i="115"/>
  <c r="S409" i="115"/>
  <c r="R409" i="115"/>
  <c r="Q409" i="115"/>
  <c r="O409" i="115"/>
  <c r="M409" i="115"/>
  <c r="V409" i="115" s="1"/>
  <c r="S406" i="115"/>
  <c r="R406" i="115"/>
  <c r="Q406" i="115"/>
  <c r="O406" i="115"/>
  <c r="M406" i="115"/>
  <c r="S405" i="115"/>
  <c r="R405" i="115"/>
  <c r="Q405" i="115"/>
  <c r="O405" i="115"/>
  <c r="M405" i="115"/>
  <c r="S404" i="115"/>
  <c r="R404" i="115"/>
  <c r="Q404" i="115"/>
  <c r="O404" i="115"/>
  <c r="M404" i="115"/>
  <c r="S403" i="115"/>
  <c r="R403" i="115"/>
  <c r="Q403" i="115"/>
  <c r="O403" i="115"/>
  <c r="M403" i="115"/>
  <c r="S402" i="115"/>
  <c r="R402" i="115"/>
  <c r="Q402" i="115"/>
  <c r="O402" i="115"/>
  <c r="M402" i="115"/>
  <c r="S401" i="115"/>
  <c r="R401" i="115"/>
  <c r="Q401" i="115"/>
  <c r="O401" i="115"/>
  <c r="M401" i="115"/>
  <c r="S400" i="115"/>
  <c r="R400" i="115"/>
  <c r="Q400" i="115"/>
  <c r="O400" i="115"/>
  <c r="M400" i="115"/>
  <c r="T399" i="115"/>
  <c r="S399" i="115"/>
  <c r="R399" i="115"/>
  <c r="Q399" i="115"/>
  <c r="O399" i="115"/>
  <c r="M399" i="115"/>
  <c r="V399" i="115" s="1"/>
  <c r="S398" i="115"/>
  <c r="R398" i="115"/>
  <c r="Q398" i="115"/>
  <c r="O398" i="115"/>
  <c r="M398" i="115"/>
  <c r="S397" i="115"/>
  <c r="R397" i="115"/>
  <c r="Q397" i="115"/>
  <c r="O397" i="115"/>
  <c r="M397" i="115"/>
  <c r="S396" i="115"/>
  <c r="R396" i="115"/>
  <c r="Q396" i="115"/>
  <c r="O396" i="115"/>
  <c r="M396" i="115"/>
  <c r="T393" i="115"/>
  <c r="S393" i="115"/>
  <c r="R393" i="115"/>
  <c r="Q393" i="115"/>
  <c r="O393" i="115"/>
  <c r="M393" i="115"/>
  <c r="V393" i="115" s="1"/>
  <c r="S392" i="115"/>
  <c r="R392" i="115"/>
  <c r="Q392" i="115"/>
  <c r="O392" i="115"/>
  <c r="M392" i="115"/>
  <c r="S391" i="115"/>
  <c r="R391" i="115"/>
  <c r="Q391" i="115"/>
  <c r="O391" i="115"/>
  <c r="M391" i="115"/>
  <c r="S390" i="115"/>
  <c r="R390" i="115"/>
  <c r="Q390" i="115"/>
  <c r="O390" i="115"/>
  <c r="M390" i="115"/>
  <c r="S389" i="115"/>
  <c r="R389" i="115"/>
  <c r="Q389" i="115"/>
  <c r="O389" i="115"/>
  <c r="M389" i="115"/>
  <c r="S388" i="115"/>
  <c r="R388" i="115"/>
  <c r="Q388" i="115"/>
  <c r="O388" i="115"/>
  <c r="M388" i="115"/>
  <c r="T387" i="115"/>
  <c r="S387" i="115"/>
  <c r="R387" i="115"/>
  <c r="Q387" i="115"/>
  <c r="O387" i="115"/>
  <c r="M387" i="115"/>
  <c r="V387" i="115" s="1"/>
  <c r="T386" i="115"/>
  <c r="S386" i="115"/>
  <c r="R386" i="115"/>
  <c r="Q386" i="115"/>
  <c r="O386" i="115"/>
  <c r="M386" i="115"/>
  <c r="V386" i="115" s="1"/>
  <c r="S385" i="115"/>
  <c r="R385" i="115"/>
  <c r="Q385" i="115"/>
  <c r="O385" i="115"/>
  <c r="M385" i="115"/>
  <c r="V385" i="115" s="1"/>
  <c r="S384" i="115"/>
  <c r="R384" i="115"/>
  <c r="Q384" i="115"/>
  <c r="O384" i="115"/>
  <c r="M384" i="115"/>
  <c r="S383" i="115"/>
  <c r="R383" i="115"/>
  <c r="Q383" i="115"/>
  <c r="O383" i="115"/>
  <c r="M383" i="115"/>
  <c r="S382" i="115"/>
  <c r="R382" i="115"/>
  <c r="Q382" i="115"/>
  <c r="O382" i="115"/>
  <c r="M382" i="115"/>
  <c r="S381" i="115"/>
  <c r="R381" i="115"/>
  <c r="Q381" i="115"/>
  <c r="O381" i="115"/>
  <c r="M381" i="115"/>
  <c r="S380" i="115"/>
  <c r="R380" i="115"/>
  <c r="Q380" i="115"/>
  <c r="O380" i="115"/>
  <c r="M380" i="115"/>
  <c r="S379" i="115"/>
  <c r="R379" i="115"/>
  <c r="Q379" i="115"/>
  <c r="O379" i="115"/>
  <c r="M379" i="115"/>
  <c r="S376" i="115"/>
  <c r="R376" i="115"/>
  <c r="Q376" i="115"/>
  <c r="O376" i="115"/>
  <c r="M376" i="115"/>
  <c r="S375" i="115"/>
  <c r="R375" i="115"/>
  <c r="Q375" i="115"/>
  <c r="O375" i="115"/>
  <c r="M375" i="115"/>
  <c r="S374" i="115"/>
  <c r="R374" i="115"/>
  <c r="O374" i="115"/>
  <c r="M374" i="115"/>
  <c r="S373" i="115"/>
  <c r="R373" i="115"/>
  <c r="Q373" i="115"/>
  <c r="O373" i="115"/>
  <c r="M373" i="115"/>
  <c r="S372" i="115"/>
  <c r="R372" i="115"/>
  <c r="Q372" i="115"/>
  <c r="O372" i="115"/>
  <c r="M372" i="115"/>
  <c r="S371" i="115"/>
  <c r="R371" i="115"/>
  <c r="Q371" i="115"/>
  <c r="O371" i="115"/>
  <c r="M371" i="115"/>
  <c r="S370" i="115"/>
  <c r="R370" i="115"/>
  <c r="Q370" i="115"/>
  <c r="O370" i="115"/>
  <c r="M370" i="115"/>
  <c r="S369" i="115"/>
  <c r="R369" i="115"/>
  <c r="Q369" i="115"/>
  <c r="O369" i="115"/>
  <c r="M369" i="115"/>
  <c r="S293" i="115"/>
  <c r="R293" i="115"/>
  <c r="Q293" i="115"/>
  <c r="O293" i="115"/>
  <c r="M293" i="115"/>
  <c r="S291" i="115"/>
  <c r="R291" i="115"/>
  <c r="Q291" i="115"/>
  <c r="O291" i="115"/>
  <c r="M291" i="115"/>
  <c r="T288" i="115"/>
  <c r="S288" i="115"/>
  <c r="R288" i="115"/>
  <c r="Q288" i="115"/>
  <c r="O288" i="115"/>
  <c r="M288" i="115"/>
  <c r="V288" i="115" s="1"/>
  <c r="T287" i="115"/>
  <c r="S287" i="115"/>
  <c r="R287" i="115"/>
  <c r="Q287" i="115"/>
  <c r="O287" i="115"/>
  <c r="M287" i="115"/>
  <c r="S286" i="115"/>
  <c r="R286" i="115"/>
  <c r="Q286" i="115"/>
  <c r="O286" i="115"/>
  <c r="M286" i="115"/>
  <c r="T285" i="115"/>
  <c r="S285" i="115"/>
  <c r="R285" i="115"/>
  <c r="Q285" i="115"/>
  <c r="O285" i="115"/>
  <c r="M285" i="115"/>
  <c r="V285" i="115" s="1"/>
  <c r="S282" i="115"/>
  <c r="R282" i="115"/>
  <c r="Q282" i="115"/>
  <c r="O282" i="115"/>
  <c r="M282" i="115"/>
  <c r="S281" i="115"/>
  <c r="R281" i="115"/>
  <c r="Q281" i="115"/>
  <c r="O281" i="115"/>
  <c r="M281" i="115"/>
  <c r="S280" i="115"/>
  <c r="R280" i="115"/>
  <c r="Q280" i="115"/>
  <c r="O280" i="115"/>
  <c r="M280" i="115"/>
  <c r="S279" i="115"/>
  <c r="R279" i="115"/>
  <c r="Q279" i="115"/>
  <c r="O279" i="115"/>
  <c r="M279" i="115"/>
  <c r="T278" i="115"/>
  <c r="S278" i="115"/>
  <c r="R278" i="115"/>
  <c r="Q278" i="115"/>
  <c r="O278" i="115"/>
  <c r="M278" i="115"/>
  <c r="V278" i="115" s="1"/>
  <c r="S277" i="115"/>
  <c r="R277" i="115"/>
  <c r="Q277" i="115"/>
  <c r="O277" i="115"/>
  <c r="M277" i="115"/>
  <c r="S276" i="115"/>
  <c r="R276" i="115"/>
  <c r="Q276" i="115"/>
  <c r="O276" i="115"/>
  <c r="M276" i="115"/>
  <c r="S275" i="115"/>
  <c r="R275" i="115"/>
  <c r="Q275" i="115"/>
  <c r="O275" i="115"/>
  <c r="M275" i="115"/>
  <c r="S274" i="115"/>
  <c r="R274" i="115"/>
  <c r="Q274" i="115"/>
  <c r="O274" i="115"/>
  <c r="M274" i="115"/>
  <c r="T271" i="115"/>
  <c r="S271" i="115"/>
  <c r="R271" i="115"/>
  <c r="Q271" i="115"/>
  <c r="O271" i="115"/>
  <c r="M271" i="115"/>
  <c r="V271" i="115" s="1"/>
  <c r="S270" i="115"/>
  <c r="R270" i="115"/>
  <c r="Q270" i="115"/>
  <c r="O270" i="115"/>
  <c r="M270" i="115"/>
  <c r="S269" i="115"/>
  <c r="R269" i="115"/>
  <c r="Q269" i="115"/>
  <c r="O269" i="115"/>
  <c r="M269" i="115"/>
  <c r="S268" i="115"/>
  <c r="R268" i="115"/>
  <c r="Q268" i="115"/>
  <c r="O268" i="115"/>
  <c r="M268" i="115"/>
  <c r="S267" i="115"/>
  <c r="R267" i="115"/>
  <c r="Q267" i="115"/>
  <c r="O267" i="115"/>
  <c r="M267" i="115"/>
  <c r="V267" i="115" s="1"/>
  <c r="T266" i="115"/>
  <c r="S266" i="115"/>
  <c r="R266" i="115"/>
  <c r="Q266" i="115"/>
  <c r="O266" i="115"/>
  <c r="M266" i="115"/>
  <c r="V266" i="115" s="1"/>
  <c r="S265" i="115"/>
  <c r="R265" i="115"/>
  <c r="Q265" i="115"/>
  <c r="O265" i="115"/>
  <c r="M265" i="115"/>
  <c r="T264" i="115"/>
  <c r="S264" i="115"/>
  <c r="R264" i="115"/>
  <c r="Q264" i="115"/>
  <c r="O264" i="115"/>
  <c r="M264" i="115"/>
  <c r="V264" i="115" s="1"/>
  <c r="T263" i="115"/>
  <c r="S263" i="115"/>
  <c r="R263" i="115"/>
  <c r="Q263" i="115"/>
  <c r="O263" i="115"/>
  <c r="M263" i="115"/>
  <c r="V263" i="115" s="1"/>
  <c r="S262" i="115"/>
  <c r="R262" i="115"/>
  <c r="Q262" i="115"/>
  <c r="O262" i="115"/>
  <c r="M262" i="115"/>
  <c r="S261" i="115"/>
  <c r="R261" i="115"/>
  <c r="Q261" i="115"/>
  <c r="O261" i="115"/>
  <c r="M261" i="115"/>
  <c r="V261" i="115" s="1"/>
  <c r="S260" i="115"/>
  <c r="R260" i="115"/>
  <c r="Q260" i="115"/>
  <c r="O260" i="115"/>
  <c r="M260" i="115"/>
  <c r="S259" i="115"/>
  <c r="R259" i="115"/>
  <c r="Q259" i="115"/>
  <c r="O259" i="115"/>
  <c r="M259" i="115"/>
  <c r="S258" i="115"/>
  <c r="R258" i="115"/>
  <c r="Q258" i="115"/>
  <c r="O258" i="115"/>
  <c r="M258" i="115"/>
  <c r="S257" i="115"/>
  <c r="R257" i="115"/>
  <c r="Q257" i="115"/>
  <c r="O257" i="115"/>
  <c r="M257" i="115"/>
  <c r="S256" i="115"/>
  <c r="R256" i="115"/>
  <c r="Q256" i="115"/>
  <c r="O256" i="115"/>
  <c r="M256" i="115"/>
  <c r="S255" i="115"/>
  <c r="R255" i="115"/>
  <c r="Q255" i="115"/>
  <c r="O255" i="115"/>
  <c r="M255" i="115"/>
  <c r="S254" i="115"/>
  <c r="R254" i="115"/>
  <c r="Q254" i="115"/>
  <c r="O254" i="115"/>
  <c r="M254" i="115"/>
  <c r="V254" i="115" s="1"/>
  <c r="S251" i="115"/>
  <c r="R251" i="115"/>
  <c r="Q251" i="115"/>
  <c r="O251" i="115"/>
  <c r="M251" i="115"/>
  <c r="S250" i="115"/>
  <c r="R250" i="115"/>
  <c r="Q250" i="115"/>
  <c r="O250" i="115"/>
  <c r="M250" i="115"/>
  <c r="S249" i="115"/>
  <c r="R249" i="115"/>
  <c r="Q249" i="115"/>
  <c r="O249" i="115"/>
  <c r="M249" i="115"/>
  <c r="S248" i="115"/>
  <c r="R248" i="115"/>
  <c r="Q248" i="115"/>
  <c r="O248" i="115"/>
  <c r="M248" i="115"/>
  <c r="S247" i="115"/>
  <c r="R247" i="115"/>
  <c r="Q247" i="115"/>
  <c r="O247" i="115"/>
  <c r="M247" i="115"/>
  <c r="S246" i="115"/>
  <c r="R246" i="115"/>
  <c r="Q246" i="115"/>
  <c r="O246" i="115"/>
  <c r="M246" i="115"/>
  <c r="S245" i="115"/>
  <c r="R245" i="115"/>
  <c r="Q245" i="115"/>
  <c r="O245" i="115"/>
  <c r="M245" i="115"/>
  <c r="S244" i="115"/>
  <c r="R244" i="115"/>
  <c r="Q244" i="115"/>
  <c r="O244" i="115"/>
  <c r="M244" i="115"/>
  <c r="S236" i="115"/>
  <c r="R236" i="115"/>
  <c r="Q236" i="115"/>
  <c r="O236" i="115"/>
  <c r="M236" i="115"/>
  <c r="S233" i="115"/>
  <c r="R233" i="115"/>
  <c r="Q233" i="115"/>
  <c r="O233" i="115"/>
  <c r="M233" i="115"/>
  <c r="S232" i="115"/>
  <c r="R232" i="115"/>
  <c r="Q232" i="115"/>
  <c r="O232" i="115"/>
  <c r="M232" i="115"/>
  <c r="S231" i="115"/>
  <c r="R231" i="115"/>
  <c r="Q231" i="115"/>
  <c r="O231" i="115"/>
  <c r="M231" i="115"/>
  <c r="S230" i="115"/>
  <c r="R230" i="115"/>
  <c r="Q230" i="115"/>
  <c r="O230" i="115"/>
  <c r="M230" i="115"/>
  <c r="S229" i="115"/>
  <c r="R229" i="115"/>
  <c r="Q229" i="115"/>
  <c r="O229" i="115"/>
  <c r="M229" i="115"/>
  <c r="S228" i="115"/>
  <c r="R228" i="115"/>
  <c r="Q228" i="115"/>
  <c r="O228" i="115"/>
  <c r="M228" i="115"/>
  <c r="S227" i="115"/>
  <c r="R227" i="115"/>
  <c r="Q227" i="115"/>
  <c r="O227" i="115"/>
  <c r="M227" i="115"/>
  <c r="S226" i="115"/>
  <c r="R226" i="115"/>
  <c r="Q226" i="115"/>
  <c r="O226" i="115"/>
  <c r="M226" i="115"/>
  <c r="S225" i="115"/>
  <c r="R225" i="115"/>
  <c r="Q225" i="115"/>
  <c r="O225" i="115"/>
  <c r="M225" i="115"/>
  <c r="S224" i="115"/>
  <c r="R224" i="115"/>
  <c r="Q224" i="115"/>
  <c r="O224" i="115"/>
  <c r="M224" i="115"/>
  <c r="S221" i="115"/>
  <c r="R221" i="115"/>
  <c r="Q221" i="115"/>
  <c r="O221" i="115"/>
  <c r="M221" i="115"/>
  <c r="S220" i="115"/>
  <c r="R220" i="115"/>
  <c r="Q220" i="115"/>
  <c r="O220" i="115"/>
  <c r="M220" i="115"/>
  <c r="S219" i="115"/>
  <c r="R219" i="115"/>
  <c r="Q219" i="115"/>
  <c r="O219" i="115"/>
  <c r="M219" i="115"/>
  <c r="S218" i="115"/>
  <c r="R218" i="115"/>
  <c r="Q218" i="115"/>
  <c r="O218" i="115"/>
  <c r="M218" i="115"/>
  <c r="S217" i="115"/>
  <c r="R217" i="115"/>
  <c r="Q217" i="115"/>
  <c r="O217" i="115"/>
  <c r="M217" i="115"/>
  <c r="S216" i="115"/>
  <c r="R216" i="115"/>
  <c r="Q216" i="115"/>
  <c r="O216" i="115"/>
  <c r="M216" i="115"/>
  <c r="S215" i="115"/>
  <c r="R215" i="115"/>
  <c r="Q215" i="115"/>
  <c r="O215" i="115"/>
  <c r="M215" i="115"/>
  <c r="S214" i="115"/>
  <c r="R214" i="115"/>
  <c r="Q214" i="115"/>
  <c r="O214" i="115"/>
  <c r="M214" i="115"/>
  <c r="S213" i="115"/>
  <c r="R213" i="115"/>
  <c r="Q213" i="115"/>
  <c r="O213" i="115"/>
  <c r="M213" i="115"/>
  <c r="S212" i="115"/>
  <c r="R212" i="115"/>
  <c r="Q212" i="115"/>
  <c r="O212" i="115"/>
  <c r="M212" i="115"/>
  <c r="S211" i="115"/>
  <c r="R211" i="115"/>
  <c r="Q211" i="115"/>
  <c r="O211" i="115"/>
  <c r="M211" i="115"/>
  <c r="S210" i="115"/>
  <c r="R210" i="115"/>
  <c r="Q210" i="115"/>
  <c r="O210" i="115"/>
  <c r="M210" i="115"/>
  <c r="S209" i="115"/>
  <c r="R209" i="115"/>
  <c r="Q209" i="115"/>
  <c r="O209" i="115"/>
  <c r="M209" i="115"/>
  <c r="S207" i="115"/>
  <c r="R207" i="115"/>
  <c r="Q207" i="115"/>
  <c r="O207" i="115"/>
  <c r="M207" i="115"/>
  <c r="S204" i="115"/>
  <c r="R204" i="115"/>
  <c r="Q204" i="115"/>
  <c r="O204" i="115"/>
  <c r="M204" i="115"/>
  <c r="S203" i="115"/>
  <c r="R203" i="115"/>
  <c r="Q203" i="115"/>
  <c r="O203" i="115"/>
  <c r="M203" i="115"/>
  <c r="S202" i="115"/>
  <c r="R202" i="115"/>
  <c r="Q202" i="115"/>
  <c r="O202" i="115"/>
  <c r="M202" i="115"/>
  <c r="S201" i="115"/>
  <c r="R201" i="115"/>
  <c r="Q201" i="115"/>
  <c r="O201" i="115"/>
  <c r="M201" i="115"/>
  <c r="S200" i="115"/>
  <c r="R200" i="115"/>
  <c r="Q200" i="115"/>
  <c r="O200" i="115"/>
  <c r="M200" i="115"/>
  <c r="S199" i="115"/>
  <c r="R199" i="115"/>
  <c r="Q199" i="115"/>
  <c r="O199" i="115"/>
  <c r="M199" i="115"/>
  <c r="S198" i="115"/>
  <c r="R198" i="115"/>
  <c r="Q198" i="115"/>
  <c r="O198" i="115"/>
  <c r="M198" i="115"/>
  <c r="S197" i="115"/>
  <c r="R197" i="115"/>
  <c r="Q197" i="115"/>
  <c r="O197" i="115"/>
  <c r="M197" i="115"/>
  <c r="S143" i="115"/>
  <c r="R143" i="115"/>
  <c r="Q143" i="115"/>
  <c r="O143" i="115"/>
  <c r="M143" i="115"/>
  <c r="S142" i="115"/>
  <c r="R142" i="115"/>
  <c r="Q142" i="115"/>
  <c r="O142" i="115"/>
  <c r="M142" i="115"/>
  <c r="S141" i="115"/>
  <c r="R141" i="115"/>
  <c r="Q141" i="115"/>
  <c r="O141" i="115"/>
  <c r="M141" i="115"/>
  <c r="V141" i="115" s="1"/>
  <c r="S140" i="115"/>
  <c r="R140" i="115"/>
  <c r="Q140" i="115"/>
  <c r="O140" i="115"/>
  <c r="M140" i="115"/>
  <c r="V140" i="115" s="1"/>
  <c r="T139" i="115"/>
  <c r="S139" i="115"/>
  <c r="R139" i="115"/>
  <c r="Q139" i="115"/>
  <c r="O139" i="115"/>
  <c r="M139" i="115"/>
  <c r="V139" i="115" s="1"/>
  <c r="S136" i="115"/>
  <c r="R136" i="115"/>
  <c r="Q136" i="115"/>
  <c r="O136" i="115"/>
  <c r="M136" i="115"/>
  <c r="S135" i="115"/>
  <c r="R135" i="115"/>
  <c r="Q135" i="115"/>
  <c r="O135" i="115"/>
  <c r="M135" i="115"/>
  <c r="S134" i="115"/>
  <c r="R134" i="115"/>
  <c r="Q134" i="115"/>
  <c r="O134" i="115"/>
  <c r="M134" i="115"/>
  <c r="V134" i="115" s="1"/>
  <c r="S133" i="115"/>
  <c r="R133" i="115"/>
  <c r="Q133" i="115"/>
  <c r="O133" i="115"/>
  <c r="M133" i="115"/>
  <c r="S132" i="115"/>
  <c r="R132" i="115"/>
  <c r="Q132" i="115"/>
  <c r="O132" i="115"/>
  <c r="M132" i="115"/>
  <c r="S131" i="115"/>
  <c r="R131" i="115"/>
  <c r="Q131" i="115"/>
  <c r="O131" i="115"/>
  <c r="M131" i="115"/>
  <c r="S130" i="115"/>
  <c r="R130" i="115"/>
  <c r="Q130" i="115"/>
  <c r="O130" i="115"/>
  <c r="M130" i="115"/>
  <c r="V130" i="115" s="1"/>
  <c r="S127" i="115"/>
  <c r="R127" i="115"/>
  <c r="Q127" i="115"/>
  <c r="O127" i="115"/>
  <c r="M127" i="115"/>
  <c r="S126" i="115"/>
  <c r="R126" i="115"/>
  <c r="Q126" i="115"/>
  <c r="O126" i="115"/>
  <c r="M126" i="115"/>
  <c r="S125" i="115"/>
  <c r="R125" i="115"/>
  <c r="Q125" i="115"/>
  <c r="O125" i="115"/>
  <c r="M125" i="115"/>
  <c r="S124" i="115"/>
  <c r="R124" i="115"/>
  <c r="Q124" i="115"/>
  <c r="O124" i="115"/>
  <c r="M124" i="115"/>
  <c r="S123" i="115"/>
  <c r="R123" i="115"/>
  <c r="Q123" i="115"/>
  <c r="O123" i="115"/>
  <c r="M123" i="115"/>
  <c r="S122" i="115"/>
  <c r="R122" i="115"/>
  <c r="Q122" i="115"/>
  <c r="O122" i="115"/>
  <c r="M122" i="115"/>
  <c r="S121" i="115"/>
  <c r="R121" i="115"/>
  <c r="Q121" i="115"/>
  <c r="O121" i="115"/>
  <c r="M121" i="115"/>
  <c r="S120" i="115"/>
  <c r="R120" i="115"/>
  <c r="Q120" i="115"/>
  <c r="O120" i="115"/>
  <c r="M120" i="115"/>
  <c r="S112" i="115"/>
  <c r="R112" i="115"/>
  <c r="Q112" i="115"/>
  <c r="O112" i="115"/>
  <c r="M112" i="115"/>
  <c r="S111" i="115"/>
  <c r="R111" i="115"/>
  <c r="Q111" i="115"/>
  <c r="O111" i="115"/>
  <c r="M111" i="115"/>
  <c r="S110" i="115"/>
  <c r="R110" i="115"/>
  <c r="Q110" i="115"/>
  <c r="O110" i="115"/>
  <c r="M110" i="115"/>
  <c r="S109" i="115"/>
  <c r="R109" i="115"/>
  <c r="Q109" i="115"/>
  <c r="O109" i="115"/>
  <c r="M109" i="115"/>
  <c r="S108" i="115"/>
  <c r="R108" i="115"/>
  <c r="Q108" i="115"/>
  <c r="O108" i="115"/>
  <c r="M108" i="115"/>
  <c r="S107" i="115"/>
  <c r="R107" i="115"/>
  <c r="Q107" i="115"/>
  <c r="O107" i="115"/>
  <c r="M107" i="115"/>
  <c r="S106" i="115"/>
  <c r="R106" i="115"/>
  <c r="Q106" i="115"/>
  <c r="O106" i="115"/>
  <c r="M106" i="115"/>
  <c r="S105" i="115"/>
  <c r="R105" i="115"/>
  <c r="Q105" i="115"/>
  <c r="O105" i="115"/>
  <c r="M105" i="115"/>
  <c r="T104" i="115"/>
  <c r="S104" i="115"/>
  <c r="R104" i="115"/>
  <c r="Q104" i="115"/>
  <c r="O104" i="115"/>
  <c r="M104" i="115"/>
  <c r="V104" i="115" s="1"/>
  <c r="S101" i="115"/>
  <c r="R101" i="115"/>
  <c r="Q101" i="115"/>
  <c r="O101" i="115"/>
  <c r="M101" i="115"/>
  <c r="V101" i="115" s="1"/>
  <c r="T100" i="115"/>
  <c r="S100" i="115"/>
  <c r="R100" i="115"/>
  <c r="Q100" i="115"/>
  <c r="O100" i="115"/>
  <c r="M100" i="115"/>
  <c r="V100" i="115" s="1"/>
  <c r="T99" i="115"/>
  <c r="S99" i="115"/>
  <c r="R99" i="115"/>
  <c r="Q99" i="115"/>
  <c r="O99" i="115"/>
  <c r="M99" i="115"/>
  <c r="V99" i="115" s="1"/>
  <c r="S98" i="115"/>
  <c r="R98" i="115"/>
  <c r="Q98" i="115"/>
  <c r="O98" i="115"/>
  <c r="M98" i="115"/>
  <c r="V98" i="115" s="1"/>
  <c r="S97" i="115"/>
  <c r="R97" i="115"/>
  <c r="Q97" i="115"/>
  <c r="O97" i="115"/>
  <c r="M97" i="115"/>
  <c r="S96" i="115"/>
  <c r="R96" i="115"/>
  <c r="Q96" i="115"/>
  <c r="O96" i="115"/>
  <c r="M96" i="115"/>
  <c r="S95" i="115"/>
  <c r="R95" i="115"/>
  <c r="Q95" i="115"/>
  <c r="O95" i="115"/>
  <c r="M95" i="115"/>
  <c r="S92" i="115"/>
  <c r="R92" i="115"/>
  <c r="Q92" i="115"/>
  <c r="O92" i="115"/>
  <c r="M92" i="115"/>
  <c r="S91" i="115"/>
  <c r="R91" i="115"/>
  <c r="Q91" i="115"/>
  <c r="O91" i="115"/>
  <c r="M91" i="115"/>
  <c r="S90" i="115"/>
  <c r="R90" i="115"/>
  <c r="Q90" i="115"/>
  <c r="O90" i="115"/>
  <c r="M90" i="115"/>
  <c r="S89" i="115"/>
  <c r="R89" i="115"/>
  <c r="Q89" i="115"/>
  <c r="O89" i="115"/>
  <c r="M89" i="115"/>
  <c r="S88" i="115"/>
  <c r="R88" i="115"/>
  <c r="Q88" i="115"/>
  <c r="O88" i="115"/>
  <c r="M88" i="115"/>
  <c r="S87" i="115"/>
  <c r="R87" i="115"/>
  <c r="Q87" i="115"/>
  <c r="O87" i="115"/>
  <c r="M87" i="115"/>
  <c r="S86" i="115"/>
  <c r="R86" i="115"/>
  <c r="Q86" i="115"/>
  <c r="O86" i="115"/>
  <c r="M86" i="115"/>
  <c r="S85" i="115"/>
  <c r="R85" i="115"/>
  <c r="Q85" i="115"/>
  <c r="O85" i="115"/>
  <c r="M85" i="115"/>
  <c r="S77" i="115"/>
  <c r="R77" i="115"/>
  <c r="Q77" i="115"/>
  <c r="O77" i="115"/>
  <c r="M77" i="115"/>
  <c r="S76" i="115"/>
  <c r="R76" i="115"/>
  <c r="Q76" i="115"/>
  <c r="O76" i="115"/>
  <c r="M76" i="115"/>
  <c r="S75" i="115"/>
  <c r="R75" i="115"/>
  <c r="Q75" i="115"/>
  <c r="O75" i="115"/>
  <c r="M75" i="115"/>
  <c r="S74" i="115"/>
  <c r="R74" i="115"/>
  <c r="Q74" i="115"/>
  <c r="O74" i="115"/>
  <c r="M74" i="115"/>
  <c r="S73" i="115"/>
  <c r="R73" i="115"/>
  <c r="Q73" i="115"/>
  <c r="O73" i="115"/>
  <c r="M73" i="115"/>
  <c r="S72" i="115"/>
  <c r="R72" i="115"/>
  <c r="Q72" i="115"/>
  <c r="O72" i="115"/>
  <c r="M72" i="115"/>
  <c r="S71" i="115"/>
  <c r="R71" i="115"/>
  <c r="Q71" i="115"/>
  <c r="O71" i="115"/>
  <c r="M71" i="115"/>
  <c r="S70" i="115"/>
  <c r="R70" i="115"/>
  <c r="Q70" i="115"/>
  <c r="O70" i="115"/>
  <c r="M70" i="115"/>
  <c r="S69" i="115"/>
  <c r="R69" i="115"/>
  <c r="Q69" i="115"/>
  <c r="O69" i="115"/>
  <c r="M69" i="115"/>
  <c r="S68" i="115"/>
  <c r="R68" i="115"/>
  <c r="Q68" i="115"/>
  <c r="O68" i="115"/>
  <c r="M68" i="115"/>
  <c r="S67" i="115"/>
  <c r="R67" i="115"/>
  <c r="Q67" i="115"/>
  <c r="O67" i="115"/>
  <c r="M67" i="115"/>
  <c r="S66" i="115"/>
  <c r="R66" i="115"/>
  <c r="Q66" i="115"/>
  <c r="O66" i="115"/>
  <c r="M66" i="115"/>
  <c r="S63" i="115"/>
  <c r="R63" i="115"/>
  <c r="Q63" i="115"/>
  <c r="O63" i="115"/>
  <c r="M63" i="115"/>
  <c r="S62" i="115"/>
  <c r="R62" i="115"/>
  <c r="Q62" i="115"/>
  <c r="O62" i="115"/>
  <c r="M62" i="115"/>
  <c r="S61" i="115"/>
  <c r="R61" i="115"/>
  <c r="Q61" i="115"/>
  <c r="O61" i="115"/>
  <c r="M61" i="115"/>
  <c r="S60" i="115"/>
  <c r="R60" i="115"/>
  <c r="Q60" i="115"/>
  <c r="O60" i="115"/>
  <c r="M60" i="115"/>
  <c r="S59" i="115"/>
  <c r="R59" i="115"/>
  <c r="Q59" i="115"/>
  <c r="O59" i="115"/>
  <c r="M59" i="115"/>
  <c r="S58" i="115"/>
  <c r="R58" i="115"/>
  <c r="Q58" i="115"/>
  <c r="O58" i="115"/>
  <c r="M58" i="115"/>
  <c r="S57" i="115"/>
  <c r="R57" i="115"/>
  <c r="Q57" i="115"/>
  <c r="O57" i="115"/>
  <c r="M57" i="115"/>
  <c r="S56" i="115"/>
  <c r="R56" i="115"/>
  <c r="Q56" i="115"/>
  <c r="O56" i="115"/>
  <c r="M56" i="115"/>
  <c r="S53" i="115"/>
  <c r="R53" i="115"/>
  <c r="Q53" i="115"/>
  <c r="O53" i="115"/>
  <c r="M53" i="115"/>
  <c r="S52" i="115"/>
  <c r="R52" i="115"/>
  <c r="Q52" i="115"/>
  <c r="O52" i="115"/>
  <c r="M52" i="115"/>
  <c r="S51" i="115"/>
  <c r="R51" i="115"/>
  <c r="Q51" i="115"/>
  <c r="O51" i="115"/>
  <c r="M51" i="115"/>
  <c r="S50" i="115"/>
  <c r="R50" i="115"/>
  <c r="Q50" i="115"/>
  <c r="O50" i="115"/>
  <c r="M50" i="115"/>
  <c r="S49" i="115"/>
  <c r="R49" i="115"/>
  <c r="Q49" i="115"/>
  <c r="O49" i="115"/>
  <c r="M49" i="115"/>
  <c r="T48" i="115"/>
  <c r="S48" i="115"/>
  <c r="R48" i="115"/>
  <c r="Q48" i="115"/>
  <c r="O48" i="115"/>
  <c r="M48" i="115"/>
  <c r="V48" i="115" s="1"/>
  <c r="S47" i="115"/>
  <c r="R47" i="115"/>
  <c r="Q47" i="115"/>
  <c r="O47" i="115"/>
  <c r="M47" i="115"/>
  <c r="S46" i="115"/>
  <c r="R46" i="115"/>
  <c r="Q46" i="115"/>
  <c r="O46" i="115"/>
  <c r="M46" i="115"/>
  <c r="S45" i="115"/>
  <c r="R45" i="115"/>
  <c r="Q45" i="115"/>
  <c r="O45" i="115"/>
  <c r="M45" i="115"/>
  <c r="S44" i="115"/>
  <c r="R44" i="115"/>
  <c r="Q44" i="115"/>
  <c r="O44" i="115"/>
  <c r="M44" i="115"/>
  <c r="S43" i="115"/>
  <c r="R43" i="115"/>
  <c r="Q43" i="115"/>
  <c r="O43" i="115"/>
  <c r="M43" i="115"/>
  <c r="S36" i="115"/>
  <c r="R36" i="115"/>
  <c r="Q36" i="115"/>
  <c r="O36" i="115"/>
  <c r="M36" i="115"/>
  <c r="V36" i="115" s="1"/>
  <c r="S35" i="115"/>
  <c r="R35" i="115"/>
  <c r="Q35" i="115"/>
  <c r="O35" i="115"/>
  <c r="M35" i="115"/>
  <c r="V35" i="115" s="1"/>
  <c r="S34" i="115"/>
  <c r="R34" i="115"/>
  <c r="Q34" i="115"/>
  <c r="O34" i="115"/>
  <c r="M34" i="115"/>
  <c r="S33" i="115"/>
  <c r="R33" i="115"/>
  <c r="Q33" i="115"/>
  <c r="O33" i="115"/>
  <c r="M33" i="115"/>
  <c r="V33" i="115" s="1"/>
  <c r="S32" i="115"/>
  <c r="R32" i="115"/>
  <c r="Q32" i="115"/>
  <c r="O32" i="115"/>
  <c r="M32" i="115"/>
  <c r="V32" i="115" s="1"/>
  <c r="S31" i="115"/>
  <c r="R31" i="115"/>
  <c r="Q31" i="115"/>
  <c r="O31" i="115"/>
  <c r="M31" i="115"/>
  <c r="V31" i="115" s="1"/>
  <c r="S30" i="115"/>
  <c r="R30" i="115"/>
  <c r="Q30" i="115"/>
  <c r="O30" i="115"/>
  <c r="M30" i="115"/>
  <c r="S29" i="115"/>
  <c r="R29" i="115"/>
  <c r="Q29" i="115"/>
  <c r="O29" i="115"/>
  <c r="M29" i="115"/>
  <c r="V29" i="115" s="1"/>
  <c r="S28" i="115"/>
  <c r="R28" i="115"/>
  <c r="Q28" i="115"/>
  <c r="O28" i="115"/>
  <c r="M28" i="115"/>
  <c r="S27" i="115"/>
  <c r="R27" i="115"/>
  <c r="Q27" i="115"/>
  <c r="O27" i="115"/>
  <c r="M27" i="115"/>
  <c r="V27" i="115" s="1"/>
  <c r="S26" i="115"/>
  <c r="R26" i="115"/>
  <c r="Q26" i="115"/>
  <c r="O26" i="115"/>
  <c r="M26" i="115"/>
  <c r="S25" i="115"/>
  <c r="R25" i="115"/>
  <c r="Q25" i="115"/>
  <c r="O25" i="115"/>
  <c r="M25" i="115"/>
  <c r="S24" i="115"/>
  <c r="R24" i="115"/>
  <c r="Q24" i="115"/>
  <c r="O24" i="115"/>
  <c r="M24" i="115"/>
  <c r="S23" i="115"/>
  <c r="R23" i="115"/>
  <c r="Q23" i="115"/>
  <c r="O23" i="115"/>
  <c r="M23" i="115"/>
  <c r="S22" i="115"/>
  <c r="R22" i="115"/>
  <c r="Q22" i="115"/>
  <c r="O22" i="115"/>
  <c r="M22" i="115"/>
  <c r="S21" i="115"/>
  <c r="R21" i="115"/>
  <c r="Q21" i="115"/>
  <c r="O21" i="115"/>
  <c r="M21" i="115"/>
  <c r="S20" i="115"/>
  <c r="R20" i="115"/>
  <c r="Q20" i="115"/>
  <c r="O20" i="115"/>
  <c r="M20" i="115"/>
  <c r="S19" i="115"/>
  <c r="R19" i="115"/>
  <c r="Q19" i="115"/>
  <c r="O19" i="115"/>
  <c r="M19" i="115"/>
  <c r="S18" i="115"/>
  <c r="R18" i="115"/>
  <c r="Q18" i="115"/>
  <c r="O18" i="115"/>
  <c r="M18" i="115"/>
  <c r="S17" i="115"/>
  <c r="R17" i="115"/>
  <c r="Q17" i="115"/>
  <c r="O17" i="115"/>
  <c r="M17" i="115"/>
  <c r="S16" i="115"/>
  <c r="R16" i="115"/>
  <c r="Q16" i="115"/>
  <c r="O16" i="115"/>
  <c r="M16" i="115"/>
  <c r="S15" i="115"/>
  <c r="R15" i="115"/>
  <c r="Q15" i="115"/>
  <c r="O15" i="115"/>
  <c r="M15" i="115"/>
  <c r="S14" i="115"/>
  <c r="R14" i="115"/>
  <c r="Q14" i="115"/>
  <c r="O14" i="115"/>
  <c r="M14" i="115"/>
  <c r="S13" i="115"/>
  <c r="R13" i="115"/>
  <c r="Q13" i="115"/>
  <c r="O13" i="115"/>
  <c r="M13" i="115"/>
  <c r="V13" i="115" s="1"/>
  <c r="S12" i="115"/>
  <c r="R12" i="115"/>
  <c r="Q12" i="115"/>
  <c r="O12" i="115"/>
  <c r="M12" i="115"/>
  <c r="S11" i="115"/>
  <c r="R11" i="115"/>
  <c r="Q11" i="115"/>
  <c r="O11" i="115"/>
  <c r="M11" i="115"/>
  <c r="T1927" i="68"/>
  <c r="Y1927" i="68" s="1"/>
  <c r="S1927" i="68"/>
  <c r="R1927" i="68"/>
  <c r="Q1927" i="68"/>
  <c r="O1927" i="68"/>
  <c r="M1927" i="68"/>
  <c r="V1927" i="68" s="1"/>
  <c r="S1924" i="68"/>
  <c r="R1924" i="68"/>
  <c r="Q1924" i="68"/>
  <c r="O1924" i="68"/>
  <c r="M1924" i="68"/>
  <c r="S1923" i="68"/>
  <c r="R1923" i="68"/>
  <c r="Q1923" i="68"/>
  <c r="O1923" i="68"/>
  <c r="M1923" i="68"/>
  <c r="S1922" i="68"/>
  <c r="R1922" i="68"/>
  <c r="Q1922" i="68"/>
  <c r="O1922" i="68"/>
  <c r="M1922" i="68"/>
  <c r="S1921" i="68"/>
  <c r="R1921" i="68"/>
  <c r="Q1921" i="68"/>
  <c r="O1921" i="68"/>
  <c r="M1921" i="68"/>
  <c r="S1920" i="68"/>
  <c r="R1920" i="68"/>
  <c r="Q1920" i="68"/>
  <c r="O1920" i="68"/>
  <c r="M1920" i="68"/>
  <c r="V1920" i="68" s="1"/>
  <c r="S1919" i="68"/>
  <c r="R1919" i="68"/>
  <c r="Q1919" i="68"/>
  <c r="O1919" i="68"/>
  <c r="M1919" i="68"/>
  <c r="T1918" i="68"/>
  <c r="Y1918" i="68" s="1"/>
  <c r="S1918" i="68"/>
  <c r="R1918" i="68"/>
  <c r="Q1918" i="68"/>
  <c r="O1918" i="68"/>
  <c r="M1918" i="68"/>
  <c r="S1917" i="68"/>
  <c r="R1917" i="68"/>
  <c r="Q1917" i="68"/>
  <c r="O1917" i="68"/>
  <c r="M1917" i="68"/>
  <c r="S1914" i="68"/>
  <c r="R1914" i="68"/>
  <c r="Q1914" i="68"/>
  <c r="O1914" i="68"/>
  <c r="M1914" i="68"/>
  <c r="S1911" i="68"/>
  <c r="R1911" i="68"/>
  <c r="Q1911" i="68"/>
  <c r="O1911" i="68"/>
  <c r="M1911" i="68"/>
  <c r="S1910" i="68"/>
  <c r="R1910" i="68"/>
  <c r="Q1910" i="68"/>
  <c r="O1910" i="68"/>
  <c r="M1910" i="68"/>
  <c r="S1909" i="68"/>
  <c r="R1909" i="68"/>
  <c r="Q1909" i="68"/>
  <c r="O1909" i="68"/>
  <c r="M1909" i="68"/>
  <c r="V1909" i="68" s="1"/>
  <c r="T1906" i="68"/>
  <c r="Y1906" i="68" s="1"/>
  <c r="S1906" i="68"/>
  <c r="R1906" i="68"/>
  <c r="Q1906" i="68"/>
  <c r="O1906" i="68"/>
  <c r="M1906" i="68"/>
  <c r="V1906" i="68" s="1"/>
  <c r="T1903" i="68"/>
  <c r="Y1903" i="68" s="1"/>
  <c r="S1903" i="68"/>
  <c r="R1903" i="68"/>
  <c r="Q1903" i="68"/>
  <c r="O1903" i="68"/>
  <c r="M1903" i="68"/>
  <c r="V1903" i="68" s="1"/>
  <c r="T1902" i="68"/>
  <c r="Y1902" i="68" s="1"/>
  <c r="S1902" i="68"/>
  <c r="R1902" i="68"/>
  <c r="Q1902" i="68"/>
  <c r="O1902" i="68"/>
  <c r="M1902" i="68"/>
  <c r="V1902" i="68" s="1"/>
  <c r="T1899" i="68"/>
  <c r="Y1899" i="68" s="1"/>
  <c r="S1899" i="68"/>
  <c r="R1899" i="68"/>
  <c r="Q1899" i="68"/>
  <c r="O1899" i="68"/>
  <c r="M1899" i="68"/>
  <c r="V1899" i="68" s="1"/>
  <c r="S1896" i="68"/>
  <c r="R1896" i="68"/>
  <c r="Q1896" i="68"/>
  <c r="O1896" i="68"/>
  <c r="M1896" i="68"/>
  <c r="T1895" i="68"/>
  <c r="Y1895" i="68" s="1"/>
  <c r="S1895" i="68"/>
  <c r="R1895" i="68"/>
  <c r="Q1895" i="68"/>
  <c r="O1895" i="68"/>
  <c r="M1895" i="68"/>
  <c r="V1895" i="68" s="1"/>
  <c r="S1894" i="68"/>
  <c r="R1894" i="68"/>
  <c r="Q1894" i="68"/>
  <c r="O1894" i="68"/>
  <c r="M1894" i="68"/>
  <c r="S1893" i="68"/>
  <c r="R1893" i="68"/>
  <c r="Q1893" i="68"/>
  <c r="O1893" i="68"/>
  <c r="M1893" i="68"/>
  <c r="V1893" i="68" s="1"/>
  <c r="S1812" i="68"/>
  <c r="R1812" i="68"/>
  <c r="Q1812" i="68"/>
  <c r="O1812" i="68"/>
  <c r="M1812" i="68"/>
  <c r="T1809" i="68"/>
  <c r="S1809" i="68"/>
  <c r="R1809" i="68"/>
  <c r="Q1809" i="68"/>
  <c r="O1809" i="68"/>
  <c r="M1809" i="68"/>
  <c r="V1809" i="68" s="1"/>
  <c r="T1808" i="68"/>
  <c r="S1808" i="68"/>
  <c r="R1808" i="68"/>
  <c r="Q1808" i="68"/>
  <c r="O1808" i="68"/>
  <c r="M1808" i="68"/>
  <c r="V1808" i="68" s="1"/>
  <c r="S1805" i="68"/>
  <c r="R1805" i="68"/>
  <c r="Q1805" i="68"/>
  <c r="O1805" i="68"/>
  <c r="M1805" i="68"/>
  <c r="S1804" i="68"/>
  <c r="R1804" i="68"/>
  <c r="Q1804" i="68"/>
  <c r="O1804" i="68"/>
  <c r="M1804" i="68"/>
  <c r="S1803" i="68"/>
  <c r="R1803" i="68"/>
  <c r="Q1803" i="68"/>
  <c r="O1803" i="68"/>
  <c r="M1803" i="68"/>
  <c r="S1802" i="68"/>
  <c r="R1802" i="68"/>
  <c r="Q1802" i="68"/>
  <c r="O1802" i="68"/>
  <c r="M1802" i="68"/>
  <c r="T1801" i="68"/>
  <c r="S1801" i="68"/>
  <c r="R1801" i="68"/>
  <c r="Q1801" i="68"/>
  <c r="O1801" i="68"/>
  <c r="M1801" i="68"/>
  <c r="V1801" i="68" s="1"/>
  <c r="S1800" i="68"/>
  <c r="R1800" i="68"/>
  <c r="Q1800" i="68"/>
  <c r="O1800" i="68"/>
  <c r="M1800" i="68"/>
  <c r="T1799" i="68"/>
  <c r="S1799" i="68"/>
  <c r="R1799" i="68"/>
  <c r="Q1799" i="68"/>
  <c r="O1799" i="68"/>
  <c r="M1799" i="68"/>
  <c r="V1799" i="68" s="1"/>
  <c r="T1796" i="68"/>
  <c r="S1796" i="68"/>
  <c r="R1796" i="68"/>
  <c r="Q1796" i="68"/>
  <c r="O1796" i="68"/>
  <c r="M1796" i="68"/>
  <c r="V1796" i="68" s="1"/>
  <c r="S1795" i="68"/>
  <c r="R1795" i="68"/>
  <c r="Q1795" i="68"/>
  <c r="O1795" i="68"/>
  <c r="M1795" i="68"/>
  <c r="T1794" i="68"/>
  <c r="S1794" i="68"/>
  <c r="R1794" i="68"/>
  <c r="Q1794" i="68"/>
  <c r="O1794" i="68"/>
  <c r="M1794" i="68"/>
  <c r="V1794" i="68" s="1"/>
  <c r="S1793" i="68"/>
  <c r="R1793" i="68"/>
  <c r="Q1793" i="68"/>
  <c r="O1793" i="68"/>
  <c r="M1793" i="68"/>
  <c r="S1790" i="68"/>
  <c r="R1790" i="68"/>
  <c r="Q1790" i="68"/>
  <c r="O1790" i="68"/>
  <c r="M1790" i="68"/>
  <c r="S1789" i="68"/>
  <c r="R1789" i="68"/>
  <c r="Q1789" i="68"/>
  <c r="O1789" i="68"/>
  <c r="M1789" i="68"/>
  <c r="S1788" i="68"/>
  <c r="R1788" i="68"/>
  <c r="Q1788" i="68"/>
  <c r="O1788" i="68"/>
  <c r="M1788" i="68"/>
  <c r="S1787" i="68"/>
  <c r="R1787" i="68"/>
  <c r="Q1787" i="68"/>
  <c r="O1787" i="68"/>
  <c r="M1787" i="68"/>
  <c r="S1786" i="68"/>
  <c r="R1786" i="68"/>
  <c r="Q1786" i="68"/>
  <c r="O1786" i="68"/>
  <c r="M1786" i="68"/>
  <c r="S1785" i="68"/>
  <c r="R1785" i="68"/>
  <c r="Q1785" i="68"/>
  <c r="O1785" i="68"/>
  <c r="M1785" i="68"/>
  <c r="S1784" i="68"/>
  <c r="R1784" i="68"/>
  <c r="Q1784" i="68"/>
  <c r="O1784" i="68"/>
  <c r="M1784" i="68"/>
  <c r="T1776" i="68"/>
  <c r="S1776" i="68"/>
  <c r="R1776" i="68"/>
  <c r="Q1776" i="68"/>
  <c r="O1776" i="68"/>
  <c r="M1776" i="68"/>
  <c r="V1776" i="68" s="1"/>
  <c r="S1773" i="68"/>
  <c r="R1773" i="68"/>
  <c r="Q1773" i="68"/>
  <c r="O1773" i="68"/>
  <c r="M1773" i="68"/>
  <c r="S1772" i="68"/>
  <c r="R1772" i="68"/>
  <c r="Q1772" i="68"/>
  <c r="O1772" i="68"/>
  <c r="M1772" i="68"/>
  <c r="S1771" i="68"/>
  <c r="R1771" i="68"/>
  <c r="Q1771" i="68"/>
  <c r="O1771" i="68"/>
  <c r="M1771" i="68"/>
  <c r="S1770" i="68"/>
  <c r="R1770" i="68"/>
  <c r="Q1770" i="68"/>
  <c r="O1770" i="68"/>
  <c r="M1770" i="68"/>
  <c r="S1769" i="68"/>
  <c r="R1769" i="68"/>
  <c r="Q1769" i="68"/>
  <c r="O1769" i="68"/>
  <c r="M1769" i="68"/>
  <c r="S1768" i="68"/>
  <c r="R1768" i="68"/>
  <c r="Q1768" i="68"/>
  <c r="O1768" i="68"/>
  <c r="M1768" i="68"/>
  <c r="S1767" i="68"/>
  <c r="R1767" i="68"/>
  <c r="Q1767" i="68"/>
  <c r="O1767" i="68"/>
  <c r="M1767" i="68"/>
  <c r="S1766" i="68"/>
  <c r="R1766" i="68"/>
  <c r="Q1766" i="68"/>
  <c r="O1766" i="68"/>
  <c r="M1766" i="68"/>
  <c r="S1765" i="68"/>
  <c r="R1765" i="68"/>
  <c r="Q1765" i="68"/>
  <c r="O1765" i="68"/>
  <c r="M1765" i="68"/>
  <c r="S1762" i="68"/>
  <c r="R1762" i="68"/>
  <c r="Q1762" i="68"/>
  <c r="O1762" i="68"/>
  <c r="M1762" i="68"/>
  <c r="S1761" i="68"/>
  <c r="R1761" i="68"/>
  <c r="Q1761" i="68"/>
  <c r="O1761" i="68"/>
  <c r="M1761" i="68"/>
  <c r="S1760" i="68"/>
  <c r="R1760" i="68"/>
  <c r="Q1760" i="68"/>
  <c r="O1760" i="68"/>
  <c r="M1760" i="68"/>
  <c r="S1759" i="68"/>
  <c r="R1759" i="68"/>
  <c r="Q1759" i="68"/>
  <c r="O1759" i="68"/>
  <c r="M1759" i="68"/>
  <c r="S1758" i="68"/>
  <c r="R1758" i="68"/>
  <c r="Q1758" i="68"/>
  <c r="O1758" i="68"/>
  <c r="M1758" i="68"/>
  <c r="S1757" i="68"/>
  <c r="R1757" i="68"/>
  <c r="Q1757" i="68"/>
  <c r="O1757" i="68"/>
  <c r="M1757" i="68"/>
  <c r="S1756" i="68"/>
  <c r="R1756" i="68"/>
  <c r="Q1756" i="68"/>
  <c r="O1756" i="68"/>
  <c r="M1756" i="68"/>
  <c r="S1755" i="68"/>
  <c r="R1755" i="68"/>
  <c r="Q1755" i="68"/>
  <c r="O1755" i="68"/>
  <c r="M1755" i="68"/>
  <c r="S1754" i="68"/>
  <c r="R1754" i="68"/>
  <c r="Q1754" i="68"/>
  <c r="O1754" i="68"/>
  <c r="M1754" i="68"/>
  <c r="S1753" i="68"/>
  <c r="R1753" i="68"/>
  <c r="Q1753" i="68"/>
  <c r="O1753" i="68"/>
  <c r="M1753" i="68"/>
  <c r="S1752" i="68"/>
  <c r="R1752" i="68"/>
  <c r="Q1752" i="68"/>
  <c r="O1752" i="68"/>
  <c r="M1752" i="68"/>
  <c r="S1751" i="68"/>
  <c r="R1751" i="68"/>
  <c r="Q1751" i="68"/>
  <c r="O1751" i="68"/>
  <c r="M1751" i="68"/>
  <c r="S1748" i="68"/>
  <c r="R1748" i="68"/>
  <c r="Q1748" i="68"/>
  <c r="O1748" i="68"/>
  <c r="M1748" i="68"/>
  <c r="S1747" i="68"/>
  <c r="R1747" i="68"/>
  <c r="Q1747" i="68"/>
  <c r="O1747" i="68"/>
  <c r="M1747" i="68"/>
  <c r="S1746" i="68"/>
  <c r="R1746" i="68"/>
  <c r="Q1746" i="68"/>
  <c r="O1746" i="68"/>
  <c r="M1746" i="68"/>
  <c r="S1745" i="68"/>
  <c r="R1745" i="68"/>
  <c r="Q1745" i="68"/>
  <c r="O1745" i="68"/>
  <c r="M1745" i="68"/>
  <c r="S1744" i="68"/>
  <c r="R1744" i="68"/>
  <c r="Q1744" i="68"/>
  <c r="O1744" i="68"/>
  <c r="M1744" i="68"/>
  <c r="V1744" i="68" s="1"/>
  <c r="S1743" i="68"/>
  <c r="R1743" i="68"/>
  <c r="Q1743" i="68"/>
  <c r="O1743" i="68"/>
  <c r="M1743" i="68"/>
  <c r="S1742" i="68"/>
  <c r="R1742" i="68"/>
  <c r="Q1742" i="68"/>
  <c r="O1742" i="68"/>
  <c r="M1742" i="68"/>
  <c r="S1741" i="68"/>
  <c r="R1741" i="68"/>
  <c r="Q1741" i="68"/>
  <c r="O1741" i="68"/>
  <c r="M1741" i="68"/>
  <c r="T1733" i="68"/>
  <c r="S1733" i="68"/>
  <c r="R1733" i="68"/>
  <c r="Q1733" i="68"/>
  <c r="O1733" i="68"/>
  <c r="M1733" i="68"/>
  <c r="V1733" i="68" s="1"/>
  <c r="T1730" i="68"/>
  <c r="S1730" i="68"/>
  <c r="R1730" i="68"/>
  <c r="Q1730" i="68"/>
  <c r="O1730" i="68"/>
  <c r="M1730" i="68"/>
  <c r="V1730" i="68" s="1"/>
  <c r="S1727" i="68"/>
  <c r="R1727" i="68"/>
  <c r="Q1727" i="68"/>
  <c r="O1727" i="68"/>
  <c r="M1727" i="68"/>
  <c r="S1726" i="68"/>
  <c r="R1726" i="68"/>
  <c r="Q1726" i="68"/>
  <c r="O1726" i="68"/>
  <c r="M1726" i="68"/>
  <c r="S1725" i="68"/>
  <c r="R1725" i="68"/>
  <c r="Q1725" i="68"/>
  <c r="O1725" i="68"/>
  <c r="M1725" i="68"/>
  <c r="S1724" i="68"/>
  <c r="R1724" i="68"/>
  <c r="Q1724" i="68"/>
  <c r="O1724" i="68"/>
  <c r="M1724" i="68"/>
  <c r="S1723" i="68"/>
  <c r="R1723" i="68"/>
  <c r="Q1723" i="68"/>
  <c r="O1723" i="68"/>
  <c r="M1723" i="68"/>
  <c r="S1722" i="68"/>
  <c r="R1722" i="68"/>
  <c r="Q1722" i="68"/>
  <c r="O1722" i="68"/>
  <c r="M1722" i="68"/>
  <c r="V1722" i="68" s="1"/>
  <c r="S1721" i="68"/>
  <c r="R1721" i="68"/>
  <c r="Q1721" i="68"/>
  <c r="O1721" i="68"/>
  <c r="M1721" i="68"/>
  <c r="S1720" i="68"/>
  <c r="R1720" i="68"/>
  <c r="Q1720" i="68"/>
  <c r="O1720" i="68"/>
  <c r="M1720" i="68"/>
  <c r="S1719" i="68"/>
  <c r="R1719" i="68"/>
  <c r="Q1719" i="68"/>
  <c r="O1719" i="68"/>
  <c r="M1719" i="68"/>
  <c r="S1717" i="68"/>
  <c r="R1717" i="68"/>
  <c r="Q1717" i="68"/>
  <c r="O1717" i="68"/>
  <c r="M1717" i="68"/>
  <c r="T1716" i="68"/>
  <c r="S1716" i="68"/>
  <c r="R1716" i="68"/>
  <c r="Q1716" i="68"/>
  <c r="O1716" i="68"/>
  <c r="M1716" i="68"/>
  <c r="V1716" i="68" s="1"/>
  <c r="S1715" i="68"/>
  <c r="R1715" i="68"/>
  <c r="Q1715" i="68"/>
  <c r="O1715" i="68"/>
  <c r="M1715" i="68"/>
  <c r="S1714" i="68"/>
  <c r="R1714" i="68"/>
  <c r="Q1714" i="68"/>
  <c r="O1714" i="68"/>
  <c r="M1714" i="68"/>
  <c r="S1711" i="68"/>
  <c r="R1711" i="68"/>
  <c r="Q1711" i="68"/>
  <c r="O1711" i="68"/>
  <c r="M1711" i="68"/>
  <c r="T1710" i="68"/>
  <c r="S1710" i="68"/>
  <c r="R1710" i="68"/>
  <c r="Q1710" i="68"/>
  <c r="O1710" i="68"/>
  <c r="M1710" i="68"/>
  <c r="V1710" i="68" s="1"/>
  <c r="S1709" i="68"/>
  <c r="R1709" i="68"/>
  <c r="Q1709" i="68"/>
  <c r="O1709" i="68"/>
  <c r="M1709" i="68"/>
  <c r="S1708" i="68"/>
  <c r="R1708" i="68"/>
  <c r="Q1708" i="68"/>
  <c r="O1708" i="68"/>
  <c r="M1708" i="68"/>
  <c r="S1707" i="68"/>
  <c r="R1707" i="68"/>
  <c r="Q1707" i="68"/>
  <c r="O1707" i="68"/>
  <c r="M1707" i="68"/>
  <c r="S1706" i="68"/>
  <c r="R1706" i="68"/>
  <c r="Q1706" i="68"/>
  <c r="O1706" i="68"/>
  <c r="M1706" i="68"/>
  <c r="S1705" i="68"/>
  <c r="R1705" i="68"/>
  <c r="Q1705" i="68"/>
  <c r="O1705" i="68"/>
  <c r="M1705" i="68"/>
  <c r="S1704" i="68"/>
  <c r="R1704" i="68"/>
  <c r="Q1704" i="68"/>
  <c r="O1704" i="68"/>
  <c r="M1704" i="68"/>
  <c r="S1702" i="68"/>
  <c r="R1702" i="68"/>
  <c r="Q1702" i="68"/>
  <c r="O1702" i="68"/>
  <c r="M1702" i="68"/>
  <c r="S1699" i="68"/>
  <c r="R1699" i="68"/>
  <c r="Q1699" i="68"/>
  <c r="O1699" i="68"/>
  <c r="M1699" i="68"/>
  <c r="S1698" i="68"/>
  <c r="R1698" i="68"/>
  <c r="Q1698" i="68"/>
  <c r="O1698" i="68"/>
  <c r="M1698" i="68"/>
  <c r="S1697" i="68"/>
  <c r="R1697" i="68"/>
  <c r="Q1697" i="68"/>
  <c r="O1697" i="68"/>
  <c r="M1697" i="68"/>
  <c r="S1696" i="68"/>
  <c r="R1696" i="68"/>
  <c r="Q1696" i="68"/>
  <c r="O1696" i="68"/>
  <c r="M1696" i="68"/>
  <c r="S1695" i="68"/>
  <c r="R1695" i="68"/>
  <c r="Q1695" i="68"/>
  <c r="O1695" i="68"/>
  <c r="M1695" i="68"/>
  <c r="T1694" i="68"/>
  <c r="S1694" i="68"/>
  <c r="R1694" i="68"/>
  <c r="Q1694" i="68"/>
  <c r="O1694" i="68"/>
  <c r="M1694" i="68"/>
  <c r="S1693" i="68"/>
  <c r="R1693" i="68"/>
  <c r="Q1693" i="68"/>
  <c r="O1693" i="68"/>
  <c r="M1693" i="68"/>
  <c r="S1692" i="68"/>
  <c r="R1692" i="68"/>
  <c r="Q1692" i="68"/>
  <c r="O1692" i="68"/>
  <c r="M1692" i="68"/>
  <c r="S1691" i="68"/>
  <c r="R1691" i="68"/>
  <c r="Q1691" i="68"/>
  <c r="O1691" i="68"/>
  <c r="M1691" i="68"/>
  <c r="S1683" i="68"/>
  <c r="R1683" i="68"/>
  <c r="Q1683" i="68"/>
  <c r="O1683" i="68"/>
  <c r="M1683" i="68"/>
  <c r="T1680" i="68"/>
  <c r="S1680" i="68"/>
  <c r="R1680" i="68"/>
  <c r="Q1680" i="68"/>
  <c r="O1680" i="68"/>
  <c r="M1680" i="68"/>
  <c r="V1680" i="68" s="1"/>
  <c r="S1677" i="68"/>
  <c r="R1677" i="68"/>
  <c r="Q1677" i="68"/>
  <c r="O1677" i="68"/>
  <c r="M1677" i="68"/>
  <c r="S1676" i="68"/>
  <c r="R1676" i="68"/>
  <c r="Q1676" i="68"/>
  <c r="O1676" i="68"/>
  <c r="M1676" i="68"/>
  <c r="T1675" i="68"/>
  <c r="S1675" i="68"/>
  <c r="R1675" i="68"/>
  <c r="Q1675" i="68"/>
  <c r="O1675" i="68"/>
  <c r="M1675" i="68"/>
  <c r="S1674" i="68"/>
  <c r="R1674" i="68"/>
  <c r="Q1674" i="68"/>
  <c r="O1674" i="68"/>
  <c r="M1674" i="68"/>
  <c r="S1673" i="68"/>
  <c r="R1673" i="68"/>
  <c r="Q1673" i="68"/>
  <c r="O1673" i="68"/>
  <c r="M1673" i="68"/>
  <c r="S1672" i="68"/>
  <c r="R1672" i="68"/>
  <c r="Q1672" i="68"/>
  <c r="O1672" i="68"/>
  <c r="M1672" i="68"/>
  <c r="S1671" i="68"/>
  <c r="R1671" i="68"/>
  <c r="Q1671" i="68"/>
  <c r="O1671" i="68"/>
  <c r="M1671" i="68"/>
  <c r="S1670" i="68"/>
  <c r="R1670" i="68"/>
  <c r="Q1670" i="68"/>
  <c r="O1670" i="68"/>
  <c r="M1670" i="68"/>
  <c r="S1667" i="68"/>
  <c r="R1667" i="68"/>
  <c r="Q1667" i="68"/>
  <c r="O1667" i="68"/>
  <c r="M1667" i="68"/>
  <c r="S1665" i="68"/>
  <c r="R1665" i="68"/>
  <c r="Q1665" i="68"/>
  <c r="O1665" i="68"/>
  <c r="M1665" i="68"/>
  <c r="S1664" i="68"/>
  <c r="R1664" i="68"/>
  <c r="Q1664" i="68"/>
  <c r="O1664" i="68"/>
  <c r="M1664" i="68"/>
  <c r="S1663" i="68"/>
  <c r="R1663" i="68"/>
  <c r="Q1663" i="68"/>
  <c r="O1663" i="68"/>
  <c r="M1663" i="68"/>
  <c r="T1662" i="68"/>
  <c r="S1662" i="68"/>
  <c r="R1662" i="68"/>
  <c r="Q1662" i="68"/>
  <c r="O1662" i="68"/>
  <c r="M1662" i="68"/>
  <c r="S1661" i="68"/>
  <c r="R1661" i="68"/>
  <c r="Q1661" i="68"/>
  <c r="O1661" i="68"/>
  <c r="M1661" i="68"/>
  <c r="V1661" i="68" s="1"/>
  <c r="S1658" i="68"/>
  <c r="R1658" i="68"/>
  <c r="Q1658" i="68"/>
  <c r="O1658" i="68"/>
  <c r="M1658" i="68"/>
  <c r="S1657" i="68"/>
  <c r="R1657" i="68"/>
  <c r="Q1657" i="68"/>
  <c r="O1657" i="68"/>
  <c r="M1657" i="68"/>
  <c r="S1656" i="68"/>
  <c r="R1656" i="68"/>
  <c r="Q1656" i="68"/>
  <c r="O1656" i="68"/>
  <c r="M1656" i="68"/>
  <c r="S1655" i="68"/>
  <c r="R1655" i="68"/>
  <c r="Q1655" i="68"/>
  <c r="O1655" i="68"/>
  <c r="M1655" i="68"/>
  <c r="S1654" i="68"/>
  <c r="R1654" i="68"/>
  <c r="Q1654" i="68"/>
  <c r="O1654" i="68"/>
  <c r="M1654" i="68"/>
  <c r="S1653" i="68"/>
  <c r="R1653" i="68"/>
  <c r="Q1653" i="68"/>
  <c r="O1653" i="68"/>
  <c r="M1653" i="68"/>
  <c r="S1652" i="68"/>
  <c r="R1652" i="68"/>
  <c r="Q1652" i="68"/>
  <c r="O1652" i="68"/>
  <c r="M1652" i="68"/>
  <c r="S1651" i="68"/>
  <c r="R1651" i="68"/>
  <c r="Q1651" i="68"/>
  <c r="O1651" i="68"/>
  <c r="M1651" i="68"/>
  <c r="T1643" i="68"/>
  <c r="S1643" i="68"/>
  <c r="R1643" i="68"/>
  <c r="Q1643" i="68"/>
  <c r="O1643" i="68"/>
  <c r="M1643" i="68"/>
  <c r="V1643" i="68" s="1"/>
  <c r="T1642" i="68"/>
  <c r="S1642" i="68"/>
  <c r="R1642" i="68"/>
  <c r="Q1642" i="68"/>
  <c r="O1642" i="68"/>
  <c r="M1642" i="68"/>
  <c r="S1639" i="68"/>
  <c r="R1639" i="68"/>
  <c r="Q1639" i="68"/>
  <c r="O1639" i="68"/>
  <c r="M1639" i="68"/>
  <c r="S1638" i="68"/>
  <c r="R1638" i="68"/>
  <c r="Q1638" i="68"/>
  <c r="O1638" i="68"/>
  <c r="M1638" i="68"/>
  <c r="S1637" i="68"/>
  <c r="R1637" i="68"/>
  <c r="Q1637" i="68"/>
  <c r="O1637" i="68"/>
  <c r="M1637" i="68"/>
  <c r="S1636" i="68"/>
  <c r="R1636" i="68"/>
  <c r="Q1636" i="68"/>
  <c r="O1636" i="68"/>
  <c r="M1636" i="68"/>
  <c r="S1635" i="68"/>
  <c r="R1635" i="68"/>
  <c r="Q1635" i="68"/>
  <c r="O1635" i="68"/>
  <c r="M1635" i="68"/>
  <c r="S1634" i="68"/>
  <c r="R1634" i="68"/>
  <c r="Q1634" i="68"/>
  <c r="O1634" i="68"/>
  <c r="M1634" i="68"/>
  <c r="S1633" i="68"/>
  <c r="R1633" i="68"/>
  <c r="Q1633" i="68"/>
  <c r="O1633" i="68"/>
  <c r="M1633" i="68"/>
  <c r="S1632" i="68"/>
  <c r="R1632" i="68"/>
  <c r="Q1632" i="68"/>
  <c r="O1632" i="68"/>
  <c r="M1632" i="68"/>
  <c r="S1631" i="68"/>
  <c r="R1631" i="68"/>
  <c r="Q1631" i="68"/>
  <c r="O1631" i="68"/>
  <c r="M1631" i="68"/>
  <c r="S1628" i="68"/>
  <c r="R1628" i="68"/>
  <c r="Q1628" i="68"/>
  <c r="O1628" i="68"/>
  <c r="M1628" i="68"/>
  <c r="S1627" i="68"/>
  <c r="R1627" i="68"/>
  <c r="Q1627" i="68"/>
  <c r="O1627" i="68"/>
  <c r="M1627" i="68"/>
  <c r="S1626" i="68"/>
  <c r="R1626" i="68"/>
  <c r="Q1626" i="68"/>
  <c r="O1626" i="68"/>
  <c r="M1626" i="68"/>
  <c r="V1626" i="68" s="1"/>
  <c r="S1625" i="68"/>
  <c r="R1625" i="68"/>
  <c r="Q1625" i="68"/>
  <c r="O1625" i="68"/>
  <c r="M1625" i="68"/>
  <c r="S1624" i="68"/>
  <c r="R1624" i="68"/>
  <c r="Q1624" i="68"/>
  <c r="O1624" i="68"/>
  <c r="M1624" i="68"/>
  <c r="S1623" i="68"/>
  <c r="R1623" i="68"/>
  <c r="Q1623" i="68"/>
  <c r="O1623" i="68"/>
  <c r="M1623" i="68"/>
  <c r="S1622" i="68"/>
  <c r="R1622" i="68"/>
  <c r="Q1622" i="68"/>
  <c r="O1622" i="68"/>
  <c r="M1622" i="68"/>
  <c r="V1622" i="68" s="1"/>
  <c r="S1621" i="68"/>
  <c r="R1621" i="68"/>
  <c r="Q1621" i="68"/>
  <c r="O1621" i="68"/>
  <c r="M1621" i="68"/>
  <c r="S1620" i="68"/>
  <c r="R1620" i="68"/>
  <c r="Q1620" i="68"/>
  <c r="O1620" i="68"/>
  <c r="M1620" i="68"/>
  <c r="S1619" i="68"/>
  <c r="R1619" i="68"/>
  <c r="Q1619" i="68"/>
  <c r="O1619" i="68"/>
  <c r="M1619" i="68"/>
  <c r="S1618" i="68"/>
  <c r="R1618" i="68"/>
  <c r="Q1618" i="68"/>
  <c r="O1618" i="68"/>
  <c r="M1618" i="68"/>
  <c r="S1617" i="68"/>
  <c r="R1617" i="68"/>
  <c r="Q1617" i="68"/>
  <c r="O1617" i="68"/>
  <c r="M1617" i="68"/>
  <c r="S1616" i="68"/>
  <c r="R1616" i="68"/>
  <c r="Q1616" i="68"/>
  <c r="O1616" i="68"/>
  <c r="M1616" i="68"/>
  <c r="S1615" i="68"/>
  <c r="R1615" i="68"/>
  <c r="Q1615" i="68"/>
  <c r="O1615" i="68"/>
  <c r="M1615" i="68"/>
  <c r="S1614" i="68"/>
  <c r="R1614" i="68"/>
  <c r="Q1614" i="68"/>
  <c r="O1614" i="68"/>
  <c r="M1614" i="68"/>
  <c r="V1614" i="68" s="1"/>
  <c r="S1611" i="68"/>
  <c r="R1611" i="68"/>
  <c r="Q1611" i="68"/>
  <c r="O1611" i="68"/>
  <c r="M1611" i="68"/>
  <c r="S1610" i="68"/>
  <c r="R1610" i="68"/>
  <c r="Q1610" i="68"/>
  <c r="O1610" i="68"/>
  <c r="M1610" i="68"/>
  <c r="S1609" i="68"/>
  <c r="R1609" i="68"/>
  <c r="Q1609" i="68"/>
  <c r="O1609" i="68"/>
  <c r="M1609" i="68"/>
  <c r="S1608" i="68"/>
  <c r="R1608" i="68"/>
  <c r="Q1608" i="68"/>
  <c r="O1608" i="68"/>
  <c r="M1608" i="68"/>
  <c r="S1607" i="68"/>
  <c r="R1607" i="68"/>
  <c r="Q1607" i="68"/>
  <c r="O1607" i="68"/>
  <c r="M1607" i="68"/>
  <c r="T1606" i="68"/>
  <c r="S1606" i="68"/>
  <c r="R1606" i="68"/>
  <c r="Q1606" i="68"/>
  <c r="O1606" i="68"/>
  <c r="M1606" i="68"/>
  <c r="V1606" i="68" s="1"/>
  <c r="S1605" i="68"/>
  <c r="R1605" i="68"/>
  <c r="Q1605" i="68"/>
  <c r="O1605" i="68"/>
  <c r="M1605" i="68"/>
  <c r="S1604" i="68"/>
  <c r="R1604" i="68"/>
  <c r="Q1604" i="68"/>
  <c r="O1604" i="68"/>
  <c r="M1604" i="68"/>
  <c r="S1603" i="68"/>
  <c r="R1603" i="68"/>
  <c r="Q1603" i="68"/>
  <c r="O1603" i="68"/>
  <c r="M1603" i="68"/>
  <c r="S1602" i="68"/>
  <c r="R1602" i="68"/>
  <c r="Q1602" i="68"/>
  <c r="O1602" i="68"/>
  <c r="M1602" i="68"/>
  <c r="S1595" i="68"/>
  <c r="R1595" i="68"/>
  <c r="Q1595" i="68"/>
  <c r="O1595" i="68"/>
  <c r="M1595" i="68"/>
  <c r="S1594" i="68"/>
  <c r="R1594" i="68"/>
  <c r="Q1594" i="68"/>
  <c r="O1594" i="68"/>
  <c r="M1594" i="68"/>
  <c r="S1593" i="68"/>
  <c r="R1593" i="68"/>
  <c r="Q1593" i="68"/>
  <c r="O1593" i="68"/>
  <c r="M1593" i="68"/>
  <c r="V1593" i="68" s="1"/>
  <c r="S1592" i="68"/>
  <c r="R1592" i="68"/>
  <c r="Q1592" i="68"/>
  <c r="O1592" i="68"/>
  <c r="M1592" i="68"/>
  <c r="S1591" i="68"/>
  <c r="R1591" i="68"/>
  <c r="Q1591" i="68"/>
  <c r="O1591" i="68"/>
  <c r="M1591" i="68"/>
  <c r="S1590" i="68"/>
  <c r="R1590" i="68"/>
  <c r="Q1590" i="68"/>
  <c r="O1590" i="68"/>
  <c r="M1590" i="68"/>
  <c r="S1587" i="68"/>
  <c r="R1587" i="68"/>
  <c r="Q1587" i="68"/>
  <c r="O1587" i="68"/>
  <c r="M1587" i="68"/>
  <c r="V1587" i="68" s="1"/>
  <c r="S1586" i="68"/>
  <c r="R1586" i="68"/>
  <c r="Q1586" i="68"/>
  <c r="O1586" i="68"/>
  <c r="M1586" i="68"/>
  <c r="T1585" i="68"/>
  <c r="S1585" i="68"/>
  <c r="R1585" i="68"/>
  <c r="Q1585" i="68"/>
  <c r="O1585" i="68"/>
  <c r="M1585" i="68"/>
  <c r="V1585" i="68" s="1"/>
  <c r="S1584" i="68"/>
  <c r="R1584" i="68"/>
  <c r="Q1584" i="68"/>
  <c r="O1584" i="68"/>
  <c r="M1584" i="68"/>
  <c r="S1581" i="68"/>
  <c r="R1581" i="68"/>
  <c r="Q1581" i="68"/>
  <c r="O1581" i="68"/>
  <c r="M1581" i="68"/>
  <c r="S1580" i="68"/>
  <c r="R1580" i="68"/>
  <c r="Q1580" i="68"/>
  <c r="O1580" i="68"/>
  <c r="M1580" i="68"/>
  <c r="S1579" i="68"/>
  <c r="R1579" i="68"/>
  <c r="Q1579" i="68"/>
  <c r="O1579" i="68"/>
  <c r="M1579" i="68"/>
  <c r="S1578" i="68"/>
  <c r="R1578" i="68"/>
  <c r="Q1578" i="68"/>
  <c r="O1578" i="68"/>
  <c r="M1578" i="68"/>
  <c r="S1577" i="68"/>
  <c r="R1577" i="68"/>
  <c r="Q1577" i="68"/>
  <c r="O1577" i="68"/>
  <c r="M1577" i="68"/>
  <c r="S1576" i="68"/>
  <c r="R1576" i="68"/>
  <c r="Q1576" i="68"/>
  <c r="O1576" i="68"/>
  <c r="M1576" i="68"/>
  <c r="S1575" i="68"/>
  <c r="R1575" i="68"/>
  <c r="Q1575" i="68"/>
  <c r="O1575" i="68"/>
  <c r="M1575" i="68"/>
  <c r="S1574" i="68"/>
  <c r="R1574" i="68"/>
  <c r="Q1574" i="68"/>
  <c r="O1574" i="68"/>
  <c r="M1574" i="68"/>
  <c r="T1567" i="68"/>
  <c r="S1567" i="68"/>
  <c r="R1567" i="68"/>
  <c r="Q1567" i="68"/>
  <c r="O1567" i="68"/>
  <c r="M1567" i="68"/>
  <c r="V1567" i="68" s="1"/>
  <c r="V1560" i="68"/>
  <c r="S1559" i="68"/>
  <c r="R1559" i="68"/>
  <c r="Q1559" i="68"/>
  <c r="O1559" i="68"/>
  <c r="M1559" i="68"/>
  <c r="S1558" i="68"/>
  <c r="R1558" i="68"/>
  <c r="Q1558" i="68"/>
  <c r="O1558" i="68"/>
  <c r="M1558" i="68"/>
  <c r="S1557" i="68"/>
  <c r="R1557" i="68"/>
  <c r="Q1557" i="68"/>
  <c r="O1557" i="68"/>
  <c r="M1557" i="68"/>
  <c r="S1556" i="68"/>
  <c r="R1556" i="68"/>
  <c r="Q1556" i="68"/>
  <c r="O1556" i="68"/>
  <c r="M1556" i="68"/>
  <c r="S1555" i="68"/>
  <c r="R1555" i="68"/>
  <c r="Q1555" i="68"/>
  <c r="O1555" i="68"/>
  <c r="M1555" i="68"/>
  <c r="S1554" i="68"/>
  <c r="R1554" i="68"/>
  <c r="Q1554" i="68"/>
  <c r="O1554" i="68"/>
  <c r="M1554" i="68"/>
  <c r="S1553" i="68"/>
  <c r="R1553" i="68"/>
  <c r="Q1553" i="68"/>
  <c r="O1553" i="68"/>
  <c r="M1553" i="68"/>
  <c r="S1552" i="68"/>
  <c r="R1552" i="68"/>
  <c r="Q1552" i="68"/>
  <c r="O1552" i="68"/>
  <c r="M1552" i="68"/>
  <c r="S1551" i="68"/>
  <c r="R1551" i="68"/>
  <c r="Q1551" i="68"/>
  <c r="O1551" i="68"/>
  <c r="M1551" i="68"/>
  <c r="T1550" i="68"/>
  <c r="Y1550" i="68" s="1"/>
  <c r="S1550" i="68"/>
  <c r="R1550" i="68"/>
  <c r="Q1550" i="68"/>
  <c r="O1550" i="68"/>
  <c r="M1550" i="68"/>
  <c r="V1550" i="68" s="1"/>
  <c r="T1549" i="68"/>
  <c r="Y1549" i="68" s="1"/>
  <c r="S1549" i="68"/>
  <c r="R1549" i="68"/>
  <c r="Q1549" i="68"/>
  <c r="O1549" i="68"/>
  <c r="M1549" i="68"/>
  <c r="V1549" i="68" s="1"/>
  <c r="S1548" i="68"/>
  <c r="R1548" i="68"/>
  <c r="Q1548" i="68"/>
  <c r="O1548" i="68"/>
  <c r="M1548" i="68"/>
  <c r="S1547" i="68"/>
  <c r="R1547" i="68"/>
  <c r="Q1547" i="68"/>
  <c r="O1547" i="68"/>
  <c r="M1547" i="68"/>
  <c r="S1546" i="68"/>
  <c r="R1546" i="68"/>
  <c r="Q1546" i="68"/>
  <c r="O1546" i="68"/>
  <c r="M1546" i="68"/>
  <c r="S1543" i="68"/>
  <c r="R1543" i="68"/>
  <c r="Q1543" i="68"/>
  <c r="O1543" i="68"/>
  <c r="M1543" i="68"/>
  <c r="S1542" i="68"/>
  <c r="R1542" i="68"/>
  <c r="Q1542" i="68"/>
  <c r="O1542" i="68"/>
  <c r="M1542" i="68"/>
  <c r="S1540" i="68"/>
  <c r="R1540" i="68"/>
  <c r="Q1540" i="68"/>
  <c r="O1540" i="68"/>
  <c r="M1540" i="68"/>
  <c r="S1539" i="68"/>
  <c r="R1539" i="68"/>
  <c r="Q1539" i="68"/>
  <c r="O1539" i="68"/>
  <c r="M1539" i="68"/>
  <c r="V1539" i="68" s="1"/>
  <c r="S1538" i="68"/>
  <c r="R1538" i="68"/>
  <c r="Q1538" i="68"/>
  <c r="O1538" i="68"/>
  <c r="M1538" i="68"/>
  <c r="S1537" i="68"/>
  <c r="R1537" i="68"/>
  <c r="Q1537" i="68"/>
  <c r="O1537" i="68"/>
  <c r="M1537" i="68"/>
  <c r="S1536" i="68"/>
  <c r="R1536" i="68"/>
  <c r="Q1536" i="68"/>
  <c r="O1536" i="68"/>
  <c r="M1536" i="68"/>
  <c r="S1535" i="68"/>
  <c r="R1535" i="68"/>
  <c r="Q1535" i="68"/>
  <c r="O1535" i="68"/>
  <c r="M1535" i="68"/>
  <c r="S1534" i="68"/>
  <c r="Q1534" i="68"/>
  <c r="O1534" i="68"/>
  <c r="M1534" i="68"/>
  <c r="S1533" i="68"/>
  <c r="R1533" i="68"/>
  <c r="Q1533" i="68"/>
  <c r="O1533" i="68"/>
  <c r="M1533" i="68"/>
  <c r="S1532" i="68"/>
  <c r="R1532" i="68"/>
  <c r="Q1532" i="68"/>
  <c r="O1532" i="68"/>
  <c r="M1532" i="68"/>
  <c r="S1529" i="68"/>
  <c r="R1529" i="68"/>
  <c r="Q1529" i="68"/>
  <c r="O1529" i="68"/>
  <c r="M1529" i="68"/>
  <c r="S1528" i="68"/>
  <c r="R1528" i="68"/>
  <c r="Q1528" i="68"/>
  <c r="O1528" i="68"/>
  <c r="M1528" i="68"/>
  <c r="S1527" i="68"/>
  <c r="R1527" i="68"/>
  <c r="Q1527" i="68"/>
  <c r="O1527" i="68"/>
  <c r="M1527" i="68"/>
  <c r="S1526" i="68"/>
  <c r="R1526" i="68"/>
  <c r="Q1526" i="68"/>
  <c r="O1526" i="68"/>
  <c r="M1526" i="68"/>
  <c r="S1525" i="68"/>
  <c r="R1525" i="68"/>
  <c r="Q1525" i="68"/>
  <c r="O1525" i="68"/>
  <c r="M1525" i="68"/>
  <c r="S1524" i="68"/>
  <c r="R1524" i="68"/>
  <c r="Q1524" i="68"/>
  <c r="O1524" i="68"/>
  <c r="M1524" i="68"/>
  <c r="S1523" i="68"/>
  <c r="R1523" i="68"/>
  <c r="Q1523" i="68"/>
  <c r="O1523" i="68"/>
  <c r="M1523" i="68"/>
  <c r="S1522" i="68"/>
  <c r="R1522" i="68"/>
  <c r="Q1522" i="68"/>
  <c r="O1522" i="68"/>
  <c r="M1522" i="68"/>
  <c r="S1521" i="68"/>
  <c r="R1521" i="68"/>
  <c r="Q1521" i="68"/>
  <c r="O1521" i="68"/>
  <c r="M1521" i="68"/>
  <c r="S1520" i="68"/>
  <c r="R1520" i="68"/>
  <c r="Q1520" i="68"/>
  <c r="O1520" i="68"/>
  <c r="M1520" i="68"/>
  <c r="S1449" i="68"/>
  <c r="R1449" i="68"/>
  <c r="Q1449" i="68"/>
  <c r="O1449" i="68"/>
  <c r="M1449" i="68"/>
  <c r="R1441" i="68"/>
  <c r="Q1441" i="68"/>
  <c r="O1441" i="68"/>
  <c r="M1441" i="68"/>
  <c r="T1438" i="68"/>
  <c r="S1438" i="68"/>
  <c r="R1438" i="68"/>
  <c r="Q1438" i="68"/>
  <c r="O1438" i="68"/>
  <c r="M1438" i="68"/>
  <c r="V1438" i="68" s="1"/>
  <c r="S1437" i="68"/>
  <c r="R1437" i="68"/>
  <c r="Q1437" i="68"/>
  <c r="O1437" i="68"/>
  <c r="M1437" i="68"/>
  <c r="T1436" i="68"/>
  <c r="S1436" i="68"/>
  <c r="R1436" i="68"/>
  <c r="Q1436" i="68"/>
  <c r="O1436" i="68"/>
  <c r="M1436" i="68"/>
  <c r="S1433" i="68"/>
  <c r="R1433" i="68"/>
  <c r="Q1433" i="68"/>
  <c r="O1433" i="68"/>
  <c r="M1433" i="68"/>
  <c r="S1432" i="68"/>
  <c r="R1432" i="68"/>
  <c r="Q1432" i="68"/>
  <c r="O1432" i="68"/>
  <c r="M1432" i="68"/>
  <c r="S1431" i="68"/>
  <c r="R1431" i="68"/>
  <c r="Q1431" i="68"/>
  <c r="O1431" i="68"/>
  <c r="M1431" i="68"/>
  <c r="S1430" i="68"/>
  <c r="R1430" i="68"/>
  <c r="Q1430" i="68"/>
  <c r="O1430" i="68"/>
  <c r="M1430" i="68"/>
  <c r="S1428" i="68"/>
  <c r="R1428" i="68"/>
  <c r="Q1428" i="68"/>
  <c r="O1428" i="68"/>
  <c r="M1428" i="68"/>
  <c r="S1427" i="68"/>
  <c r="R1427" i="68"/>
  <c r="Q1427" i="68"/>
  <c r="O1427" i="68"/>
  <c r="M1427" i="68"/>
  <c r="S1426" i="68"/>
  <c r="R1426" i="68"/>
  <c r="Q1426" i="68"/>
  <c r="O1426" i="68"/>
  <c r="M1426" i="68"/>
  <c r="S1425" i="68"/>
  <c r="R1425" i="68"/>
  <c r="Q1425" i="68"/>
  <c r="O1425" i="68"/>
  <c r="M1425" i="68"/>
  <c r="S1422" i="68"/>
  <c r="R1422" i="68"/>
  <c r="Q1422" i="68"/>
  <c r="O1422" i="68"/>
  <c r="M1422" i="68"/>
  <c r="S1421" i="68"/>
  <c r="R1421" i="68"/>
  <c r="Q1421" i="68"/>
  <c r="O1421" i="68"/>
  <c r="M1421" i="68"/>
  <c r="S1420" i="68"/>
  <c r="R1420" i="68"/>
  <c r="Q1420" i="68"/>
  <c r="O1420" i="68"/>
  <c r="M1420" i="68"/>
  <c r="S1419" i="68"/>
  <c r="R1419" i="68"/>
  <c r="Q1419" i="68"/>
  <c r="O1419" i="68"/>
  <c r="M1419" i="68"/>
  <c r="S1418" i="68"/>
  <c r="R1418" i="68"/>
  <c r="Q1418" i="68"/>
  <c r="O1418" i="68"/>
  <c r="M1418" i="68"/>
  <c r="S1417" i="68"/>
  <c r="R1417" i="68"/>
  <c r="Q1417" i="68"/>
  <c r="O1417" i="68"/>
  <c r="M1417" i="68"/>
  <c r="V1417" i="68" s="1"/>
  <c r="S1416" i="68"/>
  <c r="R1416" i="68"/>
  <c r="Q1416" i="68"/>
  <c r="O1416" i="68"/>
  <c r="M1416" i="68"/>
  <c r="S1415" i="68"/>
  <c r="R1415" i="68"/>
  <c r="Q1415" i="68"/>
  <c r="O1415" i="68"/>
  <c r="M1415" i="68"/>
  <c r="S1414" i="68"/>
  <c r="R1414" i="68"/>
  <c r="Q1414" i="68"/>
  <c r="O1414" i="68"/>
  <c r="M1414" i="68"/>
  <c r="S1413" i="68"/>
  <c r="R1413" i="68"/>
  <c r="Q1413" i="68"/>
  <c r="O1413" i="68"/>
  <c r="M1413" i="68"/>
  <c r="S1412" i="68"/>
  <c r="R1412" i="68"/>
  <c r="Q1412" i="68"/>
  <c r="O1412" i="68"/>
  <c r="M1412" i="68"/>
  <c r="S1411" i="68"/>
  <c r="R1411" i="68"/>
  <c r="Q1411" i="68"/>
  <c r="O1411" i="68"/>
  <c r="M1411" i="68"/>
  <c r="S1410" i="68"/>
  <c r="R1410" i="68"/>
  <c r="Q1410" i="68"/>
  <c r="O1410" i="68"/>
  <c r="M1410" i="68"/>
  <c r="S1407" i="68"/>
  <c r="R1407" i="68"/>
  <c r="Q1407" i="68"/>
  <c r="O1407" i="68"/>
  <c r="M1407" i="68"/>
  <c r="S1406" i="68"/>
  <c r="R1406" i="68"/>
  <c r="Q1406" i="68"/>
  <c r="O1406" i="68"/>
  <c r="M1406" i="68"/>
  <c r="S1405" i="68"/>
  <c r="R1405" i="68"/>
  <c r="Q1405" i="68"/>
  <c r="O1405" i="68"/>
  <c r="M1405" i="68"/>
  <c r="S1404" i="68"/>
  <c r="R1404" i="68"/>
  <c r="Q1404" i="68"/>
  <c r="O1404" i="68"/>
  <c r="M1404" i="68"/>
  <c r="S1403" i="68"/>
  <c r="R1403" i="68"/>
  <c r="Q1403" i="68"/>
  <c r="O1403" i="68"/>
  <c r="M1403" i="68"/>
  <c r="S1402" i="68"/>
  <c r="R1402" i="68"/>
  <c r="Q1402" i="68"/>
  <c r="O1402" i="68"/>
  <c r="M1402" i="68"/>
  <c r="S1401" i="68"/>
  <c r="R1401" i="68"/>
  <c r="Q1401" i="68"/>
  <c r="O1401" i="68"/>
  <c r="M1401" i="68"/>
  <c r="S1400" i="68"/>
  <c r="R1400" i="68"/>
  <c r="Q1400" i="68"/>
  <c r="O1400" i="68"/>
  <c r="M1400" i="68"/>
  <c r="T1393" i="68"/>
  <c r="S1393" i="68"/>
  <c r="R1393" i="68"/>
  <c r="Q1393" i="68"/>
  <c r="O1393" i="68"/>
  <c r="M1393" i="68"/>
  <c r="V1393" i="68" s="1"/>
  <c r="S1392" i="68"/>
  <c r="R1392" i="68"/>
  <c r="Q1392" i="68"/>
  <c r="O1392" i="68"/>
  <c r="M1392" i="68"/>
  <c r="V1392" i="68" s="1"/>
  <c r="T1389" i="68"/>
  <c r="S1389" i="68"/>
  <c r="R1389" i="68"/>
  <c r="Q1389" i="68"/>
  <c r="O1389" i="68"/>
  <c r="M1389" i="68"/>
  <c r="V1389" i="68" s="1"/>
  <c r="S1386" i="68"/>
  <c r="R1386" i="68"/>
  <c r="Q1386" i="68"/>
  <c r="O1386" i="68"/>
  <c r="M1386" i="68"/>
  <c r="S1385" i="68"/>
  <c r="R1385" i="68"/>
  <c r="Q1385" i="68"/>
  <c r="O1385" i="68"/>
  <c r="M1385" i="68"/>
  <c r="S1384" i="68"/>
  <c r="R1384" i="68"/>
  <c r="Q1384" i="68"/>
  <c r="O1384" i="68"/>
  <c r="M1384" i="68"/>
  <c r="V1384" i="68" s="1"/>
  <c r="S1383" i="68"/>
  <c r="R1383" i="68"/>
  <c r="Q1383" i="68"/>
  <c r="O1383" i="68"/>
  <c r="M1383" i="68"/>
  <c r="S1382" i="68"/>
  <c r="R1382" i="68"/>
  <c r="Q1382" i="68"/>
  <c r="O1382" i="68"/>
  <c r="M1382" i="68"/>
  <c r="S1381" i="68"/>
  <c r="R1381" i="68"/>
  <c r="Q1381" i="68"/>
  <c r="O1381" i="68"/>
  <c r="M1381" i="68"/>
  <c r="S1378" i="68"/>
  <c r="R1378" i="68"/>
  <c r="Q1378" i="68"/>
  <c r="O1378" i="68"/>
  <c r="M1378" i="68"/>
  <c r="S1377" i="68"/>
  <c r="R1377" i="68"/>
  <c r="Q1377" i="68"/>
  <c r="O1377" i="68"/>
  <c r="M1377" i="68"/>
  <c r="V1377" i="68" s="1"/>
  <c r="S1376" i="68"/>
  <c r="R1376" i="68"/>
  <c r="Q1376" i="68"/>
  <c r="O1376" i="68"/>
  <c r="M1376" i="68"/>
  <c r="S1375" i="68"/>
  <c r="R1375" i="68"/>
  <c r="Q1375" i="68"/>
  <c r="O1375" i="68"/>
  <c r="M1375" i="68"/>
  <c r="S1374" i="68"/>
  <c r="R1374" i="68"/>
  <c r="Q1374" i="68"/>
  <c r="O1374" i="68"/>
  <c r="M1374" i="68"/>
  <c r="S1373" i="68"/>
  <c r="R1373" i="68"/>
  <c r="Q1373" i="68"/>
  <c r="O1373" i="68"/>
  <c r="M1373" i="68"/>
  <c r="V1373" i="68" s="1"/>
  <c r="S1372" i="68"/>
  <c r="R1372" i="68"/>
  <c r="Q1372" i="68"/>
  <c r="O1372" i="68"/>
  <c r="M1372" i="68"/>
  <c r="S1369" i="68"/>
  <c r="R1369" i="68"/>
  <c r="Q1369" i="68"/>
  <c r="O1369" i="68"/>
  <c r="M1369" i="68"/>
  <c r="S1368" i="68"/>
  <c r="R1368" i="68"/>
  <c r="Q1368" i="68"/>
  <c r="O1368" i="68"/>
  <c r="M1368" i="68"/>
  <c r="S1367" i="68"/>
  <c r="R1367" i="68"/>
  <c r="Q1367" i="68"/>
  <c r="O1367" i="68"/>
  <c r="M1367" i="68"/>
  <c r="S1366" i="68"/>
  <c r="R1366" i="68"/>
  <c r="Q1366" i="68"/>
  <c r="O1366" i="68"/>
  <c r="M1366" i="68"/>
  <c r="S1365" i="68"/>
  <c r="R1365" i="68"/>
  <c r="Q1365" i="68"/>
  <c r="O1365" i="68"/>
  <c r="M1365" i="68"/>
  <c r="T1363" i="68"/>
  <c r="S1363" i="68"/>
  <c r="R1363" i="68"/>
  <c r="Q1363" i="68"/>
  <c r="O1363" i="68"/>
  <c r="M1363" i="68"/>
  <c r="V1363" i="68" s="1"/>
  <c r="S1362" i="68"/>
  <c r="R1362" i="68"/>
  <c r="Q1362" i="68"/>
  <c r="O1362" i="68"/>
  <c r="M1362" i="68"/>
  <c r="S1361" i="68"/>
  <c r="R1361" i="68"/>
  <c r="Q1361" i="68"/>
  <c r="O1361" i="68"/>
  <c r="M1361" i="68"/>
  <c r="S1360" i="68"/>
  <c r="R1360" i="68"/>
  <c r="Q1360" i="68"/>
  <c r="O1360" i="68"/>
  <c r="M1360" i="68"/>
  <c r="S1359" i="68"/>
  <c r="R1359" i="68"/>
  <c r="Q1359" i="68"/>
  <c r="O1359" i="68"/>
  <c r="M1359" i="68"/>
  <c r="S1352" i="68"/>
  <c r="R1352" i="68"/>
  <c r="Q1352" i="68"/>
  <c r="O1352" i="68"/>
  <c r="M1352" i="68"/>
  <c r="S1351" i="68"/>
  <c r="R1351" i="68"/>
  <c r="Q1351" i="68"/>
  <c r="O1351" i="68"/>
  <c r="M1351" i="68"/>
  <c r="S1350" i="68"/>
  <c r="R1350" i="68"/>
  <c r="Q1350" i="68"/>
  <c r="O1350" i="68"/>
  <c r="M1350" i="68"/>
  <c r="S1349" i="68"/>
  <c r="R1349" i="68"/>
  <c r="Q1349" i="68"/>
  <c r="O1349" i="68"/>
  <c r="M1349" i="68"/>
  <c r="S1346" i="68"/>
  <c r="R1346" i="68"/>
  <c r="Q1346" i="68"/>
  <c r="O1346" i="68"/>
  <c r="M1346" i="68"/>
  <c r="S1344" i="68"/>
  <c r="R1344" i="68"/>
  <c r="Q1344" i="68"/>
  <c r="O1344" i="68"/>
  <c r="M1344" i="68"/>
  <c r="S1343" i="68"/>
  <c r="R1343" i="68"/>
  <c r="Q1343" i="68"/>
  <c r="O1343" i="68"/>
  <c r="M1343" i="68"/>
  <c r="S1340" i="68"/>
  <c r="R1340" i="68"/>
  <c r="Q1340" i="68"/>
  <c r="O1340" i="68"/>
  <c r="M1340" i="68"/>
  <c r="S1339" i="68"/>
  <c r="R1339" i="68"/>
  <c r="Q1339" i="68"/>
  <c r="O1339" i="68"/>
  <c r="M1339" i="68"/>
  <c r="S1338" i="68"/>
  <c r="R1338" i="68"/>
  <c r="Q1338" i="68"/>
  <c r="O1338" i="68"/>
  <c r="M1338" i="68"/>
  <c r="S1337" i="68"/>
  <c r="R1337" i="68"/>
  <c r="Q1337" i="68"/>
  <c r="O1337" i="68"/>
  <c r="M1337" i="68"/>
  <c r="S1336" i="68"/>
  <c r="R1336" i="68"/>
  <c r="Q1336" i="68"/>
  <c r="O1336" i="68"/>
  <c r="M1336" i="68"/>
  <c r="S1334" i="68"/>
  <c r="R1334" i="68"/>
  <c r="Q1334" i="68"/>
  <c r="O1334" i="68"/>
  <c r="M1334" i="68"/>
  <c r="S1333" i="68"/>
  <c r="R1333" i="68"/>
  <c r="Q1333" i="68"/>
  <c r="O1333" i="68"/>
  <c r="M1333" i="68"/>
  <c r="S1332" i="68"/>
  <c r="R1332" i="68"/>
  <c r="Q1332" i="68"/>
  <c r="O1332" i="68"/>
  <c r="M1332" i="68"/>
  <c r="S1331" i="68"/>
  <c r="R1331" i="68"/>
  <c r="Q1331" i="68"/>
  <c r="O1331" i="68"/>
  <c r="M1331" i="68"/>
  <c r="S1259" i="68"/>
  <c r="R1259" i="68"/>
  <c r="Q1259" i="68"/>
  <c r="O1259" i="68"/>
  <c r="M1259" i="68"/>
  <c r="S1256" i="68"/>
  <c r="R1256" i="68"/>
  <c r="Q1256" i="68"/>
  <c r="O1256" i="68"/>
  <c r="M1256" i="68"/>
  <c r="T1255" i="68"/>
  <c r="S1255" i="68"/>
  <c r="R1255" i="68"/>
  <c r="Q1255" i="68"/>
  <c r="O1255" i="68"/>
  <c r="M1255" i="68"/>
  <c r="V1255" i="68" s="1"/>
  <c r="S1254" i="68"/>
  <c r="R1254" i="68"/>
  <c r="Q1254" i="68"/>
  <c r="O1254" i="68"/>
  <c r="M1254" i="68"/>
  <c r="S1253" i="68"/>
  <c r="R1253" i="68"/>
  <c r="Q1253" i="68"/>
  <c r="O1253" i="68"/>
  <c r="M1253" i="68"/>
  <c r="S1252" i="68"/>
  <c r="R1252" i="68"/>
  <c r="Q1252" i="68"/>
  <c r="O1252" i="68"/>
  <c r="M1252" i="68"/>
  <c r="S1249" i="68"/>
  <c r="R1249" i="68"/>
  <c r="Q1249" i="68"/>
  <c r="O1249" i="68"/>
  <c r="M1249" i="68"/>
  <c r="S1248" i="68"/>
  <c r="R1248" i="68"/>
  <c r="Q1248" i="68"/>
  <c r="O1248" i="68"/>
  <c r="M1248" i="68"/>
  <c r="S1247" i="68"/>
  <c r="R1247" i="68"/>
  <c r="Q1247" i="68"/>
  <c r="O1247" i="68"/>
  <c r="M1247" i="68"/>
  <c r="S1246" i="68"/>
  <c r="R1246" i="68"/>
  <c r="Q1246" i="68"/>
  <c r="O1246" i="68"/>
  <c r="M1246" i="68"/>
  <c r="T1245" i="68"/>
  <c r="S1245" i="68"/>
  <c r="R1245" i="68"/>
  <c r="Q1245" i="68"/>
  <c r="O1245" i="68"/>
  <c r="M1245" i="68"/>
  <c r="V1245" i="68" s="1"/>
  <c r="S1244" i="68"/>
  <c r="R1244" i="68"/>
  <c r="Q1244" i="68"/>
  <c r="O1244" i="68"/>
  <c r="M1244" i="68"/>
  <c r="S1243" i="68"/>
  <c r="R1243" i="68"/>
  <c r="Q1243" i="68"/>
  <c r="O1243" i="68"/>
  <c r="M1243" i="68"/>
  <c r="S1236" i="68"/>
  <c r="R1236" i="68"/>
  <c r="Q1236" i="68"/>
  <c r="O1236" i="68"/>
  <c r="M1236" i="68"/>
  <c r="V1236" i="68" s="1"/>
  <c r="S1233" i="68"/>
  <c r="R1233" i="68"/>
  <c r="Q1233" i="68"/>
  <c r="O1233" i="68"/>
  <c r="M1233" i="68"/>
  <c r="S1232" i="68"/>
  <c r="R1232" i="68"/>
  <c r="Q1232" i="68"/>
  <c r="O1232" i="68"/>
  <c r="M1232" i="68"/>
  <c r="S1231" i="68"/>
  <c r="R1231" i="68"/>
  <c r="Q1231" i="68"/>
  <c r="O1231" i="68"/>
  <c r="M1231" i="68"/>
  <c r="S1230" i="68"/>
  <c r="R1230" i="68"/>
  <c r="Q1230" i="68"/>
  <c r="O1230" i="68"/>
  <c r="M1230" i="68"/>
  <c r="S1229" i="68"/>
  <c r="R1229" i="68"/>
  <c r="Q1229" i="68"/>
  <c r="O1229" i="68"/>
  <c r="M1229" i="68"/>
  <c r="S1228" i="68"/>
  <c r="R1228" i="68"/>
  <c r="Q1228" i="68"/>
  <c r="O1228" i="68"/>
  <c r="M1228" i="68"/>
  <c r="S1227" i="68"/>
  <c r="R1227" i="68"/>
  <c r="Q1227" i="68"/>
  <c r="O1227" i="68"/>
  <c r="M1227" i="68"/>
  <c r="T1226" i="68"/>
  <c r="S1226" i="68"/>
  <c r="R1226" i="68"/>
  <c r="Q1226" i="68"/>
  <c r="O1226" i="68"/>
  <c r="M1226" i="68"/>
  <c r="V1226" i="68" s="1"/>
  <c r="S1223" i="68"/>
  <c r="R1223" i="68"/>
  <c r="Q1223" i="68"/>
  <c r="O1223" i="68"/>
  <c r="M1223" i="68"/>
  <c r="S1222" i="68"/>
  <c r="R1222" i="68"/>
  <c r="Q1222" i="68"/>
  <c r="O1222" i="68"/>
  <c r="M1222" i="68"/>
  <c r="S1221" i="68"/>
  <c r="R1221" i="68"/>
  <c r="Q1221" i="68"/>
  <c r="O1221" i="68"/>
  <c r="M1221" i="68"/>
  <c r="S1220" i="68"/>
  <c r="R1220" i="68"/>
  <c r="Q1220" i="68"/>
  <c r="O1220" i="68"/>
  <c r="M1220" i="68"/>
  <c r="S1219" i="68"/>
  <c r="R1219" i="68"/>
  <c r="Q1219" i="68"/>
  <c r="O1219" i="68"/>
  <c r="M1219" i="68"/>
  <c r="S1218" i="68"/>
  <c r="R1218" i="68"/>
  <c r="Q1218" i="68"/>
  <c r="O1218" i="68"/>
  <c r="M1218" i="68"/>
  <c r="V1218" i="68" s="1"/>
  <c r="S1217" i="68"/>
  <c r="R1217" i="68"/>
  <c r="Q1217" i="68"/>
  <c r="O1217" i="68"/>
  <c r="M1217" i="68"/>
  <c r="T1210" i="68"/>
  <c r="S1210" i="68"/>
  <c r="R1210" i="68"/>
  <c r="Q1210" i="68"/>
  <c r="O1210" i="68"/>
  <c r="M1210" i="68"/>
  <c r="V1210" i="68" s="1"/>
  <c r="T1207" i="68"/>
  <c r="S1207" i="68"/>
  <c r="R1207" i="68"/>
  <c r="Q1207" i="68"/>
  <c r="O1207" i="68"/>
  <c r="M1207" i="68"/>
  <c r="V1207" i="68" s="1"/>
  <c r="S1206" i="68"/>
  <c r="R1206" i="68"/>
  <c r="Q1206" i="68"/>
  <c r="O1206" i="68"/>
  <c r="M1206" i="68"/>
  <c r="S1203" i="68"/>
  <c r="R1203" i="68"/>
  <c r="Q1203" i="68"/>
  <c r="O1203" i="68"/>
  <c r="M1203" i="68"/>
  <c r="S1202" i="68"/>
  <c r="R1202" i="68"/>
  <c r="Q1202" i="68"/>
  <c r="O1202" i="68"/>
  <c r="M1202" i="68"/>
  <c r="S1201" i="68"/>
  <c r="R1201" i="68"/>
  <c r="Q1201" i="68"/>
  <c r="O1201" i="68"/>
  <c r="M1201" i="68"/>
  <c r="S1200" i="68"/>
  <c r="R1200" i="68"/>
  <c r="Q1200" i="68"/>
  <c r="O1200" i="68"/>
  <c r="M1200" i="68"/>
  <c r="S1199" i="68"/>
  <c r="R1199" i="68"/>
  <c r="Q1199" i="68"/>
  <c r="O1199" i="68"/>
  <c r="M1199" i="68"/>
  <c r="S1198" i="68"/>
  <c r="R1198" i="68"/>
  <c r="Q1198" i="68"/>
  <c r="O1198" i="68"/>
  <c r="M1198" i="68"/>
  <c r="S1197" i="68"/>
  <c r="R1197" i="68"/>
  <c r="Q1197" i="68"/>
  <c r="O1197" i="68"/>
  <c r="M1197" i="68"/>
  <c r="T1196" i="68"/>
  <c r="S1196" i="68"/>
  <c r="R1196" i="68"/>
  <c r="Q1196" i="68"/>
  <c r="O1196" i="68"/>
  <c r="M1196" i="68"/>
  <c r="V1196" i="68" s="1"/>
  <c r="S1194" i="68"/>
  <c r="R1194" i="68"/>
  <c r="Q1194" i="68"/>
  <c r="O1194" i="68"/>
  <c r="M1194" i="68"/>
  <c r="S1193" i="68"/>
  <c r="R1193" i="68"/>
  <c r="Q1193" i="68"/>
  <c r="O1193" i="68"/>
  <c r="M1193" i="68"/>
  <c r="S1190" i="68"/>
  <c r="R1190" i="68"/>
  <c r="Q1190" i="68"/>
  <c r="O1190" i="68"/>
  <c r="M1190" i="68"/>
  <c r="S1189" i="68"/>
  <c r="R1189" i="68"/>
  <c r="Q1189" i="68"/>
  <c r="O1189" i="68"/>
  <c r="M1189" i="68"/>
  <c r="S1188" i="68"/>
  <c r="R1188" i="68"/>
  <c r="Q1188" i="68"/>
  <c r="O1188" i="68"/>
  <c r="M1188" i="68"/>
  <c r="S1187" i="68"/>
  <c r="R1187" i="68"/>
  <c r="Q1187" i="68"/>
  <c r="O1187" i="68"/>
  <c r="M1187" i="68"/>
  <c r="T1186" i="68"/>
  <c r="S1186" i="68"/>
  <c r="R1186" i="68"/>
  <c r="Q1186" i="68"/>
  <c r="O1186" i="68"/>
  <c r="M1186" i="68"/>
  <c r="V1186" i="68" s="1"/>
  <c r="S1185" i="68"/>
  <c r="R1185" i="68"/>
  <c r="Q1185" i="68"/>
  <c r="O1185" i="68"/>
  <c r="M1185" i="68"/>
  <c r="S1184" i="68"/>
  <c r="R1184" i="68"/>
  <c r="Q1184" i="68"/>
  <c r="O1184" i="68"/>
  <c r="M1184" i="68"/>
  <c r="S1183" i="68"/>
  <c r="R1183" i="68"/>
  <c r="Q1183" i="68"/>
  <c r="O1183" i="68"/>
  <c r="M1183" i="68"/>
  <c r="S1182" i="68"/>
  <c r="R1182" i="68"/>
  <c r="Q1182" i="68"/>
  <c r="O1182" i="68"/>
  <c r="M1182" i="68"/>
  <c r="S1181" i="68"/>
  <c r="R1181" i="68"/>
  <c r="Q1181" i="68"/>
  <c r="O1181" i="68"/>
  <c r="M1181" i="68"/>
  <c r="S1180" i="68"/>
  <c r="R1180" i="68"/>
  <c r="Q1180" i="68"/>
  <c r="O1180" i="68"/>
  <c r="M1180" i="68"/>
  <c r="S1179" i="68"/>
  <c r="R1179" i="68"/>
  <c r="Q1179" i="68"/>
  <c r="O1179" i="68"/>
  <c r="M1179" i="68"/>
  <c r="T1178" i="68"/>
  <c r="S1178" i="68"/>
  <c r="R1178" i="68"/>
  <c r="Q1178" i="68"/>
  <c r="O1178" i="68"/>
  <c r="M1178" i="68"/>
  <c r="V1178" i="68" s="1"/>
  <c r="S1177" i="68"/>
  <c r="R1177" i="68"/>
  <c r="Q1177" i="68"/>
  <c r="O1177" i="68"/>
  <c r="M1177" i="68"/>
  <c r="S1176" i="68"/>
  <c r="R1176" i="68"/>
  <c r="Q1176" i="68"/>
  <c r="O1176" i="68"/>
  <c r="M1176" i="68"/>
  <c r="S1175" i="68"/>
  <c r="R1175" i="68"/>
  <c r="Q1175" i="68"/>
  <c r="O1175" i="68"/>
  <c r="M1175" i="68"/>
  <c r="T1174" i="68"/>
  <c r="S1174" i="68"/>
  <c r="R1174" i="68"/>
  <c r="Q1174" i="68"/>
  <c r="O1174" i="68"/>
  <c r="M1174" i="68"/>
  <c r="V1174" i="68" s="1"/>
  <c r="S1171" i="68"/>
  <c r="R1171" i="68"/>
  <c r="Q1171" i="68"/>
  <c r="O1171" i="68"/>
  <c r="M1171" i="68"/>
  <c r="S1170" i="68"/>
  <c r="R1170" i="68"/>
  <c r="Q1170" i="68"/>
  <c r="O1170" i="68"/>
  <c r="M1170" i="68"/>
  <c r="S1169" i="68"/>
  <c r="R1169" i="68"/>
  <c r="Q1169" i="68"/>
  <c r="O1169" i="68"/>
  <c r="M1169" i="68"/>
  <c r="S1168" i="68"/>
  <c r="R1168" i="68"/>
  <c r="Q1168" i="68"/>
  <c r="O1168" i="68"/>
  <c r="M1168" i="68"/>
  <c r="S1167" i="68"/>
  <c r="R1167" i="68"/>
  <c r="Q1167" i="68"/>
  <c r="O1167" i="68"/>
  <c r="M1167" i="68"/>
  <c r="S1166" i="68"/>
  <c r="R1166" i="68"/>
  <c r="Q1166" i="68"/>
  <c r="O1166" i="68"/>
  <c r="M1166" i="68"/>
  <c r="S1165" i="68"/>
  <c r="R1165" i="68"/>
  <c r="Q1165" i="68"/>
  <c r="O1165" i="68"/>
  <c r="M1165" i="68"/>
  <c r="S1164" i="68"/>
  <c r="R1164" i="68"/>
  <c r="Q1164" i="68"/>
  <c r="O1164" i="68"/>
  <c r="M1164" i="68"/>
  <c r="T1157" i="68"/>
  <c r="T1158" i="68" s="1"/>
  <c r="S1157" i="68"/>
  <c r="R1157" i="68"/>
  <c r="Q1157" i="68"/>
  <c r="Q1158" i="68" s="1"/>
  <c r="O1157" i="68"/>
  <c r="O1158" i="68" s="1"/>
  <c r="M1157" i="68"/>
  <c r="S1154" i="68"/>
  <c r="R1154" i="68"/>
  <c r="Q1154" i="68"/>
  <c r="O1154" i="68"/>
  <c r="M1154" i="68"/>
  <c r="S1153" i="68"/>
  <c r="R1153" i="68"/>
  <c r="Q1153" i="68"/>
  <c r="O1153" i="68"/>
  <c r="M1153" i="68"/>
  <c r="T1152" i="68"/>
  <c r="S1152" i="68"/>
  <c r="R1152" i="68"/>
  <c r="Q1152" i="68"/>
  <c r="O1152" i="68"/>
  <c r="M1152" i="68"/>
  <c r="V1152" i="68" s="1"/>
  <c r="T1151" i="68"/>
  <c r="S1151" i="68"/>
  <c r="R1151" i="68"/>
  <c r="Q1151" i="68"/>
  <c r="O1151" i="68"/>
  <c r="M1151" i="68"/>
  <c r="V1151" i="68" s="1"/>
  <c r="T1150" i="68"/>
  <c r="S1150" i="68"/>
  <c r="R1150" i="68"/>
  <c r="Q1150" i="68"/>
  <c r="O1150" i="68"/>
  <c r="M1150" i="68"/>
  <c r="V1150" i="68" s="1"/>
  <c r="S1149" i="68"/>
  <c r="R1149" i="68"/>
  <c r="Q1149" i="68"/>
  <c r="O1149" i="68"/>
  <c r="M1149" i="68"/>
  <c r="T1148" i="68"/>
  <c r="S1148" i="68"/>
  <c r="R1148" i="68"/>
  <c r="Q1148" i="68"/>
  <c r="O1148" i="68"/>
  <c r="M1148" i="68"/>
  <c r="V1148" i="68" s="1"/>
  <c r="S1147" i="68"/>
  <c r="R1147" i="68"/>
  <c r="Q1147" i="68"/>
  <c r="O1147" i="68"/>
  <c r="M1147" i="68"/>
  <c r="S1146" i="68"/>
  <c r="R1146" i="68"/>
  <c r="Q1146" i="68"/>
  <c r="O1146" i="68"/>
  <c r="M1146" i="68"/>
  <c r="T1145" i="68"/>
  <c r="S1145" i="68"/>
  <c r="R1145" i="68"/>
  <c r="Q1145" i="68"/>
  <c r="O1145" i="68"/>
  <c r="M1145" i="68"/>
  <c r="V1145" i="68" s="1"/>
  <c r="S1144" i="68"/>
  <c r="R1144" i="68"/>
  <c r="Q1144" i="68"/>
  <c r="O1144" i="68"/>
  <c r="M1144" i="68"/>
  <c r="S1143" i="68"/>
  <c r="R1143" i="68"/>
  <c r="Q1143" i="68"/>
  <c r="O1143" i="68"/>
  <c r="M1143" i="68"/>
  <c r="S1142" i="68"/>
  <c r="R1142" i="68"/>
  <c r="Q1142" i="68"/>
  <c r="O1142" i="68"/>
  <c r="M1142" i="68"/>
  <c r="T1139" i="68"/>
  <c r="S1139" i="68"/>
  <c r="R1139" i="68"/>
  <c r="Q1139" i="68"/>
  <c r="O1139" i="68"/>
  <c r="M1139" i="68"/>
  <c r="T1138" i="68"/>
  <c r="S1138" i="68"/>
  <c r="R1138" i="68"/>
  <c r="Q1138" i="68"/>
  <c r="O1138" i="68"/>
  <c r="M1138" i="68"/>
  <c r="V1138" i="68" s="1"/>
  <c r="S1137" i="68"/>
  <c r="R1137" i="68"/>
  <c r="Q1137" i="68"/>
  <c r="O1137" i="68"/>
  <c r="M1137" i="68"/>
  <c r="T1136" i="68"/>
  <c r="S1136" i="68"/>
  <c r="R1136" i="68"/>
  <c r="Q1136" i="68"/>
  <c r="O1136" i="68"/>
  <c r="M1136" i="68"/>
  <c r="V1136" i="68" s="1"/>
  <c r="S1135" i="68"/>
  <c r="R1135" i="68"/>
  <c r="Q1135" i="68"/>
  <c r="O1135" i="68"/>
  <c r="M1135" i="68"/>
  <c r="S1134" i="68"/>
  <c r="R1134" i="68"/>
  <c r="Q1134" i="68"/>
  <c r="O1134" i="68"/>
  <c r="M1134" i="68"/>
  <c r="S1133" i="68"/>
  <c r="R1133" i="68"/>
  <c r="Q1133" i="68"/>
  <c r="O1133" i="68"/>
  <c r="M1133" i="68"/>
  <c r="S1132" i="68"/>
  <c r="R1132" i="68"/>
  <c r="Q1132" i="68"/>
  <c r="O1132" i="68"/>
  <c r="M1132" i="68"/>
  <c r="S1131" i="68"/>
  <c r="R1131" i="68"/>
  <c r="Q1131" i="68"/>
  <c r="O1131" i="68"/>
  <c r="M1131" i="68"/>
  <c r="S1128" i="68"/>
  <c r="R1128" i="68"/>
  <c r="Q1128" i="68"/>
  <c r="O1128" i="68"/>
  <c r="M1128" i="68"/>
  <c r="S1127" i="68"/>
  <c r="R1127" i="68"/>
  <c r="Q1127" i="68"/>
  <c r="O1127" i="68"/>
  <c r="M1127" i="68"/>
  <c r="S1126" i="68"/>
  <c r="R1126" i="68"/>
  <c r="Q1126" i="68"/>
  <c r="O1126" i="68"/>
  <c r="M1126" i="68"/>
  <c r="S1125" i="68"/>
  <c r="R1125" i="68"/>
  <c r="Q1125" i="68"/>
  <c r="O1125" i="68"/>
  <c r="M1125" i="68"/>
  <c r="S1124" i="68"/>
  <c r="R1124" i="68"/>
  <c r="Q1124" i="68"/>
  <c r="O1124" i="68"/>
  <c r="M1124" i="68"/>
  <c r="S1123" i="68"/>
  <c r="R1123" i="68"/>
  <c r="Q1123" i="68"/>
  <c r="O1123" i="68"/>
  <c r="M1123" i="68"/>
  <c r="S1122" i="68"/>
  <c r="R1122" i="68"/>
  <c r="Q1122" i="68"/>
  <c r="O1122" i="68"/>
  <c r="M1122" i="68"/>
  <c r="S1121" i="68"/>
  <c r="R1121" i="68"/>
  <c r="Q1121" i="68"/>
  <c r="O1121" i="68"/>
  <c r="M1121" i="68"/>
  <c r="S1120" i="68"/>
  <c r="R1120" i="68"/>
  <c r="Q1120" i="68"/>
  <c r="O1120" i="68"/>
  <c r="M1120" i="68"/>
  <c r="S1047" i="68"/>
  <c r="R1047" i="68"/>
  <c r="Q1047" i="68"/>
  <c r="O1047" i="68"/>
  <c r="M1047" i="68"/>
  <c r="S1046" i="68"/>
  <c r="R1046" i="68"/>
  <c r="Q1046" i="68"/>
  <c r="O1046" i="68"/>
  <c r="M1046" i="68"/>
  <c r="S1045" i="68"/>
  <c r="R1045" i="68"/>
  <c r="Q1045" i="68"/>
  <c r="O1045" i="68"/>
  <c r="M1045" i="68"/>
  <c r="S1044" i="68"/>
  <c r="R1044" i="68"/>
  <c r="Q1044" i="68"/>
  <c r="O1044" i="68"/>
  <c r="M1044" i="68"/>
  <c r="T1043" i="68"/>
  <c r="S1043" i="68"/>
  <c r="R1043" i="68"/>
  <c r="Q1043" i="68"/>
  <c r="O1043" i="68"/>
  <c r="M1043" i="68"/>
  <c r="V1043" i="68" s="1"/>
  <c r="S1042" i="68"/>
  <c r="R1042" i="68"/>
  <c r="Q1042" i="68"/>
  <c r="O1042" i="68"/>
  <c r="M1042" i="68"/>
  <c r="T1041" i="68"/>
  <c r="S1041" i="68"/>
  <c r="R1041" i="68"/>
  <c r="Q1041" i="68"/>
  <c r="O1041" i="68"/>
  <c r="M1041" i="68"/>
  <c r="V1041" i="68" s="1"/>
  <c r="T1040" i="68"/>
  <c r="S1040" i="68"/>
  <c r="R1040" i="68"/>
  <c r="Q1040" i="68"/>
  <c r="O1040" i="68"/>
  <c r="M1040" i="68"/>
  <c r="V1040" i="68" s="1"/>
  <c r="S1039" i="68"/>
  <c r="R1039" i="68"/>
  <c r="Q1039" i="68"/>
  <c r="O1039" i="68"/>
  <c r="M1039" i="68"/>
  <c r="T1038" i="68"/>
  <c r="S1038" i="68"/>
  <c r="R1038" i="68"/>
  <c r="Q1038" i="68"/>
  <c r="O1038" i="68"/>
  <c r="M1038" i="68"/>
  <c r="V1038" i="68" s="1"/>
  <c r="S1037" i="68"/>
  <c r="R1037" i="68"/>
  <c r="Q1037" i="68"/>
  <c r="O1037" i="68"/>
  <c r="M1037" i="68"/>
  <c r="T1036" i="68"/>
  <c r="S1036" i="68"/>
  <c r="R1036" i="68"/>
  <c r="Q1036" i="68"/>
  <c r="O1036" i="68"/>
  <c r="M1036" i="68"/>
  <c r="T1035" i="68"/>
  <c r="S1035" i="68"/>
  <c r="R1035" i="68"/>
  <c r="Q1035" i="68"/>
  <c r="O1035" i="68"/>
  <c r="M1035" i="68"/>
  <c r="V1035" i="68" s="1"/>
  <c r="S1032" i="68"/>
  <c r="R1032" i="68"/>
  <c r="Q1032" i="68"/>
  <c r="O1032" i="68"/>
  <c r="M1032" i="68"/>
  <c r="S1031" i="68"/>
  <c r="R1031" i="68"/>
  <c r="Q1031" i="68"/>
  <c r="O1031" i="68"/>
  <c r="M1031" i="68"/>
  <c r="S1030" i="68"/>
  <c r="R1030" i="68"/>
  <c r="Q1030" i="68"/>
  <c r="O1030" i="68"/>
  <c r="M1030" i="68"/>
  <c r="S1029" i="68"/>
  <c r="R1029" i="68"/>
  <c r="Q1029" i="68"/>
  <c r="O1029" i="68"/>
  <c r="M1029" i="68"/>
  <c r="S1028" i="68"/>
  <c r="R1028" i="68"/>
  <c r="Q1028" i="68"/>
  <c r="O1028" i="68"/>
  <c r="M1028" i="68"/>
  <c r="T1027" i="68"/>
  <c r="S1027" i="68"/>
  <c r="R1027" i="68"/>
  <c r="Q1027" i="68"/>
  <c r="O1027" i="68"/>
  <c r="M1027" i="68"/>
  <c r="V1027" i="68" s="1"/>
  <c r="S1026" i="68"/>
  <c r="R1026" i="68"/>
  <c r="Q1026" i="68"/>
  <c r="O1026" i="68"/>
  <c r="M1026" i="68"/>
  <c r="S1024" i="68"/>
  <c r="R1024" i="68"/>
  <c r="Q1024" i="68"/>
  <c r="O1024" i="68"/>
  <c r="M1024" i="68"/>
  <c r="S1023" i="68"/>
  <c r="R1023" i="68"/>
  <c r="Q1023" i="68"/>
  <c r="O1023" i="68"/>
  <c r="M1023" i="68"/>
  <c r="V1023" i="68" s="1"/>
  <c r="S1020" i="68"/>
  <c r="R1020" i="68"/>
  <c r="Q1020" i="68"/>
  <c r="O1020" i="68"/>
  <c r="M1020" i="68"/>
  <c r="S1019" i="68"/>
  <c r="R1019" i="68"/>
  <c r="Q1019" i="68"/>
  <c r="O1019" i="68"/>
  <c r="M1019" i="68"/>
  <c r="S1018" i="68"/>
  <c r="R1018" i="68"/>
  <c r="Q1018" i="68"/>
  <c r="O1018" i="68"/>
  <c r="M1018" i="68"/>
  <c r="S1017" i="68"/>
  <c r="R1017" i="68"/>
  <c r="Q1017" i="68"/>
  <c r="O1017" i="68"/>
  <c r="M1017" i="68"/>
  <c r="S1016" i="68"/>
  <c r="R1016" i="68"/>
  <c r="Q1016" i="68"/>
  <c r="O1016" i="68"/>
  <c r="M1016" i="68"/>
  <c r="S1015" i="68"/>
  <c r="R1015" i="68"/>
  <c r="Q1015" i="68"/>
  <c r="O1015" i="68"/>
  <c r="M1015" i="68"/>
  <c r="S1014" i="68"/>
  <c r="R1014" i="68"/>
  <c r="Q1014" i="68"/>
  <c r="O1014" i="68"/>
  <c r="M1014" i="68"/>
  <c r="S1013" i="68"/>
  <c r="R1013" i="68"/>
  <c r="Q1013" i="68"/>
  <c r="O1013" i="68"/>
  <c r="M1013" i="68"/>
  <c r="S1012" i="68"/>
  <c r="R1012" i="68"/>
  <c r="Q1012" i="68"/>
  <c r="O1012" i="68"/>
  <c r="M1012" i="68"/>
  <c r="S1011" i="68"/>
  <c r="R1011" i="68"/>
  <c r="Q1011" i="68"/>
  <c r="O1011" i="68"/>
  <c r="M1011" i="68"/>
  <c r="S1003" i="68"/>
  <c r="R1003" i="68"/>
  <c r="Q1003" i="68"/>
  <c r="O1003" i="68"/>
  <c r="M1003" i="68"/>
  <c r="S1002" i="68"/>
  <c r="R1002" i="68"/>
  <c r="Q1002" i="68"/>
  <c r="O1002" i="68"/>
  <c r="M1002" i="68"/>
  <c r="S1001" i="68"/>
  <c r="R1001" i="68"/>
  <c r="Q1001" i="68"/>
  <c r="O1001" i="68"/>
  <c r="M1001" i="68"/>
  <c r="S1000" i="68"/>
  <c r="R1000" i="68"/>
  <c r="Q1000" i="68"/>
  <c r="O1000" i="68"/>
  <c r="M1000" i="68"/>
  <c r="S999" i="68"/>
  <c r="R999" i="68"/>
  <c r="Q999" i="68"/>
  <c r="O999" i="68"/>
  <c r="M999" i="68"/>
  <c r="S998" i="68"/>
  <c r="R998" i="68"/>
  <c r="Q998" i="68"/>
  <c r="O998" i="68"/>
  <c r="M998" i="68"/>
  <c r="V998" i="68" s="1"/>
  <c r="S997" i="68"/>
  <c r="R997" i="68"/>
  <c r="Q997" i="68"/>
  <c r="O997" i="68"/>
  <c r="M997" i="68"/>
  <c r="T996" i="68"/>
  <c r="S996" i="68"/>
  <c r="R996" i="68"/>
  <c r="Q996" i="68"/>
  <c r="O996" i="68"/>
  <c r="M996" i="68"/>
  <c r="V996" i="68" s="1"/>
  <c r="T995" i="68"/>
  <c r="S995" i="68"/>
  <c r="R995" i="68"/>
  <c r="Q995" i="68"/>
  <c r="O995" i="68"/>
  <c r="M995" i="68"/>
  <c r="V995" i="68" s="1"/>
  <c r="S994" i="68"/>
  <c r="R994" i="68"/>
  <c r="Q994" i="68"/>
  <c r="O994" i="68"/>
  <c r="M994" i="68"/>
  <c r="S993" i="68"/>
  <c r="R993" i="68"/>
  <c r="Q993" i="68"/>
  <c r="O993" i="68"/>
  <c r="M993" i="68"/>
  <c r="S992" i="68"/>
  <c r="R992" i="68"/>
  <c r="Q992" i="68"/>
  <c r="O992" i="68"/>
  <c r="M992" i="68"/>
  <c r="S991" i="68"/>
  <c r="R991" i="68"/>
  <c r="Q991" i="68"/>
  <c r="O991" i="68"/>
  <c r="M991" i="68"/>
  <c r="S988" i="68"/>
  <c r="R988" i="68"/>
  <c r="Q988" i="68"/>
  <c r="O988" i="68"/>
  <c r="M988" i="68"/>
  <c r="S987" i="68"/>
  <c r="R987" i="68"/>
  <c r="Q987" i="68"/>
  <c r="O987" i="68"/>
  <c r="M987" i="68"/>
  <c r="S986" i="68"/>
  <c r="R986" i="68"/>
  <c r="Q986" i="68"/>
  <c r="O986" i="68"/>
  <c r="M986" i="68"/>
  <c r="S985" i="68"/>
  <c r="R985" i="68"/>
  <c r="Q985" i="68"/>
  <c r="O985" i="68"/>
  <c r="M985" i="68"/>
  <c r="S984" i="68"/>
  <c r="R984" i="68"/>
  <c r="Q984" i="68"/>
  <c r="O984" i="68"/>
  <c r="M984" i="68"/>
  <c r="S983" i="68"/>
  <c r="R983" i="68"/>
  <c r="Q983" i="68"/>
  <c r="O983" i="68"/>
  <c r="M983" i="68"/>
  <c r="V983" i="68" s="1"/>
  <c r="S982" i="68"/>
  <c r="R982" i="68"/>
  <c r="Q982" i="68"/>
  <c r="O982" i="68"/>
  <c r="M982" i="68"/>
  <c r="S981" i="68"/>
  <c r="R981" i="68"/>
  <c r="Q981" i="68"/>
  <c r="O981" i="68"/>
  <c r="M981" i="68"/>
  <c r="S980" i="68"/>
  <c r="R980" i="68"/>
  <c r="Q980" i="68"/>
  <c r="O980" i="68"/>
  <c r="M980" i="68"/>
  <c r="S979" i="68"/>
  <c r="R979" i="68"/>
  <c r="Q979" i="68"/>
  <c r="O979" i="68"/>
  <c r="M979" i="68"/>
  <c r="S978" i="68"/>
  <c r="R978" i="68"/>
  <c r="Q978" i="68"/>
  <c r="O978" i="68"/>
  <c r="M978" i="68"/>
  <c r="S977" i="68"/>
  <c r="R977" i="68"/>
  <c r="Q977" i="68"/>
  <c r="O977" i="68"/>
  <c r="M977" i="68"/>
  <c r="S974" i="68"/>
  <c r="R974" i="68"/>
  <c r="Q974" i="68"/>
  <c r="O974" i="68"/>
  <c r="M974" i="68"/>
  <c r="S973" i="68"/>
  <c r="R973" i="68"/>
  <c r="Q973" i="68"/>
  <c r="O973" i="68"/>
  <c r="M973" i="68"/>
  <c r="S972" i="68"/>
  <c r="R972" i="68"/>
  <c r="Q972" i="68"/>
  <c r="O972" i="68"/>
  <c r="M972" i="68"/>
  <c r="S971" i="68"/>
  <c r="R971" i="68"/>
  <c r="Q971" i="68"/>
  <c r="O971" i="68"/>
  <c r="M971" i="68"/>
  <c r="S970" i="68"/>
  <c r="R970" i="68"/>
  <c r="Q970" i="68"/>
  <c r="O970" i="68"/>
  <c r="M970" i="68"/>
  <c r="T969" i="68"/>
  <c r="S969" i="68"/>
  <c r="R969" i="68"/>
  <c r="Q969" i="68"/>
  <c r="O969" i="68"/>
  <c r="M969" i="68"/>
  <c r="V969" i="68" s="1"/>
  <c r="S968" i="68"/>
  <c r="R968" i="68"/>
  <c r="Q968" i="68"/>
  <c r="O968" i="68"/>
  <c r="M968" i="68"/>
  <c r="S967" i="68"/>
  <c r="R967" i="68"/>
  <c r="Q967" i="68"/>
  <c r="O967" i="68"/>
  <c r="M967" i="68"/>
  <c r="S966" i="68"/>
  <c r="R966" i="68"/>
  <c r="Q966" i="68"/>
  <c r="O966" i="68"/>
  <c r="M966" i="68"/>
  <c r="S965" i="68"/>
  <c r="R965" i="68"/>
  <c r="Q965" i="68"/>
  <c r="O965" i="68"/>
  <c r="M965" i="68"/>
  <c r="S958" i="68"/>
  <c r="R958" i="68"/>
  <c r="Q958" i="68"/>
  <c r="O958" i="68"/>
  <c r="M958" i="68"/>
  <c r="S957" i="68"/>
  <c r="R957" i="68"/>
  <c r="Q957" i="68"/>
  <c r="O957" i="68"/>
  <c r="M957" i="68"/>
  <c r="S956" i="68"/>
  <c r="R956" i="68"/>
  <c r="Q956" i="68"/>
  <c r="O956" i="68"/>
  <c r="M956" i="68"/>
  <c r="S955" i="68"/>
  <c r="R955" i="68"/>
  <c r="Q955" i="68"/>
  <c r="O955" i="68"/>
  <c r="M955" i="68"/>
  <c r="S954" i="68"/>
  <c r="R954" i="68"/>
  <c r="Q954" i="68"/>
  <c r="O954" i="68"/>
  <c r="M954" i="68"/>
  <c r="T953" i="68"/>
  <c r="S953" i="68"/>
  <c r="R953" i="68"/>
  <c r="Q953" i="68"/>
  <c r="O953" i="68"/>
  <c r="M953" i="68"/>
  <c r="V953" i="68" s="1"/>
  <c r="S952" i="68"/>
  <c r="R952" i="68"/>
  <c r="Q952" i="68"/>
  <c r="O952" i="68"/>
  <c r="M952" i="68"/>
  <c r="T951" i="68"/>
  <c r="S951" i="68"/>
  <c r="R951" i="68"/>
  <c r="Q951" i="68"/>
  <c r="O951" i="68"/>
  <c r="M951" i="68"/>
  <c r="V951" i="68" s="1"/>
  <c r="S950" i="68"/>
  <c r="R950" i="68"/>
  <c r="Q950" i="68"/>
  <c r="O950" i="68"/>
  <c r="M950" i="68"/>
  <c r="S949" i="68"/>
  <c r="R949" i="68"/>
  <c r="Q949" i="68"/>
  <c r="O949" i="68"/>
  <c r="M949" i="68"/>
  <c r="S948" i="68"/>
  <c r="R948" i="68"/>
  <c r="Q948" i="68"/>
  <c r="O948" i="68"/>
  <c r="M948" i="68"/>
  <c r="S947" i="68"/>
  <c r="R947" i="68"/>
  <c r="Q947" i="68"/>
  <c r="O947" i="68"/>
  <c r="M947" i="68"/>
  <c r="S944" i="68"/>
  <c r="R944" i="68"/>
  <c r="Q944" i="68"/>
  <c r="O944" i="68"/>
  <c r="M944" i="68"/>
  <c r="S943" i="68"/>
  <c r="R943" i="68"/>
  <c r="Q943" i="68"/>
  <c r="O943" i="68"/>
  <c r="M943" i="68"/>
  <c r="S942" i="68"/>
  <c r="R942" i="68"/>
  <c r="Q942" i="68"/>
  <c r="O942" i="68"/>
  <c r="M942" i="68"/>
  <c r="S941" i="68"/>
  <c r="R941" i="68"/>
  <c r="Q941" i="68"/>
  <c r="O941" i="68"/>
  <c r="M941" i="68"/>
  <c r="S940" i="68"/>
  <c r="R940" i="68"/>
  <c r="Q940" i="68"/>
  <c r="O940" i="68"/>
  <c r="M940" i="68"/>
  <c r="S939" i="68"/>
  <c r="R939" i="68"/>
  <c r="Q939" i="68"/>
  <c r="O939" i="68"/>
  <c r="M939" i="68"/>
  <c r="S938" i="68"/>
  <c r="R938" i="68"/>
  <c r="Q938" i="68"/>
  <c r="O938" i="68"/>
  <c r="M938" i="68"/>
  <c r="S936" i="68"/>
  <c r="R936" i="68"/>
  <c r="Q936" i="68"/>
  <c r="O936" i="68"/>
  <c r="M936" i="68"/>
  <c r="S933" i="68"/>
  <c r="R933" i="68"/>
  <c r="Q933" i="68"/>
  <c r="O933" i="68"/>
  <c r="M933" i="68"/>
  <c r="S932" i="68"/>
  <c r="R932" i="68"/>
  <c r="Q932" i="68"/>
  <c r="O932" i="68"/>
  <c r="M932" i="68"/>
  <c r="S931" i="68"/>
  <c r="R931" i="68"/>
  <c r="Q931" i="68"/>
  <c r="O931" i="68"/>
  <c r="M931" i="68"/>
  <c r="S930" i="68"/>
  <c r="R930" i="68"/>
  <c r="Q930" i="68"/>
  <c r="O930" i="68"/>
  <c r="M930" i="68"/>
  <c r="S929" i="68"/>
  <c r="R929" i="68"/>
  <c r="Q929" i="68"/>
  <c r="O929" i="68"/>
  <c r="M929" i="68"/>
  <c r="S928" i="68"/>
  <c r="R928" i="68"/>
  <c r="Q928" i="68"/>
  <c r="O928" i="68"/>
  <c r="M928" i="68"/>
  <c r="S927" i="68"/>
  <c r="R927" i="68"/>
  <c r="Q927" i="68"/>
  <c r="O927" i="68"/>
  <c r="M927" i="68"/>
  <c r="S926" i="68"/>
  <c r="R926" i="68"/>
  <c r="Q926" i="68"/>
  <c r="O926" i="68"/>
  <c r="M926" i="68"/>
  <c r="S925" i="68"/>
  <c r="R925" i="68"/>
  <c r="Q925" i="68"/>
  <c r="O925" i="68"/>
  <c r="M925" i="68"/>
  <c r="S918" i="68"/>
  <c r="R918" i="68"/>
  <c r="Q918" i="68"/>
  <c r="O918" i="68"/>
  <c r="M918" i="68"/>
  <c r="V918" i="68" s="1"/>
  <c r="S915" i="68"/>
  <c r="R915" i="68"/>
  <c r="Q915" i="68"/>
  <c r="O915" i="68"/>
  <c r="M915" i="68"/>
  <c r="S914" i="68"/>
  <c r="R914" i="68"/>
  <c r="Q914" i="68"/>
  <c r="O914" i="68"/>
  <c r="M914" i="68"/>
  <c r="T913" i="68"/>
  <c r="S913" i="68"/>
  <c r="R913" i="68"/>
  <c r="Q913" i="68"/>
  <c r="O913" i="68"/>
  <c r="M913" i="68"/>
  <c r="V913" i="68" s="1"/>
  <c r="S912" i="68"/>
  <c r="R912" i="68"/>
  <c r="Q912" i="68"/>
  <c r="O912" i="68"/>
  <c r="M912" i="68"/>
  <c r="S911" i="68"/>
  <c r="R911" i="68"/>
  <c r="Q911" i="68"/>
  <c r="O911" i="68"/>
  <c r="M911" i="68"/>
  <c r="S910" i="68"/>
  <c r="R910" i="68"/>
  <c r="Q910" i="68"/>
  <c r="O910" i="68"/>
  <c r="M910" i="68"/>
  <c r="S909" i="68"/>
  <c r="R909" i="68"/>
  <c r="Q909" i="68"/>
  <c r="O909" i="68"/>
  <c r="M909" i="68"/>
  <c r="S908" i="68"/>
  <c r="R908" i="68"/>
  <c r="Q908" i="68"/>
  <c r="O908" i="68"/>
  <c r="M908" i="68"/>
  <c r="S907" i="68"/>
  <c r="R907" i="68"/>
  <c r="Q907" i="68"/>
  <c r="O907" i="68"/>
  <c r="M907" i="68"/>
  <c r="S906" i="68"/>
  <c r="R906" i="68"/>
  <c r="Q906" i="68"/>
  <c r="O906" i="68"/>
  <c r="M906" i="68"/>
  <c r="S903" i="68"/>
  <c r="R903" i="68"/>
  <c r="Q903" i="68"/>
  <c r="O903" i="68"/>
  <c r="M903" i="68"/>
  <c r="S902" i="68"/>
  <c r="R902" i="68"/>
  <c r="Q902" i="68"/>
  <c r="O902" i="68"/>
  <c r="M902" i="68"/>
  <c r="S901" i="68"/>
  <c r="R901" i="68"/>
  <c r="Q901" i="68"/>
  <c r="O901" i="68"/>
  <c r="M901" i="68"/>
  <c r="T900" i="68"/>
  <c r="S900" i="68"/>
  <c r="R900" i="68"/>
  <c r="Q900" i="68"/>
  <c r="O900" i="68"/>
  <c r="M900" i="68"/>
  <c r="V900" i="68" s="1"/>
  <c r="S899" i="68"/>
  <c r="R899" i="68"/>
  <c r="Q899" i="68"/>
  <c r="O899" i="68"/>
  <c r="M899" i="68"/>
  <c r="S898" i="68"/>
  <c r="R898" i="68"/>
  <c r="Q898" i="68"/>
  <c r="O898" i="68"/>
  <c r="M898" i="68"/>
  <c r="S897" i="68"/>
  <c r="R897" i="68"/>
  <c r="Q897" i="68"/>
  <c r="O897" i="68"/>
  <c r="M897" i="68"/>
  <c r="S896" i="68"/>
  <c r="R896" i="68"/>
  <c r="Q896" i="68"/>
  <c r="O896" i="68"/>
  <c r="M896" i="68"/>
  <c r="S895" i="68"/>
  <c r="R895" i="68"/>
  <c r="Q895" i="68"/>
  <c r="O895" i="68"/>
  <c r="M895" i="68"/>
  <c r="S894" i="68"/>
  <c r="R894" i="68"/>
  <c r="Q894" i="68"/>
  <c r="O894" i="68"/>
  <c r="M894" i="68"/>
  <c r="S893" i="68"/>
  <c r="R893" i="68"/>
  <c r="Q893" i="68"/>
  <c r="O893" i="68"/>
  <c r="M893" i="68"/>
  <c r="S892" i="68"/>
  <c r="R892" i="68"/>
  <c r="Q892" i="68"/>
  <c r="O892" i="68"/>
  <c r="M892" i="68"/>
  <c r="V892" i="68" s="1"/>
  <c r="S889" i="68"/>
  <c r="R889" i="68"/>
  <c r="Q889" i="68"/>
  <c r="O889" i="68"/>
  <c r="M889" i="68"/>
  <c r="S888" i="68"/>
  <c r="R888" i="68"/>
  <c r="Q888" i="68"/>
  <c r="O888" i="68"/>
  <c r="M888" i="68"/>
  <c r="S887" i="68"/>
  <c r="R887" i="68"/>
  <c r="Q887" i="68"/>
  <c r="O887" i="68"/>
  <c r="M887" i="68"/>
  <c r="S886" i="68"/>
  <c r="R886" i="68"/>
  <c r="Q886" i="68"/>
  <c r="O886" i="68"/>
  <c r="M886" i="68"/>
  <c r="S885" i="68"/>
  <c r="R885" i="68"/>
  <c r="Q885" i="68"/>
  <c r="O885" i="68"/>
  <c r="M885" i="68"/>
  <c r="S884" i="68"/>
  <c r="R884" i="68"/>
  <c r="Q884" i="68"/>
  <c r="O884" i="68"/>
  <c r="M884" i="68"/>
  <c r="S883" i="68"/>
  <c r="R883" i="68"/>
  <c r="Q883" i="68"/>
  <c r="O883" i="68"/>
  <c r="M883" i="68"/>
  <c r="S882" i="68"/>
  <c r="R882" i="68"/>
  <c r="Q882" i="68"/>
  <c r="O882" i="68"/>
  <c r="M882" i="68"/>
  <c r="S881" i="68"/>
  <c r="R881" i="68"/>
  <c r="Q881" i="68"/>
  <c r="O881" i="68"/>
  <c r="M881" i="68"/>
  <c r="S874" i="68"/>
  <c r="R874" i="68"/>
  <c r="Q874" i="68"/>
  <c r="O874" i="68"/>
  <c r="M874" i="68"/>
  <c r="T873" i="68"/>
  <c r="S873" i="68"/>
  <c r="R873" i="68"/>
  <c r="Q873" i="68"/>
  <c r="O873" i="68"/>
  <c r="M873" i="68"/>
  <c r="V873" i="68" s="1"/>
  <c r="S872" i="68"/>
  <c r="R872" i="68"/>
  <c r="Q872" i="68"/>
  <c r="O872" i="68"/>
  <c r="M872" i="68"/>
  <c r="S871" i="68"/>
  <c r="R871" i="68"/>
  <c r="Q871" i="68"/>
  <c r="O871" i="68"/>
  <c r="M871" i="68"/>
  <c r="S870" i="68"/>
  <c r="R870" i="68"/>
  <c r="Q870" i="68"/>
  <c r="O870" i="68"/>
  <c r="M870" i="68"/>
  <c r="S869" i="68"/>
  <c r="R869" i="68"/>
  <c r="Q869" i="68"/>
  <c r="O869" i="68"/>
  <c r="M869" i="68"/>
  <c r="S868" i="68"/>
  <c r="R868" i="68"/>
  <c r="Q868" i="68"/>
  <c r="O868" i="68"/>
  <c r="M868" i="68"/>
  <c r="S867" i="68"/>
  <c r="R867" i="68"/>
  <c r="Q867" i="68"/>
  <c r="O867" i="68"/>
  <c r="M867" i="68"/>
  <c r="T866" i="68"/>
  <c r="S866" i="68"/>
  <c r="R866" i="68"/>
  <c r="Q866" i="68"/>
  <c r="O866" i="68"/>
  <c r="M866" i="68"/>
  <c r="V866" i="68" s="1"/>
  <c r="S865" i="68"/>
  <c r="R865" i="68"/>
  <c r="Q865" i="68"/>
  <c r="O865" i="68"/>
  <c r="M865" i="68"/>
  <c r="T864" i="68"/>
  <c r="S864" i="68"/>
  <c r="R864" i="68"/>
  <c r="Q864" i="68"/>
  <c r="O864" i="68"/>
  <c r="M864" i="68"/>
  <c r="V864" i="68" s="1"/>
  <c r="S863" i="68"/>
  <c r="R863" i="68"/>
  <c r="Q863" i="68"/>
  <c r="O863" i="68"/>
  <c r="M863" i="68"/>
  <c r="S862" i="68"/>
  <c r="R862" i="68"/>
  <c r="Q862" i="68"/>
  <c r="O862" i="68"/>
  <c r="M862" i="68"/>
  <c r="S861" i="68"/>
  <c r="R861" i="68"/>
  <c r="Q861" i="68"/>
  <c r="O861" i="68"/>
  <c r="M861" i="68"/>
  <c r="S860" i="68"/>
  <c r="R860" i="68"/>
  <c r="Q860" i="68"/>
  <c r="O860" i="68"/>
  <c r="M860" i="68"/>
  <c r="S857" i="68"/>
  <c r="R857" i="68"/>
  <c r="Q857" i="68"/>
  <c r="O857" i="68"/>
  <c r="M857" i="68"/>
  <c r="S856" i="68"/>
  <c r="R856" i="68"/>
  <c r="Q856" i="68"/>
  <c r="O856" i="68"/>
  <c r="M856" i="68"/>
  <c r="S855" i="68"/>
  <c r="R855" i="68"/>
  <c r="Q855" i="68"/>
  <c r="O855" i="68"/>
  <c r="M855" i="68"/>
  <c r="S854" i="68"/>
  <c r="R854" i="68"/>
  <c r="Q854" i="68"/>
  <c r="O854" i="68"/>
  <c r="M854" i="68"/>
  <c r="S853" i="68"/>
  <c r="R853" i="68"/>
  <c r="Q853" i="68"/>
  <c r="O853" i="68"/>
  <c r="M853" i="68"/>
  <c r="S852" i="68"/>
  <c r="R852" i="68"/>
  <c r="Q852" i="68"/>
  <c r="O852" i="68"/>
  <c r="M852" i="68"/>
  <c r="S851" i="68"/>
  <c r="R851" i="68"/>
  <c r="Q851" i="68"/>
  <c r="O851" i="68"/>
  <c r="M851" i="68"/>
  <c r="S850" i="68"/>
  <c r="R850" i="68"/>
  <c r="Q850" i="68"/>
  <c r="O850" i="68"/>
  <c r="M850" i="68"/>
  <c r="S849" i="68"/>
  <c r="R849" i="68"/>
  <c r="Q849" i="68"/>
  <c r="O849" i="68"/>
  <c r="M849" i="68"/>
  <c r="S848" i="68"/>
  <c r="R848" i="68"/>
  <c r="Q848" i="68"/>
  <c r="O848" i="68"/>
  <c r="M848" i="68"/>
  <c r="S847" i="68"/>
  <c r="R847" i="68"/>
  <c r="Q847" i="68"/>
  <c r="O847" i="68"/>
  <c r="M847" i="68"/>
  <c r="S844" i="68"/>
  <c r="R844" i="68"/>
  <c r="Q844" i="68"/>
  <c r="O844" i="68"/>
  <c r="M844" i="68"/>
  <c r="S843" i="68"/>
  <c r="R843" i="68"/>
  <c r="Q843" i="68"/>
  <c r="O843" i="68"/>
  <c r="M843" i="68"/>
  <c r="S842" i="68"/>
  <c r="R842" i="68"/>
  <c r="Q842" i="68"/>
  <c r="O842" i="68"/>
  <c r="M842" i="68"/>
  <c r="S841" i="68"/>
  <c r="R841" i="68"/>
  <c r="Q841" i="68"/>
  <c r="O841" i="68"/>
  <c r="M841" i="68"/>
  <c r="S840" i="68"/>
  <c r="R840" i="68"/>
  <c r="Q840" i="68"/>
  <c r="O840" i="68"/>
  <c r="M840" i="68"/>
  <c r="S839" i="68"/>
  <c r="R839" i="68"/>
  <c r="Q839" i="68"/>
  <c r="O839" i="68"/>
  <c r="M839" i="68"/>
  <c r="S838" i="68"/>
  <c r="R838" i="68"/>
  <c r="Q838" i="68"/>
  <c r="O838" i="68"/>
  <c r="M838" i="68"/>
  <c r="S837" i="68"/>
  <c r="R837" i="68"/>
  <c r="Q837" i="68"/>
  <c r="O837" i="68"/>
  <c r="M837" i="68"/>
  <c r="S836" i="68"/>
  <c r="R836" i="68"/>
  <c r="Q836" i="68"/>
  <c r="O836" i="68"/>
  <c r="M836" i="68"/>
  <c r="T749" i="68"/>
  <c r="S749" i="68"/>
  <c r="R749" i="68"/>
  <c r="Q749" i="68"/>
  <c r="O749" i="68"/>
  <c r="M749" i="68"/>
  <c r="V749" i="68" s="1"/>
  <c r="T780" i="68"/>
  <c r="S780" i="68"/>
  <c r="R780" i="68"/>
  <c r="Q780" i="68"/>
  <c r="O780" i="68"/>
  <c r="M780" i="68"/>
  <c r="V780" i="68" s="1"/>
  <c r="S777" i="68"/>
  <c r="R777" i="68"/>
  <c r="Q777" i="68"/>
  <c r="O777" i="68"/>
  <c r="M777" i="68"/>
  <c r="S776" i="68"/>
  <c r="R776" i="68"/>
  <c r="Q776" i="68"/>
  <c r="O776" i="68"/>
  <c r="M776" i="68"/>
  <c r="S775" i="68"/>
  <c r="R775" i="68"/>
  <c r="Q775" i="68"/>
  <c r="O775" i="68"/>
  <c r="M775" i="68"/>
  <c r="S774" i="68"/>
  <c r="R774" i="68"/>
  <c r="Q774" i="68"/>
  <c r="O774" i="68"/>
  <c r="M774" i="68"/>
  <c r="S773" i="68"/>
  <c r="R773" i="68"/>
  <c r="Q773" i="68"/>
  <c r="O773" i="68"/>
  <c r="M773" i="68"/>
  <c r="S770" i="68"/>
  <c r="R770" i="68"/>
  <c r="Q770" i="68"/>
  <c r="O770" i="68"/>
  <c r="M770" i="68"/>
  <c r="S769" i="68"/>
  <c r="R769" i="68"/>
  <c r="Q769" i="68"/>
  <c r="O769" i="68"/>
  <c r="M769" i="68"/>
  <c r="S768" i="68"/>
  <c r="R768" i="68"/>
  <c r="Q768" i="68"/>
  <c r="O768" i="68"/>
  <c r="M768" i="68"/>
  <c r="S767" i="68"/>
  <c r="R767" i="68"/>
  <c r="Q767" i="68"/>
  <c r="O767" i="68"/>
  <c r="M767" i="68"/>
  <c r="S766" i="68"/>
  <c r="R766" i="68"/>
  <c r="Q766" i="68"/>
  <c r="O766" i="68"/>
  <c r="M766" i="68"/>
  <c r="S763" i="68"/>
  <c r="R763" i="68"/>
  <c r="Q763" i="68"/>
  <c r="O763" i="68"/>
  <c r="M763" i="68"/>
  <c r="S762" i="68"/>
  <c r="R762" i="68"/>
  <c r="Q762" i="68"/>
  <c r="O762" i="68"/>
  <c r="M762" i="68"/>
  <c r="S761" i="68"/>
  <c r="R761" i="68"/>
  <c r="Q761" i="68"/>
  <c r="O761" i="68"/>
  <c r="M761" i="68"/>
  <c r="S760" i="68"/>
  <c r="R760" i="68"/>
  <c r="Q760" i="68"/>
  <c r="O760" i="68"/>
  <c r="M760" i="68"/>
  <c r="S759" i="68"/>
  <c r="R759" i="68"/>
  <c r="Q759" i="68"/>
  <c r="O759" i="68"/>
  <c r="M759" i="68"/>
  <c r="S758" i="68"/>
  <c r="R758" i="68"/>
  <c r="Q758" i="68"/>
  <c r="O758" i="68"/>
  <c r="M758" i="68"/>
  <c r="S757" i="68"/>
  <c r="R757" i="68"/>
  <c r="Q757" i="68"/>
  <c r="O757" i="68"/>
  <c r="M757" i="68"/>
  <c r="S756" i="68"/>
  <c r="R756" i="68"/>
  <c r="Q756" i="68"/>
  <c r="O756" i="68"/>
  <c r="M756" i="68"/>
  <c r="T755" i="68"/>
  <c r="S755" i="68"/>
  <c r="R755" i="68"/>
  <c r="Q755" i="68"/>
  <c r="O755" i="68"/>
  <c r="M755" i="68"/>
  <c r="V755" i="68" s="1"/>
  <c r="S746" i="68"/>
  <c r="R746" i="68"/>
  <c r="Q746" i="68"/>
  <c r="O746" i="68"/>
  <c r="M746" i="68"/>
  <c r="S745" i="68"/>
  <c r="R745" i="68"/>
  <c r="Q745" i="68"/>
  <c r="O745" i="68"/>
  <c r="M745" i="68"/>
  <c r="S744" i="68"/>
  <c r="R744" i="68"/>
  <c r="Q744" i="68"/>
  <c r="O744" i="68"/>
  <c r="M744" i="68"/>
  <c r="S743" i="68"/>
  <c r="R743" i="68"/>
  <c r="Q743" i="68"/>
  <c r="O743" i="68"/>
  <c r="M743" i="68"/>
  <c r="S742" i="68"/>
  <c r="R742" i="68"/>
  <c r="Q742" i="68"/>
  <c r="O742" i="68"/>
  <c r="M742" i="68"/>
  <c r="S741" i="68"/>
  <c r="R741" i="68"/>
  <c r="Q741" i="68"/>
  <c r="O741" i="68"/>
  <c r="M741" i="68"/>
  <c r="S740" i="68"/>
  <c r="R740" i="68"/>
  <c r="Q740" i="68"/>
  <c r="O740" i="68"/>
  <c r="M740" i="68"/>
  <c r="S737" i="68"/>
  <c r="R737" i="68"/>
  <c r="Q737" i="68"/>
  <c r="O737" i="68"/>
  <c r="M737" i="68"/>
  <c r="S736" i="68"/>
  <c r="R736" i="68"/>
  <c r="Q736" i="68"/>
  <c r="O736" i="68"/>
  <c r="M736" i="68"/>
  <c r="S735" i="68"/>
  <c r="R735" i="68"/>
  <c r="Q735" i="68"/>
  <c r="O735" i="68"/>
  <c r="M735" i="68"/>
  <c r="S734" i="68"/>
  <c r="R734" i="68"/>
  <c r="Q734" i="68"/>
  <c r="O734" i="68"/>
  <c r="M734" i="68"/>
  <c r="S733" i="68"/>
  <c r="R733" i="68"/>
  <c r="Q733" i="68"/>
  <c r="O733" i="68"/>
  <c r="M733" i="68"/>
  <c r="S730" i="68"/>
  <c r="R730" i="68"/>
  <c r="Q730" i="68"/>
  <c r="O730" i="68"/>
  <c r="M730" i="68"/>
  <c r="S729" i="68"/>
  <c r="R729" i="68"/>
  <c r="Q729" i="68"/>
  <c r="O729" i="68"/>
  <c r="M729" i="68"/>
  <c r="S728" i="68"/>
  <c r="R728" i="68"/>
  <c r="Q728" i="68"/>
  <c r="O728" i="68"/>
  <c r="M728" i="68"/>
  <c r="S727" i="68"/>
  <c r="R727" i="68"/>
  <c r="Q727" i="68"/>
  <c r="O727" i="68"/>
  <c r="M727" i="68"/>
  <c r="T726" i="68"/>
  <c r="S726" i="68"/>
  <c r="R726" i="68"/>
  <c r="Q726" i="68"/>
  <c r="O726" i="68"/>
  <c r="M726" i="68"/>
  <c r="V726" i="68" s="1"/>
  <c r="S725" i="68"/>
  <c r="R725" i="68"/>
  <c r="Q725" i="68"/>
  <c r="O725" i="68"/>
  <c r="M725" i="68"/>
  <c r="T724" i="68"/>
  <c r="S724" i="68"/>
  <c r="R724" i="68"/>
  <c r="Q724" i="68"/>
  <c r="O724" i="68"/>
  <c r="M724" i="68"/>
  <c r="V724" i="68" s="1"/>
  <c r="S723" i="68"/>
  <c r="R723" i="68"/>
  <c r="Q723" i="68"/>
  <c r="O723" i="68"/>
  <c r="M723" i="68"/>
  <c r="S722" i="68"/>
  <c r="R722" i="68"/>
  <c r="Q722" i="68"/>
  <c r="O722" i="68"/>
  <c r="M722" i="68"/>
  <c r="S721" i="68"/>
  <c r="R721" i="68"/>
  <c r="Q721" i="68"/>
  <c r="O721" i="68"/>
  <c r="M721" i="68"/>
  <c r="S714" i="68"/>
  <c r="R714" i="68"/>
  <c r="Q714" i="68"/>
  <c r="O714" i="68"/>
  <c r="M714" i="68"/>
  <c r="S713" i="68"/>
  <c r="R713" i="68"/>
  <c r="Q713" i="68"/>
  <c r="O713" i="68"/>
  <c r="M713" i="68"/>
  <c r="S712" i="68"/>
  <c r="R712" i="68"/>
  <c r="Q712" i="68"/>
  <c r="O712" i="68"/>
  <c r="M712" i="68"/>
  <c r="V712" i="68" s="1"/>
  <c r="S711" i="68"/>
  <c r="R711" i="68"/>
  <c r="Q711" i="68"/>
  <c r="O711" i="68"/>
  <c r="M711" i="68"/>
  <c r="S710" i="68"/>
  <c r="R710" i="68"/>
  <c r="Q710" i="68"/>
  <c r="O710" i="68"/>
  <c r="M710" i="68"/>
  <c r="S709" i="68"/>
  <c r="R709" i="68"/>
  <c r="Q709" i="68"/>
  <c r="O709" i="68"/>
  <c r="M709" i="68"/>
  <c r="S706" i="68"/>
  <c r="R706" i="68"/>
  <c r="Q706" i="68"/>
  <c r="O706" i="68"/>
  <c r="M706" i="68"/>
  <c r="S705" i="68"/>
  <c r="R705" i="68"/>
  <c r="Q705" i="68"/>
  <c r="O705" i="68"/>
  <c r="M705" i="68"/>
  <c r="S704" i="68"/>
  <c r="R704" i="68"/>
  <c r="Q704" i="68"/>
  <c r="O704" i="68"/>
  <c r="M704" i="68"/>
  <c r="S701" i="68"/>
  <c r="R701" i="68"/>
  <c r="Q701" i="68"/>
  <c r="O701" i="68"/>
  <c r="M701" i="68"/>
  <c r="S700" i="68"/>
  <c r="R700" i="68"/>
  <c r="Q700" i="68"/>
  <c r="O700" i="68"/>
  <c r="M700" i="68"/>
  <c r="S699" i="68"/>
  <c r="R699" i="68"/>
  <c r="O699" i="68"/>
  <c r="M699" i="68"/>
  <c r="S698" i="68"/>
  <c r="R698" i="68"/>
  <c r="Q698" i="68"/>
  <c r="O698" i="68"/>
  <c r="M698" i="68"/>
  <c r="S697" i="68"/>
  <c r="R697" i="68"/>
  <c r="Q697" i="68"/>
  <c r="O697" i="68"/>
  <c r="M697" i="68"/>
  <c r="S696" i="68"/>
  <c r="R696" i="68"/>
  <c r="Q696" i="68"/>
  <c r="O696" i="68"/>
  <c r="M696" i="68"/>
  <c r="V696" i="68" s="1"/>
  <c r="S695" i="68"/>
  <c r="R695" i="68"/>
  <c r="Q695" i="68"/>
  <c r="O695" i="68"/>
  <c r="M695" i="68"/>
  <c r="S694" i="68"/>
  <c r="R694" i="68"/>
  <c r="Q694" i="68"/>
  <c r="O694" i="68"/>
  <c r="M694" i="68"/>
  <c r="V694" i="68" s="1"/>
  <c r="S693" i="68"/>
  <c r="R693" i="68"/>
  <c r="Q693" i="68"/>
  <c r="O693" i="68"/>
  <c r="M693" i="68"/>
  <c r="V693" i="68" s="1"/>
  <c r="S692" i="68"/>
  <c r="R692" i="68"/>
  <c r="Q692" i="68"/>
  <c r="O692" i="68"/>
  <c r="M692" i="68"/>
  <c r="S691" i="68"/>
  <c r="R691" i="68"/>
  <c r="Q691" i="68"/>
  <c r="O691" i="68"/>
  <c r="M691" i="68"/>
  <c r="S638" i="68"/>
  <c r="R638" i="68"/>
  <c r="Q638" i="68"/>
  <c r="O638" i="68"/>
  <c r="M638" i="68"/>
  <c r="T637" i="68"/>
  <c r="S637" i="68"/>
  <c r="R637" i="68"/>
  <c r="Q637" i="68"/>
  <c r="O637" i="68"/>
  <c r="M637" i="68"/>
  <c r="V637" i="68" s="1"/>
  <c r="T630" i="68"/>
  <c r="S630" i="68"/>
  <c r="R630" i="68"/>
  <c r="Q630" i="68"/>
  <c r="O630" i="68"/>
  <c r="M630" i="68"/>
  <c r="V630" i="68" s="1"/>
  <c r="T627" i="68"/>
  <c r="S627" i="68"/>
  <c r="R627" i="68"/>
  <c r="Q627" i="68"/>
  <c r="O627" i="68"/>
  <c r="M627" i="68"/>
  <c r="V627" i="68" s="1"/>
  <c r="T626" i="68"/>
  <c r="S626" i="68"/>
  <c r="R626" i="68"/>
  <c r="Q626" i="68"/>
  <c r="O626" i="68"/>
  <c r="M626" i="68"/>
  <c r="V626" i="68" s="1"/>
  <c r="T623" i="68"/>
  <c r="S623" i="68"/>
  <c r="R623" i="68"/>
  <c r="Q623" i="68"/>
  <c r="O623" i="68"/>
  <c r="M623" i="68"/>
  <c r="V623" i="68" s="1"/>
  <c r="T622" i="68"/>
  <c r="S622" i="68"/>
  <c r="R622" i="68"/>
  <c r="Q622" i="68"/>
  <c r="O622" i="68"/>
  <c r="M622" i="68"/>
  <c r="V622" i="68" s="1"/>
  <c r="T621" i="68"/>
  <c r="S621" i="68"/>
  <c r="R621" i="68"/>
  <c r="Q621" i="68"/>
  <c r="O621" i="68"/>
  <c r="M621" i="68"/>
  <c r="V621" i="68" s="1"/>
  <c r="T620" i="68"/>
  <c r="S620" i="68"/>
  <c r="R620" i="68"/>
  <c r="Q620" i="68"/>
  <c r="O620" i="68"/>
  <c r="M620" i="68"/>
  <c r="V620" i="68" s="1"/>
  <c r="T619" i="68"/>
  <c r="S619" i="68"/>
  <c r="R619" i="68"/>
  <c r="Q619" i="68"/>
  <c r="O619" i="68"/>
  <c r="M619" i="68"/>
  <c r="V619" i="68" s="1"/>
  <c r="S609" i="68"/>
  <c r="R609" i="68"/>
  <c r="Q609" i="68"/>
  <c r="O609" i="68"/>
  <c r="M609" i="68"/>
  <c r="S608" i="68"/>
  <c r="R608" i="68"/>
  <c r="Q608" i="68"/>
  <c r="O608" i="68"/>
  <c r="M608" i="68"/>
  <c r="T607" i="68"/>
  <c r="S607" i="68"/>
  <c r="R607" i="68"/>
  <c r="Q607" i="68"/>
  <c r="O607" i="68"/>
  <c r="M607" i="68"/>
  <c r="V607" i="68" s="1"/>
  <c r="S606" i="68"/>
  <c r="R606" i="68"/>
  <c r="Q606" i="68"/>
  <c r="O606" i="68"/>
  <c r="M606" i="68"/>
  <c r="V606" i="68" s="1"/>
  <c r="S605" i="68"/>
  <c r="R605" i="68"/>
  <c r="Q605" i="68"/>
  <c r="O605" i="68"/>
  <c r="M605" i="68"/>
  <c r="T604" i="68"/>
  <c r="S604" i="68"/>
  <c r="R604" i="68"/>
  <c r="Q604" i="68"/>
  <c r="O604" i="68"/>
  <c r="M604" i="68"/>
  <c r="V604" i="68" s="1"/>
  <c r="S603" i="68"/>
  <c r="R603" i="68"/>
  <c r="Q603" i="68"/>
  <c r="O603" i="68"/>
  <c r="M603" i="68"/>
  <c r="S602" i="68"/>
  <c r="R602" i="68"/>
  <c r="Q602" i="68"/>
  <c r="O602" i="68"/>
  <c r="M602" i="68"/>
  <c r="S601" i="68"/>
  <c r="R601" i="68"/>
  <c r="Q601" i="68"/>
  <c r="O601" i="68"/>
  <c r="M601" i="68"/>
  <c r="S600" i="68"/>
  <c r="R600" i="68"/>
  <c r="Q600" i="68"/>
  <c r="O600" i="68"/>
  <c r="M600" i="68"/>
  <c r="T597" i="68"/>
  <c r="S597" i="68"/>
  <c r="R597" i="68"/>
  <c r="Q597" i="68"/>
  <c r="O597" i="68"/>
  <c r="M597" i="68"/>
  <c r="V597" i="68" s="1"/>
  <c r="S596" i="68"/>
  <c r="R596" i="68"/>
  <c r="Q596" i="68"/>
  <c r="O596" i="68"/>
  <c r="M596" i="68"/>
  <c r="S595" i="68"/>
  <c r="R595" i="68"/>
  <c r="Q595" i="68"/>
  <c r="O595" i="68"/>
  <c r="M595" i="68"/>
  <c r="S594" i="68"/>
  <c r="R594" i="68"/>
  <c r="Q594" i="68"/>
  <c r="O594" i="68"/>
  <c r="M594" i="68"/>
  <c r="S591" i="68"/>
  <c r="R591" i="68"/>
  <c r="Q591" i="68"/>
  <c r="O591" i="68"/>
  <c r="M591" i="68"/>
  <c r="S590" i="68"/>
  <c r="R590" i="68"/>
  <c r="Q590" i="68"/>
  <c r="O590" i="68"/>
  <c r="M590" i="68"/>
  <c r="S589" i="68"/>
  <c r="R589" i="68"/>
  <c r="Q589" i="68"/>
  <c r="O589" i="68"/>
  <c r="M589" i="68"/>
  <c r="S588" i="68"/>
  <c r="R588" i="68"/>
  <c r="Q588" i="68"/>
  <c r="O588" i="68"/>
  <c r="M588" i="68"/>
  <c r="S587" i="68"/>
  <c r="R587" i="68"/>
  <c r="Q587" i="68"/>
  <c r="O587" i="68"/>
  <c r="M587" i="68"/>
  <c r="S586" i="68"/>
  <c r="R586" i="68"/>
  <c r="Q586" i="68"/>
  <c r="O586" i="68"/>
  <c r="M586" i="68"/>
  <c r="S584" i="68"/>
  <c r="R584" i="68"/>
  <c r="Q584" i="68"/>
  <c r="O584" i="68"/>
  <c r="M584" i="68"/>
  <c r="S583" i="68"/>
  <c r="R583" i="68"/>
  <c r="Q583" i="68"/>
  <c r="O583" i="68"/>
  <c r="M583" i="68"/>
  <c r="S530" i="68"/>
  <c r="R530" i="68"/>
  <c r="Q530" i="68"/>
  <c r="O530" i="68"/>
  <c r="M530" i="68"/>
  <c r="V530" i="68" s="1"/>
  <c r="S529" i="68"/>
  <c r="R529" i="68"/>
  <c r="Q529" i="68"/>
  <c r="O529" i="68"/>
  <c r="M529" i="68"/>
  <c r="V529" i="68" s="1"/>
  <c r="S528" i="68"/>
  <c r="R528" i="68"/>
  <c r="Q528" i="68"/>
  <c r="O528" i="68"/>
  <c r="M528" i="68"/>
  <c r="V528" i="68" s="1"/>
  <c r="T527" i="68"/>
  <c r="S527" i="68"/>
  <c r="R527" i="68"/>
  <c r="Q527" i="68"/>
  <c r="O527" i="68"/>
  <c r="M527" i="68"/>
  <c r="V527" i="68" s="1"/>
  <c r="S524" i="68"/>
  <c r="R524" i="68"/>
  <c r="Q524" i="68"/>
  <c r="O524" i="68"/>
  <c r="M524" i="68"/>
  <c r="S523" i="68"/>
  <c r="R523" i="68"/>
  <c r="Q523" i="68"/>
  <c r="O523" i="68"/>
  <c r="M523" i="68"/>
  <c r="V523" i="68" s="1"/>
  <c r="S520" i="68"/>
  <c r="R520" i="68"/>
  <c r="Q520" i="68"/>
  <c r="O520" i="68"/>
  <c r="M520" i="68"/>
  <c r="V520" i="68" s="1"/>
  <c r="S519" i="68"/>
  <c r="R519" i="68"/>
  <c r="Q519" i="68"/>
  <c r="O519" i="68"/>
  <c r="M519" i="68"/>
  <c r="V519" i="68" s="1"/>
  <c r="S518" i="68"/>
  <c r="R518" i="68"/>
  <c r="Q518" i="68"/>
  <c r="O518" i="68"/>
  <c r="M518" i="68"/>
  <c r="V518" i="68" s="1"/>
  <c r="S517" i="68"/>
  <c r="R517" i="68"/>
  <c r="Q517" i="68"/>
  <c r="O517" i="68"/>
  <c r="M517" i="68"/>
  <c r="V517" i="68" s="1"/>
  <c r="S516" i="68"/>
  <c r="R516" i="68"/>
  <c r="Q516" i="68"/>
  <c r="O516" i="68"/>
  <c r="M516" i="68"/>
  <c r="V516" i="68" s="1"/>
  <c r="S515" i="68"/>
  <c r="R515" i="68"/>
  <c r="Q515" i="68"/>
  <c r="O515" i="68"/>
  <c r="M515" i="68"/>
  <c r="V515" i="68" s="1"/>
  <c r="T508" i="68"/>
  <c r="S508" i="68"/>
  <c r="R508" i="68"/>
  <c r="Q508" i="68"/>
  <c r="O508" i="68"/>
  <c r="M508" i="68"/>
  <c r="V508" i="68" s="1"/>
  <c r="T507" i="68"/>
  <c r="S507" i="68"/>
  <c r="R507" i="68"/>
  <c r="Q507" i="68"/>
  <c r="O507" i="68"/>
  <c r="M507" i="68"/>
  <c r="V507" i="68" s="1"/>
  <c r="T506" i="68"/>
  <c r="S506" i="68"/>
  <c r="R506" i="68"/>
  <c r="Q506" i="68"/>
  <c r="O506" i="68"/>
  <c r="M506" i="68"/>
  <c r="V506" i="68" s="1"/>
  <c r="T505" i="68"/>
  <c r="S505" i="68"/>
  <c r="R505" i="68"/>
  <c r="Q505" i="68"/>
  <c r="O505" i="68"/>
  <c r="M505" i="68"/>
  <c r="V505" i="68" s="1"/>
  <c r="T504" i="68"/>
  <c r="S504" i="68"/>
  <c r="R504" i="68"/>
  <c r="Q504" i="68"/>
  <c r="O504" i="68"/>
  <c r="M504" i="68"/>
  <c r="V504" i="68" s="1"/>
  <c r="T503" i="68"/>
  <c r="S503" i="68"/>
  <c r="R503" i="68"/>
  <c r="Q503" i="68"/>
  <c r="O503" i="68"/>
  <c r="M503" i="68"/>
  <c r="V503" i="68" s="1"/>
  <c r="T502" i="68"/>
  <c r="S502" i="68"/>
  <c r="R502" i="68"/>
  <c r="Q502" i="68"/>
  <c r="O502" i="68"/>
  <c r="M502" i="68"/>
  <c r="V502" i="68" s="1"/>
  <c r="T501" i="68"/>
  <c r="S501" i="68"/>
  <c r="R501" i="68"/>
  <c r="Q501" i="68"/>
  <c r="O501" i="68"/>
  <c r="M501" i="68"/>
  <c r="V501" i="68" s="1"/>
  <c r="T500" i="68"/>
  <c r="S500" i="68"/>
  <c r="R500" i="68"/>
  <c r="Q500" i="68"/>
  <c r="O500" i="68"/>
  <c r="M500" i="68"/>
  <c r="V500" i="68" s="1"/>
  <c r="T497" i="68"/>
  <c r="S497" i="68"/>
  <c r="R497" i="68"/>
  <c r="Q497" i="68"/>
  <c r="O497" i="68"/>
  <c r="M497" i="68"/>
  <c r="V497" i="68" s="1"/>
  <c r="T496" i="68"/>
  <c r="S496" i="68"/>
  <c r="R496" i="68"/>
  <c r="Q496" i="68"/>
  <c r="O496" i="68"/>
  <c r="M496" i="68"/>
  <c r="V496" i="68" s="1"/>
  <c r="T495" i="68"/>
  <c r="S495" i="68"/>
  <c r="R495" i="68"/>
  <c r="Q495" i="68"/>
  <c r="O495" i="68"/>
  <c r="M495" i="68"/>
  <c r="V495" i="68" s="1"/>
  <c r="T492" i="68"/>
  <c r="S492" i="68"/>
  <c r="R492" i="68"/>
  <c r="Q492" i="68"/>
  <c r="O492" i="68"/>
  <c r="M492" i="68"/>
  <c r="V492" i="68" s="1"/>
  <c r="S484" i="68"/>
  <c r="R484" i="68"/>
  <c r="Q484" i="68"/>
  <c r="O484" i="68"/>
  <c r="M484" i="68"/>
  <c r="S483" i="68"/>
  <c r="R483" i="68"/>
  <c r="Q483" i="68"/>
  <c r="O483" i="68"/>
  <c r="M483" i="68"/>
  <c r="S482" i="68"/>
  <c r="R482" i="68"/>
  <c r="Q482" i="68"/>
  <c r="O482" i="68"/>
  <c r="M482" i="68"/>
  <c r="S481" i="68"/>
  <c r="R481" i="68"/>
  <c r="Q481" i="68"/>
  <c r="O481" i="68"/>
  <c r="M481" i="68"/>
  <c r="S480" i="68"/>
  <c r="R480" i="68"/>
  <c r="Q480" i="68"/>
  <c r="O480" i="68"/>
  <c r="M480" i="68"/>
  <c r="S479" i="68"/>
  <c r="R479" i="68"/>
  <c r="Q479" i="68"/>
  <c r="O479" i="68"/>
  <c r="M479" i="68"/>
  <c r="S478" i="68"/>
  <c r="R478" i="68"/>
  <c r="Q478" i="68"/>
  <c r="O478" i="68"/>
  <c r="M478" i="68"/>
  <c r="S477" i="68"/>
  <c r="R477" i="68"/>
  <c r="Q477" i="68"/>
  <c r="O477" i="68"/>
  <c r="M477" i="68"/>
  <c r="S476" i="68"/>
  <c r="R476" i="68"/>
  <c r="Q476" i="68"/>
  <c r="O476" i="68"/>
  <c r="M476" i="68"/>
  <c r="S475" i="68"/>
  <c r="R475" i="68"/>
  <c r="Q475" i="68"/>
  <c r="O475" i="68"/>
  <c r="M475" i="68"/>
  <c r="S474" i="68"/>
  <c r="R474" i="68"/>
  <c r="Q474" i="68"/>
  <c r="O474" i="68"/>
  <c r="M474" i="68"/>
  <c r="S471" i="68"/>
  <c r="R471" i="68"/>
  <c r="Q471" i="68"/>
  <c r="O471" i="68"/>
  <c r="M471" i="68"/>
  <c r="S470" i="68"/>
  <c r="R470" i="68"/>
  <c r="Q470" i="68"/>
  <c r="O470" i="68"/>
  <c r="M470" i="68"/>
  <c r="S469" i="68"/>
  <c r="R469" i="68"/>
  <c r="Q469" i="68"/>
  <c r="O469" i="68"/>
  <c r="M469" i="68"/>
  <c r="S466" i="68"/>
  <c r="R466" i="68"/>
  <c r="Q466" i="68"/>
  <c r="O466" i="68"/>
  <c r="M466" i="68"/>
  <c r="S465" i="68"/>
  <c r="R465" i="68"/>
  <c r="Q465" i="68"/>
  <c r="O465" i="68"/>
  <c r="M465" i="68"/>
  <c r="S464" i="68"/>
  <c r="R464" i="68"/>
  <c r="Q464" i="68"/>
  <c r="O464" i="68"/>
  <c r="M464" i="68"/>
  <c r="S463" i="68"/>
  <c r="R463" i="68"/>
  <c r="Q463" i="68"/>
  <c r="O463" i="68"/>
  <c r="M463" i="68"/>
  <c r="T462" i="68"/>
  <c r="S462" i="68"/>
  <c r="R462" i="68"/>
  <c r="Q462" i="68"/>
  <c r="O462" i="68"/>
  <c r="M462" i="68"/>
  <c r="V462" i="68" s="1"/>
  <c r="S461" i="68"/>
  <c r="R461" i="68"/>
  <c r="Q461" i="68"/>
  <c r="O461" i="68"/>
  <c r="M461" i="68"/>
  <c r="S460" i="68"/>
  <c r="R460" i="68"/>
  <c r="Q460" i="68"/>
  <c r="O460" i="68"/>
  <c r="M460" i="68"/>
  <c r="S459" i="68"/>
  <c r="R459" i="68"/>
  <c r="Q459" i="68"/>
  <c r="O459" i="68"/>
  <c r="M459" i="68"/>
  <c r="S458" i="68"/>
  <c r="R458" i="68"/>
  <c r="Q458" i="68"/>
  <c r="O458" i="68"/>
  <c r="M458" i="68"/>
  <c r="S457" i="68"/>
  <c r="R457" i="68"/>
  <c r="Q457" i="68"/>
  <c r="O457" i="68"/>
  <c r="M457" i="68"/>
  <c r="S449" i="68"/>
  <c r="R449" i="68"/>
  <c r="Q449" i="68"/>
  <c r="O449" i="68"/>
  <c r="M449" i="68"/>
  <c r="S446" i="68"/>
  <c r="R446" i="68"/>
  <c r="Q446" i="68"/>
  <c r="O446" i="68"/>
  <c r="M446" i="68"/>
  <c r="T445" i="68"/>
  <c r="Y445" i="68" s="1"/>
  <c r="S445" i="68"/>
  <c r="R445" i="68"/>
  <c r="Q445" i="68"/>
  <c r="O445" i="68"/>
  <c r="M445" i="68"/>
  <c r="V445" i="68" s="1"/>
  <c r="S444" i="68"/>
  <c r="R444" i="68"/>
  <c r="Q444" i="68"/>
  <c r="O444" i="68"/>
  <c r="M444" i="68"/>
  <c r="T443" i="68"/>
  <c r="Y443" i="68" s="1"/>
  <c r="S443" i="68"/>
  <c r="R443" i="68"/>
  <c r="Q443" i="68"/>
  <c r="O443" i="68"/>
  <c r="M443" i="68"/>
  <c r="V443" i="68" s="1"/>
  <c r="T442" i="68"/>
  <c r="Y442" i="68" s="1"/>
  <c r="S442" i="68"/>
  <c r="R442" i="68"/>
  <c r="Q442" i="68"/>
  <c r="O442" i="68"/>
  <c r="M442" i="68"/>
  <c r="V442" i="68" s="1"/>
  <c r="T441" i="68"/>
  <c r="Y441" i="68" s="1"/>
  <c r="S441" i="68"/>
  <c r="R441" i="68"/>
  <c r="Q441" i="68"/>
  <c r="O441" i="68"/>
  <c r="M441" i="68"/>
  <c r="V441" i="68" s="1"/>
  <c r="S440" i="68"/>
  <c r="R440" i="68"/>
  <c r="Q440" i="68"/>
  <c r="O440" i="68"/>
  <c r="M440" i="68"/>
  <c r="T437" i="68"/>
  <c r="Y437" i="68" s="1"/>
  <c r="S437" i="68"/>
  <c r="R437" i="68"/>
  <c r="Q437" i="68"/>
  <c r="O437" i="68"/>
  <c r="M437" i="68"/>
  <c r="T436" i="68"/>
  <c r="Y436" i="68" s="1"/>
  <c r="S436" i="68"/>
  <c r="R436" i="68"/>
  <c r="Q436" i="68"/>
  <c r="O436" i="68"/>
  <c r="M436" i="68"/>
  <c r="T435" i="68"/>
  <c r="Y435" i="68" s="1"/>
  <c r="S435" i="68"/>
  <c r="R435" i="68"/>
  <c r="Q435" i="68"/>
  <c r="O435" i="68"/>
  <c r="M435" i="68"/>
  <c r="V435" i="68" s="1"/>
  <c r="T434" i="68"/>
  <c r="Y434" i="68" s="1"/>
  <c r="S434" i="68"/>
  <c r="R434" i="68"/>
  <c r="Q434" i="68"/>
  <c r="O434" i="68"/>
  <c r="M434" i="68"/>
  <c r="T431" i="68"/>
  <c r="Y431" i="68" s="1"/>
  <c r="S431" i="68"/>
  <c r="R431" i="68"/>
  <c r="Q431" i="68"/>
  <c r="O431" i="68"/>
  <c r="M431" i="68"/>
  <c r="V431" i="68" s="1"/>
  <c r="T430" i="68"/>
  <c r="Y430" i="68" s="1"/>
  <c r="S430" i="68"/>
  <c r="R430" i="68"/>
  <c r="Q430" i="68"/>
  <c r="O430" i="68"/>
  <c r="M430" i="68"/>
  <c r="V430" i="68" s="1"/>
  <c r="T429" i="68"/>
  <c r="Y429" i="68" s="1"/>
  <c r="S429" i="68"/>
  <c r="R429" i="68"/>
  <c r="Q429" i="68"/>
  <c r="O429" i="68"/>
  <c r="M429" i="68"/>
  <c r="V429" i="68" s="1"/>
  <c r="T428" i="68"/>
  <c r="Y428" i="68" s="1"/>
  <c r="S428" i="68"/>
  <c r="R428" i="68"/>
  <c r="Q428" i="68"/>
  <c r="O428" i="68"/>
  <c r="M428" i="68"/>
  <c r="T427" i="68"/>
  <c r="Y427" i="68" s="1"/>
  <c r="S427" i="68"/>
  <c r="R427" i="68"/>
  <c r="Q427" i="68"/>
  <c r="O427" i="68"/>
  <c r="M427" i="68"/>
  <c r="V427" i="68" s="1"/>
  <c r="T426" i="68"/>
  <c r="Y426" i="68" s="1"/>
  <c r="S426" i="68"/>
  <c r="R426" i="68"/>
  <c r="Q426" i="68"/>
  <c r="O426" i="68"/>
  <c r="M426" i="68"/>
  <c r="V426" i="68" s="1"/>
  <c r="T425" i="68"/>
  <c r="Y425" i="68" s="1"/>
  <c r="S425" i="68"/>
  <c r="R425" i="68"/>
  <c r="Q425" i="68"/>
  <c r="O425" i="68"/>
  <c r="M425" i="68"/>
  <c r="V425" i="68" s="1"/>
  <c r="T424" i="68"/>
  <c r="Y424" i="68" s="1"/>
  <c r="S424" i="68"/>
  <c r="R424" i="68"/>
  <c r="Q424" i="68"/>
  <c r="O424" i="68"/>
  <c r="M424" i="68"/>
  <c r="T423" i="68"/>
  <c r="Y423" i="68" s="1"/>
  <c r="S423" i="68"/>
  <c r="R423" i="68"/>
  <c r="Q423" i="68"/>
  <c r="O423" i="68"/>
  <c r="M423" i="68"/>
  <c r="T371" i="68"/>
  <c r="S371" i="68"/>
  <c r="R371" i="68"/>
  <c r="Q371" i="68"/>
  <c r="O371" i="68"/>
  <c r="M371" i="68"/>
  <c r="V371" i="68" s="1"/>
  <c r="S370" i="68"/>
  <c r="R370" i="68"/>
  <c r="Q370" i="68"/>
  <c r="O370" i="68"/>
  <c r="M370" i="68"/>
  <c r="T369" i="68"/>
  <c r="S369" i="68"/>
  <c r="R369" i="68"/>
  <c r="Q369" i="68"/>
  <c r="O369" i="68"/>
  <c r="M369" i="68"/>
  <c r="V369" i="68" s="1"/>
  <c r="T368" i="68"/>
  <c r="S368" i="68"/>
  <c r="R368" i="68"/>
  <c r="Q368" i="68"/>
  <c r="O368" i="68"/>
  <c r="M368" i="68"/>
  <c r="V368" i="68" s="1"/>
  <c r="S367" i="68"/>
  <c r="R367" i="68"/>
  <c r="Q367" i="68"/>
  <c r="O367" i="68"/>
  <c r="M367" i="68"/>
  <c r="T364" i="68"/>
  <c r="S364" i="68"/>
  <c r="R364" i="68"/>
  <c r="Q364" i="68"/>
  <c r="O364" i="68"/>
  <c r="M364" i="68"/>
  <c r="V364" i="68" s="1"/>
  <c r="S357" i="68"/>
  <c r="R357" i="68"/>
  <c r="Q357" i="68"/>
  <c r="O357" i="68"/>
  <c r="M357" i="68"/>
  <c r="S356" i="68"/>
  <c r="R356" i="68"/>
  <c r="Q356" i="68"/>
  <c r="O356" i="68"/>
  <c r="M356" i="68"/>
  <c r="S355" i="68"/>
  <c r="R355" i="68"/>
  <c r="Q355" i="68"/>
  <c r="O355" i="68"/>
  <c r="M355" i="68"/>
  <c r="S354" i="68"/>
  <c r="R354" i="68"/>
  <c r="Q354" i="68"/>
  <c r="O354" i="68"/>
  <c r="M354" i="68"/>
  <c r="S353" i="68"/>
  <c r="R353" i="68"/>
  <c r="Q353" i="68"/>
  <c r="O353" i="68"/>
  <c r="M353" i="68"/>
  <c r="S352" i="68"/>
  <c r="R352" i="68"/>
  <c r="Q352" i="68"/>
  <c r="O352" i="68"/>
  <c r="M352" i="68"/>
  <c r="S351" i="68"/>
  <c r="R351" i="68"/>
  <c r="Q351" i="68"/>
  <c r="O351" i="68"/>
  <c r="M351" i="68"/>
  <c r="S350" i="68"/>
  <c r="R350" i="68"/>
  <c r="Q350" i="68"/>
  <c r="O350" i="68"/>
  <c r="M350" i="68"/>
  <c r="S347" i="68"/>
  <c r="R347" i="68"/>
  <c r="Q347" i="68"/>
  <c r="O347" i="68"/>
  <c r="M347" i="68"/>
  <c r="S346" i="68"/>
  <c r="R346" i="68"/>
  <c r="Q346" i="68"/>
  <c r="O346" i="68"/>
  <c r="M346" i="68"/>
  <c r="S343" i="68"/>
  <c r="R343" i="68"/>
  <c r="Q343" i="68"/>
  <c r="O343" i="68"/>
  <c r="M343" i="68"/>
  <c r="S342" i="68"/>
  <c r="R342" i="68"/>
  <c r="Q342" i="68"/>
  <c r="O342" i="68"/>
  <c r="M342" i="68"/>
  <c r="S341" i="68"/>
  <c r="R341" i="68"/>
  <c r="Q341" i="68"/>
  <c r="O341" i="68"/>
  <c r="M341" i="68"/>
  <c r="S340" i="68"/>
  <c r="R340" i="68"/>
  <c r="Q340" i="68"/>
  <c r="O340" i="68"/>
  <c r="M340" i="68"/>
  <c r="S339" i="68"/>
  <c r="R339" i="68"/>
  <c r="Q339" i="68"/>
  <c r="O339" i="68"/>
  <c r="M339" i="68"/>
  <c r="V339" i="68" s="1"/>
  <c r="S338" i="68"/>
  <c r="R338" i="68"/>
  <c r="Q338" i="68"/>
  <c r="O338" i="68"/>
  <c r="M338" i="68"/>
  <c r="T337" i="68"/>
  <c r="S337" i="68"/>
  <c r="R337" i="68"/>
  <c r="Q337" i="68"/>
  <c r="O337" i="68"/>
  <c r="M337" i="68"/>
  <c r="V337" i="68" s="1"/>
  <c r="S336" i="68"/>
  <c r="R336" i="68"/>
  <c r="Q336" i="68"/>
  <c r="O336" i="68"/>
  <c r="M336" i="68"/>
  <c r="S335" i="68"/>
  <c r="R335" i="68"/>
  <c r="Q335" i="68"/>
  <c r="O335" i="68"/>
  <c r="M335" i="68"/>
  <c r="S334" i="68"/>
  <c r="R334" i="68"/>
  <c r="Q334" i="68"/>
  <c r="O334" i="68"/>
  <c r="M334" i="68"/>
  <c r="S327" i="68"/>
  <c r="R327" i="68"/>
  <c r="Q327" i="68"/>
  <c r="O327" i="68"/>
  <c r="M327" i="68"/>
  <c r="S326" i="68"/>
  <c r="R326" i="68"/>
  <c r="Q326" i="68"/>
  <c r="O326" i="68"/>
  <c r="M326" i="68"/>
  <c r="S325" i="68"/>
  <c r="R325" i="68"/>
  <c r="Q325" i="68"/>
  <c r="O325" i="68"/>
  <c r="M325" i="68"/>
  <c r="S322" i="68"/>
  <c r="R322" i="68"/>
  <c r="Q322" i="68"/>
  <c r="O322" i="68"/>
  <c r="M322" i="68"/>
  <c r="S321" i="68"/>
  <c r="R321" i="68"/>
  <c r="Q321" i="68"/>
  <c r="O321" i="68"/>
  <c r="M321" i="68"/>
  <c r="S320" i="68"/>
  <c r="R320" i="68"/>
  <c r="Q320" i="68"/>
  <c r="O320" i="68"/>
  <c r="M320" i="68"/>
  <c r="S319" i="68"/>
  <c r="R319" i="68"/>
  <c r="Q319" i="68"/>
  <c r="O319" i="68"/>
  <c r="M319" i="68"/>
  <c r="S312" i="68"/>
  <c r="R312" i="68"/>
  <c r="Q312" i="68"/>
  <c r="O312" i="68"/>
  <c r="M312" i="68"/>
  <c r="S309" i="68"/>
  <c r="R309" i="68"/>
  <c r="Q309" i="68"/>
  <c r="O309" i="68"/>
  <c r="M309" i="68"/>
  <c r="S308" i="68"/>
  <c r="R308" i="68"/>
  <c r="Q308" i="68"/>
  <c r="O308" i="68"/>
  <c r="M308" i="68"/>
  <c r="S307" i="68"/>
  <c r="R307" i="68"/>
  <c r="Q307" i="68"/>
  <c r="O307" i="68"/>
  <c r="M307" i="68"/>
  <c r="S306" i="68"/>
  <c r="R306" i="68"/>
  <c r="Q306" i="68"/>
  <c r="O306" i="68"/>
  <c r="M306" i="68"/>
  <c r="S305" i="68"/>
  <c r="R305" i="68"/>
  <c r="Q305" i="68"/>
  <c r="O305" i="68"/>
  <c r="M305" i="68"/>
  <c r="T304" i="68"/>
  <c r="Y304" i="68" s="1"/>
  <c r="S304" i="68"/>
  <c r="R304" i="68"/>
  <c r="Q304" i="68"/>
  <c r="O304" i="68"/>
  <c r="M304" i="68"/>
  <c r="V304" i="68" s="1"/>
  <c r="S303" i="68"/>
  <c r="R303" i="68"/>
  <c r="Q303" i="68"/>
  <c r="O303" i="68"/>
  <c r="M303" i="68"/>
  <c r="S302" i="68"/>
  <c r="R302" i="68"/>
  <c r="Q302" i="68"/>
  <c r="O302" i="68"/>
  <c r="M302" i="68"/>
  <c r="S301" i="68"/>
  <c r="R301" i="68"/>
  <c r="Q301" i="68"/>
  <c r="O301" i="68"/>
  <c r="M301" i="68"/>
  <c r="S298" i="68"/>
  <c r="R298" i="68"/>
  <c r="Q298" i="68"/>
  <c r="O298" i="68"/>
  <c r="M298" i="68"/>
  <c r="S297" i="68"/>
  <c r="R297" i="68"/>
  <c r="Q297" i="68"/>
  <c r="O297" i="68"/>
  <c r="M297" i="68"/>
  <c r="S296" i="68"/>
  <c r="R296" i="68"/>
  <c r="Q296" i="68"/>
  <c r="O296" i="68"/>
  <c r="M296" i="68"/>
  <c r="V296" i="68" s="1"/>
  <c r="S295" i="68"/>
  <c r="R295" i="68"/>
  <c r="Q295" i="68"/>
  <c r="O295" i="68"/>
  <c r="M295" i="68"/>
  <c r="S294" i="68"/>
  <c r="R294" i="68"/>
  <c r="Q294" i="68"/>
  <c r="O294" i="68"/>
  <c r="M294" i="68"/>
  <c r="S293" i="68"/>
  <c r="R293" i="68"/>
  <c r="Q293" i="68"/>
  <c r="O293" i="68"/>
  <c r="M293" i="68"/>
  <c r="S292" i="68"/>
  <c r="R292" i="68"/>
  <c r="Q292" i="68"/>
  <c r="O292" i="68"/>
  <c r="M292" i="68"/>
  <c r="S291" i="68"/>
  <c r="R291" i="68"/>
  <c r="Q291" i="68"/>
  <c r="O291" i="68"/>
  <c r="M291" i="68"/>
  <c r="S290" i="68"/>
  <c r="R290" i="68"/>
  <c r="Q290" i="68"/>
  <c r="O290" i="68"/>
  <c r="M290" i="68"/>
  <c r="S289" i="68"/>
  <c r="R289" i="68"/>
  <c r="Q289" i="68"/>
  <c r="O289" i="68"/>
  <c r="M289" i="68"/>
  <c r="S288" i="68"/>
  <c r="R288" i="68"/>
  <c r="Q288" i="68"/>
  <c r="O288" i="68"/>
  <c r="M288" i="68"/>
  <c r="S285" i="68"/>
  <c r="R285" i="68"/>
  <c r="Q285" i="68"/>
  <c r="O285" i="68"/>
  <c r="M285" i="68"/>
  <c r="S284" i="68"/>
  <c r="R284" i="68"/>
  <c r="Q284" i="68"/>
  <c r="O284" i="68"/>
  <c r="M284" i="68"/>
  <c r="S283" i="68"/>
  <c r="R283" i="68"/>
  <c r="Q283" i="68"/>
  <c r="O283" i="68"/>
  <c r="M283" i="68"/>
  <c r="S282" i="68"/>
  <c r="R282" i="68"/>
  <c r="Q282" i="68"/>
  <c r="O282" i="68"/>
  <c r="M282" i="68"/>
  <c r="S281" i="68"/>
  <c r="R281" i="68"/>
  <c r="Q281" i="68"/>
  <c r="O281" i="68"/>
  <c r="M281" i="68"/>
  <c r="S280" i="68"/>
  <c r="R280" i="68"/>
  <c r="Q280" i="68"/>
  <c r="O280" i="68"/>
  <c r="M280" i="68"/>
  <c r="S279" i="68"/>
  <c r="R279" i="68"/>
  <c r="Q279" i="68"/>
  <c r="O279" i="68"/>
  <c r="M279" i="68"/>
  <c r="S278" i="68"/>
  <c r="R278" i="68"/>
  <c r="Q278" i="68"/>
  <c r="O278" i="68"/>
  <c r="M278" i="68"/>
  <c r="T225" i="68"/>
  <c r="S225" i="68"/>
  <c r="R225" i="68"/>
  <c r="Q225" i="68"/>
  <c r="O225" i="68"/>
  <c r="M225" i="68"/>
  <c r="V225" i="68" s="1"/>
  <c r="T224" i="68"/>
  <c r="S224" i="68"/>
  <c r="R224" i="68"/>
  <c r="Q224" i="68"/>
  <c r="O224" i="68"/>
  <c r="M224" i="68"/>
  <c r="V224" i="68" s="1"/>
  <c r="S223" i="68"/>
  <c r="R223" i="68"/>
  <c r="Q223" i="68"/>
  <c r="O223" i="68"/>
  <c r="M223" i="68"/>
  <c r="T220" i="68"/>
  <c r="S220" i="68"/>
  <c r="R220" i="68"/>
  <c r="Q220" i="68"/>
  <c r="O220" i="68"/>
  <c r="M220" i="68"/>
  <c r="V220" i="68" s="1"/>
  <c r="T219" i="68"/>
  <c r="S219" i="68"/>
  <c r="R219" i="68"/>
  <c r="Q219" i="68"/>
  <c r="O219" i="68"/>
  <c r="M219" i="68"/>
  <c r="V219" i="68" s="1"/>
  <c r="S216" i="68"/>
  <c r="R216" i="68"/>
  <c r="Q216" i="68"/>
  <c r="O216" i="68"/>
  <c r="M216" i="68"/>
  <c r="S215" i="68"/>
  <c r="R215" i="68"/>
  <c r="Q215" i="68"/>
  <c r="O215" i="68"/>
  <c r="M215" i="68"/>
  <c r="S214" i="68"/>
  <c r="R214" i="68"/>
  <c r="Q214" i="68"/>
  <c r="O214" i="68"/>
  <c r="M214" i="68"/>
  <c r="S213" i="68"/>
  <c r="R213" i="68"/>
  <c r="Q213" i="68"/>
  <c r="O213" i="68"/>
  <c r="M213" i="68"/>
  <c r="S212" i="68"/>
  <c r="R212" i="68"/>
  <c r="Q212" i="68"/>
  <c r="O212" i="68"/>
  <c r="M212" i="68"/>
  <c r="S205" i="68"/>
  <c r="R205" i="68"/>
  <c r="Q205" i="68"/>
  <c r="O205" i="68"/>
  <c r="M205" i="68"/>
  <c r="S204" i="68"/>
  <c r="R204" i="68"/>
  <c r="Q204" i="68"/>
  <c r="O204" i="68"/>
  <c r="M204" i="68"/>
  <c r="S203" i="68"/>
  <c r="R203" i="68"/>
  <c r="Q203" i="68"/>
  <c r="O203" i="68"/>
  <c r="M203" i="68"/>
  <c r="S202" i="68"/>
  <c r="R202" i="68"/>
  <c r="Q202" i="68"/>
  <c r="O202" i="68"/>
  <c r="M202" i="68"/>
  <c r="S201" i="68"/>
  <c r="R201" i="68"/>
  <c r="Q201" i="68"/>
  <c r="O201" i="68"/>
  <c r="M201" i="68"/>
  <c r="T200" i="68"/>
  <c r="S200" i="68"/>
  <c r="R200" i="68"/>
  <c r="Q200" i="68"/>
  <c r="O200" i="68"/>
  <c r="M200" i="68"/>
  <c r="V200" i="68" s="1"/>
  <c r="S199" i="68"/>
  <c r="R199" i="68"/>
  <c r="Q199" i="68"/>
  <c r="O199" i="68"/>
  <c r="M199" i="68"/>
  <c r="S196" i="68"/>
  <c r="R196" i="68"/>
  <c r="Q196" i="68"/>
  <c r="O196" i="68"/>
  <c r="M196" i="68"/>
  <c r="S193" i="68"/>
  <c r="R193" i="68"/>
  <c r="Q193" i="68"/>
  <c r="O193" i="68"/>
  <c r="M193" i="68"/>
  <c r="S192" i="68"/>
  <c r="R192" i="68"/>
  <c r="Q192" i="68"/>
  <c r="O192" i="68"/>
  <c r="M192" i="68"/>
  <c r="S191" i="68"/>
  <c r="R191" i="68"/>
  <c r="Q191" i="68"/>
  <c r="O191" i="68"/>
  <c r="M191" i="68"/>
  <c r="S190" i="68"/>
  <c r="R190" i="68"/>
  <c r="Q190" i="68"/>
  <c r="O190" i="68"/>
  <c r="M190" i="68"/>
  <c r="S189" i="68"/>
  <c r="R189" i="68"/>
  <c r="Q189" i="68"/>
  <c r="O189" i="68"/>
  <c r="M189" i="68"/>
  <c r="S188" i="68"/>
  <c r="R188" i="68"/>
  <c r="Q188" i="68"/>
  <c r="O188" i="68"/>
  <c r="M188" i="68"/>
  <c r="S181" i="68"/>
  <c r="R181" i="68"/>
  <c r="Q181" i="68"/>
  <c r="O181" i="68"/>
  <c r="M181" i="68"/>
  <c r="S180" i="68"/>
  <c r="R180" i="68"/>
  <c r="Q180" i="68"/>
  <c r="O180" i="68"/>
  <c r="M180" i="68"/>
  <c r="S179" i="68"/>
  <c r="R179" i="68"/>
  <c r="Q179" i="68"/>
  <c r="M179" i="68"/>
  <c r="S178" i="68"/>
  <c r="R178" i="68"/>
  <c r="Q178" i="68"/>
  <c r="O178" i="68"/>
  <c r="M178" i="68"/>
  <c r="S177" i="68"/>
  <c r="R177" i="68"/>
  <c r="Q177" i="68"/>
  <c r="O177" i="68"/>
  <c r="M177" i="68"/>
  <c r="S176" i="68"/>
  <c r="R176" i="68"/>
  <c r="Q176" i="68"/>
  <c r="O176" i="68"/>
  <c r="M176" i="68"/>
  <c r="V176" i="68" s="1"/>
  <c r="S175" i="68"/>
  <c r="R175" i="68"/>
  <c r="Q175" i="68"/>
  <c r="O175" i="68"/>
  <c r="M175" i="68"/>
  <c r="T172" i="68"/>
  <c r="S172" i="68"/>
  <c r="R172" i="68"/>
  <c r="Q172" i="68"/>
  <c r="O172" i="68"/>
  <c r="M172" i="68"/>
  <c r="V172" i="68" s="1"/>
  <c r="S171" i="68"/>
  <c r="R171" i="68"/>
  <c r="Q171" i="68"/>
  <c r="O171" i="68"/>
  <c r="M171" i="68"/>
  <c r="S170" i="68"/>
  <c r="R170" i="68"/>
  <c r="Q170" i="68"/>
  <c r="O170" i="68"/>
  <c r="M170" i="68"/>
  <c r="S167" i="68"/>
  <c r="R167" i="68"/>
  <c r="Q167" i="68"/>
  <c r="O167" i="68"/>
  <c r="M167" i="68"/>
  <c r="S166" i="68"/>
  <c r="R166" i="68"/>
  <c r="Q166" i="68"/>
  <c r="O166" i="68"/>
  <c r="M166" i="68"/>
  <c r="S165" i="68"/>
  <c r="R165" i="68"/>
  <c r="Q165" i="68"/>
  <c r="O165" i="68"/>
  <c r="M165" i="68"/>
  <c r="S164" i="68"/>
  <c r="R164" i="68"/>
  <c r="Q164" i="68"/>
  <c r="O164" i="68"/>
  <c r="M164" i="68"/>
  <c r="S163" i="68"/>
  <c r="R163" i="68"/>
  <c r="Q163" i="68"/>
  <c r="O163" i="68"/>
  <c r="M163" i="68"/>
  <c r="S162" i="68"/>
  <c r="R162" i="68"/>
  <c r="Q162" i="68"/>
  <c r="O162" i="68"/>
  <c r="M162" i="68"/>
  <c r="S161" i="68"/>
  <c r="R161" i="68"/>
  <c r="Q161" i="68"/>
  <c r="O161" i="68"/>
  <c r="M161" i="68"/>
  <c r="S160" i="68"/>
  <c r="R160" i="68"/>
  <c r="Q160" i="68"/>
  <c r="O160" i="68"/>
  <c r="M160" i="68"/>
  <c r="S153" i="68"/>
  <c r="R153" i="68"/>
  <c r="Q153" i="68"/>
  <c r="O153" i="68"/>
  <c r="M153" i="68"/>
  <c r="S151" i="68"/>
  <c r="R151" i="68"/>
  <c r="Q151" i="68"/>
  <c r="O151" i="68"/>
  <c r="M151" i="68"/>
  <c r="S148" i="68"/>
  <c r="R148" i="68"/>
  <c r="Q148" i="68"/>
  <c r="O148" i="68"/>
  <c r="M148" i="68"/>
  <c r="S146" i="68"/>
  <c r="R146" i="68"/>
  <c r="Q146" i="68"/>
  <c r="O146" i="68"/>
  <c r="M146" i="68"/>
  <c r="S143" i="68"/>
  <c r="R143" i="68"/>
  <c r="Q143" i="68"/>
  <c r="O143" i="68"/>
  <c r="M143" i="68"/>
  <c r="S142" i="68"/>
  <c r="R142" i="68"/>
  <c r="Q142" i="68"/>
  <c r="O142" i="68"/>
  <c r="M142" i="68"/>
  <c r="S141" i="68"/>
  <c r="R141" i="68"/>
  <c r="Q141" i="68"/>
  <c r="O141" i="68"/>
  <c r="M141" i="68"/>
  <c r="S140" i="68"/>
  <c r="R140" i="68"/>
  <c r="Q140" i="68"/>
  <c r="O140" i="68"/>
  <c r="M140" i="68"/>
  <c r="S138" i="68"/>
  <c r="R138" i="68"/>
  <c r="Q138" i="68"/>
  <c r="O138" i="68"/>
  <c r="M138" i="68"/>
  <c r="T130" i="68"/>
  <c r="S130" i="68"/>
  <c r="R130" i="68"/>
  <c r="Q130" i="68"/>
  <c r="O130" i="68"/>
  <c r="M130" i="68"/>
  <c r="V130" i="68" s="1"/>
  <c r="S127" i="68"/>
  <c r="R127" i="68"/>
  <c r="Q127" i="68"/>
  <c r="O127" i="68"/>
  <c r="M127" i="68"/>
  <c r="T126" i="68"/>
  <c r="S126" i="68"/>
  <c r="R126" i="68"/>
  <c r="Q126" i="68"/>
  <c r="O126" i="68"/>
  <c r="M126" i="68"/>
  <c r="V126" i="68" s="1"/>
  <c r="S125" i="68"/>
  <c r="R125" i="68"/>
  <c r="Q125" i="68"/>
  <c r="O125" i="68"/>
  <c r="M125" i="68"/>
  <c r="V125" i="68" s="1"/>
  <c r="T124" i="68"/>
  <c r="S124" i="68"/>
  <c r="R124" i="68"/>
  <c r="Q124" i="68"/>
  <c r="O124" i="68"/>
  <c r="M124" i="68"/>
  <c r="S123" i="68"/>
  <c r="R123" i="68"/>
  <c r="Q123" i="68"/>
  <c r="O123" i="68"/>
  <c r="M123" i="68"/>
  <c r="S122" i="68"/>
  <c r="R122" i="68"/>
  <c r="Q122" i="68"/>
  <c r="O122" i="68"/>
  <c r="M122" i="68"/>
  <c r="T121" i="68"/>
  <c r="S121" i="68"/>
  <c r="R121" i="68"/>
  <c r="Q121" i="68"/>
  <c r="O121" i="68"/>
  <c r="M121" i="68"/>
  <c r="V121" i="68" s="1"/>
  <c r="S120" i="68"/>
  <c r="R120" i="68"/>
  <c r="Q120" i="68"/>
  <c r="O120" i="68"/>
  <c r="M120" i="68"/>
  <c r="T119" i="68"/>
  <c r="S119" i="68"/>
  <c r="R119" i="68"/>
  <c r="Q119" i="68"/>
  <c r="O119" i="68"/>
  <c r="M119" i="68"/>
  <c r="V119" i="68" s="1"/>
  <c r="T118" i="68"/>
  <c r="S118" i="68"/>
  <c r="R118" i="68"/>
  <c r="Q118" i="68"/>
  <c r="O118" i="68"/>
  <c r="M118" i="68"/>
  <c r="V118" i="68" s="1"/>
  <c r="S115" i="68"/>
  <c r="R115" i="68"/>
  <c r="Q115" i="68"/>
  <c r="O115" i="68"/>
  <c r="M115" i="68"/>
  <c r="S114" i="68"/>
  <c r="R114" i="68"/>
  <c r="Q114" i="68"/>
  <c r="O114" i="68"/>
  <c r="M114" i="68"/>
  <c r="S113" i="68"/>
  <c r="R113" i="68"/>
  <c r="Q113" i="68"/>
  <c r="O113" i="68"/>
  <c r="M113" i="68"/>
  <c r="S110" i="68"/>
  <c r="R110" i="68"/>
  <c r="Q110" i="68"/>
  <c r="O110" i="68"/>
  <c r="M110" i="68"/>
  <c r="S109" i="68"/>
  <c r="R109" i="68"/>
  <c r="Q109" i="68"/>
  <c r="O109" i="68"/>
  <c r="M109" i="68"/>
  <c r="S108" i="68"/>
  <c r="R108" i="68"/>
  <c r="Q108" i="68"/>
  <c r="O108" i="68"/>
  <c r="M108" i="68"/>
  <c r="S107" i="68"/>
  <c r="R107" i="68"/>
  <c r="Q107" i="68"/>
  <c r="O107" i="68"/>
  <c r="M107" i="68"/>
  <c r="S106" i="68"/>
  <c r="R106" i="68"/>
  <c r="Q106" i="68"/>
  <c r="O106" i="68"/>
  <c r="M106" i="68"/>
  <c r="S105" i="68"/>
  <c r="R105" i="68"/>
  <c r="Q105" i="68"/>
  <c r="O105" i="68"/>
  <c r="M105" i="68"/>
  <c r="S104" i="68"/>
  <c r="R104" i="68"/>
  <c r="Q104" i="68"/>
  <c r="O104" i="68"/>
  <c r="M104" i="68"/>
  <c r="V104" i="68" s="1"/>
  <c r="S103" i="68"/>
  <c r="R103" i="68"/>
  <c r="Q103" i="68"/>
  <c r="O103" i="68"/>
  <c r="M103" i="68"/>
  <c r="S102" i="68"/>
  <c r="R102" i="68"/>
  <c r="Q102" i="68"/>
  <c r="O102" i="68"/>
  <c r="M102" i="68"/>
  <c r="S101" i="68"/>
  <c r="R101" i="68"/>
  <c r="Q101" i="68"/>
  <c r="O101" i="68"/>
  <c r="M101" i="68"/>
  <c r="S94" i="68"/>
  <c r="R94" i="68"/>
  <c r="Q94" i="68"/>
  <c r="O94" i="68"/>
  <c r="M94" i="68"/>
  <c r="V94" i="68" s="1"/>
  <c r="S93" i="68"/>
  <c r="R93" i="68"/>
  <c r="Q93" i="68"/>
  <c r="O93" i="68"/>
  <c r="M93" i="68"/>
  <c r="V93" i="68" s="1"/>
  <c r="S92" i="68"/>
  <c r="R92" i="68"/>
  <c r="Q92" i="68"/>
  <c r="O92" i="68"/>
  <c r="M92" i="68"/>
  <c r="V92" i="68" s="1"/>
  <c r="S91" i="68"/>
  <c r="R91" i="68"/>
  <c r="Q91" i="68"/>
  <c r="O91" i="68"/>
  <c r="M91" i="68"/>
  <c r="V91" i="68" s="1"/>
  <c r="S90" i="68"/>
  <c r="R90" i="68"/>
  <c r="Q90" i="68"/>
  <c r="O90" i="68"/>
  <c r="M90" i="68"/>
  <c r="V90" i="68" s="1"/>
  <c r="S89" i="68"/>
  <c r="R89" i="68"/>
  <c r="Q89" i="68"/>
  <c r="O89" i="68"/>
  <c r="M89" i="68"/>
  <c r="V89" i="68" s="1"/>
  <c r="S88" i="68"/>
  <c r="R88" i="68"/>
  <c r="Q88" i="68"/>
  <c r="O88" i="68"/>
  <c r="M88" i="68"/>
  <c r="S87" i="68"/>
  <c r="R87" i="68"/>
  <c r="Q87" i="68"/>
  <c r="O87" i="68"/>
  <c r="M87" i="68"/>
  <c r="V87" i="68" s="1"/>
  <c r="S86" i="68"/>
  <c r="R86" i="68"/>
  <c r="Q86" i="68"/>
  <c r="O86" i="68"/>
  <c r="M86" i="68"/>
  <c r="V86" i="68" s="1"/>
  <c r="S85" i="68"/>
  <c r="R85" i="68"/>
  <c r="Q85" i="68"/>
  <c r="O85" i="68"/>
  <c r="M85" i="68"/>
  <c r="S84" i="68"/>
  <c r="R84" i="68"/>
  <c r="Q84" i="68"/>
  <c r="O84" i="68"/>
  <c r="M84" i="68"/>
  <c r="S83" i="68"/>
  <c r="R83" i="68"/>
  <c r="Q83" i="68"/>
  <c r="O83" i="68"/>
  <c r="M83" i="68"/>
  <c r="V83" i="68" s="1"/>
  <c r="S82" i="68"/>
  <c r="R82" i="68"/>
  <c r="Q82" i="68"/>
  <c r="O82" i="68"/>
  <c r="M82" i="68"/>
  <c r="S81" i="68"/>
  <c r="R81" i="68"/>
  <c r="Q81" i="68"/>
  <c r="O81" i="68"/>
  <c r="M81" i="68"/>
  <c r="V81" i="68" s="1"/>
  <c r="S80" i="68"/>
  <c r="R80" i="68"/>
  <c r="Q80" i="68"/>
  <c r="O80" i="68"/>
  <c r="M80" i="68"/>
  <c r="S79" i="68"/>
  <c r="R79" i="68"/>
  <c r="Q79" i="68"/>
  <c r="O79" i="68"/>
  <c r="M79" i="68"/>
  <c r="V79" i="68" s="1"/>
  <c r="S78" i="68"/>
  <c r="R78" i="68"/>
  <c r="Q78" i="68"/>
  <c r="O78" i="68"/>
  <c r="M78" i="68"/>
  <c r="V78" i="68" s="1"/>
  <c r="S77" i="68"/>
  <c r="R77" i="68"/>
  <c r="Q77" i="68"/>
  <c r="O77" i="68"/>
  <c r="M77" i="68"/>
  <c r="S76" i="68"/>
  <c r="R76" i="68"/>
  <c r="Q76" i="68"/>
  <c r="O76" i="68"/>
  <c r="M76" i="68"/>
  <c r="S75" i="68"/>
  <c r="R75" i="68"/>
  <c r="Q75" i="68"/>
  <c r="O75" i="68"/>
  <c r="M75" i="68"/>
  <c r="T74" i="68"/>
  <c r="Y74" i="68" s="1"/>
  <c r="S74" i="68"/>
  <c r="R74" i="68"/>
  <c r="Q74" i="68"/>
  <c r="O74" i="68"/>
  <c r="M74" i="68"/>
  <c r="V74" i="68" s="1"/>
  <c r="S72" i="68"/>
  <c r="R72" i="68"/>
  <c r="Q72" i="68"/>
  <c r="O72" i="68"/>
  <c r="M72" i="68"/>
  <c r="V72" i="68" s="1"/>
  <c r="S71" i="68"/>
  <c r="R71" i="68"/>
  <c r="Q71" i="68"/>
  <c r="O71" i="68"/>
  <c r="M71" i="68"/>
  <c r="S70" i="68"/>
  <c r="R70" i="68"/>
  <c r="Q70" i="68"/>
  <c r="O70" i="68"/>
  <c r="M70" i="68"/>
  <c r="V70" i="68" s="1"/>
  <c r="S69" i="68"/>
  <c r="R69" i="68"/>
  <c r="Q69" i="68"/>
  <c r="O69" i="68"/>
  <c r="M69" i="68"/>
  <c r="S67" i="68"/>
  <c r="R67" i="68"/>
  <c r="Q67" i="68"/>
  <c r="O67" i="68"/>
  <c r="M67" i="68"/>
  <c r="S64" i="68"/>
  <c r="R64" i="68"/>
  <c r="Q64" i="68"/>
  <c r="O64" i="68"/>
  <c r="M64" i="68"/>
  <c r="S63" i="68"/>
  <c r="R63" i="68"/>
  <c r="Q63" i="68"/>
  <c r="O63" i="68"/>
  <c r="M63" i="68"/>
  <c r="S62" i="68"/>
  <c r="R62" i="68"/>
  <c r="Q62" i="68"/>
  <c r="O62" i="68"/>
  <c r="M62" i="68"/>
  <c r="S61" i="68"/>
  <c r="R61" i="68"/>
  <c r="Q61" i="68"/>
  <c r="O61" i="68"/>
  <c r="M61" i="68"/>
  <c r="S60" i="68"/>
  <c r="R60" i="68"/>
  <c r="Q60" i="68"/>
  <c r="O60" i="68"/>
  <c r="M60" i="68"/>
  <c r="S59" i="68"/>
  <c r="R59" i="68"/>
  <c r="Q59" i="68"/>
  <c r="O59" i="68"/>
  <c r="M59" i="68"/>
  <c r="S58" i="68"/>
  <c r="R58" i="68"/>
  <c r="Q58" i="68"/>
  <c r="O58" i="68"/>
  <c r="M58" i="68"/>
  <c r="V58" i="68" s="1"/>
  <c r="S57" i="68"/>
  <c r="R57" i="68"/>
  <c r="Q57" i="68"/>
  <c r="O57" i="68"/>
  <c r="M57" i="68"/>
  <c r="S56" i="68"/>
  <c r="R56" i="68"/>
  <c r="Q56" i="68"/>
  <c r="O56" i="68"/>
  <c r="M56" i="68"/>
  <c r="S55" i="68"/>
  <c r="R55" i="68"/>
  <c r="Q55" i="68"/>
  <c r="O55" i="68"/>
  <c r="M55" i="68"/>
  <c r="S54" i="68"/>
  <c r="R54" i="68"/>
  <c r="Q54" i="68"/>
  <c r="O54" i="68"/>
  <c r="M54" i="68"/>
  <c r="S53" i="68"/>
  <c r="R53" i="68"/>
  <c r="Q53" i="68"/>
  <c r="O53" i="68"/>
  <c r="M53" i="68"/>
  <c r="S52" i="68"/>
  <c r="R52" i="68"/>
  <c r="Q52" i="68"/>
  <c r="O52" i="68"/>
  <c r="M52" i="68"/>
  <c r="S51" i="68"/>
  <c r="R51" i="68"/>
  <c r="Q51" i="68"/>
  <c r="O51" i="68"/>
  <c r="M51" i="68"/>
  <c r="S50" i="68"/>
  <c r="R50" i="68"/>
  <c r="Q50" i="68"/>
  <c r="O50" i="68"/>
  <c r="M50" i="68"/>
  <c r="S49" i="68"/>
  <c r="R49" i="68"/>
  <c r="Q49" i="68"/>
  <c r="O49" i="68"/>
  <c r="M49" i="68"/>
  <c r="S48" i="68"/>
  <c r="R48" i="68"/>
  <c r="Q48" i="68"/>
  <c r="O48" i="68"/>
  <c r="M48" i="68"/>
  <c r="S47" i="68"/>
  <c r="R47" i="68"/>
  <c r="Q47" i="68"/>
  <c r="O47" i="68"/>
  <c r="M47" i="68"/>
  <c r="V47" i="68" s="1"/>
  <c r="S46" i="68"/>
  <c r="R46" i="68"/>
  <c r="Q46" i="68"/>
  <c r="O46" i="68"/>
  <c r="M46" i="68"/>
  <c r="S45" i="68"/>
  <c r="R45" i="68"/>
  <c r="Q45" i="68"/>
  <c r="O45" i="68"/>
  <c r="M45" i="68"/>
  <c r="S44" i="68"/>
  <c r="R44" i="68"/>
  <c r="Q44" i="68"/>
  <c r="O44" i="68"/>
  <c r="M44" i="68"/>
  <c r="S43" i="68"/>
  <c r="R43" i="68"/>
  <c r="Q43" i="68"/>
  <c r="O43" i="68"/>
  <c r="M43" i="68"/>
  <c r="S42" i="68"/>
  <c r="R42" i="68"/>
  <c r="Q42" i="68"/>
  <c r="O42" i="68"/>
  <c r="M42" i="68"/>
  <c r="S41" i="68"/>
  <c r="R41" i="68"/>
  <c r="Q41" i="68"/>
  <c r="O41" i="68"/>
  <c r="M41" i="68"/>
  <c r="S40" i="68"/>
  <c r="R40" i="68"/>
  <c r="Q40" i="68"/>
  <c r="O40" i="68"/>
  <c r="M40" i="68"/>
  <c r="S39" i="68"/>
  <c r="R39" i="68"/>
  <c r="Q39" i="68"/>
  <c r="O39" i="68"/>
  <c r="M39" i="68"/>
  <c r="V39" i="68" s="1"/>
  <c r="S38" i="68"/>
  <c r="R38" i="68"/>
  <c r="Q38" i="68"/>
  <c r="O38" i="68"/>
  <c r="M38" i="68"/>
  <c r="V38" i="68" s="1"/>
  <c r="S37" i="68"/>
  <c r="R37" i="68"/>
  <c r="Q37" i="68"/>
  <c r="O37" i="68"/>
  <c r="M37" i="68"/>
  <c r="V37" i="68" s="1"/>
  <c r="S36" i="68"/>
  <c r="R36" i="68"/>
  <c r="Q36" i="68"/>
  <c r="O36" i="68"/>
  <c r="M36" i="68"/>
  <c r="S35" i="68"/>
  <c r="R35" i="68"/>
  <c r="Q35" i="68"/>
  <c r="O35" i="68"/>
  <c r="M35" i="68"/>
  <c r="S34" i="68"/>
  <c r="R34" i="68"/>
  <c r="Q34" i="68"/>
  <c r="O34" i="68"/>
  <c r="M34" i="68"/>
  <c r="S33" i="68"/>
  <c r="R33" i="68"/>
  <c r="Q33" i="68"/>
  <c r="O33" i="68"/>
  <c r="M33" i="68"/>
  <c r="S32" i="68"/>
  <c r="R32" i="68"/>
  <c r="Q32" i="68"/>
  <c r="O32" i="68"/>
  <c r="M32" i="68"/>
  <c r="S31" i="68"/>
  <c r="R31" i="68"/>
  <c r="Q31" i="68"/>
  <c r="O31" i="68"/>
  <c r="M31" i="68"/>
  <c r="V31" i="68" s="1"/>
  <c r="S30" i="68"/>
  <c r="R30" i="68"/>
  <c r="Q30" i="68"/>
  <c r="O30" i="68"/>
  <c r="M30" i="68"/>
  <c r="S29" i="68"/>
  <c r="R29" i="68"/>
  <c r="Q29" i="68"/>
  <c r="O29" i="68"/>
  <c r="M29" i="68"/>
  <c r="S28" i="68"/>
  <c r="R28" i="68"/>
  <c r="Q28" i="68"/>
  <c r="O28" i="68"/>
  <c r="M28" i="68"/>
  <c r="S27" i="68"/>
  <c r="R27" i="68"/>
  <c r="Q27" i="68"/>
  <c r="O27" i="68"/>
  <c r="M27" i="68"/>
  <c r="S26" i="68"/>
  <c r="R26" i="68"/>
  <c r="Q26" i="68"/>
  <c r="O26" i="68"/>
  <c r="M26" i="68"/>
  <c r="S25" i="68"/>
  <c r="R25" i="68"/>
  <c r="Q25" i="68"/>
  <c r="O25" i="68"/>
  <c r="M25" i="68"/>
  <c r="S24" i="68"/>
  <c r="R24" i="68"/>
  <c r="Q24" i="68"/>
  <c r="O24" i="68"/>
  <c r="M24" i="68"/>
  <c r="S23" i="68"/>
  <c r="R23" i="68"/>
  <c r="Q23" i="68"/>
  <c r="O23" i="68"/>
  <c r="M23" i="68"/>
  <c r="S22" i="68"/>
  <c r="R22" i="68"/>
  <c r="Q22" i="68"/>
  <c r="O22" i="68"/>
  <c r="M22" i="68"/>
  <c r="S21" i="68"/>
  <c r="R21" i="68"/>
  <c r="Q21" i="68"/>
  <c r="O21" i="68"/>
  <c r="M21" i="68"/>
  <c r="S20" i="68"/>
  <c r="R20" i="68"/>
  <c r="Q20" i="68"/>
  <c r="O20" i="68"/>
  <c r="M20" i="68"/>
  <c r="V20" i="68" s="1"/>
  <c r="S19" i="68"/>
  <c r="R19" i="68"/>
  <c r="Q19" i="68"/>
  <c r="O19" i="68"/>
  <c r="M19" i="68"/>
  <c r="S18" i="68"/>
  <c r="R18" i="68"/>
  <c r="Q18" i="68"/>
  <c r="O18" i="68"/>
  <c r="M18" i="68"/>
  <c r="S17" i="68"/>
  <c r="R17" i="68"/>
  <c r="Q17" i="68"/>
  <c r="O17" i="68"/>
  <c r="M17" i="68"/>
  <c r="S16" i="68"/>
  <c r="R16" i="68"/>
  <c r="Q16" i="68"/>
  <c r="O16" i="68"/>
  <c r="M16" i="68"/>
  <c r="S15" i="68"/>
  <c r="R15" i="68"/>
  <c r="Q15" i="68"/>
  <c r="O15" i="68"/>
  <c r="M15" i="68"/>
  <c r="S14" i="68"/>
  <c r="R14" i="68"/>
  <c r="Q14" i="68"/>
  <c r="O14" i="68"/>
  <c r="M14" i="68"/>
  <c r="S13" i="68"/>
  <c r="R13" i="68"/>
  <c r="Q13" i="68"/>
  <c r="O13" i="68"/>
  <c r="M13" i="68"/>
  <c r="S12" i="68"/>
  <c r="R12" i="68"/>
  <c r="Q12" i="68"/>
  <c r="O12" i="68"/>
  <c r="M12" i="68"/>
  <c r="V12" i="68" s="1"/>
  <c r="O10" i="68"/>
  <c r="M10" i="68"/>
  <c r="E107" i="6" s="1"/>
  <c r="S11" i="68"/>
  <c r="R11" i="68"/>
  <c r="Q11" i="68"/>
  <c r="O11" i="68"/>
  <c r="M11" i="68"/>
  <c r="S747" i="114"/>
  <c r="R747" i="114"/>
  <c r="Q747" i="114"/>
  <c r="O747" i="114"/>
  <c r="M747" i="114"/>
  <c r="S746" i="114"/>
  <c r="R746" i="114"/>
  <c r="Q746" i="114"/>
  <c r="O746" i="114"/>
  <c r="M746" i="114"/>
  <c r="V746" i="114" s="1"/>
  <c r="S744" i="114"/>
  <c r="R744" i="114"/>
  <c r="Q744" i="114"/>
  <c r="O744" i="114"/>
  <c r="M744" i="114"/>
  <c r="S743" i="114"/>
  <c r="R743" i="114"/>
  <c r="Q743" i="114"/>
  <c r="O743" i="114"/>
  <c r="M743" i="114"/>
  <c r="S740" i="114"/>
  <c r="R740" i="114"/>
  <c r="Q740" i="114"/>
  <c r="O740" i="114"/>
  <c r="M740" i="114"/>
  <c r="S736" i="114"/>
  <c r="R736" i="114"/>
  <c r="Q736" i="114"/>
  <c r="O736" i="114"/>
  <c r="M736" i="114"/>
  <c r="S728" i="114"/>
  <c r="R728" i="114"/>
  <c r="Q728" i="114"/>
  <c r="O728" i="114"/>
  <c r="M728" i="114"/>
  <c r="S727" i="114"/>
  <c r="R727" i="114"/>
  <c r="Q727" i="114"/>
  <c r="O727" i="114"/>
  <c r="M727" i="114"/>
  <c r="S725" i="114"/>
  <c r="R725" i="114"/>
  <c r="Q725" i="114"/>
  <c r="O725" i="114"/>
  <c r="M725" i="114"/>
  <c r="S724" i="114"/>
  <c r="R724" i="114"/>
  <c r="Q724" i="114"/>
  <c r="O724" i="114"/>
  <c r="M724" i="114"/>
  <c r="S723" i="114"/>
  <c r="R723" i="114"/>
  <c r="Q723" i="114"/>
  <c r="O723" i="114"/>
  <c r="M723" i="114"/>
  <c r="S722" i="114"/>
  <c r="R722" i="114"/>
  <c r="Q722" i="114"/>
  <c r="O722" i="114"/>
  <c r="M722" i="114"/>
  <c r="S721" i="114"/>
  <c r="R721" i="114"/>
  <c r="Q721" i="114"/>
  <c r="O721" i="114"/>
  <c r="M721" i="114"/>
  <c r="S720" i="114"/>
  <c r="R720" i="114"/>
  <c r="Q720" i="114"/>
  <c r="O720" i="114"/>
  <c r="M720" i="114"/>
  <c r="T719" i="114"/>
  <c r="Y719" i="114" s="1"/>
  <c r="S719" i="114"/>
  <c r="R719" i="114"/>
  <c r="Q719" i="114"/>
  <c r="O719" i="114"/>
  <c r="M719" i="114"/>
  <c r="V719" i="114" s="1"/>
  <c r="S718" i="114"/>
  <c r="R718" i="114"/>
  <c r="Q718" i="114"/>
  <c r="O718" i="114"/>
  <c r="M718" i="114"/>
  <c r="S717" i="114"/>
  <c r="R717" i="114"/>
  <c r="Q717" i="114"/>
  <c r="O717" i="114"/>
  <c r="M717" i="114"/>
  <c r="S715" i="114"/>
  <c r="R715" i="114"/>
  <c r="Q715" i="114"/>
  <c r="O715" i="114"/>
  <c r="M715" i="114"/>
  <c r="V715" i="114" s="1"/>
  <c r="S714" i="114"/>
  <c r="R714" i="114"/>
  <c r="Q714" i="114"/>
  <c r="O714" i="114"/>
  <c r="M714" i="114"/>
  <c r="T713" i="114"/>
  <c r="Y713" i="114" s="1"/>
  <c r="S713" i="114"/>
  <c r="R713" i="114"/>
  <c r="Q713" i="114"/>
  <c r="O713" i="114"/>
  <c r="M713" i="114"/>
  <c r="V713" i="114" s="1"/>
  <c r="S712" i="114"/>
  <c r="R712" i="114"/>
  <c r="Q712" i="114"/>
  <c r="O712" i="114"/>
  <c r="M712" i="114"/>
  <c r="S711" i="114"/>
  <c r="R711" i="114"/>
  <c r="Q711" i="114"/>
  <c r="O711" i="114"/>
  <c r="M711" i="114"/>
  <c r="S710" i="114"/>
  <c r="R710" i="114"/>
  <c r="Q710" i="114"/>
  <c r="O710" i="114"/>
  <c r="M710" i="114"/>
  <c r="S709" i="114"/>
  <c r="R709" i="114"/>
  <c r="Q709" i="114"/>
  <c r="O709" i="114"/>
  <c r="M709" i="114"/>
  <c r="S708" i="114"/>
  <c r="R708" i="114"/>
  <c r="Q708" i="114"/>
  <c r="O708" i="114"/>
  <c r="M708" i="114"/>
  <c r="S707" i="114"/>
  <c r="R707" i="114"/>
  <c r="Q707" i="114"/>
  <c r="O707" i="114"/>
  <c r="M707" i="114"/>
  <c r="S706" i="114"/>
  <c r="R706" i="114"/>
  <c r="Q706" i="114"/>
  <c r="O706" i="114"/>
  <c r="M706" i="114"/>
  <c r="S703" i="114"/>
  <c r="R703" i="114"/>
  <c r="Q703" i="114"/>
  <c r="O703" i="114"/>
  <c r="M703" i="114"/>
  <c r="S702" i="114"/>
  <c r="R702" i="114"/>
  <c r="Q702" i="114"/>
  <c r="O702" i="114"/>
  <c r="M702" i="114"/>
  <c r="S701" i="114"/>
  <c r="R701" i="114"/>
  <c r="Q701" i="114"/>
  <c r="O701" i="114"/>
  <c r="M701" i="114"/>
  <c r="S697" i="114"/>
  <c r="R697" i="114"/>
  <c r="Q697" i="114"/>
  <c r="O697" i="114"/>
  <c r="M697" i="114"/>
  <c r="S696" i="114"/>
  <c r="R696" i="114"/>
  <c r="Q696" i="114"/>
  <c r="O696" i="114"/>
  <c r="M696" i="114"/>
  <c r="S693" i="114"/>
  <c r="R693" i="114"/>
  <c r="Q693" i="114"/>
  <c r="O693" i="114"/>
  <c r="M693" i="114"/>
  <c r="S692" i="114"/>
  <c r="R692" i="114"/>
  <c r="Q692" i="114"/>
  <c r="O692" i="114"/>
  <c r="M692" i="114"/>
  <c r="S691" i="114"/>
  <c r="R691" i="114"/>
  <c r="Q691" i="114"/>
  <c r="O691" i="114"/>
  <c r="M691" i="114"/>
  <c r="S688" i="114"/>
  <c r="R688" i="114"/>
  <c r="Q688" i="114"/>
  <c r="O688" i="114"/>
  <c r="M688" i="114"/>
  <c r="V688" i="114" s="1"/>
  <c r="S687" i="114"/>
  <c r="R687" i="114"/>
  <c r="Q687" i="114"/>
  <c r="O687" i="114"/>
  <c r="M687" i="114"/>
  <c r="V687" i="114" s="1"/>
  <c r="S686" i="114"/>
  <c r="R686" i="114"/>
  <c r="Q686" i="114"/>
  <c r="O686" i="114"/>
  <c r="M686" i="114"/>
  <c r="V686" i="114" s="1"/>
  <c r="S685" i="114"/>
  <c r="R685" i="114"/>
  <c r="Q685" i="114"/>
  <c r="O685" i="114"/>
  <c r="M685" i="114"/>
  <c r="S684" i="114"/>
  <c r="R684" i="114"/>
  <c r="Q684" i="114"/>
  <c r="O684" i="114"/>
  <c r="M684" i="114"/>
  <c r="V684" i="114" s="1"/>
  <c r="S683" i="114"/>
  <c r="R683" i="114"/>
  <c r="Q683" i="114"/>
  <c r="O683" i="114"/>
  <c r="M683" i="114"/>
  <c r="S682" i="114"/>
  <c r="R682" i="114"/>
  <c r="Q682" i="114"/>
  <c r="O682" i="114"/>
  <c r="M682" i="114"/>
  <c r="V682" i="114" s="1"/>
  <c r="S681" i="114"/>
  <c r="R681" i="114"/>
  <c r="Q681" i="114"/>
  <c r="O681" i="114"/>
  <c r="M681" i="114"/>
  <c r="S680" i="114"/>
  <c r="R680" i="114"/>
  <c r="Q680" i="114"/>
  <c r="O680" i="114"/>
  <c r="M680" i="114"/>
  <c r="S679" i="114"/>
  <c r="R679" i="114"/>
  <c r="Q679" i="114"/>
  <c r="O679" i="114"/>
  <c r="M679" i="114"/>
  <c r="S678" i="114"/>
  <c r="R678" i="114"/>
  <c r="Q678" i="114"/>
  <c r="O678" i="114"/>
  <c r="M678" i="114"/>
  <c r="S677" i="114"/>
  <c r="R677" i="114"/>
  <c r="Q677" i="114"/>
  <c r="O677" i="114"/>
  <c r="M677" i="114"/>
  <c r="S676" i="114"/>
  <c r="R676" i="114"/>
  <c r="Q676" i="114"/>
  <c r="O676" i="114"/>
  <c r="M676" i="114"/>
  <c r="S668" i="114"/>
  <c r="R668" i="114"/>
  <c r="Q668" i="114"/>
  <c r="O668" i="114"/>
  <c r="M668" i="114"/>
  <c r="T666" i="114"/>
  <c r="Y666" i="114" s="1"/>
  <c r="S666" i="114"/>
  <c r="R666" i="114"/>
  <c r="Q666" i="114"/>
  <c r="O666" i="114"/>
  <c r="M666" i="114"/>
  <c r="V666" i="114" s="1"/>
  <c r="T665" i="114"/>
  <c r="Y665" i="114" s="1"/>
  <c r="S665" i="114"/>
  <c r="R665" i="114"/>
  <c r="Q665" i="114"/>
  <c r="O665" i="114"/>
  <c r="M665" i="114"/>
  <c r="V665" i="114" s="1"/>
  <c r="T664" i="114"/>
  <c r="Y664" i="114" s="1"/>
  <c r="S664" i="114"/>
  <c r="R664" i="114"/>
  <c r="Q664" i="114"/>
  <c r="O664" i="114"/>
  <c r="M664" i="114"/>
  <c r="V664" i="114" s="1"/>
  <c r="T663" i="114"/>
  <c r="Y663" i="114" s="1"/>
  <c r="S663" i="114"/>
  <c r="R663" i="114"/>
  <c r="Q663" i="114"/>
  <c r="O663" i="114"/>
  <c r="M663" i="114"/>
  <c r="V663" i="114" s="1"/>
  <c r="S662" i="114"/>
  <c r="R662" i="114"/>
  <c r="Q662" i="114"/>
  <c r="O662" i="114"/>
  <c r="M662" i="114"/>
  <c r="V662" i="114" s="1"/>
  <c r="S661" i="114"/>
  <c r="R661" i="114"/>
  <c r="Q661" i="114"/>
  <c r="O661" i="114"/>
  <c r="M661" i="114"/>
  <c r="V661" i="114" s="1"/>
  <c r="S658" i="114"/>
  <c r="R658" i="114"/>
  <c r="Q658" i="114"/>
  <c r="O658" i="114"/>
  <c r="M658" i="114"/>
  <c r="V658" i="114" s="1"/>
  <c r="S657" i="114"/>
  <c r="R657" i="114"/>
  <c r="Q657" i="114"/>
  <c r="O657" i="114"/>
  <c r="M657" i="114"/>
  <c r="S656" i="114"/>
  <c r="R656" i="114"/>
  <c r="Q656" i="114"/>
  <c r="O656" i="114"/>
  <c r="M656" i="114"/>
  <c r="V656" i="114" s="1"/>
  <c r="S655" i="114"/>
  <c r="R655" i="114"/>
  <c r="Q655" i="114"/>
  <c r="O655" i="114"/>
  <c r="M655" i="114"/>
  <c r="S654" i="114"/>
  <c r="R654" i="114"/>
  <c r="Q654" i="114"/>
  <c r="O654" i="114"/>
  <c r="M654" i="114"/>
  <c r="V654" i="114" s="1"/>
  <c r="S653" i="114"/>
  <c r="R653" i="114"/>
  <c r="Q653" i="114"/>
  <c r="O653" i="114"/>
  <c r="M653" i="114"/>
  <c r="V653" i="114" s="1"/>
  <c r="S652" i="114"/>
  <c r="R652" i="114"/>
  <c r="Q652" i="114"/>
  <c r="O652" i="114"/>
  <c r="M652" i="114"/>
  <c r="V652" i="114" s="1"/>
  <c r="S651" i="114"/>
  <c r="R651" i="114"/>
  <c r="Q651" i="114"/>
  <c r="O651" i="114"/>
  <c r="M651" i="114"/>
  <c r="S650" i="114"/>
  <c r="R650" i="114"/>
  <c r="Q650" i="114"/>
  <c r="O650" i="114"/>
  <c r="M650" i="114"/>
  <c r="S640" i="114"/>
  <c r="R640" i="114"/>
  <c r="Q640" i="114"/>
  <c r="O640" i="114"/>
  <c r="M640" i="114"/>
  <c r="V640" i="114" s="1"/>
  <c r="T637" i="114"/>
  <c r="S637" i="114"/>
  <c r="R637" i="114"/>
  <c r="Q637" i="114"/>
  <c r="O637" i="114"/>
  <c r="M637" i="114"/>
  <c r="V637" i="114" s="1"/>
  <c r="S636" i="114"/>
  <c r="R636" i="114"/>
  <c r="Q636" i="114"/>
  <c r="O636" i="114"/>
  <c r="M636" i="114"/>
  <c r="V636" i="114" s="1"/>
  <c r="S635" i="114"/>
  <c r="R635" i="114"/>
  <c r="Q635" i="114"/>
  <c r="O635" i="114"/>
  <c r="M635" i="114"/>
  <c r="V635" i="114" s="1"/>
  <c r="S634" i="114"/>
  <c r="R634" i="114"/>
  <c r="Q634" i="114"/>
  <c r="O634" i="114"/>
  <c r="M634" i="114"/>
  <c r="V634" i="114" s="1"/>
  <c r="T630" i="114"/>
  <c r="S630" i="114"/>
  <c r="R630" i="114"/>
  <c r="Q630" i="114"/>
  <c r="O630" i="114"/>
  <c r="M630" i="114"/>
  <c r="V630" i="114" s="1"/>
  <c r="T629" i="114"/>
  <c r="Y629" i="114" s="1"/>
  <c r="S629" i="114"/>
  <c r="R629" i="114"/>
  <c r="Q629" i="114"/>
  <c r="O629" i="114"/>
  <c r="M629" i="114"/>
  <c r="V629" i="114" s="1"/>
  <c r="S626" i="114"/>
  <c r="R626" i="114"/>
  <c r="Q626" i="114"/>
  <c r="O626" i="114"/>
  <c r="M626" i="114"/>
  <c r="V626" i="114" s="1"/>
  <c r="T625" i="114"/>
  <c r="Y625" i="114" s="1"/>
  <c r="S625" i="114"/>
  <c r="R625" i="114"/>
  <c r="Q625" i="114"/>
  <c r="O625" i="114"/>
  <c r="M625" i="114"/>
  <c r="V625" i="114" s="1"/>
  <c r="T624" i="114"/>
  <c r="Y624" i="114" s="1"/>
  <c r="S624" i="114"/>
  <c r="R624" i="114"/>
  <c r="Q624" i="114"/>
  <c r="O624" i="114"/>
  <c r="M624" i="114"/>
  <c r="V624" i="114" s="1"/>
  <c r="S623" i="114"/>
  <c r="R623" i="114"/>
  <c r="Q623" i="114"/>
  <c r="O623" i="114"/>
  <c r="M623" i="114"/>
  <c r="V623" i="114" s="1"/>
  <c r="T622" i="114"/>
  <c r="Y622" i="114" s="1"/>
  <c r="S622" i="114"/>
  <c r="R622" i="114"/>
  <c r="Q622" i="114"/>
  <c r="O622" i="114"/>
  <c r="M622" i="114"/>
  <c r="V622" i="114" s="1"/>
  <c r="S621" i="114"/>
  <c r="R621" i="114"/>
  <c r="Q621" i="114"/>
  <c r="O621" i="114"/>
  <c r="M621" i="114"/>
  <c r="S620" i="114"/>
  <c r="R620" i="114"/>
  <c r="Q620" i="114"/>
  <c r="O620" i="114"/>
  <c r="M620" i="114"/>
  <c r="S619" i="114"/>
  <c r="R619" i="114"/>
  <c r="O619" i="114"/>
  <c r="M619" i="114"/>
  <c r="G107" i="6" s="1"/>
  <c r="S610" i="114"/>
  <c r="R610" i="114"/>
  <c r="Q610" i="114"/>
  <c r="O610" i="114"/>
  <c r="M610" i="114"/>
  <c r="V610" i="114" s="1"/>
  <c r="T607" i="114"/>
  <c r="S607" i="114"/>
  <c r="R607" i="114"/>
  <c r="Q607" i="114"/>
  <c r="O607" i="114"/>
  <c r="M607" i="114"/>
  <c r="V607" i="114" s="1"/>
  <c r="S606" i="114"/>
  <c r="R606" i="114"/>
  <c r="Q606" i="114"/>
  <c r="O606" i="114"/>
  <c r="M606" i="114"/>
  <c r="S605" i="114"/>
  <c r="R605" i="114"/>
  <c r="Q605" i="114"/>
  <c r="O605" i="114"/>
  <c r="M605" i="114"/>
  <c r="S604" i="114"/>
  <c r="R604" i="114"/>
  <c r="Q604" i="114"/>
  <c r="O604" i="114"/>
  <c r="M604" i="114"/>
  <c r="S603" i="114"/>
  <c r="R603" i="114"/>
  <c r="Q603" i="114"/>
  <c r="O603" i="114"/>
  <c r="M603" i="114"/>
  <c r="T600" i="114"/>
  <c r="S600" i="114"/>
  <c r="R600" i="114"/>
  <c r="Q600" i="114"/>
  <c r="O600" i="114"/>
  <c r="M600" i="114"/>
  <c r="V600" i="114" s="1"/>
  <c r="S597" i="114"/>
  <c r="R597" i="114"/>
  <c r="Q597" i="114"/>
  <c r="O597" i="114"/>
  <c r="M597" i="114"/>
  <c r="V597" i="114" s="1"/>
  <c r="S596" i="114"/>
  <c r="R596" i="114"/>
  <c r="Q596" i="114"/>
  <c r="O596" i="114"/>
  <c r="M596" i="114"/>
  <c r="V596" i="114" s="1"/>
  <c r="S595" i="114"/>
  <c r="R595" i="114"/>
  <c r="Q595" i="114"/>
  <c r="O595" i="114"/>
  <c r="M595" i="114"/>
  <c r="V595" i="114" s="1"/>
  <c r="S594" i="114"/>
  <c r="R594" i="114"/>
  <c r="Q594" i="114"/>
  <c r="O594" i="114"/>
  <c r="M594" i="114"/>
  <c r="V594" i="114" s="1"/>
  <c r="S593" i="114"/>
  <c r="R593" i="114"/>
  <c r="Q593" i="114"/>
  <c r="O593" i="114"/>
  <c r="M593" i="114"/>
  <c r="V593" i="114" s="1"/>
  <c r="S592" i="114"/>
  <c r="R592" i="114"/>
  <c r="Q592" i="114"/>
  <c r="O592" i="114"/>
  <c r="M592" i="114"/>
  <c r="V592" i="114" s="1"/>
  <c r="S591" i="114"/>
  <c r="R591" i="114"/>
  <c r="Q591" i="114"/>
  <c r="O591" i="114"/>
  <c r="M591" i="114"/>
  <c r="S590" i="114"/>
  <c r="R590" i="114"/>
  <c r="Q590" i="114"/>
  <c r="O590" i="114"/>
  <c r="M590" i="114"/>
  <c r="V590" i="114" s="1"/>
  <c r="S589" i="114"/>
  <c r="R589" i="114"/>
  <c r="Q589" i="114"/>
  <c r="O589" i="114"/>
  <c r="M589" i="114"/>
  <c r="V589" i="114" s="1"/>
  <c r="S588" i="114"/>
  <c r="R588" i="114"/>
  <c r="Q588" i="114"/>
  <c r="O588" i="114"/>
  <c r="M588" i="114"/>
  <c r="V588" i="114" s="1"/>
  <c r="S587" i="114"/>
  <c r="R587" i="114"/>
  <c r="Q587" i="114"/>
  <c r="O587" i="114"/>
  <c r="M587" i="114"/>
  <c r="V587" i="114" s="1"/>
  <c r="S586" i="114"/>
  <c r="R586" i="114"/>
  <c r="Q586" i="114"/>
  <c r="O586" i="114"/>
  <c r="M586" i="114"/>
  <c r="S585" i="114"/>
  <c r="R585" i="114"/>
  <c r="Q585" i="114"/>
  <c r="O585" i="114"/>
  <c r="M585" i="114"/>
  <c r="V585" i="114" s="1"/>
  <c r="S584" i="114"/>
  <c r="R584" i="114"/>
  <c r="Q584" i="114"/>
  <c r="O584" i="114"/>
  <c r="M584" i="114"/>
  <c r="O583" i="114"/>
  <c r="M583" i="114"/>
  <c r="F107" i="6" s="1"/>
  <c r="S552" i="114"/>
  <c r="R552" i="114"/>
  <c r="Q552" i="114"/>
  <c r="O552" i="114"/>
  <c r="M552" i="114"/>
  <c r="S551" i="114"/>
  <c r="R551" i="114"/>
  <c r="Q551" i="114"/>
  <c r="O551" i="114"/>
  <c r="M551" i="114"/>
  <c r="S548" i="114"/>
  <c r="R548" i="114"/>
  <c r="Q548" i="114"/>
  <c r="O548" i="114"/>
  <c r="M548" i="114"/>
  <c r="S545" i="114"/>
  <c r="R545" i="114"/>
  <c r="Q545" i="114"/>
  <c r="O545" i="114"/>
  <c r="M545" i="114"/>
  <c r="S544" i="114"/>
  <c r="R544" i="114"/>
  <c r="Q544" i="114"/>
  <c r="O544" i="114"/>
  <c r="M544" i="114"/>
  <c r="S491" i="114"/>
  <c r="R491" i="114"/>
  <c r="Q491" i="114"/>
  <c r="O491" i="114"/>
  <c r="M491" i="114"/>
  <c r="T487" i="114"/>
  <c r="S487" i="114"/>
  <c r="R487" i="114"/>
  <c r="Q487" i="114"/>
  <c r="O487" i="114"/>
  <c r="M487" i="114"/>
  <c r="V487" i="114" s="1"/>
  <c r="S486" i="114"/>
  <c r="R486" i="114"/>
  <c r="Q486" i="114"/>
  <c r="O486" i="114"/>
  <c r="M486" i="114"/>
  <c r="T478" i="114"/>
  <c r="S478" i="114"/>
  <c r="R478" i="114"/>
  <c r="Q478" i="114"/>
  <c r="O478" i="114"/>
  <c r="M478" i="114"/>
  <c r="V478" i="114" s="1"/>
  <c r="S477" i="114"/>
  <c r="R477" i="114"/>
  <c r="Q477" i="114"/>
  <c r="O477" i="114"/>
  <c r="M477" i="114"/>
  <c r="S476" i="114"/>
  <c r="R476" i="114"/>
  <c r="Q476" i="114"/>
  <c r="O476" i="114"/>
  <c r="M476" i="114"/>
  <c r="S475" i="114"/>
  <c r="R475" i="114"/>
  <c r="Q475" i="114"/>
  <c r="O475" i="114"/>
  <c r="M475" i="114"/>
  <c r="S474" i="114"/>
  <c r="R474" i="114"/>
  <c r="Q474" i="114"/>
  <c r="O474" i="114"/>
  <c r="M474" i="114"/>
  <c r="S471" i="114"/>
  <c r="R471" i="114"/>
  <c r="Q471" i="114"/>
  <c r="O471" i="114"/>
  <c r="M471" i="114"/>
  <c r="S470" i="114"/>
  <c r="R470" i="114"/>
  <c r="Q470" i="114"/>
  <c r="O470" i="114"/>
  <c r="M470" i="114"/>
  <c r="T469" i="114"/>
  <c r="S469" i="114"/>
  <c r="R469" i="114"/>
  <c r="Q469" i="114"/>
  <c r="O469" i="114"/>
  <c r="M469" i="114"/>
  <c r="V469" i="114" s="1"/>
  <c r="S468" i="114"/>
  <c r="R468" i="114"/>
  <c r="Q468" i="114"/>
  <c r="O468" i="114"/>
  <c r="M468" i="114"/>
  <c r="S467" i="114"/>
  <c r="R467" i="114"/>
  <c r="Q467" i="114"/>
  <c r="O467" i="114"/>
  <c r="M467" i="114"/>
  <c r="S464" i="114"/>
  <c r="R464" i="114"/>
  <c r="Q464" i="114"/>
  <c r="O464" i="114"/>
  <c r="M464" i="114"/>
  <c r="S463" i="114"/>
  <c r="R463" i="114"/>
  <c r="Q463" i="114"/>
  <c r="O463" i="114"/>
  <c r="M463" i="114"/>
  <c r="S462" i="114"/>
  <c r="R462" i="114"/>
  <c r="Q462" i="114"/>
  <c r="O462" i="114"/>
  <c r="M462" i="114"/>
  <c r="S461" i="114"/>
  <c r="R461" i="114"/>
  <c r="Q461" i="114"/>
  <c r="O461" i="114"/>
  <c r="M461" i="114"/>
  <c r="S460" i="114"/>
  <c r="R460" i="114"/>
  <c r="Q460" i="114"/>
  <c r="O460" i="114"/>
  <c r="M460" i="114"/>
  <c r="S459" i="114"/>
  <c r="R459" i="114"/>
  <c r="Q459" i="114"/>
  <c r="O459" i="114"/>
  <c r="M459" i="114"/>
  <c r="V459" i="114" s="1"/>
  <c r="S458" i="114"/>
  <c r="R458" i="114"/>
  <c r="Q458" i="114"/>
  <c r="O458" i="114"/>
  <c r="M458" i="114"/>
  <c r="S457" i="114"/>
  <c r="R457" i="114"/>
  <c r="Q457" i="114"/>
  <c r="O457" i="114"/>
  <c r="M457" i="114"/>
  <c r="S456" i="114"/>
  <c r="R456" i="114"/>
  <c r="Q456" i="114"/>
  <c r="O456" i="114"/>
  <c r="M456" i="114"/>
  <c r="S455" i="114"/>
  <c r="R455" i="114"/>
  <c r="Q455" i="114"/>
  <c r="O455" i="114"/>
  <c r="M455" i="114"/>
  <c r="T447" i="114"/>
  <c r="S447" i="114"/>
  <c r="R447" i="114"/>
  <c r="Q447" i="114"/>
  <c r="O447" i="114"/>
  <c r="M447" i="114"/>
  <c r="V447" i="114" s="1"/>
  <c r="T446" i="114"/>
  <c r="S446" i="114"/>
  <c r="R446" i="114"/>
  <c r="Q446" i="114"/>
  <c r="O446" i="114"/>
  <c r="M446" i="114"/>
  <c r="V446" i="114" s="1"/>
  <c r="S445" i="114"/>
  <c r="R445" i="114"/>
  <c r="Q445" i="114"/>
  <c r="O445" i="114"/>
  <c r="M445" i="114"/>
  <c r="V445" i="114" s="1"/>
  <c r="T442" i="114"/>
  <c r="S442" i="114"/>
  <c r="R442" i="114"/>
  <c r="Q442" i="114"/>
  <c r="O442" i="114"/>
  <c r="M442" i="114"/>
  <c r="V442" i="114" s="1"/>
  <c r="S441" i="114"/>
  <c r="R441" i="114"/>
  <c r="Q441" i="114"/>
  <c r="O441" i="114"/>
  <c r="M441" i="114"/>
  <c r="S440" i="114"/>
  <c r="R440" i="114"/>
  <c r="Q440" i="114"/>
  <c r="O440" i="114"/>
  <c r="M440" i="114"/>
  <c r="T439" i="114"/>
  <c r="S439" i="114"/>
  <c r="R439" i="114"/>
  <c r="Q439" i="114"/>
  <c r="O439" i="114"/>
  <c r="M439" i="114"/>
  <c r="V439" i="114" s="1"/>
  <c r="S438" i="114"/>
  <c r="R438" i="114"/>
  <c r="Q438" i="114"/>
  <c r="O438" i="114"/>
  <c r="M438" i="114"/>
  <c r="V438" i="114" s="1"/>
  <c r="T437" i="114"/>
  <c r="S437" i="114"/>
  <c r="R437" i="114"/>
  <c r="Q437" i="114"/>
  <c r="O437" i="114"/>
  <c r="M437" i="114"/>
  <c r="V437" i="114" s="1"/>
  <c r="S436" i="114"/>
  <c r="R436" i="114"/>
  <c r="Q436" i="114"/>
  <c r="O436" i="114"/>
  <c r="M436" i="114"/>
  <c r="S435" i="114"/>
  <c r="R435" i="114"/>
  <c r="Q435" i="114"/>
  <c r="O435" i="114"/>
  <c r="M435" i="114"/>
  <c r="S434" i="114"/>
  <c r="R434" i="114"/>
  <c r="Q434" i="114"/>
  <c r="O434" i="114"/>
  <c r="M434" i="114"/>
  <c r="S433" i="114"/>
  <c r="R433" i="114"/>
  <c r="Q433" i="114"/>
  <c r="O433" i="114"/>
  <c r="M433" i="114"/>
  <c r="S432" i="114"/>
  <c r="R432" i="114"/>
  <c r="Q432" i="114"/>
  <c r="O432" i="114"/>
  <c r="M432" i="114"/>
  <c r="V432" i="114" s="1"/>
  <c r="S429" i="114"/>
  <c r="R429" i="114"/>
  <c r="Q429" i="114"/>
  <c r="O429" i="114"/>
  <c r="M429" i="114"/>
  <c r="S428" i="114"/>
  <c r="R428" i="114"/>
  <c r="Q428" i="114"/>
  <c r="O428" i="114"/>
  <c r="M428" i="114"/>
  <c r="S427" i="114"/>
  <c r="R427" i="114"/>
  <c r="Q427" i="114"/>
  <c r="O427" i="114"/>
  <c r="M427" i="114"/>
  <c r="S426" i="114"/>
  <c r="R426" i="114"/>
  <c r="Q426" i="114"/>
  <c r="O426" i="114"/>
  <c r="M426" i="114"/>
  <c r="S425" i="114"/>
  <c r="R425" i="114"/>
  <c r="Q425" i="114"/>
  <c r="O425" i="114"/>
  <c r="M425" i="114"/>
  <c r="T424" i="114"/>
  <c r="S424" i="114"/>
  <c r="R424" i="114"/>
  <c r="Q424" i="114"/>
  <c r="O424" i="114"/>
  <c r="M424" i="114"/>
  <c r="V424" i="114" s="1"/>
  <c r="S423" i="114"/>
  <c r="R423" i="114"/>
  <c r="Q423" i="114"/>
  <c r="O423" i="114"/>
  <c r="M423" i="114"/>
  <c r="S422" i="114"/>
  <c r="R422" i="114"/>
  <c r="Q422" i="114"/>
  <c r="O422" i="114"/>
  <c r="M422" i="114"/>
  <c r="S419" i="114"/>
  <c r="R419" i="114"/>
  <c r="Q419" i="114"/>
  <c r="O419" i="114"/>
  <c r="M419" i="114"/>
  <c r="S418" i="114"/>
  <c r="R418" i="114"/>
  <c r="Q418" i="114"/>
  <c r="O418" i="114"/>
  <c r="M418" i="114"/>
  <c r="S417" i="114"/>
  <c r="R417" i="114"/>
  <c r="Q417" i="114"/>
  <c r="O417" i="114"/>
  <c r="M417" i="114"/>
  <c r="S416" i="114"/>
  <c r="R416" i="114"/>
  <c r="Q416" i="114"/>
  <c r="O416" i="114"/>
  <c r="M416" i="114"/>
  <c r="S415" i="114"/>
  <c r="R415" i="114"/>
  <c r="Q415" i="114"/>
  <c r="O415" i="114"/>
  <c r="M415" i="114"/>
  <c r="S414" i="114"/>
  <c r="R414" i="114"/>
  <c r="Q414" i="114"/>
  <c r="O414" i="114"/>
  <c r="M414" i="114"/>
  <c r="S413" i="114"/>
  <c r="R413" i="114"/>
  <c r="Q413" i="114"/>
  <c r="O413" i="114"/>
  <c r="M413" i="114"/>
  <c r="S412" i="114"/>
  <c r="R412" i="114"/>
  <c r="Q412" i="114"/>
  <c r="O412" i="114"/>
  <c r="M412" i="114"/>
  <c r="S411" i="114"/>
  <c r="R411" i="114"/>
  <c r="Q411" i="114"/>
  <c r="O411" i="114"/>
  <c r="M411" i="114"/>
  <c r="S410" i="114"/>
  <c r="R410" i="114"/>
  <c r="Q410" i="114"/>
  <c r="O410" i="114"/>
  <c r="M410" i="114"/>
  <c r="S405" i="114"/>
  <c r="R405" i="114"/>
  <c r="Q405" i="114"/>
  <c r="O405" i="114"/>
  <c r="M405" i="114"/>
  <c r="V405" i="114" s="1"/>
  <c r="S404" i="114"/>
  <c r="R404" i="114"/>
  <c r="Q404" i="114"/>
  <c r="O404" i="114"/>
  <c r="M404" i="114"/>
  <c r="S403" i="114"/>
  <c r="R403" i="114"/>
  <c r="Q403" i="114"/>
  <c r="O403" i="114"/>
  <c r="M403" i="114"/>
  <c r="V403" i="114" s="1"/>
  <c r="S402" i="114"/>
  <c r="R402" i="114"/>
  <c r="Q402" i="114"/>
  <c r="O402" i="114"/>
  <c r="M402" i="114"/>
  <c r="V402" i="114" s="1"/>
  <c r="S401" i="114"/>
  <c r="R401" i="114"/>
  <c r="Q401" i="114"/>
  <c r="O401" i="114"/>
  <c r="M401" i="114"/>
  <c r="V401" i="114" s="1"/>
  <c r="S400" i="114"/>
  <c r="R400" i="114"/>
  <c r="Q400" i="114"/>
  <c r="O400" i="114"/>
  <c r="M400" i="114"/>
  <c r="S399" i="114"/>
  <c r="R399" i="114"/>
  <c r="Q399" i="114"/>
  <c r="O399" i="114"/>
  <c r="M399" i="114"/>
  <c r="S398" i="114"/>
  <c r="R398" i="114"/>
  <c r="Q398" i="114"/>
  <c r="O398" i="114"/>
  <c r="M398" i="114"/>
  <c r="S397" i="114"/>
  <c r="R397" i="114"/>
  <c r="Q397" i="114"/>
  <c r="O397" i="114"/>
  <c r="M397" i="114"/>
  <c r="S396" i="114"/>
  <c r="R396" i="114"/>
  <c r="Q396" i="114"/>
  <c r="O396" i="114"/>
  <c r="M396" i="114"/>
  <c r="S395" i="114"/>
  <c r="R395" i="114"/>
  <c r="Q395" i="114"/>
  <c r="O395" i="114"/>
  <c r="M395" i="114"/>
  <c r="V395" i="114" s="1"/>
  <c r="S394" i="114"/>
  <c r="R394" i="114"/>
  <c r="Q394" i="114"/>
  <c r="O394" i="114"/>
  <c r="M394" i="114"/>
  <c r="V394" i="114" s="1"/>
  <c r="S381" i="114"/>
  <c r="R381" i="114"/>
  <c r="Q381" i="114"/>
  <c r="O381" i="114"/>
  <c r="M381" i="114"/>
  <c r="S380" i="114"/>
  <c r="R380" i="114"/>
  <c r="Q380" i="114"/>
  <c r="O380" i="114"/>
  <c r="M380" i="114"/>
  <c r="S379" i="114"/>
  <c r="R379" i="114"/>
  <c r="Q379" i="114"/>
  <c r="O379" i="114"/>
  <c r="M379" i="114"/>
  <c r="S376" i="114"/>
  <c r="R376" i="114"/>
  <c r="Q376" i="114"/>
  <c r="O376" i="114"/>
  <c r="M376" i="114"/>
  <c r="S374" i="114"/>
  <c r="R374" i="114"/>
  <c r="Q374" i="114"/>
  <c r="O374" i="114"/>
  <c r="M374" i="114"/>
  <c r="S372" i="114"/>
  <c r="R372" i="114"/>
  <c r="Q372" i="114"/>
  <c r="O372" i="114"/>
  <c r="M372" i="114"/>
  <c r="S371" i="114"/>
  <c r="R371" i="114"/>
  <c r="Q371" i="114"/>
  <c r="O371" i="114"/>
  <c r="M371" i="114"/>
  <c r="S370" i="114"/>
  <c r="R370" i="114"/>
  <c r="Q370" i="114"/>
  <c r="O370" i="114"/>
  <c r="M370" i="114"/>
  <c r="S369" i="114"/>
  <c r="R369" i="114"/>
  <c r="Q369" i="114"/>
  <c r="O369" i="114"/>
  <c r="M369" i="114"/>
  <c r="S368" i="114"/>
  <c r="R368" i="114"/>
  <c r="Q368" i="114"/>
  <c r="O368" i="114"/>
  <c r="M368" i="114"/>
  <c r="S366" i="114"/>
  <c r="R366" i="114"/>
  <c r="Q366" i="114"/>
  <c r="O366" i="114"/>
  <c r="M366" i="114"/>
  <c r="S363" i="114"/>
  <c r="R363" i="114"/>
  <c r="Q363" i="114"/>
  <c r="O363" i="114"/>
  <c r="M363" i="114"/>
  <c r="S362" i="114"/>
  <c r="R362" i="114"/>
  <c r="Q362" i="114"/>
  <c r="O362" i="114"/>
  <c r="M362" i="114"/>
  <c r="T361" i="114"/>
  <c r="Y361" i="114" s="1"/>
  <c r="S361" i="114"/>
  <c r="R361" i="114"/>
  <c r="Q361" i="114"/>
  <c r="O361" i="114"/>
  <c r="V361" i="114"/>
  <c r="S360" i="114"/>
  <c r="R360" i="114"/>
  <c r="Q360" i="114"/>
  <c r="O360" i="114"/>
  <c r="M360" i="114"/>
  <c r="T359" i="114"/>
  <c r="Y359" i="114" s="1"/>
  <c r="S359" i="114"/>
  <c r="R359" i="114"/>
  <c r="Q359" i="114"/>
  <c r="O359" i="114"/>
  <c r="M359" i="114"/>
  <c r="V359" i="114" s="1"/>
  <c r="S356" i="114"/>
  <c r="R356" i="114"/>
  <c r="Q356" i="114"/>
  <c r="O356" i="114"/>
  <c r="M356" i="114"/>
  <c r="S355" i="114"/>
  <c r="R355" i="114"/>
  <c r="Q355" i="114"/>
  <c r="O355" i="114"/>
  <c r="M355" i="114"/>
  <c r="S354" i="114"/>
  <c r="R354" i="114"/>
  <c r="Q354" i="114"/>
  <c r="O354" i="114"/>
  <c r="M354" i="114"/>
  <c r="S353" i="114"/>
  <c r="R353" i="114"/>
  <c r="Q353" i="114"/>
  <c r="O353" i="114"/>
  <c r="M353" i="114"/>
  <c r="V353" i="114" s="1"/>
  <c r="T350" i="114"/>
  <c r="Y350" i="114" s="1"/>
  <c r="S350" i="114"/>
  <c r="R350" i="114"/>
  <c r="Q350" i="114"/>
  <c r="O350" i="114"/>
  <c r="M350" i="114"/>
  <c r="V350" i="114" s="1"/>
  <c r="S349" i="114"/>
  <c r="R349" i="114"/>
  <c r="Q349" i="114"/>
  <c r="O349" i="114"/>
  <c r="M349" i="114"/>
  <c r="T348" i="114"/>
  <c r="Y348" i="114" s="1"/>
  <c r="S348" i="114"/>
  <c r="R348" i="114"/>
  <c r="Q348" i="114"/>
  <c r="O348" i="114"/>
  <c r="M348" i="114"/>
  <c r="V348" i="114" s="1"/>
  <c r="T346" i="114"/>
  <c r="Y346" i="114" s="1"/>
  <c r="S346" i="114"/>
  <c r="R346" i="114"/>
  <c r="Q346" i="114"/>
  <c r="O346" i="114"/>
  <c r="M346" i="114"/>
  <c r="V346" i="114" s="1"/>
  <c r="S343" i="114"/>
  <c r="R343" i="114"/>
  <c r="Q343" i="114"/>
  <c r="O343" i="114"/>
  <c r="M343" i="114"/>
  <c r="S342" i="114"/>
  <c r="R342" i="114"/>
  <c r="Q342" i="114"/>
  <c r="O342" i="114"/>
  <c r="M342" i="114"/>
  <c r="V342" i="114" s="1"/>
  <c r="T341" i="114"/>
  <c r="Y341" i="114" s="1"/>
  <c r="S341" i="114"/>
  <c r="R341" i="114"/>
  <c r="Q341" i="114"/>
  <c r="O341" i="114"/>
  <c r="M341" i="114"/>
  <c r="V341" i="114" s="1"/>
  <c r="S340" i="114"/>
  <c r="R340" i="114"/>
  <c r="Q340" i="114"/>
  <c r="O340" i="114"/>
  <c r="M340" i="114"/>
  <c r="S339" i="114"/>
  <c r="R339" i="114"/>
  <c r="Q339" i="114"/>
  <c r="O339" i="114"/>
  <c r="M339" i="114"/>
  <c r="S336" i="114"/>
  <c r="R336" i="114"/>
  <c r="Q336" i="114"/>
  <c r="O336" i="114"/>
  <c r="M336" i="114"/>
  <c r="S335" i="114"/>
  <c r="R335" i="114"/>
  <c r="Q335" i="114"/>
  <c r="O335" i="114"/>
  <c r="M335" i="114"/>
  <c r="S334" i="114"/>
  <c r="R334" i="114"/>
  <c r="Q334" i="114"/>
  <c r="O334" i="114"/>
  <c r="M334" i="114"/>
  <c r="S333" i="114"/>
  <c r="R333" i="114"/>
  <c r="Q333" i="114"/>
  <c r="O333" i="114"/>
  <c r="M333" i="114"/>
  <c r="S332" i="114"/>
  <c r="R332" i="114"/>
  <c r="Q332" i="114"/>
  <c r="O332" i="114"/>
  <c r="M332" i="114"/>
  <c r="S331" i="114"/>
  <c r="R331" i="114"/>
  <c r="Q331" i="114"/>
  <c r="O331" i="114"/>
  <c r="M331" i="114"/>
  <c r="S328" i="114"/>
  <c r="R328" i="114"/>
  <c r="Q328" i="114"/>
  <c r="O328" i="114"/>
  <c r="M328" i="114"/>
  <c r="V328" i="114" s="1"/>
  <c r="S327" i="114"/>
  <c r="R327" i="114"/>
  <c r="Q327" i="114"/>
  <c r="O327" i="114"/>
  <c r="M327" i="114"/>
  <c r="S326" i="114"/>
  <c r="R326" i="114"/>
  <c r="Q326" i="114"/>
  <c r="O326" i="114"/>
  <c r="M326" i="114"/>
  <c r="V326" i="114" s="1"/>
  <c r="S325" i="114"/>
  <c r="R325" i="114"/>
  <c r="Q325" i="114"/>
  <c r="O325" i="114"/>
  <c r="M325" i="114"/>
  <c r="V325" i="114" s="1"/>
  <c r="S324" i="114"/>
  <c r="R324" i="114"/>
  <c r="Q324" i="114"/>
  <c r="O324" i="114"/>
  <c r="M324" i="114"/>
  <c r="S323" i="114"/>
  <c r="R323" i="114"/>
  <c r="Q323" i="114"/>
  <c r="O323" i="114"/>
  <c r="M323" i="114"/>
  <c r="S322" i="114"/>
  <c r="R322" i="114"/>
  <c r="Q322" i="114"/>
  <c r="O322" i="114"/>
  <c r="M322" i="114"/>
  <c r="S321" i="114"/>
  <c r="R321" i="114"/>
  <c r="Q321" i="114"/>
  <c r="O321" i="114"/>
  <c r="M321" i="114"/>
  <c r="V321" i="114" s="1"/>
  <c r="S320" i="114"/>
  <c r="R320" i="114"/>
  <c r="Q320" i="114"/>
  <c r="O320" i="114"/>
  <c r="M320" i="114"/>
  <c r="S318" i="114"/>
  <c r="R318" i="114"/>
  <c r="Q318" i="114"/>
  <c r="O318" i="114"/>
  <c r="M318" i="114"/>
  <c r="V318" i="114" s="1"/>
  <c r="S317" i="114"/>
  <c r="R317" i="114"/>
  <c r="Q317" i="114"/>
  <c r="O317" i="114"/>
  <c r="M317" i="114"/>
  <c r="V317" i="114" s="1"/>
  <c r="S316" i="114"/>
  <c r="R316" i="114"/>
  <c r="Q316" i="114"/>
  <c r="O316" i="114"/>
  <c r="M316" i="114"/>
  <c r="T308" i="114"/>
  <c r="S308" i="114"/>
  <c r="R308" i="114"/>
  <c r="Q308" i="114"/>
  <c r="O308" i="114"/>
  <c r="M308" i="114"/>
  <c r="V308" i="114" s="1"/>
  <c r="S307" i="114"/>
  <c r="R307" i="114"/>
  <c r="Q307" i="114"/>
  <c r="O307" i="114"/>
  <c r="M307" i="114"/>
  <c r="V307" i="114" s="1"/>
  <c r="S306" i="114"/>
  <c r="R306" i="114"/>
  <c r="Q306" i="114"/>
  <c r="O306" i="114"/>
  <c r="M306" i="114"/>
  <c r="S305" i="114"/>
  <c r="R305" i="114"/>
  <c r="Q305" i="114"/>
  <c r="O305" i="114"/>
  <c r="M305" i="114"/>
  <c r="S304" i="114"/>
  <c r="R304" i="114"/>
  <c r="Q304" i="114"/>
  <c r="O304" i="114"/>
  <c r="M304" i="114"/>
  <c r="S303" i="114"/>
  <c r="R303" i="114"/>
  <c r="Q303" i="114"/>
  <c r="O303" i="114"/>
  <c r="M303" i="114"/>
  <c r="S302" i="114"/>
  <c r="R302" i="114"/>
  <c r="Q302" i="114"/>
  <c r="O302" i="114"/>
  <c r="M302" i="114"/>
  <c r="S301" i="114"/>
  <c r="R301" i="114"/>
  <c r="Q301" i="114"/>
  <c r="O301" i="114"/>
  <c r="M301" i="114"/>
  <c r="S300" i="114"/>
  <c r="R300" i="114"/>
  <c r="Q300" i="114"/>
  <c r="O300" i="114"/>
  <c r="M300" i="114"/>
  <c r="S297" i="114"/>
  <c r="R297" i="114"/>
  <c r="Q297" i="114"/>
  <c r="O297" i="114"/>
  <c r="M297" i="114"/>
  <c r="V297" i="114" s="1"/>
  <c r="S296" i="114"/>
  <c r="R296" i="114"/>
  <c r="Q296" i="114"/>
  <c r="O296" i="114"/>
  <c r="M296" i="114"/>
  <c r="S294" i="114"/>
  <c r="R294" i="114"/>
  <c r="Q294" i="114"/>
  <c r="O294" i="114"/>
  <c r="M294" i="114"/>
  <c r="S293" i="114"/>
  <c r="R293" i="114"/>
  <c r="Q293" i="114"/>
  <c r="O293" i="114"/>
  <c r="M293" i="114"/>
  <c r="S292" i="114"/>
  <c r="R292" i="114"/>
  <c r="Q292" i="114"/>
  <c r="O292" i="114"/>
  <c r="M292" i="114"/>
  <c r="S291" i="114"/>
  <c r="R291" i="114"/>
  <c r="Q291" i="114"/>
  <c r="O291" i="114"/>
  <c r="M291" i="114"/>
  <c r="S283" i="114"/>
  <c r="R283" i="114"/>
  <c r="Q283" i="114"/>
  <c r="O283" i="114"/>
  <c r="M283" i="114"/>
  <c r="S282" i="114"/>
  <c r="R282" i="114"/>
  <c r="Q282" i="114"/>
  <c r="O282" i="114"/>
  <c r="M282" i="114"/>
  <c r="T280" i="114"/>
  <c r="S280" i="114"/>
  <c r="R280" i="114"/>
  <c r="Q280" i="114"/>
  <c r="O280" i="114"/>
  <c r="M280" i="114"/>
  <c r="V280" i="114" s="1"/>
  <c r="T279" i="114"/>
  <c r="S279" i="114"/>
  <c r="R279" i="114"/>
  <c r="Q279" i="114"/>
  <c r="O279" i="114"/>
  <c r="M279" i="114"/>
  <c r="T278" i="114"/>
  <c r="S278" i="114"/>
  <c r="R278" i="114"/>
  <c r="Q278" i="114"/>
  <c r="O278" i="114"/>
  <c r="M278" i="114"/>
  <c r="V278" i="114" s="1"/>
  <c r="T277" i="114"/>
  <c r="S277" i="114"/>
  <c r="R277" i="114"/>
  <c r="Q277" i="114"/>
  <c r="O277" i="114"/>
  <c r="M277" i="114"/>
  <c r="T276" i="114"/>
  <c r="S276" i="114"/>
  <c r="R276" i="114"/>
  <c r="Q276" i="114"/>
  <c r="O276" i="114"/>
  <c r="M276" i="114"/>
  <c r="V276" i="114" s="1"/>
  <c r="S275" i="114"/>
  <c r="R275" i="114"/>
  <c r="Q275" i="114"/>
  <c r="O275" i="114"/>
  <c r="M275" i="114"/>
  <c r="S274" i="114"/>
  <c r="R274" i="114"/>
  <c r="Q274" i="114"/>
  <c r="O274" i="114"/>
  <c r="M274" i="114"/>
  <c r="S273" i="114"/>
  <c r="R273" i="114"/>
  <c r="Q273" i="114"/>
  <c r="O273" i="114"/>
  <c r="M273" i="114"/>
  <c r="V273" i="114" s="1"/>
  <c r="S272" i="114"/>
  <c r="R272" i="114"/>
  <c r="Q272" i="114"/>
  <c r="O272" i="114"/>
  <c r="M272" i="114"/>
  <c r="T270" i="114"/>
  <c r="S270" i="114"/>
  <c r="R270" i="114"/>
  <c r="Q270" i="114"/>
  <c r="O270" i="114"/>
  <c r="M270" i="114"/>
  <c r="V270" i="114" s="1"/>
  <c r="T269" i="114"/>
  <c r="S269" i="114"/>
  <c r="R269" i="114"/>
  <c r="Q269" i="114"/>
  <c r="O269" i="114"/>
  <c r="M269" i="114"/>
  <c r="S266" i="114"/>
  <c r="R266" i="114"/>
  <c r="Q266" i="114"/>
  <c r="O266" i="114"/>
  <c r="M266" i="114"/>
  <c r="V266" i="114" s="1"/>
  <c r="S265" i="114"/>
  <c r="R265" i="114"/>
  <c r="Q265" i="114"/>
  <c r="O265" i="114"/>
  <c r="M265" i="114"/>
  <c r="S264" i="114"/>
  <c r="R264" i="114"/>
  <c r="Q264" i="114"/>
  <c r="O264" i="114"/>
  <c r="M264" i="114"/>
  <c r="S263" i="114"/>
  <c r="R263" i="114"/>
  <c r="Q263" i="114"/>
  <c r="O263" i="114"/>
  <c r="M263" i="114"/>
  <c r="V263" i="114" s="1"/>
  <c r="S262" i="114"/>
  <c r="R262" i="114"/>
  <c r="Q262" i="114"/>
  <c r="O262" i="114"/>
  <c r="M262" i="114"/>
  <c r="S261" i="114"/>
  <c r="R261" i="114"/>
  <c r="Q261" i="114"/>
  <c r="O261" i="114"/>
  <c r="M261" i="114"/>
  <c r="S260" i="114"/>
  <c r="R260" i="114"/>
  <c r="Q260" i="114"/>
  <c r="O260" i="114"/>
  <c r="M260" i="114"/>
  <c r="S259" i="114"/>
  <c r="R259" i="114"/>
  <c r="Q259" i="114"/>
  <c r="O259" i="114"/>
  <c r="M259" i="114"/>
  <c r="S258" i="114"/>
  <c r="R258" i="114"/>
  <c r="Q258" i="114"/>
  <c r="O258" i="114"/>
  <c r="M258" i="114"/>
  <c r="S257" i="114"/>
  <c r="R257" i="114"/>
  <c r="Q257" i="114"/>
  <c r="O257" i="114"/>
  <c r="M257" i="114"/>
  <c r="S256" i="114"/>
  <c r="R256" i="114"/>
  <c r="Q256" i="114"/>
  <c r="O256" i="114"/>
  <c r="M256" i="114"/>
  <c r="S246" i="114"/>
  <c r="R246" i="114"/>
  <c r="Q246" i="114"/>
  <c r="O246" i="114"/>
  <c r="M246" i="114"/>
  <c r="V246" i="114" s="1"/>
  <c r="T243" i="114"/>
  <c r="S243" i="114"/>
  <c r="R243" i="114"/>
  <c r="Q243" i="114"/>
  <c r="O243" i="114"/>
  <c r="M243" i="114"/>
  <c r="V243" i="114" s="1"/>
  <c r="T240" i="114"/>
  <c r="S240" i="114"/>
  <c r="R240" i="114"/>
  <c r="Q240" i="114"/>
  <c r="O240" i="114"/>
  <c r="M240" i="114"/>
  <c r="V240" i="114" s="1"/>
  <c r="T237" i="114"/>
  <c r="S237" i="114"/>
  <c r="R237" i="114"/>
  <c r="Q237" i="114"/>
  <c r="O237" i="114"/>
  <c r="M237" i="114"/>
  <c r="V237" i="114" s="1"/>
  <c r="T234" i="114"/>
  <c r="S234" i="114"/>
  <c r="R234" i="114"/>
  <c r="Q234" i="114"/>
  <c r="O234" i="114"/>
  <c r="M234" i="114"/>
  <c r="V234" i="114" s="1"/>
  <c r="T233" i="114"/>
  <c r="S233" i="114"/>
  <c r="R233" i="114"/>
  <c r="Q233" i="114"/>
  <c r="O233" i="114"/>
  <c r="M233" i="114"/>
  <c r="V233" i="114" s="1"/>
  <c r="S232" i="114"/>
  <c r="R232" i="114"/>
  <c r="Q232" i="114"/>
  <c r="O232" i="114"/>
  <c r="M232" i="114"/>
  <c r="S231" i="114"/>
  <c r="R231" i="114"/>
  <c r="Q231" i="114"/>
  <c r="O231" i="114"/>
  <c r="M231" i="114"/>
  <c r="T230" i="114"/>
  <c r="S230" i="114"/>
  <c r="R230" i="114"/>
  <c r="Q230" i="114"/>
  <c r="O230" i="114"/>
  <c r="M230" i="114"/>
  <c r="S229" i="114"/>
  <c r="R229" i="114"/>
  <c r="Q229" i="114"/>
  <c r="O229" i="114"/>
  <c r="M229" i="114"/>
  <c r="V229" i="114" s="1"/>
  <c r="T226" i="114"/>
  <c r="S226" i="114"/>
  <c r="R226" i="114"/>
  <c r="Q226" i="114"/>
  <c r="O226" i="114"/>
  <c r="M226" i="114"/>
  <c r="V226" i="114" s="1"/>
  <c r="T225" i="114"/>
  <c r="S225" i="114"/>
  <c r="R225" i="114"/>
  <c r="Q225" i="114"/>
  <c r="O225" i="114"/>
  <c r="M225" i="114"/>
  <c r="V225" i="114" s="1"/>
  <c r="S224" i="114"/>
  <c r="R224" i="114"/>
  <c r="Q224" i="114"/>
  <c r="O224" i="114"/>
  <c r="M224" i="114"/>
  <c r="T223" i="114"/>
  <c r="S223" i="114"/>
  <c r="R223" i="114"/>
  <c r="Q223" i="114"/>
  <c r="O223" i="114"/>
  <c r="M223" i="114"/>
  <c r="V223" i="114" s="1"/>
  <c r="S222" i="114"/>
  <c r="R222" i="114"/>
  <c r="Q222" i="114"/>
  <c r="O222" i="114"/>
  <c r="M222" i="114"/>
  <c r="V222" i="114" s="1"/>
  <c r="S221" i="114"/>
  <c r="R221" i="114"/>
  <c r="Q221" i="114"/>
  <c r="O221" i="114"/>
  <c r="M221" i="114"/>
  <c r="T220" i="114"/>
  <c r="S220" i="114"/>
  <c r="R220" i="114"/>
  <c r="Q220" i="114"/>
  <c r="O220" i="114"/>
  <c r="M220" i="114"/>
  <c r="V220" i="114" s="1"/>
  <c r="T219" i="114"/>
  <c r="S219" i="114"/>
  <c r="R219" i="114"/>
  <c r="Q219" i="114"/>
  <c r="O219" i="114"/>
  <c r="M219" i="114"/>
  <c r="V219" i="114" s="1"/>
  <c r="T218" i="114"/>
  <c r="S218" i="114"/>
  <c r="R218" i="114"/>
  <c r="Q218" i="114"/>
  <c r="O218" i="114"/>
  <c r="M218" i="114"/>
  <c r="V218" i="114" s="1"/>
  <c r="T217" i="114"/>
  <c r="S217" i="114"/>
  <c r="R217" i="114"/>
  <c r="Q217" i="114"/>
  <c r="O217" i="114"/>
  <c r="M217" i="114"/>
  <c r="V217" i="114" s="1"/>
  <c r="S216" i="114"/>
  <c r="R216" i="114"/>
  <c r="Q216" i="114"/>
  <c r="O216" i="114"/>
  <c r="M216" i="114"/>
  <c r="V216" i="114" s="1"/>
  <c r="S215" i="114"/>
  <c r="R215" i="114"/>
  <c r="Q215" i="114"/>
  <c r="O215" i="114"/>
  <c r="M215" i="114"/>
  <c r="V215" i="114" s="1"/>
  <c r="S214" i="114"/>
  <c r="R214" i="114"/>
  <c r="Q214" i="114"/>
  <c r="O214" i="114"/>
  <c r="M214" i="114"/>
  <c r="V214" i="114" s="1"/>
  <c r="S213" i="114"/>
  <c r="R213" i="114"/>
  <c r="Q213" i="114"/>
  <c r="O213" i="114"/>
  <c r="M213" i="114"/>
  <c r="V213" i="114" s="1"/>
  <c r="S212" i="114"/>
  <c r="R212" i="114"/>
  <c r="Q212" i="114"/>
  <c r="O212" i="114"/>
  <c r="M212" i="114"/>
  <c r="V212" i="114" s="1"/>
  <c r="T211" i="114"/>
  <c r="S211" i="114"/>
  <c r="R211" i="114"/>
  <c r="Q211" i="114"/>
  <c r="O211" i="114"/>
  <c r="M211" i="114"/>
  <c r="V211" i="114" s="1"/>
  <c r="T208" i="114"/>
  <c r="S208" i="114"/>
  <c r="R208" i="114"/>
  <c r="Q208" i="114"/>
  <c r="O208" i="114"/>
  <c r="M208" i="114"/>
  <c r="V208" i="114" s="1"/>
  <c r="T207" i="114"/>
  <c r="S207" i="114"/>
  <c r="R207" i="114"/>
  <c r="Q207" i="114"/>
  <c r="O207" i="114"/>
  <c r="M207" i="114"/>
  <c r="V207" i="114" s="1"/>
  <c r="T206" i="114"/>
  <c r="S206" i="114"/>
  <c r="R206" i="114"/>
  <c r="Q206" i="114"/>
  <c r="O206" i="114"/>
  <c r="M206" i="114"/>
  <c r="V206" i="114" s="1"/>
  <c r="T205" i="114"/>
  <c r="S205" i="114"/>
  <c r="R205" i="114"/>
  <c r="Q205" i="114"/>
  <c r="O205" i="114"/>
  <c r="M205" i="114"/>
  <c r="V205" i="114" s="1"/>
  <c r="T204" i="114"/>
  <c r="S204" i="114"/>
  <c r="R204" i="114"/>
  <c r="Q204" i="114"/>
  <c r="O204" i="114"/>
  <c r="M204" i="114"/>
  <c r="V204" i="114" s="1"/>
  <c r="T203" i="114"/>
  <c r="S203" i="114"/>
  <c r="R203" i="114"/>
  <c r="Q203" i="114"/>
  <c r="O203" i="114"/>
  <c r="M203" i="114"/>
  <c r="V203" i="114" s="1"/>
  <c r="T202" i="114"/>
  <c r="S202" i="114"/>
  <c r="R202" i="114"/>
  <c r="Q202" i="114"/>
  <c r="O202" i="114"/>
  <c r="M202" i="114"/>
  <c r="V202" i="114" s="1"/>
  <c r="S199" i="114"/>
  <c r="R199" i="114"/>
  <c r="Q199" i="114"/>
  <c r="O199" i="114"/>
  <c r="M199" i="114"/>
  <c r="T198" i="114"/>
  <c r="S198" i="114"/>
  <c r="R198" i="114"/>
  <c r="Q198" i="114"/>
  <c r="O198" i="114"/>
  <c r="M198" i="114"/>
  <c r="V198" i="114" s="1"/>
  <c r="T197" i="114"/>
  <c r="S197" i="114"/>
  <c r="R197" i="114"/>
  <c r="Q197" i="114"/>
  <c r="O197" i="114"/>
  <c r="M197" i="114"/>
  <c r="V197" i="114" s="1"/>
  <c r="T196" i="114"/>
  <c r="S196" i="114"/>
  <c r="R196" i="114"/>
  <c r="Q196" i="114"/>
  <c r="O196" i="114"/>
  <c r="M196" i="114"/>
  <c r="V196" i="114" s="1"/>
  <c r="T195" i="114"/>
  <c r="S195" i="114"/>
  <c r="R195" i="114"/>
  <c r="Q195" i="114"/>
  <c r="O195" i="114"/>
  <c r="M195" i="114"/>
  <c r="V195" i="114" s="1"/>
  <c r="S194" i="114"/>
  <c r="R194" i="114"/>
  <c r="Q194" i="114"/>
  <c r="O194" i="114"/>
  <c r="M194" i="114"/>
  <c r="S193" i="114"/>
  <c r="R193" i="114"/>
  <c r="Q193" i="114"/>
  <c r="O193" i="114"/>
  <c r="M193" i="114"/>
  <c r="S192" i="114"/>
  <c r="R192" i="114"/>
  <c r="Q192" i="114"/>
  <c r="O192" i="114"/>
  <c r="M192" i="114"/>
  <c r="S191" i="114"/>
  <c r="R191" i="114"/>
  <c r="Q191" i="114"/>
  <c r="O191" i="114"/>
  <c r="M191" i="114"/>
  <c r="S190" i="114"/>
  <c r="R190" i="114"/>
  <c r="Q190" i="114"/>
  <c r="O190" i="114"/>
  <c r="M190" i="114"/>
  <c r="S189" i="114"/>
  <c r="R189" i="114"/>
  <c r="Q189" i="114"/>
  <c r="O189" i="114"/>
  <c r="M189" i="114"/>
  <c r="T188" i="114"/>
  <c r="S188" i="114"/>
  <c r="R188" i="114"/>
  <c r="Q188" i="114"/>
  <c r="O188" i="114"/>
  <c r="M188" i="114"/>
  <c r="V188" i="114" s="1"/>
  <c r="S187" i="114"/>
  <c r="R187" i="114"/>
  <c r="Q187" i="114"/>
  <c r="O187" i="114"/>
  <c r="M187" i="114"/>
  <c r="S186" i="114"/>
  <c r="R186" i="114"/>
  <c r="Q186" i="114"/>
  <c r="O186" i="114"/>
  <c r="M186" i="114"/>
  <c r="S185" i="114"/>
  <c r="R185" i="114"/>
  <c r="Q185" i="114"/>
  <c r="O185" i="114"/>
  <c r="M185" i="114"/>
  <c r="S184" i="114"/>
  <c r="R184" i="114"/>
  <c r="Q184" i="114"/>
  <c r="O184" i="114"/>
  <c r="M184" i="114"/>
  <c r="T183" i="114"/>
  <c r="S183" i="114"/>
  <c r="R183" i="114"/>
  <c r="Q183" i="114"/>
  <c r="O183" i="114"/>
  <c r="M183" i="114"/>
  <c r="V183" i="114" s="1"/>
  <c r="T182" i="114"/>
  <c r="S182" i="114"/>
  <c r="R182" i="114"/>
  <c r="Q182" i="114"/>
  <c r="O182" i="114"/>
  <c r="M182" i="114"/>
  <c r="V182" i="114" s="1"/>
  <c r="T181" i="114"/>
  <c r="S181" i="114"/>
  <c r="R181" i="114"/>
  <c r="Q181" i="114"/>
  <c r="O181" i="114"/>
  <c r="M181" i="114"/>
  <c r="V181" i="114" s="1"/>
  <c r="T180" i="114"/>
  <c r="S180" i="114"/>
  <c r="R180" i="114"/>
  <c r="Q180" i="114"/>
  <c r="O180" i="114"/>
  <c r="M180" i="114"/>
  <c r="V180" i="114" s="1"/>
  <c r="T179" i="114"/>
  <c r="S179" i="114"/>
  <c r="R179" i="114"/>
  <c r="Q179" i="114"/>
  <c r="O179" i="114"/>
  <c r="M179" i="114"/>
  <c r="V179" i="114" s="1"/>
  <c r="T178" i="114"/>
  <c r="S178" i="114"/>
  <c r="R178" i="114"/>
  <c r="Q178" i="114"/>
  <c r="O178" i="114"/>
  <c r="M178" i="114"/>
  <c r="V178" i="114" s="1"/>
  <c r="T177" i="114"/>
  <c r="S177" i="114"/>
  <c r="R177" i="114"/>
  <c r="Q177" i="114"/>
  <c r="O177" i="114"/>
  <c r="M177" i="114"/>
  <c r="V177" i="114" s="1"/>
  <c r="T176" i="114"/>
  <c r="S176" i="114"/>
  <c r="R176" i="114"/>
  <c r="Q176" i="114"/>
  <c r="O176" i="114"/>
  <c r="M176" i="114"/>
  <c r="V176" i="114" s="1"/>
  <c r="T175" i="114"/>
  <c r="S175" i="114"/>
  <c r="R175" i="114"/>
  <c r="Q175" i="114"/>
  <c r="O175" i="114"/>
  <c r="M175" i="114"/>
  <c r="V175" i="114" s="1"/>
  <c r="S172" i="114"/>
  <c r="R172" i="114"/>
  <c r="Q172" i="114"/>
  <c r="O172" i="114"/>
  <c r="M172" i="114"/>
  <c r="S169" i="114"/>
  <c r="R169" i="114"/>
  <c r="Q169" i="114"/>
  <c r="O169" i="114"/>
  <c r="M169" i="114"/>
  <c r="T168" i="114"/>
  <c r="S168" i="114"/>
  <c r="R168" i="114"/>
  <c r="Q168" i="114"/>
  <c r="O168" i="114"/>
  <c r="M168" i="114"/>
  <c r="S167" i="114"/>
  <c r="R167" i="114"/>
  <c r="Q167" i="114"/>
  <c r="O167" i="114"/>
  <c r="M167" i="114"/>
  <c r="S166" i="114"/>
  <c r="R166" i="114"/>
  <c r="Q166" i="114"/>
  <c r="O166" i="114"/>
  <c r="M166" i="114"/>
  <c r="V166" i="114" s="1"/>
  <c r="S165" i="114"/>
  <c r="R165" i="114"/>
  <c r="Q165" i="114"/>
  <c r="O165" i="114"/>
  <c r="M165" i="114"/>
  <c r="V165" i="114" s="1"/>
  <c r="S164" i="114"/>
  <c r="R164" i="114"/>
  <c r="Q164" i="114"/>
  <c r="O164" i="114"/>
  <c r="M164" i="114"/>
  <c r="S163" i="114"/>
  <c r="R163" i="114"/>
  <c r="Q163" i="114"/>
  <c r="O163" i="114"/>
  <c r="M163" i="114"/>
  <c r="S162" i="114"/>
  <c r="R162" i="114"/>
  <c r="Q162" i="114"/>
  <c r="O162" i="114"/>
  <c r="M162" i="114"/>
  <c r="S161" i="114"/>
  <c r="R161" i="114"/>
  <c r="Q161" i="114"/>
  <c r="O161" i="114"/>
  <c r="M161" i="114"/>
  <c r="S160" i="114"/>
  <c r="R160" i="114"/>
  <c r="Q160" i="114"/>
  <c r="O160" i="114"/>
  <c r="M160" i="114"/>
  <c r="S159" i="114"/>
  <c r="R159" i="114"/>
  <c r="Q159" i="114"/>
  <c r="O159" i="114"/>
  <c r="M159" i="114"/>
  <c r="S158" i="114"/>
  <c r="R158" i="114"/>
  <c r="Q158" i="114"/>
  <c r="O158" i="114"/>
  <c r="M158" i="114"/>
  <c r="S157" i="114"/>
  <c r="R157" i="114"/>
  <c r="Q157" i="114"/>
  <c r="O157" i="114"/>
  <c r="M157" i="114"/>
  <c r="T156" i="114"/>
  <c r="S156" i="114"/>
  <c r="R156" i="114"/>
  <c r="Q156" i="114"/>
  <c r="O156" i="114"/>
  <c r="M156" i="114"/>
  <c r="V156" i="114" s="1"/>
  <c r="T155" i="114"/>
  <c r="S155" i="114"/>
  <c r="R155" i="114"/>
  <c r="Q155" i="114"/>
  <c r="O155" i="114"/>
  <c r="M155" i="114"/>
  <c r="V155" i="114" s="1"/>
  <c r="S154" i="114"/>
  <c r="R154" i="114"/>
  <c r="Q154" i="114"/>
  <c r="O154" i="114"/>
  <c r="M154" i="114"/>
  <c r="S153" i="114"/>
  <c r="R153" i="114"/>
  <c r="Q153" i="114"/>
  <c r="O153" i="114"/>
  <c r="M153" i="114"/>
  <c r="S152" i="114"/>
  <c r="R152" i="114"/>
  <c r="Q152" i="114"/>
  <c r="O152" i="114"/>
  <c r="M152" i="114"/>
  <c r="V152" i="114" s="1"/>
  <c r="S151" i="114"/>
  <c r="R151" i="114"/>
  <c r="Q151" i="114"/>
  <c r="O151" i="114"/>
  <c r="M151" i="114"/>
  <c r="V151" i="114" s="1"/>
  <c r="S150" i="114"/>
  <c r="R150" i="114"/>
  <c r="Q150" i="114"/>
  <c r="O150" i="114"/>
  <c r="M150" i="114"/>
  <c r="S149" i="114"/>
  <c r="R149" i="114"/>
  <c r="Q149" i="114"/>
  <c r="O149" i="114"/>
  <c r="M149" i="114"/>
  <c r="T148" i="114"/>
  <c r="S148" i="114"/>
  <c r="R148" i="114"/>
  <c r="Q148" i="114"/>
  <c r="O148" i="114"/>
  <c r="M148" i="114"/>
  <c r="V148" i="114" s="1"/>
  <c r="S147" i="114"/>
  <c r="R147" i="114"/>
  <c r="Q147" i="114"/>
  <c r="O147" i="114"/>
  <c r="M147" i="114"/>
  <c r="V147" i="114" s="1"/>
  <c r="S146" i="114"/>
  <c r="R146" i="114"/>
  <c r="Q146" i="114"/>
  <c r="O146" i="114"/>
  <c r="M146" i="114"/>
  <c r="V146" i="114" s="1"/>
  <c r="S145" i="114"/>
  <c r="R145" i="114"/>
  <c r="Q145" i="114"/>
  <c r="O145" i="114"/>
  <c r="M145" i="114"/>
  <c r="V145" i="114" s="1"/>
  <c r="S144" i="114"/>
  <c r="R144" i="114"/>
  <c r="Q144" i="114"/>
  <c r="O144" i="114"/>
  <c r="M144" i="114"/>
  <c r="V144" i="114" s="1"/>
  <c r="S143" i="114"/>
  <c r="R143" i="114"/>
  <c r="Q143" i="114"/>
  <c r="O143" i="114"/>
  <c r="M143" i="114"/>
  <c r="V143" i="114" s="1"/>
  <c r="S142" i="114"/>
  <c r="R142" i="114"/>
  <c r="Q142" i="114"/>
  <c r="O142" i="114"/>
  <c r="M142" i="114"/>
  <c r="V142" i="114" s="1"/>
  <c r="S141" i="114"/>
  <c r="R141" i="114"/>
  <c r="Q141" i="114"/>
  <c r="O141" i="114"/>
  <c r="M141" i="114"/>
  <c r="V141" i="114" s="1"/>
  <c r="S140" i="114"/>
  <c r="R140" i="114"/>
  <c r="Q140" i="114"/>
  <c r="O140" i="114"/>
  <c r="M140" i="114"/>
  <c r="V140" i="114" s="1"/>
  <c r="S139" i="114"/>
  <c r="R139" i="114"/>
  <c r="Q139" i="114"/>
  <c r="O139" i="114"/>
  <c r="M139" i="114"/>
  <c r="V139" i="114" s="1"/>
  <c r="S138" i="114"/>
  <c r="R138" i="114"/>
  <c r="Q138" i="114"/>
  <c r="O138" i="114"/>
  <c r="M138" i="114"/>
  <c r="V138" i="114" s="1"/>
  <c r="S137" i="114"/>
  <c r="R137" i="114"/>
  <c r="Q137" i="114"/>
  <c r="O137" i="114"/>
  <c r="M137" i="114"/>
  <c r="V137" i="114" s="1"/>
  <c r="S136" i="114"/>
  <c r="R136" i="114"/>
  <c r="Q136" i="114"/>
  <c r="O136" i="114"/>
  <c r="M136" i="114"/>
  <c r="V136" i="114" s="1"/>
  <c r="S135" i="114"/>
  <c r="R135" i="114"/>
  <c r="Q135" i="114"/>
  <c r="O135" i="114"/>
  <c r="M135" i="114"/>
  <c r="V135" i="114" s="1"/>
  <c r="S134" i="114"/>
  <c r="R134" i="114"/>
  <c r="Q134" i="114"/>
  <c r="O134" i="114"/>
  <c r="M134" i="114"/>
  <c r="V134" i="114" s="1"/>
  <c r="S133" i="114"/>
  <c r="R133" i="114"/>
  <c r="Q133" i="114"/>
  <c r="O133" i="114"/>
  <c r="M133" i="114"/>
  <c r="V133" i="114" s="1"/>
  <c r="S132" i="114"/>
  <c r="R132" i="114"/>
  <c r="Q132" i="114"/>
  <c r="O132" i="114"/>
  <c r="M132" i="114"/>
  <c r="V132" i="114" s="1"/>
  <c r="S131" i="114"/>
  <c r="R131" i="114"/>
  <c r="Q131" i="114"/>
  <c r="O131" i="114"/>
  <c r="M131" i="114"/>
  <c r="V131" i="114" s="1"/>
  <c r="S130" i="114"/>
  <c r="R130" i="114"/>
  <c r="Q130" i="114"/>
  <c r="O130" i="114"/>
  <c r="M130" i="114"/>
  <c r="V130" i="114" s="1"/>
  <c r="S129" i="114"/>
  <c r="R129" i="114"/>
  <c r="Q129" i="114"/>
  <c r="O129" i="114"/>
  <c r="M129" i="114"/>
  <c r="V129" i="114" s="1"/>
  <c r="S128" i="114"/>
  <c r="R128" i="114"/>
  <c r="Q128" i="114"/>
  <c r="O128" i="114"/>
  <c r="M128" i="114"/>
  <c r="V128" i="114" s="1"/>
  <c r="T120" i="114"/>
  <c r="S120" i="114"/>
  <c r="R120" i="114"/>
  <c r="Q120" i="114"/>
  <c r="O120" i="114"/>
  <c r="M120" i="114"/>
  <c r="V120" i="114" s="1"/>
  <c r="S118" i="114"/>
  <c r="R118" i="114"/>
  <c r="Q118" i="114"/>
  <c r="O118" i="114"/>
  <c r="M118" i="114"/>
  <c r="V118" i="114" s="1"/>
  <c r="S117" i="114"/>
  <c r="R117" i="114"/>
  <c r="Q117" i="114"/>
  <c r="O117" i="114"/>
  <c r="M117" i="114"/>
  <c r="V117" i="114" s="1"/>
  <c r="T116" i="114"/>
  <c r="S116" i="114"/>
  <c r="R116" i="114"/>
  <c r="Q116" i="114"/>
  <c r="O116" i="114"/>
  <c r="M116" i="114"/>
  <c r="V116" i="114" s="1"/>
  <c r="T114" i="114"/>
  <c r="S114" i="114"/>
  <c r="R114" i="114"/>
  <c r="Q114" i="114"/>
  <c r="O114" i="114"/>
  <c r="M114" i="114"/>
  <c r="V114" i="114" s="1"/>
  <c r="T113" i="114"/>
  <c r="S113" i="114"/>
  <c r="R113" i="114"/>
  <c r="Q113" i="114"/>
  <c r="O113" i="114"/>
  <c r="M113" i="114"/>
  <c r="V113" i="114" s="1"/>
  <c r="S112" i="114"/>
  <c r="R112" i="114"/>
  <c r="Q112" i="114"/>
  <c r="O112" i="114"/>
  <c r="M112" i="114"/>
  <c r="V112" i="114" s="1"/>
  <c r="S111" i="114"/>
  <c r="R111" i="114"/>
  <c r="Q111" i="114"/>
  <c r="O111" i="114"/>
  <c r="M111" i="114"/>
  <c r="V111" i="114" s="1"/>
  <c r="T110" i="114"/>
  <c r="S110" i="114"/>
  <c r="R110" i="114"/>
  <c r="Q110" i="114"/>
  <c r="O110" i="114"/>
  <c r="M110" i="114"/>
  <c r="V110" i="114" s="1"/>
  <c r="S109" i="114"/>
  <c r="R109" i="114"/>
  <c r="Q109" i="114"/>
  <c r="O109" i="114"/>
  <c r="M109" i="114"/>
  <c r="V109" i="114" s="1"/>
  <c r="S108" i="114"/>
  <c r="R108" i="114"/>
  <c r="Q108" i="114"/>
  <c r="O108" i="114"/>
  <c r="M108" i="114"/>
  <c r="S107" i="114"/>
  <c r="R107" i="114"/>
  <c r="Q107" i="114"/>
  <c r="O107" i="114"/>
  <c r="M107" i="114"/>
  <c r="S106" i="114"/>
  <c r="R106" i="114"/>
  <c r="Q106" i="114"/>
  <c r="O106" i="114"/>
  <c r="M106" i="114"/>
  <c r="S105" i="114"/>
  <c r="R105" i="114"/>
  <c r="Q105" i="114"/>
  <c r="O105" i="114"/>
  <c r="M105" i="114"/>
  <c r="S104" i="114"/>
  <c r="R104" i="114"/>
  <c r="Q104" i="114"/>
  <c r="O104" i="114"/>
  <c r="M104" i="114"/>
  <c r="S103" i="114"/>
  <c r="R103" i="114"/>
  <c r="Q103" i="114"/>
  <c r="O103" i="114"/>
  <c r="M103" i="114"/>
  <c r="V103" i="114" s="1"/>
  <c r="S102" i="114"/>
  <c r="R102" i="114"/>
  <c r="Q102" i="114"/>
  <c r="O102" i="114"/>
  <c r="M102" i="114"/>
  <c r="S101" i="114"/>
  <c r="R101" i="114"/>
  <c r="Q101" i="114"/>
  <c r="O101" i="114"/>
  <c r="M101" i="114"/>
  <c r="V101" i="114" s="1"/>
  <c r="S99" i="114"/>
  <c r="R99" i="114"/>
  <c r="Q99" i="114"/>
  <c r="O99" i="114"/>
  <c r="M99" i="114"/>
  <c r="V99" i="114" s="1"/>
  <c r="S98" i="114"/>
  <c r="R98" i="114"/>
  <c r="Q98" i="114"/>
  <c r="O98" i="114"/>
  <c r="M98" i="114"/>
  <c r="V98" i="114" s="1"/>
  <c r="S97" i="114"/>
  <c r="R97" i="114"/>
  <c r="Q97" i="114"/>
  <c r="O97" i="114"/>
  <c r="M97" i="114"/>
  <c r="V97" i="114" s="1"/>
  <c r="S94" i="114"/>
  <c r="R94" i="114"/>
  <c r="Q94" i="114"/>
  <c r="O94" i="114"/>
  <c r="M94" i="114"/>
  <c r="V94" i="114" s="1"/>
  <c r="S93" i="114"/>
  <c r="R93" i="114"/>
  <c r="Q93" i="114"/>
  <c r="O93" i="114"/>
  <c r="M93" i="114"/>
  <c r="V93" i="114" s="1"/>
  <c r="S92" i="114"/>
  <c r="R92" i="114"/>
  <c r="Q92" i="114"/>
  <c r="O92" i="114"/>
  <c r="M92" i="114"/>
  <c r="V92" i="114" s="1"/>
  <c r="S88" i="114"/>
  <c r="R88" i="114"/>
  <c r="Q88" i="114"/>
  <c r="O88" i="114"/>
  <c r="M88" i="114"/>
  <c r="V88" i="114" s="1"/>
  <c r="S87" i="114"/>
  <c r="R87" i="114"/>
  <c r="Q87" i="114"/>
  <c r="O87" i="114"/>
  <c r="M87" i="114"/>
  <c r="V87" i="114" s="1"/>
  <c r="S86" i="114"/>
  <c r="R86" i="114"/>
  <c r="Q86" i="114"/>
  <c r="O86" i="114"/>
  <c r="M86" i="114"/>
  <c r="V86" i="114" s="1"/>
  <c r="S85" i="114"/>
  <c r="R85" i="114"/>
  <c r="Q85" i="114"/>
  <c r="O85" i="114"/>
  <c r="M85" i="114"/>
  <c r="V85" i="114" s="1"/>
  <c r="S84" i="114"/>
  <c r="R84" i="114"/>
  <c r="Q84" i="114"/>
  <c r="O84" i="114"/>
  <c r="M84" i="114"/>
  <c r="V84" i="114" s="1"/>
  <c r="S83" i="114"/>
  <c r="R83" i="114"/>
  <c r="Q83" i="114"/>
  <c r="O83" i="114"/>
  <c r="M83" i="114"/>
  <c r="S82" i="114"/>
  <c r="R82" i="114"/>
  <c r="Q82" i="114"/>
  <c r="O82" i="114"/>
  <c r="M82" i="114"/>
  <c r="V82" i="114" s="1"/>
  <c r="S81" i="114"/>
  <c r="R81" i="114"/>
  <c r="Q81" i="114"/>
  <c r="O81" i="114"/>
  <c r="M81" i="114"/>
  <c r="V81" i="114" s="1"/>
  <c r="S80" i="114"/>
  <c r="R80" i="114"/>
  <c r="Q80" i="114"/>
  <c r="O80" i="114"/>
  <c r="M80" i="114"/>
  <c r="V80" i="114" s="1"/>
  <c r="S79" i="114"/>
  <c r="R79" i="114"/>
  <c r="Q79" i="114"/>
  <c r="O79" i="114"/>
  <c r="M79" i="114"/>
  <c r="V79" i="114" s="1"/>
  <c r="S78" i="114"/>
  <c r="R78" i="114"/>
  <c r="Q78" i="114"/>
  <c r="O78" i="114"/>
  <c r="M78" i="114"/>
  <c r="V78" i="114" s="1"/>
  <c r="S77" i="114"/>
  <c r="R77" i="114"/>
  <c r="Q77" i="114"/>
  <c r="O77" i="114"/>
  <c r="M77" i="114"/>
  <c r="V77" i="114" s="1"/>
  <c r="S76" i="114"/>
  <c r="R76" i="114"/>
  <c r="Q76" i="114"/>
  <c r="O76" i="114"/>
  <c r="M76" i="114"/>
  <c r="V76" i="114" s="1"/>
  <c r="S75" i="114"/>
  <c r="R75" i="114"/>
  <c r="Q75" i="114"/>
  <c r="O75" i="114"/>
  <c r="M75" i="114"/>
  <c r="V75" i="114" s="1"/>
  <c r="S74" i="114"/>
  <c r="R74" i="114"/>
  <c r="Q74" i="114"/>
  <c r="O74" i="114"/>
  <c r="M74" i="114"/>
  <c r="S73" i="114"/>
  <c r="R73" i="114"/>
  <c r="Q73" i="114"/>
  <c r="O73" i="114"/>
  <c r="M73" i="114"/>
  <c r="V73" i="114" s="1"/>
  <c r="S63" i="114"/>
  <c r="R63" i="114"/>
  <c r="Q63" i="114"/>
  <c r="O63" i="114"/>
  <c r="M63" i="114"/>
  <c r="T62" i="114"/>
  <c r="Y62" i="114" s="1"/>
  <c r="S62" i="114"/>
  <c r="R62" i="114"/>
  <c r="Q62" i="114"/>
  <c r="O62" i="114"/>
  <c r="M62" i="114"/>
  <c r="T61" i="114"/>
  <c r="Y61" i="114" s="1"/>
  <c r="S61" i="114"/>
  <c r="R61" i="114"/>
  <c r="Q61" i="114"/>
  <c r="O61" i="114"/>
  <c r="M61" i="114"/>
  <c r="V61" i="114" s="1"/>
  <c r="T58" i="114"/>
  <c r="Y58" i="114" s="1"/>
  <c r="S58" i="114"/>
  <c r="R58" i="114"/>
  <c r="Q58" i="114"/>
  <c r="O58" i="114"/>
  <c r="M58" i="114"/>
  <c r="S57" i="114"/>
  <c r="R57" i="114"/>
  <c r="Q57" i="114"/>
  <c r="O57" i="114"/>
  <c r="M57" i="114"/>
  <c r="T56" i="114"/>
  <c r="Y56" i="114" s="1"/>
  <c r="S56" i="114"/>
  <c r="R56" i="114"/>
  <c r="Q56" i="114"/>
  <c r="O56" i="114"/>
  <c r="M56" i="114"/>
  <c r="T55" i="114"/>
  <c r="Y55" i="114" s="1"/>
  <c r="S55" i="114"/>
  <c r="R55" i="114"/>
  <c r="Q55" i="114"/>
  <c r="O55" i="114"/>
  <c r="M55" i="114"/>
  <c r="S52" i="114"/>
  <c r="R52" i="114"/>
  <c r="Q52" i="114"/>
  <c r="O52" i="114"/>
  <c r="M52" i="114"/>
  <c r="S51" i="114"/>
  <c r="R51" i="114"/>
  <c r="Q51" i="114"/>
  <c r="O51" i="114"/>
  <c r="M51" i="114"/>
  <c r="S50" i="114"/>
  <c r="R50" i="114"/>
  <c r="Q50" i="114"/>
  <c r="O50" i="114"/>
  <c r="M50" i="114"/>
  <c r="S47" i="114"/>
  <c r="R47" i="114"/>
  <c r="Q47" i="114"/>
  <c r="O47" i="114"/>
  <c r="M47" i="114"/>
  <c r="T46" i="114"/>
  <c r="Y46" i="114" s="1"/>
  <c r="S46" i="114"/>
  <c r="R46" i="114"/>
  <c r="Q46" i="114"/>
  <c r="O46" i="114"/>
  <c r="M46" i="114"/>
  <c r="T45" i="114"/>
  <c r="Y45" i="114" s="1"/>
  <c r="S45" i="114"/>
  <c r="R45" i="114"/>
  <c r="Q45" i="114"/>
  <c r="O45" i="114"/>
  <c r="M45" i="114"/>
  <c r="S44" i="114"/>
  <c r="R44" i="114"/>
  <c r="Q44" i="114"/>
  <c r="O44" i="114"/>
  <c r="M44" i="114"/>
  <c r="T43" i="114"/>
  <c r="Y43" i="114" s="1"/>
  <c r="S43" i="114"/>
  <c r="R43" i="114"/>
  <c r="Q43" i="114"/>
  <c r="O43" i="114"/>
  <c r="M43" i="114"/>
  <c r="S40" i="114"/>
  <c r="R40" i="114"/>
  <c r="Q40" i="114"/>
  <c r="O40" i="114"/>
  <c r="M40" i="114"/>
  <c r="S39" i="114"/>
  <c r="R39" i="114"/>
  <c r="Q39" i="114"/>
  <c r="O39" i="114"/>
  <c r="M39" i="114"/>
  <c r="T38" i="114"/>
  <c r="Y38" i="114" s="1"/>
  <c r="S38" i="114"/>
  <c r="R38" i="114"/>
  <c r="Q38" i="114"/>
  <c r="O38" i="114"/>
  <c r="M38" i="114"/>
  <c r="T37" i="114"/>
  <c r="Y37" i="114" s="1"/>
  <c r="S37" i="114"/>
  <c r="R37" i="114"/>
  <c r="Q37" i="114"/>
  <c r="O37" i="114"/>
  <c r="M37" i="114"/>
  <c r="T36" i="114"/>
  <c r="Y36" i="114" s="1"/>
  <c r="S36" i="114"/>
  <c r="R36" i="114"/>
  <c r="Q36" i="114"/>
  <c r="O36" i="114"/>
  <c r="M36" i="114"/>
  <c r="S35" i="114"/>
  <c r="R35" i="114"/>
  <c r="Q35" i="114"/>
  <c r="O35" i="114"/>
  <c r="M35" i="114"/>
  <c r="T34" i="114"/>
  <c r="Y34" i="114" s="1"/>
  <c r="S34" i="114"/>
  <c r="R34" i="114"/>
  <c r="Q34" i="114"/>
  <c r="O34" i="114"/>
  <c r="M34" i="114"/>
  <c r="T31" i="114"/>
  <c r="Y31" i="114" s="1"/>
  <c r="S31" i="114"/>
  <c r="R31" i="114"/>
  <c r="Q31" i="114"/>
  <c r="O31" i="114"/>
  <c r="M31" i="114"/>
  <c r="T30" i="114"/>
  <c r="Y30" i="114" s="1"/>
  <c r="S30" i="114"/>
  <c r="R30" i="114"/>
  <c r="Q30" i="114"/>
  <c r="O30" i="114"/>
  <c r="M30" i="114"/>
  <c r="T29" i="114"/>
  <c r="Y29" i="114" s="1"/>
  <c r="S29" i="114"/>
  <c r="R29" i="114"/>
  <c r="Q29" i="114"/>
  <c r="O29" i="114"/>
  <c r="M29" i="114"/>
  <c r="T28" i="114"/>
  <c r="Y28" i="114" s="1"/>
  <c r="S28" i="114"/>
  <c r="R28" i="114"/>
  <c r="Q28" i="114"/>
  <c r="O28" i="114"/>
  <c r="M28" i="114"/>
  <c r="T27" i="114"/>
  <c r="Y27" i="114" s="1"/>
  <c r="S27" i="114"/>
  <c r="R27" i="114"/>
  <c r="Q27" i="114"/>
  <c r="O27" i="114"/>
  <c r="M27" i="114"/>
  <c r="T26" i="114"/>
  <c r="Y26" i="114" s="1"/>
  <c r="S26" i="114"/>
  <c r="R26" i="114"/>
  <c r="Q26" i="114"/>
  <c r="O26" i="114"/>
  <c r="M26" i="114"/>
  <c r="T25" i="114"/>
  <c r="Y25" i="114" s="1"/>
  <c r="S25" i="114"/>
  <c r="R25" i="114"/>
  <c r="Q25" i="114"/>
  <c r="O25" i="114"/>
  <c r="M25" i="114"/>
  <c r="T24" i="114"/>
  <c r="Y24" i="114" s="1"/>
  <c r="S24" i="114"/>
  <c r="R24" i="114"/>
  <c r="Q24" i="114"/>
  <c r="O24" i="114"/>
  <c r="M24" i="114"/>
  <c r="S21" i="114"/>
  <c r="R21" i="114"/>
  <c r="Q21" i="114"/>
  <c r="O21" i="114"/>
  <c r="M21" i="114"/>
  <c r="S20" i="114"/>
  <c r="R20" i="114"/>
  <c r="Q20" i="114"/>
  <c r="O20" i="114"/>
  <c r="M20" i="114"/>
  <c r="S19" i="114"/>
  <c r="R19" i="114"/>
  <c r="Q19" i="114"/>
  <c r="O19" i="114"/>
  <c r="M19" i="114"/>
  <c r="S18" i="114"/>
  <c r="R18" i="114"/>
  <c r="Q18" i="114"/>
  <c r="O18" i="114"/>
  <c r="M18" i="114"/>
  <c r="T17" i="114"/>
  <c r="Y17" i="114" s="1"/>
  <c r="S17" i="114"/>
  <c r="R17" i="114"/>
  <c r="Q17" i="114"/>
  <c r="O17" i="114"/>
  <c r="M17" i="114"/>
  <c r="S16" i="114"/>
  <c r="R16" i="114"/>
  <c r="Q16" i="114"/>
  <c r="O16" i="114"/>
  <c r="M16" i="114"/>
  <c r="S15" i="114"/>
  <c r="R15" i="114"/>
  <c r="Q15" i="114"/>
  <c r="O15" i="114"/>
  <c r="M15" i="114"/>
  <c r="S14" i="114"/>
  <c r="R14" i="114"/>
  <c r="Q14" i="114"/>
  <c r="O14" i="114"/>
  <c r="M14" i="114"/>
  <c r="S13" i="114"/>
  <c r="R13" i="114"/>
  <c r="Q13" i="114"/>
  <c r="O13" i="114"/>
  <c r="M13" i="114"/>
  <c r="E1513" i="68"/>
  <c r="D1513" i="68"/>
  <c r="E1512" i="68"/>
  <c r="D1512" i="68"/>
  <c r="E1509" i="68"/>
  <c r="D1509" i="68"/>
  <c r="E1508" i="68"/>
  <c r="D1508" i="68"/>
  <c r="E1507" i="68"/>
  <c r="D1507" i="68"/>
  <c r="E1504" i="68"/>
  <c r="D1504" i="68"/>
  <c r="E1503" i="68"/>
  <c r="D1503" i="68"/>
  <c r="E1502" i="68"/>
  <c r="D1502" i="68"/>
  <c r="E1501" i="68"/>
  <c r="D1501" i="68"/>
  <c r="E1500" i="68"/>
  <c r="D1500" i="68"/>
  <c r="E1499" i="68"/>
  <c r="D1499" i="68"/>
  <c r="E1498" i="68"/>
  <c r="D1498" i="68"/>
  <c r="E1497" i="68"/>
  <c r="D1497" i="68"/>
  <c r="E1496" i="68"/>
  <c r="D1496" i="68"/>
  <c r="E1495" i="68"/>
  <c r="D1495" i="68"/>
  <c r="E1493" i="68"/>
  <c r="D1493" i="68"/>
  <c r="E1492" i="68"/>
  <c r="D1492" i="68"/>
  <c r="E1491" i="68"/>
  <c r="D1491" i="68"/>
  <c r="E1490" i="68"/>
  <c r="D1490" i="68"/>
  <c r="E1489" i="68"/>
  <c r="D1489" i="68"/>
  <c r="E1486" i="68"/>
  <c r="D1486" i="68"/>
  <c r="E1485" i="68"/>
  <c r="D1485" i="68"/>
  <c r="E1484" i="68"/>
  <c r="D1484" i="68"/>
  <c r="E1483" i="68"/>
  <c r="D1483" i="68"/>
  <c r="E1482" i="68"/>
  <c r="D1482" i="68"/>
  <c r="E1481" i="68"/>
  <c r="D1481" i="68"/>
  <c r="E1480" i="68"/>
  <c r="D1480" i="68"/>
  <c r="E1479" i="68"/>
  <c r="D1479" i="68"/>
  <c r="E1478" i="68"/>
  <c r="D1478" i="68"/>
  <c r="E1477" i="68"/>
  <c r="D1477" i="68"/>
  <c r="E1476" i="68"/>
  <c r="D1476" i="68"/>
  <c r="E1475" i="68"/>
  <c r="D1475" i="68"/>
  <c r="E1474" i="68"/>
  <c r="D1474" i="68"/>
  <c r="E1473" i="68"/>
  <c r="D1473" i="68"/>
  <c r="E1472" i="68"/>
  <c r="D1472" i="68"/>
  <c r="E1471" i="68"/>
  <c r="D1471" i="68"/>
  <c r="E1470" i="68"/>
  <c r="D1470" i="68"/>
  <c r="E1467" i="68"/>
  <c r="D1467" i="68"/>
  <c r="E1466" i="68"/>
  <c r="D1466" i="68"/>
  <c r="E1465" i="68"/>
  <c r="D1465" i="68"/>
  <c r="E1464" i="68"/>
  <c r="D1464" i="68"/>
  <c r="E1463" i="68"/>
  <c r="D1463" i="68"/>
  <c r="E1461" i="68"/>
  <c r="D1461" i="68"/>
  <c r="E1460" i="68"/>
  <c r="D1460" i="68"/>
  <c r="E1459" i="68"/>
  <c r="D1459" i="68"/>
  <c r="E1458" i="68"/>
  <c r="D1458" i="68"/>
  <c r="D1113" i="68"/>
  <c r="D1110" i="68"/>
  <c r="D1109" i="68"/>
  <c r="D1108" i="68"/>
  <c r="D1107" i="68"/>
  <c r="D1106" i="68"/>
  <c r="D1105" i="68"/>
  <c r="D1104" i="68"/>
  <c r="D1103" i="68"/>
  <c r="D1102" i="68"/>
  <c r="D1101" i="68"/>
  <c r="D1100" i="68"/>
  <c r="D1099" i="68"/>
  <c r="D1098" i="68"/>
  <c r="D1097" i="68"/>
  <c r="D1096" i="68"/>
  <c r="D1095" i="68"/>
  <c r="D1094" i="68"/>
  <c r="D1093" i="68"/>
  <c r="D1092" i="68"/>
  <c r="D1091" i="68"/>
  <c r="D1090" i="68"/>
  <c r="D1089" i="68"/>
  <c r="D1088" i="68"/>
  <c r="D1085" i="68"/>
  <c r="D1084" i="68"/>
  <c r="D1083" i="68"/>
  <c r="D1082" i="68"/>
  <c r="D1081" i="68"/>
  <c r="D1080" i="68"/>
  <c r="D1079" i="68"/>
  <c r="D1078" i="68"/>
  <c r="D1077" i="68"/>
  <c r="D1076" i="68"/>
  <c r="D1075" i="68"/>
  <c r="D1074" i="68"/>
  <c r="D1073" i="68"/>
  <c r="D1072" i="68"/>
  <c r="D1071" i="68"/>
  <c r="D1070" i="68"/>
  <c r="D1069" i="68"/>
  <c r="D1068" i="68"/>
  <c r="D1067" i="68"/>
  <c r="D1064" i="68"/>
  <c r="D1063" i="68"/>
  <c r="D1062" i="68"/>
  <c r="D1061" i="68"/>
  <c r="D1060" i="68"/>
  <c r="D1059" i="68"/>
  <c r="D1058" i="68"/>
  <c r="D1057" i="68"/>
  <c r="D1056" i="68"/>
  <c r="D1055" i="68"/>
  <c r="F775" i="68"/>
  <c r="E775" i="68"/>
  <c r="D775" i="68"/>
  <c r="C775" i="68"/>
  <c r="B775" i="68"/>
  <c r="X429" i="114" l="1"/>
  <c r="AC559" i="114"/>
  <c r="AE559" i="114" s="1"/>
  <c r="AF559" i="114" s="1"/>
  <c r="AH559" i="114" s="1"/>
  <c r="V1694" i="68"/>
  <c r="V1157" i="68"/>
  <c r="M1158" i="68"/>
  <c r="M96" i="68"/>
  <c r="M8" i="68" s="1"/>
  <c r="O96" i="68"/>
  <c r="O8" i="68" s="1"/>
  <c r="V149" i="114"/>
  <c r="V437" i="68"/>
  <c r="V1036" i="68"/>
  <c r="V1139" i="68"/>
  <c r="V1436" i="68"/>
  <c r="V1642" i="68"/>
  <c r="V1918" i="68"/>
  <c r="V958" i="115"/>
  <c r="T619" i="114"/>
  <c r="I1047" i="115"/>
  <c r="V436" i="68"/>
  <c r="V579" i="114"/>
  <c r="V287" i="115"/>
  <c r="V62" i="114"/>
  <c r="V168" i="114"/>
  <c r="V896" i="115"/>
  <c r="P579" i="114"/>
  <c r="U579" i="114"/>
  <c r="V277" i="114"/>
  <c r="V279" i="114"/>
  <c r="V265" i="114"/>
  <c r="V269" i="114"/>
  <c r="P11" i="68"/>
  <c r="V612" i="68"/>
  <c r="M613" i="68"/>
  <c r="N1047" i="115"/>
  <c r="P1666" i="68"/>
  <c r="P1718" i="68"/>
  <c r="V423" i="68"/>
  <c r="P612" i="68"/>
  <c r="P613" i="68" s="1"/>
  <c r="P948" i="68"/>
  <c r="P1013" i="68"/>
  <c r="P1132" i="68"/>
  <c r="P1149" i="68"/>
  <c r="U1040" i="68"/>
  <c r="U1138" i="68"/>
  <c r="P1523" i="68"/>
  <c r="P1540" i="68"/>
  <c r="P1747" i="68"/>
  <c r="P892" i="115"/>
  <c r="P908" i="115"/>
  <c r="P769" i="68"/>
  <c r="P1000" i="68"/>
  <c r="P1015" i="68"/>
  <c r="P1134" i="68"/>
  <c r="P1151" i="68"/>
  <c r="P1167" i="68"/>
  <c r="P1177" i="68"/>
  <c r="P1185" i="68"/>
  <c r="P1196" i="68"/>
  <c r="P1392" i="68"/>
  <c r="P1406" i="68"/>
  <c r="P1416" i="68"/>
  <c r="P1426" i="68"/>
  <c r="P1437" i="68"/>
  <c r="P1533" i="68"/>
  <c r="P208" i="115"/>
  <c r="P766" i="68"/>
  <c r="P926" i="68"/>
  <c r="P1692" i="68"/>
  <c r="P1702" i="68"/>
  <c r="P1711" i="68"/>
  <c r="P1722" i="68"/>
  <c r="P1741" i="68"/>
  <c r="P1751" i="68"/>
  <c r="U890" i="115"/>
  <c r="P1386" i="68"/>
  <c r="P1539" i="68"/>
  <c r="U443" i="68"/>
  <c r="U724" i="68"/>
  <c r="U816" i="115"/>
  <c r="P1555" i="68"/>
  <c r="P1653" i="68"/>
  <c r="P1673" i="68"/>
  <c r="P1691" i="68"/>
  <c r="P1699" i="68"/>
  <c r="P1710" i="68"/>
  <c r="P1721" i="68"/>
  <c r="P1733" i="68"/>
  <c r="P1758" i="68"/>
  <c r="P1768" i="68"/>
  <c r="P1785" i="68"/>
  <c r="P1795" i="68"/>
  <c r="P1805" i="68"/>
  <c r="P1895" i="68"/>
  <c r="P1910" i="68"/>
  <c r="P1922" i="68"/>
  <c r="P646" i="115"/>
  <c r="P715" i="115"/>
  <c r="P735" i="115"/>
  <c r="P743" i="115"/>
  <c r="P751" i="115"/>
  <c r="P759" i="115"/>
  <c r="P793" i="115"/>
  <c r="P803" i="115"/>
  <c r="P1346" i="68"/>
  <c r="P1373" i="68"/>
  <c r="P1383" i="68"/>
  <c r="P1401" i="68"/>
  <c r="P1411" i="68"/>
  <c r="P1419" i="68"/>
  <c r="P1430" i="68"/>
  <c r="P1449" i="68"/>
  <c r="P1546" i="68"/>
  <c r="P1652" i="68"/>
  <c r="P770" i="68"/>
  <c r="P1658" i="68"/>
  <c r="P1670" i="68"/>
  <c r="P1677" i="68"/>
  <c r="P1696" i="68"/>
  <c r="P1707" i="68"/>
  <c r="P1717" i="68"/>
  <c r="P1726" i="68"/>
  <c r="U1796" i="68"/>
  <c r="U1808" i="68"/>
  <c r="P1656" i="68"/>
  <c r="P814" i="115"/>
  <c r="U1151" i="68"/>
  <c r="U1196" i="68"/>
  <c r="P896" i="115"/>
  <c r="P910" i="115"/>
  <c r="P768" i="68"/>
  <c r="P836" i="68"/>
  <c r="P844" i="68"/>
  <c r="P854" i="68"/>
  <c r="P864" i="68"/>
  <c r="P872" i="68"/>
  <c r="P966" i="68"/>
  <c r="P974" i="68"/>
  <c r="P984" i="68"/>
  <c r="P1017" i="68"/>
  <c r="P1028" i="68"/>
  <c r="P1038" i="68"/>
  <c r="P1136" i="68"/>
  <c r="P1145" i="68"/>
  <c r="P1210" i="68"/>
  <c r="P1634" i="68"/>
  <c r="P1651" i="68"/>
  <c r="P1534" i="68"/>
  <c r="P1580" i="68"/>
  <c r="P1592" i="68"/>
  <c r="P1367" i="68"/>
  <c r="P1389" i="68"/>
  <c r="P1550" i="68"/>
  <c r="U1895" i="68"/>
  <c r="P890" i="115"/>
  <c r="P906" i="115"/>
  <c r="P916" i="115"/>
  <c r="P933" i="115"/>
  <c r="P941" i="115"/>
  <c r="P950" i="115"/>
  <c r="P976" i="115"/>
  <c r="P984" i="115"/>
  <c r="P994" i="115"/>
  <c r="P1040" i="115"/>
  <c r="P1202" i="68"/>
  <c r="P1338" i="68"/>
  <c r="P1351" i="68"/>
  <c r="P1366" i="68"/>
  <c r="P909" i="68"/>
  <c r="P925" i="68"/>
  <c r="P1121" i="68"/>
  <c r="P1245" i="68"/>
  <c r="P1521" i="68"/>
  <c r="P830" i="115"/>
  <c r="P877" i="115"/>
  <c r="P889" i="115"/>
  <c r="P925" i="115"/>
  <c r="P940" i="115"/>
  <c r="P949" i="115"/>
  <c r="P829" i="115"/>
  <c r="P837" i="115"/>
  <c r="P922" i="115"/>
  <c r="P937" i="115"/>
  <c r="P946" i="115"/>
  <c r="P791" i="115"/>
  <c r="P846" i="115"/>
  <c r="P856" i="115"/>
  <c r="U862" i="115"/>
  <c r="P883" i="115"/>
  <c r="P871" i="115"/>
  <c r="P879" i="115"/>
  <c r="P212" i="68"/>
  <c r="P224" i="68"/>
  <c r="P466" i="68"/>
  <c r="P638" i="68"/>
  <c r="P698" i="68"/>
  <c r="P710" i="68"/>
  <c r="P724" i="68"/>
  <c r="P734" i="68"/>
  <c r="P744" i="68"/>
  <c r="P760" i="68"/>
  <c r="P838" i="68"/>
  <c r="P848" i="68"/>
  <c r="P856" i="68"/>
  <c r="P866" i="68"/>
  <c r="P874" i="68"/>
  <c r="P893" i="68"/>
  <c r="P901" i="68"/>
  <c r="P911" i="68"/>
  <c r="P927" i="68"/>
  <c r="P928" i="68"/>
  <c r="U995" i="68"/>
  <c r="P1231" i="68"/>
  <c r="P1331" i="68"/>
  <c r="P1352" i="68"/>
  <c r="U1550" i="68"/>
  <c r="P1554" i="68"/>
  <c r="P1665" i="68"/>
  <c r="P1752" i="68"/>
  <c r="P1760" i="68"/>
  <c r="P1770" i="68"/>
  <c r="P1787" i="68"/>
  <c r="P1799" i="68"/>
  <c r="P1809" i="68"/>
  <c r="P1896" i="68"/>
  <c r="P1914" i="68"/>
  <c r="P1924" i="68"/>
  <c r="P402" i="115"/>
  <c r="P502" i="115"/>
  <c r="P512" i="115"/>
  <c r="P520" i="115"/>
  <c r="P530" i="115"/>
  <c r="P570" i="115"/>
  <c r="P717" i="115"/>
  <c r="P737" i="115"/>
  <c r="P745" i="115"/>
  <c r="P753" i="115"/>
  <c r="P761" i="115"/>
  <c r="P777" i="115"/>
  <c r="P805" i="115"/>
  <c r="P813" i="115"/>
  <c r="P960" i="115"/>
  <c r="P936" i="68"/>
  <c r="U1038" i="68"/>
  <c r="U1136" i="68"/>
  <c r="U1210" i="68"/>
  <c r="P1593" i="68"/>
  <c r="P1607" i="68"/>
  <c r="P1636" i="68"/>
  <c r="P1664" i="68"/>
  <c r="P838" i="115"/>
  <c r="U913" i="68"/>
  <c r="P1662" i="68"/>
  <c r="U1918" i="68"/>
  <c r="U104" i="115"/>
  <c r="U692" i="115"/>
  <c r="U719" i="115"/>
  <c r="P986" i="68"/>
  <c r="P1011" i="68"/>
  <c r="P1120" i="68"/>
  <c r="P1138" i="68"/>
  <c r="P1147" i="68"/>
  <c r="P1157" i="68"/>
  <c r="P1158" i="68" s="1"/>
  <c r="P1171" i="68"/>
  <c r="P1181" i="68"/>
  <c r="P1189" i="68"/>
  <c r="P1200" i="68"/>
  <c r="P1218" i="68"/>
  <c r="P1375" i="68"/>
  <c r="P1385" i="68"/>
  <c r="P1559" i="68"/>
  <c r="P1579" i="68"/>
  <c r="P1591" i="68"/>
  <c r="P1605" i="68"/>
  <c r="P885" i="68"/>
  <c r="U805" i="115"/>
  <c r="P809" i="115"/>
  <c r="P818" i="115"/>
  <c r="P938" i="115"/>
  <c r="P947" i="115"/>
  <c r="P954" i="115"/>
  <c r="P835" i="115"/>
  <c r="P884" i="115"/>
  <c r="P930" i="68"/>
  <c r="P1223" i="68"/>
  <c r="P1232" i="68"/>
  <c r="P1249" i="68"/>
  <c r="P1528" i="68"/>
  <c r="P1576" i="68"/>
  <c r="P1586" i="68"/>
  <c r="P1657" i="68"/>
  <c r="P1675" i="68"/>
  <c r="P1676" i="68"/>
  <c r="U1710" i="68"/>
  <c r="U1733" i="68"/>
  <c r="P1743" i="68"/>
  <c r="P1753" i="68"/>
  <c r="P112" i="115"/>
  <c r="P139" i="115"/>
  <c r="P270" i="115"/>
  <c r="P719" i="115"/>
  <c r="P739" i="115"/>
  <c r="P747" i="115"/>
  <c r="P755" i="115"/>
  <c r="P765" i="115"/>
  <c r="P789" i="115"/>
  <c r="P799" i="115"/>
  <c r="P807" i="115"/>
  <c r="P816" i="115"/>
  <c r="P834" i="115"/>
  <c r="P962" i="115"/>
  <c r="P979" i="115"/>
  <c r="P989" i="115"/>
  <c r="P999" i="115"/>
  <c r="P775" i="68"/>
  <c r="P839" i="68"/>
  <c r="P849" i="68"/>
  <c r="P857" i="68"/>
  <c r="P867" i="68"/>
  <c r="P894" i="68"/>
  <c r="P902" i="68"/>
  <c r="P912" i="68"/>
  <c r="P929" i="68"/>
  <c r="U969" i="68"/>
  <c r="P949" i="68"/>
  <c r="U953" i="68"/>
  <c r="P957" i="68"/>
  <c r="P971" i="68"/>
  <c r="P999" i="68"/>
  <c r="U225" i="68"/>
  <c r="P695" i="68"/>
  <c r="P705" i="68"/>
  <c r="P721" i="68"/>
  <c r="P729" i="68"/>
  <c r="P741" i="68"/>
  <c r="P757" i="68"/>
  <c r="P968" i="68"/>
  <c r="P895" i="68"/>
  <c r="P931" i="68"/>
  <c r="P942" i="68"/>
  <c r="U139" i="115"/>
  <c r="P276" i="115"/>
  <c r="P400" i="115"/>
  <c r="P1016" i="68"/>
  <c r="P1027" i="68"/>
  <c r="P1037" i="68"/>
  <c r="U1150" i="68"/>
  <c r="P1228" i="68"/>
  <c r="P1244" i="68"/>
  <c r="P1254" i="68"/>
  <c r="P1368" i="68"/>
  <c r="P1527" i="68"/>
  <c r="P1536" i="68"/>
  <c r="P1558" i="68"/>
  <c r="P1604" i="68"/>
  <c r="P1633" i="68"/>
  <c r="P1683" i="68"/>
  <c r="U1694" i="68"/>
  <c r="U1927" i="68"/>
  <c r="U48" i="115"/>
  <c r="P285" i="115"/>
  <c r="P564" i="115"/>
  <c r="P734" i="115"/>
  <c r="P742" i="115"/>
  <c r="P750" i="115"/>
  <c r="P758" i="115"/>
  <c r="U778" i="115"/>
  <c r="P782" i="115"/>
  <c r="P802" i="115"/>
  <c r="P810" i="115"/>
  <c r="P821" i="115"/>
  <c r="P849" i="115"/>
  <c r="P859" i="115"/>
  <c r="P919" i="115"/>
  <c r="P934" i="115"/>
  <c r="P942" i="115"/>
  <c r="P951" i="115"/>
  <c r="U954" i="115"/>
  <c r="P961" i="115"/>
  <c r="U967" i="115"/>
  <c r="P978" i="115"/>
  <c r="P988" i="115"/>
  <c r="P998" i="115"/>
  <c r="P1042" i="115"/>
  <c r="P1349" i="68"/>
  <c r="P1365" i="68"/>
  <c r="P1407" i="68"/>
  <c r="P1417" i="68"/>
  <c r="P1427" i="68"/>
  <c r="P1438" i="68"/>
  <c r="P1547" i="68"/>
  <c r="P1557" i="68"/>
  <c r="U1567" i="68"/>
  <c r="P1577" i="68"/>
  <c r="P1587" i="68"/>
  <c r="P1697" i="68"/>
  <c r="P1708" i="68"/>
  <c r="P1746" i="68"/>
  <c r="P1756" i="68"/>
  <c r="P1766" i="68"/>
  <c r="P1776" i="68"/>
  <c r="P1793" i="68"/>
  <c r="U1799" i="68"/>
  <c r="P1803" i="68"/>
  <c r="U1809" i="68"/>
  <c r="P1906" i="68"/>
  <c r="U414" i="115"/>
  <c r="U872" i="115"/>
  <c r="U884" i="115"/>
  <c r="U896" i="115"/>
  <c r="U946" i="115"/>
  <c r="P959" i="115"/>
  <c r="P1024" i="68"/>
  <c r="P1124" i="68"/>
  <c r="P1135" i="68"/>
  <c r="P1207" i="68"/>
  <c r="P1226" i="68"/>
  <c r="P1252" i="68"/>
  <c r="P1638" i="68"/>
  <c r="P780" i="115"/>
  <c r="P800" i="115"/>
  <c r="P847" i="115"/>
  <c r="P857" i="115"/>
  <c r="U863" i="115"/>
  <c r="P876" i="115"/>
  <c r="P905" i="115"/>
  <c r="P913" i="115"/>
  <c r="U990" i="115"/>
  <c r="U1028" i="115"/>
  <c r="U566" i="115"/>
  <c r="U578" i="115"/>
  <c r="P955" i="115"/>
  <c r="P975" i="115"/>
  <c r="P983" i="115"/>
  <c r="P993" i="115"/>
  <c r="P1033" i="115"/>
  <c r="P987" i="68"/>
  <c r="P997" i="68"/>
  <c r="P1122" i="68"/>
  <c r="P1166" i="68"/>
  <c r="P1176" i="68"/>
  <c r="P1184" i="68"/>
  <c r="P1194" i="68"/>
  <c r="P1203" i="68"/>
  <c r="P1221" i="68"/>
  <c r="P1222" i="68"/>
  <c r="P1248" i="68"/>
  <c r="P1332" i="68"/>
  <c r="P1361" i="68"/>
  <c r="P1374" i="68"/>
  <c r="P1542" i="68"/>
  <c r="U1549" i="68"/>
  <c r="P1553" i="68"/>
  <c r="P1594" i="68"/>
  <c r="P1608" i="68"/>
  <c r="P1637" i="68"/>
  <c r="P1655" i="68"/>
  <c r="U1662" i="68"/>
  <c r="U1730" i="68"/>
  <c r="P778" i="115"/>
  <c r="U782" i="115"/>
  <c r="P788" i="115"/>
  <c r="P798" i="115"/>
  <c r="P806" i="115"/>
  <c r="U821" i="115"/>
  <c r="P833" i="115"/>
  <c r="U934" i="115"/>
  <c r="U1642" i="68"/>
  <c r="U1776" i="68"/>
  <c r="U1906" i="68"/>
  <c r="P964" i="115"/>
  <c r="P1029" i="68"/>
  <c r="P1039" i="68"/>
  <c r="P1047" i="68"/>
  <c r="P1148" i="68"/>
  <c r="P1164" i="68"/>
  <c r="P1174" i="68"/>
  <c r="U1178" i="68"/>
  <c r="P1182" i="68"/>
  <c r="U1186" i="68"/>
  <c r="P1190" i="68"/>
  <c r="P1201" i="68"/>
  <c r="U1207" i="68"/>
  <c r="P1230" i="68"/>
  <c r="P1246" i="68"/>
  <c r="P1339" i="68"/>
  <c r="P1359" i="68"/>
  <c r="P1372" i="68"/>
  <c r="P1382" i="68"/>
  <c r="P1402" i="68"/>
  <c r="P1412" i="68"/>
  <c r="P1420" i="68"/>
  <c r="P1431" i="68"/>
  <c r="P1520" i="68"/>
  <c r="P1529" i="68"/>
  <c r="P783" i="115"/>
  <c r="P812" i="115"/>
  <c r="P843" i="115"/>
  <c r="P851" i="115"/>
  <c r="P863" i="115"/>
  <c r="P952" i="115"/>
  <c r="P980" i="115"/>
  <c r="P990" i="115"/>
  <c r="P1035" i="68"/>
  <c r="P1043" i="68"/>
  <c r="P1044" i="68"/>
  <c r="P1045" i="68"/>
  <c r="P445" i="68"/>
  <c r="P694" i="68"/>
  <c r="P704" i="68"/>
  <c r="P714" i="68"/>
  <c r="P728" i="68"/>
  <c r="P740" i="68"/>
  <c r="P756" i="68"/>
  <c r="P767" i="68"/>
  <c r="P749" i="68"/>
  <c r="P843" i="68"/>
  <c r="P853" i="68"/>
  <c r="P863" i="68"/>
  <c r="P871" i="68"/>
  <c r="P888" i="68"/>
  <c r="P898" i="68"/>
  <c r="P908" i="68"/>
  <c r="P918" i="68"/>
  <c r="P947" i="68"/>
  <c r="P956" i="68"/>
  <c r="P970" i="68"/>
  <c r="P980" i="68"/>
  <c r="P981" i="68"/>
  <c r="P982" i="68"/>
  <c r="P983" i="68"/>
  <c r="P996" i="68"/>
  <c r="P1012" i="68"/>
  <c r="P1023" i="68"/>
  <c r="P1032" i="68"/>
  <c r="P1042" i="68"/>
  <c r="U637" i="68"/>
  <c r="P693" i="68"/>
  <c r="P701" i="68"/>
  <c r="P713" i="68"/>
  <c r="P727" i="68"/>
  <c r="P737" i="68"/>
  <c r="P755" i="68"/>
  <c r="P763" i="68"/>
  <c r="P780" i="68"/>
  <c r="P842" i="68"/>
  <c r="P852" i="68"/>
  <c r="P862" i="68"/>
  <c r="U866" i="68"/>
  <c r="P870" i="68"/>
  <c r="P887" i="68"/>
  <c r="P897" i="68"/>
  <c r="P907" i="68"/>
  <c r="P915" i="68"/>
  <c r="P933" i="68"/>
  <c r="P944" i="68"/>
  <c r="U951" i="68"/>
  <c r="P955" i="68"/>
  <c r="P969" i="68"/>
  <c r="P979" i="68"/>
  <c r="P995" i="68"/>
  <c r="P1003" i="68"/>
  <c r="P1020" i="68"/>
  <c r="U1027" i="68"/>
  <c r="P1031" i="68"/>
  <c r="P306" i="68"/>
  <c r="U441" i="68"/>
  <c r="P692" i="68"/>
  <c r="P700" i="68"/>
  <c r="P712" i="68"/>
  <c r="P726" i="68"/>
  <c r="P736" i="68"/>
  <c r="P746" i="68"/>
  <c r="P762" i="68"/>
  <c r="P777" i="68"/>
  <c r="P841" i="68"/>
  <c r="P851" i="68"/>
  <c r="P861" i="68"/>
  <c r="P869" i="68"/>
  <c r="U873" i="68"/>
  <c r="P883" i="68"/>
  <c r="P884" i="68"/>
  <c r="P886" i="68"/>
  <c r="P896" i="68"/>
  <c r="U900" i="68"/>
  <c r="P906" i="68"/>
  <c r="P914" i="68"/>
  <c r="P932" i="68"/>
  <c r="P943" i="68"/>
  <c r="P954" i="68"/>
  <c r="P978" i="68"/>
  <c r="P994" i="68"/>
  <c r="P1002" i="68"/>
  <c r="P1019" i="68"/>
  <c r="P1144" i="68"/>
  <c r="P691" i="68"/>
  <c r="P699" i="68"/>
  <c r="P711" i="68"/>
  <c r="P725" i="68"/>
  <c r="P735" i="68"/>
  <c r="P745" i="68"/>
  <c r="P761" i="68"/>
  <c r="P776" i="68"/>
  <c r="P840" i="68"/>
  <c r="P850" i="68"/>
  <c r="P860" i="68"/>
  <c r="U864" i="68"/>
  <c r="P868" i="68"/>
  <c r="P881" i="68"/>
  <c r="P882" i="68"/>
  <c r="P903" i="68"/>
  <c r="P913" i="68"/>
  <c r="P941" i="68"/>
  <c r="P952" i="68"/>
  <c r="P953" i="68"/>
  <c r="P967" i="68"/>
  <c r="P977" i="68"/>
  <c r="U1035" i="68"/>
  <c r="P1143" i="68"/>
  <c r="U749" i="68"/>
  <c r="U996" i="68"/>
  <c r="U1043" i="68"/>
  <c r="P637" i="68"/>
  <c r="P697" i="68"/>
  <c r="P709" i="68"/>
  <c r="P723" i="68"/>
  <c r="P733" i="68"/>
  <c r="P743" i="68"/>
  <c r="U755" i="68"/>
  <c r="P759" i="68"/>
  <c r="P774" i="68"/>
  <c r="U780" i="68"/>
  <c r="P940" i="68"/>
  <c r="P951" i="68"/>
  <c r="P965" i="68"/>
  <c r="P973" i="68"/>
  <c r="P1131" i="68"/>
  <c r="U496" i="68"/>
  <c r="P696" i="68"/>
  <c r="P706" i="68"/>
  <c r="P722" i="68"/>
  <c r="U726" i="68"/>
  <c r="P730" i="68"/>
  <c r="P742" i="68"/>
  <c r="P758" i="68"/>
  <c r="P773" i="68"/>
  <c r="P837" i="68"/>
  <c r="P847" i="68"/>
  <c r="P855" i="68"/>
  <c r="P865" i="68"/>
  <c r="P873" i="68"/>
  <c r="P889" i="68"/>
  <c r="P892" i="68"/>
  <c r="P899" i="68"/>
  <c r="P900" i="68"/>
  <c r="P910" i="68"/>
  <c r="P938" i="68"/>
  <c r="P939" i="68"/>
  <c r="P950" i="68"/>
  <c r="P958" i="68"/>
  <c r="P972" i="68"/>
  <c r="P985" i="68"/>
  <c r="P998" i="68"/>
  <c r="P1014" i="68"/>
  <c r="P1026" i="68"/>
  <c r="P1036" i="68"/>
  <c r="P1046" i="68"/>
  <c r="P1127" i="68"/>
  <c r="P1128" i="68"/>
  <c r="U1363" i="68"/>
  <c r="U1436" i="68"/>
  <c r="U1585" i="68"/>
  <c r="U1643" i="68"/>
  <c r="U1675" i="68"/>
  <c r="U1716" i="68"/>
  <c r="P1133" i="68"/>
  <c r="P1146" i="68"/>
  <c r="P1165" i="68"/>
  <c r="P1175" i="68"/>
  <c r="P1183" i="68"/>
  <c r="P1193" i="68"/>
  <c r="P1206" i="68"/>
  <c r="P1227" i="68"/>
  <c r="P1229" i="68"/>
  <c r="P1247" i="68"/>
  <c r="P1333" i="68"/>
  <c r="P1334" i="68"/>
  <c r="P1336" i="68"/>
  <c r="P1337" i="68"/>
  <c r="P1350" i="68"/>
  <c r="P1369" i="68"/>
  <c r="P1400" i="68"/>
  <c r="P1410" i="68"/>
  <c r="P1418" i="68"/>
  <c r="P1428" i="68"/>
  <c r="P1441" i="68"/>
  <c r="P1532" i="68"/>
  <c r="P1543" i="68"/>
  <c r="P1556" i="68"/>
  <c r="P1578" i="68"/>
  <c r="P1590" i="68"/>
  <c r="P1606" i="68"/>
  <c r="P1635" i="68"/>
  <c r="P1654" i="68"/>
  <c r="P1671" i="68"/>
  <c r="P1680" i="68"/>
  <c r="P1698" i="68"/>
  <c r="P1709" i="68"/>
  <c r="P1720" i="68"/>
  <c r="P1921" i="68"/>
  <c r="P14" i="115"/>
  <c r="P22" i="115"/>
  <c r="P30" i="115"/>
  <c r="P1393" i="68"/>
  <c r="P1667" i="68"/>
  <c r="P1154" i="68"/>
  <c r="P1745" i="68"/>
  <c r="P1755" i="68"/>
  <c r="P1765" i="68"/>
  <c r="P1773" i="68"/>
  <c r="P1790" i="68"/>
  <c r="P1802" i="68"/>
  <c r="P1894" i="68"/>
  <c r="P1903" i="68"/>
  <c r="P1126" i="68"/>
  <c r="P1142" i="68"/>
  <c r="P1153" i="68"/>
  <c r="P1170" i="68"/>
  <c r="P1180" i="68"/>
  <c r="P1188" i="68"/>
  <c r="P1199" i="68"/>
  <c r="P1220" i="68"/>
  <c r="P1243" i="68"/>
  <c r="P1259" i="68"/>
  <c r="P1344" i="68"/>
  <c r="P1363" i="68"/>
  <c r="P1384" i="68"/>
  <c r="P1405" i="68"/>
  <c r="P1415" i="68"/>
  <c r="P1425" i="68"/>
  <c r="P1436" i="68"/>
  <c r="P1526" i="68"/>
  <c r="P1538" i="68"/>
  <c r="P1552" i="68"/>
  <c r="P1575" i="68"/>
  <c r="P1585" i="68"/>
  <c r="P1603" i="68"/>
  <c r="P1632" i="68"/>
  <c r="P1643" i="68"/>
  <c r="P1663" i="68"/>
  <c r="P1695" i="68"/>
  <c r="P1706" i="68"/>
  <c r="P1716" i="68"/>
  <c r="P1725" i="68"/>
  <c r="P1744" i="68"/>
  <c r="P1754" i="68"/>
  <c r="P1041" i="68"/>
  <c r="P1125" i="68"/>
  <c r="P1139" i="68"/>
  <c r="P1152" i="68"/>
  <c r="P1169" i="68"/>
  <c r="P1179" i="68"/>
  <c r="P1187" i="68"/>
  <c r="P1198" i="68"/>
  <c r="P1219" i="68"/>
  <c r="P1236" i="68"/>
  <c r="P1256" i="68"/>
  <c r="P1343" i="68"/>
  <c r="P1381" i="68"/>
  <c r="P1404" i="68"/>
  <c r="P1414" i="68"/>
  <c r="P1422" i="68"/>
  <c r="P1433" i="68"/>
  <c r="P1525" i="68"/>
  <c r="P1537" i="68"/>
  <c r="P1549" i="68"/>
  <c r="P1551" i="68"/>
  <c r="P1574" i="68"/>
  <c r="P1584" i="68"/>
  <c r="P1602" i="68"/>
  <c r="U1606" i="68"/>
  <c r="P1610" i="68"/>
  <c r="P1611" i="68"/>
  <c r="P1614" i="68"/>
  <c r="P1615" i="68"/>
  <c r="P1616" i="68"/>
  <c r="P1617" i="68"/>
  <c r="P1618" i="68"/>
  <c r="P1619" i="68"/>
  <c r="P1620" i="68"/>
  <c r="P1621" i="68"/>
  <c r="P1622" i="68"/>
  <c r="P1623" i="68"/>
  <c r="P1624" i="68"/>
  <c r="P1625" i="68"/>
  <c r="P1626" i="68"/>
  <c r="P1627" i="68"/>
  <c r="P1628" i="68"/>
  <c r="P1631" i="68"/>
  <c r="P1642" i="68"/>
  <c r="U1680" i="68"/>
  <c r="P1694" i="68"/>
  <c r="P1705" i="68"/>
  <c r="P1715" i="68"/>
  <c r="P1724" i="68"/>
  <c r="P988" i="68"/>
  <c r="P991" i="68"/>
  <c r="P992" i="68"/>
  <c r="P993" i="68"/>
  <c r="P1001" i="68"/>
  <c r="P1018" i="68"/>
  <c r="P1030" i="68"/>
  <c r="U1036" i="68"/>
  <c r="P1040" i="68"/>
  <c r="P1123" i="68"/>
  <c r="P1137" i="68"/>
  <c r="U1145" i="68"/>
  <c r="P1150" i="68"/>
  <c r="P1168" i="68"/>
  <c r="U1174" i="68"/>
  <c r="P1178" i="68"/>
  <c r="P1186" i="68"/>
  <c r="P1197" i="68"/>
  <c r="P1217" i="68"/>
  <c r="U1226" i="68"/>
  <c r="P1233" i="68"/>
  <c r="P1253" i="68"/>
  <c r="P1255" i="68"/>
  <c r="P1340" i="68"/>
  <c r="P1360" i="68"/>
  <c r="P1378" i="68"/>
  <c r="U1393" i="68"/>
  <c r="P1403" i="68"/>
  <c r="P1413" i="68"/>
  <c r="P1421" i="68"/>
  <c r="P1432" i="68"/>
  <c r="U1438" i="68"/>
  <c r="P1522" i="68"/>
  <c r="P1524" i="68"/>
  <c r="P1535" i="68"/>
  <c r="P1548" i="68"/>
  <c r="P1567" i="68"/>
  <c r="P1581" i="68"/>
  <c r="P1595" i="68"/>
  <c r="P1609" i="68"/>
  <c r="P1639" i="68"/>
  <c r="P1661" i="68"/>
  <c r="P1674" i="68"/>
  <c r="P1693" i="68"/>
  <c r="U1157" i="68"/>
  <c r="P1376" i="68"/>
  <c r="P1377" i="68"/>
  <c r="U1389" i="68"/>
  <c r="P1672" i="68"/>
  <c r="P44" i="115"/>
  <c r="P52" i="115"/>
  <c r="P72" i="115"/>
  <c r="P141" i="115"/>
  <c r="P247" i="115"/>
  <c r="P1762" i="68"/>
  <c r="P1772" i="68"/>
  <c r="P1789" i="68"/>
  <c r="P1801" i="68"/>
  <c r="P1893" i="68"/>
  <c r="P1902" i="68"/>
  <c r="P1918" i="68"/>
  <c r="P1919" i="68"/>
  <c r="P1920" i="68"/>
  <c r="P274" i="115"/>
  <c r="P713" i="115"/>
  <c r="P733" i="115"/>
  <c r="P741" i="115"/>
  <c r="P749" i="115"/>
  <c r="P757" i="115"/>
  <c r="P773" i="115"/>
  <c r="P774" i="115"/>
  <c r="P775" i="115"/>
  <c r="P776" i="115"/>
  <c r="P787" i="115"/>
  <c r="P797" i="115"/>
  <c r="P811" i="115"/>
  <c r="P832" i="115"/>
  <c r="P845" i="115"/>
  <c r="P855" i="115"/>
  <c r="P875" i="115"/>
  <c r="P888" i="115"/>
  <c r="P904" i="115"/>
  <c r="P912" i="115"/>
  <c r="P924" i="115"/>
  <c r="P939" i="115"/>
  <c r="P948" i="115"/>
  <c r="P958" i="115"/>
  <c r="P977" i="115"/>
  <c r="P987" i="115"/>
  <c r="P997" i="115"/>
  <c r="P1041" i="115"/>
  <c r="P1704" i="68"/>
  <c r="P1714" i="68"/>
  <c r="P1723" i="68"/>
  <c r="P1742" i="68"/>
  <c r="P1761" i="68"/>
  <c r="P1771" i="68"/>
  <c r="P1788" i="68"/>
  <c r="U1794" i="68"/>
  <c r="P1800" i="68"/>
  <c r="P1812" i="68"/>
  <c r="P1899" i="68"/>
  <c r="P1917" i="68"/>
  <c r="P140" i="115"/>
  <c r="P255" i="115"/>
  <c r="P563" i="115"/>
  <c r="P681" i="115"/>
  <c r="P720" i="115"/>
  <c r="P740" i="115"/>
  <c r="P748" i="115"/>
  <c r="P756" i="115"/>
  <c r="P767" i="115"/>
  <c r="P786" i="115"/>
  <c r="P796" i="115"/>
  <c r="P808" i="115"/>
  <c r="P831" i="115"/>
  <c r="P844" i="115"/>
  <c r="P854" i="115"/>
  <c r="P872" i="115"/>
  <c r="P873" i="115"/>
  <c r="P874" i="115"/>
  <c r="P885" i="115"/>
  <c r="P897" i="115"/>
  <c r="P911" i="115"/>
  <c r="P923" i="115"/>
  <c r="P1759" i="68"/>
  <c r="P1769" i="68"/>
  <c r="P1786" i="68"/>
  <c r="P1796" i="68"/>
  <c r="P1808" i="68"/>
  <c r="U1903" i="68"/>
  <c r="P1911" i="68"/>
  <c r="P1927" i="68"/>
  <c r="P269" i="115"/>
  <c r="P561" i="115"/>
  <c r="P738" i="115"/>
  <c r="P746" i="115"/>
  <c r="P754" i="115"/>
  <c r="P763" i="115"/>
  <c r="P781" i="115"/>
  <c r="U788" i="115"/>
  <c r="P792" i="115"/>
  <c r="P804" i="115"/>
  <c r="P817" i="115"/>
  <c r="P842" i="115"/>
  <c r="U846" i="115"/>
  <c r="P850" i="115"/>
  <c r="P862" i="115"/>
  <c r="P880" i="115"/>
  <c r="P893" i="115"/>
  <c r="P909" i="115"/>
  <c r="P921" i="115"/>
  <c r="P936" i="115"/>
  <c r="P953" i="115"/>
  <c r="P967" i="115"/>
  <c r="P982" i="115"/>
  <c r="P992" i="115"/>
  <c r="P1032" i="115"/>
  <c r="U1042" i="115"/>
  <c r="P1730" i="68"/>
  <c r="P1748" i="68"/>
  <c r="U1801" i="68"/>
  <c r="U1902" i="68"/>
  <c r="U797" i="115"/>
  <c r="U875" i="115"/>
  <c r="U888" i="115"/>
  <c r="P920" i="115"/>
  <c r="P935" i="115"/>
  <c r="P945" i="115"/>
  <c r="U958" i="115"/>
  <c r="P963" i="115"/>
  <c r="P981" i="115"/>
  <c r="P991" i="115"/>
  <c r="P1031" i="115"/>
  <c r="P1719" i="68"/>
  <c r="P1727" i="68"/>
  <c r="P1757" i="68"/>
  <c r="P1767" i="68"/>
  <c r="P1784" i="68"/>
  <c r="P1794" i="68"/>
  <c r="P1804" i="68"/>
  <c r="U1899" i="68"/>
  <c r="P1909" i="68"/>
  <c r="P1923" i="68"/>
  <c r="P16" i="115"/>
  <c r="P24" i="115"/>
  <c r="P32" i="115"/>
  <c r="P46" i="115"/>
  <c r="P56" i="115"/>
  <c r="U563" i="115"/>
  <c r="P701" i="115"/>
  <c r="U712" i="115"/>
  <c r="P736" i="115"/>
  <c r="P744" i="115"/>
  <c r="P752" i="115"/>
  <c r="P760" i="115"/>
  <c r="P779" i="115"/>
  <c r="P790" i="115"/>
  <c r="U796" i="115"/>
  <c r="P801" i="115"/>
  <c r="P815" i="115"/>
  <c r="P836" i="115"/>
  <c r="P848" i="115"/>
  <c r="P858" i="115"/>
  <c r="U874" i="115"/>
  <c r="P878" i="115"/>
  <c r="P891" i="115"/>
  <c r="U897" i="115"/>
  <c r="P907" i="115"/>
  <c r="U994" i="115"/>
  <c r="P1028" i="115"/>
  <c r="U997" i="115"/>
  <c r="U919" i="115"/>
  <c r="U871" i="115"/>
  <c r="U802" i="115"/>
  <c r="U806" i="115"/>
  <c r="P13" i="115"/>
  <c r="P21" i="115"/>
  <c r="P29" i="115"/>
  <c r="P43" i="115"/>
  <c r="P51" i="115"/>
  <c r="P61" i="115"/>
  <c r="P62" i="115"/>
  <c r="P63" i="115"/>
  <c r="P66" i="115"/>
  <c r="P67" i="115"/>
  <c r="P68" i="115"/>
  <c r="P69" i="115"/>
  <c r="P70" i="115"/>
  <c r="P71" i="115"/>
  <c r="P244" i="115"/>
  <c r="P254" i="115"/>
  <c r="U266" i="115"/>
  <c r="P271" i="115"/>
  <c r="U278" i="115"/>
  <c r="P282" i="115"/>
  <c r="U288" i="115"/>
  <c r="P388" i="115"/>
  <c r="P398" i="115"/>
  <c r="P500" i="115"/>
  <c r="P511" i="115"/>
  <c r="P519" i="115"/>
  <c r="P529" i="115"/>
  <c r="P560" i="115"/>
  <c r="U577" i="115"/>
  <c r="P233" i="115"/>
  <c r="P250" i="115"/>
  <c r="P260" i="115"/>
  <c r="P293" i="115"/>
  <c r="P386" i="115"/>
  <c r="P396" i="115"/>
  <c r="P405" i="115"/>
  <c r="P406" i="115"/>
  <c r="P409" i="115"/>
  <c r="P498" i="115"/>
  <c r="P509" i="115"/>
  <c r="P517" i="115"/>
  <c r="P527" i="115"/>
  <c r="P558" i="115"/>
  <c r="U686" i="115"/>
  <c r="P692" i="115"/>
  <c r="P712" i="115"/>
  <c r="P18" i="115"/>
  <c r="P48" i="115"/>
  <c r="P58" i="115"/>
  <c r="P76" i="115"/>
  <c r="P101" i="115"/>
  <c r="P104" i="115"/>
  <c r="P105" i="115"/>
  <c r="P106" i="115"/>
  <c r="U285" i="115"/>
  <c r="P26" i="115"/>
  <c r="P248" i="115"/>
  <c r="P258" i="115"/>
  <c r="P266" i="115"/>
  <c r="P288" i="115"/>
  <c r="P384" i="115"/>
  <c r="P392" i="115"/>
  <c r="P403" i="115"/>
  <c r="P419" i="115"/>
  <c r="P505" i="115"/>
  <c r="P515" i="115"/>
  <c r="P525" i="115"/>
  <c r="P533" i="115"/>
  <c r="P577" i="115"/>
  <c r="P655" i="115"/>
  <c r="P678" i="115"/>
  <c r="P688" i="115"/>
  <c r="P710" i="115"/>
  <c r="P286" i="115"/>
  <c r="P382" i="115"/>
  <c r="P390" i="115"/>
  <c r="P503" i="115"/>
  <c r="P513" i="115"/>
  <c r="P521" i="115"/>
  <c r="P531" i="115"/>
  <c r="P573" i="115"/>
  <c r="P653" i="115"/>
  <c r="P676" i="115"/>
  <c r="P686" i="115"/>
  <c r="P700" i="115"/>
  <c r="P15" i="115"/>
  <c r="P23" i="115"/>
  <c r="P45" i="115"/>
  <c r="P53" i="115"/>
  <c r="P111" i="115"/>
  <c r="P143" i="115"/>
  <c r="P263" i="115"/>
  <c r="P277" i="115"/>
  <c r="U412" i="115"/>
  <c r="P418" i="115"/>
  <c r="P504" i="115"/>
  <c r="P514" i="115"/>
  <c r="P522" i="115"/>
  <c r="P532" i="115"/>
  <c r="P557" i="115"/>
  <c r="P567" i="115"/>
  <c r="U574" i="115"/>
  <c r="P580" i="115"/>
  <c r="U691" i="115"/>
  <c r="U711" i="115"/>
  <c r="U527" i="115"/>
  <c r="U540" i="115"/>
  <c r="P554" i="115"/>
  <c r="P566" i="115"/>
  <c r="U573" i="115"/>
  <c r="P647" i="115"/>
  <c r="P683" i="115"/>
  <c r="U710" i="115"/>
  <c r="P714" i="115"/>
  <c r="P387" i="115"/>
  <c r="P397" i="115"/>
  <c r="P399" i="115"/>
  <c r="P12" i="115"/>
  <c r="P28" i="115"/>
  <c r="P50" i="115"/>
  <c r="P60" i="115"/>
  <c r="P123" i="115"/>
  <c r="P124" i="115"/>
  <c r="P125" i="115"/>
  <c r="P126" i="115"/>
  <c r="P257" i="115"/>
  <c r="P259" i="115"/>
  <c r="P268" i="115"/>
  <c r="P20" i="115"/>
  <c r="P11" i="115"/>
  <c r="P19" i="115"/>
  <c r="P27" i="115"/>
  <c r="P35" i="115"/>
  <c r="P49" i="115"/>
  <c r="P59" i="115"/>
  <c r="P77" i="115"/>
  <c r="P256" i="115"/>
  <c r="U287" i="115"/>
  <c r="P369" i="115"/>
  <c r="P370" i="115"/>
  <c r="P371" i="115"/>
  <c r="P372" i="115"/>
  <c r="P373" i="115"/>
  <c r="P374" i="115"/>
  <c r="P375" i="115"/>
  <c r="P499" i="115"/>
  <c r="P510" i="115"/>
  <c r="P518" i="115"/>
  <c r="P528" i="115"/>
  <c r="P574" i="115"/>
  <c r="P654" i="115"/>
  <c r="P679" i="115"/>
  <c r="P711" i="115"/>
  <c r="P718" i="115"/>
  <c r="P677" i="115"/>
  <c r="P17" i="115"/>
  <c r="P25" i="115"/>
  <c r="P47" i="115"/>
  <c r="P57" i="115"/>
  <c r="P251" i="115"/>
  <c r="P383" i="115"/>
  <c r="P391" i="115"/>
  <c r="P506" i="115"/>
  <c r="P516" i="115"/>
  <c r="P526" i="115"/>
  <c r="P534" i="115"/>
  <c r="P559" i="115"/>
  <c r="P572" i="115"/>
  <c r="P652" i="115"/>
  <c r="P662" i="115"/>
  <c r="P663" i="115"/>
  <c r="P664" i="115"/>
  <c r="P665" i="115"/>
  <c r="P675" i="115"/>
  <c r="P687" i="115"/>
  <c r="P33" i="115"/>
  <c r="P34" i="115"/>
  <c r="P85" i="115"/>
  <c r="P86" i="115"/>
  <c r="P87" i="115"/>
  <c r="P88" i="115"/>
  <c r="P89" i="115"/>
  <c r="P90" i="115"/>
  <c r="P91" i="115"/>
  <c r="P92" i="115"/>
  <c r="P95" i="115"/>
  <c r="P96" i="115"/>
  <c r="P97" i="115"/>
  <c r="P98" i="115"/>
  <c r="P99" i="115"/>
  <c r="P100" i="115"/>
  <c r="P133" i="115"/>
  <c r="P134" i="115"/>
  <c r="P135" i="115"/>
  <c r="P136" i="115"/>
  <c r="P229" i="115"/>
  <c r="P230" i="115"/>
  <c r="P231" i="115"/>
  <c r="P232" i="115"/>
  <c r="P265" i="115"/>
  <c r="P127" i="115"/>
  <c r="P130" i="115"/>
  <c r="P131" i="115"/>
  <c r="P132" i="115"/>
  <c r="P262" i="115"/>
  <c r="P31" i="115"/>
  <c r="P73" i="115"/>
  <c r="P74" i="115"/>
  <c r="P75" i="115"/>
  <c r="P120" i="115"/>
  <c r="P121" i="115"/>
  <c r="P122" i="115"/>
  <c r="U100" i="115"/>
  <c r="U99" i="115"/>
  <c r="P36" i="115"/>
  <c r="P107" i="115"/>
  <c r="P108" i="115"/>
  <c r="P109" i="115"/>
  <c r="P110" i="115"/>
  <c r="P142" i="115"/>
  <c r="P197" i="115"/>
  <c r="P198" i="115"/>
  <c r="P199" i="115"/>
  <c r="P200" i="115"/>
  <c r="P201" i="115"/>
  <c r="P202" i="115"/>
  <c r="P203" i="115"/>
  <c r="P204" i="115"/>
  <c r="P207" i="115"/>
  <c r="P209" i="115"/>
  <c r="P210" i="115"/>
  <c r="P211" i="115"/>
  <c r="P212" i="115"/>
  <c r="P213" i="115"/>
  <c r="P214" i="115"/>
  <c r="P215" i="115"/>
  <c r="P216" i="115"/>
  <c r="P217" i="115"/>
  <c r="P218" i="115"/>
  <c r="P219" i="115"/>
  <c r="P220" i="115"/>
  <c r="P221" i="115"/>
  <c r="P224" i="115"/>
  <c r="P225" i="115"/>
  <c r="P226" i="115"/>
  <c r="P227" i="115"/>
  <c r="P228" i="115"/>
  <c r="P261" i="115"/>
  <c r="P264" i="115"/>
  <c r="P267" i="115"/>
  <c r="P291" i="115"/>
  <c r="P412" i="115"/>
  <c r="P413" i="115"/>
  <c r="P544" i="115"/>
  <c r="P641" i="115"/>
  <c r="U386" i="115"/>
  <c r="U387" i="115"/>
  <c r="P536" i="115"/>
  <c r="P540" i="115"/>
  <c r="P541" i="115"/>
  <c r="V578" i="115"/>
  <c r="P579" i="115"/>
  <c r="P670" i="115"/>
  <c r="P671" i="115"/>
  <c r="P672" i="115"/>
  <c r="P697" i="115"/>
  <c r="P287" i="115"/>
  <c r="P401" i="115"/>
  <c r="P404" i="115"/>
  <c r="P535" i="115"/>
  <c r="P578" i="115"/>
  <c r="P666" i="115"/>
  <c r="P667" i="115"/>
  <c r="P668" i="115"/>
  <c r="P669" i="115"/>
  <c r="P696" i="115"/>
  <c r="U545" i="115"/>
  <c r="P695" i="115"/>
  <c r="P246" i="115"/>
  <c r="P249" i="115"/>
  <c r="U264" i="115"/>
  <c r="P281" i="115"/>
  <c r="P427" i="115"/>
  <c r="U544" i="115"/>
  <c r="P562" i="115"/>
  <c r="P565" i="115"/>
  <c r="P571" i="115"/>
  <c r="P656" i="115"/>
  <c r="P657" i="115"/>
  <c r="P658" i="115"/>
  <c r="P661" i="115"/>
  <c r="P691" i="115"/>
  <c r="U700" i="115"/>
  <c r="P236" i="115"/>
  <c r="P245" i="115"/>
  <c r="P275" i="115"/>
  <c r="P278" i="115"/>
  <c r="P279" i="115"/>
  <c r="P280" i="115"/>
  <c r="P376" i="115"/>
  <c r="P379" i="115"/>
  <c r="P380" i="115"/>
  <c r="P381" i="115"/>
  <c r="P385" i="115"/>
  <c r="P389" i="115"/>
  <c r="P393" i="115"/>
  <c r="U579" i="115"/>
  <c r="U580" i="115"/>
  <c r="U697" i="115"/>
  <c r="P648" i="115"/>
  <c r="P651" i="115"/>
  <c r="U669" i="115"/>
  <c r="P680" i="115"/>
  <c r="P685" i="115"/>
  <c r="P716" i="115"/>
  <c r="P414" i="115"/>
  <c r="P417" i="115"/>
  <c r="P545" i="115"/>
  <c r="P642" i="115"/>
  <c r="P643" i="115"/>
  <c r="P644" i="115"/>
  <c r="P645" i="115"/>
  <c r="U695" i="115"/>
  <c r="P709" i="115"/>
  <c r="U696" i="115"/>
  <c r="U393" i="115"/>
  <c r="U399" i="115"/>
  <c r="U409" i="115"/>
  <c r="U263" i="115"/>
  <c r="U271" i="115"/>
  <c r="V1662" i="68"/>
  <c r="V1675" i="68"/>
  <c r="P1362" i="68"/>
  <c r="U1245" i="68"/>
  <c r="U1255" i="68"/>
  <c r="U1139" i="68"/>
  <c r="U1148" i="68"/>
  <c r="U1152" i="68"/>
  <c r="U1041" i="68"/>
  <c r="V899" i="68"/>
  <c r="P283" i="68"/>
  <c r="U497" i="68"/>
  <c r="P517" i="68"/>
  <c r="P138" i="68"/>
  <c r="P370" i="68"/>
  <c r="U621" i="68"/>
  <c r="P201" i="68"/>
  <c r="P307" i="68"/>
  <c r="P339" i="68"/>
  <c r="U371" i="68"/>
  <c r="P436" i="68"/>
  <c r="U442" i="68"/>
  <c r="U492" i="68"/>
  <c r="P162" i="68"/>
  <c r="P285" i="68"/>
  <c r="P295" i="68"/>
  <c r="P305" i="68"/>
  <c r="P461" i="68"/>
  <c r="P630" i="68"/>
  <c r="P282" i="68"/>
  <c r="P320" i="68"/>
  <c r="P470" i="68"/>
  <c r="P203" i="68"/>
  <c r="P480" i="68"/>
  <c r="P497" i="68"/>
  <c r="P507" i="68"/>
  <c r="P587" i="68"/>
  <c r="P597" i="68"/>
  <c r="U224" i="68"/>
  <c r="P280" i="68"/>
  <c r="P298" i="68"/>
  <c r="U304" i="68"/>
  <c r="P312" i="68"/>
  <c r="U425" i="68"/>
  <c r="P623" i="68"/>
  <c r="U121" i="68"/>
  <c r="P476" i="68"/>
  <c r="P495" i="68"/>
  <c r="U500" i="68"/>
  <c r="P504" i="68"/>
  <c r="P519" i="68"/>
  <c r="U527" i="68"/>
  <c r="P594" i="68"/>
  <c r="U627" i="68"/>
  <c r="P437" i="68"/>
  <c r="U597" i="68"/>
  <c r="U434" i="68"/>
  <c r="P484" i="68"/>
  <c r="P516" i="68"/>
  <c r="P529" i="68"/>
  <c r="P602" i="68"/>
  <c r="P319" i="68"/>
  <c r="P343" i="68"/>
  <c r="P364" i="68"/>
  <c r="P462" i="68"/>
  <c r="P492" i="68"/>
  <c r="P530" i="68"/>
  <c r="P603" i="68"/>
  <c r="P113" i="68"/>
  <c r="U119" i="68"/>
  <c r="P327" i="68"/>
  <c r="P341" i="68"/>
  <c r="U368" i="68"/>
  <c r="P423" i="68"/>
  <c r="U427" i="68"/>
  <c r="P460" i="68"/>
  <c r="P471" i="68"/>
  <c r="P501" i="68"/>
  <c r="P601" i="68"/>
  <c r="U626" i="68"/>
  <c r="P94" i="68"/>
  <c r="U118" i="68"/>
  <c r="P288" i="68"/>
  <c r="P296" i="68"/>
  <c r="P326" i="68"/>
  <c r="P340" i="68"/>
  <c r="U426" i="68"/>
  <c r="P430" i="68"/>
  <c r="U436" i="68"/>
  <c r="U437" i="68"/>
  <c r="P443" i="68"/>
  <c r="P457" i="68"/>
  <c r="P459" i="68"/>
  <c r="P469" i="68"/>
  <c r="P481" i="68"/>
  <c r="P482" i="68"/>
  <c r="U495" i="68"/>
  <c r="P500" i="68"/>
  <c r="P524" i="68"/>
  <c r="P600" i="68"/>
  <c r="U604" i="68"/>
  <c r="P619" i="68"/>
  <c r="P151" i="68"/>
  <c r="P170" i="68"/>
  <c r="P179" i="68"/>
  <c r="P205" i="68"/>
  <c r="P294" i="68"/>
  <c r="P304" i="68"/>
  <c r="P322" i="68"/>
  <c r="P350" i="68"/>
  <c r="P351" i="68"/>
  <c r="P352" i="68"/>
  <c r="P369" i="68"/>
  <c r="P441" i="68"/>
  <c r="P496" i="68"/>
  <c r="U502" i="68"/>
  <c r="P523" i="68"/>
  <c r="P586" i="68"/>
  <c r="P596" i="68"/>
  <c r="P627" i="68"/>
  <c r="P127" i="68"/>
  <c r="P347" i="68"/>
  <c r="P368" i="68"/>
  <c r="U423" i="68"/>
  <c r="P427" i="68"/>
  <c r="P446" i="68"/>
  <c r="P584" i="68"/>
  <c r="P595" i="68"/>
  <c r="U620" i="68"/>
  <c r="P626" i="68"/>
  <c r="P118" i="68"/>
  <c r="P166" i="68"/>
  <c r="P177" i="68"/>
  <c r="P191" i="68"/>
  <c r="P356" i="68"/>
  <c r="P426" i="68"/>
  <c r="P449" i="68"/>
  <c r="P478" i="68"/>
  <c r="P505" i="68"/>
  <c r="P528" i="68"/>
  <c r="P608" i="68"/>
  <c r="U630" i="68"/>
  <c r="P106" i="68"/>
  <c r="P107" i="68"/>
  <c r="P108" i="68"/>
  <c r="P122" i="68"/>
  <c r="U126" i="68"/>
  <c r="P141" i="68"/>
  <c r="P161" i="68"/>
  <c r="P172" i="68"/>
  <c r="P278" i="68"/>
  <c r="P279" i="68"/>
  <c r="P293" i="68"/>
  <c r="P309" i="68"/>
  <c r="P338" i="68"/>
  <c r="P354" i="68"/>
  <c r="P355" i="68"/>
  <c r="U424" i="68"/>
  <c r="P425" i="68"/>
  <c r="U435" i="68"/>
  <c r="P444" i="68"/>
  <c r="P475" i="68"/>
  <c r="P477" i="68"/>
  <c r="P503" i="68"/>
  <c r="P527" i="68"/>
  <c r="P605" i="68"/>
  <c r="P606" i="68"/>
  <c r="P607" i="68"/>
  <c r="P140" i="68"/>
  <c r="P160" i="68"/>
  <c r="P181" i="68"/>
  <c r="P199" i="68"/>
  <c r="P225" i="68"/>
  <c r="P289" i="68"/>
  <c r="P290" i="68"/>
  <c r="P291" i="68"/>
  <c r="P292" i="68"/>
  <c r="P308" i="68"/>
  <c r="P334" i="68"/>
  <c r="P335" i="68"/>
  <c r="P336" i="68"/>
  <c r="P337" i="68"/>
  <c r="P353" i="68"/>
  <c r="U364" i="68"/>
  <c r="P371" i="68"/>
  <c r="U430" i="68"/>
  <c r="P442" i="68"/>
  <c r="U462" i="68"/>
  <c r="P474" i="68"/>
  <c r="P502" i="68"/>
  <c r="U507" i="68"/>
  <c r="U508" i="68"/>
  <c r="P520" i="68"/>
  <c r="P604" i="68"/>
  <c r="U429" i="68"/>
  <c r="U431" i="68"/>
  <c r="U506" i="68"/>
  <c r="U622" i="68"/>
  <c r="P114" i="68"/>
  <c r="P126" i="68"/>
  <c r="P148" i="68"/>
  <c r="U172" i="68"/>
  <c r="P178" i="68"/>
  <c r="P220" i="68"/>
  <c r="P284" i="68"/>
  <c r="P301" i="68"/>
  <c r="P302" i="68"/>
  <c r="P303" i="68"/>
  <c r="P325" i="68"/>
  <c r="P346" i="68"/>
  <c r="P367" i="68"/>
  <c r="P435" i="68"/>
  <c r="U445" i="68"/>
  <c r="P463" i="68"/>
  <c r="P464" i="68"/>
  <c r="P465" i="68"/>
  <c r="P483" i="68"/>
  <c r="U504" i="68"/>
  <c r="P515" i="68"/>
  <c r="P588" i="68"/>
  <c r="P589" i="68"/>
  <c r="P590" i="68"/>
  <c r="P591" i="68"/>
  <c r="U607" i="68"/>
  <c r="P620" i="68"/>
  <c r="P621" i="68"/>
  <c r="P431" i="68"/>
  <c r="P508" i="68"/>
  <c r="P622" i="68"/>
  <c r="P110" i="68"/>
  <c r="P143" i="68"/>
  <c r="P190" i="68"/>
  <c r="P202" i="68"/>
  <c r="P216" i="68"/>
  <c r="P281" i="68"/>
  <c r="P297" i="68"/>
  <c r="P321" i="68"/>
  <c r="P342" i="68"/>
  <c r="P357" i="68"/>
  <c r="U428" i="68"/>
  <c r="P429" i="68"/>
  <c r="P458" i="68"/>
  <c r="P479" i="68"/>
  <c r="P506" i="68"/>
  <c r="P583" i="68"/>
  <c r="P609" i="68"/>
  <c r="U619" i="68"/>
  <c r="U623" i="68"/>
  <c r="V524" i="68"/>
  <c r="P518" i="68"/>
  <c r="U501" i="68"/>
  <c r="U505" i="68"/>
  <c r="U503" i="68"/>
  <c r="P434" i="68"/>
  <c r="P440" i="68"/>
  <c r="V424" i="68"/>
  <c r="V428" i="68"/>
  <c r="P428" i="68"/>
  <c r="V434" i="68"/>
  <c r="P424" i="68"/>
  <c r="U369" i="68"/>
  <c r="U337" i="68"/>
  <c r="P109" i="68"/>
  <c r="P124" i="68"/>
  <c r="P125" i="68"/>
  <c r="P153" i="68"/>
  <c r="P175" i="68"/>
  <c r="P176" i="68"/>
  <c r="P196" i="68"/>
  <c r="P215" i="68"/>
  <c r="P35" i="68"/>
  <c r="P48" i="68"/>
  <c r="P123" i="68"/>
  <c r="P193" i="68"/>
  <c r="P213" i="68"/>
  <c r="P214" i="68"/>
  <c r="U220" i="68"/>
  <c r="P101" i="68"/>
  <c r="P102" i="68"/>
  <c r="P103" i="68"/>
  <c r="P104" i="68"/>
  <c r="P105" i="68"/>
  <c r="P119" i="68"/>
  <c r="P120" i="68"/>
  <c r="P121" i="68"/>
  <c r="U130" i="68"/>
  <c r="P146" i="68"/>
  <c r="P171" i="68"/>
  <c r="P192" i="68"/>
  <c r="U200" i="68"/>
  <c r="U219" i="68"/>
  <c r="P115" i="68"/>
  <c r="P142" i="68"/>
  <c r="P167" i="68"/>
  <c r="P189" i="68"/>
  <c r="P204" i="68"/>
  <c r="P223" i="68"/>
  <c r="P188" i="68"/>
  <c r="P130" i="68"/>
  <c r="P163" i="68"/>
  <c r="P164" i="68"/>
  <c r="P165" i="68"/>
  <c r="P180" i="68"/>
  <c r="P200" i="68"/>
  <c r="P219" i="68"/>
  <c r="U124" i="68"/>
  <c r="V124" i="68"/>
  <c r="P47" i="68"/>
  <c r="P63" i="68"/>
  <c r="P70" i="68"/>
  <c r="P39" i="68"/>
  <c r="P44" i="68"/>
  <c r="P84" i="68"/>
  <c r="P49" i="68"/>
  <c r="P74" i="68"/>
  <c r="P736" i="114"/>
  <c r="P25" i="68"/>
  <c r="P43" i="68"/>
  <c r="P61" i="68"/>
  <c r="P69" i="68"/>
  <c r="P72" i="68"/>
  <c r="P88" i="68"/>
  <c r="P24" i="68"/>
  <c r="P36" i="68"/>
  <c r="P53" i="68"/>
  <c r="P23" i="68"/>
  <c r="P33" i="68"/>
  <c r="P59" i="68"/>
  <c r="U74" i="68"/>
  <c r="P87" i="68"/>
  <c r="P22" i="68"/>
  <c r="P40" i="68"/>
  <c r="P50" i="68"/>
  <c r="P58" i="68"/>
  <c r="P77" i="68"/>
  <c r="P85" i="68"/>
  <c r="P744" i="114"/>
  <c r="P46" i="68"/>
  <c r="P56" i="68"/>
  <c r="P92" i="68"/>
  <c r="P81" i="68"/>
  <c r="P90" i="68"/>
  <c r="U663" i="114"/>
  <c r="P18" i="68"/>
  <c r="P19" i="68"/>
  <c r="P20" i="68"/>
  <c r="P21" i="68"/>
  <c r="P42" i="68"/>
  <c r="P45" i="68"/>
  <c r="P67" i="68"/>
  <c r="P80" i="68"/>
  <c r="P83" i="68"/>
  <c r="P86" i="68"/>
  <c r="P722" i="114"/>
  <c r="P743" i="114"/>
  <c r="P747" i="114"/>
  <c r="P14" i="68"/>
  <c r="P15" i="68"/>
  <c r="P16" i="68"/>
  <c r="P17" i="68"/>
  <c r="P38" i="68"/>
  <c r="P41" i="68"/>
  <c r="P64" i="68"/>
  <c r="P76" i="68"/>
  <c r="P79" i="68"/>
  <c r="P82" i="68"/>
  <c r="P740" i="114"/>
  <c r="P746" i="114"/>
  <c r="P12" i="68"/>
  <c r="P13" i="68"/>
  <c r="P34" i="68"/>
  <c r="P37" i="68"/>
  <c r="P62" i="68"/>
  <c r="P75" i="68"/>
  <c r="P78" i="68"/>
  <c r="P93" i="68"/>
  <c r="P686" i="114"/>
  <c r="P728" i="114"/>
  <c r="P30" i="68"/>
  <c r="P31" i="68"/>
  <c r="P32" i="68"/>
  <c r="P54" i="68"/>
  <c r="P57" i="68"/>
  <c r="P60" i="68"/>
  <c r="P89" i="68"/>
  <c r="P91" i="68"/>
  <c r="P29" i="68"/>
  <c r="P51" i="68"/>
  <c r="P55" i="68"/>
  <c r="P26" i="68"/>
  <c r="P27" i="68"/>
  <c r="P28" i="68"/>
  <c r="P52" i="68"/>
  <c r="P71" i="68"/>
  <c r="V88" i="68"/>
  <c r="P701" i="114"/>
  <c r="P619" i="114"/>
  <c r="P625" i="114"/>
  <c r="P691" i="114"/>
  <c r="U442" i="114"/>
  <c r="P702" i="114"/>
  <c r="U665" i="114"/>
  <c r="P724" i="114"/>
  <c r="P610" i="114"/>
  <c r="P624" i="114"/>
  <c r="P637" i="114"/>
  <c r="P703" i="114"/>
  <c r="P711" i="114"/>
  <c r="P712" i="114"/>
  <c r="P685" i="114"/>
  <c r="P696" i="114"/>
  <c r="P620" i="114"/>
  <c r="U624" i="114"/>
  <c r="P652" i="114"/>
  <c r="P692" i="114"/>
  <c r="P725" i="114"/>
  <c r="U664" i="114"/>
  <c r="P668" i="114"/>
  <c r="P723" i="114"/>
  <c r="P434" i="114"/>
  <c r="P603" i="114"/>
  <c r="P629" i="114"/>
  <c r="P651" i="114"/>
  <c r="P684" i="114"/>
  <c r="P706" i="114"/>
  <c r="P707" i="114"/>
  <c r="P708" i="114"/>
  <c r="P709" i="114"/>
  <c r="P710" i="114"/>
  <c r="P401" i="114"/>
  <c r="P413" i="114"/>
  <c r="P433" i="114"/>
  <c r="P441" i="114"/>
  <c r="U622" i="114"/>
  <c r="P626" i="114"/>
  <c r="P650" i="114"/>
  <c r="P683" i="114"/>
  <c r="P676" i="114"/>
  <c r="P677" i="114"/>
  <c r="P678" i="114"/>
  <c r="P679" i="114"/>
  <c r="P680" i="114"/>
  <c r="P681" i="114"/>
  <c r="P682" i="114"/>
  <c r="P697" i="114"/>
  <c r="U719" i="114"/>
  <c r="U713" i="114"/>
  <c r="P727" i="114"/>
  <c r="P277" i="114"/>
  <c r="P293" i="114"/>
  <c r="P376" i="114"/>
  <c r="P587" i="114"/>
  <c r="P607" i="114"/>
  <c r="P623" i="114"/>
  <c r="P655" i="114"/>
  <c r="P656" i="114"/>
  <c r="P657" i="114"/>
  <c r="P658" i="114"/>
  <c r="P661" i="114"/>
  <c r="P662" i="114"/>
  <c r="P663" i="114"/>
  <c r="P664" i="114"/>
  <c r="P665" i="114"/>
  <c r="P666" i="114"/>
  <c r="P693" i="114"/>
  <c r="P622" i="114"/>
  <c r="P654" i="114"/>
  <c r="P688" i="114"/>
  <c r="P718" i="114"/>
  <c r="P719" i="114"/>
  <c r="P720" i="114"/>
  <c r="P721" i="114"/>
  <c r="P426" i="114"/>
  <c r="P436" i="114"/>
  <c r="P446" i="114"/>
  <c r="P491" i="114"/>
  <c r="P585" i="114"/>
  <c r="P605" i="114"/>
  <c r="P621" i="114"/>
  <c r="U625" i="114"/>
  <c r="P653" i="114"/>
  <c r="P687" i="114"/>
  <c r="P713" i="114"/>
  <c r="P714" i="114"/>
  <c r="P715" i="114"/>
  <c r="P717" i="114"/>
  <c r="U607" i="114"/>
  <c r="P634" i="114"/>
  <c r="U666" i="114"/>
  <c r="P630" i="114"/>
  <c r="P412" i="114"/>
  <c r="P440" i="114"/>
  <c r="U637" i="114"/>
  <c r="P399" i="114"/>
  <c r="P476" i="114"/>
  <c r="P588" i="114"/>
  <c r="P596" i="114"/>
  <c r="P405" i="114"/>
  <c r="P417" i="114"/>
  <c r="P427" i="114"/>
  <c r="U630" i="114"/>
  <c r="P640" i="114"/>
  <c r="P403" i="114"/>
  <c r="P487" i="114"/>
  <c r="P635" i="114"/>
  <c r="P636" i="114"/>
  <c r="U629" i="114"/>
  <c r="P428" i="114"/>
  <c r="P439" i="114"/>
  <c r="P552" i="114"/>
  <c r="P600" i="114"/>
  <c r="P379" i="114"/>
  <c r="P415" i="114"/>
  <c r="P425" i="114"/>
  <c r="P597" i="114"/>
  <c r="U487" i="114"/>
  <c r="P396" i="114"/>
  <c r="P397" i="114"/>
  <c r="P422" i="114"/>
  <c r="U439" i="114"/>
  <c r="U478" i="114"/>
  <c r="P586" i="114"/>
  <c r="U600" i="114"/>
  <c r="P606" i="114"/>
  <c r="P261" i="114"/>
  <c r="P394" i="114"/>
  <c r="P404" i="114"/>
  <c r="P418" i="114"/>
  <c r="P604" i="114"/>
  <c r="P416" i="114"/>
  <c r="P423" i="114"/>
  <c r="P447" i="114"/>
  <c r="U276" i="114"/>
  <c r="P381" i="114"/>
  <c r="P411" i="114"/>
  <c r="P414" i="114"/>
  <c r="P445" i="114"/>
  <c r="P551" i="114"/>
  <c r="P354" i="114"/>
  <c r="P380" i="114"/>
  <c r="P410" i="114"/>
  <c r="P442" i="114"/>
  <c r="P544" i="114"/>
  <c r="P545" i="114"/>
  <c r="P548" i="114"/>
  <c r="U424" i="114"/>
  <c r="P435" i="114"/>
  <c r="P438" i="114"/>
  <c r="U446" i="114"/>
  <c r="U447" i="114"/>
  <c r="U469" i="114"/>
  <c r="P257" i="114"/>
  <c r="P350" i="114"/>
  <c r="P362" i="114"/>
  <c r="P400" i="114"/>
  <c r="P402" i="114"/>
  <c r="P429" i="114"/>
  <c r="P432" i="114"/>
  <c r="P437" i="114"/>
  <c r="P477" i="114"/>
  <c r="P478" i="114"/>
  <c r="P486" i="114"/>
  <c r="P589" i="114"/>
  <c r="P590" i="114"/>
  <c r="P591" i="114"/>
  <c r="P592" i="114"/>
  <c r="P593" i="114"/>
  <c r="P594" i="114"/>
  <c r="P595" i="114"/>
  <c r="P274" i="114"/>
  <c r="P283" i="114"/>
  <c r="P325" i="114"/>
  <c r="P395" i="114"/>
  <c r="P398" i="114"/>
  <c r="P419" i="114"/>
  <c r="P424" i="114"/>
  <c r="P455" i="114"/>
  <c r="P456" i="114"/>
  <c r="P457" i="114"/>
  <c r="P458" i="114"/>
  <c r="P459" i="114"/>
  <c r="P460" i="114"/>
  <c r="P461" i="114"/>
  <c r="P462" i="114"/>
  <c r="P463" i="114"/>
  <c r="P464" i="114"/>
  <c r="P467" i="114"/>
  <c r="P468" i="114"/>
  <c r="P469" i="114"/>
  <c r="P470" i="114"/>
  <c r="P471" i="114"/>
  <c r="P474" i="114"/>
  <c r="P475" i="114"/>
  <c r="P583" i="114"/>
  <c r="P584" i="114"/>
  <c r="U437" i="114"/>
  <c r="P356" i="114"/>
  <c r="P260" i="114"/>
  <c r="P296" i="114"/>
  <c r="P341" i="114"/>
  <c r="P366" i="114"/>
  <c r="P264" i="114"/>
  <c r="P275" i="114"/>
  <c r="P291" i="114"/>
  <c r="P326" i="114"/>
  <c r="P349" i="114"/>
  <c r="P372" i="114"/>
  <c r="U278" i="114"/>
  <c r="P259" i="114"/>
  <c r="U177" i="114"/>
  <c r="P234" i="114"/>
  <c r="U243" i="114"/>
  <c r="P294" i="114"/>
  <c r="P332" i="114"/>
  <c r="P368" i="114"/>
  <c r="U308" i="114"/>
  <c r="U348" i="114"/>
  <c r="P265" i="114"/>
  <c r="P276" i="114"/>
  <c r="U280" i="114"/>
  <c r="P292" i="114"/>
  <c r="P327" i="114"/>
  <c r="P339" i="114"/>
  <c r="P243" i="114"/>
  <c r="P273" i="114"/>
  <c r="P308" i="114"/>
  <c r="P335" i="114"/>
  <c r="P348" i="114"/>
  <c r="P280" i="114"/>
  <c r="P297" i="114"/>
  <c r="P323" i="114"/>
  <c r="P343" i="114"/>
  <c r="P370" i="114"/>
  <c r="P324" i="114"/>
  <c r="P342" i="114"/>
  <c r="P346" i="114"/>
  <c r="P363" i="114"/>
  <c r="P256" i="114"/>
  <c r="P166" i="114"/>
  <c r="P246" i="114"/>
  <c r="P269" i="114"/>
  <c r="P270" i="114"/>
  <c r="P272" i="114"/>
  <c r="U277" i="114"/>
  <c r="P282" i="114"/>
  <c r="P316" i="114"/>
  <c r="P317" i="114"/>
  <c r="P318" i="114"/>
  <c r="P320" i="114"/>
  <c r="P321" i="114"/>
  <c r="P322" i="114"/>
  <c r="P340" i="114"/>
  <c r="U350" i="114"/>
  <c r="P360" i="114"/>
  <c r="P361" i="114"/>
  <c r="P266" i="114"/>
  <c r="P336" i="114"/>
  <c r="P359" i="114"/>
  <c r="P374" i="114"/>
  <c r="P279" i="114"/>
  <c r="P307" i="114"/>
  <c r="P331" i="114"/>
  <c r="P334" i="114"/>
  <c r="U346" i="114"/>
  <c r="P240" i="114"/>
  <c r="P262" i="114"/>
  <c r="P263" i="114"/>
  <c r="P278" i="114"/>
  <c r="P300" i="114"/>
  <c r="P301" i="114"/>
  <c r="P302" i="114"/>
  <c r="P303" i="114"/>
  <c r="P304" i="114"/>
  <c r="P305" i="114"/>
  <c r="P306" i="114"/>
  <c r="P328" i="114"/>
  <c r="P333" i="114"/>
  <c r="U341" i="114"/>
  <c r="P353" i="114"/>
  <c r="P355" i="114"/>
  <c r="P369" i="114"/>
  <c r="P371" i="114"/>
  <c r="U204" i="114"/>
  <c r="U361" i="114"/>
  <c r="U269" i="114"/>
  <c r="U270" i="114"/>
  <c r="V343" i="114"/>
  <c r="U359" i="114"/>
  <c r="U279" i="114"/>
  <c r="P258" i="114"/>
  <c r="P196" i="114"/>
  <c r="P206" i="114"/>
  <c r="P216" i="114"/>
  <c r="U219" i="114"/>
  <c r="P233" i="114"/>
  <c r="P232" i="114"/>
  <c r="U240" i="114"/>
  <c r="U237" i="114"/>
  <c r="U180" i="114"/>
  <c r="U233" i="114"/>
  <c r="U178" i="114"/>
  <c r="P217" i="114"/>
  <c r="P237" i="114"/>
  <c r="U179" i="114"/>
  <c r="P230" i="114"/>
  <c r="P229" i="114"/>
  <c r="P231" i="114"/>
  <c r="U183" i="114"/>
  <c r="U230" i="114"/>
  <c r="U182" i="114"/>
  <c r="U198" i="114"/>
  <c r="P204" i="114"/>
  <c r="P214" i="114"/>
  <c r="U217" i="114"/>
  <c r="U225" i="114"/>
  <c r="U181" i="114"/>
  <c r="P164" i="114"/>
  <c r="P176" i="114"/>
  <c r="U188" i="114"/>
  <c r="U196" i="114"/>
  <c r="P219" i="114"/>
  <c r="U234" i="114"/>
  <c r="V230" i="114"/>
  <c r="P133" i="114"/>
  <c r="P141" i="114"/>
  <c r="P149" i="114"/>
  <c r="P157" i="114"/>
  <c r="P165" i="114"/>
  <c r="U223" i="114"/>
  <c r="P139" i="114"/>
  <c r="P147" i="114"/>
  <c r="P155" i="114"/>
  <c r="P163" i="114"/>
  <c r="U205" i="114"/>
  <c r="P137" i="114"/>
  <c r="P145" i="114"/>
  <c r="P153" i="114"/>
  <c r="P161" i="114"/>
  <c r="P168" i="114"/>
  <c r="U176" i="114"/>
  <c r="U155" i="114"/>
  <c r="P167" i="114"/>
  <c r="P205" i="114"/>
  <c r="U175" i="114"/>
  <c r="U220" i="114"/>
  <c r="P177" i="114"/>
  <c r="P178" i="114"/>
  <c r="P179" i="114"/>
  <c r="P180" i="114"/>
  <c r="P181" i="114"/>
  <c r="P182" i="114"/>
  <c r="P183" i="114"/>
  <c r="P184" i="114"/>
  <c r="P185" i="114"/>
  <c r="P186" i="114"/>
  <c r="P187" i="114"/>
  <c r="P188" i="114"/>
  <c r="P189" i="114"/>
  <c r="P190" i="114"/>
  <c r="P191" i="114"/>
  <c r="P192" i="114"/>
  <c r="P193" i="114"/>
  <c r="U211" i="114"/>
  <c r="P215" i="114"/>
  <c r="U218" i="114"/>
  <c r="U226" i="114"/>
  <c r="P135" i="114"/>
  <c r="P143" i="114"/>
  <c r="P151" i="114"/>
  <c r="P159" i="114"/>
  <c r="P134" i="114"/>
  <c r="P142" i="114"/>
  <c r="P150" i="114"/>
  <c r="P158" i="114"/>
  <c r="P175" i="114"/>
  <c r="P199" i="114"/>
  <c r="U207" i="114"/>
  <c r="P213" i="114"/>
  <c r="P220" i="114"/>
  <c r="P172" i="114"/>
  <c r="P212" i="114"/>
  <c r="P197" i="114"/>
  <c r="U203" i="114"/>
  <c r="P211" i="114"/>
  <c r="P218" i="114"/>
  <c r="P136" i="114"/>
  <c r="P144" i="114"/>
  <c r="U148" i="114"/>
  <c r="P152" i="114"/>
  <c r="U156" i="114"/>
  <c r="P160" i="114"/>
  <c r="P195" i="114"/>
  <c r="P208" i="114"/>
  <c r="P194" i="114"/>
  <c r="P207" i="114"/>
  <c r="P203" i="114"/>
  <c r="P140" i="114"/>
  <c r="P148" i="114"/>
  <c r="P156" i="114"/>
  <c r="P169" i="114"/>
  <c r="U195" i="114"/>
  <c r="P202" i="114"/>
  <c r="U208" i="114"/>
  <c r="P138" i="114"/>
  <c r="P146" i="114"/>
  <c r="P154" i="114"/>
  <c r="P162" i="114"/>
  <c r="P198" i="114"/>
  <c r="P221" i="114"/>
  <c r="P222" i="114"/>
  <c r="P223" i="114"/>
  <c r="P224" i="114"/>
  <c r="P225" i="114"/>
  <c r="P226" i="114"/>
  <c r="U202" i="114"/>
  <c r="U206" i="114"/>
  <c r="U197" i="114"/>
  <c r="U168" i="114"/>
  <c r="P128" i="114"/>
  <c r="P129" i="114"/>
  <c r="P130" i="114"/>
  <c r="P131" i="114"/>
  <c r="P132" i="114"/>
  <c r="P76" i="114"/>
  <c r="P83" i="114"/>
  <c r="P97" i="114"/>
  <c r="P105" i="114"/>
  <c r="P112" i="114"/>
  <c r="P102" i="114"/>
  <c r="P77" i="114"/>
  <c r="P84" i="114"/>
  <c r="P113" i="114"/>
  <c r="P104" i="114"/>
  <c r="P110" i="114"/>
  <c r="P120" i="114"/>
  <c r="P63" i="114"/>
  <c r="P85" i="114"/>
  <c r="U110" i="114"/>
  <c r="U120" i="114"/>
  <c r="U61" i="114"/>
  <c r="P73" i="114"/>
  <c r="P74" i="114"/>
  <c r="P75" i="114"/>
  <c r="P82" i="114"/>
  <c r="P103" i="114"/>
  <c r="P111" i="114"/>
  <c r="U116" i="114"/>
  <c r="P118" i="114"/>
  <c r="P87" i="114"/>
  <c r="P86" i="114"/>
  <c r="P106" i="114"/>
  <c r="P107" i="114"/>
  <c r="P108" i="114"/>
  <c r="P109" i="114"/>
  <c r="P78" i="114"/>
  <c r="P79" i="114"/>
  <c r="P80" i="114"/>
  <c r="P81" i="114"/>
  <c r="P98" i="114"/>
  <c r="P99" i="114"/>
  <c r="P101" i="114"/>
  <c r="U114" i="114"/>
  <c r="U113" i="114"/>
  <c r="P94" i="114"/>
  <c r="P93" i="114"/>
  <c r="P116" i="114"/>
  <c r="P117" i="114"/>
  <c r="P88" i="114"/>
  <c r="P92" i="114"/>
  <c r="P114" i="114"/>
  <c r="P61" i="114"/>
  <c r="P62" i="114"/>
  <c r="U62" i="114"/>
  <c r="P21" i="114"/>
  <c r="P31" i="114"/>
  <c r="P43" i="114"/>
  <c r="P52" i="114"/>
  <c r="P19" i="114"/>
  <c r="P29" i="114"/>
  <c r="P39" i="114"/>
  <c r="P50" i="114"/>
  <c r="P17" i="114"/>
  <c r="P27" i="114"/>
  <c r="P37" i="114"/>
  <c r="P47" i="114"/>
  <c r="P16" i="114"/>
  <c r="P26" i="114"/>
  <c r="P36" i="114"/>
  <c r="P46" i="114"/>
  <c r="P57" i="114"/>
  <c r="P34" i="114"/>
  <c r="P44" i="114"/>
  <c r="P55" i="114"/>
  <c r="P20" i="114"/>
  <c r="P30" i="114"/>
  <c r="P40" i="114"/>
  <c r="P51" i="114"/>
  <c r="P58" i="114"/>
  <c r="P18" i="114"/>
  <c r="P28" i="114"/>
  <c r="P38" i="114"/>
  <c r="P15" i="114"/>
  <c r="P25" i="114"/>
  <c r="P35" i="114"/>
  <c r="P45" i="114"/>
  <c r="P56" i="114"/>
  <c r="P14" i="114"/>
  <c r="P24" i="114"/>
  <c r="F578" i="115"/>
  <c r="H578" i="115" s="1"/>
  <c r="E578" i="115"/>
  <c r="D578" i="115"/>
  <c r="C578" i="115"/>
  <c r="B578" i="115"/>
  <c r="V619" i="114" l="1"/>
  <c r="Y619" i="114"/>
  <c r="O7" i="68"/>
  <c r="M7" i="68"/>
  <c r="P96" i="68"/>
  <c r="V67" i="115"/>
  <c r="H1021" i="115" l="1"/>
  <c r="J1021" i="115"/>
  <c r="M1021" i="115"/>
  <c r="V1021" i="115" s="1"/>
  <c r="P1021" i="115"/>
  <c r="Q1021" i="115"/>
  <c r="R1021" i="115"/>
  <c r="S1021" i="115"/>
  <c r="T1021" i="115" l="1"/>
  <c r="U1021" i="115" s="1"/>
  <c r="O1021" i="115"/>
  <c r="J1011" i="115"/>
  <c r="H1018" i="115"/>
  <c r="Q1018" i="115"/>
  <c r="R1011" i="115"/>
  <c r="F341" i="114"/>
  <c r="C341" i="114"/>
  <c r="E341" i="114"/>
  <c r="B341" i="114"/>
  <c r="D341" i="114"/>
  <c r="H341" i="114" l="1"/>
  <c r="Z341" i="114"/>
  <c r="AB341" i="114" s="1"/>
  <c r="P1018" i="115"/>
  <c r="M1018" i="115"/>
  <c r="M1011" i="115"/>
  <c r="J1018" i="115"/>
  <c r="J1023" i="115" s="1"/>
  <c r="T1018" i="115"/>
  <c r="T1011" i="115"/>
  <c r="H1011" i="115"/>
  <c r="Q1011" i="115"/>
  <c r="Q1023" i="115" s="1"/>
  <c r="O1018" i="115"/>
  <c r="S1011" i="115"/>
  <c r="S1018" i="115"/>
  <c r="R1018" i="115"/>
  <c r="R1023" i="115" s="1"/>
  <c r="O1011" i="115"/>
  <c r="S1023" i="115" l="1"/>
  <c r="U1011" i="115"/>
  <c r="O1023" i="115"/>
  <c r="V1018" i="115"/>
  <c r="T1023" i="115"/>
  <c r="M1023" i="115"/>
  <c r="V1023" i="115" s="1"/>
  <c r="V1011" i="115"/>
  <c r="U1018" i="115"/>
  <c r="P1011" i="115"/>
  <c r="P1023" i="115" s="1"/>
  <c r="U1023" i="115" l="1"/>
  <c r="E1893" i="68" l="1"/>
  <c r="E1896" i="68"/>
  <c r="E1895" i="68"/>
  <c r="E1894" i="68"/>
  <c r="E1899" i="68"/>
  <c r="E1903" i="68"/>
  <c r="E1902" i="68"/>
  <c r="E1906" i="68"/>
  <c r="E1911" i="68"/>
  <c r="E1910" i="68"/>
  <c r="E1909" i="68"/>
  <c r="E1914" i="68"/>
  <c r="E1924" i="68"/>
  <c r="E1923" i="68"/>
  <c r="E1922" i="68"/>
  <c r="E1921" i="68"/>
  <c r="E1920" i="68"/>
  <c r="E1919" i="68"/>
  <c r="E1918" i="68"/>
  <c r="E1917" i="68"/>
  <c r="E1927" i="68"/>
  <c r="E747" i="114" l="1"/>
  <c r="D746" i="114"/>
  <c r="C744" i="114"/>
  <c r="C740" i="114"/>
  <c r="C736" i="114"/>
  <c r="F728" i="114"/>
  <c r="E727" i="114"/>
  <c r="F725" i="114"/>
  <c r="B723" i="114"/>
  <c r="C720" i="114"/>
  <c r="C719" i="114"/>
  <c r="F717" i="114"/>
  <c r="C715" i="114"/>
  <c r="F714" i="114"/>
  <c r="E713" i="114"/>
  <c r="E711" i="114"/>
  <c r="E710" i="114"/>
  <c r="F709" i="114"/>
  <c r="F707" i="114"/>
  <c r="E706" i="114"/>
  <c r="C703" i="114"/>
  <c r="F702" i="114"/>
  <c r="C701" i="114"/>
  <c r="B697" i="114"/>
  <c r="E696" i="114"/>
  <c r="C692" i="114"/>
  <c r="E691" i="114"/>
  <c r="C685" i="114"/>
  <c r="E684" i="114"/>
  <c r="F683" i="114"/>
  <c r="C681" i="114"/>
  <c r="C677" i="114"/>
  <c r="F676" i="114"/>
  <c r="B666" i="114"/>
  <c r="F665" i="114"/>
  <c r="Z665" i="114" s="1"/>
  <c r="AB665" i="114" s="1"/>
  <c r="AC665" i="114" s="1"/>
  <c r="AE665" i="114" s="1"/>
  <c r="AF665" i="114" s="1"/>
  <c r="AH665" i="114" s="1"/>
  <c r="AI665" i="114" s="1"/>
  <c r="AK665" i="114" s="1"/>
  <c r="AL665" i="114" s="1"/>
  <c r="AN665" i="114" s="1"/>
  <c r="C663" i="114"/>
  <c r="D662" i="114"/>
  <c r="E658" i="114"/>
  <c r="E654" i="114"/>
  <c r="F651" i="114"/>
  <c r="B650" i="114"/>
  <c r="F639" i="114"/>
  <c r="F638" i="114"/>
  <c r="B636" i="114"/>
  <c r="C635" i="114"/>
  <c r="C634" i="114"/>
  <c r="D630" i="114"/>
  <c r="E626" i="114"/>
  <c r="E623" i="114"/>
  <c r="F622" i="114"/>
  <c r="Z622" i="114" s="1"/>
  <c r="AB622" i="114" s="1"/>
  <c r="AC622" i="114" s="1"/>
  <c r="AE622" i="114" s="1"/>
  <c r="AF622" i="114" s="1"/>
  <c r="AH622" i="114" s="1"/>
  <c r="AI622" i="114" s="1"/>
  <c r="AK622" i="114" s="1"/>
  <c r="AL622" i="114" s="1"/>
  <c r="AN622" i="114" s="1"/>
  <c r="E621" i="114"/>
  <c r="B610" i="114"/>
  <c r="E607" i="114"/>
  <c r="E606" i="114"/>
  <c r="F605" i="114"/>
  <c r="E604" i="114"/>
  <c r="E603" i="114"/>
  <c r="F600" i="114"/>
  <c r="E596" i="114"/>
  <c r="E595" i="114"/>
  <c r="C594" i="114"/>
  <c r="D593" i="114"/>
  <c r="D590" i="114"/>
  <c r="B589" i="114"/>
  <c r="F588" i="114"/>
  <c r="E586" i="114"/>
  <c r="F584" i="114"/>
  <c r="C551" i="114"/>
  <c r="F548" i="114"/>
  <c r="D545" i="114"/>
  <c r="E533" i="114"/>
  <c r="E529" i="114"/>
  <c r="E524" i="114"/>
  <c r="D505" i="114"/>
  <c r="D501" i="114"/>
  <c r="F491" i="114"/>
  <c r="E487" i="114"/>
  <c r="D486" i="114"/>
  <c r="D478" i="114"/>
  <c r="E477" i="114"/>
  <c r="C476" i="114"/>
  <c r="E475" i="114"/>
  <c r="D474" i="114"/>
  <c r="D471" i="114"/>
  <c r="E470" i="114"/>
  <c r="C469" i="114"/>
  <c r="F468" i="114"/>
  <c r="D467" i="114"/>
  <c r="F464" i="114"/>
  <c r="D463" i="114"/>
  <c r="E462" i="114"/>
  <c r="C461" i="114"/>
  <c r="D459" i="114"/>
  <c r="E458" i="114"/>
  <c r="C457" i="114"/>
  <c r="D455" i="114"/>
  <c r="B446" i="114"/>
  <c r="E445" i="114"/>
  <c r="F441" i="114"/>
  <c r="E440" i="114"/>
  <c r="D439" i="114"/>
  <c r="C438" i="114"/>
  <c r="E437" i="114"/>
  <c r="F435" i="114"/>
  <c r="E434" i="114"/>
  <c r="E433" i="114"/>
  <c r="D432" i="114"/>
  <c r="B429" i="114"/>
  <c r="C426" i="114"/>
  <c r="F425" i="114"/>
  <c r="F423" i="114"/>
  <c r="F422" i="114"/>
  <c r="C419" i="114"/>
  <c r="C418" i="114"/>
  <c r="C417" i="114"/>
  <c r="F416" i="114"/>
  <c r="F414" i="114"/>
  <c r="D413" i="114"/>
  <c r="F412" i="114"/>
  <c r="C411" i="114"/>
  <c r="F410" i="114"/>
  <c r="F405" i="114"/>
  <c r="C404" i="114"/>
  <c r="F403" i="114"/>
  <c r="E402" i="114"/>
  <c r="F401" i="114"/>
  <c r="C400" i="114"/>
  <c r="F399" i="114"/>
  <c r="D398" i="114"/>
  <c r="D397" i="114"/>
  <c r="C396" i="114"/>
  <c r="F395" i="114"/>
  <c r="E394" i="114"/>
  <c r="F381" i="114"/>
  <c r="D380" i="114"/>
  <c r="D379" i="114"/>
  <c r="D376" i="114"/>
  <c r="D374" i="114"/>
  <c r="E372" i="114"/>
  <c r="C371" i="114"/>
  <c r="E370" i="114"/>
  <c r="D369" i="114"/>
  <c r="C366" i="114"/>
  <c r="E363" i="114"/>
  <c r="C361" i="114"/>
  <c r="D360" i="114"/>
  <c r="C359" i="114"/>
  <c r="E355" i="114"/>
  <c r="F354" i="114"/>
  <c r="D350" i="114"/>
  <c r="E349" i="114"/>
  <c r="C346" i="114"/>
  <c r="D343" i="114"/>
  <c r="D342" i="114"/>
  <c r="D340" i="114"/>
  <c r="F339" i="114"/>
  <c r="C336" i="114"/>
  <c r="D335" i="114"/>
  <c r="E334" i="114"/>
  <c r="D333" i="114"/>
  <c r="F331" i="114"/>
  <c r="D328" i="114"/>
  <c r="D327" i="114"/>
  <c r="E326" i="114"/>
  <c r="B323" i="114"/>
  <c r="C320" i="114"/>
  <c r="D318" i="114"/>
  <c r="C317" i="114"/>
  <c r="D316" i="114"/>
  <c r="E308" i="114"/>
  <c r="E307" i="114"/>
  <c r="E306" i="114"/>
  <c r="E305" i="114"/>
  <c r="C304" i="114"/>
  <c r="C302" i="114"/>
  <c r="E301" i="114"/>
  <c r="C300" i="114"/>
  <c r="B297" i="114"/>
  <c r="D296" i="114"/>
  <c r="E294" i="114"/>
  <c r="F293" i="114"/>
  <c r="F292" i="114"/>
  <c r="D291" i="114"/>
  <c r="E283" i="114"/>
  <c r="E282" i="114"/>
  <c r="D280" i="114"/>
  <c r="C279" i="114"/>
  <c r="E278" i="114"/>
  <c r="E277" i="114"/>
  <c r="C276" i="114"/>
  <c r="F275" i="114"/>
  <c r="E274" i="114"/>
  <c r="E273" i="114"/>
  <c r="C272" i="114"/>
  <c r="E269" i="114"/>
  <c r="C266" i="114"/>
  <c r="D265" i="114"/>
  <c r="E260" i="114"/>
  <c r="D259" i="114"/>
  <c r="D257" i="114"/>
  <c r="E256" i="114"/>
  <c r="D246" i="114"/>
  <c r="B243" i="114"/>
  <c r="D240" i="114"/>
  <c r="B237" i="114"/>
  <c r="F233" i="114"/>
  <c r="H233" i="114" s="1"/>
  <c r="D232" i="114"/>
  <c r="F231" i="114"/>
  <c r="H231" i="114" s="1"/>
  <c r="C230" i="114"/>
  <c r="E229" i="114"/>
  <c r="F226" i="114"/>
  <c r="D225" i="114"/>
  <c r="F223" i="114"/>
  <c r="D222" i="114"/>
  <c r="F221" i="114"/>
  <c r="E220" i="114"/>
  <c r="C219" i="114"/>
  <c r="C218" i="114"/>
  <c r="E216" i="114"/>
  <c r="F214" i="114"/>
  <c r="E213" i="114"/>
  <c r="F212" i="114"/>
  <c r="E211" i="114"/>
  <c r="D206" i="114"/>
  <c r="F204" i="114"/>
  <c r="F203" i="114"/>
  <c r="F202" i="114"/>
  <c r="D198" i="114"/>
  <c r="E197" i="114"/>
  <c r="C196" i="114"/>
  <c r="F195" i="114"/>
  <c r="E193" i="114"/>
  <c r="F192" i="114"/>
  <c r="B190" i="114"/>
  <c r="B189" i="114"/>
  <c r="F188" i="114"/>
  <c r="F187" i="114"/>
  <c r="E186" i="114"/>
  <c r="E185" i="114"/>
  <c r="F184" i="114"/>
  <c r="E183" i="114"/>
  <c r="B182" i="114"/>
  <c r="F179" i="114"/>
  <c r="B178" i="114"/>
  <c r="B177" i="114"/>
  <c r="F176" i="114"/>
  <c r="F175" i="114"/>
  <c r="E167" i="114"/>
  <c r="B166" i="114"/>
  <c r="C164" i="114"/>
  <c r="F163" i="114"/>
  <c r="D162" i="114"/>
  <c r="E161" i="114"/>
  <c r="D160" i="114"/>
  <c r="B158" i="114"/>
  <c r="B157" i="114"/>
  <c r="F155" i="114"/>
  <c r="B154" i="114"/>
  <c r="E153" i="114"/>
  <c r="F152" i="114"/>
  <c r="E151" i="114"/>
  <c r="D150" i="114"/>
  <c r="D148" i="114"/>
  <c r="F147" i="114"/>
  <c r="B146" i="114"/>
  <c r="E145" i="114"/>
  <c r="F144" i="114"/>
  <c r="F143" i="114"/>
  <c r="B142" i="114"/>
  <c r="E141" i="114"/>
  <c r="F139" i="114"/>
  <c r="B138" i="114"/>
  <c r="F137" i="114"/>
  <c r="F136" i="114"/>
  <c r="F135" i="114"/>
  <c r="D134" i="114"/>
  <c r="B131" i="114"/>
  <c r="D130" i="114"/>
  <c r="F128" i="114"/>
  <c r="B120" i="114"/>
  <c r="B118" i="114"/>
  <c r="D117" i="114"/>
  <c r="F114" i="114"/>
  <c r="B113" i="114"/>
  <c r="D112" i="114"/>
  <c r="F110" i="114"/>
  <c r="D109" i="114"/>
  <c r="B107" i="114"/>
  <c r="B106" i="114"/>
  <c r="D105" i="114"/>
  <c r="F103" i="114"/>
  <c r="B102" i="114"/>
  <c r="D101" i="114"/>
  <c r="D97" i="114"/>
  <c r="D94" i="114"/>
  <c r="D93" i="114"/>
  <c r="D92" i="114"/>
  <c r="E88" i="114"/>
  <c r="D87" i="114"/>
  <c r="E86" i="114"/>
  <c r="D85" i="114"/>
  <c r="D84" i="114"/>
  <c r="D83" i="114"/>
  <c r="E82" i="114"/>
  <c r="D81" i="114"/>
  <c r="D80" i="114"/>
  <c r="D79" i="114"/>
  <c r="E78" i="114"/>
  <c r="E77" i="114"/>
  <c r="D76" i="114"/>
  <c r="E75" i="114"/>
  <c r="D74" i="114"/>
  <c r="D73" i="114"/>
  <c r="D63" i="114"/>
  <c r="E61" i="114"/>
  <c r="C58" i="114"/>
  <c r="F57" i="114"/>
  <c r="C56" i="114"/>
  <c r="E55" i="114"/>
  <c r="C52" i="114"/>
  <c r="E51" i="114"/>
  <c r="F50" i="114"/>
  <c r="F47" i="114"/>
  <c r="C46" i="114"/>
  <c r="E45" i="114"/>
  <c r="F44" i="114"/>
  <c r="D43" i="114"/>
  <c r="F40" i="114"/>
  <c r="D39" i="114"/>
  <c r="C38" i="114"/>
  <c r="E37" i="114"/>
  <c r="F36" i="114"/>
  <c r="Z36" i="114" s="1"/>
  <c r="AB36" i="114" s="1"/>
  <c r="C34" i="114"/>
  <c r="E29" i="114"/>
  <c r="F28" i="114"/>
  <c r="Z28" i="114" s="1"/>
  <c r="AB28" i="114" s="1"/>
  <c r="AC28" i="114" s="1"/>
  <c r="AE28" i="114" s="1"/>
  <c r="AF28" i="114" s="1"/>
  <c r="AH28" i="114" s="1"/>
  <c r="D27" i="114"/>
  <c r="C26" i="114"/>
  <c r="E25" i="114"/>
  <c r="F24" i="114"/>
  <c r="Z24" i="114" s="1"/>
  <c r="E21" i="114"/>
  <c r="F20" i="114"/>
  <c r="D19" i="114"/>
  <c r="C18" i="114"/>
  <c r="E17" i="114"/>
  <c r="F16" i="114"/>
  <c r="D15" i="114"/>
  <c r="C14" i="114"/>
  <c r="E13" i="114"/>
  <c r="E1048" i="115"/>
  <c r="D1047" i="115"/>
  <c r="B1046" i="115"/>
  <c r="E1045" i="115"/>
  <c r="E1044" i="115"/>
  <c r="E1042" i="115"/>
  <c r="E1040" i="115"/>
  <c r="B1034" i="115"/>
  <c r="E1033" i="115"/>
  <c r="E1032" i="115"/>
  <c r="E1031" i="115"/>
  <c r="E1028" i="115"/>
  <c r="D999" i="115"/>
  <c r="F998" i="115"/>
  <c r="F997" i="115"/>
  <c r="F994" i="115"/>
  <c r="F993" i="115"/>
  <c r="B992" i="115"/>
  <c r="E991" i="115"/>
  <c r="F990" i="115"/>
  <c r="B988" i="115"/>
  <c r="B984" i="115"/>
  <c r="F983" i="115"/>
  <c r="E982" i="115"/>
  <c r="F980" i="115"/>
  <c r="E978" i="115"/>
  <c r="D977" i="115"/>
  <c r="C976" i="115"/>
  <c r="D975" i="115"/>
  <c r="D967" i="115"/>
  <c r="E963" i="115"/>
  <c r="F962" i="115"/>
  <c r="F961" i="115"/>
  <c r="E960" i="115"/>
  <c r="F958" i="115"/>
  <c r="F955" i="115"/>
  <c r="B954" i="115"/>
  <c r="F953" i="115"/>
  <c r="C952" i="115"/>
  <c r="F950" i="115"/>
  <c r="B949" i="115"/>
  <c r="D948" i="115"/>
  <c r="F947" i="115"/>
  <c r="D946" i="115"/>
  <c r="B945" i="115"/>
  <c r="D942" i="115"/>
  <c r="E941" i="115"/>
  <c r="F940" i="115"/>
  <c r="F939" i="115"/>
  <c r="E938" i="115"/>
  <c r="D936" i="115"/>
  <c r="D934" i="115"/>
  <c r="D924" i="115"/>
  <c r="D922" i="115"/>
  <c r="D921" i="115"/>
  <c r="D919" i="115"/>
  <c r="D913" i="115"/>
  <c r="D911" i="115"/>
  <c r="D909" i="115"/>
  <c r="F907" i="115"/>
  <c r="B906" i="115"/>
  <c r="F905" i="115"/>
  <c r="C897" i="115"/>
  <c r="B896" i="115"/>
  <c r="C893" i="115"/>
  <c r="F891" i="115"/>
  <c r="C890" i="115"/>
  <c r="E889" i="115"/>
  <c r="D888" i="115"/>
  <c r="B884" i="115"/>
  <c r="F883" i="115"/>
  <c r="B880" i="115"/>
  <c r="B879" i="115"/>
  <c r="F877" i="115"/>
  <c r="F875" i="115"/>
  <c r="B874" i="115"/>
  <c r="F873" i="115"/>
  <c r="E872" i="115"/>
  <c r="F863" i="115"/>
  <c r="B862" i="115"/>
  <c r="F859" i="115"/>
  <c r="E858" i="115"/>
  <c r="F857" i="115"/>
  <c r="F856" i="115"/>
  <c r="D855" i="115"/>
  <c r="E854" i="115"/>
  <c r="E851" i="115"/>
  <c r="E850" i="115"/>
  <c r="F849" i="115"/>
  <c r="E848" i="115"/>
  <c r="E847" i="115"/>
  <c r="F846" i="115"/>
  <c r="F845" i="115"/>
  <c r="E844" i="115"/>
  <c r="F843" i="115"/>
  <c r="F842" i="115"/>
  <c r="F838" i="115"/>
  <c r="E837" i="115"/>
  <c r="F836" i="115"/>
  <c r="F835" i="115"/>
  <c r="E834" i="115"/>
  <c r="C833" i="115"/>
  <c r="F832" i="115"/>
  <c r="F831" i="115"/>
  <c r="B829" i="115"/>
  <c r="D821" i="115"/>
  <c r="E818" i="115"/>
  <c r="C817" i="115"/>
  <c r="F816" i="115"/>
  <c r="F814" i="115"/>
  <c r="E813" i="115"/>
  <c r="F812" i="115"/>
  <c r="D811" i="115"/>
  <c r="B810" i="115"/>
  <c r="E809" i="115"/>
  <c r="F808" i="115"/>
  <c r="D807" i="115"/>
  <c r="C806" i="115"/>
  <c r="E805" i="115"/>
  <c r="F804" i="115"/>
  <c r="F803" i="115"/>
  <c r="C802" i="115"/>
  <c r="E801" i="115"/>
  <c r="F800" i="115"/>
  <c r="D799" i="115"/>
  <c r="C798" i="115"/>
  <c r="E797" i="115"/>
  <c r="C790" i="115"/>
  <c r="C789" i="115"/>
  <c r="F788" i="115"/>
  <c r="C787" i="115"/>
  <c r="E786" i="115"/>
  <c r="C783" i="115"/>
  <c r="C779" i="115"/>
  <c r="F777" i="115"/>
  <c r="C775" i="115"/>
  <c r="E774" i="115"/>
  <c r="F773" i="115"/>
  <c r="C767" i="115"/>
  <c r="E765" i="115"/>
  <c r="F763" i="115"/>
  <c r="F761" i="115"/>
  <c r="C760" i="115"/>
  <c r="E759" i="115"/>
  <c r="F758" i="115"/>
  <c r="B757" i="115"/>
  <c r="E755" i="115"/>
  <c r="F754" i="115"/>
  <c r="D753" i="115"/>
  <c r="C752" i="115"/>
  <c r="E751" i="115"/>
  <c r="F750" i="115"/>
  <c r="F749" i="115"/>
  <c r="C748" i="115"/>
  <c r="E747" i="115"/>
  <c r="F746" i="115"/>
  <c r="F745" i="115"/>
  <c r="C744" i="115"/>
  <c r="E743" i="115"/>
  <c r="F742" i="115"/>
  <c r="B741" i="115"/>
  <c r="E739" i="115"/>
  <c r="F738" i="115"/>
  <c r="D737" i="115"/>
  <c r="C736" i="115"/>
  <c r="E735" i="115"/>
  <c r="F734" i="115"/>
  <c r="F733" i="115"/>
  <c r="C720" i="115"/>
  <c r="F719" i="115"/>
  <c r="F718" i="115"/>
  <c r="E717" i="115"/>
  <c r="C716" i="115"/>
  <c r="F715" i="115"/>
  <c r="E714" i="115"/>
  <c r="C713" i="115"/>
  <c r="F712" i="115"/>
  <c r="E711" i="115"/>
  <c r="C710" i="115"/>
  <c r="E709" i="115"/>
  <c r="E701" i="115"/>
  <c r="C700" i="115"/>
  <c r="E696" i="115"/>
  <c r="E695" i="115"/>
  <c r="F692" i="115"/>
  <c r="E691" i="115"/>
  <c r="F688" i="115"/>
  <c r="E687" i="115"/>
  <c r="C686" i="115"/>
  <c r="F685" i="115"/>
  <c r="C681" i="115"/>
  <c r="F680" i="115"/>
  <c r="E679" i="115"/>
  <c r="C678" i="115"/>
  <c r="F676" i="115"/>
  <c r="E672" i="115"/>
  <c r="C671" i="115"/>
  <c r="D670" i="115"/>
  <c r="F669" i="115"/>
  <c r="E668" i="115"/>
  <c r="C667" i="115"/>
  <c r="B666" i="115"/>
  <c r="F665" i="115"/>
  <c r="E664" i="115"/>
  <c r="C663" i="115"/>
  <c r="F662" i="115"/>
  <c r="F661" i="115"/>
  <c r="F657" i="115"/>
  <c r="E656" i="115"/>
  <c r="E654" i="115"/>
  <c r="F653" i="115"/>
  <c r="E652" i="115"/>
  <c r="C651" i="115"/>
  <c r="C647" i="115"/>
  <c r="F646" i="115"/>
  <c r="F645" i="115"/>
  <c r="E644" i="115"/>
  <c r="C643" i="115"/>
  <c r="F641" i="115"/>
  <c r="C577" i="115"/>
  <c r="C573" i="115"/>
  <c r="F571" i="115"/>
  <c r="B570" i="115"/>
  <c r="C567" i="115"/>
  <c r="F564" i="115"/>
  <c r="C562" i="115"/>
  <c r="E561" i="115"/>
  <c r="D558" i="115"/>
  <c r="E557" i="115"/>
  <c r="C554" i="115"/>
  <c r="D544" i="115"/>
  <c r="B540" i="115"/>
  <c r="B536" i="115"/>
  <c r="C535" i="115"/>
  <c r="D534" i="115"/>
  <c r="B533" i="115"/>
  <c r="D532" i="115"/>
  <c r="B530" i="115"/>
  <c r="D528" i="115"/>
  <c r="B527" i="115"/>
  <c r="C526" i="115"/>
  <c r="B525" i="115"/>
  <c r="B522" i="115"/>
  <c r="D521" i="115"/>
  <c r="B520" i="115"/>
  <c r="D519" i="115"/>
  <c r="D517" i="115"/>
  <c r="B516" i="115"/>
  <c r="D513" i="115"/>
  <c r="B512" i="115"/>
  <c r="C511" i="115"/>
  <c r="D510" i="115"/>
  <c r="B509" i="115"/>
  <c r="D506" i="115"/>
  <c r="B505" i="115"/>
  <c r="D504" i="115"/>
  <c r="D502" i="115"/>
  <c r="B500" i="115"/>
  <c r="D499" i="115"/>
  <c r="F427" i="115"/>
  <c r="F419" i="115"/>
  <c r="F418" i="115"/>
  <c r="C417" i="115"/>
  <c r="F414" i="115"/>
  <c r="F412" i="115"/>
  <c r="F409" i="115"/>
  <c r="C405" i="115"/>
  <c r="F404" i="115"/>
  <c r="B403" i="115"/>
  <c r="F396" i="115"/>
  <c r="F388" i="115"/>
  <c r="B386" i="115"/>
  <c r="E383" i="115"/>
  <c r="C381" i="115"/>
  <c r="E380" i="115"/>
  <c r="C379" i="115"/>
  <c r="E375" i="115"/>
  <c r="C373" i="115"/>
  <c r="E372" i="115"/>
  <c r="C371" i="115"/>
  <c r="C293" i="115"/>
  <c r="E291" i="115"/>
  <c r="E288" i="115"/>
  <c r="E286" i="115"/>
  <c r="B282" i="115"/>
  <c r="D280" i="115"/>
  <c r="B279" i="115"/>
  <c r="F278" i="115"/>
  <c r="B276" i="115"/>
  <c r="F274" i="115"/>
  <c r="F271" i="115"/>
  <c r="D270" i="115"/>
  <c r="B269" i="115"/>
  <c r="F268" i="115"/>
  <c r="D267" i="115"/>
  <c r="B266" i="115"/>
  <c r="F264" i="115"/>
  <c r="B262" i="115"/>
  <c r="F260" i="115"/>
  <c r="D259" i="115"/>
  <c r="F257" i="115"/>
  <c r="D256" i="115"/>
  <c r="B255" i="115"/>
  <c r="B251" i="115"/>
  <c r="F249" i="115"/>
  <c r="B247" i="115"/>
  <c r="F245" i="115"/>
  <c r="D236" i="115"/>
  <c r="F233" i="115"/>
  <c r="B231" i="115"/>
  <c r="F230" i="115"/>
  <c r="B229" i="115"/>
  <c r="F228" i="115"/>
  <c r="D227" i="115"/>
  <c r="F225" i="115"/>
  <c r="D224" i="115"/>
  <c r="D221" i="115"/>
  <c r="C219" i="115"/>
  <c r="D217" i="115"/>
  <c r="B216" i="115"/>
  <c r="B212" i="115"/>
  <c r="C211" i="115"/>
  <c r="D209" i="115"/>
  <c r="C207" i="115"/>
  <c r="B204" i="115"/>
  <c r="C203" i="115"/>
  <c r="D201" i="115"/>
  <c r="B200" i="115"/>
  <c r="C199" i="115"/>
  <c r="D197" i="115"/>
  <c r="E143" i="115"/>
  <c r="E142" i="115"/>
  <c r="F141" i="115"/>
  <c r="F139" i="115"/>
  <c r="F135" i="115"/>
  <c r="F132" i="115"/>
  <c r="E131" i="115"/>
  <c r="E130" i="115"/>
  <c r="E126" i="115"/>
  <c r="E125" i="115"/>
  <c r="F124" i="115"/>
  <c r="C123" i="115"/>
  <c r="E122" i="115"/>
  <c r="E121" i="115"/>
  <c r="F120" i="115"/>
  <c r="F111" i="115"/>
  <c r="C110" i="115"/>
  <c r="F108" i="115"/>
  <c r="E107" i="115"/>
  <c r="C106" i="115"/>
  <c r="E105" i="115"/>
  <c r="C104" i="115"/>
  <c r="D101" i="115"/>
  <c r="E99" i="115"/>
  <c r="F97" i="115"/>
  <c r="E96" i="115"/>
  <c r="F95" i="115"/>
  <c r="E92" i="115"/>
  <c r="F91" i="115"/>
  <c r="C89" i="115"/>
  <c r="E88" i="115"/>
  <c r="F87" i="115"/>
  <c r="B86" i="115"/>
  <c r="C77" i="115"/>
  <c r="E76" i="115"/>
  <c r="F75" i="115"/>
  <c r="E74" i="115"/>
  <c r="F73" i="115"/>
  <c r="B72" i="115"/>
  <c r="C71" i="115"/>
  <c r="E70" i="115"/>
  <c r="F69" i="115"/>
  <c r="D68" i="115"/>
  <c r="E67" i="115"/>
  <c r="E63" i="115"/>
  <c r="F61" i="115"/>
  <c r="C60" i="115"/>
  <c r="E59" i="115"/>
  <c r="C57" i="115"/>
  <c r="C56" i="115"/>
  <c r="D53" i="115"/>
  <c r="E51" i="115"/>
  <c r="F49" i="115"/>
  <c r="C48" i="115"/>
  <c r="F46" i="115"/>
  <c r="C44" i="115"/>
  <c r="E43" i="115"/>
  <c r="C36" i="115"/>
  <c r="E35" i="115"/>
  <c r="F34" i="115"/>
  <c r="F33" i="115"/>
  <c r="C32" i="115"/>
  <c r="F30" i="115"/>
  <c r="E29" i="115"/>
  <c r="E27" i="115"/>
  <c r="F26" i="115"/>
  <c r="F25" i="115"/>
  <c r="C24" i="115"/>
  <c r="E21" i="115"/>
  <c r="D20" i="115"/>
  <c r="E19" i="115"/>
  <c r="F18" i="115"/>
  <c r="C17" i="115"/>
  <c r="C16" i="115"/>
  <c r="E15" i="115"/>
  <c r="F14" i="115"/>
  <c r="E13" i="115"/>
  <c r="C12" i="115"/>
  <c r="B589" i="115"/>
  <c r="C589" i="115"/>
  <c r="D589" i="115"/>
  <c r="F589" i="115"/>
  <c r="B590" i="115"/>
  <c r="C590" i="115"/>
  <c r="D590" i="115"/>
  <c r="F590" i="115"/>
  <c r="B591" i="115"/>
  <c r="C591" i="115"/>
  <c r="D591" i="115"/>
  <c r="F591" i="115"/>
  <c r="B592" i="115"/>
  <c r="C592" i="115"/>
  <c r="D592" i="115"/>
  <c r="F592" i="115"/>
  <c r="B599" i="115"/>
  <c r="C599" i="115"/>
  <c r="D599" i="115"/>
  <c r="F599" i="115"/>
  <c r="B600" i="115"/>
  <c r="C600" i="115"/>
  <c r="D600" i="115"/>
  <c r="F600" i="115"/>
  <c r="B601" i="115"/>
  <c r="C601" i="115"/>
  <c r="D601" i="115"/>
  <c r="F601" i="115"/>
  <c r="B602" i="115"/>
  <c r="C602" i="115"/>
  <c r="D602" i="115"/>
  <c r="F602" i="115"/>
  <c r="B605" i="115"/>
  <c r="C605" i="115"/>
  <c r="D605" i="115"/>
  <c r="F605" i="115"/>
  <c r="B606" i="115"/>
  <c r="C606" i="115"/>
  <c r="D606" i="115"/>
  <c r="F606" i="115"/>
  <c r="B607" i="115"/>
  <c r="C607" i="115"/>
  <c r="D607" i="115"/>
  <c r="F607" i="115"/>
  <c r="B608" i="115"/>
  <c r="C608" i="115"/>
  <c r="D608" i="115"/>
  <c r="F608" i="115"/>
  <c r="B609" i="115"/>
  <c r="C609" i="115"/>
  <c r="D609" i="115"/>
  <c r="F609" i="115"/>
  <c r="B610" i="115"/>
  <c r="C610" i="115"/>
  <c r="D610" i="115"/>
  <c r="F610" i="115"/>
  <c r="B611" i="115"/>
  <c r="C611" i="115"/>
  <c r="D611" i="115"/>
  <c r="F611" i="115"/>
  <c r="B619" i="115"/>
  <c r="C619" i="115"/>
  <c r="D619" i="115"/>
  <c r="F619" i="115"/>
  <c r="B620" i="115"/>
  <c r="C620" i="115"/>
  <c r="D620" i="115"/>
  <c r="F620" i="115"/>
  <c r="B621" i="115"/>
  <c r="C621" i="115"/>
  <c r="D621" i="115"/>
  <c r="F621" i="115"/>
  <c r="B624" i="115"/>
  <c r="C624" i="115"/>
  <c r="D624" i="115"/>
  <c r="F624" i="115"/>
  <c r="B625" i="115"/>
  <c r="C625" i="115"/>
  <c r="D625" i="115"/>
  <c r="F625" i="115"/>
  <c r="B626" i="115"/>
  <c r="C626" i="115"/>
  <c r="D626" i="115"/>
  <c r="F626" i="115"/>
  <c r="B627" i="115"/>
  <c r="C627" i="115"/>
  <c r="D627" i="115"/>
  <c r="F627" i="115"/>
  <c r="B628" i="115"/>
  <c r="C628" i="115"/>
  <c r="D628" i="115"/>
  <c r="F628" i="115"/>
  <c r="B629" i="115"/>
  <c r="C629" i="115"/>
  <c r="D629" i="115"/>
  <c r="F629" i="115"/>
  <c r="B630" i="115"/>
  <c r="C630" i="115"/>
  <c r="D630" i="115"/>
  <c r="F630" i="115"/>
  <c r="B631" i="115"/>
  <c r="C631" i="115"/>
  <c r="D631" i="115"/>
  <c r="F631" i="115"/>
  <c r="B632" i="115"/>
  <c r="C632" i="115"/>
  <c r="D632" i="115"/>
  <c r="F632" i="115"/>
  <c r="B1052" i="115"/>
  <c r="C1052" i="115"/>
  <c r="F1052" i="115"/>
  <c r="B1053" i="115"/>
  <c r="C1053" i="115"/>
  <c r="F1053" i="115"/>
  <c r="B1054" i="115"/>
  <c r="C1054" i="115"/>
  <c r="F1054" i="115"/>
  <c r="B1055" i="115"/>
  <c r="C1055" i="115"/>
  <c r="F1055" i="115"/>
  <c r="B1056" i="115"/>
  <c r="C1056" i="115"/>
  <c r="F1056" i="115"/>
  <c r="B1057" i="115"/>
  <c r="C1057" i="115"/>
  <c r="F1057" i="115"/>
  <c r="B1058" i="115"/>
  <c r="C1058" i="115"/>
  <c r="F1058" i="115"/>
  <c r="B1059" i="115"/>
  <c r="C1059" i="115"/>
  <c r="F1059" i="115"/>
  <c r="B1060" i="115"/>
  <c r="C1060" i="115"/>
  <c r="F1060" i="115"/>
  <c r="B1061" i="115"/>
  <c r="C1061" i="115"/>
  <c r="F1061" i="115"/>
  <c r="B1062" i="115"/>
  <c r="C1062" i="115"/>
  <c r="F1062" i="115"/>
  <c r="B1063" i="115"/>
  <c r="C1063" i="115"/>
  <c r="F1063" i="115"/>
  <c r="B1066" i="115"/>
  <c r="C1066" i="115"/>
  <c r="F1066" i="115"/>
  <c r="B1067" i="115"/>
  <c r="C1067" i="115"/>
  <c r="F1067" i="115"/>
  <c r="B1068" i="115"/>
  <c r="C1068" i="115"/>
  <c r="F1068" i="115"/>
  <c r="B1069" i="115"/>
  <c r="C1069" i="115"/>
  <c r="F1069" i="115"/>
  <c r="B1070" i="115"/>
  <c r="C1070" i="115"/>
  <c r="F1070" i="115"/>
  <c r="B1071" i="115"/>
  <c r="C1071" i="115"/>
  <c r="F1071" i="115"/>
  <c r="B1072" i="115"/>
  <c r="C1072" i="115"/>
  <c r="F1072" i="115"/>
  <c r="B1073" i="115"/>
  <c r="C1073" i="115"/>
  <c r="F1073" i="115"/>
  <c r="B1074" i="115"/>
  <c r="C1074" i="115"/>
  <c r="F1074" i="115"/>
  <c r="B1075" i="115"/>
  <c r="C1075" i="115"/>
  <c r="F1075" i="115"/>
  <c r="B1076" i="115"/>
  <c r="C1076" i="115"/>
  <c r="F1076" i="115"/>
  <c r="B1077" i="115"/>
  <c r="C1077" i="115"/>
  <c r="F1077" i="115"/>
  <c r="B1078" i="115"/>
  <c r="C1078" i="115"/>
  <c r="F1078" i="115"/>
  <c r="B1079" i="115"/>
  <c r="C1079" i="115"/>
  <c r="F1079" i="115"/>
  <c r="B1080" i="115"/>
  <c r="C1080" i="115"/>
  <c r="F1080" i="115"/>
  <c r="B1081" i="115"/>
  <c r="C1081" i="115"/>
  <c r="F1081" i="115"/>
  <c r="B1082" i="115"/>
  <c r="C1082" i="115"/>
  <c r="F1082" i="115"/>
  <c r="B1083" i="115"/>
  <c r="C1083" i="115"/>
  <c r="F1083" i="115"/>
  <c r="B1084" i="115"/>
  <c r="C1084" i="115"/>
  <c r="F1084" i="115"/>
  <c r="B1085" i="115"/>
  <c r="C1085" i="115"/>
  <c r="F1085" i="115"/>
  <c r="B1086" i="115"/>
  <c r="C1086" i="115"/>
  <c r="F1086" i="115"/>
  <c r="B1087" i="115"/>
  <c r="C1087" i="115"/>
  <c r="F1087" i="115"/>
  <c r="B1088" i="115"/>
  <c r="C1088" i="115"/>
  <c r="F1088" i="115"/>
  <c r="B1089" i="115"/>
  <c r="C1089" i="115"/>
  <c r="F1089" i="115"/>
  <c r="B1090" i="115"/>
  <c r="C1090" i="115"/>
  <c r="F1090" i="115"/>
  <c r="B1091" i="115"/>
  <c r="C1091" i="115"/>
  <c r="F1091" i="115"/>
  <c r="B1092" i="115"/>
  <c r="C1092" i="115"/>
  <c r="F1092" i="115"/>
  <c r="B1093" i="115"/>
  <c r="C1093" i="115"/>
  <c r="F1093" i="115"/>
  <c r="B1096" i="115"/>
  <c r="C1096" i="115"/>
  <c r="F1096" i="115"/>
  <c r="B1097" i="115"/>
  <c r="C1097" i="115"/>
  <c r="F1097" i="115"/>
  <c r="B1098" i="115"/>
  <c r="C1098" i="115"/>
  <c r="F1098" i="115"/>
  <c r="B1099" i="115"/>
  <c r="C1099" i="115"/>
  <c r="F1099" i="115"/>
  <c r="B1100" i="115"/>
  <c r="C1100" i="115"/>
  <c r="F1100" i="115"/>
  <c r="B1101" i="115"/>
  <c r="C1101" i="115"/>
  <c r="F1101" i="115"/>
  <c r="B1102" i="115"/>
  <c r="C1102" i="115"/>
  <c r="F1102" i="115"/>
  <c r="B1103" i="115"/>
  <c r="C1103" i="115"/>
  <c r="F1103" i="115"/>
  <c r="B1104" i="115"/>
  <c r="C1104" i="115"/>
  <c r="F1104" i="115"/>
  <c r="B1105" i="115"/>
  <c r="C1105" i="115"/>
  <c r="F1105" i="115"/>
  <c r="B1106" i="115"/>
  <c r="C1106" i="115"/>
  <c r="F1106" i="115"/>
  <c r="B1107" i="115"/>
  <c r="C1107" i="115"/>
  <c r="F1107" i="115"/>
  <c r="B1108" i="115"/>
  <c r="C1108" i="115"/>
  <c r="F1108" i="115"/>
  <c r="B1109" i="115"/>
  <c r="C1109" i="115"/>
  <c r="F1109" i="115"/>
  <c r="B1110" i="115"/>
  <c r="C1110" i="115"/>
  <c r="F1110" i="115"/>
  <c r="B1111" i="115"/>
  <c r="C1111" i="115"/>
  <c r="F1111" i="115"/>
  <c r="B1112" i="115"/>
  <c r="C1112" i="115"/>
  <c r="F1112" i="115"/>
  <c r="B1113" i="115"/>
  <c r="C1113" i="115"/>
  <c r="F1113" i="115"/>
  <c r="B1114" i="115"/>
  <c r="C1114" i="115"/>
  <c r="F1114" i="115"/>
  <c r="B1115" i="115"/>
  <c r="C1115" i="115"/>
  <c r="F1115" i="115"/>
  <c r="B1116" i="115"/>
  <c r="C1116" i="115"/>
  <c r="F1116" i="115"/>
  <c r="B1117" i="115"/>
  <c r="C1117" i="115"/>
  <c r="F1117" i="115"/>
  <c r="B1118" i="115"/>
  <c r="C1118" i="115"/>
  <c r="F1118" i="115"/>
  <c r="B1119" i="115"/>
  <c r="C1119" i="115"/>
  <c r="F1119" i="115"/>
  <c r="B1120" i="115"/>
  <c r="C1120" i="115"/>
  <c r="F1120" i="115"/>
  <c r="B1121" i="115"/>
  <c r="C1121" i="115"/>
  <c r="F1121" i="115"/>
  <c r="B1122" i="115"/>
  <c r="C1122" i="115"/>
  <c r="F1122" i="115"/>
  <c r="B1123" i="115"/>
  <c r="C1123" i="115"/>
  <c r="F1123" i="115"/>
  <c r="B1124" i="115"/>
  <c r="C1124" i="115"/>
  <c r="F1124" i="115"/>
  <c r="B1127" i="115"/>
  <c r="C1127" i="115"/>
  <c r="F1127" i="115"/>
  <c r="B1128" i="115"/>
  <c r="C1128" i="115"/>
  <c r="F1128" i="115"/>
  <c r="B1129" i="115"/>
  <c r="C1129" i="115"/>
  <c r="F1129" i="115"/>
  <c r="B1130" i="115"/>
  <c r="C1130" i="115"/>
  <c r="F1130" i="115"/>
  <c r="B1131" i="115"/>
  <c r="C1131" i="115"/>
  <c r="F1131" i="115"/>
  <c r="B1134" i="115"/>
  <c r="C1134" i="115"/>
  <c r="F1134" i="115"/>
  <c r="B1135" i="115"/>
  <c r="C1135" i="115"/>
  <c r="F1135" i="115"/>
  <c r="B1136" i="115"/>
  <c r="C1136" i="115"/>
  <c r="F1136" i="115"/>
  <c r="B1137" i="115"/>
  <c r="C1137" i="115"/>
  <c r="F1137" i="115"/>
  <c r="E11" i="115"/>
  <c r="B1927" i="68"/>
  <c r="F1927" i="68"/>
  <c r="Z1927" i="68" s="1"/>
  <c r="B1924" i="68"/>
  <c r="F1924" i="68"/>
  <c r="F1923" i="68"/>
  <c r="D1923" i="68"/>
  <c r="F1922" i="68"/>
  <c r="D1922" i="68"/>
  <c r="F1921" i="68"/>
  <c r="D1921" i="68"/>
  <c r="C1921" i="68"/>
  <c r="B1921" i="68"/>
  <c r="F1919" i="68"/>
  <c r="D1919" i="68"/>
  <c r="F1918" i="68"/>
  <c r="Z1918" i="68" s="1"/>
  <c r="AB1918" i="68" s="1"/>
  <c r="D1918" i="68"/>
  <c r="C1918" i="68"/>
  <c r="B1918" i="68"/>
  <c r="D1917" i="68"/>
  <c r="D1914" i="68"/>
  <c r="B1914" i="68"/>
  <c r="F1911" i="68"/>
  <c r="D1911" i="68"/>
  <c r="C1911" i="68"/>
  <c r="B1911" i="68"/>
  <c r="B1909" i="68"/>
  <c r="B1906" i="68"/>
  <c r="D1906" i="68"/>
  <c r="F1903" i="68"/>
  <c r="Z1903" i="68" s="1"/>
  <c r="D1903" i="68"/>
  <c r="C1903" i="68"/>
  <c r="B1903" i="68"/>
  <c r="D1902" i="68"/>
  <c r="F1899" i="68"/>
  <c r="Z1899" i="68" s="1"/>
  <c r="AB1899" i="68" s="1"/>
  <c r="D1899" i="68"/>
  <c r="C1899" i="68"/>
  <c r="B1899" i="68"/>
  <c r="F1896" i="68"/>
  <c r="Z1896" i="68" s="1"/>
  <c r="AB1896" i="68" s="1"/>
  <c r="D1896" i="68"/>
  <c r="F1894" i="68"/>
  <c r="D1894" i="68"/>
  <c r="C1894" i="68"/>
  <c r="B1894" i="68"/>
  <c r="F1888" i="68"/>
  <c r="F1887" i="68"/>
  <c r="E1812" i="68"/>
  <c r="D1812" i="68"/>
  <c r="B1812" i="68"/>
  <c r="F1809" i="68"/>
  <c r="D1809" i="68"/>
  <c r="C1809" i="68"/>
  <c r="B1809" i="68"/>
  <c r="E1809" i="68"/>
  <c r="E1808" i="68"/>
  <c r="F1805" i="68"/>
  <c r="D1805" i="68"/>
  <c r="C1805" i="68"/>
  <c r="B1805" i="68"/>
  <c r="E1805" i="68"/>
  <c r="D1804" i="68"/>
  <c r="F1803" i="68"/>
  <c r="E1803" i="68"/>
  <c r="D1803" i="68"/>
  <c r="C1803" i="68"/>
  <c r="B1803" i="68"/>
  <c r="E1802" i="68"/>
  <c r="F1801" i="68"/>
  <c r="D1801" i="68"/>
  <c r="C1801" i="68"/>
  <c r="B1801" i="68"/>
  <c r="E1801" i="68"/>
  <c r="E1800" i="68"/>
  <c r="B1800" i="68"/>
  <c r="F1799" i="68"/>
  <c r="E1799" i="68"/>
  <c r="D1799" i="68"/>
  <c r="C1799" i="68"/>
  <c r="B1799" i="68"/>
  <c r="F1796" i="68"/>
  <c r="E1796" i="68"/>
  <c r="D1796" i="68"/>
  <c r="C1796" i="68"/>
  <c r="B1796" i="68"/>
  <c r="E1795" i="68"/>
  <c r="F1794" i="68"/>
  <c r="D1794" i="68"/>
  <c r="C1794" i="68"/>
  <c r="B1794" i="68"/>
  <c r="E1794" i="68"/>
  <c r="F1793" i="68"/>
  <c r="D1793" i="68"/>
  <c r="C1793" i="68"/>
  <c r="F1790" i="68"/>
  <c r="D1790" i="68"/>
  <c r="C1790" i="68"/>
  <c r="B1790" i="68"/>
  <c r="E1790" i="68"/>
  <c r="D1789" i="68"/>
  <c r="B1789" i="68"/>
  <c r="C1789" i="68"/>
  <c r="F1788" i="68"/>
  <c r="E1788" i="68"/>
  <c r="D1788" i="68"/>
  <c r="C1788" i="68"/>
  <c r="B1788" i="68"/>
  <c r="F1787" i="68"/>
  <c r="D1787" i="68"/>
  <c r="C1787" i="68"/>
  <c r="F1786" i="68"/>
  <c r="D1786" i="68"/>
  <c r="C1786" i="68"/>
  <c r="B1786" i="68"/>
  <c r="E1786" i="68"/>
  <c r="F1785" i="68"/>
  <c r="E1785" i="68"/>
  <c r="D1785" i="68"/>
  <c r="B1785" i="68"/>
  <c r="C1785" i="68"/>
  <c r="F1784" i="68"/>
  <c r="E1784" i="68"/>
  <c r="D1784" i="68"/>
  <c r="C1784" i="68"/>
  <c r="B1784" i="68"/>
  <c r="F1776" i="68"/>
  <c r="E1776" i="68"/>
  <c r="D1776" i="68"/>
  <c r="C1776" i="68"/>
  <c r="B1776" i="68"/>
  <c r="F1773" i="68"/>
  <c r="E1773" i="68"/>
  <c r="D1773" i="68"/>
  <c r="B1773" i="68"/>
  <c r="C1773" i="68"/>
  <c r="F1772" i="68"/>
  <c r="E1772" i="68"/>
  <c r="D1772" i="68"/>
  <c r="C1772" i="68"/>
  <c r="B1772" i="68"/>
  <c r="F1771" i="68"/>
  <c r="C1771" i="68"/>
  <c r="B1771" i="68"/>
  <c r="E1771" i="68"/>
  <c r="F1770" i="68"/>
  <c r="D1770" i="68"/>
  <c r="C1770" i="68"/>
  <c r="B1770" i="68"/>
  <c r="E1770" i="68"/>
  <c r="F1769" i="68"/>
  <c r="E1769" i="68"/>
  <c r="D1769" i="68"/>
  <c r="B1769" i="68"/>
  <c r="C1769" i="68"/>
  <c r="F1768" i="68"/>
  <c r="D1768" i="68"/>
  <c r="E1768" i="68"/>
  <c r="F1767" i="68"/>
  <c r="C1767" i="68"/>
  <c r="D1766" i="68"/>
  <c r="B1766" i="68"/>
  <c r="C1766" i="68"/>
  <c r="F1765" i="68"/>
  <c r="E1765" i="68"/>
  <c r="D1765" i="68"/>
  <c r="C1765" i="68"/>
  <c r="B1765" i="68"/>
  <c r="F1762" i="68"/>
  <c r="E1762" i="68"/>
  <c r="D1762" i="68"/>
  <c r="C1762" i="68"/>
  <c r="B1762" i="68"/>
  <c r="E1761" i="68"/>
  <c r="D1761" i="68"/>
  <c r="B1761" i="68"/>
  <c r="C1761" i="68"/>
  <c r="F1760" i="68"/>
  <c r="F1759" i="68"/>
  <c r="E1759" i="68"/>
  <c r="D1759" i="68"/>
  <c r="B1759" i="68"/>
  <c r="C1759" i="68"/>
  <c r="F1758" i="68"/>
  <c r="E1758" i="68"/>
  <c r="D1758" i="68"/>
  <c r="C1758" i="68"/>
  <c r="B1758" i="68"/>
  <c r="F1757" i="68"/>
  <c r="C1757" i="68"/>
  <c r="B1757" i="68"/>
  <c r="E1757" i="68"/>
  <c r="F1756" i="68"/>
  <c r="D1756" i="68"/>
  <c r="C1756" i="68"/>
  <c r="B1756" i="68"/>
  <c r="E1756" i="68"/>
  <c r="F1755" i="68"/>
  <c r="E1755" i="68"/>
  <c r="B1755" i="68"/>
  <c r="C1755" i="68"/>
  <c r="F1754" i="68"/>
  <c r="E1754" i="68"/>
  <c r="D1754" i="68"/>
  <c r="C1754" i="68"/>
  <c r="B1754" i="68"/>
  <c r="F1753" i="68"/>
  <c r="D1753" i="68"/>
  <c r="D1751" i="68"/>
  <c r="B1751" i="68"/>
  <c r="C1751" i="68"/>
  <c r="D1748" i="68"/>
  <c r="F1746" i="68"/>
  <c r="E1746" i="68"/>
  <c r="D1746" i="68"/>
  <c r="C1746" i="68"/>
  <c r="B1746" i="68"/>
  <c r="E1745" i="68"/>
  <c r="D1745" i="68"/>
  <c r="B1745" i="68"/>
  <c r="C1745" i="68"/>
  <c r="B1744" i="68"/>
  <c r="F1743" i="68"/>
  <c r="E1743" i="68"/>
  <c r="D1743" i="68"/>
  <c r="B1743" i="68"/>
  <c r="C1743" i="68"/>
  <c r="F1742" i="68"/>
  <c r="E1742" i="68"/>
  <c r="D1742" i="68"/>
  <c r="C1742" i="68"/>
  <c r="B1742" i="68"/>
  <c r="F1741" i="68"/>
  <c r="C1741" i="68"/>
  <c r="B1741" i="68"/>
  <c r="E1741" i="68"/>
  <c r="F1733" i="68"/>
  <c r="E1733" i="68"/>
  <c r="D1733" i="68"/>
  <c r="C1733" i="68"/>
  <c r="B1733" i="68"/>
  <c r="F1730" i="68"/>
  <c r="E1730" i="68"/>
  <c r="D1730" i="68"/>
  <c r="C1730" i="68"/>
  <c r="B1730" i="68"/>
  <c r="F1727" i="68"/>
  <c r="E1727" i="68"/>
  <c r="D1727" i="68"/>
  <c r="B1727" i="68"/>
  <c r="C1727" i="68"/>
  <c r="F1726" i="68"/>
  <c r="E1726" i="68"/>
  <c r="D1726" i="68"/>
  <c r="C1726" i="68"/>
  <c r="B1726" i="68"/>
  <c r="F1725" i="68"/>
  <c r="C1725" i="68"/>
  <c r="B1725" i="68"/>
  <c r="E1725" i="68"/>
  <c r="F1724" i="68"/>
  <c r="D1724" i="68"/>
  <c r="C1724" i="68"/>
  <c r="B1724" i="68"/>
  <c r="E1724" i="68"/>
  <c r="F1723" i="68"/>
  <c r="E1723" i="68"/>
  <c r="B1723" i="68"/>
  <c r="C1723" i="68"/>
  <c r="F1722" i="68"/>
  <c r="D1722" i="68"/>
  <c r="F1721" i="68"/>
  <c r="E1721" i="68"/>
  <c r="D1721" i="68"/>
  <c r="C1721" i="68"/>
  <c r="B1721" i="68"/>
  <c r="E1720" i="68"/>
  <c r="D1720" i="68"/>
  <c r="B1720" i="68"/>
  <c r="C1720" i="68"/>
  <c r="F1719" i="68"/>
  <c r="C1719" i="68"/>
  <c r="B1719" i="68"/>
  <c r="E1719" i="68"/>
  <c r="F1717" i="68"/>
  <c r="E1717" i="68"/>
  <c r="D1717" i="68"/>
  <c r="C1717" i="68"/>
  <c r="B1717" i="68"/>
  <c r="F1714" i="68"/>
  <c r="E1714" i="68"/>
  <c r="D1714" i="68"/>
  <c r="C1714" i="68"/>
  <c r="B1714" i="68"/>
  <c r="F1711" i="68"/>
  <c r="E1711" i="68"/>
  <c r="D1711" i="68"/>
  <c r="C1711" i="68"/>
  <c r="B1711" i="68"/>
  <c r="F1710" i="68"/>
  <c r="B1710" i="68"/>
  <c r="F1709" i="68"/>
  <c r="E1709" i="68"/>
  <c r="D1709" i="68"/>
  <c r="F1708" i="68"/>
  <c r="E1708" i="68"/>
  <c r="D1708" i="68"/>
  <c r="C1708" i="68"/>
  <c r="B1708" i="68"/>
  <c r="F1707" i="68"/>
  <c r="B1706" i="68"/>
  <c r="F1706" i="68"/>
  <c r="F1704" i="68"/>
  <c r="E1704" i="68"/>
  <c r="D1704" i="68"/>
  <c r="C1704" i="68"/>
  <c r="B1704" i="68"/>
  <c r="F1702" i="68"/>
  <c r="E1702" i="68"/>
  <c r="C1699" i="68"/>
  <c r="F1698" i="68"/>
  <c r="F1697" i="68"/>
  <c r="E1697" i="68"/>
  <c r="D1697" i="68"/>
  <c r="C1697" i="68"/>
  <c r="B1697" i="68"/>
  <c r="D1696" i="68"/>
  <c r="B1696" i="68"/>
  <c r="F1696" i="68"/>
  <c r="F1695" i="68"/>
  <c r="C1695" i="68"/>
  <c r="B1695" i="68"/>
  <c r="F1694" i="68"/>
  <c r="D1694" i="68"/>
  <c r="F1693" i="68"/>
  <c r="E1693" i="68"/>
  <c r="D1693" i="68"/>
  <c r="C1693" i="68"/>
  <c r="B1693" i="68"/>
  <c r="E1692" i="68"/>
  <c r="B1692" i="68"/>
  <c r="F1692" i="68"/>
  <c r="F1683" i="68"/>
  <c r="E1683" i="68"/>
  <c r="C1683" i="68"/>
  <c r="B1683" i="68"/>
  <c r="D1683" i="68"/>
  <c r="F1677" i="68"/>
  <c r="E1677" i="68"/>
  <c r="D1677" i="68"/>
  <c r="C1677" i="68"/>
  <c r="B1677" i="68"/>
  <c r="E1676" i="68"/>
  <c r="E1675" i="68"/>
  <c r="E1674" i="68"/>
  <c r="D1674" i="68"/>
  <c r="C1674" i="68"/>
  <c r="B1674" i="68"/>
  <c r="F1674" i="68"/>
  <c r="E1672" i="68"/>
  <c r="F1671" i="68"/>
  <c r="E1671" i="68"/>
  <c r="D1671" i="68"/>
  <c r="B1671" i="68"/>
  <c r="C1671" i="68"/>
  <c r="D1670" i="68"/>
  <c r="C1670" i="68"/>
  <c r="F1667" i="68"/>
  <c r="C1667" i="68"/>
  <c r="E1665" i="68"/>
  <c r="D1665" i="68"/>
  <c r="C1665" i="68"/>
  <c r="B1665" i="68"/>
  <c r="F1664" i="68"/>
  <c r="D1664" i="68"/>
  <c r="E1662" i="68"/>
  <c r="C1662" i="68"/>
  <c r="B1662" i="68"/>
  <c r="D1662" i="68"/>
  <c r="F1661" i="68"/>
  <c r="D1661" i="68"/>
  <c r="B1661" i="68"/>
  <c r="F1658" i="68"/>
  <c r="F1657" i="68"/>
  <c r="E1657" i="68"/>
  <c r="D1657" i="68"/>
  <c r="B1657" i="68"/>
  <c r="C1657" i="68"/>
  <c r="F1656" i="68"/>
  <c r="E1656" i="68"/>
  <c r="D1656" i="68"/>
  <c r="C1656" i="68"/>
  <c r="B1656" i="68"/>
  <c r="F1655" i="68"/>
  <c r="D1655" i="68"/>
  <c r="C1655" i="68"/>
  <c r="B1655" i="68"/>
  <c r="E1655" i="68"/>
  <c r="F1654" i="68"/>
  <c r="D1654" i="68"/>
  <c r="F1653" i="68"/>
  <c r="E1653" i="68"/>
  <c r="D1653" i="68"/>
  <c r="B1653" i="68"/>
  <c r="C1653" i="68"/>
  <c r="F1652" i="68"/>
  <c r="E1652" i="68"/>
  <c r="D1652" i="68"/>
  <c r="C1652" i="68"/>
  <c r="B1652" i="68"/>
  <c r="F1651" i="68"/>
  <c r="D1651" i="68"/>
  <c r="C1651" i="68"/>
  <c r="B1651" i="68"/>
  <c r="E1651" i="68"/>
  <c r="F1643" i="68"/>
  <c r="D1643" i="68"/>
  <c r="C1643" i="68"/>
  <c r="B1643" i="68"/>
  <c r="E1643" i="68"/>
  <c r="F1642" i="68"/>
  <c r="D1642" i="68"/>
  <c r="F1639" i="68"/>
  <c r="D1639" i="68"/>
  <c r="C1639" i="68"/>
  <c r="B1639" i="68"/>
  <c r="E1639" i="68"/>
  <c r="F1638" i="68"/>
  <c r="D1638" i="68"/>
  <c r="F1637" i="68"/>
  <c r="E1637" i="68"/>
  <c r="D1637" i="68"/>
  <c r="B1637" i="68"/>
  <c r="C1637" i="68"/>
  <c r="F1636" i="68"/>
  <c r="E1636" i="68"/>
  <c r="D1636" i="68"/>
  <c r="C1636" i="68"/>
  <c r="B1636" i="68"/>
  <c r="F1635" i="68"/>
  <c r="E1635" i="68"/>
  <c r="D1635" i="68"/>
  <c r="C1635" i="68"/>
  <c r="B1635" i="68"/>
  <c r="F1634" i="68"/>
  <c r="D1634" i="68"/>
  <c r="C1634" i="68"/>
  <c r="B1634" i="68"/>
  <c r="E1634" i="68"/>
  <c r="F1632" i="68"/>
  <c r="E1632" i="68"/>
  <c r="D1632" i="68"/>
  <c r="B1632" i="68"/>
  <c r="C1632" i="68"/>
  <c r="F1631" i="68"/>
  <c r="E1631" i="68"/>
  <c r="D1631" i="68"/>
  <c r="C1631" i="68"/>
  <c r="B1631" i="68"/>
  <c r="F1628" i="68"/>
  <c r="E1628" i="68"/>
  <c r="D1628" i="68"/>
  <c r="C1628" i="68"/>
  <c r="B1628" i="68"/>
  <c r="F1627" i="68"/>
  <c r="C1627" i="68"/>
  <c r="B1627" i="68"/>
  <c r="E1627" i="68"/>
  <c r="F1626" i="68"/>
  <c r="F1625" i="68"/>
  <c r="E1625" i="68"/>
  <c r="D1625" i="68"/>
  <c r="B1625" i="68"/>
  <c r="C1625" i="68"/>
  <c r="F1624" i="68"/>
  <c r="E1624" i="68"/>
  <c r="D1624" i="68"/>
  <c r="C1624" i="68"/>
  <c r="B1624" i="68"/>
  <c r="F1623" i="68"/>
  <c r="C1623" i="68"/>
  <c r="B1623" i="68"/>
  <c r="E1623" i="68"/>
  <c r="F1622" i="68"/>
  <c r="D1622" i="68"/>
  <c r="F1621" i="68"/>
  <c r="E1621" i="68"/>
  <c r="D1621" i="68"/>
  <c r="B1621" i="68"/>
  <c r="C1621" i="68"/>
  <c r="F1620" i="68"/>
  <c r="E1620" i="68"/>
  <c r="D1620" i="68"/>
  <c r="C1620" i="68"/>
  <c r="B1620" i="68"/>
  <c r="F1618" i="68"/>
  <c r="E1618" i="68"/>
  <c r="D1618" i="68"/>
  <c r="B1618" i="68"/>
  <c r="C1618" i="68"/>
  <c r="F1617" i="68"/>
  <c r="E1617" i="68"/>
  <c r="D1617" i="68"/>
  <c r="C1617" i="68"/>
  <c r="B1617" i="68"/>
  <c r="F1616" i="68"/>
  <c r="D1616" i="68"/>
  <c r="F1615" i="68"/>
  <c r="E1615" i="68"/>
  <c r="D1615" i="68"/>
  <c r="C1615" i="68"/>
  <c r="B1615" i="68"/>
  <c r="F1614" i="68"/>
  <c r="E1614" i="68"/>
  <c r="D1614" i="68"/>
  <c r="C1614" i="68"/>
  <c r="B1614" i="68"/>
  <c r="F1611" i="68"/>
  <c r="E1611" i="68"/>
  <c r="D1611" i="68"/>
  <c r="C1611" i="68"/>
  <c r="B1611" i="68"/>
  <c r="F1610" i="68"/>
  <c r="E1610" i="68"/>
  <c r="D1610" i="68"/>
  <c r="C1610" i="68"/>
  <c r="B1610" i="68"/>
  <c r="C1609" i="68"/>
  <c r="B1609" i="68"/>
  <c r="E1609" i="68"/>
  <c r="D1608" i="68"/>
  <c r="B1608" i="68"/>
  <c r="F1607" i="68"/>
  <c r="E1607" i="68"/>
  <c r="D1607" i="68"/>
  <c r="C1607" i="68"/>
  <c r="B1607" i="68"/>
  <c r="F1606" i="68"/>
  <c r="E1606" i="68"/>
  <c r="D1606" i="68"/>
  <c r="C1606" i="68"/>
  <c r="B1606" i="68"/>
  <c r="D1605" i="68"/>
  <c r="C1605" i="68"/>
  <c r="E1605" i="68"/>
  <c r="F1604" i="68"/>
  <c r="D1604" i="68"/>
  <c r="B1604" i="68"/>
  <c r="F1603" i="68"/>
  <c r="E1603" i="68"/>
  <c r="D1603" i="68"/>
  <c r="C1603" i="68"/>
  <c r="B1603" i="68"/>
  <c r="F1602" i="68"/>
  <c r="E1602" i="68"/>
  <c r="D1602" i="68"/>
  <c r="C1602" i="68"/>
  <c r="B1602" i="68"/>
  <c r="F1595" i="68"/>
  <c r="E1595" i="68"/>
  <c r="D1595" i="68"/>
  <c r="C1595" i="68"/>
  <c r="B1595" i="68"/>
  <c r="F1594" i="68"/>
  <c r="E1594" i="68"/>
  <c r="D1594" i="68"/>
  <c r="C1594" i="68"/>
  <c r="B1594" i="68"/>
  <c r="F1593" i="68"/>
  <c r="E1593" i="68"/>
  <c r="D1593" i="68"/>
  <c r="C1593" i="68"/>
  <c r="B1593" i="68"/>
  <c r="F1592" i="68"/>
  <c r="E1592" i="68"/>
  <c r="D1592" i="68"/>
  <c r="C1592" i="68"/>
  <c r="B1592" i="68"/>
  <c r="D1591" i="68"/>
  <c r="C1591" i="68"/>
  <c r="B1591" i="68"/>
  <c r="E1591" i="68"/>
  <c r="F1590" i="68"/>
  <c r="D1590" i="68"/>
  <c r="F1587" i="68"/>
  <c r="D1587" i="68"/>
  <c r="E1587" i="68"/>
  <c r="F1586" i="68"/>
  <c r="F1584" i="68"/>
  <c r="E1584" i="68"/>
  <c r="D1584" i="68"/>
  <c r="C1584" i="68"/>
  <c r="B1584" i="68"/>
  <c r="F1581" i="68"/>
  <c r="E1581" i="68"/>
  <c r="C1581" i="68"/>
  <c r="F1580" i="68"/>
  <c r="E1580" i="68"/>
  <c r="D1580" i="68"/>
  <c r="C1580" i="68"/>
  <c r="B1580" i="68"/>
  <c r="D1579" i="68"/>
  <c r="E1579" i="68"/>
  <c r="F1577" i="68"/>
  <c r="E1577" i="68"/>
  <c r="D1577" i="68"/>
  <c r="B1577" i="68"/>
  <c r="C1577" i="68"/>
  <c r="F1576" i="68"/>
  <c r="E1576" i="68"/>
  <c r="D1576" i="68"/>
  <c r="C1576" i="68"/>
  <c r="B1576" i="68"/>
  <c r="F1575" i="68"/>
  <c r="C1575" i="68"/>
  <c r="B1575" i="68"/>
  <c r="E1575" i="68"/>
  <c r="D1574" i="68"/>
  <c r="C1574" i="68"/>
  <c r="E1574" i="68"/>
  <c r="F1567" i="68"/>
  <c r="E1567" i="68"/>
  <c r="C1567" i="68"/>
  <c r="B1567" i="68"/>
  <c r="D1567" i="68"/>
  <c r="F1561" i="68"/>
  <c r="Z1561" i="68" s="1"/>
  <c r="AB1561" i="68" s="1"/>
  <c r="E1561" i="68"/>
  <c r="D1561" i="68"/>
  <c r="C1561" i="68"/>
  <c r="B1561" i="68"/>
  <c r="D1560" i="68"/>
  <c r="F1559" i="68"/>
  <c r="F1558" i="68"/>
  <c r="E1558" i="68"/>
  <c r="D1558" i="68"/>
  <c r="C1558" i="68"/>
  <c r="B1558" i="68"/>
  <c r="F1557" i="68"/>
  <c r="C1557" i="68"/>
  <c r="B1557" i="68"/>
  <c r="E1557" i="68"/>
  <c r="D1556" i="68"/>
  <c r="C1556" i="68"/>
  <c r="E1556" i="68"/>
  <c r="F1552" i="68"/>
  <c r="C1552" i="68"/>
  <c r="B1552" i="68"/>
  <c r="E1552" i="68"/>
  <c r="E1551" i="68"/>
  <c r="D1551" i="68"/>
  <c r="F1551" i="68"/>
  <c r="F1549" i="68"/>
  <c r="Z1549" i="68" s="1"/>
  <c r="AB1549" i="68" s="1"/>
  <c r="C1549" i="68"/>
  <c r="B1549" i="68"/>
  <c r="E1549" i="68"/>
  <c r="E1548" i="68"/>
  <c r="D1548" i="68"/>
  <c r="F1548" i="68"/>
  <c r="F1547" i="68"/>
  <c r="E1547" i="68"/>
  <c r="C1547" i="68"/>
  <c r="B1547" i="68"/>
  <c r="D1547" i="68"/>
  <c r="E1546" i="68"/>
  <c r="E1543" i="68"/>
  <c r="E1542" i="68"/>
  <c r="D1542" i="68"/>
  <c r="F1540" i="68"/>
  <c r="E1540" i="68"/>
  <c r="C1540" i="68"/>
  <c r="B1540" i="68"/>
  <c r="D1540" i="68"/>
  <c r="E1539" i="68"/>
  <c r="D1539" i="68"/>
  <c r="F1538" i="68"/>
  <c r="C1538" i="68"/>
  <c r="B1538" i="68"/>
  <c r="E1538" i="68"/>
  <c r="E1537" i="68"/>
  <c r="F1536" i="68"/>
  <c r="E1536" i="68"/>
  <c r="C1536" i="68"/>
  <c r="B1536" i="68"/>
  <c r="D1536" i="68"/>
  <c r="F1535" i="68"/>
  <c r="C1535" i="68"/>
  <c r="B1535" i="68"/>
  <c r="E1535" i="68"/>
  <c r="D1534" i="68"/>
  <c r="F1532" i="68"/>
  <c r="E1532" i="68"/>
  <c r="C1532" i="68"/>
  <c r="B1532" i="68"/>
  <c r="D1532" i="68"/>
  <c r="E1529" i="68"/>
  <c r="F1528" i="68"/>
  <c r="E1528" i="68"/>
  <c r="C1528" i="68"/>
  <c r="B1528" i="68"/>
  <c r="D1528" i="68"/>
  <c r="E1527" i="68"/>
  <c r="F1526" i="68"/>
  <c r="C1526" i="68"/>
  <c r="B1526" i="68"/>
  <c r="E1526" i="68"/>
  <c r="E1525" i="68"/>
  <c r="F1524" i="68"/>
  <c r="E1524" i="68"/>
  <c r="C1524" i="68"/>
  <c r="B1524" i="68"/>
  <c r="D1524" i="68"/>
  <c r="E1523" i="68"/>
  <c r="F1522" i="68"/>
  <c r="C1522" i="68"/>
  <c r="B1522" i="68"/>
  <c r="E1522" i="68"/>
  <c r="E1521" i="68"/>
  <c r="F1520" i="68"/>
  <c r="E1520" i="68"/>
  <c r="C1520" i="68"/>
  <c r="B1520" i="68"/>
  <c r="D1520" i="68"/>
  <c r="F1449" i="68"/>
  <c r="C1449" i="68"/>
  <c r="F1441" i="68"/>
  <c r="C1441" i="68"/>
  <c r="E1438" i="68"/>
  <c r="C1438" i="68"/>
  <c r="E1437" i="68"/>
  <c r="F1436" i="68"/>
  <c r="E1436" i="68"/>
  <c r="C1436" i="68"/>
  <c r="B1436" i="68"/>
  <c r="D1436" i="68"/>
  <c r="F1432" i="68"/>
  <c r="E1432" i="68"/>
  <c r="C1432" i="68"/>
  <c r="B1432" i="68"/>
  <c r="D1432" i="68"/>
  <c r="C1431" i="68"/>
  <c r="D1431" i="68"/>
  <c r="E1430" i="68"/>
  <c r="D1430" i="68"/>
  <c r="E1428" i="68"/>
  <c r="C1428" i="68"/>
  <c r="B1428" i="68"/>
  <c r="D1428" i="68"/>
  <c r="E1427" i="68"/>
  <c r="D1427" i="68"/>
  <c r="C1427" i="68"/>
  <c r="F1426" i="68"/>
  <c r="E1426" i="68"/>
  <c r="C1426" i="68"/>
  <c r="D1426" i="68"/>
  <c r="D1425" i="68"/>
  <c r="D1422" i="68"/>
  <c r="F1421" i="68"/>
  <c r="E1421" i="68"/>
  <c r="C1421" i="68"/>
  <c r="B1421" i="68"/>
  <c r="D1421" i="68"/>
  <c r="E1420" i="68"/>
  <c r="D1420" i="68"/>
  <c r="C1420" i="68"/>
  <c r="C1419" i="68"/>
  <c r="D1419" i="68"/>
  <c r="E1418" i="68"/>
  <c r="D1418" i="68"/>
  <c r="F1417" i="68"/>
  <c r="E1417" i="68"/>
  <c r="B1417" i="68"/>
  <c r="D1417" i="68"/>
  <c r="E1416" i="68"/>
  <c r="D1416" i="68"/>
  <c r="F1415" i="68"/>
  <c r="C1415" i="68"/>
  <c r="D1415" i="68"/>
  <c r="E1414" i="68"/>
  <c r="C1414" i="68"/>
  <c r="B1414" i="68"/>
  <c r="D1414" i="68"/>
  <c r="E1413" i="68"/>
  <c r="D1413" i="68"/>
  <c r="C1413" i="68"/>
  <c r="F1412" i="68"/>
  <c r="E1412" i="68"/>
  <c r="C1412" i="68"/>
  <c r="D1412" i="68"/>
  <c r="D1411" i="68"/>
  <c r="E1410" i="68"/>
  <c r="D1410" i="68"/>
  <c r="F1406" i="68"/>
  <c r="E1406" i="68"/>
  <c r="C1406" i="68"/>
  <c r="B1406" i="68"/>
  <c r="D1406" i="68"/>
  <c r="E1405" i="68"/>
  <c r="D1405" i="68"/>
  <c r="C1405" i="68"/>
  <c r="C1404" i="68"/>
  <c r="E1403" i="68"/>
  <c r="D1403" i="68"/>
  <c r="F1402" i="68"/>
  <c r="E1402" i="68"/>
  <c r="B1402" i="68"/>
  <c r="D1402" i="68"/>
  <c r="E1401" i="68"/>
  <c r="D1401" i="68"/>
  <c r="F1400" i="68"/>
  <c r="C1400" i="68"/>
  <c r="E1393" i="68"/>
  <c r="C1393" i="68"/>
  <c r="F1392" i="68"/>
  <c r="F1389" i="68"/>
  <c r="E1389" i="68"/>
  <c r="D1389" i="68"/>
  <c r="C1389" i="68"/>
  <c r="B1389" i="68"/>
  <c r="E1386" i="68"/>
  <c r="D1386" i="68"/>
  <c r="B1386" i="68"/>
  <c r="C1386" i="68"/>
  <c r="F1385" i="68"/>
  <c r="E1385" i="68"/>
  <c r="D1385" i="68"/>
  <c r="C1385" i="68"/>
  <c r="B1385" i="68"/>
  <c r="F1384" i="68"/>
  <c r="D1384" i="68"/>
  <c r="E1384" i="68"/>
  <c r="F1383" i="68"/>
  <c r="E1383" i="68"/>
  <c r="D1383" i="68"/>
  <c r="C1383" i="68"/>
  <c r="B1383" i="68"/>
  <c r="F1382" i="68"/>
  <c r="D1382" i="68"/>
  <c r="C1382" i="68"/>
  <c r="B1382" i="68"/>
  <c r="E1382" i="68"/>
  <c r="E1381" i="68"/>
  <c r="D1381" i="68"/>
  <c r="B1381" i="68"/>
  <c r="C1381" i="68"/>
  <c r="E1378" i="68"/>
  <c r="D1378" i="68"/>
  <c r="B1378" i="68"/>
  <c r="C1378" i="68"/>
  <c r="F1377" i="68"/>
  <c r="E1377" i="68"/>
  <c r="D1377" i="68"/>
  <c r="C1377" i="68"/>
  <c r="B1377" i="68"/>
  <c r="F1376" i="68"/>
  <c r="D1376" i="68"/>
  <c r="E1376" i="68"/>
  <c r="F1375" i="68"/>
  <c r="D1375" i="68"/>
  <c r="C1375" i="68"/>
  <c r="B1375" i="68"/>
  <c r="E1375" i="68"/>
  <c r="F1374" i="68"/>
  <c r="E1374" i="68"/>
  <c r="D1374" i="68"/>
  <c r="C1374" i="68"/>
  <c r="B1374" i="68"/>
  <c r="F1373" i="68"/>
  <c r="D1373" i="68"/>
  <c r="E1373" i="68"/>
  <c r="E1372" i="68"/>
  <c r="D1372" i="68"/>
  <c r="B1372" i="68"/>
  <c r="C1372" i="68"/>
  <c r="F1369" i="68"/>
  <c r="D1369" i="68"/>
  <c r="C1369" i="68"/>
  <c r="B1369" i="68"/>
  <c r="E1369" i="68"/>
  <c r="E1368" i="68"/>
  <c r="D1368" i="68"/>
  <c r="B1368" i="68"/>
  <c r="C1368" i="68"/>
  <c r="F1367" i="68"/>
  <c r="E1367" i="68"/>
  <c r="D1367" i="68"/>
  <c r="C1367" i="68"/>
  <c r="B1367" i="68"/>
  <c r="F1365" i="68"/>
  <c r="D1365" i="68"/>
  <c r="C1365" i="68"/>
  <c r="B1365" i="68"/>
  <c r="E1365" i="68"/>
  <c r="E1363" i="68"/>
  <c r="D1363" i="68"/>
  <c r="B1363" i="68"/>
  <c r="C1363" i="68"/>
  <c r="F1362" i="68"/>
  <c r="E1362" i="68"/>
  <c r="D1362" i="68"/>
  <c r="C1362" i="68"/>
  <c r="B1362" i="68"/>
  <c r="F1361" i="68"/>
  <c r="F1360" i="68"/>
  <c r="D1360" i="68"/>
  <c r="C1360" i="68"/>
  <c r="B1360" i="68"/>
  <c r="E1360" i="68"/>
  <c r="E1359" i="68"/>
  <c r="D1359" i="68"/>
  <c r="B1359" i="68"/>
  <c r="C1359" i="68"/>
  <c r="F1352" i="68"/>
  <c r="D1352" i="68"/>
  <c r="C1352" i="68"/>
  <c r="B1352" i="68"/>
  <c r="E1352" i="68"/>
  <c r="E1351" i="68"/>
  <c r="D1351" i="68"/>
  <c r="B1351" i="68"/>
  <c r="C1351" i="68"/>
  <c r="F1350" i="68"/>
  <c r="D1350" i="68"/>
  <c r="C1350" i="68"/>
  <c r="B1350" i="68"/>
  <c r="E1350" i="68"/>
  <c r="E1349" i="68"/>
  <c r="D1349" i="68"/>
  <c r="B1349" i="68"/>
  <c r="C1349" i="68"/>
  <c r="E1346" i="68"/>
  <c r="D1346" i="68"/>
  <c r="B1346" i="68"/>
  <c r="C1346" i="68"/>
  <c r="F1344" i="68"/>
  <c r="F1343" i="68"/>
  <c r="E1343" i="68"/>
  <c r="D1343" i="68"/>
  <c r="C1343" i="68"/>
  <c r="B1343" i="68"/>
  <c r="E1340" i="68"/>
  <c r="D1340" i="68"/>
  <c r="B1340" i="68"/>
  <c r="C1340" i="68"/>
  <c r="F1339" i="68"/>
  <c r="E1339" i="68"/>
  <c r="D1339" i="68"/>
  <c r="C1339" i="68"/>
  <c r="B1339" i="68"/>
  <c r="F1337" i="68"/>
  <c r="D1337" i="68"/>
  <c r="C1337" i="68"/>
  <c r="B1337" i="68"/>
  <c r="E1337" i="68"/>
  <c r="E1336" i="68"/>
  <c r="D1336" i="68"/>
  <c r="B1336" i="68"/>
  <c r="C1336" i="68"/>
  <c r="F1334" i="68"/>
  <c r="E1334" i="68"/>
  <c r="D1334" i="68"/>
  <c r="C1334" i="68"/>
  <c r="B1334" i="68"/>
  <c r="F1333" i="68"/>
  <c r="F1332" i="68"/>
  <c r="D1332" i="68"/>
  <c r="C1332" i="68"/>
  <c r="B1332" i="68"/>
  <c r="E1332" i="68"/>
  <c r="E1331" i="68"/>
  <c r="D1331" i="68"/>
  <c r="B1331" i="68"/>
  <c r="D1259" i="68"/>
  <c r="E1259" i="68"/>
  <c r="E1256" i="68"/>
  <c r="D1255" i="68"/>
  <c r="F1254" i="68"/>
  <c r="E1254" i="68"/>
  <c r="D1254" i="68"/>
  <c r="C1254" i="68"/>
  <c r="B1254" i="68"/>
  <c r="F1252" i="68"/>
  <c r="E1252" i="68"/>
  <c r="D1252" i="68"/>
  <c r="C1252" i="68"/>
  <c r="B1252" i="68"/>
  <c r="F1249" i="68"/>
  <c r="E1249" i="68"/>
  <c r="D1249" i="68"/>
  <c r="C1249" i="68"/>
  <c r="B1249" i="68"/>
  <c r="D1247" i="68"/>
  <c r="E1247" i="68"/>
  <c r="F1245" i="68"/>
  <c r="E1245" i="68"/>
  <c r="D1245" i="68"/>
  <c r="C1245" i="68"/>
  <c r="B1245" i="68"/>
  <c r="F1243" i="68"/>
  <c r="D1243" i="68"/>
  <c r="C1243" i="68"/>
  <c r="B1243" i="68"/>
  <c r="E1243" i="68"/>
  <c r="C1236" i="68"/>
  <c r="F1233" i="68"/>
  <c r="E1233" i="68"/>
  <c r="D1233" i="68"/>
  <c r="C1233" i="68"/>
  <c r="B1233" i="68"/>
  <c r="F1229" i="68"/>
  <c r="D1229" i="68"/>
  <c r="C1229" i="68"/>
  <c r="B1229" i="68"/>
  <c r="E1229" i="68"/>
  <c r="D1228" i="68"/>
  <c r="F1227" i="68"/>
  <c r="E1227" i="68"/>
  <c r="D1227" i="68"/>
  <c r="C1227" i="68"/>
  <c r="B1227" i="68"/>
  <c r="F1226" i="68"/>
  <c r="D1226" i="68"/>
  <c r="B1226" i="68"/>
  <c r="E1226" i="68"/>
  <c r="F1223" i="68"/>
  <c r="C1223" i="68"/>
  <c r="E1223" i="68"/>
  <c r="D1222" i="68"/>
  <c r="C1222" i="68"/>
  <c r="B1222" i="68"/>
  <c r="E1222" i="68"/>
  <c r="F1221" i="68"/>
  <c r="D1221" i="68"/>
  <c r="C1221" i="68"/>
  <c r="C1220" i="68"/>
  <c r="D1220" i="68"/>
  <c r="D1218" i="68"/>
  <c r="F1217" i="68"/>
  <c r="E1217" i="68"/>
  <c r="D1217" i="68"/>
  <c r="C1217" i="68"/>
  <c r="B1217" i="68"/>
  <c r="C1210" i="68"/>
  <c r="C1207" i="68"/>
  <c r="C1206" i="68"/>
  <c r="D1206" i="68"/>
  <c r="F1203" i="68"/>
  <c r="E1203" i="68"/>
  <c r="C1202" i="68"/>
  <c r="E1201" i="68"/>
  <c r="C1201" i="68"/>
  <c r="F1201" i="68"/>
  <c r="D1199" i="68"/>
  <c r="B1198" i="68"/>
  <c r="E1196" i="68"/>
  <c r="E1194" i="68"/>
  <c r="C1194" i="68"/>
  <c r="F1194" i="68"/>
  <c r="E1193" i="68"/>
  <c r="C1193" i="68"/>
  <c r="F1193" i="68"/>
  <c r="E1191" i="68"/>
  <c r="C1191" i="68"/>
  <c r="F1191" i="68"/>
  <c r="F1190" i="68"/>
  <c r="E1190" i="68"/>
  <c r="C1190" i="68"/>
  <c r="D1189" i="68"/>
  <c r="C1189" i="68"/>
  <c r="E1187" i="68"/>
  <c r="C1187" i="68"/>
  <c r="F1187" i="68"/>
  <c r="F1186" i="68"/>
  <c r="C1186" i="68"/>
  <c r="D1185" i="68"/>
  <c r="C1185" i="68"/>
  <c r="E1184" i="68"/>
  <c r="B1184" i="68"/>
  <c r="E1183" i="68"/>
  <c r="C1183" i="68"/>
  <c r="F1183" i="68"/>
  <c r="F1182" i="68"/>
  <c r="C1182" i="68"/>
  <c r="E1182" i="68"/>
  <c r="C1181" i="68"/>
  <c r="E1180" i="68"/>
  <c r="B1180" i="68"/>
  <c r="E1179" i="68"/>
  <c r="C1179" i="68"/>
  <c r="F1179" i="68"/>
  <c r="C1178" i="68"/>
  <c r="C1177" i="68"/>
  <c r="D1177" i="68"/>
  <c r="B1176" i="68"/>
  <c r="E1175" i="68"/>
  <c r="C1175" i="68"/>
  <c r="F1175" i="68"/>
  <c r="F1174" i="68"/>
  <c r="E1174" i="68"/>
  <c r="E1171" i="68"/>
  <c r="C1171" i="68"/>
  <c r="F1171" i="68"/>
  <c r="F1170" i="68"/>
  <c r="D1169" i="68"/>
  <c r="E1168" i="68"/>
  <c r="C1168" i="68"/>
  <c r="B1168" i="68"/>
  <c r="E1167" i="68"/>
  <c r="C1167" i="68"/>
  <c r="C1166" i="68"/>
  <c r="D1165" i="68"/>
  <c r="C1165" i="68"/>
  <c r="E1165" i="68"/>
  <c r="B1164" i="68"/>
  <c r="B1154" i="68"/>
  <c r="D1154" i="68"/>
  <c r="D1153" i="68"/>
  <c r="C1153" i="68"/>
  <c r="E1153" i="68"/>
  <c r="F1152" i="68"/>
  <c r="E1152" i="68"/>
  <c r="C1152" i="68"/>
  <c r="B1152" i="68"/>
  <c r="D1152" i="68"/>
  <c r="E1151" i="68"/>
  <c r="D1151" i="68"/>
  <c r="E1150" i="68"/>
  <c r="E1149" i="68"/>
  <c r="C1149" i="68"/>
  <c r="F1148" i="68"/>
  <c r="E1148" i="68"/>
  <c r="B1148" i="68"/>
  <c r="D1148" i="68"/>
  <c r="E1146" i="68"/>
  <c r="C1146" i="68"/>
  <c r="D1146" i="68"/>
  <c r="E1145" i="68"/>
  <c r="D1145" i="68"/>
  <c r="C1145" i="68"/>
  <c r="F1144" i="68"/>
  <c r="E1144" i="68"/>
  <c r="B1144" i="68"/>
  <c r="D1144" i="68"/>
  <c r="E1143" i="68"/>
  <c r="E1142" i="68"/>
  <c r="C1142" i="68"/>
  <c r="D1142" i="68"/>
  <c r="F1139" i="68"/>
  <c r="E1139" i="68"/>
  <c r="C1139" i="68"/>
  <c r="B1139" i="68"/>
  <c r="D1139" i="68"/>
  <c r="E1138" i="68"/>
  <c r="E1137" i="68"/>
  <c r="C1137" i="68"/>
  <c r="F1136" i="68"/>
  <c r="E1136" i="68"/>
  <c r="B1136" i="68"/>
  <c r="D1136" i="68"/>
  <c r="F1134" i="68"/>
  <c r="C1134" i="68"/>
  <c r="B1134" i="68"/>
  <c r="D1134" i="68"/>
  <c r="C1133" i="68"/>
  <c r="E1132" i="68"/>
  <c r="C1132" i="68"/>
  <c r="D1132" i="68"/>
  <c r="E1131" i="68"/>
  <c r="F1128" i="68"/>
  <c r="E1128" i="68"/>
  <c r="D1128" i="68"/>
  <c r="C1128" i="68"/>
  <c r="B1128" i="68"/>
  <c r="E1127" i="68"/>
  <c r="D1127" i="68"/>
  <c r="B1127" i="68"/>
  <c r="F1127" i="68"/>
  <c r="F1126" i="68"/>
  <c r="E1126" i="68"/>
  <c r="B1126" i="68"/>
  <c r="D1126" i="68"/>
  <c r="C1125" i="68"/>
  <c r="B1125" i="68"/>
  <c r="E1124" i="68"/>
  <c r="D1124" i="68"/>
  <c r="B1124" i="68"/>
  <c r="C1124" i="68"/>
  <c r="E1123" i="68"/>
  <c r="D1123" i="68"/>
  <c r="B1123" i="68"/>
  <c r="F1123" i="68"/>
  <c r="B1122" i="68"/>
  <c r="D1122" i="68"/>
  <c r="E1121" i="68"/>
  <c r="D1121" i="68"/>
  <c r="B1121" i="68"/>
  <c r="E1120" i="68"/>
  <c r="D1120" i="68"/>
  <c r="B1120" i="68"/>
  <c r="F1120" i="68"/>
  <c r="F1047" i="68"/>
  <c r="E1047" i="68"/>
  <c r="D1047" i="68"/>
  <c r="C1047" i="68"/>
  <c r="B1047" i="68"/>
  <c r="F1046" i="68"/>
  <c r="D1046" i="68"/>
  <c r="C1046" i="68"/>
  <c r="B1046" i="68"/>
  <c r="E1045" i="68"/>
  <c r="D1045" i="68"/>
  <c r="B1045" i="68"/>
  <c r="F1045" i="68"/>
  <c r="F1044" i="68"/>
  <c r="E1044" i="68"/>
  <c r="D1044" i="68"/>
  <c r="C1044" i="68"/>
  <c r="B1044" i="68"/>
  <c r="F1043" i="68"/>
  <c r="F1042" i="68"/>
  <c r="D1042" i="68"/>
  <c r="C1042" i="68"/>
  <c r="B1042" i="68"/>
  <c r="E1041" i="68"/>
  <c r="B1041" i="68"/>
  <c r="F1040" i="68"/>
  <c r="E1040" i="68"/>
  <c r="D1040" i="68"/>
  <c r="C1040" i="68"/>
  <c r="B1040" i="68"/>
  <c r="F1039" i="68"/>
  <c r="E1039" i="68"/>
  <c r="F1038" i="68"/>
  <c r="D1038" i="68"/>
  <c r="C1038" i="68"/>
  <c r="B1038" i="68"/>
  <c r="E1037" i="68"/>
  <c r="D1037" i="68"/>
  <c r="B1037" i="68"/>
  <c r="F1036" i="68"/>
  <c r="E1036" i="68"/>
  <c r="D1036" i="68"/>
  <c r="C1036" i="68"/>
  <c r="B1036" i="68"/>
  <c r="F1035" i="68"/>
  <c r="F1032" i="68"/>
  <c r="E1032" i="68"/>
  <c r="D1032" i="68"/>
  <c r="C1032" i="68"/>
  <c r="B1032" i="68"/>
  <c r="F1031" i="68"/>
  <c r="F1030" i="68"/>
  <c r="D1030" i="68"/>
  <c r="C1030" i="68"/>
  <c r="B1030" i="68"/>
  <c r="E1029" i="68"/>
  <c r="D1029" i="68"/>
  <c r="F1028" i="68"/>
  <c r="E1028" i="68"/>
  <c r="D1028" i="68"/>
  <c r="C1028" i="68"/>
  <c r="B1028" i="68"/>
  <c r="F1027" i="68"/>
  <c r="F1026" i="68"/>
  <c r="D1026" i="68"/>
  <c r="C1026" i="68"/>
  <c r="B1026" i="68"/>
  <c r="E1024" i="68"/>
  <c r="F1023" i="68"/>
  <c r="E1023" i="68"/>
  <c r="D1023" i="68"/>
  <c r="C1023" i="68"/>
  <c r="B1023" i="68"/>
  <c r="B1020" i="68"/>
  <c r="E1020" i="68"/>
  <c r="F1019" i="68"/>
  <c r="E1019" i="68"/>
  <c r="D1019" i="68"/>
  <c r="C1019" i="68"/>
  <c r="B1019" i="68"/>
  <c r="F1018" i="68"/>
  <c r="E1018" i="68"/>
  <c r="F1017" i="68"/>
  <c r="D1017" i="68"/>
  <c r="C1017" i="68"/>
  <c r="B1017" i="68"/>
  <c r="E1016" i="68"/>
  <c r="D1016" i="68"/>
  <c r="B1016" i="68"/>
  <c r="F1015" i="68"/>
  <c r="E1015" i="68"/>
  <c r="D1015" i="68"/>
  <c r="C1015" i="68"/>
  <c r="B1015" i="68"/>
  <c r="F1014" i="68"/>
  <c r="F1013" i="68"/>
  <c r="D1013" i="68"/>
  <c r="C1013" i="68"/>
  <c r="B1013" i="68"/>
  <c r="E1012" i="68"/>
  <c r="D1012" i="68"/>
  <c r="F1011" i="68"/>
  <c r="E1011" i="68"/>
  <c r="D1011" i="68"/>
  <c r="C1011" i="68"/>
  <c r="B1011" i="68"/>
  <c r="F1003" i="68"/>
  <c r="E1003" i="68"/>
  <c r="D1003" i="68"/>
  <c r="C1003" i="68"/>
  <c r="B1003" i="68"/>
  <c r="F1002" i="68"/>
  <c r="F1001" i="68"/>
  <c r="D1001" i="68"/>
  <c r="C1001" i="68"/>
  <c r="B1001" i="68"/>
  <c r="E1000" i="68"/>
  <c r="D1000" i="68"/>
  <c r="F999" i="68"/>
  <c r="E999" i="68"/>
  <c r="D999" i="68"/>
  <c r="C999" i="68"/>
  <c r="B999" i="68"/>
  <c r="F998" i="68"/>
  <c r="F997" i="68"/>
  <c r="D997" i="68"/>
  <c r="C997" i="68"/>
  <c r="B997" i="68"/>
  <c r="E996" i="68"/>
  <c r="D996" i="68"/>
  <c r="F995" i="68"/>
  <c r="F994" i="68"/>
  <c r="D994" i="68"/>
  <c r="C994" i="68"/>
  <c r="B994" i="68"/>
  <c r="E993" i="68"/>
  <c r="F992" i="68"/>
  <c r="E992" i="68"/>
  <c r="D992" i="68"/>
  <c r="C992" i="68"/>
  <c r="B992" i="68"/>
  <c r="F991" i="68"/>
  <c r="E991" i="68"/>
  <c r="C991" i="68"/>
  <c r="F988" i="68"/>
  <c r="E988" i="68"/>
  <c r="D988" i="68"/>
  <c r="C988" i="68"/>
  <c r="B988" i="68"/>
  <c r="F987" i="68"/>
  <c r="E986" i="68"/>
  <c r="B986" i="68"/>
  <c r="F985" i="68"/>
  <c r="E985" i="68"/>
  <c r="D985" i="68"/>
  <c r="C985" i="68"/>
  <c r="B985" i="68"/>
  <c r="F984" i="68"/>
  <c r="E984" i="68"/>
  <c r="F983" i="68"/>
  <c r="D983" i="68"/>
  <c r="C983" i="68"/>
  <c r="E982" i="68"/>
  <c r="D982" i="68"/>
  <c r="F981" i="68"/>
  <c r="E981" i="68"/>
  <c r="D981" i="68"/>
  <c r="C981" i="68"/>
  <c r="B981" i="68"/>
  <c r="F980" i="68"/>
  <c r="F979" i="68"/>
  <c r="C979" i="68"/>
  <c r="E978" i="68"/>
  <c r="F977" i="68"/>
  <c r="E977" i="68"/>
  <c r="D977" i="68"/>
  <c r="C977" i="68"/>
  <c r="B977" i="68"/>
  <c r="E974" i="68"/>
  <c r="D974" i="68"/>
  <c r="B974" i="68"/>
  <c r="F973" i="68"/>
  <c r="E973" i="68"/>
  <c r="D973" i="68"/>
  <c r="C973" i="68"/>
  <c r="B973" i="68"/>
  <c r="F972" i="68"/>
  <c r="C972" i="68"/>
  <c r="F971" i="68"/>
  <c r="E970" i="68"/>
  <c r="B970" i="68"/>
  <c r="F969" i="68"/>
  <c r="E969" i="68"/>
  <c r="D969" i="68"/>
  <c r="C969" i="68"/>
  <c r="B969" i="68"/>
  <c r="F968" i="68"/>
  <c r="E968" i="68"/>
  <c r="F967" i="68"/>
  <c r="D967" i="68"/>
  <c r="C967" i="68"/>
  <c r="E966" i="68"/>
  <c r="D966" i="68"/>
  <c r="F965" i="68"/>
  <c r="E965" i="68"/>
  <c r="D965" i="68"/>
  <c r="C965" i="68"/>
  <c r="B965" i="68"/>
  <c r="E958" i="68"/>
  <c r="D958" i="68"/>
  <c r="B958" i="68"/>
  <c r="F957" i="68"/>
  <c r="E957" i="68"/>
  <c r="D957" i="68"/>
  <c r="C957" i="68"/>
  <c r="B957" i="68"/>
  <c r="F956" i="68"/>
  <c r="C956" i="68"/>
  <c r="F955" i="68"/>
  <c r="E954" i="68"/>
  <c r="B954" i="68"/>
  <c r="F953" i="68"/>
  <c r="E953" i="68"/>
  <c r="D953" i="68"/>
  <c r="C953" i="68"/>
  <c r="B953" i="68"/>
  <c r="F952" i="68"/>
  <c r="E952" i="68"/>
  <c r="F951" i="68"/>
  <c r="D951" i="68"/>
  <c r="C951" i="68"/>
  <c r="F950" i="68"/>
  <c r="E950" i="68"/>
  <c r="D950" i="68"/>
  <c r="C950" i="68"/>
  <c r="B950" i="68"/>
  <c r="B949" i="68"/>
  <c r="D948" i="68"/>
  <c r="C948" i="68"/>
  <c r="E948" i="68"/>
  <c r="E947" i="68"/>
  <c r="D947" i="68"/>
  <c r="B947" i="68"/>
  <c r="D944" i="68"/>
  <c r="C944" i="68"/>
  <c r="E944" i="68"/>
  <c r="C943" i="68"/>
  <c r="F942" i="68"/>
  <c r="E942" i="68"/>
  <c r="D942" i="68"/>
  <c r="C942" i="68"/>
  <c r="B942" i="68"/>
  <c r="E941" i="68"/>
  <c r="D941" i="68"/>
  <c r="B941" i="68"/>
  <c r="F941" i="68"/>
  <c r="E940" i="68"/>
  <c r="E939" i="68"/>
  <c r="D939" i="68"/>
  <c r="C939" i="68"/>
  <c r="F938" i="68"/>
  <c r="E938" i="68"/>
  <c r="D938" i="68"/>
  <c r="C938" i="68"/>
  <c r="B938" i="68"/>
  <c r="F936" i="68"/>
  <c r="E936" i="68"/>
  <c r="D936" i="68"/>
  <c r="C936" i="68"/>
  <c r="B936" i="68"/>
  <c r="F933" i="68"/>
  <c r="E933" i="68"/>
  <c r="D933" i="68"/>
  <c r="B933" i="68"/>
  <c r="C933" i="68"/>
  <c r="F932" i="68"/>
  <c r="E932" i="68"/>
  <c r="D932" i="68"/>
  <c r="C932" i="68"/>
  <c r="B932" i="68"/>
  <c r="F931" i="68"/>
  <c r="D931" i="68"/>
  <c r="C931" i="68"/>
  <c r="E931" i="68"/>
  <c r="D930" i="68"/>
  <c r="C930" i="68"/>
  <c r="E930" i="68"/>
  <c r="C929" i="68"/>
  <c r="F928" i="68"/>
  <c r="E928" i="68"/>
  <c r="D928" i="68"/>
  <c r="C928" i="68"/>
  <c r="B928" i="68"/>
  <c r="E927" i="68"/>
  <c r="E926" i="68"/>
  <c r="D926" i="68"/>
  <c r="C926" i="68"/>
  <c r="F925" i="68"/>
  <c r="E925" i="68"/>
  <c r="D925" i="68"/>
  <c r="C925" i="68"/>
  <c r="B925" i="68"/>
  <c r="F918" i="68"/>
  <c r="E918" i="68"/>
  <c r="D918" i="68"/>
  <c r="B918" i="68"/>
  <c r="C918" i="68"/>
  <c r="D915" i="68"/>
  <c r="C915" i="68"/>
  <c r="E915" i="68"/>
  <c r="C914" i="68"/>
  <c r="F913" i="68"/>
  <c r="E913" i="68"/>
  <c r="D913" i="68"/>
  <c r="C913" i="68"/>
  <c r="B913" i="68"/>
  <c r="E912" i="68"/>
  <c r="D912" i="68"/>
  <c r="B912" i="68"/>
  <c r="F912" i="68"/>
  <c r="E911" i="68"/>
  <c r="E910" i="68"/>
  <c r="D910" i="68"/>
  <c r="C910" i="68"/>
  <c r="F909" i="68"/>
  <c r="E909" i="68"/>
  <c r="D909" i="68"/>
  <c r="C909" i="68"/>
  <c r="B909" i="68"/>
  <c r="E908" i="68"/>
  <c r="D908" i="68"/>
  <c r="C908" i="68"/>
  <c r="B908" i="68"/>
  <c r="F908" i="68"/>
  <c r="F907" i="68"/>
  <c r="D907" i="68"/>
  <c r="E907" i="68"/>
  <c r="F906" i="68"/>
  <c r="E906" i="68"/>
  <c r="B906" i="68"/>
  <c r="C906" i="68"/>
  <c r="F903" i="68"/>
  <c r="D903" i="68"/>
  <c r="C903" i="68"/>
  <c r="B903" i="68"/>
  <c r="E903" i="68"/>
  <c r="F902" i="68"/>
  <c r="E902" i="68"/>
  <c r="D902" i="68"/>
  <c r="B902" i="68"/>
  <c r="C902" i="68"/>
  <c r="F901" i="68"/>
  <c r="E901" i="68"/>
  <c r="D901" i="68"/>
  <c r="C901" i="68"/>
  <c r="B901" i="68"/>
  <c r="F900" i="68"/>
  <c r="D900" i="68"/>
  <c r="C900" i="68"/>
  <c r="E900" i="68"/>
  <c r="D899" i="68"/>
  <c r="C899" i="68"/>
  <c r="E899" i="68"/>
  <c r="C898" i="68"/>
  <c r="F897" i="68"/>
  <c r="E897" i="68"/>
  <c r="D897" i="68"/>
  <c r="C897" i="68"/>
  <c r="B897" i="68"/>
  <c r="E896" i="68"/>
  <c r="D896" i="68"/>
  <c r="B896" i="68"/>
  <c r="F896" i="68"/>
  <c r="E895" i="68"/>
  <c r="F894" i="68"/>
  <c r="E894" i="68"/>
  <c r="D894" i="68"/>
  <c r="C894" i="68"/>
  <c r="B894" i="68"/>
  <c r="E893" i="68"/>
  <c r="D893" i="68"/>
  <c r="C893" i="68"/>
  <c r="B893" i="68"/>
  <c r="F893" i="68"/>
  <c r="F892" i="68"/>
  <c r="E892" i="68"/>
  <c r="D892" i="68"/>
  <c r="C892" i="68"/>
  <c r="B892" i="68"/>
  <c r="F889" i="68"/>
  <c r="E889" i="68"/>
  <c r="D889" i="68"/>
  <c r="B889" i="68"/>
  <c r="C889" i="68"/>
  <c r="F888" i="68"/>
  <c r="E888" i="68"/>
  <c r="D888" i="68"/>
  <c r="C888" i="68"/>
  <c r="B888" i="68"/>
  <c r="F887" i="68"/>
  <c r="D887" i="68"/>
  <c r="C887" i="68"/>
  <c r="E887" i="68"/>
  <c r="D886" i="68"/>
  <c r="C886" i="68"/>
  <c r="E886" i="68"/>
  <c r="C885" i="68"/>
  <c r="E884" i="68"/>
  <c r="D884" i="68"/>
  <c r="F884" i="68"/>
  <c r="F883" i="68"/>
  <c r="E883" i="68"/>
  <c r="D883" i="68"/>
  <c r="C883" i="68"/>
  <c r="B883" i="68"/>
  <c r="C882" i="68"/>
  <c r="E882" i="68"/>
  <c r="C881" i="68"/>
  <c r="C874" i="68"/>
  <c r="E874" i="68"/>
  <c r="C873" i="68"/>
  <c r="F872" i="68"/>
  <c r="E872" i="68"/>
  <c r="D872" i="68"/>
  <c r="C872" i="68"/>
  <c r="B872" i="68"/>
  <c r="C871" i="68"/>
  <c r="E871" i="68"/>
  <c r="C870" i="68"/>
  <c r="E869" i="68"/>
  <c r="D869" i="68"/>
  <c r="F869" i="68"/>
  <c r="F868" i="68"/>
  <c r="E868" i="68"/>
  <c r="D868" i="68"/>
  <c r="C868" i="68"/>
  <c r="B868" i="68"/>
  <c r="C867" i="68"/>
  <c r="E867" i="68"/>
  <c r="C866" i="68"/>
  <c r="C865" i="68"/>
  <c r="E864" i="68"/>
  <c r="D864" i="68"/>
  <c r="F864" i="68"/>
  <c r="F863" i="68"/>
  <c r="E863" i="68"/>
  <c r="D863" i="68"/>
  <c r="C863" i="68"/>
  <c r="B863" i="68"/>
  <c r="C862" i="68"/>
  <c r="E862" i="68"/>
  <c r="C861" i="68"/>
  <c r="F860" i="68"/>
  <c r="E860" i="68"/>
  <c r="D860" i="68"/>
  <c r="C860" i="68"/>
  <c r="B860" i="68"/>
  <c r="E857" i="68"/>
  <c r="D857" i="68"/>
  <c r="F857" i="68"/>
  <c r="C856" i="68"/>
  <c r="E856" i="68"/>
  <c r="C855" i="68"/>
  <c r="E854" i="68"/>
  <c r="D854" i="68"/>
  <c r="F854" i="68"/>
  <c r="F853" i="68"/>
  <c r="E853" i="68"/>
  <c r="D853" i="68"/>
  <c r="C853" i="68"/>
  <c r="B853" i="68"/>
  <c r="C852" i="68"/>
  <c r="E852" i="68"/>
  <c r="C851" i="68"/>
  <c r="E850" i="68"/>
  <c r="D850" i="68"/>
  <c r="F850" i="68"/>
  <c r="F849" i="68"/>
  <c r="E849" i="68"/>
  <c r="D849" i="68"/>
  <c r="C849" i="68"/>
  <c r="B849" i="68"/>
  <c r="C848" i="68"/>
  <c r="F847" i="68"/>
  <c r="E847" i="68"/>
  <c r="D847" i="68"/>
  <c r="C847" i="68"/>
  <c r="B847" i="68"/>
  <c r="E844" i="68"/>
  <c r="D844" i="68"/>
  <c r="F844" i="68"/>
  <c r="F843" i="68"/>
  <c r="E843" i="68"/>
  <c r="D843" i="68"/>
  <c r="C843" i="68"/>
  <c r="B843" i="68"/>
  <c r="C842" i="68"/>
  <c r="E842" i="68"/>
  <c r="C841" i="68"/>
  <c r="E840" i="68"/>
  <c r="D840" i="68"/>
  <c r="F840" i="68"/>
  <c r="F839" i="68"/>
  <c r="E839" i="68"/>
  <c r="D839" i="68"/>
  <c r="C839" i="68"/>
  <c r="B839" i="68"/>
  <c r="C838" i="68"/>
  <c r="E838" i="68"/>
  <c r="C837" i="68"/>
  <c r="E836" i="68"/>
  <c r="D836" i="68"/>
  <c r="F836" i="68"/>
  <c r="F835" i="68"/>
  <c r="C835" i="68"/>
  <c r="C834" i="68"/>
  <c r="C833" i="68"/>
  <c r="F832" i="68"/>
  <c r="F831" i="68"/>
  <c r="C831" i="68"/>
  <c r="C830" i="68"/>
  <c r="C829" i="68"/>
  <c r="C827" i="68"/>
  <c r="C812" i="68"/>
  <c r="F780" i="68"/>
  <c r="E780" i="68"/>
  <c r="D780" i="68"/>
  <c r="C780" i="68"/>
  <c r="B780" i="68"/>
  <c r="E777" i="68"/>
  <c r="D777" i="68"/>
  <c r="F777" i="68"/>
  <c r="F776" i="68"/>
  <c r="E776" i="68"/>
  <c r="D776" i="68"/>
  <c r="C776" i="68"/>
  <c r="B776" i="68"/>
  <c r="E774" i="68"/>
  <c r="D774" i="68"/>
  <c r="F774" i="68"/>
  <c r="F773" i="68"/>
  <c r="E773" i="68"/>
  <c r="D773" i="68"/>
  <c r="C773" i="68"/>
  <c r="B773" i="68"/>
  <c r="E769" i="68"/>
  <c r="D769" i="68"/>
  <c r="F769" i="68"/>
  <c r="C768" i="68"/>
  <c r="E766" i="68"/>
  <c r="D766" i="68"/>
  <c r="F766" i="68"/>
  <c r="E762" i="68"/>
  <c r="D762" i="68"/>
  <c r="F762" i="68"/>
  <c r="F761" i="68"/>
  <c r="E761" i="68"/>
  <c r="D761" i="68"/>
  <c r="C761" i="68"/>
  <c r="B761" i="68"/>
  <c r="E759" i="68"/>
  <c r="D759" i="68"/>
  <c r="F759" i="68"/>
  <c r="C758" i="68"/>
  <c r="E756" i="68"/>
  <c r="D756" i="68"/>
  <c r="F756" i="68"/>
  <c r="F749" i="68"/>
  <c r="F746" i="68"/>
  <c r="F745" i="68"/>
  <c r="E745" i="68"/>
  <c r="D745" i="68"/>
  <c r="E744" i="68"/>
  <c r="D744" i="68"/>
  <c r="C744" i="68"/>
  <c r="B744" i="68"/>
  <c r="B743" i="68"/>
  <c r="F743" i="68"/>
  <c r="B742" i="68"/>
  <c r="F742" i="68"/>
  <c r="F741" i="68"/>
  <c r="F740" i="68"/>
  <c r="E740" i="68"/>
  <c r="D740" i="68"/>
  <c r="E737" i="68"/>
  <c r="D737" i="68"/>
  <c r="F736" i="68"/>
  <c r="E735" i="68"/>
  <c r="D735" i="68"/>
  <c r="C734" i="68"/>
  <c r="B734" i="68"/>
  <c r="F733" i="68"/>
  <c r="F730" i="68"/>
  <c r="E730" i="68"/>
  <c r="D730" i="68"/>
  <c r="F729" i="68"/>
  <c r="E729" i="68"/>
  <c r="D729" i="68"/>
  <c r="C729" i="68"/>
  <c r="B729" i="68"/>
  <c r="D728" i="68"/>
  <c r="C728" i="68"/>
  <c r="B728" i="68"/>
  <c r="F727" i="68"/>
  <c r="F726" i="68"/>
  <c r="E726" i="68"/>
  <c r="D726" i="68"/>
  <c r="F725" i="68"/>
  <c r="E725" i="68"/>
  <c r="D725" i="68"/>
  <c r="C725" i="68"/>
  <c r="B725" i="68"/>
  <c r="D724" i="68"/>
  <c r="C724" i="68"/>
  <c r="B724" i="68"/>
  <c r="B723" i="68"/>
  <c r="F722" i="68"/>
  <c r="E722" i="68"/>
  <c r="D722" i="68"/>
  <c r="F721" i="68"/>
  <c r="E721" i="68"/>
  <c r="D721" i="68"/>
  <c r="C721" i="68"/>
  <c r="B721" i="68"/>
  <c r="F714" i="68"/>
  <c r="E713" i="68"/>
  <c r="D713" i="68"/>
  <c r="C713" i="68"/>
  <c r="B713" i="68"/>
  <c r="F712" i="68"/>
  <c r="E712" i="68"/>
  <c r="D712" i="68"/>
  <c r="E711" i="68"/>
  <c r="D711" i="68"/>
  <c r="C711" i="68"/>
  <c r="B711" i="68"/>
  <c r="B710" i="68"/>
  <c r="F710" i="68"/>
  <c r="F709" i="68"/>
  <c r="F706" i="68"/>
  <c r="D706" i="68"/>
  <c r="C706" i="68"/>
  <c r="F705" i="68"/>
  <c r="E705" i="68"/>
  <c r="D705" i="68"/>
  <c r="C705" i="68"/>
  <c r="B705" i="68"/>
  <c r="F704" i="68"/>
  <c r="B704" i="68"/>
  <c r="E704" i="68"/>
  <c r="F701" i="68"/>
  <c r="F700" i="68"/>
  <c r="E700" i="68"/>
  <c r="D700" i="68"/>
  <c r="E699" i="68"/>
  <c r="D699" i="68"/>
  <c r="C699" i="68"/>
  <c r="B699" i="68"/>
  <c r="F698" i="68"/>
  <c r="F697" i="68"/>
  <c r="F696" i="68"/>
  <c r="E696" i="68"/>
  <c r="D696" i="68"/>
  <c r="E695" i="68"/>
  <c r="D695" i="68"/>
  <c r="C695" i="68"/>
  <c r="B695" i="68"/>
  <c r="F694" i="68"/>
  <c r="F693" i="68"/>
  <c r="F692" i="68"/>
  <c r="E692" i="68"/>
  <c r="D692" i="68"/>
  <c r="E691" i="68"/>
  <c r="D691" i="68"/>
  <c r="C691" i="68"/>
  <c r="B691" i="68"/>
  <c r="F638" i="68"/>
  <c r="E638" i="68"/>
  <c r="D638" i="68"/>
  <c r="C638" i="68"/>
  <c r="B638" i="68"/>
  <c r="F637" i="68"/>
  <c r="F630" i="68"/>
  <c r="B630" i="68"/>
  <c r="D630" i="68"/>
  <c r="F627" i="68"/>
  <c r="D627" i="68"/>
  <c r="E627" i="68"/>
  <c r="F626" i="68"/>
  <c r="D626" i="68"/>
  <c r="B626" i="68"/>
  <c r="C626" i="68"/>
  <c r="F623" i="68"/>
  <c r="C623" i="68"/>
  <c r="E623" i="68"/>
  <c r="E622" i="68"/>
  <c r="D622" i="68"/>
  <c r="E621" i="68"/>
  <c r="D621" i="68"/>
  <c r="C621" i="68"/>
  <c r="B621" i="68"/>
  <c r="F621" i="68"/>
  <c r="F620" i="68"/>
  <c r="E619" i="68"/>
  <c r="D619" i="68"/>
  <c r="F609" i="68"/>
  <c r="B609" i="68"/>
  <c r="E609" i="68"/>
  <c r="F608" i="68"/>
  <c r="E608" i="68"/>
  <c r="D608" i="68"/>
  <c r="C608" i="68"/>
  <c r="B608" i="68"/>
  <c r="F607" i="68"/>
  <c r="F606" i="68"/>
  <c r="B606" i="68"/>
  <c r="E606" i="68"/>
  <c r="F605" i="68"/>
  <c r="E605" i="68"/>
  <c r="D605" i="68"/>
  <c r="C605" i="68"/>
  <c r="F604" i="68"/>
  <c r="E604" i="68"/>
  <c r="D604" i="68"/>
  <c r="C604" i="68"/>
  <c r="B604" i="68"/>
  <c r="F603" i="68"/>
  <c r="F602" i="68"/>
  <c r="B602" i="68"/>
  <c r="E602" i="68"/>
  <c r="F601" i="68"/>
  <c r="E601" i="68"/>
  <c r="D601" i="68"/>
  <c r="C601" i="68"/>
  <c r="F600" i="68"/>
  <c r="E597" i="68"/>
  <c r="D597" i="68"/>
  <c r="C597" i="68"/>
  <c r="F596" i="68"/>
  <c r="F595" i="68"/>
  <c r="B595" i="68"/>
  <c r="E595" i="68"/>
  <c r="E594" i="68"/>
  <c r="D594" i="68"/>
  <c r="C594" i="68"/>
  <c r="F591" i="68"/>
  <c r="B591" i="68"/>
  <c r="E591" i="68"/>
  <c r="F590" i="68"/>
  <c r="E590" i="68"/>
  <c r="D590" i="68"/>
  <c r="C590" i="68"/>
  <c r="F589" i="68"/>
  <c r="E589" i="68"/>
  <c r="D589" i="68"/>
  <c r="C589" i="68"/>
  <c r="B589" i="68"/>
  <c r="D588" i="68"/>
  <c r="B588" i="68"/>
  <c r="F588" i="68"/>
  <c r="F587" i="68"/>
  <c r="B587" i="68"/>
  <c r="E587" i="68"/>
  <c r="F586" i="68"/>
  <c r="E586" i="68"/>
  <c r="D586" i="68"/>
  <c r="C586" i="68"/>
  <c r="F584" i="68"/>
  <c r="E584" i="68"/>
  <c r="D584" i="68"/>
  <c r="C584" i="68"/>
  <c r="B584" i="68"/>
  <c r="F583" i="68"/>
  <c r="B583" i="68"/>
  <c r="E583" i="68"/>
  <c r="F530" i="68"/>
  <c r="B530" i="68"/>
  <c r="E530" i="68"/>
  <c r="F529" i="68"/>
  <c r="F528" i="68"/>
  <c r="B528" i="68"/>
  <c r="E528" i="68"/>
  <c r="E527" i="68"/>
  <c r="D527" i="68"/>
  <c r="C527" i="68"/>
  <c r="C524" i="68"/>
  <c r="B524" i="68"/>
  <c r="E523" i="68"/>
  <c r="D523" i="68"/>
  <c r="F520" i="68"/>
  <c r="E520" i="68"/>
  <c r="D520" i="68"/>
  <c r="B520" i="68"/>
  <c r="C520" i="68"/>
  <c r="E519" i="68"/>
  <c r="D519" i="68"/>
  <c r="C519" i="68"/>
  <c r="B519" i="68"/>
  <c r="F519" i="68"/>
  <c r="C518" i="68"/>
  <c r="B518" i="68"/>
  <c r="F517" i="68"/>
  <c r="F516" i="68"/>
  <c r="E516" i="68"/>
  <c r="D516" i="68"/>
  <c r="B516" i="68"/>
  <c r="C516" i="68"/>
  <c r="E515" i="68"/>
  <c r="D515" i="68"/>
  <c r="C515" i="68"/>
  <c r="B515" i="68"/>
  <c r="F515" i="68"/>
  <c r="F508" i="68"/>
  <c r="E508" i="68"/>
  <c r="C508" i="68"/>
  <c r="B508" i="68"/>
  <c r="D508" i="68"/>
  <c r="E507" i="68"/>
  <c r="C507" i="68"/>
  <c r="D507" i="68"/>
  <c r="C506" i="68"/>
  <c r="B506" i="68"/>
  <c r="E505" i="68"/>
  <c r="C505" i="68"/>
  <c r="D505" i="68"/>
  <c r="C504" i="68"/>
  <c r="B504" i="68"/>
  <c r="F503" i="68"/>
  <c r="F502" i="68"/>
  <c r="E502" i="68"/>
  <c r="C502" i="68"/>
  <c r="B502" i="68"/>
  <c r="D502" i="68"/>
  <c r="E501" i="68"/>
  <c r="C501" i="68"/>
  <c r="D501" i="68"/>
  <c r="C500" i="68"/>
  <c r="B500" i="68"/>
  <c r="F497" i="68"/>
  <c r="E497" i="68"/>
  <c r="C497" i="68"/>
  <c r="B497" i="68"/>
  <c r="D497" i="68"/>
  <c r="E496" i="68"/>
  <c r="C496" i="68"/>
  <c r="D496" i="68"/>
  <c r="F495" i="68"/>
  <c r="E492" i="68"/>
  <c r="D492" i="68"/>
  <c r="B484" i="68"/>
  <c r="F484" i="68"/>
  <c r="F483" i="68"/>
  <c r="E483" i="68"/>
  <c r="C483" i="68"/>
  <c r="D483" i="68"/>
  <c r="F482" i="68"/>
  <c r="F481" i="68"/>
  <c r="E481" i="68"/>
  <c r="C481" i="68"/>
  <c r="D481" i="68"/>
  <c r="F480" i="68"/>
  <c r="C480" i="68"/>
  <c r="B480" i="68"/>
  <c r="F479" i="68"/>
  <c r="E478" i="68"/>
  <c r="B478" i="68"/>
  <c r="F478" i="68"/>
  <c r="F477" i="68"/>
  <c r="E477" i="68"/>
  <c r="C477" i="68"/>
  <c r="D477" i="68"/>
  <c r="F476" i="68"/>
  <c r="C476" i="68"/>
  <c r="B476" i="68"/>
  <c r="F475" i="68"/>
  <c r="E474" i="68"/>
  <c r="B474" i="68"/>
  <c r="F474" i="68"/>
  <c r="F471" i="68"/>
  <c r="F470" i="68"/>
  <c r="E470" i="68"/>
  <c r="C470" i="68"/>
  <c r="B470" i="68"/>
  <c r="D470" i="68"/>
  <c r="C469" i="68"/>
  <c r="B469" i="68"/>
  <c r="F466" i="68"/>
  <c r="F465" i="68"/>
  <c r="C465" i="68"/>
  <c r="B465" i="68"/>
  <c r="D465" i="68"/>
  <c r="D464" i="68"/>
  <c r="B464" i="68"/>
  <c r="F463" i="68"/>
  <c r="E463" i="68"/>
  <c r="D463" i="68"/>
  <c r="C463" i="68"/>
  <c r="B463" i="68"/>
  <c r="E462" i="68"/>
  <c r="D462" i="68"/>
  <c r="F462" i="68"/>
  <c r="F461" i="68"/>
  <c r="C461" i="68"/>
  <c r="B461" i="68"/>
  <c r="D461" i="68"/>
  <c r="D460" i="68"/>
  <c r="B460" i="68"/>
  <c r="F459" i="68"/>
  <c r="E459" i="68"/>
  <c r="D459" i="68"/>
  <c r="C459" i="68"/>
  <c r="B459" i="68"/>
  <c r="D458" i="68"/>
  <c r="F458" i="68"/>
  <c r="F457" i="68"/>
  <c r="C457" i="68"/>
  <c r="B457" i="68"/>
  <c r="D457" i="68"/>
  <c r="F449" i="68"/>
  <c r="D449" i="68"/>
  <c r="C449" i="68"/>
  <c r="B449" i="68"/>
  <c r="E449" i="68"/>
  <c r="F446" i="68"/>
  <c r="C446" i="68"/>
  <c r="E446" i="68"/>
  <c r="E445" i="68"/>
  <c r="D445" i="68"/>
  <c r="C445" i="68"/>
  <c r="B445" i="68"/>
  <c r="F445" i="68"/>
  <c r="Z445" i="68" s="1"/>
  <c r="AB445" i="68" s="1"/>
  <c r="F444" i="68"/>
  <c r="C444" i="68"/>
  <c r="E444" i="68"/>
  <c r="F443" i="68"/>
  <c r="Z443" i="68" s="1"/>
  <c r="AB443" i="68" s="1"/>
  <c r="E442" i="68"/>
  <c r="D442" i="68"/>
  <c r="C442" i="68"/>
  <c r="E441" i="68"/>
  <c r="D441" i="68"/>
  <c r="C441" i="68"/>
  <c r="B441" i="68"/>
  <c r="F441" i="68"/>
  <c r="Z441" i="68" s="1"/>
  <c r="AB441" i="68" s="1"/>
  <c r="F440" i="68"/>
  <c r="C440" i="68"/>
  <c r="E440" i="68"/>
  <c r="F437" i="68"/>
  <c r="Z437" i="68" s="1"/>
  <c r="AB437" i="68" s="1"/>
  <c r="E437" i="68"/>
  <c r="C437" i="68"/>
  <c r="B437" i="68"/>
  <c r="D437" i="68"/>
  <c r="F436" i="68"/>
  <c r="Z436" i="68" s="1"/>
  <c r="AB436" i="68" s="1"/>
  <c r="D436" i="68"/>
  <c r="B436" i="68"/>
  <c r="D435" i="68"/>
  <c r="B435" i="68"/>
  <c r="F435" i="68"/>
  <c r="Z435" i="68" s="1"/>
  <c r="AB435" i="68" s="1"/>
  <c r="D434" i="68"/>
  <c r="B434" i="68"/>
  <c r="F434" i="68"/>
  <c r="Z434" i="68" s="1"/>
  <c r="AB434" i="68" s="1"/>
  <c r="F431" i="68"/>
  <c r="Z431" i="68" s="1"/>
  <c r="B431" i="68"/>
  <c r="E431" i="68"/>
  <c r="F430" i="68"/>
  <c r="Z430" i="68" s="1"/>
  <c r="E430" i="68"/>
  <c r="D430" i="68"/>
  <c r="C430" i="68"/>
  <c r="F429" i="68"/>
  <c r="Z429" i="68" s="1"/>
  <c r="E429" i="68"/>
  <c r="D429" i="68"/>
  <c r="C429" i="68"/>
  <c r="B429" i="68"/>
  <c r="F428" i="68"/>
  <c r="Z428" i="68" s="1"/>
  <c r="F427" i="68"/>
  <c r="Z427" i="68" s="1"/>
  <c r="B427" i="68"/>
  <c r="E427" i="68"/>
  <c r="F426" i="68"/>
  <c r="Z426" i="68" s="1"/>
  <c r="E426" i="68"/>
  <c r="D426" i="68"/>
  <c r="C426" i="68"/>
  <c r="F425" i="68"/>
  <c r="Z425" i="68" s="1"/>
  <c r="E425" i="68"/>
  <c r="D425" i="68"/>
  <c r="C425" i="68"/>
  <c r="B425" i="68"/>
  <c r="F424" i="68"/>
  <c r="Z424" i="68" s="1"/>
  <c r="F423" i="68"/>
  <c r="Z423" i="68" s="1"/>
  <c r="B423" i="68"/>
  <c r="E423" i="68"/>
  <c r="F371" i="68"/>
  <c r="F370" i="68"/>
  <c r="E370" i="68"/>
  <c r="D370" i="68"/>
  <c r="E369" i="68"/>
  <c r="D369" i="68"/>
  <c r="C369" i="68"/>
  <c r="B369" i="68"/>
  <c r="F368" i="68"/>
  <c r="F367" i="68"/>
  <c r="E364" i="68"/>
  <c r="D364" i="68"/>
  <c r="C364" i="68"/>
  <c r="F357" i="68"/>
  <c r="C357" i="68"/>
  <c r="B357" i="68"/>
  <c r="E357" i="68"/>
  <c r="E356" i="68"/>
  <c r="D356" i="68"/>
  <c r="F355" i="68"/>
  <c r="D355" i="68"/>
  <c r="C355" i="68"/>
  <c r="B355" i="68"/>
  <c r="E355" i="68"/>
  <c r="F354" i="68"/>
  <c r="C354" i="68"/>
  <c r="B354" i="68"/>
  <c r="E354" i="68"/>
  <c r="F353" i="68"/>
  <c r="F352" i="68"/>
  <c r="C352" i="68"/>
  <c r="B352" i="68"/>
  <c r="E352" i="68"/>
  <c r="E351" i="68"/>
  <c r="D351" i="68"/>
  <c r="F350" i="68"/>
  <c r="E350" i="68"/>
  <c r="D350" i="68"/>
  <c r="C350" i="68"/>
  <c r="B350" i="68"/>
  <c r="F347" i="68"/>
  <c r="E347" i="68"/>
  <c r="C347" i="68"/>
  <c r="B347" i="68"/>
  <c r="D347" i="68"/>
  <c r="F346" i="68"/>
  <c r="F343" i="68"/>
  <c r="F342" i="68"/>
  <c r="E342" i="68"/>
  <c r="D342" i="68"/>
  <c r="F341" i="68"/>
  <c r="E341" i="68"/>
  <c r="D341" i="68"/>
  <c r="C341" i="68"/>
  <c r="B341" i="68"/>
  <c r="B340" i="68"/>
  <c r="F340" i="68"/>
  <c r="B339" i="68"/>
  <c r="F339" i="68"/>
  <c r="F338" i="68"/>
  <c r="E338" i="68"/>
  <c r="D338" i="68"/>
  <c r="F337" i="68"/>
  <c r="E337" i="68"/>
  <c r="D337" i="68"/>
  <c r="C337" i="68"/>
  <c r="B337" i="68"/>
  <c r="B336" i="68"/>
  <c r="F336" i="68"/>
  <c r="B335" i="68"/>
  <c r="F335" i="68"/>
  <c r="F334" i="68"/>
  <c r="E334" i="68"/>
  <c r="D334" i="68"/>
  <c r="F327" i="68"/>
  <c r="F326" i="68"/>
  <c r="E325" i="68"/>
  <c r="F325" i="68"/>
  <c r="F322" i="68"/>
  <c r="F321" i="68"/>
  <c r="C321" i="68"/>
  <c r="D321" i="68"/>
  <c r="E320" i="68"/>
  <c r="D320" i="68"/>
  <c r="B320" i="68"/>
  <c r="E319" i="68"/>
  <c r="D319" i="68"/>
  <c r="C319" i="68"/>
  <c r="B319" i="68"/>
  <c r="F319" i="68"/>
  <c r="F312" i="68"/>
  <c r="F309" i="68"/>
  <c r="F308" i="68"/>
  <c r="E308" i="68"/>
  <c r="D308" i="68"/>
  <c r="E307" i="68"/>
  <c r="D307" i="68"/>
  <c r="C307" i="68"/>
  <c r="B307" i="68"/>
  <c r="F306" i="68"/>
  <c r="F305" i="68"/>
  <c r="E305" i="68"/>
  <c r="D305" i="68"/>
  <c r="E304" i="68"/>
  <c r="D304" i="68"/>
  <c r="C304" i="68"/>
  <c r="B304" i="68"/>
  <c r="E303" i="68"/>
  <c r="D303" i="68"/>
  <c r="C303" i="68"/>
  <c r="B303" i="68"/>
  <c r="B302" i="68"/>
  <c r="F302" i="68"/>
  <c r="F301" i="68"/>
  <c r="F298" i="68"/>
  <c r="D297" i="68"/>
  <c r="B297" i="68"/>
  <c r="D296" i="68"/>
  <c r="C296" i="68"/>
  <c r="B296" i="68"/>
  <c r="F296" i="68"/>
  <c r="F295" i="68"/>
  <c r="F294" i="68"/>
  <c r="E294" i="68"/>
  <c r="D294" i="68"/>
  <c r="C294" i="68"/>
  <c r="B294" i="68"/>
  <c r="D293" i="68"/>
  <c r="B293" i="68"/>
  <c r="D292" i="68"/>
  <c r="C292" i="68"/>
  <c r="B292" i="68"/>
  <c r="F292" i="68"/>
  <c r="F291" i="68"/>
  <c r="E291" i="68"/>
  <c r="D291" i="68"/>
  <c r="C291" i="68"/>
  <c r="B291" i="68"/>
  <c r="E290" i="68"/>
  <c r="D290" i="68"/>
  <c r="B290" i="68"/>
  <c r="D289" i="68"/>
  <c r="C289" i="68"/>
  <c r="B289" i="68"/>
  <c r="F289" i="68"/>
  <c r="F288" i="68"/>
  <c r="F285" i="68"/>
  <c r="F284" i="68"/>
  <c r="E284" i="68"/>
  <c r="D284" i="68"/>
  <c r="F283" i="68"/>
  <c r="E283" i="68"/>
  <c r="D283" i="68"/>
  <c r="C283" i="68"/>
  <c r="B283" i="68"/>
  <c r="B282" i="68"/>
  <c r="F282" i="68"/>
  <c r="F281" i="68"/>
  <c r="F280" i="68"/>
  <c r="E280" i="68"/>
  <c r="D280" i="68"/>
  <c r="F279" i="68"/>
  <c r="E279" i="68"/>
  <c r="D279" i="68"/>
  <c r="C279" i="68"/>
  <c r="B279" i="68"/>
  <c r="B278" i="68"/>
  <c r="F278" i="68"/>
  <c r="F225" i="68"/>
  <c r="F224" i="68"/>
  <c r="E224" i="68"/>
  <c r="D224" i="68"/>
  <c r="C224" i="68"/>
  <c r="D223" i="68"/>
  <c r="C223" i="68"/>
  <c r="B223" i="68"/>
  <c r="F223" i="68"/>
  <c r="F220" i="68"/>
  <c r="F219" i="68"/>
  <c r="E219" i="68"/>
  <c r="D219" i="68"/>
  <c r="C219" i="68"/>
  <c r="B219" i="68"/>
  <c r="F216" i="68"/>
  <c r="E216" i="68"/>
  <c r="D216" i="68"/>
  <c r="B216" i="68"/>
  <c r="C216" i="68"/>
  <c r="E215" i="68"/>
  <c r="D215" i="68"/>
  <c r="C215" i="68"/>
  <c r="B215" i="68"/>
  <c r="F215" i="68"/>
  <c r="C214" i="68"/>
  <c r="B214" i="68"/>
  <c r="F213" i="68"/>
  <c r="F212" i="68"/>
  <c r="E212" i="68"/>
  <c r="D212" i="68"/>
  <c r="B212" i="68"/>
  <c r="C212" i="68"/>
  <c r="F205" i="68"/>
  <c r="E204" i="68"/>
  <c r="D204" i="68"/>
  <c r="C204" i="68"/>
  <c r="B204" i="68"/>
  <c r="C203" i="68"/>
  <c r="B203" i="68"/>
  <c r="F203" i="68"/>
  <c r="F202" i="68"/>
  <c r="F201" i="68"/>
  <c r="E201" i="68"/>
  <c r="D201" i="68"/>
  <c r="E200" i="68"/>
  <c r="D200" i="68"/>
  <c r="C200" i="68"/>
  <c r="B200" i="68"/>
  <c r="C199" i="68"/>
  <c r="B199" i="68"/>
  <c r="F199" i="68"/>
  <c r="F196" i="68"/>
  <c r="F193" i="68"/>
  <c r="E192" i="68"/>
  <c r="D192" i="68"/>
  <c r="C192" i="68"/>
  <c r="B192" i="68"/>
  <c r="C191" i="68"/>
  <c r="B191" i="68"/>
  <c r="F190" i="68"/>
  <c r="E189" i="68"/>
  <c r="F189" i="68"/>
  <c r="E188" i="68"/>
  <c r="D188" i="68"/>
  <c r="C188" i="68"/>
  <c r="B188" i="68"/>
  <c r="F181" i="68"/>
  <c r="C180" i="68"/>
  <c r="B180" i="68"/>
  <c r="F180" i="68"/>
  <c r="F179" i="68"/>
  <c r="E179" i="68"/>
  <c r="D179" i="68"/>
  <c r="E178" i="68"/>
  <c r="D178" i="68"/>
  <c r="C178" i="68"/>
  <c r="B178" i="68"/>
  <c r="C177" i="68"/>
  <c r="B177" i="68"/>
  <c r="F177" i="68"/>
  <c r="F176" i="68"/>
  <c r="F175" i="68"/>
  <c r="E175" i="68"/>
  <c r="D175" i="68"/>
  <c r="F172" i="68"/>
  <c r="B172" i="68"/>
  <c r="E172" i="68"/>
  <c r="F171" i="68"/>
  <c r="E171" i="68"/>
  <c r="D171" i="68"/>
  <c r="C171" i="68"/>
  <c r="B170" i="68"/>
  <c r="F167" i="68"/>
  <c r="E167" i="68"/>
  <c r="C167" i="68"/>
  <c r="B167" i="68"/>
  <c r="D167" i="68"/>
  <c r="F166" i="68"/>
  <c r="C166" i="68"/>
  <c r="D166" i="68"/>
  <c r="D165" i="68"/>
  <c r="B165" i="68"/>
  <c r="E164" i="68"/>
  <c r="D164" i="68"/>
  <c r="C164" i="68"/>
  <c r="B164" i="68"/>
  <c r="F164" i="68"/>
  <c r="F163" i="68"/>
  <c r="E163" i="68"/>
  <c r="C163" i="68"/>
  <c r="B163" i="68"/>
  <c r="D163" i="68"/>
  <c r="F162" i="68"/>
  <c r="C162" i="68"/>
  <c r="D162" i="68"/>
  <c r="D161" i="68"/>
  <c r="B161" i="68"/>
  <c r="E160" i="68"/>
  <c r="D160" i="68"/>
  <c r="C160" i="68"/>
  <c r="B160" i="68"/>
  <c r="F160" i="68"/>
  <c r="F153" i="68"/>
  <c r="F151" i="68"/>
  <c r="E151" i="68"/>
  <c r="D151" i="68"/>
  <c r="F148" i="68"/>
  <c r="E146" i="68"/>
  <c r="D146" i="68"/>
  <c r="F143" i="68"/>
  <c r="E143" i="68"/>
  <c r="D143" i="68"/>
  <c r="C143" i="68"/>
  <c r="B143" i="68"/>
  <c r="D142" i="68"/>
  <c r="B141" i="68"/>
  <c r="F140" i="68"/>
  <c r="F138" i="68"/>
  <c r="E138" i="68"/>
  <c r="D138" i="68"/>
  <c r="C138" i="68"/>
  <c r="B138" i="68"/>
  <c r="E130" i="68"/>
  <c r="B130" i="68"/>
  <c r="F130" i="68"/>
  <c r="F127" i="68"/>
  <c r="F126" i="68"/>
  <c r="F125" i="68"/>
  <c r="F124" i="68"/>
  <c r="E124" i="68"/>
  <c r="D124" i="68"/>
  <c r="C124" i="68"/>
  <c r="F123" i="68"/>
  <c r="E123" i="68"/>
  <c r="D123" i="68"/>
  <c r="C123" i="68"/>
  <c r="B123" i="68"/>
  <c r="F122" i="68"/>
  <c r="F121" i="68"/>
  <c r="F120" i="68"/>
  <c r="E120" i="68"/>
  <c r="D120" i="68"/>
  <c r="C120" i="68"/>
  <c r="F119" i="68"/>
  <c r="E119" i="68"/>
  <c r="D119" i="68"/>
  <c r="C119" i="68"/>
  <c r="B119" i="68"/>
  <c r="F118" i="68"/>
  <c r="F115" i="68"/>
  <c r="E115" i="68"/>
  <c r="D115" i="68"/>
  <c r="C115" i="68"/>
  <c r="B115" i="68"/>
  <c r="B114" i="68"/>
  <c r="F114" i="68"/>
  <c r="D113" i="68"/>
  <c r="F113" i="68"/>
  <c r="F110" i="68"/>
  <c r="D110" i="68"/>
  <c r="E110" i="68"/>
  <c r="F109" i="68"/>
  <c r="E109" i="68"/>
  <c r="D109" i="68"/>
  <c r="B109" i="68"/>
  <c r="C109" i="68"/>
  <c r="F108" i="68"/>
  <c r="E108" i="68"/>
  <c r="D108" i="68"/>
  <c r="C108" i="68"/>
  <c r="B108" i="68"/>
  <c r="F107" i="68"/>
  <c r="F106" i="68"/>
  <c r="D106" i="68"/>
  <c r="E106" i="68"/>
  <c r="F105" i="68"/>
  <c r="E105" i="68"/>
  <c r="D105" i="68"/>
  <c r="B105" i="68"/>
  <c r="C105" i="68"/>
  <c r="F104" i="68"/>
  <c r="E104" i="68"/>
  <c r="D104" i="68"/>
  <c r="C104" i="68"/>
  <c r="B104" i="68"/>
  <c r="F103" i="68"/>
  <c r="F102" i="68"/>
  <c r="D102" i="68"/>
  <c r="E102" i="68"/>
  <c r="F101" i="68"/>
  <c r="E101" i="68"/>
  <c r="D101" i="68"/>
  <c r="B101" i="68"/>
  <c r="C101" i="68"/>
  <c r="F94" i="68"/>
  <c r="F93" i="68"/>
  <c r="E93" i="68"/>
  <c r="C93" i="68"/>
  <c r="D93" i="68"/>
  <c r="E92" i="68"/>
  <c r="D92" i="68"/>
  <c r="B92" i="68"/>
  <c r="D91" i="68"/>
  <c r="C91" i="68"/>
  <c r="B91" i="68"/>
  <c r="F91" i="68"/>
  <c r="F90" i="68"/>
  <c r="F89" i="68"/>
  <c r="E89" i="68"/>
  <c r="C89" i="68"/>
  <c r="D89" i="68"/>
  <c r="D88" i="68"/>
  <c r="C88" i="68"/>
  <c r="B88" i="68"/>
  <c r="F88" i="68"/>
  <c r="F87" i="68"/>
  <c r="E87" i="68"/>
  <c r="C87" i="68"/>
  <c r="D87" i="68"/>
  <c r="E86" i="68"/>
  <c r="D86" i="68"/>
  <c r="B86" i="68"/>
  <c r="D85" i="68"/>
  <c r="C85" i="68"/>
  <c r="B85" i="68"/>
  <c r="F85" i="68"/>
  <c r="F84" i="68"/>
  <c r="F83" i="68"/>
  <c r="E83" i="68"/>
  <c r="C83" i="68"/>
  <c r="D83" i="68"/>
  <c r="E82" i="68"/>
  <c r="D82" i="68"/>
  <c r="B82" i="68"/>
  <c r="D81" i="68"/>
  <c r="C81" i="68"/>
  <c r="B81" i="68"/>
  <c r="F81" i="68"/>
  <c r="F80" i="68"/>
  <c r="F79" i="68"/>
  <c r="E79" i="68"/>
  <c r="C79" i="68"/>
  <c r="D79" i="68"/>
  <c r="E78" i="68"/>
  <c r="D78" i="68"/>
  <c r="B78" i="68"/>
  <c r="D77" i="68"/>
  <c r="C77" i="68"/>
  <c r="B77" i="68"/>
  <c r="F77" i="68"/>
  <c r="F76" i="68"/>
  <c r="F75" i="68"/>
  <c r="E75" i="68"/>
  <c r="C75" i="68"/>
  <c r="D75" i="68"/>
  <c r="E74" i="68"/>
  <c r="D74" i="68"/>
  <c r="B74" i="68"/>
  <c r="F72" i="68"/>
  <c r="F71" i="68"/>
  <c r="E71" i="68"/>
  <c r="C71" i="68"/>
  <c r="D71" i="68"/>
  <c r="F70" i="68"/>
  <c r="F69" i="68"/>
  <c r="E69" i="68"/>
  <c r="C69" i="68"/>
  <c r="D69" i="68"/>
  <c r="D67" i="68"/>
  <c r="C67" i="68"/>
  <c r="B67" i="68"/>
  <c r="F67" i="68"/>
  <c r="F64" i="68"/>
  <c r="E64" i="68"/>
  <c r="D64" i="68"/>
  <c r="B64" i="68"/>
  <c r="F63" i="68"/>
  <c r="F62" i="68"/>
  <c r="E62" i="68"/>
  <c r="C62" i="68"/>
  <c r="D62" i="68"/>
  <c r="F61" i="68"/>
  <c r="E61" i="68"/>
  <c r="D61" i="68"/>
  <c r="B61" i="68"/>
  <c r="D60" i="68"/>
  <c r="C60" i="68"/>
  <c r="B60" i="68"/>
  <c r="F60" i="68"/>
  <c r="F59" i="68"/>
  <c r="F58" i="68"/>
  <c r="E58" i="68"/>
  <c r="C58" i="68"/>
  <c r="D58" i="68"/>
  <c r="F57" i="68"/>
  <c r="E57" i="68"/>
  <c r="D57" i="68"/>
  <c r="B57" i="68"/>
  <c r="D56" i="68"/>
  <c r="C56" i="68"/>
  <c r="B56" i="68"/>
  <c r="F56" i="68"/>
  <c r="F55" i="68"/>
  <c r="F54" i="68"/>
  <c r="E54" i="68"/>
  <c r="C54" i="68"/>
  <c r="D54" i="68"/>
  <c r="D53" i="68"/>
  <c r="C53" i="68"/>
  <c r="B53" i="68"/>
  <c r="F53" i="68"/>
  <c r="F52" i="68"/>
  <c r="F51" i="68"/>
  <c r="E51" i="68"/>
  <c r="C51" i="68"/>
  <c r="D51" i="68"/>
  <c r="F50" i="68"/>
  <c r="F49" i="68"/>
  <c r="E49" i="68"/>
  <c r="C49" i="68"/>
  <c r="D49" i="68"/>
  <c r="F48" i="68"/>
  <c r="E48" i="68"/>
  <c r="D48" i="68"/>
  <c r="B48" i="68"/>
  <c r="D47" i="68"/>
  <c r="C47" i="68"/>
  <c r="B47" i="68"/>
  <c r="F47" i="68"/>
  <c r="F46" i="68"/>
  <c r="F45" i="68"/>
  <c r="E45" i="68"/>
  <c r="C45" i="68"/>
  <c r="D45" i="68"/>
  <c r="F44" i="68"/>
  <c r="E44" i="68"/>
  <c r="D44" i="68"/>
  <c r="B44" i="68"/>
  <c r="D43" i="68"/>
  <c r="C43" i="68"/>
  <c r="B43" i="68"/>
  <c r="F43" i="68"/>
  <c r="F42" i="68"/>
  <c r="F41" i="68"/>
  <c r="E41" i="68"/>
  <c r="C41" i="68"/>
  <c r="D41" i="68"/>
  <c r="F40" i="68"/>
  <c r="E40" i="68"/>
  <c r="D40" i="68"/>
  <c r="B40" i="68"/>
  <c r="F39" i="68"/>
  <c r="E39" i="68"/>
  <c r="D39" i="68"/>
  <c r="B39" i="68"/>
  <c r="D38" i="68"/>
  <c r="C38" i="68"/>
  <c r="B38" i="68"/>
  <c r="F38" i="68"/>
  <c r="F37" i="68"/>
  <c r="F36" i="68"/>
  <c r="E36" i="68"/>
  <c r="C36" i="68"/>
  <c r="D36" i="68"/>
  <c r="E35" i="68"/>
  <c r="D35" i="68"/>
  <c r="B35" i="68"/>
  <c r="D34" i="68"/>
  <c r="C34" i="68"/>
  <c r="B34" i="68"/>
  <c r="F34" i="68"/>
  <c r="F33" i="68"/>
  <c r="F32" i="68"/>
  <c r="E32" i="68"/>
  <c r="C32" i="68"/>
  <c r="D32" i="68"/>
  <c r="F31" i="68"/>
  <c r="E31" i="68"/>
  <c r="D31" i="68"/>
  <c r="B31" i="68"/>
  <c r="D30" i="68"/>
  <c r="C30" i="68"/>
  <c r="B30" i="68"/>
  <c r="F30" i="68"/>
  <c r="F29" i="68"/>
  <c r="F28" i="68"/>
  <c r="E28" i="68"/>
  <c r="C28" i="68"/>
  <c r="D28" i="68"/>
  <c r="F27" i="68"/>
  <c r="E27" i="68"/>
  <c r="D27" i="68"/>
  <c r="B27" i="68"/>
  <c r="D26" i="68"/>
  <c r="C26" i="68"/>
  <c r="B26" i="68"/>
  <c r="F26" i="68"/>
  <c r="F25" i="68"/>
  <c r="F24" i="68"/>
  <c r="E24" i="68"/>
  <c r="C24" i="68"/>
  <c r="D24" i="68"/>
  <c r="F23" i="68"/>
  <c r="E23" i="68"/>
  <c r="D23" i="68"/>
  <c r="B23" i="68"/>
  <c r="D22" i="68"/>
  <c r="C22" i="68"/>
  <c r="B22" i="68"/>
  <c r="F22" i="68"/>
  <c r="F21" i="68"/>
  <c r="F20" i="68"/>
  <c r="E20" i="68"/>
  <c r="C20" i="68"/>
  <c r="D20" i="68"/>
  <c r="F19" i="68"/>
  <c r="E19" i="68"/>
  <c r="D19" i="68"/>
  <c r="B19" i="68"/>
  <c r="D18" i="68"/>
  <c r="C18" i="68"/>
  <c r="B18" i="68"/>
  <c r="F18" i="68"/>
  <c r="F17" i="68"/>
  <c r="F16" i="68"/>
  <c r="E16" i="68"/>
  <c r="C16" i="68"/>
  <c r="D16" i="68"/>
  <c r="F15" i="68"/>
  <c r="E15" i="68"/>
  <c r="D15" i="68"/>
  <c r="B15" i="68"/>
  <c r="D14" i="68"/>
  <c r="C14" i="68"/>
  <c r="B14" i="68"/>
  <c r="F14" i="68"/>
  <c r="F13" i="68"/>
  <c r="F12" i="68"/>
  <c r="E12" i="68"/>
  <c r="C12" i="68"/>
  <c r="D12" i="68"/>
  <c r="F11" i="68"/>
  <c r="Z11" i="68" s="1"/>
  <c r="E11" i="68"/>
  <c r="D11" i="68"/>
  <c r="B11" i="68"/>
  <c r="F10" i="68"/>
  <c r="D10" i="68"/>
  <c r="E10" i="68"/>
  <c r="C10" i="68"/>
  <c r="U1779" i="39"/>
  <c r="T1779" i="39"/>
  <c r="U1778" i="39"/>
  <c r="T1778" i="39"/>
  <c r="U1777" i="39"/>
  <c r="T1777" i="39"/>
  <c r="U1776" i="39"/>
  <c r="T1776" i="39"/>
  <c r="U1775" i="39"/>
  <c r="T1775" i="39"/>
  <c r="U1774" i="39"/>
  <c r="T1774" i="39"/>
  <c r="U1773" i="39"/>
  <c r="T1773" i="39"/>
  <c r="U1772" i="39"/>
  <c r="T1772" i="39"/>
  <c r="U1771" i="39"/>
  <c r="T1771" i="39"/>
  <c r="U1770" i="39"/>
  <c r="T1770" i="39"/>
  <c r="U1769" i="39"/>
  <c r="T1769" i="39"/>
  <c r="U1768" i="39"/>
  <c r="T1768" i="39"/>
  <c r="U1767" i="39"/>
  <c r="T1767" i="39"/>
  <c r="U1766" i="39"/>
  <c r="T1766" i="39"/>
  <c r="U1765" i="39"/>
  <c r="T1765" i="39"/>
  <c r="U1764" i="39"/>
  <c r="T1764" i="39"/>
  <c r="U1763" i="39"/>
  <c r="T1763" i="39"/>
  <c r="U1762" i="39"/>
  <c r="T1762" i="39"/>
  <c r="U1761" i="39"/>
  <c r="T1761" i="39"/>
  <c r="U1760" i="39"/>
  <c r="T1760" i="39"/>
  <c r="U1759" i="39"/>
  <c r="T1759" i="39"/>
  <c r="U1758" i="39"/>
  <c r="T1758" i="39"/>
  <c r="U1757" i="39"/>
  <c r="T1757" i="39"/>
  <c r="U1756" i="39"/>
  <c r="T1756" i="39"/>
  <c r="U1755" i="39"/>
  <c r="T1755" i="39"/>
  <c r="U1754" i="39"/>
  <c r="T1754" i="39"/>
  <c r="U1753" i="39"/>
  <c r="T1753" i="39"/>
  <c r="U1752" i="39"/>
  <c r="T1752" i="39"/>
  <c r="U1751" i="39"/>
  <c r="T1751" i="39"/>
  <c r="U1750" i="39"/>
  <c r="T1750" i="39"/>
  <c r="U1749" i="39"/>
  <c r="T1749" i="39"/>
  <c r="U1748" i="39"/>
  <c r="T1748" i="39"/>
  <c r="U1747" i="39"/>
  <c r="T1747" i="39"/>
  <c r="U1746" i="39"/>
  <c r="T1746" i="39"/>
  <c r="U1745" i="39"/>
  <c r="T1745" i="39"/>
  <c r="U1744" i="39"/>
  <c r="T1744" i="39"/>
  <c r="U1743" i="39"/>
  <c r="T1743" i="39"/>
  <c r="U1742" i="39"/>
  <c r="T1742" i="39"/>
  <c r="U1741" i="39"/>
  <c r="T1741" i="39"/>
  <c r="U1740" i="39"/>
  <c r="T1740" i="39"/>
  <c r="U1739" i="39"/>
  <c r="T1739" i="39"/>
  <c r="U1738" i="39"/>
  <c r="T1738" i="39"/>
  <c r="U1737" i="39"/>
  <c r="T1737" i="39"/>
  <c r="U1736" i="39"/>
  <c r="T1736" i="39"/>
  <c r="U1735" i="39"/>
  <c r="T1735" i="39"/>
  <c r="U1734" i="39"/>
  <c r="T1734" i="39"/>
  <c r="U1733" i="39"/>
  <c r="T1733" i="39"/>
  <c r="U1732" i="39"/>
  <c r="T1732" i="39"/>
  <c r="U1731" i="39"/>
  <c r="T1731" i="39"/>
  <c r="U1730" i="39"/>
  <c r="T1730" i="39"/>
  <c r="U1729" i="39"/>
  <c r="T1729" i="39"/>
  <c r="U1728" i="39"/>
  <c r="T1728" i="39"/>
  <c r="U1727" i="39"/>
  <c r="T1727" i="39"/>
  <c r="U1726" i="39"/>
  <c r="T1726" i="39"/>
  <c r="U1725" i="39"/>
  <c r="T1725" i="39"/>
  <c r="U1724" i="39"/>
  <c r="T1724" i="39"/>
  <c r="U1723" i="39"/>
  <c r="T1723" i="39"/>
  <c r="U1722" i="39"/>
  <c r="T1722" i="39"/>
  <c r="U1721" i="39"/>
  <c r="T1721" i="39"/>
  <c r="U1720" i="39"/>
  <c r="T1720" i="39"/>
  <c r="U1719" i="39"/>
  <c r="T1719" i="39"/>
  <c r="U1718" i="39"/>
  <c r="T1718" i="39"/>
  <c r="U1717" i="39"/>
  <c r="T1717" i="39"/>
  <c r="U1716" i="39"/>
  <c r="T1716" i="39"/>
  <c r="U1715" i="39"/>
  <c r="T1715" i="39"/>
  <c r="U1714" i="39"/>
  <c r="T1714" i="39"/>
  <c r="U1713" i="39"/>
  <c r="T1713" i="39"/>
  <c r="U1712" i="39"/>
  <c r="T1712" i="39"/>
  <c r="U1711" i="39"/>
  <c r="T1711" i="39"/>
  <c r="U1710" i="39"/>
  <c r="T1710" i="39"/>
  <c r="U1709" i="39"/>
  <c r="T1709" i="39"/>
  <c r="U1708" i="39"/>
  <c r="T1708" i="39"/>
  <c r="U1707" i="39"/>
  <c r="T1707" i="39"/>
  <c r="U1706" i="39"/>
  <c r="T1706" i="39"/>
  <c r="U1705" i="39"/>
  <c r="T1705" i="39"/>
  <c r="U1704" i="39"/>
  <c r="T1704" i="39"/>
  <c r="U1703" i="39"/>
  <c r="T1703" i="39"/>
  <c r="U1702" i="39"/>
  <c r="T1702" i="39"/>
  <c r="U1701" i="39"/>
  <c r="T1701" i="39"/>
  <c r="U1700" i="39"/>
  <c r="T1700" i="39"/>
  <c r="U1699" i="39"/>
  <c r="T1699" i="39"/>
  <c r="U1698" i="39"/>
  <c r="T1698" i="39"/>
  <c r="U1697" i="39"/>
  <c r="T1697" i="39"/>
  <c r="U1696" i="39"/>
  <c r="T1696" i="39"/>
  <c r="U1695" i="39"/>
  <c r="T1695" i="39"/>
  <c r="U1694" i="39"/>
  <c r="T1694" i="39"/>
  <c r="U1693" i="39"/>
  <c r="T1693" i="39"/>
  <c r="U1692" i="39"/>
  <c r="T1692" i="39"/>
  <c r="U1691" i="39"/>
  <c r="T1691" i="39"/>
  <c r="U1690" i="39"/>
  <c r="T1690" i="39"/>
  <c r="U1689" i="39"/>
  <c r="T1689" i="39"/>
  <c r="U1688" i="39"/>
  <c r="T1688" i="39"/>
  <c r="U1687" i="39"/>
  <c r="T1687" i="39"/>
  <c r="U1686" i="39"/>
  <c r="T1686" i="39"/>
  <c r="U1685" i="39"/>
  <c r="T1685" i="39"/>
  <c r="U1684" i="39"/>
  <c r="T1684" i="39"/>
  <c r="U1683" i="39"/>
  <c r="T1683" i="39"/>
  <c r="U1682" i="39"/>
  <c r="T1682" i="39"/>
  <c r="U1681" i="39"/>
  <c r="T1681" i="39"/>
  <c r="U1680" i="39"/>
  <c r="T1680" i="39"/>
  <c r="U1679" i="39"/>
  <c r="T1679" i="39"/>
  <c r="U1678" i="39"/>
  <c r="T1678" i="39"/>
  <c r="U1677" i="39"/>
  <c r="T1677" i="39"/>
  <c r="U1676" i="39"/>
  <c r="T1676" i="39"/>
  <c r="U1675" i="39"/>
  <c r="T1675" i="39"/>
  <c r="U1674" i="39"/>
  <c r="T1674" i="39"/>
  <c r="U1673" i="39"/>
  <c r="T1673" i="39"/>
  <c r="U1672" i="39"/>
  <c r="T1672" i="39"/>
  <c r="U1671" i="39"/>
  <c r="T1671" i="39"/>
  <c r="U1670" i="39"/>
  <c r="T1670" i="39"/>
  <c r="U1669" i="39"/>
  <c r="T1669" i="39"/>
  <c r="U1668" i="39"/>
  <c r="T1668" i="39"/>
  <c r="U1667" i="39"/>
  <c r="T1667" i="39"/>
  <c r="U1666" i="39"/>
  <c r="T1666" i="39"/>
  <c r="U1665" i="39"/>
  <c r="T1665" i="39"/>
  <c r="U1664" i="39"/>
  <c r="T1664" i="39"/>
  <c r="U1663" i="39"/>
  <c r="T1663" i="39"/>
  <c r="U1662" i="39"/>
  <c r="T1662" i="39"/>
  <c r="U1661" i="39"/>
  <c r="T1661" i="39"/>
  <c r="U1660" i="39"/>
  <c r="T1660" i="39"/>
  <c r="U1659" i="39"/>
  <c r="T1659" i="39"/>
  <c r="U1658" i="39"/>
  <c r="T1658" i="39"/>
  <c r="U1657" i="39"/>
  <c r="T1657" i="39"/>
  <c r="U1656" i="39"/>
  <c r="T1656" i="39"/>
  <c r="U1655" i="39"/>
  <c r="T1655" i="39"/>
  <c r="U1654" i="39"/>
  <c r="T1654" i="39"/>
  <c r="U1653" i="39"/>
  <c r="T1653" i="39"/>
  <c r="U1652" i="39"/>
  <c r="T1652" i="39"/>
  <c r="U1651" i="39"/>
  <c r="T1651" i="39"/>
  <c r="U1650" i="39"/>
  <c r="T1650" i="39"/>
  <c r="U1649" i="39"/>
  <c r="T1649" i="39"/>
  <c r="U1648" i="39"/>
  <c r="T1648" i="39"/>
  <c r="U1647" i="39"/>
  <c r="T1647" i="39"/>
  <c r="U1646" i="39"/>
  <c r="T1646" i="39"/>
  <c r="U1645" i="39"/>
  <c r="T1645" i="39"/>
  <c r="U1644" i="39"/>
  <c r="T1644" i="39"/>
  <c r="U1643" i="39"/>
  <c r="T1643" i="39"/>
  <c r="U1642" i="39"/>
  <c r="T1642" i="39"/>
  <c r="U1641" i="39"/>
  <c r="T1641" i="39"/>
  <c r="U1640" i="39"/>
  <c r="T1640" i="39"/>
  <c r="U1639" i="39"/>
  <c r="T1639" i="39"/>
  <c r="U1638" i="39"/>
  <c r="T1638" i="39"/>
  <c r="U1637" i="39"/>
  <c r="T1637" i="39"/>
  <c r="U1636" i="39"/>
  <c r="T1636" i="39"/>
  <c r="U1635" i="39"/>
  <c r="T1635" i="39"/>
  <c r="U1634" i="39"/>
  <c r="T1634" i="39"/>
  <c r="U1633" i="39"/>
  <c r="T1633" i="39"/>
  <c r="U1632" i="39"/>
  <c r="T1632" i="39"/>
  <c r="U1631" i="39"/>
  <c r="T1631" i="39"/>
  <c r="U1630" i="39"/>
  <c r="T1630" i="39"/>
  <c r="U1629" i="39"/>
  <c r="T1629" i="39"/>
  <c r="U1628" i="39"/>
  <c r="T1628" i="39"/>
  <c r="U1627" i="39"/>
  <c r="T1627" i="39"/>
  <c r="U1626" i="39"/>
  <c r="T1626" i="39"/>
  <c r="U1625" i="39"/>
  <c r="T1625" i="39"/>
  <c r="U1624" i="39"/>
  <c r="T1624" i="39"/>
  <c r="U1623" i="39"/>
  <c r="T1623" i="39"/>
  <c r="U1622" i="39"/>
  <c r="T1622" i="39"/>
  <c r="U1621" i="39"/>
  <c r="T1621" i="39"/>
  <c r="U1620" i="39"/>
  <c r="T1620" i="39"/>
  <c r="U1619" i="39"/>
  <c r="T1619" i="39"/>
  <c r="U1618" i="39"/>
  <c r="T1618" i="39"/>
  <c r="U1617" i="39"/>
  <c r="T1617" i="39"/>
  <c r="U1616" i="39"/>
  <c r="T1616" i="39"/>
  <c r="U1615" i="39"/>
  <c r="T1615" i="39"/>
  <c r="U1614" i="39"/>
  <c r="T1614" i="39"/>
  <c r="U1613" i="39"/>
  <c r="T1613" i="39"/>
  <c r="U1612" i="39"/>
  <c r="T1612" i="39"/>
  <c r="U1611" i="39"/>
  <c r="T1611" i="39"/>
  <c r="U1610" i="39"/>
  <c r="T1610" i="39"/>
  <c r="U1609" i="39"/>
  <c r="T1609" i="39"/>
  <c r="U1608" i="39"/>
  <c r="T1608" i="39"/>
  <c r="U1607" i="39"/>
  <c r="T1607" i="39"/>
  <c r="U1606" i="39"/>
  <c r="T1606" i="39"/>
  <c r="U1605" i="39"/>
  <c r="T1605" i="39"/>
  <c r="U1604" i="39"/>
  <c r="T1604" i="39"/>
  <c r="U1603" i="39"/>
  <c r="T1603" i="39"/>
  <c r="U1602" i="39"/>
  <c r="T1602" i="39"/>
  <c r="U1601" i="39"/>
  <c r="T1601" i="39"/>
  <c r="U1600" i="39"/>
  <c r="T1600" i="39"/>
  <c r="U1599" i="39"/>
  <c r="T1599" i="39"/>
  <c r="U1598" i="39"/>
  <c r="T1598" i="39"/>
  <c r="U1597" i="39"/>
  <c r="T1597" i="39"/>
  <c r="U1596" i="39"/>
  <c r="T1596" i="39"/>
  <c r="U1595" i="39"/>
  <c r="T1595" i="39"/>
  <c r="U1594" i="39"/>
  <c r="T1594" i="39"/>
  <c r="U1593" i="39"/>
  <c r="T1593" i="39"/>
  <c r="U1592" i="39"/>
  <c r="T1592" i="39"/>
  <c r="U1591" i="39"/>
  <c r="T1591" i="39"/>
  <c r="U1590" i="39"/>
  <c r="T1590" i="39"/>
  <c r="U1589" i="39"/>
  <c r="T1589" i="39"/>
  <c r="U1588" i="39"/>
  <c r="T1588" i="39"/>
  <c r="U1587" i="39"/>
  <c r="T1587" i="39"/>
  <c r="U1586" i="39"/>
  <c r="T1586" i="39"/>
  <c r="U1585" i="39"/>
  <c r="T1585" i="39"/>
  <c r="U1584" i="39"/>
  <c r="T1584" i="39"/>
  <c r="U1583" i="39"/>
  <c r="T1583" i="39"/>
  <c r="U1582" i="39"/>
  <c r="T1582" i="39"/>
  <c r="U1581" i="39"/>
  <c r="T1581" i="39"/>
  <c r="U1580" i="39"/>
  <c r="T1580" i="39"/>
  <c r="U1579" i="39"/>
  <c r="T1579" i="39"/>
  <c r="U1578" i="39"/>
  <c r="T1578" i="39"/>
  <c r="U1577" i="39"/>
  <c r="T1577" i="39"/>
  <c r="U1576" i="39"/>
  <c r="T1576" i="39"/>
  <c r="U1575" i="39"/>
  <c r="T1575" i="39"/>
  <c r="U1574" i="39"/>
  <c r="T1574" i="39"/>
  <c r="U1573" i="39"/>
  <c r="T1573" i="39"/>
  <c r="U1572" i="39"/>
  <c r="T1572" i="39"/>
  <c r="U1571" i="39"/>
  <c r="T1571" i="39"/>
  <c r="U1570" i="39"/>
  <c r="T1570" i="39"/>
  <c r="U1569" i="39"/>
  <c r="T1569" i="39"/>
  <c r="U1568" i="39"/>
  <c r="T1568" i="39"/>
  <c r="U1567" i="39"/>
  <c r="T1567" i="39"/>
  <c r="U1566" i="39"/>
  <c r="T1566" i="39"/>
  <c r="U1565" i="39"/>
  <c r="T1565" i="39"/>
  <c r="U1564" i="39"/>
  <c r="T1564" i="39"/>
  <c r="U1563" i="39"/>
  <c r="T1563" i="39"/>
  <c r="U1562" i="39"/>
  <c r="T1562" i="39"/>
  <c r="U1561" i="39"/>
  <c r="T1561" i="39"/>
  <c r="U1560" i="39"/>
  <c r="T1560" i="39"/>
  <c r="U1559" i="39"/>
  <c r="T1559" i="39"/>
  <c r="U1558" i="39"/>
  <c r="T1558" i="39"/>
  <c r="U1557" i="39"/>
  <c r="T1557" i="39"/>
  <c r="U1556" i="39"/>
  <c r="T1556" i="39"/>
  <c r="U1555" i="39"/>
  <c r="T1555" i="39"/>
  <c r="U1554" i="39"/>
  <c r="T1554" i="39"/>
  <c r="U1553" i="39"/>
  <c r="T1553" i="39"/>
  <c r="U1552" i="39"/>
  <c r="T1552" i="39"/>
  <c r="U1551" i="39"/>
  <c r="T1551" i="39"/>
  <c r="U1550" i="39"/>
  <c r="T1550" i="39"/>
  <c r="U1549" i="39"/>
  <c r="T1549" i="39"/>
  <c r="U1548" i="39"/>
  <c r="T1548" i="39"/>
  <c r="U1547" i="39"/>
  <c r="T1547" i="39"/>
  <c r="U1546" i="39"/>
  <c r="T1546" i="39"/>
  <c r="U1545" i="39"/>
  <c r="T1545" i="39"/>
  <c r="U1544" i="39"/>
  <c r="T1544" i="39"/>
  <c r="U1543" i="39"/>
  <c r="T1543" i="39"/>
  <c r="U1542" i="39"/>
  <c r="T1542" i="39"/>
  <c r="U1541" i="39"/>
  <c r="T1541" i="39"/>
  <c r="U1540" i="39"/>
  <c r="T1540" i="39"/>
  <c r="U1539" i="39"/>
  <c r="T1539" i="39"/>
  <c r="U1538" i="39"/>
  <c r="T1538" i="39"/>
  <c r="U1537" i="39"/>
  <c r="T1537" i="39"/>
  <c r="U1536" i="39"/>
  <c r="T1536" i="39"/>
  <c r="U1535" i="39"/>
  <c r="T1535" i="39"/>
  <c r="U1534" i="39"/>
  <c r="T1534" i="39"/>
  <c r="U1533" i="39"/>
  <c r="T1533" i="39"/>
  <c r="U1532" i="39"/>
  <c r="T1532" i="39"/>
  <c r="U1531" i="39"/>
  <c r="T1531" i="39"/>
  <c r="U1530" i="39"/>
  <c r="T1530" i="39"/>
  <c r="U1529" i="39"/>
  <c r="T1529" i="39"/>
  <c r="U1528" i="39"/>
  <c r="T1528" i="39"/>
  <c r="U1527" i="39"/>
  <c r="T1527" i="39"/>
  <c r="U1526" i="39"/>
  <c r="T1526" i="39"/>
  <c r="U1525" i="39"/>
  <c r="T1525" i="39"/>
  <c r="U1524" i="39"/>
  <c r="T1524" i="39"/>
  <c r="U1523" i="39"/>
  <c r="T1523" i="39"/>
  <c r="U1522" i="39"/>
  <c r="T1522" i="39"/>
  <c r="U1521" i="39"/>
  <c r="T1521" i="39"/>
  <c r="U1520" i="39"/>
  <c r="T1520" i="39"/>
  <c r="U1519" i="39"/>
  <c r="T1519" i="39"/>
  <c r="U1518" i="39"/>
  <c r="T1518" i="39"/>
  <c r="U1517" i="39"/>
  <c r="T1517" i="39"/>
  <c r="U1516" i="39"/>
  <c r="T1516" i="39"/>
  <c r="U1515" i="39"/>
  <c r="T1515" i="39"/>
  <c r="U1514" i="39"/>
  <c r="T1514" i="39"/>
  <c r="U1513" i="39"/>
  <c r="T1513" i="39"/>
  <c r="U1510" i="39"/>
  <c r="T1510" i="39"/>
  <c r="U1509" i="39"/>
  <c r="T1509" i="39"/>
  <c r="U1508" i="39"/>
  <c r="T1508" i="39"/>
  <c r="U1507" i="39"/>
  <c r="T1507" i="39"/>
  <c r="U1506" i="39"/>
  <c r="T1506" i="39"/>
  <c r="U1505" i="39"/>
  <c r="T1505" i="39"/>
  <c r="U1504" i="39"/>
  <c r="T1504" i="39"/>
  <c r="U1503" i="39"/>
  <c r="T1503" i="39"/>
  <c r="U1502" i="39"/>
  <c r="T1502" i="39"/>
  <c r="U1501" i="39"/>
  <c r="T1501" i="39"/>
  <c r="U1500" i="39"/>
  <c r="T1500" i="39"/>
  <c r="U1499" i="39"/>
  <c r="T1499" i="39"/>
  <c r="U1498" i="39"/>
  <c r="T1498" i="39"/>
  <c r="U1497" i="39"/>
  <c r="T1497" i="39"/>
  <c r="U1496" i="39"/>
  <c r="T1496" i="39"/>
  <c r="U1495" i="39"/>
  <c r="T1495" i="39"/>
  <c r="U1494" i="39"/>
  <c r="T1494" i="39"/>
  <c r="U1493" i="39"/>
  <c r="T1493" i="39"/>
  <c r="U1492" i="39"/>
  <c r="T1492" i="39"/>
  <c r="U1490" i="39"/>
  <c r="T1490" i="39"/>
  <c r="U1489" i="39"/>
  <c r="T1489" i="39"/>
  <c r="U1488" i="39"/>
  <c r="T1488" i="39"/>
  <c r="U1487" i="39"/>
  <c r="T1487" i="39"/>
  <c r="U1486" i="39"/>
  <c r="T1486" i="39"/>
  <c r="U1484" i="39"/>
  <c r="T1484" i="39"/>
  <c r="U1483" i="39"/>
  <c r="T1483" i="39"/>
  <c r="U1482" i="39"/>
  <c r="T1482" i="39"/>
  <c r="U1481" i="39"/>
  <c r="T1481" i="39"/>
  <c r="U1480" i="39"/>
  <c r="T1480" i="39"/>
  <c r="U1479" i="39"/>
  <c r="T1479" i="39"/>
  <c r="U1478" i="39"/>
  <c r="T1478" i="39"/>
  <c r="U1477" i="39"/>
  <c r="T1477" i="39"/>
  <c r="U1476" i="39"/>
  <c r="T1476" i="39"/>
  <c r="U1475" i="39"/>
  <c r="T1475" i="39"/>
  <c r="U1474" i="39"/>
  <c r="T1474" i="39"/>
  <c r="U1473" i="39"/>
  <c r="T1473" i="39"/>
  <c r="U1472" i="39"/>
  <c r="T1472" i="39"/>
  <c r="U1471" i="39"/>
  <c r="T1471" i="39"/>
  <c r="U1470" i="39"/>
  <c r="T1470" i="39"/>
  <c r="U1469" i="39"/>
  <c r="T1469" i="39"/>
  <c r="U1468" i="39"/>
  <c r="T1468" i="39"/>
  <c r="U1467" i="39"/>
  <c r="T1467" i="39"/>
  <c r="U1466" i="39"/>
  <c r="T1466" i="39"/>
  <c r="U1465" i="39"/>
  <c r="T1465" i="39"/>
  <c r="U1464" i="39"/>
  <c r="T1464" i="39"/>
  <c r="U1463" i="39"/>
  <c r="T1463" i="39"/>
  <c r="U1462" i="39"/>
  <c r="T1462" i="39"/>
  <c r="U1461" i="39"/>
  <c r="T1461" i="39"/>
  <c r="U1460" i="39"/>
  <c r="T1460" i="39"/>
  <c r="U1459" i="39"/>
  <c r="T1459" i="39"/>
  <c r="U1458" i="39"/>
  <c r="T1458" i="39"/>
  <c r="U1457" i="39"/>
  <c r="T1457" i="39"/>
  <c r="U1456" i="39"/>
  <c r="T1456" i="39"/>
  <c r="U1455" i="39"/>
  <c r="T1455" i="39"/>
  <c r="U1454" i="39"/>
  <c r="T1454" i="39"/>
  <c r="U1453" i="39"/>
  <c r="T1453" i="39"/>
  <c r="U1452" i="39"/>
  <c r="T1452" i="39"/>
  <c r="U1451" i="39"/>
  <c r="T1451" i="39"/>
  <c r="U1450" i="39"/>
  <c r="T1450" i="39"/>
  <c r="U1449" i="39"/>
  <c r="T1449" i="39"/>
  <c r="U1448" i="39"/>
  <c r="T1448" i="39"/>
  <c r="U1447" i="39"/>
  <c r="T1447" i="39"/>
  <c r="U1446" i="39"/>
  <c r="T1446" i="39"/>
  <c r="U1445" i="39"/>
  <c r="T1445" i="39"/>
  <c r="U1444" i="39"/>
  <c r="T1444" i="39"/>
  <c r="U1443" i="39"/>
  <c r="T1443" i="39"/>
  <c r="U1442" i="39"/>
  <c r="T1442" i="39"/>
  <c r="U1441" i="39"/>
  <c r="T1441" i="39"/>
  <c r="U1440" i="39"/>
  <c r="T1440" i="39"/>
  <c r="U1439" i="39"/>
  <c r="T1439" i="39"/>
  <c r="U1438" i="39"/>
  <c r="T1438" i="39"/>
  <c r="U1437" i="39"/>
  <c r="T1437" i="39"/>
  <c r="U1436" i="39"/>
  <c r="T1436" i="39"/>
  <c r="U1435" i="39"/>
  <c r="T1435" i="39"/>
  <c r="U1434" i="39"/>
  <c r="T1434" i="39"/>
  <c r="U1433" i="39"/>
  <c r="T1433" i="39"/>
  <c r="U1432" i="39"/>
  <c r="T1432" i="39"/>
  <c r="U1431" i="39"/>
  <c r="T1431" i="39"/>
  <c r="U1430" i="39"/>
  <c r="T1430" i="39"/>
  <c r="U1429" i="39"/>
  <c r="T1429" i="39"/>
  <c r="U1428" i="39"/>
  <c r="T1428" i="39"/>
  <c r="U1427" i="39"/>
  <c r="T1427" i="39"/>
  <c r="U1426" i="39"/>
  <c r="T1426" i="39"/>
  <c r="U1425" i="39"/>
  <c r="T1425" i="39"/>
  <c r="U1424" i="39"/>
  <c r="T1424" i="39"/>
  <c r="U1423" i="39"/>
  <c r="T1423" i="39"/>
  <c r="U1422" i="39"/>
  <c r="T1422" i="39"/>
  <c r="U1421" i="39"/>
  <c r="T1421" i="39"/>
  <c r="U1420" i="39"/>
  <c r="T1420" i="39"/>
  <c r="U1419" i="39"/>
  <c r="T1419" i="39"/>
  <c r="U1418" i="39"/>
  <c r="T1418" i="39"/>
  <c r="U1417" i="39"/>
  <c r="T1417" i="39"/>
  <c r="U1416" i="39"/>
  <c r="T1416" i="39"/>
  <c r="U1415" i="39"/>
  <c r="T1415" i="39"/>
  <c r="U1414" i="39"/>
  <c r="T1414" i="39"/>
  <c r="U1413" i="39"/>
  <c r="T1413" i="39"/>
  <c r="U1412" i="39"/>
  <c r="T1412" i="39"/>
  <c r="U1411" i="39"/>
  <c r="T1411" i="39"/>
  <c r="U1410" i="39"/>
  <c r="T1410" i="39"/>
  <c r="U1409" i="39"/>
  <c r="T1409" i="39"/>
  <c r="U1408" i="39"/>
  <c r="T1408" i="39"/>
  <c r="U1407" i="39"/>
  <c r="T1407" i="39"/>
  <c r="U1406" i="39"/>
  <c r="T1406" i="39"/>
  <c r="U1405" i="39"/>
  <c r="T1405" i="39"/>
  <c r="U1404" i="39"/>
  <c r="T1404" i="39"/>
  <c r="U1403" i="39"/>
  <c r="T1403" i="39"/>
  <c r="U1402" i="39"/>
  <c r="T1402" i="39"/>
  <c r="U1401" i="39"/>
  <c r="T1401" i="39"/>
  <c r="U1400" i="39"/>
  <c r="T1400" i="39"/>
  <c r="U1399" i="39"/>
  <c r="T1399" i="39"/>
  <c r="U1398" i="39"/>
  <c r="T1398" i="39"/>
  <c r="U1397" i="39"/>
  <c r="T1397" i="39"/>
  <c r="U1396" i="39"/>
  <c r="T1396" i="39"/>
  <c r="U1395" i="39"/>
  <c r="T1395" i="39"/>
  <c r="U1394" i="39"/>
  <c r="T1394" i="39"/>
  <c r="U1393" i="39"/>
  <c r="T1393" i="39"/>
  <c r="U1392" i="39"/>
  <c r="T1392" i="39"/>
  <c r="U1391" i="39"/>
  <c r="T1391" i="39"/>
  <c r="U1390" i="39"/>
  <c r="T1390" i="39"/>
  <c r="U1389" i="39"/>
  <c r="T1389" i="39"/>
  <c r="U1388" i="39"/>
  <c r="T1388" i="39"/>
  <c r="U1387" i="39"/>
  <c r="T1387" i="39"/>
  <c r="U1386" i="39"/>
  <c r="T1386" i="39"/>
  <c r="U1385" i="39"/>
  <c r="T1385" i="39"/>
  <c r="U1384" i="39"/>
  <c r="T1384" i="39"/>
  <c r="U1383" i="39"/>
  <c r="T1383" i="39"/>
  <c r="U1382" i="39"/>
  <c r="T1382" i="39"/>
  <c r="U1381" i="39"/>
  <c r="T1381" i="39"/>
  <c r="U1380" i="39"/>
  <c r="T1380" i="39"/>
  <c r="U1379" i="39"/>
  <c r="T1379" i="39"/>
  <c r="U1378" i="39"/>
  <c r="T1378" i="39"/>
  <c r="U1377" i="39"/>
  <c r="T1377" i="39"/>
  <c r="U1376" i="39"/>
  <c r="T1376" i="39"/>
  <c r="U1375" i="39"/>
  <c r="T1375" i="39"/>
  <c r="U1374" i="39"/>
  <c r="T1374" i="39"/>
  <c r="U1373" i="39"/>
  <c r="T1373" i="39"/>
  <c r="U1372" i="39"/>
  <c r="T1372" i="39"/>
  <c r="U1371" i="39"/>
  <c r="T1371" i="39"/>
  <c r="U1370" i="39"/>
  <c r="T1370" i="39"/>
  <c r="U1369" i="39"/>
  <c r="T1369" i="39"/>
  <c r="U1368" i="39"/>
  <c r="T1368" i="39"/>
  <c r="U1367" i="39"/>
  <c r="T1367" i="39"/>
  <c r="U1366" i="39"/>
  <c r="T1366" i="39"/>
  <c r="U1365" i="39"/>
  <c r="T1365" i="39"/>
  <c r="U1364" i="39"/>
  <c r="T1364" i="39"/>
  <c r="U1363" i="39"/>
  <c r="T1363" i="39"/>
  <c r="U1362" i="39"/>
  <c r="T1362" i="39"/>
  <c r="U1361" i="39"/>
  <c r="T1361" i="39"/>
  <c r="U1360" i="39"/>
  <c r="T1360" i="39"/>
  <c r="U1359" i="39"/>
  <c r="T1359" i="39"/>
  <c r="U1358" i="39"/>
  <c r="T1358" i="39"/>
  <c r="U1357" i="39"/>
  <c r="T1357" i="39"/>
  <c r="U1356" i="39"/>
  <c r="T1356" i="39"/>
  <c r="U1355" i="39"/>
  <c r="T1355" i="39"/>
  <c r="U1354" i="39"/>
  <c r="T1354" i="39"/>
  <c r="U1353" i="39"/>
  <c r="T1353" i="39"/>
  <c r="U1352" i="39"/>
  <c r="T1352" i="39"/>
  <c r="U1351" i="39"/>
  <c r="T1351" i="39"/>
  <c r="U1350" i="39"/>
  <c r="T1350" i="39"/>
  <c r="U1349" i="39"/>
  <c r="T1349" i="39"/>
  <c r="U1348" i="39"/>
  <c r="T1348" i="39"/>
  <c r="U1347" i="39"/>
  <c r="T1347" i="39"/>
  <c r="U1346" i="39"/>
  <c r="T1346" i="39"/>
  <c r="U1345" i="39"/>
  <c r="T1345" i="39"/>
  <c r="U1344" i="39"/>
  <c r="T1344" i="39"/>
  <c r="U1343" i="39"/>
  <c r="T1343" i="39"/>
  <c r="U1342" i="39"/>
  <c r="T1342" i="39"/>
  <c r="U1341" i="39"/>
  <c r="T1341" i="39"/>
  <c r="U1340" i="39"/>
  <c r="T1340" i="39"/>
  <c r="U1339" i="39"/>
  <c r="T1339" i="39"/>
  <c r="U1338" i="39"/>
  <c r="T1338" i="39"/>
  <c r="U1337" i="39"/>
  <c r="T1337" i="39"/>
  <c r="U1336" i="39"/>
  <c r="T1336" i="39"/>
  <c r="U1335" i="39"/>
  <c r="T1335" i="39"/>
  <c r="U1334" i="39"/>
  <c r="T1334" i="39"/>
  <c r="U1333" i="39"/>
  <c r="T1333" i="39"/>
  <c r="U1332" i="39"/>
  <c r="T1332" i="39"/>
  <c r="U1331" i="39"/>
  <c r="T1331" i="39"/>
  <c r="U1330" i="39"/>
  <c r="T1330" i="39"/>
  <c r="U1329" i="39"/>
  <c r="T1329" i="39"/>
  <c r="U1328" i="39"/>
  <c r="T1328" i="39"/>
  <c r="U1327" i="39"/>
  <c r="T1327" i="39"/>
  <c r="U1326" i="39"/>
  <c r="T1326" i="39"/>
  <c r="U1325" i="39"/>
  <c r="T1325" i="39"/>
  <c r="U1324" i="39"/>
  <c r="T1324" i="39"/>
  <c r="U1323" i="39"/>
  <c r="T1323" i="39"/>
  <c r="U1322" i="39"/>
  <c r="T1322" i="39"/>
  <c r="U1321" i="39"/>
  <c r="T1321" i="39"/>
  <c r="U1320" i="39"/>
  <c r="T1320" i="39"/>
  <c r="U1319" i="39"/>
  <c r="T1319" i="39"/>
  <c r="U1318" i="39"/>
  <c r="T1318" i="39"/>
  <c r="U1317" i="39"/>
  <c r="T1317" i="39"/>
  <c r="U1316" i="39"/>
  <c r="T1316" i="39"/>
  <c r="U1315" i="39"/>
  <c r="T1315" i="39"/>
  <c r="U1314" i="39"/>
  <c r="T1314" i="39"/>
  <c r="U1313" i="39"/>
  <c r="T1313" i="39"/>
  <c r="U1312" i="39"/>
  <c r="T1312" i="39"/>
  <c r="U1311" i="39"/>
  <c r="T1311" i="39"/>
  <c r="U1310" i="39"/>
  <c r="T1310" i="39"/>
  <c r="U1309" i="39"/>
  <c r="T1309" i="39"/>
  <c r="U1308" i="39"/>
  <c r="T1308" i="39"/>
  <c r="U1307" i="39"/>
  <c r="T1307" i="39"/>
  <c r="U1306" i="39"/>
  <c r="T1306" i="39"/>
  <c r="U1305" i="39"/>
  <c r="T1305" i="39"/>
  <c r="U1304" i="39"/>
  <c r="T1304" i="39"/>
  <c r="U1303" i="39"/>
  <c r="T1303" i="39"/>
  <c r="U1302" i="39"/>
  <c r="T1302" i="39"/>
  <c r="U1301" i="39"/>
  <c r="T1301" i="39"/>
  <c r="U1300" i="39"/>
  <c r="T1300" i="39"/>
  <c r="U1299" i="39"/>
  <c r="T1299" i="39"/>
  <c r="U1298" i="39"/>
  <c r="T1298" i="39"/>
  <c r="U1297" i="39"/>
  <c r="T1297" i="39"/>
  <c r="U1296" i="39"/>
  <c r="T1296" i="39"/>
  <c r="U1295" i="39"/>
  <c r="T1295" i="39"/>
  <c r="U1294" i="39"/>
  <c r="T1294" i="39"/>
  <c r="U1293" i="39"/>
  <c r="T1293" i="39"/>
  <c r="U1291" i="39"/>
  <c r="T1291" i="39"/>
  <c r="U1290" i="39"/>
  <c r="T1290" i="39"/>
  <c r="U1289" i="39"/>
  <c r="T1289" i="39"/>
  <c r="U1288" i="39"/>
  <c r="T1288" i="39"/>
  <c r="U1287" i="39"/>
  <c r="T1287" i="39"/>
  <c r="U1286" i="39"/>
  <c r="T1286" i="39"/>
  <c r="U1285" i="39"/>
  <c r="T1285" i="39"/>
  <c r="U1284" i="39"/>
  <c r="T1284" i="39"/>
  <c r="U1283" i="39"/>
  <c r="T1283" i="39"/>
  <c r="U1282" i="39"/>
  <c r="T1282" i="39"/>
  <c r="U1281" i="39"/>
  <c r="T1281" i="39"/>
  <c r="U1280" i="39"/>
  <c r="T1280" i="39"/>
  <c r="U1279" i="39"/>
  <c r="T1279" i="39"/>
  <c r="U1278" i="39"/>
  <c r="T1278" i="39"/>
  <c r="U1277" i="39"/>
  <c r="T1277" i="39"/>
  <c r="U1276" i="39"/>
  <c r="T1276" i="39"/>
  <c r="U1275" i="39"/>
  <c r="T1275" i="39"/>
  <c r="U1274" i="39"/>
  <c r="T1274" i="39"/>
  <c r="U1273" i="39"/>
  <c r="T1273" i="39"/>
  <c r="U1272" i="39"/>
  <c r="T1272" i="39"/>
  <c r="U1271" i="39"/>
  <c r="T1271" i="39"/>
  <c r="U1270" i="39"/>
  <c r="T1270" i="39"/>
  <c r="U1269" i="39"/>
  <c r="T1269" i="39"/>
  <c r="U1268" i="39"/>
  <c r="T1268" i="39"/>
  <c r="U1267" i="39"/>
  <c r="T1267" i="39"/>
  <c r="U1266" i="39"/>
  <c r="T1266" i="39"/>
  <c r="U1265" i="39"/>
  <c r="T1265" i="39"/>
  <c r="U1264" i="39"/>
  <c r="T1264" i="39"/>
  <c r="U1263" i="39"/>
  <c r="T1263" i="39"/>
  <c r="U1262" i="39"/>
  <c r="T1262" i="39"/>
  <c r="U1261" i="39"/>
  <c r="T1261" i="39"/>
  <c r="U1260" i="39"/>
  <c r="T1260" i="39"/>
  <c r="U1259" i="39"/>
  <c r="T1259" i="39"/>
  <c r="U1258" i="39"/>
  <c r="T1258" i="39"/>
  <c r="U1257" i="39"/>
  <c r="T1257" i="39"/>
  <c r="U1256" i="39"/>
  <c r="T1256" i="39"/>
  <c r="U1255" i="39"/>
  <c r="T1255" i="39"/>
  <c r="U1254" i="39"/>
  <c r="T1254" i="39"/>
  <c r="U1253" i="39"/>
  <c r="T1253" i="39"/>
  <c r="U1252" i="39"/>
  <c r="T1252" i="39"/>
  <c r="U1251" i="39"/>
  <c r="T1251" i="39"/>
  <c r="U1250" i="39"/>
  <c r="T1250" i="39"/>
  <c r="U1249" i="39"/>
  <c r="T1249" i="39"/>
  <c r="U1248" i="39"/>
  <c r="T1248" i="39"/>
  <c r="U1247" i="39"/>
  <c r="T1247" i="39"/>
  <c r="U1246" i="39"/>
  <c r="T1246" i="39"/>
  <c r="U1245" i="39"/>
  <c r="T1245" i="39"/>
  <c r="U1244" i="39"/>
  <c r="T1244" i="39"/>
  <c r="U1243" i="39"/>
  <c r="T1243" i="39"/>
  <c r="U1242" i="39"/>
  <c r="T1242" i="39"/>
  <c r="U1241" i="39"/>
  <c r="T1241" i="39"/>
  <c r="U1240" i="39"/>
  <c r="T1240" i="39"/>
  <c r="U1239" i="39"/>
  <c r="T1239" i="39"/>
  <c r="U1238" i="39"/>
  <c r="T1238" i="39"/>
  <c r="U1237" i="39"/>
  <c r="T1237" i="39"/>
  <c r="U1236" i="39"/>
  <c r="T1236" i="39"/>
  <c r="U1235" i="39"/>
  <c r="T1235" i="39"/>
  <c r="U1234" i="39"/>
  <c r="T1234" i="39"/>
  <c r="U1233" i="39"/>
  <c r="T1233" i="39"/>
  <c r="U1232" i="39"/>
  <c r="T1232" i="39"/>
  <c r="U1231" i="39"/>
  <c r="T1231" i="39"/>
  <c r="U1230" i="39"/>
  <c r="T1230" i="39"/>
  <c r="U1229" i="39"/>
  <c r="T1229" i="39"/>
  <c r="U1228" i="39"/>
  <c r="T1228" i="39"/>
  <c r="U1227" i="39"/>
  <c r="T1227" i="39"/>
  <c r="U1226" i="39"/>
  <c r="T1226" i="39"/>
  <c r="U1225" i="39"/>
  <c r="T1225" i="39"/>
  <c r="U1224" i="39"/>
  <c r="T1224" i="39"/>
  <c r="U1223" i="39"/>
  <c r="T1223" i="39"/>
  <c r="U1222" i="39"/>
  <c r="T1222" i="39"/>
  <c r="U1221" i="39"/>
  <c r="T1221" i="39"/>
  <c r="U1220" i="39"/>
  <c r="T1220" i="39"/>
  <c r="U1219" i="39"/>
  <c r="T1219" i="39"/>
  <c r="U1218" i="39"/>
  <c r="T1218" i="39"/>
  <c r="U1217" i="39"/>
  <c r="T1217" i="39"/>
  <c r="U1216" i="39"/>
  <c r="T1216" i="39"/>
  <c r="U1215" i="39"/>
  <c r="T1215" i="39"/>
  <c r="U1214" i="39"/>
  <c r="T1214" i="39"/>
  <c r="U1213" i="39"/>
  <c r="T1213" i="39"/>
  <c r="U1212" i="39"/>
  <c r="T1212" i="39"/>
  <c r="U1211" i="39"/>
  <c r="T1211" i="39"/>
  <c r="U1210" i="39"/>
  <c r="T1210" i="39"/>
  <c r="U1209" i="39"/>
  <c r="T1209" i="39"/>
  <c r="U1208" i="39"/>
  <c r="T1208" i="39"/>
  <c r="U1207" i="39"/>
  <c r="T1207" i="39"/>
  <c r="U1206" i="39"/>
  <c r="T1206" i="39"/>
  <c r="U1205" i="39"/>
  <c r="T1205" i="39"/>
  <c r="U1204" i="39"/>
  <c r="T1204" i="39"/>
  <c r="U1203" i="39"/>
  <c r="T1203" i="39"/>
  <c r="U1202" i="39"/>
  <c r="T1202" i="39"/>
  <c r="U1201" i="39"/>
  <c r="T1201" i="39"/>
  <c r="U1200" i="39"/>
  <c r="T1200" i="39"/>
  <c r="U1199" i="39"/>
  <c r="T1199" i="39"/>
  <c r="U1198" i="39"/>
  <c r="T1198" i="39"/>
  <c r="U1197" i="39"/>
  <c r="T1197" i="39"/>
  <c r="U1196" i="39"/>
  <c r="T1196" i="39"/>
  <c r="U1195" i="39"/>
  <c r="T1195" i="39"/>
  <c r="U1194" i="39"/>
  <c r="T1194" i="39"/>
  <c r="U1193" i="39"/>
  <c r="T1193" i="39"/>
  <c r="U1192" i="39"/>
  <c r="T1192" i="39"/>
  <c r="U1191" i="39"/>
  <c r="T1191" i="39"/>
  <c r="U1190" i="39"/>
  <c r="T1190" i="39"/>
  <c r="U1189" i="39"/>
  <c r="T1189" i="39"/>
  <c r="U1188" i="39"/>
  <c r="T1188" i="39"/>
  <c r="U1187" i="39"/>
  <c r="T1187" i="39"/>
  <c r="U1186" i="39"/>
  <c r="T1186" i="39"/>
  <c r="U1185" i="39"/>
  <c r="T1185" i="39"/>
  <c r="U1184" i="39"/>
  <c r="T1184" i="39"/>
  <c r="U1183" i="39"/>
  <c r="T1183" i="39"/>
  <c r="U1182" i="39"/>
  <c r="T1182" i="39"/>
  <c r="U1181" i="39"/>
  <c r="T1181" i="39"/>
  <c r="U1180" i="39"/>
  <c r="T1180" i="39"/>
  <c r="U1179" i="39"/>
  <c r="T1179" i="39"/>
  <c r="U1178" i="39"/>
  <c r="T1178" i="39"/>
  <c r="U1177" i="39"/>
  <c r="T1177" i="39"/>
  <c r="U1176" i="39"/>
  <c r="T1176" i="39"/>
  <c r="U1175" i="39"/>
  <c r="T1175" i="39"/>
  <c r="U1174" i="39"/>
  <c r="T1174" i="39"/>
  <c r="U1173" i="39"/>
  <c r="T1173" i="39"/>
  <c r="U1172" i="39"/>
  <c r="T1172" i="39"/>
  <c r="U1171" i="39"/>
  <c r="T1171" i="39"/>
  <c r="U1170" i="39"/>
  <c r="T1170" i="39"/>
  <c r="U1169" i="39"/>
  <c r="T1169" i="39"/>
  <c r="U1168" i="39"/>
  <c r="T1168" i="39"/>
  <c r="U1167" i="39"/>
  <c r="T1167" i="39"/>
  <c r="U1166" i="39"/>
  <c r="T1166" i="39"/>
  <c r="U1165" i="39"/>
  <c r="T1165" i="39"/>
  <c r="U1164" i="39"/>
  <c r="T1164" i="39"/>
  <c r="U1163" i="39"/>
  <c r="T1163" i="39"/>
  <c r="U1162" i="39"/>
  <c r="T1162" i="39"/>
  <c r="U1161" i="39"/>
  <c r="T1161" i="39"/>
  <c r="U1160" i="39"/>
  <c r="T1160" i="39"/>
  <c r="U1159" i="39"/>
  <c r="T1159" i="39"/>
  <c r="U1158" i="39"/>
  <c r="T1158" i="39"/>
  <c r="U1157" i="39"/>
  <c r="T1157" i="39"/>
  <c r="U1156" i="39"/>
  <c r="T1156" i="39"/>
  <c r="U1155" i="39"/>
  <c r="T1155" i="39"/>
  <c r="U1154" i="39"/>
  <c r="T1154" i="39"/>
  <c r="U1153" i="39"/>
  <c r="T1153" i="39"/>
  <c r="U1152" i="39"/>
  <c r="T1152" i="39"/>
  <c r="U1151" i="39"/>
  <c r="T1151" i="39"/>
  <c r="U1150" i="39"/>
  <c r="T1150" i="39"/>
  <c r="U1149" i="39"/>
  <c r="T1149" i="39"/>
  <c r="U1148" i="39"/>
  <c r="T1148" i="39"/>
  <c r="U1147" i="39"/>
  <c r="T1147" i="39"/>
  <c r="U1146" i="39"/>
  <c r="T1146" i="39"/>
  <c r="U1145" i="39"/>
  <c r="T1145" i="39"/>
  <c r="U1144" i="39"/>
  <c r="T1144" i="39"/>
  <c r="U1143" i="39"/>
  <c r="T1143" i="39"/>
  <c r="U1142" i="39"/>
  <c r="T1142" i="39"/>
  <c r="U1141" i="39"/>
  <c r="T1141" i="39"/>
  <c r="U1140" i="39"/>
  <c r="T1140" i="39"/>
  <c r="U1139" i="39"/>
  <c r="T1139" i="39"/>
  <c r="U1138" i="39"/>
  <c r="T1138" i="39"/>
  <c r="U1137" i="39"/>
  <c r="T1137" i="39"/>
  <c r="U1136" i="39"/>
  <c r="T1136" i="39"/>
  <c r="U1135" i="39"/>
  <c r="T1135" i="39"/>
  <c r="U1134" i="39"/>
  <c r="T1134" i="39"/>
  <c r="U1133" i="39"/>
  <c r="T1133" i="39"/>
  <c r="U1132" i="39"/>
  <c r="T1132" i="39"/>
  <c r="U1131" i="39"/>
  <c r="T1131" i="39"/>
  <c r="U1130" i="39"/>
  <c r="T1130" i="39"/>
  <c r="U1129" i="39"/>
  <c r="T1129" i="39"/>
  <c r="U1128" i="39"/>
  <c r="T1128" i="39"/>
  <c r="U1127" i="39"/>
  <c r="T1127" i="39"/>
  <c r="U1126" i="39"/>
  <c r="T1126" i="39"/>
  <c r="U1125" i="39"/>
  <c r="T1125" i="39"/>
  <c r="U1124" i="39"/>
  <c r="T1124" i="39"/>
  <c r="U1123" i="39"/>
  <c r="T1123" i="39"/>
  <c r="U1122" i="39"/>
  <c r="T1122" i="39"/>
  <c r="U1121" i="39"/>
  <c r="T1121" i="39"/>
  <c r="U1120" i="39"/>
  <c r="T1120" i="39"/>
  <c r="U1119" i="39"/>
  <c r="T1119" i="39"/>
  <c r="U1118" i="39"/>
  <c r="T1118" i="39"/>
  <c r="U1117" i="39"/>
  <c r="T1117" i="39"/>
  <c r="U1116" i="39"/>
  <c r="T1116" i="39"/>
  <c r="U1115" i="39"/>
  <c r="T1115" i="39"/>
  <c r="U1114" i="39"/>
  <c r="T1114" i="39"/>
  <c r="U1113" i="39"/>
  <c r="T1113" i="39"/>
  <c r="U1112" i="39"/>
  <c r="T1112" i="39"/>
  <c r="U1111" i="39"/>
  <c r="T1111" i="39"/>
  <c r="U1110" i="39"/>
  <c r="T1110" i="39"/>
  <c r="U1109" i="39"/>
  <c r="T1109" i="39"/>
  <c r="U1108" i="39"/>
  <c r="T1108" i="39"/>
  <c r="U1107" i="39"/>
  <c r="T1107" i="39"/>
  <c r="U1106" i="39"/>
  <c r="T1106" i="39"/>
  <c r="U1105" i="39"/>
  <c r="T1105" i="39"/>
  <c r="U1104" i="39"/>
  <c r="T1104" i="39"/>
  <c r="U1103" i="39"/>
  <c r="T1103" i="39"/>
  <c r="U1102" i="39"/>
  <c r="T1102" i="39"/>
  <c r="U1101" i="39"/>
  <c r="T1101" i="39"/>
  <c r="U1100" i="39"/>
  <c r="T1100" i="39"/>
  <c r="U1099" i="39"/>
  <c r="T1099" i="39"/>
  <c r="U1098" i="39"/>
  <c r="T1098" i="39"/>
  <c r="U1097" i="39"/>
  <c r="T1097" i="39"/>
  <c r="U1096" i="39"/>
  <c r="T1096" i="39"/>
  <c r="U1095" i="39"/>
  <c r="T1095" i="39"/>
  <c r="U1094" i="39"/>
  <c r="T1094" i="39"/>
  <c r="U1093" i="39"/>
  <c r="T1093" i="39"/>
  <c r="U1092" i="39"/>
  <c r="T1092" i="39"/>
  <c r="U1091" i="39"/>
  <c r="T1091" i="39"/>
  <c r="U1090" i="39"/>
  <c r="T1090" i="39"/>
  <c r="U1089" i="39"/>
  <c r="T1089" i="39"/>
  <c r="U1088" i="39"/>
  <c r="T1088" i="39"/>
  <c r="U1087" i="39"/>
  <c r="T1087" i="39"/>
  <c r="U1086" i="39"/>
  <c r="T1086" i="39"/>
  <c r="U1085" i="39"/>
  <c r="T1085" i="39"/>
  <c r="U1084" i="39"/>
  <c r="T1084" i="39"/>
  <c r="U1083" i="39"/>
  <c r="T1083" i="39"/>
  <c r="U1082" i="39"/>
  <c r="T1082" i="39"/>
  <c r="U1081" i="39"/>
  <c r="T1081" i="39"/>
  <c r="U1080" i="39"/>
  <c r="T1080" i="39"/>
  <c r="U1079" i="39"/>
  <c r="T1079" i="39"/>
  <c r="U1078" i="39"/>
  <c r="T1078" i="39"/>
  <c r="U1077" i="39"/>
  <c r="T1077" i="39"/>
  <c r="U1076" i="39"/>
  <c r="T1076" i="39"/>
  <c r="U1075" i="39"/>
  <c r="T1075" i="39"/>
  <c r="U1074" i="39"/>
  <c r="T1074" i="39"/>
  <c r="U1073" i="39"/>
  <c r="T1073" i="39"/>
  <c r="U1072" i="39"/>
  <c r="T1072" i="39"/>
  <c r="U1071" i="39"/>
  <c r="T1071" i="39"/>
  <c r="U1070" i="39"/>
  <c r="T1070" i="39"/>
  <c r="U1069" i="39"/>
  <c r="T1069" i="39"/>
  <c r="U1068" i="39"/>
  <c r="T1068" i="39"/>
  <c r="U1067" i="39"/>
  <c r="T1067" i="39"/>
  <c r="U1066" i="39"/>
  <c r="T1066" i="39"/>
  <c r="U1065" i="39"/>
  <c r="T1065" i="39"/>
  <c r="U1064" i="39"/>
  <c r="T1064" i="39"/>
  <c r="U1063" i="39"/>
  <c r="T1063" i="39"/>
  <c r="U1062" i="39"/>
  <c r="T1062" i="39"/>
  <c r="U1061" i="39"/>
  <c r="T1061" i="39"/>
  <c r="U1060" i="39"/>
  <c r="T1060" i="39"/>
  <c r="U1059" i="39"/>
  <c r="T1059" i="39"/>
  <c r="U1058" i="39"/>
  <c r="T1058" i="39"/>
  <c r="U1057" i="39"/>
  <c r="T1057" i="39"/>
  <c r="U1056" i="39"/>
  <c r="T1056" i="39"/>
  <c r="U1055" i="39"/>
  <c r="T1055" i="39"/>
  <c r="U1054" i="39"/>
  <c r="T1054" i="39"/>
  <c r="U1053" i="39"/>
  <c r="T1053" i="39"/>
  <c r="U1052" i="39"/>
  <c r="T1052" i="39"/>
  <c r="U1051" i="39"/>
  <c r="T1051" i="39"/>
  <c r="U1050" i="39"/>
  <c r="T1050" i="39"/>
  <c r="U1049" i="39"/>
  <c r="T1049" i="39"/>
  <c r="U1048" i="39"/>
  <c r="T1048" i="39"/>
  <c r="U1047" i="39"/>
  <c r="T1047" i="39"/>
  <c r="U1046" i="39"/>
  <c r="T1046" i="39"/>
  <c r="U1045" i="39"/>
  <c r="T1045" i="39"/>
  <c r="U1044" i="39"/>
  <c r="T1044" i="39"/>
  <c r="U1043" i="39"/>
  <c r="T1043" i="39"/>
  <c r="U1042" i="39"/>
  <c r="T1042" i="39"/>
  <c r="U1041" i="39"/>
  <c r="T1041" i="39"/>
  <c r="U1040" i="39"/>
  <c r="T1040" i="39"/>
  <c r="U1039" i="39"/>
  <c r="T1039" i="39"/>
  <c r="U1038" i="39"/>
  <c r="T1038" i="39"/>
  <c r="U1037" i="39"/>
  <c r="T1037" i="39"/>
  <c r="U1036" i="39"/>
  <c r="T1036" i="39"/>
  <c r="U1035" i="39"/>
  <c r="T1035" i="39"/>
  <c r="U1034" i="39"/>
  <c r="T1034" i="39"/>
  <c r="U1033" i="39"/>
  <c r="T1033" i="39"/>
  <c r="U1032" i="39"/>
  <c r="T1032" i="39"/>
  <c r="U1031" i="39"/>
  <c r="T1031" i="39"/>
  <c r="U1030" i="39"/>
  <c r="T1030" i="39"/>
  <c r="U1029" i="39"/>
  <c r="T1029" i="39"/>
  <c r="U1028" i="39"/>
  <c r="T1028" i="39"/>
  <c r="U1027" i="39"/>
  <c r="T1027" i="39"/>
  <c r="U1026" i="39"/>
  <c r="T1026" i="39"/>
  <c r="U1025" i="39"/>
  <c r="T1025" i="39"/>
  <c r="U1024" i="39"/>
  <c r="T1024" i="39"/>
  <c r="U1023" i="39"/>
  <c r="T1023" i="39"/>
  <c r="U1022" i="39"/>
  <c r="T1022" i="39"/>
  <c r="U1021" i="39"/>
  <c r="T1021" i="39"/>
  <c r="U1020" i="39"/>
  <c r="T1020" i="39"/>
  <c r="U1019" i="39"/>
  <c r="T1019" i="39"/>
  <c r="U1018" i="39"/>
  <c r="T1018" i="39"/>
  <c r="U1017" i="39"/>
  <c r="T1017" i="39"/>
  <c r="U1016" i="39"/>
  <c r="T1016" i="39"/>
  <c r="U1015" i="39"/>
  <c r="T1015" i="39"/>
  <c r="U1014" i="39"/>
  <c r="T1014" i="39"/>
  <c r="U1013" i="39"/>
  <c r="T1013" i="39"/>
  <c r="U1012" i="39"/>
  <c r="T1012" i="39"/>
  <c r="U1011" i="39"/>
  <c r="T1011" i="39"/>
  <c r="U1010" i="39"/>
  <c r="T1010" i="39"/>
  <c r="U1009" i="39"/>
  <c r="T1009" i="39"/>
  <c r="U1008" i="39"/>
  <c r="T1008" i="39"/>
  <c r="U1007" i="39"/>
  <c r="T1007" i="39"/>
  <c r="U1006" i="39"/>
  <c r="T1006" i="39"/>
  <c r="U1005" i="39"/>
  <c r="T1005" i="39"/>
  <c r="U1004" i="39"/>
  <c r="T1004" i="39"/>
  <c r="U1003" i="39"/>
  <c r="T1003" i="39"/>
  <c r="U1002" i="39"/>
  <c r="T1002" i="39"/>
  <c r="U1001" i="39"/>
  <c r="T1001" i="39"/>
  <c r="U1000" i="39"/>
  <c r="T1000" i="39"/>
  <c r="U999" i="39"/>
  <c r="T999" i="39"/>
  <c r="U998" i="39"/>
  <c r="T998" i="39"/>
  <c r="U997" i="39"/>
  <c r="T997" i="39"/>
  <c r="U996" i="39"/>
  <c r="T996" i="39"/>
  <c r="U995" i="39"/>
  <c r="T995" i="39"/>
  <c r="U994" i="39"/>
  <c r="T994" i="39"/>
  <c r="U993" i="39"/>
  <c r="T993" i="39"/>
  <c r="U992" i="39"/>
  <c r="T992" i="39"/>
  <c r="U991" i="39"/>
  <c r="T991" i="39"/>
  <c r="U990" i="39"/>
  <c r="T990" i="39"/>
  <c r="U989" i="39"/>
  <c r="T989" i="39"/>
  <c r="U988" i="39"/>
  <c r="T988" i="39"/>
  <c r="U987" i="39"/>
  <c r="T987" i="39"/>
  <c r="U986" i="39"/>
  <c r="T986" i="39"/>
  <c r="U985" i="39"/>
  <c r="T985" i="39"/>
  <c r="U984" i="39"/>
  <c r="T984" i="39"/>
  <c r="U983" i="39"/>
  <c r="T983" i="39"/>
  <c r="U982" i="39"/>
  <c r="T982" i="39"/>
  <c r="U981" i="39"/>
  <c r="T981" i="39"/>
  <c r="U980" i="39"/>
  <c r="T980" i="39"/>
  <c r="U979" i="39"/>
  <c r="T979" i="39"/>
  <c r="U978" i="39"/>
  <c r="T978" i="39"/>
  <c r="U977" i="39"/>
  <c r="T977" i="39"/>
  <c r="U976" i="39"/>
  <c r="T976" i="39"/>
  <c r="U975" i="39"/>
  <c r="T975" i="39"/>
  <c r="U974" i="39"/>
  <c r="T974" i="39"/>
  <c r="U973" i="39"/>
  <c r="T973" i="39"/>
  <c r="U972" i="39"/>
  <c r="T972" i="39"/>
  <c r="U971" i="39"/>
  <c r="T971" i="39"/>
  <c r="U970" i="39"/>
  <c r="T970" i="39"/>
  <c r="U969" i="39"/>
  <c r="T969" i="39"/>
  <c r="U968" i="39"/>
  <c r="T968" i="39"/>
  <c r="U967" i="39"/>
  <c r="T967" i="39"/>
  <c r="U966" i="39"/>
  <c r="T966" i="39"/>
  <c r="U965" i="39"/>
  <c r="T965" i="39"/>
  <c r="U964" i="39"/>
  <c r="T964" i="39"/>
  <c r="U963" i="39"/>
  <c r="T963" i="39"/>
  <c r="U962" i="39"/>
  <c r="T962" i="39"/>
  <c r="U961" i="39"/>
  <c r="T961" i="39"/>
  <c r="U960" i="39"/>
  <c r="T960" i="39"/>
  <c r="U959" i="39"/>
  <c r="T959" i="39"/>
  <c r="U958" i="39"/>
  <c r="T958" i="39"/>
  <c r="U957" i="39"/>
  <c r="T957" i="39"/>
  <c r="U956" i="39"/>
  <c r="T956" i="39"/>
  <c r="U955" i="39"/>
  <c r="T955" i="39"/>
  <c r="U954" i="39"/>
  <c r="T954" i="39"/>
  <c r="U953" i="39"/>
  <c r="T953" i="39"/>
  <c r="U952" i="39"/>
  <c r="T952" i="39"/>
  <c r="U951" i="39"/>
  <c r="T951" i="39"/>
  <c r="U950" i="39"/>
  <c r="T950" i="39"/>
  <c r="U949" i="39"/>
  <c r="T949" i="39"/>
  <c r="U948" i="39"/>
  <c r="T948" i="39"/>
  <c r="U947" i="39"/>
  <c r="T947" i="39"/>
  <c r="U946" i="39"/>
  <c r="T946" i="39"/>
  <c r="U945" i="39"/>
  <c r="T945" i="39"/>
  <c r="U944" i="39"/>
  <c r="T944" i="39"/>
  <c r="U943" i="39"/>
  <c r="T943" i="39"/>
  <c r="U942" i="39"/>
  <c r="T942" i="39"/>
  <c r="U941" i="39"/>
  <c r="T941" i="39"/>
  <c r="U940" i="39"/>
  <c r="T940" i="39"/>
  <c r="U939" i="39"/>
  <c r="T939" i="39"/>
  <c r="U938" i="39"/>
  <c r="T938" i="39"/>
  <c r="U937" i="39"/>
  <c r="T937" i="39"/>
  <c r="U936" i="39"/>
  <c r="T936" i="39"/>
  <c r="U935" i="39"/>
  <c r="T935" i="39"/>
  <c r="U934" i="39"/>
  <c r="T934" i="39"/>
  <c r="U933" i="39"/>
  <c r="T933" i="39"/>
  <c r="U932" i="39"/>
  <c r="T932" i="39"/>
  <c r="U931" i="39"/>
  <c r="T931" i="39"/>
  <c r="U930" i="39"/>
  <c r="T930" i="39"/>
  <c r="U929" i="39"/>
  <c r="T929" i="39"/>
  <c r="U928" i="39"/>
  <c r="T928" i="39"/>
  <c r="U927" i="39"/>
  <c r="T927" i="39"/>
  <c r="U926" i="39"/>
  <c r="T926" i="39"/>
  <c r="U925" i="39"/>
  <c r="T925" i="39"/>
  <c r="U924" i="39"/>
  <c r="T924" i="39"/>
  <c r="U923" i="39"/>
  <c r="T923" i="39"/>
  <c r="U922" i="39"/>
  <c r="T922" i="39"/>
  <c r="U921" i="39"/>
  <c r="T921" i="39"/>
  <c r="U920" i="39"/>
  <c r="T920" i="39"/>
  <c r="U919" i="39"/>
  <c r="T919" i="39"/>
  <c r="U918" i="39"/>
  <c r="T918" i="39"/>
  <c r="U917" i="39"/>
  <c r="T917" i="39"/>
  <c r="U916" i="39"/>
  <c r="T916" i="39"/>
  <c r="U915" i="39"/>
  <c r="T915" i="39"/>
  <c r="U914" i="39"/>
  <c r="T914" i="39"/>
  <c r="U913" i="39"/>
  <c r="T913" i="39"/>
  <c r="U912" i="39"/>
  <c r="T912" i="39"/>
  <c r="U911" i="39"/>
  <c r="T911" i="39"/>
  <c r="U910" i="39"/>
  <c r="T910" i="39"/>
  <c r="U909" i="39"/>
  <c r="T909" i="39"/>
  <c r="U908" i="39"/>
  <c r="T908" i="39"/>
  <c r="U907" i="39"/>
  <c r="T907" i="39"/>
  <c r="U906" i="39"/>
  <c r="T906" i="39"/>
  <c r="U905" i="39"/>
  <c r="T905" i="39"/>
  <c r="U904" i="39"/>
  <c r="T904" i="39"/>
  <c r="U903" i="39"/>
  <c r="T903" i="39"/>
  <c r="U902" i="39"/>
  <c r="T902" i="39"/>
  <c r="U901" i="39"/>
  <c r="T901" i="39"/>
  <c r="U900" i="39"/>
  <c r="T900" i="39"/>
  <c r="U899" i="39"/>
  <c r="T899" i="39"/>
  <c r="U898" i="39"/>
  <c r="T898" i="39"/>
  <c r="U897" i="39"/>
  <c r="T897" i="39"/>
  <c r="U896" i="39"/>
  <c r="T896" i="39"/>
  <c r="U895" i="39"/>
  <c r="T895" i="39"/>
  <c r="U894" i="39"/>
  <c r="T894" i="39"/>
  <c r="U893" i="39"/>
  <c r="T893" i="39"/>
  <c r="U892" i="39"/>
  <c r="T892" i="39"/>
  <c r="U891" i="39"/>
  <c r="T891" i="39"/>
  <c r="U890" i="39"/>
  <c r="T890" i="39"/>
  <c r="U889" i="39"/>
  <c r="T889" i="39"/>
  <c r="U888" i="39"/>
  <c r="T888" i="39"/>
  <c r="U887" i="39"/>
  <c r="T887" i="39"/>
  <c r="U886" i="39"/>
  <c r="T886" i="39"/>
  <c r="U885" i="39"/>
  <c r="T885" i="39"/>
  <c r="U884" i="39"/>
  <c r="T884" i="39"/>
  <c r="U883" i="39"/>
  <c r="T883" i="39"/>
  <c r="U882" i="39"/>
  <c r="T882" i="39"/>
  <c r="U881" i="39"/>
  <c r="T881" i="39"/>
  <c r="U880" i="39"/>
  <c r="T880" i="39"/>
  <c r="U879" i="39"/>
  <c r="T879" i="39"/>
  <c r="U878" i="39"/>
  <c r="T878" i="39"/>
  <c r="U877" i="39"/>
  <c r="T877" i="39"/>
  <c r="U876" i="39"/>
  <c r="T876" i="39"/>
  <c r="U875" i="39"/>
  <c r="T875" i="39"/>
  <c r="U874" i="39"/>
  <c r="T874" i="39"/>
  <c r="U873" i="39"/>
  <c r="T873" i="39"/>
  <c r="U872" i="39"/>
  <c r="T872" i="39"/>
  <c r="U871" i="39"/>
  <c r="T871" i="39"/>
  <c r="U870" i="39"/>
  <c r="T870" i="39"/>
  <c r="U869" i="39"/>
  <c r="T869" i="39"/>
  <c r="U868" i="39"/>
  <c r="T868" i="39"/>
  <c r="U867" i="39"/>
  <c r="T867" i="39"/>
  <c r="U866" i="39"/>
  <c r="T866" i="39"/>
  <c r="U865" i="39"/>
  <c r="T865" i="39"/>
  <c r="U864" i="39"/>
  <c r="T864" i="39"/>
  <c r="U863" i="39"/>
  <c r="T863" i="39"/>
  <c r="U862" i="39"/>
  <c r="T862" i="39"/>
  <c r="U861" i="39"/>
  <c r="T861" i="39"/>
  <c r="U860" i="39"/>
  <c r="T860" i="39"/>
  <c r="U859" i="39"/>
  <c r="T859" i="39"/>
  <c r="U858" i="39"/>
  <c r="T858" i="39"/>
  <c r="U857" i="39"/>
  <c r="T857" i="39"/>
  <c r="U856" i="39"/>
  <c r="T856" i="39"/>
  <c r="U855" i="39"/>
  <c r="T855" i="39"/>
  <c r="U854" i="39"/>
  <c r="T854" i="39"/>
  <c r="U853" i="39"/>
  <c r="T853" i="39"/>
  <c r="U852" i="39"/>
  <c r="T852" i="39"/>
  <c r="U851" i="39"/>
  <c r="T851" i="39"/>
  <c r="U850" i="39"/>
  <c r="T850" i="39"/>
  <c r="U849" i="39"/>
  <c r="T849" i="39"/>
  <c r="U848" i="39"/>
  <c r="T848" i="39"/>
  <c r="U847" i="39"/>
  <c r="T847" i="39"/>
  <c r="U846" i="39"/>
  <c r="T846" i="39"/>
  <c r="U845" i="39"/>
  <c r="T845" i="39"/>
  <c r="U844" i="39"/>
  <c r="T844" i="39"/>
  <c r="U843" i="39"/>
  <c r="T843" i="39"/>
  <c r="U842" i="39"/>
  <c r="T842" i="39"/>
  <c r="U841" i="39"/>
  <c r="T841" i="39"/>
  <c r="U840" i="39"/>
  <c r="T840" i="39"/>
  <c r="U839" i="39"/>
  <c r="T839" i="39"/>
  <c r="U838" i="39"/>
  <c r="T838" i="39"/>
  <c r="U837" i="39"/>
  <c r="T837" i="39"/>
  <c r="U836" i="39"/>
  <c r="T836" i="39"/>
  <c r="U835" i="39"/>
  <c r="T835" i="39"/>
  <c r="U834" i="39"/>
  <c r="T834" i="39"/>
  <c r="U833" i="39"/>
  <c r="T833" i="39"/>
  <c r="U832" i="39"/>
  <c r="T832" i="39"/>
  <c r="U831" i="39"/>
  <c r="T831" i="39"/>
  <c r="U830" i="39"/>
  <c r="T830" i="39"/>
  <c r="U829" i="39"/>
  <c r="T829" i="39"/>
  <c r="U828" i="39"/>
  <c r="T828" i="39"/>
  <c r="U827" i="39"/>
  <c r="T827" i="39"/>
  <c r="U826" i="39"/>
  <c r="T826" i="39"/>
  <c r="U825" i="39"/>
  <c r="T825" i="39"/>
  <c r="U824" i="39"/>
  <c r="T824" i="39"/>
  <c r="U823" i="39"/>
  <c r="T823" i="39"/>
  <c r="U822" i="39"/>
  <c r="T822" i="39"/>
  <c r="U821" i="39"/>
  <c r="T821" i="39"/>
  <c r="U820" i="39"/>
  <c r="T820" i="39"/>
  <c r="U819" i="39"/>
  <c r="T819" i="39"/>
  <c r="U818" i="39"/>
  <c r="T818" i="39"/>
  <c r="U817" i="39"/>
  <c r="T817" i="39"/>
  <c r="U816" i="39"/>
  <c r="T816" i="39"/>
  <c r="U815" i="39"/>
  <c r="T815" i="39"/>
  <c r="U814" i="39"/>
  <c r="T814" i="39"/>
  <c r="U813" i="39"/>
  <c r="T813" i="39"/>
  <c r="U812" i="39"/>
  <c r="T812" i="39"/>
  <c r="U811" i="39"/>
  <c r="T811" i="39"/>
  <c r="U810" i="39"/>
  <c r="T810" i="39"/>
  <c r="U809" i="39"/>
  <c r="T809" i="39"/>
  <c r="U808" i="39"/>
  <c r="T808" i="39"/>
  <c r="U807" i="39"/>
  <c r="T807" i="39"/>
  <c r="U806" i="39"/>
  <c r="T806" i="39"/>
  <c r="U805" i="39"/>
  <c r="T805" i="39"/>
  <c r="U804" i="39"/>
  <c r="T804" i="39"/>
  <c r="U803" i="39"/>
  <c r="T803" i="39"/>
  <c r="U802" i="39"/>
  <c r="T802" i="39"/>
  <c r="U801" i="39"/>
  <c r="T801" i="39"/>
  <c r="U800" i="39"/>
  <c r="T800" i="39"/>
  <c r="U799" i="39"/>
  <c r="T799" i="39"/>
  <c r="U798" i="39"/>
  <c r="T798" i="39"/>
  <c r="U797" i="39"/>
  <c r="T797" i="39"/>
  <c r="U796" i="39"/>
  <c r="T796" i="39"/>
  <c r="U795" i="39"/>
  <c r="T795" i="39"/>
  <c r="U794" i="39"/>
  <c r="T794" i="39"/>
  <c r="U793" i="39"/>
  <c r="T793" i="39"/>
  <c r="U792" i="39"/>
  <c r="T792" i="39"/>
  <c r="U791" i="39"/>
  <c r="T791" i="39"/>
  <c r="U790" i="39"/>
  <c r="T790" i="39"/>
  <c r="U789" i="39"/>
  <c r="T789" i="39"/>
  <c r="U788" i="39"/>
  <c r="T788" i="39"/>
  <c r="U787" i="39"/>
  <c r="T787" i="39"/>
  <c r="U786" i="39"/>
  <c r="T786" i="39"/>
  <c r="U785" i="39"/>
  <c r="T785" i="39"/>
  <c r="U784" i="39"/>
  <c r="T784" i="39"/>
  <c r="U783" i="39"/>
  <c r="T783" i="39"/>
  <c r="U782" i="39"/>
  <c r="T782" i="39"/>
  <c r="U781" i="39"/>
  <c r="T781" i="39"/>
  <c r="U780" i="39"/>
  <c r="T780" i="39"/>
  <c r="U779" i="39"/>
  <c r="T779" i="39"/>
  <c r="U778" i="39"/>
  <c r="T778" i="39"/>
  <c r="U777" i="39"/>
  <c r="T777" i="39"/>
  <c r="U776" i="39"/>
  <c r="T776" i="39"/>
  <c r="U775" i="39"/>
  <c r="T775" i="39"/>
  <c r="U774" i="39"/>
  <c r="T774" i="39"/>
  <c r="U773" i="39"/>
  <c r="T773" i="39"/>
  <c r="U772" i="39"/>
  <c r="T772" i="39"/>
  <c r="U771" i="39"/>
  <c r="T771" i="39"/>
  <c r="U770" i="39"/>
  <c r="T770" i="39"/>
  <c r="U769" i="39"/>
  <c r="T769" i="39"/>
  <c r="U768" i="39"/>
  <c r="T768" i="39"/>
  <c r="U767" i="39"/>
  <c r="T767" i="39"/>
  <c r="U766" i="39"/>
  <c r="T766" i="39"/>
  <c r="U765" i="39"/>
  <c r="T765" i="39"/>
  <c r="U764" i="39"/>
  <c r="T764" i="39"/>
  <c r="U763" i="39"/>
  <c r="T763" i="39"/>
  <c r="U762" i="39"/>
  <c r="T762" i="39"/>
  <c r="U761" i="39"/>
  <c r="T761" i="39"/>
  <c r="U760" i="39"/>
  <c r="T760" i="39"/>
  <c r="U759" i="39"/>
  <c r="T759" i="39"/>
  <c r="U758" i="39"/>
  <c r="T758" i="39"/>
  <c r="U757" i="39"/>
  <c r="T757" i="39"/>
  <c r="U756" i="39"/>
  <c r="T756" i="39"/>
  <c r="U755" i="39"/>
  <c r="T755" i="39"/>
  <c r="U754" i="39"/>
  <c r="T754" i="39"/>
  <c r="U753" i="39"/>
  <c r="T753" i="39"/>
  <c r="U752" i="39"/>
  <c r="T752" i="39"/>
  <c r="U751" i="39"/>
  <c r="T751" i="39"/>
  <c r="U750" i="39"/>
  <c r="T750" i="39"/>
  <c r="U749" i="39"/>
  <c r="T749" i="39"/>
  <c r="U748" i="39"/>
  <c r="T748" i="39"/>
  <c r="U747" i="39"/>
  <c r="T747" i="39"/>
  <c r="U746" i="39"/>
  <c r="T746" i="39"/>
  <c r="U745" i="39"/>
  <c r="T745" i="39"/>
  <c r="U744" i="39"/>
  <c r="T744" i="39"/>
  <c r="U743" i="39"/>
  <c r="T743" i="39"/>
  <c r="U742" i="39"/>
  <c r="T742" i="39"/>
  <c r="U741" i="39"/>
  <c r="T741" i="39"/>
  <c r="U740" i="39"/>
  <c r="T740" i="39"/>
  <c r="U739" i="39"/>
  <c r="T739" i="39"/>
  <c r="U738" i="39"/>
  <c r="T738" i="39"/>
  <c r="U737" i="39"/>
  <c r="T737" i="39"/>
  <c r="U736" i="39"/>
  <c r="T736" i="39"/>
  <c r="U735" i="39"/>
  <c r="T735" i="39"/>
  <c r="U734" i="39"/>
  <c r="T734" i="39"/>
  <c r="U733" i="39"/>
  <c r="T733" i="39"/>
  <c r="U732" i="39"/>
  <c r="T732" i="39"/>
  <c r="U731" i="39"/>
  <c r="T731" i="39"/>
  <c r="U730" i="39"/>
  <c r="T730" i="39"/>
  <c r="U729" i="39"/>
  <c r="T729" i="39"/>
  <c r="U728" i="39"/>
  <c r="T728" i="39"/>
  <c r="U727" i="39"/>
  <c r="T727" i="39"/>
  <c r="U726" i="39"/>
  <c r="T726" i="39"/>
  <c r="U725" i="39"/>
  <c r="T725" i="39"/>
  <c r="U724" i="39"/>
  <c r="T724" i="39"/>
  <c r="U723" i="39"/>
  <c r="T723" i="39"/>
  <c r="U722" i="39"/>
  <c r="T722" i="39"/>
  <c r="U721" i="39"/>
  <c r="T721" i="39"/>
  <c r="U720" i="39"/>
  <c r="T720" i="39"/>
  <c r="U719" i="39"/>
  <c r="T719" i="39"/>
  <c r="U718" i="39"/>
  <c r="T718" i="39"/>
  <c r="U717" i="39"/>
  <c r="T717" i="39"/>
  <c r="U716" i="39"/>
  <c r="T716" i="39"/>
  <c r="U715" i="39"/>
  <c r="T715" i="39"/>
  <c r="U714" i="39"/>
  <c r="T714" i="39"/>
  <c r="U713" i="39"/>
  <c r="T713" i="39"/>
  <c r="U712" i="39"/>
  <c r="T712" i="39"/>
  <c r="U711" i="39"/>
  <c r="T711" i="39"/>
  <c r="U710" i="39"/>
  <c r="T710" i="39"/>
  <c r="U709" i="39"/>
  <c r="T709" i="39"/>
  <c r="U708" i="39"/>
  <c r="T708" i="39"/>
  <c r="U707" i="39"/>
  <c r="T707" i="39"/>
  <c r="U706" i="39"/>
  <c r="T706" i="39"/>
  <c r="U705" i="39"/>
  <c r="T705" i="39"/>
  <c r="U704" i="39"/>
  <c r="T704" i="39"/>
  <c r="U703" i="39"/>
  <c r="T703" i="39"/>
  <c r="U702" i="39"/>
  <c r="T702" i="39"/>
  <c r="U701" i="39"/>
  <c r="T701" i="39"/>
  <c r="U700" i="39"/>
  <c r="T700" i="39"/>
  <c r="U699" i="39"/>
  <c r="T699" i="39"/>
  <c r="U698" i="39"/>
  <c r="T698" i="39"/>
  <c r="U697" i="39"/>
  <c r="T697" i="39"/>
  <c r="U696" i="39"/>
  <c r="T696" i="39"/>
  <c r="U695" i="39"/>
  <c r="T695" i="39"/>
  <c r="U694" i="39"/>
  <c r="T694" i="39"/>
  <c r="U693" i="39"/>
  <c r="T693" i="39"/>
  <c r="U692" i="39"/>
  <c r="T692" i="39"/>
  <c r="U691" i="39"/>
  <c r="T691" i="39"/>
  <c r="U690" i="39"/>
  <c r="T690" i="39"/>
  <c r="U689" i="39"/>
  <c r="T689" i="39"/>
  <c r="U688" i="39"/>
  <c r="T688" i="39"/>
  <c r="U687" i="39"/>
  <c r="T687" i="39"/>
  <c r="U686" i="39"/>
  <c r="T686" i="39"/>
  <c r="U685" i="39"/>
  <c r="T685" i="39"/>
  <c r="U684" i="39"/>
  <c r="T684" i="39"/>
  <c r="U683" i="39"/>
  <c r="T683" i="39"/>
  <c r="U682" i="39"/>
  <c r="T682" i="39"/>
  <c r="U681" i="39"/>
  <c r="T681" i="39"/>
  <c r="U680" i="39"/>
  <c r="T680" i="39"/>
  <c r="U679" i="39"/>
  <c r="T679" i="39"/>
  <c r="U678" i="39"/>
  <c r="T678" i="39"/>
  <c r="U677" i="39"/>
  <c r="T677" i="39"/>
  <c r="U676" i="39"/>
  <c r="T676" i="39"/>
  <c r="U675" i="39"/>
  <c r="T675" i="39"/>
  <c r="U674" i="39"/>
  <c r="T674" i="39"/>
  <c r="U673" i="39"/>
  <c r="T673" i="39"/>
  <c r="U672" i="39"/>
  <c r="T672" i="39"/>
  <c r="U671" i="39"/>
  <c r="T671" i="39"/>
  <c r="U670" i="39"/>
  <c r="T670" i="39"/>
  <c r="U669" i="39"/>
  <c r="T669" i="39"/>
  <c r="U668" i="39"/>
  <c r="T668" i="39"/>
  <c r="U667" i="39"/>
  <c r="T667" i="39"/>
  <c r="U666" i="39"/>
  <c r="T666" i="39"/>
  <c r="U665" i="39"/>
  <c r="T665" i="39"/>
  <c r="U664" i="39"/>
  <c r="T664" i="39"/>
  <c r="U663" i="39"/>
  <c r="T663" i="39"/>
  <c r="U662" i="39"/>
  <c r="T662" i="39"/>
  <c r="U661" i="39"/>
  <c r="T661" i="39"/>
  <c r="U660" i="39"/>
  <c r="T660" i="39"/>
  <c r="U659" i="39"/>
  <c r="T659" i="39"/>
  <c r="U658" i="39"/>
  <c r="T658" i="39"/>
  <c r="U657" i="39"/>
  <c r="T657" i="39"/>
  <c r="U656" i="39"/>
  <c r="T656" i="39"/>
  <c r="U655" i="39"/>
  <c r="T655" i="39"/>
  <c r="U654" i="39"/>
  <c r="T654" i="39"/>
  <c r="U653" i="39"/>
  <c r="T653" i="39"/>
  <c r="U652" i="39"/>
  <c r="T652" i="39"/>
  <c r="U651" i="39"/>
  <c r="T651" i="39"/>
  <c r="U650" i="39"/>
  <c r="T650" i="39"/>
  <c r="U649" i="39"/>
  <c r="T649" i="39"/>
  <c r="U648" i="39"/>
  <c r="T648" i="39"/>
  <c r="U647" i="39"/>
  <c r="T647" i="39"/>
  <c r="U646" i="39"/>
  <c r="T646" i="39"/>
  <c r="U645" i="39"/>
  <c r="T645" i="39"/>
  <c r="U644" i="39"/>
  <c r="T644" i="39"/>
  <c r="U643" i="39"/>
  <c r="T643" i="39"/>
  <c r="U642" i="39"/>
  <c r="T642" i="39"/>
  <c r="U641" i="39"/>
  <c r="T641" i="39"/>
  <c r="U640" i="39"/>
  <c r="T640" i="39"/>
  <c r="U639" i="39"/>
  <c r="T639" i="39"/>
  <c r="U638" i="39"/>
  <c r="T638" i="39"/>
  <c r="U637" i="39"/>
  <c r="T637" i="39"/>
  <c r="U636" i="39"/>
  <c r="T636" i="39"/>
  <c r="U635" i="39"/>
  <c r="T635" i="39"/>
  <c r="U634" i="39"/>
  <c r="T634" i="39"/>
  <c r="U633" i="39"/>
  <c r="T633" i="39"/>
  <c r="U632" i="39"/>
  <c r="T632" i="39"/>
  <c r="U631" i="39"/>
  <c r="T631" i="39"/>
  <c r="U630" i="39"/>
  <c r="T630" i="39"/>
  <c r="U629" i="39"/>
  <c r="T629" i="39"/>
  <c r="U628" i="39"/>
  <c r="T628" i="39"/>
  <c r="U627" i="39"/>
  <c r="T627" i="39"/>
  <c r="U626" i="39"/>
  <c r="T626" i="39"/>
  <c r="U625" i="39"/>
  <c r="T625" i="39"/>
  <c r="U624" i="39"/>
  <c r="T624" i="39"/>
  <c r="U623" i="39"/>
  <c r="T623" i="39"/>
  <c r="U622" i="39"/>
  <c r="T622" i="39"/>
  <c r="U621" i="39"/>
  <c r="T621" i="39"/>
  <c r="U620" i="39"/>
  <c r="T620" i="39"/>
  <c r="U619" i="39"/>
  <c r="T619" i="39"/>
  <c r="U618" i="39"/>
  <c r="T618" i="39"/>
  <c r="U617" i="39"/>
  <c r="T617" i="39"/>
  <c r="U616" i="39"/>
  <c r="T616" i="39"/>
  <c r="U615" i="39"/>
  <c r="T615" i="39"/>
  <c r="U614" i="39"/>
  <c r="T614" i="39"/>
  <c r="U613" i="39"/>
  <c r="T613" i="39"/>
  <c r="U612" i="39"/>
  <c r="T612" i="39"/>
  <c r="U611" i="39"/>
  <c r="T611" i="39"/>
  <c r="U610" i="39"/>
  <c r="T610" i="39"/>
  <c r="U609" i="39"/>
  <c r="T609" i="39"/>
  <c r="U608" i="39"/>
  <c r="T608" i="39"/>
  <c r="U607" i="39"/>
  <c r="T607" i="39"/>
  <c r="U606" i="39"/>
  <c r="T606" i="39"/>
  <c r="U605" i="39"/>
  <c r="T605" i="39"/>
  <c r="U604" i="39"/>
  <c r="T604" i="39"/>
  <c r="U603" i="39"/>
  <c r="T603" i="39"/>
  <c r="U602" i="39"/>
  <c r="T602" i="39"/>
  <c r="U601" i="39"/>
  <c r="T601" i="39"/>
  <c r="U600" i="39"/>
  <c r="T600" i="39"/>
  <c r="U599" i="39"/>
  <c r="T599" i="39"/>
  <c r="U598" i="39"/>
  <c r="T598" i="39"/>
  <c r="U597" i="39"/>
  <c r="T597" i="39"/>
  <c r="U596" i="39"/>
  <c r="T596" i="39"/>
  <c r="U595" i="39"/>
  <c r="T595" i="39"/>
  <c r="U594" i="39"/>
  <c r="T594" i="39"/>
  <c r="U593" i="39"/>
  <c r="T593" i="39"/>
  <c r="U592" i="39"/>
  <c r="T592" i="39"/>
  <c r="U591" i="39"/>
  <c r="T591" i="39"/>
  <c r="U590" i="39"/>
  <c r="T590" i="39"/>
  <c r="U589" i="39"/>
  <c r="T589" i="39"/>
  <c r="U588" i="39"/>
  <c r="T588" i="39"/>
  <c r="U587" i="39"/>
  <c r="T587" i="39"/>
  <c r="U586" i="39"/>
  <c r="T586" i="39"/>
  <c r="U585" i="39"/>
  <c r="T585" i="39"/>
  <c r="U584" i="39"/>
  <c r="T584" i="39"/>
  <c r="U583" i="39"/>
  <c r="T583" i="39"/>
  <c r="U582" i="39"/>
  <c r="T582" i="39"/>
  <c r="U581" i="39"/>
  <c r="T581" i="39"/>
  <c r="U580" i="39"/>
  <c r="T580" i="39"/>
  <c r="U579" i="39"/>
  <c r="T579" i="39"/>
  <c r="U578" i="39"/>
  <c r="T578" i="39"/>
  <c r="U577" i="39"/>
  <c r="T577" i="39"/>
  <c r="U576" i="39"/>
  <c r="T576" i="39"/>
  <c r="U575" i="39"/>
  <c r="T575" i="39"/>
  <c r="U574" i="39"/>
  <c r="T574" i="39"/>
  <c r="U573" i="39"/>
  <c r="T573" i="39"/>
  <c r="U572" i="39"/>
  <c r="T572" i="39"/>
  <c r="U571" i="39"/>
  <c r="T571" i="39"/>
  <c r="U570" i="39"/>
  <c r="T570" i="39"/>
  <c r="U569" i="39"/>
  <c r="T569" i="39"/>
  <c r="U568" i="39"/>
  <c r="T568" i="39"/>
  <c r="U567" i="39"/>
  <c r="T567" i="39"/>
  <c r="U566" i="39"/>
  <c r="T566" i="39"/>
  <c r="U565" i="39"/>
  <c r="T565" i="39"/>
  <c r="U564" i="39"/>
  <c r="T564" i="39"/>
  <c r="U563" i="39"/>
  <c r="T563" i="39"/>
  <c r="U562" i="39"/>
  <c r="T562" i="39"/>
  <c r="U561" i="39"/>
  <c r="T561" i="39"/>
  <c r="U560" i="39"/>
  <c r="T560" i="39"/>
  <c r="U559" i="39"/>
  <c r="T559" i="39"/>
  <c r="U558" i="39"/>
  <c r="T558" i="39"/>
  <c r="U557" i="39"/>
  <c r="T557" i="39"/>
  <c r="U556" i="39"/>
  <c r="T556" i="39"/>
  <c r="U555" i="39"/>
  <c r="T555" i="39"/>
  <c r="U554" i="39"/>
  <c r="T554" i="39"/>
  <c r="U553" i="39"/>
  <c r="T553" i="39"/>
  <c r="U552" i="39"/>
  <c r="T552" i="39"/>
  <c r="U551" i="39"/>
  <c r="T551" i="39"/>
  <c r="U550" i="39"/>
  <c r="T550" i="39"/>
  <c r="U549" i="39"/>
  <c r="T549" i="39"/>
  <c r="U548" i="39"/>
  <c r="T548" i="39"/>
  <c r="U547" i="39"/>
  <c r="T547" i="39"/>
  <c r="U546" i="39"/>
  <c r="T546" i="39"/>
  <c r="U545" i="39"/>
  <c r="T545" i="39"/>
  <c r="U544" i="39"/>
  <c r="T544" i="39"/>
  <c r="U543" i="39"/>
  <c r="T543" i="39"/>
  <c r="U542" i="39"/>
  <c r="T542" i="39"/>
  <c r="U541" i="39"/>
  <c r="T541" i="39"/>
  <c r="U540" i="39"/>
  <c r="T540" i="39"/>
  <c r="U539" i="39"/>
  <c r="T539" i="39"/>
  <c r="U538" i="39"/>
  <c r="T538" i="39"/>
  <c r="U537" i="39"/>
  <c r="T537" i="39"/>
  <c r="U536" i="39"/>
  <c r="T536" i="39"/>
  <c r="U535" i="39"/>
  <c r="T535" i="39"/>
  <c r="U534" i="39"/>
  <c r="T534" i="39"/>
  <c r="U533" i="39"/>
  <c r="T533" i="39"/>
  <c r="U532" i="39"/>
  <c r="T532" i="39"/>
  <c r="U531" i="39"/>
  <c r="T531" i="39"/>
  <c r="U530" i="39"/>
  <c r="T530" i="39"/>
  <c r="U529" i="39"/>
  <c r="T529" i="39"/>
  <c r="U528" i="39"/>
  <c r="T528" i="39"/>
  <c r="U527" i="39"/>
  <c r="T527" i="39"/>
  <c r="U526" i="39"/>
  <c r="T526" i="39"/>
  <c r="U525" i="39"/>
  <c r="T525" i="39"/>
  <c r="U524" i="39"/>
  <c r="T524" i="39"/>
  <c r="U523" i="39"/>
  <c r="T523" i="39"/>
  <c r="U522" i="39"/>
  <c r="T522" i="39"/>
  <c r="U521" i="39"/>
  <c r="T521" i="39"/>
  <c r="U520" i="39"/>
  <c r="T520" i="39"/>
  <c r="U519" i="39"/>
  <c r="T519" i="39"/>
  <c r="U518" i="39"/>
  <c r="T518" i="39"/>
  <c r="U517" i="39"/>
  <c r="T517" i="39"/>
  <c r="U516" i="39"/>
  <c r="T516" i="39"/>
  <c r="U515" i="39"/>
  <c r="T515" i="39"/>
  <c r="U514" i="39"/>
  <c r="T514" i="39"/>
  <c r="U513" i="39"/>
  <c r="T513" i="39"/>
  <c r="U512" i="39"/>
  <c r="T512" i="39"/>
  <c r="U511" i="39"/>
  <c r="T511" i="39"/>
  <c r="U510" i="39"/>
  <c r="T510" i="39"/>
  <c r="U509" i="39"/>
  <c r="T509" i="39"/>
  <c r="U508" i="39"/>
  <c r="T508" i="39"/>
  <c r="U507" i="39"/>
  <c r="T507" i="39"/>
  <c r="U506" i="39"/>
  <c r="T506" i="39"/>
  <c r="U505" i="39"/>
  <c r="T505" i="39"/>
  <c r="U504" i="39"/>
  <c r="T504" i="39"/>
  <c r="U503" i="39"/>
  <c r="T503" i="39"/>
  <c r="U502" i="39"/>
  <c r="T502" i="39"/>
  <c r="U501" i="39"/>
  <c r="T501" i="39"/>
  <c r="U500" i="39"/>
  <c r="T500" i="39"/>
  <c r="U499" i="39"/>
  <c r="T499" i="39"/>
  <c r="U498" i="39"/>
  <c r="T498" i="39"/>
  <c r="U497" i="39"/>
  <c r="T497" i="39"/>
  <c r="U496" i="39"/>
  <c r="T496" i="39"/>
  <c r="U495" i="39"/>
  <c r="T495" i="39"/>
  <c r="U494" i="39"/>
  <c r="T494" i="39"/>
  <c r="U493" i="39"/>
  <c r="T493" i="39"/>
  <c r="U492" i="39"/>
  <c r="T492" i="39"/>
  <c r="U491" i="39"/>
  <c r="T491" i="39"/>
  <c r="U490" i="39"/>
  <c r="T490" i="39"/>
  <c r="U489" i="39"/>
  <c r="T489" i="39"/>
  <c r="U488" i="39"/>
  <c r="T488" i="39"/>
  <c r="U487" i="39"/>
  <c r="T487" i="39"/>
  <c r="U486" i="39"/>
  <c r="T486" i="39"/>
  <c r="U485" i="39"/>
  <c r="T485" i="39"/>
  <c r="U484" i="39"/>
  <c r="T484" i="39"/>
  <c r="U483" i="39"/>
  <c r="T483" i="39"/>
  <c r="U482" i="39"/>
  <c r="T482" i="39"/>
  <c r="U481" i="39"/>
  <c r="T481" i="39"/>
  <c r="U480" i="39"/>
  <c r="T480" i="39"/>
  <c r="U479" i="39"/>
  <c r="T479" i="39"/>
  <c r="U478" i="39"/>
  <c r="T478" i="39"/>
  <c r="U477" i="39"/>
  <c r="T477" i="39"/>
  <c r="U476" i="39"/>
  <c r="T476" i="39"/>
  <c r="U475" i="39"/>
  <c r="T475" i="39"/>
  <c r="U474" i="39"/>
  <c r="T474" i="39"/>
  <c r="U473" i="39"/>
  <c r="T473" i="39"/>
  <c r="U472" i="39"/>
  <c r="T472" i="39"/>
  <c r="U471" i="39"/>
  <c r="T471" i="39"/>
  <c r="U470" i="39"/>
  <c r="T470" i="39"/>
  <c r="U469" i="39"/>
  <c r="T469" i="39"/>
  <c r="U468" i="39"/>
  <c r="T468" i="39"/>
  <c r="U467" i="39"/>
  <c r="T467" i="39"/>
  <c r="U466" i="39"/>
  <c r="T466" i="39"/>
  <c r="U465" i="39"/>
  <c r="T465" i="39"/>
  <c r="U464" i="39"/>
  <c r="T464" i="39"/>
  <c r="U463" i="39"/>
  <c r="T463" i="39"/>
  <c r="U462" i="39"/>
  <c r="T462" i="39"/>
  <c r="U461" i="39"/>
  <c r="T461" i="39"/>
  <c r="U460" i="39"/>
  <c r="T460" i="39"/>
  <c r="U459" i="39"/>
  <c r="T459" i="39"/>
  <c r="U458" i="39"/>
  <c r="T458" i="39"/>
  <c r="U457" i="39"/>
  <c r="T457" i="39"/>
  <c r="U456" i="39"/>
  <c r="T456" i="39"/>
  <c r="U455" i="39"/>
  <c r="T455" i="39"/>
  <c r="U454" i="39"/>
  <c r="T454" i="39"/>
  <c r="U453" i="39"/>
  <c r="T453" i="39"/>
  <c r="U452" i="39"/>
  <c r="T452" i="39"/>
  <c r="U451" i="39"/>
  <c r="T451" i="39"/>
  <c r="U450" i="39"/>
  <c r="T450" i="39"/>
  <c r="U449" i="39"/>
  <c r="T449" i="39"/>
  <c r="U448" i="39"/>
  <c r="T448" i="39"/>
  <c r="U447" i="39"/>
  <c r="T447" i="39"/>
  <c r="U446" i="39"/>
  <c r="T446" i="39"/>
  <c r="U445" i="39"/>
  <c r="T445" i="39"/>
  <c r="U444" i="39"/>
  <c r="T444" i="39"/>
  <c r="U443" i="39"/>
  <c r="T443" i="39"/>
  <c r="U442" i="39"/>
  <c r="T442" i="39"/>
  <c r="U441" i="39"/>
  <c r="T441" i="39"/>
  <c r="U440" i="39"/>
  <c r="T440" i="39"/>
  <c r="U439" i="39"/>
  <c r="T439" i="39"/>
  <c r="U438" i="39"/>
  <c r="T438" i="39"/>
  <c r="U437" i="39"/>
  <c r="T437" i="39"/>
  <c r="U436" i="39"/>
  <c r="T436" i="39"/>
  <c r="U435" i="39"/>
  <c r="T435" i="39"/>
  <c r="U434" i="39"/>
  <c r="T434" i="39"/>
  <c r="U433" i="39"/>
  <c r="T433" i="39"/>
  <c r="U432" i="39"/>
  <c r="T432" i="39"/>
  <c r="U431" i="39"/>
  <c r="T431" i="39"/>
  <c r="U430" i="39"/>
  <c r="T430" i="39"/>
  <c r="U429" i="39"/>
  <c r="T429" i="39"/>
  <c r="U428" i="39"/>
  <c r="T428" i="39"/>
  <c r="U427" i="39"/>
  <c r="T427" i="39"/>
  <c r="U426" i="39"/>
  <c r="T426" i="39"/>
  <c r="U425" i="39"/>
  <c r="T425" i="39"/>
  <c r="U424" i="39"/>
  <c r="T424" i="39"/>
  <c r="U423" i="39"/>
  <c r="T423" i="39"/>
  <c r="U422" i="39"/>
  <c r="T422" i="39"/>
  <c r="U421" i="39"/>
  <c r="T421" i="39"/>
  <c r="U420" i="39"/>
  <c r="T420" i="39"/>
  <c r="U419" i="39"/>
  <c r="T419" i="39"/>
  <c r="U418" i="39"/>
  <c r="T418" i="39"/>
  <c r="U417" i="39"/>
  <c r="T417" i="39"/>
  <c r="U416" i="39"/>
  <c r="T416" i="39"/>
  <c r="U415" i="39"/>
  <c r="T415" i="39"/>
  <c r="U414" i="39"/>
  <c r="T414" i="39"/>
  <c r="U413" i="39"/>
  <c r="T413" i="39"/>
  <c r="U412" i="39"/>
  <c r="T412" i="39"/>
  <c r="U411" i="39"/>
  <c r="T411" i="39"/>
  <c r="U410" i="39"/>
  <c r="T410" i="39"/>
  <c r="U409" i="39"/>
  <c r="T409" i="39"/>
  <c r="U408" i="39"/>
  <c r="T408" i="39"/>
  <c r="U407" i="39"/>
  <c r="T407" i="39"/>
  <c r="U406" i="39"/>
  <c r="T406" i="39"/>
  <c r="U405" i="39"/>
  <c r="T405" i="39"/>
  <c r="U404" i="39"/>
  <c r="T404" i="39"/>
  <c r="U403" i="39"/>
  <c r="T403" i="39"/>
  <c r="U402" i="39"/>
  <c r="T402" i="39"/>
  <c r="U401" i="39"/>
  <c r="T401" i="39"/>
  <c r="U400" i="39"/>
  <c r="T400" i="39"/>
  <c r="U399" i="39"/>
  <c r="T399" i="39"/>
  <c r="U398" i="39"/>
  <c r="T398" i="39"/>
  <c r="U397" i="39"/>
  <c r="T397" i="39"/>
  <c r="U396" i="39"/>
  <c r="T396" i="39"/>
  <c r="U395" i="39"/>
  <c r="T395" i="39"/>
  <c r="U394" i="39"/>
  <c r="T394" i="39"/>
  <c r="U393" i="39"/>
  <c r="T393" i="39"/>
  <c r="U392" i="39"/>
  <c r="T392" i="39"/>
  <c r="U391" i="39"/>
  <c r="T391" i="39"/>
  <c r="U390" i="39"/>
  <c r="T390" i="39"/>
  <c r="U389" i="39"/>
  <c r="T389" i="39"/>
  <c r="U388" i="39"/>
  <c r="T388" i="39"/>
  <c r="U387" i="39"/>
  <c r="T387" i="39"/>
  <c r="U386" i="39"/>
  <c r="T386" i="39"/>
  <c r="U385" i="39"/>
  <c r="T385" i="39"/>
  <c r="U384" i="39"/>
  <c r="T384" i="39"/>
  <c r="U383" i="39"/>
  <c r="T383" i="39"/>
  <c r="U382" i="39"/>
  <c r="T382" i="39"/>
  <c r="U381" i="39"/>
  <c r="T381" i="39"/>
  <c r="U380" i="39"/>
  <c r="T380" i="39"/>
  <c r="U379" i="39"/>
  <c r="T379" i="39"/>
  <c r="U378" i="39"/>
  <c r="T378" i="39"/>
  <c r="U377" i="39"/>
  <c r="T377" i="39"/>
  <c r="U376" i="39"/>
  <c r="T376" i="39"/>
  <c r="U375" i="39"/>
  <c r="T375" i="39"/>
  <c r="U374" i="39"/>
  <c r="T374" i="39"/>
  <c r="U373" i="39"/>
  <c r="T373" i="39"/>
  <c r="U372" i="39"/>
  <c r="T372" i="39"/>
  <c r="U371" i="39"/>
  <c r="T371" i="39"/>
  <c r="U370" i="39"/>
  <c r="T370" i="39"/>
  <c r="U369" i="39"/>
  <c r="T369" i="39"/>
  <c r="U368" i="39"/>
  <c r="T368" i="39"/>
  <c r="U367" i="39"/>
  <c r="T367" i="39"/>
  <c r="U366" i="39"/>
  <c r="T366" i="39"/>
  <c r="U365" i="39"/>
  <c r="T365" i="39"/>
  <c r="U364" i="39"/>
  <c r="T364" i="39"/>
  <c r="U363" i="39"/>
  <c r="T363" i="39"/>
  <c r="U362" i="39"/>
  <c r="T362" i="39"/>
  <c r="U361" i="39"/>
  <c r="T361" i="39"/>
  <c r="U360" i="39"/>
  <c r="T360" i="39"/>
  <c r="U359" i="39"/>
  <c r="T359" i="39"/>
  <c r="U358" i="39"/>
  <c r="T358" i="39"/>
  <c r="U357" i="39"/>
  <c r="T357" i="39"/>
  <c r="U356" i="39"/>
  <c r="T356" i="39"/>
  <c r="U355" i="39"/>
  <c r="T355" i="39"/>
  <c r="U354" i="39"/>
  <c r="T354" i="39"/>
  <c r="U353" i="39"/>
  <c r="T353" i="39"/>
  <c r="U352" i="39"/>
  <c r="T352" i="39"/>
  <c r="U351" i="39"/>
  <c r="T351" i="39"/>
  <c r="U350" i="39"/>
  <c r="T350" i="39"/>
  <c r="U349" i="39"/>
  <c r="T349" i="39"/>
  <c r="U348" i="39"/>
  <c r="T348" i="39"/>
  <c r="U347" i="39"/>
  <c r="T347" i="39"/>
  <c r="U346" i="39"/>
  <c r="T346" i="39"/>
  <c r="U345" i="39"/>
  <c r="T345" i="39"/>
  <c r="U344" i="39"/>
  <c r="T344" i="39"/>
  <c r="U343" i="39"/>
  <c r="T343" i="39"/>
  <c r="U342" i="39"/>
  <c r="T342" i="39"/>
  <c r="U341" i="39"/>
  <c r="T341" i="39"/>
  <c r="U340" i="39"/>
  <c r="T340" i="39"/>
  <c r="U339" i="39"/>
  <c r="T339" i="39"/>
  <c r="U338" i="39"/>
  <c r="T338" i="39"/>
  <c r="U337" i="39"/>
  <c r="T337" i="39"/>
  <c r="U336" i="39"/>
  <c r="T336" i="39"/>
  <c r="U335" i="39"/>
  <c r="T335" i="39"/>
  <c r="U334" i="39"/>
  <c r="T334" i="39"/>
  <c r="U333" i="39"/>
  <c r="T333" i="39"/>
  <c r="U332" i="39"/>
  <c r="T332" i="39"/>
  <c r="U331" i="39"/>
  <c r="T331" i="39"/>
  <c r="U330" i="39"/>
  <c r="T330" i="39"/>
  <c r="U329" i="39"/>
  <c r="T329" i="39"/>
  <c r="U328" i="39"/>
  <c r="T328" i="39"/>
  <c r="U327" i="39"/>
  <c r="T327" i="39"/>
  <c r="U326" i="39"/>
  <c r="T326" i="39"/>
  <c r="U325" i="39"/>
  <c r="T325" i="39"/>
  <c r="U324" i="39"/>
  <c r="T324" i="39"/>
  <c r="U323" i="39"/>
  <c r="T323" i="39"/>
  <c r="U322" i="39"/>
  <c r="T322" i="39"/>
  <c r="U321" i="39"/>
  <c r="T321" i="39"/>
  <c r="U320" i="39"/>
  <c r="T320" i="39"/>
  <c r="U319" i="39"/>
  <c r="T319" i="39"/>
  <c r="U318" i="39"/>
  <c r="T318" i="39"/>
  <c r="U317" i="39"/>
  <c r="T317" i="39"/>
  <c r="U316" i="39"/>
  <c r="T316" i="39"/>
  <c r="U315" i="39"/>
  <c r="T315" i="39"/>
  <c r="U314" i="39"/>
  <c r="T314" i="39"/>
  <c r="U313" i="39"/>
  <c r="T313" i="39"/>
  <c r="U312" i="39"/>
  <c r="T312" i="39"/>
  <c r="U311" i="39"/>
  <c r="T311" i="39"/>
  <c r="U310" i="39"/>
  <c r="T310" i="39"/>
  <c r="U309" i="39"/>
  <c r="T309" i="39"/>
  <c r="U308" i="39"/>
  <c r="T308" i="39"/>
  <c r="U307" i="39"/>
  <c r="T307" i="39"/>
  <c r="U306" i="39"/>
  <c r="T306" i="39"/>
  <c r="U303" i="39"/>
  <c r="T303" i="39"/>
  <c r="U302" i="39"/>
  <c r="T302" i="39"/>
  <c r="U301" i="39"/>
  <c r="T301" i="39"/>
  <c r="U300" i="39"/>
  <c r="T300" i="39"/>
  <c r="U299" i="39"/>
  <c r="T299" i="39"/>
  <c r="U298" i="39"/>
  <c r="T298" i="39"/>
  <c r="U297" i="39"/>
  <c r="T297" i="39"/>
  <c r="U296" i="39"/>
  <c r="T296" i="39"/>
  <c r="U295" i="39"/>
  <c r="T295" i="39"/>
  <c r="U294" i="39"/>
  <c r="T294" i="39"/>
  <c r="U293" i="39"/>
  <c r="T293" i="39"/>
  <c r="U292" i="39"/>
  <c r="T292" i="39"/>
  <c r="U291" i="39"/>
  <c r="T291" i="39"/>
  <c r="U290" i="39"/>
  <c r="T290" i="39"/>
  <c r="U289" i="39"/>
  <c r="T289" i="39"/>
  <c r="U288" i="39"/>
  <c r="T288" i="39"/>
  <c r="U287" i="39"/>
  <c r="T287" i="39"/>
  <c r="U286" i="39"/>
  <c r="T286" i="39"/>
  <c r="U285" i="39"/>
  <c r="T285" i="39"/>
  <c r="U284" i="39"/>
  <c r="T284" i="39"/>
  <c r="U283" i="39"/>
  <c r="T283" i="39"/>
  <c r="U282" i="39"/>
  <c r="T282" i="39"/>
  <c r="U281" i="39"/>
  <c r="T281" i="39"/>
  <c r="U280" i="39"/>
  <c r="T280" i="39"/>
  <c r="U279" i="39"/>
  <c r="T279" i="39"/>
  <c r="U278" i="39"/>
  <c r="T278" i="39"/>
  <c r="U277" i="39"/>
  <c r="T277" i="39"/>
  <c r="U276" i="39"/>
  <c r="T276" i="39"/>
  <c r="U275" i="39"/>
  <c r="T275" i="39"/>
  <c r="U274" i="39"/>
  <c r="T274" i="39"/>
  <c r="U273" i="39"/>
  <c r="T273" i="39"/>
  <c r="U272" i="39"/>
  <c r="T272" i="39"/>
  <c r="U271" i="39"/>
  <c r="T271" i="39"/>
  <c r="U270" i="39"/>
  <c r="T270" i="39"/>
  <c r="U269" i="39"/>
  <c r="T269" i="39"/>
  <c r="U268" i="39"/>
  <c r="T268" i="39"/>
  <c r="U267" i="39"/>
  <c r="T267" i="39"/>
  <c r="U265" i="39"/>
  <c r="T265" i="39"/>
  <c r="U264" i="39"/>
  <c r="T264" i="39"/>
  <c r="U263" i="39"/>
  <c r="T263" i="39"/>
  <c r="U262" i="39"/>
  <c r="T262" i="39"/>
  <c r="U260" i="39"/>
  <c r="T260" i="39"/>
  <c r="U259" i="39"/>
  <c r="T259" i="39"/>
  <c r="U258" i="39"/>
  <c r="T258" i="39"/>
  <c r="U257" i="39"/>
  <c r="T257" i="39"/>
  <c r="U256" i="39"/>
  <c r="T256" i="39"/>
  <c r="U255" i="39"/>
  <c r="T255" i="39"/>
  <c r="U254" i="39"/>
  <c r="T254" i="39"/>
  <c r="U253" i="39"/>
  <c r="T253" i="39"/>
  <c r="U252" i="39"/>
  <c r="T252" i="39"/>
  <c r="U251" i="39"/>
  <c r="T251" i="39"/>
  <c r="U250" i="39"/>
  <c r="T250" i="39"/>
  <c r="U249" i="39"/>
  <c r="T249" i="39"/>
  <c r="U248" i="39"/>
  <c r="T248" i="39"/>
  <c r="U247" i="39"/>
  <c r="T247" i="39"/>
  <c r="U246" i="39"/>
  <c r="T246" i="39"/>
  <c r="U245" i="39"/>
  <c r="T245" i="39"/>
  <c r="U244" i="39"/>
  <c r="T244" i="39"/>
  <c r="U243" i="39"/>
  <c r="T243" i="39"/>
  <c r="U242" i="39"/>
  <c r="T242" i="39"/>
  <c r="U241" i="39"/>
  <c r="T241" i="39"/>
  <c r="U240" i="39"/>
  <c r="T240" i="39"/>
  <c r="U239" i="39"/>
  <c r="T239" i="39"/>
  <c r="U238" i="39"/>
  <c r="T238" i="39"/>
  <c r="U237" i="39"/>
  <c r="T237" i="39"/>
  <c r="U236" i="39"/>
  <c r="T236" i="39"/>
  <c r="U235" i="39"/>
  <c r="T235" i="39"/>
  <c r="U234" i="39"/>
  <c r="T234" i="39"/>
  <c r="U233" i="39"/>
  <c r="T233" i="39"/>
  <c r="U232" i="39"/>
  <c r="T232" i="39"/>
  <c r="U231" i="39"/>
  <c r="T231" i="39"/>
  <c r="U230" i="39"/>
  <c r="T230" i="39"/>
  <c r="U229" i="39"/>
  <c r="T229" i="39"/>
  <c r="U228" i="39"/>
  <c r="T228" i="39"/>
  <c r="U227" i="39"/>
  <c r="T227" i="39"/>
  <c r="U226" i="39"/>
  <c r="T226" i="39"/>
  <c r="U225" i="39"/>
  <c r="T225" i="39"/>
  <c r="U224" i="39"/>
  <c r="T224" i="39"/>
  <c r="U223" i="39"/>
  <c r="T223" i="39"/>
  <c r="U222" i="39"/>
  <c r="T222" i="39"/>
  <c r="U221" i="39"/>
  <c r="T221" i="39"/>
  <c r="U220" i="39"/>
  <c r="T220" i="39"/>
  <c r="U219" i="39"/>
  <c r="T219" i="39"/>
  <c r="U218" i="39"/>
  <c r="T218" i="39"/>
  <c r="U217" i="39"/>
  <c r="T217" i="39"/>
  <c r="U216" i="39"/>
  <c r="T216" i="39"/>
  <c r="U215" i="39"/>
  <c r="T215" i="39"/>
  <c r="U214" i="39"/>
  <c r="T214" i="39"/>
  <c r="U213" i="39"/>
  <c r="T213" i="39"/>
  <c r="U212" i="39"/>
  <c r="T212" i="39"/>
  <c r="U211" i="39"/>
  <c r="T211" i="39"/>
  <c r="U210" i="39"/>
  <c r="T210" i="39"/>
  <c r="U209" i="39"/>
  <c r="T209" i="39"/>
  <c r="U208" i="39"/>
  <c r="T208" i="39"/>
  <c r="U207" i="39"/>
  <c r="T207" i="39"/>
  <c r="U206" i="39"/>
  <c r="T206" i="39"/>
  <c r="U205" i="39"/>
  <c r="T205" i="39"/>
  <c r="U204" i="39"/>
  <c r="T204" i="39"/>
  <c r="U203" i="39"/>
  <c r="T203" i="39"/>
  <c r="U202" i="39"/>
  <c r="T202" i="39"/>
  <c r="U201" i="39"/>
  <c r="T201" i="39"/>
  <c r="U200" i="39"/>
  <c r="T200" i="39"/>
  <c r="U199" i="39"/>
  <c r="T199" i="39"/>
  <c r="U198" i="39"/>
  <c r="T198" i="39"/>
  <c r="U197" i="39"/>
  <c r="T197" i="39"/>
  <c r="U196" i="39"/>
  <c r="T196" i="39"/>
  <c r="U195" i="39"/>
  <c r="T195" i="39"/>
  <c r="U194" i="39"/>
  <c r="T194" i="39"/>
  <c r="U193" i="39"/>
  <c r="T193" i="39"/>
  <c r="U192" i="39"/>
  <c r="T192" i="39"/>
  <c r="U191" i="39"/>
  <c r="T191" i="39"/>
  <c r="U190" i="39"/>
  <c r="T190" i="39"/>
  <c r="U189" i="39"/>
  <c r="T189" i="39"/>
  <c r="U188" i="39"/>
  <c r="T188" i="39"/>
  <c r="U187" i="39"/>
  <c r="T187" i="39"/>
  <c r="U186" i="39"/>
  <c r="T186" i="39"/>
  <c r="U185" i="39"/>
  <c r="T185" i="39"/>
  <c r="U184" i="39"/>
  <c r="T184" i="39"/>
  <c r="U183" i="39"/>
  <c r="T183" i="39"/>
  <c r="U182" i="39"/>
  <c r="T182" i="39"/>
  <c r="U181" i="39"/>
  <c r="T181" i="39"/>
  <c r="U180" i="39"/>
  <c r="T180" i="39"/>
  <c r="U179" i="39"/>
  <c r="T179" i="39"/>
  <c r="U178" i="39"/>
  <c r="T178" i="39"/>
  <c r="U177" i="39"/>
  <c r="T177" i="39"/>
  <c r="U176" i="39"/>
  <c r="T176" i="39"/>
  <c r="U175" i="39"/>
  <c r="T175" i="39"/>
  <c r="U174" i="39"/>
  <c r="T174" i="39"/>
  <c r="U173" i="39"/>
  <c r="T173" i="39"/>
  <c r="U172" i="39"/>
  <c r="T172" i="39"/>
  <c r="U171" i="39"/>
  <c r="T171" i="39"/>
  <c r="U170" i="39"/>
  <c r="T170" i="39"/>
  <c r="U169" i="39"/>
  <c r="T169" i="39"/>
  <c r="U168" i="39"/>
  <c r="T168" i="39"/>
  <c r="U167" i="39"/>
  <c r="T167" i="39"/>
  <c r="U166" i="39"/>
  <c r="T166" i="39"/>
  <c r="U165" i="39"/>
  <c r="T165" i="39"/>
  <c r="U164" i="39"/>
  <c r="T164" i="39"/>
  <c r="U163" i="39"/>
  <c r="T163" i="39"/>
  <c r="U162" i="39"/>
  <c r="T162" i="39"/>
  <c r="U161" i="39"/>
  <c r="T161" i="39"/>
  <c r="U160" i="39"/>
  <c r="T160" i="39"/>
  <c r="U159" i="39"/>
  <c r="T159" i="39"/>
  <c r="U158" i="39"/>
  <c r="T158" i="39"/>
  <c r="U157" i="39"/>
  <c r="T157" i="39"/>
  <c r="U156" i="39"/>
  <c r="T156" i="39"/>
  <c r="U155" i="39"/>
  <c r="T155" i="39"/>
  <c r="U154" i="39"/>
  <c r="T154" i="39"/>
  <c r="U153" i="39"/>
  <c r="T153" i="39"/>
  <c r="U152" i="39"/>
  <c r="T152" i="39"/>
  <c r="U151" i="39"/>
  <c r="T151" i="39"/>
  <c r="U150" i="39"/>
  <c r="T150" i="39"/>
  <c r="U149" i="39"/>
  <c r="T149" i="39"/>
  <c r="U148" i="39"/>
  <c r="T148" i="39"/>
  <c r="U147" i="39"/>
  <c r="T147" i="39"/>
  <c r="U146" i="39"/>
  <c r="T146" i="39"/>
  <c r="U145" i="39"/>
  <c r="T145" i="39"/>
  <c r="U144" i="39"/>
  <c r="T144" i="39"/>
  <c r="U143" i="39"/>
  <c r="T143" i="39"/>
  <c r="U142" i="39"/>
  <c r="T142" i="39"/>
  <c r="U141" i="39"/>
  <c r="T141" i="39"/>
  <c r="U140" i="39"/>
  <c r="T140" i="39"/>
  <c r="U139" i="39"/>
  <c r="T139" i="39"/>
  <c r="U138" i="39"/>
  <c r="T138" i="39"/>
  <c r="U137" i="39"/>
  <c r="T137" i="39"/>
  <c r="U136" i="39"/>
  <c r="T136" i="39"/>
  <c r="U135" i="39"/>
  <c r="T135" i="39"/>
  <c r="U134" i="39"/>
  <c r="T134" i="39"/>
  <c r="U133" i="39"/>
  <c r="T133" i="39"/>
  <c r="U132" i="39"/>
  <c r="T132" i="39"/>
  <c r="U131" i="39"/>
  <c r="T131" i="39"/>
  <c r="U130" i="39"/>
  <c r="T130" i="39"/>
  <c r="U129" i="39"/>
  <c r="T129" i="39"/>
  <c r="U128" i="39"/>
  <c r="T128" i="39"/>
  <c r="U127" i="39"/>
  <c r="T127" i="39"/>
  <c r="U126" i="39"/>
  <c r="T126" i="39"/>
  <c r="U125" i="39"/>
  <c r="T125" i="39"/>
  <c r="U124" i="39"/>
  <c r="T124" i="39"/>
  <c r="U123" i="39"/>
  <c r="T123" i="39"/>
  <c r="U122" i="39"/>
  <c r="T122" i="39"/>
  <c r="U121" i="39"/>
  <c r="T121" i="39"/>
  <c r="U120" i="39"/>
  <c r="T120" i="39"/>
  <c r="U119" i="39"/>
  <c r="T119" i="39"/>
  <c r="U118" i="39"/>
  <c r="T118" i="39"/>
  <c r="U117" i="39"/>
  <c r="T117" i="39"/>
  <c r="U116" i="39"/>
  <c r="T116" i="39"/>
  <c r="U115" i="39"/>
  <c r="T115" i="39"/>
  <c r="U114" i="39"/>
  <c r="T114" i="39"/>
  <c r="U113" i="39"/>
  <c r="T113" i="39"/>
  <c r="U112" i="39"/>
  <c r="T112" i="39"/>
  <c r="U111" i="39"/>
  <c r="T111" i="39"/>
  <c r="U110" i="39"/>
  <c r="T110" i="39"/>
  <c r="U109" i="39"/>
  <c r="T109" i="39"/>
  <c r="U108" i="39"/>
  <c r="T108" i="39"/>
  <c r="U107" i="39"/>
  <c r="T107" i="39"/>
  <c r="U106" i="39"/>
  <c r="T106" i="39"/>
  <c r="U105" i="39"/>
  <c r="T105" i="39"/>
  <c r="U104" i="39"/>
  <c r="T104" i="39"/>
  <c r="U103" i="39"/>
  <c r="T103" i="39"/>
  <c r="U102" i="39"/>
  <c r="T102" i="39"/>
  <c r="U101" i="39"/>
  <c r="T101" i="39"/>
  <c r="U100" i="39"/>
  <c r="T100" i="39"/>
  <c r="U99" i="39"/>
  <c r="T99" i="39"/>
  <c r="U98" i="39"/>
  <c r="T98" i="39"/>
  <c r="U97" i="39"/>
  <c r="T97" i="39"/>
  <c r="U95" i="39"/>
  <c r="T95" i="39"/>
  <c r="U94" i="39"/>
  <c r="T94" i="39"/>
  <c r="U93" i="39"/>
  <c r="T93" i="39"/>
  <c r="U92" i="39"/>
  <c r="T92" i="39"/>
  <c r="U91" i="39"/>
  <c r="T91" i="39"/>
  <c r="U90" i="39"/>
  <c r="T90" i="39"/>
  <c r="U89" i="39"/>
  <c r="T89" i="39"/>
  <c r="U88" i="39"/>
  <c r="T88" i="39"/>
  <c r="U87" i="39"/>
  <c r="T87" i="39"/>
  <c r="U86" i="39"/>
  <c r="T86" i="39"/>
  <c r="U85" i="39"/>
  <c r="T85" i="39"/>
  <c r="U84" i="39"/>
  <c r="T84" i="39"/>
  <c r="U83" i="39"/>
  <c r="T83" i="39"/>
  <c r="U82" i="39"/>
  <c r="T82" i="39"/>
  <c r="U81" i="39"/>
  <c r="T81" i="39"/>
  <c r="U80" i="39"/>
  <c r="T80" i="39"/>
  <c r="U79" i="39"/>
  <c r="T79" i="39"/>
  <c r="U78" i="39"/>
  <c r="T78" i="39"/>
  <c r="U77" i="39"/>
  <c r="T77" i="39"/>
  <c r="U76" i="39"/>
  <c r="T76" i="39"/>
  <c r="U75" i="39"/>
  <c r="T75" i="39"/>
  <c r="U74" i="39"/>
  <c r="T74" i="39"/>
  <c r="U73" i="39"/>
  <c r="T73" i="39"/>
  <c r="U72" i="39"/>
  <c r="T72" i="39"/>
  <c r="U71" i="39"/>
  <c r="T71" i="39"/>
  <c r="U70" i="39"/>
  <c r="T70" i="39"/>
  <c r="U69" i="39"/>
  <c r="T69" i="39"/>
  <c r="U68" i="39"/>
  <c r="T68" i="39"/>
  <c r="U67" i="39"/>
  <c r="T67" i="39"/>
  <c r="U66" i="39"/>
  <c r="T66" i="39"/>
  <c r="U65" i="39"/>
  <c r="T65" i="39"/>
  <c r="U64" i="39"/>
  <c r="T64" i="39"/>
  <c r="U63" i="39"/>
  <c r="T63" i="39"/>
  <c r="U62" i="39"/>
  <c r="T62" i="39"/>
  <c r="U61" i="39"/>
  <c r="T61" i="39"/>
  <c r="U60" i="39"/>
  <c r="T60" i="39"/>
  <c r="U59" i="39"/>
  <c r="T59" i="39"/>
  <c r="U58" i="39"/>
  <c r="T58" i="39"/>
  <c r="U57" i="39"/>
  <c r="T57" i="39"/>
  <c r="U56" i="39"/>
  <c r="T56" i="39"/>
  <c r="U55" i="39"/>
  <c r="T55" i="39"/>
  <c r="U54" i="39"/>
  <c r="T54" i="39"/>
  <c r="U53" i="39"/>
  <c r="T53" i="39"/>
  <c r="U52" i="39"/>
  <c r="T52" i="39"/>
  <c r="U51" i="39"/>
  <c r="T51" i="39"/>
  <c r="U50" i="39"/>
  <c r="T50" i="39"/>
  <c r="U49" i="39"/>
  <c r="T49" i="39"/>
  <c r="U48" i="39"/>
  <c r="T48" i="39"/>
  <c r="U47" i="39"/>
  <c r="T47" i="39"/>
  <c r="U46" i="39"/>
  <c r="T46" i="39"/>
  <c r="U45" i="39"/>
  <c r="T45" i="39"/>
  <c r="U44" i="39"/>
  <c r="T44" i="39"/>
  <c r="U43" i="39"/>
  <c r="T43" i="39"/>
  <c r="U42" i="39"/>
  <c r="T42" i="39"/>
  <c r="U41" i="39"/>
  <c r="T41" i="39"/>
  <c r="U40" i="39"/>
  <c r="T40" i="39"/>
  <c r="U39" i="39"/>
  <c r="T39" i="39"/>
  <c r="U38" i="39"/>
  <c r="T38" i="39"/>
  <c r="U37" i="39"/>
  <c r="T37" i="39"/>
  <c r="U36" i="39"/>
  <c r="T36" i="39"/>
  <c r="U35" i="39"/>
  <c r="T35" i="39"/>
  <c r="U34" i="39"/>
  <c r="T34" i="39"/>
  <c r="U33" i="39"/>
  <c r="T33" i="39"/>
  <c r="U32" i="39"/>
  <c r="T32" i="39"/>
  <c r="U31" i="39"/>
  <c r="T31" i="39"/>
  <c r="U30" i="39"/>
  <c r="T30" i="39"/>
  <c r="U29" i="39"/>
  <c r="T29" i="39"/>
  <c r="U28" i="39"/>
  <c r="T28" i="39"/>
  <c r="U27" i="39"/>
  <c r="T27" i="39"/>
  <c r="U26" i="39"/>
  <c r="T26" i="39"/>
  <c r="U25" i="39"/>
  <c r="T25" i="39"/>
  <c r="U24" i="39"/>
  <c r="T24" i="39"/>
  <c r="U23" i="39"/>
  <c r="T23" i="39"/>
  <c r="U22" i="39"/>
  <c r="T22" i="39"/>
  <c r="U21" i="39"/>
  <c r="T21" i="39"/>
  <c r="U20" i="39"/>
  <c r="T20" i="39"/>
  <c r="U19" i="39"/>
  <c r="T19" i="39"/>
  <c r="U18" i="39"/>
  <c r="T18" i="39"/>
  <c r="U17" i="39"/>
  <c r="T17" i="39"/>
  <c r="U16" i="39"/>
  <c r="T16" i="39"/>
  <c r="U15" i="39"/>
  <c r="T15" i="39"/>
  <c r="U14" i="39"/>
  <c r="T14" i="39"/>
  <c r="U13" i="39"/>
  <c r="T13" i="39"/>
  <c r="U12" i="39"/>
  <c r="T12" i="39"/>
  <c r="U11" i="39"/>
  <c r="T11" i="39"/>
  <c r="U10" i="39"/>
  <c r="T10" i="39"/>
  <c r="U9" i="39"/>
  <c r="T9" i="39"/>
  <c r="U8" i="39"/>
  <c r="T8" i="39"/>
  <c r="U7" i="39"/>
  <c r="T7" i="39"/>
  <c r="U6" i="39"/>
  <c r="T6" i="39"/>
  <c r="U5" i="39"/>
  <c r="T5" i="39"/>
  <c r="U4" i="39"/>
  <c r="T4" i="39"/>
  <c r="Q1826" i="39"/>
  <c r="Q1825" i="39"/>
  <c r="Q1824" i="39"/>
  <c r="Q1823" i="39"/>
  <c r="Q1822" i="39"/>
  <c r="Q1821" i="39"/>
  <c r="Q1820" i="39"/>
  <c r="Q1819" i="39"/>
  <c r="Q1818" i="39"/>
  <c r="Q1817" i="39"/>
  <c r="Q1816" i="39"/>
  <c r="Q1815" i="39"/>
  <c r="Q1814" i="39"/>
  <c r="Q1813" i="39"/>
  <c r="Q1812" i="39"/>
  <c r="Q1811" i="39"/>
  <c r="Q1810" i="39"/>
  <c r="Q1809" i="39"/>
  <c r="Q1808" i="39"/>
  <c r="Q1807" i="39"/>
  <c r="Q1806" i="39"/>
  <c r="Q1805" i="39"/>
  <c r="Q1804" i="39"/>
  <c r="Q1803" i="39"/>
  <c r="Q1802" i="39"/>
  <c r="Q1801" i="39"/>
  <c r="Q1800" i="39"/>
  <c r="Q1799" i="39"/>
  <c r="Q1798" i="39"/>
  <c r="Q1797" i="39"/>
  <c r="Q1796" i="39"/>
  <c r="Q1795" i="39"/>
  <c r="Q1794" i="39"/>
  <c r="Q1793" i="39"/>
  <c r="Q1792" i="39"/>
  <c r="Q1791" i="39"/>
  <c r="Q1790" i="39"/>
  <c r="Q1789" i="39"/>
  <c r="Q1788" i="39"/>
  <c r="Q1787" i="39"/>
  <c r="Q1786" i="39"/>
  <c r="Q1785" i="39"/>
  <c r="Q1784" i="39"/>
  <c r="Q1783" i="39"/>
  <c r="Q1782" i="39"/>
  <c r="Q1781" i="39"/>
  <c r="Q1780" i="39"/>
  <c r="Q1779" i="39"/>
  <c r="Q1778" i="39"/>
  <c r="Q1777" i="39"/>
  <c r="Q1776" i="39"/>
  <c r="Q1775" i="39"/>
  <c r="Q1774" i="39"/>
  <c r="Q1773" i="39"/>
  <c r="Q1772" i="39"/>
  <c r="Q1771" i="39"/>
  <c r="Q1770" i="39"/>
  <c r="Q1769" i="39"/>
  <c r="Q1768" i="39"/>
  <c r="Q1767" i="39"/>
  <c r="Q1766" i="39"/>
  <c r="Q1765" i="39"/>
  <c r="Q1764" i="39"/>
  <c r="Q1763" i="39"/>
  <c r="Q1762" i="39"/>
  <c r="Q1761" i="39"/>
  <c r="Q1760" i="39"/>
  <c r="Q1759" i="39"/>
  <c r="Q1758" i="39"/>
  <c r="Q1757" i="39"/>
  <c r="Q1756" i="39"/>
  <c r="Q1755" i="39"/>
  <c r="Q1754" i="39"/>
  <c r="Q1753" i="39"/>
  <c r="Q1752" i="39"/>
  <c r="Q1751" i="39"/>
  <c r="Q1750" i="39"/>
  <c r="Q1749" i="39"/>
  <c r="Q1748" i="39"/>
  <c r="Q1747" i="39"/>
  <c r="Q1746" i="39"/>
  <c r="Q1745" i="39"/>
  <c r="Q1744" i="39"/>
  <c r="Q1743" i="39"/>
  <c r="Q1742" i="39"/>
  <c r="Q1741" i="39"/>
  <c r="Q1740" i="39"/>
  <c r="Q1739" i="39"/>
  <c r="Q1738" i="39"/>
  <c r="Q1737" i="39"/>
  <c r="Q1736" i="39"/>
  <c r="Q1735" i="39"/>
  <c r="Q1734" i="39"/>
  <c r="Q1733" i="39"/>
  <c r="Q1732" i="39"/>
  <c r="Q1731" i="39"/>
  <c r="Q1730" i="39"/>
  <c r="Q1729" i="39"/>
  <c r="Q1728" i="39"/>
  <c r="Q1727" i="39"/>
  <c r="Q1726" i="39"/>
  <c r="Q1725" i="39"/>
  <c r="Q1724" i="39"/>
  <c r="Q1723" i="39"/>
  <c r="Q1722" i="39"/>
  <c r="Q1721" i="39"/>
  <c r="Q1720" i="39"/>
  <c r="Q1719" i="39"/>
  <c r="Q1718" i="39"/>
  <c r="Q1717" i="39"/>
  <c r="Q1716" i="39"/>
  <c r="Q1715" i="39"/>
  <c r="Q1714" i="39"/>
  <c r="Q1713" i="39"/>
  <c r="Q1712" i="39"/>
  <c r="Q1711" i="39"/>
  <c r="Q1710" i="39"/>
  <c r="Q1709" i="39"/>
  <c r="Q1708" i="39"/>
  <c r="Q1707" i="39"/>
  <c r="Q1706" i="39"/>
  <c r="Q1705" i="39"/>
  <c r="Q1704" i="39"/>
  <c r="Q1703" i="39"/>
  <c r="Q1702" i="39"/>
  <c r="Q1701" i="39"/>
  <c r="Q1700" i="39"/>
  <c r="Q1699" i="39"/>
  <c r="Q1698" i="39"/>
  <c r="Q1697" i="39"/>
  <c r="Q1696" i="39"/>
  <c r="Q1695" i="39"/>
  <c r="Q1694" i="39"/>
  <c r="Q1693" i="39"/>
  <c r="Q1692" i="39"/>
  <c r="Q1691" i="39"/>
  <c r="Q1690" i="39"/>
  <c r="Q1689" i="39"/>
  <c r="Q1688" i="39"/>
  <c r="Q1687" i="39"/>
  <c r="Q1686" i="39"/>
  <c r="Q1685" i="39"/>
  <c r="Q1684" i="39"/>
  <c r="Q1683" i="39"/>
  <c r="Q1682" i="39"/>
  <c r="Q1681" i="39"/>
  <c r="Q1680" i="39"/>
  <c r="Q1679" i="39"/>
  <c r="Q1678" i="39"/>
  <c r="Q1677" i="39"/>
  <c r="Q1676" i="39"/>
  <c r="Q1675" i="39"/>
  <c r="Q1674" i="39"/>
  <c r="Q1673" i="39"/>
  <c r="Q1672" i="39"/>
  <c r="Q1671" i="39"/>
  <c r="Q1670" i="39"/>
  <c r="Q1669" i="39"/>
  <c r="Q1668" i="39"/>
  <c r="Q1667" i="39"/>
  <c r="Q1666" i="39"/>
  <c r="Q1665" i="39"/>
  <c r="Q1664" i="39"/>
  <c r="Q1663" i="39"/>
  <c r="Q1662" i="39"/>
  <c r="Q1661" i="39"/>
  <c r="Q1660" i="39"/>
  <c r="Q1659" i="39"/>
  <c r="Q1658" i="39"/>
  <c r="Q1657" i="39"/>
  <c r="Q1656" i="39"/>
  <c r="Q1655" i="39"/>
  <c r="Q1654" i="39"/>
  <c r="Q1653" i="39"/>
  <c r="Q1652" i="39"/>
  <c r="Q1651" i="39"/>
  <c r="Q1650" i="39"/>
  <c r="Q1649" i="39"/>
  <c r="Q1648" i="39"/>
  <c r="Q1647" i="39"/>
  <c r="Q1646" i="39"/>
  <c r="Q1645" i="39"/>
  <c r="Q1644" i="39"/>
  <c r="Q1643" i="39"/>
  <c r="Q1642" i="39"/>
  <c r="Q1641" i="39"/>
  <c r="Q1640" i="39"/>
  <c r="Q1639" i="39"/>
  <c r="Q1638" i="39"/>
  <c r="Q1637" i="39"/>
  <c r="Q1636" i="39"/>
  <c r="Q1635" i="39"/>
  <c r="Q1634" i="39"/>
  <c r="Q1633" i="39"/>
  <c r="Q1632" i="39"/>
  <c r="Q1631" i="39"/>
  <c r="Q1630" i="39"/>
  <c r="Q1629" i="39"/>
  <c r="Q1628" i="39"/>
  <c r="Q1627" i="39"/>
  <c r="Q1626" i="39"/>
  <c r="Q1625" i="39"/>
  <c r="Q1624" i="39"/>
  <c r="Q1623" i="39"/>
  <c r="Q1622" i="39"/>
  <c r="Q1621" i="39"/>
  <c r="Q1620" i="39"/>
  <c r="Q1619" i="39"/>
  <c r="Q1618" i="39"/>
  <c r="Q1617" i="39"/>
  <c r="Q1616" i="39"/>
  <c r="Q1615" i="39"/>
  <c r="Q1614" i="39"/>
  <c r="Q1613" i="39"/>
  <c r="Q1612" i="39"/>
  <c r="Q1611" i="39"/>
  <c r="Q1610" i="39"/>
  <c r="Q1609" i="39"/>
  <c r="Q1608" i="39"/>
  <c r="Q1607" i="39"/>
  <c r="Q1606" i="39"/>
  <c r="Q1605" i="39"/>
  <c r="Q1604" i="39"/>
  <c r="Q1603" i="39"/>
  <c r="Q1602" i="39"/>
  <c r="Q1601" i="39"/>
  <c r="Q1600" i="39"/>
  <c r="Q1599" i="39"/>
  <c r="Q1598" i="39"/>
  <c r="Q1597" i="39"/>
  <c r="Q1596" i="39"/>
  <c r="Q1595" i="39"/>
  <c r="Q1594" i="39"/>
  <c r="Q1593" i="39"/>
  <c r="Q1592" i="39"/>
  <c r="Q1591" i="39"/>
  <c r="Q1590" i="39"/>
  <c r="Q1589" i="39"/>
  <c r="Q1588" i="39"/>
  <c r="Q1587" i="39"/>
  <c r="Q1586" i="39"/>
  <c r="Q1585" i="39"/>
  <c r="Q1584" i="39"/>
  <c r="Q1583" i="39"/>
  <c r="Q1582" i="39"/>
  <c r="Q1581" i="39"/>
  <c r="Q1580" i="39"/>
  <c r="Q1579" i="39"/>
  <c r="Q1578" i="39"/>
  <c r="Q1577" i="39"/>
  <c r="Q1576" i="39"/>
  <c r="Q1575" i="39"/>
  <c r="Q1574" i="39"/>
  <c r="Q1573" i="39"/>
  <c r="Q1572" i="39"/>
  <c r="Q1571" i="39"/>
  <c r="Q1570" i="39"/>
  <c r="Q1569" i="39"/>
  <c r="Q1568" i="39"/>
  <c r="Q1567" i="39"/>
  <c r="Q1566" i="39"/>
  <c r="Q1565" i="39"/>
  <c r="Q1564" i="39"/>
  <c r="Q1563" i="39"/>
  <c r="Q1562" i="39"/>
  <c r="Q1561" i="39"/>
  <c r="Q1560" i="39"/>
  <c r="Q1559" i="39"/>
  <c r="Q1558" i="39"/>
  <c r="Q1557" i="39"/>
  <c r="Q1556" i="39"/>
  <c r="Q1555" i="39"/>
  <c r="Q1554" i="39"/>
  <c r="Q1553" i="39"/>
  <c r="Q1552" i="39"/>
  <c r="Q1551" i="39"/>
  <c r="Q1550" i="39"/>
  <c r="Q1549" i="39"/>
  <c r="Q1548" i="39"/>
  <c r="Q1547" i="39"/>
  <c r="Q1546" i="39"/>
  <c r="Q1545" i="39"/>
  <c r="Q1544" i="39"/>
  <c r="Q1543" i="39"/>
  <c r="Q1542" i="39"/>
  <c r="Q1541" i="39"/>
  <c r="Q1540" i="39"/>
  <c r="Q1539" i="39"/>
  <c r="Q1538" i="39"/>
  <c r="Q1537" i="39"/>
  <c r="Q1536" i="39"/>
  <c r="Q1535" i="39"/>
  <c r="Q1534" i="39"/>
  <c r="Q1533" i="39"/>
  <c r="Q1532" i="39"/>
  <c r="Q1531" i="39"/>
  <c r="Q1530" i="39"/>
  <c r="Q1529" i="39"/>
  <c r="Q1528" i="39"/>
  <c r="Q1527" i="39"/>
  <c r="Q1526" i="39"/>
  <c r="Q1525" i="39"/>
  <c r="Q1524" i="39"/>
  <c r="Q1523" i="39"/>
  <c r="Q1522" i="39"/>
  <c r="Q1521" i="39"/>
  <c r="Q1520" i="39"/>
  <c r="Q1519" i="39"/>
  <c r="Q1518" i="39"/>
  <c r="Q1517" i="39"/>
  <c r="Q1516" i="39"/>
  <c r="Q1515" i="39"/>
  <c r="Q1514" i="39"/>
  <c r="Q1513" i="39"/>
  <c r="Q1510" i="39"/>
  <c r="Q1509" i="39"/>
  <c r="Q1508" i="39"/>
  <c r="Q1507" i="39"/>
  <c r="Q1506" i="39"/>
  <c r="Q1505" i="39"/>
  <c r="Q1504" i="39"/>
  <c r="Q1503" i="39"/>
  <c r="Q1502" i="39"/>
  <c r="Q1501" i="39"/>
  <c r="Q1500" i="39"/>
  <c r="Q1499" i="39"/>
  <c r="Q1498" i="39"/>
  <c r="Q1497" i="39"/>
  <c r="Q1496" i="39"/>
  <c r="Q1495" i="39"/>
  <c r="Q1494" i="39"/>
  <c r="Q1493" i="39"/>
  <c r="Q1492" i="39"/>
  <c r="Q1490" i="39"/>
  <c r="Q1489" i="39"/>
  <c r="Q1488" i="39"/>
  <c r="Q1487" i="39"/>
  <c r="Q1486" i="39"/>
  <c r="Q1484" i="39"/>
  <c r="Q1483" i="39"/>
  <c r="Q1482" i="39"/>
  <c r="Q1481" i="39"/>
  <c r="Q1480" i="39"/>
  <c r="Q1479" i="39"/>
  <c r="Q1478" i="39"/>
  <c r="Q1477" i="39"/>
  <c r="Q1476" i="39"/>
  <c r="Q1475" i="39"/>
  <c r="Q1474" i="39"/>
  <c r="Q1473" i="39"/>
  <c r="Q1472" i="39"/>
  <c r="Q1471" i="39"/>
  <c r="Q1470" i="39"/>
  <c r="Q1469" i="39"/>
  <c r="Q1468" i="39"/>
  <c r="Q1467" i="39"/>
  <c r="Q1466" i="39"/>
  <c r="Q1465" i="39"/>
  <c r="Q1464" i="39"/>
  <c r="Q1463" i="39"/>
  <c r="Q1462" i="39"/>
  <c r="Q1461" i="39"/>
  <c r="Q1460" i="39"/>
  <c r="Q1459" i="39"/>
  <c r="Q1458" i="39"/>
  <c r="Q1457" i="39"/>
  <c r="Q1456" i="39"/>
  <c r="Q1455" i="39"/>
  <c r="Q1454" i="39"/>
  <c r="Q1453" i="39"/>
  <c r="Q1452" i="39"/>
  <c r="Q1451" i="39"/>
  <c r="Q1450" i="39"/>
  <c r="Q1449" i="39"/>
  <c r="Q1448" i="39"/>
  <c r="Q1447" i="39"/>
  <c r="Q1446" i="39"/>
  <c r="Q1445" i="39"/>
  <c r="Q1444" i="39"/>
  <c r="Q1443" i="39"/>
  <c r="Q1442" i="39"/>
  <c r="Q1441" i="39"/>
  <c r="Q1440" i="39"/>
  <c r="Q1439" i="39"/>
  <c r="Q1438" i="39"/>
  <c r="Q1437" i="39"/>
  <c r="Q1436" i="39"/>
  <c r="Q1435" i="39"/>
  <c r="Q1434" i="39"/>
  <c r="Q1433" i="39"/>
  <c r="Q1432" i="39"/>
  <c r="Q1431" i="39"/>
  <c r="Q1430" i="39"/>
  <c r="Q1429" i="39"/>
  <c r="Q1428" i="39"/>
  <c r="Q1427" i="39"/>
  <c r="Q1426" i="39"/>
  <c r="Q1425" i="39"/>
  <c r="Q1424" i="39"/>
  <c r="Q1423" i="39"/>
  <c r="Q1422" i="39"/>
  <c r="Q1421" i="39"/>
  <c r="Q1420" i="39"/>
  <c r="Q1419" i="39"/>
  <c r="Q1418" i="39"/>
  <c r="Q1417" i="39"/>
  <c r="Q1416" i="39"/>
  <c r="Q1415" i="39"/>
  <c r="Q1414" i="39"/>
  <c r="Q1413" i="39"/>
  <c r="Q1412" i="39"/>
  <c r="Q1411" i="39"/>
  <c r="Q1410" i="39"/>
  <c r="Q1409" i="39"/>
  <c r="Q1408" i="39"/>
  <c r="Q1407" i="39"/>
  <c r="Q1406" i="39"/>
  <c r="Q1405" i="39"/>
  <c r="Q1404" i="39"/>
  <c r="Q1403" i="39"/>
  <c r="Q1402" i="39"/>
  <c r="Q1401" i="39"/>
  <c r="Q1400" i="39"/>
  <c r="Q1399" i="39"/>
  <c r="Q1398" i="39"/>
  <c r="Q1397" i="39"/>
  <c r="Q1396" i="39"/>
  <c r="Q1395" i="39"/>
  <c r="Q1394" i="39"/>
  <c r="Q1393" i="39"/>
  <c r="Q1392" i="39"/>
  <c r="Q1391" i="39"/>
  <c r="Q1390" i="39"/>
  <c r="Q1389" i="39"/>
  <c r="Q1388" i="39"/>
  <c r="Q1387" i="39"/>
  <c r="Q1386" i="39"/>
  <c r="Q1385" i="39"/>
  <c r="Q1384" i="39"/>
  <c r="Q1383" i="39"/>
  <c r="Q1382" i="39"/>
  <c r="Q1381" i="39"/>
  <c r="Q1380" i="39"/>
  <c r="Q1379" i="39"/>
  <c r="Q1378" i="39"/>
  <c r="Q1377" i="39"/>
  <c r="Q1376" i="39"/>
  <c r="Q1375" i="39"/>
  <c r="Q1374" i="39"/>
  <c r="Q1373" i="39"/>
  <c r="Q1372" i="39"/>
  <c r="Q1371" i="39"/>
  <c r="Q1370" i="39"/>
  <c r="Q1369" i="39"/>
  <c r="Q1368" i="39"/>
  <c r="Q1367" i="39"/>
  <c r="Q1366" i="39"/>
  <c r="Q1365" i="39"/>
  <c r="Q1364" i="39"/>
  <c r="Q1363" i="39"/>
  <c r="Q1362" i="39"/>
  <c r="Q1361" i="39"/>
  <c r="Q1360" i="39"/>
  <c r="Q1359" i="39"/>
  <c r="Q1358" i="39"/>
  <c r="Q1357" i="39"/>
  <c r="Q1356" i="39"/>
  <c r="Q1355" i="39"/>
  <c r="Q1354" i="39"/>
  <c r="Q1353" i="39"/>
  <c r="Q1352" i="39"/>
  <c r="Q1351" i="39"/>
  <c r="Q1350" i="39"/>
  <c r="Q1349" i="39"/>
  <c r="Q1348" i="39"/>
  <c r="Q1347" i="39"/>
  <c r="Q1346" i="39"/>
  <c r="Q1345" i="39"/>
  <c r="Q1344" i="39"/>
  <c r="Q1343" i="39"/>
  <c r="Q1342" i="39"/>
  <c r="Q1341" i="39"/>
  <c r="Q1340" i="39"/>
  <c r="Q1339" i="39"/>
  <c r="Q1338" i="39"/>
  <c r="Q1337" i="39"/>
  <c r="Q1336" i="39"/>
  <c r="Q1335" i="39"/>
  <c r="Q1334" i="39"/>
  <c r="Q1333" i="39"/>
  <c r="Q1332" i="39"/>
  <c r="Q1331" i="39"/>
  <c r="Q1330" i="39"/>
  <c r="Q1329" i="39"/>
  <c r="Q1328" i="39"/>
  <c r="Q1327" i="39"/>
  <c r="Q1326" i="39"/>
  <c r="Q1325" i="39"/>
  <c r="Q1324" i="39"/>
  <c r="Q1323" i="39"/>
  <c r="Q1322" i="39"/>
  <c r="Q1321" i="39"/>
  <c r="Q1320" i="39"/>
  <c r="Q1319" i="39"/>
  <c r="Q1318" i="39"/>
  <c r="Q1317" i="39"/>
  <c r="Q1316" i="39"/>
  <c r="Q1315" i="39"/>
  <c r="Q1314" i="39"/>
  <c r="Q1313" i="39"/>
  <c r="Q1312" i="39"/>
  <c r="Q1311" i="39"/>
  <c r="Q1310" i="39"/>
  <c r="Q1309" i="39"/>
  <c r="Q1308" i="39"/>
  <c r="Q1307" i="39"/>
  <c r="Q1306" i="39"/>
  <c r="Q1305" i="39"/>
  <c r="Q1304" i="39"/>
  <c r="Q1303" i="39"/>
  <c r="Q1302" i="39"/>
  <c r="Q1301" i="39"/>
  <c r="Q1300" i="39"/>
  <c r="Q1299" i="39"/>
  <c r="Q1298" i="39"/>
  <c r="Q1297" i="39"/>
  <c r="Q1296" i="39"/>
  <c r="Q1295" i="39"/>
  <c r="Q1294" i="39"/>
  <c r="Q1293" i="39"/>
  <c r="Q1291" i="39"/>
  <c r="Q1290" i="39"/>
  <c r="Q1289" i="39"/>
  <c r="Q1288" i="39"/>
  <c r="Q1287" i="39"/>
  <c r="Q1286" i="39"/>
  <c r="Q1285" i="39"/>
  <c r="Q1284" i="39"/>
  <c r="Q1283" i="39"/>
  <c r="Q1282" i="39"/>
  <c r="Q1281" i="39"/>
  <c r="Q1280" i="39"/>
  <c r="Q1279" i="39"/>
  <c r="Q1278" i="39"/>
  <c r="Q1277" i="39"/>
  <c r="Q1276" i="39"/>
  <c r="Q1275" i="39"/>
  <c r="Q1274" i="39"/>
  <c r="Q1273" i="39"/>
  <c r="Q1272" i="39"/>
  <c r="Q1271" i="39"/>
  <c r="Q1270" i="39"/>
  <c r="Q1269" i="39"/>
  <c r="Q1268" i="39"/>
  <c r="Q1267" i="39"/>
  <c r="Q1266" i="39"/>
  <c r="Q1265" i="39"/>
  <c r="Q1264" i="39"/>
  <c r="Q1263" i="39"/>
  <c r="Q1262" i="39"/>
  <c r="Q1261" i="39"/>
  <c r="Q1260" i="39"/>
  <c r="Q1259" i="39"/>
  <c r="Q1258" i="39"/>
  <c r="Q1257" i="39"/>
  <c r="Q1256" i="39"/>
  <c r="Q1255" i="39"/>
  <c r="Q1254" i="39"/>
  <c r="Q1253" i="39"/>
  <c r="Q1252" i="39"/>
  <c r="Q1251" i="39"/>
  <c r="Q1250" i="39"/>
  <c r="Q1249" i="39"/>
  <c r="Q1248" i="39"/>
  <c r="Q1247" i="39"/>
  <c r="Q1246" i="39"/>
  <c r="Q1245" i="39"/>
  <c r="Q1244" i="39"/>
  <c r="Q1243" i="39"/>
  <c r="Q1242" i="39"/>
  <c r="Q1241" i="39"/>
  <c r="Q1240" i="39"/>
  <c r="Q1239" i="39"/>
  <c r="Q1238" i="39"/>
  <c r="Q1237" i="39"/>
  <c r="Q1236" i="39"/>
  <c r="Q1235" i="39"/>
  <c r="Q1234" i="39"/>
  <c r="Q1233" i="39"/>
  <c r="Q1232" i="39"/>
  <c r="Q1231" i="39"/>
  <c r="Q1230" i="39"/>
  <c r="Q1229" i="39"/>
  <c r="Q1228" i="39"/>
  <c r="Q1227" i="39"/>
  <c r="Q1226" i="39"/>
  <c r="Q1225" i="39"/>
  <c r="Q1224" i="39"/>
  <c r="Q1223" i="39"/>
  <c r="Q1222" i="39"/>
  <c r="Q1221" i="39"/>
  <c r="Q1220" i="39"/>
  <c r="Q1219" i="39"/>
  <c r="Q1218" i="39"/>
  <c r="Q1217" i="39"/>
  <c r="Q1216" i="39"/>
  <c r="Q1215" i="39"/>
  <c r="Q1214" i="39"/>
  <c r="Q1213" i="39"/>
  <c r="Q1212" i="39"/>
  <c r="Q1211" i="39"/>
  <c r="Q1210" i="39"/>
  <c r="Q1209" i="39"/>
  <c r="Q1208" i="39"/>
  <c r="Q1207" i="39"/>
  <c r="Q1206" i="39"/>
  <c r="Q1205" i="39"/>
  <c r="Q1204" i="39"/>
  <c r="Q1203" i="39"/>
  <c r="Q1202" i="39"/>
  <c r="Q1201" i="39"/>
  <c r="Q1200" i="39"/>
  <c r="Q1199" i="39"/>
  <c r="Q1198" i="39"/>
  <c r="Q1197" i="39"/>
  <c r="Q1196" i="39"/>
  <c r="Q1195" i="39"/>
  <c r="Q1194" i="39"/>
  <c r="Q1193" i="39"/>
  <c r="Q1192" i="39"/>
  <c r="Q1191" i="39"/>
  <c r="Q1190" i="39"/>
  <c r="Q1189" i="39"/>
  <c r="Q1188" i="39"/>
  <c r="Q1187" i="39"/>
  <c r="Q1186" i="39"/>
  <c r="Q1185" i="39"/>
  <c r="Q1184" i="39"/>
  <c r="Q1183" i="39"/>
  <c r="Q1182" i="39"/>
  <c r="Q1181" i="39"/>
  <c r="Q1180" i="39"/>
  <c r="Q1179" i="39"/>
  <c r="Q1178" i="39"/>
  <c r="Q1177" i="39"/>
  <c r="Q1176" i="39"/>
  <c r="Q1175" i="39"/>
  <c r="Q1174" i="39"/>
  <c r="Q1173" i="39"/>
  <c r="Q1172" i="39"/>
  <c r="Q1171" i="39"/>
  <c r="Q1170" i="39"/>
  <c r="Q1169" i="39"/>
  <c r="Q1168" i="39"/>
  <c r="Q1167" i="39"/>
  <c r="Q1166" i="39"/>
  <c r="Q1165" i="39"/>
  <c r="Q1164" i="39"/>
  <c r="Q1163" i="39"/>
  <c r="Q1162" i="39"/>
  <c r="Q1161" i="39"/>
  <c r="Q1160" i="39"/>
  <c r="Q1159" i="39"/>
  <c r="Q1158" i="39"/>
  <c r="Q1157" i="39"/>
  <c r="Q1156" i="39"/>
  <c r="Q1155" i="39"/>
  <c r="Q1154" i="39"/>
  <c r="Q1153" i="39"/>
  <c r="Q1152" i="39"/>
  <c r="Q1151" i="39"/>
  <c r="Q1150" i="39"/>
  <c r="Q1149" i="39"/>
  <c r="Q1148" i="39"/>
  <c r="Q1147" i="39"/>
  <c r="Q1146" i="39"/>
  <c r="Q1145" i="39"/>
  <c r="Q1144" i="39"/>
  <c r="Q1143" i="39"/>
  <c r="Q1142" i="39"/>
  <c r="Q1141" i="39"/>
  <c r="Q1140" i="39"/>
  <c r="Q1139" i="39"/>
  <c r="Q1138" i="39"/>
  <c r="Q1137" i="39"/>
  <c r="Q1136" i="39"/>
  <c r="Q1135" i="39"/>
  <c r="Q1134" i="39"/>
  <c r="Q1133" i="39"/>
  <c r="Q1132" i="39"/>
  <c r="Q1131" i="39"/>
  <c r="Q1130" i="39"/>
  <c r="Q1129" i="39"/>
  <c r="Q1128" i="39"/>
  <c r="Q1127" i="39"/>
  <c r="Q1126" i="39"/>
  <c r="Q1125" i="39"/>
  <c r="Q1124" i="39"/>
  <c r="Q1123" i="39"/>
  <c r="Q1122" i="39"/>
  <c r="Q1121" i="39"/>
  <c r="Q1120" i="39"/>
  <c r="Q1119" i="39"/>
  <c r="Q1118" i="39"/>
  <c r="Q1117" i="39"/>
  <c r="Q1116" i="39"/>
  <c r="Q1115" i="39"/>
  <c r="Q1114" i="39"/>
  <c r="Q1113" i="39"/>
  <c r="Q1112" i="39"/>
  <c r="Q1111" i="39"/>
  <c r="Q1110" i="39"/>
  <c r="Q1109" i="39"/>
  <c r="Q1108" i="39"/>
  <c r="Q1107" i="39"/>
  <c r="Q1106" i="39"/>
  <c r="Q1105" i="39"/>
  <c r="Q1104" i="39"/>
  <c r="Q1103" i="39"/>
  <c r="Q1102" i="39"/>
  <c r="Q1101" i="39"/>
  <c r="Q1100" i="39"/>
  <c r="Q1099" i="39"/>
  <c r="Q1098" i="39"/>
  <c r="Q1097" i="39"/>
  <c r="Q1096" i="39"/>
  <c r="Q1095" i="39"/>
  <c r="Q1094" i="39"/>
  <c r="Q1093" i="39"/>
  <c r="Q1092" i="39"/>
  <c r="Q1091" i="39"/>
  <c r="Q1090" i="39"/>
  <c r="Q1089" i="39"/>
  <c r="Q1088" i="39"/>
  <c r="Q1087" i="39"/>
  <c r="Q1086" i="39"/>
  <c r="Q1085" i="39"/>
  <c r="Q1084" i="39"/>
  <c r="Q1083" i="39"/>
  <c r="Q1082" i="39"/>
  <c r="Q1081" i="39"/>
  <c r="Q1080" i="39"/>
  <c r="Q1079" i="39"/>
  <c r="Q1078" i="39"/>
  <c r="Q1077" i="39"/>
  <c r="Q1076" i="39"/>
  <c r="Q1075" i="39"/>
  <c r="Q1074" i="39"/>
  <c r="Q1073" i="39"/>
  <c r="Q1072" i="39"/>
  <c r="Q1071" i="39"/>
  <c r="Q1070" i="39"/>
  <c r="Q1069" i="39"/>
  <c r="Q1068" i="39"/>
  <c r="Q1067" i="39"/>
  <c r="Q1066" i="39"/>
  <c r="Q1065" i="39"/>
  <c r="Q1064" i="39"/>
  <c r="Q1063" i="39"/>
  <c r="Q1062" i="39"/>
  <c r="Q1061" i="39"/>
  <c r="Q1060" i="39"/>
  <c r="Q1059" i="39"/>
  <c r="Q1058" i="39"/>
  <c r="Q1057" i="39"/>
  <c r="Q1056" i="39"/>
  <c r="Q1055" i="39"/>
  <c r="Q1054" i="39"/>
  <c r="Q1053" i="39"/>
  <c r="Q1052" i="39"/>
  <c r="Q1051" i="39"/>
  <c r="Q1050" i="39"/>
  <c r="Q1049" i="39"/>
  <c r="Q1048" i="39"/>
  <c r="Q1047" i="39"/>
  <c r="Q1046" i="39"/>
  <c r="Q1045" i="39"/>
  <c r="Q1044" i="39"/>
  <c r="Q1043" i="39"/>
  <c r="Q1042" i="39"/>
  <c r="Q1041" i="39"/>
  <c r="Q1040" i="39"/>
  <c r="Q1039" i="39"/>
  <c r="Q1038" i="39"/>
  <c r="Q1037" i="39"/>
  <c r="Q1036" i="39"/>
  <c r="Q1035" i="39"/>
  <c r="Q1034" i="39"/>
  <c r="Q1033" i="39"/>
  <c r="Q1032" i="39"/>
  <c r="Q1031" i="39"/>
  <c r="Q1030" i="39"/>
  <c r="Q1029" i="39"/>
  <c r="Q1028" i="39"/>
  <c r="Q1027" i="39"/>
  <c r="Q1026" i="39"/>
  <c r="Q1025" i="39"/>
  <c r="Q1024" i="39"/>
  <c r="Q1023" i="39"/>
  <c r="Q1022" i="39"/>
  <c r="Q1021" i="39"/>
  <c r="Q1020" i="39"/>
  <c r="Q1019" i="39"/>
  <c r="Q1018" i="39"/>
  <c r="Q1017" i="39"/>
  <c r="Q1016" i="39"/>
  <c r="Q1015" i="39"/>
  <c r="Q1014" i="39"/>
  <c r="Q1013" i="39"/>
  <c r="Q1012" i="39"/>
  <c r="Q1011" i="39"/>
  <c r="Q1010" i="39"/>
  <c r="Q1009" i="39"/>
  <c r="Q1008" i="39"/>
  <c r="Q1007" i="39"/>
  <c r="Q1006" i="39"/>
  <c r="Q1005" i="39"/>
  <c r="Q1004" i="39"/>
  <c r="Q1003" i="39"/>
  <c r="Q1002" i="39"/>
  <c r="Q1001" i="39"/>
  <c r="Q1000" i="39"/>
  <c r="Q999" i="39"/>
  <c r="Q998" i="39"/>
  <c r="Q997" i="39"/>
  <c r="Q996" i="39"/>
  <c r="Q995" i="39"/>
  <c r="Q994" i="39"/>
  <c r="Q993" i="39"/>
  <c r="Q992" i="39"/>
  <c r="Q991" i="39"/>
  <c r="Q990" i="39"/>
  <c r="Q989" i="39"/>
  <c r="Q988" i="39"/>
  <c r="Q987" i="39"/>
  <c r="Q986" i="39"/>
  <c r="Q985" i="39"/>
  <c r="Q984" i="39"/>
  <c r="Q983" i="39"/>
  <c r="Q982" i="39"/>
  <c r="Q981" i="39"/>
  <c r="Q980" i="39"/>
  <c r="Q979" i="39"/>
  <c r="Q978" i="39"/>
  <c r="Q977" i="39"/>
  <c r="Q976" i="39"/>
  <c r="Q975" i="39"/>
  <c r="Q974" i="39"/>
  <c r="Q973" i="39"/>
  <c r="Q972" i="39"/>
  <c r="Q971" i="39"/>
  <c r="Q970" i="39"/>
  <c r="Q969" i="39"/>
  <c r="Q968" i="39"/>
  <c r="Q967" i="39"/>
  <c r="Q966" i="39"/>
  <c r="Q965" i="39"/>
  <c r="Q964" i="39"/>
  <c r="Q963" i="39"/>
  <c r="Q962" i="39"/>
  <c r="Q961" i="39"/>
  <c r="Q960" i="39"/>
  <c r="Q959" i="39"/>
  <c r="Q958" i="39"/>
  <c r="Q957" i="39"/>
  <c r="Q956" i="39"/>
  <c r="Q955" i="39"/>
  <c r="Q954" i="39"/>
  <c r="Q953" i="39"/>
  <c r="Q952" i="39"/>
  <c r="Q951" i="39"/>
  <c r="Q950" i="39"/>
  <c r="Q949" i="39"/>
  <c r="Q948" i="39"/>
  <c r="Q947" i="39"/>
  <c r="Q946" i="39"/>
  <c r="Q945" i="39"/>
  <c r="Q944" i="39"/>
  <c r="Q943" i="39"/>
  <c r="Q942" i="39"/>
  <c r="Q941" i="39"/>
  <c r="Q940" i="39"/>
  <c r="Q939" i="39"/>
  <c r="Q938" i="39"/>
  <c r="Q937" i="39"/>
  <c r="Q936" i="39"/>
  <c r="Q935" i="39"/>
  <c r="Q934" i="39"/>
  <c r="Q933" i="39"/>
  <c r="Q932" i="39"/>
  <c r="Q931" i="39"/>
  <c r="Q930" i="39"/>
  <c r="Q929" i="39"/>
  <c r="Q928" i="39"/>
  <c r="Q927" i="39"/>
  <c r="Q926" i="39"/>
  <c r="Q925" i="39"/>
  <c r="Q924" i="39"/>
  <c r="Q923" i="39"/>
  <c r="Q922" i="39"/>
  <c r="Q921" i="39"/>
  <c r="Q920" i="39"/>
  <c r="Q919" i="39"/>
  <c r="Q918" i="39"/>
  <c r="Q917" i="39"/>
  <c r="Q916" i="39"/>
  <c r="Q915" i="39"/>
  <c r="Q914" i="39"/>
  <c r="Q913" i="39"/>
  <c r="Q912" i="39"/>
  <c r="Q911" i="39"/>
  <c r="Q910" i="39"/>
  <c r="Q909" i="39"/>
  <c r="Q908" i="39"/>
  <c r="Q907" i="39"/>
  <c r="Q906" i="39"/>
  <c r="Q905" i="39"/>
  <c r="Q904" i="39"/>
  <c r="Q903" i="39"/>
  <c r="Q902" i="39"/>
  <c r="Q901" i="39"/>
  <c r="Q900" i="39"/>
  <c r="Q899" i="39"/>
  <c r="Q898" i="39"/>
  <c r="Q897" i="39"/>
  <c r="Q896" i="39"/>
  <c r="Q895" i="39"/>
  <c r="Q894" i="39"/>
  <c r="Q893" i="39"/>
  <c r="Q892" i="39"/>
  <c r="Q891" i="39"/>
  <c r="Q890" i="39"/>
  <c r="Q889" i="39"/>
  <c r="Q888" i="39"/>
  <c r="Q887" i="39"/>
  <c r="Q886" i="39"/>
  <c r="Q885" i="39"/>
  <c r="Q884" i="39"/>
  <c r="Q883" i="39"/>
  <c r="Q882" i="39"/>
  <c r="Q881" i="39"/>
  <c r="Q880" i="39"/>
  <c r="Q879" i="39"/>
  <c r="Q878" i="39"/>
  <c r="Q877" i="39"/>
  <c r="Q876" i="39"/>
  <c r="Q875" i="39"/>
  <c r="Q874" i="39"/>
  <c r="Q873" i="39"/>
  <c r="Q872" i="39"/>
  <c r="Q871" i="39"/>
  <c r="Q870" i="39"/>
  <c r="Q869" i="39"/>
  <c r="Q868" i="39"/>
  <c r="Q867" i="39"/>
  <c r="Q866" i="39"/>
  <c r="Q865" i="39"/>
  <c r="Q864" i="39"/>
  <c r="Q863" i="39"/>
  <c r="Q862" i="39"/>
  <c r="Q861" i="39"/>
  <c r="Q860" i="39"/>
  <c r="Q859" i="39"/>
  <c r="Q858" i="39"/>
  <c r="Q857" i="39"/>
  <c r="Q856" i="39"/>
  <c r="Q855" i="39"/>
  <c r="Q854" i="39"/>
  <c r="Q853" i="39"/>
  <c r="Q852" i="39"/>
  <c r="Q851" i="39"/>
  <c r="Q850" i="39"/>
  <c r="Q849" i="39"/>
  <c r="Q848" i="39"/>
  <c r="Q847" i="39"/>
  <c r="Q846" i="39"/>
  <c r="Q845" i="39"/>
  <c r="Q844" i="39"/>
  <c r="Q843" i="39"/>
  <c r="Q842" i="39"/>
  <c r="Q841" i="39"/>
  <c r="Q840" i="39"/>
  <c r="Q839" i="39"/>
  <c r="Q838" i="39"/>
  <c r="Q837" i="39"/>
  <c r="Q836" i="39"/>
  <c r="Q835" i="39"/>
  <c r="Q834" i="39"/>
  <c r="Q833" i="39"/>
  <c r="Q832" i="39"/>
  <c r="Q831" i="39"/>
  <c r="Q830" i="39"/>
  <c r="Q829" i="39"/>
  <c r="Q828" i="39"/>
  <c r="Q827" i="39"/>
  <c r="Q826" i="39"/>
  <c r="Q825" i="39"/>
  <c r="Q824" i="39"/>
  <c r="Q823" i="39"/>
  <c r="Q822" i="39"/>
  <c r="Q821" i="39"/>
  <c r="Q820" i="39"/>
  <c r="Q819" i="39"/>
  <c r="Q818" i="39"/>
  <c r="Q817" i="39"/>
  <c r="Q816" i="39"/>
  <c r="Q815" i="39"/>
  <c r="Q814" i="39"/>
  <c r="Q813" i="39"/>
  <c r="Q812" i="39"/>
  <c r="Q811" i="39"/>
  <c r="Q810" i="39"/>
  <c r="Q809" i="39"/>
  <c r="Q808" i="39"/>
  <c r="Q807" i="39"/>
  <c r="Q806" i="39"/>
  <c r="Q805" i="39"/>
  <c r="Q804" i="39"/>
  <c r="Q803" i="39"/>
  <c r="Q802" i="39"/>
  <c r="Q801" i="39"/>
  <c r="Q800" i="39"/>
  <c r="Q799" i="39"/>
  <c r="Q798" i="39"/>
  <c r="Q797" i="39"/>
  <c r="Q796" i="39"/>
  <c r="Q795" i="39"/>
  <c r="Q794" i="39"/>
  <c r="Q793" i="39"/>
  <c r="Q792" i="39"/>
  <c r="Q791" i="39"/>
  <c r="Q790" i="39"/>
  <c r="Q789" i="39"/>
  <c r="Q788" i="39"/>
  <c r="Q787" i="39"/>
  <c r="Q786" i="39"/>
  <c r="Q785" i="39"/>
  <c r="Q784" i="39"/>
  <c r="Q783" i="39"/>
  <c r="Q782" i="39"/>
  <c r="Q781" i="39"/>
  <c r="Q780" i="39"/>
  <c r="Q779" i="39"/>
  <c r="Q778" i="39"/>
  <c r="Q777" i="39"/>
  <c r="Q776" i="39"/>
  <c r="Q775" i="39"/>
  <c r="Q774" i="39"/>
  <c r="Q773" i="39"/>
  <c r="Q772" i="39"/>
  <c r="Q771" i="39"/>
  <c r="Q770" i="39"/>
  <c r="Q769" i="39"/>
  <c r="Q768" i="39"/>
  <c r="Q767" i="39"/>
  <c r="Q766" i="39"/>
  <c r="Q765" i="39"/>
  <c r="Q764" i="39"/>
  <c r="Q763" i="39"/>
  <c r="Q762" i="39"/>
  <c r="Q761" i="39"/>
  <c r="Q760" i="39"/>
  <c r="Q759" i="39"/>
  <c r="Q758" i="39"/>
  <c r="Q757" i="39"/>
  <c r="Q756" i="39"/>
  <c r="Q755" i="39"/>
  <c r="Q754" i="39"/>
  <c r="Q753" i="39"/>
  <c r="Q752" i="39"/>
  <c r="Q751" i="39"/>
  <c r="Q750" i="39"/>
  <c r="Q749" i="39"/>
  <c r="Q748" i="39"/>
  <c r="Q747" i="39"/>
  <c r="Q746" i="39"/>
  <c r="Q745" i="39"/>
  <c r="Q744" i="39"/>
  <c r="Q743" i="39"/>
  <c r="Q742" i="39"/>
  <c r="Q741" i="39"/>
  <c r="Q740" i="39"/>
  <c r="Q739" i="39"/>
  <c r="Q738" i="39"/>
  <c r="Q737" i="39"/>
  <c r="Q736" i="39"/>
  <c r="Q735" i="39"/>
  <c r="Q734" i="39"/>
  <c r="Q733" i="39"/>
  <c r="Q732" i="39"/>
  <c r="Q731" i="39"/>
  <c r="Q730" i="39"/>
  <c r="Q729" i="39"/>
  <c r="Q728" i="39"/>
  <c r="Q727" i="39"/>
  <c r="Q726" i="39"/>
  <c r="Q725" i="39"/>
  <c r="Q724" i="39"/>
  <c r="Q723" i="39"/>
  <c r="Q722" i="39"/>
  <c r="Q721" i="39"/>
  <c r="Q720" i="39"/>
  <c r="Q719" i="39"/>
  <c r="Q718" i="39"/>
  <c r="Q717" i="39"/>
  <c r="Q716" i="39"/>
  <c r="Q715" i="39"/>
  <c r="Q714" i="39"/>
  <c r="Q713" i="39"/>
  <c r="Q712" i="39"/>
  <c r="Q711" i="39"/>
  <c r="Q710" i="39"/>
  <c r="Q709" i="39"/>
  <c r="Q708" i="39"/>
  <c r="Q707" i="39"/>
  <c r="Q706" i="39"/>
  <c r="Q705" i="39"/>
  <c r="Q704" i="39"/>
  <c r="Q703" i="39"/>
  <c r="Q702" i="39"/>
  <c r="Q701" i="39"/>
  <c r="Q700" i="39"/>
  <c r="Q699" i="39"/>
  <c r="Q698" i="39"/>
  <c r="Q697" i="39"/>
  <c r="Q696" i="39"/>
  <c r="Q695" i="39"/>
  <c r="Q694" i="39"/>
  <c r="Q693" i="39"/>
  <c r="Q692" i="39"/>
  <c r="Q691" i="39"/>
  <c r="Q690" i="39"/>
  <c r="Q689" i="39"/>
  <c r="Q688" i="39"/>
  <c r="Q687" i="39"/>
  <c r="Q686" i="39"/>
  <c r="Q685" i="39"/>
  <c r="Q684" i="39"/>
  <c r="Q683" i="39"/>
  <c r="Q682" i="39"/>
  <c r="Q681" i="39"/>
  <c r="Q680" i="39"/>
  <c r="Q679" i="39"/>
  <c r="Q678" i="39"/>
  <c r="Q677" i="39"/>
  <c r="Q676" i="39"/>
  <c r="Q675" i="39"/>
  <c r="Q674" i="39"/>
  <c r="Q673" i="39"/>
  <c r="Q672" i="39"/>
  <c r="Q671" i="39"/>
  <c r="Q670" i="39"/>
  <c r="Q669" i="39"/>
  <c r="Q668" i="39"/>
  <c r="Q667" i="39"/>
  <c r="Q666" i="39"/>
  <c r="Q665" i="39"/>
  <c r="Q664" i="39"/>
  <c r="Q663" i="39"/>
  <c r="Q662" i="39"/>
  <c r="Q661" i="39"/>
  <c r="Q660" i="39"/>
  <c r="Q659" i="39"/>
  <c r="Q658" i="39"/>
  <c r="Q657" i="39"/>
  <c r="Q656" i="39"/>
  <c r="Q655" i="39"/>
  <c r="Q654" i="39"/>
  <c r="Q653" i="39"/>
  <c r="Q652" i="39"/>
  <c r="Q651" i="39"/>
  <c r="Q650" i="39"/>
  <c r="Q649" i="39"/>
  <c r="Q648" i="39"/>
  <c r="Q647" i="39"/>
  <c r="Q646" i="39"/>
  <c r="Q645" i="39"/>
  <c r="Q644" i="39"/>
  <c r="Q643" i="39"/>
  <c r="Q642" i="39"/>
  <c r="Q641" i="39"/>
  <c r="Q640" i="39"/>
  <c r="Q639" i="39"/>
  <c r="Q638" i="39"/>
  <c r="Q637" i="39"/>
  <c r="Q636" i="39"/>
  <c r="Q635" i="39"/>
  <c r="Q634" i="39"/>
  <c r="Q633" i="39"/>
  <c r="Q632" i="39"/>
  <c r="Q631" i="39"/>
  <c r="Q630" i="39"/>
  <c r="Q629" i="39"/>
  <c r="Q628" i="39"/>
  <c r="Q627" i="39"/>
  <c r="Q626" i="39"/>
  <c r="Q625" i="39"/>
  <c r="Q624" i="39"/>
  <c r="Q623" i="39"/>
  <c r="Q622" i="39"/>
  <c r="Q621" i="39"/>
  <c r="Q620" i="39"/>
  <c r="Q619" i="39"/>
  <c r="Q618" i="39"/>
  <c r="Q617" i="39"/>
  <c r="Q616" i="39"/>
  <c r="Q615" i="39"/>
  <c r="Q614" i="39"/>
  <c r="Q613" i="39"/>
  <c r="Q612" i="39"/>
  <c r="Q611" i="39"/>
  <c r="Q610" i="39"/>
  <c r="Q609" i="39"/>
  <c r="Q608" i="39"/>
  <c r="Q607" i="39"/>
  <c r="Q606" i="39"/>
  <c r="Q605" i="39"/>
  <c r="Q604" i="39"/>
  <c r="Q603" i="39"/>
  <c r="Q602" i="39"/>
  <c r="Q601" i="39"/>
  <c r="Q600" i="39"/>
  <c r="Q599" i="39"/>
  <c r="Q598" i="39"/>
  <c r="Q597" i="39"/>
  <c r="Q596" i="39"/>
  <c r="Q595" i="39"/>
  <c r="Q594" i="39"/>
  <c r="Q593" i="39"/>
  <c r="Q592" i="39"/>
  <c r="Q591" i="39"/>
  <c r="Q590" i="39"/>
  <c r="Q589" i="39"/>
  <c r="Q588" i="39"/>
  <c r="Q587" i="39"/>
  <c r="Q586" i="39"/>
  <c r="Q585" i="39"/>
  <c r="Q584" i="39"/>
  <c r="Q583" i="39"/>
  <c r="Q582" i="39"/>
  <c r="Q581" i="39"/>
  <c r="Q580" i="39"/>
  <c r="Q579" i="39"/>
  <c r="Q578" i="39"/>
  <c r="Q577" i="39"/>
  <c r="Q576" i="39"/>
  <c r="Q575" i="39"/>
  <c r="Q574" i="39"/>
  <c r="Q573" i="39"/>
  <c r="Q572" i="39"/>
  <c r="Q571" i="39"/>
  <c r="Q570" i="39"/>
  <c r="Q569" i="39"/>
  <c r="Q568" i="39"/>
  <c r="Q567" i="39"/>
  <c r="Q566" i="39"/>
  <c r="Q565" i="39"/>
  <c r="Q564" i="39"/>
  <c r="Q563" i="39"/>
  <c r="Q562" i="39"/>
  <c r="Q561" i="39"/>
  <c r="Q560" i="39"/>
  <c r="Q559" i="39"/>
  <c r="Q558" i="39"/>
  <c r="Q557" i="39"/>
  <c r="Q556" i="39"/>
  <c r="Q555" i="39"/>
  <c r="Q554" i="39"/>
  <c r="Q553" i="39"/>
  <c r="Q552" i="39"/>
  <c r="Q551" i="39"/>
  <c r="Q550" i="39"/>
  <c r="Q549" i="39"/>
  <c r="Q548" i="39"/>
  <c r="Q547" i="39"/>
  <c r="Q546" i="39"/>
  <c r="Q545" i="39"/>
  <c r="Q544" i="39"/>
  <c r="Q543" i="39"/>
  <c r="Q542" i="39"/>
  <c r="Q541" i="39"/>
  <c r="Q540" i="39"/>
  <c r="Q539" i="39"/>
  <c r="Q538" i="39"/>
  <c r="Q537" i="39"/>
  <c r="Q536" i="39"/>
  <c r="Q535" i="39"/>
  <c r="Q534" i="39"/>
  <c r="Q533" i="39"/>
  <c r="Q532" i="39"/>
  <c r="Q531" i="39"/>
  <c r="Q530" i="39"/>
  <c r="Q529" i="39"/>
  <c r="Q528" i="39"/>
  <c r="Q527" i="39"/>
  <c r="Q526" i="39"/>
  <c r="Q525" i="39"/>
  <c r="Q524" i="39"/>
  <c r="Q523" i="39"/>
  <c r="Q522" i="39"/>
  <c r="Q521" i="39"/>
  <c r="Q520" i="39"/>
  <c r="Q519" i="39"/>
  <c r="Q518" i="39"/>
  <c r="Q517" i="39"/>
  <c r="Q516" i="39"/>
  <c r="Q515" i="39"/>
  <c r="Q514" i="39"/>
  <c r="Q513" i="39"/>
  <c r="Q512" i="39"/>
  <c r="Q511" i="39"/>
  <c r="Q510" i="39"/>
  <c r="Q509" i="39"/>
  <c r="Q508" i="39"/>
  <c r="Q507" i="39"/>
  <c r="Q506" i="39"/>
  <c r="Q505" i="39"/>
  <c r="Q504" i="39"/>
  <c r="Q503" i="39"/>
  <c r="Q502" i="39"/>
  <c r="Q501" i="39"/>
  <c r="Q500" i="39"/>
  <c r="Q499" i="39"/>
  <c r="Q498" i="39"/>
  <c r="Q497" i="39"/>
  <c r="Q496" i="39"/>
  <c r="Q495" i="39"/>
  <c r="Q494" i="39"/>
  <c r="Q493" i="39"/>
  <c r="Q492" i="39"/>
  <c r="Q491" i="39"/>
  <c r="Q490" i="39"/>
  <c r="Q489" i="39"/>
  <c r="Q488" i="39"/>
  <c r="Q487" i="39"/>
  <c r="Q486" i="39"/>
  <c r="Q485" i="39"/>
  <c r="Q484" i="39"/>
  <c r="Q483" i="39"/>
  <c r="Q482" i="39"/>
  <c r="Q481" i="39"/>
  <c r="Q480" i="39"/>
  <c r="Q479" i="39"/>
  <c r="Q478" i="39"/>
  <c r="Q477" i="39"/>
  <c r="Q476" i="39"/>
  <c r="Q475" i="39"/>
  <c r="Q474" i="39"/>
  <c r="Q473" i="39"/>
  <c r="Q472" i="39"/>
  <c r="Q471" i="39"/>
  <c r="Q470" i="39"/>
  <c r="Q469" i="39"/>
  <c r="Q468" i="39"/>
  <c r="Q467" i="39"/>
  <c r="Q466" i="39"/>
  <c r="Q465" i="39"/>
  <c r="Q464" i="39"/>
  <c r="Q463" i="39"/>
  <c r="Q462" i="39"/>
  <c r="Q461" i="39"/>
  <c r="Q460" i="39"/>
  <c r="Q459" i="39"/>
  <c r="Q458" i="39"/>
  <c r="Q457" i="39"/>
  <c r="Q456" i="39"/>
  <c r="Q455" i="39"/>
  <c r="Q454" i="39"/>
  <c r="Q453" i="39"/>
  <c r="Q452" i="39"/>
  <c r="Q451" i="39"/>
  <c r="Q450" i="39"/>
  <c r="Q449" i="39"/>
  <c r="Q448" i="39"/>
  <c r="Q447" i="39"/>
  <c r="Q446" i="39"/>
  <c r="Q445" i="39"/>
  <c r="Q444" i="39"/>
  <c r="Q443" i="39"/>
  <c r="Q442" i="39"/>
  <c r="Q441" i="39"/>
  <c r="Q440" i="39"/>
  <c r="Q439" i="39"/>
  <c r="Q438" i="39"/>
  <c r="Q437" i="39"/>
  <c r="Q436" i="39"/>
  <c r="Q435" i="39"/>
  <c r="Q434" i="39"/>
  <c r="Q433" i="39"/>
  <c r="Q432" i="39"/>
  <c r="Q431" i="39"/>
  <c r="Q430" i="39"/>
  <c r="Q429" i="39"/>
  <c r="Q428" i="39"/>
  <c r="Q427" i="39"/>
  <c r="Q426" i="39"/>
  <c r="Q425" i="39"/>
  <c r="Q424" i="39"/>
  <c r="Q423" i="39"/>
  <c r="Q422" i="39"/>
  <c r="Q421" i="39"/>
  <c r="Q420" i="39"/>
  <c r="Q419" i="39"/>
  <c r="Q418" i="39"/>
  <c r="Q417" i="39"/>
  <c r="Q416" i="39"/>
  <c r="Q415" i="39"/>
  <c r="Q414" i="39"/>
  <c r="Q413" i="39"/>
  <c r="Q412" i="39"/>
  <c r="Q411" i="39"/>
  <c r="Q410" i="39"/>
  <c r="Q409" i="39"/>
  <c r="Q408" i="39"/>
  <c r="Q407" i="39"/>
  <c r="Q406" i="39"/>
  <c r="Q405" i="39"/>
  <c r="Q404" i="39"/>
  <c r="Q403" i="39"/>
  <c r="Q402" i="39"/>
  <c r="Q401" i="39"/>
  <c r="Q400" i="39"/>
  <c r="Q399" i="39"/>
  <c r="Q398" i="39"/>
  <c r="Q397" i="39"/>
  <c r="Q396" i="39"/>
  <c r="Q395" i="39"/>
  <c r="Q394" i="39"/>
  <c r="Q393" i="39"/>
  <c r="Q392" i="39"/>
  <c r="Q391" i="39"/>
  <c r="Q390" i="39"/>
  <c r="Q389" i="39"/>
  <c r="Q388" i="39"/>
  <c r="Q387" i="39"/>
  <c r="Q386" i="39"/>
  <c r="Q385" i="39"/>
  <c r="Q384" i="39"/>
  <c r="Q383" i="39"/>
  <c r="Q382" i="39"/>
  <c r="Q381" i="39"/>
  <c r="Q380" i="39"/>
  <c r="Q379" i="39"/>
  <c r="Q378" i="39"/>
  <c r="Q377" i="39"/>
  <c r="Q376" i="39"/>
  <c r="Q375" i="39"/>
  <c r="Q374" i="39"/>
  <c r="Q373" i="39"/>
  <c r="Q372" i="39"/>
  <c r="Q371" i="39"/>
  <c r="Q370" i="39"/>
  <c r="Q369" i="39"/>
  <c r="Q368" i="39"/>
  <c r="Q367" i="39"/>
  <c r="Q366" i="39"/>
  <c r="Q365" i="39"/>
  <c r="Q364" i="39"/>
  <c r="Q363" i="39"/>
  <c r="Q362" i="39"/>
  <c r="Q361" i="39"/>
  <c r="Q360" i="39"/>
  <c r="Q359" i="39"/>
  <c r="Q358" i="39"/>
  <c r="Q357" i="39"/>
  <c r="Q356" i="39"/>
  <c r="Q355" i="39"/>
  <c r="Q354" i="39"/>
  <c r="Q353" i="39"/>
  <c r="Q352" i="39"/>
  <c r="Q351" i="39"/>
  <c r="Q350" i="39"/>
  <c r="Q349" i="39"/>
  <c r="Q348" i="39"/>
  <c r="Q347" i="39"/>
  <c r="Q346" i="39"/>
  <c r="Q345" i="39"/>
  <c r="Q344" i="39"/>
  <c r="Q343" i="39"/>
  <c r="Q342" i="39"/>
  <c r="Q341" i="39"/>
  <c r="Q340" i="39"/>
  <c r="Q339" i="39"/>
  <c r="Q338" i="39"/>
  <c r="Q337" i="39"/>
  <c r="Q336" i="39"/>
  <c r="Q335" i="39"/>
  <c r="Q334" i="39"/>
  <c r="Q333" i="39"/>
  <c r="Q332" i="39"/>
  <c r="Q331" i="39"/>
  <c r="Q330" i="39"/>
  <c r="Q329" i="39"/>
  <c r="Q328" i="39"/>
  <c r="Q327" i="39"/>
  <c r="Q326" i="39"/>
  <c r="Q325" i="39"/>
  <c r="Q324" i="39"/>
  <c r="Q323" i="39"/>
  <c r="Q322" i="39"/>
  <c r="Q321" i="39"/>
  <c r="Q320" i="39"/>
  <c r="Q319" i="39"/>
  <c r="Q318" i="39"/>
  <c r="Q317" i="39"/>
  <c r="Q316" i="39"/>
  <c r="Q315" i="39"/>
  <c r="Q314" i="39"/>
  <c r="Q313" i="39"/>
  <c r="Q312" i="39"/>
  <c r="Q311" i="39"/>
  <c r="Q310" i="39"/>
  <c r="Q309" i="39"/>
  <c r="Q308" i="39"/>
  <c r="Q307" i="39"/>
  <c r="Q306" i="39"/>
  <c r="Q303" i="39"/>
  <c r="Q302" i="39"/>
  <c r="Q301" i="39"/>
  <c r="Q300" i="39"/>
  <c r="Q299" i="39"/>
  <c r="Q298" i="39"/>
  <c r="Q297" i="39"/>
  <c r="Q296" i="39"/>
  <c r="Q295" i="39"/>
  <c r="Q294" i="39"/>
  <c r="Q293" i="39"/>
  <c r="Q292" i="39"/>
  <c r="Q291" i="39"/>
  <c r="Q290" i="39"/>
  <c r="Q289" i="39"/>
  <c r="Q288" i="39"/>
  <c r="Q287" i="39"/>
  <c r="Q286" i="39"/>
  <c r="Q285" i="39"/>
  <c r="Q284" i="39"/>
  <c r="Q283" i="39"/>
  <c r="Q282" i="39"/>
  <c r="Q281" i="39"/>
  <c r="Q280" i="39"/>
  <c r="Q279" i="39"/>
  <c r="Q278" i="39"/>
  <c r="Q277" i="39"/>
  <c r="Q276" i="39"/>
  <c r="Q275" i="39"/>
  <c r="Q274" i="39"/>
  <c r="Q273" i="39"/>
  <c r="Q272" i="39"/>
  <c r="Q271" i="39"/>
  <c r="Q270" i="39"/>
  <c r="Q269" i="39"/>
  <c r="Q268" i="39"/>
  <c r="Q267" i="39"/>
  <c r="Q265" i="39"/>
  <c r="Q264" i="39"/>
  <c r="Q263" i="39"/>
  <c r="Q262" i="39"/>
  <c r="Q260" i="39"/>
  <c r="Q259" i="39"/>
  <c r="Q258" i="39"/>
  <c r="Q257" i="39"/>
  <c r="Q256" i="39"/>
  <c r="Q255" i="39"/>
  <c r="Q254" i="39"/>
  <c r="Q253" i="39"/>
  <c r="Q252" i="39"/>
  <c r="Q251" i="39"/>
  <c r="Q250" i="39"/>
  <c r="Q249" i="39"/>
  <c r="Q248" i="39"/>
  <c r="Q247" i="39"/>
  <c r="Q246" i="39"/>
  <c r="Q245" i="39"/>
  <c r="Q244" i="39"/>
  <c r="Q243" i="39"/>
  <c r="Q242" i="39"/>
  <c r="Q241" i="39"/>
  <c r="Q240" i="39"/>
  <c r="Q239" i="39"/>
  <c r="Q238" i="39"/>
  <c r="Q237" i="39"/>
  <c r="Q236" i="39"/>
  <c r="Q235" i="39"/>
  <c r="Q234" i="39"/>
  <c r="Q233" i="39"/>
  <c r="Q232" i="39"/>
  <c r="Q231" i="39"/>
  <c r="Q230" i="39"/>
  <c r="Q229" i="39"/>
  <c r="Q228" i="39"/>
  <c r="Q227" i="39"/>
  <c r="Q226" i="39"/>
  <c r="Q225" i="39"/>
  <c r="Q224" i="39"/>
  <c r="Q223" i="39"/>
  <c r="Q222" i="39"/>
  <c r="Q221" i="39"/>
  <c r="Q220" i="39"/>
  <c r="Q219" i="39"/>
  <c r="Q218" i="39"/>
  <c r="Q217" i="39"/>
  <c r="Q216" i="39"/>
  <c r="Q215" i="39"/>
  <c r="Q214" i="39"/>
  <c r="Q213" i="39"/>
  <c r="Q212" i="39"/>
  <c r="Q211" i="39"/>
  <c r="Q210" i="39"/>
  <c r="Q209" i="39"/>
  <c r="Q208" i="39"/>
  <c r="Q207" i="39"/>
  <c r="Q206" i="39"/>
  <c r="Q205" i="39"/>
  <c r="Q204" i="39"/>
  <c r="Q203" i="39"/>
  <c r="Q202" i="39"/>
  <c r="Q201" i="39"/>
  <c r="Q200" i="39"/>
  <c r="Q199" i="39"/>
  <c r="Q198" i="39"/>
  <c r="Q197" i="39"/>
  <c r="Q196" i="39"/>
  <c r="Q195" i="39"/>
  <c r="Q194" i="39"/>
  <c r="Q193" i="39"/>
  <c r="Q192" i="39"/>
  <c r="Q191" i="39"/>
  <c r="Q190" i="39"/>
  <c r="Q189" i="39"/>
  <c r="Q188" i="39"/>
  <c r="Q187" i="39"/>
  <c r="Q186" i="39"/>
  <c r="Q185" i="39"/>
  <c r="Q184" i="39"/>
  <c r="Q183" i="39"/>
  <c r="Q182" i="39"/>
  <c r="Q181" i="39"/>
  <c r="Q180" i="39"/>
  <c r="Q179" i="39"/>
  <c r="Q178" i="39"/>
  <c r="Q177" i="39"/>
  <c r="Q176" i="39"/>
  <c r="Q175" i="39"/>
  <c r="Q174" i="39"/>
  <c r="Q173" i="39"/>
  <c r="Q172" i="39"/>
  <c r="Q171" i="39"/>
  <c r="Q170" i="39"/>
  <c r="Q169" i="39"/>
  <c r="Q168" i="39"/>
  <c r="Q167" i="39"/>
  <c r="Q166" i="39"/>
  <c r="Q165" i="39"/>
  <c r="Q164" i="39"/>
  <c r="Q163" i="39"/>
  <c r="Q162" i="39"/>
  <c r="Q161" i="39"/>
  <c r="Q160" i="39"/>
  <c r="Q159" i="39"/>
  <c r="Q158" i="39"/>
  <c r="Q157" i="39"/>
  <c r="Q156" i="39"/>
  <c r="Q155" i="39"/>
  <c r="Q154" i="39"/>
  <c r="Q153" i="39"/>
  <c r="Q152" i="39"/>
  <c r="Q151" i="39"/>
  <c r="Q150" i="39"/>
  <c r="Q149" i="39"/>
  <c r="Q148" i="39"/>
  <c r="Q147" i="39"/>
  <c r="Q146" i="39"/>
  <c r="Q145" i="39"/>
  <c r="Q144" i="39"/>
  <c r="Q143" i="39"/>
  <c r="Q142" i="39"/>
  <c r="Q141" i="39"/>
  <c r="Q140" i="39"/>
  <c r="Q139" i="39"/>
  <c r="Q138" i="39"/>
  <c r="Q137" i="39"/>
  <c r="Q136" i="39"/>
  <c r="Q135" i="39"/>
  <c r="Q134" i="39"/>
  <c r="Q133" i="39"/>
  <c r="Q132" i="39"/>
  <c r="Q131" i="39"/>
  <c r="Q130" i="39"/>
  <c r="Q129" i="39"/>
  <c r="Q128" i="39"/>
  <c r="Q127" i="39"/>
  <c r="Q126" i="39"/>
  <c r="Q125" i="39"/>
  <c r="Q124" i="39"/>
  <c r="Q123" i="39"/>
  <c r="Q122" i="39"/>
  <c r="Q121" i="39"/>
  <c r="Q120" i="39"/>
  <c r="Q119" i="39"/>
  <c r="Q118" i="39"/>
  <c r="Q117" i="39"/>
  <c r="Q116" i="39"/>
  <c r="Q115" i="39"/>
  <c r="Q114" i="39"/>
  <c r="Q113" i="39"/>
  <c r="Q112" i="39"/>
  <c r="Q111" i="39"/>
  <c r="Q110" i="39"/>
  <c r="Q109" i="39"/>
  <c r="Q108" i="39"/>
  <c r="Q107" i="39"/>
  <c r="Q106" i="39"/>
  <c r="Q105" i="39"/>
  <c r="Q104" i="39"/>
  <c r="Q103" i="39"/>
  <c r="Q102" i="39"/>
  <c r="Q101" i="39"/>
  <c r="Q100" i="39"/>
  <c r="Q99" i="39"/>
  <c r="Q98" i="39"/>
  <c r="Q97" i="39"/>
  <c r="Q95" i="39"/>
  <c r="Q94" i="39"/>
  <c r="Q93" i="39"/>
  <c r="Q92" i="39"/>
  <c r="Q91" i="39"/>
  <c r="Q90" i="39"/>
  <c r="Q89" i="39"/>
  <c r="Q88" i="39"/>
  <c r="Q87" i="39"/>
  <c r="Q86" i="39"/>
  <c r="Q85" i="39"/>
  <c r="Q84" i="39"/>
  <c r="Q83" i="39"/>
  <c r="Q82" i="39"/>
  <c r="Q81" i="39"/>
  <c r="Q80" i="39"/>
  <c r="Q79" i="39"/>
  <c r="Q78" i="39"/>
  <c r="Q77" i="39"/>
  <c r="Q76" i="39"/>
  <c r="Q75" i="39"/>
  <c r="Q74" i="39"/>
  <c r="Q73" i="39"/>
  <c r="Q72" i="39"/>
  <c r="Q71" i="39"/>
  <c r="Q70" i="39"/>
  <c r="Q69" i="39"/>
  <c r="Q68" i="39"/>
  <c r="Q67" i="39"/>
  <c r="Q66" i="39"/>
  <c r="Q65" i="39"/>
  <c r="Q64" i="39"/>
  <c r="Q63" i="39"/>
  <c r="Q62" i="39"/>
  <c r="Q61" i="39"/>
  <c r="Q60" i="39"/>
  <c r="Q59" i="39"/>
  <c r="Q58" i="39"/>
  <c r="Q57" i="39"/>
  <c r="Q56" i="39"/>
  <c r="Q55" i="39"/>
  <c r="Q54" i="39"/>
  <c r="Q53" i="39"/>
  <c r="Q52" i="39"/>
  <c r="Q51" i="39"/>
  <c r="Q50" i="39"/>
  <c r="Q49" i="39"/>
  <c r="Q48" i="39"/>
  <c r="Q47" i="39"/>
  <c r="Q46" i="39"/>
  <c r="Q45" i="39"/>
  <c r="Q44" i="39"/>
  <c r="Q43" i="39"/>
  <c r="Q42" i="39"/>
  <c r="Q41" i="39"/>
  <c r="Q40" i="39"/>
  <c r="Q39" i="39"/>
  <c r="Q38" i="39"/>
  <c r="Q37" i="39"/>
  <c r="Q36" i="39"/>
  <c r="Q35" i="39"/>
  <c r="Q34" i="39"/>
  <c r="Q33" i="39"/>
  <c r="Q32" i="39"/>
  <c r="Q31" i="39"/>
  <c r="Q30" i="39"/>
  <c r="Q29" i="39"/>
  <c r="Q28" i="39"/>
  <c r="Q27" i="39"/>
  <c r="Q26" i="39"/>
  <c r="Q25" i="39"/>
  <c r="Q24" i="39"/>
  <c r="Q23" i="39"/>
  <c r="Q22" i="39"/>
  <c r="Q21" i="39"/>
  <c r="Q20" i="39"/>
  <c r="Q19" i="39"/>
  <c r="Q18" i="39"/>
  <c r="Q17" i="39"/>
  <c r="Q16" i="39"/>
  <c r="Q15" i="39"/>
  <c r="Q14" i="39"/>
  <c r="Q13" i="39"/>
  <c r="Q12" i="39"/>
  <c r="Q11" i="39"/>
  <c r="Q10" i="39"/>
  <c r="Q9" i="39"/>
  <c r="Q8" i="39"/>
  <c r="Q7" i="39"/>
  <c r="Q6" i="39"/>
  <c r="Q5" i="39"/>
  <c r="Q4" i="39"/>
  <c r="AB24" i="114" l="1"/>
  <c r="AB429" i="68"/>
  <c r="AC429" i="68" s="1"/>
  <c r="AE429" i="68" s="1"/>
  <c r="AF429" i="68" s="1"/>
  <c r="AH429" i="68" s="1"/>
  <c r="AB426" i="68"/>
  <c r="AC426" i="68" s="1"/>
  <c r="AE426" i="68" s="1"/>
  <c r="AF426" i="68" s="1"/>
  <c r="AH426" i="68" s="1"/>
  <c r="AB423" i="68"/>
  <c r="AC423" i="68" s="1"/>
  <c r="AE423" i="68" s="1"/>
  <c r="AF423" i="68" s="1"/>
  <c r="AH423" i="68" s="1"/>
  <c r="AB430" i="68"/>
  <c r="AC430" i="68" s="1"/>
  <c r="AE430" i="68" s="1"/>
  <c r="AF430" i="68" s="1"/>
  <c r="AH430" i="68" s="1"/>
  <c r="AB1927" i="68"/>
  <c r="AC1927" i="68" s="1"/>
  <c r="AE1927" i="68" s="1"/>
  <c r="AB428" i="68"/>
  <c r="AC428" i="68" s="1"/>
  <c r="AE428" i="68" s="1"/>
  <c r="AF428" i="68" s="1"/>
  <c r="AH428" i="68" s="1"/>
  <c r="AB425" i="68"/>
  <c r="AC425" i="68" s="1"/>
  <c r="AE425" i="68" s="1"/>
  <c r="AF425" i="68" s="1"/>
  <c r="AH425" i="68" s="1"/>
  <c r="AB431" i="68"/>
  <c r="AC431" i="68" s="1"/>
  <c r="AE431" i="68" s="1"/>
  <c r="AF431" i="68" s="1"/>
  <c r="AH431" i="68" s="1"/>
  <c r="AB427" i="68"/>
  <c r="AC427" i="68" s="1"/>
  <c r="AE427" i="68" s="1"/>
  <c r="AF427" i="68" s="1"/>
  <c r="AH427" i="68" s="1"/>
  <c r="AB1903" i="68"/>
  <c r="AC1903" i="68" s="1"/>
  <c r="AE1903" i="68" s="1"/>
  <c r="AB424" i="68"/>
  <c r="AC424" i="68" s="1"/>
  <c r="AE424" i="68" s="1"/>
  <c r="AF424" i="68" s="1"/>
  <c r="AH424" i="68" s="1"/>
  <c r="AB11" i="68"/>
  <c r="AC11" i="68" s="1"/>
  <c r="AE11" i="68" s="1"/>
  <c r="AF11" i="68" s="1"/>
  <c r="AH11" i="68" s="1"/>
  <c r="E625" i="115"/>
  <c r="E608" i="115"/>
  <c r="E631" i="115"/>
  <c r="E606" i="115"/>
  <c r="E602" i="115"/>
  <c r="E1055" i="115"/>
  <c r="E629" i="115"/>
  <c r="E1127" i="115"/>
  <c r="E589" i="115"/>
  <c r="E1059" i="115"/>
  <c r="E632" i="115"/>
  <c r="E628" i="115"/>
  <c r="E626" i="115"/>
  <c r="E1117" i="115"/>
  <c r="E1101" i="115"/>
  <c r="E1091" i="115"/>
  <c r="E1083" i="115"/>
  <c r="E1075" i="115"/>
  <c r="E1128" i="115"/>
  <c r="E1118" i="115"/>
  <c r="E1102" i="115"/>
  <c r="E1092" i="115"/>
  <c r="E1084" i="115"/>
  <c r="E1076" i="115"/>
  <c r="E1068" i="115"/>
  <c r="E1130" i="115"/>
  <c r="E1052" i="115"/>
  <c r="C911" i="115"/>
  <c r="D884" i="115"/>
  <c r="E1081" i="115"/>
  <c r="E1073" i="115"/>
  <c r="D123" i="115"/>
  <c r="B817" i="115"/>
  <c r="B107" i="115"/>
  <c r="B67" i="115"/>
  <c r="E139" i="115"/>
  <c r="B219" i="115"/>
  <c r="E643" i="115"/>
  <c r="E873" i="115"/>
  <c r="F60" i="115"/>
  <c r="B131" i="115"/>
  <c r="E1058" i="115"/>
  <c r="B747" i="115"/>
  <c r="B760" i="115"/>
  <c r="B978" i="115"/>
  <c r="E1115" i="115"/>
  <c r="E1089" i="115"/>
  <c r="E1063" i="115"/>
  <c r="D36" i="115"/>
  <c r="B88" i="115"/>
  <c r="E259" i="115"/>
  <c r="C747" i="115"/>
  <c r="B854" i="115"/>
  <c r="F896" i="115"/>
  <c r="C924" i="115"/>
  <c r="C88" i="115"/>
  <c r="F259" i="115"/>
  <c r="C266" i="115"/>
  <c r="F810" i="115"/>
  <c r="E1137" i="115"/>
  <c r="B63" i="115"/>
  <c r="B70" i="115"/>
  <c r="D97" i="115"/>
  <c r="B696" i="115"/>
  <c r="F948" i="115"/>
  <c r="F256" i="115"/>
  <c r="D716" i="115"/>
  <c r="D757" i="115"/>
  <c r="C805" i="115"/>
  <c r="D25" i="115"/>
  <c r="C654" i="115"/>
  <c r="F893" i="115"/>
  <c r="D907" i="115"/>
  <c r="B17" i="115"/>
  <c r="F101" i="115"/>
  <c r="D105" i="115"/>
  <c r="F224" i="115"/>
  <c r="E276" i="115"/>
  <c r="F651" i="115"/>
  <c r="F663" i="115"/>
  <c r="D681" i="115"/>
  <c r="C739" i="115"/>
  <c r="B755" i="115"/>
  <c r="D759" i="115"/>
  <c r="B765" i="115"/>
  <c r="B837" i="115"/>
  <c r="E863" i="115"/>
  <c r="E1110" i="115"/>
  <c r="E610" i="115"/>
  <c r="D17" i="115"/>
  <c r="D63" i="115"/>
  <c r="E68" i="115"/>
  <c r="F77" i="115"/>
  <c r="B97" i="115"/>
  <c r="C509" i="115"/>
  <c r="E533" i="115"/>
  <c r="B573" i="115"/>
  <c r="B691" i="115"/>
  <c r="B734" i="115"/>
  <c r="B744" i="115"/>
  <c r="C755" i="115"/>
  <c r="C765" i="115"/>
  <c r="C837" i="115"/>
  <c r="F889" i="115"/>
  <c r="B907" i="115"/>
  <c r="F924" i="115"/>
  <c r="E953" i="115"/>
  <c r="D978" i="115"/>
  <c r="C990" i="115"/>
  <c r="D13" i="115"/>
  <c r="F36" i="115"/>
  <c r="D106" i="115"/>
  <c r="F652" i="115"/>
  <c r="B656" i="115"/>
  <c r="D872" i="115"/>
  <c r="D896" i="115"/>
  <c r="C949" i="115"/>
  <c r="D963" i="115"/>
  <c r="E990" i="115"/>
  <c r="E1120" i="115"/>
  <c r="E1112" i="115"/>
  <c r="E1104" i="115"/>
  <c r="E1096" i="115"/>
  <c r="E1060" i="115"/>
  <c r="F13" i="115"/>
  <c r="E49" i="115"/>
  <c r="E60" i="115"/>
  <c r="C74" i="115"/>
  <c r="E104" i="115"/>
  <c r="D120" i="115"/>
  <c r="B124" i="115"/>
  <c r="F131" i="115"/>
  <c r="E266" i="115"/>
  <c r="E521" i="115"/>
  <c r="B679" i="115"/>
  <c r="D741" i="115"/>
  <c r="C745" i="115"/>
  <c r="D760" i="115"/>
  <c r="B774" i="115"/>
  <c r="F834" i="115"/>
  <c r="E1067" i="115"/>
  <c r="D33" i="115"/>
  <c r="C383" i="115"/>
  <c r="D419" i="115"/>
  <c r="B577" i="115"/>
  <c r="D666" i="115"/>
  <c r="F679" i="115"/>
  <c r="D939" i="115"/>
  <c r="D960" i="115"/>
  <c r="F27" i="115"/>
  <c r="E33" i="115"/>
  <c r="C67" i="115"/>
  <c r="D70" i="115"/>
  <c r="D95" i="115"/>
  <c r="C99" i="115"/>
  <c r="D121" i="115"/>
  <c r="C282" i="115"/>
  <c r="E517" i="115"/>
  <c r="B654" i="115"/>
  <c r="D686" i="115"/>
  <c r="F701" i="115"/>
  <c r="F737" i="115"/>
  <c r="E757" i="115"/>
  <c r="C761" i="115"/>
  <c r="B812" i="115"/>
  <c r="B835" i="115"/>
  <c r="D880" i="115"/>
  <c r="E897" i="115"/>
  <c r="C909" i="115"/>
  <c r="B946" i="115"/>
  <c r="E1129" i="115"/>
  <c r="E1119" i="115"/>
  <c r="E1111" i="115"/>
  <c r="E1103" i="115"/>
  <c r="E1093" i="115"/>
  <c r="E1085" i="115"/>
  <c r="E1077" i="115"/>
  <c r="E1069" i="115"/>
  <c r="D67" i="115"/>
  <c r="F121" i="115"/>
  <c r="F126" i="115"/>
  <c r="C276" i="115"/>
  <c r="C512" i="115"/>
  <c r="F517" i="115"/>
  <c r="D743" i="115"/>
  <c r="E812" i="115"/>
  <c r="D818" i="115"/>
  <c r="B952" i="115"/>
  <c r="C982" i="115"/>
  <c r="C993" i="115"/>
  <c r="E1136" i="115"/>
  <c r="E1124" i="115"/>
  <c r="E1116" i="115"/>
  <c r="E1108" i="115"/>
  <c r="E1100" i="115"/>
  <c r="E1090" i="115"/>
  <c r="E1082" i="115"/>
  <c r="E1074" i="115"/>
  <c r="E1066" i="115"/>
  <c r="E1056" i="115"/>
  <c r="E609" i="115"/>
  <c r="D46" i="115"/>
  <c r="E71" i="115"/>
  <c r="E224" i="115"/>
  <c r="D276" i="115"/>
  <c r="D512" i="115"/>
  <c r="E651" i="115"/>
  <c r="D654" i="115"/>
  <c r="F668" i="115"/>
  <c r="F743" i="115"/>
  <c r="F818" i="115"/>
  <c r="C863" i="115"/>
  <c r="D875" i="115"/>
  <c r="F952" i="115"/>
  <c r="D982" i="115"/>
  <c r="E1134" i="115"/>
  <c r="E1122" i="115"/>
  <c r="E1114" i="115"/>
  <c r="E1106" i="115"/>
  <c r="E1098" i="115"/>
  <c r="E1088" i="115"/>
  <c r="E1072" i="115"/>
  <c r="C85" i="115"/>
  <c r="E85" i="115"/>
  <c r="E140" i="115"/>
  <c r="C140" i="115"/>
  <c r="F400" i="115"/>
  <c r="E400" i="115"/>
  <c r="B400" i="115"/>
  <c r="F22" i="115"/>
  <c r="D22" i="115"/>
  <c r="B11" i="115"/>
  <c r="E1131" i="115"/>
  <c r="E1121" i="115"/>
  <c r="E1113" i="115"/>
  <c r="E1105" i="115"/>
  <c r="E1097" i="115"/>
  <c r="E1087" i="115"/>
  <c r="E1079" i="115"/>
  <c r="E1071" i="115"/>
  <c r="B22" i="115"/>
  <c r="C28" i="115"/>
  <c r="E28" i="115"/>
  <c r="D28" i="115"/>
  <c r="F11" i="115"/>
  <c r="E1135" i="115"/>
  <c r="E1123" i="115"/>
  <c r="E1107" i="115"/>
  <c r="E1099" i="115"/>
  <c r="E47" i="115"/>
  <c r="D47" i="115"/>
  <c r="B127" i="115"/>
  <c r="D127" i="115"/>
  <c r="C127" i="115"/>
  <c r="D244" i="115"/>
  <c r="F244" i="115"/>
  <c r="E244" i="115"/>
  <c r="E1086" i="115"/>
  <c r="E1078" i="115"/>
  <c r="E1070" i="115"/>
  <c r="E31" i="115"/>
  <c r="F31" i="115"/>
  <c r="E56" i="115"/>
  <c r="E1109" i="115"/>
  <c r="C20" i="115"/>
  <c r="F20" i="115"/>
  <c r="E20" i="115"/>
  <c r="F112" i="115"/>
  <c r="D112" i="115"/>
  <c r="B112" i="115"/>
  <c r="D12" i="115"/>
  <c r="F15" i="115"/>
  <c r="B18" i="115"/>
  <c r="D26" i="115"/>
  <c r="F32" i="115"/>
  <c r="C43" i="115"/>
  <c r="E48" i="115"/>
  <c r="D51" i="115"/>
  <c r="C61" i="115"/>
  <c r="D72" i="115"/>
  <c r="D75" i="115"/>
  <c r="C86" i="115"/>
  <c r="F122" i="115"/>
  <c r="C125" i="115"/>
  <c r="E216" i="115"/>
  <c r="E251" i="115"/>
  <c r="C396" i="115"/>
  <c r="F527" i="115"/>
  <c r="C646" i="115"/>
  <c r="B652" i="115"/>
  <c r="C662" i="115"/>
  <c r="F670" i="115"/>
  <c r="F686" i="115"/>
  <c r="D696" i="115"/>
  <c r="F711" i="115"/>
  <c r="B719" i="115"/>
  <c r="B745" i="115"/>
  <c r="F748" i="115"/>
  <c r="E752" i="115"/>
  <c r="F759" i="115"/>
  <c r="B775" i="115"/>
  <c r="D779" i="115"/>
  <c r="E787" i="115"/>
  <c r="E790" i="115"/>
  <c r="E798" i="115"/>
  <c r="B801" i="115"/>
  <c r="D812" i="115"/>
  <c r="D814" i="115"/>
  <c r="F880" i="115"/>
  <c r="F884" i="115"/>
  <c r="C889" i="115"/>
  <c r="C948" i="115"/>
  <c r="D952" i="115"/>
  <c r="B960" i="115"/>
  <c r="E962" i="115"/>
  <c r="F982" i="115"/>
  <c r="C1040" i="115"/>
  <c r="E12" i="115"/>
  <c r="B21" i="115"/>
  <c r="D24" i="115"/>
  <c r="B29" i="115"/>
  <c r="C35" i="115"/>
  <c r="F48" i="115"/>
  <c r="E61" i="115"/>
  <c r="D86" i="115"/>
  <c r="D91" i="115"/>
  <c r="D104" i="115"/>
  <c r="B120" i="115"/>
  <c r="D125" i="115"/>
  <c r="F280" i="115"/>
  <c r="E396" i="115"/>
  <c r="C500" i="115"/>
  <c r="E506" i="115"/>
  <c r="D520" i="115"/>
  <c r="D533" i="115"/>
  <c r="D646" i="115"/>
  <c r="E667" i="115"/>
  <c r="D678" i="115"/>
  <c r="F696" i="115"/>
  <c r="D700" i="115"/>
  <c r="C719" i="115"/>
  <c r="B736" i="115"/>
  <c r="E775" i="115"/>
  <c r="E779" i="115"/>
  <c r="F787" i="115"/>
  <c r="C801" i="115"/>
  <c r="E1057" i="115"/>
  <c r="F16" i="115"/>
  <c r="C19" i="115"/>
  <c r="C21" i="115"/>
  <c r="E24" i="115"/>
  <c r="B27" i="115"/>
  <c r="D29" i="115"/>
  <c r="B33" i="115"/>
  <c r="D35" i="115"/>
  <c r="D59" i="115"/>
  <c r="D500" i="115"/>
  <c r="F506" i="115"/>
  <c r="C516" i="115"/>
  <c r="E520" i="115"/>
  <c r="E678" i="115"/>
  <c r="B687" i="115"/>
  <c r="B695" i="115"/>
  <c r="E700" i="115"/>
  <c r="D736" i="115"/>
  <c r="C753" i="115"/>
  <c r="F775" i="115"/>
  <c r="B799" i="115"/>
  <c r="F801" i="115"/>
  <c r="B833" i="115"/>
  <c r="C835" i="115"/>
  <c r="D837" i="115"/>
  <c r="D848" i="115"/>
  <c r="C877" i="115"/>
  <c r="E936" i="115"/>
  <c r="C941" i="115"/>
  <c r="D945" i="115"/>
  <c r="F960" i="115"/>
  <c r="C980" i="115"/>
  <c r="E983" i="115"/>
  <c r="F992" i="115"/>
  <c r="B997" i="115"/>
  <c r="E1062" i="115"/>
  <c r="E1054" i="115"/>
  <c r="E620" i="115"/>
  <c r="B13" i="115"/>
  <c r="D19" i="115"/>
  <c r="F21" i="115"/>
  <c r="F24" i="115"/>
  <c r="C27" i="115"/>
  <c r="F29" i="115"/>
  <c r="C33" i="115"/>
  <c r="C49" i="115"/>
  <c r="E53" i="115"/>
  <c r="F70" i="115"/>
  <c r="B74" i="115"/>
  <c r="E77" i="115"/>
  <c r="C97" i="115"/>
  <c r="E101" i="115"/>
  <c r="E106" i="115"/>
  <c r="F110" i="115"/>
  <c r="E123" i="115"/>
  <c r="D126" i="115"/>
  <c r="C131" i="115"/>
  <c r="C139" i="115"/>
  <c r="E141" i="115"/>
  <c r="D269" i="115"/>
  <c r="E419" i="115"/>
  <c r="F520" i="115"/>
  <c r="C540" i="115"/>
  <c r="B554" i="115"/>
  <c r="B562" i="115"/>
  <c r="D567" i="115"/>
  <c r="D577" i="115"/>
  <c r="F643" i="115"/>
  <c r="D647" i="115"/>
  <c r="B668" i="115"/>
  <c r="F678" i="115"/>
  <c r="F687" i="115"/>
  <c r="F695" i="115"/>
  <c r="F700" i="115"/>
  <c r="E716" i="115"/>
  <c r="F720" i="115"/>
  <c r="E736" i="115"/>
  <c r="B750" i="115"/>
  <c r="F753" i="115"/>
  <c r="B788" i="115"/>
  <c r="C799" i="115"/>
  <c r="D806" i="115"/>
  <c r="B811" i="115"/>
  <c r="B813" i="115"/>
  <c r="D833" i="115"/>
  <c r="B890" i="115"/>
  <c r="B922" i="115"/>
  <c r="D997" i="115"/>
  <c r="F1042" i="115"/>
  <c r="E269" i="115"/>
  <c r="F567" i="115"/>
  <c r="E647" i="115"/>
  <c r="E760" i="115"/>
  <c r="F786" i="115"/>
  <c r="F797" i="115"/>
  <c r="E799" i="115"/>
  <c r="E806" i="115"/>
  <c r="C811" i="115"/>
  <c r="C813" i="115"/>
  <c r="E833" i="115"/>
  <c r="B1028" i="115"/>
  <c r="F647" i="115"/>
  <c r="B701" i="115"/>
  <c r="E710" i="115"/>
  <c r="F717" i="115"/>
  <c r="C737" i="115"/>
  <c r="E741" i="115"/>
  <c r="D744" i="115"/>
  <c r="B758" i="115"/>
  <c r="F767" i="115"/>
  <c r="C774" i="115"/>
  <c r="B777" i="115"/>
  <c r="F799" i="115"/>
  <c r="C803" i="115"/>
  <c r="F811" i="115"/>
  <c r="D813" i="115"/>
  <c r="D817" i="115"/>
  <c r="E829" i="115"/>
  <c r="F833" i="115"/>
  <c r="C836" i="115"/>
  <c r="C845" i="115"/>
  <c r="E859" i="115"/>
  <c r="F909" i="115"/>
  <c r="B938" i="115"/>
  <c r="B958" i="115"/>
  <c r="C978" i="115"/>
  <c r="B982" i="115"/>
  <c r="E993" i="115"/>
  <c r="F1028" i="115"/>
  <c r="E1061" i="115"/>
  <c r="E1053" i="115"/>
  <c r="E607" i="115"/>
  <c r="E601" i="115"/>
  <c r="E599" i="115"/>
  <c r="E17" i="115"/>
  <c r="C107" i="115"/>
  <c r="D124" i="115"/>
  <c r="E510" i="115"/>
  <c r="C527" i="115"/>
  <c r="E744" i="115"/>
  <c r="B752" i="115"/>
  <c r="B761" i="115"/>
  <c r="F774" i="115"/>
  <c r="B783" i="115"/>
  <c r="B787" i="115"/>
  <c r="B798" i="115"/>
  <c r="F813" i="115"/>
  <c r="E817" i="115"/>
  <c r="D836" i="115"/>
  <c r="C884" i="115"/>
  <c r="C906" i="115"/>
  <c r="C919" i="115"/>
  <c r="C947" i="115"/>
  <c r="B961" i="115"/>
  <c r="B26" i="115"/>
  <c r="B34" i="115"/>
  <c r="B43" i="115"/>
  <c r="B51" i="115"/>
  <c r="B61" i="115"/>
  <c r="D69" i="115"/>
  <c r="C72" i="115"/>
  <c r="B99" i="115"/>
  <c r="C105" i="115"/>
  <c r="F107" i="115"/>
  <c r="D122" i="115"/>
  <c r="E201" i="115"/>
  <c r="F209" i="115"/>
  <c r="C216" i="115"/>
  <c r="C251" i="115"/>
  <c r="D279" i="115"/>
  <c r="F386" i="115"/>
  <c r="C505" i="115"/>
  <c r="F510" i="115"/>
  <c r="D527" i="115"/>
  <c r="D573" i="115"/>
  <c r="B646" i="115"/>
  <c r="F654" i="115"/>
  <c r="B662" i="115"/>
  <c r="E666" i="115"/>
  <c r="C670" i="115"/>
  <c r="E686" i="115"/>
  <c r="F691" i="115"/>
  <c r="C696" i="115"/>
  <c r="B711" i="115"/>
  <c r="B742" i="115"/>
  <c r="B748" i="115"/>
  <c r="D752" i="115"/>
  <c r="E783" i="115"/>
  <c r="D787" i="115"/>
  <c r="D790" i="115"/>
  <c r="D798" i="115"/>
  <c r="B804" i="115"/>
  <c r="F817" i="115"/>
  <c r="E846" i="115"/>
  <c r="C856" i="115"/>
  <c r="F963" i="115"/>
  <c r="F978" i="115"/>
  <c r="F658" i="115"/>
  <c r="E658" i="115"/>
  <c r="D658" i="115"/>
  <c r="C658" i="115"/>
  <c r="B658" i="115"/>
  <c r="F50" i="115"/>
  <c r="D50" i="115"/>
  <c r="B50" i="115"/>
  <c r="F98" i="115"/>
  <c r="D98" i="115"/>
  <c r="B98" i="115"/>
  <c r="B220" i="115"/>
  <c r="E220" i="115"/>
  <c r="D220" i="115"/>
  <c r="C220" i="115"/>
  <c r="F58" i="115"/>
  <c r="E58" i="115"/>
  <c r="D58" i="115"/>
  <c r="C58" i="115"/>
  <c r="B58" i="115"/>
  <c r="F66" i="115"/>
  <c r="D66" i="115"/>
  <c r="B66" i="115"/>
  <c r="F133" i="115"/>
  <c r="D133" i="115"/>
  <c r="C133" i="115"/>
  <c r="B133" i="115"/>
  <c r="E23" i="115"/>
  <c r="F23" i="115"/>
  <c r="D23" i="115"/>
  <c r="C23" i="115"/>
  <c r="B23" i="115"/>
  <c r="F90" i="115"/>
  <c r="E90" i="115"/>
  <c r="D90" i="115"/>
  <c r="C90" i="115"/>
  <c r="B90" i="115"/>
  <c r="B226" i="115"/>
  <c r="E226" i="115"/>
  <c r="D226" i="115"/>
  <c r="C226" i="115"/>
  <c r="F406" i="115"/>
  <c r="E406" i="115"/>
  <c r="C406" i="115"/>
  <c r="B406" i="115"/>
  <c r="C52" i="115"/>
  <c r="F52" i="115"/>
  <c r="E52" i="115"/>
  <c r="D52" i="115"/>
  <c r="C100" i="115"/>
  <c r="F100" i="115"/>
  <c r="E100" i="115"/>
  <c r="D100" i="115"/>
  <c r="E109" i="115"/>
  <c r="F109" i="115"/>
  <c r="D109" i="115"/>
  <c r="C109" i="115"/>
  <c r="B109" i="115"/>
  <c r="D263" i="115"/>
  <c r="F263" i="115"/>
  <c r="E263" i="115"/>
  <c r="E592" i="115"/>
  <c r="F45" i="115"/>
  <c r="E45" i="115"/>
  <c r="D45" i="115"/>
  <c r="C45" i="115"/>
  <c r="B45" i="115"/>
  <c r="F62" i="115"/>
  <c r="D62" i="115"/>
  <c r="B62" i="115"/>
  <c r="D232" i="115"/>
  <c r="F232" i="115"/>
  <c r="E232" i="115"/>
  <c r="E1080" i="115"/>
  <c r="D213" i="115"/>
  <c r="F213" i="115"/>
  <c r="E213" i="115"/>
  <c r="D248" i="115"/>
  <c r="F248" i="115"/>
  <c r="E248" i="115"/>
  <c r="F53" i="115"/>
  <c r="F68" i="115"/>
  <c r="E627" i="115"/>
  <c r="E624" i="115"/>
  <c r="E611" i="115"/>
  <c r="E605" i="115"/>
  <c r="E590" i="115"/>
  <c r="F12" i="115"/>
  <c r="B14" i="115"/>
  <c r="D16" i="115"/>
  <c r="F17" i="115"/>
  <c r="F19" i="115"/>
  <c r="D21" i="115"/>
  <c r="B25" i="115"/>
  <c r="F28" i="115"/>
  <c r="B30" i="115"/>
  <c r="D32" i="115"/>
  <c r="F35" i="115"/>
  <c r="D43" i="115"/>
  <c r="B47" i="115"/>
  <c r="B59" i="115"/>
  <c r="E72" i="115"/>
  <c r="D74" i="115"/>
  <c r="B76" i="115"/>
  <c r="E86" i="115"/>
  <c r="D88" i="115"/>
  <c r="B92" i="115"/>
  <c r="B96" i="115"/>
  <c r="F104" i="115"/>
  <c r="F105" i="115"/>
  <c r="D107" i="115"/>
  <c r="B111" i="115"/>
  <c r="F123" i="115"/>
  <c r="F125" i="115"/>
  <c r="E127" i="115"/>
  <c r="D131" i="115"/>
  <c r="C200" i="115"/>
  <c r="B203" i="115"/>
  <c r="E217" i="115"/>
  <c r="E267" i="115"/>
  <c r="C286" i="115"/>
  <c r="E648" i="115"/>
  <c r="F648" i="115"/>
  <c r="B648" i="115"/>
  <c r="E778" i="115"/>
  <c r="F778" i="115"/>
  <c r="D778" i="115"/>
  <c r="B778" i="115"/>
  <c r="C778" i="115"/>
  <c r="D14" i="115"/>
  <c r="E16" i="115"/>
  <c r="C25" i="115"/>
  <c r="D30" i="115"/>
  <c r="E32" i="115"/>
  <c r="F43" i="115"/>
  <c r="C47" i="115"/>
  <c r="B49" i="115"/>
  <c r="D56" i="115"/>
  <c r="C59" i="115"/>
  <c r="B69" i="115"/>
  <c r="D71" i="115"/>
  <c r="F72" i="115"/>
  <c r="F74" i="115"/>
  <c r="C76" i="115"/>
  <c r="D85" i="115"/>
  <c r="F86" i="115"/>
  <c r="F88" i="115"/>
  <c r="C92" i="115"/>
  <c r="C96" i="115"/>
  <c r="C111" i="115"/>
  <c r="F127" i="115"/>
  <c r="D200" i="115"/>
  <c r="B211" i="115"/>
  <c r="F217" i="115"/>
  <c r="H217" i="115" s="1"/>
  <c r="C229" i="115"/>
  <c r="C255" i="115"/>
  <c r="F267" i="115"/>
  <c r="E270" i="115"/>
  <c r="E369" i="115"/>
  <c r="C369" i="115"/>
  <c r="B559" i="115"/>
  <c r="E559" i="115"/>
  <c r="F559" i="115"/>
  <c r="D559" i="115"/>
  <c r="C559" i="115"/>
  <c r="F677" i="115"/>
  <c r="E677" i="115"/>
  <c r="D677" i="115"/>
  <c r="C677" i="115"/>
  <c r="B677" i="115"/>
  <c r="E683" i="115"/>
  <c r="F683" i="115"/>
  <c r="B683" i="115"/>
  <c r="D76" i="115"/>
  <c r="D92" i="115"/>
  <c r="D96" i="115"/>
  <c r="D111" i="115"/>
  <c r="E200" i="115"/>
  <c r="D229" i="115"/>
  <c r="D255" i="115"/>
  <c r="F270" i="115"/>
  <c r="F403" i="115"/>
  <c r="E403" i="115"/>
  <c r="D403" i="115"/>
  <c r="D515" i="115"/>
  <c r="B515" i="115"/>
  <c r="F642" i="115"/>
  <c r="E642" i="115"/>
  <c r="D642" i="115"/>
  <c r="C642" i="115"/>
  <c r="B642" i="115"/>
  <c r="C655" i="115"/>
  <c r="F655" i="115"/>
  <c r="E655" i="115"/>
  <c r="D655" i="115"/>
  <c r="C756" i="115"/>
  <c r="F756" i="115"/>
  <c r="E756" i="115"/>
  <c r="D756" i="115"/>
  <c r="B756" i="115"/>
  <c r="C13" i="115"/>
  <c r="B15" i="115"/>
  <c r="D18" i="115"/>
  <c r="E25" i="115"/>
  <c r="D27" i="115"/>
  <c r="C29" i="115"/>
  <c r="B31" i="115"/>
  <c r="D34" i="115"/>
  <c r="E36" i="115"/>
  <c r="D44" i="115"/>
  <c r="F47" i="115"/>
  <c r="D49" i="115"/>
  <c r="C51" i="115"/>
  <c r="B53" i="115"/>
  <c r="F56" i="115"/>
  <c r="D57" i="115"/>
  <c r="F59" i="115"/>
  <c r="D61" i="115"/>
  <c r="C63" i="115"/>
  <c r="B68" i="115"/>
  <c r="F71" i="115"/>
  <c r="B73" i="115"/>
  <c r="F76" i="115"/>
  <c r="F85" i="115"/>
  <c r="B87" i="115"/>
  <c r="D89" i="115"/>
  <c r="F92" i="115"/>
  <c r="F96" i="115"/>
  <c r="B101" i="115"/>
  <c r="E111" i="115"/>
  <c r="D130" i="115"/>
  <c r="E197" i="115"/>
  <c r="C204" i="115"/>
  <c r="C212" i="115"/>
  <c r="E221" i="115"/>
  <c r="E227" i="115"/>
  <c r="E229" i="115"/>
  <c r="E236" i="115"/>
  <c r="C247" i="115"/>
  <c r="E255" i="115"/>
  <c r="C262" i="115"/>
  <c r="F392" i="115"/>
  <c r="E392" i="115"/>
  <c r="C392" i="115"/>
  <c r="B392" i="115"/>
  <c r="F413" i="115"/>
  <c r="C413" i="115"/>
  <c r="E630" i="115"/>
  <c r="E621" i="115"/>
  <c r="E619" i="115"/>
  <c r="E600" i="115"/>
  <c r="E591" i="115"/>
  <c r="C15" i="115"/>
  <c r="C31" i="115"/>
  <c r="E44" i="115"/>
  <c r="C53" i="115"/>
  <c r="E57" i="115"/>
  <c r="C68" i="115"/>
  <c r="D73" i="115"/>
  <c r="D87" i="115"/>
  <c r="E89" i="115"/>
  <c r="E97" i="115"/>
  <c r="D99" i="115"/>
  <c r="C101" i="115"/>
  <c r="B104" i="115"/>
  <c r="F106" i="115"/>
  <c r="B108" i="115"/>
  <c r="D110" i="115"/>
  <c r="B121" i="115"/>
  <c r="B123" i="115"/>
  <c r="F130" i="115"/>
  <c r="B132" i="115"/>
  <c r="F197" i="115"/>
  <c r="D204" i="115"/>
  <c r="D212" i="115"/>
  <c r="F221" i="115"/>
  <c r="F227" i="115"/>
  <c r="F236" i="115"/>
  <c r="D247" i="115"/>
  <c r="D262" i="115"/>
  <c r="C697" i="115"/>
  <c r="F697" i="115"/>
  <c r="E697" i="115"/>
  <c r="D697" i="115"/>
  <c r="C740" i="115"/>
  <c r="F740" i="115"/>
  <c r="E740" i="115"/>
  <c r="D740" i="115"/>
  <c r="B740" i="115"/>
  <c r="D15" i="115"/>
  <c r="B19" i="115"/>
  <c r="D31" i="115"/>
  <c r="B35" i="115"/>
  <c r="F44" i="115"/>
  <c r="B46" i="115"/>
  <c r="D48" i="115"/>
  <c r="F51" i="115"/>
  <c r="F57" i="115"/>
  <c r="D60" i="115"/>
  <c r="F63" i="115"/>
  <c r="F67" i="115"/>
  <c r="C70" i="115"/>
  <c r="B75" i="115"/>
  <c r="D77" i="115"/>
  <c r="F89" i="115"/>
  <c r="B91" i="115"/>
  <c r="B95" i="115"/>
  <c r="F99" i="115"/>
  <c r="B105" i="115"/>
  <c r="D108" i="115"/>
  <c r="E110" i="115"/>
  <c r="C121" i="115"/>
  <c r="B125" i="115"/>
  <c r="D132" i="115"/>
  <c r="F201" i="115"/>
  <c r="E204" i="115"/>
  <c r="E209" i="115"/>
  <c r="E212" i="115"/>
  <c r="D216" i="115"/>
  <c r="E247" i="115"/>
  <c r="D251" i="115"/>
  <c r="E256" i="115"/>
  <c r="E262" i="115"/>
  <c r="D266" i="115"/>
  <c r="C269" i="115"/>
  <c r="D277" i="115"/>
  <c r="F277" i="115"/>
  <c r="E277" i="115"/>
  <c r="C529" i="115"/>
  <c r="D529" i="115"/>
  <c r="B529" i="115"/>
  <c r="C675" i="115"/>
  <c r="F675" i="115"/>
  <c r="E675" i="115"/>
  <c r="D675" i="115"/>
  <c r="F530" i="115"/>
  <c r="C533" i="115"/>
  <c r="F554" i="115"/>
  <c r="E554" i="115"/>
  <c r="F562" i="115"/>
  <c r="E562" i="115"/>
  <c r="D564" i="115"/>
  <c r="E564" i="115"/>
  <c r="D643" i="115"/>
  <c r="E663" i="115"/>
  <c r="C666" i="115"/>
  <c r="E670" i="115"/>
  <c r="F672" i="115"/>
  <c r="F681" i="115"/>
  <c r="F714" i="115"/>
  <c r="E720" i="115"/>
  <c r="E737" i="115"/>
  <c r="F739" i="115"/>
  <c r="C741" i="115"/>
  <c r="C743" i="115"/>
  <c r="E748" i="115"/>
  <c r="E753" i="115"/>
  <c r="F755" i="115"/>
  <c r="C757" i="115"/>
  <c r="C759" i="115"/>
  <c r="E767" i="115"/>
  <c r="E782" i="115"/>
  <c r="D782" i="115"/>
  <c r="C782" i="115"/>
  <c r="B782" i="115"/>
  <c r="F782" i="115"/>
  <c r="E789" i="115"/>
  <c r="F789" i="115"/>
  <c r="D789" i="115"/>
  <c r="B789" i="115"/>
  <c r="F565" i="115"/>
  <c r="E565" i="115"/>
  <c r="B574" i="115"/>
  <c r="E574" i="115"/>
  <c r="C279" i="115"/>
  <c r="B388" i="115"/>
  <c r="B418" i="115"/>
  <c r="B427" i="115"/>
  <c r="E500" i="115"/>
  <c r="E512" i="115"/>
  <c r="E527" i="115"/>
  <c r="F533" i="115"/>
  <c r="D554" i="115"/>
  <c r="D562" i="115"/>
  <c r="F566" i="115"/>
  <c r="E566" i="115"/>
  <c r="F570" i="115"/>
  <c r="E570" i="115"/>
  <c r="D571" i="115"/>
  <c r="E571" i="115"/>
  <c r="C574" i="115"/>
  <c r="E646" i="115"/>
  <c r="D662" i="115"/>
  <c r="B664" i="115"/>
  <c r="F666" i="115"/>
  <c r="D671" i="115"/>
  <c r="B709" i="115"/>
  <c r="D713" i="115"/>
  <c r="B715" i="115"/>
  <c r="F716" i="115"/>
  <c r="D719" i="115"/>
  <c r="B733" i="115"/>
  <c r="B735" i="115"/>
  <c r="F736" i="115"/>
  <c r="B738" i="115"/>
  <c r="F741" i="115"/>
  <c r="D745" i="115"/>
  <c r="D747" i="115"/>
  <c r="B749" i="115"/>
  <c r="B751" i="115"/>
  <c r="F752" i="115"/>
  <c r="B754" i="115"/>
  <c r="F757" i="115"/>
  <c r="D761" i="115"/>
  <c r="D765" i="115"/>
  <c r="C388" i="115"/>
  <c r="C418" i="115"/>
  <c r="D427" i="115"/>
  <c r="F492" i="115"/>
  <c r="F500" i="115"/>
  <c r="F512" i="115"/>
  <c r="C536" i="115"/>
  <c r="B563" i="115"/>
  <c r="E563" i="115"/>
  <c r="B566" i="115"/>
  <c r="D574" i="115"/>
  <c r="B644" i="115"/>
  <c r="D651" i="115"/>
  <c r="E662" i="115"/>
  <c r="F664" i="115"/>
  <c r="E671" i="115"/>
  <c r="F709" i="115"/>
  <c r="E713" i="115"/>
  <c r="C715" i="115"/>
  <c r="E719" i="115"/>
  <c r="C733" i="115"/>
  <c r="C735" i="115"/>
  <c r="E745" i="115"/>
  <c r="F747" i="115"/>
  <c r="C749" i="115"/>
  <c r="C751" i="115"/>
  <c r="E761" i="115"/>
  <c r="F765" i="115"/>
  <c r="E279" i="115"/>
  <c r="D282" i="115"/>
  <c r="C288" i="115"/>
  <c r="C375" i="115"/>
  <c r="C386" i="115"/>
  <c r="E388" i="115"/>
  <c r="C409" i="115"/>
  <c r="B414" i="115"/>
  <c r="E418" i="115"/>
  <c r="E427" i="115"/>
  <c r="C461" i="115"/>
  <c r="D505" i="115"/>
  <c r="D509" i="115"/>
  <c r="D516" i="115"/>
  <c r="F521" i="115"/>
  <c r="C530" i="115"/>
  <c r="E534" i="115"/>
  <c r="D536" i="115"/>
  <c r="D540" i="115"/>
  <c r="E544" i="115"/>
  <c r="F558" i="115"/>
  <c r="E558" i="115"/>
  <c r="D560" i="115"/>
  <c r="E560" i="115"/>
  <c r="C563" i="115"/>
  <c r="C566" i="115"/>
  <c r="C570" i="115"/>
  <c r="F572" i="115"/>
  <c r="E572" i="115"/>
  <c r="F574" i="115"/>
  <c r="D579" i="115"/>
  <c r="E579" i="115"/>
  <c r="F644" i="115"/>
  <c r="D667" i="115"/>
  <c r="B670" i="115"/>
  <c r="F671" i="115"/>
  <c r="D710" i="115"/>
  <c r="F713" i="115"/>
  <c r="D715" i="115"/>
  <c r="B717" i="115"/>
  <c r="D733" i="115"/>
  <c r="D735" i="115"/>
  <c r="B737" i="115"/>
  <c r="B739" i="115"/>
  <c r="D749" i="115"/>
  <c r="D751" i="115"/>
  <c r="B753" i="115"/>
  <c r="F776" i="115"/>
  <c r="E776" i="115"/>
  <c r="D776" i="115"/>
  <c r="B776" i="115"/>
  <c r="D791" i="115"/>
  <c r="C791" i="115"/>
  <c r="B791" i="115"/>
  <c r="F791" i="115"/>
  <c r="E791" i="115"/>
  <c r="E282" i="115"/>
  <c r="D386" i="115"/>
  <c r="C414" i="115"/>
  <c r="E502" i="115"/>
  <c r="E505" i="115"/>
  <c r="E509" i="115"/>
  <c r="B511" i="115"/>
  <c r="E513" i="115"/>
  <c r="E516" i="115"/>
  <c r="B526" i="115"/>
  <c r="E528" i="115"/>
  <c r="D530" i="115"/>
  <c r="F534" i="115"/>
  <c r="E536" i="115"/>
  <c r="E540" i="115"/>
  <c r="F544" i="115"/>
  <c r="B558" i="115"/>
  <c r="F560" i="115"/>
  <c r="D563" i="115"/>
  <c r="D566" i="115"/>
  <c r="D570" i="115"/>
  <c r="F573" i="115"/>
  <c r="E573" i="115"/>
  <c r="F577" i="115"/>
  <c r="E577" i="115"/>
  <c r="F579" i="115"/>
  <c r="E715" i="115"/>
  <c r="E733" i="115"/>
  <c r="F735" i="115"/>
  <c r="E749" i="115"/>
  <c r="F751" i="115"/>
  <c r="B767" i="115"/>
  <c r="C776" i="115"/>
  <c r="D780" i="115"/>
  <c r="C780" i="115"/>
  <c r="B780" i="115"/>
  <c r="F780" i="115"/>
  <c r="E780" i="115"/>
  <c r="F792" i="115"/>
  <c r="B792" i="115"/>
  <c r="F796" i="115"/>
  <c r="B796" i="115"/>
  <c r="E280" i="115"/>
  <c r="E386" i="115"/>
  <c r="B396" i="115"/>
  <c r="C400" i="115"/>
  <c r="E414" i="115"/>
  <c r="B419" i="115"/>
  <c r="B499" i="115"/>
  <c r="F502" i="115"/>
  <c r="F505" i="115"/>
  <c r="F509" i="115"/>
  <c r="F513" i="115"/>
  <c r="F516" i="115"/>
  <c r="C520" i="115"/>
  <c r="F528" i="115"/>
  <c r="E530" i="115"/>
  <c r="F536" i="115"/>
  <c r="F540" i="115"/>
  <c r="C558" i="115"/>
  <c r="F563" i="115"/>
  <c r="B567" i="115"/>
  <c r="E567" i="115"/>
  <c r="F580" i="115"/>
  <c r="E580" i="115"/>
  <c r="F656" i="115"/>
  <c r="D663" i="115"/>
  <c r="F667" i="115"/>
  <c r="B672" i="115"/>
  <c r="E681" i="115"/>
  <c r="F710" i="115"/>
  <c r="B714" i="115"/>
  <c r="D720" i="115"/>
  <c r="D739" i="115"/>
  <c r="B743" i="115"/>
  <c r="F744" i="115"/>
  <c r="B746" i="115"/>
  <c r="D748" i="115"/>
  <c r="D755" i="115"/>
  <c r="B759" i="115"/>
  <c r="F760" i="115"/>
  <c r="B763" i="115"/>
  <c r="D767" i="115"/>
  <c r="F781" i="115"/>
  <c r="B781" i="115"/>
  <c r="E793" i="115"/>
  <c r="D793" i="115"/>
  <c r="C793" i="115"/>
  <c r="B793" i="115"/>
  <c r="F793" i="115"/>
  <c r="B779" i="115"/>
  <c r="C786" i="115"/>
  <c r="B790" i="115"/>
  <c r="C797" i="115"/>
  <c r="E802" i="115"/>
  <c r="B806" i="115"/>
  <c r="E807" i="115"/>
  <c r="F809" i="115"/>
  <c r="D810" i="115"/>
  <c r="E816" i="115"/>
  <c r="E821" i="115"/>
  <c r="C829" i="115"/>
  <c r="D834" i="115"/>
  <c r="B836" i="115"/>
  <c r="F837" i="115"/>
  <c r="B855" i="115"/>
  <c r="D862" i="115"/>
  <c r="C874" i="115"/>
  <c r="E891" i="115"/>
  <c r="E913" i="115"/>
  <c r="C942" i="115"/>
  <c r="F945" i="115"/>
  <c r="E947" i="115"/>
  <c r="F988" i="115"/>
  <c r="C1034" i="115"/>
  <c r="C1046" i="115"/>
  <c r="C1048" i="115"/>
  <c r="D786" i="115"/>
  <c r="D797" i="115"/>
  <c r="F802" i="115"/>
  <c r="F807" i="115"/>
  <c r="E810" i="115"/>
  <c r="F821" i="115"/>
  <c r="D829" i="115"/>
  <c r="D846" i="115"/>
  <c r="B848" i="115"/>
  <c r="B851" i="115"/>
  <c r="B859" i="115"/>
  <c r="E862" i="115"/>
  <c r="B883" i="115"/>
  <c r="E896" i="115"/>
  <c r="C905" i="115"/>
  <c r="C907" i="115"/>
  <c r="F913" i="115"/>
  <c r="C921" i="115"/>
  <c r="B934" i="115"/>
  <c r="B940" i="115"/>
  <c r="E942" i="115"/>
  <c r="B950" i="115"/>
  <c r="E952" i="115"/>
  <c r="C955" i="115"/>
  <c r="C960" i="115"/>
  <c r="B994" i="115"/>
  <c r="B998" i="115"/>
  <c r="B1032" i="115"/>
  <c r="D1034" i="115"/>
  <c r="B1044" i="115"/>
  <c r="D1046" i="115"/>
  <c r="F1048" i="115"/>
  <c r="C859" i="115"/>
  <c r="B875" i="115"/>
  <c r="C883" i="115"/>
  <c r="E905" i="115"/>
  <c r="E921" i="115"/>
  <c r="C934" i="115"/>
  <c r="E940" i="115"/>
  <c r="F942" i="115"/>
  <c r="C950" i="115"/>
  <c r="D955" i="115"/>
  <c r="C994" i="115"/>
  <c r="C998" i="115"/>
  <c r="C1032" i="115"/>
  <c r="E1034" i="115"/>
  <c r="B1042" i="115"/>
  <c r="C1044" i="115"/>
  <c r="E1046" i="115"/>
  <c r="D774" i="115"/>
  <c r="F779" i="115"/>
  <c r="D783" i="115"/>
  <c r="F790" i="115"/>
  <c r="D801" i="115"/>
  <c r="B803" i="115"/>
  <c r="B805" i="115"/>
  <c r="F806" i="115"/>
  <c r="B808" i="115"/>
  <c r="E814" i="115"/>
  <c r="F829" i="115"/>
  <c r="B845" i="115"/>
  <c r="D849" i="115"/>
  <c r="B856" i="115"/>
  <c r="D859" i="115"/>
  <c r="B863" i="115"/>
  <c r="C873" i="115"/>
  <c r="C875" i="115"/>
  <c r="E907" i="115"/>
  <c r="B911" i="115"/>
  <c r="F921" i="115"/>
  <c r="E924" i="115"/>
  <c r="C938" i="115"/>
  <c r="F946" i="115"/>
  <c r="E948" i="115"/>
  <c r="C962" i="115"/>
  <c r="B990" i="115"/>
  <c r="D994" i="115"/>
  <c r="D998" i="115"/>
  <c r="F1032" i="115"/>
  <c r="F1034" i="115"/>
  <c r="C1042" i="115"/>
  <c r="F1044" i="115"/>
  <c r="F1046" i="115"/>
  <c r="E994" i="115"/>
  <c r="E998" i="115"/>
  <c r="D1042" i="115"/>
  <c r="F783" i="115"/>
  <c r="D803" i="115"/>
  <c r="D805" i="115"/>
  <c r="B807" i="115"/>
  <c r="B809" i="115"/>
  <c r="B821" i="115"/>
  <c r="D845" i="115"/>
  <c r="B847" i="115"/>
  <c r="B850" i="115"/>
  <c r="C854" i="115"/>
  <c r="D856" i="115"/>
  <c r="D863" i="115"/>
  <c r="E875" i="115"/>
  <c r="B891" i="115"/>
  <c r="B919" i="115"/>
  <c r="C936" i="115"/>
  <c r="B939" i="115"/>
  <c r="C945" i="115"/>
  <c r="B947" i="115"/>
  <c r="B980" i="115"/>
  <c r="D990" i="115"/>
  <c r="C997" i="115"/>
  <c r="C1028" i="115"/>
  <c r="B1040" i="115"/>
  <c r="B802" i="115"/>
  <c r="E803" i="115"/>
  <c r="F805" i="115"/>
  <c r="C807" i="115"/>
  <c r="C809" i="115"/>
  <c r="B816" i="115"/>
  <c r="C821" i="115"/>
  <c r="B831" i="115"/>
  <c r="E845" i="115"/>
  <c r="C847" i="115"/>
  <c r="C850" i="115"/>
  <c r="F854" i="115"/>
  <c r="E856" i="115"/>
  <c r="C891" i="115"/>
  <c r="B773" i="115"/>
  <c r="D775" i="115"/>
  <c r="B786" i="115"/>
  <c r="B797" i="115"/>
  <c r="F798" i="115"/>
  <c r="B800" i="115"/>
  <c r="D802" i="115"/>
  <c r="D809" i="115"/>
  <c r="C810" i="115"/>
  <c r="C816" i="115"/>
  <c r="C831" i="115"/>
  <c r="B843" i="115"/>
  <c r="F847" i="115"/>
  <c r="F850" i="115"/>
  <c r="E880" i="115"/>
  <c r="D891" i="115"/>
  <c r="E909" i="115"/>
  <c r="C913" i="115"/>
  <c r="C922" i="115"/>
  <c r="F936" i="115"/>
  <c r="E939" i="115"/>
  <c r="B942" i="115"/>
  <c r="E945" i="115"/>
  <c r="D947" i="115"/>
  <c r="F949" i="115"/>
  <c r="E997" i="115"/>
  <c r="F1040" i="115"/>
  <c r="B1048" i="115"/>
  <c r="B521" i="114"/>
  <c r="E215" i="114"/>
  <c r="E178" i="114"/>
  <c r="B193" i="114"/>
  <c r="C425" i="114"/>
  <c r="D56" i="114"/>
  <c r="F426" i="114"/>
  <c r="B433" i="114"/>
  <c r="F433" i="114"/>
  <c r="F477" i="114"/>
  <c r="D457" i="114"/>
  <c r="D650" i="114"/>
  <c r="B76" i="114"/>
  <c r="C355" i="114"/>
  <c r="F366" i="114"/>
  <c r="B410" i="114"/>
  <c r="C589" i="114"/>
  <c r="E594" i="114"/>
  <c r="F603" i="114"/>
  <c r="C710" i="114"/>
  <c r="E714" i="114"/>
  <c r="C728" i="114"/>
  <c r="E26" i="114"/>
  <c r="B461" i="114"/>
  <c r="B584" i="114"/>
  <c r="D589" i="114"/>
  <c r="C246" i="114"/>
  <c r="B595" i="114"/>
  <c r="B715" i="114"/>
  <c r="D399" i="114"/>
  <c r="C275" i="114"/>
  <c r="B701" i="114"/>
  <c r="D422" i="114"/>
  <c r="C433" i="114"/>
  <c r="E551" i="114"/>
  <c r="D701" i="114"/>
  <c r="B506" i="114"/>
  <c r="B593" i="114"/>
  <c r="B713" i="114"/>
  <c r="B719" i="114"/>
  <c r="E85" i="114"/>
  <c r="B396" i="114"/>
  <c r="D719" i="114"/>
  <c r="C340" i="114"/>
  <c r="B230" i="114"/>
  <c r="E335" i="114"/>
  <c r="B395" i="114"/>
  <c r="B39" i="114"/>
  <c r="D46" i="114"/>
  <c r="B130" i="114"/>
  <c r="C178" i="114"/>
  <c r="B275" i="114"/>
  <c r="C307" i="114"/>
  <c r="F379" i="114"/>
  <c r="B101" i="114"/>
  <c r="D146" i="114"/>
  <c r="F323" i="114"/>
  <c r="E396" i="114"/>
  <c r="C622" i="114"/>
  <c r="F316" i="114"/>
  <c r="E333" i="114"/>
  <c r="B403" i="114"/>
  <c r="E84" i="114"/>
  <c r="D272" i="114"/>
  <c r="F333" i="114"/>
  <c r="C176" i="114"/>
  <c r="B206" i="114"/>
  <c r="B229" i="114"/>
  <c r="C88" i="114"/>
  <c r="F145" i="114"/>
  <c r="E179" i="114"/>
  <c r="C198" i="114"/>
  <c r="D212" i="114"/>
  <c r="B272" i="114"/>
  <c r="F304" i="114"/>
  <c r="D395" i="114"/>
  <c r="B399" i="114"/>
  <c r="D402" i="114"/>
  <c r="C410" i="114"/>
  <c r="B422" i="114"/>
  <c r="F434" i="114"/>
  <c r="B440" i="114"/>
  <c r="B470" i="114"/>
  <c r="B517" i="114"/>
  <c r="F662" i="114"/>
  <c r="F684" i="114"/>
  <c r="F727" i="114"/>
  <c r="B740" i="114"/>
  <c r="C166" i="114"/>
  <c r="E198" i="114"/>
  <c r="E233" i="114"/>
  <c r="C399" i="114"/>
  <c r="D410" i="114"/>
  <c r="C422" i="114"/>
  <c r="B425" i="114"/>
  <c r="F440" i="114"/>
  <c r="E740" i="114"/>
  <c r="F663" i="114"/>
  <c r="Z663" i="114" s="1"/>
  <c r="AB663" i="114" s="1"/>
  <c r="AC663" i="114" s="1"/>
  <c r="AE663" i="114" s="1"/>
  <c r="F685" i="114"/>
  <c r="C723" i="114"/>
  <c r="B728" i="114"/>
  <c r="F21" i="114"/>
  <c r="B27" i="114"/>
  <c r="D58" i="114"/>
  <c r="B109" i="114"/>
  <c r="C154" i="114"/>
  <c r="E177" i="114"/>
  <c r="F273" i="114"/>
  <c r="D301" i="114"/>
  <c r="C318" i="114"/>
  <c r="D349" i="114"/>
  <c r="E399" i="114"/>
  <c r="B418" i="114"/>
  <c r="E422" i="114"/>
  <c r="D429" i="114"/>
  <c r="E441" i="114"/>
  <c r="E530" i="114"/>
  <c r="B545" i="114"/>
  <c r="C584" i="114"/>
  <c r="C593" i="114"/>
  <c r="C596" i="114"/>
  <c r="B605" i="114"/>
  <c r="B681" i="114"/>
  <c r="C691" i="114"/>
  <c r="D710" i="114"/>
  <c r="F27" i="114"/>
  <c r="Z27" i="114" s="1"/>
  <c r="AB27" i="114" s="1"/>
  <c r="AC27" i="114" s="1"/>
  <c r="AE27" i="114" s="1"/>
  <c r="AF27" i="114" s="1"/>
  <c r="AH27" i="114" s="1"/>
  <c r="B74" i="114"/>
  <c r="B87" i="114"/>
  <c r="B117" i="114"/>
  <c r="C131" i="114"/>
  <c r="B137" i="114"/>
  <c r="B143" i="114"/>
  <c r="D182" i="114"/>
  <c r="E195" i="114"/>
  <c r="C202" i="114"/>
  <c r="F394" i="114"/>
  <c r="F396" i="114"/>
  <c r="E404" i="114"/>
  <c r="B426" i="114"/>
  <c r="E429" i="114"/>
  <c r="D433" i="114"/>
  <c r="F462" i="114"/>
  <c r="B476" i="114"/>
  <c r="B502" i="114"/>
  <c r="D506" i="114"/>
  <c r="B511" i="114"/>
  <c r="D515" i="114"/>
  <c r="E584" i="114"/>
  <c r="F593" i="114"/>
  <c r="F596" i="114"/>
  <c r="E728" i="114"/>
  <c r="D744" i="114"/>
  <c r="C87" i="114"/>
  <c r="B97" i="114"/>
  <c r="E202" i="114"/>
  <c r="C223" i="114"/>
  <c r="F246" i="114"/>
  <c r="B260" i="114"/>
  <c r="C280" i="114"/>
  <c r="D293" i="114"/>
  <c r="D307" i="114"/>
  <c r="D326" i="114"/>
  <c r="B350" i="114"/>
  <c r="F404" i="114"/>
  <c r="D426" i="114"/>
  <c r="F429" i="114"/>
  <c r="F487" i="114"/>
  <c r="D511" i="114"/>
  <c r="B526" i="114"/>
  <c r="C606" i="114"/>
  <c r="B662" i="114"/>
  <c r="B692" i="114"/>
  <c r="D706" i="114"/>
  <c r="F17" i="114"/>
  <c r="Z17" i="114" s="1"/>
  <c r="AB17" i="114" s="1"/>
  <c r="B25" i="114"/>
  <c r="C84" i="114"/>
  <c r="F87" i="114"/>
  <c r="C138" i="114"/>
  <c r="F211" i="114"/>
  <c r="C414" i="114"/>
  <c r="E426" i="114"/>
  <c r="B477" i="114"/>
  <c r="E499" i="114"/>
  <c r="B626" i="114"/>
  <c r="F654" i="114"/>
  <c r="C662" i="114"/>
  <c r="E692" i="114"/>
  <c r="B720" i="114"/>
  <c r="B727" i="114"/>
  <c r="D736" i="114"/>
  <c r="C25" i="114"/>
  <c r="B29" i="114"/>
  <c r="C45" i="114"/>
  <c r="B145" i="114"/>
  <c r="D192" i="114"/>
  <c r="C232" i="114"/>
  <c r="F256" i="114"/>
  <c r="B304" i="114"/>
  <c r="F327" i="114"/>
  <c r="B343" i="114"/>
  <c r="F371" i="114"/>
  <c r="C395" i="114"/>
  <c r="C607" i="114"/>
  <c r="F621" i="114"/>
  <c r="E662" i="114"/>
  <c r="B684" i="114"/>
  <c r="D727" i="114"/>
  <c r="D14" i="114"/>
  <c r="B21" i="114"/>
  <c r="C30" i="114"/>
  <c r="D30" i="114"/>
  <c r="D31" i="114"/>
  <c r="C31" i="114"/>
  <c r="B15" i="114"/>
  <c r="B19" i="114"/>
  <c r="C27" i="114"/>
  <c r="E41" i="114"/>
  <c r="F41" i="114"/>
  <c r="C41" i="114"/>
  <c r="B41" i="114"/>
  <c r="C15" i="114"/>
  <c r="C19" i="114"/>
  <c r="E27" i="114"/>
  <c r="D35" i="114"/>
  <c r="C35" i="114"/>
  <c r="C42" i="114"/>
  <c r="D42" i="114"/>
  <c r="F15" i="114"/>
  <c r="E19" i="114"/>
  <c r="F19" i="114"/>
  <c r="B13" i="114"/>
  <c r="E62" i="114"/>
  <c r="C62" i="114"/>
  <c r="D98" i="114"/>
  <c r="B98" i="114"/>
  <c r="F29" i="114"/>
  <c r="Z29" i="114" s="1"/>
  <c r="AB29" i="114" s="1"/>
  <c r="AC29" i="114" s="1"/>
  <c r="AE29" i="114" s="1"/>
  <c r="AF29" i="114" s="1"/>
  <c r="AH29" i="114" s="1"/>
  <c r="B55" i="114"/>
  <c r="C73" i="114"/>
  <c r="F76" i="114"/>
  <c r="C80" i="114"/>
  <c r="B134" i="114"/>
  <c r="D176" i="114"/>
  <c r="E182" i="114"/>
  <c r="C190" i="114"/>
  <c r="E203" i="114"/>
  <c r="B214" i="114"/>
  <c r="C222" i="114"/>
  <c r="D231" i="114"/>
  <c r="E246" i="114"/>
  <c r="E293" i="114"/>
  <c r="C328" i="114"/>
  <c r="E340" i="114"/>
  <c r="D359" i="114"/>
  <c r="D419" i="114"/>
  <c r="B439" i="114"/>
  <c r="B469" i="114"/>
  <c r="D499" i="114"/>
  <c r="B505" i="114"/>
  <c r="D514" i="114"/>
  <c r="D521" i="114"/>
  <c r="F551" i="114"/>
  <c r="E589" i="114"/>
  <c r="E593" i="114"/>
  <c r="C595" i="114"/>
  <c r="B607" i="114"/>
  <c r="B622" i="114"/>
  <c r="E634" i="114"/>
  <c r="F703" i="114"/>
  <c r="D707" i="114"/>
  <c r="D713" i="114"/>
  <c r="E715" i="114"/>
  <c r="F744" i="114"/>
  <c r="F55" i="114"/>
  <c r="Z55" i="114" s="1"/>
  <c r="AB55" i="114" s="1"/>
  <c r="AC55" i="114" s="1"/>
  <c r="AE55" i="114" s="1"/>
  <c r="E73" i="114"/>
  <c r="E80" i="114"/>
  <c r="D190" i="114"/>
  <c r="C214" i="114"/>
  <c r="E419" i="114"/>
  <c r="C439" i="114"/>
  <c r="D469" i="114"/>
  <c r="E521" i="114"/>
  <c r="D525" i="114"/>
  <c r="C684" i="114"/>
  <c r="F691" i="114"/>
  <c r="B696" i="114"/>
  <c r="E707" i="114"/>
  <c r="F713" i="114"/>
  <c r="Z713" i="114" s="1"/>
  <c r="AB713" i="114" s="1"/>
  <c r="AC713" i="114" s="1"/>
  <c r="AE713" i="114" s="1"/>
  <c r="F715" i="114"/>
  <c r="B58" i="114"/>
  <c r="C77" i="114"/>
  <c r="B85" i="114"/>
  <c r="E138" i="114"/>
  <c r="E143" i="114"/>
  <c r="C146" i="114"/>
  <c r="E154" i="114"/>
  <c r="F183" i="114"/>
  <c r="E187" i="114"/>
  <c r="E190" i="114"/>
  <c r="D204" i="114"/>
  <c r="D214" i="114"/>
  <c r="B223" i="114"/>
  <c r="B225" i="114"/>
  <c r="B232" i="114"/>
  <c r="C265" i="114"/>
  <c r="B280" i="114"/>
  <c r="F294" i="114"/>
  <c r="C301" i="114"/>
  <c r="C316" i="114"/>
  <c r="C326" i="114"/>
  <c r="B335" i="114"/>
  <c r="B360" i="114"/>
  <c r="E369" i="114"/>
  <c r="B414" i="114"/>
  <c r="F419" i="114"/>
  <c r="B457" i="114"/>
  <c r="D605" i="114"/>
  <c r="B630" i="114"/>
  <c r="B635" i="114"/>
  <c r="C650" i="114"/>
  <c r="B654" i="114"/>
  <c r="E720" i="114"/>
  <c r="D728" i="114"/>
  <c r="D740" i="114"/>
  <c r="D594" i="114"/>
  <c r="C630" i="114"/>
  <c r="E46" i="114"/>
  <c r="F58" i="114"/>
  <c r="Z58" i="114" s="1"/>
  <c r="AB58" i="114" s="1"/>
  <c r="AC58" i="114" s="1"/>
  <c r="AE58" i="114" s="1"/>
  <c r="E74" i="114"/>
  <c r="F85" i="114"/>
  <c r="B105" i="114"/>
  <c r="E131" i="114"/>
  <c r="C136" i="114"/>
  <c r="B139" i="114"/>
  <c r="C144" i="114"/>
  <c r="E146" i="114"/>
  <c r="F151" i="114"/>
  <c r="E155" i="114"/>
  <c r="B161" i="114"/>
  <c r="C184" i="114"/>
  <c r="C188" i="114"/>
  <c r="D218" i="114"/>
  <c r="D223" i="114"/>
  <c r="B226" i="114"/>
  <c r="D230" i="114"/>
  <c r="E232" i="114"/>
  <c r="B240" i="114"/>
  <c r="B277" i="114"/>
  <c r="B306" i="114"/>
  <c r="C343" i="114"/>
  <c r="C350" i="114"/>
  <c r="D355" i="114"/>
  <c r="D370" i="114"/>
  <c r="E395" i="114"/>
  <c r="B400" i="114"/>
  <c r="C403" i="114"/>
  <c r="D414" i="114"/>
  <c r="D418" i="114"/>
  <c r="D425" i="114"/>
  <c r="B432" i="114"/>
  <c r="B438" i="114"/>
  <c r="C440" i="114"/>
  <c r="D461" i="114"/>
  <c r="F470" i="114"/>
  <c r="D476" i="114"/>
  <c r="E502" i="114"/>
  <c r="D513" i="114"/>
  <c r="B603" i="114"/>
  <c r="E630" i="114"/>
  <c r="F650" i="114"/>
  <c r="D681" i="114"/>
  <c r="E685" i="114"/>
  <c r="D692" i="114"/>
  <c r="F706" i="114"/>
  <c r="C727" i="114"/>
  <c r="D747" i="114"/>
  <c r="F92" i="114"/>
  <c r="D136" i="114"/>
  <c r="D144" i="114"/>
  <c r="D184" i="114"/>
  <c r="E218" i="114"/>
  <c r="C226" i="114"/>
  <c r="E230" i="114"/>
  <c r="F240" i="114"/>
  <c r="C257" i="114"/>
  <c r="F277" i="114"/>
  <c r="B293" i="114"/>
  <c r="B333" i="114"/>
  <c r="F343" i="114"/>
  <c r="E350" i="114"/>
  <c r="E379" i="114"/>
  <c r="E400" i="114"/>
  <c r="D403" i="114"/>
  <c r="E411" i="114"/>
  <c r="E414" i="114"/>
  <c r="E418" i="114"/>
  <c r="E423" i="114"/>
  <c r="C429" i="114"/>
  <c r="C432" i="114"/>
  <c r="D438" i="114"/>
  <c r="D440" i="114"/>
  <c r="B458" i="114"/>
  <c r="E468" i="114"/>
  <c r="B501" i="114"/>
  <c r="E513" i="114"/>
  <c r="F594" i="114"/>
  <c r="B596" i="114"/>
  <c r="C603" i="114"/>
  <c r="B606" i="114"/>
  <c r="B621" i="114"/>
  <c r="F630" i="114"/>
  <c r="F747" i="114"/>
  <c r="D34" i="114"/>
  <c r="F43" i="114"/>
  <c r="Z43" i="114" s="1"/>
  <c r="AB43" i="114" s="1"/>
  <c r="C81" i="114"/>
  <c r="B112" i="114"/>
  <c r="E147" i="114"/>
  <c r="C152" i="114"/>
  <c r="D166" i="114"/>
  <c r="D178" i="114"/>
  <c r="C182" i="114"/>
  <c r="E189" i="114"/>
  <c r="D226" i="114"/>
  <c r="F230" i="114"/>
  <c r="H230" i="114" s="1"/>
  <c r="C233" i="114"/>
  <c r="B246" i="114"/>
  <c r="F282" i="114"/>
  <c r="C293" i="114"/>
  <c r="F350" i="114"/>
  <c r="Z350" i="114" s="1"/>
  <c r="AB350" i="114" s="1"/>
  <c r="AC350" i="114" s="1"/>
  <c r="AE350" i="114" s="1"/>
  <c r="F400" i="114"/>
  <c r="F411" i="114"/>
  <c r="F418" i="114"/>
  <c r="F458" i="114"/>
  <c r="B462" i="114"/>
  <c r="D677" i="114"/>
  <c r="F692" i="114"/>
  <c r="B703" i="114"/>
  <c r="B707" i="114"/>
  <c r="E501" i="114"/>
  <c r="E511" i="114"/>
  <c r="B514" i="114"/>
  <c r="E517" i="114"/>
  <c r="B525" i="114"/>
  <c r="D634" i="114"/>
  <c r="E663" i="114"/>
  <c r="B691" i="114"/>
  <c r="E701" i="114"/>
  <c r="D703" i="114"/>
  <c r="C707" i="114"/>
  <c r="C713" i="114"/>
  <c r="D715" i="114"/>
  <c r="E719" i="114"/>
  <c r="D723" i="114"/>
  <c r="E736" i="114"/>
  <c r="E744" i="114"/>
  <c r="C21" i="114"/>
  <c r="D26" i="114"/>
  <c r="B31" i="114"/>
  <c r="B35" i="114"/>
  <c r="F37" i="114"/>
  <c r="Z37" i="114" s="1"/>
  <c r="AB37" i="114" s="1"/>
  <c r="F39" i="114"/>
  <c r="E42" i="114"/>
  <c r="B45" i="114"/>
  <c r="E58" i="114"/>
  <c r="F74" i="114"/>
  <c r="E102" i="114"/>
  <c r="E106" i="114"/>
  <c r="E113" i="114"/>
  <c r="E118" i="114"/>
  <c r="D131" i="114"/>
  <c r="C150" i="114"/>
  <c r="E157" i="114"/>
  <c r="F164" i="114"/>
  <c r="D164" i="114"/>
  <c r="F167" i="114"/>
  <c r="D188" i="114"/>
  <c r="B216" i="114"/>
  <c r="F237" i="114"/>
  <c r="D237" i="114"/>
  <c r="C237" i="114"/>
  <c r="D262" i="114"/>
  <c r="E262" i="114"/>
  <c r="C262" i="114"/>
  <c r="B266" i="114"/>
  <c r="D292" i="114"/>
  <c r="B292" i="114"/>
  <c r="E292" i="114"/>
  <c r="C292" i="114"/>
  <c r="D321" i="114"/>
  <c r="B321" i="114"/>
  <c r="F321" i="114"/>
  <c r="C321" i="114"/>
  <c r="F208" i="114"/>
  <c r="C208" i="114"/>
  <c r="F263" i="114"/>
  <c r="E263" i="114"/>
  <c r="D263" i="114"/>
  <c r="E14" i="114"/>
  <c r="B17" i="114"/>
  <c r="C29" i="114"/>
  <c r="E31" i="114"/>
  <c r="E35" i="114"/>
  <c r="D38" i="114"/>
  <c r="B43" i="114"/>
  <c r="F45" i="114"/>
  <c r="Z45" i="114" s="1"/>
  <c r="AB45" i="114" s="1"/>
  <c r="B51" i="114"/>
  <c r="C55" i="114"/>
  <c r="C75" i="114"/>
  <c r="C85" i="114"/>
  <c r="E94" i="114"/>
  <c r="C142" i="114"/>
  <c r="C158" i="114"/>
  <c r="E165" i="114"/>
  <c r="B165" i="114"/>
  <c r="B186" i="114"/>
  <c r="D186" i="114"/>
  <c r="C186" i="114"/>
  <c r="D208" i="114"/>
  <c r="E237" i="114"/>
  <c r="F259" i="114"/>
  <c r="E259" i="114"/>
  <c r="C259" i="114"/>
  <c r="B259" i="114"/>
  <c r="B263" i="114"/>
  <c r="E317" i="114"/>
  <c r="D317" i="114"/>
  <c r="C17" i="114"/>
  <c r="F31" i="114"/>
  <c r="Z31" i="114" s="1"/>
  <c r="AB31" i="114" s="1"/>
  <c r="AC31" i="114" s="1"/>
  <c r="AE31" i="114" s="1"/>
  <c r="AF31" i="114" s="1"/>
  <c r="AH31" i="114" s="1"/>
  <c r="F35" i="114"/>
  <c r="E38" i="114"/>
  <c r="C43" i="114"/>
  <c r="C51" i="114"/>
  <c r="D75" i="114"/>
  <c r="F94" i="114"/>
  <c r="D142" i="114"/>
  <c r="D158" i="114"/>
  <c r="B162" i="114"/>
  <c r="E162" i="114"/>
  <c r="C162" i="114"/>
  <c r="F196" i="114"/>
  <c r="D196" i="114"/>
  <c r="C263" i="114"/>
  <c r="F297" i="114"/>
  <c r="E297" i="114"/>
  <c r="C297" i="114"/>
  <c r="E303" i="114"/>
  <c r="C303" i="114"/>
  <c r="E43" i="114"/>
  <c r="F51" i="114"/>
  <c r="E142" i="114"/>
  <c r="F148" i="114"/>
  <c r="C148" i="114"/>
  <c r="E158" i="114"/>
  <c r="F206" i="114"/>
  <c r="E206" i="114"/>
  <c r="F219" i="114"/>
  <c r="D219" i="114"/>
  <c r="F243" i="114"/>
  <c r="D243" i="114"/>
  <c r="C243" i="114"/>
  <c r="F140" i="114"/>
  <c r="D140" i="114"/>
  <c r="F156" i="114"/>
  <c r="D156" i="114"/>
  <c r="F172" i="114"/>
  <c r="D172" i="114"/>
  <c r="F180" i="114"/>
  <c r="C180" i="114"/>
  <c r="F194" i="114"/>
  <c r="D194" i="114"/>
  <c r="C194" i="114"/>
  <c r="C324" i="114"/>
  <c r="E324" i="114"/>
  <c r="D324" i="114"/>
  <c r="C13" i="114"/>
  <c r="E15" i="114"/>
  <c r="D18" i="114"/>
  <c r="F25" i="114"/>
  <c r="Z25" i="114" s="1"/>
  <c r="AB25" i="114" s="1"/>
  <c r="AC25" i="114" s="1"/>
  <c r="AE25" i="114" s="1"/>
  <c r="AF25" i="114" s="1"/>
  <c r="AH25" i="114" s="1"/>
  <c r="E30" i="114"/>
  <c r="E34" i="114"/>
  <c r="B37" i="114"/>
  <c r="C39" i="114"/>
  <c r="D52" i="114"/>
  <c r="E56" i="114"/>
  <c r="C74" i="114"/>
  <c r="C76" i="114"/>
  <c r="E79" i="114"/>
  <c r="C86" i="114"/>
  <c r="C97" i="114"/>
  <c r="C102" i="114"/>
  <c r="C106" i="114"/>
  <c r="C113" i="114"/>
  <c r="C118" i="114"/>
  <c r="F134" i="114"/>
  <c r="C140" i="114"/>
  <c r="D152" i="114"/>
  <c r="C156" i="114"/>
  <c r="F160" i="114"/>
  <c r="C160" i="114"/>
  <c r="E163" i="114"/>
  <c r="E166" i="114"/>
  <c r="C172" i="114"/>
  <c r="D180" i="114"/>
  <c r="B194" i="114"/>
  <c r="F198" i="114"/>
  <c r="B198" i="114"/>
  <c r="C206" i="114"/>
  <c r="D220" i="114"/>
  <c r="C220" i="114"/>
  <c r="B220" i="114"/>
  <c r="C221" i="114"/>
  <c r="F229" i="114"/>
  <c r="H229" i="114" s="1"/>
  <c r="D229" i="114"/>
  <c r="C229" i="114"/>
  <c r="E243" i="114"/>
  <c r="F13" i="114"/>
  <c r="E18" i="114"/>
  <c r="C37" i="114"/>
  <c r="E39" i="114"/>
  <c r="E52" i="114"/>
  <c r="F79" i="114"/>
  <c r="D86" i="114"/>
  <c r="D102" i="114"/>
  <c r="D106" i="114"/>
  <c r="D113" i="114"/>
  <c r="D118" i="114"/>
  <c r="F141" i="114"/>
  <c r="B141" i="114"/>
  <c r="B150" i="114"/>
  <c r="E150" i="114"/>
  <c r="E194" i="114"/>
  <c r="D221" i="114"/>
  <c r="D261" i="114"/>
  <c r="C261" i="114"/>
  <c r="D266" i="114"/>
  <c r="F266" i="114"/>
  <c r="E266" i="114"/>
  <c r="E214" i="114"/>
  <c r="E223" i="114"/>
  <c r="E226" i="114"/>
  <c r="F276" i="114"/>
  <c r="E276" i="114"/>
  <c r="D279" i="114"/>
  <c r="E279" i="114"/>
  <c r="D300" i="114"/>
  <c r="E300" i="114"/>
  <c r="B302" i="114"/>
  <c r="B327" i="114"/>
  <c r="D334" i="114"/>
  <c r="E342" i="114"/>
  <c r="B369" i="114"/>
  <c r="B371" i="114"/>
  <c r="E374" i="114"/>
  <c r="C394" i="114"/>
  <c r="F397" i="114"/>
  <c r="E403" i="114"/>
  <c r="D405" i="114"/>
  <c r="E410" i="114"/>
  <c r="D412" i="114"/>
  <c r="E425" i="114"/>
  <c r="C437" i="114"/>
  <c r="B437" i="114"/>
  <c r="D447" i="114"/>
  <c r="C447" i="114"/>
  <c r="D464" i="114"/>
  <c r="C464" i="114"/>
  <c r="B464" i="114"/>
  <c r="D491" i="114"/>
  <c r="C491" i="114"/>
  <c r="B491" i="114"/>
  <c r="D533" i="114"/>
  <c r="C588" i="114"/>
  <c r="E588" i="114"/>
  <c r="D588" i="114"/>
  <c r="D600" i="114"/>
  <c r="C600" i="114"/>
  <c r="B600" i="114"/>
  <c r="B604" i="114"/>
  <c r="E722" i="114"/>
  <c r="F722" i="114"/>
  <c r="C722" i="114"/>
  <c r="B722" i="114"/>
  <c r="C192" i="114"/>
  <c r="B202" i="114"/>
  <c r="C204" i="114"/>
  <c r="C212" i="114"/>
  <c r="C231" i="114"/>
  <c r="B233" i="114"/>
  <c r="B273" i="114"/>
  <c r="B276" i="114"/>
  <c r="B279" i="114"/>
  <c r="B282" i="114"/>
  <c r="B294" i="114"/>
  <c r="B300" i="114"/>
  <c r="B316" i="114"/>
  <c r="B318" i="114"/>
  <c r="C327" i="114"/>
  <c r="C349" i="114"/>
  <c r="C369" i="114"/>
  <c r="F374" i="114"/>
  <c r="D394" i="114"/>
  <c r="C402" i="114"/>
  <c r="D437" i="114"/>
  <c r="B447" i="114"/>
  <c r="E464" i="114"/>
  <c r="D475" i="114"/>
  <c r="C475" i="114"/>
  <c r="B475" i="114"/>
  <c r="E491" i="114"/>
  <c r="B533" i="114"/>
  <c r="B588" i="114"/>
  <c r="E600" i="114"/>
  <c r="F697" i="114"/>
  <c r="D697" i="114"/>
  <c r="C697" i="114"/>
  <c r="D722" i="114"/>
  <c r="C415" i="114"/>
  <c r="D415" i="114"/>
  <c r="B415" i="114"/>
  <c r="C424" i="114"/>
  <c r="B424" i="114"/>
  <c r="D456" i="114"/>
  <c r="C456" i="114"/>
  <c r="B456" i="114"/>
  <c r="D516" i="114"/>
  <c r="B516" i="114"/>
  <c r="D585" i="114"/>
  <c r="C585" i="114"/>
  <c r="B585" i="114"/>
  <c r="C655" i="114"/>
  <c r="F655" i="114"/>
  <c r="D655" i="114"/>
  <c r="B655" i="114"/>
  <c r="C708" i="114"/>
  <c r="E708" i="114"/>
  <c r="D708" i="114"/>
  <c r="F743" i="114"/>
  <c r="D743" i="114"/>
  <c r="C743" i="114"/>
  <c r="D138" i="114"/>
  <c r="D154" i="114"/>
  <c r="D202" i="114"/>
  <c r="E222" i="114"/>
  <c r="F225" i="114"/>
  <c r="D233" i="114"/>
  <c r="D270" i="114"/>
  <c r="E270" i="114"/>
  <c r="D276" i="114"/>
  <c r="F279" i="114"/>
  <c r="F300" i="114"/>
  <c r="F306" i="114"/>
  <c r="E316" i="114"/>
  <c r="E318" i="114"/>
  <c r="C333" i="114"/>
  <c r="C335" i="114"/>
  <c r="B366" i="114"/>
  <c r="F369" i="114"/>
  <c r="B379" i="114"/>
  <c r="D396" i="114"/>
  <c r="D400" i="114"/>
  <c r="F402" i="114"/>
  <c r="B404" i="114"/>
  <c r="B411" i="114"/>
  <c r="E415" i="114"/>
  <c r="D424" i="114"/>
  <c r="C434" i="114"/>
  <c r="D434" i="114"/>
  <c r="B434" i="114"/>
  <c r="F437" i="114"/>
  <c r="C441" i="114"/>
  <c r="D441" i="114"/>
  <c r="B441" i="114"/>
  <c r="E456" i="114"/>
  <c r="D468" i="114"/>
  <c r="C468" i="114"/>
  <c r="B468" i="114"/>
  <c r="F475" i="114"/>
  <c r="D504" i="114"/>
  <c r="E585" i="114"/>
  <c r="F626" i="114"/>
  <c r="D626" i="114"/>
  <c r="C626" i="114"/>
  <c r="C651" i="114"/>
  <c r="E651" i="114"/>
  <c r="D651" i="114"/>
  <c r="B651" i="114"/>
  <c r="E655" i="114"/>
  <c r="E697" i="114"/>
  <c r="B708" i="114"/>
  <c r="B743" i="114"/>
  <c r="F272" i="114"/>
  <c r="E272" i="114"/>
  <c r="D275" i="114"/>
  <c r="E275" i="114"/>
  <c r="F280" i="114"/>
  <c r="E280" i="114"/>
  <c r="D304" i="114"/>
  <c r="E304" i="114"/>
  <c r="C379" i="114"/>
  <c r="D404" i="114"/>
  <c r="D411" i="114"/>
  <c r="F415" i="114"/>
  <c r="C423" i="114"/>
  <c r="D423" i="114"/>
  <c r="B423" i="114"/>
  <c r="C445" i="114"/>
  <c r="F445" i="114"/>
  <c r="D445" i="114"/>
  <c r="B445" i="114"/>
  <c r="F456" i="114"/>
  <c r="D487" i="114"/>
  <c r="C487" i="114"/>
  <c r="B487" i="114"/>
  <c r="D552" i="114"/>
  <c r="C552" i="114"/>
  <c r="F585" i="114"/>
  <c r="F708" i="114"/>
  <c r="C711" i="114"/>
  <c r="F711" i="114"/>
  <c r="D711" i="114"/>
  <c r="B711" i="114"/>
  <c r="D714" i="114"/>
  <c r="C714" i="114"/>
  <c r="B714" i="114"/>
  <c r="E743" i="114"/>
  <c r="D460" i="114"/>
  <c r="C460" i="114"/>
  <c r="B460" i="114"/>
  <c r="F583" i="114"/>
  <c r="B583" i="114"/>
  <c r="F680" i="114"/>
  <c r="E680" i="114"/>
  <c r="C680" i="114"/>
  <c r="B680" i="114"/>
  <c r="D688" i="114"/>
  <c r="C688" i="114"/>
  <c r="B688" i="114"/>
  <c r="E718" i="114"/>
  <c r="D718" i="114"/>
  <c r="C718" i="114"/>
  <c r="C724" i="114"/>
  <c r="E724" i="114"/>
  <c r="D724" i="114"/>
  <c r="B724" i="114"/>
  <c r="C342" i="114"/>
  <c r="B374" i="114"/>
  <c r="E460" i="114"/>
  <c r="E518" i="114"/>
  <c r="D529" i="114"/>
  <c r="C597" i="114"/>
  <c r="F597" i="114"/>
  <c r="E597" i="114"/>
  <c r="E619" i="114"/>
  <c r="D619" i="114"/>
  <c r="C619" i="114"/>
  <c r="B619" i="114"/>
  <c r="F623" i="114"/>
  <c r="D623" i="114"/>
  <c r="C623" i="114"/>
  <c r="F658" i="114"/>
  <c r="D658" i="114"/>
  <c r="C658" i="114"/>
  <c r="D676" i="114"/>
  <c r="C676" i="114"/>
  <c r="B676" i="114"/>
  <c r="D680" i="114"/>
  <c r="E688" i="114"/>
  <c r="B718" i="114"/>
  <c r="F724" i="114"/>
  <c r="D302" i="114"/>
  <c r="E302" i="114"/>
  <c r="C334" i="114"/>
  <c r="C374" i="114"/>
  <c r="E417" i="114"/>
  <c r="F417" i="114"/>
  <c r="D417" i="114"/>
  <c r="F460" i="114"/>
  <c r="B518" i="114"/>
  <c r="B529" i="114"/>
  <c r="D548" i="114"/>
  <c r="C548" i="114"/>
  <c r="D587" i="114"/>
  <c r="C587" i="114"/>
  <c r="B587" i="114"/>
  <c r="B597" i="114"/>
  <c r="F604" i="114"/>
  <c r="D604" i="114"/>
  <c r="C604" i="114"/>
  <c r="D620" i="114"/>
  <c r="B620" i="114"/>
  <c r="B623" i="114"/>
  <c r="B658" i="114"/>
  <c r="E676" i="114"/>
  <c r="F688" i="114"/>
  <c r="F718" i="114"/>
  <c r="E506" i="114"/>
  <c r="E525" i="114"/>
  <c r="D584" i="114"/>
  <c r="F589" i="114"/>
  <c r="F634" i="114"/>
  <c r="E650" i="114"/>
  <c r="E681" i="114"/>
  <c r="D684" i="114"/>
  <c r="D691" i="114"/>
  <c r="F701" i="114"/>
  <c r="E703" i="114"/>
  <c r="F710" i="114"/>
  <c r="F719" i="114"/>
  <c r="Z719" i="114" s="1"/>
  <c r="AB719" i="114" s="1"/>
  <c r="AC719" i="114" s="1"/>
  <c r="AE719" i="114" s="1"/>
  <c r="E723" i="114"/>
  <c r="F736" i="114"/>
  <c r="B677" i="114"/>
  <c r="F681" i="114"/>
  <c r="F723" i="114"/>
  <c r="E438" i="114"/>
  <c r="E457" i="114"/>
  <c r="E461" i="114"/>
  <c r="E469" i="114"/>
  <c r="E476" i="114"/>
  <c r="D502" i="114"/>
  <c r="D595" i="114"/>
  <c r="D596" i="114"/>
  <c r="D603" i="114"/>
  <c r="D606" i="114"/>
  <c r="D622" i="114"/>
  <c r="D635" i="114"/>
  <c r="C654" i="114"/>
  <c r="E677" i="114"/>
  <c r="C696" i="114"/>
  <c r="D720" i="114"/>
  <c r="B419" i="114"/>
  <c r="F438" i="114"/>
  <c r="F457" i="114"/>
  <c r="F461" i="114"/>
  <c r="F469" i="114"/>
  <c r="F476" i="114"/>
  <c r="B513" i="114"/>
  <c r="D517" i="114"/>
  <c r="D530" i="114"/>
  <c r="B551" i="114"/>
  <c r="B594" i="114"/>
  <c r="F595" i="114"/>
  <c r="F606" i="114"/>
  <c r="E622" i="114"/>
  <c r="B634" i="114"/>
  <c r="E635" i="114"/>
  <c r="D654" i="114"/>
  <c r="B663" i="114"/>
  <c r="F677" i="114"/>
  <c r="B685" i="114"/>
  <c r="D696" i="114"/>
  <c r="B706" i="114"/>
  <c r="B736" i="114"/>
  <c r="B747" i="114"/>
  <c r="F635" i="114"/>
  <c r="D663" i="114"/>
  <c r="D685" i="114"/>
  <c r="F696" i="114"/>
  <c r="C706" i="114"/>
  <c r="B710" i="114"/>
  <c r="F720" i="114"/>
  <c r="F740" i="114"/>
  <c r="B744" i="114"/>
  <c r="C747" i="114"/>
  <c r="D132" i="114"/>
  <c r="C132" i="114"/>
  <c r="D199" i="114"/>
  <c r="C199" i="114"/>
  <c r="B199" i="114"/>
  <c r="B283" i="114"/>
  <c r="F283" i="114"/>
  <c r="C283" i="114"/>
  <c r="D283" i="114"/>
  <c r="D13" i="114"/>
  <c r="F14" i="114"/>
  <c r="B16" i="114"/>
  <c r="D17" i="114"/>
  <c r="F18" i="114"/>
  <c r="B20" i="114"/>
  <c r="D21" i="114"/>
  <c r="B24" i="114"/>
  <c r="D25" i="114"/>
  <c r="F26" i="114"/>
  <c r="Z26" i="114" s="1"/>
  <c r="AB26" i="114" s="1"/>
  <c r="AC26" i="114" s="1"/>
  <c r="AE26" i="114" s="1"/>
  <c r="AF26" i="114" s="1"/>
  <c r="AH26" i="114" s="1"/>
  <c r="B28" i="114"/>
  <c r="D29" i="114"/>
  <c r="F30" i="114"/>
  <c r="Z30" i="114" s="1"/>
  <c r="AB30" i="114" s="1"/>
  <c r="AC30" i="114" s="1"/>
  <c r="AE30" i="114" s="1"/>
  <c r="AF30" i="114" s="1"/>
  <c r="AH30" i="114" s="1"/>
  <c r="F34" i="114"/>
  <c r="Z34" i="114" s="1"/>
  <c r="AB34" i="114" s="1"/>
  <c r="B36" i="114"/>
  <c r="D37" i="114"/>
  <c r="F38" i="114"/>
  <c r="Z38" i="114" s="1"/>
  <c r="AB38" i="114" s="1"/>
  <c r="B40" i="114"/>
  <c r="D41" i="114"/>
  <c r="F42" i="114"/>
  <c r="B44" i="114"/>
  <c r="D45" i="114"/>
  <c r="F46" i="114"/>
  <c r="Z46" i="114" s="1"/>
  <c r="AB46" i="114" s="1"/>
  <c r="B47" i="114"/>
  <c r="B50" i="114"/>
  <c r="D51" i="114"/>
  <c r="F52" i="114"/>
  <c r="D55" i="114"/>
  <c r="F56" i="114"/>
  <c r="Z56" i="114" s="1"/>
  <c r="AB56" i="114" s="1"/>
  <c r="AC56" i="114" s="1"/>
  <c r="AE56" i="114" s="1"/>
  <c r="B57" i="114"/>
  <c r="D62" i="114"/>
  <c r="C63" i="114"/>
  <c r="D77" i="114"/>
  <c r="C78" i="114"/>
  <c r="B80" i="114"/>
  <c r="F80" i="114"/>
  <c r="B83" i="114"/>
  <c r="D88" i="114"/>
  <c r="C93" i="114"/>
  <c r="E97" i="114"/>
  <c r="C98" i="114"/>
  <c r="C101" i="114"/>
  <c r="B103" i="114"/>
  <c r="C105" i="114"/>
  <c r="C109" i="114"/>
  <c r="B110" i="114"/>
  <c r="C112" i="114"/>
  <c r="B114" i="114"/>
  <c r="C117" i="114"/>
  <c r="B128" i="114"/>
  <c r="C130" i="114"/>
  <c r="B132" i="114"/>
  <c r="C134" i="114"/>
  <c r="B135" i="114"/>
  <c r="E137" i="114"/>
  <c r="E139" i="114"/>
  <c r="B153" i="114"/>
  <c r="D163" i="114"/>
  <c r="C163" i="114"/>
  <c r="B163" i="114"/>
  <c r="E175" i="114"/>
  <c r="B185" i="114"/>
  <c r="B197" i="114"/>
  <c r="E199" i="114"/>
  <c r="B213" i="114"/>
  <c r="B368" i="114"/>
  <c r="F368" i="114"/>
  <c r="C368" i="114"/>
  <c r="D368" i="114"/>
  <c r="E368" i="114"/>
  <c r="D107" i="114"/>
  <c r="C107" i="114"/>
  <c r="D120" i="114"/>
  <c r="C120" i="114"/>
  <c r="D215" i="114"/>
  <c r="C215" i="114"/>
  <c r="B215" i="114"/>
  <c r="C16" i="114"/>
  <c r="C20" i="114"/>
  <c r="C24" i="114"/>
  <c r="C28" i="114"/>
  <c r="C36" i="114"/>
  <c r="C40" i="114"/>
  <c r="C44" i="114"/>
  <c r="C47" i="114"/>
  <c r="C50" i="114"/>
  <c r="C57" i="114"/>
  <c r="D78" i="114"/>
  <c r="F81" i="114"/>
  <c r="B81" i="114"/>
  <c r="C83" i="114"/>
  <c r="F97" i="114"/>
  <c r="E98" i="114"/>
  <c r="E101" i="114"/>
  <c r="E103" i="114"/>
  <c r="E105" i="114"/>
  <c r="E107" i="114"/>
  <c r="E109" i="114"/>
  <c r="E110" i="114"/>
  <c r="E112" i="114"/>
  <c r="E114" i="114"/>
  <c r="E117" i="114"/>
  <c r="E120" i="114"/>
  <c r="E128" i="114"/>
  <c r="E130" i="114"/>
  <c r="E132" i="114"/>
  <c r="E134" i="114"/>
  <c r="E135" i="114"/>
  <c r="D151" i="114"/>
  <c r="C151" i="114"/>
  <c r="B151" i="114"/>
  <c r="F161" i="114"/>
  <c r="D161" i="114"/>
  <c r="C161" i="114"/>
  <c r="D183" i="114"/>
  <c r="C183" i="114"/>
  <c r="B183" i="114"/>
  <c r="F193" i="114"/>
  <c r="D193" i="114"/>
  <c r="C193" i="114"/>
  <c r="D195" i="114"/>
  <c r="C195" i="114"/>
  <c r="B195" i="114"/>
  <c r="F199" i="114"/>
  <c r="D211" i="114"/>
  <c r="C211" i="114"/>
  <c r="B211" i="114"/>
  <c r="F215" i="114"/>
  <c r="B269" i="114"/>
  <c r="F269" i="114"/>
  <c r="D269" i="114"/>
  <c r="C269" i="114"/>
  <c r="B278" i="114"/>
  <c r="F278" i="114"/>
  <c r="D278" i="114"/>
  <c r="C278" i="114"/>
  <c r="D362" i="114"/>
  <c r="E362" i="114"/>
  <c r="C362" i="114"/>
  <c r="B362" i="114"/>
  <c r="F362" i="114"/>
  <c r="F63" i="114"/>
  <c r="B63" i="114"/>
  <c r="F93" i="114"/>
  <c r="B93" i="114"/>
  <c r="F153" i="114"/>
  <c r="D153" i="114"/>
  <c r="C153" i="114"/>
  <c r="D175" i="114"/>
  <c r="C175" i="114"/>
  <c r="B175" i="114"/>
  <c r="D16" i="114"/>
  <c r="D20" i="114"/>
  <c r="D24" i="114"/>
  <c r="D28" i="114"/>
  <c r="D36" i="114"/>
  <c r="D40" i="114"/>
  <c r="D44" i="114"/>
  <c r="D47" i="114"/>
  <c r="D50" i="114"/>
  <c r="D57" i="114"/>
  <c r="E63" i="114"/>
  <c r="E83" i="114"/>
  <c r="E93" i="114"/>
  <c r="F98" i="114"/>
  <c r="F101" i="114"/>
  <c r="F105" i="114"/>
  <c r="F107" i="114"/>
  <c r="F109" i="114"/>
  <c r="F112" i="114"/>
  <c r="F117" i="114"/>
  <c r="F120" i="114"/>
  <c r="F130" i="114"/>
  <c r="F132" i="114"/>
  <c r="F149" i="114"/>
  <c r="D149" i="114"/>
  <c r="C149" i="114"/>
  <c r="F181" i="114"/>
  <c r="D181" i="114"/>
  <c r="C181" i="114"/>
  <c r="F217" i="114"/>
  <c r="D217" i="114"/>
  <c r="C217" i="114"/>
  <c r="D356" i="114"/>
  <c r="B356" i="114"/>
  <c r="F356" i="114"/>
  <c r="C356" i="114"/>
  <c r="E356" i="114"/>
  <c r="D114" i="114"/>
  <c r="C114" i="114"/>
  <c r="D135" i="114"/>
  <c r="C135" i="114"/>
  <c r="E16" i="114"/>
  <c r="E20" i="114"/>
  <c r="E24" i="114"/>
  <c r="E28" i="114"/>
  <c r="E36" i="114"/>
  <c r="E40" i="114"/>
  <c r="E44" i="114"/>
  <c r="E47" i="114"/>
  <c r="E50" i="114"/>
  <c r="E57" i="114"/>
  <c r="F61" i="114"/>
  <c r="Z61" i="114" s="1"/>
  <c r="AB61" i="114" s="1"/>
  <c r="B61" i="114"/>
  <c r="F82" i="114"/>
  <c r="B82" i="114"/>
  <c r="F83" i="114"/>
  <c r="B92" i="114"/>
  <c r="F99" i="114"/>
  <c r="E99" i="114"/>
  <c r="B99" i="114"/>
  <c r="F104" i="114"/>
  <c r="E104" i="114"/>
  <c r="B104" i="114"/>
  <c r="F108" i="114"/>
  <c r="E108" i="114"/>
  <c r="B108" i="114"/>
  <c r="F111" i="114"/>
  <c r="E111" i="114"/>
  <c r="B111" i="114"/>
  <c r="F116" i="114"/>
  <c r="E116" i="114"/>
  <c r="B116" i="114"/>
  <c r="F129" i="114"/>
  <c r="E129" i="114"/>
  <c r="B129" i="114"/>
  <c r="F133" i="114"/>
  <c r="E133" i="114"/>
  <c r="B133" i="114"/>
  <c r="B149" i="114"/>
  <c r="D159" i="114"/>
  <c r="C159" i="114"/>
  <c r="B159" i="114"/>
  <c r="F169" i="114"/>
  <c r="D169" i="114"/>
  <c r="C169" i="114"/>
  <c r="B181" i="114"/>
  <c r="D191" i="114"/>
  <c r="C191" i="114"/>
  <c r="B191" i="114"/>
  <c r="F205" i="114"/>
  <c r="D205" i="114"/>
  <c r="C205" i="114"/>
  <c r="D207" i="114"/>
  <c r="C207" i="114"/>
  <c r="B207" i="114"/>
  <c r="B217" i="114"/>
  <c r="C224" i="114"/>
  <c r="F224" i="114"/>
  <c r="E224" i="114"/>
  <c r="D224" i="114"/>
  <c r="B224" i="114"/>
  <c r="B274" i="114"/>
  <c r="F274" i="114"/>
  <c r="D274" i="114"/>
  <c r="C274" i="114"/>
  <c r="F353" i="114"/>
  <c r="B353" i="114"/>
  <c r="E353" i="114"/>
  <c r="D353" i="114"/>
  <c r="C353" i="114"/>
  <c r="F78" i="114"/>
  <c r="B78" i="114"/>
  <c r="F213" i="114"/>
  <c r="D213" i="114"/>
  <c r="C213" i="114"/>
  <c r="B14" i="114"/>
  <c r="B18" i="114"/>
  <c r="B26" i="114"/>
  <c r="B30" i="114"/>
  <c r="B34" i="114"/>
  <c r="B38" i="114"/>
  <c r="B42" i="114"/>
  <c r="B46" i="114"/>
  <c r="B52" i="114"/>
  <c r="B56" i="114"/>
  <c r="C61" i="114"/>
  <c r="B73" i="114"/>
  <c r="F73" i="114"/>
  <c r="E76" i="114"/>
  <c r="B79" i="114"/>
  <c r="E81" i="114"/>
  <c r="C82" i="114"/>
  <c r="B84" i="114"/>
  <c r="F84" i="114"/>
  <c r="E87" i="114"/>
  <c r="C92" i="114"/>
  <c r="B94" i="114"/>
  <c r="C99" i="114"/>
  <c r="C104" i="114"/>
  <c r="C108" i="114"/>
  <c r="C111" i="114"/>
  <c r="C116" i="114"/>
  <c r="C129" i="114"/>
  <c r="C133" i="114"/>
  <c r="D145" i="114"/>
  <c r="C145" i="114"/>
  <c r="D147" i="114"/>
  <c r="C147" i="114"/>
  <c r="B147" i="114"/>
  <c r="E149" i="114"/>
  <c r="F157" i="114"/>
  <c r="D157" i="114"/>
  <c r="C157" i="114"/>
  <c r="E159" i="114"/>
  <c r="B169" i="114"/>
  <c r="D179" i="114"/>
  <c r="C179" i="114"/>
  <c r="B179" i="114"/>
  <c r="E181" i="114"/>
  <c r="F189" i="114"/>
  <c r="D189" i="114"/>
  <c r="C189" i="114"/>
  <c r="E191" i="114"/>
  <c r="B205" i="114"/>
  <c r="E207" i="114"/>
  <c r="E217" i="114"/>
  <c r="D110" i="114"/>
  <c r="C110" i="114"/>
  <c r="F197" i="114"/>
  <c r="D197" i="114"/>
  <c r="C197" i="114"/>
  <c r="D61" i="114"/>
  <c r="F75" i="114"/>
  <c r="B75" i="114"/>
  <c r="C79" i="114"/>
  <c r="D82" i="114"/>
  <c r="F86" i="114"/>
  <c r="B86" i="114"/>
  <c r="E92" i="114"/>
  <c r="C94" i="114"/>
  <c r="D99" i="114"/>
  <c r="D104" i="114"/>
  <c r="D108" i="114"/>
  <c r="D111" i="114"/>
  <c r="D116" i="114"/>
  <c r="D129" i="114"/>
  <c r="D133" i="114"/>
  <c r="D141" i="114"/>
  <c r="C141" i="114"/>
  <c r="D143" i="114"/>
  <c r="C143" i="114"/>
  <c r="F159" i="114"/>
  <c r="D167" i="114"/>
  <c r="C167" i="114"/>
  <c r="B167" i="114"/>
  <c r="E169" i="114"/>
  <c r="F177" i="114"/>
  <c r="D177" i="114"/>
  <c r="C177" i="114"/>
  <c r="F191" i="114"/>
  <c r="D203" i="114"/>
  <c r="C203" i="114"/>
  <c r="B203" i="114"/>
  <c r="E205" i="114"/>
  <c r="F207" i="114"/>
  <c r="F216" i="114"/>
  <c r="D216" i="114"/>
  <c r="C216" i="114"/>
  <c r="D103" i="114"/>
  <c r="C103" i="114"/>
  <c r="D128" i="114"/>
  <c r="C128" i="114"/>
  <c r="F185" i="114"/>
  <c r="D185" i="114"/>
  <c r="C185" i="114"/>
  <c r="B62" i="114"/>
  <c r="F62" i="114"/>
  <c r="Z62" i="114" s="1"/>
  <c r="AB62" i="114" s="1"/>
  <c r="AC62" i="114" s="1"/>
  <c r="AE62" i="114" s="1"/>
  <c r="AF62" i="114" s="1"/>
  <c r="AH62" i="114" s="1"/>
  <c r="AI62" i="114" s="1"/>
  <c r="AK62" i="114" s="1"/>
  <c r="AL62" i="114" s="1"/>
  <c r="AN62" i="114" s="1"/>
  <c r="B77" i="114"/>
  <c r="F77" i="114"/>
  <c r="B88" i="114"/>
  <c r="F88" i="114"/>
  <c r="D137" i="114"/>
  <c r="C137" i="114"/>
  <c r="D139" i="114"/>
  <c r="C139" i="114"/>
  <c r="D155" i="114"/>
  <c r="C155" i="114"/>
  <c r="B155" i="114"/>
  <c r="F165" i="114"/>
  <c r="D165" i="114"/>
  <c r="C165" i="114"/>
  <c r="D187" i="114"/>
  <c r="C187" i="114"/>
  <c r="B187" i="114"/>
  <c r="C234" i="114"/>
  <c r="F234" i="114"/>
  <c r="H234" i="114" s="1"/>
  <c r="E234" i="114"/>
  <c r="D234" i="114"/>
  <c r="B234" i="114"/>
  <c r="D258" i="114"/>
  <c r="F258" i="114"/>
  <c r="E258" i="114"/>
  <c r="C258" i="114"/>
  <c r="B258" i="114"/>
  <c r="F218" i="114"/>
  <c r="C225" i="114"/>
  <c r="C240" i="114"/>
  <c r="D256" i="114"/>
  <c r="C256" i="114"/>
  <c r="F305" i="114"/>
  <c r="B305" i="114"/>
  <c r="D305" i="114"/>
  <c r="C305" i="114"/>
  <c r="D308" i="114"/>
  <c r="B308" i="114"/>
  <c r="F308" i="114"/>
  <c r="C308" i="114"/>
  <c r="F322" i="114"/>
  <c r="B322" i="114"/>
  <c r="E322" i="114"/>
  <c r="D322" i="114"/>
  <c r="C322" i="114"/>
  <c r="D325" i="114"/>
  <c r="B325" i="114"/>
  <c r="F325" i="114"/>
  <c r="C325" i="114"/>
  <c r="D339" i="114"/>
  <c r="C339" i="114"/>
  <c r="E339" i="114"/>
  <c r="D354" i="114"/>
  <c r="C354" i="114"/>
  <c r="E354" i="114"/>
  <c r="B527" i="114"/>
  <c r="E527" i="114"/>
  <c r="D527" i="114"/>
  <c r="F102" i="114"/>
  <c r="F106" i="114"/>
  <c r="F113" i="114"/>
  <c r="F118" i="114"/>
  <c r="F131" i="114"/>
  <c r="B136" i="114"/>
  <c r="F138" i="114"/>
  <c r="B140" i="114"/>
  <c r="F142" i="114"/>
  <c r="B144" i="114"/>
  <c r="F146" i="114"/>
  <c r="B148" i="114"/>
  <c r="F150" i="114"/>
  <c r="B152" i="114"/>
  <c r="F154" i="114"/>
  <c r="B156" i="114"/>
  <c r="F158" i="114"/>
  <c r="B160" i="114"/>
  <c r="F162" i="114"/>
  <c r="B164" i="114"/>
  <c r="F166" i="114"/>
  <c r="B172" i="114"/>
  <c r="B176" i="114"/>
  <c r="F178" i="114"/>
  <c r="B180" i="114"/>
  <c r="F182" i="114"/>
  <c r="B184" i="114"/>
  <c r="F186" i="114"/>
  <c r="B188" i="114"/>
  <c r="F190" i="114"/>
  <c r="B192" i="114"/>
  <c r="B196" i="114"/>
  <c r="B204" i="114"/>
  <c r="B208" i="114"/>
  <c r="B212" i="114"/>
  <c r="B219" i="114"/>
  <c r="E219" i="114"/>
  <c r="F220" i="114"/>
  <c r="B222" i="114"/>
  <c r="E225" i="114"/>
  <c r="B231" i="114"/>
  <c r="E231" i="114"/>
  <c r="F232" i="114"/>
  <c r="H232" i="114" s="1"/>
  <c r="E240" i="114"/>
  <c r="B256" i="114"/>
  <c r="D260" i="114"/>
  <c r="C260" i="114"/>
  <c r="B262" i="114"/>
  <c r="D306" i="114"/>
  <c r="C306" i="114"/>
  <c r="D323" i="114"/>
  <c r="C323" i="114"/>
  <c r="E323" i="114"/>
  <c r="E325" i="114"/>
  <c r="D331" i="114"/>
  <c r="E331" i="114"/>
  <c r="C331" i="114"/>
  <c r="B331" i="114"/>
  <c r="B339" i="114"/>
  <c r="B354" i="114"/>
  <c r="B363" i="114"/>
  <c r="F363" i="114"/>
  <c r="C363" i="114"/>
  <c r="D363" i="114"/>
  <c r="D264" i="114"/>
  <c r="C264" i="114"/>
  <c r="B348" i="114"/>
  <c r="F348" i="114"/>
  <c r="Z348" i="114" s="1"/>
  <c r="AB348" i="114" s="1"/>
  <c r="AC348" i="114" s="1"/>
  <c r="AE348" i="114" s="1"/>
  <c r="C348" i="114"/>
  <c r="D348" i="114"/>
  <c r="B264" i="114"/>
  <c r="B270" i="114"/>
  <c r="B332" i="114"/>
  <c r="F332" i="114"/>
  <c r="C332" i="114"/>
  <c r="D332" i="114"/>
  <c r="E348" i="114"/>
  <c r="E136" i="114"/>
  <c r="E140" i="114"/>
  <c r="E144" i="114"/>
  <c r="E148" i="114"/>
  <c r="E152" i="114"/>
  <c r="E156" i="114"/>
  <c r="E160" i="114"/>
  <c r="E164" i="114"/>
  <c r="E172" i="114"/>
  <c r="E176" i="114"/>
  <c r="E180" i="114"/>
  <c r="E184" i="114"/>
  <c r="E188" i="114"/>
  <c r="E192" i="114"/>
  <c r="E196" i="114"/>
  <c r="E204" i="114"/>
  <c r="E208" i="114"/>
  <c r="E212" i="114"/>
  <c r="B218" i="114"/>
  <c r="B221" i="114"/>
  <c r="E221" i="114"/>
  <c r="F222" i="114"/>
  <c r="B257" i="114"/>
  <c r="F257" i="114"/>
  <c r="E257" i="114"/>
  <c r="F260" i="114"/>
  <c r="F262" i="114"/>
  <c r="E264" i="114"/>
  <c r="C270" i="114"/>
  <c r="D273" i="114"/>
  <c r="C273" i="114"/>
  <c r="D277" i="114"/>
  <c r="C277" i="114"/>
  <c r="B296" i="114"/>
  <c r="F296" i="114"/>
  <c r="E296" i="114"/>
  <c r="C296" i="114"/>
  <c r="E332" i="114"/>
  <c r="E381" i="114"/>
  <c r="D381" i="114"/>
  <c r="B381" i="114"/>
  <c r="C381" i="114"/>
  <c r="B261" i="114"/>
  <c r="F261" i="114"/>
  <c r="E261" i="114"/>
  <c r="F264" i="114"/>
  <c r="B291" i="114"/>
  <c r="F291" i="114"/>
  <c r="E291" i="114"/>
  <c r="C291" i="114"/>
  <c r="F361" i="114"/>
  <c r="Z361" i="114" s="1"/>
  <c r="AB361" i="114" s="1"/>
  <c r="B361" i="114"/>
  <c r="D361" i="114"/>
  <c r="E361" i="114"/>
  <c r="B372" i="114"/>
  <c r="F372" i="114"/>
  <c r="C372" i="114"/>
  <c r="D372" i="114"/>
  <c r="B265" i="114"/>
  <c r="F265" i="114"/>
  <c r="E265" i="114"/>
  <c r="F270" i="114"/>
  <c r="F346" i="114"/>
  <c r="Z346" i="114" s="1"/>
  <c r="AB346" i="114" s="1"/>
  <c r="B346" i="114"/>
  <c r="D346" i="114"/>
  <c r="E346" i="114"/>
  <c r="E398" i="114"/>
  <c r="F398" i="114"/>
  <c r="C398" i="114"/>
  <c r="B398" i="114"/>
  <c r="B303" i="114"/>
  <c r="F303" i="114"/>
  <c r="B320" i="114"/>
  <c r="F320" i="114"/>
  <c r="B336" i="114"/>
  <c r="F336" i="114"/>
  <c r="C282" i="114"/>
  <c r="C294" i="114"/>
  <c r="D303" i="114"/>
  <c r="B307" i="114"/>
  <c r="F307" i="114"/>
  <c r="D320" i="114"/>
  <c r="B324" i="114"/>
  <c r="F324" i="114"/>
  <c r="E327" i="114"/>
  <c r="D336" i="114"/>
  <c r="B340" i="114"/>
  <c r="F340" i="114"/>
  <c r="E343" i="114"/>
  <c r="B355" i="114"/>
  <c r="F355" i="114"/>
  <c r="C360" i="114"/>
  <c r="E366" i="114"/>
  <c r="D366" i="114"/>
  <c r="E371" i="114"/>
  <c r="D371" i="114"/>
  <c r="E401" i="114"/>
  <c r="C401" i="114"/>
  <c r="D401" i="114"/>
  <c r="B401" i="114"/>
  <c r="D282" i="114"/>
  <c r="D294" i="114"/>
  <c r="E320" i="114"/>
  <c r="F326" i="114"/>
  <c r="B326" i="114"/>
  <c r="E336" i="114"/>
  <c r="F342" i="114"/>
  <c r="B342" i="114"/>
  <c r="E360" i="114"/>
  <c r="B328" i="114"/>
  <c r="F328" i="114"/>
  <c r="B359" i="114"/>
  <c r="F359" i="114"/>
  <c r="Z359" i="114" s="1"/>
  <c r="AB359" i="114" s="1"/>
  <c r="F360" i="114"/>
  <c r="F380" i="114"/>
  <c r="E380" i="114"/>
  <c r="C380" i="114"/>
  <c r="B380" i="114"/>
  <c r="E416" i="114"/>
  <c r="C416" i="114"/>
  <c r="D416" i="114"/>
  <c r="B416" i="114"/>
  <c r="E442" i="114"/>
  <c r="D442" i="114"/>
  <c r="C442" i="114"/>
  <c r="F442" i="114"/>
  <c r="B442" i="114"/>
  <c r="E427" i="114"/>
  <c r="D427" i="114"/>
  <c r="C427" i="114"/>
  <c r="F427" i="114"/>
  <c r="B427" i="114"/>
  <c r="F436" i="114"/>
  <c r="E436" i="114"/>
  <c r="D436" i="114"/>
  <c r="C436" i="114"/>
  <c r="D297" i="114"/>
  <c r="F301" i="114"/>
  <c r="B301" i="114"/>
  <c r="F302" i="114"/>
  <c r="F317" i="114"/>
  <c r="B317" i="114"/>
  <c r="F318" i="114"/>
  <c r="E321" i="114"/>
  <c r="E328" i="114"/>
  <c r="F334" i="114"/>
  <c r="B334" i="114"/>
  <c r="F335" i="114"/>
  <c r="F349" i="114"/>
  <c r="B349" i="114"/>
  <c r="E359" i="114"/>
  <c r="F370" i="114"/>
  <c r="C370" i="114"/>
  <c r="B370" i="114"/>
  <c r="F376" i="114"/>
  <c r="E376" i="114"/>
  <c r="C376" i="114"/>
  <c r="B376" i="114"/>
  <c r="E413" i="114"/>
  <c r="F413" i="114"/>
  <c r="C413" i="114"/>
  <c r="B413" i="114"/>
  <c r="F428" i="114"/>
  <c r="E428" i="114"/>
  <c r="D428" i="114"/>
  <c r="C428" i="114"/>
  <c r="B428" i="114"/>
  <c r="B436" i="114"/>
  <c r="F424" i="114"/>
  <c r="E424" i="114"/>
  <c r="F439" i="114"/>
  <c r="E439" i="114"/>
  <c r="E507" i="114"/>
  <c r="D507" i="114"/>
  <c r="B507" i="114"/>
  <c r="E522" i="114"/>
  <c r="D522" i="114"/>
  <c r="E535" i="114"/>
  <c r="D535" i="114"/>
  <c r="B535" i="114"/>
  <c r="E687" i="114"/>
  <c r="C687" i="114"/>
  <c r="B687" i="114"/>
  <c r="D687" i="114"/>
  <c r="F687" i="114"/>
  <c r="E446" i="114"/>
  <c r="D446" i="114"/>
  <c r="C446" i="114"/>
  <c r="B522" i="114"/>
  <c r="D528" i="114"/>
  <c r="E528" i="114"/>
  <c r="B528" i="114"/>
  <c r="E591" i="114"/>
  <c r="C591" i="114"/>
  <c r="B591" i="114"/>
  <c r="F591" i="114"/>
  <c r="D591" i="114"/>
  <c r="B508" i="114"/>
  <c r="E508" i="114"/>
  <c r="D508" i="114"/>
  <c r="B512" i="114"/>
  <c r="E512" i="114"/>
  <c r="D512" i="114"/>
  <c r="E397" i="114"/>
  <c r="C397" i="114"/>
  <c r="E405" i="114"/>
  <c r="C405" i="114"/>
  <c r="E412" i="114"/>
  <c r="C412" i="114"/>
  <c r="E435" i="114"/>
  <c r="D435" i="114"/>
  <c r="C435" i="114"/>
  <c r="F446" i="114"/>
  <c r="D503" i="114"/>
  <c r="B503" i="114"/>
  <c r="B394" i="114"/>
  <c r="B397" i="114"/>
  <c r="B402" i="114"/>
  <c r="B405" i="114"/>
  <c r="B412" i="114"/>
  <c r="B417" i="114"/>
  <c r="F432" i="114"/>
  <c r="E432" i="114"/>
  <c r="B435" i="114"/>
  <c r="F447" i="114"/>
  <c r="E447" i="114"/>
  <c r="E503" i="114"/>
  <c r="E664" i="114"/>
  <c r="C664" i="114"/>
  <c r="F664" i="114"/>
  <c r="Z664" i="114" s="1"/>
  <c r="AB664" i="114" s="1"/>
  <c r="AC664" i="114" s="1"/>
  <c r="AE664" i="114" s="1"/>
  <c r="D664" i="114"/>
  <c r="B664" i="114"/>
  <c r="F455" i="114"/>
  <c r="E455" i="114"/>
  <c r="C455" i="114"/>
  <c r="B455" i="114"/>
  <c r="F459" i="114"/>
  <c r="E459" i="114"/>
  <c r="C459" i="114"/>
  <c r="B459" i="114"/>
  <c r="F463" i="114"/>
  <c r="E463" i="114"/>
  <c r="C463" i="114"/>
  <c r="B463" i="114"/>
  <c r="F467" i="114"/>
  <c r="E467" i="114"/>
  <c r="C467" i="114"/>
  <c r="B467" i="114"/>
  <c r="F471" i="114"/>
  <c r="E471" i="114"/>
  <c r="C471" i="114"/>
  <c r="B471" i="114"/>
  <c r="F474" i="114"/>
  <c r="E474" i="114"/>
  <c r="C474" i="114"/>
  <c r="B474" i="114"/>
  <c r="F478" i="114"/>
  <c r="E478" i="114"/>
  <c r="C478" i="114"/>
  <c r="B478" i="114"/>
  <c r="F486" i="114"/>
  <c r="E486" i="114"/>
  <c r="C486" i="114"/>
  <c r="B486" i="114"/>
  <c r="D524" i="114"/>
  <c r="B524" i="114"/>
  <c r="C545" i="114"/>
  <c r="B552" i="114"/>
  <c r="E552" i="114"/>
  <c r="E637" i="114"/>
  <c r="D637" i="114"/>
  <c r="C637" i="114"/>
  <c r="B637" i="114"/>
  <c r="E665" i="114"/>
  <c r="C665" i="114"/>
  <c r="D665" i="114"/>
  <c r="E668" i="114"/>
  <c r="D668" i="114"/>
  <c r="C668" i="114"/>
  <c r="B668" i="114"/>
  <c r="E682" i="114"/>
  <c r="C682" i="114"/>
  <c r="D682" i="114"/>
  <c r="B682" i="114"/>
  <c r="F682" i="114"/>
  <c r="B500" i="114"/>
  <c r="E500" i="114"/>
  <c r="E545" i="114"/>
  <c r="E610" i="114"/>
  <c r="C610" i="114"/>
  <c r="D610" i="114"/>
  <c r="F610" i="114"/>
  <c r="E624" i="114"/>
  <c r="C624" i="114"/>
  <c r="F624" i="114"/>
  <c r="Z624" i="114" s="1"/>
  <c r="AB624" i="114" s="1"/>
  <c r="AC624" i="114" s="1"/>
  <c r="AE624" i="114" s="1"/>
  <c r="AF624" i="114" s="1"/>
  <c r="AH624" i="114" s="1"/>
  <c r="D624" i="114"/>
  <c r="B624" i="114"/>
  <c r="F637" i="114"/>
  <c r="E656" i="114"/>
  <c r="C656" i="114"/>
  <c r="F656" i="114"/>
  <c r="D656" i="114"/>
  <c r="B656" i="114"/>
  <c r="B665" i="114"/>
  <c r="F668" i="114"/>
  <c r="E683" i="114"/>
  <c r="D683" i="114"/>
  <c r="C683" i="114"/>
  <c r="B683" i="114"/>
  <c r="E712" i="114"/>
  <c r="C712" i="114"/>
  <c r="F712" i="114"/>
  <c r="D712" i="114"/>
  <c r="B712" i="114"/>
  <c r="B544" i="114"/>
  <c r="E544" i="114"/>
  <c r="F545" i="114"/>
  <c r="B592" i="114"/>
  <c r="F592" i="114"/>
  <c r="E592" i="114"/>
  <c r="C592" i="114"/>
  <c r="E625" i="114"/>
  <c r="C625" i="114"/>
  <c r="D625" i="114"/>
  <c r="E629" i="114"/>
  <c r="D629" i="114"/>
  <c r="C629" i="114"/>
  <c r="B629" i="114"/>
  <c r="E652" i="114"/>
  <c r="C652" i="114"/>
  <c r="D652" i="114"/>
  <c r="F652" i="114"/>
  <c r="E657" i="114"/>
  <c r="C657" i="114"/>
  <c r="D657" i="114"/>
  <c r="E661" i="114"/>
  <c r="D661" i="114"/>
  <c r="C661" i="114"/>
  <c r="B661" i="114"/>
  <c r="E678" i="114"/>
  <c r="C678" i="114"/>
  <c r="F678" i="114"/>
  <c r="D678" i="114"/>
  <c r="B678" i="114"/>
  <c r="C458" i="114"/>
  <c r="C462" i="114"/>
  <c r="C470" i="114"/>
  <c r="C477" i="114"/>
  <c r="D500" i="114"/>
  <c r="E505" i="114"/>
  <c r="E514" i="114"/>
  <c r="B523" i="114"/>
  <c r="E523" i="114"/>
  <c r="D526" i="114"/>
  <c r="C544" i="114"/>
  <c r="F552" i="114"/>
  <c r="C586" i="114"/>
  <c r="B586" i="114"/>
  <c r="F586" i="114"/>
  <c r="D586" i="114"/>
  <c r="D592" i="114"/>
  <c r="B625" i="114"/>
  <c r="F629" i="114"/>
  <c r="Z629" i="114" s="1"/>
  <c r="B652" i="114"/>
  <c r="B657" i="114"/>
  <c r="F661" i="114"/>
  <c r="E679" i="114"/>
  <c r="C679" i="114"/>
  <c r="B679" i="114"/>
  <c r="D679" i="114"/>
  <c r="E721" i="114"/>
  <c r="C721" i="114"/>
  <c r="F721" i="114"/>
  <c r="D721" i="114"/>
  <c r="B721" i="114"/>
  <c r="D458" i="114"/>
  <c r="D462" i="114"/>
  <c r="D470" i="114"/>
  <c r="D477" i="114"/>
  <c r="B504" i="114"/>
  <c r="E504" i="114"/>
  <c r="E516" i="114"/>
  <c r="E526" i="114"/>
  <c r="D544" i="114"/>
  <c r="C590" i="114"/>
  <c r="E590" i="114"/>
  <c r="F590" i="114"/>
  <c r="F625" i="114"/>
  <c r="Z625" i="114" s="1"/>
  <c r="AB625" i="114" s="1"/>
  <c r="AC625" i="114" s="1"/>
  <c r="AE625" i="114" s="1"/>
  <c r="AF625" i="114" s="1"/>
  <c r="AH625" i="114" s="1"/>
  <c r="AI625" i="114" s="1"/>
  <c r="AK625" i="114" s="1"/>
  <c r="AL625" i="114" s="1"/>
  <c r="AN625" i="114" s="1"/>
  <c r="E653" i="114"/>
  <c r="D653" i="114"/>
  <c r="C653" i="114"/>
  <c r="B653" i="114"/>
  <c r="F657" i="114"/>
  <c r="F679" i="114"/>
  <c r="B499" i="114"/>
  <c r="B515" i="114"/>
  <c r="E515" i="114"/>
  <c r="D518" i="114"/>
  <c r="D523" i="114"/>
  <c r="B530" i="114"/>
  <c r="F544" i="114"/>
  <c r="B548" i="114"/>
  <c r="E548" i="114"/>
  <c r="D551" i="114"/>
  <c r="E583" i="114"/>
  <c r="C583" i="114"/>
  <c r="D583" i="114"/>
  <c r="E587" i="114"/>
  <c r="F587" i="114"/>
  <c r="B590" i="114"/>
  <c r="E640" i="114"/>
  <c r="C640" i="114"/>
  <c r="F640" i="114"/>
  <c r="D640" i="114"/>
  <c r="B640" i="114"/>
  <c r="F653" i="114"/>
  <c r="E693" i="114"/>
  <c r="C693" i="114"/>
  <c r="F693" i="114"/>
  <c r="D693" i="114"/>
  <c r="B693" i="114"/>
  <c r="E636" i="114"/>
  <c r="C636" i="114"/>
  <c r="D636" i="114"/>
  <c r="F636" i="114"/>
  <c r="E666" i="114"/>
  <c r="C666" i="114"/>
  <c r="D666" i="114"/>
  <c r="F666" i="114"/>
  <c r="Z666" i="114" s="1"/>
  <c r="AB666" i="114" s="1"/>
  <c r="AC666" i="114" s="1"/>
  <c r="AE666" i="114" s="1"/>
  <c r="E686" i="114"/>
  <c r="C686" i="114"/>
  <c r="F686" i="114"/>
  <c r="D686" i="114"/>
  <c r="B686" i="114"/>
  <c r="F607" i="114"/>
  <c r="D597" i="114"/>
  <c r="C621" i="114"/>
  <c r="F746" i="114"/>
  <c r="E746" i="114"/>
  <c r="C746" i="114"/>
  <c r="E605" i="114"/>
  <c r="C605" i="114"/>
  <c r="D621" i="114"/>
  <c r="B746" i="114"/>
  <c r="E620" i="114"/>
  <c r="C620" i="114"/>
  <c r="E702" i="114"/>
  <c r="C702" i="114"/>
  <c r="E709" i="114"/>
  <c r="C709" i="114"/>
  <c r="E717" i="114"/>
  <c r="C717" i="114"/>
  <c r="E725" i="114"/>
  <c r="C725" i="114"/>
  <c r="B702" i="114"/>
  <c r="B709" i="114"/>
  <c r="B717" i="114"/>
  <c r="B725" i="114"/>
  <c r="D607" i="114"/>
  <c r="F619" i="114"/>
  <c r="Z619" i="114" s="1"/>
  <c r="F620" i="114"/>
  <c r="D702" i="114"/>
  <c r="D709" i="114"/>
  <c r="D717" i="114"/>
  <c r="D725" i="114"/>
  <c r="C734" i="115"/>
  <c r="C738" i="115"/>
  <c r="C742" i="115"/>
  <c r="C746" i="115"/>
  <c r="C750" i="115"/>
  <c r="C754" i="115"/>
  <c r="C758" i="115"/>
  <c r="C763" i="115"/>
  <c r="C773" i="115"/>
  <c r="C777" i="115"/>
  <c r="C781" i="115"/>
  <c r="C788" i="115"/>
  <c r="C792" i="115"/>
  <c r="C796" i="115"/>
  <c r="C800" i="115"/>
  <c r="C804" i="115"/>
  <c r="C808" i="115"/>
  <c r="E811" i="115"/>
  <c r="D816" i="115"/>
  <c r="C818" i="115"/>
  <c r="B818" i="115"/>
  <c r="E835" i="115"/>
  <c r="D835" i="115"/>
  <c r="E836" i="115"/>
  <c r="D838" i="115"/>
  <c r="C843" i="115"/>
  <c r="E849" i="115"/>
  <c r="D851" i="115"/>
  <c r="F855" i="115"/>
  <c r="C855" i="115"/>
  <c r="F879" i="115"/>
  <c r="C879" i="115"/>
  <c r="B908" i="115"/>
  <c r="F908" i="115"/>
  <c r="E908" i="115"/>
  <c r="D908" i="115"/>
  <c r="C908" i="115"/>
  <c r="F951" i="115"/>
  <c r="E951" i="115"/>
  <c r="D951" i="115"/>
  <c r="C951" i="115"/>
  <c r="B951" i="115"/>
  <c r="D734" i="115"/>
  <c r="D738" i="115"/>
  <c r="D742" i="115"/>
  <c r="D746" i="115"/>
  <c r="D750" i="115"/>
  <c r="D754" i="115"/>
  <c r="D758" i="115"/>
  <c r="D763" i="115"/>
  <c r="D773" i="115"/>
  <c r="D777" i="115"/>
  <c r="D781" i="115"/>
  <c r="D788" i="115"/>
  <c r="D792" i="115"/>
  <c r="D796" i="115"/>
  <c r="D800" i="115"/>
  <c r="D804" i="115"/>
  <c r="D808" i="115"/>
  <c r="E815" i="115"/>
  <c r="D815" i="115"/>
  <c r="C830" i="115"/>
  <c r="B830" i="115"/>
  <c r="E838" i="115"/>
  <c r="F871" i="115"/>
  <c r="D871" i="115"/>
  <c r="C871" i="115"/>
  <c r="B871" i="115"/>
  <c r="B912" i="115"/>
  <c r="F912" i="115"/>
  <c r="E912" i="115"/>
  <c r="D912" i="115"/>
  <c r="C912" i="115"/>
  <c r="C987" i="115"/>
  <c r="B987" i="115"/>
  <c r="F987" i="115"/>
  <c r="D987" i="115"/>
  <c r="E734" i="115"/>
  <c r="E738" i="115"/>
  <c r="E742" i="115"/>
  <c r="E746" i="115"/>
  <c r="E750" i="115"/>
  <c r="E754" i="115"/>
  <c r="E758" i="115"/>
  <c r="E763" i="115"/>
  <c r="E773" i="115"/>
  <c r="E777" i="115"/>
  <c r="E781" i="115"/>
  <c r="E788" i="115"/>
  <c r="E792" i="115"/>
  <c r="E796" i="115"/>
  <c r="E800" i="115"/>
  <c r="E804" i="115"/>
  <c r="E808" i="115"/>
  <c r="B815" i="115"/>
  <c r="D830" i="115"/>
  <c r="B832" i="115"/>
  <c r="C842" i="115"/>
  <c r="B842" i="115"/>
  <c r="F844" i="115"/>
  <c r="C844" i="115"/>
  <c r="C857" i="115"/>
  <c r="B857" i="115"/>
  <c r="F858" i="115"/>
  <c r="C858" i="115"/>
  <c r="E871" i="115"/>
  <c r="B876" i="115"/>
  <c r="F876" i="115"/>
  <c r="E876" i="115"/>
  <c r="D876" i="115"/>
  <c r="D879" i="115"/>
  <c r="B892" i="115"/>
  <c r="F892" i="115"/>
  <c r="E892" i="115"/>
  <c r="D892" i="115"/>
  <c r="C892" i="115"/>
  <c r="B904" i="115"/>
  <c r="F904" i="115"/>
  <c r="E904" i="115"/>
  <c r="C904" i="115"/>
  <c r="B916" i="115"/>
  <c r="F916" i="115"/>
  <c r="E916" i="115"/>
  <c r="D916" i="115"/>
  <c r="C916" i="115"/>
  <c r="E987" i="115"/>
  <c r="C838" i="115"/>
  <c r="B838" i="115"/>
  <c r="C815" i="115"/>
  <c r="E830" i="115"/>
  <c r="C832" i="115"/>
  <c r="D842" i="115"/>
  <c r="B844" i="115"/>
  <c r="E855" i="115"/>
  <c r="D857" i="115"/>
  <c r="B858" i="115"/>
  <c r="B872" i="115"/>
  <c r="F872" i="115"/>
  <c r="C872" i="115"/>
  <c r="C876" i="115"/>
  <c r="E879" i="115"/>
  <c r="D893" i="115"/>
  <c r="B893" i="115"/>
  <c r="E893" i="115"/>
  <c r="D904" i="115"/>
  <c r="B920" i="115"/>
  <c r="F920" i="115"/>
  <c r="E920" i="115"/>
  <c r="D920" i="115"/>
  <c r="C920" i="115"/>
  <c r="C975" i="115"/>
  <c r="B975" i="115"/>
  <c r="E975" i="115"/>
  <c r="F975" i="115"/>
  <c r="F878" i="115"/>
  <c r="D878" i="115"/>
  <c r="E878" i="115"/>
  <c r="C878" i="115"/>
  <c r="B878" i="115"/>
  <c r="C812" i="115"/>
  <c r="F815" i="115"/>
  <c r="F830" i="115"/>
  <c r="D832" i="115"/>
  <c r="C834" i="115"/>
  <c r="B834" i="115"/>
  <c r="E842" i="115"/>
  <c r="D844" i="115"/>
  <c r="C846" i="115"/>
  <c r="B846" i="115"/>
  <c r="F848" i="115"/>
  <c r="C848" i="115"/>
  <c r="E857" i="115"/>
  <c r="D858" i="115"/>
  <c r="F862" i="115"/>
  <c r="C862" i="115"/>
  <c r="D877" i="115"/>
  <c r="B877" i="115"/>
  <c r="E877" i="115"/>
  <c r="B888" i="115"/>
  <c r="F888" i="115"/>
  <c r="E888" i="115"/>
  <c r="C888" i="115"/>
  <c r="B923" i="115"/>
  <c r="F923" i="115"/>
  <c r="E923" i="115"/>
  <c r="D923" i="115"/>
  <c r="C923" i="115"/>
  <c r="F981" i="115"/>
  <c r="E981" i="115"/>
  <c r="D981" i="115"/>
  <c r="C981" i="115"/>
  <c r="B981" i="115"/>
  <c r="B935" i="115"/>
  <c r="F935" i="115"/>
  <c r="E935" i="115"/>
  <c r="D935" i="115"/>
  <c r="C935" i="115"/>
  <c r="C814" i="115"/>
  <c r="B814" i="115"/>
  <c r="E831" i="115"/>
  <c r="D831" i="115"/>
  <c r="E832" i="115"/>
  <c r="E843" i="115"/>
  <c r="D843" i="115"/>
  <c r="C849" i="115"/>
  <c r="B849" i="115"/>
  <c r="F851" i="115"/>
  <c r="C851" i="115"/>
  <c r="D885" i="115"/>
  <c r="B885" i="115"/>
  <c r="F885" i="115"/>
  <c r="E885" i="115"/>
  <c r="C885" i="115"/>
  <c r="F874" i="115"/>
  <c r="D874" i="115"/>
  <c r="E884" i="115"/>
  <c r="F890" i="115"/>
  <c r="D890" i="115"/>
  <c r="D897" i="115"/>
  <c r="B897" i="115"/>
  <c r="F906" i="115"/>
  <c r="D906" i="115"/>
  <c r="B941" i="115"/>
  <c r="F941" i="115"/>
  <c r="D941" i="115"/>
  <c r="F910" i="115"/>
  <c r="D910" i="115"/>
  <c r="C910" i="115"/>
  <c r="F925" i="115"/>
  <c r="D925" i="115"/>
  <c r="C925" i="115"/>
  <c r="F933" i="115"/>
  <c r="D933" i="115"/>
  <c r="C933" i="115"/>
  <c r="F937" i="115"/>
  <c r="D937" i="115"/>
  <c r="C937" i="115"/>
  <c r="D847" i="115"/>
  <c r="D850" i="115"/>
  <c r="D854" i="115"/>
  <c r="E874" i="115"/>
  <c r="D883" i="115"/>
  <c r="E890" i="115"/>
  <c r="F897" i="115"/>
  <c r="E906" i="115"/>
  <c r="B910" i="115"/>
  <c r="B925" i="115"/>
  <c r="B933" i="115"/>
  <c r="B937" i="115"/>
  <c r="F959" i="115"/>
  <c r="E959" i="115"/>
  <c r="D959" i="115"/>
  <c r="B959" i="115"/>
  <c r="F977" i="115"/>
  <c r="E977" i="115"/>
  <c r="C977" i="115"/>
  <c r="F989" i="115"/>
  <c r="E989" i="115"/>
  <c r="D989" i="115"/>
  <c r="B989" i="115"/>
  <c r="D873" i="115"/>
  <c r="B873" i="115"/>
  <c r="C880" i="115"/>
  <c r="E883" i="115"/>
  <c r="D889" i="115"/>
  <c r="B889" i="115"/>
  <c r="C896" i="115"/>
  <c r="D905" i="115"/>
  <c r="B905" i="115"/>
  <c r="E910" i="115"/>
  <c r="E925" i="115"/>
  <c r="E933" i="115"/>
  <c r="E937" i="115"/>
  <c r="C959" i="115"/>
  <c r="B977" i="115"/>
  <c r="C979" i="115"/>
  <c r="B979" i="115"/>
  <c r="F979" i="115"/>
  <c r="E979" i="115"/>
  <c r="D979" i="115"/>
  <c r="C989" i="115"/>
  <c r="C1043" i="115"/>
  <c r="B1043" i="115"/>
  <c r="F1043" i="115"/>
  <c r="E1043" i="115"/>
  <c r="D1043" i="115"/>
  <c r="F911" i="115"/>
  <c r="E911" i="115"/>
  <c r="F919" i="115"/>
  <c r="E919" i="115"/>
  <c r="F922" i="115"/>
  <c r="E922" i="115"/>
  <c r="F934" i="115"/>
  <c r="E934" i="115"/>
  <c r="D938" i="115"/>
  <c r="F938" i="115"/>
  <c r="E961" i="115"/>
  <c r="D961" i="115"/>
  <c r="C961" i="115"/>
  <c r="E964" i="115"/>
  <c r="D964" i="115"/>
  <c r="F964" i="115"/>
  <c r="C964" i="115"/>
  <c r="B964" i="115"/>
  <c r="E992" i="115"/>
  <c r="D992" i="115"/>
  <c r="C992" i="115"/>
  <c r="F1041" i="115"/>
  <c r="D1041" i="115"/>
  <c r="C1041" i="115"/>
  <c r="B1041" i="115"/>
  <c r="E1041" i="115"/>
  <c r="E954" i="115"/>
  <c r="D954" i="115"/>
  <c r="E955" i="115"/>
  <c r="C967" i="115"/>
  <c r="B967" i="115"/>
  <c r="E984" i="115"/>
  <c r="D984" i="115"/>
  <c r="C999" i="115"/>
  <c r="B999" i="115"/>
  <c r="F1045" i="115"/>
  <c r="D1045" i="115"/>
  <c r="C1045" i="115"/>
  <c r="B1045" i="115"/>
  <c r="C1047" i="115"/>
  <c r="B1047" i="115"/>
  <c r="F1047" i="115"/>
  <c r="C940" i="115"/>
  <c r="C946" i="115"/>
  <c r="D949" i="115"/>
  <c r="C954" i="115"/>
  <c r="E967" i="115"/>
  <c r="E976" i="115"/>
  <c r="D976" i="115"/>
  <c r="C984" i="115"/>
  <c r="C991" i="115"/>
  <c r="B991" i="115"/>
  <c r="E999" i="115"/>
  <c r="E1047" i="115"/>
  <c r="B909" i="115"/>
  <c r="B913" i="115"/>
  <c r="B921" i="115"/>
  <c r="B924" i="115"/>
  <c r="B936" i="115"/>
  <c r="D940" i="115"/>
  <c r="E946" i="115"/>
  <c r="B948" i="115"/>
  <c r="E949" i="115"/>
  <c r="F954" i="115"/>
  <c r="E958" i="115"/>
  <c r="D958" i="115"/>
  <c r="B962" i="115"/>
  <c r="F967" i="115"/>
  <c r="B976" i="115"/>
  <c r="F984" i="115"/>
  <c r="E988" i="115"/>
  <c r="D988" i="115"/>
  <c r="D991" i="115"/>
  <c r="B993" i="115"/>
  <c r="F999" i="115"/>
  <c r="F1033" i="115"/>
  <c r="D1033" i="115"/>
  <c r="C1033" i="115"/>
  <c r="B1033" i="115"/>
  <c r="C953" i="115"/>
  <c r="B953" i="115"/>
  <c r="C983" i="115"/>
  <c r="B983" i="115"/>
  <c r="C1031" i="115"/>
  <c r="B1031" i="115"/>
  <c r="F1031" i="115"/>
  <c r="C939" i="115"/>
  <c r="E950" i="115"/>
  <c r="D950" i="115"/>
  <c r="D953" i="115"/>
  <c r="B955" i="115"/>
  <c r="C958" i="115"/>
  <c r="D962" i="115"/>
  <c r="C963" i="115"/>
  <c r="B963" i="115"/>
  <c r="F976" i="115"/>
  <c r="E980" i="115"/>
  <c r="D980" i="115"/>
  <c r="D983" i="115"/>
  <c r="C988" i="115"/>
  <c r="F991" i="115"/>
  <c r="D993" i="115"/>
  <c r="D1031" i="115"/>
  <c r="D1028" i="115"/>
  <c r="D1032" i="115"/>
  <c r="D1040" i="115"/>
  <c r="D1044" i="115"/>
  <c r="D1048" i="115"/>
  <c r="B641" i="115"/>
  <c r="B645" i="115"/>
  <c r="B653" i="115"/>
  <c r="B657" i="115"/>
  <c r="B661" i="115"/>
  <c r="B665" i="115"/>
  <c r="B669" i="115"/>
  <c r="B676" i="115"/>
  <c r="B680" i="115"/>
  <c r="B685" i="115"/>
  <c r="B688" i="115"/>
  <c r="B692" i="115"/>
  <c r="B712" i="115"/>
  <c r="B718" i="115"/>
  <c r="C641" i="115"/>
  <c r="C645" i="115"/>
  <c r="C653" i="115"/>
  <c r="C657" i="115"/>
  <c r="C661" i="115"/>
  <c r="C665" i="115"/>
  <c r="C669" i="115"/>
  <c r="C676" i="115"/>
  <c r="C680" i="115"/>
  <c r="C685" i="115"/>
  <c r="C688" i="115"/>
  <c r="C692" i="115"/>
  <c r="C712" i="115"/>
  <c r="C718" i="115"/>
  <c r="D641" i="115"/>
  <c r="D645" i="115"/>
  <c r="D653" i="115"/>
  <c r="D657" i="115"/>
  <c r="D661" i="115"/>
  <c r="D665" i="115"/>
  <c r="D669" i="115"/>
  <c r="D676" i="115"/>
  <c r="D680" i="115"/>
  <c r="D685" i="115"/>
  <c r="D688" i="115"/>
  <c r="D692" i="115"/>
  <c r="D712" i="115"/>
  <c r="D718" i="115"/>
  <c r="E641" i="115"/>
  <c r="C644" i="115"/>
  <c r="E645" i="115"/>
  <c r="C648" i="115"/>
  <c r="C652" i="115"/>
  <c r="E653" i="115"/>
  <c r="C656" i="115"/>
  <c r="E657" i="115"/>
  <c r="E661" i="115"/>
  <c r="C664" i="115"/>
  <c r="E665" i="115"/>
  <c r="C668" i="115"/>
  <c r="E669" i="115"/>
  <c r="C672" i="115"/>
  <c r="E676" i="115"/>
  <c r="C679" i="115"/>
  <c r="E680" i="115"/>
  <c r="C683" i="115"/>
  <c r="E685" i="115"/>
  <c r="C687" i="115"/>
  <c r="E688" i="115"/>
  <c r="C691" i="115"/>
  <c r="E692" i="115"/>
  <c r="C695" i="115"/>
  <c r="C701" i="115"/>
  <c r="C709" i="115"/>
  <c r="C711" i="115"/>
  <c r="E712" i="115"/>
  <c r="C714" i="115"/>
  <c r="C717" i="115"/>
  <c r="E718" i="115"/>
  <c r="B643" i="115"/>
  <c r="D644" i="115"/>
  <c r="B647" i="115"/>
  <c r="D648" i="115"/>
  <c r="B651" i="115"/>
  <c r="D652" i="115"/>
  <c r="B655" i="115"/>
  <c r="D656" i="115"/>
  <c r="B663" i="115"/>
  <c r="D664" i="115"/>
  <c r="B667" i="115"/>
  <c r="D668" i="115"/>
  <c r="B671" i="115"/>
  <c r="D672" i="115"/>
  <c r="B675" i="115"/>
  <c r="B678" i="115"/>
  <c r="D679" i="115"/>
  <c r="B681" i="115"/>
  <c r="D683" i="115"/>
  <c r="B686" i="115"/>
  <c r="D687" i="115"/>
  <c r="D691" i="115"/>
  <c r="D695" i="115"/>
  <c r="B697" i="115"/>
  <c r="B700" i="115"/>
  <c r="D701" i="115"/>
  <c r="D709" i="115"/>
  <c r="B710" i="115"/>
  <c r="D711" i="115"/>
  <c r="B713" i="115"/>
  <c r="D714" i="115"/>
  <c r="B716" i="115"/>
  <c r="D717" i="115"/>
  <c r="B720" i="115"/>
  <c r="E135" i="115"/>
  <c r="F142" i="115"/>
  <c r="D142" i="115"/>
  <c r="B142" i="115"/>
  <c r="F202" i="115"/>
  <c r="E202" i="115"/>
  <c r="D202" i="115"/>
  <c r="C202" i="115"/>
  <c r="B202" i="115"/>
  <c r="F258" i="115"/>
  <c r="E258" i="115"/>
  <c r="D258" i="115"/>
  <c r="C258" i="115"/>
  <c r="B258" i="115"/>
  <c r="F281" i="115"/>
  <c r="E281" i="115"/>
  <c r="D281" i="115"/>
  <c r="C281" i="115"/>
  <c r="B281" i="115"/>
  <c r="C14" i="115"/>
  <c r="C18" i="115"/>
  <c r="C22" i="115"/>
  <c r="C26" i="115"/>
  <c r="C30" i="115"/>
  <c r="C34" i="115"/>
  <c r="C46" i="115"/>
  <c r="C50" i="115"/>
  <c r="C62" i="115"/>
  <c r="C66" i="115"/>
  <c r="C69" i="115"/>
  <c r="C73" i="115"/>
  <c r="C75" i="115"/>
  <c r="C87" i="115"/>
  <c r="C91" i="115"/>
  <c r="C95" i="115"/>
  <c r="C98" i="115"/>
  <c r="C108" i="115"/>
  <c r="C112" i="115"/>
  <c r="C120" i="115"/>
  <c r="C124" i="115"/>
  <c r="C132" i="115"/>
  <c r="E133" i="115"/>
  <c r="F140" i="115"/>
  <c r="D140" i="115"/>
  <c r="B140" i="115"/>
  <c r="C142" i="115"/>
  <c r="F203" i="115"/>
  <c r="E203" i="115"/>
  <c r="D203" i="115"/>
  <c r="F214" i="115"/>
  <c r="E214" i="115"/>
  <c r="D214" i="115"/>
  <c r="C214" i="115"/>
  <c r="B214" i="115"/>
  <c r="F261" i="115"/>
  <c r="E261" i="115"/>
  <c r="D261" i="115"/>
  <c r="C261" i="115"/>
  <c r="B261" i="115"/>
  <c r="B134" i="115"/>
  <c r="F134" i="115"/>
  <c r="F136" i="115"/>
  <c r="D136" i="115"/>
  <c r="B136" i="115"/>
  <c r="F215" i="115"/>
  <c r="E215" i="115"/>
  <c r="D215" i="115"/>
  <c r="F265" i="115"/>
  <c r="E265" i="115"/>
  <c r="D265" i="115"/>
  <c r="C265" i="115"/>
  <c r="B265" i="115"/>
  <c r="F401" i="115"/>
  <c r="C401" i="115"/>
  <c r="E401" i="115"/>
  <c r="B401" i="115"/>
  <c r="D401" i="115"/>
  <c r="E14" i="115"/>
  <c r="E18" i="115"/>
  <c r="E22" i="115"/>
  <c r="E26" i="115"/>
  <c r="E30" i="115"/>
  <c r="E34" i="115"/>
  <c r="E46" i="115"/>
  <c r="E50" i="115"/>
  <c r="E62" i="115"/>
  <c r="E66" i="115"/>
  <c r="E69" i="115"/>
  <c r="E73" i="115"/>
  <c r="E75" i="115"/>
  <c r="E87" i="115"/>
  <c r="E91" i="115"/>
  <c r="E95" i="115"/>
  <c r="E98" i="115"/>
  <c r="E108" i="115"/>
  <c r="E112" i="115"/>
  <c r="E120" i="115"/>
  <c r="E124" i="115"/>
  <c r="E132" i="115"/>
  <c r="C134" i="115"/>
  <c r="C136" i="115"/>
  <c r="F143" i="115"/>
  <c r="D143" i="115"/>
  <c r="B215" i="115"/>
  <c r="B12" i="115"/>
  <c r="B16" i="115"/>
  <c r="B20" i="115"/>
  <c r="B24" i="115"/>
  <c r="B28" i="115"/>
  <c r="B32" i="115"/>
  <c r="B36" i="115"/>
  <c r="B44" i="115"/>
  <c r="B48" i="115"/>
  <c r="B52" i="115"/>
  <c r="B56" i="115"/>
  <c r="B57" i="115"/>
  <c r="B60" i="115"/>
  <c r="B71" i="115"/>
  <c r="B77" i="115"/>
  <c r="B85" i="115"/>
  <c r="B89" i="115"/>
  <c r="B100" i="115"/>
  <c r="B106" i="115"/>
  <c r="B110" i="115"/>
  <c r="B122" i="115"/>
  <c r="B126" i="115"/>
  <c r="B130" i="115"/>
  <c r="D134" i="115"/>
  <c r="E136" i="115"/>
  <c r="D141" i="115"/>
  <c r="B141" i="115"/>
  <c r="B143" i="115"/>
  <c r="F207" i="115"/>
  <c r="E207" i="115"/>
  <c r="D207" i="115"/>
  <c r="C215" i="115"/>
  <c r="F218" i="115"/>
  <c r="E218" i="115"/>
  <c r="D218" i="115"/>
  <c r="C218" i="115"/>
  <c r="B218" i="115"/>
  <c r="B398" i="115"/>
  <c r="E398" i="115"/>
  <c r="F398" i="115"/>
  <c r="C398" i="115"/>
  <c r="D398" i="115"/>
  <c r="C122" i="115"/>
  <c r="C126" i="115"/>
  <c r="C130" i="115"/>
  <c r="E134" i="115"/>
  <c r="D139" i="115"/>
  <c r="B139" i="115"/>
  <c r="C141" i="115"/>
  <c r="C143" i="115"/>
  <c r="F198" i="115"/>
  <c r="E198" i="115"/>
  <c r="D198" i="115"/>
  <c r="C198" i="115"/>
  <c r="B198" i="115"/>
  <c r="B207" i="115"/>
  <c r="F219" i="115"/>
  <c r="E219" i="115"/>
  <c r="D219" i="115"/>
  <c r="F246" i="115"/>
  <c r="E246" i="115"/>
  <c r="D246" i="115"/>
  <c r="C246" i="115"/>
  <c r="B246" i="115"/>
  <c r="F275" i="115"/>
  <c r="E275" i="115"/>
  <c r="D275" i="115"/>
  <c r="C275" i="115"/>
  <c r="B275" i="115"/>
  <c r="D135" i="115"/>
  <c r="B135" i="115"/>
  <c r="F199" i="115"/>
  <c r="E199" i="115"/>
  <c r="D199" i="115"/>
  <c r="F210" i="115"/>
  <c r="E210" i="115"/>
  <c r="D210" i="115"/>
  <c r="C210" i="115"/>
  <c r="B210" i="115"/>
  <c r="F250" i="115"/>
  <c r="E250" i="115"/>
  <c r="D250" i="115"/>
  <c r="C250" i="115"/>
  <c r="B250" i="115"/>
  <c r="C135" i="115"/>
  <c r="B199" i="115"/>
  <c r="F211" i="115"/>
  <c r="E211" i="115"/>
  <c r="D211" i="115"/>
  <c r="F231" i="115"/>
  <c r="E231" i="115"/>
  <c r="D231" i="115"/>
  <c r="C231" i="115"/>
  <c r="F254" i="115"/>
  <c r="E254" i="115"/>
  <c r="D254" i="115"/>
  <c r="C254" i="115"/>
  <c r="B254" i="115"/>
  <c r="F370" i="115"/>
  <c r="D370" i="115"/>
  <c r="B370" i="115"/>
  <c r="E370" i="115"/>
  <c r="C370" i="115"/>
  <c r="D293" i="115"/>
  <c r="B293" i="115"/>
  <c r="F293" i="115"/>
  <c r="D373" i="115"/>
  <c r="B373" i="115"/>
  <c r="F373" i="115"/>
  <c r="D381" i="115"/>
  <c r="B381" i="115"/>
  <c r="F381" i="115"/>
  <c r="B287" i="115"/>
  <c r="F287" i="115"/>
  <c r="D287" i="115"/>
  <c r="B376" i="115"/>
  <c r="F376" i="115"/>
  <c r="D376" i="115"/>
  <c r="F384" i="115"/>
  <c r="D384" i="115"/>
  <c r="B384" i="115"/>
  <c r="E384" i="115"/>
  <c r="F389" i="115"/>
  <c r="C389" i="115"/>
  <c r="E389" i="115"/>
  <c r="B389" i="115"/>
  <c r="D399" i="115"/>
  <c r="B399" i="115"/>
  <c r="F399" i="115"/>
  <c r="C399" i="115"/>
  <c r="B402" i="115"/>
  <c r="E402" i="115"/>
  <c r="F402" i="115"/>
  <c r="C402" i="115"/>
  <c r="F200" i="115"/>
  <c r="F204" i="115"/>
  <c r="F212" i="115"/>
  <c r="F216" i="115"/>
  <c r="F220" i="115"/>
  <c r="B225" i="115"/>
  <c r="F226" i="115"/>
  <c r="B228" i="115"/>
  <c r="F229" i="115"/>
  <c r="B230" i="115"/>
  <c r="B233" i="115"/>
  <c r="B245" i="115"/>
  <c r="F247" i="115"/>
  <c r="B249" i="115"/>
  <c r="F251" i="115"/>
  <c r="F255" i="115"/>
  <c r="B257" i="115"/>
  <c r="B260" i="115"/>
  <c r="F262" i="115"/>
  <c r="B264" i="115"/>
  <c r="F266" i="115"/>
  <c r="B268" i="115"/>
  <c r="F269" i="115"/>
  <c r="B271" i="115"/>
  <c r="B274" i="115"/>
  <c r="F276" i="115"/>
  <c r="B278" i="115"/>
  <c r="F279" i="115"/>
  <c r="F282" i="115"/>
  <c r="C287" i="115"/>
  <c r="E293" i="115"/>
  <c r="F371" i="115"/>
  <c r="D371" i="115"/>
  <c r="B371" i="115"/>
  <c r="E373" i="115"/>
  <c r="C376" i="115"/>
  <c r="F379" i="115"/>
  <c r="D379" i="115"/>
  <c r="B379" i="115"/>
  <c r="E381" i="115"/>
  <c r="C384" i="115"/>
  <c r="D389" i="115"/>
  <c r="E399" i="115"/>
  <c r="D402" i="115"/>
  <c r="C225" i="115"/>
  <c r="C228" i="115"/>
  <c r="C230" i="115"/>
  <c r="C233" i="115"/>
  <c r="C245" i="115"/>
  <c r="C249" i="115"/>
  <c r="C257" i="115"/>
  <c r="C260" i="115"/>
  <c r="C264" i="115"/>
  <c r="C268" i="115"/>
  <c r="C271" i="115"/>
  <c r="C274" i="115"/>
  <c r="C278" i="115"/>
  <c r="F285" i="115"/>
  <c r="D285" i="115"/>
  <c r="B285" i="115"/>
  <c r="E287" i="115"/>
  <c r="F374" i="115"/>
  <c r="D374" i="115"/>
  <c r="B374" i="115"/>
  <c r="E376" i="115"/>
  <c r="F382" i="115"/>
  <c r="D382" i="115"/>
  <c r="B382" i="115"/>
  <c r="F385" i="115"/>
  <c r="D385" i="115"/>
  <c r="B385" i="115"/>
  <c r="D387" i="115"/>
  <c r="B387" i="115"/>
  <c r="F387" i="115"/>
  <c r="C387" i="115"/>
  <c r="B390" i="115"/>
  <c r="E390" i="115"/>
  <c r="F390" i="115"/>
  <c r="C390" i="115"/>
  <c r="F393" i="115"/>
  <c r="C393" i="115"/>
  <c r="E393" i="115"/>
  <c r="B393" i="115"/>
  <c r="B197" i="115"/>
  <c r="B201" i="115"/>
  <c r="B209" i="115"/>
  <c r="B213" i="115"/>
  <c r="B217" i="115"/>
  <c r="B221" i="115"/>
  <c r="B224" i="115"/>
  <c r="D225" i="115"/>
  <c r="B227" i="115"/>
  <c r="D228" i="115"/>
  <c r="D230" i="115"/>
  <c r="B232" i="115"/>
  <c r="D233" i="115"/>
  <c r="B236" i="115"/>
  <c r="B244" i="115"/>
  <c r="D245" i="115"/>
  <c r="B248" i="115"/>
  <c r="D249" i="115"/>
  <c r="B256" i="115"/>
  <c r="D257" i="115"/>
  <c r="B259" i="115"/>
  <c r="D260" i="115"/>
  <c r="B263" i="115"/>
  <c r="D264" i="115"/>
  <c r="B267" i="115"/>
  <c r="D268" i="115"/>
  <c r="B270" i="115"/>
  <c r="D271" i="115"/>
  <c r="D274" i="115"/>
  <c r="B277" i="115"/>
  <c r="D278" i="115"/>
  <c r="B280" i="115"/>
  <c r="C285" i="115"/>
  <c r="D288" i="115"/>
  <c r="B288" i="115"/>
  <c r="F288" i="115"/>
  <c r="D369" i="115"/>
  <c r="B369" i="115"/>
  <c r="F369" i="115"/>
  <c r="E371" i="115"/>
  <c r="C374" i="115"/>
  <c r="E379" i="115"/>
  <c r="C382" i="115"/>
  <c r="C385" i="115"/>
  <c r="E387" i="115"/>
  <c r="D390" i="115"/>
  <c r="D393" i="115"/>
  <c r="C197" i="115"/>
  <c r="C201" i="115"/>
  <c r="C209" i="115"/>
  <c r="C213" i="115"/>
  <c r="C217" i="115"/>
  <c r="C221" i="115"/>
  <c r="C224" i="115"/>
  <c r="E225" i="115"/>
  <c r="C227" i="115"/>
  <c r="E228" i="115"/>
  <c r="E230" i="115"/>
  <c r="C232" i="115"/>
  <c r="E233" i="115"/>
  <c r="C236" i="115"/>
  <c r="C244" i="115"/>
  <c r="E245" i="115"/>
  <c r="C248" i="115"/>
  <c r="E249" i="115"/>
  <c r="C256" i="115"/>
  <c r="E257" i="115"/>
  <c r="C259" i="115"/>
  <c r="E260" i="115"/>
  <c r="C263" i="115"/>
  <c r="E264" i="115"/>
  <c r="C267" i="115"/>
  <c r="E268" i="115"/>
  <c r="C270" i="115"/>
  <c r="E271" i="115"/>
  <c r="E274" i="115"/>
  <c r="C277" i="115"/>
  <c r="E278" i="115"/>
  <c r="C280" i="115"/>
  <c r="E285" i="115"/>
  <c r="B291" i="115"/>
  <c r="F291" i="115"/>
  <c r="D291" i="115"/>
  <c r="B372" i="115"/>
  <c r="F372" i="115"/>
  <c r="D372" i="115"/>
  <c r="E374" i="115"/>
  <c r="B380" i="115"/>
  <c r="F380" i="115"/>
  <c r="D380" i="115"/>
  <c r="E382" i="115"/>
  <c r="E385" i="115"/>
  <c r="D391" i="115"/>
  <c r="B391" i="115"/>
  <c r="F391" i="115"/>
  <c r="C391" i="115"/>
  <c r="F397" i="115"/>
  <c r="C397" i="115"/>
  <c r="E397" i="115"/>
  <c r="B397" i="115"/>
  <c r="C404" i="115"/>
  <c r="B404" i="115"/>
  <c r="E404" i="115"/>
  <c r="D404" i="115"/>
  <c r="F286" i="115"/>
  <c r="D286" i="115"/>
  <c r="B286" i="115"/>
  <c r="C291" i="115"/>
  <c r="C372" i="115"/>
  <c r="F375" i="115"/>
  <c r="D375" i="115"/>
  <c r="B375" i="115"/>
  <c r="C380" i="115"/>
  <c r="F383" i="115"/>
  <c r="D383" i="115"/>
  <c r="B383" i="115"/>
  <c r="E391" i="115"/>
  <c r="D397" i="115"/>
  <c r="C412" i="115"/>
  <c r="B412" i="115"/>
  <c r="E412" i="115"/>
  <c r="D412" i="115"/>
  <c r="E409" i="115"/>
  <c r="D409" i="115"/>
  <c r="B409" i="115"/>
  <c r="E405" i="115"/>
  <c r="D405" i="115"/>
  <c r="B405" i="115"/>
  <c r="F405" i="115"/>
  <c r="E417" i="115"/>
  <c r="D417" i="115"/>
  <c r="B417" i="115"/>
  <c r="E413" i="115"/>
  <c r="D413" i="115"/>
  <c r="B413" i="115"/>
  <c r="F417" i="115"/>
  <c r="C403" i="115"/>
  <c r="C419" i="115"/>
  <c r="C427" i="115"/>
  <c r="F490" i="115"/>
  <c r="C499" i="115"/>
  <c r="F511" i="115"/>
  <c r="E511" i="115"/>
  <c r="C515" i="115"/>
  <c r="F522" i="115"/>
  <c r="E522" i="115"/>
  <c r="D522" i="115"/>
  <c r="C522" i="115"/>
  <c r="F526" i="115"/>
  <c r="E526" i="115"/>
  <c r="F561" i="115"/>
  <c r="D561" i="115"/>
  <c r="C561" i="115"/>
  <c r="B561" i="115"/>
  <c r="F491" i="115"/>
  <c r="F503" i="115"/>
  <c r="E503" i="115"/>
  <c r="D503" i="115"/>
  <c r="C503" i="115"/>
  <c r="F518" i="115"/>
  <c r="E518" i="115"/>
  <c r="D518" i="115"/>
  <c r="C518" i="115"/>
  <c r="F531" i="115"/>
  <c r="E531" i="115"/>
  <c r="D531" i="115"/>
  <c r="C531" i="115"/>
  <c r="F535" i="115"/>
  <c r="E535" i="115"/>
  <c r="F545" i="115"/>
  <c r="E545" i="115"/>
  <c r="D545" i="115"/>
  <c r="C545" i="115"/>
  <c r="D388" i="115"/>
  <c r="D392" i="115"/>
  <c r="D396" i="115"/>
  <c r="D400" i="115"/>
  <c r="D406" i="115"/>
  <c r="D414" i="115"/>
  <c r="D418" i="115"/>
  <c r="B503" i="115"/>
  <c r="D511" i="115"/>
  <c r="B518" i="115"/>
  <c r="D526" i="115"/>
  <c r="B531" i="115"/>
  <c r="B535" i="115"/>
  <c r="B545" i="115"/>
  <c r="F498" i="115"/>
  <c r="E498" i="115"/>
  <c r="D498" i="115"/>
  <c r="C498" i="115"/>
  <c r="F504" i="115"/>
  <c r="E504" i="115"/>
  <c r="F514" i="115"/>
  <c r="E514" i="115"/>
  <c r="D514" i="115"/>
  <c r="C514" i="115"/>
  <c r="F519" i="115"/>
  <c r="E519" i="115"/>
  <c r="F532" i="115"/>
  <c r="E532" i="115"/>
  <c r="F541" i="115"/>
  <c r="E541" i="115"/>
  <c r="D541" i="115"/>
  <c r="C541" i="115"/>
  <c r="F557" i="115"/>
  <c r="D557" i="115"/>
  <c r="C557" i="115"/>
  <c r="B557" i="115"/>
  <c r="B498" i="115"/>
  <c r="B504" i="115"/>
  <c r="B514" i="115"/>
  <c r="B519" i="115"/>
  <c r="B532" i="115"/>
  <c r="D535" i="115"/>
  <c r="B541" i="115"/>
  <c r="F499" i="115"/>
  <c r="E499" i="115"/>
  <c r="C504" i="115"/>
  <c r="F515" i="115"/>
  <c r="E515" i="115"/>
  <c r="C519" i="115"/>
  <c r="F525" i="115"/>
  <c r="E525" i="115"/>
  <c r="D525" i="115"/>
  <c r="C525" i="115"/>
  <c r="F529" i="115"/>
  <c r="E529" i="115"/>
  <c r="C532" i="115"/>
  <c r="B565" i="115"/>
  <c r="B572" i="115"/>
  <c r="B580" i="115"/>
  <c r="C565" i="115"/>
  <c r="C572" i="115"/>
  <c r="C580" i="115"/>
  <c r="B502" i="115"/>
  <c r="B506" i="115"/>
  <c r="B510" i="115"/>
  <c r="B513" i="115"/>
  <c r="B517" i="115"/>
  <c r="B521" i="115"/>
  <c r="B528" i="115"/>
  <c r="B534" i="115"/>
  <c r="B544" i="115"/>
  <c r="B560" i="115"/>
  <c r="B564" i="115"/>
  <c r="D565" i="115"/>
  <c r="B571" i="115"/>
  <c r="D572" i="115"/>
  <c r="B579" i="115"/>
  <c r="D580" i="115"/>
  <c r="C502" i="115"/>
  <c r="C506" i="115"/>
  <c r="C510" i="115"/>
  <c r="C513" i="115"/>
  <c r="C517" i="115"/>
  <c r="C521" i="115"/>
  <c r="C528" i="115"/>
  <c r="C534" i="115"/>
  <c r="C544" i="115"/>
  <c r="C560" i="115"/>
  <c r="C564" i="115"/>
  <c r="C571" i="115"/>
  <c r="C579" i="115"/>
  <c r="C11" i="115"/>
  <c r="D11" i="115"/>
  <c r="C799" i="68"/>
  <c r="E760" i="68"/>
  <c r="D760" i="68"/>
  <c r="B760" i="68"/>
  <c r="F760" i="68"/>
  <c r="E770" i="68"/>
  <c r="D770" i="68"/>
  <c r="B770" i="68"/>
  <c r="F770" i="68"/>
  <c r="C760" i="68"/>
  <c r="C770" i="68"/>
  <c r="C757" i="68"/>
  <c r="B757" i="68"/>
  <c r="F757" i="68"/>
  <c r="E757" i="68"/>
  <c r="D757" i="68"/>
  <c r="C763" i="68"/>
  <c r="B763" i="68"/>
  <c r="F763" i="68"/>
  <c r="E763" i="68"/>
  <c r="D763" i="68"/>
  <c r="C767" i="68"/>
  <c r="B767" i="68"/>
  <c r="F767" i="68"/>
  <c r="E767" i="68"/>
  <c r="D767" i="68"/>
  <c r="E758" i="68"/>
  <c r="D758" i="68"/>
  <c r="B758" i="68"/>
  <c r="F758" i="68"/>
  <c r="E768" i="68"/>
  <c r="D768" i="68"/>
  <c r="B768" i="68"/>
  <c r="F768" i="68"/>
  <c r="B756" i="68"/>
  <c r="B759" i="68"/>
  <c r="B762" i="68"/>
  <c r="B766" i="68"/>
  <c r="B769" i="68"/>
  <c r="B774" i="68"/>
  <c r="B777" i="68"/>
  <c r="F830" i="68"/>
  <c r="F834" i="68"/>
  <c r="B836" i="68"/>
  <c r="D837" i="68"/>
  <c r="F838" i="68"/>
  <c r="B840" i="68"/>
  <c r="D841" i="68"/>
  <c r="F842" i="68"/>
  <c r="B844" i="68"/>
  <c r="D848" i="68"/>
  <c r="B850" i="68"/>
  <c r="D851" i="68"/>
  <c r="F852" i="68"/>
  <c r="B854" i="68"/>
  <c r="D855" i="68"/>
  <c r="F856" i="68"/>
  <c r="B857" i="68"/>
  <c r="D861" i="68"/>
  <c r="F862" i="68"/>
  <c r="B864" i="68"/>
  <c r="D865" i="68"/>
  <c r="D866" i="68"/>
  <c r="F867" i="68"/>
  <c r="B869" i="68"/>
  <c r="D870" i="68"/>
  <c r="F871" i="68"/>
  <c r="D873" i="68"/>
  <c r="F874" i="68"/>
  <c r="D881" i="68"/>
  <c r="F882" i="68"/>
  <c r="B884" i="68"/>
  <c r="D885" i="68"/>
  <c r="D895" i="68"/>
  <c r="D898" i="68"/>
  <c r="B907" i="68"/>
  <c r="D911" i="68"/>
  <c r="D914" i="68"/>
  <c r="D927" i="68"/>
  <c r="D929" i="68"/>
  <c r="D940" i="68"/>
  <c r="D943" i="68"/>
  <c r="E949" i="68"/>
  <c r="D952" i="68"/>
  <c r="B952" i="68"/>
  <c r="D955" i="68"/>
  <c r="F966" i="68"/>
  <c r="C966" i="68"/>
  <c r="D968" i="68"/>
  <c r="B968" i="68"/>
  <c r="D971" i="68"/>
  <c r="D978" i="68"/>
  <c r="E980" i="68"/>
  <c r="F982" i="68"/>
  <c r="C982" i="68"/>
  <c r="D984" i="68"/>
  <c r="B984" i="68"/>
  <c r="D987" i="68"/>
  <c r="D993" i="68"/>
  <c r="B996" i="68"/>
  <c r="E998" i="68"/>
  <c r="F1000" i="68"/>
  <c r="C1000" i="68"/>
  <c r="D1002" i="68"/>
  <c r="C1002" i="68"/>
  <c r="B1002" i="68"/>
  <c r="D1024" i="68"/>
  <c r="B1029" i="68"/>
  <c r="E1031" i="68"/>
  <c r="D1035" i="68"/>
  <c r="C1035" i="68"/>
  <c r="B1035" i="68"/>
  <c r="F1147" i="68"/>
  <c r="B1147" i="68"/>
  <c r="E1147" i="68"/>
  <c r="D1147" i="68"/>
  <c r="C1147" i="68"/>
  <c r="D1150" i="68"/>
  <c r="F1150" i="68"/>
  <c r="C1150" i="68"/>
  <c r="B1150" i="68"/>
  <c r="D1170" i="68"/>
  <c r="B1170" i="68"/>
  <c r="E1170" i="68"/>
  <c r="C1170" i="68"/>
  <c r="C756" i="68"/>
  <c r="C759" i="68"/>
  <c r="C762" i="68"/>
  <c r="C766" i="68"/>
  <c r="C769" i="68"/>
  <c r="C774" i="68"/>
  <c r="C777" i="68"/>
  <c r="C798" i="68"/>
  <c r="C813" i="68"/>
  <c r="C832" i="68"/>
  <c r="C836" i="68"/>
  <c r="E837" i="68"/>
  <c r="C840" i="68"/>
  <c r="E841" i="68"/>
  <c r="C844" i="68"/>
  <c r="E848" i="68"/>
  <c r="C850" i="68"/>
  <c r="E851" i="68"/>
  <c r="C854" i="68"/>
  <c r="E855" i="68"/>
  <c r="C857" i="68"/>
  <c r="E861" i="68"/>
  <c r="C864" i="68"/>
  <c r="E865" i="68"/>
  <c r="E866" i="68"/>
  <c r="C869" i="68"/>
  <c r="E870" i="68"/>
  <c r="E873" i="68"/>
  <c r="E881" i="68"/>
  <c r="C884" i="68"/>
  <c r="E885" i="68"/>
  <c r="B887" i="68"/>
  <c r="F895" i="68"/>
  <c r="E898" i="68"/>
  <c r="B900" i="68"/>
  <c r="C907" i="68"/>
  <c r="B910" i="68"/>
  <c r="F911" i="68"/>
  <c r="E914" i="68"/>
  <c r="B926" i="68"/>
  <c r="F927" i="68"/>
  <c r="E929" i="68"/>
  <c r="B931" i="68"/>
  <c r="B939" i="68"/>
  <c r="F940" i="68"/>
  <c r="E943" i="68"/>
  <c r="B948" i="68"/>
  <c r="F949" i="68"/>
  <c r="C952" i="68"/>
  <c r="B966" i="68"/>
  <c r="C968" i="68"/>
  <c r="B982" i="68"/>
  <c r="C984" i="68"/>
  <c r="B1000" i="68"/>
  <c r="E1002" i="68"/>
  <c r="E1035" i="68"/>
  <c r="F1037" i="68"/>
  <c r="C1037" i="68"/>
  <c r="D1039" i="68"/>
  <c r="C1039" i="68"/>
  <c r="B1039" i="68"/>
  <c r="F833" i="68"/>
  <c r="F837" i="68"/>
  <c r="F841" i="68"/>
  <c r="F848" i="68"/>
  <c r="F851" i="68"/>
  <c r="F855" i="68"/>
  <c r="F861" i="68"/>
  <c r="F865" i="68"/>
  <c r="F866" i="68"/>
  <c r="F870" i="68"/>
  <c r="F873" i="68"/>
  <c r="F881" i="68"/>
  <c r="F885" i="68"/>
  <c r="F898" i="68"/>
  <c r="F914" i="68"/>
  <c r="F929" i="68"/>
  <c r="F943" i="68"/>
  <c r="F954" i="68"/>
  <c r="C954" i="68"/>
  <c r="D956" i="68"/>
  <c r="B956" i="68"/>
  <c r="F970" i="68"/>
  <c r="C970" i="68"/>
  <c r="D972" i="68"/>
  <c r="B972" i="68"/>
  <c r="B979" i="68"/>
  <c r="E979" i="68"/>
  <c r="F986" i="68"/>
  <c r="C986" i="68"/>
  <c r="F1041" i="68"/>
  <c r="C1041" i="68"/>
  <c r="E1043" i="68"/>
  <c r="D1043" i="68"/>
  <c r="C1043" i="68"/>
  <c r="B1043" i="68"/>
  <c r="D1054" i="68"/>
  <c r="F1135" i="68"/>
  <c r="B1135" i="68"/>
  <c r="E1135" i="68"/>
  <c r="D1135" i="68"/>
  <c r="C1135" i="68"/>
  <c r="D1138" i="68"/>
  <c r="F1138" i="68"/>
  <c r="C1138" i="68"/>
  <c r="B1138" i="68"/>
  <c r="F1192" i="68"/>
  <c r="D1192" i="68"/>
  <c r="C1192" i="68"/>
  <c r="E1192" i="68"/>
  <c r="B1192" i="68"/>
  <c r="F1012" i="68"/>
  <c r="C1012" i="68"/>
  <c r="D1014" i="68"/>
  <c r="C1014" i="68"/>
  <c r="B1014" i="68"/>
  <c r="B1157" i="68"/>
  <c r="F1157" i="68"/>
  <c r="G1157" i="68" s="1"/>
  <c r="D1157" i="68"/>
  <c r="C1157" i="68"/>
  <c r="C1253" i="68"/>
  <c r="B1253" i="68"/>
  <c r="E1253" i="68"/>
  <c r="D1253" i="68"/>
  <c r="F1253" i="68"/>
  <c r="B838" i="68"/>
  <c r="B842" i="68"/>
  <c r="B852" i="68"/>
  <c r="B856" i="68"/>
  <c r="B862" i="68"/>
  <c r="B867" i="68"/>
  <c r="B871" i="68"/>
  <c r="B874" i="68"/>
  <c r="B882" i="68"/>
  <c r="B886" i="68"/>
  <c r="C896" i="68"/>
  <c r="B899" i="68"/>
  <c r="D906" i="68"/>
  <c r="F910" i="68"/>
  <c r="C912" i="68"/>
  <c r="B915" i="68"/>
  <c r="F926" i="68"/>
  <c r="B930" i="68"/>
  <c r="F939" i="68"/>
  <c r="C941" i="68"/>
  <c r="B944" i="68"/>
  <c r="F947" i="68"/>
  <c r="C947" i="68"/>
  <c r="F948" i="68"/>
  <c r="B951" i="68"/>
  <c r="E951" i="68"/>
  <c r="D954" i="68"/>
  <c r="E956" i="68"/>
  <c r="F958" i="68"/>
  <c r="C958" i="68"/>
  <c r="B967" i="68"/>
  <c r="E967" i="68"/>
  <c r="D970" i="68"/>
  <c r="E972" i="68"/>
  <c r="F974" i="68"/>
  <c r="C974" i="68"/>
  <c r="D979" i="68"/>
  <c r="B983" i="68"/>
  <c r="E983" i="68"/>
  <c r="D986" i="68"/>
  <c r="D991" i="68"/>
  <c r="B991" i="68"/>
  <c r="B1012" i="68"/>
  <c r="E1014" i="68"/>
  <c r="F1016" i="68"/>
  <c r="C1016" i="68"/>
  <c r="D1018" i="68"/>
  <c r="C1018" i="68"/>
  <c r="B1018" i="68"/>
  <c r="D1041" i="68"/>
  <c r="E1157" i="68"/>
  <c r="B1197" i="68"/>
  <c r="F1197" i="68"/>
  <c r="E1197" i="68"/>
  <c r="D1197" i="68"/>
  <c r="C1197" i="68"/>
  <c r="F1020" i="68"/>
  <c r="C1020" i="68"/>
  <c r="B1143" i="68"/>
  <c r="F1143" i="68"/>
  <c r="D1143" i="68"/>
  <c r="C1143" i="68"/>
  <c r="D1200" i="68"/>
  <c r="B1200" i="68"/>
  <c r="F1200" i="68"/>
  <c r="E1200" i="68"/>
  <c r="C1200" i="68"/>
  <c r="C1231" i="68"/>
  <c r="E1231" i="68"/>
  <c r="B1231" i="68"/>
  <c r="F1231" i="68"/>
  <c r="D1231" i="68"/>
  <c r="D1248" i="68"/>
  <c r="B1248" i="68"/>
  <c r="F1248" i="68"/>
  <c r="E1248" i="68"/>
  <c r="C1248" i="68"/>
  <c r="B837" i="68"/>
  <c r="D838" i="68"/>
  <c r="B841" i="68"/>
  <c r="D842" i="68"/>
  <c r="B848" i="68"/>
  <c r="B851" i="68"/>
  <c r="D852" i="68"/>
  <c r="B855" i="68"/>
  <c r="D856" i="68"/>
  <c r="B861" i="68"/>
  <c r="D862" i="68"/>
  <c r="B865" i="68"/>
  <c r="B866" i="68"/>
  <c r="D867" i="68"/>
  <c r="B870" i="68"/>
  <c r="D871" i="68"/>
  <c r="B873" i="68"/>
  <c r="D874" i="68"/>
  <c r="B881" i="68"/>
  <c r="D882" i="68"/>
  <c r="B885" i="68"/>
  <c r="B895" i="68"/>
  <c r="B911" i="68"/>
  <c r="B927" i="68"/>
  <c r="B940" i="68"/>
  <c r="C949" i="68"/>
  <c r="B955" i="68"/>
  <c r="E955" i="68"/>
  <c r="B971" i="68"/>
  <c r="E971" i="68"/>
  <c r="F978" i="68"/>
  <c r="C978" i="68"/>
  <c r="D980" i="68"/>
  <c r="B980" i="68"/>
  <c r="B987" i="68"/>
  <c r="E987" i="68"/>
  <c r="F993" i="68"/>
  <c r="C993" i="68"/>
  <c r="D995" i="68"/>
  <c r="C995" i="68"/>
  <c r="B995" i="68"/>
  <c r="F1024" i="68"/>
  <c r="C1024" i="68"/>
  <c r="D1027" i="68"/>
  <c r="C1027" i="68"/>
  <c r="B1027" i="68"/>
  <c r="B1230" i="68"/>
  <c r="F1230" i="68"/>
  <c r="D1230" i="68"/>
  <c r="C1230" i="68"/>
  <c r="E1230" i="68"/>
  <c r="F886" i="68"/>
  <c r="C895" i="68"/>
  <c r="B898" i="68"/>
  <c r="F899" i="68"/>
  <c r="C911" i="68"/>
  <c r="B914" i="68"/>
  <c r="F915" i="68"/>
  <c r="C927" i="68"/>
  <c r="B929" i="68"/>
  <c r="F930" i="68"/>
  <c r="C940" i="68"/>
  <c r="B943" i="68"/>
  <c r="F944" i="68"/>
  <c r="D949" i="68"/>
  <c r="C955" i="68"/>
  <c r="C971" i="68"/>
  <c r="B978" i="68"/>
  <c r="C980" i="68"/>
  <c r="C987" i="68"/>
  <c r="B993" i="68"/>
  <c r="E995" i="68"/>
  <c r="F996" i="68"/>
  <c r="C996" i="68"/>
  <c r="D998" i="68"/>
  <c r="C998" i="68"/>
  <c r="B998" i="68"/>
  <c r="D1020" i="68"/>
  <c r="B1024" i="68"/>
  <c r="E1027" i="68"/>
  <c r="F1029" i="68"/>
  <c r="C1029" i="68"/>
  <c r="D1031" i="68"/>
  <c r="C1031" i="68"/>
  <c r="B1031" i="68"/>
  <c r="B1131" i="68"/>
  <c r="F1131" i="68"/>
  <c r="D1131" i="68"/>
  <c r="C1131" i="68"/>
  <c r="E994" i="68"/>
  <c r="E997" i="68"/>
  <c r="E1001" i="68"/>
  <c r="E1013" i="68"/>
  <c r="E1017" i="68"/>
  <c r="E1026" i="68"/>
  <c r="E1030" i="68"/>
  <c r="E1038" i="68"/>
  <c r="E1042" i="68"/>
  <c r="C1045" i="68"/>
  <c r="E1046" i="68"/>
  <c r="C1120" i="68"/>
  <c r="F1121" i="68"/>
  <c r="C1123" i="68"/>
  <c r="F1124" i="68"/>
  <c r="C1126" i="68"/>
  <c r="F1132" i="68"/>
  <c r="E1134" i="68"/>
  <c r="C1136" i="68"/>
  <c r="F1145" i="68"/>
  <c r="B1145" i="68"/>
  <c r="F1146" i="68"/>
  <c r="C1148" i="68"/>
  <c r="F1168" i="68"/>
  <c r="D1168" i="68"/>
  <c r="F1180" i="68"/>
  <c r="D1180" i="68"/>
  <c r="C1180" i="68"/>
  <c r="B1185" i="68"/>
  <c r="F1185" i="68"/>
  <c r="E1185" i="68"/>
  <c r="D1190" i="68"/>
  <c r="B1190" i="68"/>
  <c r="C1228" i="68"/>
  <c r="E1228" i="68"/>
  <c r="B1228" i="68"/>
  <c r="F1228" i="68"/>
  <c r="B1133" i="68"/>
  <c r="F1133" i="68"/>
  <c r="F1164" i="68"/>
  <c r="D1164" i="68"/>
  <c r="D1166" i="68"/>
  <c r="B1166" i="68"/>
  <c r="D1178" i="68"/>
  <c r="B1178" i="68"/>
  <c r="F1198" i="68"/>
  <c r="D1198" i="68"/>
  <c r="C1198" i="68"/>
  <c r="B1202" i="68"/>
  <c r="F1202" i="68"/>
  <c r="E1202" i="68"/>
  <c r="D1207" i="68"/>
  <c r="B1207" i="68"/>
  <c r="C1218" i="68"/>
  <c r="E1218" i="68"/>
  <c r="B1218" i="68"/>
  <c r="F1188" i="68"/>
  <c r="D1188" i="68"/>
  <c r="C1188" i="68"/>
  <c r="B1244" i="68"/>
  <c r="F1244" i="68"/>
  <c r="D1244" i="68"/>
  <c r="C1244" i="68"/>
  <c r="C1246" i="68"/>
  <c r="E1246" i="68"/>
  <c r="B1246" i="68"/>
  <c r="C1122" i="68"/>
  <c r="D1125" i="68"/>
  <c r="D1133" i="68"/>
  <c r="B1137" i="68"/>
  <c r="F1137" i="68"/>
  <c r="B1149" i="68"/>
  <c r="F1149" i="68"/>
  <c r="C1154" i="68"/>
  <c r="C1164" i="68"/>
  <c r="E1166" i="68"/>
  <c r="F1176" i="68"/>
  <c r="D1176" i="68"/>
  <c r="C1176" i="68"/>
  <c r="E1178" i="68"/>
  <c r="B1181" i="68"/>
  <c r="F1181" i="68"/>
  <c r="E1181" i="68"/>
  <c r="D1186" i="68"/>
  <c r="B1186" i="68"/>
  <c r="B1188" i="68"/>
  <c r="E1198" i="68"/>
  <c r="D1202" i="68"/>
  <c r="E1207" i="68"/>
  <c r="B1210" i="68"/>
  <c r="F1210" i="68"/>
  <c r="E1210" i="68"/>
  <c r="F1218" i="68"/>
  <c r="F1236" i="68"/>
  <c r="D1236" i="68"/>
  <c r="B1236" i="68"/>
  <c r="E1244" i="68"/>
  <c r="D1246" i="68"/>
  <c r="E1122" i="68"/>
  <c r="E1125" i="68"/>
  <c r="E1133" i="68"/>
  <c r="F1151" i="68"/>
  <c r="B1151" i="68"/>
  <c r="E1154" i="68"/>
  <c r="E1164" i="68"/>
  <c r="F1166" i="68"/>
  <c r="B1169" i="68"/>
  <c r="F1169" i="68"/>
  <c r="E1169" i="68"/>
  <c r="D1174" i="68"/>
  <c r="B1174" i="68"/>
  <c r="F1178" i="68"/>
  <c r="E1188" i="68"/>
  <c r="F1196" i="68"/>
  <c r="D1196" i="68"/>
  <c r="C1196" i="68"/>
  <c r="B1199" i="68"/>
  <c r="F1199" i="68"/>
  <c r="E1199" i="68"/>
  <c r="D1203" i="68"/>
  <c r="B1203" i="68"/>
  <c r="F1207" i="68"/>
  <c r="E1219" i="68"/>
  <c r="F1219" i="68"/>
  <c r="C1219" i="68"/>
  <c r="B1219" i="68"/>
  <c r="D1232" i="68"/>
  <c r="B1232" i="68"/>
  <c r="F1232" i="68"/>
  <c r="E1232" i="68"/>
  <c r="F1246" i="68"/>
  <c r="C1121" i="68"/>
  <c r="F1122" i="68"/>
  <c r="F1125" i="68"/>
  <c r="C1127" i="68"/>
  <c r="B1132" i="68"/>
  <c r="D1137" i="68"/>
  <c r="C1144" i="68"/>
  <c r="B1146" i="68"/>
  <c r="D1149" i="68"/>
  <c r="C1151" i="68"/>
  <c r="B1153" i="68"/>
  <c r="F1153" i="68"/>
  <c r="F1154" i="68"/>
  <c r="B1165" i="68"/>
  <c r="F1165" i="68"/>
  <c r="F1167" i="68"/>
  <c r="D1167" i="68"/>
  <c r="B1167" i="68"/>
  <c r="C1169" i="68"/>
  <c r="C1174" i="68"/>
  <c r="E1176" i="68"/>
  <c r="D1181" i="68"/>
  <c r="F1184" i="68"/>
  <c r="D1184" i="68"/>
  <c r="C1184" i="68"/>
  <c r="E1186" i="68"/>
  <c r="B1189" i="68"/>
  <c r="F1189" i="68"/>
  <c r="E1189" i="68"/>
  <c r="D1193" i="68"/>
  <c r="B1193" i="68"/>
  <c r="B1196" i="68"/>
  <c r="C1199" i="68"/>
  <c r="C1203" i="68"/>
  <c r="D1210" i="68"/>
  <c r="D1219" i="68"/>
  <c r="C1232" i="68"/>
  <c r="E1236" i="68"/>
  <c r="B1256" i="68"/>
  <c r="F1256" i="68"/>
  <c r="D1256" i="68"/>
  <c r="C1256" i="68"/>
  <c r="F1142" i="68"/>
  <c r="B1142" i="68"/>
  <c r="B1177" i="68"/>
  <c r="F1177" i="68"/>
  <c r="E1177" i="68"/>
  <c r="D1182" i="68"/>
  <c r="B1182" i="68"/>
  <c r="B1206" i="68"/>
  <c r="F1206" i="68"/>
  <c r="E1206" i="68"/>
  <c r="B1220" i="68"/>
  <c r="F1220" i="68"/>
  <c r="E1220" i="68"/>
  <c r="D1223" i="68"/>
  <c r="B1223" i="68"/>
  <c r="C1255" i="68"/>
  <c r="E1255" i="68"/>
  <c r="B1255" i="68"/>
  <c r="F1255" i="68"/>
  <c r="B1247" i="68"/>
  <c r="B1259" i="68"/>
  <c r="E1344" i="68"/>
  <c r="C1344" i="68"/>
  <c r="B1344" i="68"/>
  <c r="F1407" i="68"/>
  <c r="B1407" i="68"/>
  <c r="E1407" i="68"/>
  <c r="C1407" i="68"/>
  <c r="B1171" i="68"/>
  <c r="B1175" i="68"/>
  <c r="B1179" i="68"/>
  <c r="B1183" i="68"/>
  <c r="B1187" i="68"/>
  <c r="B1191" i="68"/>
  <c r="B1194" i="68"/>
  <c r="B1201" i="68"/>
  <c r="B1221" i="68"/>
  <c r="F1222" i="68"/>
  <c r="C1247" i="68"/>
  <c r="C1259" i="68"/>
  <c r="C1331" i="68"/>
  <c r="F1331" i="68"/>
  <c r="D1344" i="68"/>
  <c r="D1400" i="68"/>
  <c r="E1400" i="68"/>
  <c r="B1400" i="68"/>
  <c r="D1407" i="68"/>
  <c r="E1333" i="68"/>
  <c r="C1333" i="68"/>
  <c r="B1333" i="68"/>
  <c r="E1361" i="68"/>
  <c r="C1361" i="68"/>
  <c r="B1361" i="68"/>
  <c r="D1171" i="68"/>
  <c r="D1175" i="68"/>
  <c r="D1179" i="68"/>
  <c r="D1183" i="68"/>
  <c r="D1187" i="68"/>
  <c r="D1191" i="68"/>
  <c r="D1194" i="68"/>
  <c r="D1201" i="68"/>
  <c r="E1221" i="68"/>
  <c r="F1247" i="68"/>
  <c r="F1259" i="68"/>
  <c r="D1333" i="68"/>
  <c r="D1361" i="68"/>
  <c r="D1392" i="68"/>
  <c r="B1392" i="68"/>
  <c r="E1392" i="68"/>
  <c r="C1392" i="68"/>
  <c r="E1338" i="68"/>
  <c r="C1338" i="68"/>
  <c r="B1338" i="68"/>
  <c r="E1366" i="68"/>
  <c r="C1366" i="68"/>
  <c r="B1366" i="68"/>
  <c r="C1226" i="68"/>
  <c r="D1338" i="68"/>
  <c r="D1366" i="68"/>
  <c r="D1404" i="68"/>
  <c r="E1404" i="68"/>
  <c r="B1404" i="68"/>
  <c r="F1404" i="68"/>
  <c r="F1338" i="68"/>
  <c r="F1366" i="68"/>
  <c r="F1336" i="68"/>
  <c r="F1340" i="68"/>
  <c r="F1346" i="68"/>
  <c r="F1349" i="68"/>
  <c r="F1351" i="68"/>
  <c r="F1359" i="68"/>
  <c r="F1363" i="68"/>
  <c r="F1368" i="68"/>
  <c r="F1372" i="68"/>
  <c r="B1373" i="68"/>
  <c r="B1376" i="68"/>
  <c r="F1378" i="68"/>
  <c r="F1381" i="68"/>
  <c r="B1384" i="68"/>
  <c r="F1386" i="68"/>
  <c r="C1401" i="68"/>
  <c r="F1403" i="68"/>
  <c r="B1403" i="68"/>
  <c r="B1410" i="68"/>
  <c r="C1416" i="68"/>
  <c r="F1418" i="68"/>
  <c r="B1418" i="68"/>
  <c r="F1419" i="68"/>
  <c r="F1430" i="68"/>
  <c r="B1430" i="68"/>
  <c r="F1431" i="68"/>
  <c r="B1441" i="68"/>
  <c r="B1449" i="68"/>
  <c r="F1521" i="68"/>
  <c r="C1521" i="68"/>
  <c r="B1521" i="68"/>
  <c r="D1523" i="68"/>
  <c r="D1525" i="68"/>
  <c r="C1543" i="68"/>
  <c r="B1543" i="68"/>
  <c r="F1543" i="68"/>
  <c r="D1546" i="68"/>
  <c r="C1555" i="68"/>
  <c r="F1555" i="68"/>
  <c r="D1555" i="68"/>
  <c r="B1555" i="68"/>
  <c r="C1373" i="68"/>
  <c r="C1376" i="68"/>
  <c r="C1384" i="68"/>
  <c r="C1403" i="68"/>
  <c r="B1405" i="68"/>
  <c r="F1405" i="68"/>
  <c r="C1410" i="68"/>
  <c r="B1412" i="68"/>
  <c r="C1418" i="68"/>
  <c r="B1420" i="68"/>
  <c r="F1420" i="68"/>
  <c r="B1426" i="68"/>
  <c r="C1430" i="68"/>
  <c r="D1521" i="68"/>
  <c r="C1539" i="68"/>
  <c r="B1539" i="68"/>
  <c r="F1539" i="68"/>
  <c r="F1542" i="68"/>
  <c r="C1542" i="68"/>
  <c r="B1542" i="68"/>
  <c r="D1543" i="68"/>
  <c r="E1555" i="68"/>
  <c r="F1422" i="68"/>
  <c r="B1422" i="68"/>
  <c r="F1433" i="68"/>
  <c r="B1433" i="68"/>
  <c r="F1537" i="68"/>
  <c r="C1537" i="68"/>
  <c r="B1537" i="68"/>
  <c r="E1554" i="68"/>
  <c r="C1554" i="68"/>
  <c r="B1554" i="68"/>
  <c r="F1554" i="68"/>
  <c r="E1578" i="68"/>
  <c r="B1578" i="68"/>
  <c r="D1578" i="68"/>
  <c r="C1578" i="68"/>
  <c r="E1585" i="68"/>
  <c r="F1585" i="68"/>
  <c r="D1585" i="68"/>
  <c r="C1585" i="68"/>
  <c r="B1585" i="68"/>
  <c r="B1393" i="68"/>
  <c r="F1393" i="68"/>
  <c r="F1410" i="68"/>
  <c r="B1415" i="68"/>
  <c r="C1422" i="68"/>
  <c r="C1433" i="68"/>
  <c r="B1438" i="68"/>
  <c r="F1438" i="68"/>
  <c r="F1534" i="68"/>
  <c r="C1534" i="68"/>
  <c r="B1534" i="68"/>
  <c r="D1537" i="68"/>
  <c r="D1554" i="68"/>
  <c r="E1559" i="68"/>
  <c r="B1559" i="68"/>
  <c r="D1559" i="68"/>
  <c r="C1559" i="68"/>
  <c r="F1578" i="68"/>
  <c r="F1411" i="68"/>
  <c r="B1411" i="68"/>
  <c r="F1425" i="68"/>
  <c r="B1425" i="68"/>
  <c r="D1433" i="68"/>
  <c r="F1437" i="68"/>
  <c r="C1437" i="68"/>
  <c r="B1437" i="68"/>
  <c r="C1533" i="68"/>
  <c r="B1533" i="68"/>
  <c r="F1533" i="68"/>
  <c r="E1553" i="68"/>
  <c r="C1553" i="68"/>
  <c r="B1553" i="68"/>
  <c r="F1553" i="68"/>
  <c r="D1393" i="68"/>
  <c r="C1402" i="68"/>
  <c r="C1411" i="68"/>
  <c r="B1413" i="68"/>
  <c r="F1413" i="68"/>
  <c r="F1414" i="68"/>
  <c r="E1415" i="68"/>
  <c r="C1417" i="68"/>
  <c r="B1419" i="68"/>
  <c r="E1422" i="68"/>
  <c r="C1425" i="68"/>
  <c r="B1427" i="68"/>
  <c r="F1427" i="68"/>
  <c r="F1428" i="68"/>
  <c r="B1431" i="68"/>
  <c r="E1433" i="68"/>
  <c r="D1437" i="68"/>
  <c r="D1438" i="68"/>
  <c r="D1533" i="68"/>
  <c r="E1534" i="68"/>
  <c r="D1553" i="68"/>
  <c r="E1560" i="68"/>
  <c r="C1560" i="68"/>
  <c r="B1560" i="68"/>
  <c r="F1560" i="68"/>
  <c r="Z1560" i="68" s="1"/>
  <c r="AB1560" i="68" s="1"/>
  <c r="C1527" i="68"/>
  <c r="B1527" i="68"/>
  <c r="F1527" i="68"/>
  <c r="F1529" i="68"/>
  <c r="C1529" i="68"/>
  <c r="B1529" i="68"/>
  <c r="E1533" i="68"/>
  <c r="E1550" i="68"/>
  <c r="C1550" i="68"/>
  <c r="B1550" i="68"/>
  <c r="F1550" i="68"/>
  <c r="Z1550" i="68" s="1"/>
  <c r="AB1550" i="68" s="1"/>
  <c r="B1401" i="68"/>
  <c r="F1401" i="68"/>
  <c r="E1411" i="68"/>
  <c r="B1416" i="68"/>
  <c r="F1416" i="68"/>
  <c r="E1419" i="68"/>
  <c r="E1425" i="68"/>
  <c r="E1431" i="68"/>
  <c r="E1441" i="68"/>
  <c r="D1441" i="68"/>
  <c r="E1449" i="68"/>
  <c r="D1449" i="68"/>
  <c r="E1457" i="68"/>
  <c r="D1457" i="68"/>
  <c r="C1523" i="68"/>
  <c r="B1523" i="68"/>
  <c r="F1523" i="68"/>
  <c r="F1525" i="68"/>
  <c r="C1525" i="68"/>
  <c r="B1525" i="68"/>
  <c r="D1527" i="68"/>
  <c r="D1529" i="68"/>
  <c r="C1546" i="68"/>
  <c r="B1546" i="68"/>
  <c r="F1546" i="68"/>
  <c r="Z1546" i="68" s="1"/>
  <c r="AB1546" i="68" s="1"/>
  <c r="D1550" i="68"/>
  <c r="D1522" i="68"/>
  <c r="D1526" i="68"/>
  <c r="D1535" i="68"/>
  <c r="D1538" i="68"/>
  <c r="B1548" i="68"/>
  <c r="D1549" i="68"/>
  <c r="B1551" i="68"/>
  <c r="D1552" i="68"/>
  <c r="D1557" i="68"/>
  <c r="D1575" i="68"/>
  <c r="F1579" i="68"/>
  <c r="B1581" i="68"/>
  <c r="B1587" i="68"/>
  <c r="E1590" i="68"/>
  <c r="C1590" i="68"/>
  <c r="F1591" i="68"/>
  <c r="D1609" i="68"/>
  <c r="D1626" i="68"/>
  <c r="E1658" i="68"/>
  <c r="C1658" i="68"/>
  <c r="B1658" i="68"/>
  <c r="C1548" i="68"/>
  <c r="C1551" i="68"/>
  <c r="B1556" i="68"/>
  <c r="B1574" i="68"/>
  <c r="D1581" i="68"/>
  <c r="C1587" i="68"/>
  <c r="B1590" i="68"/>
  <c r="B1605" i="68"/>
  <c r="E1608" i="68"/>
  <c r="C1608" i="68"/>
  <c r="F1609" i="68"/>
  <c r="E1616" i="68"/>
  <c r="C1616" i="68"/>
  <c r="B1616" i="68"/>
  <c r="E1638" i="68"/>
  <c r="C1638" i="68"/>
  <c r="B1638" i="68"/>
  <c r="D1658" i="68"/>
  <c r="F1670" i="68"/>
  <c r="B1670" i="68"/>
  <c r="E1670" i="68"/>
  <c r="B1672" i="68"/>
  <c r="F1672" i="68"/>
  <c r="D1672" i="68"/>
  <c r="C1672" i="68"/>
  <c r="E1691" i="68"/>
  <c r="D1691" i="68"/>
  <c r="F1691" i="68"/>
  <c r="C1691" i="68"/>
  <c r="B1691" i="68"/>
  <c r="F1663" i="68"/>
  <c r="D1663" i="68"/>
  <c r="B1663" i="68"/>
  <c r="E1586" i="68"/>
  <c r="C1586" i="68"/>
  <c r="E1619" i="68"/>
  <c r="C1619" i="68"/>
  <c r="B1619" i="68"/>
  <c r="E1633" i="68"/>
  <c r="C1633" i="68"/>
  <c r="B1633" i="68"/>
  <c r="C1663" i="68"/>
  <c r="D1673" i="68"/>
  <c r="B1673" i="68"/>
  <c r="F1673" i="68"/>
  <c r="F1556" i="68"/>
  <c r="F1574" i="68"/>
  <c r="B1579" i="68"/>
  <c r="B1586" i="68"/>
  <c r="E1604" i="68"/>
  <c r="C1604" i="68"/>
  <c r="F1605" i="68"/>
  <c r="F1608" i="68"/>
  <c r="D1619" i="68"/>
  <c r="D1633" i="68"/>
  <c r="E1642" i="68"/>
  <c r="C1642" i="68"/>
  <c r="B1642" i="68"/>
  <c r="E1663" i="68"/>
  <c r="D1667" i="68"/>
  <c r="E1667" i="68"/>
  <c r="B1667" i="68"/>
  <c r="C1673" i="68"/>
  <c r="C1579" i="68"/>
  <c r="D1586" i="68"/>
  <c r="F1619" i="68"/>
  <c r="E1622" i="68"/>
  <c r="C1622" i="68"/>
  <c r="B1622" i="68"/>
  <c r="F1633" i="68"/>
  <c r="E1654" i="68"/>
  <c r="C1654" i="68"/>
  <c r="B1654" i="68"/>
  <c r="E1664" i="68"/>
  <c r="C1664" i="68"/>
  <c r="B1664" i="68"/>
  <c r="E1673" i="68"/>
  <c r="B1675" i="68"/>
  <c r="C1675" i="68"/>
  <c r="F1675" i="68"/>
  <c r="F1676" i="68"/>
  <c r="D1676" i="68"/>
  <c r="C1676" i="68"/>
  <c r="E1626" i="68"/>
  <c r="C1626" i="68"/>
  <c r="B1626" i="68"/>
  <c r="D1675" i="68"/>
  <c r="B1676" i="68"/>
  <c r="D1623" i="68"/>
  <c r="D1627" i="68"/>
  <c r="C1692" i="68"/>
  <c r="E1699" i="68"/>
  <c r="D1699" i="68"/>
  <c r="D1702" i="68"/>
  <c r="C1706" i="68"/>
  <c r="E1748" i="68"/>
  <c r="B1748" i="68"/>
  <c r="F1748" i="68"/>
  <c r="C1661" i="68"/>
  <c r="F1662" i="68"/>
  <c r="F1665" i="68"/>
  <c r="D1692" i="68"/>
  <c r="C1694" i="68"/>
  <c r="B1694" i="68"/>
  <c r="B1699" i="68"/>
  <c r="E1710" i="68"/>
  <c r="D1710" i="68"/>
  <c r="E1744" i="68"/>
  <c r="D1744" i="68"/>
  <c r="C1744" i="68"/>
  <c r="C1748" i="68"/>
  <c r="C1705" i="68"/>
  <c r="B1705" i="68"/>
  <c r="C1715" i="68"/>
  <c r="B1715" i="68"/>
  <c r="C1716" i="68"/>
  <c r="F1716" i="68"/>
  <c r="E1752" i="68"/>
  <c r="D1752" i="68"/>
  <c r="B1752" i="68"/>
  <c r="E1661" i="68"/>
  <c r="E1694" i="68"/>
  <c r="C1696" i="68"/>
  <c r="F1699" i="68"/>
  <c r="D1705" i="68"/>
  <c r="B1707" i="68"/>
  <c r="C1710" i="68"/>
  <c r="D1715" i="68"/>
  <c r="B1716" i="68"/>
  <c r="F1744" i="68"/>
  <c r="C1752" i="68"/>
  <c r="C1698" i="68"/>
  <c r="B1698" i="68"/>
  <c r="E1705" i="68"/>
  <c r="C1707" i="68"/>
  <c r="E1715" i="68"/>
  <c r="D1716" i="68"/>
  <c r="F1752" i="68"/>
  <c r="E1695" i="68"/>
  <c r="D1695" i="68"/>
  <c r="E1696" i="68"/>
  <c r="D1698" i="68"/>
  <c r="F1705" i="68"/>
  <c r="D1707" i="68"/>
  <c r="C1709" i="68"/>
  <c r="B1709" i="68"/>
  <c r="F1715" i="68"/>
  <c r="E1716" i="68"/>
  <c r="E1722" i="68"/>
  <c r="C1722" i="68"/>
  <c r="B1722" i="68"/>
  <c r="E1753" i="68"/>
  <c r="C1753" i="68"/>
  <c r="B1753" i="68"/>
  <c r="E1767" i="68"/>
  <c r="D1767" i="68"/>
  <c r="B1767" i="68"/>
  <c r="E1698" i="68"/>
  <c r="E1706" i="68"/>
  <c r="D1706" i="68"/>
  <c r="E1707" i="68"/>
  <c r="C1747" i="68"/>
  <c r="F1747" i="68"/>
  <c r="D1747" i="68"/>
  <c r="B1747" i="68"/>
  <c r="E1760" i="68"/>
  <c r="B1760" i="68"/>
  <c r="D1760" i="68"/>
  <c r="C1760" i="68"/>
  <c r="C1702" i="68"/>
  <c r="B1702" i="68"/>
  <c r="E1747" i="68"/>
  <c r="D1719" i="68"/>
  <c r="F1720" i="68"/>
  <c r="D1725" i="68"/>
  <c r="D1741" i="68"/>
  <c r="F1745" i="68"/>
  <c r="E1751" i="68"/>
  <c r="D1757" i="68"/>
  <c r="F1761" i="68"/>
  <c r="E1766" i="68"/>
  <c r="B1768" i="68"/>
  <c r="D1771" i="68"/>
  <c r="E1789" i="68"/>
  <c r="D1808" i="68"/>
  <c r="F1812" i="68"/>
  <c r="C1812" i="68"/>
  <c r="F1751" i="68"/>
  <c r="F1766" i="68"/>
  <c r="C1768" i="68"/>
  <c r="F1789" i="68"/>
  <c r="F1800" i="68"/>
  <c r="C1800" i="68"/>
  <c r="B1802" i="68"/>
  <c r="C1802" i="68"/>
  <c r="B1787" i="68"/>
  <c r="B1793" i="68"/>
  <c r="D1800" i="68"/>
  <c r="D1802" i="68"/>
  <c r="B1795" i="68"/>
  <c r="C1795" i="68"/>
  <c r="F1804" i="68"/>
  <c r="C1804" i="68"/>
  <c r="D1723" i="68"/>
  <c r="D1755" i="68"/>
  <c r="E1787" i="68"/>
  <c r="E1793" i="68"/>
  <c r="D1795" i="68"/>
  <c r="F1802" i="68"/>
  <c r="B1804" i="68"/>
  <c r="F1808" i="68"/>
  <c r="C1808" i="68"/>
  <c r="F1795" i="68"/>
  <c r="E1804" i="68"/>
  <c r="B1808" i="68"/>
  <c r="F1886" i="68"/>
  <c r="B1902" i="68"/>
  <c r="C1902" i="68"/>
  <c r="F1909" i="68"/>
  <c r="D1909" i="68"/>
  <c r="C1909" i="68"/>
  <c r="F1914" i="68"/>
  <c r="C1914" i="68"/>
  <c r="F1895" i="68"/>
  <c r="Z1895" i="68" s="1"/>
  <c r="F1910" i="68"/>
  <c r="F1920" i="68"/>
  <c r="C1920" i="68"/>
  <c r="B1895" i="68"/>
  <c r="B1910" i="68"/>
  <c r="B1920" i="68"/>
  <c r="D1893" i="68"/>
  <c r="C1893" i="68"/>
  <c r="B1893" i="68"/>
  <c r="C1895" i="68"/>
  <c r="F1906" i="68"/>
  <c r="Z1906" i="68" s="1"/>
  <c r="C1910" i="68"/>
  <c r="D1920" i="68"/>
  <c r="D1895" i="68"/>
  <c r="D1910" i="68"/>
  <c r="F1917" i="68"/>
  <c r="C1917" i="68"/>
  <c r="F1889" i="68"/>
  <c r="F1893" i="68"/>
  <c r="F1902" i="68"/>
  <c r="Z1902" i="68" s="1"/>
  <c r="C1906" i="68"/>
  <c r="B1917" i="68"/>
  <c r="C1924" i="68"/>
  <c r="C1927" i="68"/>
  <c r="B1896" i="68"/>
  <c r="B1919" i="68"/>
  <c r="B1922" i="68"/>
  <c r="B1923" i="68"/>
  <c r="D1924" i="68"/>
  <c r="D1927" i="68"/>
  <c r="C1896" i="68"/>
  <c r="C1919" i="68"/>
  <c r="C1922" i="68"/>
  <c r="C1923" i="68"/>
  <c r="B749" i="68"/>
  <c r="C749" i="68"/>
  <c r="D749" i="68"/>
  <c r="E749" i="68"/>
  <c r="C742" i="68"/>
  <c r="C743" i="68"/>
  <c r="B741" i="68"/>
  <c r="D742" i="68"/>
  <c r="D743" i="68"/>
  <c r="F744" i="68"/>
  <c r="B746" i="68"/>
  <c r="C741" i="68"/>
  <c r="E742" i="68"/>
  <c r="E743" i="68"/>
  <c r="C746" i="68"/>
  <c r="B740" i="68"/>
  <c r="D741" i="68"/>
  <c r="B745" i="68"/>
  <c r="D746" i="68"/>
  <c r="C740" i="68"/>
  <c r="E741" i="68"/>
  <c r="C745" i="68"/>
  <c r="E746" i="68"/>
  <c r="B733" i="68"/>
  <c r="D734" i="68"/>
  <c r="F735" i="68"/>
  <c r="B736" i="68"/>
  <c r="F737" i="68"/>
  <c r="C733" i="68"/>
  <c r="E734" i="68"/>
  <c r="C736" i="68"/>
  <c r="D733" i="68"/>
  <c r="F734" i="68"/>
  <c r="D736" i="68"/>
  <c r="E733" i="68"/>
  <c r="E736" i="68"/>
  <c r="B735" i="68"/>
  <c r="B737" i="68"/>
  <c r="C735" i="68"/>
  <c r="C737" i="68"/>
  <c r="C723" i="68"/>
  <c r="E724" i="68"/>
  <c r="C727" i="68"/>
  <c r="E728" i="68"/>
  <c r="B722" i="68"/>
  <c r="D723" i="68"/>
  <c r="F724" i="68"/>
  <c r="B726" i="68"/>
  <c r="D727" i="68"/>
  <c r="F728" i="68"/>
  <c r="B730" i="68"/>
  <c r="B727" i="68"/>
  <c r="C722" i="68"/>
  <c r="E723" i="68"/>
  <c r="C726" i="68"/>
  <c r="E727" i="68"/>
  <c r="C730" i="68"/>
  <c r="F723" i="68"/>
  <c r="C710" i="68"/>
  <c r="B709" i="68"/>
  <c r="D710" i="68"/>
  <c r="F711" i="68"/>
  <c r="F713" i="68"/>
  <c r="B714" i="68"/>
  <c r="C709" i="68"/>
  <c r="E710" i="68"/>
  <c r="C714" i="68"/>
  <c r="D709" i="68"/>
  <c r="B712" i="68"/>
  <c r="D714" i="68"/>
  <c r="E709" i="68"/>
  <c r="C712" i="68"/>
  <c r="E714" i="68"/>
  <c r="E706" i="68"/>
  <c r="C704" i="68"/>
  <c r="D704" i="68"/>
  <c r="B706" i="68"/>
  <c r="B694" i="68"/>
  <c r="B698" i="68"/>
  <c r="C694" i="68"/>
  <c r="C698" i="68"/>
  <c r="F691" i="68"/>
  <c r="B693" i="68"/>
  <c r="D694" i="68"/>
  <c r="F695" i="68"/>
  <c r="B697" i="68"/>
  <c r="D698" i="68"/>
  <c r="F699" i="68"/>
  <c r="B701" i="68"/>
  <c r="C693" i="68"/>
  <c r="E694" i="68"/>
  <c r="C697" i="68"/>
  <c r="E698" i="68"/>
  <c r="C701" i="68"/>
  <c r="B692" i="68"/>
  <c r="D693" i="68"/>
  <c r="B696" i="68"/>
  <c r="D697" i="68"/>
  <c r="B700" i="68"/>
  <c r="D701" i="68"/>
  <c r="C692" i="68"/>
  <c r="E693" i="68"/>
  <c r="C696" i="68"/>
  <c r="E697" i="68"/>
  <c r="C700" i="68"/>
  <c r="E701" i="68"/>
  <c r="B637" i="68"/>
  <c r="C637" i="68"/>
  <c r="D637" i="68"/>
  <c r="E637" i="68"/>
  <c r="E630" i="68"/>
  <c r="C630" i="68"/>
  <c r="E626" i="68"/>
  <c r="B627" i="68"/>
  <c r="C627" i="68"/>
  <c r="F619" i="68"/>
  <c r="B620" i="68"/>
  <c r="F622" i="68"/>
  <c r="C620" i="68"/>
  <c r="D620" i="68"/>
  <c r="B623" i="68"/>
  <c r="E620" i="68"/>
  <c r="B619" i="68"/>
  <c r="B622" i="68"/>
  <c r="D623" i="68"/>
  <c r="C619" i="68"/>
  <c r="C622" i="68"/>
  <c r="B600" i="68"/>
  <c r="B603" i="68"/>
  <c r="B607" i="68"/>
  <c r="C600" i="68"/>
  <c r="C603" i="68"/>
  <c r="C607" i="68"/>
  <c r="D600" i="68"/>
  <c r="D603" i="68"/>
  <c r="D607" i="68"/>
  <c r="E600" i="68"/>
  <c r="C602" i="68"/>
  <c r="E603" i="68"/>
  <c r="C606" i="68"/>
  <c r="E607" i="68"/>
  <c r="C609" i="68"/>
  <c r="B601" i="68"/>
  <c r="D602" i="68"/>
  <c r="B605" i="68"/>
  <c r="D606" i="68"/>
  <c r="D609" i="68"/>
  <c r="F594" i="68"/>
  <c r="B596" i="68"/>
  <c r="F597" i="68"/>
  <c r="C596" i="68"/>
  <c r="D596" i="68"/>
  <c r="C595" i="68"/>
  <c r="E596" i="68"/>
  <c r="B594" i="68"/>
  <c r="D595" i="68"/>
  <c r="B597" i="68"/>
  <c r="C588" i="68"/>
  <c r="C583" i="68"/>
  <c r="C587" i="68"/>
  <c r="E588" i="68"/>
  <c r="C591" i="68"/>
  <c r="D583" i="68"/>
  <c r="B586" i="68"/>
  <c r="D587" i="68"/>
  <c r="B590" i="68"/>
  <c r="D591" i="68"/>
  <c r="F527" i="68"/>
  <c r="B529" i="68"/>
  <c r="C529" i="68"/>
  <c r="D529" i="68"/>
  <c r="C528" i="68"/>
  <c r="E529" i="68"/>
  <c r="C530" i="68"/>
  <c r="B527" i="68"/>
  <c r="D528" i="68"/>
  <c r="D530" i="68"/>
  <c r="F523" i="68"/>
  <c r="D524" i="68"/>
  <c r="E524" i="68"/>
  <c r="F524" i="68"/>
  <c r="B523" i="68"/>
  <c r="C523" i="68"/>
  <c r="B517" i="68"/>
  <c r="D518" i="68"/>
  <c r="C517" i="68"/>
  <c r="E518" i="68"/>
  <c r="D517" i="68"/>
  <c r="F518" i="68"/>
  <c r="E517" i="68"/>
  <c r="D500" i="68"/>
  <c r="F501" i="68"/>
  <c r="B503" i="68"/>
  <c r="D504" i="68"/>
  <c r="F505" i="68"/>
  <c r="D506" i="68"/>
  <c r="F507" i="68"/>
  <c r="E500" i="68"/>
  <c r="C503" i="68"/>
  <c r="E504" i="68"/>
  <c r="E506" i="68"/>
  <c r="F500" i="68"/>
  <c r="D503" i="68"/>
  <c r="F504" i="68"/>
  <c r="F506" i="68"/>
  <c r="E503" i="68"/>
  <c r="B501" i="68"/>
  <c r="B505" i="68"/>
  <c r="B507" i="68"/>
  <c r="B495" i="68"/>
  <c r="F496" i="68"/>
  <c r="C495" i="68"/>
  <c r="D495" i="68"/>
  <c r="E495" i="68"/>
  <c r="B496" i="68"/>
  <c r="F492" i="68"/>
  <c r="B492" i="68"/>
  <c r="C492" i="68"/>
  <c r="B475" i="68"/>
  <c r="D476" i="68"/>
  <c r="B479" i="68"/>
  <c r="D480" i="68"/>
  <c r="B482" i="68"/>
  <c r="C475" i="68"/>
  <c r="E476" i="68"/>
  <c r="C479" i="68"/>
  <c r="E480" i="68"/>
  <c r="C482" i="68"/>
  <c r="D475" i="68"/>
  <c r="D479" i="68"/>
  <c r="D482" i="68"/>
  <c r="C474" i="68"/>
  <c r="E475" i="68"/>
  <c r="C478" i="68"/>
  <c r="E479" i="68"/>
  <c r="E482" i="68"/>
  <c r="C484" i="68"/>
  <c r="D474" i="68"/>
  <c r="B477" i="68"/>
  <c r="D478" i="68"/>
  <c r="B481" i="68"/>
  <c r="B483" i="68"/>
  <c r="D484" i="68"/>
  <c r="E484" i="68"/>
  <c r="D469" i="68"/>
  <c r="B471" i="68"/>
  <c r="E469" i="68"/>
  <c r="C471" i="68"/>
  <c r="F469" i="68"/>
  <c r="D471" i="68"/>
  <c r="E471" i="68"/>
  <c r="E457" i="68"/>
  <c r="C460" i="68"/>
  <c r="E461" i="68"/>
  <c r="C464" i="68"/>
  <c r="E465" i="68"/>
  <c r="E460" i="68"/>
  <c r="E464" i="68"/>
  <c r="B458" i="68"/>
  <c r="F460" i="68"/>
  <c r="B462" i="68"/>
  <c r="F464" i="68"/>
  <c r="B466" i="68"/>
  <c r="C458" i="68"/>
  <c r="C462" i="68"/>
  <c r="C466" i="68"/>
  <c r="D466" i="68"/>
  <c r="E458" i="68"/>
  <c r="E466" i="68"/>
  <c r="F442" i="68"/>
  <c r="Z442" i="68" s="1"/>
  <c r="AB442" i="68" s="1"/>
  <c r="B443" i="68"/>
  <c r="C443" i="68"/>
  <c r="B440" i="68"/>
  <c r="D443" i="68"/>
  <c r="B444" i="68"/>
  <c r="B446" i="68"/>
  <c r="E443" i="68"/>
  <c r="D440" i="68"/>
  <c r="B442" i="68"/>
  <c r="D444" i="68"/>
  <c r="D446" i="68"/>
  <c r="C436" i="68"/>
  <c r="C434" i="68"/>
  <c r="C435" i="68"/>
  <c r="E436" i="68"/>
  <c r="E434" i="68"/>
  <c r="E435" i="68"/>
  <c r="B424" i="68"/>
  <c r="B428" i="68"/>
  <c r="C424" i="68"/>
  <c r="C428" i="68"/>
  <c r="D424" i="68"/>
  <c r="D428" i="68"/>
  <c r="C423" i="68"/>
  <c r="E424" i="68"/>
  <c r="C427" i="68"/>
  <c r="E428" i="68"/>
  <c r="C431" i="68"/>
  <c r="D423" i="68"/>
  <c r="B426" i="68"/>
  <c r="D427" i="68"/>
  <c r="B430" i="68"/>
  <c r="D431" i="68"/>
  <c r="C368" i="68"/>
  <c r="B367" i="68"/>
  <c r="D368" i="68"/>
  <c r="F369" i="68"/>
  <c r="B371" i="68"/>
  <c r="B368" i="68"/>
  <c r="C367" i="68"/>
  <c r="E368" i="68"/>
  <c r="C371" i="68"/>
  <c r="D367" i="68"/>
  <c r="B370" i="68"/>
  <c r="D371" i="68"/>
  <c r="E367" i="68"/>
  <c r="C370" i="68"/>
  <c r="E371" i="68"/>
  <c r="F364" i="68"/>
  <c r="B364" i="68"/>
  <c r="F351" i="68"/>
  <c r="B353" i="68"/>
  <c r="F356" i="68"/>
  <c r="C353" i="68"/>
  <c r="D353" i="68"/>
  <c r="E353" i="68"/>
  <c r="B351" i="68"/>
  <c r="D352" i="68"/>
  <c r="D354" i="68"/>
  <c r="B356" i="68"/>
  <c r="D357" i="68"/>
  <c r="C351" i="68"/>
  <c r="C356" i="68"/>
  <c r="B346" i="68"/>
  <c r="C346" i="68"/>
  <c r="D346" i="68"/>
  <c r="E346" i="68"/>
  <c r="C336" i="68"/>
  <c r="C340" i="68"/>
  <c r="D336" i="68"/>
  <c r="D340" i="68"/>
  <c r="B343" i="68"/>
  <c r="C335" i="68"/>
  <c r="E336" i="68"/>
  <c r="C339" i="68"/>
  <c r="E340" i="68"/>
  <c r="C343" i="68"/>
  <c r="B334" i="68"/>
  <c r="D335" i="68"/>
  <c r="B338" i="68"/>
  <c r="D339" i="68"/>
  <c r="B342" i="68"/>
  <c r="D343" i="68"/>
  <c r="C334" i="68"/>
  <c r="E335" i="68"/>
  <c r="C338" i="68"/>
  <c r="E339" i="68"/>
  <c r="C342" i="68"/>
  <c r="E343" i="68"/>
  <c r="B326" i="68"/>
  <c r="C326" i="68"/>
  <c r="B325" i="68"/>
  <c r="D326" i="68"/>
  <c r="B327" i="68"/>
  <c r="C325" i="68"/>
  <c r="E326" i="68"/>
  <c r="C327" i="68"/>
  <c r="D325" i="68"/>
  <c r="D327" i="68"/>
  <c r="E327" i="68"/>
  <c r="C320" i="68"/>
  <c r="E321" i="68"/>
  <c r="F320" i="68"/>
  <c r="B322" i="68"/>
  <c r="C322" i="68"/>
  <c r="B321" i="68"/>
  <c r="D322" i="68"/>
  <c r="E322" i="68"/>
  <c r="B312" i="68"/>
  <c r="C312" i="68"/>
  <c r="D312" i="68"/>
  <c r="E312" i="68"/>
  <c r="C302" i="68"/>
  <c r="B301" i="68"/>
  <c r="D302" i="68"/>
  <c r="F303" i="68"/>
  <c r="F304" i="68"/>
  <c r="Z304" i="68" s="1"/>
  <c r="AB304" i="68" s="1"/>
  <c r="B306" i="68"/>
  <c r="F307" i="68"/>
  <c r="B309" i="68"/>
  <c r="C301" i="68"/>
  <c r="E302" i="68"/>
  <c r="C306" i="68"/>
  <c r="C309" i="68"/>
  <c r="D301" i="68"/>
  <c r="B305" i="68"/>
  <c r="D306" i="68"/>
  <c r="B308" i="68"/>
  <c r="D309" i="68"/>
  <c r="E301" i="68"/>
  <c r="C305" i="68"/>
  <c r="E306" i="68"/>
  <c r="C308" i="68"/>
  <c r="E309" i="68"/>
  <c r="C290" i="68"/>
  <c r="C293" i="68"/>
  <c r="C297" i="68"/>
  <c r="E293" i="68"/>
  <c r="E297" i="68"/>
  <c r="B288" i="68"/>
  <c r="F290" i="68"/>
  <c r="F293" i="68"/>
  <c r="B295" i="68"/>
  <c r="F297" i="68"/>
  <c r="B298" i="68"/>
  <c r="C288" i="68"/>
  <c r="E289" i="68"/>
  <c r="E292" i="68"/>
  <c r="C295" i="68"/>
  <c r="E296" i="68"/>
  <c r="C298" i="68"/>
  <c r="D288" i="68"/>
  <c r="D295" i="68"/>
  <c r="D298" i="68"/>
  <c r="E288" i="68"/>
  <c r="E295" i="68"/>
  <c r="E298" i="68"/>
  <c r="C278" i="68"/>
  <c r="C282" i="68"/>
  <c r="D278" i="68"/>
  <c r="B281" i="68"/>
  <c r="D282" i="68"/>
  <c r="B285" i="68"/>
  <c r="E278" i="68"/>
  <c r="C281" i="68"/>
  <c r="E282" i="68"/>
  <c r="C285" i="68"/>
  <c r="B280" i="68"/>
  <c r="D281" i="68"/>
  <c r="B284" i="68"/>
  <c r="D285" i="68"/>
  <c r="C280" i="68"/>
  <c r="E281" i="68"/>
  <c r="C284" i="68"/>
  <c r="E285" i="68"/>
  <c r="E223" i="68"/>
  <c r="B225" i="68"/>
  <c r="C225" i="68"/>
  <c r="B224" i="68"/>
  <c r="D225" i="68"/>
  <c r="E225" i="68"/>
  <c r="B220" i="68"/>
  <c r="C220" i="68"/>
  <c r="D220" i="68"/>
  <c r="E220" i="68"/>
  <c r="B213" i="68"/>
  <c r="D214" i="68"/>
  <c r="C213" i="68"/>
  <c r="E214" i="68"/>
  <c r="D213" i="68"/>
  <c r="F214" i="68"/>
  <c r="E213" i="68"/>
  <c r="D199" i="68"/>
  <c r="F200" i="68"/>
  <c r="B202" i="68"/>
  <c r="D203" i="68"/>
  <c r="F204" i="68"/>
  <c r="B205" i="68"/>
  <c r="C202" i="68"/>
  <c r="E203" i="68"/>
  <c r="C205" i="68"/>
  <c r="B201" i="68"/>
  <c r="D202" i="68"/>
  <c r="D205" i="68"/>
  <c r="C201" i="68"/>
  <c r="E202" i="68"/>
  <c r="E205" i="68"/>
  <c r="B196" i="68"/>
  <c r="C196" i="68"/>
  <c r="D196" i="68"/>
  <c r="E196" i="68"/>
  <c r="F188" i="68"/>
  <c r="B190" i="68"/>
  <c r="D191" i="68"/>
  <c r="F192" i="68"/>
  <c r="C190" i="68"/>
  <c r="E191" i="68"/>
  <c r="B189" i="68"/>
  <c r="D190" i="68"/>
  <c r="F191" i="68"/>
  <c r="B193" i="68"/>
  <c r="C189" i="68"/>
  <c r="E190" i="68"/>
  <c r="C193" i="68"/>
  <c r="D189" i="68"/>
  <c r="D193" i="68"/>
  <c r="E193" i="68"/>
  <c r="B176" i="68"/>
  <c r="D177" i="68"/>
  <c r="F178" i="68"/>
  <c r="D180" i="68"/>
  <c r="B181" i="68"/>
  <c r="C176" i="68"/>
  <c r="E177" i="68"/>
  <c r="E180" i="68"/>
  <c r="C181" i="68"/>
  <c r="B175" i="68"/>
  <c r="D176" i="68"/>
  <c r="B179" i="68"/>
  <c r="D181" i="68"/>
  <c r="C175" i="68"/>
  <c r="E176" i="68"/>
  <c r="C179" i="68"/>
  <c r="E181" i="68"/>
  <c r="C170" i="68"/>
  <c r="D170" i="68"/>
  <c r="E170" i="68"/>
  <c r="C172" i="68"/>
  <c r="F170" i="68"/>
  <c r="B171" i="68"/>
  <c r="D172" i="68"/>
  <c r="C161" i="68"/>
  <c r="E162" i="68"/>
  <c r="C165" i="68"/>
  <c r="E166" i="68"/>
  <c r="E161" i="68"/>
  <c r="E165" i="68"/>
  <c r="F161" i="68"/>
  <c r="F165" i="68"/>
  <c r="B162" i="68"/>
  <c r="B166" i="68"/>
  <c r="B153" i="68"/>
  <c r="C153" i="68"/>
  <c r="B151" i="68"/>
  <c r="D153" i="68"/>
  <c r="C151" i="68"/>
  <c r="E153" i="68"/>
  <c r="F146" i="68"/>
  <c r="B148" i="68"/>
  <c r="C148" i="68"/>
  <c r="B146" i="68"/>
  <c r="D148" i="68"/>
  <c r="C146" i="68"/>
  <c r="E148" i="68"/>
  <c r="E142" i="68"/>
  <c r="B140" i="68"/>
  <c r="D141" i="68"/>
  <c r="F142" i="68"/>
  <c r="C141" i="68"/>
  <c r="C140" i="68"/>
  <c r="E141" i="68"/>
  <c r="D140" i="68"/>
  <c r="F141" i="68"/>
  <c r="E140" i="68"/>
  <c r="B142" i="68"/>
  <c r="C142" i="68"/>
  <c r="C130" i="68"/>
  <c r="D130" i="68"/>
  <c r="B118" i="68"/>
  <c r="B122" i="68"/>
  <c r="B126" i="68"/>
  <c r="C118" i="68"/>
  <c r="C122" i="68"/>
  <c r="C126" i="68"/>
  <c r="D118" i="68"/>
  <c r="B121" i="68"/>
  <c r="D122" i="68"/>
  <c r="B125" i="68"/>
  <c r="D126" i="68"/>
  <c r="B127" i="68"/>
  <c r="E118" i="68"/>
  <c r="C121" i="68"/>
  <c r="E122" i="68"/>
  <c r="C125" i="68"/>
  <c r="E126" i="68"/>
  <c r="C127" i="68"/>
  <c r="B120" i="68"/>
  <c r="D121" i="68"/>
  <c r="B124" i="68"/>
  <c r="D125" i="68"/>
  <c r="D127" i="68"/>
  <c r="E121" i="68"/>
  <c r="E125" i="68"/>
  <c r="E127" i="68"/>
  <c r="B113" i="68"/>
  <c r="C113" i="68"/>
  <c r="E113" i="68"/>
  <c r="C114" i="68"/>
  <c r="D114" i="68"/>
  <c r="E114" i="68"/>
  <c r="B103" i="68"/>
  <c r="B107" i="68"/>
  <c r="C103" i="68"/>
  <c r="C107" i="68"/>
  <c r="B102" i="68"/>
  <c r="D103" i="68"/>
  <c r="B106" i="68"/>
  <c r="D107" i="68"/>
  <c r="B110" i="68"/>
  <c r="C102" i="68"/>
  <c r="E103" i="68"/>
  <c r="C106" i="68"/>
  <c r="E107" i="68"/>
  <c r="C110" i="68"/>
  <c r="C11" i="68"/>
  <c r="C15" i="68"/>
  <c r="C19" i="68"/>
  <c r="C23" i="68"/>
  <c r="C27" i="68"/>
  <c r="C31" i="68"/>
  <c r="C35" i="68"/>
  <c r="C39" i="68"/>
  <c r="C40" i="68"/>
  <c r="C44" i="68"/>
  <c r="C48" i="68"/>
  <c r="C57" i="68"/>
  <c r="C61" i="68"/>
  <c r="C64" i="68"/>
  <c r="C74" i="68"/>
  <c r="C78" i="68"/>
  <c r="C82" i="68"/>
  <c r="C86" i="68"/>
  <c r="C92" i="68"/>
  <c r="B13" i="68"/>
  <c r="B17" i="68"/>
  <c r="B21" i="68"/>
  <c r="B29" i="68"/>
  <c r="B33" i="68"/>
  <c r="F35" i="68"/>
  <c r="B37" i="68"/>
  <c r="B42" i="68"/>
  <c r="B46" i="68"/>
  <c r="B50" i="68"/>
  <c r="B52" i="68"/>
  <c r="B55" i="68"/>
  <c r="B59" i="68"/>
  <c r="B70" i="68"/>
  <c r="B72" i="68"/>
  <c r="F74" i="68"/>
  <c r="Z74" i="68" s="1"/>
  <c r="AB74" i="68" s="1"/>
  <c r="B76" i="68"/>
  <c r="F78" i="68"/>
  <c r="B80" i="68"/>
  <c r="F82" i="68"/>
  <c r="B84" i="68"/>
  <c r="F86" i="68"/>
  <c r="B90" i="68"/>
  <c r="F92" i="68"/>
  <c r="B94" i="68"/>
  <c r="B25" i="68"/>
  <c r="B63" i="68"/>
  <c r="C13" i="68"/>
  <c r="E14" i="68"/>
  <c r="C17" i="68"/>
  <c r="E18" i="68"/>
  <c r="C21" i="68"/>
  <c r="E22" i="68"/>
  <c r="C25" i="68"/>
  <c r="E26" i="68"/>
  <c r="C29" i="68"/>
  <c r="E30" i="68"/>
  <c r="C33" i="68"/>
  <c r="E34" i="68"/>
  <c r="C37" i="68"/>
  <c r="E38" i="68"/>
  <c r="C42" i="68"/>
  <c r="E43" i="68"/>
  <c r="C46" i="68"/>
  <c r="E47" i="68"/>
  <c r="C50" i="68"/>
  <c r="C52" i="68"/>
  <c r="E53" i="68"/>
  <c r="C55" i="68"/>
  <c r="E56" i="68"/>
  <c r="C59" i="68"/>
  <c r="E60" i="68"/>
  <c r="C63" i="68"/>
  <c r="E67" i="68"/>
  <c r="C70" i="68"/>
  <c r="C72" i="68"/>
  <c r="C76" i="68"/>
  <c r="E77" i="68"/>
  <c r="C80" i="68"/>
  <c r="E81" i="68"/>
  <c r="C84" i="68"/>
  <c r="E85" i="68"/>
  <c r="E88" i="68"/>
  <c r="C90" i="68"/>
  <c r="E91" i="68"/>
  <c r="C94" i="68"/>
  <c r="B12" i="68"/>
  <c r="D13" i="68"/>
  <c r="B16" i="68"/>
  <c r="D17" i="68"/>
  <c r="B20" i="68"/>
  <c r="D21" i="68"/>
  <c r="B24" i="68"/>
  <c r="D25" i="68"/>
  <c r="B28" i="68"/>
  <c r="D29" i="68"/>
  <c r="B32" i="68"/>
  <c r="D33" i="68"/>
  <c r="B36" i="68"/>
  <c r="D37" i="68"/>
  <c r="B41" i="68"/>
  <c r="D42" i="68"/>
  <c r="B45" i="68"/>
  <c r="D46" i="68"/>
  <c r="B49" i="68"/>
  <c r="D50" i="68"/>
  <c r="B51" i="68"/>
  <c r="D52" i="68"/>
  <c r="B54" i="68"/>
  <c r="D55" i="68"/>
  <c r="B58" i="68"/>
  <c r="D59" i="68"/>
  <c r="B62" i="68"/>
  <c r="D63" i="68"/>
  <c r="B69" i="68"/>
  <c r="D70" i="68"/>
  <c r="B71" i="68"/>
  <c r="D72" i="68"/>
  <c r="B75" i="68"/>
  <c r="D76" i="68"/>
  <c r="B79" i="68"/>
  <c r="D80" i="68"/>
  <c r="B83" i="68"/>
  <c r="D84" i="68"/>
  <c r="B87" i="68"/>
  <c r="B89" i="68"/>
  <c r="D90" i="68"/>
  <c r="B93" i="68"/>
  <c r="D94" i="68"/>
  <c r="E13" i="68"/>
  <c r="E17" i="68"/>
  <c r="E21" i="68"/>
  <c r="E25" i="68"/>
  <c r="E29" i="68"/>
  <c r="E33" i="68"/>
  <c r="E37" i="68"/>
  <c r="E42" i="68"/>
  <c r="E46" i="68"/>
  <c r="E50" i="68"/>
  <c r="E52" i="68"/>
  <c r="E55" i="68"/>
  <c r="E59" i="68"/>
  <c r="E63" i="68"/>
  <c r="E70" i="68"/>
  <c r="E72" i="68"/>
  <c r="E76" i="68"/>
  <c r="E80" i="68"/>
  <c r="E84" i="68"/>
  <c r="E90" i="68"/>
  <c r="E94" i="68"/>
  <c r="AC24" i="114" l="1"/>
  <c r="AB629" i="114"/>
  <c r="AB619" i="114"/>
  <c r="AB1895" i="68"/>
  <c r="AC1895" i="68" s="1"/>
  <c r="AE1895" i="68" s="1"/>
  <c r="AF1895" i="68" s="1"/>
  <c r="AH1895" i="68" s="1"/>
  <c r="AI1895" i="68" s="1"/>
  <c r="AK1895" i="68" s="1"/>
  <c r="AL1895" i="68" s="1"/>
  <c r="AN1895" i="68" s="1"/>
  <c r="AB1906" i="68"/>
  <c r="AC1906" i="68" s="1"/>
  <c r="AE1906" i="68" s="1"/>
  <c r="AF1906" i="68" s="1"/>
  <c r="AH1906" i="68" s="1"/>
  <c r="AI1906" i="68" s="1"/>
  <c r="AK1906" i="68" s="1"/>
  <c r="AL1906" i="68" s="1"/>
  <c r="AN1906" i="68" s="1"/>
  <c r="AB1902" i="68"/>
  <c r="AC1902" i="68" s="1"/>
  <c r="AE1902" i="68" s="1"/>
  <c r="R89" i="32"/>
  <c r="R88" i="32"/>
  <c r="AE24" i="114" l="1"/>
  <c r="AC619" i="114"/>
  <c r="AF24" i="114" l="1"/>
  <c r="AE619" i="114"/>
  <c r="AH24" i="114" l="1"/>
  <c r="AF619" i="114"/>
  <c r="AH619" i="114" l="1"/>
  <c r="H1920" i="68" l="1"/>
  <c r="B684" i="68"/>
  <c r="H98" i="114"/>
  <c r="H112" i="114"/>
  <c r="H684" i="68" l="1"/>
  <c r="H321" i="114"/>
  <c r="G265" i="114"/>
  <c r="H263" i="114"/>
  <c r="G263" i="114" l="1"/>
  <c r="H265" i="114"/>
  <c r="G321" i="114"/>
  <c r="Q374" i="115"/>
  <c r="S1441" i="68" l="1"/>
  <c r="AL36" i="6" l="1"/>
  <c r="E145" i="6"/>
  <c r="F141" i="6"/>
  <c r="E141" i="6"/>
  <c r="H1040" i="115" l="1"/>
  <c r="H1041" i="115"/>
  <c r="G1041" i="115" l="1"/>
  <c r="W1141" i="115"/>
  <c r="W1139" i="115"/>
  <c r="W1133" i="115"/>
  <c r="W1126" i="115"/>
  <c r="W1095" i="115"/>
  <c r="W1065" i="115"/>
  <c r="H368" i="114" l="1"/>
  <c r="H747" i="114"/>
  <c r="H714" i="115" l="1"/>
  <c r="H708" i="114" l="1"/>
  <c r="H722" i="114" l="1"/>
  <c r="H558" i="115" l="1"/>
  <c r="H48" i="115"/>
  <c r="Q89" i="32" l="1"/>
  <c r="M89" i="32"/>
  <c r="R92" i="32"/>
  <c r="Q92" i="32"/>
  <c r="M92" i="32"/>
  <c r="R90" i="32"/>
  <c r="Q90" i="32"/>
  <c r="M90" i="32"/>
  <c r="R85" i="32"/>
  <c r="Q85" i="32"/>
  <c r="M85" i="32"/>
  <c r="S90" i="32" l="1"/>
  <c r="S89" i="32"/>
  <c r="S92" i="32"/>
  <c r="S85" i="32"/>
  <c r="H449" i="68" l="1"/>
  <c r="H210" i="115" l="1"/>
  <c r="S1273" i="39" l="1"/>
  <c r="R1273" i="39"/>
  <c r="S967" i="39" l="1"/>
  <c r="R967" i="39"/>
  <c r="H316" i="115" l="1"/>
  <c r="H328" i="115"/>
  <c r="G210" i="115"/>
  <c r="G449" i="68"/>
  <c r="H450" i="68" s="1"/>
  <c r="Z645" i="115"/>
  <c r="H1667" i="68"/>
  <c r="S781" i="68"/>
  <c r="R781" i="68"/>
  <c r="Q781" i="68"/>
  <c r="O781" i="68"/>
  <c r="M781" i="68"/>
  <c r="V781" i="68" s="1"/>
  <c r="J781" i="68"/>
  <c r="H780" i="68"/>
  <c r="H775" i="68"/>
  <c r="H774" i="68"/>
  <c r="H773" i="68"/>
  <c r="H770" i="68"/>
  <c r="H769" i="68"/>
  <c r="H768" i="68"/>
  <c r="H767" i="68"/>
  <c r="H766" i="68"/>
  <c r="H763" i="68"/>
  <c r="H762" i="68"/>
  <c r="H761" i="68"/>
  <c r="H760" i="68"/>
  <c r="H759" i="68"/>
  <c r="H758" i="68"/>
  <c r="H757" i="68"/>
  <c r="H756" i="68"/>
  <c r="H776" i="68"/>
  <c r="H777" i="68"/>
  <c r="D19" i="9"/>
  <c r="C15" i="6"/>
  <c r="H92" i="114"/>
  <c r="H84" i="114"/>
  <c r="H80" i="114"/>
  <c r="H74" i="114"/>
  <c r="H76" i="114"/>
  <c r="H79" i="114"/>
  <c r="H203" i="114"/>
  <c r="H176" i="114"/>
  <c r="H167" i="114"/>
  <c r="H1186" i="68"/>
  <c r="H1461" i="68"/>
  <c r="H1509" i="68"/>
  <c r="H1478" i="68"/>
  <c r="H1512" i="68"/>
  <c r="H1567" i="68"/>
  <c r="H1876" i="68"/>
  <c r="H1868" i="68"/>
  <c r="H1680" i="68"/>
  <c r="H1670" i="68"/>
  <c r="H1859" i="68"/>
  <c r="H1917" i="68"/>
  <c r="H382" i="68"/>
  <c r="H393" i="68"/>
  <c r="H435" i="68"/>
  <c r="H436" i="68"/>
  <c r="H437" i="68"/>
  <c r="H445" i="68"/>
  <c r="H444" i="68"/>
  <c r="H443" i="68"/>
  <c r="H442" i="68"/>
  <c r="H441" i="68"/>
  <c r="H492" i="68"/>
  <c r="H660" i="68"/>
  <c r="B660" i="68"/>
  <c r="H647" i="68"/>
  <c r="B647" i="68"/>
  <c r="H1036" i="68"/>
  <c r="H1059" i="68"/>
  <c r="H1100" i="68"/>
  <c r="H900" i="68"/>
  <c r="H1323" i="68"/>
  <c r="H1157" i="68"/>
  <c r="H1884" i="68"/>
  <c r="H1869" i="68"/>
  <c r="W29" i="9"/>
  <c r="X31" i="6"/>
  <c r="X24" i="6"/>
  <c r="X32" i="6"/>
  <c r="X26" i="6"/>
  <c r="E140" i="6"/>
  <c r="F140" i="6"/>
  <c r="H744" i="114"/>
  <c r="H746" i="114"/>
  <c r="H959" i="115"/>
  <c r="H950" i="115"/>
  <c r="H849" i="115"/>
  <c r="H492" i="114"/>
  <c r="H491" i="114"/>
  <c r="Z643" i="115"/>
  <c r="G643" i="115"/>
  <c r="H134" i="115"/>
  <c r="H338" i="68"/>
  <c r="H696" i="68"/>
  <c r="H90" i="68"/>
  <c r="S1394" i="39"/>
  <c r="R1394" i="39"/>
  <c r="S1393" i="39"/>
  <c r="R1393" i="39"/>
  <c r="S1385" i="39"/>
  <c r="R1385" i="39"/>
  <c r="S1384" i="39"/>
  <c r="R1384" i="39"/>
  <c r="S1372" i="39"/>
  <c r="R1372" i="39"/>
  <c r="H702" i="114"/>
  <c r="H701" i="114"/>
  <c r="H697" i="114"/>
  <c r="H696" i="114"/>
  <c r="H693" i="114"/>
  <c r="H692" i="114"/>
  <c r="H691" i="114"/>
  <c r="G677" i="114"/>
  <c r="G35" i="115"/>
  <c r="Z647" i="115"/>
  <c r="G647" i="115"/>
  <c r="H662" i="114"/>
  <c r="G657" i="114"/>
  <c r="H847" i="115"/>
  <c r="H791" i="115"/>
  <c r="H516" i="114"/>
  <c r="H99" i="114"/>
  <c r="H97" i="114"/>
  <c r="H101" i="114"/>
  <c r="G81" i="114"/>
  <c r="H247" i="114"/>
  <c r="H216" i="114"/>
  <c r="H215" i="114"/>
  <c r="H214" i="114"/>
  <c r="H213" i="114"/>
  <c r="H212" i="114"/>
  <c r="H1113" i="68"/>
  <c r="H1075" i="68"/>
  <c r="H918" i="68"/>
  <c r="H896" i="68"/>
  <c r="AK53" i="6"/>
  <c r="AK54" i="6" s="1"/>
  <c r="AI54" i="6"/>
  <c r="H1767" i="68"/>
  <c r="S889" i="39"/>
  <c r="R889" i="39"/>
  <c r="R12" i="32"/>
  <c r="Q12" i="32"/>
  <c r="M12" i="32"/>
  <c r="Q13" i="32"/>
  <c r="R13" i="32"/>
  <c r="I56" i="6"/>
  <c r="G679" i="114"/>
  <c r="S1364" i="39"/>
  <c r="R1364" i="39"/>
  <c r="H963" i="115"/>
  <c r="S1302" i="39"/>
  <c r="R1302" i="39"/>
  <c r="H640" i="114"/>
  <c r="H1676" i="68"/>
  <c r="V96" i="39"/>
  <c r="H91" i="68"/>
  <c r="H332" i="114"/>
  <c r="H355" i="114"/>
  <c r="S1067" i="39"/>
  <c r="R1067" i="39"/>
  <c r="H707" i="114"/>
  <c r="H1259" i="68"/>
  <c r="T14" i="68"/>
  <c r="Y14" i="68" s="1"/>
  <c r="Z14" i="68" s="1"/>
  <c r="T18" i="68"/>
  <c r="Y18" i="68" s="1"/>
  <c r="Z18" i="68" s="1"/>
  <c r="T22" i="68"/>
  <c r="Y22" i="68" s="1"/>
  <c r="Z22" i="68" s="1"/>
  <c r="T27" i="68"/>
  <c r="Y27" i="68" s="1"/>
  <c r="Z27" i="68" s="1"/>
  <c r="T30" i="68"/>
  <c r="Y30" i="68" s="1"/>
  <c r="Z30" i="68" s="1"/>
  <c r="T35" i="68"/>
  <c r="Y35" i="68" s="1"/>
  <c r="Z35" i="68" s="1"/>
  <c r="T47" i="68"/>
  <c r="T50" i="68"/>
  <c r="Y50" i="68" s="1"/>
  <c r="Z50" i="68" s="1"/>
  <c r="AB50" i="68" s="1"/>
  <c r="T55" i="68"/>
  <c r="Y55" i="68" s="1"/>
  <c r="Z55" i="68" s="1"/>
  <c r="AB55" i="68" s="1"/>
  <c r="T59" i="68"/>
  <c r="Y59" i="68" s="1"/>
  <c r="Z59" i="68" s="1"/>
  <c r="AB59" i="68" s="1"/>
  <c r="T63" i="68"/>
  <c r="Y63" i="68" s="1"/>
  <c r="Z63" i="68" s="1"/>
  <c r="AB63" i="68" s="1"/>
  <c r="T71" i="68"/>
  <c r="Y71" i="68" s="1"/>
  <c r="Z71" i="68" s="1"/>
  <c r="AB71" i="68" s="1"/>
  <c r="T82" i="68"/>
  <c r="Y82" i="68" s="1"/>
  <c r="Z82" i="68" s="1"/>
  <c r="T90" i="68"/>
  <c r="T78" i="68"/>
  <c r="T87" i="68"/>
  <c r="T141" i="68"/>
  <c r="T130" i="114"/>
  <c r="U130" i="114" s="1"/>
  <c r="T165" i="114"/>
  <c r="U165" i="114" s="1"/>
  <c r="T80" i="114"/>
  <c r="U80" i="114" s="1"/>
  <c r="T339" i="68"/>
  <c r="U339" i="68" s="1"/>
  <c r="T515" i="68"/>
  <c r="U515" i="68" s="1"/>
  <c r="T516" i="68"/>
  <c r="U516" i="68" s="1"/>
  <c r="T517" i="68"/>
  <c r="U517" i="68" s="1"/>
  <c r="T518" i="68"/>
  <c r="U518" i="68" s="1"/>
  <c r="T520" i="68"/>
  <c r="U520" i="68" s="1"/>
  <c r="T523" i="68"/>
  <c r="U523" i="68" s="1"/>
  <c r="T524" i="68"/>
  <c r="U524" i="68" s="1"/>
  <c r="T528" i="68"/>
  <c r="U528" i="68" s="1"/>
  <c r="T530" i="68"/>
  <c r="U530" i="68" s="1"/>
  <c r="T591" i="68"/>
  <c r="T606" i="68"/>
  <c r="U606" i="68" s="1"/>
  <c r="T612" i="68"/>
  <c r="T694" i="68"/>
  <c r="T696" i="68"/>
  <c r="U696" i="68" s="1"/>
  <c r="T712" i="68"/>
  <c r="U712" i="68" s="1"/>
  <c r="T656" i="114"/>
  <c r="T682" i="114"/>
  <c r="T686" i="114"/>
  <c r="T836" i="68"/>
  <c r="T844" i="68"/>
  <c r="T853" i="68"/>
  <c r="T862" i="68"/>
  <c r="T870" i="68"/>
  <c r="T956" i="68"/>
  <c r="T983" i="68"/>
  <c r="U983" i="68" s="1"/>
  <c r="T992" i="68"/>
  <c r="T998" i="68"/>
  <c r="U998" i="68" s="1"/>
  <c r="T1001" i="68"/>
  <c r="T1016" i="68"/>
  <c r="T1023" i="68"/>
  <c r="U1023" i="68" s="1"/>
  <c r="T1044" i="68"/>
  <c r="T1123" i="68"/>
  <c r="T1132" i="68"/>
  <c r="T1146" i="68"/>
  <c r="T1165" i="68"/>
  <c r="T1218" i="68"/>
  <c r="U1218" i="68" s="1"/>
  <c r="T1236" i="68"/>
  <c r="U1236" i="68" s="1"/>
  <c r="T1344" i="68"/>
  <c r="T1346" i="68"/>
  <c r="T1373" i="68"/>
  <c r="U1373" i="68" s="1"/>
  <c r="T1377" i="68"/>
  <c r="U1377" i="68" s="1"/>
  <c r="T1392" i="68"/>
  <c r="U1392" i="68" s="1"/>
  <c r="T1417" i="68"/>
  <c r="U1417" i="68" s="1"/>
  <c r="T1419" i="68"/>
  <c r="T1428" i="68"/>
  <c r="T1437" i="68"/>
  <c r="T1525" i="68"/>
  <c r="Y1525" i="68" s="1"/>
  <c r="Z1525" i="68" s="1"/>
  <c r="T1536" i="68"/>
  <c r="Y1536" i="68" s="1"/>
  <c r="Z1536" i="68" s="1"/>
  <c r="AB1536" i="68" s="1"/>
  <c r="T1539" i="68"/>
  <c r="T1542" i="68"/>
  <c r="Y1542" i="68" s="1"/>
  <c r="Z1542" i="68" s="1"/>
  <c r="AB1542" i="68" s="1"/>
  <c r="T1554" i="68"/>
  <c r="Y1554" i="68" s="1"/>
  <c r="Z1554" i="68" s="1"/>
  <c r="AB1554" i="68" s="1"/>
  <c r="T1555" i="68"/>
  <c r="Y1555" i="68" s="1"/>
  <c r="Z1555" i="68" s="1"/>
  <c r="AB1555" i="68" s="1"/>
  <c r="T1581" i="68"/>
  <c r="T1587" i="68"/>
  <c r="T1593" i="68"/>
  <c r="T1605" i="68"/>
  <c r="T1622" i="68"/>
  <c r="U1622" i="68" s="1"/>
  <c r="T1626" i="68"/>
  <c r="U1626" i="68" s="1"/>
  <c r="T1661" i="68"/>
  <c r="U1661" i="68" s="1"/>
  <c r="T1663" i="68"/>
  <c r="T1673" i="68"/>
  <c r="T1705" i="68"/>
  <c r="T1722" i="68"/>
  <c r="U1722" i="68" s="1"/>
  <c r="T1715" i="68"/>
  <c r="T1725" i="68"/>
  <c r="T1744" i="68"/>
  <c r="U1744" i="68" s="1"/>
  <c r="T1746" i="68"/>
  <c r="T1756" i="68"/>
  <c r="T1765" i="68"/>
  <c r="T1773" i="68"/>
  <c r="T1793" i="68"/>
  <c r="T1893" i="68"/>
  <c r="T1894" i="68"/>
  <c r="Y1894" i="68" s="1"/>
  <c r="Z1894" i="68" s="1"/>
  <c r="T1909" i="68"/>
  <c r="T1919" i="68"/>
  <c r="Y1919" i="68" s="1"/>
  <c r="Z1919" i="68" s="1"/>
  <c r="AB1919" i="68" s="1"/>
  <c r="T1920" i="68"/>
  <c r="T14" i="114"/>
  <c r="Y14" i="114" s="1"/>
  <c r="Z14" i="114" s="1"/>
  <c r="AB14" i="114" s="1"/>
  <c r="T19" i="114"/>
  <c r="Y19" i="114" s="1"/>
  <c r="Z19" i="114" s="1"/>
  <c r="AB19" i="114" s="1"/>
  <c r="AC19" i="114" s="1"/>
  <c r="AE19" i="114" s="1"/>
  <c r="T154" i="114"/>
  <c r="T157" i="114"/>
  <c r="T161" i="114"/>
  <c r="T212" i="114"/>
  <c r="U212" i="114" s="1"/>
  <c r="T213" i="114"/>
  <c r="U213" i="114" s="1"/>
  <c r="T214" i="114"/>
  <c r="U214" i="114" s="1"/>
  <c r="T222" i="114"/>
  <c r="U222" i="114" s="1"/>
  <c r="T246" i="114"/>
  <c r="U246" i="114" s="1"/>
  <c r="T256" i="114"/>
  <c r="T265" i="114"/>
  <c r="T273" i="114"/>
  <c r="T77" i="114"/>
  <c r="U77" i="114" s="1"/>
  <c r="T78" i="114"/>
  <c r="U78" i="114" s="1"/>
  <c r="T82" i="114"/>
  <c r="U82" i="114" s="1"/>
  <c r="T85" i="114"/>
  <c r="U85" i="114" s="1"/>
  <c r="T87" i="114"/>
  <c r="U87" i="114" s="1"/>
  <c r="T93" i="114"/>
  <c r="U93" i="114" s="1"/>
  <c r="T101" i="114"/>
  <c r="U101" i="114" s="1"/>
  <c r="T109" i="114"/>
  <c r="U109" i="114" s="1"/>
  <c r="T118" i="114"/>
  <c r="U118" i="114" s="1"/>
  <c r="T291" i="114"/>
  <c r="T293" i="114"/>
  <c r="T296" i="114"/>
  <c r="T306" i="114"/>
  <c r="T307" i="114"/>
  <c r="U307" i="114" s="1"/>
  <c r="T320" i="114"/>
  <c r="Y320" i="114" s="1"/>
  <c r="Z320" i="114" s="1"/>
  <c r="AB320" i="114" s="1"/>
  <c r="T322" i="114"/>
  <c r="Y322" i="114" s="1"/>
  <c r="Z322" i="114" s="1"/>
  <c r="AB322" i="114" s="1"/>
  <c r="T324" i="114"/>
  <c r="Y324" i="114" s="1"/>
  <c r="Z324" i="114" s="1"/>
  <c r="AB324" i="114" s="1"/>
  <c r="AC324" i="114" s="1"/>
  <c r="AE324" i="114" s="1"/>
  <c r="AF324" i="114" s="1"/>
  <c r="AH324" i="114" s="1"/>
  <c r="T326" i="114"/>
  <c r="T327" i="114"/>
  <c r="Y327" i="114" s="1"/>
  <c r="Z327" i="114" s="1"/>
  <c r="AB327" i="114" s="1"/>
  <c r="AC327" i="114" s="1"/>
  <c r="AE327" i="114" s="1"/>
  <c r="T339" i="114"/>
  <c r="Y339" i="114" s="1"/>
  <c r="Z339" i="114" s="1"/>
  <c r="AB339" i="114" s="1"/>
  <c r="T343" i="114"/>
  <c r="Y343" i="114" s="1"/>
  <c r="Z343" i="114" s="1"/>
  <c r="AB343" i="114" s="1"/>
  <c r="T353" i="114"/>
  <c r="T397" i="114"/>
  <c r="Y397" i="114" s="1"/>
  <c r="T398" i="114"/>
  <c r="Y398" i="114" s="1"/>
  <c r="T399" i="114"/>
  <c r="Y399" i="114" s="1"/>
  <c r="T401" i="114"/>
  <c r="T402" i="114"/>
  <c r="T404" i="114"/>
  <c r="Y404" i="114" s="1"/>
  <c r="Z404" i="114" s="1"/>
  <c r="AB404" i="114" s="1"/>
  <c r="AC404" i="114" s="1"/>
  <c r="AE404" i="114" s="1"/>
  <c r="T432" i="114"/>
  <c r="U432" i="114" s="1"/>
  <c r="T438" i="114"/>
  <c r="U438" i="114" s="1"/>
  <c r="T445" i="114"/>
  <c r="U445" i="114" s="1"/>
  <c r="T459" i="114"/>
  <c r="U459" i="114" s="1"/>
  <c r="T468" i="114"/>
  <c r="T544" i="114"/>
  <c r="T545" i="114"/>
  <c r="T733" i="115"/>
  <c r="T737" i="115"/>
  <c r="T740" i="115"/>
  <c r="T741" i="115"/>
  <c r="T742" i="115"/>
  <c r="T745" i="115"/>
  <c r="T748" i="115"/>
  <c r="T749" i="115"/>
  <c r="T750" i="115"/>
  <c r="T752" i="115"/>
  <c r="T754" i="115"/>
  <c r="T755" i="115"/>
  <c r="T756" i="115"/>
  <c r="T759" i="115"/>
  <c r="U759" i="115" s="1"/>
  <c r="T760" i="115"/>
  <c r="T763" i="115"/>
  <c r="T777" i="115"/>
  <c r="T789" i="115"/>
  <c r="T790" i="115"/>
  <c r="U790" i="115" s="1"/>
  <c r="T792" i="115"/>
  <c r="U792" i="115" s="1"/>
  <c r="T35" i="114"/>
  <c r="T842" i="115"/>
  <c r="U842" i="115" s="1"/>
  <c r="T849" i="115"/>
  <c r="U849" i="115" s="1"/>
  <c r="T854" i="115"/>
  <c r="U854" i="115" s="1"/>
  <c r="T889" i="115"/>
  <c r="U889" i="115" s="1"/>
  <c r="T117" i="114"/>
  <c r="U117" i="114" s="1"/>
  <c r="T950" i="115"/>
  <c r="U950" i="115" s="1"/>
  <c r="T952" i="115"/>
  <c r="U952" i="115" s="1"/>
  <c r="T959" i="115"/>
  <c r="U959" i="115" s="1"/>
  <c r="T1031" i="115"/>
  <c r="T1041" i="115"/>
  <c r="U1041" i="115" s="1"/>
  <c r="T584" i="114"/>
  <c r="Y584" i="114" s="1"/>
  <c r="Z584" i="114" s="1"/>
  <c r="AB584" i="114" s="1"/>
  <c r="AC584" i="114" s="1"/>
  <c r="AE584" i="114" s="1"/>
  <c r="AF584" i="114" s="1"/>
  <c r="AH584" i="114" s="1"/>
  <c r="T586" i="114"/>
  <c r="Y586" i="114" s="1"/>
  <c r="Z586" i="114" s="1"/>
  <c r="AB586" i="114" s="1"/>
  <c r="AC586" i="114" s="1"/>
  <c r="AE586" i="114" s="1"/>
  <c r="AF586" i="114" s="1"/>
  <c r="AH586" i="114" s="1"/>
  <c r="T590" i="114"/>
  <c r="T591" i="114"/>
  <c r="Y591" i="114" s="1"/>
  <c r="Z591" i="114" s="1"/>
  <c r="AB591" i="114" s="1"/>
  <c r="AC591" i="114" s="1"/>
  <c r="AE591" i="114" s="1"/>
  <c r="T610" i="114"/>
  <c r="U610" i="114" s="1"/>
  <c r="U619" i="114"/>
  <c r="T620" i="114"/>
  <c r="Y620" i="114" s="1"/>
  <c r="T621" i="114"/>
  <c r="Y621" i="114" s="1"/>
  <c r="Z621" i="114" s="1"/>
  <c r="AB621" i="114" s="1"/>
  <c r="AC621" i="114" s="1"/>
  <c r="AE621" i="114" s="1"/>
  <c r="AF621" i="114" s="1"/>
  <c r="AH621" i="114" s="1"/>
  <c r="T623" i="114"/>
  <c r="T626" i="114"/>
  <c r="U626" i="114" s="1"/>
  <c r="T634" i="114"/>
  <c r="T635" i="114"/>
  <c r="T636" i="114"/>
  <c r="T640" i="114"/>
  <c r="U640" i="114" s="1"/>
  <c r="T650" i="114"/>
  <c r="Y650" i="114" s="1"/>
  <c r="T652" i="114"/>
  <c r="T655" i="114"/>
  <c r="Y655" i="114" s="1"/>
  <c r="Z655" i="114" s="1"/>
  <c r="AB655" i="114" s="1"/>
  <c r="AC655" i="114" s="1"/>
  <c r="AE655" i="114" s="1"/>
  <c r="T657" i="114"/>
  <c r="Y657" i="114" s="1"/>
  <c r="Z657" i="114" s="1"/>
  <c r="AB657" i="114" s="1"/>
  <c r="AC657" i="114" s="1"/>
  <c r="AE657" i="114" s="1"/>
  <c r="AF657" i="114" s="1"/>
  <c r="AH657" i="114" s="1"/>
  <c r="AI657" i="114" s="1"/>
  <c r="AK657" i="114" s="1"/>
  <c r="AL657" i="114" s="1"/>
  <c r="AN657" i="114" s="1"/>
  <c r="T661" i="114"/>
  <c r="T662" i="114"/>
  <c r="T676" i="114"/>
  <c r="Y676" i="114" s="1"/>
  <c r="T678" i="114"/>
  <c r="Y678" i="114" s="1"/>
  <c r="T679" i="114"/>
  <c r="Y679" i="114" s="1"/>
  <c r="T680" i="114"/>
  <c r="Y680" i="114" s="1"/>
  <c r="T685" i="114"/>
  <c r="Y685" i="114" s="1"/>
  <c r="Z685" i="114" s="1"/>
  <c r="AB685" i="114" s="1"/>
  <c r="AC685" i="114" s="1"/>
  <c r="AE685" i="114" s="1"/>
  <c r="T708" i="114"/>
  <c r="Y708" i="114" s="1"/>
  <c r="Z708" i="114" s="1"/>
  <c r="AB708" i="114" s="1"/>
  <c r="T715" i="114"/>
  <c r="T725" i="114"/>
  <c r="Z725" i="114" s="1"/>
  <c r="AB725" i="114" s="1"/>
  <c r="AC725" i="114" s="1"/>
  <c r="AE725" i="114" s="1"/>
  <c r="T740" i="114"/>
  <c r="Y740" i="114" s="1"/>
  <c r="Z740" i="114" s="1"/>
  <c r="AB740" i="114" s="1"/>
  <c r="AC740" i="114" s="1"/>
  <c r="AE740" i="114" s="1"/>
  <c r="T736" i="114"/>
  <c r="Y736" i="114" s="1"/>
  <c r="T747" i="114"/>
  <c r="Y747" i="114" s="1"/>
  <c r="Z747" i="114" s="1"/>
  <c r="AB747" i="114" s="1"/>
  <c r="AC747" i="114" s="1"/>
  <c r="AE747" i="114" s="1"/>
  <c r="T746" i="114"/>
  <c r="T11" i="115"/>
  <c r="T12" i="115"/>
  <c r="T14" i="115"/>
  <c r="T16" i="115"/>
  <c r="T18" i="115"/>
  <c r="T20" i="115"/>
  <c r="T21" i="115"/>
  <c r="T22" i="115"/>
  <c r="T23" i="115"/>
  <c r="T24" i="115"/>
  <c r="T25" i="115"/>
  <c r="T26" i="115"/>
  <c r="T28" i="115"/>
  <c r="T30" i="115"/>
  <c r="T32" i="115"/>
  <c r="U32" i="115" s="1"/>
  <c r="T34" i="115"/>
  <c r="T98" i="115"/>
  <c r="U98" i="115" s="1"/>
  <c r="T101" i="115"/>
  <c r="U101" i="115" s="1"/>
  <c r="T134" i="115"/>
  <c r="U134" i="115" s="1"/>
  <c r="T140" i="115"/>
  <c r="U140" i="115" s="1"/>
  <c r="T141" i="115"/>
  <c r="U141" i="115" s="1"/>
  <c r="T217" i="115"/>
  <c r="T254" i="115"/>
  <c r="U254" i="115" s="1"/>
  <c r="T261" i="115"/>
  <c r="U261" i="115" s="1"/>
  <c r="T267" i="115"/>
  <c r="U267" i="115" s="1"/>
  <c r="T385" i="115"/>
  <c r="U385" i="115" s="1"/>
  <c r="T413" i="115"/>
  <c r="U413" i="115" s="1"/>
  <c r="T641" i="115"/>
  <c r="T642" i="115"/>
  <c r="T645" i="115"/>
  <c r="U645" i="115" s="1"/>
  <c r="T646" i="115"/>
  <c r="T648" i="115"/>
  <c r="U648" i="115" s="1"/>
  <c r="H725" i="114"/>
  <c r="H459" i="114"/>
  <c r="H427" i="114"/>
  <c r="H489" i="115"/>
  <c r="H418" i="115"/>
  <c r="H1768" i="68"/>
  <c r="Z716" i="115"/>
  <c r="Z683" i="115"/>
  <c r="Z679" i="115"/>
  <c r="Z688" i="115"/>
  <c r="Z680" i="115"/>
  <c r="Z672" i="115"/>
  <c r="S929" i="39"/>
  <c r="R929" i="39"/>
  <c r="S493" i="39"/>
  <c r="R493" i="39"/>
  <c r="S424" i="39"/>
  <c r="R424" i="39"/>
  <c r="G537" i="68"/>
  <c r="D18" i="9"/>
  <c r="AN26" i="6"/>
  <c r="C14" i="6"/>
  <c r="M141" i="32"/>
  <c r="K140" i="32"/>
  <c r="M140" i="32" s="1"/>
  <c r="K139" i="32"/>
  <c r="M139" i="32" s="1"/>
  <c r="M27" i="3"/>
  <c r="K138" i="32"/>
  <c r="L102" i="32"/>
  <c r="M102" i="32" s="1"/>
  <c r="R76" i="32"/>
  <c r="R162" i="32" s="1"/>
  <c r="Q76" i="32"/>
  <c r="Q162" i="32" s="1"/>
  <c r="M76" i="32"/>
  <c r="M162" i="32" s="1"/>
  <c r="M93" i="32"/>
  <c r="M88" i="32"/>
  <c r="M87" i="32"/>
  <c r="M86" i="32"/>
  <c r="M82" i="32"/>
  <c r="G645" i="115"/>
  <c r="G78" i="114"/>
  <c r="H77" i="114"/>
  <c r="G75" i="114"/>
  <c r="X6" i="9"/>
  <c r="W6" i="9"/>
  <c r="M13" i="32"/>
  <c r="H1894" i="68"/>
  <c r="S954" i="39"/>
  <c r="R954" i="39"/>
  <c r="G578" i="115"/>
  <c r="H488" i="115"/>
  <c r="H360" i="115"/>
  <c r="H417" i="115"/>
  <c r="S1644" i="39"/>
  <c r="R1644" i="39"/>
  <c r="S1684" i="39"/>
  <c r="R1684" i="39"/>
  <c r="H291" i="115"/>
  <c r="P67" i="6"/>
  <c r="Y28" i="6"/>
  <c r="E139" i="6"/>
  <c r="F139" i="6"/>
  <c r="H848" i="115"/>
  <c r="S1299" i="39"/>
  <c r="R1299" i="39"/>
  <c r="H709" i="114"/>
  <c r="Q48" i="6"/>
  <c r="K3" i="9"/>
  <c r="K5" i="9"/>
  <c r="K4" i="9"/>
  <c r="H710" i="114"/>
  <c r="H571" i="68"/>
  <c r="G574" i="114"/>
  <c r="H250" i="68"/>
  <c r="H675" i="68"/>
  <c r="B675" i="68"/>
  <c r="H817" i="68"/>
  <c r="H712" i="68"/>
  <c r="H1024" i="68"/>
  <c r="H1109" i="68"/>
  <c r="H1092" i="68"/>
  <c r="H603" i="114"/>
  <c r="H487" i="114"/>
  <c r="H306" i="114"/>
  <c r="S1092" i="39"/>
  <c r="R1092" i="39"/>
  <c r="S957" i="39"/>
  <c r="R957" i="39"/>
  <c r="H1033" i="115"/>
  <c r="R1793" i="39"/>
  <c r="O1793" i="39"/>
  <c r="H1385" i="68"/>
  <c r="H180" i="68"/>
  <c r="H1910" i="68"/>
  <c r="H80" i="68"/>
  <c r="H1014" i="68"/>
  <c r="S1071" i="39"/>
  <c r="R1071" i="39"/>
  <c r="H104" i="114"/>
  <c r="H109" i="114"/>
  <c r="H108" i="114"/>
  <c r="H107" i="114"/>
  <c r="H106" i="114"/>
  <c r="H105" i="114"/>
  <c r="H103" i="114"/>
  <c r="S1090" i="39"/>
  <c r="R1090" i="39"/>
  <c r="S1089" i="39"/>
  <c r="R1089" i="39"/>
  <c r="S1088" i="39"/>
  <c r="R1088" i="39"/>
  <c r="S1087" i="39"/>
  <c r="R1087" i="39"/>
  <c r="S1086" i="39"/>
  <c r="R1086" i="39"/>
  <c r="S1085" i="39"/>
  <c r="R1085" i="39"/>
  <c r="S1084" i="39"/>
  <c r="R1084" i="39"/>
  <c r="H340" i="114"/>
  <c r="H342" i="114"/>
  <c r="H336" i="114"/>
  <c r="H335" i="114"/>
  <c r="H334" i="114"/>
  <c r="H333" i="114"/>
  <c r="H331" i="114"/>
  <c r="H46" i="115"/>
  <c r="AA312" i="114"/>
  <c r="Z310" i="114"/>
  <c r="H1153" i="68"/>
  <c r="S578" i="39"/>
  <c r="R578" i="39"/>
  <c r="T1197" i="68"/>
  <c r="T1253" i="68"/>
  <c r="T1336" i="68"/>
  <c r="H679" i="115"/>
  <c r="H570" i="68"/>
  <c r="H863" i="68"/>
  <c r="H1244" i="68"/>
  <c r="H992" i="115"/>
  <c r="H844" i="115"/>
  <c r="S1779" i="39"/>
  <c r="S1778" i="39"/>
  <c r="S1777" i="39"/>
  <c r="S1776" i="39"/>
  <c r="V55" i="6"/>
  <c r="V59" i="6" s="1"/>
  <c r="V60" i="6" s="1"/>
  <c r="R37" i="32"/>
  <c r="Q37" i="32"/>
  <c r="M37" i="32"/>
  <c r="R36" i="32"/>
  <c r="Q36" i="32"/>
  <c r="M36" i="32"/>
  <c r="R35" i="32"/>
  <c r="Q35" i="32"/>
  <c r="M35" i="32"/>
  <c r="R34" i="32"/>
  <c r="Q34" i="32"/>
  <c r="M34" i="32"/>
  <c r="R33" i="32"/>
  <c r="Q33" i="32"/>
  <c r="M33" i="32"/>
  <c r="R32" i="32"/>
  <c r="Q32" i="32"/>
  <c r="M32" i="32"/>
  <c r="R31" i="32"/>
  <c r="Q31" i="32"/>
  <c r="M31" i="32"/>
  <c r="R40" i="32"/>
  <c r="Q40" i="32"/>
  <c r="M40" i="32"/>
  <c r="R39" i="32"/>
  <c r="Q39" i="32"/>
  <c r="M39" i="32"/>
  <c r="R38" i="32"/>
  <c r="Q38" i="32"/>
  <c r="M38" i="32"/>
  <c r="H303" i="68"/>
  <c r="S1775" i="39"/>
  <c r="S1774" i="39"/>
  <c r="S1773" i="39"/>
  <c r="S1772" i="39"/>
  <c r="R129" i="32"/>
  <c r="Q129" i="32"/>
  <c r="M129" i="32"/>
  <c r="R16" i="32"/>
  <c r="Q16" i="32"/>
  <c r="M16" i="32"/>
  <c r="R9" i="32"/>
  <c r="Q9" i="32"/>
  <c r="L147" i="32"/>
  <c r="M147" i="32" s="1"/>
  <c r="L146" i="32"/>
  <c r="M146" i="32" s="1"/>
  <c r="L145" i="32"/>
  <c r="M145" i="32" s="1"/>
  <c r="L144" i="32"/>
  <c r="M144" i="32" s="1"/>
  <c r="L143" i="32"/>
  <c r="M143" i="32" s="1"/>
  <c r="L142" i="32"/>
  <c r="M142" i="32" s="1"/>
  <c r="D44" i="9"/>
  <c r="R8" i="9"/>
  <c r="Q8" i="9"/>
  <c r="P8" i="9"/>
  <c r="O8" i="9"/>
  <c r="N8" i="9"/>
  <c r="M8" i="9"/>
  <c r="L8" i="9"/>
  <c r="K8" i="9"/>
  <c r="J8" i="9"/>
  <c r="R6" i="9"/>
  <c r="R5" i="9"/>
  <c r="R4" i="9"/>
  <c r="R3" i="9"/>
  <c r="R2" i="9"/>
  <c r="Q6" i="9"/>
  <c r="Q5" i="9"/>
  <c r="Q4" i="9"/>
  <c r="Q3" i="9"/>
  <c r="Q2" i="9"/>
  <c r="P6" i="9"/>
  <c r="P5" i="9"/>
  <c r="P4" i="9"/>
  <c r="P3" i="9"/>
  <c r="P2" i="9"/>
  <c r="O6" i="9"/>
  <c r="O5" i="9"/>
  <c r="O4" i="9"/>
  <c r="O3" i="9"/>
  <c r="O2" i="9"/>
  <c r="N6" i="9"/>
  <c r="N5" i="9"/>
  <c r="N4" i="9"/>
  <c r="N3" i="9"/>
  <c r="N2" i="9"/>
  <c r="M6" i="9"/>
  <c r="M5" i="9"/>
  <c r="M4" i="9"/>
  <c r="M3" i="9"/>
  <c r="M2" i="9"/>
  <c r="L5" i="9"/>
  <c r="L4" i="9"/>
  <c r="L3" i="9"/>
  <c r="K2" i="9"/>
  <c r="J2" i="9"/>
  <c r="I2" i="9"/>
  <c r="I8" i="9"/>
  <c r="I5" i="9"/>
  <c r="I4" i="9"/>
  <c r="I3" i="9"/>
  <c r="R138" i="32"/>
  <c r="R139" i="32"/>
  <c r="R140" i="32"/>
  <c r="R141" i="32"/>
  <c r="Q142" i="32"/>
  <c r="R142" i="32"/>
  <c r="Q143" i="32"/>
  <c r="R143" i="32"/>
  <c r="Q144" i="32"/>
  <c r="R144" i="32"/>
  <c r="Q145" i="32"/>
  <c r="R145" i="32"/>
  <c r="Q146" i="32"/>
  <c r="R146" i="32"/>
  <c r="Q147" i="32"/>
  <c r="R147" i="32"/>
  <c r="M30" i="32"/>
  <c r="M29" i="32"/>
  <c r="M26" i="32"/>
  <c r="M25" i="32"/>
  <c r="M24" i="32"/>
  <c r="M22" i="32"/>
  <c r="M21" i="32"/>
  <c r="M20" i="32"/>
  <c r="M19" i="32"/>
  <c r="M18" i="32"/>
  <c r="M17" i="32"/>
  <c r="M15" i="32"/>
  <c r="R93" i="32"/>
  <c r="Q93" i="32"/>
  <c r="Q88" i="32"/>
  <c r="R87" i="32"/>
  <c r="S87" i="32" s="1"/>
  <c r="R86" i="32"/>
  <c r="Q86" i="32"/>
  <c r="R82" i="32"/>
  <c r="Q82" i="32"/>
  <c r="R30" i="32"/>
  <c r="Q30" i="32"/>
  <c r="R29" i="32"/>
  <c r="Q29" i="32"/>
  <c r="R23" i="32"/>
  <c r="Q23" i="32"/>
  <c r="R22" i="32"/>
  <c r="Q22" i="32"/>
  <c r="R21" i="32"/>
  <c r="Q21" i="32"/>
  <c r="R20" i="32"/>
  <c r="Q20" i="32"/>
  <c r="R19" i="32"/>
  <c r="Q19" i="32"/>
  <c r="R18" i="32"/>
  <c r="Q18" i="32"/>
  <c r="R17" i="32"/>
  <c r="Q17" i="32"/>
  <c r="R15" i="32"/>
  <c r="Q15" i="32"/>
  <c r="R10" i="32"/>
  <c r="Q10" i="32"/>
  <c r="R8" i="32"/>
  <c r="Q8" i="32"/>
  <c r="X148" i="32"/>
  <c r="U148" i="32"/>
  <c r="W148" i="32"/>
  <c r="V148" i="32"/>
  <c r="Y148" i="32"/>
  <c r="K190" i="32"/>
  <c r="L190" i="32"/>
  <c r="K94" i="32"/>
  <c r="R189" i="32"/>
  <c r="Q189" i="32"/>
  <c r="M189" i="32"/>
  <c r="R187" i="32"/>
  <c r="Q187" i="32"/>
  <c r="M187" i="32"/>
  <c r="R186" i="32"/>
  <c r="Q186" i="32"/>
  <c r="M186" i="32"/>
  <c r="R185" i="32"/>
  <c r="Q185" i="32"/>
  <c r="M185" i="32"/>
  <c r="R184" i="32"/>
  <c r="Q184" i="32"/>
  <c r="M184" i="32"/>
  <c r="R183" i="32"/>
  <c r="Q183" i="32"/>
  <c r="M183" i="32"/>
  <c r="L177" i="32"/>
  <c r="R176" i="32"/>
  <c r="Q176" i="32"/>
  <c r="M176" i="32"/>
  <c r="R175" i="32"/>
  <c r="Q175" i="32"/>
  <c r="M175" i="32"/>
  <c r="R174" i="32"/>
  <c r="Q174" i="32"/>
  <c r="M174" i="32"/>
  <c r="R172" i="32"/>
  <c r="Q172" i="32"/>
  <c r="M172" i="32"/>
  <c r="L166" i="32"/>
  <c r="R165" i="32"/>
  <c r="Q165" i="32"/>
  <c r="M165" i="32"/>
  <c r="R164" i="32"/>
  <c r="Q164" i="32"/>
  <c r="M164" i="32"/>
  <c r="R163" i="32"/>
  <c r="Q163" i="32"/>
  <c r="R161" i="32"/>
  <c r="Q161" i="32"/>
  <c r="M161" i="32"/>
  <c r="L155" i="32"/>
  <c r="L132" i="32"/>
  <c r="R131" i="32"/>
  <c r="Q131" i="32"/>
  <c r="M131" i="32"/>
  <c r="R130" i="32"/>
  <c r="Q130" i="32"/>
  <c r="U130" i="32" s="1"/>
  <c r="M130" i="32"/>
  <c r="R128" i="32"/>
  <c r="Q128" i="32"/>
  <c r="M128" i="32"/>
  <c r="L122" i="32"/>
  <c r="R119" i="32"/>
  <c r="Q119" i="32"/>
  <c r="M119" i="32"/>
  <c r="R118" i="32"/>
  <c r="Q118" i="32"/>
  <c r="M118" i="32"/>
  <c r="R117" i="32"/>
  <c r="Q117" i="32"/>
  <c r="M117" i="32"/>
  <c r="R116" i="32"/>
  <c r="Q116" i="32"/>
  <c r="M116" i="32"/>
  <c r="R108" i="32"/>
  <c r="Q108" i="32"/>
  <c r="M108" i="32"/>
  <c r="R106" i="32"/>
  <c r="Q106" i="32"/>
  <c r="M106" i="32"/>
  <c r="R105" i="32"/>
  <c r="Q105" i="32"/>
  <c r="M105" i="32"/>
  <c r="R104" i="32"/>
  <c r="Q104" i="32"/>
  <c r="M104" i="32"/>
  <c r="R103" i="32"/>
  <c r="Q103" i="32"/>
  <c r="M103" i="32"/>
  <c r="Q102" i="32"/>
  <c r="R101" i="32"/>
  <c r="Q101" i="32"/>
  <c r="R100" i="32"/>
  <c r="Q100" i="32"/>
  <c r="M100" i="32"/>
  <c r="K110" i="32"/>
  <c r="K132" i="32"/>
  <c r="K166" i="32"/>
  <c r="M163" i="32"/>
  <c r="M101" i="32"/>
  <c r="K155" i="32"/>
  <c r="K177" i="32"/>
  <c r="L4" i="3"/>
  <c r="H102" i="3"/>
  <c r="H94" i="3"/>
  <c r="M5" i="3"/>
  <c r="L3" i="3"/>
  <c r="M15" i="3"/>
  <c r="M14" i="3"/>
  <c r="E27" i="103" s="1"/>
  <c r="E28" i="103" s="1"/>
  <c r="E29" i="103" s="1"/>
  <c r="E30" i="103" s="1"/>
  <c r="E31" i="103" s="1"/>
  <c r="E32" i="103" s="1"/>
  <c r="E33" i="103" s="1"/>
  <c r="E34" i="103" s="1"/>
  <c r="E35" i="103" s="1"/>
  <c r="M13" i="3"/>
  <c r="E36" i="103" s="1"/>
  <c r="M12" i="3"/>
  <c r="M11" i="3"/>
  <c r="E21" i="103" s="1"/>
  <c r="E22" i="103" s="1"/>
  <c r="E23" i="103" s="1"/>
  <c r="E24" i="103" s="1"/>
  <c r="E25" i="103" s="1"/>
  <c r="E26" i="103" s="1"/>
  <c r="M10" i="3"/>
  <c r="E9" i="103" s="1"/>
  <c r="E10" i="103" s="1"/>
  <c r="E11" i="103" s="1"/>
  <c r="E12" i="103" s="1"/>
  <c r="E13" i="103" s="1"/>
  <c r="E14" i="103" s="1"/>
  <c r="E15" i="103" s="1"/>
  <c r="E16" i="103" s="1"/>
  <c r="E17" i="103" s="1"/>
  <c r="E18" i="103" s="1"/>
  <c r="E19" i="103" s="1"/>
  <c r="M8" i="3"/>
  <c r="N29" i="3"/>
  <c r="M28" i="3"/>
  <c r="M26" i="3"/>
  <c r="M25" i="3"/>
  <c r="W190" i="32"/>
  <c r="C13" i="6"/>
  <c r="AN25" i="6"/>
  <c r="S1771" i="39"/>
  <c r="S1770" i="39"/>
  <c r="S1769" i="39"/>
  <c r="S1768" i="39"/>
  <c r="S1767" i="39"/>
  <c r="S1766" i="39"/>
  <c r="S1765" i="39"/>
  <c r="S1764" i="39"/>
  <c r="S1763" i="39"/>
  <c r="S1762" i="39"/>
  <c r="S1761" i="39"/>
  <c r="S1760" i="39"/>
  <c r="S1759" i="39"/>
  <c r="S1758" i="39"/>
  <c r="S1757" i="39"/>
  <c r="S1756" i="39"/>
  <c r="S1755" i="39"/>
  <c r="S1754" i="39"/>
  <c r="S1753" i="39"/>
  <c r="S1752" i="39"/>
  <c r="S1751" i="39"/>
  <c r="S1750" i="39"/>
  <c r="S1749" i="39"/>
  <c r="S1748" i="39"/>
  <c r="S1747" i="39"/>
  <c r="S1746" i="39"/>
  <c r="S1745" i="39"/>
  <c r="S1744" i="39"/>
  <c r="S1743" i="39"/>
  <c r="S1742" i="39"/>
  <c r="S1741" i="39"/>
  <c r="S1740" i="39"/>
  <c r="S1739" i="39"/>
  <c r="S1738" i="39"/>
  <c r="S1737" i="39"/>
  <c r="S1736" i="39"/>
  <c r="S1735" i="39"/>
  <c r="S1734" i="39"/>
  <c r="S1733" i="39"/>
  <c r="S1732" i="39"/>
  <c r="S1731" i="39"/>
  <c r="S1730" i="39"/>
  <c r="S1729" i="39"/>
  <c r="S1728" i="39"/>
  <c r="S1727" i="39"/>
  <c r="S1726" i="39"/>
  <c r="S1725" i="39"/>
  <c r="S1724" i="39"/>
  <c r="S1723" i="39"/>
  <c r="S1722" i="39"/>
  <c r="S1721" i="39"/>
  <c r="S1720" i="39"/>
  <c r="S1719" i="39"/>
  <c r="S1718" i="39"/>
  <c r="S1717" i="39"/>
  <c r="S1716" i="39"/>
  <c r="S1715" i="39"/>
  <c r="S1714" i="39"/>
  <c r="S1713" i="39"/>
  <c r="S1712" i="39"/>
  <c r="S1711" i="39"/>
  <c r="S1710" i="39"/>
  <c r="S1709" i="39"/>
  <c r="S1708" i="39"/>
  <c r="S1707" i="39"/>
  <c r="S1706" i="39"/>
  <c r="S1705" i="39"/>
  <c r="S1704" i="39"/>
  <c r="S1703" i="39"/>
  <c r="S1702" i="39"/>
  <c r="S1701" i="39"/>
  <c r="S1700" i="39"/>
  <c r="S1699" i="39"/>
  <c r="S1698" i="39"/>
  <c r="S1697" i="39"/>
  <c r="S1696" i="39"/>
  <c r="S1695" i="39"/>
  <c r="S1694" i="39"/>
  <c r="S1693" i="39"/>
  <c r="S1692" i="39"/>
  <c r="S1691" i="39"/>
  <c r="S1690" i="39"/>
  <c r="S1689" i="39"/>
  <c r="S1688" i="39"/>
  <c r="S1687" i="39"/>
  <c r="S1686" i="39"/>
  <c r="S1685" i="39"/>
  <c r="S1683" i="39"/>
  <c r="S1682" i="39"/>
  <c r="S1681" i="39"/>
  <c r="S1680" i="39"/>
  <c r="S1679" i="39"/>
  <c r="S1678" i="39"/>
  <c r="S1677" i="39"/>
  <c r="S1676" i="39"/>
  <c r="S1675" i="39"/>
  <c r="S1674" i="39"/>
  <c r="S1673" i="39"/>
  <c r="S1672" i="39"/>
  <c r="S1671" i="39"/>
  <c r="S1670" i="39"/>
  <c r="S1669" i="39"/>
  <c r="S1668" i="39"/>
  <c r="S1667" i="39"/>
  <c r="S1666" i="39"/>
  <c r="S1665" i="39"/>
  <c r="S1664" i="39"/>
  <c r="S1663" i="39"/>
  <c r="S1662" i="39"/>
  <c r="S1661" i="39"/>
  <c r="S1660" i="39"/>
  <c r="S1659" i="39"/>
  <c r="S1658" i="39"/>
  <c r="S1657" i="39"/>
  <c r="S1656" i="39"/>
  <c r="S1655" i="39"/>
  <c r="S1654" i="39"/>
  <c r="S1653" i="39"/>
  <c r="S1652" i="39"/>
  <c r="S1651" i="39"/>
  <c r="S1650" i="39"/>
  <c r="S1649" i="39"/>
  <c r="S1648" i="39"/>
  <c r="S1647" i="39"/>
  <c r="S1646" i="39"/>
  <c r="S1645" i="39"/>
  <c r="S1643" i="39"/>
  <c r="S1642" i="39"/>
  <c r="S1641" i="39"/>
  <c r="S1640" i="39"/>
  <c r="S1639" i="39"/>
  <c r="S1638" i="39"/>
  <c r="S1637" i="39"/>
  <c r="S1636" i="39"/>
  <c r="S1635" i="39"/>
  <c r="S1634" i="39"/>
  <c r="S1633" i="39"/>
  <c r="S1632" i="39"/>
  <c r="S1631" i="39"/>
  <c r="S1630" i="39"/>
  <c r="S1629" i="39"/>
  <c r="S1628" i="39"/>
  <c r="S1627" i="39"/>
  <c r="S1626" i="39"/>
  <c r="S1625" i="39"/>
  <c r="S1624" i="39"/>
  <c r="S1623" i="39"/>
  <c r="S1622" i="39"/>
  <c r="S1621" i="39"/>
  <c r="S1620" i="39"/>
  <c r="S1619" i="39"/>
  <c r="S1618" i="39"/>
  <c r="S1617" i="39"/>
  <c r="S1616" i="39"/>
  <c r="S1615" i="39"/>
  <c r="S1614" i="39"/>
  <c r="S1613" i="39"/>
  <c r="S1612" i="39"/>
  <c r="S1611" i="39"/>
  <c r="S1610" i="39"/>
  <c r="S1609" i="39"/>
  <c r="S1608" i="39"/>
  <c r="S1607" i="39"/>
  <c r="S1606" i="39"/>
  <c r="S1605" i="39"/>
  <c r="S1604" i="39"/>
  <c r="S1603" i="39"/>
  <c r="S1602" i="39"/>
  <c r="S1601" i="39"/>
  <c r="S1600" i="39"/>
  <c r="S1599" i="39"/>
  <c r="S1598" i="39"/>
  <c r="S1597" i="39"/>
  <c r="S1596" i="39"/>
  <c r="S1595" i="39"/>
  <c r="S1594" i="39"/>
  <c r="S1593" i="39"/>
  <c r="S1592" i="39"/>
  <c r="S1591" i="39"/>
  <c r="S1590" i="39"/>
  <c r="S1589" i="39"/>
  <c r="S1588" i="39"/>
  <c r="S1587" i="39"/>
  <c r="S1586" i="39"/>
  <c r="S1585" i="39"/>
  <c r="S1584" i="39"/>
  <c r="S1583" i="39"/>
  <c r="S1582" i="39"/>
  <c r="S1581" i="39"/>
  <c r="S1580" i="39"/>
  <c r="S1579" i="39"/>
  <c r="S1578" i="39"/>
  <c r="S1577" i="39"/>
  <c r="S1576" i="39"/>
  <c r="S1575" i="39"/>
  <c r="S1574" i="39"/>
  <c r="S1573" i="39"/>
  <c r="S1572" i="39"/>
  <c r="S1570" i="39"/>
  <c r="S1569" i="39"/>
  <c r="S1568" i="39"/>
  <c r="S1567" i="39"/>
  <c r="S1566" i="39"/>
  <c r="S1565" i="39"/>
  <c r="S1564" i="39"/>
  <c r="S1563" i="39"/>
  <c r="S1562" i="39"/>
  <c r="S1561" i="39"/>
  <c r="S1560" i="39"/>
  <c r="S1559" i="39"/>
  <c r="S1558" i="39"/>
  <c r="S1557" i="39"/>
  <c r="S1556" i="39"/>
  <c r="S1555" i="39"/>
  <c r="S1554" i="39"/>
  <c r="S1553" i="39"/>
  <c r="S1552" i="39"/>
  <c r="S1551" i="39"/>
  <c r="S1550" i="39"/>
  <c r="S1549" i="39"/>
  <c r="S1548" i="39"/>
  <c r="S1547" i="39"/>
  <c r="S1546" i="39"/>
  <c r="S1545" i="39"/>
  <c r="S1544" i="39"/>
  <c r="S1543" i="39"/>
  <c r="S1542" i="39"/>
  <c r="S1541" i="39"/>
  <c r="S1540" i="39"/>
  <c r="S1539" i="39"/>
  <c r="S1538" i="39"/>
  <c r="S1537" i="39"/>
  <c r="S1536" i="39"/>
  <c r="S1535" i="39"/>
  <c r="S1534" i="39"/>
  <c r="S1533" i="39"/>
  <c r="S1532" i="39"/>
  <c r="S1531" i="39"/>
  <c r="S1530" i="39"/>
  <c r="S1529" i="39"/>
  <c r="S1528" i="39"/>
  <c r="S1527" i="39"/>
  <c r="S1526" i="39"/>
  <c r="S1525" i="39"/>
  <c r="S1524" i="39"/>
  <c r="S1523" i="39"/>
  <c r="S1522" i="39"/>
  <c r="S1521" i="39"/>
  <c r="S1520" i="39"/>
  <c r="S1519" i="39"/>
  <c r="S1518" i="39"/>
  <c r="S1517" i="39"/>
  <c r="S1516" i="39"/>
  <c r="S1515" i="39"/>
  <c r="S1514" i="39"/>
  <c r="S1513" i="39"/>
  <c r="S1510" i="39"/>
  <c r="S1509" i="39"/>
  <c r="S1508" i="39"/>
  <c r="S1507" i="39"/>
  <c r="S1506" i="39"/>
  <c r="S1505" i="39"/>
  <c r="S1504" i="39"/>
  <c r="S1503" i="39"/>
  <c r="S1502" i="39"/>
  <c r="S1501" i="39"/>
  <c r="S1500" i="39"/>
  <c r="S1499" i="39"/>
  <c r="S1498" i="39"/>
  <c r="S1497" i="39"/>
  <c r="S1496" i="39"/>
  <c r="S1495" i="39"/>
  <c r="S1494" i="39"/>
  <c r="S1493" i="39"/>
  <c r="S1492" i="39"/>
  <c r="S1490" i="39"/>
  <c r="S1489" i="39"/>
  <c r="S1488" i="39"/>
  <c r="S1487" i="39"/>
  <c r="S1486" i="39"/>
  <c r="S1484" i="39"/>
  <c r="S1483" i="39"/>
  <c r="S1482" i="39"/>
  <c r="S1481" i="39"/>
  <c r="S1480" i="39"/>
  <c r="S1479" i="39"/>
  <c r="S1478" i="39"/>
  <c r="S1477" i="39"/>
  <c r="S1476" i="39"/>
  <c r="S1475" i="39"/>
  <c r="S1474" i="39"/>
  <c r="S1473" i="39"/>
  <c r="S1472" i="39"/>
  <c r="S1471" i="39"/>
  <c r="S1470" i="39"/>
  <c r="S1469" i="39"/>
  <c r="S1468" i="39"/>
  <c r="S1467" i="39"/>
  <c r="S1466" i="39"/>
  <c r="S1465" i="39"/>
  <c r="S1464" i="39"/>
  <c r="S1463" i="39"/>
  <c r="S1462" i="39"/>
  <c r="S1461" i="39"/>
  <c r="S1460" i="39"/>
  <c r="S1459" i="39"/>
  <c r="S1458" i="39"/>
  <c r="S1457" i="39"/>
  <c r="S1456" i="39"/>
  <c r="S1455" i="39"/>
  <c r="S1454" i="39"/>
  <c r="S1453" i="39"/>
  <c r="S1452" i="39"/>
  <c r="S1451" i="39"/>
  <c r="S1450" i="39"/>
  <c r="S1449" i="39"/>
  <c r="S1448" i="39"/>
  <c r="S1447" i="39"/>
  <c r="S1446" i="39"/>
  <c r="S1445" i="39"/>
  <c r="S1444" i="39"/>
  <c r="S1443" i="39"/>
  <c r="S1442" i="39"/>
  <c r="S1441" i="39"/>
  <c r="S1440" i="39"/>
  <c r="S1439" i="39"/>
  <c r="S1438" i="39"/>
  <c r="S1437" i="39"/>
  <c r="S1436" i="39"/>
  <c r="S1435" i="39"/>
  <c r="S1434" i="39"/>
  <c r="S1433" i="39"/>
  <c r="S1432" i="39"/>
  <c r="S1431" i="39"/>
  <c r="S1430" i="39"/>
  <c r="S1429" i="39"/>
  <c r="S1428" i="39"/>
  <c r="S1427" i="39"/>
  <c r="S1426" i="39"/>
  <c r="S1425" i="39"/>
  <c r="S1424" i="39"/>
  <c r="S1423" i="39"/>
  <c r="S1422" i="39"/>
  <c r="S1421" i="39"/>
  <c r="S1420" i="39"/>
  <c r="S1419" i="39"/>
  <c r="S1418" i="39"/>
  <c r="S1417" i="39"/>
  <c r="S1416" i="39"/>
  <c r="S1415" i="39"/>
  <c r="S1414" i="39"/>
  <c r="S1413" i="39"/>
  <c r="S1412" i="39"/>
  <c r="S1411" i="39"/>
  <c r="S1410" i="39"/>
  <c r="S1409" i="39"/>
  <c r="S1408" i="39"/>
  <c r="S1407" i="39"/>
  <c r="S1406" i="39"/>
  <c r="S1405" i="39"/>
  <c r="S1404" i="39"/>
  <c r="S1403" i="39"/>
  <c r="S1402" i="39"/>
  <c r="S1401" i="39"/>
  <c r="S1400" i="39"/>
  <c r="S1399" i="39"/>
  <c r="S1398" i="39"/>
  <c r="S1397" i="39"/>
  <c r="S1396" i="39"/>
  <c r="S1395" i="39"/>
  <c r="S1392" i="39"/>
  <c r="S1391" i="39"/>
  <c r="S1390" i="39"/>
  <c r="S1389" i="39"/>
  <c r="S1388" i="39"/>
  <c r="S1387" i="39"/>
  <c r="S1386" i="39"/>
  <c r="S1383" i="39"/>
  <c r="S1382" i="39"/>
  <c r="S1381" i="39"/>
  <c r="S1380" i="39"/>
  <c r="S1379" i="39"/>
  <c r="S1378" i="39"/>
  <c r="S1377" i="39"/>
  <c r="S1376" i="39"/>
  <c r="S1375" i="39"/>
  <c r="S1374" i="39"/>
  <c r="S1373" i="39"/>
  <c r="S1371" i="39"/>
  <c r="S1370" i="39"/>
  <c r="S1369" i="39"/>
  <c r="S1368" i="39"/>
  <c r="S1367" i="39"/>
  <c r="S1366" i="39"/>
  <c r="S1365" i="39"/>
  <c r="S1363" i="39"/>
  <c r="S1362" i="39"/>
  <c r="S1361" i="39"/>
  <c r="S1360" i="39"/>
  <c r="S1359" i="39"/>
  <c r="S1358" i="39"/>
  <c r="S1357" i="39"/>
  <c r="S1356" i="39"/>
  <c r="S1355" i="39"/>
  <c r="S1354" i="39"/>
  <c r="S1353" i="39"/>
  <c r="S1352" i="39"/>
  <c r="S1351" i="39"/>
  <c r="S1350" i="39"/>
  <c r="S1349" i="39"/>
  <c r="S1348" i="39"/>
  <c r="S1347" i="39"/>
  <c r="S1346" i="39"/>
  <c r="S1345" i="39"/>
  <c r="S1344" i="39"/>
  <c r="S1343" i="39"/>
  <c r="S1342" i="39"/>
  <c r="S1341" i="39"/>
  <c r="S1340" i="39"/>
  <c r="S1339" i="39"/>
  <c r="S1338" i="39"/>
  <c r="S1337" i="39"/>
  <c r="S1336" i="39"/>
  <c r="S1335" i="39"/>
  <c r="S1334" i="39"/>
  <c r="S1333" i="39"/>
  <c r="S1332" i="39"/>
  <c r="S1331" i="39"/>
  <c r="S1330" i="39"/>
  <c r="S1329" i="39"/>
  <c r="S1328" i="39"/>
  <c r="S1327" i="39"/>
  <c r="S1326" i="39"/>
  <c r="S1325" i="39"/>
  <c r="S1324" i="39"/>
  <c r="S1323" i="39"/>
  <c r="S1322" i="39"/>
  <c r="S1321" i="39"/>
  <c r="S1320" i="39"/>
  <c r="S1319" i="39"/>
  <c r="S1318" i="39"/>
  <c r="S1317" i="39"/>
  <c r="S1316" i="39"/>
  <c r="S1315" i="39"/>
  <c r="S1314" i="39"/>
  <c r="S1313" i="39"/>
  <c r="S1312" i="39"/>
  <c r="S1311" i="39"/>
  <c r="S1310" i="39"/>
  <c r="S1309" i="39"/>
  <c r="S1308" i="39"/>
  <c r="S1307" i="39"/>
  <c r="S1306" i="39"/>
  <c r="S1305" i="39"/>
  <c r="S1304" i="39"/>
  <c r="S1303" i="39"/>
  <c r="S1301" i="39"/>
  <c r="S1300" i="39"/>
  <c r="S1298" i="39"/>
  <c r="S1297" i="39"/>
  <c r="S1296" i="39"/>
  <c r="S1295" i="39"/>
  <c r="S1294" i="39"/>
  <c r="S1293" i="39"/>
  <c r="S1291" i="39"/>
  <c r="S1290" i="39"/>
  <c r="S1289" i="39"/>
  <c r="S1288" i="39"/>
  <c r="S1287" i="39"/>
  <c r="S1286" i="39"/>
  <c r="S1285" i="39"/>
  <c r="S1284" i="39"/>
  <c r="S1283" i="39"/>
  <c r="S1282" i="39"/>
  <c r="S1281" i="39"/>
  <c r="S1280" i="39"/>
  <c r="S1279" i="39"/>
  <c r="S1278" i="39"/>
  <c r="S1277" i="39"/>
  <c r="S1276" i="39"/>
  <c r="S1275" i="39"/>
  <c r="S1274" i="39"/>
  <c r="S1272" i="39"/>
  <c r="S1271" i="39"/>
  <c r="S1270" i="39"/>
  <c r="S1269" i="39"/>
  <c r="S1268" i="39"/>
  <c r="S1267" i="39"/>
  <c r="S1266" i="39"/>
  <c r="S1265" i="39"/>
  <c r="S1264" i="39"/>
  <c r="S1263" i="39"/>
  <c r="S1262" i="39"/>
  <c r="S1261" i="39"/>
  <c r="S1260" i="39"/>
  <c r="S1259" i="39"/>
  <c r="S1258" i="39"/>
  <c r="S1257" i="39"/>
  <c r="S1256" i="39"/>
  <c r="S1255" i="39"/>
  <c r="S1254" i="39"/>
  <c r="S1253" i="39"/>
  <c r="S1252" i="39"/>
  <c r="S1251" i="39"/>
  <c r="S1250" i="39"/>
  <c r="S1249" i="39"/>
  <c r="S1248" i="39"/>
  <c r="S1247" i="39"/>
  <c r="S1246" i="39"/>
  <c r="S1245" i="39"/>
  <c r="S1244" i="39"/>
  <c r="S1243" i="39"/>
  <c r="S1242" i="39"/>
  <c r="S1241" i="39"/>
  <c r="S1240" i="39"/>
  <c r="S1239" i="39"/>
  <c r="S1238" i="39"/>
  <c r="S1237" i="39"/>
  <c r="S1236" i="39"/>
  <c r="S1235" i="39"/>
  <c r="S1234" i="39"/>
  <c r="S1233" i="39"/>
  <c r="S1232" i="39"/>
  <c r="S1231" i="39"/>
  <c r="S1230" i="39"/>
  <c r="S1229" i="39"/>
  <c r="S1228" i="39"/>
  <c r="S1227" i="39"/>
  <c r="S1226" i="39"/>
  <c r="S1225" i="39"/>
  <c r="S1224" i="39"/>
  <c r="S1223" i="39"/>
  <c r="S1222" i="39"/>
  <c r="S1221" i="39"/>
  <c r="S1220" i="39"/>
  <c r="S1219" i="39"/>
  <c r="S1218" i="39"/>
  <c r="S1217" i="39"/>
  <c r="S1216" i="39"/>
  <c r="S1215" i="39"/>
  <c r="S1214" i="39"/>
  <c r="S1213" i="39"/>
  <c r="S1212" i="39"/>
  <c r="S1211" i="39"/>
  <c r="S1210" i="39"/>
  <c r="S1209" i="39"/>
  <c r="S1208" i="39"/>
  <c r="S1207" i="39"/>
  <c r="S1206" i="39"/>
  <c r="S1205" i="39"/>
  <c r="S1204" i="39"/>
  <c r="S1203" i="39"/>
  <c r="S1202" i="39"/>
  <c r="S1201" i="39"/>
  <c r="S1200" i="39"/>
  <c r="S1199" i="39"/>
  <c r="S1198" i="39"/>
  <c r="S1197" i="39"/>
  <c r="S1196" i="39"/>
  <c r="S1195" i="39"/>
  <c r="S1194" i="39"/>
  <c r="S1193" i="39"/>
  <c r="S1192" i="39"/>
  <c r="S1191" i="39"/>
  <c r="S1190" i="39"/>
  <c r="S1189" i="39"/>
  <c r="S1188" i="39"/>
  <c r="S1187" i="39"/>
  <c r="S1186" i="39"/>
  <c r="S1185" i="39"/>
  <c r="S1184" i="39"/>
  <c r="S1183" i="39"/>
  <c r="S1182" i="39"/>
  <c r="S1181" i="39"/>
  <c r="S1180" i="39"/>
  <c r="S1179" i="39"/>
  <c r="S1178" i="39"/>
  <c r="S1177" i="39"/>
  <c r="S1176" i="39"/>
  <c r="S1175" i="39"/>
  <c r="S1174" i="39"/>
  <c r="S1173" i="39"/>
  <c r="S1172" i="39"/>
  <c r="S1171" i="39"/>
  <c r="S1170" i="39"/>
  <c r="S1169" i="39"/>
  <c r="S1168" i="39"/>
  <c r="S1167" i="39"/>
  <c r="S1166" i="39"/>
  <c r="S1165" i="39"/>
  <c r="S1164" i="39"/>
  <c r="S1163" i="39"/>
  <c r="S1162" i="39"/>
  <c r="S1161" i="39"/>
  <c r="S1160" i="39"/>
  <c r="S1159" i="39"/>
  <c r="S1158" i="39"/>
  <c r="S1157" i="39"/>
  <c r="S1156" i="39"/>
  <c r="S1155" i="39"/>
  <c r="S1154" i="39"/>
  <c r="S1153" i="39"/>
  <c r="S1152" i="39"/>
  <c r="S1151" i="39"/>
  <c r="S1150" i="39"/>
  <c r="S1149" i="39"/>
  <c r="S1148" i="39"/>
  <c r="S1147" i="39"/>
  <c r="S1146" i="39"/>
  <c r="S1145" i="39"/>
  <c r="S1144" i="39"/>
  <c r="S1143" i="39"/>
  <c r="S1142" i="39"/>
  <c r="S1141" i="39"/>
  <c r="S1140" i="39"/>
  <c r="S1139" i="39"/>
  <c r="S1138" i="39"/>
  <c r="S1137" i="39"/>
  <c r="S1136" i="39"/>
  <c r="S1135" i="39"/>
  <c r="S1134" i="39"/>
  <c r="S1133" i="39"/>
  <c r="S1132" i="39"/>
  <c r="S1131" i="39"/>
  <c r="S1130" i="39"/>
  <c r="S1129" i="39"/>
  <c r="S1128" i="39"/>
  <c r="S1127" i="39"/>
  <c r="S1126" i="39"/>
  <c r="S1125" i="39"/>
  <c r="S1124" i="39"/>
  <c r="S1123" i="39"/>
  <c r="S1122" i="39"/>
  <c r="S1121" i="39"/>
  <c r="S1120" i="39"/>
  <c r="S1119" i="39"/>
  <c r="S1118" i="39"/>
  <c r="S1117" i="39"/>
  <c r="S1116" i="39"/>
  <c r="S1115" i="39"/>
  <c r="S1114" i="39"/>
  <c r="S1113" i="39"/>
  <c r="S1112" i="39"/>
  <c r="S1111" i="39"/>
  <c r="S1110" i="39"/>
  <c r="S1109" i="39"/>
  <c r="S1108" i="39"/>
  <c r="S1107" i="39"/>
  <c r="S1106" i="39"/>
  <c r="S1105" i="39"/>
  <c r="S1104" i="39"/>
  <c r="S1103" i="39"/>
  <c r="S1102" i="39"/>
  <c r="S1101" i="39"/>
  <c r="S1100" i="39"/>
  <c r="S1099" i="39"/>
  <c r="S1098" i="39"/>
  <c r="S1097" i="39"/>
  <c r="S1096" i="39"/>
  <c r="S1095" i="39"/>
  <c r="S1094" i="39"/>
  <c r="S1093" i="39"/>
  <c r="S1091" i="39"/>
  <c r="S1083" i="39"/>
  <c r="S1082" i="39"/>
  <c r="S1081" i="39"/>
  <c r="S1080" i="39"/>
  <c r="S1079" i="39"/>
  <c r="S1078" i="39"/>
  <c r="S1077" i="39"/>
  <c r="S1076" i="39"/>
  <c r="S1075" i="39"/>
  <c r="S1074" i="39"/>
  <c r="S1073" i="39"/>
  <c r="S1072" i="39"/>
  <c r="S1070" i="39"/>
  <c r="S1069" i="39"/>
  <c r="S1068" i="39"/>
  <c r="S1066" i="39"/>
  <c r="S1065" i="39"/>
  <c r="S1064" i="39"/>
  <c r="S1063" i="39"/>
  <c r="S1062" i="39"/>
  <c r="S1061" i="39"/>
  <c r="S1060" i="39"/>
  <c r="S1059" i="39"/>
  <c r="S1058" i="39"/>
  <c r="S1057" i="39"/>
  <c r="S1056" i="39"/>
  <c r="S1055" i="39"/>
  <c r="S1054" i="39"/>
  <c r="S1053" i="39"/>
  <c r="S1052" i="39"/>
  <c r="S1051" i="39"/>
  <c r="S1050" i="39"/>
  <c r="S1049" i="39"/>
  <c r="S1048" i="39"/>
  <c r="S1047" i="39"/>
  <c r="S1046" i="39"/>
  <c r="S1045" i="39"/>
  <c r="S1044" i="39"/>
  <c r="S1043" i="39"/>
  <c r="S1042" i="39"/>
  <c r="S1041" i="39"/>
  <c r="S1040" i="39"/>
  <c r="S1039" i="39"/>
  <c r="S1038" i="39"/>
  <c r="S1037" i="39"/>
  <c r="S1036" i="39"/>
  <c r="S1035" i="39"/>
  <c r="S1034" i="39"/>
  <c r="S1033" i="39"/>
  <c r="S1032" i="39"/>
  <c r="S1031" i="39"/>
  <c r="S1030" i="39"/>
  <c r="S1029" i="39"/>
  <c r="S1028" i="39"/>
  <c r="S1027" i="39"/>
  <c r="S1026" i="39"/>
  <c r="S1025" i="39"/>
  <c r="S1024" i="39"/>
  <c r="S1023" i="39"/>
  <c r="S1022" i="39"/>
  <c r="S1021" i="39"/>
  <c r="S1020" i="39"/>
  <c r="S1019" i="39"/>
  <c r="S1018" i="39"/>
  <c r="S1017" i="39"/>
  <c r="S1016" i="39"/>
  <c r="S1015" i="39"/>
  <c r="S1014" i="39"/>
  <c r="S1013" i="39"/>
  <c r="S1012" i="39"/>
  <c r="S1011" i="39"/>
  <c r="S1010" i="39"/>
  <c r="S1009" i="39"/>
  <c r="S1008" i="39"/>
  <c r="S1007" i="39"/>
  <c r="S1006" i="39"/>
  <c r="S1005" i="39"/>
  <c r="S1004" i="39"/>
  <c r="S1003" i="39"/>
  <c r="S1002" i="39"/>
  <c r="S1001" i="39"/>
  <c r="S1000" i="39"/>
  <c r="S999" i="39"/>
  <c r="S998" i="39"/>
  <c r="S997" i="39"/>
  <c r="S996" i="39"/>
  <c r="S995" i="39"/>
  <c r="S994" i="39"/>
  <c r="S993" i="39"/>
  <c r="S992" i="39"/>
  <c r="S991" i="39"/>
  <c r="S990" i="39"/>
  <c r="S989" i="39"/>
  <c r="S988" i="39"/>
  <c r="S987" i="39"/>
  <c r="S986" i="39"/>
  <c r="S985" i="39"/>
  <c r="S984" i="39"/>
  <c r="S983" i="39"/>
  <c r="S982" i="39"/>
  <c r="S981" i="39"/>
  <c r="S980" i="39"/>
  <c r="S979" i="39"/>
  <c r="S978" i="39"/>
  <c r="S977" i="39"/>
  <c r="S976" i="39"/>
  <c r="S975" i="39"/>
  <c r="S974" i="39"/>
  <c r="S973" i="39"/>
  <c r="S972" i="39"/>
  <c r="S971" i="39"/>
  <c r="S970" i="39"/>
  <c r="S969" i="39"/>
  <c r="S968" i="39"/>
  <c r="S966" i="39"/>
  <c r="S965" i="39"/>
  <c r="S964" i="39"/>
  <c r="S963" i="39"/>
  <c r="S962" i="39"/>
  <c r="S961" i="39"/>
  <c r="S960" i="39"/>
  <c r="S959" i="39"/>
  <c r="S958" i="39"/>
  <c r="S956" i="39"/>
  <c r="S955" i="39"/>
  <c r="S953" i="39"/>
  <c r="S952" i="39"/>
  <c r="S951" i="39"/>
  <c r="S950" i="39"/>
  <c r="S949" i="39"/>
  <c r="S948" i="39"/>
  <c r="S947" i="39"/>
  <c r="S946" i="39"/>
  <c r="S945" i="39"/>
  <c r="S944" i="39"/>
  <c r="S943" i="39"/>
  <c r="S942" i="39"/>
  <c r="S941" i="39"/>
  <c r="S940" i="39"/>
  <c r="S939" i="39"/>
  <c r="S938" i="39"/>
  <c r="S937" i="39"/>
  <c r="S936" i="39"/>
  <c r="S935" i="39"/>
  <c r="S934" i="39"/>
  <c r="S933" i="39"/>
  <c r="S932" i="39"/>
  <c r="S931" i="39"/>
  <c r="S930" i="39"/>
  <c r="S928" i="39"/>
  <c r="S927" i="39"/>
  <c r="S926" i="39"/>
  <c r="S925" i="39"/>
  <c r="S924" i="39"/>
  <c r="S923" i="39"/>
  <c r="S922" i="39"/>
  <c r="S921" i="39"/>
  <c r="S920" i="39"/>
  <c r="S919" i="39"/>
  <c r="S918" i="39"/>
  <c r="S917" i="39"/>
  <c r="S916" i="39"/>
  <c r="S915" i="39"/>
  <c r="S914" i="39"/>
  <c r="S913" i="39"/>
  <c r="S912" i="39"/>
  <c r="S911" i="39"/>
  <c r="S910" i="39"/>
  <c r="S909" i="39"/>
  <c r="S908" i="39"/>
  <c r="S907" i="39"/>
  <c r="S906" i="39"/>
  <c r="S905" i="39"/>
  <c r="S904" i="39"/>
  <c r="S903" i="39"/>
  <c r="S902" i="39"/>
  <c r="S901" i="39"/>
  <c r="S900" i="39"/>
  <c r="S899" i="39"/>
  <c r="S898" i="39"/>
  <c r="S897" i="39"/>
  <c r="S896" i="39"/>
  <c r="S895" i="39"/>
  <c r="S894" i="39"/>
  <c r="S893" i="39"/>
  <c r="S892" i="39"/>
  <c r="S891" i="39"/>
  <c r="S890" i="39"/>
  <c r="S888" i="39"/>
  <c r="S887" i="39"/>
  <c r="S886" i="39"/>
  <c r="S885" i="39"/>
  <c r="S884" i="39"/>
  <c r="S883" i="39"/>
  <c r="S882" i="39"/>
  <c r="S881" i="39"/>
  <c r="S880" i="39"/>
  <c r="S879" i="39"/>
  <c r="S878" i="39"/>
  <c r="S877" i="39"/>
  <c r="S876" i="39"/>
  <c r="S875" i="39"/>
  <c r="S874" i="39"/>
  <c r="S873" i="39"/>
  <c r="S872" i="39"/>
  <c r="S871" i="39"/>
  <c r="S870" i="39"/>
  <c r="S869" i="39"/>
  <c r="S868" i="39"/>
  <c r="S867" i="39"/>
  <c r="S866" i="39"/>
  <c r="S865" i="39"/>
  <c r="S864" i="39"/>
  <c r="S863" i="39"/>
  <c r="S862" i="39"/>
  <c r="S861" i="39"/>
  <c r="S860" i="39"/>
  <c r="S859" i="39"/>
  <c r="S858" i="39"/>
  <c r="S857" i="39"/>
  <c r="S856" i="39"/>
  <c r="S855" i="39"/>
  <c r="S854" i="39"/>
  <c r="S853" i="39"/>
  <c r="S852" i="39"/>
  <c r="S851" i="39"/>
  <c r="S850" i="39"/>
  <c r="S849" i="39"/>
  <c r="S848" i="39"/>
  <c r="S847" i="39"/>
  <c r="S846" i="39"/>
  <c r="S845" i="39"/>
  <c r="S844" i="39"/>
  <c r="S843" i="39"/>
  <c r="S842" i="39"/>
  <c r="S841" i="39"/>
  <c r="S840" i="39"/>
  <c r="S839" i="39"/>
  <c r="S838" i="39"/>
  <c r="S837" i="39"/>
  <c r="S836" i="39"/>
  <c r="S835" i="39"/>
  <c r="S834" i="39"/>
  <c r="S833" i="39"/>
  <c r="S832" i="39"/>
  <c r="S831" i="39"/>
  <c r="S830" i="39"/>
  <c r="S829" i="39"/>
  <c r="S828" i="39"/>
  <c r="S827" i="39"/>
  <c r="S826" i="39"/>
  <c r="S825" i="39"/>
  <c r="S824" i="39"/>
  <c r="S823" i="39"/>
  <c r="S822" i="39"/>
  <c r="S821" i="39"/>
  <c r="S820" i="39"/>
  <c r="S819" i="39"/>
  <c r="S818" i="39"/>
  <c r="S817" i="39"/>
  <c r="S816" i="39"/>
  <c r="S815" i="39"/>
  <c r="S814" i="39"/>
  <c r="S813" i="39"/>
  <c r="S812" i="39"/>
  <c r="S811" i="39"/>
  <c r="S810" i="39"/>
  <c r="S809" i="39"/>
  <c r="S808" i="39"/>
  <c r="S807" i="39"/>
  <c r="S806" i="39"/>
  <c r="S805" i="39"/>
  <c r="S804" i="39"/>
  <c r="S803" i="39"/>
  <c r="S802" i="39"/>
  <c r="S801" i="39"/>
  <c r="S800" i="39"/>
  <c r="S799" i="39"/>
  <c r="S798" i="39"/>
  <c r="S797" i="39"/>
  <c r="S796" i="39"/>
  <c r="S795" i="39"/>
  <c r="S794" i="39"/>
  <c r="S793" i="39"/>
  <c r="S792" i="39"/>
  <c r="S791" i="39"/>
  <c r="S790" i="39"/>
  <c r="S789" i="39"/>
  <c r="S788" i="39"/>
  <c r="S787" i="39"/>
  <c r="S786" i="39"/>
  <c r="S785" i="39"/>
  <c r="S784" i="39"/>
  <c r="S783" i="39"/>
  <c r="S782" i="39"/>
  <c r="S781" i="39"/>
  <c r="S780" i="39"/>
  <c r="S779" i="39"/>
  <c r="S778" i="39"/>
  <c r="S777" i="39"/>
  <c r="S776" i="39"/>
  <c r="S775" i="39"/>
  <c r="S774" i="39"/>
  <c r="S773" i="39"/>
  <c r="S772" i="39"/>
  <c r="S771" i="39"/>
  <c r="S770" i="39"/>
  <c r="S769" i="39"/>
  <c r="S768" i="39"/>
  <c r="S767" i="39"/>
  <c r="S766" i="39"/>
  <c r="S765" i="39"/>
  <c r="S764" i="39"/>
  <c r="S763" i="39"/>
  <c r="S762" i="39"/>
  <c r="S761" i="39"/>
  <c r="S760" i="39"/>
  <c r="S759" i="39"/>
  <c r="S758" i="39"/>
  <c r="S757" i="39"/>
  <c r="S756" i="39"/>
  <c r="S755" i="39"/>
  <c r="S754" i="39"/>
  <c r="S753" i="39"/>
  <c r="S752" i="39"/>
  <c r="S751" i="39"/>
  <c r="S750" i="39"/>
  <c r="S749" i="39"/>
  <c r="S748" i="39"/>
  <c r="S747" i="39"/>
  <c r="S746" i="39"/>
  <c r="S745" i="39"/>
  <c r="S744" i="39"/>
  <c r="S743" i="39"/>
  <c r="S742" i="39"/>
  <c r="S741" i="39"/>
  <c r="S740" i="39"/>
  <c r="S739" i="39"/>
  <c r="S738" i="39"/>
  <c r="S737" i="39"/>
  <c r="S736" i="39"/>
  <c r="S735" i="39"/>
  <c r="S734" i="39"/>
  <c r="S733" i="39"/>
  <c r="S732" i="39"/>
  <c r="S731" i="39"/>
  <c r="S730" i="39"/>
  <c r="S729" i="39"/>
  <c r="S728" i="39"/>
  <c r="S727" i="39"/>
  <c r="S726" i="39"/>
  <c r="S725" i="39"/>
  <c r="S724" i="39"/>
  <c r="S723" i="39"/>
  <c r="S722" i="39"/>
  <c r="S721" i="39"/>
  <c r="S720" i="39"/>
  <c r="S719" i="39"/>
  <c r="S718" i="39"/>
  <c r="S717" i="39"/>
  <c r="S716" i="39"/>
  <c r="S715" i="39"/>
  <c r="S714" i="39"/>
  <c r="S713" i="39"/>
  <c r="S712" i="39"/>
  <c r="S711" i="39"/>
  <c r="S710" i="39"/>
  <c r="S709" i="39"/>
  <c r="S708" i="39"/>
  <c r="S707" i="39"/>
  <c r="S706" i="39"/>
  <c r="S705" i="39"/>
  <c r="S704" i="39"/>
  <c r="S703" i="39"/>
  <c r="S702" i="39"/>
  <c r="S701" i="39"/>
  <c r="S700" i="39"/>
  <c r="S699" i="39"/>
  <c r="S698" i="39"/>
  <c r="S697" i="39"/>
  <c r="S696" i="39"/>
  <c r="S695" i="39"/>
  <c r="S694" i="39"/>
  <c r="S693" i="39"/>
  <c r="S692" i="39"/>
  <c r="S691" i="39"/>
  <c r="S690" i="39"/>
  <c r="S689" i="39"/>
  <c r="S688" i="39"/>
  <c r="S687" i="39"/>
  <c r="S686" i="39"/>
  <c r="S685" i="39"/>
  <c r="S684" i="39"/>
  <c r="S683" i="39"/>
  <c r="S682" i="39"/>
  <c r="S681" i="39"/>
  <c r="S680" i="39"/>
  <c r="S679" i="39"/>
  <c r="S678" i="39"/>
  <c r="S677" i="39"/>
  <c r="S676" i="39"/>
  <c r="S675" i="39"/>
  <c r="S674" i="39"/>
  <c r="S673" i="39"/>
  <c r="S672" i="39"/>
  <c r="S671" i="39"/>
  <c r="S670" i="39"/>
  <c r="S669" i="39"/>
  <c r="S668" i="39"/>
  <c r="S667" i="39"/>
  <c r="S666" i="39"/>
  <c r="S665" i="39"/>
  <c r="S664" i="39"/>
  <c r="S663" i="39"/>
  <c r="S662" i="39"/>
  <c r="S661" i="39"/>
  <c r="S660" i="39"/>
  <c r="S659" i="39"/>
  <c r="S658" i="39"/>
  <c r="S657" i="39"/>
  <c r="S656" i="39"/>
  <c r="S655" i="39"/>
  <c r="S654" i="39"/>
  <c r="S653" i="39"/>
  <c r="S652" i="39"/>
  <c r="S651" i="39"/>
  <c r="S650" i="39"/>
  <c r="S649" i="39"/>
  <c r="S648" i="39"/>
  <c r="S647" i="39"/>
  <c r="S646" i="39"/>
  <c r="S645" i="39"/>
  <c r="S644" i="39"/>
  <c r="S643" i="39"/>
  <c r="S642" i="39"/>
  <c r="S641" i="39"/>
  <c r="S640" i="39"/>
  <c r="S639" i="39"/>
  <c r="S638" i="39"/>
  <c r="S637" i="39"/>
  <c r="S636" i="39"/>
  <c r="S635" i="39"/>
  <c r="S634" i="39"/>
  <c r="S633" i="39"/>
  <c r="S632" i="39"/>
  <c r="S631" i="39"/>
  <c r="S630" i="39"/>
  <c r="S629" i="39"/>
  <c r="S628" i="39"/>
  <c r="S627" i="39"/>
  <c r="S626" i="39"/>
  <c r="S625" i="39"/>
  <c r="S624" i="39"/>
  <c r="S623" i="39"/>
  <c r="S622" i="39"/>
  <c r="S621" i="39"/>
  <c r="S620" i="39"/>
  <c r="S619" i="39"/>
  <c r="S618" i="39"/>
  <c r="S617" i="39"/>
  <c r="S616" i="39"/>
  <c r="S615" i="39"/>
  <c r="S614" i="39"/>
  <c r="S613" i="39"/>
  <c r="S612" i="39"/>
  <c r="S611" i="39"/>
  <c r="S610" i="39"/>
  <c r="S609" i="39"/>
  <c r="S608" i="39"/>
  <c r="S607" i="39"/>
  <c r="S606" i="39"/>
  <c r="S605" i="39"/>
  <c r="S604" i="39"/>
  <c r="S603" i="39"/>
  <c r="S602" i="39"/>
  <c r="S601" i="39"/>
  <c r="S600" i="39"/>
  <c r="S599" i="39"/>
  <c r="S598" i="39"/>
  <c r="S597" i="39"/>
  <c r="S596" i="39"/>
  <c r="S595" i="39"/>
  <c r="S594" i="39"/>
  <c r="S593" i="39"/>
  <c r="S592" i="39"/>
  <c r="S591" i="39"/>
  <c r="S590" i="39"/>
  <c r="S589" i="39"/>
  <c r="S588" i="39"/>
  <c r="S587" i="39"/>
  <c r="S586" i="39"/>
  <c r="S585" i="39"/>
  <c r="S584" i="39"/>
  <c r="S583" i="39"/>
  <c r="S582" i="39"/>
  <c r="S581" i="39"/>
  <c r="S580" i="39"/>
  <c r="S579" i="39"/>
  <c r="S577" i="39"/>
  <c r="S576" i="39"/>
  <c r="S575" i="39"/>
  <c r="S574" i="39"/>
  <c r="S573" i="39"/>
  <c r="S572" i="39"/>
  <c r="S571" i="39"/>
  <c r="S570" i="39"/>
  <c r="S569" i="39"/>
  <c r="S568" i="39"/>
  <c r="S567" i="39"/>
  <c r="S566" i="39"/>
  <c r="S565" i="39"/>
  <c r="S564" i="39"/>
  <c r="S563" i="39"/>
  <c r="S562" i="39"/>
  <c r="S561" i="39"/>
  <c r="S560" i="39"/>
  <c r="S559" i="39"/>
  <c r="S558" i="39"/>
  <c r="S557" i="39"/>
  <c r="S556" i="39"/>
  <c r="S555" i="39"/>
  <c r="S554" i="39"/>
  <c r="S553" i="39"/>
  <c r="S552" i="39"/>
  <c r="S551" i="39"/>
  <c r="S550" i="39"/>
  <c r="S549" i="39"/>
  <c r="S548" i="39"/>
  <c r="S547" i="39"/>
  <c r="S546" i="39"/>
  <c r="S545" i="39"/>
  <c r="S544" i="39"/>
  <c r="S543" i="39"/>
  <c r="S542" i="39"/>
  <c r="S541" i="39"/>
  <c r="S540" i="39"/>
  <c r="S539" i="39"/>
  <c r="S538" i="39"/>
  <c r="S537" i="39"/>
  <c r="S536" i="39"/>
  <c r="S535" i="39"/>
  <c r="S534" i="39"/>
  <c r="S533" i="39"/>
  <c r="S532" i="39"/>
  <c r="S531" i="39"/>
  <c r="S530" i="39"/>
  <c r="S529" i="39"/>
  <c r="S528" i="39"/>
  <c r="S527" i="39"/>
  <c r="S526" i="39"/>
  <c r="S525" i="39"/>
  <c r="S524" i="39"/>
  <c r="S523" i="39"/>
  <c r="S522" i="39"/>
  <c r="S521" i="39"/>
  <c r="S520" i="39"/>
  <c r="S519" i="39"/>
  <c r="S518" i="39"/>
  <c r="S517" i="39"/>
  <c r="S516" i="39"/>
  <c r="S515" i="39"/>
  <c r="S514" i="39"/>
  <c r="S513" i="39"/>
  <c r="S512" i="39"/>
  <c r="S511" i="39"/>
  <c r="S510" i="39"/>
  <c r="S509" i="39"/>
  <c r="S508" i="39"/>
  <c r="S507" i="39"/>
  <c r="S506" i="39"/>
  <c r="S505" i="39"/>
  <c r="S504" i="39"/>
  <c r="S503" i="39"/>
  <c r="S502" i="39"/>
  <c r="S501" i="39"/>
  <c r="S500" i="39"/>
  <c r="S499" i="39"/>
  <c r="S498" i="39"/>
  <c r="S497" i="39"/>
  <c r="S496" i="39"/>
  <c r="S495" i="39"/>
  <c r="S494" i="39"/>
  <c r="S492" i="39"/>
  <c r="S491" i="39"/>
  <c r="S490" i="39"/>
  <c r="S489" i="39"/>
  <c r="S488" i="39"/>
  <c r="S487" i="39"/>
  <c r="S486" i="39"/>
  <c r="S485" i="39"/>
  <c r="S484" i="39"/>
  <c r="S483" i="39"/>
  <c r="S482" i="39"/>
  <c r="S481" i="39"/>
  <c r="S480" i="39"/>
  <c r="S479" i="39"/>
  <c r="S478" i="39"/>
  <c r="S477" i="39"/>
  <c r="S476" i="39"/>
  <c r="S475" i="39"/>
  <c r="S474" i="39"/>
  <c r="S473" i="39"/>
  <c r="S472" i="39"/>
  <c r="S471" i="39"/>
  <c r="S470" i="39"/>
  <c r="S469" i="39"/>
  <c r="S468" i="39"/>
  <c r="S467" i="39"/>
  <c r="S466" i="39"/>
  <c r="S465" i="39"/>
  <c r="S464" i="39"/>
  <c r="S463" i="39"/>
  <c r="S462" i="39"/>
  <c r="S461" i="39"/>
  <c r="S460" i="39"/>
  <c r="S459" i="39"/>
  <c r="S458" i="39"/>
  <c r="S457" i="39"/>
  <c r="S456" i="39"/>
  <c r="S455" i="39"/>
  <c r="S454" i="39"/>
  <c r="S453" i="39"/>
  <c r="S452" i="39"/>
  <c r="S451" i="39"/>
  <c r="S450" i="39"/>
  <c r="S449" i="39"/>
  <c r="S448" i="39"/>
  <c r="S447" i="39"/>
  <c r="S446" i="39"/>
  <c r="S445" i="39"/>
  <c r="S444" i="39"/>
  <c r="S443" i="39"/>
  <c r="S442" i="39"/>
  <c r="S441" i="39"/>
  <c r="S440" i="39"/>
  <c r="S439" i="39"/>
  <c r="S438" i="39"/>
  <c r="S437" i="39"/>
  <c r="S436" i="39"/>
  <c r="S435" i="39"/>
  <c r="S434" i="39"/>
  <c r="S433" i="39"/>
  <c r="S432" i="39"/>
  <c r="S431" i="39"/>
  <c r="S430" i="39"/>
  <c r="S429" i="39"/>
  <c r="S428" i="39"/>
  <c r="S427" i="39"/>
  <c r="S426" i="39"/>
  <c r="S425" i="39"/>
  <c r="S423" i="39"/>
  <c r="S422" i="39"/>
  <c r="S421" i="39"/>
  <c r="S420" i="39"/>
  <c r="S419" i="39"/>
  <c r="S418" i="39"/>
  <c r="S417" i="39"/>
  <c r="S416" i="39"/>
  <c r="S415" i="39"/>
  <c r="S414" i="39"/>
  <c r="S413" i="39"/>
  <c r="S412" i="39"/>
  <c r="S411" i="39"/>
  <c r="S410" i="39"/>
  <c r="S409" i="39"/>
  <c r="S408" i="39"/>
  <c r="S407" i="39"/>
  <c r="S406" i="39"/>
  <c r="S405" i="39"/>
  <c r="S404" i="39"/>
  <c r="S403" i="39"/>
  <c r="S402" i="39"/>
  <c r="S401" i="39"/>
  <c r="S400" i="39"/>
  <c r="S399" i="39"/>
  <c r="S398" i="39"/>
  <c r="S397" i="39"/>
  <c r="S396" i="39"/>
  <c r="S395" i="39"/>
  <c r="S394" i="39"/>
  <c r="S393" i="39"/>
  <c r="S392" i="39"/>
  <c r="S391" i="39"/>
  <c r="S390" i="39"/>
  <c r="S389" i="39"/>
  <c r="S388" i="39"/>
  <c r="S387" i="39"/>
  <c r="S386" i="39"/>
  <c r="S385" i="39"/>
  <c r="S384" i="39"/>
  <c r="S383" i="39"/>
  <c r="S382" i="39"/>
  <c r="S381" i="39"/>
  <c r="S380" i="39"/>
  <c r="S379" i="39"/>
  <c r="S378" i="39"/>
  <c r="S377" i="39"/>
  <c r="S376" i="39"/>
  <c r="S375" i="39"/>
  <c r="S374" i="39"/>
  <c r="S373" i="39"/>
  <c r="S372" i="39"/>
  <c r="S371" i="39"/>
  <c r="S370" i="39"/>
  <c r="S369" i="39"/>
  <c r="S368" i="39"/>
  <c r="S367" i="39"/>
  <c r="S366" i="39"/>
  <c r="S365" i="39"/>
  <c r="S364" i="39"/>
  <c r="S363" i="39"/>
  <c r="S362" i="39"/>
  <c r="S361" i="39"/>
  <c r="S360" i="39"/>
  <c r="S359" i="39"/>
  <c r="S358" i="39"/>
  <c r="S357" i="39"/>
  <c r="S356" i="39"/>
  <c r="S355" i="39"/>
  <c r="S354" i="39"/>
  <c r="S353" i="39"/>
  <c r="S352" i="39"/>
  <c r="S351" i="39"/>
  <c r="S350" i="39"/>
  <c r="S349" i="39"/>
  <c r="S348" i="39"/>
  <c r="S347" i="39"/>
  <c r="S346" i="39"/>
  <c r="S345" i="39"/>
  <c r="S344" i="39"/>
  <c r="S343" i="39"/>
  <c r="S342" i="39"/>
  <c r="S341" i="39"/>
  <c r="S340" i="39"/>
  <c r="S339" i="39"/>
  <c r="S338" i="39"/>
  <c r="S337" i="39"/>
  <c r="S336" i="39"/>
  <c r="S335" i="39"/>
  <c r="S334" i="39"/>
  <c r="S333" i="39"/>
  <c r="S332" i="39"/>
  <c r="S331" i="39"/>
  <c r="S330" i="39"/>
  <c r="S329" i="39"/>
  <c r="S328" i="39"/>
  <c r="S327" i="39"/>
  <c r="S326" i="39"/>
  <c r="S325" i="39"/>
  <c r="S324" i="39"/>
  <c r="S323" i="39"/>
  <c r="S322" i="39"/>
  <c r="S321" i="39"/>
  <c r="S320" i="39"/>
  <c r="S319" i="39"/>
  <c r="S318" i="39"/>
  <c r="S317" i="39"/>
  <c r="S316" i="39"/>
  <c r="S315" i="39"/>
  <c r="S314" i="39"/>
  <c r="S313" i="39"/>
  <c r="S312" i="39"/>
  <c r="S311" i="39"/>
  <c r="S310" i="39"/>
  <c r="S309" i="39"/>
  <c r="S308" i="39"/>
  <c r="S307" i="39"/>
  <c r="S306" i="39"/>
  <c r="S303" i="39"/>
  <c r="S302" i="39"/>
  <c r="S301" i="39"/>
  <c r="S300" i="39"/>
  <c r="S299" i="39"/>
  <c r="S298" i="39"/>
  <c r="S297" i="39"/>
  <c r="S296" i="39"/>
  <c r="S295" i="39"/>
  <c r="S294" i="39"/>
  <c r="S293" i="39"/>
  <c r="S292" i="39"/>
  <c r="S291" i="39"/>
  <c r="S290" i="39"/>
  <c r="S289" i="39"/>
  <c r="S288" i="39"/>
  <c r="S287" i="39"/>
  <c r="S286" i="39"/>
  <c r="S285" i="39"/>
  <c r="S284" i="39"/>
  <c r="S283" i="39"/>
  <c r="S282" i="39"/>
  <c r="S281" i="39"/>
  <c r="S280" i="39"/>
  <c r="S279" i="39"/>
  <c r="S278" i="39"/>
  <c r="S277" i="39"/>
  <c r="S276" i="39"/>
  <c r="S275" i="39"/>
  <c r="S274" i="39"/>
  <c r="S273" i="39"/>
  <c r="S272" i="39"/>
  <c r="S271" i="39"/>
  <c r="S270" i="39"/>
  <c r="S269" i="39"/>
  <c r="S268" i="39"/>
  <c r="S267" i="39"/>
  <c r="S265" i="39"/>
  <c r="S264" i="39"/>
  <c r="S263" i="39"/>
  <c r="S262" i="39"/>
  <c r="S260" i="39"/>
  <c r="S259" i="39"/>
  <c r="S258" i="39"/>
  <c r="S257" i="39"/>
  <c r="S256" i="39"/>
  <c r="S255" i="39"/>
  <c r="S254" i="39"/>
  <c r="S253" i="39"/>
  <c r="S252" i="39"/>
  <c r="S251" i="39"/>
  <c r="S250" i="39"/>
  <c r="S249" i="39"/>
  <c r="S248" i="39"/>
  <c r="S247" i="39"/>
  <c r="S246" i="39"/>
  <c r="S245" i="39"/>
  <c r="S244" i="39"/>
  <c r="S243" i="39"/>
  <c r="S242" i="39"/>
  <c r="S241" i="39"/>
  <c r="S240" i="39"/>
  <c r="S239" i="39"/>
  <c r="S238" i="39"/>
  <c r="S237" i="39"/>
  <c r="S236" i="39"/>
  <c r="S235" i="39"/>
  <c r="S234" i="39"/>
  <c r="S233" i="39"/>
  <c r="S232" i="39"/>
  <c r="S231" i="39"/>
  <c r="S230" i="39"/>
  <c r="S229" i="39"/>
  <c r="S228" i="39"/>
  <c r="S227" i="39"/>
  <c r="S226" i="39"/>
  <c r="S225" i="39"/>
  <c r="S224" i="39"/>
  <c r="S223" i="39"/>
  <c r="S222" i="39"/>
  <c r="S221" i="39"/>
  <c r="S220" i="39"/>
  <c r="S219" i="39"/>
  <c r="S218" i="39"/>
  <c r="S217" i="39"/>
  <c r="S216" i="39"/>
  <c r="S215" i="39"/>
  <c r="S214" i="39"/>
  <c r="S213" i="39"/>
  <c r="S212" i="39"/>
  <c r="S211" i="39"/>
  <c r="S210" i="39"/>
  <c r="S209" i="39"/>
  <c r="S208" i="39"/>
  <c r="S207" i="39"/>
  <c r="S206" i="39"/>
  <c r="S205" i="39"/>
  <c r="S204" i="39"/>
  <c r="S203" i="39"/>
  <c r="S202" i="39"/>
  <c r="S201" i="39"/>
  <c r="S200" i="39"/>
  <c r="S199" i="39"/>
  <c r="S198" i="39"/>
  <c r="S197" i="39"/>
  <c r="S196" i="39"/>
  <c r="S195" i="39"/>
  <c r="S194" i="39"/>
  <c r="S193" i="39"/>
  <c r="S192" i="39"/>
  <c r="S191" i="39"/>
  <c r="S190" i="39"/>
  <c r="S189" i="39"/>
  <c r="S188" i="39"/>
  <c r="S187" i="39"/>
  <c r="S186" i="39"/>
  <c r="S185" i="39"/>
  <c r="S184" i="39"/>
  <c r="S183" i="39"/>
  <c r="S182" i="39"/>
  <c r="S181" i="39"/>
  <c r="S180" i="39"/>
  <c r="S179" i="39"/>
  <c r="S178" i="39"/>
  <c r="S177" i="39"/>
  <c r="S176" i="39"/>
  <c r="S175" i="39"/>
  <c r="S174" i="39"/>
  <c r="S173" i="39"/>
  <c r="S172" i="39"/>
  <c r="S171" i="39"/>
  <c r="S170" i="39"/>
  <c r="S169" i="39"/>
  <c r="S168" i="39"/>
  <c r="S167" i="39"/>
  <c r="S166" i="39"/>
  <c r="S165" i="39"/>
  <c r="S164" i="39"/>
  <c r="S163" i="39"/>
  <c r="S162" i="39"/>
  <c r="S161" i="39"/>
  <c r="S160" i="39"/>
  <c r="S159" i="39"/>
  <c r="S158" i="39"/>
  <c r="S157" i="39"/>
  <c r="S156" i="39"/>
  <c r="S155" i="39"/>
  <c r="S154" i="39"/>
  <c r="S153" i="39"/>
  <c r="S152" i="39"/>
  <c r="S151" i="39"/>
  <c r="S150" i="39"/>
  <c r="S149" i="39"/>
  <c r="S148" i="39"/>
  <c r="S147" i="39"/>
  <c r="S146" i="39"/>
  <c r="S145" i="39"/>
  <c r="S144" i="39"/>
  <c r="S143" i="39"/>
  <c r="S142" i="39"/>
  <c r="S141" i="39"/>
  <c r="S140" i="39"/>
  <c r="S139" i="39"/>
  <c r="S138" i="39"/>
  <c r="S137" i="39"/>
  <c r="S136" i="39"/>
  <c r="S135" i="39"/>
  <c r="S134" i="39"/>
  <c r="S133" i="39"/>
  <c r="S132" i="39"/>
  <c r="S131" i="39"/>
  <c r="S130" i="39"/>
  <c r="S129" i="39"/>
  <c r="S128" i="39"/>
  <c r="S127" i="39"/>
  <c r="S126" i="39"/>
  <c r="S125" i="39"/>
  <c r="S124" i="39"/>
  <c r="S123" i="39"/>
  <c r="S122" i="39"/>
  <c r="S121" i="39"/>
  <c r="S120" i="39"/>
  <c r="S119" i="39"/>
  <c r="S118" i="39"/>
  <c r="S117" i="39"/>
  <c r="S116" i="39"/>
  <c r="S115" i="39"/>
  <c r="S114" i="39"/>
  <c r="S113" i="39"/>
  <c r="S112" i="39"/>
  <c r="S111" i="39"/>
  <c r="S110" i="39"/>
  <c r="S109" i="39"/>
  <c r="S108" i="39"/>
  <c r="S107" i="39"/>
  <c r="S106" i="39"/>
  <c r="S105" i="39"/>
  <c r="S104" i="39"/>
  <c r="S103" i="39"/>
  <c r="S102" i="39"/>
  <c r="S101" i="39"/>
  <c r="S100" i="39"/>
  <c r="S99" i="39"/>
  <c r="S98" i="39"/>
  <c r="S97" i="39"/>
  <c r="S95" i="39"/>
  <c r="S94" i="39"/>
  <c r="S93" i="39"/>
  <c r="S92" i="39"/>
  <c r="S91" i="39"/>
  <c r="S90" i="39"/>
  <c r="S89" i="39"/>
  <c r="S88" i="39"/>
  <c r="S87" i="39"/>
  <c r="S86" i="39"/>
  <c r="S85" i="39"/>
  <c r="S84" i="39"/>
  <c r="S83" i="39"/>
  <c r="S82" i="39"/>
  <c r="S81" i="39"/>
  <c r="S80" i="39"/>
  <c r="S79" i="39"/>
  <c r="S78" i="39"/>
  <c r="S77" i="39"/>
  <c r="S76" i="39"/>
  <c r="S75" i="39"/>
  <c r="S74" i="39"/>
  <c r="S73" i="39"/>
  <c r="S72" i="39"/>
  <c r="S71" i="39"/>
  <c r="S70" i="39"/>
  <c r="S69" i="39"/>
  <c r="S68" i="39"/>
  <c r="S67" i="39"/>
  <c r="S66" i="39"/>
  <c r="S65" i="39"/>
  <c r="S64" i="39"/>
  <c r="S63" i="39"/>
  <c r="S62" i="39"/>
  <c r="S61" i="39"/>
  <c r="S60" i="39"/>
  <c r="S59" i="39"/>
  <c r="S58" i="39"/>
  <c r="S57" i="39"/>
  <c r="S56" i="39"/>
  <c r="S55" i="39"/>
  <c r="S54" i="39"/>
  <c r="S53" i="39"/>
  <c r="S52" i="39"/>
  <c r="S51" i="39"/>
  <c r="S50" i="39"/>
  <c r="S49" i="39"/>
  <c r="S48" i="39"/>
  <c r="S47" i="39"/>
  <c r="S46" i="39"/>
  <c r="S45" i="39"/>
  <c r="S44" i="39"/>
  <c r="S43" i="39"/>
  <c r="S42" i="39"/>
  <c r="S41" i="39"/>
  <c r="S40" i="39"/>
  <c r="S39" i="39"/>
  <c r="S38" i="39"/>
  <c r="S37" i="39"/>
  <c r="S36" i="39"/>
  <c r="S35" i="39"/>
  <c r="S34" i="39"/>
  <c r="S33" i="39"/>
  <c r="S32" i="39"/>
  <c r="S31" i="39"/>
  <c r="S30" i="39"/>
  <c r="S29" i="39"/>
  <c r="S28" i="39"/>
  <c r="S27" i="39"/>
  <c r="S26" i="39"/>
  <c r="S25" i="39"/>
  <c r="S24" i="39"/>
  <c r="S23" i="39"/>
  <c r="S22" i="39"/>
  <c r="S21" i="39"/>
  <c r="S20" i="39"/>
  <c r="S19" i="39"/>
  <c r="S18" i="39"/>
  <c r="S17" i="39"/>
  <c r="S16" i="39"/>
  <c r="S15" i="39"/>
  <c r="S14" i="39"/>
  <c r="S13" i="39"/>
  <c r="S12" i="39"/>
  <c r="S11" i="39"/>
  <c r="S10" i="39"/>
  <c r="S9" i="39"/>
  <c r="S8" i="39"/>
  <c r="S7" i="39"/>
  <c r="S6" i="39"/>
  <c r="S5" i="39"/>
  <c r="S4" i="39"/>
  <c r="H571" i="115"/>
  <c r="H713" i="114"/>
  <c r="H962" i="115"/>
  <c r="H896" i="115"/>
  <c r="H884" i="115"/>
  <c r="H808" i="115"/>
  <c r="H790" i="115"/>
  <c r="H326" i="114"/>
  <c r="H260" i="114"/>
  <c r="H1662" i="68"/>
  <c r="H1615" i="68"/>
  <c r="H1635" i="68"/>
  <c r="H1560" i="68"/>
  <c r="H1002" i="68"/>
  <c r="H957" i="68"/>
  <c r="H604" i="68"/>
  <c r="H564" i="68"/>
  <c r="H565" i="68"/>
  <c r="H484" i="115"/>
  <c r="H340" i="115"/>
  <c r="H1863" i="68"/>
  <c r="H665" i="68"/>
  <c r="B665" i="68"/>
  <c r="H661" i="68"/>
  <c r="B661" i="68"/>
  <c r="H265" i="68"/>
  <c r="R1826" i="39"/>
  <c r="R1825" i="39"/>
  <c r="R1824" i="39"/>
  <c r="R1823" i="39"/>
  <c r="R1822" i="39"/>
  <c r="R1821" i="39"/>
  <c r="R1820" i="39"/>
  <c r="R1819" i="39"/>
  <c r="R1818" i="39"/>
  <c r="R1817" i="39"/>
  <c r="R1816" i="39"/>
  <c r="R1815" i="39"/>
  <c r="R1814" i="39"/>
  <c r="R1813" i="39"/>
  <c r="R1812" i="39"/>
  <c r="R1811" i="39"/>
  <c r="R1810" i="39"/>
  <c r="R1809" i="39"/>
  <c r="R1808" i="39"/>
  <c r="R1807" i="39"/>
  <c r="R1806" i="39"/>
  <c r="R1805" i="39"/>
  <c r="R1804" i="39"/>
  <c r="R1803" i="39"/>
  <c r="R1802" i="39"/>
  <c r="R1801" i="39"/>
  <c r="R1800" i="39"/>
  <c r="R1799" i="39"/>
  <c r="R1798" i="39"/>
  <c r="R1797" i="39"/>
  <c r="R1796" i="39"/>
  <c r="R1795" i="39"/>
  <c r="R1794" i="39"/>
  <c r="R1792" i="39"/>
  <c r="R1791" i="39"/>
  <c r="R1779" i="39"/>
  <c r="R1778" i="39"/>
  <c r="R1777" i="39"/>
  <c r="R1776" i="39"/>
  <c r="R1775" i="39"/>
  <c r="R1774" i="39"/>
  <c r="R1773" i="39"/>
  <c r="R1772" i="39"/>
  <c r="R1771" i="39"/>
  <c r="R1770" i="39"/>
  <c r="R1769" i="39"/>
  <c r="R1768" i="39"/>
  <c r="R1767" i="39"/>
  <c r="R1766" i="39"/>
  <c r="R1765" i="39"/>
  <c r="R1764" i="39"/>
  <c r="R1763" i="39"/>
  <c r="R1762" i="39"/>
  <c r="R1761" i="39"/>
  <c r="R1760" i="39"/>
  <c r="R1759" i="39"/>
  <c r="R1758" i="39"/>
  <c r="R1757" i="39"/>
  <c r="R1756" i="39"/>
  <c r="R1755" i="39"/>
  <c r="R1754" i="39"/>
  <c r="R1753" i="39"/>
  <c r="R1752" i="39"/>
  <c r="R1751" i="39"/>
  <c r="R1750" i="39"/>
  <c r="R1749" i="39"/>
  <c r="R1748" i="39"/>
  <c r="R1747" i="39"/>
  <c r="R1746" i="39"/>
  <c r="R1745" i="39"/>
  <c r="R1744" i="39"/>
  <c r="R1743" i="39"/>
  <c r="R1742" i="39"/>
  <c r="R1741" i="39"/>
  <c r="R1740" i="39"/>
  <c r="R1739" i="39"/>
  <c r="R1738" i="39"/>
  <c r="R1737" i="39"/>
  <c r="R1736" i="39"/>
  <c r="R1735" i="39"/>
  <c r="R1734" i="39"/>
  <c r="R1733" i="39"/>
  <c r="R1732" i="39"/>
  <c r="R1731" i="39"/>
  <c r="R1730" i="39"/>
  <c r="R1729" i="39"/>
  <c r="R1728" i="39"/>
  <c r="R1727" i="39"/>
  <c r="R1726" i="39"/>
  <c r="R1725" i="39"/>
  <c r="R1724" i="39"/>
  <c r="R1723" i="39"/>
  <c r="R1722" i="39"/>
  <c r="R1721" i="39"/>
  <c r="R1720" i="39"/>
  <c r="R1719" i="39"/>
  <c r="R1718" i="39"/>
  <c r="R1717" i="39"/>
  <c r="R1716" i="39"/>
  <c r="R1715" i="39"/>
  <c r="R1714" i="39"/>
  <c r="R1713" i="39"/>
  <c r="R1712" i="39"/>
  <c r="R1711" i="39"/>
  <c r="R1710" i="39"/>
  <c r="R1709" i="39"/>
  <c r="R1708" i="39"/>
  <c r="R1707" i="39"/>
  <c r="R1706" i="39"/>
  <c r="R1705" i="39"/>
  <c r="R1704" i="39"/>
  <c r="R1703" i="39"/>
  <c r="R1702" i="39"/>
  <c r="R1701" i="39"/>
  <c r="R1700" i="39"/>
  <c r="R1699" i="39"/>
  <c r="R1698" i="39"/>
  <c r="R1697" i="39"/>
  <c r="R1696" i="39"/>
  <c r="R1695" i="39"/>
  <c r="R1694" i="39"/>
  <c r="R1693" i="39"/>
  <c r="R1692" i="39"/>
  <c r="R1691" i="39"/>
  <c r="R1690" i="39"/>
  <c r="R1689" i="39"/>
  <c r="R1688" i="39"/>
  <c r="R1687" i="39"/>
  <c r="R1686" i="39"/>
  <c r="R1685" i="39"/>
  <c r="R1683" i="39"/>
  <c r="R1682" i="39"/>
  <c r="R1681" i="39"/>
  <c r="R1680" i="39"/>
  <c r="R1679" i="39"/>
  <c r="R1678" i="39"/>
  <c r="R1677" i="39"/>
  <c r="R1676" i="39"/>
  <c r="R1675" i="39"/>
  <c r="R1674" i="39"/>
  <c r="R1673" i="39"/>
  <c r="R1672" i="39"/>
  <c r="R1671" i="39"/>
  <c r="R1670" i="39"/>
  <c r="R1669" i="39"/>
  <c r="R1668" i="39"/>
  <c r="R1667" i="39"/>
  <c r="R1666" i="39"/>
  <c r="R1665" i="39"/>
  <c r="R1664" i="39"/>
  <c r="R1663" i="39"/>
  <c r="R1662" i="39"/>
  <c r="R1661" i="39"/>
  <c r="R1660" i="39"/>
  <c r="R1659" i="39"/>
  <c r="R1658" i="39"/>
  <c r="R1657" i="39"/>
  <c r="R1656" i="39"/>
  <c r="R1655" i="39"/>
  <c r="R1654" i="39"/>
  <c r="R1653" i="39"/>
  <c r="R1652" i="39"/>
  <c r="R1651" i="39"/>
  <c r="R1650" i="39"/>
  <c r="R1649" i="39"/>
  <c r="R1648" i="39"/>
  <c r="R1647" i="39"/>
  <c r="R1646" i="39"/>
  <c r="R1645" i="39"/>
  <c r="R1643" i="39"/>
  <c r="R1642" i="39"/>
  <c r="R1641" i="39"/>
  <c r="R1640" i="39"/>
  <c r="R1639" i="39"/>
  <c r="R1638" i="39"/>
  <c r="R1637" i="39"/>
  <c r="R1636" i="39"/>
  <c r="R1635" i="39"/>
  <c r="R1634" i="39"/>
  <c r="R1633" i="39"/>
  <c r="R1632" i="39"/>
  <c r="R1631" i="39"/>
  <c r="R1630" i="39"/>
  <c r="R1629" i="39"/>
  <c r="R1628" i="39"/>
  <c r="R1627" i="39"/>
  <c r="R1626" i="39"/>
  <c r="R1625" i="39"/>
  <c r="R1624" i="39"/>
  <c r="R1623" i="39"/>
  <c r="R1622" i="39"/>
  <c r="R1621" i="39"/>
  <c r="R1620" i="39"/>
  <c r="R1619" i="39"/>
  <c r="R1618" i="39"/>
  <c r="R1617" i="39"/>
  <c r="R1616" i="39"/>
  <c r="R1615" i="39"/>
  <c r="R1614" i="39"/>
  <c r="R1613" i="39"/>
  <c r="R1612" i="39"/>
  <c r="R1611" i="39"/>
  <c r="R1610" i="39"/>
  <c r="R1609" i="39"/>
  <c r="R1608" i="39"/>
  <c r="R1607" i="39"/>
  <c r="R1606" i="39"/>
  <c r="R1605" i="39"/>
  <c r="R1604" i="39"/>
  <c r="R1603" i="39"/>
  <c r="R1602" i="39"/>
  <c r="R1601" i="39"/>
  <c r="R1600" i="39"/>
  <c r="R1599" i="39"/>
  <c r="R1598" i="39"/>
  <c r="R1597" i="39"/>
  <c r="R1596" i="39"/>
  <c r="R1595" i="39"/>
  <c r="R1594" i="39"/>
  <c r="R1593" i="39"/>
  <c r="R1592" i="39"/>
  <c r="R1591" i="39"/>
  <c r="R1590" i="39"/>
  <c r="R1589" i="39"/>
  <c r="R1588" i="39"/>
  <c r="R1587" i="39"/>
  <c r="R1586" i="39"/>
  <c r="R1585" i="39"/>
  <c r="R1584" i="39"/>
  <c r="R1583" i="39"/>
  <c r="R1582" i="39"/>
  <c r="R1581" i="39"/>
  <c r="R1580" i="39"/>
  <c r="R1579" i="39"/>
  <c r="R1578" i="39"/>
  <c r="R1577" i="39"/>
  <c r="R1576" i="39"/>
  <c r="R1575" i="39"/>
  <c r="R1574" i="39"/>
  <c r="R1573" i="39"/>
  <c r="R1572" i="39"/>
  <c r="R1570" i="39"/>
  <c r="R1569" i="39"/>
  <c r="R1568" i="39"/>
  <c r="R1567" i="39"/>
  <c r="R1566" i="39"/>
  <c r="R1565" i="39"/>
  <c r="R1564" i="39"/>
  <c r="R1563" i="39"/>
  <c r="R1562" i="39"/>
  <c r="R1561" i="39"/>
  <c r="R1560" i="39"/>
  <c r="R1559" i="39"/>
  <c r="R1558" i="39"/>
  <c r="R1557" i="39"/>
  <c r="R1556" i="39"/>
  <c r="R1555" i="39"/>
  <c r="R1554" i="39"/>
  <c r="R1553" i="39"/>
  <c r="R1552" i="39"/>
  <c r="R1551" i="39"/>
  <c r="R1550" i="39"/>
  <c r="R1549" i="39"/>
  <c r="R1548" i="39"/>
  <c r="R1547" i="39"/>
  <c r="R1546" i="39"/>
  <c r="R1545" i="39"/>
  <c r="R1544" i="39"/>
  <c r="R1543" i="39"/>
  <c r="R1542" i="39"/>
  <c r="R1541" i="39"/>
  <c r="R1540" i="39"/>
  <c r="R1539" i="39"/>
  <c r="R1538" i="39"/>
  <c r="R1537" i="39"/>
  <c r="R1536" i="39"/>
  <c r="R1535" i="39"/>
  <c r="R1534" i="39"/>
  <c r="R1533" i="39"/>
  <c r="R1532" i="39"/>
  <c r="R1531" i="39"/>
  <c r="R1530" i="39"/>
  <c r="R1529" i="39"/>
  <c r="R1528" i="39"/>
  <c r="R1527" i="39"/>
  <c r="R1526" i="39"/>
  <c r="R1525" i="39"/>
  <c r="R1524" i="39"/>
  <c r="R1523" i="39"/>
  <c r="R1522" i="39"/>
  <c r="R1521" i="39"/>
  <c r="R1520" i="39"/>
  <c r="R1519" i="39"/>
  <c r="R1518" i="39"/>
  <c r="R1517" i="39"/>
  <c r="R1516" i="39"/>
  <c r="R1515" i="39"/>
  <c r="R1514" i="39"/>
  <c r="R1513" i="39"/>
  <c r="R1510" i="39"/>
  <c r="R1509" i="39"/>
  <c r="R1508" i="39"/>
  <c r="R1507" i="39"/>
  <c r="R1506" i="39"/>
  <c r="R1505" i="39"/>
  <c r="R1504" i="39"/>
  <c r="R1503" i="39"/>
  <c r="R1502" i="39"/>
  <c r="R1501" i="39"/>
  <c r="R1500" i="39"/>
  <c r="R1499" i="39"/>
  <c r="R1498" i="39"/>
  <c r="R1497" i="39"/>
  <c r="R1496" i="39"/>
  <c r="R1495" i="39"/>
  <c r="R1494" i="39"/>
  <c r="R1493" i="39"/>
  <c r="R1492" i="39"/>
  <c r="R1490" i="39"/>
  <c r="R1489" i="39"/>
  <c r="R1488" i="39"/>
  <c r="R1487" i="39"/>
  <c r="R1486" i="39"/>
  <c r="R1484" i="39"/>
  <c r="R1483" i="39"/>
  <c r="R1482" i="39"/>
  <c r="R1481" i="39"/>
  <c r="R1480" i="39"/>
  <c r="R1479" i="39"/>
  <c r="R1478" i="39"/>
  <c r="R1477" i="39"/>
  <c r="R1476" i="39"/>
  <c r="R1475" i="39"/>
  <c r="R1474" i="39"/>
  <c r="R1473" i="39"/>
  <c r="R1472" i="39"/>
  <c r="R1471" i="39"/>
  <c r="R1470" i="39"/>
  <c r="R1469" i="39"/>
  <c r="R1468" i="39"/>
  <c r="R1467" i="39"/>
  <c r="R1466" i="39"/>
  <c r="R1465" i="39"/>
  <c r="R1464" i="39"/>
  <c r="R1463" i="39"/>
  <c r="R1462" i="39"/>
  <c r="R1461" i="39"/>
  <c r="R1460" i="39"/>
  <c r="R1459" i="39"/>
  <c r="R1458" i="39"/>
  <c r="R1457" i="39"/>
  <c r="R1456" i="39"/>
  <c r="R1455" i="39"/>
  <c r="R1454" i="39"/>
  <c r="R1453" i="39"/>
  <c r="R1452" i="39"/>
  <c r="R1451" i="39"/>
  <c r="R1450" i="39"/>
  <c r="R1449" i="39"/>
  <c r="R1448" i="39"/>
  <c r="R1447" i="39"/>
  <c r="R1446" i="39"/>
  <c r="R1445" i="39"/>
  <c r="R1444" i="39"/>
  <c r="R1443" i="39"/>
  <c r="R1442" i="39"/>
  <c r="R1441" i="39"/>
  <c r="R1440" i="39"/>
  <c r="R1439" i="39"/>
  <c r="R1438" i="39"/>
  <c r="R1437" i="39"/>
  <c r="R1436" i="39"/>
  <c r="R1435" i="39"/>
  <c r="R1434" i="39"/>
  <c r="R1433" i="39"/>
  <c r="R1432" i="39"/>
  <c r="R1431" i="39"/>
  <c r="R1430" i="39"/>
  <c r="R1429" i="39"/>
  <c r="R1428" i="39"/>
  <c r="R1427" i="39"/>
  <c r="R1426" i="39"/>
  <c r="R1425" i="39"/>
  <c r="R1424" i="39"/>
  <c r="R1423" i="39"/>
  <c r="R1422" i="39"/>
  <c r="R1421" i="39"/>
  <c r="R1420" i="39"/>
  <c r="R1419" i="39"/>
  <c r="R1418" i="39"/>
  <c r="R1417" i="39"/>
  <c r="R1416" i="39"/>
  <c r="R1415" i="39"/>
  <c r="R1414" i="39"/>
  <c r="R1413" i="39"/>
  <c r="R1412" i="39"/>
  <c r="R1411" i="39"/>
  <c r="R1410" i="39"/>
  <c r="R1409" i="39"/>
  <c r="R1408" i="39"/>
  <c r="R1407" i="39"/>
  <c r="R1406" i="39"/>
  <c r="R1405" i="39"/>
  <c r="R1404" i="39"/>
  <c r="R1403" i="39"/>
  <c r="R1402" i="39"/>
  <c r="R1401" i="39"/>
  <c r="R1400" i="39"/>
  <c r="R1399" i="39"/>
  <c r="R1398" i="39"/>
  <c r="R1397" i="39"/>
  <c r="R1396" i="39"/>
  <c r="R1395" i="39"/>
  <c r="R1392" i="39"/>
  <c r="R1391" i="39"/>
  <c r="R1390" i="39"/>
  <c r="R1389" i="39"/>
  <c r="R1388" i="39"/>
  <c r="R1387" i="39"/>
  <c r="R1386" i="39"/>
  <c r="R1383" i="39"/>
  <c r="R1382" i="39"/>
  <c r="R1381" i="39"/>
  <c r="R1380" i="39"/>
  <c r="R1379" i="39"/>
  <c r="R1378" i="39"/>
  <c r="R1377" i="39"/>
  <c r="R1376" i="39"/>
  <c r="R1375" i="39"/>
  <c r="R1374" i="39"/>
  <c r="R1373" i="39"/>
  <c r="R1371" i="39"/>
  <c r="R1370" i="39"/>
  <c r="R1369" i="39"/>
  <c r="R1368" i="39"/>
  <c r="R1367" i="39"/>
  <c r="R1366" i="39"/>
  <c r="R1365" i="39"/>
  <c r="R1363" i="39"/>
  <c r="R1362" i="39"/>
  <c r="R1361" i="39"/>
  <c r="R1360" i="39"/>
  <c r="R1359" i="39"/>
  <c r="R1358" i="39"/>
  <c r="R1357" i="39"/>
  <c r="R1356" i="39"/>
  <c r="R1355" i="39"/>
  <c r="R1354" i="39"/>
  <c r="R1353" i="39"/>
  <c r="R1352" i="39"/>
  <c r="R1351" i="39"/>
  <c r="R1350" i="39"/>
  <c r="R1349" i="39"/>
  <c r="R1348" i="39"/>
  <c r="R1347" i="39"/>
  <c r="R1346" i="39"/>
  <c r="R1345" i="39"/>
  <c r="R1344" i="39"/>
  <c r="R1343" i="39"/>
  <c r="R1342" i="39"/>
  <c r="R1341" i="39"/>
  <c r="R1340" i="39"/>
  <c r="R1339" i="39"/>
  <c r="R1338" i="39"/>
  <c r="R1337" i="39"/>
  <c r="R1336" i="39"/>
  <c r="R1335" i="39"/>
  <c r="R1334" i="39"/>
  <c r="R1333" i="39"/>
  <c r="R1332" i="39"/>
  <c r="R1331" i="39"/>
  <c r="R1330" i="39"/>
  <c r="R1329" i="39"/>
  <c r="R1328" i="39"/>
  <c r="R1327" i="39"/>
  <c r="R1326" i="39"/>
  <c r="R1325" i="39"/>
  <c r="R1324" i="39"/>
  <c r="R1323" i="39"/>
  <c r="R1322" i="39"/>
  <c r="R1321" i="39"/>
  <c r="R1320" i="39"/>
  <c r="R1319" i="39"/>
  <c r="R1318" i="39"/>
  <c r="R1317" i="39"/>
  <c r="R1316" i="39"/>
  <c r="R1315" i="39"/>
  <c r="R1314" i="39"/>
  <c r="R1313" i="39"/>
  <c r="R1312" i="39"/>
  <c r="R1311" i="39"/>
  <c r="R1310" i="39"/>
  <c r="R1309" i="39"/>
  <c r="R1308" i="39"/>
  <c r="R1307" i="39"/>
  <c r="R1306" i="39"/>
  <c r="R1305" i="39"/>
  <c r="R1304" i="39"/>
  <c r="R1303" i="39"/>
  <c r="R1301" i="39"/>
  <c r="R1300" i="39"/>
  <c r="R1298" i="39"/>
  <c r="R1297" i="39"/>
  <c r="R1296" i="39"/>
  <c r="R1295" i="39"/>
  <c r="R1294" i="39"/>
  <c r="R1293" i="39"/>
  <c r="R1291" i="39"/>
  <c r="R1290" i="39"/>
  <c r="R1289" i="39"/>
  <c r="R1288" i="39"/>
  <c r="R1287" i="39"/>
  <c r="R1286" i="39"/>
  <c r="R1285" i="39"/>
  <c r="R1284" i="39"/>
  <c r="R1283" i="39"/>
  <c r="R1282" i="39"/>
  <c r="R1281" i="39"/>
  <c r="R1280" i="39"/>
  <c r="R1279" i="39"/>
  <c r="R1278" i="39"/>
  <c r="R1277" i="39"/>
  <c r="R1276" i="39"/>
  <c r="R1275" i="39"/>
  <c r="R1274" i="39"/>
  <c r="R1272" i="39"/>
  <c r="R1271" i="39"/>
  <c r="R1270" i="39"/>
  <c r="R1269" i="39"/>
  <c r="R1268" i="39"/>
  <c r="R1267" i="39"/>
  <c r="R1266" i="39"/>
  <c r="R1265" i="39"/>
  <c r="R1264" i="39"/>
  <c r="R1263" i="39"/>
  <c r="R1262" i="39"/>
  <c r="R1261" i="39"/>
  <c r="R1260" i="39"/>
  <c r="R1259" i="39"/>
  <c r="R1258" i="39"/>
  <c r="R1257" i="39"/>
  <c r="R1256" i="39"/>
  <c r="R1255" i="39"/>
  <c r="R1254" i="39"/>
  <c r="R1253" i="39"/>
  <c r="R1252" i="39"/>
  <c r="R1251" i="39"/>
  <c r="R1250" i="39"/>
  <c r="R1249" i="39"/>
  <c r="R1248" i="39"/>
  <c r="R1247" i="39"/>
  <c r="R1246" i="39"/>
  <c r="R1245" i="39"/>
  <c r="R1244" i="39"/>
  <c r="R1243" i="39"/>
  <c r="R1242" i="39"/>
  <c r="R1241" i="39"/>
  <c r="R1240" i="39"/>
  <c r="R1239" i="39"/>
  <c r="R1238" i="39"/>
  <c r="R1237" i="39"/>
  <c r="R1236" i="39"/>
  <c r="R1235" i="39"/>
  <c r="R1234" i="39"/>
  <c r="R1233" i="39"/>
  <c r="R1232" i="39"/>
  <c r="R1231" i="39"/>
  <c r="R1230" i="39"/>
  <c r="R1229" i="39"/>
  <c r="R1228" i="39"/>
  <c r="R1227" i="39"/>
  <c r="R1226" i="39"/>
  <c r="R1225" i="39"/>
  <c r="R1224" i="39"/>
  <c r="R1223" i="39"/>
  <c r="R1222" i="39"/>
  <c r="R1221" i="39"/>
  <c r="R1220" i="39"/>
  <c r="R1219" i="39"/>
  <c r="R1218" i="39"/>
  <c r="R1217" i="39"/>
  <c r="R1216" i="39"/>
  <c r="R1215" i="39"/>
  <c r="R1214" i="39"/>
  <c r="R1213" i="39"/>
  <c r="R1212" i="39"/>
  <c r="R1211" i="39"/>
  <c r="R1210" i="39"/>
  <c r="R1209" i="39"/>
  <c r="R1208" i="39"/>
  <c r="R1207" i="39"/>
  <c r="R1206" i="39"/>
  <c r="R1205" i="39"/>
  <c r="R1204" i="39"/>
  <c r="R1203" i="39"/>
  <c r="R1202" i="39"/>
  <c r="R1201" i="39"/>
  <c r="R1200" i="39"/>
  <c r="R1199" i="39"/>
  <c r="R1198" i="39"/>
  <c r="R1197" i="39"/>
  <c r="R1196" i="39"/>
  <c r="R1195" i="39"/>
  <c r="R1194" i="39"/>
  <c r="R1193" i="39"/>
  <c r="R1192" i="39"/>
  <c r="R1191" i="39"/>
  <c r="R1190" i="39"/>
  <c r="R1189" i="39"/>
  <c r="R1188" i="39"/>
  <c r="R1187" i="39"/>
  <c r="R1186" i="39"/>
  <c r="R1185" i="39"/>
  <c r="R1184" i="39"/>
  <c r="R1183" i="39"/>
  <c r="R1182" i="39"/>
  <c r="R1181" i="39"/>
  <c r="R1180" i="39"/>
  <c r="R1179" i="39"/>
  <c r="R1178" i="39"/>
  <c r="R1177" i="39"/>
  <c r="R1176" i="39"/>
  <c r="R1175" i="39"/>
  <c r="R1174" i="39"/>
  <c r="R1173" i="39"/>
  <c r="R1172" i="39"/>
  <c r="R1171" i="39"/>
  <c r="R1170" i="39"/>
  <c r="R1169" i="39"/>
  <c r="R1168" i="39"/>
  <c r="R1167" i="39"/>
  <c r="R1166" i="39"/>
  <c r="R1165" i="39"/>
  <c r="R1164" i="39"/>
  <c r="R1163" i="39"/>
  <c r="R1162" i="39"/>
  <c r="R1161" i="39"/>
  <c r="R1160" i="39"/>
  <c r="R1159" i="39"/>
  <c r="R1158" i="39"/>
  <c r="R1157" i="39"/>
  <c r="R1156" i="39"/>
  <c r="R1155" i="39"/>
  <c r="R1154" i="39"/>
  <c r="R1153" i="39"/>
  <c r="R1152" i="39"/>
  <c r="R1151" i="39"/>
  <c r="R1150" i="39"/>
  <c r="R1149" i="39"/>
  <c r="R1148" i="39"/>
  <c r="R1147" i="39"/>
  <c r="R1146" i="39"/>
  <c r="R1145" i="39"/>
  <c r="R1144" i="39"/>
  <c r="R1143" i="39"/>
  <c r="R1142" i="39"/>
  <c r="R1141" i="39"/>
  <c r="R1140" i="39"/>
  <c r="R1139" i="39"/>
  <c r="R1138" i="39"/>
  <c r="R1137" i="39"/>
  <c r="R1136" i="39"/>
  <c r="R1135" i="39"/>
  <c r="R1134" i="39"/>
  <c r="R1133" i="39"/>
  <c r="R1132" i="39"/>
  <c r="R1131" i="39"/>
  <c r="R1130" i="39"/>
  <c r="R1129" i="39"/>
  <c r="R1128" i="39"/>
  <c r="R1127" i="39"/>
  <c r="R1126" i="39"/>
  <c r="R1125" i="39"/>
  <c r="R1124" i="39"/>
  <c r="R1123" i="39"/>
  <c r="R1122" i="39"/>
  <c r="R1121" i="39"/>
  <c r="R1120" i="39"/>
  <c r="R1119" i="39"/>
  <c r="R1118" i="39"/>
  <c r="R1117" i="39"/>
  <c r="R1116" i="39"/>
  <c r="R1115" i="39"/>
  <c r="R1114" i="39"/>
  <c r="R1113" i="39"/>
  <c r="R1112" i="39"/>
  <c r="R1111" i="39"/>
  <c r="R1110" i="39"/>
  <c r="R1109" i="39"/>
  <c r="R1108" i="39"/>
  <c r="R1107" i="39"/>
  <c r="R1106" i="39"/>
  <c r="R1105" i="39"/>
  <c r="R1104" i="39"/>
  <c r="R1103" i="39"/>
  <c r="R1102" i="39"/>
  <c r="R1101" i="39"/>
  <c r="R1100" i="39"/>
  <c r="R1099" i="39"/>
  <c r="R1098" i="39"/>
  <c r="R1097" i="39"/>
  <c r="R1096" i="39"/>
  <c r="R1095" i="39"/>
  <c r="R1094" i="39"/>
  <c r="R1093" i="39"/>
  <c r="R1091" i="39"/>
  <c r="R1083" i="39"/>
  <c r="R1082" i="39"/>
  <c r="R1081" i="39"/>
  <c r="R1080" i="39"/>
  <c r="R1079" i="39"/>
  <c r="R1078" i="39"/>
  <c r="R1077" i="39"/>
  <c r="R1076" i="39"/>
  <c r="R1075" i="39"/>
  <c r="R1074" i="39"/>
  <c r="R1073" i="39"/>
  <c r="R1072" i="39"/>
  <c r="R1070" i="39"/>
  <c r="R1069" i="39"/>
  <c r="R1068" i="39"/>
  <c r="R1066" i="39"/>
  <c r="R1065" i="39"/>
  <c r="R1064" i="39"/>
  <c r="R1063" i="39"/>
  <c r="R1062" i="39"/>
  <c r="R1061" i="39"/>
  <c r="R1060" i="39"/>
  <c r="R1059" i="39"/>
  <c r="R1058" i="39"/>
  <c r="R1057" i="39"/>
  <c r="R1056" i="39"/>
  <c r="R1055" i="39"/>
  <c r="R1054" i="39"/>
  <c r="R1053" i="39"/>
  <c r="R1052" i="39"/>
  <c r="R1051" i="39"/>
  <c r="R1050" i="39"/>
  <c r="R1049" i="39"/>
  <c r="R1048" i="39"/>
  <c r="R1047" i="39"/>
  <c r="R1046" i="39"/>
  <c r="R1045" i="39"/>
  <c r="R1044" i="39"/>
  <c r="R1043" i="39"/>
  <c r="R1042" i="39"/>
  <c r="R1041" i="39"/>
  <c r="R1040" i="39"/>
  <c r="R1039" i="39"/>
  <c r="R1038" i="39"/>
  <c r="R1037" i="39"/>
  <c r="R1036" i="39"/>
  <c r="R1035" i="39"/>
  <c r="R1034" i="39"/>
  <c r="R1033" i="39"/>
  <c r="R1032" i="39"/>
  <c r="R1031" i="39"/>
  <c r="R1030" i="39"/>
  <c r="R1029" i="39"/>
  <c r="R1028" i="39"/>
  <c r="R1027" i="39"/>
  <c r="R1026" i="39"/>
  <c r="R1025" i="39"/>
  <c r="R1024" i="39"/>
  <c r="R1023" i="39"/>
  <c r="R1022" i="39"/>
  <c r="R1021" i="39"/>
  <c r="R1020" i="39"/>
  <c r="R1019" i="39"/>
  <c r="R1018" i="39"/>
  <c r="R1017" i="39"/>
  <c r="R1016" i="39"/>
  <c r="R1015" i="39"/>
  <c r="R1014" i="39"/>
  <c r="R1013" i="39"/>
  <c r="R1012" i="39"/>
  <c r="R1011" i="39"/>
  <c r="R1010" i="39"/>
  <c r="R1009" i="39"/>
  <c r="R1008" i="39"/>
  <c r="R1007" i="39"/>
  <c r="R1006" i="39"/>
  <c r="R1005" i="39"/>
  <c r="R1004" i="39"/>
  <c r="R1003" i="39"/>
  <c r="R1002" i="39"/>
  <c r="R1001" i="39"/>
  <c r="R1000" i="39"/>
  <c r="R999" i="39"/>
  <c r="R998" i="39"/>
  <c r="R997" i="39"/>
  <c r="R996" i="39"/>
  <c r="R995" i="39"/>
  <c r="R994" i="39"/>
  <c r="R993" i="39"/>
  <c r="R992" i="39"/>
  <c r="R991" i="39"/>
  <c r="R990" i="39"/>
  <c r="R989" i="39"/>
  <c r="R988" i="39"/>
  <c r="R987" i="39"/>
  <c r="R986" i="39"/>
  <c r="R985" i="39"/>
  <c r="R984" i="39"/>
  <c r="R983" i="39"/>
  <c r="R982" i="39"/>
  <c r="R981" i="39"/>
  <c r="R980" i="39"/>
  <c r="R979" i="39"/>
  <c r="R978" i="39"/>
  <c r="R977" i="39"/>
  <c r="R976" i="39"/>
  <c r="R975" i="39"/>
  <c r="R974" i="39"/>
  <c r="R973" i="39"/>
  <c r="R972" i="39"/>
  <c r="R971" i="39"/>
  <c r="R970" i="39"/>
  <c r="R969" i="39"/>
  <c r="R968" i="39"/>
  <c r="R966" i="39"/>
  <c r="R965" i="39"/>
  <c r="R964" i="39"/>
  <c r="R963" i="39"/>
  <c r="R962" i="39"/>
  <c r="R961" i="39"/>
  <c r="R960" i="39"/>
  <c r="R959" i="39"/>
  <c r="R958" i="39"/>
  <c r="R956" i="39"/>
  <c r="R955" i="39"/>
  <c r="R953" i="39"/>
  <c r="R952" i="39"/>
  <c r="R951" i="39"/>
  <c r="R950" i="39"/>
  <c r="R949" i="39"/>
  <c r="R948" i="39"/>
  <c r="R947" i="39"/>
  <c r="R946" i="39"/>
  <c r="R945" i="39"/>
  <c r="R944" i="39"/>
  <c r="R943" i="39"/>
  <c r="R942" i="39"/>
  <c r="R941" i="39"/>
  <c r="R940" i="39"/>
  <c r="R939" i="39"/>
  <c r="R938" i="39"/>
  <c r="R937" i="39"/>
  <c r="R936" i="39"/>
  <c r="R935" i="39"/>
  <c r="R934" i="39"/>
  <c r="R933" i="39"/>
  <c r="R932" i="39"/>
  <c r="R931" i="39"/>
  <c r="R930" i="39"/>
  <c r="R928" i="39"/>
  <c r="R927" i="39"/>
  <c r="R926" i="39"/>
  <c r="R925" i="39"/>
  <c r="R924" i="39"/>
  <c r="R923" i="39"/>
  <c r="R922" i="39"/>
  <c r="R921" i="39"/>
  <c r="R920" i="39"/>
  <c r="R919" i="39"/>
  <c r="R918" i="39"/>
  <c r="R917" i="39"/>
  <c r="R916" i="39"/>
  <c r="R915" i="39"/>
  <c r="R914" i="39"/>
  <c r="R913" i="39"/>
  <c r="R912" i="39"/>
  <c r="R911" i="39"/>
  <c r="R910" i="39"/>
  <c r="R909" i="39"/>
  <c r="R908" i="39"/>
  <c r="R907" i="39"/>
  <c r="R906" i="39"/>
  <c r="R905" i="39"/>
  <c r="R904" i="39"/>
  <c r="R903" i="39"/>
  <c r="R902" i="39"/>
  <c r="R901" i="39"/>
  <c r="R900" i="39"/>
  <c r="R899" i="39"/>
  <c r="R898" i="39"/>
  <c r="R897" i="39"/>
  <c r="R896" i="39"/>
  <c r="R895" i="39"/>
  <c r="R894" i="39"/>
  <c r="R893" i="39"/>
  <c r="R892" i="39"/>
  <c r="R891" i="39"/>
  <c r="R890" i="39"/>
  <c r="R888" i="39"/>
  <c r="R887" i="39"/>
  <c r="R886" i="39"/>
  <c r="R885" i="39"/>
  <c r="R884" i="39"/>
  <c r="R883" i="39"/>
  <c r="R882" i="39"/>
  <c r="R881" i="39"/>
  <c r="R880" i="39"/>
  <c r="R879" i="39"/>
  <c r="R878" i="39"/>
  <c r="R877" i="39"/>
  <c r="R876" i="39"/>
  <c r="R875" i="39"/>
  <c r="R874" i="39"/>
  <c r="R873" i="39"/>
  <c r="R872" i="39"/>
  <c r="R871" i="39"/>
  <c r="R870" i="39"/>
  <c r="R869" i="39"/>
  <c r="R868" i="39"/>
  <c r="R867" i="39"/>
  <c r="R866" i="39"/>
  <c r="R865" i="39"/>
  <c r="R864" i="39"/>
  <c r="R863" i="39"/>
  <c r="R862" i="39"/>
  <c r="R861" i="39"/>
  <c r="R860" i="39"/>
  <c r="R859" i="39"/>
  <c r="R858" i="39"/>
  <c r="R857" i="39"/>
  <c r="R856" i="39"/>
  <c r="R855" i="39"/>
  <c r="R854" i="39"/>
  <c r="R853" i="39"/>
  <c r="R852" i="39"/>
  <c r="R851" i="39"/>
  <c r="R850" i="39"/>
  <c r="R849" i="39"/>
  <c r="R848" i="39"/>
  <c r="R847" i="39"/>
  <c r="R846" i="39"/>
  <c r="R845" i="39"/>
  <c r="R844" i="39"/>
  <c r="R843" i="39"/>
  <c r="R842" i="39"/>
  <c r="R841" i="39"/>
  <c r="R840" i="39"/>
  <c r="R839" i="39"/>
  <c r="R838" i="39"/>
  <c r="R837" i="39"/>
  <c r="R836" i="39"/>
  <c r="R835" i="39"/>
  <c r="R834" i="39"/>
  <c r="R833" i="39"/>
  <c r="R832" i="39"/>
  <c r="R831" i="39"/>
  <c r="R830" i="39"/>
  <c r="R829" i="39"/>
  <c r="R828" i="39"/>
  <c r="R827" i="39"/>
  <c r="R826" i="39"/>
  <c r="R825" i="39"/>
  <c r="R824" i="39"/>
  <c r="R823" i="39"/>
  <c r="R822" i="39"/>
  <c r="R821" i="39"/>
  <c r="R820" i="39"/>
  <c r="R819" i="39"/>
  <c r="R818" i="39"/>
  <c r="R817" i="39"/>
  <c r="R816" i="39"/>
  <c r="R815" i="39"/>
  <c r="R814" i="39"/>
  <c r="R813" i="39"/>
  <c r="R812" i="39"/>
  <c r="R811" i="39"/>
  <c r="R810" i="39"/>
  <c r="R809" i="39"/>
  <c r="R808" i="39"/>
  <c r="R807" i="39"/>
  <c r="R806" i="39"/>
  <c r="R805" i="39"/>
  <c r="R804" i="39"/>
  <c r="R803" i="39"/>
  <c r="R802" i="39"/>
  <c r="R801" i="39"/>
  <c r="R800" i="39"/>
  <c r="R799" i="39"/>
  <c r="R798" i="39"/>
  <c r="R797" i="39"/>
  <c r="R796" i="39"/>
  <c r="R795" i="39"/>
  <c r="R794" i="39"/>
  <c r="R793" i="39"/>
  <c r="R792" i="39"/>
  <c r="R791" i="39"/>
  <c r="R790" i="39"/>
  <c r="R789" i="39"/>
  <c r="R788" i="39"/>
  <c r="R787" i="39"/>
  <c r="R786" i="39"/>
  <c r="R785" i="39"/>
  <c r="R784" i="39"/>
  <c r="R783" i="39"/>
  <c r="R782" i="39"/>
  <c r="R781" i="39"/>
  <c r="R780" i="39"/>
  <c r="R779" i="39"/>
  <c r="R778" i="39"/>
  <c r="R777" i="39"/>
  <c r="R776" i="39"/>
  <c r="R775" i="39"/>
  <c r="R774" i="39"/>
  <c r="R773" i="39"/>
  <c r="R772" i="39"/>
  <c r="R771" i="39"/>
  <c r="R770" i="39"/>
  <c r="R769" i="39"/>
  <c r="R768" i="39"/>
  <c r="R767" i="39"/>
  <c r="R766" i="39"/>
  <c r="R765" i="39"/>
  <c r="R764" i="39"/>
  <c r="R763" i="39"/>
  <c r="R762" i="39"/>
  <c r="R761" i="39"/>
  <c r="R760" i="39"/>
  <c r="R759" i="39"/>
  <c r="R758" i="39"/>
  <c r="R757" i="39"/>
  <c r="R756" i="39"/>
  <c r="R755" i="39"/>
  <c r="R754" i="39"/>
  <c r="R753" i="39"/>
  <c r="R752" i="39"/>
  <c r="R751" i="39"/>
  <c r="R750" i="39"/>
  <c r="R749" i="39"/>
  <c r="R748" i="39"/>
  <c r="R747" i="39"/>
  <c r="R746" i="39"/>
  <c r="R745" i="39"/>
  <c r="R744" i="39"/>
  <c r="R743" i="39"/>
  <c r="R742" i="39"/>
  <c r="R741" i="39"/>
  <c r="R740" i="39"/>
  <c r="R739" i="39"/>
  <c r="R738" i="39"/>
  <c r="R737" i="39"/>
  <c r="R736" i="39"/>
  <c r="R735" i="39"/>
  <c r="R734" i="39"/>
  <c r="R733" i="39"/>
  <c r="R732" i="39"/>
  <c r="R731" i="39"/>
  <c r="R730" i="39"/>
  <c r="R729" i="39"/>
  <c r="R728" i="39"/>
  <c r="R727" i="39"/>
  <c r="R726" i="39"/>
  <c r="R725" i="39"/>
  <c r="R724" i="39"/>
  <c r="R723" i="39"/>
  <c r="R722" i="39"/>
  <c r="R721" i="39"/>
  <c r="R720" i="39"/>
  <c r="R719" i="39"/>
  <c r="R718" i="39"/>
  <c r="R717" i="39"/>
  <c r="R716" i="39"/>
  <c r="R715" i="39"/>
  <c r="R714" i="39"/>
  <c r="R713" i="39"/>
  <c r="R712" i="39"/>
  <c r="R711" i="39"/>
  <c r="R710" i="39"/>
  <c r="R709" i="39"/>
  <c r="R708" i="39"/>
  <c r="R707" i="39"/>
  <c r="R706" i="39"/>
  <c r="R705" i="39"/>
  <c r="R704" i="39"/>
  <c r="R703" i="39"/>
  <c r="R702" i="39"/>
  <c r="R701" i="39"/>
  <c r="R700" i="39"/>
  <c r="R699" i="39"/>
  <c r="R698" i="39"/>
  <c r="R697" i="39"/>
  <c r="R696" i="39"/>
  <c r="R695" i="39"/>
  <c r="R694" i="39"/>
  <c r="R693" i="39"/>
  <c r="R692" i="39"/>
  <c r="R691" i="39"/>
  <c r="R690" i="39"/>
  <c r="R689" i="39"/>
  <c r="R688" i="39"/>
  <c r="R687" i="39"/>
  <c r="R686" i="39"/>
  <c r="R685" i="39"/>
  <c r="R684" i="39"/>
  <c r="R683" i="39"/>
  <c r="R682" i="39"/>
  <c r="R681" i="39"/>
  <c r="R680" i="39"/>
  <c r="R679" i="39"/>
  <c r="R678" i="39"/>
  <c r="R677" i="39"/>
  <c r="R676" i="39"/>
  <c r="R675" i="39"/>
  <c r="R674" i="39"/>
  <c r="R673" i="39"/>
  <c r="R672" i="39"/>
  <c r="R671" i="39"/>
  <c r="R670" i="39"/>
  <c r="R669" i="39"/>
  <c r="R668" i="39"/>
  <c r="R667" i="39"/>
  <c r="R666" i="39"/>
  <c r="R665" i="39"/>
  <c r="R664" i="39"/>
  <c r="R663" i="39"/>
  <c r="R662" i="39"/>
  <c r="R661" i="39"/>
  <c r="R660" i="39"/>
  <c r="R659" i="39"/>
  <c r="R658" i="39"/>
  <c r="R657" i="39"/>
  <c r="R656" i="39"/>
  <c r="R655" i="39"/>
  <c r="R654" i="39"/>
  <c r="R653" i="39"/>
  <c r="R652" i="39"/>
  <c r="R651" i="39"/>
  <c r="R650" i="39"/>
  <c r="R649" i="39"/>
  <c r="R648" i="39"/>
  <c r="R647" i="39"/>
  <c r="R646" i="39"/>
  <c r="R645" i="39"/>
  <c r="R644" i="39"/>
  <c r="R643" i="39"/>
  <c r="R642" i="39"/>
  <c r="R641" i="39"/>
  <c r="R640" i="39"/>
  <c r="R639" i="39"/>
  <c r="R638" i="39"/>
  <c r="R637" i="39"/>
  <c r="R636" i="39"/>
  <c r="R635" i="39"/>
  <c r="R634" i="39"/>
  <c r="R633" i="39"/>
  <c r="R632" i="39"/>
  <c r="R631" i="39"/>
  <c r="R630" i="39"/>
  <c r="R629" i="39"/>
  <c r="R628" i="39"/>
  <c r="R627" i="39"/>
  <c r="R626" i="39"/>
  <c r="R625" i="39"/>
  <c r="R624" i="39"/>
  <c r="R623" i="39"/>
  <c r="R622" i="39"/>
  <c r="R621" i="39"/>
  <c r="R620" i="39"/>
  <c r="R619" i="39"/>
  <c r="R618" i="39"/>
  <c r="R617" i="39"/>
  <c r="R616" i="39"/>
  <c r="R615" i="39"/>
  <c r="R614" i="39"/>
  <c r="R613" i="39"/>
  <c r="R612" i="39"/>
  <c r="R611" i="39"/>
  <c r="R610" i="39"/>
  <c r="R609" i="39"/>
  <c r="R608" i="39"/>
  <c r="R607" i="39"/>
  <c r="R606" i="39"/>
  <c r="R605" i="39"/>
  <c r="R604" i="39"/>
  <c r="R603" i="39"/>
  <c r="R602" i="39"/>
  <c r="R601" i="39"/>
  <c r="R600" i="39"/>
  <c r="R599" i="39"/>
  <c r="R598" i="39"/>
  <c r="R597" i="39"/>
  <c r="R596" i="39"/>
  <c r="R595" i="39"/>
  <c r="R594" i="39"/>
  <c r="R593" i="39"/>
  <c r="R592" i="39"/>
  <c r="R591" i="39"/>
  <c r="R590" i="39"/>
  <c r="R589" i="39"/>
  <c r="R588" i="39"/>
  <c r="R587" i="39"/>
  <c r="R586" i="39"/>
  <c r="R585" i="39"/>
  <c r="R584" i="39"/>
  <c r="R583" i="39"/>
  <c r="R582" i="39"/>
  <c r="R581" i="39"/>
  <c r="R580" i="39"/>
  <c r="R579" i="39"/>
  <c r="R577" i="39"/>
  <c r="R576" i="39"/>
  <c r="R575" i="39"/>
  <c r="R574" i="39"/>
  <c r="R573" i="39"/>
  <c r="R572" i="39"/>
  <c r="R571" i="39"/>
  <c r="R570" i="39"/>
  <c r="R569" i="39"/>
  <c r="R568" i="39"/>
  <c r="R567" i="39"/>
  <c r="R566" i="39"/>
  <c r="R565" i="39"/>
  <c r="R564" i="39"/>
  <c r="R563" i="39"/>
  <c r="R562" i="39"/>
  <c r="R561" i="39"/>
  <c r="R560" i="39"/>
  <c r="R559" i="39"/>
  <c r="R558" i="39"/>
  <c r="R557" i="39"/>
  <c r="R556" i="39"/>
  <c r="R555" i="39"/>
  <c r="R554" i="39"/>
  <c r="R553" i="39"/>
  <c r="R552" i="39"/>
  <c r="R551" i="39"/>
  <c r="R550" i="39"/>
  <c r="R549" i="39"/>
  <c r="R548" i="39"/>
  <c r="R547" i="39"/>
  <c r="R546" i="39"/>
  <c r="R545" i="39"/>
  <c r="R544" i="39"/>
  <c r="R543" i="39"/>
  <c r="R542" i="39"/>
  <c r="R541" i="39"/>
  <c r="R540" i="39"/>
  <c r="R539" i="39"/>
  <c r="R538" i="39"/>
  <c r="R537" i="39"/>
  <c r="R536" i="39"/>
  <c r="R535" i="39"/>
  <c r="R534" i="39"/>
  <c r="R533" i="39"/>
  <c r="R532" i="39"/>
  <c r="R531" i="39"/>
  <c r="R530" i="39"/>
  <c r="R529" i="39"/>
  <c r="R528" i="39"/>
  <c r="R527" i="39"/>
  <c r="R526" i="39"/>
  <c r="R525" i="39"/>
  <c r="R524" i="39"/>
  <c r="R523" i="39"/>
  <c r="R522" i="39"/>
  <c r="R521" i="39"/>
  <c r="R520" i="39"/>
  <c r="R519" i="39"/>
  <c r="R518" i="39"/>
  <c r="R517" i="39"/>
  <c r="R516" i="39"/>
  <c r="R515" i="39"/>
  <c r="R514" i="39"/>
  <c r="R513" i="39"/>
  <c r="R512" i="39"/>
  <c r="R511" i="39"/>
  <c r="R510" i="39"/>
  <c r="R509" i="39"/>
  <c r="R508" i="39"/>
  <c r="R507" i="39"/>
  <c r="R506" i="39"/>
  <c r="R505" i="39"/>
  <c r="R504" i="39"/>
  <c r="R503" i="39"/>
  <c r="R502" i="39"/>
  <c r="R501" i="39"/>
  <c r="R500" i="39"/>
  <c r="R499" i="39"/>
  <c r="R498" i="39"/>
  <c r="R497" i="39"/>
  <c r="R496" i="39"/>
  <c r="R495" i="39"/>
  <c r="R494" i="39"/>
  <c r="R492" i="39"/>
  <c r="R491" i="39"/>
  <c r="R490" i="39"/>
  <c r="R489" i="39"/>
  <c r="R488" i="39"/>
  <c r="R487" i="39"/>
  <c r="R486" i="39"/>
  <c r="R485" i="39"/>
  <c r="R484" i="39"/>
  <c r="R483" i="39"/>
  <c r="R482" i="39"/>
  <c r="R481" i="39"/>
  <c r="R480" i="39"/>
  <c r="R479" i="39"/>
  <c r="R478" i="39"/>
  <c r="R477" i="39"/>
  <c r="R476" i="39"/>
  <c r="R475" i="39"/>
  <c r="R474" i="39"/>
  <c r="R473" i="39"/>
  <c r="R472" i="39"/>
  <c r="R471" i="39"/>
  <c r="R470" i="39"/>
  <c r="R469" i="39"/>
  <c r="R468" i="39"/>
  <c r="R467" i="39"/>
  <c r="R466" i="39"/>
  <c r="R465" i="39"/>
  <c r="R464" i="39"/>
  <c r="R463" i="39"/>
  <c r="R462" i="39"/>
  <c r="R461" i="39"/>
  <c r="R460" i="39"/>
  <c r="R459" i="39"/>
  <c r="R458" i="39"/>
  <c r="R457" i="39"/>
  <c r="R456" i="39"/>
  <c r="R455" i="39"/>
  <c r="R454" i="39"/>
  <c r="R453" i="39"/>
  <c r="R452" i="39"/>
  <c r="R451" i="39"/>
  <c r="R450" i="39"/>
  <c r="R449" i="39"/>
  <c r="R448" i="39"/>
  <c r="R447" i="39"/>
  <c r="R446" i="39"/>
  <c r="R445" i="39"/>
  <c r="R444" i="39"/>
  <c r="R443" i="39"/>
  <c r="R442" i="39"/>
  <c r="R441" i="39"/>
  <c r="R440" i="39"/>
  <c r="R439" i="39"/>
  <c r="R438" i="39"/>
  <c r="R437" i="39"/>
  <c r="R436" i="39"/>
  <c r="R435" i="39"/>
  <c r="R434" i="39"/>
  <c r="R433" i="39"/>
  <c r="R432" i="39"/>
  <c r="R431" i="39"/>
  <c r="R430" i="39"/>
  <c r="R429" i="39"/>
  <c r="R428" i="39"/>
  <c r="R427" i="39"/>
  <c r="R426" i="39"/>
  <c r="R425" i="39"/>
  <c r="R423" i="39"/>
  <c r="R422" i="39"/>
  <c r="R421" i="39"/>
  <c r="R420" i="39"/>
  <c r="R419" i="39"/>
  <c r="R418" i="39"/>
  <c r="R417" i="39"/>
  <c r="R416" i="39"/>
  <c r="R415" i="39"/>
  <c r="R414" i="39"/>
  <c r="R413" i="39"/>
  <c r="R412" i="39"/>
  <c r="R411" i="39"/>
  <c r="R410" i="39"/>
  <c r="R409" i="39"/>
  <c r="R408" i="39"/>
  <c r="R407" i="39"/>
  <c r="R406" i="39"/>
  <c r="R405" i="39"/>
  <c r="R404" i="39"/>
  <c r="R403" i="39"/>
  <c r="R402" i="39"/>
  <c r="R401" i="39"/>
  <c r="R400" i="39"/>
  <c r="R399" i="39"/>
  <c r="R398" i="39"/>
  <c r="R397" i="39"/>
  <c r="R396" i="39"/>
  <c r="R395" i="39"/>
  <c r="R394" i="39"/>
  <c r="R393" i="39"/>
  <c r="R392" i="39"/>
  <c r="R391" i="39"/>
  <c r="R390" i="39"/>
  <c r="R389" i="39"/>
  <c r="R388" i="39"/>
  <c r="R387" i="39"/>
  <c r="R386" i="39"/>
  <c r="R385" i="39"/>
  <c r="R384" i="39"/>
  <c r="R383" i="39"/>
  <c r="R382" i="39"/>
  <c r="R381" i="39"/>
  <c r="R380" i="39"/>
  <c r="R379" i="39"/>
  <c r="R378" i="39"/>
  <c r="R377" i="39"/>
  <c r="R376" i="39"/>
  <c r="R375" i="39"/>
  <c r="R374" i="39"/>
  <c r="R373" i="39"/>
  <c r="R372" i="39"/>
  <c r="R371" i="39"/>
  <c r="R370" i="39"/>
  <c r="R369" i="39"/>
  <c r="R368" i="39"/>
  <c r="R367" i="39"/>
  <c r="R366" i="39"/>
  <c r="R365" i="39"/>
  <c r="R364" i="39"/>
  <c r="R363" i="39"/>
  <c r="R362" i="39"/>
  <c r="R361" i="39"/>
  <c r="R360" i="39"/>
  <c r="R359" i="39"/>
  <c r="R358" i="39"/>
  <c r="R357" i="39"/>
  <c r="R356" i="39"/>
  <c r="R355" i="39"/>
  <c r="R354" i="39"/>
  <c r="R353" i="39"/>
  <c r="R352" i="39"/>
  <c r="R351" i="39"/>
  <c r="R350" i="39"/>
  <c r="R349" i="39"/>
  <c r="R348" i="39"/>
  <c r="R347" i="39"/>
  <c r="R346" i="39"/>
  <c r="R345" i="39"/>
  <c r="R344" i="39"/>
  <c r="R343" i="39"/>
  <c r="R342" i="39"/>
  <c r="R341" i="39"/>
  <c r="R340" i="39"/>
  <c r="R339" i="39"/>
  <c r="R338" i="39"/>
  <c r="R337" i="39"/>
  <c r="R336" i="39"/>
  <c r="R335" i="39"/>
  <c r="R334" i="39"/>
  <c r="R333" i="39"/>
  <c r="R332" i="39"/>
  <c r="R331" i="39"/>
  <c r="R330" i="39"/>
  <c r="R329" i="39"/>
  <c r="R328" i="39"/>
  <c r="R327" i="39"/>
  <c r="R326" i="39"/>
  <c r="R325" i="39"/>
  <c r="R324" i="39"/>
  <c r="R323" i="39"/>
  <c r="R322" i="39"/>
  <c r="R321" i="39"/>
  <c r="R320" i="39"/>
  <c r="R319" i="39"/>
  <c r="R318" i="39"/>
  <c r="R317" i="39"/>
  <c r="R316" i="39"/>
  <c r="R315" i="39"/>
  <c r="R314" i="39"/>
  <c r="R313" i="39"/>
  <c r="R312" i="39"/>
  <c r="R311" i="39"/>
  <c r="R310" i="39"/>
  <c r="R309" i="39"/>
  <c r="R308" i="39"/>
  <c r="R307" i="39"/>
  <c r="R306" i="39"/>
  <c r="R303" i="39"/>
  <c r="R302" i="39"/>
  <c r="R301" i="39"/>
  <c r="R300" i="39"/>
  <c r="R299" i="39"/>
  <c r="R298" i="39"/>
  <c r="R297" i="39"/>
  <c r="R296" i="39"/>
  <c r="R295" i="39"/>
  <c r="R294" i="39"/>
  <c r="R293" i="39"/>
  <c r="R292" i="39"/>
  <c r="R291" i="39"/>
  <c r="R290" i="39"/>
  <c r="R289" i="39"/>
  <c r="R288" i="39"/>
  <c r="R287" i="39"/>
  <c r="R286" i="39"/>
  <c r="R285" i="39"/>
  <c r="R284" i="39"/>
  <c r="R283" i="39"/>
  <c r="R282" i="39"/>
  <c r="R281" i="39"/>
  <c r="R280" i="39"/>
  <c r="R279" i="39"/>
  <c r="R278" i="39"/>
  <c r="R277" i="39"/>
  <c r="R276" i="39"/>
  <c r="R275" i="39"/>
  <c r="R274" i="39"/>
  <c r="R273" i="39"/>
  <c r="R272" i="39"/>
  <c r="R271" i="39"/>
  <c r="R270" i="39"/>
  <c r="R269" i="39"/>
  <c r="R268" i="39"/>
  <c r="R267" i="39"/>
  <c r="R265" i="39"/>
  <c r="R264" i="39"/>
  <c r="R263" i="39"/>
  <c r="R262" i="39"/>
  <c r="R260" i="39"/>
  <c r="R259" i="39"/>
  <c r="R258" i="39"/>
  <c r="R257" i="39"/>
  <c r="R256" i="39"/>
  <c r="R255" i="39"/>
  <c r="R254" i="39"/>
  <c r="R253" i="39"/>
  <c r="R252" i="39"/>
  <c r="R251" i="39"/>
  <c r="R250" i="39"/>
  <c r="R249" i="39"/>
  <c r="R248" i="39"/>
  <c r="R247" i="39"/>
  <c r="R246" i="39"/>
  <c r="R245" i="39"/>
  <c r="R244" i="39"/>
  <c r="R243" i="39"/>
  <c r="R242" i="39"/>
  <c r="R241" i="39"/>
  <c r="R240" i="39"/>
  <c r="R239" i="39"/>
  <c r="R238" i="39"/>
  <c r="R237" i="39"/>
  <c r="R236" i="39"/>
  <c r="R235" i="39"/>
  <c r="R234" i="39"/>
  <c r="R233" i="39"/>
  <c r="R232" i="39"/>
  <c r="R231" i="39"/>
  <c r="R230" i="39"/>
  <c r="R229" i="39"/>
  <c r="R228" i="39"/>
  <c r="R227" i="39"/>
  <c r="R226" i="39"/>
  <c r="R225" i="39"/>
  <c r="R224" i="39"/>
  <c r="R223" i="39"/>
  <c r="R222" i="39"/>
  <c r="R221" i="39"/>
  <c r="R220" i="39"/>
  <c r="R219" i="39"/>
  <c r="R218" i="39"/>
  <c r="R217" i="39"/>
  <c r="R216" i="39"/>
  <c r="R215" i="39"/>
  <c r="R214" i="39"/>
  <c r="R213" i="39"/>
  <c r="R212" i="39"/>
  <c r="R211" i="39"/>
  <c r="R210" i="39"/>
  <c r="R209" i="39"/>
  <c r="R208" i="39"/>
  <c r="R207" i="39"/>
  <c r="R206" i="39"/>
  <c r="R205" i="39"/>
  <c r="R204" i="39"/>
  <c r="R203" i="39"/>
  <c r="R202" i="39"/>
  <c r="R201" i="39"/>
  <c r="R200" i="39"/>
  <c r="R199" i="39"/>
  <c r="R198" i="39"/>
  <c r="R197" i="39"/>
  <c r="R196" i="39"/>
  <c r="R195" i="39"/>
  <c r="R194" i="39"/>
  <c r="R193" i="39"/>
  <c r="R192" i="39"/>
  <c r="R191" i="39"/>
  <c r="R190" i="39"/>
  <c r="R189" i="39"/>
  <c r="R188" i="39"/>
  <c r="R187" i="39"/>
  <c r="R186" i="39"/>
  <c r="R185" i="39"/>
  <c r="R184" i="39"/>
  <c r="R183" i="39"/>
  <c r="R182" i="39"/>
  <c r="R181" i="39"/>
  <c r="R180" i="39"/>
  <c r="R179" i="39"/>
  <c r="R178" i="39"/>
  <c r="R177" i="39"/>
  <c r="R176" i="39"/>
  <c r="R175" i="39"/>
  <c r="R174" i="39"/>
  <c r="R173" i="39"/>
  <c r="R172" i="39"/>
  <c r="R171" i="39"/>
  <c r="R170" i="39"/>
  <c r="R169" i="39"/>
  <c r="R168" i="39"/>
  <c r="R167" i="39"/>
  <c r="R166" i="39"/>
  <c r="R165" i="39"/>
  <c r="R164" i="39"/>
  <c r="R163" i="39"/>
  <c r="R162" i="39"/>
  <c r="R161" i="39"/>
  <c r="R160" i="39"/>
  <c r="R159" i="39"/>
  <c r="R158" i="39"/>
  <c r="R157" i="39"/>
  <c r="R156" i="39"/>
  <c r="R155" i="39"/>
  <c r="R154" i="39"/>
  <c r="R153" i="39"/>
  <c r="R152" i="39"/>
  <c r="R151" i="39"/>
  <c r="R150" i="39"/>
  <c r="R149" i="39"/>
  <c r="R148" i="39"/>
  <c r="R147" i="39"/>
  <c r="R146" i="39"/>
  <c r="R145" i="39"/>
  <c r="R144" i="39"/>
  <c r="R143" i="39"/>
  <c r="R142" i="39"/>
  <c r="R141" i="39"/>
  <c r="R140" i="39"/>
  <c r="R139" i="39"/>
  <c r="R138" i="39"/>
  <c r="R137" i="39"/>
  <c r="R136" i="39"/>
  <c r="R135" i="39"/>
  <c r="R134" i="39"/>
  <c r="R133" i="39"/>
  <c r="R132" i="39"/>
  <c r="R131" i="39"/>
  <c r="R130" i="39"/>
  <c r="R129" i="39"/>
  <c r="R128" i="39"/>
  <c r="R127" i="39"/>
  <c r="R126" i="39"/>
  <c r="R125" i="39"/>
  <c r="R124" i="39"/>
  <c r="R123" i="39"/>
  <c r="R122" i="39"/>
  <c r="R121" i="39"/>
  <c r="R120" i="39"/>
  <c r="R119" i="39"/>
  <c r="R118" i="39"/>
  <c r="R117" i="39"/>
  <c r="R116" i="39"/>
  <c r="R115" i="39"/>
  <c r="R114" i="39"/>
  <c r="R113" i="39"/>
  <c r="R112" i="39"/>
  <c r="R111" i="39"/>
  <c r="R110" i="39"/>
  <c r="R109" i="39"/>
  <c r="R108" i="39"/>
  <c r="R107" i="39"/>
  <c r="R106" i="39"/>
  <c r="R105" i="39"/>
  <c r="R104" i="39"/>
  <c r="R103" i="39"/>
  <c r="R102" i="39"/>
  <c r="R101" i="39"/>
  <c r="R100" i="39"/>
  <c r="R99" i="39"/>
  <c r="R98" i="39"/>
  <c r="R97" i="39"/>
  <c r="R95" i="39"/>
  <c r="R94" i="39"/>
  <c r="R93" i="39"/>
  <c r="R92" i="39"/>
  <c r="R91" i="39"/>
  <c r="R90" i="39"/>
  <c r="R89" i="39"/>
  <c r="R88" i="39"/>
  <c r="R87" i="39"/>
  <c r="R86" i="39"/>
  <c r="R85" i="39"/>
  <c r="R84" i="39"/>
  <c r="R83" i="39"/>
  <c r="R82" i="39"/>
  <c r="R81" i="39"/>
  <c r="R80" i="39"/>
  <c r="R79" i="39"/>
  <c r="R78" i="39"/>
  <c r="R77" i="39"/>
  <c r="R76" i="39"/>
  <c r="R75" i="39"/>
  <c r="R74" i="39"/>
  <c r="R73" i="39"/>
  <c r="R72" i="39"/>
  <c r="R71" i="39"/>
  <c r="R70" i="39"/>
  <c r="V70" i="39"/>
  <c r="R69" i="39"/>
  <c r="V69" i="39"/>
  <c r="R68" i="39"/>
  <c r="R67" i="39"/>
  <c r="V67" i="39"/>
  <c r="R66" i="39"/>
  <c r="V66" i="39"/>
  <c r="R65" i="39"/>
  <c r="V65" i="39"/>
  <c r="R64" i="39"/>
  <c r="V64" i="39"/>
  <c r="R63" i="39"/>
  <c r="V63" i="39"/>
  <c r="R62" i="39"/>
  <c r="V62" i="39"/>
  <c r="R61" i="39"/>
  <c r="V61" i="39"/>
  <c r="R60" i="39"/>
  <c r="V60" i="39"/>
  <c r="R59" i="39"/>
  <c r="V59" i="39"/>
  <c r="R58" i="39"/>
  <c r="V58" i="39"/>
  <c r="R57" i="39"/>
  <c r="V57" i="39"/>
  <c r="R56" i="39"/>
  <c r="V56" i="39"/>
  <c r="R55" i="39"/>
  <c r="V55" i="39"/>
  <c r="R54" i="39"/>
  <c r="V54" i="39"/>
  <c r="R53" i="39"/>
  <c r="V53" i="39"/>
  <c r="R52" i="39"/>
  <c r="V52" i="39"/>
  <c r="R51" i="39"/>
  <c r="V51" i="39"/>
  <c r="R50" i="39"/>
  <c r="V50" i="39"/>
  <c r="R49" i="39"/>
  <c r="V49" i="39"/>
  <c r="R48" i="39"/>
  <c r="V48" i="39"/>
  <c r="R47" i="39"/>
  <c r="V47" i="39"/>
  <c r="R46" i="39"/>
  <c r="V46" i="39"/>
  <c r="R45" i="39"/>
  <c r="V45" i="39"/>
  <c r="R44" i="39"/>
  <c r="V44" i="39"/>
  <c r="R43" i="39"/>
  <c r="V43" i="39"/>
  <c r="R42" i="39"/>
  <c r="V42" i="39"/>
  <c r="R41" i="39"/>
  <c r="V41" i="39"/>
  <c r="R40" i="39"/>
  <c r="V40" i="39"/>
  <c r="R39" i="39"/>
  <c r="V39" i="39"/>
  <c r="R38" i="39"/>
  <c r="V38" i="39"/>
  <c r="R37" i="39"/>
  <c r="V37" i="39"/>
  <c r="R36" i="39"/>
  <c r="V36" i="39"/>
  <c r="R35" i="39"/>
  <c r="V35" i="39"/>
  <c r="R34" i="39"/>
  <c r="V34" i="39"/>
  <c r="R33" i="39"/>
  <c r="V33" i="39"/>
  <c r="R32" i="39"/>
  <c r="V32" i="39"/>
  <c r="R31" i="39"/>
  <c r="V31" i="39"/>
  <c r="R30" i="39"/>
  <c r="V30" i="39"/>
  <c r="R29" i="39"/>
  <c r="V29" i="39"/>
  <c r="R28" i="39"/>
  <c r="V28" i="39"/>
  <c r="R27" i="39"/>
  <c r="V27" i="39"/>
  <c r="R26" i="39"/>
  <c r="V26" i="39"/>
  <c r="R25" i="39"/>
  <c r="V25" i="39"/>
  <c r="R24" i="39"/>
  <c r="V24" i="39"/>
  <c r="R23" i="39"/>
  <c r="V23" i="39"/>
  <c r="R22" i="39"/>
  <c r="V22" i="39"/>
  <c r="R21" i="39"/>
  <c r="V21" i="39"/>
  <c r="R20" i="39"/>
  <c r="V20" i="39"/>
  <c r="R19" i="39"/>
  <c r="V19" i="39"/>
  <c r="R18" i="39"/>
  <c r="V18" i="39"/>
  <c r="R17" i="39"/>
  <c r="V17" i="39"/>
  <c r="R16" i="39"/>
  <c r="V16" i="39"/>
  <c r="R15" i="39"/>
  <c r="V15" i="39"/>
  <c r="R14" i="39"/>
  <c r="V14" i="39"/>
  <c r="R13" i="39"/>
  <c r="V13" i="39"/>
  <c r="R12" i="39"/>
  <c r="V12" i="39"/>
  <c r="R11" i="39"/>
  <c r="V11" i="39"/>
  <c r="R10" i="39"/>
  <c r="V10" i="39"/>
  <c r="R9" i="39"/>
  <c r="V9" i="39"/>
  <c r="R8" i="39"/>
  <c r="V8" i="39"/>
  <c r="R7" i="39"/>
  <c r="V7" i="39"/>
  <c r="R6" i="39"/>
  <c r="V6" i="39"/>
  <c r="R5" i="39"/>
  <c r="V5" i="39"/>
  <c r="R4" i="39"/>
  <c r="V4" i="39"/>
  <c r="P48" i="6"/>
  <c r="H514" i="114"/>
  <c r="H529" i="114"/>
  <c r="H525" i="114"/>
  <c r="E3" i="68"/>
  <c r="F138" i="6"/>
  <c r="F137" i="6"/>
  <c r="F136" i="6"/>
  <c r="F135" i="6"/>
  <c r="F134" i="6"/>
  <c r="F133" i="6"/>
  <c r="F132" i="6"/>
  <c r="E138" i="6"/>
  <c r="E137" i="6"/>
  <c r="E136" i="6"/>
  <c r="E135" i="6"/>
  <c r="E134" i="6"/>
  <c r="E133" i="6"/>
  <c r="E132" i="6"/>
  <c r="AE4" i="6"/>
  <c r="AN24" i="6"/>
  <c r="AN23" i="6"/>
  <c r="D134" i="6"/>
  <c r="AC4" i="6"/>
  <c r="AA4" i="6"/>
  <c r="Y4" i="6"/>
  <c r="F50" i="6"/>
  <c r="C85" i="6"/>
  <c r="C109" i="6"/>
  <c r="H109" i="6" s="1"/>
  <c r="C87" i="6"/>
  <c r="X707" i="115"/>
  <c r="X706" i="115"/>
  <c r="H354" i="114"/>
  <c r="H307" i="114"/>
  <c r="H1392" i="68"/>
  <c r="H994" i="68"/>
  <c r="H425" i="114"/>
  <c r="T1411" i="68"/>
  <c r="T1400" i="68"/>
  <c r="H1909" i="68"/>
  <c r="H63" i="68"/>
  <c r="C12" i="6"/>
  <c r="G16" i="9"/>
  <c r="H1720" i="68"/>
  <c r="H171" i="115"/>
  <c r="H1496" i="68"/>
  <c r="H1513" i="68"/>
  <c r="O1792" i="39"/>
  <c r="H680" i="115"/>
  <c r="H1862" i="68"/>
  <c r="BA24" i="6"/>
  <c r="AZ26" i="6"/>
  <c r="AZ28" i="6"/>
  <c r="O1816" i="39"/>
  <c r="H721" i="114"/>
  <c r="H535" i="114"/>
  <c r="H533" i="114"/>
  <c r="H446" i="114"/>
  <c r="H1492" i="68"/>
  <c r="H1885" i="68"/>
  <c r="H1812" i="68"/>
  <c r="H1427" i="68"/>
  <c r="O1815" i="39"/>
  <c r="O1814" i="39"/>
  <c r="O1813" i="39"/>
  <c r="O1812" i="39"/>
  <c r="O1811" i="39"/>
  <c r="O1810" i="39"/>
  <c r="O1809" i="39"/>
  <c r="H1924" i="68"/>
  <c r="H676" i="114"/>
  <c r="H678" i="114"/>
  <c r="O1808" i="39"/>
  <c r="O1807" i="39"/>
  <c r="O1806" i="39"/>
  <c r="O1805" i="39"/>
  <c r="O1804" i="39"/>
  <c r="O1803" i="39"/>
  <c r="O1802" i="39"/>
  <c r="O1801" i="39"/>
  <c r="O1800" i="39"/>
  <c r="O1799" i="39"/>
  <c r="O1798" i="39"/>
  <c r="O1797" i="39"/>
  <c r="O1796" i="39"/>
  <c r="O1795" i="39"/>
  <c r="O1794" i="39"/>
  <c r="O1791" i="39"/>
  <c r="O1790" i="39"/>
  <c r="O1789" i="39"/>
  <c r="O1788" i="39"/>
  <c r="O1787" i="39"/>
  <c r="O1786" i="39"/>
  <c r="O1785" i="39"/>
  <c r="O1784" i="39"/>
  <c r="O1783" i="39"/>
  <c r="O1782" i="39"/>
  <c r="O1781" i="39"/>
  <c r="O1780" i="39"/>
  <c r="O1779" i="39"/>
  <c r="O1778" i="39"/>
  <c r="O1777" i="39"/>
  <c r="O1776" i="39"/>
  <c r="O1775" i="39"/>
  <c r="O1774" i="39"/>
  <c r="O1773" i="39"/>
  <c r="O1772" i="39"/>
  <c r="O1771" i="39"/>
  <c r="O1770" i="39"/>
  <c r="O1769" i="39"/>
  <c r="O1768" i="39"/>
  <c r="O1767" i="39"/>
  <c r="O1766" i="39"/>
  <c r="O1765" i="39"/>
  <c r="O1764" i="39"/>
  <c r="O1763" i="39"/>
  <c r="O1762" i="39"/>
  <c r="O1761" i="39"/>
  <c r="O1760" i="39"/>
  <c r="O1759" i="39"/>
  <c r="O1758" i="39"/>
  <c r="O1757" i="39"/>
  <c r="O1756" i="39"/>
  <c r="O1755" i="39"/>
  <c r="O1754" i="39"/>
  <c r="O1753" i="39"/>
  <c r="O1752" i="39"/>
  <c r="O1751" i="39"/>
  <c r="O1750" i="39"/>
  <c r="O1749" i="39"/>
  <c r="O1748" i="39"/>
  <c r="O1747" i="39"/>
  <c r="O1746" i="39"/>
  <c r="O1745" i="39"/>
  <c r="O1744" i="39"/>
  <c r="O1743" i="39"/>
  <c r="O1742" i="39"/>
  <c r="O1741" i="39"/>
  <c r="O1740" i="39"/>
  <c r="O1739" i="39"/>
  <c r="O1738" i="39"/>
  <c r="O1737" i="39"/>
  <c r="O1736" i="39"/>
  <c r="O1735" i="39"/>
  <c r="O1734" i="39"/>
  <c r="O1733" i="39"/>
  <c r="O1732" i="39"/>
  <c r="O1731" i="39"/>
  <c r="O1730" i="39"/>
  <c r="O1729" i="39"/>
  <c r="O1728" i="39"/>
  <c r="O1727" i="39"/>
  <c r="O1726" i="39"/>
  <c r="O1725" i="39"/>
  <c r="O1724" i="39"/>
  <c r="O1723" i="39"/>
  <c r="O1722" i="39"/>
  <c r="O1721" i="39"/>
  <c r="O1720" i="39"/>
  <c r="O1719" i="39"/>
  <c r="O1718" i="39"/>
  <c r="O1717" i="39"/>
  <c r="O1716" i="39"/>
  <c r="H681" i="115"/>
  <c r="H74" i="115"/>
  <c r="H441" i="114"/>
  <c r="H1027" i="68"/>
  <c r="H1683" i="68"/>
  <c r="H743" i="114"/>
  <c r="H486" i="114"/>
  <c r="V484" i="114"/>
  <c r="U484" i="114"/>
  <c r="H528" i="115"/>
  <c r="H341" i="115"/>
  <c r="H277" i="115"/>
  <c r="H227" i="115"/>
  <c r="H476" i="114"/>
  <c r="O1390" i="68"/>
  <c r="M1390" i="68"/>
  <c r="V1390" i="68" s="1"/>
  <c r="L6" i="103"/>
  <c r="Z713" i="115"/>
  <c r="Z715" i="115"/>
  <c r="Z717" i="115"/>
  <c r="Z687" i="115"/>
  <c r="Z681" i="115"/>
  <c r="Z678" i="115"/>
  <c r="Z677" i="115"/>
  <c r="Z676" i="115"/>
  <c r="Z675" i="115"/>
  <c r="Z671" i="115"/>
  <c r="Z670" i="115"/>
  <c r="Z668" i="115"/>
  <c r="Z667" i="115"/>
  <c r="Z666" i="115"/>
  <c r="Z665" i="115"/>
  <c r="Z664" i="115"/>
  <c r="Z663" i="115"/>
  <c r="Z662" i="115"/>
  <c r="Z658" i="115"/>
  <c r="Z657" i="115"/>
  <c r="Z656" i="115"/>
  <c r="Z655" i="115"/>
  <c r="Z654" i="115"/>
  <c r="Z653" i="115"/>
  <c r="Z652" i="115"/>
  <c r="Z651" i="115"/>
  <c r="Z648" i="115"/>
  <c r="Z642" i="115"/>
  <c r="Z641" i="115"/>
  <c r="G293" i="115"/>
  <c r="H294" i="115" s="1"/>
  <c r="G1896" i="68"/>
  <c r="H1897" i="68" s="1"/>
  <c r="G292" i="115"/>
  <c r="G665" i="114"/>
  <c r="G610" i="114"/>
  <c r="G577" i="115"/>
  <c r="G697" i="115"/>
  <c r="G233" i="114"/>
  <c r="G897" i="115"/>
  <c r="H898" i="115" s="1"/>
  <c r="G288" i="115"/>
  <c r="H289" i="115" s="1"/>
  <c r="G447" i="114"/>
  <c r="H448" i="114" s="1"/>
  <c r="G130" i="68"/>
  <c r="H131" i="68" s="1"/>
  <c r="G750" i="114"/>
  <c r="G664" i="114"/>
  <c r="G286" i="115"/>
  <c r="G285" i="115"/>
  <c r="G612" i="68"/>
  <c r="H613" i="68" s="1"/>
  <c r="G574" i="115"/>
  <c r="H575" i="115" s="1"/>
  <c r="V1865" i="39"/>
  <c r="G637" i="114"/>
  <c r="H638" i="114" s="1"/>
  <c r="G570" i="115"/>
  <c r="G1877" i="68"/>
  <c r="H1878" i="68" s="1"/>
  <c r="G188" i="115"/>
  <c r="G187" i="114"/>
  <c r="G186" i="114"/>
  <c r="G185" i="114"/>
  <c r="G199" i="114"/>
  <c r="G184" i="114"/>
  <c r="G232" i="114"/>
  <c r="G231" i="114"/>
  <c r="G115" i="114"/>
  <c r="G112" i="114"/>
  <c r="G349" i="115"/>
  <c r="G445" i="68"/>
  <c r="G280" i="115"/>
  <c r="G1152" i="68"/>
  <c r="G1199" i="68"/>
  <c r="G1149" i="68"/>
  <c r="G867" i="68"/>
  <c r="G575" i="114"/>
  <c r="G506" i="68"/>
  <c r="G1101" i="68"/>
  <c r="G607" i="68"/>
  <c r="G109" i="115"/>
  <c r="G183" i="114"/>
  <c r="G806" i="115"/>
  <c r="G923" i="115"/>
  <c r="G891" i="115"/>
  <c r="G220" i="114"/>
  <c r="G1098" i="68"/>
  <c r="G1718" i="68"/>
  <c r="G410" i="68"/>
  <c r="G1096" i="68"/>
  <c r="G1717" i="68"/>
  <c r="G262" i="68"/>
  <c r="G1548" i="68"/>
  <c r="G1230" i="68"/>
  <c r="G1094" i="68"/>
  <c r="V205" i="39"/>
  <c r="G261" i="68"/>
  <c r="V200" i="39"/>
  <c r="G1245" i="68"/>
  <c r="G236" i="115"/>
  <c r="H237" i="115" s="1"/>
  <c r="G477" i="68"/>
  <c r="G670" i="68"/>
  <c r="G427" i="115"/>
  <c r="V110" i="39"/>
  <c r="G179" i="114"/>
  <c r="G1190" i="68"/>
  <c r="H1191" i="68" s="1"/>
  <c r="G1138" i="68"/>
  <c r="G902" i="68"/>
  <c r="G1186" i="68"/>
  <c r="G1185" i="68"/>
  <c r="G324" i="115"/>
  <c r="G850" i="115"/>
  <c r="G669" i="115"/>
  <c r="G1483" i="68"/>
  <c r="G388" i="115"/>
  <c r="G1418" i="68"/>
  <c r="G952" i="115"/>
  <c r="G984" i="68"/>
  <c r="G1346" i="68"/>
  <c r="H1347" i="68" s="1"/>
  <c r="G1221" i="68"/>
  <c r="G1075" i="68"/>
  <c r="G1181" i="68"/>
  <c r="G367" i="114"/>
  <c r="G991" i="115"/>
  <c r="G990" i="115"/>
  <c r="G989" i="115"/>
  <c r="G1073" i="68"/>
  <c r="G949" i="115"/>
  <c r="G1477" i="68"/>
  <c r="G314" i="115"/>
  <c r="G1664" i="68"/>
  <c r="G246" i="68"/>
  <c r="G167" i="115"/>
  <c r="G1411" i="68"/>
  <c r="G1534" i="68"/>
  <c r="G803" i="68"/>
  <c r="G1836" i="68"/>
  <c r="G1471" i="68"/>
  <c r="G234" i="114"/>
  <c r="G787" i="115"/>
  <c r="G546" i="68"/>
  <c r="G1698" i="68"/>
  <c r="G239" i="68"/>
  <c r="G415" i="114"/>
  <c r="G106" i="68"/>
  <c r="G876" i="115"/>
  <c r="G875" i="115"/>
  <c r="G383" i="68"/>
  <c r="G139" i="68"/>
  <c r="G722" i="68"/>
  <c r="G326" i="114"/>
  <c r="G63" i="68"/>
  <c r="G260" i="114"/>
  <c r="V139" i="39"/>
  <c r="V210" i="39"/>
  <c r="V99" i="39"/>
  <c r="V179" i="39"/>
  <c r="V249" i="39"/>
  <c r="V119" i="39"/>
  <c r="H740" i="114"/>
  <c r="G740" i="114"/>
  <c r="H741" i="114" s="1"/>
  <c r="H715" i="115"/>
  <c r="H530" i="115"/>
  <c r="G687" i="114"/>
  <c r="H624" i="114"/>
  <c r="H405" i="114"/>
  <c r="H303" i="114"/>
  <c r="H1800" i="68"/>
  <c r="H1634" i="68"/>
  <c r="H1633" i="68"/>
  <c r="H1553" i="68"/>
  <c r="H204" i="68"/>
  <c r="H1914" i="68"/>
  <c r="H719" i="115"/>
  <c r="H646" i="115"/>
  <c r="Z644" i="115"/>
  <c r="G644" i="115"/>
  <c r="Z646" i="115"/>
  <c r="T1928" i="68"/>
  <c r="S1928" i="68"/>
  <c r="R1928" i="68"/>
  <c r="Q1928" i="68"/>
  <c r="O1928" i="68"/>
  <c r="J1928" i="68"/>
  <c r="H1903" i="68"/>
  <c r="T1731" i="68"/>
  <c r="S1731" i="68"/>
  <c r="R1731" i="68"/>
  <c r="Q1731" i="68"/>
  <c r="O1731" i="68"/>
  <c r="M1731" i="68"/>
  <c r="J1731" i="68"/>
  <c r="H1705" i="68"/>
  <c r="H1654" i="68"/>
  <c r="H1627" i="68"/>
  <c r="H1502" i="68"/>
  <c r="H1393" i="68"/>
  <c r="H1389" i="68"/>
  <c r="H1343" i="68"/>
  <c r="H1289" i="68"/>
  <c r="B681" i="68"/>
  <c r="B680" i="68"/>
  <c r="B679" i="68"/>
  <c r="B678" i="68"/>
  <c r="B677" i="68"/>
  <c r="B676" i="68"/>
  <c r="B674" i="68"/>
  <c r="B673" i="68"/>
  <c r="B672" i="68"/>
  <c r="B671" i="68"/>
  <c r="B670" i="68"/>
  <c r="B667" i="68"/>
  <c r="B666" i="68"/>
  <c r="B664" i="68"/>
  <c r="B663" i="68"/>
  <c r="B662" i="68"/>
  <c r="B659" i="68"/>
  <c r="B658" i="68"/>
  <c r="B655" i="68"/>
  <c r="B654" i="68"/>
  <c r="B653" i="68"/>
  <c r="B652" i="68"/>
  <c r="B651" i="68"/>
  <c r="B650" i="68"/>
  <c r="B648" i="68"/>
  <c r="B646" i="68"/>
  <c r="H630" i="68"/>
  <c r="H551" i="68"/>
  <c r="T532" i="68"/>
  <c r="H524" i="68"/>
  <c r="H484" i="68"/>
  <c r="H477" i="68"/>
  <c r="H405" i="68"/>
  <c r="V375" i="68"/>
  <c r="U375" i="68"/>
  <c r="H369" i="68"/>
  <c r="H364" i="68"/>
  <c r="H355" i="68"/>
  <c r="S311" i="68"/>
  <c r="H305" i="68"/>
  <c r="H302" i="68"/>
  <c r="H271" i="68"/>
  <c r="S270" i="68"/>
  <c r="H220" i="68"/>
  <c r="H193" i="68"/>
  <c r="H191" i="68"/>
  <c r="H171" i="68"/>
  <c r="H138" i="68"/>
  <c r="D100" i="68"/>
  <c r="D99" i="68"/>
  <c r="D96" i="68"/>
  <c r="H58" i="68"/>
  <c r="G50" i="68"/>
  <c r="H42" i="68"/>
  <c r="H30" i="68"/>
  <c r="G28" i="68"/>
  <c r="H26" i="68"/>
  <c r="G24" i="68"/>
  <c r="H20" i="68"/>
  <c r="H18" i="68"/>
  <c r="H16" i="68"/>
  <c r="H14" i="68"/>
  <c r="B10" i="68"/>
  <c r="X9" i="68"/>
  <c r="J3" i="3" s="1"/>
  <c r="M385" i="68"/>
  <c r="V385" i="68" s="1"/>
  <c r="I3" i="3"/>
  <c r="R5" i="68"/>
  <c r="Q5" i="68"/>
  <c r="M5" i="68"/>
  <c r="J5" i="68"/>
  <c r="C104" i="6" s="1"/>
  <c r="H104" i="6" s="1"/>
  <c r="H1" i="68"/>
  <c r="K3" i="3"/>
  <c r="E109" i="9"/>
  <c r="C46" i="9"/>
  <c r="F16" i="9"/>
  <c r="F17" i="9" s="1"/>
  <c r="E14" i="9"/>
  <c r="E13" i="9"/>
  <c r="S9" i="9"/>
  <c r="P66" i="6"/>
  <c r="H50" i="6"/>
  <c r="H19" i="6" s="1"/>
  <c r="E50" i="6"/>
  <c r="AX23" i="6"/>
  <c r="I20" i="6"/>
  <c r="I21" i="6" s="1"/>
  <c r="I22" i="6" s="1"/>
  <c r="I23" i="6" s="1"/>
  <c r="I24" i="6" s="1"/>
  <c r="D109" i="6"/>
  <c r="B109" i="6" s="1"/>
  <c r="K102" i="6"/>
  <c r="J102" i="6"/>
  <c r="D102" i="6"/>
  <c r="I102" i="6" s="1"/>
  <c r="E85" i="6"/>
  <c r="D85" i="6"/>
  <c r="N2717" i="39"/>
  <c r="N2716" i="39"/>
  <c r="N2715" i="39"/>
  <c r="N2714" i="39"/>
  <c r="N2713" i="39"/>
  <c r="N2712" i="39"/>
  <c r="N2711" i="39"/>
  <c r="N2710" i="39"/>
  <c r="N2709" i="39"/>
  <c r="N2708" i="39"/>
  <c r="N2707" i="39"/>
  <c r="N2706" i="39"/>
  <c r="N2705" i="39"/>
  <c r="N2704" i="39"/>
  <c r="N2703" i="39"/>
  <c r="N2702" i="39"/>
  <c r="N2701" i="39"/>
  <c r="N2700" i="39"/>
  <c r="N2699" i="39"/>
  <c r="N2698" i="39"/>
  <c r="N2697" i="39"/>
  <c r="N2696" i="39"/>
  <c r="N2695" i="39"/>
  <c r="N2694" i="39"/>
  <c r="N2693" i="39"/>
  <c r="N2692" i="39"/>
  <c r="N2691" i="39"/>
  <c r="N2690" i="39"/>
  <c r="N2689" i="39"/>
  <c r="N2688" i="39"/>
  <c r="N2687" i="39"/>
  <c r="N2686" i="39"/>
  <c r="N2685" i="39"/>
  <c r="N2684" i="39"/>
  <c r="N2683" i="39"/>
  <c r="N2682" i="39"/>
  <c r="N2681" i="39"/>
  <c r="N2680" i="39"/>
  <c r="N2679" i="39"/>
  <c r="N2678" i="39"/>
  <c r="N2677" i="39"/>
  <c r="N2676" i="39"/>
  <c r="N2675" i="39"/>
  <c r="N2674" i="39"/>
  <c r="N2673" i="39"/>
  <c r="N2672" i="39"/>
  <c r="N2671" i="39"/>
  <c r="N2670" i="39"/>
  <c r="N2669" i="39"/>
  <c r="N2668" i="39"/>
  <c r="N2667" i="39"/>
  <c r="N2666" i="39"/>
  <c r="N2665" i="39"/>
  <c r="N2664" i="39"/>
  <c r="N2663" i="39"/>
  <c r="N2662" i="39"/>
  <c r="N2661" i="39"/>
  <c r="N2660" i="39"/>
  <c r="N2659" i="39"/>
  <c r="N2658" i="39"/>
  <c r="N2657" i="39"/>
  <c r="N2656" i="39"/>
  <c r="N2655" i="39"/>
  <c r="N2654" i="39"/>
  <c r="N2653" i="39"/>
  <c r="N2652" i="39"/>
  <c r="N2651" i="39"/>
  <c r="N2650" i="39"/>
  <c r="N2649" i="39"/>
  <c r="N2648" i="39"/>
  <c r="N2647" i="39"/>
  <c r="N2646" i="39"/>
  <c r="N2645" i="39"/>
  <c r="N2644" i="39"/>
  <c r="N2643" i="39"/>
  <c r="N2642" i="39"/>
  <c r="N2641" i="39"/>
  <c r="N2640" i="39"/>
  <c r="N2639" i="39"/>
  <c r="N2638" i="39"/>
  <c r="N2637" i="39"/>
  <c r="N2636" i="39"/>
  <c r="N2635" i="39"/>
  <c r="N2634" i="39"/>
  <c r="N2633" i="39"/>
  <c r="N2632" i="39"/>
  <c r="N2631" i="39"/>
  <c r="N2630" i="39"/>
  <c r="N2629" i="39"/>
  <c r="N2628" i="39"/>
  <c r="N2627" i="39"/>
  <c r="N2626" i="39"/>
  <c r="N2625" i="39"/>
  <c r="N2624" i="39"/>
  <c r="N2623" i="39"/>
  <c r="N2622" i="39"/>
  <c r="N2621" i="39"/>
  <c r="N2620" i="39"/>
  <c r="N2619" i="39"/>
  <c r="N2618" i="39"/>
  <c r="N2617" i="39"/>
  <c r="N2616" i="39"/>
  <c r="N2615" i="39"/>
  <c r="N2614" i="39"/>
  <c r="N2613" i="39"/>
  <c r="N2612" i="39"/>
  <c r="N2611" i="39"/>
  <c r="N2610" i="39"/>
  <c r="N2609" i="39"/>
  <c r="N2608" i="39"/>
  <c r="N2607" i="39"/>
  <c r="N2606" i="39"/>
  <c r="N2605" i="39"/>
  <c r="N2604" i="39"/>
  <c r="N2603" i="39"/>
  <c r="N2602" i="39"/>
  <c r="N2601" i="39"/>
  <c r="N2600" i="39"/>
  <c r="N2599" i="39"/>
  <c r="N2598" i="39"/>
  <c r="N2597" i="39"/>
  <c r="N2596" i="39"/>
  <c r="N2595" i="39"/>
  <c r="N2594" i="39"/>
  <c r="N2593" i="39"/>
  <c r="N2592" i="39"/>
  <c r="N2591" i="39"/>
  <c r="N2590" i="39"/>
  <c r="N2589" i="39"/>
  <c r="N2588" i="39"/>
  <c r="N2587" i="39"/>
  <c r="N2586" i="39"/>
  <c r="N2585" i="39"/>
  <c r="N2584" i="39"/>
  <c r="N2583" i="39"/>
  <c r="N2582" i="39"/>
  <c r="N2581" i="39"/>
  <c r="N2580" i="39"/>
  <c r="N2579" i="39"/>
  <c r="N2578" i="39"/>
  <c r="N2577" i="39"/>
  <c r="N2576" i="39"/>
  <c r="N2575" i="39"/>
  <c r="N2574" i="39"/>
  <c r="N2573" i="39"/>
  <c r="N2572" i="39"/>
  <c r="N2571" i="39"/>
  <c r="N2570" i="39"/>
  <c r="N2569" i="39"/>
  <c r="N2568" i="39"/>
  <c r="N2567" i="39"/>
  <c r="N2566" i="39"/>
  <c r="N2565" i="39"/>
  <c r="N2564" i="39"/>
  <c r="N2563" i="39"/>
  <c r="N2562" i="39"/>
  <c r="N2561" i="39"/>
  <c r="N2560" i="39"/>
  <c r="N2559" i="39"/>
  <c r="N2558" i="39"/>
  <c r="N2557" i="39"/>
  <c r="N2556" i="39"/>
  <c r="N2555" i="39"/>
  <c r="N2554" i="39"/>
  <c r="N2553" i="39"/>
  <c r="N2552" i="39"/>
  <c r="N2551" i="39"/>
  <c r="N2550" i="39"/>
  <c r="N2549" i="39"/>
  <c r="N2548" i="39"/>
  <c r="N2547" i="39"/>
  <c r="N2546" i="39"/>
  <c r="N2545" i="39"/>
  <c r="N2544" i="39"/>
  <c r="N2543" i="39"/>
  <c r="N2542" i="39"/>
  <c r="N2541" i="39"/>
  <c r="N2540" i="39"/>
  <c r="N2539" i="39"/>
  <c r="N2538" i="39"/>
  <c r="N2537" i="39"/>
  <c r="N2536" i="39"/>
  <c r="N2535" i="39"/>
  <c r="N2534" i="39"/>
  <c r="N2533" i="39"/>
  <c r="N2532" i="39"/>
  <c r="N2531" i="39"/>
  <c r="N2530" i="39"/>
  <c r="N2529" i="39"/>
  <c r="N2528" i="39"/>
  <c r="N2527" i="39"/>
  <c r="N2526" i="39"/>
  <c r="N2525" i="39"/>
  <c r="T388" i="115" s="1"/>
  <c r="N2524" i="39"/>
  <c r="N2523" i="39"/>
  <c r="N2522" i="39"/>
  <c r="N2521" i="39"/>
  <c r="T382" i="115" s="1"/>
  <c r="N2520" i="39"/>
  <c r="N2519" i="39"/>
  <c r="N2518" i="39"/>
  <c r="N2517" i="39"/>
  <c r="N2516" i="39"/>
  <c r="N2515" i="39"/>
  <c r="N2514" i="39"/>
  <c r="N2513" i="39"/>
  <c r="N2512" i="39"/>
  <c r="N2511" i="39"/>
  <c r="N2510" i="39"/>
  <c r="N2509" i="39"/>
  <c r="T293" i="115" s="1"/>
  <c r="N2508" i="39"/>
  <c r="N2507" i="39"/>
  <c r="N2506" i="39"/>
  <c r="N2505" i="39"/>
  <c r="N2504" i="39"/>
  <c r="N2503" i="39"/>
  <c r="N2502" i="39"/>
  <c r="N2501" i="39"/>
  <c r="N2500" i="39"/>
  <c r="N2499" i="39"/>
  <c r="N2498" i="39"/>
  <c r="N2497" i="39"/>
  <c r="N2496" i="39"/>
  <c r="N2495" i="39"/>
  <c r="N2494" i="39"/>
  <c r="N2493" i="39"/>
  <c r="N2492" i="39"/>
  <c r="N2491" i="39"/>
  <c r="N2490" i="39"/>
  <c r="N2489" i="39"/>
  <c r="N2488" i="39"/>
  <c r="N2487" i="39"/>
  <c r="T256" i="115" s="1"/>
  <c r="N2486" i="39"/>
  <c r="N2485" i="39"/>
  <c r="N2484" i="39"/>
  <c r="N2483" i="39"/>
  <c r="N2482" i="39"/>
  <c r="N2481" i="39"/>
  <c r="N2480" i="39"/>
  <c r="T246" i="115" s="1"/>
  <c r="N2479" i="39"/>
  <c r="N2478" i="39"/>
  <c r="N2477" i="39"/>
  <c r="N2476" i="39"/>
  <c r="N2475" i="39"/>
  <c r="T229" i="115" s="1"/>
  <c r="N2474" i="39"/>
  <c r="N2473" i="39"/>
  <c r="N2472" i="39"/>
  <c r="N2471" i="39"/>
  <c r="N2470" i="39"/>
  <c r="N2469" i="39"/>
  <c r="N2468" i="39"/>
  <c r="N2467" i="39"/>
  <c r="N2466" i="39"/>
  <c r="T221" i="115" s="1"/>
  <c r="N2465" i="39"/>
  <c r="N2464" i="39"/>
  <c r="N2463" i="39"/>
  <c r="N2462" i="39"/>
  <c r="N2461" i="39"/>
  <c r="T216" i="115" s="1"/>
  <c r="N2460" i="39"/>
  <c r="N2459" i="39"/>
  <c r="N2458" i="39"/>
  <c r="N2457" i="39"/>
  <c r="N2456" i="39"/>
  <c r="N2455" i="39"/>
  <c r="T212" i="115" s="1"/>
  <c r="N2454" i="39"/>
  <c r="N2453" i="39"/>
  <c r="N2452" i="39"/>
  <c r="N2451" i="39"/>
  <c r="N2450" i="39"/>
  <c r="N2449" i="39"/>
  <c r="N2448" i="39"/>
  <c r="N2447" i="39"/>
  <c r="N2446" i="39"/>
  <c r="N2445" i="39"/>
  <c r="N2444" i="39"/>
  <c r="N2443" i="39"/>
  <c r="N2442" i="39"/>
  <c r="N2441" i="39"/>
  <c r="N2440" i="39"/>
  <c r="N2439" i="39"/>
  <c r="N2438" i="39"/>
  <c r="N2437" i="39"/>
  <c r="N2436" i="39"/>
  <c r="N2435" i="39"/>
  <c r="N2434" i="39"/>
  <c r="T131" i="115" s="1"/>
  <c r="N2433" i="39"/>
  <c r="N2432" i="39"/>
  <c r="N2431" i="39"/>
  <c r="N2430" i="39"/>
  <c r="N2429" i="39"/>
  <c r="N2428" i="39"/>
  <c r="N2427" i="39"/>
  <c r="N2426" i="39"/>
  <c r="N2425" i="39"/>
  <c r="N2424" i="39"/>
  <c r="N2423" i="39"/>
  <c r="N2422" i="39"/>
  <c r="N2421" i="39"/>
  <c r="N2420" i="39"/>
  <c r="N2419" i="39"/>
  <c r="N2418" i="39"/>
  <c r="N2417" i="39"/>
  <c r="N2416" i="39"/>
  <c r="N2415" i="39"/>
  <c r="N2414" i="39"/>
  <c r="N2413" i="39"/>
  <c r="N2412" i="39"/>
  <c r="N2411" i="39"/>
  <c r="N2410" i="39"/>
  <c r="N2409" i="39"/>
  <c r="N2408" i="39"/>
  <c r="T87" i="115" s="1"/>
  <c r="N2407" i="39"/>
  <c r="N2406" i="39"/>
  <c r="N2405" i="39"/>
  <c r="N2404" i="39"/>
  <c r="N2403" i="39"/>
  <c r="N2402" i="39"/>
  <c r="N2401" i="39"/>
  <c r="N2400" i="39"/>
  <c r="N2399" i="39"/>
  <c r="T71" i="115" s="1"/>
  <c r="N2398" i="39"/>
  <c r="N2397" i="39"/>
  <c r="N2396" i="39"/>
  <c r="T68" i="115" s="1"/>
  <c r="N2395" i="39"/>
  <c r="N2394" i="39"/>
  <c r="N2393" i="39"/>
  <c r="N2392" i="39"/>
  <c r="N2391" i="39"/>
  <c r="T61" i="115" s="1"/>
  <c r="N2390" i="39"/>
  <c r="N2389" i="39"/>
  <c r="N2388" i="39"/>
  <c r="N2387" i="39"/>
  <c r="N2386" i="39"/>
  <c r="N2385" i="39"/>
  <c r="N2384" i="39"/>
  <c r="N2383" i="39"/>
  <c r="N2382" i="39"/>
  <c r="T52" i="115" s="1"/>
  <c r="N2381" i="39"/>
  <c r="N2380" i="39"/>
  <c r="N2379" i="39"/>
  <c r="N2378" i="39"/>
  <c r="N2377" i="39"/>
  <c r="N2376" i="39"/>
  <c r="N2375" i="39"/>
  <c r="N2374" i="39"/>
  <c r="T43" i="115" s="1"/>
  <c r="N2373" i="39"/>
  <c r="N2372" i="39"/>
  <c r="N2371" i="39"/>
  <c r="N2370" i="39"/>
  <c r="N2369" i="39"/>
  <c r="N2368" i="39"/>
  <c r="N2367" i="39"/>
  <c r="N2366" i="39"/>
  <c r="N2365" i="39"/>
  <c r="N2364" i="39"/>
  <c r="N2363" i="39"/>
  <c r="N2362" i="39"/>
  <c r="N2361" i="39"/>
  <c r="N2360" i="39"/>
  <c r="N2359" i="39"/>
  <c r="N2358" i="39"/>
  <c r="N2357" i="39"/>
  <c r="N2356" i="39"/>
  <c r="N2355" i="39"/>
  <c r="T697" i="114" s="1"/>
  <c r="Y697" i="114" s="1"/>
  <c r="Z697" i="114" s="1"/>
  <c r="AB697" i="114" s="1"/>
  <c r="N2354" i="39"/>
  <c r="N2353" i="39"/>
  <c r="N2352" i="39"/>
  <c r="N2351" i="39"/>
  <c r="N2350" i="39"/>
  <c r="N2349" i="39"/>
  <c r="N2348" i="39"/>
  <c r="N2347" i="39"/>
  <c r="N2346" i="39"/>
  <c r="T710" i="114" s="1"/>
  <c r="Z710" i="114" s="1"/>
  <c r="AB710" i="114" s="1"/>
  <c r="AC710" i="114" s="1"/>
  <c r="AE710" i="114" s="1"/>
  <c r="N2345" i="39"/>
  <c r="N2344" i="39"/>
  <c r="N2343" i="39"/>
  <c r="N2342" i="39"/>
  <c r="N2341" i="39"/>
  <c r="N2340" i="39"/>
  <c r="N2339" i="39"/>
  <c r="N2338" i="39"/>
  <c r="N2337" i="39"/>
  <c r="N2336" i="39"/>
  <c r="N2335" i="39"/>
  <c r="N2334" i="39"/>
  <c r="T668" i="114" s="1"/>
  <c r="Y668" i="114" s="1"/>
  <c r="Z668" i="114" s="1"/>
  <c r="AB668" i="114" s="1"/>
  <c r="AC668" i="114" s="1"/>
  <c r="AE668" i="114" s="1"/>
  <c r="AF668" i="114" s="1"/>
  <c r="AH668" i="114" s="1"/>
  <c r="AI668" i="114" s="1"/>
  <c r="AK668" i="114" s="1"/>
  <c r="AL668" i="114" s="1"/>
  <c r="AN668" i="114" s="1"/>
  <c r="N2333" i="39"/>
  <c r="N2332" i="39"/>
  <c r="N2331" i="39"/>
  <c r="N2330" i="39"/>
  <c r="T603" i="114" s="1"/>
  <c r="Y603" i="114" s="1"/>
  <c r="N2329" i="39"/>
  <c r="N2328" i="39"/>
  <c r="N2327" i="39"/>
  <c r="N2326" i="39"/>
  <c r="T1033" i="115" s="1"/>
  <c r="N2325" i="39"/>
  <c r="N2324" i="39"/>
  <c r="N2323" i="39"/>
  <c r="N2322" i="39"/>
  <c r="N2321" i="39"/>
  <c r="N2320" i="39"/>
  <c r="N2319" i="39"/>
  <c r="N2318" i="39"/>
  <c r="N2317" i="39"/>
  <c r="N2316" i="39"/>
  <c r="N2315" i="39"/>
  <c r="N2314" i="39"/>
  <c r="N2313" i="39"/>
  <c r="N2312" i="39"/>
  <c r="N2311" i="39"/>
  <c r="N2310" i="39"/>
  <c r="N2309" i="39"/>
  <c r="N2308" i="39"/>
  <c r="N2307" i="39"/>
  <c r="N2306" i="39"/>
  <c r="N2305" i="39"/>
  <c r="N2304" i="39"/>
  <c r="N2303" i="39"/>
  <c r="N2302" i="39"/>
  <c r="N2301" i="39"/>
  <c r="N2300" i="39"/>
  <c r="T962" i="115" s="1"/>
  <c r="N2299" i="39"/>
  <c r="T961" i="115" s="1"/>
  <c r="N2298" i="39"/>
  <c r="N2297" i="39"/>
  <c r="N2296" i="39"/>
  <c r="N2295" i="39"/>
  <c r="N2294" i="39"/>
  <c r="N2293" i="39"/>
  <c r="N2292" i="39"/>
  <c r="N2291" i="39"/>
  <c r="N2290" i="39"/>
  <c r="N2289" i="39"/>
  <c r="N2288" i="39"/>
  <c r="N2287" i="39"/>
  <c r="N2286" i="39"/>
  <c r="N2285" i="39"/>
  <c r="N2284" i="39"/>
  <c r="N2283" i="39"/>
  <c r="N2282" i="39"/>
  <c r="N2281" i="39"/>
  <c r="T938" i="115" s="1"/>
  <c r="N2280" i="39"/>
  <c r="N2279" i="39"/>
  <c r="N2278" i="39"/>
  <c r="N2277" i="39"/>
  <c r="N2276" i="39"/>
  <c r="N2275" i="39"/>
  <c r="N2274" i="39"/>
  <c r="N2273" i="39"/>
  <c r="N2272" i="39"/>
  <c r="N2271" i="39"/>
  <c r="N2270" i="39"/>
  <c r="N2269" i="39"/>
  <c r="N2268" i="39"/>
  <c r="N2267" i="39"/>
  <c r="T912" i="115" s="1"/>
  <c r="N2266" i="39"/>
  <c r="N2265" i="39"/>
  <c r="N2264" i="39"/>
  <c r="N2263" i="39"/>
  <c r="N2262" i="39"/>
  <c r="N2261" i="39"/>
  <c r="T908" i="115" s="1"/>
  <c r="N2260" i="39"/>
  <c r="N2259" i="39"/>
  <c r="N2258" i="39"/>
  <c r="N2257" i="39"/>
  <c r="N2256" i="39"/>
  <c r="T904" i="115" s="1"/>
  <c r="N2255" i="39"/>
  <c r="N2254" i="39"/>
  <c r="N2253" i="39"/>
  <c r="N2252" i="39"/>
  <c r="N2251" i="39"/>
  <c r="N2250" i="39"/>
  <c r="T880" i="115" s="1"/>
  <c r="U880" i="115" s="1"/>
  <c r="N2249" i="39"/>
  <c r="N2248" i="39"/>
  <c r="N2247" i="39"/>
  <c r="N2246" i="39"/>
  <c r="N2245" i="39"/>
  <c r="N2244" i="39"/>
  <c r="N2243" i="39"/>
  <c r="N2242" i="39"/>
  <c r="N2241" i="39"/>
  <c r="N2240" i="39"/>
  <c r="N2239" i="39"/>
  <c r="N2238" i="39"/>
  <c r="N2237" i="39"/>
  <c r="N2236" i="39"/>
  <c r="N2235" i="39"/>
  <c r="N2234" i="39"/>
  <c r="N2233" i="39"/>
  <c r="N2232" i="39"/>
  <c r="N2231" i="39"/>
  <c r="N2230" i="39"/>
  <c r="N2229" i="39"/>
  <c r="N2228" i="39"/>
  <c r="N2227" i="39"/>
  <c r="N2226" i="39"/>
  <c r="N2225" i="39"/>
  <c r="N2224" i="39"/>
  <c r="N2223" i="39"/>
  <c r="N2222" i="39"/>
  <c r="N2221" i="39"/>
  <c r="N2220" i="39"/>
  <c r="T831" i="115" s="1"/>
  <c r="N2219" i="39"/>
  <c r="N2218" i="39"/>
  <c r="N2217" i="39"/>
  <c r="N2216" i="39"/>
  <c r="N2215" i="39"/>
  <c r="N2214" i="39"/>
  <c r="N2189" i="39"/>
  <c r="N2188" i="39"/>
  <c r="N2187" i="39"/>
  <c r="N2186" i="39"/>
  <c r="N2185" i="39"/>
  <c r="T551" i="114" s="1"/>
  <c r="N2184" i="39"/>
  <c r="N2183" i="39"/>
  <c r="N2182" i="39"/>
  <c r="N2181" i="39"/>
  <c r="N2180" i="39"/>
  <c r="N2179" i="39"/>
  <c r="N2178" i="39"/>
  <c r="N2177" i="39"/>
  <c r="N2176" i="39"/>
  <c r="N2175" i="39"/>
  <c r="N2174" i="39"/>
  <c r="N2173" i="39"/>
  <c r="N2172" i="39"/>
  <c r="N2171" i="39"/>
  <c r="N2170" i="39"/>
  <c r="N2169" i="39"/>
  <c r="N2168" i="39"/>
  <c r="N2167" i="39"/>
  <c r="N2166" i="39"/>
  <c r="N2165" i="39"/>
  <c r="N2164" i="39"/>
  <c r="N2163" i="39"/>
  <c r="N2162" i="39"/>
  <c r="N2161" i="39"/>
  <c r="N2160" i="39"/>
  <c r="N2159" i="39"/>
  <c r="T441" i="114" s="1"/>
  <c r="N2158" i="39"/>
  <c r="N2157" i="39"/>
  <c r="N2156" i="39"/>
  <c r="N2155" i="39"/>
  <c r="N2154" i="39"/>
  <c r="N2153" i="39"/>
  <c r="T429" i="114" s="1"/>
  <c r="N2152" i="39"/>
  <c r="N2151" i="39"/>
  <c r="N2150" i="39"/>
  <c r="N2149" i="39"/>
  <c r="N2148" i="39"/>
  <c r="N2147" i="39"/>
  <c r="N2146" i="39"/>
  <c r="N2145" i="39"/>
  <c r="T418" i="114" s="1"/>
  <c r="N2144" i="39"/>
  <c r="N2143" i="39"/>
  <c r="N2142" i="39"/>
  <c r="N2141" i="39"/>
  <c r="N2140" i="39"/>
  <c r="N2139" i="39"/>
  <c r="N2138" i="39"/>
  <c r="N2137" i="39"/>
  <c r="T410" i="114" s="1"/>
  <c r="N2136" i="39"/>
  <c r="N2135" i="39"/>
  <c r="N2134" i="39"/>
  <c r="N2133" i="39"/>
  <c r="N2132" i="39"/>
  <c r="N2131" i="39"/>
  <c r="N2130" i="39"/>
  <c r="N2129" i="39"/>
  <c r="T356" i="114" s="1"/>
  <c r="Y356" i="114" s="1"/>
  <c r="Z356" i="114" s="1"/>
  <c r="AB356" i="114" s="1"/>
  <c r="AC356" i="114" s="1"/>
  <c r="AE356" i="114" s="1"/>
  <c r="N2128" i="39"/>
  <c r="N2127" i="39"/>
  <c r="N2126" i="39"/>
  <c r="N2125" i="39"/>
  <c r="N2124" i="39"/>
  <c r="N2123" i="39"/>
  <c r="N2122" i="39"/>
  <c r="T371" i="114" s="1"/>
  <c r="Y371" i="114" s="1"/>
  <c r="Z371" i="114" s="1"/>
  <c r="AB371" i="114" s="1"/>
  <c r="N2121" i="39"/>
  <c r="N2120" i="39"/>
  <c r="N2119" i="39"/>
  <c r="N2118" i="39"/>
  <c r="N2117" i="39"/>
  <c r="C2" i="39"/>
  <c r="D2" i="39" s="1"/>
  <c r="E2" i="39" s="1"/>
  <c r="F2" i="39" s="1"/>
  <c r="H724" i="114"/>
  <c r="H714" i="114"/>
  <c r="G685" i="114"/>
  <c r="H683" i="114"/>
  <c r="H682" i="114"/>
  <c r="H654" i="114"/>
  <c r="H651" i="114"/>
  <c r="G650" i="114"/>
  <c r="H634" i="114"/>
  <c r="H630" i="114"/>
  <c r="H626" i="114"/>
  <c r="H625" i="114"/>
  <c r="G623" i="114"/>
  <c r="H621" i="114"/>
  <c r="H620" i="114"/>
  <c r="G596" i="114"/>
  <c r="H595" i="114"/>
  <c r="H590" i="114"/>
  <c r="H589" i="114"/>
  <c r="H588" i="114"/>
  <c r="H585" i="114"/>
  <c r="H548" i="114"/>
  <c r="G545" i="114"/>
  <c r="H546" i="114" s="1"/>
  <c r="H544" i="114"/>
  <c r="H523" i="114"/>
  <c r="H506" i="114"/>
  <c r="H504" i="114"/>
  <c r="H503" i="114"/>
  <c r="H502" i="114"/>
  <c r="H500" i="114"/>
  <c r="V497" i="114"/>
  <c r="U497" i="114"/>
  <c r="H478" i="114"/>
  <c r="H464" i="114"/>
  <c r="H460" i="114"/>
  <c r="V453" i="114"/>
  <c r="U453" i="114"/>
  <c r="H442" i="114"/>
  <c r="H440" i="114"/>
  <c r="H438" i="114"/>
  <c r="V408" i="114"/>
  <c r="U408" i="114"/>
  <c r="H404" i="114"/>
  <c r="G403" i="114"/>
  <c r="H402" i="114"/>
  <c r="G401" i="114"/>
  <c r="H398" i="114"/>
  <c r="G397" i="114"/>
  <c r="G396" i="114"/>
  <c r="H395" i="114"/>
  <c r="H387" i="114"/>
  <c r="H376" i="114"/>
  <c r="H372" i="114"/>
  <c r="H371" i="114"/>
  <c r="G363" i="114"/>
  <c r="H364" i="114" s="1"/>
  <c r="H360" i="114"/>
  <c r="H353" i="114"/>
  <c r="H350" i="114"/>
  <c r="G318" i="114"/>
  <c r="H317" i="114"/>
  <c r="H309" i="114"/>
  <c r="H308" i="114"/>
  <c r="H296" i="114"/>
  <c r="G294" i="114"/>
  <c r="H292" i="114"/>
  <c r="H291" i="114"/>
  <c r="H284" i="114"/>
  <c r="H277" i="114"/>
  <c r="H276" i="114"/>
  <c r="H272" i="114"/>
  <c r="H269" i="114"/>
  <c r="G266" i="114"/>
  <c r="H267" i="114" s="1"/>
  <c r="G264" i="114"/>
  <c r="H262" i="114"/>
  <c r="G261" i="114"/>
  <c r="H259" i="114"/>
  <c r="H258" i="114"/>
  <c r="H256" i="114"/>
  <c r="H249" i="114"/>
  <c r="H244" i="114"/>
  <c r="H243" i="114"/>
  <c r="H241" i="114"/>
  <c r="H238" i="114"/>
  <c r="H235" i="114"/>
  <c r="H227" i="114"/>
  <c r="H226" i="114"/>
  <c r="H223" i="114"/>
  <c r="H222" i="114"/>
  <c r="H221" i="114"/>
  <c r="H209" i="114"/>
  <c r="H208" i="114"/>
  <c r="H205" i="114"/>
  <c r="H204" i="114"/>
  <c r="H200" i="114"/>
  <c r="H190" i="114"/>
  <c r="H189" i="114"/>
  <c r="H182" i="114"/>
  <c r="H178" i="114"/>
  <c r="H175" i="114"/>
  <c r="H173" i="114"/>
  <c r="H170" i="114"/>
  <c r="G166" i="114"/>
  <c r="H147" i="114"/>
  <c r="G146" i="114"/>
  <c r="G144" i="114"/>
  <c r="H143" i="114"/>
  <c r="H142" i="114"/>
  <c r="H141" i="114"/>
  <c r="H140" i="114"/>
  <c r="H139" i="114"/>
  <c r="H138" i="114"/>
  <c r="H121" i="114"/>
  <c r="H118" i="114"/>
  <c r="H116" i="114"/>
  <c r="H110" i="114"/>
  <c r="H102" i="114"/>
  <c r="H94" i="114"/>
  <c r="G87" i="114"/>
  <c r="G86" i="114"/>
  <c r="H85" i="114"/>
  <c r="G83" i="114"/>
  <c r="H82" i="114"/>
  <c r="H73" i="114"/>
  <c r="V67" i="114"/>
  <c r="U67" i="114"/>
  <c r="H62" i="114"/>
  <c r="H57" i="114"/>
  <c r="V56" i="114"/>
  <c r="V46" i="114"/>
  <c r="V45" i="114"/>
  <c r="H45" i="114"/>
  <c r="H44" i="114"/>
  <c r="H43" i="114"/>
  <c r="V37" i="114"/>
  <c r="H37" i="114"/>
  <c r="V31" i="114"/>
  <c r="H31" i="114"/>
  <c r="V30" i="114"/>
  <c r="H30" i="114"/>
  <c r="V29" i="114"/>
  <c r="H29" i="114"/>
  <c r="V28" i="114"/>
  <c r="V27" i="114"/>
  <c r="H27" i="114"/>
  <c r="V26" i="114"/>
  <c r="V25" i="114"/>
  <c r="H25" i="114"/>
  <c r="V24" i="114"/>
  <c r="V21" i="114"/>
  <c r="G20" i="114"/>
  <c r="G19" i="114"/>
  <c r="G18" i="114"/>
  <c r="G17" i="114"/>
  <c r="H16" i="114"/>
  <c r="H15" i="114"/>
  <c r="G14" i="114"/>
  <c r="G13" i="114"/>
  <c r="B7" i="114"/>
  <c r="V6" i="114"/>
  <c r="U6" i="114"/>
  <c r="P6" i="114"/>
  <c r="A3" i="114"/>
  <c r="H1042" i="115"/>
  <c r="H1028" i="115"/>
  <c r="H999" i="115"/>
  <c r="T968" i="115"/>
  <c r="S968" i="115"/>
  <c r="R968" i="115"/>
  <c r="Q968" i="115"/>
  <c r="O968" i="115"/>
  <c r="J968" i="115"/>
  <c r="H967" i="115"/>
  <c r="H964" i="115"/>
  <c r="H960" i="115"/>
  <c r="H958" i="115"/>
  <c r="H946" i="115"/>
  <c r="H942" i="115"/>
  <c r="H935" i="115"/>
  <c r="H925" i="115"/>
  <c r="H924" i="115"/>
  <c r="H920" i="115"/>
  <c r="H916" i="115"/>
  <c r="H913" i="115"/>
  <c r="H910" i="115"/>
  <c r="H909" i="115"/>
  <c r="H907" i="115"/>
  <c r="H906" i="115"/>
  <c r="H905" i="115"/>
  <c r="G893" i="115"/>
  <c r="H894" i="115" s="1"/>
  <c r="H892" i="115"/>
  <c r="H883" i="115"/>
  <c r="H879" i="115"/>
  <c r="H873" i="115"/>
  <c r="H871" i="115"/>
  <c r="H854" i="115"/>
  <c r="H845" i="115"/>
  <c r="H835" i="115"/>
  <c r="H829" i="115"/>
  <c r="H818" i="115"/>
  <c r="H809" i="115"/>
  <c r="H806" i="115"/>
  <c r="H793" i="115"/>
  <c r="H789" i="115"/>
  <c r="H786" i="115"/>
  <c r="H783" i="115"/>
  <c r="H782" i="115"/>
  <c r="H778" i="115"/>
  <c r="H767" i="115"/>
  <c r="G763" i="115"/>
  <c r="G761" i="115"/>
  <c r="H760" i="115"/>
  <c r="H757" i="115"/>
  <c r="H756" i="115"/>
  <c r="G754" i="115"/>
  <c r="H753" i="115"/>
  <c r="G750" i="115"/>
  <c r="G749" i="115"/>
  <c r="H746" i="115"/>
  <c r="G745" i="115"/>
  <c r="G744" i="115"/>
  <c r="G742" i="115"/>
  <c r="H741" i="115"/>
  <c r="H740" i="115"/>
  <c r="G738" i="115"/>
  <c r="H736" i="115"/>
  <c r="H735" i="115"/>
  <c r="H734" i="115"/>
  <c r="H733" i="115"/>
  <c r="H720" i="115"/>
  <c r="Z712" i="115"/>
  <c r="Z697" i="115"/>
  <c r="H697" i="115"/>
  <c r="Z711" i="115"/>
  <c r="Z696" i="115"/>
  <c r="Z710" i="115"/>
  <c r="Z709" i="115"/>
  <c r="Z718" i="115"/>
  <c r="Z695" i="115"/>
  <c r="Z692" i="115"/>
  <c r="Z691" i="115"/>
  <c r="H717" i="115"/>
  <c r="G688" i="115"/>
  <c r="H687" i="115"/>
  <c r="Z686" i="115"/>
  <c r="Z685" i="115"/>
  <c r="H678" i="115"/>
  <c r="H676" i="115"/>
  <c r="H675" i="115"/>
  <c r="Z669" i="115"/>
  <c r="Z661" i="115"/>
  <c r="H661" i="115"/>
  <c r="H658" i="115"/>
  <c r="H657" i="115"/>
  <c r="H656" i="115"/>
  <c r="H653" i="115"/>
  <c r="H652" i="115"/>
  <c r="H651" i="115"/>
  <c r="H649" i="115"/>
  <c r="G641" i="115"/>
  <c r="H633" i="115"/>
  <c r="T632" i="115"/>
  <c r="S632" i="115"/>
  <c r="R632" i="115"/>
  <c r="Q632" i="115"/>
  <c r="O632" i="115"/>
  <c r="M632" i="115"/>
  <c r="V632" i="115" s="1"/>
  <c r="J632" i="115"/>
  <c r="H632" i="115"/>
  <c r="G632" i="115"/>
  <c r="T631" i="115"/>
  <c r="S631" i="115"/>
  <c r="R631" i="115"/>
  <c r="Q631" i="115"/>
  <c r="O631" i="115"/>
  <c r="M631" i="115"/>
  <c r="V631" i="115" s="1"/>
  <c r="J631" i="115"/>
  <c r="H631" i="115"/>
  <c r="G631" i="115"/>
  <c r="T630" i="115"/>
  <c r="S630" i="115"/>
  <c r="R630" i="115"/>
  <c r="Q630" i="115"/>
  <c r="O630" i="115"/>
  <c r="M630" i="115"/>
  <c r="V630" i="115" s="1"/>
  <c r="J630" i="115"/>
  <c r="H630" i="115"/>
  <c r="G630" i="115"/>
  <c r="T629" i="115"/>
  <c r="S629" i="115"/>
  <c r="R629" i="115"/>
  <c r="Q629" i="115"/>
  <c r="O629" i="115"/>
  <c r="M629" i="115"/>
  <c r="V629" i="115" s="1"/>
  <c r="J629" i="115"/>
  <c r="H629" i="115"/>
  <c r="G629" i="115"/>
  <c r="T628" i="115"/>
  <c r="S628" i="115"/>
  <c r="R628" i="115"/>
  <c r="Q628" i="115"/>
  <c r="O628" i="115"/>
  <c r="M628" i="115"/>
  <c r="V628" i="115" s="1"/>
  <c r="J628" i="115"/>
  <c r="H628" i="115"/>
  <c r="G628" i="115"/>
  <c r="T627" i="115"/>
  <c r="S627" i="115"/>
  <c r="R627" i="115"/>
  <c r="Q627" i="115"/>
  <c r="O627" i="115"/>
  <c r="M627" i="115"/>
  <c r="V627" i="115" s="1"/>
  <c r="J627" i="115"/>
  <c r="H627" i="115"/>
  <c r="G627" i="115"/>
  <c r="T626" i="115"/>
  <c r="S626" i="115"/>
  <c r="R626" i="115"/>
  <c r="Q626" i="115"/>
  <c r="O626" i="115"/>
  <c r="M626" i="115"/>
  <c r="V626" i="115" s="1"/>
  <c r="J626" i="115"/>
  <c r="H626" i="115"/>
  <c r="G626" i="115"/>
  <c r="T625" i="115"/>
  <c r="S625" i="115"/>
  <c r="R625" i="115"/>
  <c r="Q625" i="115"/>
  <c r="O625" i="115"/>
  <c r="M625" i="115"/>
  <c r="V625" i="115" s="1"/>
  <c r="J625" i="115"/>
  <c r="H625" i="115"/>
  <c r="T624" i="115"/>
  <c r="S624" i="115"/>
  <c r="S633" i="115" s="1"/>
  <c r="R624" i="115"/>
  <c r="R633" i="115" s="1"/>
  <c r="Q624" i="115"/>
  <c r="Q633" i="115" s="1"/>
  <c r="O624" i="115"/>
  <c r="O633" i="115" s="1"/>
  <c r="M624" i="115"/>
  <c r="M633" i="115" s="1"/>
  <c r="V633" i="115" s="1"/>
  <c r="J624" i="115"/>
  <c r="J633" i="115" s="1"/>
  <c r="H624" i="115"/>
  <c r="G624" i="115"/>
  <c r="T621" i="115"/>
  <c r="S621" i="115"/>
  <c r="R621" i="115"/>
  <c r="Q621" i="115"/>
  <c r="O621" i="115"/>
  <c r="M621" i="115"/>
  <c r="V621" i="115" s="1"/>
  <c r="J621" i="115"/>
  <c r="H621" i="115"/>
  <c r="G621" i="115"/>
  <c r="H622" i="115" s="1"/>
  <c r="T620" i="115"/>
  <c r="S620" i="115"/>
  <c r="R620" i="115"/>
  <c r="Q620" i="115"/>
  <c r="O620" i="115"/>
  <c r="M620" i="115"/>
  <c r="V620" i="115" s="1"/>
  <c r="J620" i="115"/>
  <c r="H620" i="115"/>
  <c r="G620" i="115"/>
  <c r="T619" i="115"/>
  <c r="T622" i="115" s="1"/>
  <c r="S619" i="115"/>
  <c r="S635" i="115" s="1"/>
  <c r="R619" i="115"/>
  <c r="R635" i="115" s="1"/>
  <c r="Q619" i="115"/>
  <c r="Q635" i="115" s="1"/>
  <c r="O619" i="115"/>
  <c r="O622" i="115" s="1"/>
  <c r="M619" i="115"/>
  <c r="J619" i="115"/>
  <c r="J635" i="115" s="1"/>
  <c r="H619" i="115"/>
  <c r="H612" i="115"/>
  <c r="T611" i="115"/>
  <c r="S611" i="115"/>
  <c r="R611" i="115"/>
  <c r="Q611" i="115"/>
  <c r="O611" i="115"/>
  <c r="M611" i="115"/>
  <c r="V611" i="115" s="1"/>
  <c r="J611" i="115"/>
  <c r="H611" i="115"/>
  <c r="G611" i="115"/>
  <c r="T610" i="115"/>
  <c r="S610" i="115"/>
  <c r="R610" i="115"/>
  <c r="Q610" i="115"/>
  <c r="O610" i="115"/>
  <c r="M610" i="115"/>
  <c r="V610" i="115" s="1"/>
  <c r="J610" i="115"/>
  <c r="H610" i="115"/>
  <c r="G610" i="115"/>
  <c r="T609" i="115"/>
  <c r="S609" i="115"/>
  <c r="R609" i="115"/>
  <c r="Q609" i="115"/>
  <c r="O609" i="115"/>
  <c r="M609" i="115"/>
  <c r="V609" i="115" s="1"/>
  <c r="J609" i="115"/>
  <c r="H609" i="115"/>
  <c r="G609" i="115"/>
  <c r="T608" i="115"/>
  <c r="S608" i="115"/>
  <c r="R608" i="115"/>
  <c r="Q608" i="115"/>
  <c r="O608" i="115"/>
  <c r="M608" i="115"/>
  <c r="V608" i="115" s="1"/>
  <c r="J608" i="115"/>
  <c r="H608" i="115"/>
  <c r="G608" i="115"/>
  <c r="T607" i="115"/>
  <c r="S607" i="115"/>
  <c r="R607" i="115"/>
  <c r="Q607" i="115"/>
  <c r="O607" i="115"/>
  <c r="M607" i="115"/>
  <c r="V607" i="115" s="1"/>
  <c r="J607" i="115"/>
  <c r="H607" i="115"/>
  <c r="G607" i="115"/>
  <c r="T606" i="115"/>
  <c r="S606" i="115"/>
  <c r="R606" i="115"/>
  <c r="Q606" i="115"/>
  <c r="O606" i="115"/>
  <c r="M606" i="115"/>
  <c r="V606" i="115" s="1"/>
  <c r="J606" i="115"/>
  <c r="H606" i="115"/>
  <c r="G606" i="115"/>
  <c r="T605" i="115"/>
  <c r="T612" i="115" s="1"/>
  <c r="S605" i="115"/>
  <c r="S612" i="115" s="1"/>
  <c r="R605" i="115"/>
  <c r="R612" i="115" s="1"/>
  <c r="Q605" i="115"/>
  <c r="Q612" i="115" s="1"/>
  <c r="O605" i="115"/>
  <c r="O612" i="115" s="1"/>
  <c r="M605" i="115"/>
  <c r="J605" i="115"/>
  <c r="J612" i="115" s="1"/>
  <c r="H605" i="115"/>
  <c r="G605" i="115"/>
  <c r="T602" i="115"/>
  <c r="S602" i="115"/>
  <c r="R602" i="115"/>
  <c r="Q602" i="115"/>
  <c r="O602" i="115"/>
  <c r="M602" i="115"/>
  <c r="V602" i="115" s="1"/>
  <c r="J602" i="115"/>
  <c r="H602" i="115"/>
  <c r="G602" i="115"/>
  <c r="H603" i="115" s="1"/>
  <c r="T601" i="115"/>
  <c r="S601" i="115"/>
  <c r="R601" i="115"/>
  <c r="Q601" i="115"/>
  <c r="O601" i="115"/>
  <c r="M601" i="115"/>
  <c r="V601" i="115" s="1"/>
  <c r="J601" i="115"/>
  <c r="H601" i="115"/>
  <c r="G601" i="115"/>
  <c r="T600" i="115"/>
  <c r="S600" i="115"/>
  <c r="R600" i="115"/>
  <c r="Q600" i="115"/>
  <c r="O600" i="115"/>
  <c r="M600" i="115"/>
  <c r="V600" i="115" s="1"/>
  <c r="J600" i="115"/>
  <c r="H600" i="115"/>
  <c r="G600" i="115"/>
  <c r="T599" i="115"/>
  <c r="T614" i="115" s="1"/>
  <c r="S599" i="115"/>
  <c r="S614" i="115" s="1"/>
  <c r="R599" i="115"/>
  <c r="R603" i="115" s="1"/>
  <c r="Q599" i="115"/>
  <c r="Q614" i="115" s="1"/>
  <c r="O599" i="115"/>
  <c r="O614" i="115" s="1"/>
  <c r="M599" i="115"/>
  <c r="M603" i="115" s="1"/>
  <c r="V603" i="115" s="1"/>
  <c r="J599" i="115"/>
  <c r="J614" i="115" s="1"/>
  <c r="H599" i="115"/>
  <c r="G599" i="115"/>
  <c r="X596" i="115"/>
  <c r="X594" i="115"/>
  <c r="H593" i="115"/>
  <c r="T592" i="115"/>
  <c r="S592" i="115"/>
  <c r="R592" i="115"/>
  <c r="Q592" i="115"/>
  <c r="O592" i="115"/>
  <c r="M592" i="115"/>
  <c r="J592" i="115"/>
  <c r="H592" i="115"/>
  <c r="G592" i="115"/>
  <c r="T591" i="115"/>
  <c r="S591" i="115"/>
  <c r="R591" i="115"/>
  <c r="Q591" i="115"/>
  <c r="X591" i="115" s="1"/>
  <c r="O591" i="115"/>
  <c r="M591" i="115"/>
  <c r="V591" i="115" s="1"/>
  <c r="J591" i="115"/>
  <c r="H591" i="115"/>
  <c r="G591" i="115"/>
  <c r="T590" i="115"/>
  <c r="S590" i="115"/>
  <c r="R590" i="115"/>
  <c r="Q590" i="115"/>
  <c r="X590" i="115" s="1"/>
  <c r="O590" i="115"/>
  <c r="M590" i="115"/>
  <c r="V590" i="115" s="1"/>
  <c r="J590" i="115"/>
  <c r="H590" i="115"/>
  <c r="T589" i="115"/>
  <c r="T593" i="115" s="1"/>
  <c r="S589" i="115"/>
  <c r="S593" i="115" s="1"/>
  <c r="R589" i="115"/>
  <c r="Q589" i="115"/>
  <c r="Q593" i="115" s="1"/>
  <c r="X593" i="115" s="1"/>
  <c r="O589" i="115"/>
  <c r="O595" i="115" s="1"/>
  <c r="M589" i="115"/>
  <c r="M595" i="115" s="1"/>
  <c r="V595" i="115" s="1"/>
  <c r="J589" i="115"/>
  <c r="H589" i="115"/>
  <c r="G589" i="115"/>
  <c r="X588" i="115"/>
  <c r="X587" i="115"/>
  <c r="X586" i="115"/>
  <c r="X584" i="115"/>
  <c r="X582" i="115"/>
  <c r="X576" i="115"/>
  <c r="H573" i="115"/>
  <c r="X569" i="115"/>
  <c r="H567" i="115"/>
  <c r="H563" i="115"/>
  <c r="H561" i="115"/>
  <c r="H559" i="115"/>
  <c r="X556" i="115"/>
  <c r="X553" i="115"/>
  <c r="X552" i="115"/>
  <c r="X551" i="115"/>
  <c r="X549" i="115"/>
  <c r="X547" i="115"/>
  <c r="X543" i="115"/>
  <c r="X538" i="115"/>
  <c r="H536" i="115"/>
  <c r="H533" i="115"/>
  <c r="H531" i="115"/>
  <c r="H525" i="115"/>
  <c r="X524" i="115"/>
  <c r="H522" i="115"/>
  <c r="H521" i="115"/>
  <c r="H520" i="115"/>
  <c r="H518" i="115"/>
  <c r="H514" i="115"/>
  <c r="H513" i="115"/>
  <c r="X508" i="115"/>
  <c r="H505" i="115"/>
  <c r="H502" i="115"/>
  <c r="H500" i="115"/>
  <c r="H498" i="115"/>
  <c r="X497" i="115"/>
  <c r="X496" i="115"/>
  <c r="X495" i="115"/>
  <c r="X494" i="115"/>
  <c r="X492" i="115"/>
  <c r="X487" i="115"/>
  <c r="H485" i="115"/>
  <c r="H483" i="115"/>
  <c r="X482" i="115"/>
  <c r="X479" i="115"/>
  <c r="G477" i="115"/>
  <c r="H478" i="115" s="1"/>
  <c r="H475" i="115"/>
  <c r="H473" i="115"/>
  <c r="H472" i="115"/>
  <c r="H470" i="115"/>
  <c r="X461" i="115"/>
  <c r="H460" i="115"/>
  <c r="H449" i="115"/>
  <c r="H448" i="115"/>
  <c r="X443" i="115"/>
  <c r="H436" i="115"/>
  <c r="H435" i="115"/>
  <c r="X433" i="115"/>
  <c r="X432" i="115"/>
  <c r="X431" i="115"/>
  <c r="X429" i="115"/>
  <c r="H427" i="115"/>
  <c r="X426" i="115"/>
  <c r="X425" i="115"/>
  <c r="X424" i="115"/>
  <c r="X421" i="115"/>
  <c r="X416" i="115"/>
  <c r="X411" i="115"/>
  <c r="T410" i="115"/>
  <c r="S410" i="115"/>
  <c r="R410" i="115"/>
  <c r="Q410" i="115"/>
  <c r="O410" i="115"/>
  <c r="J410" i="115"/>
  <c r="X408" i="115"/>
  <c r="G406" i="115"/>
  <c r="H407" i="115" s="1"/>
  <c r="H405" i="115"/>
  <c r="H399" i="115"/>
  <c r="H398" i="115"/>
  <c r="H397" i="115"/>
  <c r="X395" i="115"/>
  <c r="H393" i="115"/>
  <c r="H391" i="115"/>
  <c r="H389" i="115"/>
  <c r="H387" i="115"/>
  <c r="H385" i="115"/>
  <c r="H381" i="115"/>
  <c r="H380" i="115"/>
  <c r="H379" i="115"/>
  <c r="X378" i="115"/>
  <c r="H375" i="115"/>
  <c r="H373" i="115"/>
  <c r="H371" i="115"/>
  <c r="H369" i="115"/>
  <c r="X368" i="115"/>
  <c r="X367" i="115"/>
  <c r="X366" i="115"/>
  <c r="X365" i="115"/>
  <c r="X363" i="115"/>
  <c r="X359" i="115"/>
  <c r="H355" i="115"/>
  <c r="X353" i="115"/>
  <c r="V353" i="115"/>
  <c r="U353" i="115"/>
  <c r="H351" i="115"/>
  <c r="H348" i="115"/>
  <c r="H346" i="115"/>
  <c r="H345" i="115"/>
  <c r="H342" i="115"/>
  <c r="H339" i="115"/>
  <c r="H338" i="115"/>
  <c r="X334" i="115"/>
  <c r="H332" i="115"/>
  <c r="H329" i="115"/>
  <c r="H327" i="115"/>
  <c r="H325" i="115"/>
  <c r="H323" i="115"/>
  <c r="H322" i="115"/>
  <c r="H320" i="115"/>
  <c r="H319" i="115"/>
  <c r="H317" i="115"/>
  <c r="H315" i="115"/>
  <c r="H311" i="115"/>
  <c r="X310" i="115"/>
  <c r="H308" i="115"/>
  <c r="H306" i="115"/>
  <c r="H305" i="115"/>
  <c r="H304" i="115"/>
  <c r="X299" i="115"/>
  <c r="X298" i="115"/>
  <c r="X297" i="115"/>
  <c r="X295" i="115"/>
  <c r="X290" i="115"/>
  <c r="H285" i="115"/>
  <c r="X284" i="115"/>
  <c r="H282" i="115"/>
  <c r="G281" i="115"/>
  <c r="H278" i="115"/>
  <c r="H274" i="115"/>
  <c r="X273" i="115"/>
  <c r="H266" i="115"/>
  <c r="H265" i="115"/>
  <c r="H263" i="115"/>
  <c r="H261" i="115"/>
  <c r="H260" i="115"/>
  <c r="H259" i="115"/>
  <c r="H257" i="115"/>
  <c r="H256" i="115"/>
  <c r="H255" i="115"/>
  <c r="H254" i="115"/>
  <c r="X253" i="115"/>
  <c r="H251" i="115"/>
  <c r="H249" i="115"/>
  <c r="H247" i="115"/>
  <c r="H245" i="115"/>
  <c r="X242" i="115"/>
  <c r="X241" i="115"/>
  <c r="X238" i="115"/>
  <c r="X235" i="115"/>
  <c r="G233" i="115"/>
  <c r="H234" i="115" s="1"/>
  <c r="H230" i="115"/>
  <c r="H229" i="115"/>
  <c r="H228" i="115"/>
  <c r="H226" i="115"/>
  <c r="H224" i="115"/>
  <c r="X223" i="115"/>
  <c r="H221" i="115"/>
  <c r="H219" i="115"/>
  <c r="H218" i="115"/>
  <c r="H216" i="115"/>
  <c r="H215" i="115"/>
  <c r="H211" i="115"/>
  <c r="H207" i="115"/>
  <c r="X206" i="115"/>
  <c r="H202" i="115"/>
  <c r="H201" i="115"/>
  <c r="H200" i="115"/>
  <c r="H198" i="115"/>
  <c r="X196" i="115"/>
  <c r="X195" i="115"/>
  <c r="X194" i="115"/>
  <c r="X193" i="115"/>
  <c r="X191" i="115"/>
  <c r="H187" i="115"/>
  <c r="H186" i="115"/>
  <c r="H183" i="115"/>
  <c r="X177" i="115"/>
  <c r="H173" i="115"/>
  <c r="H165" i="115"/>
  <c r="H164" i="115"/>
  <c r="H163" i="115"/>
  <c r="H162" i="115"/>
  <c r="X161" i="115"/>
  <c r="H159" i="115"/>
  <c r="H158" i="115"/>
  <c r="H157" i="115"/>
  <c r="H156" i="115"/>
  <c r="H154" i="115"/>
  <c r="H153" i="115"/>
  <c r="H152" i="115"/>
  <c r="X150" i="115"/>
  <c r="X149" i="115"/>
  <c r="X148" i="115"/>
  <c r="X145" i="115"/>
  <c r="G143" i="115"/>
  <c r="H144" i="115" s="1"/>
  <c r="G142" i="115"/>
  <c r="X138" i="115"/>
  <c r="H133" i="115"/>
  <c r="H132" i="115"/>
  <c r="H130" i="115"/>
  <c r="X129" i="115"/>
  <c r="H125" i="115"/>
  <c r="H124" i="115"/>
  <c r="H123" i="115"/>
  <c r="X119" i="115"/>
  <c r="X118" i="115"/>
  <c r="X117" i="115"/>
  <c r="X114" i="115"/>
  <c r="H112" i="115"/>
  <c r="H111" i="115"/>
  <c r="H110" i="115"/>
  <c r="H106" i="115"/>
  <c r="X103" i="115"/>
  <c r="H100" i="115"/>
  <c r="H97" i="115"/>
  <c r="H96" i="115"/>
  <c r="H95" i="115"/>
  <c r="X94" i="115"/>
  <c r="H92" i="115"/>
  <c r="H85" i="115"/>
  <c r="X84" i="115"/>
  <c r="X83" i="115"/>
  <c r="X82" i="115"/>
  <c r="X81" i="115"/>
  <c r="X79" i="115"/>
  <c r="G77" i="115"/>
  <c r="H78" i="115" s="1"/>
  <c r="H75" i="115"/>
  <c r="H73" i="115"/>
  <c r="H70" i="115"/>
  <c r="H69" i="115"/>
  <c r="H66" i="115"/>
  <c r="X65" i="115"/>
  <c r="H56" i="115"/>
  <c r="X55" i="115"/>
  <c r="H53" i="115"/>
  <c r="H52" i="115"/>
  <c r="H49" i="115"/>
  <c r="H47" i="115"/>
  <c r="H44" i="115"/>
  <c r="H43" i="115"/>
  <c r="X42" i="115"/>
  <c r="X41" i="115"/>
  <c r="X40" i="115"/>
  <c r="X39" i="115"/>
  <c r="AD38" i="115"/>
  <c r="X37" i="115"/>
  <c r="H36" i="115"/>
  <c r="H34" i="115"/>
  <c r="H33" i="115"/>
  <c r="H32" i="115"/>
  <c r="H31" i="115"/>
  <c r="H30" i="115"/>
  <c r="H29" i="115"/>
  <c r="G27" i="115"/>
  <c r="G26" i="115"/>
  <c r="H25" i="115"/>
  <c r="H24" i="115"/>
  <c r="H23" i="115"/>
  <c r="H22" i="115"/>
  <c r="H20" i="115"/>
  <c r="H19" i="115"/>
  <c r="G18" i="115"/>
  <c r="H17" i="115"/>
  <c r="G16" i="115"/>
  <c r="H15" i="115"/>
  <c r="H13" i="115"/>
  <c r="H11" i="115"/>
  <c r="B6" i="115"/>
  <c r="C6" i="115" s="1"/>
  <c r="V5" i="115"/>
  <c r="U5" i="115"/>
  <c r="P5" i="115"/>
  <c r="P1147" i="115" s="1"/>
  <c r="A2" i="115"/>
  <c r="H1933" i="68"/>
  <c r="F21" i="6"/>
  <c r="M20" i="6"/>
  <c r="M21" i="6" s="1"/>
  <c r="F71" i="6"/>
  <c r="H455" i="114"/>
  <c r="H462" i="114"/>
  <c r="H191" i="114"/>
  <c r="H193" i="114"/>
  <c r="H195" i="114"/>
  <c r="H197" i="114"/>
  <c r="H199" i="114"/>
  <c r="G317" i="114"/>
  <c r="H282" i="114"/>
  <c r="H666" i="114"/>
  <c r="G13" i="68"/>
  <c r="H13" i="68"/>
  <c r="H15" i="68"/>
  <c r="G15" i="68"/>
  <c r="G17" i="68"/>
  <c r="H17" i="68"/>
  <c r="H19" i="68"/>
  <c r="G19" i="68"/>
  <c r="H21" i="68"/>
  <c r="G21" i="68"/>
  <c r="H23" i="68"/>
  <c r="G23" i="68"/>
  <c r="H25" i="68"/>
  <c r="G25" i="68"/>
  <c r="H27" i="68"/>
  <c r="G27" i="68"/>
  <c r="G29" i="68"/>
  <c r="H29" i="68"/>
  <c r="H31" i="68"/>
  <c r="G31" i="68"/>
  <c r="H54" i="68"/>
  <c r="G54" i="68"/>
  <c r="H56" i="68"/>
  <c r="G56" i="68"/>
  <c r="G58" i="68"/>
  <c r="G60" i="68"/>
  <c r="H60" i="68"/>
  <c r="G62" i="68"/>
  <c r="H62" i="68"/>
  <c r="H64" i="68"/>
  <c r="G64" i="68"/>
  <c r="H70" i="68"/>
  <c r="G70" i="68"/>
  <c r="H105" i="68"/>
  <c r="H107" i="68"/>
  <c r="H109" i="68"/>
  <c r="H151" i="68"/>
  <c r="H164" i="68"/>
  <c r="H178" i="68"/>
  <c r="H201" i="68"/>
  <c r="H212" i="68"/>
  <c r="H214" i="68"/>
  <c r="H216" i="68"/>
  <c r="H225" i="68"/>
  <c r="H235" i="68"/>
  <c r="H249" i="68"/>
  <c r="H257" i="68"/>
  <c r="H266" i="68"/>
  <c r="H289" i="68"/>
  <c r="H291" i="68"/>
  <c r="H292" i="68"/>
  <c r="H294" i="68"/>
  <c r="H296" i="68"/>
  <c r="H340" i="68"/>
  <c r="H342" i="68"/>
  <c r="H378" i="68"/>
  <c r="H386" i="68"/>
  <c r="H394" i="68"/>
  <c r="H401" i="68"/>
  <c r="H408" i="68"/>
  <c r="H416" i="68"/>
  <c r="H423" i="68"/>
  <c r="H446" i="68"/>
  <c r="H33" i="68"/>
  <c r="G33" i="68"/>
  <c r="H35" i="68"/>
  <c r="G35" i="68"/>
  <c r="G37" i="68"/>
  <c r="H37" i="68"/>
  <c r="H101" i="68"/>
  <c r="H103" i="68"/>
  <c r="H113" i="68"/>
  <c r="H119" i="68"/>
  <c r="H121" i="68"/>
  <c r="H123" i="68"/>
  <c r="H125" i="68"/>
  <c r="H127" i="68"/>
  <c r="H167" i="68"/>
  <c r="H245" i="68"/>
  <c r="H260" i="68"/>
  <c r="H319" i="68"/>
  <c r="H321" i="68"/>
  <c r="H346" i="68"/>
  <c r="H381" i="68"/>
  <c r="H389" i="68"/>
  <c r="H396" i="68"/>
  <c r="H411" i="68"/>
  <c r="H428" i="68"/>
  <c r="H461" i="68"/>
  <c r="H463" i="68"/>
  <c r="H465" i="68"/>
  <c r="H523" i="68"/>
  <c r="H541" i="68"/>
  <c r="H556" i="68"/>
  <c r="H563" i="68"/>
  <c r="H574" i="68"/>
  <c r="H584" i="68"/>
  <c r="H587" i="68"/>
  <c r="H589" i="68"/>
  <c r="H591" i="68"/>
  <c r="H622" i="68"/>
  <c r="H651" i="68"/>
  <c r="H676" i="68"/>
  <c r="H704" i="68"/>
  <c r="H741" i="68"/>
  <c r="H746" i="68"/>
  <c r="G746" i="68"/>
  <c r="H747" i="68" s="1"/>
  <c r="H788" i="68"/>
  <c r="H797" i="68"/>
  <c r="H811" i="68"/>
  <c r="H818" i="68"/>
  <c r="H849" i="68"/>
  <c r="H851" i="68"/>
  <c r="H853" i="68"/>
  <c r="H855" i="68"/>
  <c r="H882" i="68"/>
  <c r="H884" i="68"/>
  <c r="H886" i="68"/>
  <c r="H888" i="68"/>
  <c r="H947" i="68"/>
  <c r="H949" i="68"/>
  <c r="H951" i="68"/>
  <c r="H953" i="68"/>
  <c r="H955" i="68"/>
  <c r="H958" i="68"/>
  <c r="G958" i="68"/>
  <c r="H959" i="68" s="1"/>
  <c r="H965" i="68"/>
  <c r="H967" i="68"/>
  <c r="H969" i="68"/>
  <c r="H977" i="68"/>
  <c r="H979" i="68"/>
  <c r="H981" i="68"/>
  <c r="H983" i="68"/>
  <c r="H985" i="68"/>
  <c r="H987" i="68"/>
  <c r="H1035" i="68"/>
  <c r="H1038" i="68"/>
  <c r="H1054" i="68"/>
  <c r="H1063" i="68"/>
  <c r="H1069" i="68"/>
  <c r="H1078" i="68"/>
  <c r="H1094" i="68"/>
  <c r="H1103" i="68"/>
  <c r="H1110" i="68"/>
  <c r="H1120" i="68"/>
  <c r="H1122" i="68"/>
  <c r="H1124" i="68"/>
  <c r="H1126" i="68"/>
  <c r="H1128" i="68"/>
  <c r="H1194" i="68"/>
  <c r="H1197" i="68"/>
  <c r="H1243" i="68"/>
  <c r="H1253" i="68"/>
  <c r="H1268" i="68"/>
  <c r="H1282" i="68"/>
  <c r="H1290" i="68"/>
  <c r="H1298" i="68"/>
  <c r="H1304" i="68"/>
  <c r="H1312" i="68"/>
  <c r="H1319" i="68"/>
  <c r="H1346" i="68"/>
  <c r="H1360" i="68"/>
  <c r="H1362" i="68"/>
  <c r="H1410" i="68"/>
  <c r="H1412" i="68"/>
  <c r="H1414" i="68"/>
  <c r="H1426" i="68"/>
  <c r="H1430" i="68"/>
  <c r="H1437" i="68"/>
  <c r="H1438" i="68"/>
  <c r="H1458" i="68"/>
  <c r="H1475" i="68"/>
  <c r="H1484" i="68"/>
  <c r="H1490" i="68"/>
  <c r="H1501" i="68"/>
  <c r="H1507" i="68"/>
  <c r="H1524" i="68"/>
  <c r="H1526" i="68"/>
  <c r="H1528" i="68"/>
  <c r="H1587" i="68"/>
  <c r="H1692" i="68"/>
  <c r="H1694" i="68"/>
  <c r="H1696" i="68"/>
  <c r="H1698" i="68"/>
  <c r="H1707" i="68"/>
  <c r="H1709" i="68"/>
  <c r="H1721" i="68"/>
  <c r="H1724" i="68"/>
  <c r="H1726" i="68"/>
  <c r="H1751" i="68"/>
  <c r="H1753" i="68"/>
  <c r="H1755" i="68"/>
  <c r="H1757" i="68"/>
  <c r="H1759" i="68"/>
  <c r="H1761" i="68"/>
  <c r="H1773" i="68"/>
  <c r="H1808" i="68"/>
  <c r="H1821" i="68"/>
  <c r="H1829" i="68"/>
  <c r="H1836" i="68"/>
  <c r="H1843" i="68"/>
  <c r="H1851" i="68"/>
  <c r="H1858" i="68"/>
  <c r="H1870" i="68"/>
  <c r="H183" i="114"/>
  <c r="H185" i="114"/>
  <c r="H187" i="114"/>
  <c r="H153" i="114"/>
  <c r="G153" i="114"/>
  <c r="H155" i="114"/>
  <c r="G155" i="114"/>
  <c r="H157" i="114"/>
  <c r="G157" i="114"/>
  <c r="H159" i="114"/>
  <c r="G159" i="114"/>
  <c r="H161" i="114"/>
  <c r="G161" i="114"/>
  <c r="H163" i="114"/>
  <c r="G163" i="114"/>
  <c r="H206" i="114"/>
  <c r="H379" i="114"/>
  <c r="H381" i="114"/>
  <c r="H719" i="114"/>
  <c r="H130" i="114"/>
  <c r="G130" i="114"/>
  <c r="H320" i="114"/>
  <c r="G320" i="114"/>
  <c r="H323" i="114"/>
  <c r="G323" i="114"/>
  <c r="H325" i="114"/>
  <c r="G325" i="114"/>
  <c r="H328" i="114"/>
  <c r="G328" i="114"/>
  <c r="H329" i="114" s="1"/>
  <c r="H412" i="114"/>
  <c r="H594" i="114"/>
  <c r="G594" i="114"/>
  <c r="H680" i="114"/>
  <c r="G680" i="114"/>
  <c r="H501" i="114"/>
  <c r="H511" i="114"/>
  <c r="H522" i="114"/>
  <c r="H586" i="114"/>
  <c r="G586" i="114"/>
  <c r="H656" i="114"/>
  <c r="G656" i="114"/>
  <c r="H661" i="114"/>
  <c r="H664" i="114"/>
  <c r="H51" i="114"/>
  <c r="H55" i="114"/>
  <c r="G128" i="114"/>
  <c r="H128" i="114"/>
  <c r="G132" i="114"/>
  <c r="H132" i="114"/>
  <c r="H149" i="114"/>
  <c r="G149" i="114"/>
  <c r="H151" i="114"/>
  <c r="G151" i="114"/>
  <c r="H410" i="114"/>
  <c r="H723" i="114"/>
  <c r="H188" i="114"/>
  <c r="H192" i="114"/>
  <c r="H194" i="114"/>
  <c r="H196" i="114"/>
  <c r="H198" i="114"/>
  <c r="H270" i="114"/>
  <c r="H283" i="114"/>
  <c r="G316" i="114"/>
  <c r="H316" i="114"/>
  <c r="H456" i="114"/>
  <c r="H458" i="114"/>
  <c r="H461" i="114"/>
  <c r="H463" i="114"/>
  <c r="H467" i="114"/>
  <c r="H469" i="114"/>
  <c r="H668" i="114"/>
  <c r="G16" i="68"/>
  <c r="G18" i="68"/>
  <c r="G20" i="68"/>
  <c r="H24" i="68"/>
  <c r="G26" i="68"/>
  <c r="G30" i="68"/>
  <c r="H437" i="114"/>
  <c r="H134" i="114"/>
  <c r="G134" i="114"/>
  <c r="H180" i="114"/>
  <c r="H343" i="114"/>
  <c r="H414" i="114"/>
  <c r="H416" i="114"/>
  <c r="H418" i="114"/>
  <c r="H422" i="114"/>
  <c r="H426" i="114"/>
  <c r="H429" i="114"/>
  <c r="H433" i="114"/>
  <c r="H435" i="114"/>
  <c r="H447" i="114"/>
  <c r="H471" i="114"/>
  <c r="H474" i="114"/>
  <c r="H477" i="114"/>
  <c r="H499" i="114"/>
  <c r="H507" i="114"/>
  <c r="H518" i="114"/>
  <c r="H530" i="114"/>
  <c r="H144" i="114"/>
  <c r="H164" i="114"/>
  <c r="G164" i="114"/>
  <c r="H184" i="114"/>
  <c r="H186" i="114"/>
  <c r="H505" i="114"/>
  <c r="H515" i="114"/>
  <c r="H527" i="114"/>
  <c r="H551" i="114"/>
  <c r="H587" i="114"/>
  <c r="G587" i="114"/>
  <c r="H597" i="114"/>
  <c r="H598" i="114"/>
  <c r="H600" i="114"/>
  <c r="H605" i="114"/>
  <c r="H655" i="114"/>
  <c r="G655" i="114"/>
  <c r="H658" i="114"/>
  <c r="G658" i="114"/>
  <c r="H659" i="114" s="1"/>
  <c r="H663" i="114"/>
  <c r="H665" i="114"/>
  <c r="H348" i="114"/>
  <c r="G154" i="114"/>
  <c r="H154" i="114"/>
  <c r="H156" i="114"/>
  <c r="G156" i="114"/>
  <c r="G158" i="114"/>
  <c r="H158" i="114"/>
  <c r="H160" i="114"/>
  <c r="G160" i="114"/>
  <c r="H162" i="114"/>
  <c r="G162" i="114"/>
  <c r="H207" i="114"/>
  <c r="H279" i="114"/>
  <c r="H380" i="114"/>
  <c r="H445" i="114"/>
  <c r="H706" i="114"/>
  <c r="H38" i="68"/>
  <c r="G38" i="68"/>
  <c r="H41" i="68"/>
  <c r="G41" i="68"/>
  <c r="H43" i="68"/>
  <c r="G43" i="68"/>
  <c r="H45" i="68"/>
  <c r="G45" i="68"/>
  <c r="H47" i="68"/>
  <c r="G47" i="68"/>
  <c r="H49" i="68"/>
  <c r="G49" i="68"/>
  <c r="H71" i="68"/>
  <c r="G71" i="68"/>
  <c r="H79" i="68"/>
  <c r="G79" i="68"/>
  <c r="H82" i="68"/>
  <c r="G82" i="68"/>
  <c r="H84" i="68"/>
  <c r="G84" i="68"/>
  <c r="H86" i="68"/>
  <c r="G86" i="68"/>
  <c r="H114" i="68"/>
  <c r="H115" i="68"/>
  <c r="H130" i="68"/>
  <c r="H141" i="68"/>
  <c r="H143" i="68"/>
  <c r="H166" i="68"/>
  <c r="H188" i="68"/>
  <c r="H196" i="68"/>
  <c r="H203" i="68"/>
  <c r="H237" i="68"/>
  <c r="H244" i="68"/>
  <c r="H259" i="68"/>
  <c r="H268" i="68"/>
  <c r="H326" i="68"/>
  <c r="H350" i="68"/>
  <c r="H352" i="68"/>
  <c r="H380" i="68"/>
  <c r="H388" i="68"/>
  <c r="H410" i="68"/>
  <c r="H429" i="68"/>
  <c r="H458" i="68"/>
  <c r="H460" i="68"/>
  <c r="H471" i="68"/>
  <c r="H483" i="68"/>
  <c r="H530" i="68"/>
  <c r="G530" i="68"/>
  <c r="H531" i="68" s="1"/>
  <c r="H540" i="68"/>
  <c r="H555" i="68"/>
  <c r="H562" i="68"/>
  <c r="H573" i="68"/>
  <c r="H594" i="68"/>
  <c r="H165" i="114"/>
  <c r="G165" i="114"/>
  <c r="H552" i="114"/>
  <c r="H604" i="114"/>
  <c r="H606" i="114"/>
  <c r="H711" i="114"/>
  <c r="H24" i="114"/>
  <c r="H50" i="114"/>
  <c r="H52" i="114"/>
  <c r="H56" i="114"/>
  <c r="H129" i="114"/>
  <c r="G129" i="114"/>
  <c r="H131" i="114"/>
  <c r="G131" i="114"/>
  <c r="H133" i="114"/>
  <c r="G133" i="114"/>
  <c r="H135" i="114"/>
  <c r="G135" i="114"/>
  <c r="H148" i="114"/>
  <c r="G148" i="114"/>
  <c r="H150" i="114"/>
  <c r="G150" i="114"/>
  <c r="H152" i="114"/>
  <c r="G152" i="114"/>
  <c r="H179" i="114"/>
  <c r="H181" i="114"/>
  <c r="H240" i="114"/>
  <c r="H322" i="114"/>
  <c r="G322" i="114"/>
  <c r="H324" i="114"/>
  <c r="G324" i="114"/>
  <c r="H327" i="114"/>
  <c r="G327" i="114"/>
  <c r="H339" i="114"/>
  <c r="H346" i="114"/>
  <c r="H411" i="114"/>
  <c r="H413" i="114"/>
  <c r="H415" i="114"/>
  <c r="H417" i="114"/>
  <c r="H419" i="114"/>
  <c r="H423" i="114"/>
  <c r="H424" i="114"/>
  <c r="H428" i="114"/>
  <c r="H432" i="114"/>
  <c r="H434" i="114"/>
  <c r="H436" i="114"/>
  <c r="H470" i="114"/>
  <c r="H475" i="114"/>
  <c r="G478" i="114"/>
  <c r="H479" i="114" s="1"/>
  <c r="H524" i="114"/>
  <c r="G595" i="114"/>
  <c r="H681" i="114"/>
  <c r="G681" i="114"/>
  <c r="H717" i="114"/>
  <c r="H11" i="68"/>
  <c r="G11" i="68"/>
  <c r="H51" i="68"/>
  <c r="G51" i="68"/>
  <c r="H53" i="68"/>
  <c r="G53" i="68"/>
  <c r="H75" i="68"/>
  <c r="G75" i="68"/>
  <c r="G77" i="68"/>
  <c r="H77" i="68"/>
  <c r="G92" i="68"/>
  <c r="H92" i="68"/>
  <c r="H148" i="68"/>
  <c r="H161" i="68"/>
  <c r="H175" i="68"/>
  <c r="H181" i="68"/>
  <c r="G181" i="68"/>
  <c r="H182" i="68" s="1"/>
  <c r="H223" i="68"/>
  <c r="H232" i="68"/>
  <c r="H240" i="68"/>
  <c r="H247" i="68"/>
  <c r="H254" i="68"/>
  <c r="H262" i="68"/>
  <c r="H279" i="68"/>
  <c r="H281" i="68"/>
  <c r="H283" i="68"/>
  <c r="H285" i="68"/>
  <c r="H335" i="68"/>
  <c r="H337" i="68"/>
  <c r="H354" i="68"/>
  <c r="H357" i="68"/>
  <c r="G357" i="68"/>
  <c r="H358" i="68" s="1"/>
  <c r="H367" i="68"/>
  <c r="H371" i="68"/>
  <c r="G371" i="68"/>
  <c r="H372" i="68" s="1"/>
  <c r="H398" i="68"/>
  <c r="H413" i="68"/>
  <c r="H426" i="68"/>
  <c r="H431" i="68"/>
  <c r="H474" i="68"/>
  <c r="H39" i="68"/>
  <c r="G39" i="68"/>
  <c r="H40" i="68"/>
  <c r="G40" i="68"/>
  <c r="G42" i="68"/>
  <c r="H44" i="68"/>
  <c r="G44" i="68"/>
  <c r="H46" i="68"/>
  <c r="G46" i="68"/>
  <c r="H48" i="68"/>
  <c r="G48" i="68"/>
  <c r="H50" i="68"/>
  <c r="H72" i="68"/>
  <c r="G72" i="68"/>
  <c r="H81" i="68"/>
  <c r="G81" i="68"/>
  <c r="H83" i="68"/>
  <c r="G83" i="68"/>
  <c r="H85" i="68"/>
  <c r="G85" i="68"/>
  <c r="H87" i="68"/>
  <c r="G87" i="68"/>
  <c r="H88" i="68"/>
  <c r="G88" i="68"/>
  <c r="H140" i="68"/>
  <c r="H142" i="68"/>
  <c r="H162" i="68"/>
  <c r="H176" i="68"/>
  <c r="H189" i="68"/>
  <c r="H199" i="68"/>
  <c r="H233" i="68"/>
  <c r="H241" i="68"/>
  <c r="H255" i="68"/>
  <c r="H263" i="68"/>
  <c r="H312" i="68"/>
  <c r="H325" i="68"/>
  <c r="H351" i="68"/>
  <c r="H353" i="68"/>
  <c r="H384" i="68"/>
  <c r="H399" i="68"/>
  <c r="H406" i="68"/>
  <c r="H414" i="68"/>
  <c r="H425" i="68"/>
  <c r="H457" i="68"/>
  <c r="H459" i="68"/>
  <c r="H469" i="68"/>
  <c r="H470" i="68"/>
  <c r="H478" i="68"/>
  <c r="H544" i="68"/>
  <c r="H567" i="68"/>
  <c r="H602" i="68"/>
  <c r="H605" i="68"/>
  <c r="H607" i="68"/>
  <c r="H627" i="68"/>
  <c r="H653" i="68"/>
  <c r="H662" i="68"/>
  <c r="H670" i="68"/>
  <c r="H679" i="68"/>
  <c r="H706" i="68"/>
  <c r="H722" i="68"/>
  <c r="H724" i="68"/>
  <c r="H726" i="68"/>
  <c r="H744" i="68"/>
  <c r="H791" i="68"/>
  <c r="H806" i="68"/>
  <c r="H821" i="68"/>
  <c r="H828" i="68"/>
  <c r="H860" i="68"/>
  <c r="H861" i="68"/>
  <c r="H864" i="68"/>
  <c r="H866" i="68"/>
  <c r="H868" i="68"/>
  <c r="H870" i="68"/>
  <c r="H872" i="68"/>
  <c r="H873" i="68"/>
  <c r="H892" i="68"/>
  <c r="H893" i="68"/>
  <c r="H897" i="68"/>
  <c r="H901" i="68"/>
  <c r="H903" i="68"/>
  <c r="H991" i="68"/>
  <c r="H993" i="68"/>
  <c r="H997" i="68"/>
  <c r="H999" i="68"/>
  <c r="H1001" i="68"/>
  <c r="H1040" i="68"/>
  <c r="H1042" i="68"/>
  <c r="H1044" i="68"/>
  <c r="H1046" i="68"/>
  <c r="H1047" i="68"/>
  <c r="G1047" i="68"/>
  <c r="H1048" i="68" s="1"/>
  <c r="H1057" i="68"/>
  <c r="H1071" i="68"/>
  <c r="H1081" i="68"/>
  <c r="H1088" i="68"/>
  <c r="H1097" i="68"/>
  <c r="H1106" i="68"/>
  <c r="H1144" i="68"/>
  <c r="H1207" i="68"/>
  <c r="H1271" i="68"/>
  <c r="H1278" i="68"/>
  <c r="H1285" i="68"/>
  <c r="H1293" i="68"/>
  <c r="H1307" i="68"/>
  <c r="H1315" i="68"/>
  <c r="H1349" i="68"/>
  <c r="H1351" i="68"/>
  <c r="H1365" i="68"/>
  <c r="H1367" i="68"/>
  <c r="H1369" i="68"/>
  <c r="H1463" i="68"/>
  <c r="H1470" i="68"/>
  <c r="H1479" i="68"/>
  <c r="H1495" i="68"/>
  <c r="H1503" i="68"/>
  <c r="H1520" i="68"/>
  <c r="H1522" i="68"/>
  <c r="H1532" i="68"/>
  <c r="H1535" i="68"/>
  <c r="H1536" i="68"/>
  <c r="H1538" i="68"/>
  <c r="H1540" i="68"/>
  <c r="H1547" i="68"/>
  <c r="H1549" i="68"/>
  <c r="H1591" i="68"/>
  <c r="H1593" i="68"/>
  <c r="H1595" i="68"/>
  <c r="G1595" i="68"/>
  <c r="H1596" i="68" s="1"/>
  <c r="H1602" i="68"/>
  <c r="H1604" i="68"/>
  <c r="H1606" i="68"/>
  <c r="H1608" i="68"/>
  <c r="H1610" i="68"/>
  <c r="H1652" i="68"/>
  <c r="H1656" i="68"/>
  <c r="H1658" i="68"/>
  <c r="H1702" i="68"/>
  <c r="H1715" i="68"/>
  <c r="H1717" i="68"/>
  <c r="H1730" i="68"/>
  <c r="H1766" i="68"/>
  <c r="H1769" i="68"/>
  <c r="H1771" i="68"/>
  <c r="H1787" i="68"/>
  <c r="H1789" i="68"/>
  <c r="H1824" i="68"/>
  <c r="H1838" i="68"/>
  <c r="H1846" i="68"/>
  <c r="H1864" i="68"/>
  <c r="H1873" i="68"/>
  <c r="H1880" i="68"/>
  <c r="H1911" i="68"/>
  <c r="H10" i="68"/>
  <c r="G10" i="68"/>
  <c r="H12" i="68"/>
  <c r="G12" i="68"/>
  <c r="H52" i="68"/>
  <c r="G52" i="68"/>
  <c r="H74" i="68"/>
  <c r="G74" i="68"/>
  <c r="H76" i="68"/>
  <c r="G76" i="68"/>
  <c r="H78" i="68"/>
  <c r="G78" i="68"/>
  <c r="H89" i="68"/>
  <c r="G89" i="68"/>
  <c r="H146" i="68"/>
  <c r="H165" i="68"/>
  <c r="H172" i="68"/>
  <c r="H179" i="68"/>
  <c r="H202" i="68"/>
  <c r="H224" i="68"/>
  <c r="H236" i="68"/>
  <c r="H251" i="68"/>
  <c r="H258" i="68"/>
  <c r="H267" i="68"/>
  <c r="H278" i="68"/>
  <c r="H280" i="68"/>
  <c r="H282" i="68"/>
  <c r="H284" i="68"/>
  <c r="H327" i="68"/>
  <c r="H334" i="68"/>
  <c r="H336" i="68"/>
  <c r="H356" i="68"/>
  <c r="H368" i="68"/>
  <c r="H370" i="68"/>
  <c r="H379" i="68"/>
  <c r="H387" i="68"/>
  <c r="H395" i="68"/>
  <c r="H409" i="68"/>
  <c r="H430" i="68"/>
  <c r="H440" i="68"/>
  <c r="H476" i="68"/>
  <c r="H481" i="68"/>
  <c r="H497" i="68"/>
  <c r="H527" i="68"/>
  <c r="H529" i="68"/>
  <c r="H539" i="68"/>
  <c r="H547" i="68"/>
  <c r="H554" i="68"/>
  <c r="H561" i="68"/>
  <c r="H572" i="68"/>
  <c r="H596" i="68"/>
  <c r="H620" i="68"/>
  <c r="H648" i="68"/>
  <c r="H666" i="68"/>
  <c r="H673" i="68"/>
  <c r="H710" i="68"/>
  <c r="H713" i="68"/>
  <c r="H728" i="68"/>
  <c r="H730" i="68"/>
  <c r="H734" i="68"/>
  <c r="H795" i="68"/>
  <c r="H802" i="68"/>
  <c r="H809" i="68"/>
  <c r="H824" i="68"/>
  <c r="H836" i="68"/>
  <c r="H838" i="68"/>
  <c r="H840" i="68"/>
  <c r="H842" i="68"/>
  <c r="H844" i="68"/>
  <c r="H907" i="68"/>
  <c r="H909" i="68"/>
  <c r="H911" i="68"/>
  <c r="H913" i="68"/>
  <c r="H915" i="68"/>
  <c r="G915" i="68"/>
  <c r="H916" i="68" s="1"/>
  <c r="H925" i="68"/>
  <c r="H927" i="68"/>
  <c r="H929" i="68"/>
  <c r="H931" i="68"/>
  <c r="H933" i="68"/>
  <c r="H1012" i="68"/>
  <c r="H1015" i="68"/>
  <c r="H1017" i="68"/>
  <c r="H1019" i="68"/>
  <c r="H1061" i="68"/>
  <c r="H1074" i="68"/>
  <c r="H1084" i="68"/>
  <c r="H1091" i="68"/>
  <c r="H1101" i="68"/>
  <c r="H1132" i="68"/>
  <c r="H1134" i="68"/>
  <c r="H1136" i="68"/>
  <c r="H1146" i="68"/>
  <c r="H1148" i="68"/>
  <c r="H1150" i="68"/>
  <c r="H1152" i="68"/>
  <c r="H1165" i="68"/>
  <c r="H1167" i="68"/>
  <c r="H1169" i="68"/>
  <c r="H1171" i="68"/>
  <c r="H1218" i="68"/>
  <c r="H1220" i="68"/>
  <c r="H1221" i="68"/>
  <c r="H1223" i="68"/>
  <c r="H1231" i="68"/>
  <c r="H1233" i="68"/>
  <c r="G1233" i="68"/>
  <c r="H1234" i="68" s="1"/>
  <c r="H1274" i="68"/>
  <c r="H1281" i="68"/>
  <c r="H1288" i="68"/>
  <c r="H1296" i="68"/>
  <c r="H1302" i="68"/>
  <c r="H1310" i="68"/>
  <c r="H1317" i="68"/>
  <c r="H1373" i="68"/>
  <c r="H1376" i="68"/>
  <c r="H1378" i="68"/>
  <c r="H1466" i="68"/>
  <c r="H1473" i="68"/>
  <c r="H1482" i="68"/>
  <c r="H1499" i="68"/>
  <c r="H1614" i="68"/>
  <c r="H1618" i="68"/>
  <c r="H1621" i="68"/>
  <c r="H1623" i="68"/>
  <c r="H1625" i="68"/>
  <c r="H1639" i="68"/>
  <c r="G1639" i="68"/>
  <c r="H1640" i="68" s="1"/>
  <c r="H1663" i="68"/>
  <c r="H1665" i="68"/>
  <c r="H1785" i="68"/>
  <c r="H1793" i="68"/>
  <c r="H1795" i="68"/>
  <c r="H1827" i="68"/>
  <c r="H1834" i="68"/>
  <c r="H1841" i="68"/>
  <c r="H1849" i="68"/>
  <c r="H1856" i="68"/>
  <c r="H1867" i="68"/>
  <c r="H1896" i="68"/>
  <c r="H1918" i="68"/>
  <c r="H1921" i="68"/>
  <c r="H55" i="68"/>
  <c r="G55" i="68"/>
  <c r="H57" i="68"/>
  <c r="G57" i="68"/>
  <c r="H59" i="68"/>
  <c r="G59" i="68"/>
  <c r="H61" i="68"/>
  <c r="G61" i="68"/>
  <c r="G67" i="68"/>
  <c r="H67" i="68"/>
  <c r="H69" i="68"/>
  <c r="G69" i="68"/>
  <c r="H94" i="68"/>
  <c r="G94" i="68"/>
  <c r="H106" i="68"/>
  <c r="H108" i="68"/>
  <c r="H110" i="68"/>
  <c r="H153" i="68"/>
  <c r="H160" i="68"/>
  <c r="H205" i="68"/>
  <c r="G205" i="68"/>
  <c r="H206" i="68" s="1"/>
  <c r="H213" i="68"/>
  <c r="H215" i="68"/>
  <c r="H239" i="68"/>
  <c r="H246" i="68"/>
  <c r="H261" i="68"/>
  <c r="H288" i="68"/>
  <c r="H290" i="68"/>
  <c r="H293" i="68"/>
  <c r="H295" i="68"/>
  <c r="H297" i="68"/>
  <c r="H298" i="68"/>
  <c r="H309" i="68"/>
  <c r="G309" i="68"/>
  <c r="H310" i="68" s="1"/>
  <c r="H339" i="68"/>
  <c r="H341" i="68"/>
  <c r="H343" i="68"/>
  <c r="H383" i="68"/>
  <c r="H397" i="68"/>
  <c r="H404" i="68"/>
  <c r="H412" i="68"/>
  <c r="H427" i="68"/>
  <c r="H500" i="68"/>
  <c r="H502" i="68"/>
  <c r="H504" i="68"/>
  <c r="H507" i="68"/>
  <c r="H516" i="68"/>
  <c r="H518" i="68"/>
  <c r="H520" i="68"/>
  <c r="H542" i="68"/>
  <c r="H557" i="68"/>
  <c r="H575" i="68"/>
  <c r="H623" i="68"/>
  <c r="H658" i="68"/>
  <c r="H677" i="68"/>
  <c r="H692" i="68"/>
  <c r="H694" i="68"/>
  <c r="H697" i="68"/>
  <c r="H699" i="68"/>
  <c r="H701" i="68"/>
  <c r="H789" i="68"/>
  <c r="H804" i="68"/>
  <c r="H819" i="68"/>
  <c r="H939" i="68"/>
  <c r="H941" i="68"/>
  <c r="H944" i="68"/>
  <c r="H970" i="68"/>
  <c r="H972" i="68"/>
  <c r="H974" i="68"/>
  <c r="H1023" i="68"/>
  <c r="H1028" i="68"/>
  <c r="H1030" i="68"/>
  <c r="H1032" i="68"/>
  <c r="H1055" i="68"/>
  <c r="H1064" i="68"/>
  <c r="H1079" i="68"/>
  <c r="H1095" i="68"/>
  <c r="H1104" i="68"/>
  <c r="H1138" i="68"/>
  <c r="H1175" i="68"/>
  <c r="H1177" i="68"/>
  <c r="H1179" i="68"/>
  <c r="H1181" i="68"/>
  <c r="H1183" i="68"/>
  <c r="H1185" i="68"/>
  <c r="H1188" i="68"/>
  <c r="H1190" i="68"/>
  <c r="H1199" i="68"/>
  <c r="H1201" i="68"/>
  <c r="H1202" i="68"/>
  <c r="G1202" i="68"/>
  <c r="H1228" i="68"/>
  <c r="H1230" i="68"/>
  <c r="H1247" i="68"/>
  <c r="H1249" i="68"/>
  <c r="H1254" i="68"/>
  <c r="H1269" i="68"/>
  <c r="H1283" i="68"/>
  <c r="H1291" i="68"/>
  <c r="H1305" i="68"/>
  <c r="H1313" i="68"/>
  <c r="H1331" i="68"/>
  <c r="H1333" i="68"/>
  <c r="H1336" i="68"/>
  <c r="H1338" i="68"/>
  <c r="H1340" i="68"/>
  <c r="H1381" i="68"/>
  <c r="H1386" i="68"/>
  <c r="H1401" i="68"/>
  <c r="H1403" i="68"/>
  <c r="H1405" i="68"/>
  <c r="H1407" i="68"/>
  <c r="H1416" i="68"/>
  <c r="H1418" i="68"/>
  <c r="H1420" i="68"/>
  <c r="H1422" i="68"/>
  <c r="H1459" i="68"/>
  <c r="H1476" i="68"/>
  <c r="H1485" i="68"/>
  <c r="H1491" i="68"/>
  <c r="H1508" i="68"/>
  <c r="H1554" i="68"/>
  <c r="H1555" i="68"/>
  <c r="H1557" i="68"/>
  <c r="H1561" i="68"/>
  <c r="G1561" i="68"/>
  <c r="H1562" i="68" s="1"/>
  <c r="H1574" i="68"/>
  <c r="H1576" i="68"/>
  <c r="H1578" i="68"/>
  <c r="H1580" i="68"/>
  <c r="H1632" i="68"/>
  <c r="H1637" i="68"/>
  <c r="H1643" i="68"/>
  <c r="H1672" i="68"/>
  <c r="H1674" i="68"/>
  <c r="H1677" i="68"/>
  <c r="G1677" i="68"/>
  <c r="H1678" i="68" s="1"/>
  <c r="H1742" i="68"/>
  <c r="H1744" i="68"/>
  <c r="H1746" i="68"/>
  <c r="H1748" i="68"/>
  <c r="H1801" i="68"/>
  <c r="H1803" i="68"/>
  <c r="H1805" i="68"/>
  <c r="G1805" i="68"/>
  <c r="H1806" i="68" s="1"/>
  <c r="H1822" i="68"/>
  <c r="H1830" i="68"/>
  <c r="H1844" i="68"/>
  <c r="H1852" i="68"/>
  <c r="H1860" i="68"/>
  <c r="H1871" i="68"/>
  <c r="H1893" i="68"/>
  <c r="H32" i="68"/>
  <c r="G32" i="68"/>
  <c r="H34" i="68"/>
  <c r="G34" i="68"/>
  <c r="H36" i="68"/>
  <c r="G36" i="68"/>
  <c r="H102" i="68"/>
  <c r="H104" i="68"/>
  <c r="H118" i="68"/>
  <c r="H120" i="68"/>
  <c r="H122" i="68"/>
  <c r="H124" i="68"/>
  <c r="H126" i="68"/>
  <c r="H163" i="68"/>
  <c r="H170" i="68"/>
  <c r="H177" i="68"/>
  <c r="H190" i="68"/>
  <c r="H192" i="68"/>
  <c r="H200" i="68"/>
  <c r="H219" i="68"/>
  <c r="H234" i="68"/>
  <c r="H248" i="68"/>
  <c r="H256" i="68"/>
  <c r="H264" i="68"/>
  <c r="H301" i="68"/>
  <c r="H304" i="68"/>
  <c r="H306" i="68"/>
  <c r="H307" i="68"/>
  <c r="H320" i="68"/>
  <c r="H322" i="68"/>
  <c r="H347" i="68"/>
  <c r="H385" i="68"/>
  <c r="H392" i="68"/>
  <c r="H400" i="68"/>
  <c r="H407" i="68"/>
  <c r="H415" i="68"/>
  <c r="H424" i="68"/>
  <c r="H434" i="68"/>
  <c r="H462" i="68"/>
  <c r="H464" i="68"/>
  <c r="H466" i="68"/>
  <c r="H479" i="68"/>
  <c r="H537" i="68"/>
  <c r="H545" i="68"/>
  <c r="H552" i="68"/>
  <c r="H568" i="68"/>
  <c r="H583" i="68"/>
  <c r="H586" i="68"/>
  <c r="H588" i="68"/>
  <c r="H590" i="68"/>
  <c r="H1923" i="68"/>
  <c r="H609" i="68"/>
  <c r="G609" i="68"/>
  <c r="H610" i="68" s="1"/>
  <c r="H619" i="68"/>
  <c r="H637" i="68"/>
  <c r="H654" i="68"/>
  <c r="H663" i="68"/>
  <c r="H671" i="68"/>
  <c r="H680" i="68"/>
  <c r="H705" i="68"/>
  <c r="H740" i="68"/>
  <c r="H742" i="68"/>
  <c r="H793" i="68"/>
  <c r="H800" i="68"/>
  <c r="H807" i="68"/>
  <c r="H814" i="68"/>
  <c r="H822" i="68"/>
  <c r="H850" i="68"/>
  <c r="H852" i="68"/>
  <c r="H854" i="68"/>
  <c r="H856" i="68"/>
  <c r="H857" i="68"/>
  <c r="H881" i="68"/>
  <c r="H883" i="68"/>
  <c r="H885" i="68"/>
  <c r="H887" i="68"/>
  <c r="H889" i="68"/>
  <c r="H948" i="68"/>
  <c r="H950" i="68"/>
  <c r="H952" i="68"/>
  <c r="H954" i="68"/>
  <c r="H956" i="68"/>
  <c r="H966" i="68"/>
  <c r="H968" i="68"/>
  <c r="H978" i="68"/>
  <c r="H980" i="68"/>
  <c r="H982" i="68"/>
  <c r="H984" i="68"/>
  <c r="H986" i="68"/>
  <c r="H988" i="68"/>
  <c r="H1037" i="68"/>
  <c r="H1058" i="68"/>
  <c r="H1072" i="68"/>
  <c r="H1082" i="68"/>
  <c r="H1089" i="68"/>
  <c r="H1098" i="68"/>
  <c r="H1107" i="68"/>
  <c r="H1121" i="68"/>
  <c r="H1123" i="68"/>
  <c r="H1125" i="68"/>
  <c r="H1127" i="68"/>
  <c r="H1193" i="68"/>
  <c r="H1196" i="68"/>
  <c r="H1206" i="68"/>
  <c r="H1245" i="68"/>
  <c r="H1252" i="68"/>
  <c r="H1272" i="68"/>
  <c r="H1279" i="68"/>
  <c r="H1286" i="68"/>
  <c r="H1294" i="68"/>
  <c r="H1301" i="68"/>
  <c r="H1308" i="68"/>
  <c r="H1316" i="68"/>
  <c r="H1322" i="68"/>
  <c r="H1352" i="68"/>
  <c r="G1352" i="68"/>
  <c r="H1353" i="68" s="1"/>
  <c r="H1359" i="68"/>
  <c r="H1361" i="68"/>
  <c r="H1363" i="68"/>
  <c r="H1411" i="68"/>
  <c r="H1413" i="68"/>
  <c r="H1425" i="68"/>
  <c r="H1428" i="68"/>
  <c r="H1431" i="68"/>
  <c r="H1432" i="68"/>
  <c r="G1432" i="68"/>
  <c r="H1436" i="68"/>
  <c r="H1464" i="68"/>
  <c r="H1471" i="68"/>
  <c r="H1480" i="68"/>
  <c r="H1497" i="68"/>
  <c r="H1504" i="68"/>
  <c r="H1523" i="68"/>
  <c r="H1525" i="68"/>
  <c r="H1527" i="68"/>
  <c r="H1529" i="68"/>
  <c r="H1584" i="68"/>
  <c r="H1585" i="68"/>
  <c r="H1586" i="68"/>
  <c r="H1691" i="68"/>
  <c r="H1693" i="68"/>
  <c r="H1695" i="68"/>
  <c r="H1697" i="68"/>
  <c r="H1699" i="68"/>
  <c r="H1704" i="68"/>
  <c r="H1706" i="68"/>
  <c r="H1708" i="68"/>
  <c r="H1710" i="68"/>
  <c r="H1711" i="68"/>
  <c r="H1722" i="68"/>
  <c r="H1723" i="68"/>
  <c r="H1725" i="68"/>
  <c r="H1727" i="68"/>
  <c r="G1727" i="68"/>
  <c r="H1728" i="68" s="1"/>
  <c r="H1752" i="68"/>
  <c r="H1754" i="68"/>
  <c r="H1756" i="68"/>
  <c r="H1758" i="68"/>
  <c r="H1760" i="68"/>
  <c r="H1762" i="68"/>
  <c r="H1809" i="68"/>
  <c r="H1825" i="68"/>
  <c r="H1839" i="68"/>
  <c r="H1847" i="68"/>
  <c r="H1865" i="68"/>
  <c r="H1874" i="68"/>
  <c r="H1881" i="68"/>
  <c r="H1902" i="68"/>
  <c r="H601" i="68"/>
  <c r="H603" i="68"/>
  <c r="H606" i="68"/>
  <c r="H621" i="68"/>
  <c r="H626" i="68"/>
  <c r="H650" i="68"/>
  <c r="H667" i="68"/>
  <c r="H674" i="68"/>
  <c r="H714" i="68"/>
  <c r="G714" i="68"/>
  <c r="H715" i="68" s="1"/>
  <c r="H721" i="68"/>
  <c r="H723" i="68"/>
  <c r="H725" i="68"/>
  <c r="H743" i="68"/>
  <c r="H745" i="68"/>
  <c r="G745" i="68"/>
  <c r="H749" i="68"/>
  <c r="G749" i="68"/>
  <c r="H750" i="68" s="1"/>
  <c r="H787" i="68"/>
  <c r="H796" i="68"/>
  <c r="H803" i="68"/>
  <c r="H810" i="68"/>
  <c r="H816" i="68"/>
  <c r="H825" i="68"/>
  <c r="H862" i="68"/>
  <c r="H865" i="68"/>
  <c r="H867" i="68"/>
  <c r="H869" i="68"/>
  <c r="H871" i="68"/>
  <c r="H874" i="68"/>
  <c r="G874" i="68"/>
  <c r="H875" i="68" s="1"/>
  <c r="H894" i="68"/>
  <c r="H895" i="68"/>
  <c r="H899" i="68"/>
  <c r="H902" i="68"/>
  <c r="H992" i="68"/>
  <c r="H995" i="68"/>
  <c r="H996" i="68"/>
  <c r="H998" i="68"/>
  <c r="H1000" i="68"/>
  <c r="H1003" i="68"/>
  <c r="G1003" i="68"/>
  <c r="H1004" i="68" s="1"/>
  <c r="H1039" i="68"/>
  <c r="H1041" i="68"/>
  <c r="H1043" i="68"/>
  <c r="H1045" i="68"/>
  <c r="H1062" i="68"/>
  <c r="H1068" i="68"/>
  <c r="H1076" i="68"/>
  <c r="H1085" i="68"/>
  <c r="H1093" i="68"/>
  <c r="H1102" i="68"/>
  <c r="H1131" i="68"/>
  <c r="H1142" i="68"/>
  <c r="H1143" i="68"/>
  <c r="H1145" i="68"/>
  <c r="H1267" i="68"/>
  <c r="H1275" i="68"/>
  <c r="H1297" i="68"/>
  <c r="H1303" i="68"/>
  <c r="H1311" i="68"/>
  <c r="H1318" i="68"/>
  <c r="H1350" i="68"/>
  <c r="H1366" i="68"/>
  <c r="H1368" i="68"/>
  <c r="H1377" i="68"/>
  <c r="H1441" i="68"/>
  <c r="H1449" i="68"/>
  <c r="H1457" i="68"/>
  <c r="H1467" i="68"/>
  <c r="H1474" i="68"/>
  <c r="H1483" i="68"/>
  <c r="H1489" i="68"/>
  <c r="H1500" i="68"/>
  <c r="H1521" i="68"/>
  <c r="H1533" i="68"/>
  <c r="H1534" i="68"/>
  <c r="H1537" i="68"/>
  <c r="H1539" i="68"/>
  <c r="H1542" i="68"/>
  <c r="H1543" i="68"/>
  <c r="H1546" i="68"/>
  <c r="H1548" i="68"/>
  <c r="H1590" i="68"/>
  <c r="H1592" i="68"/>
  <c r="H1594" i="68"/>
  <c r="H1603" i="68"/>
  <c r="H1605" i="68"/>
  <c r="H1607" i="68"/>
  <c r="H1609" i="68"/>
  <c r="H1611" i="68"/>
  <c r="H1651" i="68"/>
  <c r="H1653" i="68"/>
  <c r="H1655" i="68"/>
  <c r="H1657" i="68"/>
  <c r="H1714" i="68"/>
  <c r="H1716" i="68"/>
  <c r="H1719" i="68"/>
  <c r="H1765" i="68"/>
  <c r="H1770" i="68"/>
  <c r="H1772" i="68"/>
  <c r="G1772" i="68"/>
  <c r="H1776" i="68"/>
  <c r="H1788" i="68"/>
  <c r="H1790" i="68"/>
  <c r="H1820" i="68"/>
  <c r="H1828" i="68"/>
  <c r="H1835" i="68"/>
  <c r="H1842" i="68"/>
  <c r="H1850" i="68"/>
  <c r="H1857" i="68"/>
  <c r="H1877" i="68"/>
  <c r="H1906" i="68"/>
  <c r="H495" i="68"/>
  <c r="H496" i="68"/>
  <c r="H528" i="68"/>
  <c r="H543" i="68"/>
  <c r="H550" i="68"/>
  <c r="H558" i="68"/>
  <c r="H566" i="68"/>
  <c r="H597" i="68"/>
  <c r="H600" i="68"/>
  <c r="H608" i="68"/>
  <c r="H652" i="68"/>
  <c r="H659" i="68"/>
  <c r="H678" i="68"/>
  <c r="H709" i="68"/>
  <c r="H711" i="68"/>
  <c r="H727" i="68"/>
  <c r="H729" i="68"/>
  <c r="H735" i="68"/>
  <c r="H736" i="68"/>
  <c r="H737" i="68"/>
  <c r="H790" i="68"/>
  <c r="H805" i="68"/>
  <c r="H820" i="68"/>
  <c r="H837" i="68"/>
  <c r="H839" i="68"/>
  <c r="H841" i="68"/>
  <c r="H843" i="68"/>
  <c r="H906" i="68"/>
  <c r="H908" i="68"/>
  <c r="H910" i="68"/>
  <c r="H912" i="68"/>
  <c r="H914" i="68"/>
  <c r="H926" i="68"/>
  <c r="H928" i="68"/>
  <c r="H930" i="68"/>
  <c r="H932" i="68"/>
  <c r="H1011" i="68"/>
  <c r="H1013" i="68"/>
  <c r="H1016" i="68"/>
  <c r="H1018" i="68"/>
  <c r="H1020" i="68"/>
  <c r="H1056" i="68"/>
  <c r="H1070" i="68"/>
  <c r="H1080" i="68"/>
  <c r="H1096" i="68"/>
  <c r="H1105" i="68"/>
  <c r="H1133" i="68"/>
  <c r="H1135" i="68"/>
  <c r="H1147" i="68"/>
  <c r="H1149" i="68"/>
  <c r="H1151" i="68"/>
  <c r="H1154" i="68"/>
  <c r="G1154" i="68"/>
  <c r="H1155" i="68" s="1"/>
  <c r="H1164" i="68"/>
  <c r="H1166" i="68"/>
  <c r="H1168" i="68"/>
  <c r="H1170" i="68"/>
  <c r="H1217" i="68"/>
  <c r="H1219" i="68"/>
  <c r="H1222" i="68"/>
  <c r="H1256" i="68"/>
  <c r="G1256" i="68"/>
  <c r="H1257" i="68" s="1"/>
  <c r="H1270" i="68"/>
  <c r="H1284" i="68"/>
  <c r="H1292" i="68"/>
  <c r="H1306" i="68"/>
  <c r="H1314" i="68"/>
  <c r="H1372" i="68"/>
  <c r="H1374" i="68"/>
  <c r="H1375" i="68"/>
  <c r="H1460" i="68"/>
  <c r="H1477" i="68"/>
  <c r="H1486" i="68"/>
  <c r="H1493" i="68"/>
  <c r="H1550" i="68"/>
  <c r="H1616" i="68"/>
  <c r="H1617" i="68"/>
  <c r="H1619" i="68"/>
  <c r="H1620" i="68"/>
  <c r="H1622" i="68"/>
  <c r="H1624" i="68"/>
  <c r="H1626" i="68"/>
  <c r="H1628" i="68"/>
  <c r="H1661" i="68"/>
  <c r="H1664" i="68"/>
  <c r="H1784" i="68"/>
  <c r="H1786" i="68"/>
  <c r="H1794" i="68"/>
  <c r="H1796" i="68"/>
  <c r="H1799" i="68"/>
  <c r="H1823" i="68"/>
  <c r="H1837" i="68"/>
  <c r="H1845" i="68"/>
  <c r="H1853" i="68"/>
  <c r="H1861" i="68"/>
  <c r="H1872" i="68"/>
  <c r="H1919" i="68"/>
  <c r="H1922" i="68"/>
  <c r="H480" i="68"/>
  <c r="H501" i="68"/>
  <c r="H503" i="68"/>
  <c r="H505" i="68"/>
  <c r="H506" i="68"/>
  <c r="H508" i="68"/>
  <c r="G508" i="68"/>
  <c r="H509" i="68" s="1"/>
  <c r="H515" i="68"/>
  <c r="H517" i="68"/>
  <c r="H519" i="68"/>
  <c r="H538" i="68"/>
  <c r="H546" i="68"/>
  <c r="H553" i="68"/>
  <c r="H569" i="68"/>
  <c r="H595" i="68"/>
  <c r="H638" i="68"/>
  <c r="H646" i="68"/>
  <c r="H655" i="68"/>
  <c r="H664" i="68"/>
  <c r="H672" i="68"/>
  <c r="H681" i="68"/>
  <c r="G681" i="68"/>
  <c r="H682" i="68" s="1"/>
  <c r="H691" i="68"/>
  <c r="H693" i="68"/>
  <c r="H695" i="68"/>
  <c r="H698" i="68"/>
  <c r="H700" i="68"/>
  <c r="H733" i="68"/>
  <c r="H794" i="68"/>
  <c r="H801" i="68"/>
  <c r="H808" i="68"/>
  <c r="H815" i="68"/>
  <c r="H823" i="68"/>
  <c r="H847" i="68"/>
  <c r="H848" i="68"/>
  <c r="H936" i="68"/>
  <c r="H938" i="68"/>
  <c r="H940" i="68"/>
  <c r="H942" i="68"/>
  <c r="H971" i="68"/>
  <c r="H973" i="68"/>
  <c r="H1026" i="68"/>
  <c r="H1029" i="68"/>
  <c r="H1031" i="68"/>
  <c r="H1060" i="68"/>
  <c r="H1067" i="68"/>
  <c r="H1073" i="68"/>
  <c r="H1083" i="68"/>
  <c r="H1090" i="68"/>
  <c r="H1099" i="68"/>
  <c r="H1108" i="68"/>
  <c r="H1137" i="68"/>
  <c r="H1139" i="68"/>
  <c r="H1174" i="68"/>
  <c r="H1176" i="68"/>
  <c r="H1178" i="68"/>
  <c r="H1180" i="68"/>
  <c r="H1182" i="68"/>
  <c r="H1184" i="68"/>
  <c r="H1187" i="68"/>
  <c r="H1189" i="68"/>
  <c r="H1198" i="68"/>
  <c r="H1200" i="68"/>
  <c r="H1203" i="68"/>
  <c r="G1203" i="68"/>
  <c r="H1204" i="68" s="1"/>
  <c r="H1210" i="68"/>
  <c r="G1210" i="68"/>
  <c r="H1211" i="68" s="1"/>
  <c r="H1226" i="68"/>
  <c r="H1227" i="68"/>
  <c r="H1229" i="68"/>
  <c r="H1236" i="68"/>
  <c r="H1246" i="68"/>
  <c r="H1248" i="68"/>
  <c r="H1255" i="68"/>
  <c r="H1273" i="68"/>
  <c r="H1280" i="68"/>
  <c r="H1287" i="68"/>
  <c r="H1295" i="68"/>
  <c r="H1309" i="68"/>
  <c r="H1332" i="68"/>
  <c r="H1334" i="68"/>
  <c r="H1337" i="68"/>
  <c r="H1339" i="68"/>
  <c r="H1344" i="68"/>
  <c r="H1382" i="68"/>
  <c r="H1384" i="68"/>
  <c r="H1400" i="68"/>
  <c r="H1402" i="68"/>
  <c r="H1404" i="68"/>
  <c r="H1406" i="68"/>
  <c r="H1415" i="68"/>
  <c r="H1417" i="68"/>
  <c r="H1419" i="68"/>
  <c r="H1421" i="68"/>
  <c r="H1433" i="68"/>
  <c r="G1433" i="68"/>
  <c r="H1434" i="68" s="1"/>
  <c r="H1465" i="68"/>
  <c r="H1472" i="68"/>
  <c r="H1481" i="68"/>
  <c r="H1498" i="68"/>
  <c r="H1552" i="68"/>
  <c r="H1556" i="68"/>
  <c r="H1558" i="68"/>
  <c r="H1559" i="68"/>
  <c r="H1575" i="68"/>
  <c r="H1577" i="68"/>
  <c r="H1579" i="68"/>
  <c r="H1581" i="68"/>
  <c r="H1631" i="68"/>
  <c r="H1636" i="68"/>
  <c r="H1638" i="68"/>
  <c r="G1638" i="68"/>
  <c r="H1642" i="68"/>
  <c r="H1671" i="68"/>
  <c r="H1673" i="68"/>
  <c r="H1675" i="68"/>
  <c r="H1733" i="68"/>
  <c r="H1741" i="68"/>
  <c r="H1743" i="68"/>
  <c r="H1745" i="68"/>
  <c r="H1747" i="68"/>
  <c r="H1802" i="68"/>
  <c r="H1804" i="68"/>
  <c r="H1826" i="68"/>
  <c r="H1833" i="68"/>
  <c r="H1840" i="68"/>
  <c r="H1848" i="68"/>
  <c r="H1866" i="68"/>
  <c r="H1875" i="68"/>
  <c r="H1895" i="68"/>
  <c r="H1899" i="68"/>
  <c r="H1927" i="68"/>
  <c r="H63" i="115"/>
  <c r="H98" i="115"/>
  <c r="H169" i="115"/>
  <c r="H666" i="115"/>
  <c r="H692" i="115"/>
  <c r="H711" i="115"/>
  <c r="H850" i="115"/>
  <c r="H858" i="115"/>
  <c r="H997" i="115"/>
  <c r="H287" i="115"/>
  <c r="H463" i="115"/>
  <c r="H665" i="115"/>
  <c r="H683" i="115"/>
  <c r="H738" i="115"/>
  <c r="H863" i="115"/>
  <c r="H872" i="115"/>
  <c r="H545" i="115"/>
  <c r="H677" i="115"/>
  <c r="H798" i="115"/>
  <c r="H800" i="115"/>
  <c r="H802" i="115"/>
  <c r="H804" i="115"/>
  <c r="H810" i="115"/>
  <c r="H814" i="115"/>
  <c r="H816" i="115"/>
  <c r="H975" i="115"/>
  <c r="H977" i="115"/>
  <c r="H979" i="115"/>
  <c r="H981" i="115"/>
  <c r="H983" i="115"/>
  <c r="H987" i="115"/>
  <c r="H989" i="115"/>
  <c r="H991" i="115"/>
  <c r="H314" i="115"/>
  <c r="H668" i="115"/>
  <c r="H141" i="115"/>
  <c r="H62" i="115"/>
  <c r="H212" i="115"/>
  <c r="H851" i="115"/>
  <c r="H855" i="115"/>
  <c r="H857" i="115"/>
  <c r="H859" i="115"/>
  <c r="G859" i="115"/>
  <c r="H860" i="115" s="1"/>
  <c r="H181" i="115"/>
  <c r="H189" i="115"/>
  <c r="H209" i="115"/>
  <c r="H279" i="115"/>
  <c r="G282" i="115"/>
  <c r="H283" i="115" s="1"/>
  <c r="H293" i="115"/>
  <c r="H347" i="115"/>
  <c r="H356" i="115"/>
  <c r="H437" i="115"/>
  <c r="H471" i="115"/>
  <c r="H667" i="115"/>
  <c r="H685" i="115"/>
  <c r="H797" i="115"/>
  <c r="H799" i="115"/>
  <c r="H801" i="115"/>
  <c r="H803" i="115"/>
  <c r="H805" i="115"/>
  <c r="H807" i="115"/>
  <c r="H811" i="115"/>
  <c r="H813" i="115"/>
  <c r="H815" i="115"/>
  <c r="H817" i="115"/>
  <c r="H821" i="115"/>
  <c r="H830" i="115"/>
  <c r="H832" i="115"/>
  <c r="H834" i="115"/>
  <c r="H836" i="115"/>
  <c r="H838" i="115"/>
  <c r="H843" i="115"/>
  <c r="H976" i="115"/>
  <c r="H978" i="115"/>
  <c r="H980" i="115"/>
  <c r="H982" i="115"/>
  <c r="H984" i="115"/>
  <c r="H988" i="115"/>
  <c r="H990" i="115"/>
  <c r="H276" i="115"/>
  <c r="H280" i="115"/>
  <c r="H281" i="115"/>
  <c r="H307" i="115"/>
  <c r="H343" i="115"/>
  <c r="H441" i="115"/>
  <c r="H663" i="115"/>
  <c r="H499" i="115"/>
  <c r="H504" i="115"/>
  <c r="H312" i="115"/>
  <c r="H330" i="115"/>
  <c r="H662" i="115"/>
  <c r="H105" i="115"/>
  <c r="H107" i="115"/>
  <c r="H109" i="115"/>
  <c r="H139" i="115"/>
  <c r="H403" i="115"/>
  <c r="H419" i="115"/>
  <c r="H444" i="115"/>
  <c r="H452" i="115"/>
  <c r="H503" i="115"/>
  <c r="H526" i="115"/>
  <c r="H532" i="115"/>
  <c r="H534" i="115"/>
  <c r="H535" i="115"/>
  <c r="G535" i="115"/>
  <c r="H544" i="115"/>
  <c r="H664" i="115"/>
  <c r="G818" i="115"/>
  <c r="H819" i="115" s="1"/>
  <c r="H833" i="115"/>
  <c r="H837" i="115"/>
  <c r="H842" i="115"/>
  <c r="H167" i="115"/>
  <c r="H396" i="115"/>
  <c r="H400" i="115"/>
  <c r="H406" i="115"/>
  <c r="H456" i="115"/>
  <c r="H718" i="115"/>
  <c r="H710" i="115"/>
  <c r="H244" i="115"/>
  <c r="H246" i="115"/>
  <c r="H248" i="115"/>
  <c r="H250" i="115"/>
  <c r="H446" i="115"/>
  <c r="H454" i="115"/>
  <c r="H480" i="115"/>
  <c r="H557" i="115"/>
  <c r="H560" i="115"/>
  <c r="H562" i="115"/>
  <c r="H564" i="115"/>
  <c r="H566" i="115"/>
  <c r="G566" i="115"/>
  <c r="H577" i="115"/>
  <c r="H846" i="115"/>
  <c r="H994" i="115"/>
  <c r="H142" i="115"/>
  <c r="H232" i="115"/>
  <c r="G232" i="115"/>
  <c r="H286" i="115"/>
  <c r="H288" i="115"/>
  <c r="H354" i="115"/>
  <c r="H370" i="115"/>
  <c r="H372" i="115"/>
  <c r="H374" i="115"/>
  <c r="H376" i="115"/>
  <c r="H469" i="115"/>
  <c r="H477" i="115"/>
  <c r="H669" i="115"/>
  <c r="H686" i="115"/>
  <c r="H862" i="115"/>
  <c r="G619" i="115"/>
  <c r="G590" i="115"/>
  <c r="G625" i="115"/>
  <c r="J238" i="114"/>
  <c r="J244" i="114"/>
  <c r="T6" i="114"/>
  <c r="T5" i="115"/>
  <c r="S5" i="115"/>
  <c r="G271" i="68"/>
  <c r="H272" i="68" s="1"/>
  <c r="T384" i="68"/>
  <c r="Y384" i="68" s="1"/>
  <c r="Z384" i="68" s="1"/>
  <c r="J1211" i="68"/>
  <c r="J1390" i="68"/>
  <c r="J1029" i="115"/>
  <c r="J822" i="115"/>
  <c r="J1568" i="68"/>
  <c r="J1681" i="68"/>
  <c r="J1900" i="68"/>
  <c r="J1810" i="68"/>
  <c r="J1777" i="68"/>
  <c r="J1734" i="68"/>
  <c r="E71" i="6"/>
  <c r="J131" i="68"/>
  <c r="J601" i="114"/>
  <c r="M1568" i="68"/>
  <c r="V1568" i="68" s="1"/>
  <c r="M1681" i="68"/>
  <c r="V1681" i="68" s="1"/>
  <c r="W21" i="9"/>
  <c r="M1029" i="115"/>
  <c r="V1029" i="115" s="1"/>
  <c r="M822" i="115"/>
  <c r="V822" i="115" s="1"/>
  <c r="V38" i="114"/>
  <c r="V18" i="114"/>
  <c r="V34" i="114"/>
  <c r="V43" i="114"/>
  <c r="M601" i="114"/>
  <c r="V601" i="114" s="1"/>
  <c r="V36" i="114"/>
  <c r="M238" i="114"/>
  <c r="V238" i="114" s="1"/>
  <c r="V58" i="114"/>
  <c r="M131" i="68"/>
  <c r="V131" i="68" s="1"/>
  <c r="M1211" i="68"/>
  <c r="V1211" i="68" s="1"/>
  <c r="M1900" i="68"/>
  <c r="V1900" i="68" s="1"/>
  <c r="O493" i="68"/>
  <c r="O1900" i="68"/>
  <c r="O1777" i="68"/>
  <c r="O1734" i="68"/>
  <c r="O238" i="114"/>
  <c r="O244" i="114"/>
  <c r="O1029" i="115"/>
  <c r="Q1568" i="68"/>
  <c r="Q1029" i="115"/>
  <c r="Q822" i="115"/>
  <c r="Q238" i="114"/>
  <c r="Q244" i="114"/>
  <c r="Q601" i="114"/>
  <c r="Q1777" i="68"/>
  <c r="Q1900" i="68"/>
  <c r="Q221" i="68"/>
  <c r="Q1211" i="68"/>
  <c r="R1568" i="68"/>
  <c r="R1681" i="68"/>
  <c r="R647" i="68"/>
  <c r="R131" i="68"/>
  <c r="R1644" i="68"/>
  <c r="R1900" i="68"/>
  <c r="R1777" i="68"/>
  <c r="R1810" i="68"/>
  <c r="Q1390" i="68"/>
  <c r="R601" i="114"/>
  <c r="R238" i="114"/>
  <c r="R244" i="114"/>
  <c r="R1029" i="115"/>
  <c r="R822" i="115"/>
  <c r="R1390" i="68"/>
  <c r="S1568" i="68"/>
  <c r="S1681" i="68"/>
  <c r="S244" i="114"/>
  <c r="S238" i="114"/>
  <c r="S601" i="114"/>
  <c r="S1777" i="68"/>
  <c r="S432" i="68"/>
  <c r="S438" i="68" s="1"/>
  <c r="S221" i="68"/>
  <c r="S1900" i="68"/>
  <c r="S1644" i="68"/>
  <c r="S131" i="68"/>
  <c r="S1029" i="115"/>
  <c r="S822" i="115"/>
  <c r="S1390" i="68"/>
  <c r="T1681" i="68"/>
  <c r="T131" i="68"/>
  <c r="T432" i="68"/>
  <c r="T438" i="68" s="1"/>
  <c r="T1810" i="68"/>
  <c r="T1777" i="68"/>
  <c r="T1900" i="68"/>
  <c r="T1644" i="68"/>
  <c r="U55" i="114"/>
  <c r="T244" i="114"/>
  <c r="U34" i="114"/>
  <c r="U36" i="114"/>
  <c r="V20" i="114"/>
  <c r="U58" i="114"/>
  <c r="V17" i="114"/>
  <c r="V55" i="114"/>
  <c r="V35" i="114"/>
  <c r="T1390" i="68"/>
  <c r="E168" i="103" l="1"/>
  <c r="E169" i="103" s="1"/>
  <c r="E209" i="103"/>
  <c r="E210" i="103" s="1"/>
  <c r="E211" i="103" s="1"/>
  <c r="E218" i="103" s="1"/>
  <c r="E346" i="103"/>
  <c r="E351" i="103"/>
  <c r="J183" i="32"/>
  <c r="R102" i="32"/>
  <c r="R110" i="32" s="1"/>
  <c r="Z736" i="114"/>
  <c r="AB736" i="114" s="1"/>
  <c r="Y741" i="114"/>
  <c r="Z650" i="114"/>
  <c r="U636" i="114"/>
  <c r="Y636" i="114"/>
  <c r="Z636" i="114" s="1"/>
  <c r="AB636" i="114" s="1"/>
  <c r="AC636" i="114" s="1"/>
  <c r="AE636" i="114" s="1"/>
  <c r="AF636" i="114" s="1"/>
  <c r="AH636" i="114" s="1"/>
  <c r="AI636" i="114" s="1"/>
  <c r="AK636" i="114" s="1"/>
  <c r="AL636" i="114" s="1"/>
  <c r="AN636" i="114" s="1"/>
  <c r="U746" i="114"/>
  <c r="Y746" i="114"/>
  <c r="Z746" i="114" s="1"/>
  <c r="AB746" i="114" s="1"/>
  <c r="U35" i="114"/>
  <c r="Y35" i="114"/>
  <c r="U652" i="114"/>
  <c r="Y652" i="114"/>
  <c r="Z652" i="114" s="1"/>
  <c r="AB652" i="114" s="1"/>
  <c r="U353" i="114"/>
  <c r="Y353" i="114"/>
  <c r="Z353" i="114" s="1"/>
  <c r="AB353" i="114" s="1"/>
  <c r="U635" i="114"/>
  <c r="Y635" i="114"/>
  <c r="Z635" i="114" s="1"/>
  <c r="AB635" i="114" s="1"/>
  <c r="AC635" i="114" s="1"/>
  <c r="AE635" i="114" s="1"/>
  <c r="AF635" i="114" s="1"/>
  <c r="AH635" i="114" s="1"/>
  <c r="AI635" i="114" s="1"/>
  <c r="AK635" i="114" s="1"/>
  <c r="AL635" i="114" s="1"/>
  <c r="AN635" i="114" s="1"/>
  <c r="U326" i="114"/>
  <c r="Y326" i="114"/>
  <c r="Z326" i="114" s="1"/>
  <c r="AB326" i="114" s="1"/>
  <c r="AC326" i="114" s="1"/>
  <c r="AE326" i="114" s="1"/>
  <c r="AF326" i="114" s="1"/>
  <c r="AH326" i="114" s="1"/>
  <c r="U634" i="114"/>
  <c r="Y634" i="114"/>
  <c r="U623" i="114"/>
  <c r="Y623" i="114"/>
  <c r="Z623" i="114" s="1"/>
  <c r="AB623" i="114" s="1"/>
  <c r="AC623" i="114" s="1"/>
  <c r="AE623" i="114" s="1"/>
  <c r="U715" i="114"/>
  <c r="Y715" i="114"/>
  <c r="Z715" i="114" s="1"/>
  <c r="AB715" i="114" s="1"/>
  <c r="AC715" i="114" s="1"/>
  <c r="AE715" i="114" s="1"/>
  <c r="Z620" i="114"/>
  <c r="U661" i="114"/>
  <c r="Y661" i="114"/>
  <c r="U590" i="114"/>
  <c r="Y590" i="114"/>
  <c r="Z590" i="114" s="1"/>
  <c r="AB590" i="114" s="1"/>
  <c r="AC590" i="114" s="1"/>
  <c r="AE590" i="114" s="1"/>
  <c r="AF590" i="114" s="1"/>
  <c r="AH590" i="114" s="1"/>
  <c r="U686" i="114"/>
  <c r="Y686" i="114"/>
  <c r="Z686" i="114" s="1"/>
  <c r="AB686" i="114" s="1"/>
  <c r="AC686" i="114" s="1"/>
  <c r="AE686" i="114" s="1"/>
  <c r="AF686" i="114" s="1"/>
  <c r="AH686" i="114" s="1"/>
  <c r="U682" i="114"/>
  <c r="Y682" i="114"/>
  <c r="Z682" i="114" s="1"/>
  <c r="AB682" i="114" s="1"/>
  <c r="AC682" i="114" s="1"/>
  <c r="AE682" i="114" s="1"/>
  <c r="AF682" i="114" s="1"/>
  <c r="AH682" i="114" s="1"/>
  <c r="U401" i="114"/>
  <c r="Y401" i="114"/>
  <c r="Z401" i="114" s="1"/>
  <c r="AB401" i="114" s="1"/>
  <c r="AC401" i="114" s="1"/>
  <c r="AE401" i="114" s="1"/>
  <c r="AF401" i="114" s="1"/>
  <c r="AH401" i="114" s="1"/>
  <c r="Z603" i="114"/>
  <c r="U402" i="114"/>
  <c r="Y402" i="114"/>
  <c r="Z402" i="114" s="1"/>
  <c r="AB402" i="114" s="1"/>
  <c r="AC402" i="114" s="1"/>
  <c r="AE402" i="114" s="1"/>
  <c r="AF402" i="114" s="1"/>
  <c r="AH402" i="114" s="1"/>
  <c r="U656" i="114"/>
  <c r="Y656" i="114"/>
  <c r="Z656" i="114" s="1"/>
  <c r="AB656" i="114" s="1"/>
  <c r="AC656" i="114" s="1"/>
  <c r="AE656" i="114" s="1"/>
  <c r="AF656" i="114" s="1"/>
  <c r="AH656" i="114" s="1"/>
  <c r="U662" i="114"/>
  <c r="Y662" i="114"/>
  <c r="Z662" i="114" s="1"/>
  <c r="AB662" i="114" s="1"/>
  <c r="N27" i="3"/>
  <c r="O27" i="3" s="1"/>
  <c r="P27" i="3" s="1"/>
  <c r="E255" i="103"/>
  <c r="E256" i="103" s="1"/>
  <c r="E257" i="103" s="1"/>
  <c r="E258" i="103"/>
  <c r="E259" i="103" s="1"/>
  <c r="AB27" i="68"/>
  <c r="AC27" i="68" s="1"/>
  <c r="AE27" i="68" s="1"/>
  <c r="AB35" i="68"/>
  <c r="AC35" i="68" s="1"/>
  <c r="AE35" i="68" s="1"/>
  <c r="AB14" i="68"/>
  <c r="AC14" i="68" s="1"/>
  <c r="AE14" i="68" s="1"/>
  <c r="AF14" i="68" s="1"/>
  <c r="AH14" i="68" s="1"/>
  <c r="AI14" i="68" s="1"/>
  <c r="AK14" i="68" s="1"/>
  <c r="AB1525" i="68"/>
  <c r="AC1525" i="68" s="1"/>
  <c r="AE1525" i="68" s="1"/>
  <c r="AF1525" i="68" s="1"/>
  <c r="AH1525" i="68" s="1"/>
  <c r="AB30" i="68"/>
  <c r="AC30" i="68" s="1"/>
  <c r="AE30" i="68" s="1"/>
  <c r="AB384" i="68"/>
  <c r="AC384" i="68" s="1"/>
  <c r="AE384" i="68" s="1"/>
  <c r="AF384" i="68" s="1"/>
  <c r="AH384" i="68" s="1"/>
  <c r="AB22" i="68"/>
  <c r="AC22" i="68" s="1"/>
  <c r="AE22" i="68" s="1"/>
  <c r="AB18" i="68"/>
  <c r="AC18" i="68" s="1"/>
  <c r="AE18" i="68" s="1"/>
  <c r="AB1894" i="68"/>
  <c r="AC1894" i="68" s="1"/>
  <c r="AE1894" i="68" s="1"/>
  <c r="AF1894" i="68" s="1"/>
  <c r="AH1894" i="68" s="1"/>
  <c r="AI1894" i="68" s="1"/>
  <c r="AK1894" i="68" s="1"/>
  <c r="AL1894" i="68" s="1"/>
  <c r="AN1894" i="68" s="1"/>
  <c r="AB82" i="68"/>
  <c r="AC82" i="68" s="1"/>
  <c r="AE82" i="68" s="1"/>
  <c r="E65" i="103"/>
  <c r="E66" i="103" s="1"/>
  <c r="N11" i="3"/>
  <c r="N14" i="3"/>
  <c r="N10" i="3"/>
  <c r="O29" i="3"/>
  <c r="F284" i="103"/>
  <c r="N12" i="3"/>
  <c r="E37" i="103"/>
  <c r="E50" i="103" s="1"/>
  <c r="E51" i="103" s="1"/>
  <c r="E52" i="103" s="1"/>
  <c r="E53" i="103" s="1"/>
  <c r="E54" i="103" s="1"/>
  <c r="N15" i="3"/>
  <c r="E60" i="103"/>
  <c r="E61" i="103" s="1"/>
  <c r="N28" i="3"/>
  <c r="N13" i="3"/>
  <c r="F36" i="103" s="1"/>
  <c r="E38" i="103"/>
  <c r="E39" i="103" s="1"/>
  <c r="E40" i="103" s="1"/>
  <c r="E41" i="103" s="1"/>
  <c r="E42" i="103" s="1"/>
  <c r="E43" i="103" s="1"/>
  <c r="E44" i="103" s="1"/>
  <c r="E45" i="103" s="1"/>
  <c r="E46" i="103" s="1"/>
  <c r="E47" i="103" s="1"/>
  <c r="E48" i="103" s="1"/>
  <c r="E49" i="103" s="1"/>
  <c r="E138" i="103" s="1"/>
  <c r="E139" i="103" s="1"/>
  <c r="E140" i="103" s="1"/>
  <c r="E141" i="103" s="1"/>
  <c r="E142" i="103" s="1"/>
  <c r="E143" i="103" s="1"/>
  <c r="E144" i="103" s="1"/>
  <c r="E145" i="103" s="1"/>
  <c r="E146" i="103" s="1"/>
  <c r="U1920" i="68"/>
  <c r="Y1920" i="68"/>
  <c r="Z1920" i="68" s="1"/>
  <c r="AB1920" i="68" s="1"/>
  <c r="U1593" i="68"/>
  <c r="U47" i="68"/>
  <c r="Y47" i="68"/>
  <c r="Z47" i="68" s="1"/>
  <c r="U1909" i="68"/>
  <c r="Y1909" i="68"/>
  <c r="Z1909" i="68" s="1"/>
  <c r="AB1909" i="68" s="1"/>
  <c r="U1587" i="68"/>
  <c r="U87" i="68"/>
  <c r="Y87" i="68"/>
  <c r="Z87" i="68" s="1"/>
  <c r="U78" i="68"/>
  <c r="Y78" i="68"/>
  <c r="Z78" i="68" s="1"/>
  <c r="U1893" i="68"/>
  <c r="Y1893" i="68"/>
  <c r="Z1893" i="68" s="1"/>
  <c r="U90" i="68"/>
  <c r="Y90" i="68"/>
  <c r="Z90" i="68" s="1"/>
  <c r="U1539" i="68"/>
  <c r="Y1539" i="68"/>
  <c r="Z1539" i="68" s="1"/>
  <c r="AB1539" i="68" s="1"/>
  <c r="V1862" i="39"/>
  <c r="G1384" i="68"/>
  <c r="G281" i="114"/>
  <c r="G1620" i="68"/>
  <c r="G1025" i="68"/>
  <c r="V1854" i="39"/>
  <c r="G348" i="114"/>
  <c r="G745" i="114"/>
  <c r="C107" i="6"/>
  <c r="H107" i="6" s="1"/>
  <c r="U3" i="32"/>
  <c r="N16" i="3"/>
  <c r="F65" i="103" s="1"/>
  <c r="F66" i="103" s="1"/>
  <c r="F67" i="103" s="1"/>
  <c r="F68" i="103" s="1"/>
  <c r="F69" i="103" s="1"/>
  <c r="F70" i="103" s="1"/>
  <c r="F71" i="103" s="1"/>
  <c r="F72" i="103" s="1"/>
  <c r="F73" i="103" s="1"/>
  <c r="F74" i="103" s="1"/>
  <c r="F75" i="103" s="1"/>
  <c r="V1867" i="39"/>
  <c r="V1866" i="39"/>
  <c r="J44" i="32"/>
  <c r="J45" i="32"/>
  <c r="J46" i="32"/>
  <c r="J50" i="32"/>
  <c r="G843" i="68"/>
  <c r="G973" i="68"/>
  <c r="G541" i="115"/>
  <c r="H542" i="115" s="1"/>
  <c r="G1564" i="68"/>
  <c r="H1565" i="68" s="1"/>
  <c r="G399" i="68"/>
  <c r="G361" i="115"/>
  <c r="H362" i="115" s="1"/>
  <c r="G545" i="115"/>
  <c r="H546" i="115" s="1"/>
  <c r="G1417" i="68"/>
  <c r="G388" i="68"/>
  <c r="G1845" i="68"/>
  <c r="G1147" i="68"/>
  <c r="G109" i="68"/>
  <c r="G283" i="68"/>
  <c r="G257" i="68"/>
  <c r="V1850" i="39"/>
  <c r="V1858" i="39"/>
  <c r="V1852" i="39"/>
  <c r="V1860" i="39"/>
  <c r="V1841" i="39"/>
  <c r="V1857" i="39"/>
  <c r="V1851" i="39"/>
  <c r="V1859" i="39"/>
  <c r="V1853" i="39"/>
  <c r="V1861" i="39"/>
  <c r="V1863" i="39"/>
  <c r="V1864" i="39"/>
  <c r="G387" i="68"/>
  <c r="G504" i="115"/>
  <c r="G374" i="115"/>
  <c r="G1828" i="68"/>
  <c r="G1794" i="68"/>
  <c r="G312" i="115"/>
  <c r="G1585" i="68"/>
  <c r="G1282" i="68"/>
  <c r="G678" i="68"/>
  <c r="G339" i="114"/>
  <c r="G1752" i="68"/>
  <c r="V1849" i="39"/>
  <c r="V1856" i="39"/>
  <c r="V1855" i="39"/>
  <c r="G1170" i="68"/>
  <c r="G1127" i="68"/>
  <c r="G888" i="68"/>
  <c r="G1311" i="68"/>
  <c r="G418" i="114"/>
  <c r="G846" i="115"/>
  <c r="G463" i="114"/>
  <c r="G1657" i="68"/>
  <c r="G195" i="114"/>
  <c r="U725" i="114"/>
  <c r="V725" i="114"/>
  <c r="U621" i="114"/>
  <c r="V621" i="114"/>
  <c r="L1873" i="68"/>
  <c r="L1826" i="68"/>
  <c r="L1499" i="68"/>
  <c r="L1463" i="68"/>
  <c r="L1070" i="68"/>
  <c r="L806" i="68"/>
  <c r="L664" i="68"/>
  <c r="L552" i="68"/>
  <c r="L413" i="68"/>
  <c r="L386" i="68"/>
  <c r="L246" i="68"/>
  <c r="L1872" i="68"/>
  <c r="L1825" i="68"/>
  <c r="L1498" i="68"/>
  <c r="L1462" i="68"/>
  <c r="L1292" i="68"/>
  <c r="L663" i="68"/>
  <c r="L411" i="68"/>
  <c r="L385" i="68"/>
  <c r="L245" i="68"/>
  <c r="L1871" i="68"/>
  <c r="L1824" i="68"/>
  <c r="L1497" i="68"/>
  <c r="L1461" i="68"/>
  <c r="L1284" i="68"/>
  <c r="L1069" i="68"/>
  <c r="L803" i="68"/>
  <c r="L662" i="68"/>
  <c r="L551" i="68"/>
  <c r="L410" i="68"/>
  <c r="L384" i="68"/>
  <c r="L1870" i="68"/>
  <c r="L1823" i="68"/>
  <c r="L1495" i="68"/>
  <c r="L1868" i="68"/>
  <c r="L1860" i="68"/>
  <c r="L1472" i="68"/>
  <c r="L1293" i="68"/>
  <c r="L565" i="68"/>
  <c r="L387" i="68"/>
  <c r="L1859" i="68"/>
  <c r="L1512" i="68"/>
  <c r="L1471" i="68"/>
  <c r="L1281" i="68"/>
  <c r="L562" i="68"/>
  <c r="L1853" i="68"/>
  <c r="L1465" i="68"/>
  <c r="L1280" i="68"/>
  <c r="L828" i="68"/>
  <c r="L829" i="68" s="1"/>
  <c r="L558" i="68"/>
  <c r="L1852" i="68"/>
  <c r="L1464" i="68"/>
  <c r="L1272" i="68"/>
  <c r="L824" i="68"/>
  <c r="L684" i="68"/>
  <c r="L685" i="68" s="1"/>
  <c r="L557" i="68"/>
  <c r="L414" i="68"/>
  <c r="L1850" i="68"/>
  <c r="L1509" i="68"/>
  <c r="L1267" i="68"/>
  <c r="L823" i="68"/>
  <c r="L680" i="68"/>
  <c r="L556" i="68"/>
  <c r="L409" i="68"/>
  <c r="L267" i="68"/>
  <c r="L1849" i="68"/>
  <c r="L1491" i="68"/>
  <c r="L1298" i="68"/>
  <c r="L679" i="68"/>
  <c r="L538" i="68"/>
  <c r="L248" i="68"/>
  <c r="L1084" i="68"/>
  <c r="L801" i="68"/>
  <c r="L647" i="68"/>
  <c r="L568" i="68"/>
  <c r="L264" i="68"/>
  <c r="L1323" i="68"/>
  <c r="L1081" i="68"/>
  <c r="L795" i="68"/>
  <c r="L646" i="68"/>
  <c r="L567" i="68"/>
  <c r="L407" i="68"/>
  <c r="L261" i="68"/>
  <c r="L1319" i="68"/>
  <c r="L1080" i="68"/>
  <c r="L794" i="68"/>
  <c r="L566" i="68"/>
  <c r="L406" i="68"/>
  <c r="L260" i="68"/>
  <c r="L1884" i="68"/>
  <c r="L1073" i="68"/>
  <c r="L793" i="68"/>
  <c r="L555" i="68"/>
  <c r="L405" i="68"/>
  <c r="L259" i="68"/>
  <c r="L1877" i="68"/>
  <c r="L1508" i="68"/>
  <c r="L1312" i="68"/>
  <c r="L1072" i="68"/>
  <c r="L792" i="68"/>
  <c r="L554" i="68"/>
  <c r="L401" i="68"/>
  <c r="L258" i="68"/>
  <c r="L1876" i="68"/>
  <c r="L1507" i="68"/>
  <c r="L1311" i="68"/>
  <c r="L1071" i="68"/>
  <c r="L791" i="68"/>
  <c r="L1875" i="68"/>
  <c r="L1842" i="68"/>
  <c r="L1490" i="68"/>
  <c r="L1297" i="68"/>
  <c r="L678" i="68"/>
  <c r="L395" i="68"/>
  <c r="L247" i="68"/>
  <c r="L1839" i="68"/>
  <c r="L1489" i="68"/>
  <c r="L1296" i="68"/>
  <c r="L822" i="68"/>
  <c r="L670" i="68"/>
  <c r="L394" i="68"/>
  <c r="L244" i="68"/>
  <c r="L1486" i="68"/>
  <c r="L1295" i="68"/>
  <c r="L821" i="68"/>
  <c r="L667" i="68"/>
  <c r="L393" i="68"/>
  <c r="L241" i="68"/>
  <c r="L1836" i="68"/>
  <c r="L1484" i="68"/>
  <c r="L1294" i="68"/>
  <c r="L820" i="68"/>
  <c r="L665" i="68"/>
  <c r="L392" i="68"/>
  <c r="L1834" i="68"/>
  <c r="L1483" i="68"/>
  <c r="L819" i="68"/>
  <c r="L661" i="68"/>
  <c r="L389" i="68"/>
  <c r="L1829" i="68"/>
  <c r="L1482" i="68"/>
  <c r="L818" i="68"/>
  <c r="L660" i="68"/>
  <c r="L388" i="68"/>
  <c r="L1828" i="68"/>
  <c r="L1478" i="68"/>
  <c r="L1105" i="68"/>
  <c r="L659" i="68"/>
  <c r="L574" i="68"/>
  <c r="L1827" i="68"/>
  <c r="L1475" i="68"/>
  <c r="L1101" i="68"/>
  <c r="L811" i="68"/>
  <c r="L658" i="68"/>
  <c r="L572" i="68"/>
  <c r="L1100" i="68"/>
  <c r="L809" i="68"/>
  <c r="L571" i="68"/>
  <c r="L266" i="68"/>
  <c r="L1088" i="68"/>
  <c r="L802" i="68"/>
  <c r="L265" i="68"/>
  <c r="L399" i="68"/>
  <c r="L648" i="68"/>
  <c r="L569" i="68"/>
  <c r="L546" i="68"/>
  <c r="L1874" i="68"/>
  <c r="L1493" i="68"/>
  <c r="L1309" i="68"/>
  <c r="L545" i="68"/>
  <c r="L254" i="68"/>
  <c r="L1869" i="68"/>
  <c r="L396" i="68"/>
  <c r="L251" i="68"/>
  <c r="L256" i="68"/>
  <c r="L398" i="68"/>
  <c r="L1492" i="68"/>
  <c r="L539" i="68"/>
  <c r="L547" i="68"/>
  <c r="L400" i="68"/>
  <c r="L257" i="68"/>
  <c r="L1310" i="68"/>
  <c r="L412" i="68"/>
  <c r="L1861" i="68"/>
  <c r="L1063" i="68"/>
  <c r="L544" i="68"/>
  <c r="L1496" i="68"/>
  <c r="L1307" i="68"/>
  <c r="L1885" i="68"/>
  <c r="L650" i="68"/>
  <c r="L537" i="68"/>
  <c r="L1833" i="68"/>
  <c r="L1056" i="68"/>
  <c r="L790" i="68"/>
  <c r="L1838" i="68"/>
  <c r="L816" i="68"/>
  <c r="L404" i="68"/>
  <c r="L1304" i="68"/>
  <c r="L681" i="68"/>
  <c r="L235" i="68"/>
  <c r="L240" i="68"/>
  <c r="L1305" i="68"/>
  <c r="L797" i="68"/>
  <c r="L1082" i="68"/>
  <c r="L1865" i="68"/>
  <c r="L1864" i="68"/>
  <c r="L415" i="68"/>
  <c r="L653" i="68"/>
  <c r="L1851" i="68"/>
  <c r="L1867" i="68"/>
  <c r="L271" i="68"/>
  <c r="L272" i="68" s="1"/>
  <c r="L1314" i="68"/>
  <c r="L238" i="68"/>
  <c r="L1054" i="68"/>
  <c r="L1058" i="68"/>
  <c r="L654" i="68"/>
  <c r="L1881" i="68"/>
  <c r="L1466" i="68"/>
  <c r="L1282" i="68"/>
  <c r="L1467" i="68"/>
  <c r="L570" i="68"/>
  <c r="L1313" i="68"/>
  <c r="L234" i="68"/>
  <c r="L1268" i="68"/>
  <c r="L1099" i="68"/>
  <c r="L808" i="68"/>
  <c r="L1474" i="68"/>
  <c r="L383" i="68"/>
  <c r="L789" i="68"/>
  <c r="L1286" i="68"/>
  <c r="L807" i="68"/>
  <c r="L378" i="68"/>
  <c r="L541" i="68"/>
  <c r="L787" i="68"/>
  <c r="L1457" i="68"/>
  <c r="L675" i="68"/>
  <c r="L804" i="68"/>
  <c r="L1880" i="68"/>
  <c r="L416" i="68"/>
  <c r="L1098" i="68"/>
  <c r="L1504" i="68"/>
  <c r="L805" i="68"/>
  <c r="L1494" i="68"/>
  <c r="L1092" i="68"/>
  <c r="L1862" i="68"/>
  <c r="L542" i="68"/>
  <c r="L1841" i="68"/>
  <c r="L381" i="68"/>
  <c r="L1106" i="68"/>
  <c r="L1856" i="68"/>
  <c r="L1075" i="68"/>
  <c r="L408" i="68"/>
  <c r="L1095" i="68"/>
  <c r="L1083" i="68"/>
  <c r="L1840" i="68"/>
  <c r="L671" i="68"/>
  <c r="L1476" i="68"/>
  <c r="L655" i="68"/>
  <c r="L1271" i="68"/>
  <c r="L1068" i="68"/>
  <c r="L672" i="68"/>
  <c r="L1473" i="68"/>
  <c r="L815" i="68"/>
  <c r="L1866" i="68"/>
  <c r="L1076" i="68"/>
  <c r="L814" i="68"/>
  <c r="L1104" i="68"/>
  <c r="L268" i="68"/>
  <c r="L1274" i="68"/>
  <c r="L1090" i="68"/>
  <c r="L674" i="68"/>
  <c r="L255" i="68"/>
  <c r="L810" i="68"/>
  <c r="L237" i="68"/>
  <c r="L1477" i="68"/>
  <c r="L1102" i="68"/>
  <c r="L1306" i="68"/>
  <c r="L1285" i="68"/>
  <c r="L564" i="68"/>
  <c r="L1315" i="68"/>
  <c r="L1089" i="68"/>
  <c r="L249" i="68"/>
  <c r="L1085" i="68"/>
  <c r="L1822" i="68"/>
  <c r="L1844" i="68"/>
  <c r="L1308" i="68"/>
  <c r="L1318" i="68"/>
  <c r="L651" i="68"/>
  <c r="L1288" i="68"/>
  <c r="L1094" i="68"/>
  <c r="L1301" i="68"/>
  <c r="L1470" i="68"/>
  <c r="L1821" i="68"/>
  <c r="L800" i="68"/>
  <c r="L250" i="68"/>
  <c r="L573" i="68"/>
  <c r="L1302" i="68"/>
  <c r="L1479" i="68"/>
  <c r="L379" i="68"/>
  <c r="L1848" i="68"/>
  <c r="L1846" i="68"/>
  <c r="L1513" i="68"/>
  <c r="L1460" i="68"/>
  <c r="L652" i="68"/>
  <c r="L262" i="68"/>
  <c r="L676" i="68"/>
  <c r="L1322" i="68"/>
  <c r="L1501" i="68"/>
  <c r="L673" i="68"/>
  <c r="L666" i="68"/>
  <c r="L1485" i="68"/>
  <c r="L1077" i="68"/>
  <c r="L788" i="68"/>
  <c r="L1113" i="68"/>
  <c r="L1114" i="68" s="1"/>
  <c r="L1055" i="68"/>
  <c r="L817" i="68"/>
  <c r="L1857" i="68"/>
  <c r="L1458" i="68"/>
  <c r="L1502" i="68"/>
  <c r="L1108" i="68"/>
  <c r="L1061" i="68"/>
  <c r="L232" i="68"/>
  <c r="L825" i="68"/>
  <c r="L1316" i="68"/>
  <c r="L1835" i="68"/>
  <c r="L1289" i="68"/>
  <c r="L1481" i="68"/>
  <c r="L563" i="68"/>
  <c r="L677" i="68"/>
  <c r="L1858" i="68"/>
  <c r="L1067" i="68"/>
  <c r="L1278" i="68"/>
  <c r="L550" i="68"/>
  <c r="L543" i="68"/>
  <c r="L1109" i="68"/>
  <c r="L1273" i="68"/>
  <c r="L1283" i="68"/>
  <c r="L1057" i="68"/>
  <c r="L1269" i="68"/>
  <c r="L1096" i="68"/>
  <c r="L1107" i="68"/>
  <c r="L1270" i="68"/>
  <c r="L1843" i="68"/>
  <c r="L1059" i="68"/>
  <c r="L397" i="68"/>
  <c r="L1500" i="68"/>
  <c r="L1503" i="68"/>
  <c r="L1317" i="68"/>
  <c r="L1078" i="68"/>
  <c r="L1091" i="68"/>
  <c r="L233" i="68"/>
  <c r="L1062" i="68"/>
  <c r="L263" i="68"/>
  <c r="L239" i="68"/>
  <c r="L575" i="68"/>
  <c r="L1103" i="68"/>
  <c r="L540" i="68"/>
  <c r="L1279" i="68"/>
  <c r="L1064" i="68"/>
  <c r="L1079" i="68"/>
  <c r="L1837" i="68"/>
  <c r="L1074" i="68"/>
  <c r="L1303" i="68"/>
  <c r="L380" i="68"/>
  <c r="L553" i="68"/>
  <c r="L1290" i="68"/>
  <c r="L1287" i="68"/>
  <c r="L649" i="68"/>
  <c r="L1459" i="68"/>
  <c r="L1830" i="68"/>
  <c r="L1291" i="68"/>
  <c r="L236" i="68"/>
  <c r="L1060" i="68"/>
  <c r="L382" i="68"/>
  <c r="L1845" i="68"/>
  <c r="L1275" i="68"/>
  <c r="L1847" i="68"/>
  <c r="L1863" i="68"/>
  <c r="L1820" i="68"/>
  <c r="L1480" i="68"/>
  <c r="L561" i="68"/>
  <c r="L1097" i="68"/>
  <c r="L1110" i="68"/>
  <c r="L1093" i="68"/>
  <c r="L796" i="68"/>
  <c r="Q260" i="68"/>
  <c r="K483" i="115"/>
  <c r="K439" i="115"/>
  <c r="K360" i="115"/>
  <c r="K338" i="115"/>
  <c r="K317" i="115"/>
  <c r="K173" i="115"/>
  <c r="K152" i="115"/>
  <c r="K480" i="115"/>
  <c r="K481" i="115" s="1"/>
  <c r="K458" i="115"/>
  <c r="K437" i="115"/>
  <c r="K357" i="115"/>
  <c r="K336" i="115"/>
  <c r="K315" i="115"/>
  <c r="K436" i="115"/>
  <c r="K335" i="115"/>
  <c r="K459" i="115"/>
  <c r="K438" i="115"/>
  <c r="K337" i="115"/>
  <c r="K316" i="115"/>
  <c r="K172" i="115"/>
  <c r="K151" i="115"/>
  <c r="K171" i="115"/>
  <c r="K457" i="115"/>
  <c r="K356" i="115"/>
  <c r="K314" i="115"/>
  <c r="K170" i="115"/>
  <c r="K474" i="115"/>
  <c r="K453" i="115"/>
  <c r="K351" i="115"/>
  <c r="K330" i="115"/>
  <c r="K187" i="115"/>
  <c r="K166" i="115"/>
  <c r="K473" i="115"/>
  <c r="K452" i="115"/>
  <c r="K350" i="115"/>
  <c r="K329" i="115"/>
  <c r="K308" i="115"/>
  <c r="K186" i="115"/>
  <c r="K165" i="115"/>
  <c r="K472" i="115"/>
  <c r="K451" i="115"/>
  <c r="K349" i="115"/>
  <c r="K328" i="115"/>
  <c r="K307" i="115"/>
  <c r="K185" i="115"/>
  <c r="K164" i="115"/>
  <c r="K471" i="115"/>
  <c r="K450" i="115"/>
  <c r="K348" i="115"/>
  <c r="K327" i="115"/>
  <c r="K306" i="115"/>
  <c r="K184" i="115"/>
  <c r="K163" i="115"/>
  <c r="K470" i="115"/>
  <c r="K449" i="115"/>
  <c r="K347" i="115"/>
  <c r="K326" i="115"/>
  <c r="K305" i="115"/>
  <c r="K183" i="115"/>
  <c r="K162" i="115"/>
  <c r="K448" i="115"/>
  <c r="K354" i="115"/>
  <c r="K318" i="115"/>
  <c r="K178" i="115"/>
  <c r="K488" i="115"/>
  <c r="K346" i="115"/>
  <c r="K169" i="115"/>
  <c r="K159" i="115"/>
  <c r="K158" i="115"/>
  <c r="K332" i="115"/>
  <c r="K156" i="115"/>
  <c r="K489" i="115"/>
  <c r="K447" i="115"/>
  <c r="K313" i="115"/>
  <c r="K446" i="115"/>
  <c r="K312" i="115"/>
  <c r="K175" i="115"/>
  <c r="K445" i="115"/>
  <c r="K345" i="115"/>
  <c r="K311" i="115"/>
  <c r="K174" i="115"/>
  <c r="K485" i="115"/>
  <c r="K444" i="115"/>
  <c r="K344" i="115"/>
  <c r="K304" i="115"/>
  <c r="K484" i="115"/>
  <c r="K343" i="115"/>
  <c r="K303" i="115"/>
  <c r="K168" i="115"/>
  <c r="K477" i="115"/>
  <c r="K441" i="115"/>
  <c r="K342" i="115"/>
  <c r="K302" i="115"/>
  <c r="K167" i="115"/>
  <c r="K476" i="115"/>
  <c r="K440" i="115"/>
  <c r="K341" i="115"/>
  <c r="K301" i="115"/>
  <c r="K475" i="115"/>
  <c r="K435" i="115"/>
  <c r="K340" i="115"/>
  <c r="K469" i="115"/>
  <c r="K434" i="115"/>
  <c r="K339" i="115"/>
  <c r="K468" i="115"/>
  <c r="K157" i="115"/>
  <c r="K467" i="115"/>
  <c r="K355" i="115"/>
  <c r="K324" i="115"/>
  <c r="K466" i="115"/>
  <c r="K323" i="115"/>
  <c r="K465" i="115"/>
  <c r="K322" i="115"/>
  <c r="K180" i="115"/>
  <c r="K331" i="115"/>
  <c r="K325" i="115"/>
  <c r="K464" i="115"/>
  <c r="K321" i="115"/>
  <c r="K179" i="115"/>
  <c r="K155" i="115"/>
  <c r="K361" i="115"/>
  <c r="K463" i="115"/>
  <c r="K320" i="115"/>
  <c r="K462" i="115"/>
  <c r="K319" i="115"/>
  <c r="K456" i="115"/>
  <c r="K189" i="115"/>
  <c r="K455" i="115"/>
  <c r="K188" i="115"/>
  <c r="K454" i="115"/>
  <c r="K182" i="115"/>
  <c r="K181" i="115"/>
  <c r="K154" i="115"/>
  <c r="K153" i="115"/>
  <c r="K1127" i="115"/>
  <c r="K1137" i="115"/>
  <c r="K1134" i="115"/>
  <c r="K1130" i="115"/>
  <c r="K1083" i="115"/>
  <c r="K1061" i="115"/>
  <c r="K1057" i="115"/>
  <c r="K1114" i="115"/>
  <c r="K1074" i="115"/>
  <c r="K1131" i="115"/>
  <c r="K1109" i="115"/>
  <c r="K1087" i="115"/>
  <c r="K1099" i="115"/>
  <c r="K1058" i="115"/>
  <c r="K1136" i="115"/>
  <c r="K1113" i="115"/>
  <c r="K1110" i="115"/>
  <c r="K1108" i="115"/>
  <c r="K1067" i="115"/>
  <c r="K1092" i="115"/>
  <c r="K1129" i="115"/>
  <c r="K1107" i="115"/>
  <c r="K1085" i="115"/>
  <c r="K1063" i="115"/>
  <c r="K1069" i="115"/>
  <c r="K1124" i="115"/>
  <c r="K1104" i="115"/>
  <c r="K1082" i="115"/>
  <c r="K1117" i="115"/>
  <c r="K1097" i="115"/>
  <c r="K1075" i="115"/>
  <c r="K1076" i="115"/>
  <c r="K1091" i="115"/>
  <c r="K1068" i="115"/>
  <c r="K1086" i="115"/>
  <c r="K1118" i="115"/>
  <c r="K1098" i="115"/>
  <c r="K1128" i="115"/>
  <c r="K1052" i="115"/>
  <c r="K1084" i="115"/>
  <c r="K1122" i="115"/>
  <c r="K1077" i="115"/>
  <c r="K1115" i="115"/>
  <c r="K1060" i="115"/>
  <c r="K1071" i="115"/>
  <c r="K1123" i="115"/>
  <c r="K1066" i="115"/>
  <c r="K1081" i="115"/>
  <c r="K1059" i="115"/>
  <c r="K1054" i="115"/>
  <c r="K1106" i="115"/>
  <c r="K1111" i="115"/>
  <c r="K1089" i="115"/>
  <c r="K1090" i="115"/>
  <c r="K1102" i="115"/>
  <c r="K1055" i="115"/>
  <c r="K1073" i="115"/>
  <c r="K1088" i="115"/>
  <c r="K1105" i="115"/>
  <c r="K1103" i="115"/>
  <c r="K1121" i="115"/>
  <c r="K1101" i="115"/>
  <c r="K1079" i="115"/>
  <c r="K1116" i="115"/>
  <c r="K1096" i="115"/>
  <c r="K1135" i="115"/>
  <c r="K1062" i="115"/>
  <c r="K1119" i="115"/>
  <c r="K1080" i="115"/>
  <c r="K1070" i="115"/>
  <c r="K1053" i="115"/>
  <c r="K1093" i="115"/>
  <c r="K1072" i="115"/>
  <c r="K1120" i="115"/>
  <c r="K1100" i="115"/>
  <c r="K1078" i="115"/>
  <c r="K1056" i="115"/>
  <c r="K1112" i="115"/>
  <c r="K490" i="115"/>
  <c r="J542" i="68"/>
  <c r="G138" i="68"/>
  <c r="G705" i="68"/>
  <c r="H103" i="6"/>
  <c r="G848" i="68"/>
  <c r="G1617" i="68"/>
  <c r="G264" i="68"/>
  <c r="G651" i="68"/>
  <c r="G807" i="115"/>
  <c r="G1402" i="68"/>
  <c r="G1835" i="68"/>
  <c r="G1522" i="68"/>
  <c r="G353" i="68"/>
  <c r="G500" i="115"/>
  <c r="G1175" i="68"/>
  <c r="G1285" i="68"/>
  <c r="G1165" i="68"/>
  <c r="G1083" i="68"/>
  <c r="G1093" i="68"/>
  <c r="G101" i="115"/>
  <c r="H102" i="115" s="1"/>
  <c r="G977" i="115"/>
  <c r="G1333" i="68"/>
  <c r="G693" i="68"/>
  <c r="G1463" i="68"/>
  <c r="G505" i="68"/>
  <c r="G626" i="68"/>
  <c r="G336" i="68"/>
  <c r="G953" i="68"/>
  <c r="G1856" i="68"/>
  <c r="G883" i="68"/>
  <c r="G1555" i="68"/>
  <c r="G1279" i="68"/>
  <c r="G234" i="68"/>
  <c r="G400" i="68"/>
  <c r="G230" i="114"/>
  <c r="V1843" i="39"/>
  <c r="G606" i="114"/>
  <c r="V1292" i="39"/>
  <c r="G1893" i="68"/>
  <c r="G384" i="114"/>
  <c r="H385" i="114" s="1"/>
  <c r="U343" i="114"/>
  <c r="V1839" i="39"/>
  <c r="V1840" i="39"/>
  <c r="J413" i="68"/>
  <c r="V1844" i="39"/>
  <c r="V1845" i="39"/>
  <c r="V1846" i="39"/>
  <c r="V1842" i="39"/>
  <c r="V1847" i="39"/>
  <c r="V1848" i="39"/>
  <c r="G1462" i="68"/>
  <c r="G1335" i="68"/>
  <c r="G1494" i="68"/>
  <c r="G1429" i="68"/>
  <c r="G682" i="115"/>
  <c r="N1494" i="68"/>
  <c r="Q1494" i="68"/>
  <c r="I1494" i="68"/>
  <c r="J1494" i="68"/>
  <c r="O1494" i="68"/>
  <c r="T1494" i="68"/>
  <c r="Y1494" i="68" s="1"/>
  <c r="Z1494" i="68" s="1"/>
  <c r="AB1494" i="68" s="1"/>
  <c r="K1494" i="68"/>
  <c r="M1494" i="68"/>
  <c r="V1494" i="68" s="1"/>
  <c r="S1494" i="68"/>
  <c r="R1494" i="68"/>
  <c r="V1838" i="39"/>
  <c r="U620" i="114"/>
  <c r="V620" i="114"/>
  <c r="I25" i="6"/>
  <c r="I26" i="6" s="1"/>
  <c r="I27" i="6" s="1"/>
  <c r="I28" i="6" s="1"/>
  <c r="I29" i="6" s="1"/>
  <c r="I30" i="6" s="1"/>
  <c r="I31" i="6" s="1"/>
  <c r="I32" i="6" s="1"/>
  <c r="I33" i="6" s="1"/>
  <c r="I34" i="6" s="1"/>
  <c r="I35" i="6" s="1"/>
  <c r="I36" i="6" s="1"/>
  <c r="T400" i="115"/>
  <c r="V400" i="115" s="1"/>
  <c r="V1824" i="39"/>
  <c r="G518" i="68"/>
  <c r="G983" i="68"/>
  <c r="V1830" i="39"/>
  <c r="V1836" i="39"/>
  <c r="V1837" i="39"/>
  <c r="V1788" i="39"/>
  <c r="V1833" i="39"/>
  <c r="V1823" i="39"/>
  <c r="V1810" i="39"/>
  <c r="V1835" i="39"/>
  <c r="V1834" i="39"/>
  <c r="V1797" i="39"/>
  <c r="V1804" i="39"/>
  <c r="V1818" i="39"/>
  <c r="V1821" i="39"/>
  <c r="V1819" i="39"/>
  <c r="V1822" i="39"/>
  <c r="V1808" i="39"/>
  <c r="V1791" i="39"/>
  <c r="G199" i="68"/>
  <c r="V1812" i="39"/>
  <c r="G260" i="68"/>
  <c r="V1814" i="39"/>
  <c r="G1498" i="68"/>
  <c r="V1827" i="39"/>
  <c r="V1785" i="39"/>
  <c r="G774" i="115"/>
  <c r="V1793" i="39"/>
  <c r="G779" i="115"/>
  <c r="V1796" i="39"/>
  <c r="G40" i="114"/>
  <c r="H41" i="114" s="1"/>
  <c r="V1811" i="39"/>
  <c r="G809" i="115"/>
  <c r="V1825" i="39"/>
  <c r="V1783" i="39"/>
  <c r="G695" i="115"/>
  <c r="V1832" i="39"/>
  <c r="V1831" i="39"/>
  <c r="V1790" i="39"/>
  <c r="V1789" i="39"/>
  <c r="G117" i="114"/>
  <c r="V1807" i="39"/>
  <c r="G440" i="68"/>
  <c r="V1781" i="39"/>
  <c r="G775" i="115"/>
  <c r="V1794" i="39"/>
  <c r="G590" i="68"/>
  <c r="V1798" i="39"/>
  <c r="G1704" i="68"/>
  <c r="V1801" i="39"/>
  <c r="G276" i="115"/>
  <c r="V1782" i="39"/>
  <c r="V1816" i="39"/>
  <c r="G565" i="115"/>
  <c r="V1828" i="39"/>
  <c r="V1786" i="39"/>
  <c r="G208" i="115"/>
  <c r="V1802" i="39"/>
  <c r="G447" i="115"/>
  <c r="V1803" i="39"/>
  <c r="G1766" i="68"/>
  <c r="V1817" i="39"/>
  <c r="G119" i="114"/>
  <c r="V1829" i="39"/>
  <c r="V1787" i="39"/>
  <c r="V1820" i="39"/>
  <c r="G1362" i="68"/>
  <c r="V1795" i="39"/>
  <c r="G204" i="115"/>
  <c r="H205" i="115" s="1"/>
  <c r="V1799" i="39"/>
  <c r="G666" i="115"/>
  <c r="V1806" i="39"/>
  <c r="V1805" i="39"/>
  <c r="G798" i="115"/>
  <c r="V1813" i="39"/>
  <c r="G714" i="115"/>
  <c r="V1784" i="39"/>
  <c r="V1826" i="39"/>
  <c r="G455" i="114"/>
  <c r="V1792" i="39"/>
  <c r="G985" i="68"/>
  <c r="V1809" i="39"/>
  <c r="G113" i="114"/>
  <c r="V1815" i="39"/>
  <c r="V1800" i="39"/>
  <c r="V1780" i="39"/>
  <c r="G665" i="115"/>
  <c r="G1345" i="68"/>
  <c r="G751" i="114"/>
  <c r="G748" i="114"/>
  <c r="G1801" i="68"/>
  <c r="G375" i="114"/>
  <c r="G341" i="114"/>
  <c r="G152" i="68"/>
  <c r="H428" i="115"/>
  <c r="H611" i="114"/>
  <c r="H48" i="114"/>
  <c r="U1344" i="68"/>
  <c r="V1344" i="68"/>
  <c r="L1130" i="115"/>
  <c r="L1121" i="115"/>
  <c r="L1113" i="115"/>
  <c r="L1105" i="115"/>
  <c r="L1097" i="115"/>
  <c r="L1088" i="115"/>
  <c r="L1080" i="115"/>
  <c r="L1072" i="115"/>
  <c r="L1063" i="115"/>
  <c r="L1055" i="115"/>
  <c r="L490" i="115"/>
  <c r="L480" i="115"/>
  <c r="L481" i="115" s="1"/>
  <c r="L471" i="115"/>
  <c r="L463" i="115"/>
  <c r="L454" i="115"/>
  <c r="L446" i="115"/>
  <c r="L437" i="115"/>
  <c r="L344" i="115"/>
  <c r="L336" i="115"/>
  <c r="L327" i="115"/>
  <c r="L319" i="115"/>
  <c r="L311" i="115"/>
  <c r="L302" i="115"/>
  <c r="L183" i="115"/>
  <c r="L174" i="115"/>
  <c r="L166" i="115"/>
  <c r="L157" i="115"/>
  <c r="L1129" i="115"/>
  <c r="L1120" i="115"/>
  <c r="L1112" i="115"/>
  <c r="L1104" i="115"/>
  <c r="L1096" i="115"/>
  <c r="L1087" i="115"/>
  <c r="L1079" i="115"/>
  <c r="L1071" i="115"/>
  <c r="L1062" i="115"/>
  <c r="L1054" i="115"/>
  <c r="L489" i="115"/>
  <c r="L470" i="115"/>
  <c r="L462" i="115"/>
  <c r="L453" i="115"/>
  <c r="L445" i="115"/>
  <c r="L436" i="115"/>
  <c r="L361" i="115"/>
  <c r="L351" i="115"/>
  <c r="L343" i="115"/>
  <c r="L335" i="115"/>
  <c r="L326" i="115"/>
  <c r="L318" i="115"/>
  <c r="L301" i="115"/>
  <c r="L182" i="115"/>
  <c r="L173" i="115"/>
  <c r="L165" i="115"/>
  <c r="L156" i="115"/>
  <c r="L175" i="115"/>
  <c r="L158" i="115"/>
  <c r="L1137" i="115"/>
  <c r="L1128" i="115"/>
  <c r="L1119" i="115"/>
  <c r="L1111" i="115"/>
  <c r="L1103" i="115"/>
  <c r="L1086" i="115"/>
  <c r="L1078" i="115"/>
  <c r="L1070" i="115"/>
  <c r="L1061" i="115"/>
  <c r="L1053" i="115"/>
  <c r="L488" i="115"/>
  <c r="L477" i="115"/>
  <c r="L469" i="115"/>
  <c r="L452" i="115"/>
  <c r="L444" i="115"/>
  <c r="L435" i="115"/>
  <c r="L360" i="115"/>
  <c r="L350" i="115"/>
  <c r="L342" i="115"/>
  <c r="L325" i="115"/>
  <c r="L317" i="115"/>
  <c r="L308" i="115"/>
  <c r="L189" i="115"/>
  <c r="L181" i="115"/>
  <c r="L172" i="115"/>
  <c r="L164" i="115"/>
  <c r="L155" i="115"/>
  <c r="L1136" i="115"/>
  <c r="L1127" i="115"/>
  <c r="L1118" i="115"/>
  <c r="L1110" i="115"/>
  <c r="L1102" i="115"/>
  <c r="L1093" i="115"/>
  <c r="L1085" i="115"/>
  <c r="L1077" i="115"/>
  <c r="L1069" i="115"/>
  <c r="L1060" i="115"/>
  <c r="L1052" i="115"/>
  <c r="L476" i="115"/>
  <c r="L468" i="115"/>
  <c r="L459" i="115"/>
  <c r="L451" i="115"/>
  <c r="L434" i="115"/>
  <c r="L349" i="115"/>
  <c r="L341" i="115"/>
  <c r="L332" i="115"/>
  <c r="L324" i="115"/>
  <c r="L316" i="115"/>
  <c r="L307" i="115"/>
  <c r="L188" i="115"/>
  <c r="L180" i="115"/>
  <c r="L171" i="115"/>
  <c r="L163" i="115"/>
  <c r="L154" i="115"/>
  <c r="L1135" i="115"/>
  <c r="L1117" i="115"/>
  <c r="L1109" i="115"/>
  <c r="L1101" i="115"/>
  <c r="L1092" i="115"/>
  <c r="L1084" i="115"/>
  <c r="L1076" i="115"/>
  <c r="L1068" i="115"/>
  <c r="L1059" i="115"/>
  <c r="L485" i="115"/>
  <c r="L475" i="115"/>
  <c r="L467" i="115"/>
  <c r="L458" i="115"/>
  <c r="L450" i="115"/>
  <c r="L441" i="115"/>
  <c r="L357" i="115"/>
  <c r="L348" i="115"/>
  <c r="L340" i="115"/>
  <c r="L331" i="115"/>
  <c r="L323" i="115"/>
  <c r="L315" i="115"/>
  <c r="L306" i="115"/>
  <c r="L187" i="115"/>
  <c r="L179" i="115"/>
  <c r="L170" i="115"/>
  <c r="L162" i="115"/>
  <c r="L153" i="115"/>
  <c r="L1134" i="115"/>
  <c r="L1124" i="115"/>
  <c r="L1116" i="115"/>
  <c r="L1108" i="115"/>
  <c r="L1100" i="115"/>
  <c r="L1091" i="115"/>
  <c r="L1083" i="115"/>
  <c r="L1075" i="115"/>
  <c r="L1067" i="115"/>
  <c r="L1058" i="115"/>
  <c r="L484" i="115"/>
  <c r="L474" i="115"/>
  <c r="L466" i="115"/>
  <c r="L457" i="115"/>
  <c r="L449" i="115"/>
  <c r="L440" i="115"/>
  <c r="L356" i="115"/>
  <c r="L347" i="115"/>
  <c r="L339" i="115"/>
  <c r="L330" i="115"/>
  <c r="L322" i="115"/>
  <c r="L314" i="115"/>
  <c r="L305" i="115"/>
  <c r="L186" i="115"/>
  <c r="L178" i="115"/>
  <c r="L169" i="115"/>
  <c r="L152" i="115"/>
  <c r="L184" i="115"/>
  <c r="L167" i="115"/>
  <c r="L1123" i="115"/>
  <c r="L1115" i="115"/>
  <c r="L1107" i="115"/>
  <c r="L1099" i="115"/>
  <c r="L1090" i="115"/>
  <c r="L1082" i="115"/>
  <c r="L1074" i="115"/>
  <c r="L1066" i="115"/>
  <c r="L1057" i="115"/>
  <c r="L483" i="115"/>
  <c r="L473" i="115"/>
  <c r="L465" i="115"/>
  <c r="L456" i="115"/>
  <c r="L448" i="115"/>
  <c r="L439" i="115"/>
  <c r="L355" i="115"/>
  <c r="L346" i="115"/>
  <c r="L338" i="115"/>
  <c r="L329" i="115"/>
  <c r="L321" i="115"/>
  <c r="L313" i="115"/>
  <c r="L304" i="115"/>
  <c r="L185" i="115"/>
  <c r="L168" i="115"/>
  <c r="L159" i="115"/>
  <c r="L151" i="115"/>
  <c r="L1131" i="115"/>
  <c r="L1122" i="115"/>
  <c r="L1114" i="115"/>
  <c r="L1106" i="115"/>
  <c r="L1098" i="115"/>
  <c r="L1089" i="115"/>
  <c r="L1081" i="115"/>
  <c r="L1073" i="115"/>
  <c r="L1056" i="115"/>
  <c r="L472" i="115"/>
  <c r="L464" i="115"/>
  <c r="L455" i="115"/>
  <c r="L447" i="115"/>
  <c r="L438" i="115"/>
  <c r="L354" i="115"/>
  <c r="L345" i="115"/>
  <c r="L337" i="115"/>
  <c r="L328" i="115"/>
  <c r="L320" i="115"/>
  <c r="L312" i="115"/>
  <c r="L303" i="115"/>
  <c r="U468" i="114"/>
  <c r="V468" i="114"/>
  <c r="Q378" i="68"/>
  <c r="K1875" i="68"/>
  <c r="K1867" i="68"/>
  <c r="K1859" i="68"/>
  <c r="K1850" i="68"/>
  <c r="K1842" i="68"/>
  <c r="K1835" i="68"/>
  <c r="K1826" i="68"/>
  <c r="K1509" i="68"/>
  <c r="K1501" i="68"/>
  <c r="K1492" i="68"/>
  <c r="K1483" i="68"/>
  <c r="K1475" i="68"/>
  <c r="K1467" i="68"/>
  <c r="K1459" i="68"/>
  <c r="K1322" i="68"/>
  <c r="K1314" i="68"/>
  <c r="K1306" i="68"/>
  <c r="K1298" i="68"/>
  <c r="K1291" i="68"/>
  <c r="K1283" i="68"/>
  <c r="K1275" i="68"/>
  <c r="K1267" i="68"/>
  <c r="K1108" i="68"/>
  <c r="K1100" i="68"/>
  <c r="K1092" i="68"/>
  <c r="K1083" i="68"/>
  <c r="K1075" i="68"/>
  <c r="K1068" i="68"/>
  <c r="K1060" i="68"/>
  <c r="K821" i="68"/>
  <c r="K814" i="68"/>
  <c r="K805" i="68"/>
  <c r="K797" i="68"/>
  <c r="K789" i="68"/>
  <c r="K677" i="68"/>
  <c r="K660" i="68"/>
  <c r="K573" i="68"/>
  <c r="K565" i="68"/>
  <c r="K556" i="68"/>
  <c r="K540" i="68"/>
  <c r="K1874" i="68"/>
  <c r="K1866" i="68"/>
  <c r="K1858" i="68"/>
  <c r="K1849" i="68"/>
  <c r="K1841" i="68"/>
  <c r="K1834" i="68"/>
  <c r="K1825" i="68"/>
  <c r="K1508" i="68"/>
  <c r="K1500" i="68"/>
  <c r="K1491" i="68"/>
  <c r="K1482" i="68"/>
  <c r="K1474" i="68"/>
  <c r="K1466" i="68"/>
  <c r="K1458" i="68"/>
  <c r="K1313" i="68"/>
  <c r="K1305" i="68"/>
  <c r="K1297" i="68"/>
  <c r="K1290" i="68"/>
  <c r="K1282" i="68"/>
  <c r="K1274" i="68"/>
  <c r="K1107" i="68"/>
  <c r="K1099" i="68"/>
  <c r="K1091" i="68"/>
  <c r="K1082" i="68"/>
  <c r="K1074" i="68"/>
  <c r="K1059" i="68"/>
  <c r="K820" i="68"/>
  <c r="K804" i="68"/>
  <c r="K796" i="68"/>
  <c r="K788" i="68"/>
  <c r="K676" i="68"/>
  <c r="K667" i="68"/>
  <c r="K659" i="68"/>
  <c r="K651" i="68"/>
  <c r="K572" i="68"/>
  <c r="K564" i="68"/>
  <c r="K555" i="68"/>
  <c r="K547" i="68"/>
  <c r="K539" i="68"/>
  <c r="K412" i="68"/>
  <c r="K404" i="68"/>
  <c r="K387" i="68"/>
  <c r="K380" i="68"/>
  <c r="K1873" i="68"/>
  <c r="K1865" i="68"/>
  <c r="K1857" i="68"/>
  <c r="K1848" i="68"/>
  <c r="K1840" i="68"/>
  <c r="K1833" i="68"/>
  <c r="K1824" i="68"/>
  <c r="K1507" i="68"/>
  <c r="K1499" i="68"/>
  <c r="K1490" i="68"/>
  <c r="K1481" i="68"/>
  <c r="K1473" i="68"/>
  <c r="K1465" i="68"/>
  <c r="K1457" i="68"/>
  <c r="K1319" i="68"/>
  <c r="K1312" i="68"/>
  <c r="K1304" i="68"/>
  <c r="K1296" i="68"/>
  <c r="K1289" i="68"/>
  <c r="K1273" i="68"/>
  <c r="K1113" i="68"/>
  <c r="K1114" i="68" s="1"/>
  <c r="K1106" i="68"/>
  <c r="K1098" i="68"/>
  <c r="K1090" i="68"/>
  <c r="K1081" i="68"/>
  <c r="K1073" i="68"/>
  <c r="K1067" i="68"/>
  <c r="K1058" i="68"/>
  <c r="K828" i="68"/>
  <c r="K829" i="68" s="1"/>
  <c r="K819" i="68"/>
  <c r="K811" i="68"/>
  <c r="K795" i="68"/>
  <c r="K787" i="68"/>
  <c r="K684" i="68"/>
  <c r="K685" i="68" s="1"/>
  <c r="K675" i="68"/>
  <c r="K666" i="68"/>
  <c r="K658" i="68"/>
  <c r="K650" i="68"/>
  <c r="K571" i="68"/>
  <c r="K563" i="68"/>
  <c r="K554" i="68"/>
  <c r="K546" i="68"/>
  <c r="K538" i="68"/>
  <c r="K1881" i="68"/>
  <c r="K1872" i="68"/>
  <c r="K1864" i="68"/>
  <c r="K1856" i="68"/>
  <c r="K1847" i="68"/>
  <c r="K1839" i="68"/>
  <c r="K1823" i="68"/>
  <c r="K1513" i="68"/>
  <c r="K1498" i="68"/>
  <c r="K1489" i="68"/>
  <c r="K1480" i="68"/>
  <c r="K1464" i="68"/>
  <c r="K1318" i="68"/>
  <c r="K1311" i="68"/>
  <c r="K1303" i="68"/>
  <c r="K1295" i="68"/>
  <c r="K1288" i="68"/>
  <c r="K1281" i="68"/>
  <c r="K1272" i="68"/>
  <c r="K1105" i="68"/>
  <c r="K1097" i="68"/>
  <c r="K1089" i="68"/>
  <c r="K1080" i="68"/>
  <c r="K1072" i="68"/>
  <c r="K1057" i="68"/>
  <c r="K818" i="68"/>
  <c r="K810" i="68"/>
  <c r="K803" i="68"/>
  <c r="K794" i="68"/>
  <c r="K1880" i="68"/>
  <c r="K1871" i="68"/>
  <c r="K1863" i="68"/>
  <c r="K1846" i="68"/>
  <c r="K1838" i="68"/>
  <c r="K1830" i="68"/>
  <c r="K1822" i="68"/>
  <c r="K1512" i="68"/>
  <c r="K1504" i="68"/>
  <c r="K1497" i="68"/>
  <c r="K1479" i="68"/>
  <c r="K1472" i="68"/>
  <c r="K1463" i="68"/>
  <c r="K1317" i="68"/>
  <c r="K1310" i="68"/>
  <c r="K1302" i="68"/>
  <c r="K1294" i="68"/>
  <c r="K1287" i="68"/>
  <c r="K1280" i="68"/>
  <c r="K1271" i="68"/>
  <c r="K1110" i="68"/>
  <c r="K1104" i="68"/>
  <c r="K1096" i="68"/>
  <c r="K1088" i="68"/>
  <c r="K1079" i="68"/>
  <c r="K1071" i="68"/>
  <c r="K1064" i="68"/>
  <c r="K1056" i="68"/>
  <c r="K825" i="68"/>
  <c r="K817" i="68"/>
  <c r="K809" i="68"/>
  <c r="K802" i="68"/>
  <c r="K793" i="68"/>
  <c r="K681" i="68"/>
  <c r="K673" i="68"/>
  <c r="K664" i="68"/>
  <c r="K655" i="68"/>
  <c r="K648" i="68"/>
  <c r="K569" i="68"/>
  <c r="K561" i="68"/>
  <c r="K552" i="68"/>
  <c r="K544" i="68"/>
  <c r="K409" i="68"/>
  <c r="K400" i="68"/>
  <c r="K393" i="68"/>
  <c r="K384" i="68"/>
  <c r="K261" i="68"/>
  <c r="K245" i="68"/>
  <c r="K237" i="68"/>
  <c r="K1870" i="68"/>
  <c r="K1862" i="68"/>
  <c r="K1853" i="68"/>
  <c r="K1845" i="68"/>
  <c r="K1837" i="68"/>
  <c r="K1829" i="68"/>
  <c r="K1821" i="68"/>
  <c r="K1503" i="68"/>
  <c r="K1496" i="68"/>
  <c r="K1486" i="68"/>
  <c r="K1478" i="68"/>
  <c r="K1471" i="68"/>
  <c r="K1462" i="68"/>
  <c r="K1309" i="68"/>
  <c r="K1293" i="68"/>
  <c r="K1286" i="68"/>
  <c r="K1279" i="68"/>
  <c r="K1270" i="68"/>
  <c r="K1103" i="68"/>
  <c r="K1095" i="68"/>
  <c r="K1078" i="68"/>
  <c r="K1070" i="68"/>
  <c r="K1063" i="68"/>
  <c r="K1055" i="68"/>
  <c r="K824" i="68"/>
  <c r="K816" i="68"/>
  <c r="K808" i="68"/>
  <c r="K801" i="68"/>
  <c r="K792" i="68"/>
  <c r="K1885" i="68"/>
  <c r="K1877" i="68"/>
  <c r="K1869" i="68"/>
  <c r="K1861" i="68"/>
  <c r="K1852" i="68"/>
  <c r="K1844" i="68"/>
  <c r="K1828" i="68"/>
  <c r="K1820" i="68"/>
  <c r="K1502" i="68"/>
  <c r="K1495" i="68"/>
  <c r="K1485" i="68"/>
  <c r="K1477" i="68"/>
  <c r="K1470" i="68"/>
  <c r="K1461" i="68"/>
  <c r="K1316" i="68"/>
  <c r="K1308" i="68"/>
  <c r="K1301" i="68"/>
  <c r="K1285" i="68"/>
  <c r="K1278" i="68"/>
  <c r="K1269" i="68"/>
  <c r="K1109" i="68"/>
  <c r="K1102" i="68"/>
  <c r="K1094" i="68"/>
  <c r="K1085" i="68"/>
  <c r="K1077" i="68"/>
  <c r="K1062" i="68"/>
  <c r="K1054" i="68"/>
  <c r="K1884" i="68"/>
  <c r="K1876" i="68"/>
  <c r="K1868" i="68"/>
  <c r="K1860" i="68"/>
  <c r="K1851" i="68"/>
  <c r="K1843" i="68"/>
  <c r="K1836" i="68"/>
  <c r="K1827" i="68"/>
  <c r="K1493" i="68"/>
  <c r="K1484" i="68"/>
  <c r="K1476" i="68"/>
  <c r="K1460" i="68"/>
  <c r="K1323" i="68"/>
  <c r="K1315" i="68"/>
  <c r="K1307" i="68"/>
  <c r="K1292" i="68"/>
  <c r="K1284" i="68"/>
  <c r="K1268" i="68"/>
  <c r="K1101" i="68"/>
  <c r="K1093" i="68"/>
  <c r="K1084" i="68"/>
  <c r="K1076" i="68"/>
  <c r="K1069" i="68"/>
  <c r="K1061" i="68"/>
  <c r="K822" i="68"/>
  <c r="K815" i="68"/>
  <c r="K806" i="68"/>
  <c r="K790" i="68"/>
  <c r="K670" i="68"/>
  <c r="K652" i="68"/>
  <c r="K568" i="68"/>
  <c r="K407" i="68"/>
  <c r="K396" i="68"/>
  <c r="K385" i="68"/>
  <c r="K265" i="68"/>
  <c r="K256" i="68"/>
  <c r="K247" i="68"/>
  <c r="K238" i="68"/>
  <c r="K665" i="68"/>
  <c r="K649" i="68"/>
  <c r="K567" i="68"/>
  <c r="K551" i="68"/>
  <c r="K416" i="68"/>
  <c r="K406" i="68"/>
  <c r="K395" i="68"/>
  <c r="K264" i="68"/>
  <c r="K255" i="68"/>
  <c r="K246" i="68"/>
  <c r="K236" i="68"/>
  <c r="K823" i="68"/>
  <c r="K680" i="68"/>
  <c r="K663" i="68"/>
  <c r="K647" i="68"/>
  <c r="K566" i="68"/>
  <c r="K550" i="68"/>
  <c r="K415" i="68"/>
  <c r="K405" i="68"/>
  <c r="K394" i="68"/>
  <c r="K383" i="68"/>
  <c r="K263" i="68"/>
  <c r="K254" i="68"/>
  <c r="K235" i="68"/>
  <c r="K679" i="68"/>
  <c r="K662" i="68"/>
  <c r="K646" i="68"/>
  <c r="K562" i="68"/>
  <c r="K545" i="68"/>
  <c r="K414" i="68"/>
  <c r="K392" i="68"/>
  <c r="K382" i="68"/>
  <c r="K262" i="68"/>
  <c r="K251" i="68"/>
  <c r="K244" i="68"/>
  <c r="K234" i="68"/>
  <c r="K807" i="68"/>
  <c r="K678" i="68"/>
  <c r="K661" i="68"/>
  <c r="K543" i="68"/>
  <c r="K413" i="68"/>
  <c r="K401" i="68"/>
  <c r="K381" i="68"/>
  <c r="K271" i="68"/>
  <c r="K272" i="68" s="1"/>
  <c r="K260" i="68"/>
  <c r="K250" i="68"/>
  <c r="K233" i="68"/>
  <c r="K800" i="68"/>
  <c r="K674" i="68"/>
  <c r="K575" i="68"/>
  <c r="K558" i="68"/>
  <c r="K542" i="68"/>
  <c r="K411" i="68"/>
  <c r="K399" i="68"/>
  <c r="K389" i="68"/>
  <c r="K379" i="68"/>
  <c r="K268" i="68"/>
  <c r="K259" i="68"/>
  <c r="K249" i="68"/>
  <c r="K241" i="68"/>
  <c r="K232" i="68"/>
  <c r="K791" i="68"/>
  <c r="K672" i="68"/>
  <c r="K654" i="68"/>
  <c r="K574" i="68"/>
  <c r="K557" i="68"/>
  <c r="K541" i="68"/>
  <c r="K410" i="68"/>
  <c r="K398" i="68"/>
  <c r="K388" i="68"/>
  <c r="K378" i="68"/>
  <c r="K267" i="68"/>
  <c r="K258" i="68"/>
  <c r="K248" i="68"/>
  <c r="K240" i="68"/>
  <c r="K671" i="68"/>
  <c r="K653" i="68"/>
  <c r="K570" i="68"/>
  <c r="K553" i="68"/>
  <c r="K537" i="68"/>
  <c r="K408" i="68"/>
  <c r="K397" i="68"/>
  <c r="K386" i="68"/>
  <c r="K266" i="68"/>
  <c r="K257" i="68"/>
  <c r="K239" i="68"/>
  <c r="G810" i="68"/>
  <c r="G699" i="114"/>
  <c r="G700" i="114"/>
  <c r="G695" i="114"/>
  <c r="G694" i="114"/>
  <c r="G705" i="114"/>
  <c r="G698" i="114"/>
  <c r="G99" i="115"/>
  <c r="G347" i="114"/>
  <c r="G373" i="114"/>
  <c r="G100" i="114"/>
  <c r="O9" i="3"/>
  <c r="G8" i="103" s="1"/>
  <c r="N25" i="3"/>
  <c r="F255" i="103" s="1"/>
  <c r="F256" i="103" s="1"/>
  <c r="F257" i="103" s="1"/>
  <c r="F262" i="103" s="1"/>
  <c r="F263" i="103" s="1"/>
  <c r="F271" i="103" s="1"/>
  <c r="F272" i="103" s="1"/>
  <c r="F273" i="103" s="1"/>
  <c r="F274" i="103" s="1"/>
  <c r="F275" i="103" s="1"/>
  <c r="F276" i="103" s="1"/>
  <c r="F277" i="103" s="1"/>
  <c r="F278" i="103" s="1"/>
  <c r="F289" i="103" s="1"/>
  <c r="F293" i="103" s="1"/>
  <c r="F302" i="103" s="1"/>
  <c r="F303" i="103" s="1"/>
  <c r="F308" i="103" s="1"/>
  <c r="F309" i="103" s="1"/>
  <c r="F310" i="103" s="1"/>
  <c r="F314" i="103" s="1"/>
  <c r="F316" i="103" s="1"/>
  <c r="F317" i="103" s="1"/>
  <c r="F318" i="103" s="1"/>
  <c r="F320" i="103" s="1"/>
  <c r="F321" i="103" s="1"/>
  <c r="F322" i="103" s="1"/>
  <c r="F324" i="103" s="1"/>
  <c r="F328" i="103" s="1"/>
  <c r="F329" i="103" s="1"/>
  <c r="F334" i="103" s="1"/>
  <c r="F339" i="103" s="1"/>
  <c r="F341" i="103" s="1"/>
  <c r="F359" i="103" s="1"/>
  <c r="F366" i="103" s="1"/>
  <c r="F377" i="103" s="1"/>
  <c r="F379" i="103" s="1"/>
  <c r="F385" i="103" s="1"/>
  <c r="F386" i="103" s="1"/>
  <c r="F387" i="103" s="1"/>
  <c r="F388" i="103" s="1"/>
  <c r="F389" i="103" s="1"/>
  <c r="N26" i="3"/>
  <c r="F258" i="103" s="1"/>
  <c r="F259" i="103" s="1"/>
  <c r="F260" i="103" s="1"/>
  <c r="F261" i="103" s="1"/>
  <c r="U1346" i="68"/>
  <c r="V1346" i="68"/>
  <c r="U1031" i="115"/>
  <c r="V1031" i="115"/>
  <c r="G704" i="114"/>
  <c r="V1512" i="39"/>
  <c r="G716" i="114"/>
  <c r="G1820" i="68"/>
  <c r="G897" i="68"/>
  <c r="G457" i="68"/>
  <c r="G986" i="68"/>
  <c r="R385" i="68"/>
  <c r="S261" i="68"/>
  <c r="G1622" i="68"/>
  <c r="G322" i="68"/>
  <c r="H323" i="68" s="1"/>
  <c r="Q675" i="68"/>
  <c r="G169" i="115"/>
  <c r="G372" i="115"/>
  <c r="G711" i="68"/>
  <c r="G836" i="68"/>
  <c r="G378" i="68"/>
  <c r="G454" i="115"/>
  <c r="G1574" i="68"/>
  <c r="S6" i="114"/>
  <c r="R5" i="115"/>
  <c r="G370" i="115"/>
  <c r="G678" i="115"/>
  <c r="G505" i="115"/>
  <c r="G1837" i="68"/>
  <c r="G545" i="68"/>
  <c r="G1742" i="68"/>
  <c r="G1610" i="68"/>
  <c r="G726" i="68"/>
  <c r="G1528" i="68"/>
  <c r="G987" i="115"/>
  <c r="G938" i="68"/>
  <c r="G1861" i="68"/>
  <c r="G1068" i="68"/>
  <c r="G1361" i="68"/>
  <c r="G966" i="68"/>
  <c r="G852" i="68"/>
  <c r="G1923" i="68"/>
  <c r="G1576" i="68"/>
  <c r="G911" i="68"/>
  <c r="G838" i="68"/>
  <c r="G446" i="115"/>
  <c r="G983" i="115"/>
  <c r="G1178" i="68"/>
  <c r="G1758" i="68"/>
  <c r="G1413" i="68"/>
  <c r="G304" i="68"/>
  <c r="G1365" i="68"/>
  <c r="G1040" i="68"/>
  <c r="G240" i="68"/>
  <c r="N1462" i="68"/>
  <c r="S1462" i="68"/>
  <c r="I792" i="68"/>
  <c r="S649" i="68"/>
  <c r="I1462" i="68"/>
  <c r="N792" i="68"/>
  <c r="M649" i="68"/>
  <c r="Q649" i="68"/>
  <c r="M1462" i="68"/>
  <c r="Q792" i="68"/>
  <c r="J649" i="68"/>
  <c r="R1462" i="68"/>
  <c r="M792" i="68"/>
  <c r="V792" i="68" s="1"/>
  <c r="R792" i="68"/>
  <c r="I649" i="68"/>
  <c r="O649" i="68"/>
  <c r="T1462" i="68"/>
  <c r="Y1462" i="68" s="1"/>
  <c r="Z1462" i="68" s="1"/>
  <c r="Q1462" i="68"/>
  <c r="J792" i="68"/>
  <c r="J1462" i="68"/>
  <c r="O792" i="68"/>
  <c r="R649" i="68"/>
  <c r="N649" i="68"/>
  <c r="O1462" i="68"/>
  <c r="S792" i="68"/>
  <c r="U694" i="68"/>
  <c r="T792" i="68"/>
  <c r="Y792" i="68" s="1"/>
  <c r="Z792" i="68" s="1"/>
  <c r="N439" i="115"/>
  <c r="I439" i="115"/>
  <c r="J439" i="115"/>
  <c r="M439" i="115"/>
  <c r="O439" i="115"/>
  <c r="R439" i="115"/>
  <c r="S439" i="115"/>
  <c r="P439" i="115"/>
  <c r="Q439" i="115"/>
  <c r="G940" i="115"/>
  <c r="G439" i="115"/>
  <c r="G1765" i="68"/>
  <c r="G1694" i="68"/>
  <c r="G585" i="68"/>
  <c r="G51" i="114"/>
  <c r="V1485" i="39"/>
  <c r="G862" i="68"/>
  <c r="V1491" i="39"/>
  <c r="G1671" i="68"/>
  <c r="G401" i="68"/>
  <c r="H402" i="68" s="1"/>
  <c r="G667" i="114"/>
  <c r="G208" i="114"/>
  <c r="G271" i="114"/>
  <c r="P68" i="6"/>
  <c r="V1749" i="39"/>
  <c r="V1761" i="39"/>
  <c r="V1772" i="39"/>
  <c r="V1769" i="39"/>
  <c r="T396" i="115"/>
  <c r="U396" i="115" s="1"/>
  <c r="T498" i="115"/>
  <c r="J396" i="68"/>
  <c r="J647" i="68"/>
  <c r="G1351" i="68"/>
  <c r="G523" i="68"/>
  <c r="G147" i="68"/>
  <c r="R384" i="68"/>
  <c r="T542" i="68"/>
  <c r="Y542" i="68" s="1"/>
  <c r="Z542" i="68" s="1"/>
  <c r="O271" i="68"/>
  <c r="O272" i="68" s="1"/>
  <c r="J248" i="68"/>
  <c r="G1180" i="68"/>
  <c r="G800" i="115"/>
  <c r="G1217" i="68"/>
  <c r="G805" i="68"/>
  <c r="G561" i="68"/>
  <c r="G1121" i="68"/>
  <c r="G279" i="68"/>
  <c r="G976" i="115"/>
  <c r="G305" i="115"/>
  <c r="G499" i="115"/>
  <c r="T554" i="115"/>
  <c r="V554" i="115" s="1"/>
  <c r="T417" i="115"/>
  <c r="U417" i="115" s="1"/>
  <c r="G233" i="68"/>
  <c r="G727" i="68"/>
  <c r="G652" i="68"/>
  <c r="G1827" i="68"/>
  <c r="G871" i="115"/>
  <c r="G244" i="115"/>
  <c r="G718" i="115"/>
  <c r="G1575" i="68"/>
  <c r="G219" i="68"/>
  <c r="G1017" i="68"/>
  <c r="T539" i="115"/>
  <c r="U539" i="115" s="1"/>
  <c r="G841" i="68"/>
  <c r="G297" i="68"/>
  <c r="G1696" i="68"/>
  <c r="G1716" i="68"/>
  <c r="G1521" i="68"/>
  <c r="G1268" i="68"/>
  <c r="T530" i="115"/>
  <c r="U530" i="115" s="1"/>
  <c r="T560" i="115"/>
  <c r="U560" i="115" s="1"/>
  <c r="G478" i="68"/>
  <c r="G1195" i="68"/>
  <c r="V1748" i="39"/>
  <c r="V1770" i="39"/>
  <c r="V1766" i="39"/>
  <c r="V1765" i="39"/>
  <c r="V1776" i="39"/>
  <c r="V1771" i="39"/>
  <c r="V1750" i="39"/>
  <c r="T503" i="115"/>
  <c r="U503" i="115" s="1"/>
  <c r="T512" i="115"/>
  <c r="U512" i="115" s="1"/>
  <c r="G604" i="114"/>
  <c r="V1767" i="39"/>
  <c r="V1764" i="39"/>
  <c r="V1768" i="39"/>
  <c r="V1777" i="39"/>
  <c r="V1760" i="39"/>
  <c r="V1773" i="39"/>
  <c r="T501" i="115"/>
  <c r="V501" i="115" s="1"/>
  <c r="R381" i="68"/>
  <c r="G1271" i="68"/>
  <c r="G1364" i="68"/>
  <c r="V1762" i="39"/>
  <c r="V1774" i="39"/>
  <c r="V1778" i="39"/>
  <c r="Q271" i="68"/>
  <c r="Q272" i="68" s="1"/>
  <c r="O542" i="68"/>
  <c r="M542" i="68"/>
  <c r="V542" i="68" s="1"/>
  <c r="M675" i="68"/>
  <c r="V675" i="68" s="1"/>
  <c r="J667" i="68"/>
  <c r="G2" i="39"/>
  <c r="H2" i="39" s="1"/>
  <c r="I9" i="115"/>
  <c r="I8" i="114"/>
  <c r="G718" i="114"/>
  <c r="V1511" i="39"/>
  <c r="V1763" i="39"/>
  <c r="V1775" i="39"/>
  <c r="V1779" i="39"/>
  <c r="T248" i="68"/>
  <c r="Y248" i="68" s="1"/>
  <c r="Z248" i="68" s="1"/>
  <c r="AB248" i="68" s="1"/>
  <c r="M384" i="68"/>
  <c r="V384" i="68" s="1"/>
  <c r="J384" i="68"/>
  <c r="T520" i="115"/>
  <c r="U520" i="115" s="1"/>
  <c r="O260" i="68"/>
  <c r="T709" i="115"/>
  <c r="U709" i="115" s="1"/>
  <c r="I1130" i="115"/>
  <c r="I1121" i="115"/>
  <c r="I1113" i="115"/>
  <c r="I1105" i="115"/>
  <c r="I1097" i="115"/>
  <c r="I1088" i="115"/>
  <c r="I1080" i="115"/>
  <c r="I1072" i="115"/>
  <c r="I1063" i="115"/>
  <c r="I1055" i="115"/>
  <c r="I490" i="115"/>
  <c r="I480" i="115"/>
  <c r="I481" i="115" s="1"/>
  <c r="I471" i="115"/>
  <c r="I463" i="115"/>
  <c r="I454" i="115"/>
  <c r="I446" i="115"/>
  <c r="I437" i="115"/>
  <c r="I344" i="115"/>
  <c r="I336" i="115"/>
  <c r="I327" i="115"/>
  <c r="I319" i="115"/>
  <c r="I311" i="115"/>
  <c r="I302" i="115"/>
  <c r="I1129" i="115"/>
  <c r="I1120" i="115"/>
  <c r="I1112" i="115"/>
  <c r="I1104" i="115"/>
  <c r="I1096" i="115"/>
  <c r="I1087" i="115"/>
  <c r="I1079" i="115"/>
  <c r="I1071" i="115"/>
  <c r="I1062" i="115"/>
  <c r="I1054" i="115"/>
  <c r="I489" i="115"/>
  <c r="I470" i="115"/>
  <c r="I462" i="115"/>
  <c r="I453" i="115"/>
  <c r="I445" i="115"/>
  <c r="I436" i="115"/>
  <c r="I361" i="115"/>
  <c r="I351" i="115"/>
  <c r="I343" i="115"/>
  <c r="I335" i="115"/>
  <c r="I326" i="115"/>
  <c r="I318" i="115"/>
  <c r="I301" i="115"/>
  <c r="I182" i="115"/>
  <c r="I173" i="115"/>
  <c r="I165" i="115"/>
  <c r="I156" i="115"/>
  <c r="I174" i="115"/>
  <c r="I157" i="115"/>
  <c r="I1137" i="115"/>
  <c r="I1128" i="115"/>
  <c r="I1119" i="115"/>
  <c r="I1111" i="115"/>
  <c r="I1103" i="115"/>
  <c r="I1086" i="115"/>
  <c r="I1078" i="115"/>
  <c r="I1070" i="115"/>
  <c r="I1061" i="115"/>
  <c r="I1053" i="115"/>
  <c r="I488" i="115"/>
  <c r="I477" i="115"/>
  <c r="I469" i="115"/>
  <c r="I452" i="115"/>
  <c r="I444" i="115"/>
  <c r="I435" i="115"/>
  <c r="I360" i="115"/>
  <c r="I350" i="115"/>
  <c r="I342" i="115"/>
  <c r="I325" i="115"/>
  <c r="I317" i="115"/>
  <c r="I308" i="115"/>
  <c r="I189" i="115"/>
  <c r="I181" i="115"/>
  <c r="I172" i="115"/>
  <c r="I164" i="115"/>
  <c r="I155" i="115"/>
  <c r="I1136" i="115"/>
  <c r="I1127" i="115"/>
  <c r="I1118" i="115"/>
  <c r="I1110" i="115"/>
  <c r="I1102" i="115"/>
  <c r="I1093" i="115"/>
  <c r="I1085" i="115"/>
  <c r="I1077" i="115"/>
  <c r="I1069" i="115"/>
  <c r="I1060" i="115"/>
  <c r="I1052" i="115"/>
  <c r="I476" i="115"/>
  <c r="I468" i="115"/>
  <c r="I459" i="115"/>
  <c r="I451" i="115"/>
  <c r="I434" i="115"/>
  <c r="I349" i="115"/>
  <c r="I341" i="115"/>
  <c r="I332" i="115"/>
  <c r="I324" i="115"/>
  <c r="I316" i="115"/>
  <c r="I307" i="115"/>
  <c r="I188" i="115"/>
  <c r="I180" i="115"/>
  <c r="I171" i="115"/>
  <c r="I163" i="115"/>
  <c r="I154" i="115"/>
  <c r="I184" i="115"/>
  <c r="I158" i="115"/>
  <c r="I1135" i="115"/>
  <c r="I1117" i="115"/>
  <c r="I1109" i="115"/>
  <c r="I1101" i="115"/>
  <c r="I1092" i="115"/>
  <c r="I1084" i="115"/>
  <c r="I1076" i="115"/>
  <c r="I1068" i="115"/>
  <c r="I1059" i="115"/>
  <c r="I485" i="115"/>
  <c r="I475" i="115"/>
  <c r="I467" i="115"/>
  <c r="I458" i="115"/>
  <c r="I450" i="115"/>
  <c r="I441" i="115"/>
  <c r="I357" i="115"/>
  <c r="I348" i="115"/>
  <c r="I340" i="115"/>
  <c r="I331" i="115"/>
  <c r="I323" i="115"/>
  <c r="I315" i="115"/>
  <c r="I306" i="115"/>
  <c r="I187" i="115"/>
  <c r="I179" i="115"/>
  <c r="I170" i="115"/>
  <c r="I162" i="115"/>
  <c r="I153" i="115"/>
  <c r="I175" i="115"/>
  <c r="I167" i="115"/>
  <c r="I1134" i="115"/>
  <c r="I1124" i="115"/>
  <c r="I1116" i="115"/>
  <c r="I1108" i="115"/>
  <c r="I1100" i="115"/>
  <c r="I1091" i="115"/>
  <c r="I1083" i="115"/>
  <c r="I1075" i="115"/>
  <c r="I1067" i="115"/>
  <c r="I1058" i="115"/>
  <c r="I484" i="115"/>
  <c r="I474" i="115"/>
  <c r="I466" i="115"/>
  <c r="I457" i="115"/>
  <c r="I449" i="115"/>
  <c r="I440" i="115"/>
  <c r="I356" i="115"/>
  <c r="I347" i="115"/>
  <c r="I339" i="115"/>
  <c r="I330" i="115"/>
  <c r="I322" i="115"/>
  <c r="I314" i="115"/>
  <c r="I305" i="115"/>
  <c r="I186" i="115"/>
  <c r="I178" i="115"/>
  <c r="I169" i="115"/>
  <c r="I152" i="115"/>
  <c r="I1123" i="115"/>
  <c r="I1115" i="115"/>
  <c r="I1107" i="115"/>
  <c r="I1099" i="115"/>
  <c r="I1090" i="115"/>
  <c r="I1082" i="115"/>
  <c r="I1074" i="115"/>
  <c r="I1066" i="115"/>
  <c r="I1057" i="115"/>
  <c r="I483" i="115"/>
  <c r="I473" i="115"/>
  <c r="I465" i="115"/>
  <c r="I456" i="115"/>
  <c r="I448" i="115"/>
  <c r="I355" i="115"/>
  <c r="I346" i="115"/>
  <c r="I338" i="115"/>
  <c r="I329" i="115"/>
  <c r="I321" i="115"/>
  <c r="I313" i="115"/>
  <c r="I304" i="115"/>
  <c r="I185" i="115"/>
  <c r="I168" i="115"/>
  <c r="I159" i="115"/>
  <c r="I151" i="115"/>
  <c r="I1131" i="115"/>
  <c r="I1122" i="115"/>
  <c r="I1114" i="115"/>
  <c r="I1106" i="115"/>
  <c r="I1098" i="115"/>
  <c r="I1089" i="115"/>
  <c r="I1081" i="115"/>
  <c r="I1073" i="115"/>
  <c r="I1056" i="115"/>
  <c r="I472" i="115"/>
  <c r="I464" i="115"/>
  <c r="I455" i="115"/>
  <c r="I447" i="115"/>
  <c r="I438" i="115"/>
  <c r="I354" i="115"/>
  <c r="I345" i="115"/>
  <c r="I337" i="115"/>
  <c r="I328" i="115"/>
  <c r="I320" i="115"/>
  <c r="I312" i="115"/>
  <c r="I303" i="115"/>
  <c r="I183" i="115"/>
  <c r="I166" i="115"/>
  <c r="I1875" i="68"/>
  <c r="I1867" i="68"/>
  <c r="I1859" i="68"/>
  <c r="I1850" i="68"/>
  <c r="I1842" i="68"/>
  <c r="I1835" i="68"/>
  <c r="I1826" i="68"/>
  <c r="I1509" i="68"/>
  <c r="I1501" i="68"/>
  <c r="I1492" i="68"/>
  <c r="I1483" i="68"/>
  <c r="I1475" i="68"/>
  <c r="I1467" i="68"/>
  <c r="I1458" i="68"/>
  <c r="I1313" i="68"/>
  <c r="I1305" i="68"/>
  <c r="I1297" i="68"/>
  <c r="I1290" i="68"/>
  <c r="I1282" i="68"/>
  <c r="I1274" i="68"/>
  <c r="I1113" i="68"/>
  <c r="I1114" i="68" s="1"/>
  <c r="I1106" i="68"/>
  <c r="I1098" i="68"/>
  <c r="I1090" i="68"/>
  <c r="I1081" i="68"/>
  <c r="I1073" i="68"/>
  <c r="I1067" i="68"/>
  <c r="I1058" i="68"/>
  <c r="I828" i="68"/>
  <c r="I829" i="68" s="1"/>
  <c r="I819" i="68"/>
  <c r="I811" i="68"/>
  <c r="I795" i="68"/>
  <c r="I674" i="68"/>
  <c r="I665" i="68"/>
  <c r="I648" i="68"/>
  <c r="I568" i="68"/>
  <c r="I543" i="68"/>
  <c r="I1874" i="68"/>
  <c r="I1866" i="68"/>
  <c r="I1858" i="68"/>
  <c r="I1849" i="68"/>
  <c r="I1841" i="68"/>
  <c r="I1834" i="68"/>
  <c r="I1825" i="68"/>
  <c r="I1508" i="68"/>
  <c r="I1500" i="68"/>
  <c r="I1491" i="68"/>
  <c r="I1482" i="68"/>
  <c r="I1474" i="68"/>
  <c r="I1466" i="68"/>
  <c r="I1457" i="68"/>
  <c r="I1319" i="68"/>
  <c r="I1312" i="68"/>
  <c r="I1304" i="68"/>
  <c r="I1296" i="68"/>
  <c r="I1289" i="68"/>
  <c r="I1273" i="68"/>
  <c r="I1105" i="68"/>
  <c r="I1097" i="68"/>
  <c r="I1089" i="68"/>
  <c r="I1080" i="68"/>
  <c r="I1072" i="68"/>
  <c r="I1057" i="68"/>
  <c r="I818" i="68"/>
  <c r="I810" i="68"/>
  <c r="I803" i="68"/>
  <c r="I794" i="68"/>
  <c r="I681" i="68"/>
  <c r="I673" i="68"/>
  <c r="I664" i="68"/>
  <c r="I655" i="68"/>
  <c r="I647" i="68"/>
  <c r="I575" i="68"/>
  <c r="I567" i="68"/>
  <c r="I558" i="68"/>
  <c r="I551" i="68"/>
  <c r="I542" i="68"/>
  <c r="I415" i="68"/>
  <c r="I407" i="68"/>
  <c r="I398" i="68"/>
  <c r="I383" i="68"/>
  <c r="I267" i="68"/>
  <c r="I259" i="68"/>
  <c r="I250" i="68"/>
  <c r="I244" i="68"/>
  <c r="I235" i="68"/>
  <c r="I1873" i="68"/>
  <c r="I1865" i="68"/>
  <c r="I1857" i="68"/>
  <c r="I1848" i="68"/>
  <c r="I1840" i="68"/>
  <c r="I1833" i="68"/>
  <c r="I1824" i="68"/>
  <c r="I1507" i="68"/>
  <c r="I1499" i="68"/>
  <c r="I1490" i="68"/>
  <c r="I1481" i="68"/>
  <c r="I1473" i="68"/>
  <c r="I1465" i="68"/>
  <c r="I1318" i="68"/>
  <c r="I1311" i="68"/>
  <c r="I1303" i="68"/>
  <c r="I1295" i="68"/>
  <c r="I1288" i="68"/>
  <c r="I1281" i="68"/>
  <c r="I1272" i="68"/>
  <c r="I1110" i="68"/>
  <c r="I1104" i="68"/>
  <c r="I1096" i="68"/>
  <c r="I1088" i="68"/>
  <c r="I1079" i="68"/>
  <c r="I1071" i="68"/>
  <c r="I1064" i="68"/>
  <c r="I1056" i="68"/>
  <c r="I825" i="68"/>
  <c r="I817" i="68"/>
  <c r="I809" i="68"/>
  <c r="I802" i="68"/>
  <c r="I793" i="68"/>
  <c r="I1881" i="68"/>
  <c r="I1872" i="68"/>
  <c r="I1864" i="68"/>
  <c r="I1856" i="68"/>
  <c r="I1847" i="68"/>
  <c r="I1839" i="68"/>
  <c r="I1823" i="68"/>
  <c r="I1513" i="68"/>
  <c r="I1498" i="68"/>
  <c r="I1489" i="68"/>
  <c r="I1480" i="68"/>
  <c r="I1464" i="68"/>
  <c r="I1317" i="68"/>
  <c r="I1310" i="68"/>
  <c r="I1302" i="68"/>
  <c r="I1294" i="68"/>
  <c r="I1287" i="68"/>
  <c r="I1280" i="68"/>
  <c r="I1271" i="68"/>
  <c r="I1103" i="68"/>
  <c r="I1095" i="68"/>
  <c r="I1078" i="68"/>
  <c r="I1070" i="68"/>
  <c r="I1063" i="68"/>
  <c r="I1055" i="68"/>
  <c r="I824" i="68"/>
  <c r="I816" i="68"/>
  <c r="I808" i="68"/>
  <c r="I801" i="68"/>
  <c r="I791" i="68"/>
  <c r="I1880" i="68"/>
  <c r="I1871" i="68"/>
  <c r="I1863" i="68"/>
  <c r="I1846" i="68"/>
  <c r="I1838" i="68"/>
  <c r="I1830" i="68"/>
  <c r="I1822" i="68"/>
  <c r="I1512" i="68"/>
  <c r="I1504" i="68"/>
  <c r="I1497" i="68"/>
  <c r="I1479" i="68"/>
  <c r="I1472" i="68"/>
  <c r="I1463" i="68"/>
  <c r="I1309" i="68"/>
  <c r="I1293" i="68"/>
  <c r="I1286" i="68"/>
  <c r="I1279" i="68"/>
  <c r="I1270" i="68"/>
  <c r="I1109" i="68"/>
  <c r="I1102" i="68"/>
  <c r="I1094" i="68"/>
  <c r="I1085" i="68"/>
  <c r="I1077" i="68"/>
  <c r="I1062" i="68"/>
  <c r="I1054" i="68"/>
  <c r="I823" i="68"/>
  <c r="I807" i="68"/>
  <c r="I800" i="68"/>
  <c r="I790" i="68"/>
  <c r="I678" i="68"/>
  <c r="I670" i="68"/>
  <c r="I661" i="68"/>
  <c r="I652" i="68"/>
  <c r="I572" i="68"/>
  <c r="I564" i="68"/>
  <c r="I555" i="68"/>
  <c r="I547" i="68"/>
  <c r="I539" i="68"/>
  <c r="I412" i="68"/>
  <c r="I404" i="68"/>
  <c r="I387" i="68"/>
  <c r="I380" i="68"/>
  <c r="I1870" i="68"/>
  <c r="I1862" i="68"/>
  <c r="I1853" i="68"/>
  <c r="I1845" i="68"/>
  <c r="I1837" i="68"/>
  <c r="I1829" i="68"/>
  <c r="I1821" i="68"/>
  <c r="I1503" i="68"/>
  <c r="I1496" i="68"/>
  <c r="I1486" i="68"/>
  <c r="I1478" i="68"/>
  <c r="I1471" i="68"/>
  <c r="I1461" i="68"/>
  <c r="I1316" i="68"/>
  <c r="I1308" i="68"/>
  <c r="I1301" i="68"/>
  <c r="I1285" i="68"/>
  <c r="I1278" i="68"/>
  <c r="I1269" i="68"/>
  <c r="I1101" i="68"/>
  <c r="I1093" i="68"/>
  <c r="I1084" i="68"/>
  <c r="I1076" i="68"/>
  <c r="I1069" i="68"/>
  <c r="I1061" i="68"/>
  <c r="I822" i="68"/>
  <c r="I815" i="68"/>
  <c r="I806" i="68"/>
  <c r="I789" i="68"/>
  <c r="I677" i="68"/>
  <c r="I660" i="68"/>
  <c r="I571" i="68"/>
  <c r="I563" i="68"/>
  <c r="I554" i="68"/>
  <c r="I546" i="68"/>
  <c r="I538" i="68"/>
  <c r="I411" i="68"/>
  <c r="I395" i="68"/>
  <c r="I386" i="68"/>
  <c r="I379" i="68"/>
  <c r="I263" i="68"/>
  <c r="I255" i="68"/>
  <c r="I247" i="68"/>
  <c r="I239" i="68"/>
  <c r="I1885" i="68"/>
  <c r="I1877" i="68"/>
  <c r="I1869" i="68"/>
  <c r="I1861" i="68"/>
  <c r="I1852" i="68"/>
  <c r="I1844" i="68"/>
  <c r="I1828" i="68"/>
  <c r="I1820" i="68"/>
  <c r="I1502" i="68"/>
  <c r="I1495" i="68"/>
  <c r="I1485" i="68"/>
  <c r="I1477" i="68"/>
  <c r="I1470" i="68"/>
  <c r="I1460" i="68"/>
  <c r="I1884" i="68"/>
  <c r="I1876" i="68"/>
  <c r="I1868" i="68"/>
  <c r="I1860" i="68"/>
  <c r="I1851" i="68"/>
  <c r="I1843" i="68"/>
  <c r="I1836" i="68"/>
  <c r="I1827" i="68"/>
  <c r="I1493" i="68"/>
  <c r="I1484" i="68"/>
  <c r="I1476" i="68"/>
  <c r="I1459" i="68"/>
  <c r="I1322" i="68"/>
  <c r="I1314" i="68"/>
  <c r="I1306" i="68"/>
  <c r="I1298" i="68"/>
  <c r="I1291" i="68"/>
  <c r="I1283" i="68"/>
  <c r="I1275" i="68"/>
  <c r="I1267" i="68"/>
  <c r="I1107" i="68"/>
  <c r="I1099" i="68"/>
  <c r="I1091" i="68"/>
  <c r="I1082" i="68"/>
  <c r="I1074" i="68"/>
  <c r="I1059" i="68"/>
  <c r="I820" i="68"/>
  <c r="I804" i="68"/>
  <c r="I796" i="68"/>
  <c r="I787" i="68"/>
  <c r="I684" i="68"/>
  <c r="I685" i="68" s="1"/>
  <c r="I675" i="68"/>
  <c r="I666" i="68"/>
  <c r="I658" i="68"/>
  <c r="I650" i="68"/>
  <c r="I569" i="68"/>
  <c r="I561" i="68"/>
  <c r="I552" i="68"/>
  <c r="I544" i="68"/>
  <c r="I1075" i="68"/>
  <c r="I788" i="68"/>
  <c r="I671" i="68"/>
  <c r="I646" i="68"/>
  <c r="I556" i="68"/>
  <c r="I410" i="68"/>
  <c r="I397" i="68"/>
  <c r="I384" i="68"/>
  <c r="I268" i="68"/>
  <c r="I257" i="68"/>
  <c r="I246" i="68"/>
  <c r="I236" i="68"/>
  <c r="I1292" i="68"/>
  <c r="I1068" i="68"/>
  <c r="I667" i="68"/>
  <c r="I574" i="68"/>
  <c r="I553" i="68"/>
  <c r="I409" i="68"/>
  <c r="I396" i="68"/>
  <c r="I266" i="68"/>
  <c r="I256" i="68"/>
  <c r="I245" i="68"/>
  <c r="I234" i="68"/>
  <c r="I1284" i="68"/>
  <c r="I1060" i="68"/>
  <c r="I663" i="68"/>
  <c r="I573" i="68"/>
  <c r="I550" i="68"/>
  <c r="I408" i="68"/>
  <c r="I394" i="68"/>
  <c r="I382" i="68"/>
  <c r="I265" i="68"/>
  <c r="I254" i="68"/>
  <c r="I233" i="68"/>
  <c r="I264" i="68"/>
  <c r="I232" i="68"/>
  <c r="I662" i="68"/>
  <c r="I570" i="68"/>
  <c r="I406" i="68"/>
  <c r="I393" i="68"/>
  <c r="I381" i="68"/>
  <c r="I1268" i="68"/>
  <c r="I1108" i="68"/>
  <c r="I821" i="68"/>
  <c r="I680" i="68"/>
  <c r="I659" i="68"/>
  <c r="I566" i="68"/>
  <c r="I545" i="68"/>
  <c r="I405" i="68"/>
  <c r="I392" i="68"/>
  <c r="I378" i="68"/>
  <c r="I262" i="68"/>
  <c r="I251" i="68"/>
  <c r="I241" i="68"/>
  <c r="I1323" i="68"/>
  <c r="I1100" i="68"/>
  <c r="I814" i="68"/>
  <c r="I679" i="68"/>
  <c r="I654" i="68"/>
  <c r="I565" i="68"/>
  <c r="I541" i="68"/>
  <c r="I416" i="68"/>
  <c r="I401" i="68"/>
  <c r="I389" i="68"/>
  <c r="I261" i="68"/>
  <c r="I249" i="68"/>
  <c r="I240" i="68"/>
  <c r="I1315" i="68"/>
  <c r="I1092" i="68"/>
  <c r="I805" i="68"/>
  <c r="I676" i="68"/>
  <c r="I653" i="68"/>
  <c r="I562" i="68"/>
  <c r="I540" i="68"/>
  <c r="I414" i="68"/>
  <c r="I400" i="68"/>
  <c r="I388" i="68"/>
  <c r="I271" i="68"/>
  <c r="I272" i="68" s="1"/>
  <c r="I260" i="68"/>
  <c r="I248" i="68"/>
  <c r="I238" i="68"/>
  <c r="I1307" i="68"/>
  <c r="I1083" i="68"/>
  <c r="I797" i="68"/>
  <c r="I672" i="68"/>
  <c r="I651" i="68"/>
  <c r="I557" i="68"/>
  <c r="I537" i="68"/>
  <c r="I413" i="68"/>
  <c r="I399" i="68"/>
  <c r="I385" i="68"/>
  <c r="I258" i="68"/>
  <c r="I237" i="68"/>
  <c r="U747" i="114"/>
  <c r="V747" i="114"/>
  <c r="V709" i="115"/>
  <c r="U212" i="115"/>
  <c r="V212" i="115"/>
  <c r="T567" i="115"/>
  <c r="V567" i="115" s="1"/>
  <c r="T665" i="115"/>
  <c r="U665" i="115" s="1"/>
  <c r="G1481" i="68"/>
  <c r="G1273" i="68"/>
  <c r="G795" i="68"/>
  <c r="G1078" i="68"/>
  <c r="G589" i="68"/>
  <c r="G836" i="115"/>
  <c r="G1539" i="68"/>
  <c r="G1062" i="68"/>
  <c r="G557" i="68"/>
  <c r="G1721" i="68"/>
  <c r="G256" i="68"/>
  <c r="G120" i="68"/>
  <c r="AN27" i="6"/>
  <c r="AO27" i="6" s="1"/>
  <c r="D141" i="6"/>
  <c r="G1309" i="68"/>
  <c r="G1018" i="68"/>
  <c r="G818" i="68"/>
  <c r="G982" i="115"/>
  <c r="G125" i="115"/>
  <c r="G98" i="115"/>
  <c r="G1099" i="68"/>
  <c r="G1031" i="68"/>
  <c r="G940" i="68"/>
  <c r="G341" i="68"/>
  <c r="G108" i="68"/>
  <c r="G1587" i="68"/>
  <c r="H1588" i="68" s="1"/>
  <c r="G294" i="68"/>
  <c r="G1527" i="68"/>
  <c r="G1310" i="68"/>
  <c r="G931" i="68"/>
  <c r="V1746" i="39"/>
  <c r="V1735" i="39"/>
  <c r="G356" i="115"/>
  <c r="G726" i="114"/>
  <c r="V1756" i="39"/>
  <c r="G1168" i="68"/>
  <c r="G424" i="68"/>
  <c r="G1860" i="68"/>
  <c r="G1296" i="68"/>
  <c r="V1753" i="39"/>
  <c r="V1759" i="39"/>
  <c r="G245" i="68"/>
  <c r="G749" i="114"/>
  <c r="G483" i="115"/>
  <c r="G830" i="115"/>
  <c r="G1628" i="68"/>
  <c r="H1629" i="68" s="1"/>
  <c r="G1497" i="68"/>
  <c r="G1746" i="68"/>
  <c r="G819" i="68"/>
  <c r="R6" i="114"/>
  <c r="G350" i="115"/>
  <c r="G1437" i="68"/>
  <c r="G1501" i="68"/>
  <c r="G164" i="68"/>
  <c r="G480" i="115"/>
  <c r="H481" i="115" s="1"/>
  <c r="G646" i="68"/>
  <c r="G165" i="115"/>
  <c r="G975" i="115"/>
  <c r="G1174" i="68"/>
  <c r="G1661" i="68"/>
  <c r="G1359" i="68"/>
  <c r="G434" i="68"/>
  <c r="H438" i="68" s="1"/>
  <c r="G392" i="68"/>
  <c r="G160" i="68"/>
  <c r="G1702" i="68"/>
  <c r="G1470" i="68"/>
  <c r="G1278" i="68"/>
  <c r="G499" i="114"/>
  <c r="G56" i="115"/>
  <c r="G1899" i="68"/>
  <c r="H1900" i="68" s="1"/>
  <c r="G1833" i="68"/>
  <c r="G495" i="68"/>
  <c r="G1691" i="68"/>
  <c r="G800" i="68"/>
  <c r="G278" i="68"/>
  <c r="G1602" i="68"/>
  <c r="G1520" i="68"/>
  <c r="G936" i="68"/>
  <c r="G1023" i="68"/>
  <c r="G925" i="68"/>
  <c r="G334" i="68"/>
  <c r="G232" i="68"/>
  <c r="G423" i="68"/>
  <c r="G1011" i="68"/>
  <c r="G550" i="68"/>
  <c r="G583" i="68"/>
  <c r="G1120" i="68"/>
  <c r="G829" i="115"/>
  <c r="G1067" i="68"/>
  <c r="G691" i="68"/>
  <c r="G1651" i="68"/>
  <c r="G1131" i="68"/>
  <c r="G619" i="68"/>
  <c r="G892" i="68"/>
  <c r="G312" i="68"/>
  <c r="H313" i="68" s="1"/>
  <c r="G410" i="114"/>
  <c r="G379" i="114"/>
  <c r="G733" i="68"/>
  <c r="G638" i="68"/>
  <c r="G787" i="68"/>
  <c r="G1308" i="68"/>
  <c r="G881" i="68"/>
  <c r="G1532" i="68"/>
  <c r="G469" i="68"/>
  <c r="G188" i="68"/>
  <c r="G1054" i="68"/>
  <c r="G498" i="115"/>
  <c r="G1400" i="68"/>
  <c r="G847" i="68"/>
  <c r="G515" i="68"/>
  <c r="G1372" i="68"/>
  <c r="G1457" i="68"/>
  <c r="G1267" i="68"/>
  <c r="G721" i="68"/>
  <c r="G1584" i="68"/>
  <c r="G978" i="68"/>
  <c r="G1331" i="68"/>
  <c r="G1614" i="68"/>
  <c r="G364" i="68"/>
  <c r="G148" i="68"/>
  <c r="H149" i="68" s="1"/>
  <c r="G467" i="114"/>
  <c r="G658" i="68"/>
  <c r="G50" i="114"/>
  <c r="G151" i="115"/>
  <c r="G170" i="68"/>
  <c r="G288" i="68"/>
  <c r="G220" i="68"/>
  <c r="H221" i="68" s="1"/>
  <c r="G1218" i="68"/>
  <c r="G196" i="68"/>
  <c r="H197" i="68" s="1"/>
  <c r="G101" i="68"/>
  <c r="S675" i="68"/>
  <c r="Q647" i="68"/>
  <c r="J251" i="68"/>
  <c r="J665" i="68"/>
  <c r="J385" i="68"/>
  <c r="Q261" i="68"/>
  <c r="J260" i="68"/>
  <c r="R261" i="68"/>
  <c r="T385" i="68"/>
  <c r="S647" i="68"/>
  <c r="R260" i="68"/>
  <c r="R542" i="68"/>
  <c r="J245" i="68"/>
  <c r="J261" i="68"/>
  <c r="S384" i="68"/>
  <c r="S542" i="68"/>
  <c r="R675" i="68"/>
  <c r="M261" i="68"/>
  <c r="V261" i="68" s="1"/>
  <c r="Q385" i="68"/>
  <c r="Q542" i="68"/>
  <c r="J675" i="68"/>
  <c r="S260" i="68"/>
  <c r="J660" i="68"/>
  <c r="T261" i="68"/>
  <c r="Y261" i="68" s="1"/>
  <c r="Z261" i="68" s="1"/>
  <c r="AB261" i="68" s="1"/>
  <c r="O261" i="68"/>
  <c r="G662" i="115"/>
  <c r="G307" i="115"/>
  <c r="G843" i="115"/>
  <c r="G1339" i="68"/>
  <c r="G1056" i="68"/>
  <c r="G1542" i="68"/>
  <c r="G723" i="68"/>
  <c r="G192" i="68"/>
  <c r="G1188" i="68"/>
  <c r="G290" i="68"/>
  <c r="G1623" i="68"/>
  <c r="G1136" i="68"/>
  <c r="G1540" i="68"/>
  <c r="G142" i="68"/>
  <c r="G501" i="114"/>
  <c r="G979" i="68"/>
  <c r="G587" i="68"/>
  <c r="G465" i="68"/>
  <c r="G226" i="115"/>
  <c r="G810" i="115"/>
  <c r="G1826" i="68"/>
  <c r="G1406" i="68"/>
  <c r="G519" i="68"/>
  <c r="G1616" i="68"/>
  <c r="G1269" i="68"/>
  <c r="G1079" i="68"/>
  <c r="G1028" i="68"/>
  <c r="G430" i="68"/>
  <c r="G280" i="68"/>
  <c r="G573" i="68"/>
  <c r="G380" i="68"/>
  <c r="G237" i="68"/>
  <c r="G166" i="68"/>
  <c r="G1829" i="68"/>
  <c r="G1122" i="68"/>
  <c r="G342" i="68"/>
  <c r="G289" i="68"/>
  <c r="G872" i="115"/>
  <c r="G1184" i="68"/>
  <c r="G595" i="68"/>
  <c r="G729" i="68"/>
  <c r="G1607" i="68"/>
  <c r="G1533" i="68"/>
  <c r="G796" i="68"/>
  <c r="G807" i="68"/>
  <c r="G1499" i="68"/>
  <c r="G1604" i="68"/>
  <c r="G424" i="114"/>
  <c r="G1344" i="68"/>
  <c r="G1176" i="68"/>
  <c r="G1799" i="68"/>
  <c r="G1070" i="68"/>
  <c r="G1013" i="68"/>
  <c r="G1653" i="68"/>
  <c r="G1809" i="68"/>
  <c r="H1810" i="68" s="1"/>
  <c r="G1693" i="68"/>
  <c r="G793" i="68"/>
  <c r="G663" i="68"/>
  <c r="G1580" i="68"/>
  <c r="G1476" i="68"/>
  <c r="G1336" i="68"/>
  <c r="G697" i="68"/>
  <c r="G215" i="68"/>
  <c r="G1373" i="68"/>
  <c r="G1132" i="68"/>
  <c r="G1789" i="68"/>
  <c r="G1535" i="68"/>
  <c r="G1207" i="68"/>
  <c r="H1208" i="68" s="1"/>
  <c r="G459" i="68"/>
  <c r="G436" i="114"/>
  <c r="G1751" i="68"/>
  <c r="G977" i="68"/>
  <c r="G811" i="68"/>
  <c r="H812" i="68" s="1"/>
  <c r="G396" i="68"/>
  <c r="G103" i="68"/>
  <c r="G212" i="68"/>
  <c r="G560" i="115"/>
  <c r="G250" i="115"/>
  <c r="G837" i="115"/>
  <c r="G158" i="115"/>
  <c r="G1747" i="68"/>
  <c r="G700" i="68"/>
  <c r="G825" i="68"/>
  <c r="H826" i="68" s="1"/>
  <c r="G654" i="68"/>
  <c r="G1459" i="68"/>
  <c r="G1291" i="68"/>
  <c r="G804" i="68"/>
  <c r="G1785" i="68"/>
  <c r="G1473" i="68"/>
  <c r="G1274" i="68"/>
  <c r="G1019" i="68"/>
  <c r="G893" i="68"/>
  <c r="G864" i="68"/>
  <c r="G384" i="68"/>
  <c r="G469" i="114"/>
  <c r="G412" i="114"/>
  <c r="G1243" i="68"/>
  <c r="G1919" i="68"/>
  <c r="G1219" i="68"/>
  <c r="G932" i="68"/>
  <c r="G1368" i="68"/>
  <c r="G552" i="68"/>
  <c r="G1822" i="68"/>
  <c r="G789" i="68"/>
  <c r="G295" i="68"/>
  <c r="G1466" i="68"/>
  <c r="G927" i="68"/>
  <c r="G734" i="68"/>
  <c r="G539" i="68"/>
  <c r="G284" i="68"/>
  <c r="G1846" i="68"/>
  <c r="G425" i="68"/>
  <c r="G162" i="68"/>
  <c r="G507" i="114"/>
  <c r="G1063" i="68"/>
  <c r="G622" i="68"/>
  <c r="G193" i="114"/>
  <c r="G1106" i="68"/>
  <c r="G473" i="115"/>
  <c r="G152" i="115"/>
  <c r="G1745" i="68"/>
  <c r="G1404" i="68"/>
  <c r="G1332" i="68"/>
  <c r="G1295" i="68"/>
  <c r="G794" i="68"/>
  <c r="G930" i="68"/>
  <c r="G566" i="68"/>
  <c r="G1760" i="68"/>
  <c r="G1272" i="68"/>
  <c r="G1061" i="68"/>
  <c r="G1608" i="68"/>
  <c r="G416" i="114"/>
  <c r="G1692" i="68"/>
  <c r="G386" i="68"/>
  <c r="G994" i="115"/>
  <c r="H995" i="115" s="1"/>
  <c r="G692" i="115"/>
  <c r="H693" i="115" s="1"/>
  <c r="G1419" i="68"/>
  <c r="G503" i="68"/>
  <c r="G1796" i="68"/>
  <c r="H1797" i="68" s="1"/>
  <c r="G659" i="68"/>
  <c r="G1603" i="68"/>
  <c r="G1366" i="68"/>
  <c r="G1125" i="68"/>
  <c r="G1082" i="68"/>
  <c r="G588" i="68"/>
  <c r="G190" i="68"/>
  <c r="G1401" i="68"/>
  <c r="G282" i="68"/>
  <c r="G1593" i="68"/>
  <c r="G872" i="68"/>
  <c r="G627" i="68"/>
  <c r="H628" i="68" s="1"/>
  <c r="G161" i="68"/>
  <c r="G1821" i="68"/>
  <c r="G1360" i="68"/>
  <c r="G965" i="68"/>
  <c r="G882" i="68"/>
  <c r="G428" i="68"/>
  <c r="G107" i="68"/>
  <c r="G855" i="68"/>
  <c r="G1741" i="68"/>
  <c r="G1189" i="68"/>
  <c r="G1108" i="68"/>
  <c r="G538" i="68"/>
  <c r="G1486" i="68"/>
  <c r="H1487" i="68" s="1"/>
  <c r="G926" i="68"/>
  <c r="G1464" i="68"/>
  <c r="G1055" i="68"/>
  <c r="G666" i="68"/>
  <c r="G1652" i="68"/>
  <c r="G1549" i="68"/>
  <c r="G835" i="115"/>
  <c r="G981" i="115"/>
  <c r="G1848" i="68"/>
  <c r="G1337" i="68"/>
  <c r="G971" i="68"/>
  <c r="G1784" i="68"/>
  <c r="G1164" i="68"/>
  <c r="G543" i="68"/>
  <c r="G692" i="68"/>
  <c r="G213" i="68"/>
  <c r="G1625" i="68"/>
  <c r="G1223" i="68"/>
  <c r="H1224" i="68" s="1"/>
  <c r="G379" i="68"/>
  <c r="G179" i="68"/>
  <c r="G140" i="68"/>
  <c r="G411" i="114"/>
  <c r="G788" i="68"/>
  <c r="G463" i="68"/>
  <c r="G191" i="114"/>
  <c r="G801" i="115"/>
  <c r="G801" i="68"/>
  <c r="G698" i="68"/>
  <c r="G1762" i="68"/>
  <c r="H1763" i="68" s="1"/>
  <c r="G1710" i="68"/>
  <c r="G1030" i="68"/>
  <c r="G1012" i="68"/>
  <c r="G620" i="68"/>
  <c r="G24" i="114"/>
  <c r="G461" i="114"/>
  <c r="G381" i="114"/>
  <c r="H382" i="114" s="1"/>
  <c r="G1526" i="68"/>
  <c r="G886" i="68"/>
  <c r="G248" i="115"/>
  <c r="G942" i="68"/>
  <c r="G517" i="68"/>
  <c r="G837" i="68"/>
  <c r="G1655" i="68"/>
  <c r="G1578" i="68"/>
  <c r="G1249" i="68"/>
  <c r="H1250" i="68" s="1"/>
  <c r="G1787" i="68"/>
  <c r="G335" i="68"/>
  <c r="G458" i="68"/>
  <c r="G663" i="114"/>
  <c r="G1458" i="68"/>
  <c r="G125" i="68"/>
  <c r="G340" i="68"/>
  <c r="G1410" i="68"/>
  <c r="G422" i="114"/>
  <c r="G270" i="114"/>
  <c r="G346" i="68"/>
  <c r="G319" i="68"/>
  <c r="G773" i="115"/>
  <c r="G511" i="114"/>
  <c r="G1343" i="68"/>
  <c r="G1842" i="68"/>
  <c r="G1790" i="68"/>
  <c r="H1791" i="68" s="1"/>
  <c r="G1334" i="68"/>
  <c r="G1577" i="68"/>
  <c r="G672" i="68"/>
  <c r="G910" i="68"/>
  <c r="G839" i="68"/>
  <c r="G1000" i="68"/>
  <c r="G601" i="68"/>
  <c r="G676" i="115"/>
  <c r="G838" i="115"/>
  <c r="H839" i="115" s="1"/>
  <c r="G857" i="115"/>
  <c r="G274" i="115"/>
  <c r="G1507" i="68"/>
  <c r="G1046" i="68"/>
  <c r="G480" i="68"/>
  <c r="G476" i="68"/>
  <c r="G950" i="68"/>
  <c r="G853" i="68"/>
  <c r="G799" i="115"/>
  <c r="G1715" i="68"/>
  <c r="G347" i="115"/>
  <c r="G1631" i="68"/>
  <c r="G1559" i="68"/>
  <c r="G1592" i="68"/>
  <c r="G325" i="68"/>
  <c r="G352" i="68"/>
  <c r="G296" i="68"/>
  <c r="G1167" i="68"/>
  <c r="G553" i="68"/>
  <c r="G709" i="68"/>
  <c r="G1143" i="68"/>
  <c r="G1045" i="68"/>
  <c r="G815" i="68"/>
  <c r="G1460" i="68"/>
  <c r="G928" i="68"/>
  <c r="G1349" i="68"/>
  <c r="G405" i="68"/>
  <c r="G278" i="115"/>
  <c r="G855" i="115"/>
  <c r="G1673" i="68"/>
  <c r="G1284" i="68"/>
  <c r="G1714" i="68"/>
  <c r="G105" i="115"/>
  <c r="G1636" i="68"/>
  <c r="G1090" i="68"/>
  <c r="G528" i="68"/>
  <c r="G1315" i="68"/>
  <c r="G376" i="115"/>
  <c r="H377" i="115" s="1"/>
  <c r="G246" i="115"/>
  <c r="G984" i="115"/>
  <c r="H985" i="115" s="1"/>
  <c r="G997" i="115"/>
  <c r="G1200" i="68"/>
  <c r="G1020" i="68"/>
  <c r="H1021" i="68" s="1"/>
  <c r="G1857" i="68"/>
  <c r="G370" i="68"/>
  <c r="G1151" i="68"/>
  <c r="G1480" i="68"/>
  <c r="G1557" i="68"/>
  <c r="G1069" i="68"/>
  <c r="G805" i="115"/>
  <c r="G1743" i="68"/>
  <c r="G1227" i="68"/>
  <c r="G562" i="115"/>
  <c r="G979" i="115"/>
  <c r="G1786" i="68"/>
  <c r="G1254" i="68"/>
  <c r="G1867" i="68"/>
  <c r="G258" i="68"/>
  <c r="G1350" i="68"/>
  <c r="G1039" i="68"/>
  <c r="G1206" i="68"/>
  <c r="G941" i="68"/>
  <c r="G1771" i="68"/>
  <c r="G1547" i="68"/>
  <c r="G993" i="68"/>
  <c r="G326" i="68"/>
  <c r="G474" i="115"/>
  <c r="G938" i="115"/>
  <c r="G534" i="115"/>
  <c r="G863" i="115"/>
  <c r="H864" i="115" s="1"/>
  <c r="G1804" i="68"/>
  <c r="G1642" i="68"/>
  <c r="G1558" i="68"/>
  <c r="G1236" i="68"/>
  <c r="H1237" i="68" s="1"/>
  <c r="G823" i="68"/>
  <c r="G1493" i="68"/>
  <c r="G1902" i="68"/>
  <c r="G1322" i="68"/>
  <c r="G415" i="68"/>
  <c r="G1288" i="68"/>
  <c r="G1146" i="68"/>
  <c r="G1293" i="68"/>
  <c r="G711" i="114"/>
  <c r="G1426" i="68"/>
  <c r="G123" i="68"/>
  <c r="G817" i="115"/>
  <c r="G711" i="115"/>
  <c r="H698" i="115" s="1"/>
  <c r="G1187" i="68"/>
  <c r="G1626" i="68"/>
  <c r="G908" i="68"/>
  <c r="G1776" i="68"/>
  <c r="H1777" i="68" s="1"/>
  <c r="G871" i="68"/>
  <c r="G1725" i="68"/>
  <c r="G1431" i="68"/>
  <c r="G680" i="68"/>
  <c r="G1228" i="68"/>
  <c r="G1849" i="68"/>
  <c r="G710" i="68"/>
  <c r="G529" i="68"/>
  <c r="G1144" i="68"/>
  <c r="G744" i="68"/>
  <c r="G56" i="114"/>
  <c r="G890" i="115"/>
  <c r="G398" i="115"/>
  <c r="G710" i="115"/>
  <c r="G526" i="115"/>
  <c r="G988" i="115"/>
  <c r="G815" i="115"/>
  <c r="G803" i="115"/>
  <c r="G677" i="115"/>
  <c r="G1881" i="68"/>
  <c r="H1882" i="68" s="1"/>
  <c r="G1825" i="68"/>
  <c r="G1316" i="68"/>
  <c r="G1107" i="68"/>
  <c r="G956" i="68"/>
  <c r="G462" i="68"/>
  <c r="G301" i="68"/>
  <c r="G118" i="68"/>
  <c r="G1637" i="68"/>
  <c r="G602" i="68"/>
  <c r="G351" i="68"/>
  <c r="G369" i="68"/>
  <c r="G434" i="114"/>
  <c r="G413" i="115"/>
  <c r="G1037" i="68"/>
  <c r="G1508" i="68"/>
  <c r="G202" i="68"/>
  <c r="G1001" i="68"/>
  <c r="G254" i="68"/>
  <c r="G287" i="115"/>
  <c r="G111" i="115"/>
  <c r="G668" i="115"/>
  <c r="G1382" i="68"/>
  <c r="G501" i="68"/>
  <c r="G865" i="68"/>
  <c r="G901" i="68"/>
  <c r="G567" i="68"/>
  <c r="G175" i="68"/>
  <c r="G1808" i="68"/>
  <c r="G1927" i="68"/>
  <c r="H1928" i="68" s="1"/>
  <c r="G1875" i="68"/>
  <c r="G1029" i="68"/>
  <c r="G1306" i="68"/>
  <c r="G1080" i="68"/>
  <c r="G1594" i="68"/>
  <c r="G1874" i="68"/>
  <c r="G306" i="68"/>
  <c r="G1420" i="68"/>
  <c r="G1247" i="68"/>
  <c r="G1201" i="68"/>
  <c r="G504" i="68"/>
  <c r="G356" i="68"/>
  <c r="G1097" i="68"/>
  <c r="G600" i="114"/>
  <c r="G1253" i="68"/>
  <c r="G741" i="68"/>
  <c r="G275" i="115"/>
  <c r="G475" i="114"/>
  <c r="G1500" i="68"/>
  <c r="G968" i="68"/>
  <c r="G870" i="68"/>
  <c r="G305" i="68"/>
  <c r="G86" i="115"/>
  <c r="G214" i="115"/>
  <c r="G1546" i="68"/>
  <c r="G1489" i="68"/>
  <c r="G1449" i="68"/>
  <c r="G1193" i="68"/>
  <c r="G948" i="68"/>
  <c r="G740" i="68"/>
  <c r="G1844" i="68"/>
  <c r="G520" i="68"/>
  <c r="H521" i="68" s="1"/>
  <c r="G500" i="68"/>
  <c r="G1302" i="68"/>
  <c r="G108" i="115"/>
  <c r="G121" i="115"/>
  <c r="G451" i="115"/>
  <c r="G974" i="68"/>
  <c r="H975" i="68" s="1"/>
  <c r="G1376" i="68"/>
  <c r="G368" i="68"/>
  <c r="V1732" i="39"/>
  <c r="G1770" i="68"/>
  <c r="G992" i="68"/>
  <c r="G1865" i="68"/>
  <c r="G1252" i="68"/>
  <c r="G1058" i="68"/>
  <c r="G1482" i="68"/>
  <c r="G907" i="68"/>
  <c r="G1654" i="68"/>
  <c r="G1591" i="68"/>
  <c r="G679" i="68"/>
  <c r="G522" i="114"/>
  <c r="G203" i="115"/>
  <c r="G434" i="115"/>
  <c r="G517" i="115"/>
  <c r="G433" i="114"/>
  <c r="G1724" i="68"/>
  <c r="G177" i="68"/>
  <c r="G1381" i="68"/>
  <c r="G400" i="115"/>
  <c r="V1757" i="39"/>
  <c r="G45" i="115"/>
  <c r="G720" i="114"/>
  <c r="G775" i="68"/>
  <c r="G576" i="114"/>
  <c r="V1754" i="39"/>
  <c r="V1758" i="39"/>
  <c r="G166" i="115"/>
  <c r="G458" i="115"/>
  <c r="G511" i="115"/>
  <c r="V1738" i="39"/>
  <c r="V1747" i="39"/>
  <c r="V1751" i="39"/>
  <c r="V1755" i="39"/>
  <c r="G302" i="115"/>
  <c r="V1740" i="39"/>
  <c r="V1736" i="39"/>
  <c r="V1743" i="39"/>
  <c r="V1752" i="39"/>
  <c r="U273" i="114"/>
  <c r="U265" i="114"/>
  <c r="T1185" i="68"/>
  <c r="U1185" i="68" s="1"/>
  <c r="T1176" i="68"/>
  <c r="U1176" i="68" s="1"/>
  <c r="U306" i="114"/>
  <c r="V306" i="114"/>
  <c r="U612" i="68"/>
  <c r="T613" i="68"/>
  <c r="U708" i="114"/>
  <c r="V708" i="114"/>
  <c r="G1579" i="68"/>
  <c r="G621" i="68"/>
  <c r="G1708" i="68"/>
  <c r="G856" i="68"/>
  <c r="G1183" i="68"/>
  <c r="G699" i="68"/>
  <c r="G1793" i="68"/>
  <c r="G842" i="68"/>
  <c r="G497" i="68"/>
  <c r="H498" i="68" s="1"/>
  <c r="G165" i="68"/>
  <c r="G1495" i="68"/>
  <c r="G1367" i="68"/>
  <c r="G428" i="114"/>
  <c r="G240" i="114"/>
  <c r="G706" i="114"/>
  <c r="G936" i="115"/>
  <c r="G501" i="115"/>
  <c r="G1465" i="68"/>
  <c r="G1135" i="68"/>
  <c r="G1609" i="68"/>
  <c r="G1377" i="68"/>
  <c r="G952" i="68"/>
  <c r="G1405" i="68"/>
  <c r="G972" i="68"/>
  <c r="G1834" i="68"/>
  <c r="G809" i="68"/>
  <c r="G728" i="68"/>
  <c r="G653" i="68"/>
  <c r="G214" i="68"/>
  <c r="G464" i="68"/>
  <c r="G1674" i="68"/>
  <c r="G1338" i="68"/>
  <c r="G1169" i="68"/>
  <c r="G429" i="68"/>
  <c r="G279" i="114"/>
  <c r="G192" i="114"/>
  <c r="G1126" i="68"/>
  <c r="G899" i="68"/>
  <c r="G1697" i="68"/>
  <c r="G824" i="68"/>
  <c r="G172" i="68"/>
  <c r="H173" i="68" s="1"/>
  <c r="G1911" i="68"/>
  <c r="H1912" i="68" s="1"/>
  <c r="G1656" i="68"/>
  <c r="G1503" i="68"/>
  <c r="G544" i="68"/>
  <c r="G417" i="114"/>
  <c r="G1757" i="68"/>
  <c r="G1490" i="68"/>
  <c r="G191" i="68"/>
  <c r="V1729" i="39"/>
  <c r="T684" i="115"/>
  <c r="T681" i="115"/>
  <c r="V681" i="115" s="1"/>
  <c r="Q6" i="114"/>
  <c r="G68" i="115"/>
  <c r="G126" i="115"/>
  <c r="G527" i="115"/>
  <c r="G1148" i="68"/>
  <c r="G91" i="115"/>
  <c r="G170" i="115"/>
  <c r="G444" i="115"/>
  <c r="G126" i="68"/>
  <c r="G1032" i="68"/>
  <c r="H1033" i="68" s="1"/>
  <c r="G939" i="68"/>
  <c r="G862" i="115"/>
  <c r="G539" i="115"/>
  <c r="V917" i="39"/>
  <c r="K47" i="6"/>
  <c r="L47" i="6" s="1"/>
  <c r="H43" i="6"/>
  <c r="V1733" i="39"/>
  <c r="G684" i="115"/>
  <c r="G120" i="115"/>
  <c r="V1726" i="39"/>
  <c r="G263" i="68"/>
  <c r="G180" i="115"/>
  <c r="G521" i="114"/>
  <c r="G909" i="68"/>
  <c r="G282" i="114"/>
  <c r="G1733" i="68"/>
  <c r="H1734" i="68" s="1"/>
  <c r="G743" i="68"/>
  <c r="G59" i="115"/>
  <c r="G664" i="115"/>
  <c r="G532" i="115"/>
  <c r="G821" i="115"/>
  <c r="H822" i="115" s="1"/>
  <c r="G279" i="115"/>
  <c r="G1287" i="68"/>
  <c r="G808" i="68"/>
  <c r="G1823" i="68"/>
  <c r="G1586" i="68"/>
  <c r="G1286" i="68"/>
  <c r="G1089" i="68"/>
  <c r="G980" i="68"/>
  <c r="G637" i="68"/>
  <c r="G104" i="68"/>
  <c r="G1177" i="68"/>
  <c r="G404" i="68"/>
  <c r="G1795" i="68"/>
  <c r="G1663" i="68"/>
  <c r="G1220" i="68"/>
  <c r="G527" i="68"/>
  <c r="G999" i="68"/>
  <c r="G873" i="68"/>
  <c r="G706" i="68"/>
  <c r="H707" i="68" s="1"/>
  <c r="G630" i="68"/>
  <c r="H631" i="68" s="1"/>
  <c r="G115" i="68"/>
  <c r="H116" i="68" s="1"/>
  <c r="G445" i="114"/>
  <c r="H20" i="6"/>
  <c r="H21" i="6" s="1"/>
  <c r="G283" i="114"/>
  <c r="G1759" i="68"/>
  <c r="G1304" i="68"/>
  <c r="J51" i="6"/>
  <c r="G168" i="115"/>
  <c r="G258" i="115"/>
  <c r="G396" i="115"/>
  <c r="G445" i="115"/>
  <c r="G229" i="114"/>
  <c r="G544" i="115"/>
  <c r="G1675" i="68"/>
  <c r="G1280" i="68"/>
  <c r="G1619" i="68"/>
  <c r="G857" i="68"/>
  <c r="H858" i="68" s="1"/>
  <c r="G554" i="68"/>
  <c r="G1044" i="68"/>
  <c r="G223" i="68"/>
  <c r="G947" i="68"/>
  <c r="G249" i="68"/>
  <c r="G151" i="68"/>
  <c r="H56" i="6"/>
  <c r="H57" i="6" s="1"/>
  <c r="G978" i="115"/>
  <c r="G845" i="115"/>
  <c r="G1922" i="68"/>
  <c r="G1314" i="68"/>
  <c r="G790" i="68"/>
  <c r="G1523" i="68"/>
  <c r="G850" i="68"/>
  <c r="G802" i="68"/>
  <c r="G367" i="68"/>
  <c r="G471" i="68"/>
  <c r="H472" i="68" s="1"/>
  <c r="G1705" i="68"/>
  <c r="G1414" i="68"/>
  <c r="G1038" i="68"/>
  <c r="G382" i="115"/>
  <c r="G448" i="115"/>
  <c r="G141" i="115"/>
  <c r="G1556" i="68"/>
  <c r="G1472" i="68"/>
  <c r="G1026" i="68"/>
  <c r="G1853" i="68"/>
  <c r="H1854" i="68" s="1"/>
  <c r="G1502" i="68"/>
  <c r="G1133" i="68"/>
  <c r="G895" i="68"/>
  <c r="G869" i="68"/>
  <c r="G1428" i="68"/>
  <c r="G954" i="68"/>
  <c r="G671" i="68"/>
  <c r="G502" i="68"/>
  <c r="G397" i="68"/>
  <c r="G293" i="68"/>
  <c r="G1841" i="68"/>
  <c r="G1618" i="68"/>
  <c r="G713" i="68"/>
  <c r="G1880" i="68"/>
  <c r="G1838" i="68"/>
  <c r="G1769" i="68"/>
  <c r="G1071" i="68"/>
  <c r="G176" i="68"/>
  <c r="G661" i="114"/>
  <c r="G381" i="68"/>
  <c r="G291" i="68"/>
  <c r="H3" i="6"/>
  <c r="G1229" i="68"/>
  <c r="G1375" i="68"/>
  <c r="G1723" i="68"/>
  <c r="G298" i="68"/>
  <c r="H299" i="68" s="1"/>
  <c r="G551" i="68"/>
  <c r="G203" i="68"/>
  <c r="G515" i="114"/>
  <c r="G188" i="114"/>
  <c r="G797" i="115"/>
  <c r="G209" i="115"/>
  <c r="G1624" i="68"/>
  <c r="G1719" i="68"/>
  <c r="G814" i="68"/>
  <c r="G307" i="68"/>
  <c r="G1283" i="68"/>
  <c r="G1538" i="68"/>
  <c r="G1057" i="68"/>
  <c r="G460" i="68"/>
  <c r="G1412" i="68"/>
  <c r="G235" i="68"/>
  <c r="G35" i="114"/>
  <c r="G1552" i="68"/>
  <c r="G1105" i="68"/>
  <c r="G906" i="68"/>
  <c r="G736" i="68"/>
  <c r="G894" i="68"/>
  <c r="G1754" i="68"/>
  <c r="G200" i="68"/>
  <c r="G694" i="68"/>
  <c r="G153" i="68"/>
  <c r="H154" i="68" s="1"/>
  <c r="G1317" i="68"/>
  <c r="G1231" i="68"/>
  <c r="G1479" i="68"/>
  <c r="G724" i="68"/>
  <c r="G432" i="114"/>
  <c r="G346" i="114"/>
  <c r="G540" i="68"/>
  <c r="G477" i="114"/>
  <c r="G1843" i="68"/>
  <c r="G1755" i="68"/>
  <c r="G121" i="68"/>
  <c r="G394" i="68"/>
  <c r="G452" i="115"/>
  <c r="G842" i="115"/>
  <c r="G97" i="115"/>
  <c r="G1802" i="68"/>
  <c r="G1292" i="68"/>
  <c r="G1722" i="68"/>
  <c r="G1150" i="68"/>
  <c r="G1074" i="68"/>
  <c r="G605" i="68"/>
  <c r="G426" i="114"/>
  <c r="G321" i="68"/>
  <c r="G663" i="115"/>
  <c r="G58" i="114"/>
  <c r="H59" i="114" s="1"/>
  <c r="G832" i="115"/>
  <c r="G1415" i="68"/>
  <c r="G664" i="68"/>
  <c r="G1374" i="68"/>
  <c r="G1590" i="68"/>
  <c r="G1474" i="68"/>
  <c r="G1847" i="68"/>
  <c r="G596" i="68"/>
  <c r="G1864" i="68"/>
  <c r="G991" i="68"/>
  <c r="G225" i="68"/>
  <c r="H226" i="68" s="1"/>
  <c r="G629" i="114"/>
  <c r="G557" i="115"/>
  <c r="G813" i="115"/>
  <c r="G685" i="115"/>
  <c r="G854" i="115"/>
  <c r="G1255" i="68"/>
  <c r="G1198" i="68"/>
  <c r="G1872" i="68"/>
  <c r="G735" i="68"/>
  <c r="G608" i="68"/>
  <c r="G982" i="68"/>
  <c r="G347" i="68"/>
  <c r="H348" i="68" s="1"/>
  <c r="G1672" i="68"/>
  <c r="G1179" i="68"/>
  <c r="G507" i="68"/>
  <c r="G1665" i="68"/>
  <c r="G1730" i="68"/>
  <c r="H1731" i="68" s="1"/>
  <c r="G474" i="68"/>
  <c r="G355" i="68"/>
  <c r="G196" i="114"/>
  <c r="G1753" i="68"/>
  <c r="G967" i="68"/>
  <c r="G171" i="68"/>
  <c r="G313" i="115"/>
  <c r="H51" i="6"/>
  <c r="G122" i="68"/>
  <c r="G1803" i="68"/>
  <c r="G516" i="68"/>
  <c r="G409" i="68"/>
  <c r="G224" i="68"/>
  <c r="G194" i="114"/>
  <c r="G1128" i="68"/>
  <c r="H1129" i="68" s="1"/>
  <c r="G955" i="68"/>
  <c r="G591" i="68"/>
  <c r="H592" i="68" s="1"/>
  <c r="G330" i="115"/>
  <c r="G1436" i="68"/>
  <c r="G1425" i="68"/>
  <c r="G248" i="68"/>
  <c r="G163" i="68"/>
  <c r="G1643" i="68"/>
  <c r="H1644" i="68" s="1"/>
  <c r="G1873" i="68"/>
  <c r="G1824" i="68"/>
  <c r="G861" i="68"/>
  <c r="G205" i="114"/>
  <c r="G1475" i="68"/>
  <c r="G541" i="68"/>
  <c r="G197" i="115"/>
  <c r="G562" i="68"/>
  <c r="G474" i="114"/>
  <c r="G524" i="68"/>
  <c r="H525" i="68" s="1"/>
  <c r="G453" i="115"/>
  <c r="G236" i="68"/>
  <c r="G350" i="68"/>
  <c r="G114" i="68"/>
  <c r="G167" i="68"/>
  <c r="H168" i="68" s="1"/>
  <c r="E19" i="6"/>
  <c r="E20" i="6" s="1"/>
  <c r="E21" i="6" s="1"/>
  <c r="G584" i="68"/>
  <c r="G201" i="68"/>
  <c r="G851" i="115"/>
  <c r="H852" i="115" s="1"/>
  <c r="G816" i="115"/>
  <c r="G858" i="115"/>
  <c r="G326" i="115"/>
  <c r="G403" i="115"/>
  <c r="G139" i="115"/>
  <c r="G438" i="115"/>
  <c r="G503" i="115"/>
  <c r="G359" i="114"/>
  <c r="V1723" i="39"/>
  <c r="V1317" i="39"/>
  <c r="G301" i="115"/>
  <c r="V1724" i="39"/>
  <c r="G811" i="115"/>
  <c r="G471" i="115"/>
  <c r="G1301" i="68"/>
  <c r="G1485" i="68"/>
  <c r="G427" i="68"/>
  <c r="G255" i="68"/>
  <c r="G951" i="68"/>
  <c r="G1041" i="68"/>
  <c r="G885" i="68"/>
  <c r="G1921" i="68"/>
  <c r="G1627" i="68"/>
  <c r="G840" i="68"/>
  <c r="V1721" i="39"/>
  <c r="G1421" i="68"/>
  <c r="G1248" i="68"/>
  <c r="G1076" i="68"/>
  <c r="G124" i="68"/>
  <c r="G555" i="68"/>
  <c r="G996" i="68"/>
  <c r="G1294" i="68"/>
  <c r="G742" i="68"/>
  <c r="G970" i="68"/>
  <c r="G267" i="68"/>
  <c r="G380" i="114"/>
  <c r="G414" i="114"/>
  <c r="G178" i="115"/>
  <c r="G354" i="115"/>
  <c r="G107" i="115"/>
  <c r="G854" i="68"/>
  <c r="G146" i="68"/>
  <c r="G866" i="68"/>
  <c r="G155" i="115"/>
  <c r="G1226" i="68"/>
  <c r="G1182" i="68"/>
  <c r="G1918" i="68"/>
  <c r="G1081" i="68"/>
  <c r="G821" i="68"/>
  <c r="G668" i="114"/>
  <c r="G104" i="115"/>
  <c r="G1246" i="68"/>
  <c r="G1060" i="68"/>
  <c r="G1289" i="68"/>
  <c r="G1102" i="68"/>
  <c r="G816" i="68"/>
  <c r="G674" i="68"/>
  <c r="G398" i="68"/>
  <c r="G1870" i="68"/>
  <c r="G1761" i="68"/>
  <c r="G1312" i="68"/>
  <c r="G437" i="115"/>
  <c r="G737" i="68"/>
  <c r="H738" i="68" s="1"/>
  <c r="G1441" i="68"/>
  <c r="H1442" i="68" s="1"/>
  <c r="G603" i="68"/>
  <c r="G1378" i="68"/>
  <c r="H1379" i="68" s="1"/>
  <c r="G929" i="68"/>
  <c r="G435" i="114"/>
  <c r="G574" i="68"/>
  <c r="G1222" i="68"/>
  <c r="G1142" i="68"/>
  <c r="G247" i="68"/>
  <c r="G185" i="115"/>
  <c r="G564" i="115"/>
  <c r="G1895" i="68"/>
  <c r="G1137" i="68"/>
  <c r="G1850" i="68"/>
  <c r="G407" i="68"/>
  <c r="G913" i="68"/>
  <c r="G119" i="68"/>
  <c r="U217" i="115"/>
  <c r="V217" i="115"/>
  <c r="G937" i="68"/>
  <c r="G841" i="115"/>
  <c r="G1703" i="68"/>
  <c r="V1675" i="39"/>
  <c r="V1657" i="39"/>
  <c r="V1718" i="39"/>
  <c r="G300" i="114"/>
  <c r="G370" i="114"/>
  <c r="V1648" i="39"/>
  <c r="V1666" i="39"/>
  <c r="G505" i="114"/>
  <c r="G456" i="114"/>
  <c r="G554" i="115"/>
  <c r="G814" i="115"/>
  <c r="V1654" i="39"/>
  <c r="V1705" i="39"/>
  <c r="V1717" i="39"/>
  <c r="V1661" i="39"/>
  <c r="V1702" i="39"/>
  <c r="V1716" i="39"/>
  <c r="V1618" i="39"/>
  <c r="V1655" i="39"/>
  <c r="V931" i="39"/>
  <c r="G605" i="114"/>
  <c r="G551" i="114"/>
  <c r="G1726" i="68"/>
  <c r="G1707" i="68"/>
  <c r="G1484" i="68"/>
  <c r="G1430" i="68"/>
  <c r="G1194" i="68"/>
  <c r="G949" i="68"/>
  <c r="G849" i="68"/>
  <c r="G197" i="114"/>
  <c r="G62" i="115"/>
  <c r="G140" i="115"/>
  <c r="G172" i="115"/>
  <c r="G344" i="115"/>
  <c r="G512" i="115"/>
  <c r="V1704" i="39"/>
  <c r="G696" i="115"/>
  <c r="G921" i="115"/>
  <c r="G524" i="114"/>
  <c r="V1663" i="39"/>
  <c r="V1711" i="39"/>
  <c r="V1252" i="39"/>
  <c r="V1698" i="39"/>
  <c r="G851" i="68"/>
  <c r="G90" i="115"/>
  <c r="G392" i="115"/>
  <c r="G885" i="115"/>
  <c r="H886" i="115" s="1"/>
  <c r="V1703" i="39"/>
  <c r="V1086" i="39"/>
  <c r="G302" i="114"/>
  <c r="G1541" i="68"/>
  <c r="V892" i="39"/>
  <c r="V1633" i="39"/>
  <c r="V1700" i="39"/>
  <c r="G52" i="114"/>
  <c r="H53" i="114" s="1"/>
  <c r="G987" i="68"/>
  <c r="G556" i="68"/>
  <c r="G666" i="114"/>
  <c r="G174" i="115"/>
  <c r="G386" i="115"/>
  <c r="G450" i="115"/>
  <c r="V1709" i="39"/>
  <c r="V1632" i="39"/>
  <c r="V1658" i="39"/>
  <c r="V1316" i="39"/>
  <c r="V1640" i="39"/>
  <c r="V1622" i="39"/>
  <c r="V1264" i="39"/>
  <c r="G516" i="115"/>
  <c r="G667" i="115"/>
  <c r="G683" i="115"/>
  <c r="G597" i="68"/>
  <c r="H598" i="68" s="1"/>
  <c r="G1788" i="68"/>
  <c r="G887" i="68"/>
  <c r="G1422" i="68"/>
  <c r="H1423" i="68" s="1"/>
  <c r="G903" i="68"/>
  <c r="H904" i="68" s="1"/>
  <c r="G55" i="114"/>
  <c r="G1851" i="68"/>
  <c r="G1290" i="68"/>
  <c r="G220" i="115"/>
  <c r="G231" i="115"/>
  <c r="G390" i="115"/>
  <c r="G456" i="115"/>
  <c r="V1081" i="39"/>
  <c r="U1542" i="68"/>
  <c r="V1542" i="68"/>
  <c r="G945" i="115"/>
  <c r="V1646" i="39"/>
  <c r="V1089" i="39"/>
  <c r="V1630" i="39"/>
  <c r="G776" i="115"/>
  <c r="G349" i="114"/>
  <c r="V1659" i="39"/>
  <c r="V1645" i="39"/>
  <c r="V1627" i="39"/>
  <c r="V1699" i="39"/>
  <c r="V924" i="39"/>
  <c r="V943" i="39"/>
  <c r="V1577" i="39"/>
  <c r="G50" i="115"/>
  <c r="G87" i="115"/>
  <c r="G182" i="115"/>
  <c r="G271" i="115"/>
  <c r="H272" i="115" s="1"/>
  <c r="G888" i="115"/>
  <c r="G114" i="114"/>
  <c r="G178" i="68"/>
  <c r="V1672" i="39"/>
  <c r="V932" i="39"/>
  <c r="V1684" i="39"/>
  <c r="V1242" i="39"/>
  <c r="G670" i="115"/>
  <c r="V1617" i="39"/>
  <c r="V1671" i="39"/>
  <c r="V1631" i="39"/>
  <c r="V1680" i="39"/>
  <c r="V1690" i="39"/>
  <c r="V1697" i="39"/>
  <c r="V923" i="39"/>
  <c r="V1706" i="39"/>
  <c r="V1636" i="39"/>
  <c r="V1676" i="39"/>
  <c r="V1017" i="39"/>
  <c r="G941" i="115"/>
  <c r="V1635" i="39"/>
  <c r="V1634" i="39"/>
  <c r="V1639" i="39"/>
  <c r="V1689" i="39"/>
  <c r="V972" i="39"/>
  <c r="V939" i="39"/>
  <c r="V1687" i="39"/>
  <c r="V1310" i="39"/>
  <c r="V1714" i="39"/>
  <c r="V1685" i="39"/>
  <c r="V1620" i="39"/>
  <c r="V1642" i="39"/>
  <c r="V893" i="39"/>
  <c r="G655" i="115"/>
  <c r="G951" i="115"/>
  <c r="G34" i="114"/>
  <c r="G728" i="114"/>
  <c r="V1660" i="39"/>
  <c r="V1688" i="39"/>
  <c r="V1665" i="39"/>
  <c r="V1263" i="39"/>
  <c r="V1710" i="39"/>
  <c r="V1694" i="39"/>
  <c r="V1245" i="39"/>
  <c r="V1023" i="39"/>
  <c r="V1641" i="39"/>
  <c r="V894" i="39"/>
  <c r="V1321" i="39"/>
  <c r="V887" i="39"/>
  <c r="V973" i="39"/>
  <c r="V1320" i="39"/>
  <c r="V1254" i="39"/>
  <c r="V1650" i="39"/>
  <c r="V1638" i="39"/>
  <c r="V1678" i="39"/>
  <c r="V1683" i="39"/>
  <c r="G383" i="115"/>
  <c r="G36" i="114"/>
  <c r="G46" i="114"/>
  <c r="G366" i="114"/>
  <c r="V1322" i="39"/>
  <c r="V1080" i="39"/>
  <c r="V1651" i="39"/>
  <c r="V1649" i="39"/>
  <c r="V1241" i="39"/>
  <c r="V1693" i="39"/>
  <c r="V1637" i="39"/>
  <c r="V1623" i="39"/>
  <c r="V1682" i="39"/>
  <c r="V890" i="39"/>
  <c r="V1692" i="39"/>
  <c r="T275" i="115"/>
  <c r="U275" i="115" s="1"/>
  <c r="T251" i="115"/>
  <c r="U251" i="115" s="1"/>
  <c r="T209" i="115"/>
  <c r="U209" i="115" s="1"/>
  <c r="T126" i="115"/>
  <c r="U126" i="115" s="1"/>
  <c r="T58" i="115"/>
  <c r="V58" i="115" s="1"/>
  <c r="T323" i="114"/>
  <c r="T142" i="114"/>
  <c r="U142" i="114" s="1"/>
  <c r="T134" i="114"/>
  <c r="U134" i="114" s="1"/>
  <c r="T232" i="115"/>
  <c r="V232" i="115" s="1"/>
  <c r="T76" i="68"/>
  <c r="T67" i="115"/>
  <c r="U67" i="115" s="1"/>
  <c r="T911" i="115"/>
  <c r="V911" i="115" s="1"/>
  <c r="T753" i="115"/>
  <c r="U753" i="115" s="1"/>
  <c r="T147" i="114"/>
  <c r="U147" i="114" s="1"/>
  <c r="T132" i="114"/>
  <c r="U132" i="114" s="1"/>
  <c r="T258" i="114"/>
  <c r="T150" i="114"/>
  <c r="U150" i="114" s="1"/>
  <c r="T40" i="68"/>
  <c r="T477" i="114"/>
  <c r="U477" i="114" s="1"/>
  <c r="T683" i="115"/>
  <c r="U683" i="115" s="1"/>
  <c r="T471" i="114"/>
  <c r="V471" i="114" s="1"/>
  <c r="T63" i="114"/>
  <c r="T39" i="114"/>
  <c r="Y39" i="114" s="1"/>
  <c r="Z39" i="114" s="1"/>
  <c r="AB39" i="114" s="1"/>
  <c r="T1634" i="68"/>
  <c r="V1634" i="68" s="1"/>
  <c r="T1369" i="68"/>
  <c r="V1369" i="68" s="1"/>
  <c r="T1359" i="68"/>
  <c r="U1359" i="68" s="1"/>
  <c r="T1206" i="68"/>
  <c r="T54" i="68"/>
  <c r="T46" i="68"/>
  <c r="T26" i="68"/>
  <c r="T264" i="114"/>
  <c r="T597" i="114"/>
  <c r="T947" i="115"/>
  <c r="U947" i="115" s="1"/>
  <c r="T596" i="114"/>
  <c r="V1668" i="39"/>
  <c r="V1691" i="39"/>
  <c r="V1629" i="39"/>
  <c r="V1669" i="39"/>
  <c r="V1643" i="39"/>
  <c r="V1082" i="39"/>
  <c r="V1719" i="39"/>
  <c r="V1720" i="39"/>
  <c r="V1318" i="39"/>
  <c r="V1244" i="39"/>
  <c r="V891" i="39"/>
  <c r="V941" i="39"/>
  <c r="V1677" i="39"/>
  <c r="V1681" i="39"/>
  <c r="V1092" i="39"/>
  <c r="T671" i="115"/>
  <c r="V671" i="115" s="1"/>
  <c r="T662" i="115"/>
  <c r="U662" i="115" s="1"/>
  <c r="T526" i="115"/>
  <c r="U526" i="115" s="1"/>
  <c r="T499" i="115"/>
  <c r="U499" i="115" s="1"/>
  <c r="T405" i="115"/>
  <c r="U405" i="115" s="1"/>
  <c r="T233" i="115"/>
  <c r="U233" i="115" s="1"/>
  <c r="T199" i="115"/>
  <c r="V199" i="115" s="1"/>
  <c r="T77" i="115"/>
  <c r="U77" i="115" s="1"/>
  <c r="T49" i="115"/>
  <c r="U49" i="115" s="1"/>
  <c r="T33" i="115"/>
  <c r="U33" i="115" s="1"/>
  <c r="T15" i="115"/>
  <c r="U15" i="115" s="1"/>
  <c r="T658" i="114"/>
  <c r="T746" i="115"/>
  <c r="U746" i="115" s="1"/>
  <c r="T736" i="115"/>
  <c r="U736" i="115" s="1"/>
  <c r="T292" i="114"/>
  <c r="V292" i="114" s="1"/>
  <c r="T83" i="114"/>
  <c r="T261" i="114"/>
  <c r="V261" i="114" s="1"/>
  <c r="T169" i="114"/>
  <c r="T15" i="68"/>
  <c r="G804" i="115"/>
  <c r="G919" i="115"/>
  <c r="G202" i="114"/>
  <c r="V1727" i="39"/>
  <c r="V1731" i="39"/>
  <c r="V1739" i="39"/>
  <c r="V1707" i="39"/>
  <c r="V1266" i="39"/>
  <c r="V1319" i="39"/>
  <c r="V1652" i="39"/>
  <c r="V1625" i="39"/>
  <c r="V1712" i="39"/>
  <c r="V1075" i="39"/>
  <c r="V1255" i="39"/>
  <c r="V1253" i="39"/>
  <c r="V1708" i="39"/>
  <c r="V1662" i="39"/>
  <c r="V1628" i="39"/>
  <c r="V1094" i="39"/>
  <c r="V976" i="39"/>
  <c r="V918" i="39"/>
  <c r="V1624" i="39"/>
  <c r="V1085" i="39"/>
  <c r="V1087" i="39"/>
  <c r="T31" i="115"/>
  <c r="U31" i="115" s="1"/>
  <c r="T767" i="115"/>
  <c r="U767" i="115" s="1"/>
  <c r="T734" i="115"/>
  <c r="U734" i="115" s="1"/>
  <c r="T259" i="114"/>
  <c r="T164" i="114"/>
  <c r="U164" i="114" s="1"/>
  <c r="T153" i="114"/>
  <c r="V153" i="114" s="1"/>
  <c r="T21" i="68"/>
  <c r="V1076" i="39"/>
  <c r="V1267" i="39"/>
  <c r="V1696" i="39"/>
  <c r="V1095" i="39"/>
  <c r="V1722" i="39"/>
  <c r="V1644" i="39"/>
  <c r="V1647" i="39"/>
  <c r="V1309" i="39"/>
  <c r="V982" i="39"/>
  <c r="V1091" i="39"/>
  <c r="V1728" i="39"/>
  <c r="V1744" i="39"/>
  <c r="G704" i="68"/>
  <c r="V1621" i="39"/>
  <c r="V1619" i="39"/>
  <c r="V1701" i="39"/>
  <c r="V1653" i="39"/>
  <c r="V886" i="39"/>
  <c r="V1656" i="39"/>
  <c r="V888" i="39"/>
  <c r="V1265" i="39"/>
  <c r="V942" i="39"/>
  <c r="V1679" i="39"/>
  <c r="T643" i="115"/>
  <c r="U643" i="115" s="1"/>
  <c r="T19" i="115"/>
  <c r="U19" i="115" s="1"/>
  <c r="T651" i="114"/>
  <c r="T316" i="114"/>
  <c r="T88" i="114"/>
  <c r="U88" i="114" s="1"/>
  <c r="T257" i="114"/>
  <c r="T162" i="114"/>
  <c r="V162" i="114" s="1"/>
  <c r="T767" i="68"/>
  <c r="T85" i="68"/>
  <c r="T72" i="68"/>
  <c r="V1093" i="39"/>
  <c r="V1737" i="39"/>
  <c r="V1741" i="39"/>
  <c r="V1745" i="39"/>
  <c r="G676" i="68"/>
  <c r="V1243" i="39"/>
  <c r="V1713" i="39"/>
  <c r="V1626" i="39"/>
  <c r="V1715" i="39"/>
  <c r="V1083" i="39"/>
  <c r="V1664" i="39"/>
  <c r="V889" i="39"/>
  <c r="V1686" i="39"/>
  <c r="V1725" i="39"/>
  <c r="V1670" i="39"/>
  <c r="V1673" i="39"/>
  <c r="V885" i="39"/>
  <c r="V1695" i="39"/>
  <c r="V1327" i="39"/>
  <c r="V940" i="39"/>
  <c r="V1084" i="39"/>
  <c r="V1088" i="39"/>
  <c r="V1090" i="39"/>
  <c r="T17" i="115"/>
  <c r="V17" i="115" s="1"/>
  <c r="T684" i="114"/>
  <c r="T757" i="115"/>
  <c r="V757" i="115" s="1"/>
  <c r="T738" i="115"/>
  <c r="U738" i="115" s="1"/>
  <c r="T405" i="114"/>
  <c r="T396" i="114"/>
  <c r="T325" i="114"/>
  <c r="T294" i="114"/>
  <c r="V294" i="114" s="1"/>
  <c r="T86" i="114"/>
  <c r="U86" i="114" s="1"/>
  <c r="T74" i="114"/>
  <c r="U74" i="114" s="1"/>
  <c r="T160" i="114"/>
  <c r="V160" i="114" s="1"/>
  <c r="T1368" i="68"/>
  <c r="V1368" i="68" s="1"/>
  <c r="G267" i="115"/>
  <c r="M5" i="115"/>
  <c r="N5" i="68"/>
  <c r="V884" i="39"/>
  <c r="V1674" i="39"/>
  <c r="V1667" i="39"/>
  <c r="V1730" i="39"/>
  <c r="V1734" i="39"/>
  <c r="V1742" i="39"/>
  <c r="T262" i="114"/>
  <c r="T744" i="114"/>
  <c r="T404" i="115"/>
  <c r="U404" i="115" s="1"/>
  <c r="T562" i="115"/>
  <c r="U562" i="115" s="1"/>
  <c r="T419" i="115"/>
  <c r="U419" i="115" s="1"/>
  <c r="T557" i="115"/>
  <c r="U557" i="115" s="1"/>
  <c r="T745" i="68"/>
  <c r="U745" i="68" s="1"/>
  <c r="T69" i="68"/>
  <c r="T62" i="68"/>
  <c r="T34" i="68"/>
  <c r="D6" i="115"/>
  <c r="E6" i="115" s="1"/>
  <c r="N1129" i="115"/>
  <c r="N1120" i="115"/>
  <c r="N1112" i="115"/>
  <c r="N1104" i="115"/>
  <c r="N1096" i="115"/>
  <c r="N1087" i="115"/>
  <c r="N1079" i="115"/>
  <c r="N1071" i="115"/>
  <c r="N1062" i="115"/>
  <c r="N1054" i="115"/>
  <c r="N483" i="115"/>
  <c r="N473" i="115"/>
  <c r="N465" i="115"/>
  <c r="N456" i="115"/>
  <c r="N448" i="115"/>
  <c r="N355" i="115"/>
  <c r="N346" i="115"/>
  <c r="N338" i="115"/>
  <c r="N329" i="115"/>
  <c r="N321" i="115"/>
  <c r="N313" i="115"/>
  <c r="N304" i="115"/>
  <c r="N186" i="115"/>
  <c r="N178" i="115"/>
  <c r="N169" i="115"/>
  <c r="N152" i="115"/>
  <c r="N1137" i="115"/>
  <c r="N1128" i="115"/>
  <c r="N1119" i="115"/>
  <c r="N1111" i="115"/>
  <c r="N1103" i="115"/>
  <c r="N1086" i="115"/>
  <c r="N1078" i="115"/>
  <c r="N1070" i="115"/>
  <c r="N1061" i="115"/>
  <c r="N1053" i="115"/>
  <c r="N472" i="115"/>
  <c r="N464" i="115"/>
  <c r="N455" i="115"/>
  <c r="N447" i="115"/>
  <c r="N438" i="115"/>
  <c r="N354" i="115"/>
  <c r="N345" i="115"/>
  <c r="N337" i="115"/>
  <c r="N328" i="115"/>
  <c r="N320" i="115"/>
  <c r="N312" i="115"/>
  <c r="N303" i="115"/>
  <c r="N185" i="115"/>
  <c r="N168" i="115"/>
  <c r="N159" i="115"/>
  <c r="N151" i="115"/>
  <c r="N1136" i="115"/>
  <c r="N1127" i="115"/>
  <c r="N1118" i="115"/>
  <c r="N1110" i="115"/>
  <c r="N1102" i="115"/>
  <c r="N1093" i="115"/>
  <c r="N1085" i="115"/>
  <c r="N1077" i="115"/>
  <c r="N1069" i="115"/>
  <c r="N1060" i="115"/>
  <c r="N1052" i="115"/>
  <c r="N490" i="115"/>
  <c r="N480" i="115"/>
  <c r="N481" i="115" s="1"/>
  <c r="N471" i="115"/>
  <c r="N463" i="115"/>
  <c r="N454" i="115"/>
  <c r="N446" i="115"/>
  <c r="N437" i="115"/>
  <c r="N344" i="115"/>
  <c r="N336" i="115"/>
  <c r="N327" i="115"/>
  <c r="N319" i="115"/>
  <c r="N311" i="115"/>
  <c r="N302" i="115"/>
  <c r="N184" i="115"/>
  <c r="N175" i="115"/>
  <c r="N167" i="115"/>
  <c r="N158" i="115"/>
  <c r="N1135" i="115"/>
  <c r="N1117" i="115"/>
  <c r="N1109" i="115"/>
  <c r="N1101" i="115"/>
  <c r="N1092" i="115"/>
  <c r="N1084" i="115"/>
  <c r="N1076" i="115"/>
  <c r="N1068" i="115"/>
  <c r="N1059" i="115"/>
  <c r="N489" i="115"/>
  <c r="N470" i="115"/>
  <c r="N462" i="115"/>
  <c r="N453" i="115"/>
  <c r="N445" i="115"/>
  <c r="N436" i="115"/>
  <c r="N361" i="115"/>
  <c r="N351" i="115"/>
  <c r="N343" i="115"/>
  <c r="N335" i="115"/>
  <c r="N326" i="115"/>
  <c r="N318" i="115"/>
  <c r="N301" i="115"/>
  <c r="N183" i="115"/>
  <c r="N174" i="115"/>
  <c r="N166" i="115"/>
  <c r="N157" i="115"/>
  <c r="N1134" i="115"/>
  <c r="N1124" i="115"/>
  <c r="N1116" i="115"/>
  <c r="N1108" i="115"/>
  <c r="N1100" i="115"/>
  <c r="N1091" i="115"/>
  <c r="N1083" i="115"/>
  <c r="N1075" i="115"/>
  <c r="N1067" i="115"/>
  <c r="N1058" i="115"/>
  <c r="N488" i="115"/>
  <c r="N477" i="115"/>
  <c r="N469" i="115"/>
  <c r="N452" i="115"/>
  <c r="N444" i="115"/>
  <c r="N435" i="115"/>
  <c r="N360" i="115"/>
  <c r="N350" i="115"/>
  <c r="N342" i="115"/>
  <c r="N325" i="115"/>
  <c r="N317" i="115"/>
  <c r="N308" i="115"/>
  <c r="N182" i="115"/>
  <c r="N173" i="115"/>
  <c r="N165" i="115"/>
  <c r="N156" i="115"/>
  <c r="N1123" i="115"/>
  <c r="N1115" i="115"/>
  <c r="N1107" i="115"/>
  <c r="N1099" i="115"/>
  <c r="N1090" i="115"/>
  <c r="N1082" i="115"/>
  <c r="N1074" i="115"/>
  <c r="N1066" i="115"/>
  <c r="N1057" i="115"/>
  <c r="N476" i="115"/>
  <c r="N468" i="115"/>
  <c r="N459" i="115"/>
  <c r="N451" i="115"/>
  <c r="N434" i="115"/>
  <c r="N349" i="115"/>
  <c r="N341" i="115"/>
  <c r="N332" i="115"/>
  <c r="N324" i="115"/>
  <c r="N316" i="115"/>
  <c r="N307" i="115"/>
  <c r="N189" i="115"/>
  <c r="N181" i="115"/>
  <c r="N172" i="115"/>
  <c r="N164" i="115"/>
  <c r="N155" i="115"/>
  <c r="N1131" i="115"/>
  <c r="N1122" i="115"/>
  <c r="N1114" i="115"/>
  <c r="N1106" i="115"/>
  <c r="N1098" i="115"/>
  <c r="N1089" i="115"/>
  <c r="N1081" i="115"/>
  <c r="N1073" i="115"/>
  <c r="N1056" i="115"/>
  <c r="N485" i="115"/>
  <c r="N475" i="115"/>
  <c r="N467" i="115"/>
  <c r="N458" i="115"/>
  <c r="N450" i="115"/>
  <c r="N441" i="115"/>
  <c r="N357" i="115"/>
  <c r="N348" i="115"/>
  <c r="N340" i="115"/>
  <c r="N331" i="115"/>
  <c r="N323" i="115"/>
  <c r="N315" i="115"/>
  <c r="N306" i="115"/>
  <c r="N188" i="115"/>
  <c r="N180" i="115"/>
  <c r="N171" i="115"/>
  <c r="N163" i="115"/>
  <c r="N154" i="115"/>
  <c r="N1130" i="115"/>
  <c r="N1121" i="115"/>
  <c r="N1113" i="115"/>
  <c r="N1105" i="115"/>
  <c r="N1097" i="115"/>
  <c r="N1088" i="115"/>
  <c r="N1080" i="115"/>
  <c r="N1072" i="115"/>
  <c r="N1063" i="115"/>
  <c r="N1055" i="115"/>
  <c r="N484" i="115"/>
  <c r="N474" i="115"/>
  <c r="N466" i="115"/>
  <c r="N457" i="115"/>
  <c r="N449" i="115"/>
  <c r="N440" i="115"/>
  <c r="N356" i="115"/>
  <c r="N347" i="115"/>
  <c r="N339" i="115"/>
  <c r="N330" i="115"/>
  <c r="N322" i="115"/>
  <c r="N314" i="115"/>
  <c r="N305" i="115"/>
  <c r="N187" i="115"/>
  <c r="N179" i="115"/>
  <c r="N170" i="115"/>
  <c r="N162" i="115"/>
  <c r="N153" i="115"/>
  <c r="O5" i="68"/>
  <c r="I109" i="6"/>
  <c r="N1875" i="68"/>
  <c r="N1867" i="68"/>
  <c r="N1859" i="68"/>
  <c r="N1850" i="68"/>
  <c r="N1842" i="68"/>
  <c r="N1835" i="68"/>
  <c r="N1826" i="68"/>
  <c r="N1502" i="68"/>
  <c r="N1495" i="68"/>
  <c r="N1485" i="68"/>
  <c r="N1477" i="68"/>
  <c r="N1470" i="68"/>
  <c r="N1460" i="68"/>
  <c r="N1322" i="68"/>
  <c r="N1314" i="68"/>
  <c r="N1306" i="68"/>
  <c r="N1298" i="68"/>
  <c r="N1291" i="68"/>
  <c r="N1283" i="68"/>
  <c r="N1275" i="68"/>
  <c r="N1267" i="68"/>
  <c r="N1108" i="68"/>
  <c r="N1100" i="68"/>
  <c r="N1092" i="68"/>
  <c r="N1083" i="68"/>
  <c r="N1075" i="68"/>
  <c r="N1068" i="68"/>
  <c r="N1060" i="68"/>
  <c r="N820" i="68"/>
  <c r="N804" i="68"/>
  <c r="N796" i="68"/>
  <c r="N787" i="68"/>
  <c r="N1874" i="68"/>
  <c r="N1866" i="68"/>
  <c r="N1858" i="68"/>
  <c r="N1849" i="68"/>
  <c r="N1841" i="68"/>
  <c r="N1834" i="68"/>
  <c r="N1825" i="68"/>
  <c r="N1493" i="68"/>
  <c r="N1484" i="68"/>
  <c r="N1476" i="68"/>
  <c r="N1459" i="68"/>
  <c r="N1313" i="68"/>
  <c r="N1305" i="68"/>
  <c r="N1297" i="68"/>
  <c r="N1290" i="68"/>
  <c r="N1282" i="68"/>
  <c r="N1274" i="68"/>
  <c r="N1107" i="68"/>
  <c r="N1099" i="68"/>
  <c r="N1091" i="68"/>
  <c r="N1082" i="68"/>
  <c r="N1074" i="68"/>
  <c r="N1059" i="68"/>
  <c r="N828" i="68"/>
  <c r="N829" i="68" s="1"/>
  <c r="N819" i="68"/>
  <c r="N811" i="68"/>
  <c r="N795" i="68"/>
  <c r="N1873" i="68"/>
  <c r="N1865" i="68"/>
  <c r="N1857" i="68"/>
  <c r="N1848" i="68"/>
  <c r="N1840" i="68"/>
  <c r="N1833" i="68"/>
  <c r="N1824" i="68"/>
  <c r="N1509" i="68"/>
  <c r="N1501" i="68"/>
  <c r="N1492" i="68"/>
  <c r="N1483" i="68"/>
  <c r="N1475" i="68"/>
  <c r="N1467" i="68"/>
  <c r="N1458" i="68"/>
  <c r="N1319" i="68"/>
  <c r="N1312" i="68"/>
  <c r="N1304" i="68"/>
  <c r="N1296" i="68"/>
  <c r="N1289" i="68"/>
  <c r="N1273" i="68"/>
  <c r="N1113" i="68"/>
  <c r="N1114" i="68" s="1"/>
  <c r="N1106" i="68"/>
  <c r="N1098" i="68"/>
  <c r="N1090" i="68"/>
  <c r="N1081" i="68"/>
  <c r="N1073" i="68"/>
  <c r="N1067" i="68"/>
  <c r="N1058" i="68"/>
  <c r="N818" i="68"/>
  <c r="N810" i="68"/>
  <c r="N803" i="68"/>
  <c r="N794" i="68"/>
  <c r="N681" i="68"/>
  <c r="N673" i="68"/>
  <c r="N664" i="68"/>
  <c r="N655" i="68"/>
  <c r="N647" i="68"/>
  <c r="N575" i="68"/>
  <c r="N567" i="68"/>
  <c r="N558" i="68"/>
  <c r="N551" i="68"/>
  <c r="N542" i="68"/>
  <c r="N410" i="68"/>
  <c r="N401" i="68"/>
  <c r="N394" i="68"/>
  <c r="N385" i="68"/>
  <c r="N378" i="68"/>
  <c r="N271" i="68"/>
  <c r="N272" i="68" s="1"/>
  <c r="N262" i="68"/>
  <c r="N254" i="68"/>
  <c r="N246" i="68"/>
  <c r="N238" i="68"/>
  <c r="N1881" i="68"/>
  <c r="N1872" i="68"/>
  <c r="N1864" i="68"/>
  <c r="N1856" i="68"/>
  <c r="N1847" i="68"/>
  <c r="N1839" i="68"/>
  <c r="N1823" i="68"/>
  <c r="N1508" i="68"/>
  <c r="N1500" i="68"/>
  <c r="N1491" i="68"/>
  <c r="N1482" i="68"/>
  <c r="N1474" i="68"/>
  <c r="N1466" i="68"/>
  <c r="N1457" i="68"/>
  <c r="N1318" i="68"/>
  <c r="N1311" i="68"/>
  <c r="N1303" i="68"/>
  <c r="N1295" i="68"/>
  <c r="N1288" i="68"/>
  <c r="N1281" i="68"/>
  <c r="N1272" i="68"/>
  <c r="N1105" i="68"/>
  <c r="N1097" i="68"/>
  <c r="N1089" i="68"/>
  <c r="N1080" i="68"/>
  <c r="N1072" i="68"/>
  <c r="N1057" i="68"/>
  <c r="N825" i="68"/>
  <c r="N817" i="68"/>
  <c r="N809" i="68"/>
  <c r="N802" i="68"/>
  <c r="N793" i="68"/>
  <c r="N680" i="68"/>
  <c r="N672" i="68"/>
  <c r="N663" i="68"/>
  <c r="N654" i="68"/>
  <c r="N646" i="68"/>
  <c r="N574" i="68"/>
  <c r="N566" i="68"/>
  <c r="N557" i="68"/>
  <c r="N550" i="68"/>
  <c r="N541" i="68"/>
  <c r="N1880" i="68"/>
  <c r="N1871" i="68"/>
  <c r="N1863" i="68"/>
  <c r="N1846" i="68"/>
  <c r="N1838" i="68"/>
  <c r="N1830" i="68"/>
  <c r="N1822" i="68"/>
  <c r="N1507" i="68"/>
  <c r="N1499" i="68"/>
  <c r="N1490" i="68"/>
  <c r="N1481" i="68"/>
  <c r="N1473" i="68"/>
  <c r="N1465" i="68"/>
  <c r="N1317" i="68"/>
  <c r="N1310" i="68"/>
  <c r="N1302" i="68"/>
  <c r="N1294" i="68"/>
  <c r="N1287" i="68"/>
  <c r="N1280" i="68"/>
  <c r="N1271" i="68"/>
  <c r="N1110" i="68"/>
  <c r="N1104" i="68"/>
  <c r="N1096" i="68"/>
  <c r="N1088" i="68"/>
  <c r="N1079" i="68"/>
  <c r="N1071" i="68"/>
  <c r="N1064" i="68"/>
  <c r="N1056" i="68"/>
  <c r="N824" i="68"/>
  <c r="N816" i="68"/>
  <c r="N808" i="68"/>
  <c r="N801" i="68"/>
  <c r="N791" i="68"/>
  <c r="N1870" i="68"/>
  <c r="N1862" i="68"/>
  <c r="N1853" i="68"/>
  <c r="N1845" i="68"/>
  <c r="N1837" i="68"/>
  <c r="N1829" i="68"/>
  <c r="N1821" i="68"/>
  <c r="N1513" i="68"/>
  <c r="N1498" i="68"/>
  <c r="N1489" i="68"/>
  <c r="N1480" i="68"/>
  <c r="N1464" i="68"/>
  <c r="N1309" i="68"/>
  <c r="N1293" i="68"/>
  <c r="N1286" i="68"/>
  <c r="N1279" i="68"/>
  <c r="N1270" i="68"/>
  <c r="N1103" i="68"/>
  <c r="N1095" i="68"/>
  <c r="N1078" i="68"/>
  <c r="N1070" i="68"/>
  <c r="N1063" i="68"/>
  <c r="N1055" i="68"/>
  <c r="N823" i="68"/>
  <c r="N807" i="68"/>
  <c r="N800" i="68"/>
  <c r="N790" i="68"/>
  <c r="N678" i="68"/>
  <c r="N670" i="68"/>
  <c r="N661" i="68"/>
  <c r="N652" i="68"/>
  <c r="N572" i="68"/>
  <c r="N564" i="68"/>
  <c r="N555" i="68"/>
  <c r="N547" i="68"/>
  <c r="N539" i="68"/>
  <c r="N415" i="68"/>
  <c r="N407" i="68"/>
  <c r="N398" i="68"/>
  <c r="N383" i="68"/>
  <c r="N1885" i="68"/>
  <c r="N1877" i="68"/>
  <c r="N1869" i="68"/>
  <c r="N1861" i="68"/>
  <c r="N1852" i="68"/>
  <c r="N1844" i="68"/>
  <c r="N1828" i="68"/>
  <c r="N1820" i="68"/>
  <c r="N1512" i="68"/>
  <c r="N1504" i="68"/>
  <c r="N1497" i="68"/>
  <c r="N1479" i="68"/>
  <c r="N1472" i="68"/>
  <c r="N1463" i="68"/>
  <c r="N1316" i="68"/>
  <c r="N1308" i="68"/>
  <c r="N1301" i="68"/>
  <c r="N1285" i="68"/>
  <c r="N1278" i="68"/>
  <c r="N1269" i="68"/>
  <c r="N1109" i="68"/>
  <c r="N1102" i="68"/>
  <c r="N1094" i="68"/>
  <c r="N1085" i="68"/>
  <c r="N1077" i="68"/>
  <c r="N1062" i="68"/>
  <c r="N1054" i="68"/>
  <c r="N822" i="68"/>
  <c r="N815" i="68"/>
  <c r="N806" i="68"/>
  <c r="N789" i="68"/>
  <c r="N677" i="68"/>
  <c r="N660" i="68"/>
  <c r="N571" i="68"/>
  <c r="N563" i="68"/>
  <c r="N554" i="68"/>
  <c r="N546" i="68"/>
  <c r="N538" i="68"/>
  <c r="N414" i="68"/>
  <c r="N406" i="68"/>
  <c r="N397" i="68"/>
  <c r="N389" i="68"/>
  <c r="N382" i="68"/>
  <c r="N266" i="68"/>
  <c r="N258" i="68"/>
  <c r="N249" i="68"/>
  <c r="N234" i="68"/>
  <c r="N1884" i="68"/>
  <c r="N1876" i="68"/>
  <c r="N1868" i="68"/>
  <c r="N1860" i="68"/>
  <c r="N1851" i="68"/>
  <c r="N1843" i="68"/>
  <c r="N1836" i="68"/>
  <c r="N1827" i="68"/>
  <c r="N1503" i="68"/>
  <c r="N1496" i="68"/>
  <c r="N1486" i="68"/>
  <c r="N1478" i="68"/>
  <c r="N1471" i="68"/>
  <c r="N1461" i="68"/>
  <c r="N1323" i="68"/>
  <c r="N1315" i="68"/>
  <c r="N1307" i="68"/>
  <c r="N1292" i="68"/>
  <c r="N1284" i="68"/>
  <c r="N1268" i="68"/>
  <c r="N1101" i="68"/>
  <c r="N1093" i="68"/>
  <c r="N1084" i="68"/>
  <c r="N1076" i="68"/>
  <c r="N1069" i="68"/>
  <c r="N1061" i="68"/>
  <c r="N671" i="68"/>
  <c r="N653" i="68"/>
  <c r="N568" i="68"/>
  <c r="N413" i="68"/>
  <c r="N400" i="68"/>
  <c r="N387" i="68"/>
  <c r="N260" i="68"/>
  <c r="N248" i="68"/>
  <c r="N239" i="68"/>
  <c r="N250" i="68"/>
  <c r="N667" i="68"/>
  <c r="N651" i="68"/>
  <c r="N565" i="68"/>
  <c r="N412" i="68"/>
  <c r="N399" i="68"/>
  <c r="N386" i="68"/>
  <c r="N259" i="68"/>
  <c r="N237" i="68"/>
  <c r="N261" i="68"/>
  <c r="N240" i="68"/>
  <c r="N684" i="68"/>
  <c r="N685" i="68" s="1"/>
  <c r="N666" i="68"/>
  <c r="N650" i="68"/>
  <c r="N562" i="68"/>
  <c r="N545" i="68"/>
  <c r="N411" i="68"/>
  <c r="N396" i="68"/>
  <c r="N384" i="68"/>
  <c r="N268" i="68"/>
  <c r="N257" i="68"/>
  <c r="N247" i="68"/>
  <c r="N236" i="68"/>
  <c r="N569" i="68"/>
  <c r="N552" i="68"/>
  <c r="N821" i="68"/>
  <c r="N665" i="68"/>
  <c r="N648" i="68"/>
  <c r="N561" i="68"/>
  <c r="N544" i="68"/>
  <c r="N409" i="68"/>
  <c r="N267" i="68"/>
  <c r="N256" i="68"/>
  <c r="N245" i="68"/>
  <c r="N235" i="68"/>
  <c r="N674" i="68"/>
  <c r="N814" i="68"/>
  <c r="N679" i="68"/>
  <c r="N662" i="68"/>
  <c r="N543" i="68"/>
  <c r="N408" i="68"/>
  <c r="N395" i="68"/>
  <c r="N381" i="68"/>
  <c r="N265" i="68"/>
  <c r="N255" i="68"/>
  <c r="N233" i="68"/>
  <c r="N805" i="68"/>
  <c r="N676" i="68"/>
  <c r="N659" i="68"/>
  <c r="N573" i="68"/>
  <c r="N556" i="68"/>
  <c r="N540" i="68"/>
  <c r="N405" i="68"/>
  <c r="N393" i="68"/>
  <c r="N380" i="68"/>
  <c r="N264" i="68"/>
  <c r="N244" i="68"/>
  <c r="N232" i="68"/>
  <c r="N416" i="68"/>
  <c r="N388" i="68"/>
  <c r="N797" i="68"/>
  <c r="N675" i="68"/>
  <c r="N658" i="68"/>
  <c r="N570" i="68"/>
  <c r="N553" i="68"/>
  <c r="N537" i="68"/>
  <c r="N404" i="68"/>
  <c r="N392" i="68"/>
  <c r="N379" i="68"/>
  <c r="N263" i="68"/>
  <c r="N251" i="68"/>
  <c r="N241" i="68"/>
  <c r="N788" i="68"/>
  <c r="M6" i="114"/>
  <c r="T680" i="115"/>
  <c r="U680" i="115" s="1"/>
  <c r="T651" i="115"/>
  <c r="T510" i="115"/>
  <c r="U510" i="115" s="1"/>
  <c r="T383" i="115"/>
  <c r="V383" i="115" s="1"/>
  <c r="T60" i="115"/>
  <c r="T282" i="115"/>
  <c r="U282" i="115" s="1"/>
  <c r="T227" i="115"/>
  <c r="V227" i="115" s="1"/>
  <c r="T136" i="115"/>
  <c r="U136" i="115" s="1"/>
  <c r="T108" i="115"/>
  <c r="U108" i="115" s="1"/>
  <c r="T723" i="114"/>
  <c r="T999" i="115"/>
  <c r="U999" i="115" s="1"/>
  <c r="T984" i="115"/>
  <c r="U984" i="115" s="1"/>
  <c r="T975" i="115"/>
  <c r="V975" i="115" s="1"/>
  <c r="T955" i="115"/>
  <c r="V955" i="115" s="1"/>
  <c r="T342" i="114"/>
  <c r="T945" i="115"/>
  <c r="V945" i="115" s="1"/>
  <c r="T933" i="115"/>
  <c r="V933" i="115" s="1"/>
  <c r="T913" i="115"/>
  <c r="V913" i="115" s="1"/>
  <c r="T905" i="115"/>
  <c r="T856" i="115"/>
  <c r="U856" i="115" s="1"/>
  <c r="T847" i="115"/>
  <c r="U847" i="115" s="1"/>
  <c r="T836" i="115"/>
  <c r="V836" i="115" s="1"/>
  <c r="T818" i="115"/>
  <c r="U818" i="115" s="1"/>
  <c r="T809" i="115"/>
  <c r="U809" i="115" s="1"/>
  <c r="T798" i="115"/>
  <c r="U798" i="115" s="1"/>
  <c r="T786" i="115"/>
  <c r="U786" i="115" s="1"/>
  <c r="T774" i="115"/>
  <c r="V774" i="115" s="1"/>
  <c r="T464" i="114"/>
  <c r="U464" i="114" s="1"/>
  <c r="T456" i="114"/>
  <c r="U456" i="114" s="1"/>
  <c r="T436" i="114"/>
  <c r="V436" i="114" s="1"/>
  <c r="T426" i="114"/>
  <c r="U426" i="114" s="1"/>
  <c r="T415" i="114"/>
  <c r="U415" i="114" s="1"/>
  <c r="T380" i="114"/>
  <c r="T368" i="114"/>
  <c r="Y368" i="114" s="1"/>
  <c r="Z368" i="114" s="1"/>
  <c r="AB368" i="114" s="1"/>
  <c r="T334" i="114"/>
  <c r="T304" i="114"/>
  <c r="U304" i="114" s="1"/>
  <c r="T720" i="115"/>
  <c r="T678" i="115"/>
  <c r="U678" i="115" s="1"/>
  <c r="T670" i="115"/>
  <c r="T658" i="115"/>
  <c r="U658" i="115" s="1"/>
  <c r="T534" i="115"/>
  <c r="U534" i="115" s="1"/>
  <c r="T525" i="115"/>
  <c r="U525" i="115" s="1"/>
  <c r="T516" i="115"/>
  <c r="U516" i="115" s="1"/>
  <c r="T392" i="115"/>
  <c r="U392" i="115" s="1"/>
  <c r="T372" i="115"/>
  <c r="V372" i="115" s="1"/>
  <c r="T281" i="115"/>
  <c r="V281" i="115" s="1"/>
  <c r="T260" i="115"/>
  <c r="V260" i="115" s="1"/>
  <c r="T250" i="115"/>
  <c r="U250" i="115" s="1"/>
  <c r="T198" i="115"/>
  <c r="U198" i="115" s="1"/>
  <c r="T125" i="115"/>
  <c r="U125" i="115" s="1"/>
  <c r="T107" i="115"/>
  <c r="U107" i="115" s="1"/>
  <c r="T76" i="115"/>
  <c r="U76" i="115" s="1"/>
  <c r="T57" i="115"/>
  <c r="U57" i="115" s="1"/>
  <c r="T47" i="115"/>
  <c r="V47" i="115" s="1"/>
  <c r="T476" i="114"/>
  <c r="U476" i="114" s="1"/>
  <c r="T463" i="114"/>
  <c r="U463" i="114" s="1"/>
  <c r="T455" i="114"/>
  <c r="V455" i="114" s="1"/>
  <c r="T435" i="114"/>
  <c r="V435" i="114" s="1"/>
  <c r="T425" i="114"/>
  <c r="V425" i="114" s="1"/>
  <c r="T414" i="114"/>
  <c r="U414" i="114" s="1"/>
  <c r="T379" i="114"/>
  <c r="T366" i="114"/>
  <c r="T349" i="114"/>
  <c r="T333" i="114"/>
  <c r="T303" i="114"/>
  <c r="V303" i="114" s="1"/>
  <c r="T105" i="114"/>
  <c r="U105" i="114" s="1"/>
  <c r="T275" i="114"/>
  <c r="U275" i="114" s="1"/>
  <c r="T229" i="114"/>
  <c r="U229" i="114" s="1"/>
  <c r="T190" i="114"/>
  <c r="U190" i="114" s="1"/>
  <c r="T57" i="114"/>
  <c r="Y57" i="114" s="1"/>
  <c r="Z57" i="114" s="1"/>
  <c r="AB57" i="114" s="1"/>
  <c r="AC57" i="114" s="1"/>
  <c r="AE57" i="114" s="1"/>
  <c r="T1924" i="68"/>
  <c r="T701" i="115"/>
  <c r="U701" i="115" s="1"/>
  <c r="T679" i="115"/>
  <c r="U679" i="115" s="1"/>
  <c r="T668" i="115"/>
  <c r="U668" i="115" s="1"/>
  <c r="T657" i="115"/>
  <c r="V657" i="115" s="1"/>
  <c r="T564" i="115"/>
  <c r="U564" i="115" s="1"/>
  <c r="T515" i="115"/>
  <c r="U515" i="115" s="1"/>
  <c r="T381" i="115"/>
  <c r="V381" i="115" s="1"/>
  <c r="T270" i="115"/>
  <c r="U270" i="115" s="1"/>
  <c r="T259" i="115"/>
  <c r="U259" i="115" s="1"/>
  <c r="T249" i="115"/>
  <c r="V249" i="115" s="1"/>
  <c r="T236" i="115"/>
  <c r="U236" i="115" s="1"/>
  <c r="T197" i="115"/>
  <c r="U197" i="115" s="1"/>
  <c r="T135" i="115"/>
  <c r="U135" i="115" s="1"/>
  <c r="T124" i="115"/>
  <c r="U124" i="115" s="1"/>
  <c r="T66" i="115"/>
  <c r="U66" i="115" s="1"/>
  <c r="T46" i="115"/>
  <c r="U46" i="115" s="1"/>
  <c r="T606" i="114"/>
  <c r="T924" i="115"/>
  <c r="U924" i="115" s="1"/>
  <c r="T475" i="114"/>
  <c r="U475" i="114" s="1"/>
  <c r="T462" i="114"/>
  <c r="V462" i="114" s="1"/>
  <c r="T491" i="114"/>
  <c r="T434" i="114"/>
  <c r="U434" i="114" s="1"/>
  <c r="T423" i="114"/>
  <c r="U423" i="114" s="1"/>
  <c r="T413" i="114"/>
  <c r="U413" i="114" s="1"/>
  <c r="T376" i="114"/>
  <c r="T363" i="114"/>
  <c r="T332" i="114"/>
  <c r="T302" i="114"/>
  <c r="V302" i="114" s="1"/>
  <c r="T717" i="115"/>
  <c r="U717" i="115" s="1"/>
  <c r="T688" i="115"/>
  <c r="V688" i="115" s="1"/>
  <c r="T677" i="115"/>
  <c r="U677" i="115" s="1"/>
  <c r="T667" i="115"/>
  <c r="U667" i="115" s="1"/>
  <c r="T656" i="115"/>
  <c r="U656" i="115" s="1"/>
  <c r="T532" i="115"/>
  <c r="V532" i="115" s="1"/>
  <c r="T505" i="115"/>
  <c r="U505" i="115" s="1"/>
  <c r="T402" i="115"/>
  <c r="V402" i="115" s="1"/>
  <c r="T390" i="115"/>
  <c r="V390" i="115" s="1"/>
  <c r="T380" i="115"/>
  <c r="U380" i="115" s="1"/>
  <c r="T370" i="115"/>
  <c r="U370" i="115" s="1"/>
  <c r="T280" i="115"/>
  <c r="U280" i="115" s="1"/>
  <c r="T269" i="115"/>
  <c r="U269" i="115" s="1"/>
  <c r="T258" i="115"/>
  <c r="U258" i="115" s="1"/>
  <c r="T231" i="115"/>
  <c r="V231" i="115" s="1"/>
  <c r="T225" i="115"/>
  <c r="U225" i="115" s="1"/>
  <c r="T214" i="115"/>
  <c r="U214" i="115" s="1"/>
  <c r="T204" i="115"/>
  <c r="U204" i="115" s="1"/>
  <c r="T143" i="115"/>
  <c r="U143" i="115" s="1"/>
  <c r="T121" i="115"/>
  <c r="T90" i="115"/>
  <c r="V90" i="115" s="1"/>
  <c r="T74" i="115"/>
  <c r="U74" i="115" s="1"/>
  <c r="T63" i="115"/>
  <c r="U63" i="115" s="1"/>
  <c r="T56" i="115"/>
  <c r="T45" i="115"/>
  <c r="U45" i="115" s="1"/>
  <c r="T720" i="114"/>
  <c r="T711" i="114"/>
  <c r="T605" i="114"/>
  <c r="T992" i="115"/>
  <c r="U992" i="115" s="1"/>
  <c r="T981" i="115"/>
  <c r="U981" i="115" s="1"/>
  <c r="T940" i="115"/>
  <c r="U940" i="115" s="1"/>
  <c r="T923" i="115"/>
  <c r="U923" i="115" s="1"/>
  <c r="T910" i="115"/>
  <c r="U910" i="115" s="1"/>
  <c r="T851" i="115"/>
  <c r="U851" i="115" s="1"/>
  <c r="T833" i="115"/>
  <c r="U833" i="115" s="1"/>
  <c r="T814" i="115"/>
  <c r="V814" i="115" s="1"/>
  <c r="T804" i="115"/>
  <c r="U804" i="115" s="1"/>
  <c r="T791" i="115"/>
  <c r="U791" i="115" s="1"/>
  <c r="T780" i="115"/>
  <c r="U780" i="115" s="1"/>
  <c r="T474" i="114"/>
  <c r="T461" i="114"/>
  <c r="U461" i="114" s="1"/>
  <c r="T486" i="114"/>
  <c r="V486" i="114" s="1"/>
  <c r="T433" i="114"/>
  <c r="U433" i="114" s="1"/>
  <c r="T422" i="114"/>
  <c r="K64" i="3" s="1"/>
  <c r="T412" i="114"/>
  <c r="U412" i="114" s="1"/>
  <c r="T374" i="114"/>
  <c r="Y374" i="114" s="1"/>
  <c r="Z374" i="114" s="1"/>
  <c r="AB374" i="114" s="1"/>
  <c r="AC374" i="114" s="1"/>
  <c r="AE374" i="114" s="1"/>
  <c r="T362" i="114"/>
  <c r="T331" i="114"/>
  <c r="Y331" i="114" s="1"/>
  <c r="Z331" i="114" s="1"/>
  <c r="T301" i="114"/>
  <c r="U301" i="114" s="1"/>
  <c r="T112" i="114"/>
  <c r="U112" i="114" s="1"/>
  <c r="T716" i="115"/>
  <c r="V716" i="115" s="1"/>
  <c r="T687" i="115"/>
  <c r="U687" i="115" s="1"/>
  <c r="T676" i="115"/>
  <c r="U676" i="115" s="1"/>
  <c r="T666" i="115"/>
  <c r="U666" i="115" s="1"/>
  <c r="T655" i="115"/>
  <c r="U655" i="115" s="1"/>
  <c r="T561" i="115"/>
  <c r="U561" i="115" s="1"/>
  <c r="T521" i="115"/>
  <c r="U521" i="115" s="1"/>
  <c r="T513" i="115"/>
  <c r="U513" i="115" s="1"/>
  <c r="T504" i="115"/>
  <c r="V504" i="115" s="1"/>
  <c r="T418" i="115"/>
  <c r="U418" i="115" s="1"/>
  <c r="T401" i="115"/>
  <c r="U401" i="115" s="1"/>
  <c r="T389" i="115"/>
  <c r="V389" i="115" s="1"/>
  <c r="T369" i="115"/>
  <c r="U369" i="115" s="1"/>
  <c r="T268" i="115"/>
  <c r="U268" i="115" s="1"/>
  <c r="T257" i="115"/>
  <c r="V257" i="115" s="1"/>
  <c r="T247" i="115"/>
  <c r="V247" i="115" s="1"/>
  <c r="T230" i="115"/>
  <c r="V230" i="115" s="1"/>
  <c r="T224" i="115"/>
  <c r="U224" i="115" s="1"/>
  <c r="T213" i="115"/>
  <c r="U213" i="115" s="1"/>
  <c r="T203" i="115"/>
  <c r="U203" i="115" s="1"/>
  <c r="T142" i="115"/>
  <c r="V142" i="115" s="1"/>
  <c r="T132" i="115"/>
  <c r="U132" i="115" s="1"/>
  <c r="T120" i="115"/>
  <c r="U120" i="115" s="1"/>
  <c r="T89" i="115"/>
  <c r="V89" i="115" s="1"/>
  <c r="T72" i="115"/>
  <c r="U72" i="115" s="1"/>
  <c r="T62" i="115"/>
  <c r="V62" i="115" s="1"/>
  <c r="T53" i="115"/>
  <c r="U53" i="115" s="1"/>
  <c r="T604" i="114"/>
  <c r="T891" i="115"/>
  <c r="V891" i="115" s="1"/>
  <c r="T552" i="114"/>
  <c r="V552" i="114" s="1"/>
  <c r="T460" i="114"/>
  <c r="V460" i="114" s="1"/>
  <c r="T419" i="114"/>
  <c r="U419" i="114" s="1"/>
  <c r="T411" i="114"/>
  <c r="V411" i="114" s="1"/>
  <c r="T372" i="114"/>
  <c r="T360" i="114"/>
  <c r="T300" i="114"/>
  <c r="U300" i="114" s="1"/>
  <c r="T111" i="114"/>
  <c r="U111" i="114" s="1"/>
  <c r="T102" i="114"/>
  <c r="V102" i="114" s="1"/>
  <c r="T272" i="114"/>
  <c r="T221" i="114"/>
  <c r="U221" i="114" s="1"/>
  <c r="T199" i="114"/>
  <c r="V199" i="114" s="1"/>
  <c r="T186" i="114"/>
  <c r="U186" i="114" s="1"/>
  <c r="T40" i="114"/>
  <c r="Y40" i="114" s="1"/>
  <c r="Z40" i="114" s="1"/>
  <c r="AB40" i="114" s="1"/>
  <c r="T685" i="115"/>
  <c r="V685" i="115" s="1"/>
  <c r="T654" i="115"/>
  <c r="V654" i="115" s="1"/>
  <c r="T541" i="115"/>
  <c r="U541" i="115" s="1"/>
  <c r="T376" i="115"/>
  <c r="U376" i="115" s="1"/>
  <c r="T112" i="115"/>
  <c r="U112" i="115" s="1"/>
  <c r="T801" i="115"/>
  <c r="U801" i="115" s="1"/>
  <c r="T1917" i="68"/>
  <c r="Y1917" i="68" s="1"/>
  <c r="Z1917" i="68" s="1"/>
  <c r="AB1917" i="68" s="1"/>
  <c r="T194" i="114"/>
  <c r="V194" i="114" s="1"/>
  <c r="T185" i="114"/>
  <c r="U185" i="114" s="1"/>
  <c r="T1695" i="68"/>
  <c r="U1695" i="68" s="1"/>
  <c r="U1673" i="68"/>
  <c r="V1673" i="68"/>
  <c r="T1652" i="68"/>
  <c r="V1652" i="68" s="1"/>
  <c r="T1625" i="68"/>
  <c r="U1625" i="68" s="1"/>
  <c r="T1617" i="68"/>
  <c r="U1617" i="68" s="1"/>
  <c r="T1384" i="68"/>
  <c r="U1384" i="68" s="1"/>
  <c r="T777" i="68"/>
  <c r="T1231" i="68"/>
  <c r="V1231" i="68" s="1"/>
  <c r="T675" i="115"/>
  <c r="V675" i="115" s="1"/>
  <c r="T664" i="115"/>
  <c r="U664" i="115" s="1"/>
  <c r="T653" i="115"/>
  <c r="V653" i="115" s="1"/>
  <c r="T559" i="115"/>
  <c r="U559" i="115" s="1"/>
  <c r="T536" i="115"/>
  <c r="U536" i="115" s="1"/>
  <c r="T529" i="115"/>
  <c r="U529" i="115" s="1"/>
  <c r="T519" i="115"/>
  <c r="T502" i="115"/>
  <c r="U502" i="115" s="1"/>
  <c r="T375" i="115"/>
  <c r="V375" i="115" s="1"/>
  <c r="T291" i="115"/>
  <c r="V291" i="115" s="1"/>
  <c r="T277" i="115"/>
  <c r="U277" i="115" s="1"/>
  <c r="T265" i="115"/>
  <c r="U265" i="115" s="1"/>
  <c r="T255" i="115"/>
  <c r="U255" i="115" s="1"/>
  <c r="T245" i="115"/>
  <c r="V245" i="115" s="1"/>
  <c r="T220" i="115"/>
  <c r="U220" i="115" s="1"/>
  <c r="T219" i="115"/>
  <c r="V219" i="115" s="1"/>
  <c r="T211" i="115"/>
  <c r="V211" i="115" s="1"/>
  <c r="T201" i="115"/>
  <c r="U201" i="115" s="1"/>
  <c r="T111" i="115"/>
  <c r="V111" i="115" s="1"/>
  <c r="T97" i="115"/>
  <c r="U97" i="115" s="1"/>
  <c r="T86" i="115"/>
  <c r="U86" i="115" s="1"/>
  <c r="T59" i="115"/>
  <c r="V59" i="115" s="1"/>
  <c r="T51" i="115"/>
  <c r="V51" i="115" s="1"/>
  <c r="T548" i="114"/>
  <c r="U548" i="114" s="1"/>
  <c r="T470" i="114"/>
  <c r="V470" i="114" s="1"/>
  <c r="T458" i="114"/>
  <c r="U458" i="114" s="1"/>
  <c r="T440" i="114"/>
  <c r="T428" i="114"/>
  <c r="V428" i="114" s="1"/>
  <c r="T417" i="114"/>
  <c r="V417" i="114" s="1"/>
  <c r="T370" i="114"/>
  <c r="T355" i="114"/>
  <c r="T336" i="114"/>
  <c r="T108" i="114"/>
  <c r="U108" i="114" s="1"/>
  <c r="T661" i="115"/>
  <c r="U661" i="115" s="1"/>
  <c r="T672" i="115"/>
  <c r="U672" i="115" s="1"/>
  <c r="T663" i="115"/>
  <c r="U663" i="115" s="1"/>
  <c r="T652" i="115"/>
  <c r="U652" i="115" s="1"/>
  <c r="T535" i="115"/>
  <c r="V535" i="115" s="1"/>
  <c r="T500" i="115"/>
  <c r="T406" i="115"/>
  <c r="U406" i="115" s="1"/>
  <c r="T384" i="115"/>
  <c r="U384" i="115" s="1"/>
  <c r="T276" i="115"/>
  <c r="U276" i="115" s="1"/>
  <c r="T228" i="115"/>
  <c r="V228" i="115" s="1"/>
  <c r="T218" i="115"/>
  <c r="U218" i="115" s="1"/>
  <c r="T210" i="115"/>
  <c r="T200" i="115"/>
  <c r="V200" i="115" s="1"/>
  <c r="T127" i="115"/>
  <c r="U127" i="115" s="1"/>
  <c r="T85" i="115"/>
  <c r="V85" i="115" s="1"/>
  <c r="T50" i="115"/>
  <c r="U50" i="115" s="1"/>
  <c r="T743" i="114"/>
  <c r="T799" i="115"/>
  <c r="V799" i="115" s="1"/>
  <c r="T457" i="114"/>
  <c r="V457" i="114" s="1"/>
  <c r="T427" i="114"/>
  <c r="U427" i="114" s="1"/>
  <c r="T416" i="114"/>
  <c r="U416" i="114" s="1"/>
  <c r="T381" i="114"/>
  <c r="T369" i="114"/>
  <c r="T354" i="114"/>
  <c r="T335" i="114"/>
  <c r="T305" i="114"/>
  <c r="V305" i="114" s="1"/>
  <c r="T1910" i="68"/>
  <c r="T1803" i="68"/>
  <c r="V1803" i="68" s="1"/>
  <c r="T1787" i="68"/>
  <c r="U1787" i="68" s="1"/>
  <c r="T1760" i="68"/>
  <c r="V1760" i="68" s="1"/>
  <c r="T1752" i="68"/>
  <c r="U1752" i="68" s="1"/>
  <c r="T1742" i="68"/>
  <c r="U1742" i="68" s="1"/>
  <c r="T1720" i="68"/>
  <c r="V1720" i="68" s="1"/>
  <c r="T1709" i="68"/>
  <c r="V1709" i="68" s="1"/>
  <c r="T1699" i="68"/>
  <c r="U1699" i="68" s="1"/>
  <c r="T1683" i="68"/>
  <c r="U1683" i="68" s="1"/>
  <c r="T1667" i="68"/>
  <c r="T1656" i="68"/>
  <c r="T1637" i="68"/>
  <c r="U1637" i="68" s="1"/>
  <c r="T1621" i="68"/>
  <c r="U1621" i="68" s="1"/>
  <c r="T1610" i="68"/>
  <c r="U1610" i="68" s="1"/>
  <c r="T1595" i="68"/>
  <c r="T1577" i="68"/>
  <c r="T1558" i="68"/>
  <c r="T1551" i="68"/>
  <c r="T1540" i="68"/>
  <c r="T1529" i="68"/>
  <c r="T1521" i="68"/>
  <c r="T1431" i="68"/>
  <c r="V1431" i="68" s="1"/>
  <c r="T1430" i="68"/>
  <c r="T1415" i="68"/>
  <c r="U1415" i="68" s="1"/>
  <c r="T1404" i="68"/>
  <c r="V1404" i="68" s="1"/>
  <c r="T1383" i="68"/>
  <c r="U1383" i="68" s="1"/>
  <c r="T1374" i="68"/>
  <c r="T1365" i="68"/>
  <c r="U1365" i="68" s="1"/>
  <c r="T1340" i="68"/>
  <c r="V1340" i="68" s="1"/>
  <c r="T1331" i="68"/>
  <c r="U1331" i="68" s="1"/>
  <c r="T1247" i="68"/>
  <c r="V1247" i="68" s="1"/>
  <c r="T1230" i="68"/>
  <c r="U1230" i="68" s="1"/>
  <c r="T1220" i="68"/>
  <c r="U1220" i="68" s="1"/>
  <c r="T1201" i="68"/>
  <c r="U1201" i="68" s="1"/>
  <c r="T1190" i="68"/>
  <c r="V1190" i="68" s="1"/>
  <c r="T1181" i="68"/>
  <c r="V1181" i="68" s="1"/>
  <c r="T1169" i="68"/>
  <c r="V1169" i="68" s="1"/>
  <c r="T1149" i="68"/>
  <c r="U1149" i="68" s="1"/>
  <c r="T1137" i="68"/>
  <c r="V1137" i="68" s="1"/>
  <c r="T1127" i="68"/>
  <c r="U1127" i="68" s="1"/>
  <c r="T1047" i="68"/>
  <c r="V1047" i="68" s="1"/>
  <c r="T1032" i="68"/>
  <c r="V1032" i="68" s="1"/>
  <c r="T1020" i="68"/>
  <c r="U1020" i="68" s="1"/>
  <c r="T1012" i="68"/>
  <c r="V1012" i="68" s="1"/>
  <c r="T997" i="68"/>
  <c r="T986" i="68"/>
  <c r="V986" i="68" s="1"/>
  <c r="T977" i="68"/>
  <c r="U977" i="68" s="1"/>
  <c r="T966" i="68"/>
  <c r="U966" i="68" s="1"/>
  <c r="T941" i="68"/>
  <c r="U941" i="68" s="1"/>
  <c r="T932" i="68"/>
  <c r="U932" i="68" s="1"/>
  <c r="T918" i="68"/>
  <c r="U918" i="68" s="1"/>
  <c r="T907" i="68"/>
  <c r="V907" i="68" s="1"/>
  <c r="T896" i="68"/>
  <c r="T888" i="68"/>
  <c r="U888" i="68" s="1"/>
  <c r="T874" i="68"/>
  <c r="V874" i="68" s="1"/>
  <c r="T849" i="68"/>
  <c r="U849" i="68" s="1"/>
  <c r="T840" i="68"/>
  <c r="U840" i="68" s="1"/>
  <c r="T770" i="68"/>
  <c r="T759" i="68"/>
  <c r="T723" i="68"/>
  <c r="U723" i="68" s="1"/>
  <c r="T709" i="68"/>
  <c r="V709" i="68" s="1"/>
  <c r="T603" i="68"/>
  <c r="V603" i="68" s="1"/>
  <c r="T587" i="68"/>
  <c r="U587" i="68" s="1"/>
  <c r="T484" i="68"/>
  <c r="V484" i="68" s="1"/>
  <c r="T478" i="68"/>
  <c r="V478" i="68" s="1"/>
  <c r="T367" i="68"/>
  <c r="U367" i="68" s="1"/>
  <c r="T355" i="68"/>
  <c r="T346" i="68"/>
  <c r="V346" i="68" s="1"/>
  <c r="T335" i="68"/>
  <c r="U335" i="68" s="1"/>
  <c r="T320" i="68"/>
  <c r="T296" i="68"/>
  <c r="T279" i="68"/>
  <c r="T205" i="68"/>
  <c r="V205" i="68" s="1"/>
  <c r="T161" i="68"/>
  <c r="V161" i="68" s="1"/>
  <c r="T107" i="68"/>
  <c r="V107" i="68" s="1"/>
  <c r="T467" i="114"/>
  <c r="U467" i="114" s="1"/>
  <c r="T73" i="115"/>
  <c r="U73" i="115" s="1"/>
  <c r="T104" i="114"/>
  <c r="U104" i="114" s="1"/>
  <c r="T274" i="114"/>
  <c r="V274" i="114" s="1"/>
  <c r="T224" i="114"/>
  <c r="U224" i="114" s="1"/>
  <c r="T189" i="114"/>
  <c r="V189" i="114" s="1"/>
  <c r="T47" i="114"/>
  <c r="Y47" i="114" s="1"/>
  <c r="Z47" i="114" s="1"/>
  <c r="AB47" i="114" s="1"/>
  <c r="T1923" i="68"/>
  <c r="T1914" i="68"/>
  <c r="T1800" i="68"/>
  <c r="V1800" i="68" s="1"/>
  <c r="T1786" i="68"/>
  <c r="V1786" i="68" s="1"/>
  <c r="T1767" i="68"/>
  <c r="T1759" i="68"/>
  <c r="U1759" i="68" s="1"/>
  <c r="T1751" i="68"/>
  <c r="V1751" i="68" s="1"/>
  <c r="T1741" i="68"/>
  <c r="U1741" i="68" s="1"/>
  <c r="T1719" i="68"/>
  <c r="T1708" i="68"/>
  <c r="U1708" i="68" s="1"/>
  <c r="T1698" i="68"/>
  <c r="U1698" i="68" s="1"/>
  <c r="T1677" i="68"/>
  <c r="V1677" i="68" s="1"/>
  <c r="T1666" i="68"/>
  <c r="U1666" i="68" s="1"/>
  <c r="T1655" i="68"/>
  <c r="U1655" i="68" s="1"/>
  <c r="T1636" i="68"/>
  <c r="V1636" i="68" s="1"/>
  <c r="T1628" i="68"/>
  <c r="U1628" i="68" s="1"/>
  <c r="T1620" i="68"/>
  <c r="U1620" i="68" s="1"/>
  <c r="T1609" i="68"/>
  <c r="U1609" i="68" s="1"/>
  <c r="T1594" i="68"/>
  <c r="T1586" i="68"/>
  <c r="T1576" i="68"/>
  <c r="T1557" i="68"/>
  <c r="T1548" i="68"/>
  <c r="T1528" i="68"/>
  <c r="T1520" i="68"/>
  <c r="T1422" i="68"/>
  <c r="U1422" i="68" s="1"/>
  <c r="T1414" i="68"/>
  <c r="U1414" i="68" s="1"/>
  <c r="T1403" i="68"/>
  <c r="U1403" i="68" s="1"/>
  <c r="T1362" i="68"/>
  <c r="V1362" i="68" s="1"/>
  <c r="T1349" i="68"/>
  <c r="U1349" i="68" s="1"/>
  <c r="T1339" i="68"/>
  <c r="V1339" i="68" s="1"/>
  <c r="T1259" i="68"/>
  <c r="U1259" i="68" s="1"/>
  <c r="T1246" i="68"/>
  <c r="T1229" i="68"/>
  <c r="V1229" i="68" s="1"/>
  <c r="T1219" i="68"/>
  <c r="V1219" i="68" s="1"/>
  <c r="T1200" i="68"/>
  <c r="V1200" i="68" s="1"/>
  <c r="T1189" i="68"/>
  <c r="U1189" i="68" s="1"/>
  <c r="T1180" i="68"/>
  <c r="V1180" i="68" s="1"/>
  <c r="T1168" i="68"/>
  <c r="V1168" i="68" s="1"/>
  <c r="T1147" i="68"/>
  <c r="U1147" i="68" s="1"/>
  <c r="T1135" i="68"/>
  <c r="U1135" i="68" s="1"/>
  <c r="T1126" i="68"/>
  <c r="U1126" i="68" s="1"/>
  <c r="T1031" i="68"/>
  <c r="V1031" i="68" s="1"/>
  <c r="T1019" i="68"/>
  <c r="U1019" i="68" s="1"/>
  <c r="T1011" i="68"/>
  <c r="T978" i="68"/>
  <c r="U978" i="68" s="1"/>
  <c r="T985" i="68"/>
  <c r="V985" i="68" s="1"/>
  <c r="T974" i="68"/>
  <c r="V974" i="68" s="1"/>
  <c r="T965" i="68"/>
  <c r="V965" i="68" s="1"/>
  <c r="T950" i="68"/>
  <c r="U950" i="68" s="1"/>
  <c r="T940" i="68"/>
  <c r="U940" i="68" s="1"/>
  <c r="T931" i="68"/>
  <c r="U931" i="68" s="1"/>
  <c r="T915" i="68"/>
  <c r="U915" i="68" s="1"/>
  <c r="T906" i="68"/>
  <c r="U906" i="68" s="1"/>
  <c r="T895" i="68"/>
  <c r="V895" i="68" s="1"/>
  <c r="T887" i="68"/>
  <c r="U887" i="68" s="1"/>
  <c r="T856" i="68"/>
  <c r="U856" i="68" s="1"/>
  <c r="T839" i="68"/>
  <c r="U839" i="68" s="1"/>
  <c r="T769" i="68"/>
  <c r="T757" i="68"/>
  <c r="T740" i="68"/>
  <c r="V740" i="68" s="1"/>
  <c r="T722" i="68"/>
  <c r="U722" i="68" s="1"/>
  <c r="T654" i="114"/>
  <c r="T713" i="68"/>
  <c r="U713" i="68" s="1"/>
  <c r="T602" i="68"/>
  <c r="U602" i="68" s="1"/>
  <c r="T586" i="68"/>
  <c r="T483" i="68"/>
  <c r="V483" i="68" s="1"/>
  <c r="T477" i="68"/>
  <c r="U477" i="68" s="1"/>
  <c r="T466" i="68"/>
  <c r="V466" i="68" s="1"/>
  <c r="T457" i="68"/>
  <c r="U457" i="68" s="1"/>
  <c r="T357" i="68"/>
  <c r="V357" i="68" s="1"/>
  <c r="T334" i="68"/>
  <c r="U334" i="68" s="1"/>
  <c r="T278" i="68"/>
  <c r="T160" i="68"/>
  <c r="V160" i="68" s="1"/>
  <c r="T106" i="68"/>
  <c r="V106" i="68" s="1"/>
  <c r="T103" i="114"/>
  <c r="U103" i="114" s="1"/>
  <c r="T187" i="114"/>
  <c r="T163" i="114"/>
  <c r="U163" i="114" s="1"/>
  <c r="T1376" i="68"/>
  <c r="T44" i="114"/>
  <c r="Y44" i="114" s="1"/>
  <c r="Z44" i="114" s="1"/>
  <c r="AB44" i="114" s="1"/>
  <c r="T1921" i="68"/>
  <c r="Y1921" i="68" s="1"/>
  <c r="Z1921" i="68" s="1"/>
  <c r="AB1921" i="68" s="1"/>
  <c r="U1896" i="68"/>
  <c r="T1802" i="68"/>
  <c r="U1802" i="68" s="1"/>
  <c r="T1785" i="68"/>
  <c r="V1785" i="68" s="1"/>
  <c r="T1766" i="68"/>
  <c r="U1766" i="68" s="1"/>
  <c r="T1758" i="68"/>
  <c r="U1758" i="68" s="1"/>
  <c r="T1748" i="68"/>
  <c r="V1748" i="68" s="1"/>
  <c r="T1727" i="68"/>
  <c r="V1727" i="68" s="1"/>
  <c r="T1718" i="68"/>
  <c r="T1707" i="68"/>
  <c r="U1707" i="68" s="1"/>
  <c r="T1697" i="68"/>
  <c r="U1697" i="68" s="1"/>
  <c r="T1676" i="68"/>
  <c r="U1676" i="68" s="1"/>
  <c r="T1665" i="68"/>
  <c r="U1665" i="68" s="1"/>
  <c r="T1654" i="68"/>
  <c r="U1654" i="68" s="1"/>
  <c r="T1627" i="68"/>
  <c r="U1627" i="68" s="1"/>
  <c r="T1619" i="68"/>
  <c r="V1619" i="68" s="1"/>
  <c r="T1608" i="68"/>
  <c r="T1575" i="68"/>
  <c r="T1556" i="68"/>
  <c r="T1547" i="68"/>
  <c r="T1538" i="68"/>
  <c r="T1534" i="68"/>
  <c r="T1527" i="68"/>
  <c r="T1449" i="68"/>
  <c r="U1449" i="68" s="1"/>
  <c r="T1410" i="68"/>
  <c r="U1410" i="68" s="1"/>
  <c r="T1413" i="68"/>
  <c r="U1413" i="68" s="1"/>
  <c r="T1402" i="68"/>
  <c r="U1402" i="68" s="1"/>
  <c r="T1382" i="68"/>
  <c r="T1361" i="68"/>
  <c r="U1361" i="68" s="1"/>
  <c r="T758" i="68"/>
  <c r="T1351" i="68"/>
  <c r="U1351" i="68" s="1"/>
  <c r="T1338" i="68"/>
  <c r="V1338" i="68" s="1"/>
  <c r="T1256" i="68"/>
  <c r="U1256" i="68" s="1"/>
  <c r="T1244" i="68"/>
  <c r="U1244" i="68" s="1"/>
  <c r="T1228" i="68"/>
  <c r="V1228" i="68" s="1"/>
  <c r="T1199" i="68"/>
  <c r="U1199" i="68" s="1"/>
  <c r="T1188" i="68"/>
  <c r="U1188" i="68" s="1"/>
  <c r="T1179" i="68"/>
  <c r="U1179" i="68" s="1"/>
  <c r="T1167" i="68"/>
  <c r="U1167" i="68" s="1"/>
  <c r="T1134" i="68"/>
  <c r="U1134" i="68" s="1"/>
  <c r="T1125" i="68"/>
  <c r="V1125" i="68" s="1"/>
  <c r="T1046" i="68"/>
  <c r="V1046" i="68" s="1"/>
  <c r="T1030" i="68"/>
  <c r="U1030" i="68" s="1"/>
  <c r="T1018" i="68"/>
  <c r="T1003" i="68"/>
  <c r="U1003" i="68" s="1"/>
  <c r="T994" i="68"/>
  <c r="V994" i="68" s="1"/>
  <c r="T984" i="68"/>
  <c r="U984" i="68" s="1"/>
  <c r="T973" i="68"/>
  <c r="V973" i="68" s="1"/>
  <c r="T958" i="68"/>
  <c r="V958" i="68" s="1"/>
  <c r="T949" i="68"/>
  <c r="U949" i="68" s="1"/>
  <c r="T939" i="68"/>
  <c r="U939" i="68" s="1"/>
  <c r="T930" i="68"/>
  <c r="U930" i="68" s="1"/>
  <c r="T914" i="68"/>
  <c r="U914" i="68" s="1"/>
  <c r="T903" i="68"/>
  <c r="U903" i="68" s="1"/>
  <c r="T908" i="68"/>
  <c r="V908" i="68" s="1"/>
  <c r="T886" i="68"/>
  <c r="T872" i="68"/>
  <c r="U872" i="68" s="1"/>
  <c r="T865" i="68"/>
  <c r="U865" i="68" s="1"/>
  <c r="T855" i="68"/>
  <c r="V855" i="68" s="1"/>
  <c r="T838" i="68"/>
  <c r="U838" i="68" s="1"/>
  <c r="T768" i="68"/>
  <c r="T756" i="68"/>
  <c r="T743" i="68"/>
  <c r="U743" i="68" s="1"/>
  <c r="T721" i="68"/>
  <c r="T706" i="68"/>
  <c r="U706" i="68" s="1"/>
  <c r="T698" i="68"/>
  <c r="U698" i="68" s="1"/>
  <c r="T638" i="68"/>
  <c r="U638" i="68" s="1"/>
  <c r="T584" i="68"/>
  <c r="V584" i="68" s="1"/>
  <c r="T476" i="68"/>
  <c r="U476" i="68" s="1"/>
  <c r="T465" i="68"/>
  <c r="U465" i="68" s="1"/>
  <c r="T449" i="68"/>
  <c r="Y449" i="68" s="1"/>
  <c r="Z449" i="68" s="1"/>
  <c r="T342" i="68"/>
  <c r="V342" i="68" s="1"/>
  <c r="T327" i="68"/>
  <c r="T294" i="68"/>
  <c r="T285" i="68"/>
  <c r="T223" i="68"/>
  <c r="U223" i="68" s="1"/>
  <c r="T204" i="68"/>
  <c r="U204" i="68" s="1"/>
  <c r="T167" i="68"/>
  <c r="V167" i="68" s="1"/>
  <c r="T151" i="68"/>
  <c r="U151" i="68" s="1"/>
  <c r="T138" i="68"/>
  <c r="U138" i="68" s="1"/>
  <c r="T115" i="68"/>
  <c r="V115" i="68" s="1"/>
  <c r="T105" i="68"/>
  <c r="U105" i="68" s="1"/>
  <c r="T1795" i="68"/>
  <c r="U1795" i="68" s="1"/>
  <c r="T1784" i="68"/>
  <c r="V1784" i="68" s="1"/>
  <c r="T1768" i="68"/>
  <c r="U1768" i="68" s="1"/>
  <c r="T1757" i="68"/>
  <c r="U1757" i="68" s="1"/>
  <c r="T1747" i="68"/>
  <c r="U1747" i="68" s="1"/>
  <c r="T1726" i="68"/>
  <c r="V1726" i="68" s="1"/>
  <c r="T1717" i="68"/>
  <c r="U1717" i="68" s="1"/>
  <c r="T1706" i="68"/>
  <c r="U1706" i="68" s="1"/>
  <c r="T1696" i="68"/>
  <c r="U1696" i="68" s="1"/>
  <c r="T1674" i="68"/>
  <c r="U1674" i="68" s="1"/>
  <c r="T1664" i="68"/>
  <c r="U1664" i="68" s="1"/>
  <c r="T1653" i="68"/>
  <c r="V1653" i="68" s="1"/>
  <c r="T1618" i="68"/>
  <c r="U1618" i="68" s="1"/>
  <c r="T1607" i="68"/>
  <c r="U1607" i="68" s="1"/>
  <c r="T1574" i="68"/>
  <c r="T1537" i="68"/>
  <c r="T1526" i="68"/>
  <c r="Y1526" i="68" s="1"/>
  <c r="Z1526" i="68" s="1"/>
  <c r="T1441" i="68"/>
  <c r="U1441" i="68" s="1"/>
  <c r="T1420" i="68"/>
  <c r="V1420" i="68" s="1"/>
  <c r="T1412" i="68"/>
  <c r="U1412" i="68" s="1"/>
  <c r="T1401" i="68"/>
  <c r="U1401" i="68" s="1"/>
  <c r="T1381" i="68"/>
  <c r="U1381" i="68" s="1"/>
  <c r="T776" i="68"/>
  <c r="T1360" i="68"/>
  <c r="U1360" i="68" s="1"/>
  <c r="T1337" i="68"/>
  <c r="T1254" i="68"/>
  <c r="U1254" i="68" s="1"/>
  <c r="T1243" i="68"/>
  <c r="V1243" i="68" s="1"/>
  <c r="T1227" i="68"/>
  <c r="U1227" i="68" s="1"/>
  <c r="T1217" i="68"/>
  <c r="U1217" i="68" s="1"/>
  <c r="T1187" i="68"/>
  <c r="U1187" i="68" s="1"/>
  <c r="T1177" i="68"/>
  <c r="V1177" i="68" s="1"/>
  <c r="T1166" i="68"/>
  <c r="U1166" i="68" s="1"/>
  <c r="T1133" i="68"/>
  <c r="T1124" i="68"/>
  <c r="U1124" i="68" s="1"/>
  <c r="T1045" i="68"/>
  <c r="V1045" i="68" s="1"/>
  <c r="T1029" i="68"/>
  <c r="U1029" i="68" s="1"/>
  <c r="T1017" i="68"/>
  <c r="T1002" i="68"/>
  <c r="U1002" i="68" s="1"/>
  <c r="T993" i="68"/>
  <c r="V993" i="68" s="1"/>
  <c r="T972" i="68"/>
  <c r="U972" i="68" s="1"/>
  <c r="T957" i="68"/>
  <c r="V957" i="68" s="1"/>
  <c r="T948" i="68"/>
  <c r="U948" i="68" s="1"/>
  <c r="T938" i="68"/>
  <c r="U938" i="68" s="1"/>
  <c r="T929" i="68"/>
  <c r="U929" i="68" s="1"/>
  <c r="T912" i="68"/>
  <c r="T902" i="68"/>
  <c r="U902" i="68" s="1"/>
  <c r="T894" i="68"/>
  <c r="V894" i="68" s="1"/>
  <c r="T885" i="68"/>
  <c r="U885" i="68" s="1"/>
  <c r="T871" i="68"/>
  <c r="U871" i="68" s="1"/>
  <c r="T863" i="68"/>
  <c r="U863" i="68" s="1"/>
  <c r="T854" i="68"/>
  <c r="V854" i="68" s="1"/>
  <c r="T837" i="68"/>
  <c r="U837" i="68" s="1"/>
  <c r="T766" i="68"/>
  <c r="T746" i="68"/>
  <c r="U746" i="68" s="1"/>
  <c r="T730" i="68"/>
  <c r="V730" i="68" s="1"/>
  <c r="T714" i="68"/>
  <c r="U714" i="68" s="1"/>
  <c r="T705" i="68"/>
  <c r="U705" i="68" s="1"/>
  <c r="T608" i="68"/>
  <c r="U608" i="68" s="1"/>
  <c r="T482" i="68"/>
  <c r="U482" i="68" s="1"/>
  <c r="T475" i="68"/>
  <c r="U475" i="68" s="1"/>
  <c r="T464" i="68"/>
  <c r="V464" i="68" s="1"/>
  <c r="T446" i="68"/>
  <c r="T347" i="68"/>
  <c r="U347" i="68" s="1"/>
  <c r="T341" i="68"/>
  <c r="U341" i="68" s="1"/>
  <c r="T309" i="68"/>
  <c r="T302" i="68"/>
  <c r="T293" i="68"/>
  <c r="T284" i="68"/>
  <c r="T216" i="68"/>
  <c r="T153" i="68"/>
  <c r="U153" i="68" s="1"/>
  <c r="T114" i="68"/>
  <c r="U114" i="68" s="1"/>
  <c r="T104" i="68"/>
  <c r="U104" i="68" s="1"/>
  <c r="T105" i="115"/>
  <c r="U105" i="115" s="1"/>
  <c r="T122" i="115"/>
  <c r="U122" i="115" s="1"/>
  <c r="T1028" i="68"/>
  <c r="U1028" i="68" s="1"/>
  <c r="T982" i="68"/>
  <c r="U982" i="68" s="1"/>
  <c r="T971" i="68"/>
  <c r="V971" i="68" s="1"/>
  <c r="T947" i="68"/>
  <c r="T928" i="68"/>
  <c r="U928" i="68" s="1"/>
  <c r="T911" i="68"/>
  <c r="U911" i="68" s="1"/>
  <c r="T901" i="68"/>
  <c r="V901" i="68" s="1"/>
  <c r="T893" i="68"/>
  <c r="U893" i="68" s="1"/>
  <c r="T729" i="68"/>
  <c r="U729" i="68" s="1"/>
  <c r="T444" i="68"/>
  <c r="Y444" i="68" s="1"/>
  <c r="Z444" i="68" s="1"/>
  <c r="AB444" i="68" s="1"/>
  <c r="T353" i="68"/>
  <c r="U353" i="68" s="1"/>
  <c r="T351" i="68"/>
  <c r="U351" i="68" s="1"/>
  <c r="T340" i="68"/>
  <c r="V340" i="68" s="1"/>
  <c r="T301" i="68"/>
  <c r="T292" i="68"/>
  <c r="T283" i="68"/>
  <c r="T165" i="68"/>
  <c r="V165" i="68" s="1"/>
  <c r="T148" i="68"/>
  <c r="U148" i="68" s="1"/>
  <c r="T103" i="68"/>
  <c r="U103" i="68" s="1"/>
  <c r="T193" i="114"/>
  <c r="U193" i="114" s="1"/>
  <c r="T184" i="114"/>
  <c r="U184" i="114" s="1"/>
  <c r="T52" i="114"/>
  <c r="Y52" i="114" s="1"/>
  <c r="AB52" i="114" s="1"/>
  <c r="AE52" i="114" s="1"/>
  <c r="AH52" i="114" s="1"/>
  <c r="AK52" i="114" s="1"/>
  <c r="AN52" i="114" s="1"/>
  <c r="T1922" i="68"/>
  <c r="Y1922" i="68" s="1"/>
  <c r="Z1922" i="68" s="1"/>
  <c r="AB1922" i="68" s="1"/>
  <c r="T1812" i="68"/>
  <c r="U1812" i="68" s="1"/>
  <c r="T1790" i="68"/>
  <c r="U1790" i="68" s="1"/>
  <c r="T1772" i="68"/>
  <c r="U1772" i="68" s="1"/>
  <c r="T1755" i="68"/>
  <c r="V1755" i="68" s="1"/>
  <c r="T1745" i="68"/>
  <c r="U1745" i="68" s="1"/>
  <c r="T1724" i="68"/>
  <c r="U1724" i="68" s="1"/>
  <c r="T1714" i="68"/>
  <c r="U1714" i="68" s="1"/>
  <c r="T1704" i="68"/>
  <c r="T1693" i="68"/>
  <c r="U1693" i="68" s="1"/>
  <c r="T1672" i="68"/>
  <c r="U1672" i="68" s="1"/>
  <c r="T1651" i="68"/>
  <c r="U1651" i="68" s="1"/>
  <c r="T1633" i="68"/>
  <c r="T1624" i="68"/>
  <c r="V1624" i="68" s="1"/>
  <c r="T1616" i="68"/>
  <c r="V1616" i="68" s="1"/>
  <c r="T1604" i="68"/>
  <c r="V1604" i="68" s="1"/>
  <c r="T1592" i="68"/>
  <c r="T1580" i="68"/>
  <c r="T1543" i="68"/>
  <c r="T1533" i="68"/>
  <c r="T1524" i="68"/>
  <c r="T1433" i="68"/>
  <c r="U1433" i="68" s="1"/>
  <c r="T1427" i="68"/>
  <c r="U1427" i="68" s="1"/>
  <c r="T1407" i="68"/>
  <c r="T1378" i="68"/>
  <c r="T1352" i="68"/>
  <c r="U1352" i="68" s="1"/>
  <c r="T1334" i="68"/>
  <c r="U1334" i="68" s="1"/>
  <c r="T1252" i="68"/>
  <c r="U1252" i="68" s="1"/>
  <c r="T1233" i="68"/>
  <c r="V1233" i="68" s="1"/>
  <c r="T1223" i="68"/>
  <c r="V1223" i="68" s="1"/>
  <c r="T1203" i="68"/>
  <c r="V1203" i="68" s="1"/>
  <c r="T1194" i="68"/>
  <c r="T1175" i="68"/>
  <c r="U1175" i="68" s="1"/>
  <c r="T1164" i="68"/>
  <c r="U1164" i="68" s="1"/>
  <c r="T1144" i="68"/>
  <c r="U1144" i="68" s="1"/>
  <c r="T1122" i="68"/>
  <c r="T1042" i="68"/>
  <c r="U1042" i="68" s="1"/>
  <c r="T1026" i="68"/>
  <c r="U1026" i="68" s="1"/>
  <c r="T1015" i="68"/>
  <c r="U1015" i="68" s="1"/>
  <c r="T1000" i="68"/>
  <c r="T991" i="68"/>
  <c r="U991" i="68" s="1"/>
  <c r="T981" i="68"/>
  <c r="U981" i="68" s="1"/>
  <c r="T970" i="68"/>
  <c r="U970" i="68" s="1"/>
  <c r="T955" i="68"/>
  <c r="T944" i="68"/>
  <c r="U944" i="68" s="1"/>
  <c r="T927" i="68"/>
  <c r="V927" i="68" s="1"/>
  <c r="T910" i="68"/>
  <c r="U910" i="68" s="1"/>
  <c r="T899" i="68"/>
  <c r="U899" i="68" s="1"/>
  <c r="T883" i="68"/>
  <c r="U883" i="68" s="1"/>
  <c r="T869" i="68"/>
  <c r="U869" i="68" s="1"/>
  <c r="T861" i="68"/>
  <c r="U861" i="68" s="1"/>
  <c r="T843" i="68"/>
  <c r="T774" i="68"/>
  <c r="T762" i="68"/>
  <c r="T744" i="68"/>
  <c r="U744" i="68" s="1"/>
  <c r="T736" i="68"/>
  <c r="U736" i="68" s="1"/>
  <c r="T728" i="68"/>
  <c r="U728" i="68" s="1"/>
  <c r="T695" i="68"/>
  <c r="V695" i="68" s="1"/>
  <c r="T590" i="68"/>
  <c r="U590" i="68" s="1"/>
  <c r="T481" i="68"/>
  <c r="V481" i="68" s="1"/>
  <c r="T440" i="68"/>
  <c r="T352" i="68"/>
  <c r="U352" i="68" s="1"/>
  <c r="T325" i="68"/>
  <c r="T282" i="68"/>
  <c r="T146" i="68"/>
  <c r="T110" i="68"/>
  <c r="V110" i="68" s="1"/>
  <c r="T107" i="114"/>
  <c r="U107" i="114" s="1"/>
  <c r="T283" i="114"/>
  <c r="U283" i="114" s="1"/>
  <c r="T232" i="114"/>
  <c r="U232" i="114" s="1"/>
  <c r="T192" i="114"/>
  <c r="V192" i="114" s="1"/>
  <c r="T172" i="114"/>
  <c r="V172" i="114" s="1"/>
  <c r="T51" i="114"/>
  <c r="Y51" i="114" s="1"/>
  <c r="Z51" i="114" s="1"/>
  <c r="AB51" i="114" s="1"/>
  <c r="AC51" i="114" s="1"/>
  <c r="AE51" i="114" s="1"/>
  <c r="AF51" i="114" s="1"/>
  <c r="AH51" i="114" s="1"/>
  <c r="AI51" i="114" s="1"/>
  <c r="AK51" i="114" s="1"/>
  <c r="AL51" i="114" s="1"/>
  <c r="AN51" i="114" s="1"/>
  <c r="T1911" i="68"/>
  <c r="T1805" i="68"/>
  <c r="U1805" i="68" s="1"/>
  <c r="T1789" i="68"/>
  <c r="U1789" i="68" s="1"/>
  <c r="T1771" i="68"/>
  <c r="T1762" i="68"/>
  <c r="V1762" i="68" s="1"/>
  <c r="T1754" i="68"/>
  <c r="V1754" i="68" s="1"/>
  <c r="T1723" i="68"/>
  <c r="U1723" i="68" s="1"/>
  <c r="T1692" i="68"/>
  <c r="V1692" i="68" s="1"/>
  <c r="T1671" i="68"/>
  <c r="U1671" i="68" s="1"/>
  <c r="T1658" i="68"/>
  <c r="V1658" i="68" s="1"/>
  <c r="T1639" i="68"/>
  <c r="U1639" i="68" s="1"/>
  <c r="T1632" i="68"/>
  <c r="T1623" i="68"/>
  <c r="U1623" i="68" s="1"/>
  <c r="T1615" i="68"/>
  <c r="V1615" i="68" s="1"/>
  <c r="T1603" i="68"/>
  <c r="U1603" i="68" s="1"/>
  <c r="T1591" i="68"/>
  <c r="T1579" i="68"/>
  <c r="T1559" i="68"/>
  <c r="T1553" i="68"/>
  <c r="T1535" i="68"/>
  <c r="Y1535" i="68" s="1"/>
  <c r="Z1535" i="68" s="1"/>
  <c r="AB1535" i="68" s="1"/>
  <c r="T1523" i="68"/>
  <c r="T1432" i="68"/>
  <c r="V1432" i="68" s="1"/>
  <c r="T1426" i="68"/>
  <c r="V1426" i="68" s="1"/>
  <c r="T1406" i="68"/>
  <c r="V1406" i="68" s="1"/>
  <c r="T1386" i="68"/>
  <c r="U1386" i="68" s="1"/>
  <c r="T1367" i="68"/>
  <c r="V1367" i="68" s="1"/>
  <c r="T1333" i="68"/>
  <c r="U1333" i="68" s="1"/>
  <c r="T1249" i="68"/>
  <c r="T1232" i="68"/>
  <c r="U1232" i="68" s="1"/>
  <c r="T1222" i="68"/>
  <c r="V1222" i="68" s="1"/>
  <c r="T1202" i="68"/>
  <c r="U1202" i="68" s="1"/>
  <c r="T1193" i="68"/>
  <c r="U1193" i="68" s="1"/>
  <c r="T1183" i="68"/>
  <c r="U1183" i="68" s="1"/>
  <c r="T1171" i="68"/>
  <c r="V1171" i="68" s="1"/>
  <c r="T1154" i="68"/>
  <c r="U1154" i="68" s="1"/>
  <c r="T1143" i="68"/>
  <c r="T1121" i="68"/>
  <c r="V1121" i="68" s="1"/>
  <c r="T1039" i="68"/>
  <c r="V1039" i="68" s="1"/>
  <c r="T1024" i="68"/>
  <c r="U1024" i="68" s="1"/>
  <c r="T1014" i="68"/>
  <c r="U1014" i="68" s="1"/>
  <c r="T999" i="68"/>
  <c r="T988" i="68"/>
  <c r="V988" i="68" s="1"/>
  <c r="T980" i="68"/>
  <c r="U980" i="68" s="1"/>
  <c r="T968" i="68"/>
  <c r="U968" i="68" s="1"/>
  <c r="T954" i="68"/>
  <c r="U954" i="68" s="1"/>
  <c r="T943" i="68"/>
  <c r="U943" i="68" s="1"/>
  <c r="T926" i="68"/>
  <c r="U926" i="68" s="1"/>
  <c r="T909" i="68"/>
  <c r="V909" i="68" s="1"/>
  <c r="T898" i="68"/>
  <c r="T892" i="68"/>
  <c r="U892" i="68" s="1"/>
  <c r="T882" i="68"/>
  <c r="V882" i="68" s="1"/>
  <c r="T868" i="68"/>
  <c r="U868" i="68" s="1"/>
  <c r="T860" i="68"/>
  <c r="U860" i="68" s="1"/>
  <c r="T842" i="68"/>
  <c r="U842" i="68" s="1"/>
  <c r="T773" i="68"/>
  <c r="T761" i="68"/>
  <c r="T735" i="68"/>
  <c r="U735" i="68" s="1"/>
  <c r="T596" i="68"/>
  <c r="U596" i="68" s="1"/>
  <c r="T589" i="68"/>
  <c r="U589" i="68" s="1"/>
  <c r="T480" i="68"/>
  <c r="V480" i="68" s="1"/>
  <c r="T471" i="68"/>
  <c r="V471" i="68" s="1"/>
  <c r="T460" i="68"/>
  <c r="V460" i="68" s="1"/>
  <c r="T338" i="68"/>
  <c r="U338" i="68" s="1"/>
  <c r="T322" i="68"/>
  <c r="T298" i="68"/>
  <c r="T291" i="68"/>
  <c r="T281" i="68"/>
  <c r="T213" i="68"/>
  <c r="V213" i="68" s="1"/>
  <c r="T175" i="68"/>
  <c r="U175" i="68" s="1"/>
  <c r="T123" i="68"/>
  <c r="V123" i="68" s="1"/>
  <c r="T109" i="68"/>
  <c r="V109" i="68" s="1"/>
  <c r="T101" i="68"/>
  <c r="T106" i="114"/>
  <c r="U106" i="114" s="1"/>
  <c r="T282" i="114"/>
  <c r="U282" i="114" s="1"/>
  <c r="T231" i="114"/>
  <c r="V231" i="114" s="1"/>
  <c r="T191" i="114"/>
  <c r="V191" i="114" s="1"/>
  <c r="T1804" i="68"/>
  <c r="U1804" i="68" s="1"/>
  <c r="T1788" i="68"/>
  <c r="U1788" i="68" s="1"/>
  <c r="T1770" i="68"/>
  <c r="U1770" i="68" s="1"/>
  <c r="T1761" i="68"/>
  <c r="V1761" i="68" s="1"/>
  <c r="T1753" i="68"/>
  <c r="U1753" i="68" s="1"/>
  <c r="T1743" i="68"/>
  <c r="V1743" i="68" s="1"/>
  <c r="T1721" i="68"/>
  <c r="U1721" i="68" s="1"/>
  <c r="T1711" i="68"/>
  <c r="V1711" i="68" s="1"/>
  <c r="T1691" i="68"/>
  <c r="U1691" i="68" s="1"/>
  <c r="T1670" i="68"/>
  <c r="U1670" i="68" s="1"/>
  <c r="T1657" i="68"/>
  <c r="V1657" i="68" s="1"/>
  <c r="T1638" i="68"/>
  <c r="U1638" i="68" s="1"/>
  <c r="T1631" i="68"/>
  <c r="U1631" i="68" s="1"/>
  <c r="T1611" i="68"/>
  <c r="U1611" i="68" s="1"/>
  <c r="T1602" i="68"/>
  <c r="U1602" i="68" s="1"/>
  <c r="T1590" i="68"/>
  <c r="T1578" i="68"/>
  <c r="T1552" i="68"/>
  <c r="T1522" i="68"/>
  <c r="T1425" i="68"/>
  <c r="U1425" i="68" s="1"/>
  <c r="T1416" i="68"/>
  <c r="U1416" i="68" s="1"/>
  <c r="T1405" i="68"/>
  <c r="U1405" i="68" s="1"/>
  <c r="T1385" i="68"/>
  <c r="U1385" i="68" s="1"/>
  <c r="T1375" i="68"/>
  <c r="U1375" i="68" s="1"/>
  <c r="T1366" i="68"/>
  <c r="V1366" i="68" s="1"/>
  <c r="T1332" i="68"/>
  <c r="U1332" i="68" s="1"/>
  <c r="T1248" i="68"/>
  <c r="U1248" i="68" s="1"/>
  <c r="T1221" i="68"/>
  <c r="V1221" i="68" s="1"/>
  <c r="T1198" i="68"/>
  <c r="U1198" i="68" s="1"/>
  <c r="T1182" i="68"/>
  <c r="U1182" i="68" s="1"/>
  <c r="T1170" i="68"/>
  <c r="U1170" i="68" s="1"/>
  <c r="T1153" i="68"/>
  <c r="U1153" i="68" s="1"/>
  <c r="T1142" i="68"/>
  <c r="U1142" i="68" s="1"/>
  <c r="T1128" i="68"/>
  <c r="U1128" i="68" s="1"/>
  <c r="T1120" i="68"/>
  <c r="V1120" i="68" s="1"/>
  <c r="T1037" i="68"/>
  <c r="T1013" i="68"/>
  <c r="U1013" i="68" s="1"/>
  <c r="T987" i="68"/>
  <c r="V987" i="68" s="1"/>
  <c r="T979" i="68"/>
  <c r="U979" i="68" s="1"/>
  <c r="T967" i="68"/>
  <c r="U967" i="68" s="1"/>
  <c r="T952" i="68"/>
  <c r="U952" i="68" s="1"/>
  <c r="T942" i="68"/>
  <c r="V942" i="68" s="1"/>
  <c r="T933" i="68"/>
  <c r="U933" i="68" s="1"/>
  <c r="T925" i="68"/>
  <c r="T897" i="68"/>
  <c r="U897" i="68" s="1"/>
  <c r="T889" i="68"/>
  <c r="V889" i="68" s="1"/>
  <c r="T867" i="68"/>
  <c r="V867" i="68" s="1"/>
  <c r="T850" i="68"/>
  <c r="U850" i="68" s="1"/>
  <c r="T841" i="68"/>
  <c r="U841" i="68" s="1"/>
  <c r="T775" i="68"/>
  <c r="T760" i="68"/>
  <c r="T742" i="68"/>
  <c r="V742" i="68" s="1"/>
  <c r="T734" i="68"/>
  <c r="U734" i="68" s="1"/>
  <c r="T725" i="68"/>
  <c r="U725" i="68" s="1"/>
  <c r="T710" i="68"/>
  <c r="U710" i="68" s="1"/>
  <c r="T605" i="68"/>
  <c r="U605" i="68" s="1"/>
  <c r="T588" i="68"/>
  <c r="V588" i="68" s="1"/>
  <c r="T479" i="68"/>
  <c r="U479" i="68" s="1"/>
  <c r="T470" i="68"/>
  <c r="V470" i="68" s="1"/>
  <c r="T459" i="68"/>
  <c r="U459" i="68" s="1"/>
  <c r="T370" i="68"/>
  <c r="U370" i="68" s="1"/>
  <c r="T321" i="68"/>
  <c r="T306" i="68"/>
  <c r="T297" i="68"/>
  <c r="T290" i="68"/>
  <c r="T280" i="68"/>
  <c r="T212" i="68"/>
  <c r="V212" i="68" s="1"/>
  <c r="T162" i="68"/>
  <c r="V162" i="68" s="1"/>
  <c r="T108" i="68"/>
  <c r="U108" i="68" s="1"/>
  <c r="T94" i="68"/>
  <c r="T77" i="68"/>
  <c r="Y77" i="68" s="1"/>
  <c r="Z77" i="68" s="1"/>
  <c r="T67" i="68"/>
  <c r="T60" i="68"/>
  <c r="T43" i="68"/>
  <c r="T32" i="68"/>
  <c r="T23" i="68"/>
  <c r="T88" i="115"/>
  <c r="U88" i="115" s="1"/>
  <c r="T106" i="115"/>
  <c r="V106" i="115" s="1"/>
  <c r="T373" i="115"/>
  <c r="V373" i="115" s="1"/>
  <c r="T879" i="115"/>
  <c r="U879" i="115" s="1"/>
  <c r="T881" i="68"/>
  <c r="V881" i="68" s="1"/>
  <c r="T644" i="115"/>
  <c r="U644" i="115" s="1"/>
  <c r="T857" i="68"/>
  <c r="V857" i="68" s="1"/>
  <c r="T35" i="115"/>
  <c r="U35" i="115" s="1"/>
  <c r="T701" i="68"/>
  <c r="U701" i="68" s="1"/>
  <c r="T595" i="114"/>
  <c r="T693" i="68"/>
  <c r="U693" i="68" s="1"/>
  <c r="T589" i="114"/>
  <c r="T595" i="68"/>
  <c r="U595" i="68" s="1"/>
  <c r="T758" i="115"/>
  <c r="U758" i="115" s="1"/>
  <c r="T350" i="68"/>
  <c r="V350" i="68" s="1"/>
  <c r="T297" i="114"/>
  <c r="U297" i="114" s="1"/>
  <c r="T336" i="68"/>
  <c r="U336" i="68" s="1"/>
  <c r="T84" i="114"/>
  <c r="U84" i="114" s="1"/>
  <c r="T171" i="68"/>
  <c r="V171" i="68" s="1"/>
  <c r="T21" i="114"/>
  <c r="T142" i="68"/>
  <c r="V142" i="68" s="1"/>
  <c r="T92" i="68"/>
  <c r="T122" i="68"/>
  <c r="V122" i="68" s="1"/>
  <c r="T84" i="68"/>
  <c r="Y84" i="68" s="1"/>
  <c r="Z84" i="68" s="1"/>
  <c r="T51" i="68"/>
  <c r="T39" i="68"/>
  <c r="T123" i="115"/>
  <c r="U123" i="115" s="1"/>
  <c r="T565" i="115"/>
  <c r="V565" i="115" s="1"/>
  <c r="T572" i="115"/>
  <c r="V572" i="115" s="1"/>
  <c r="T509" i="115"/>
  <c r="U509" i="115" s="1"/>
  <c r="V498" i="115"/>
  <c r="T274" i="115"/>
  <c r="V274" i="115" s="1"/>
  <c r="T226" i="115"/>
  <c r="U226" i="115" s="1"/>
  <c r="T92" i="115"/>
  <c r="V92" i="115" s="1"/>
  <c r="T935" i="115"/>
  <c r="U935" i="115" s="1"/>
  <c r="T75" i="115"/>
  <c r="T722" i="114"/>
  <c r="Z722" i="114" s="1"/>
  <c r="AB722" i="114" s="1"/>
  <c r="AC722" i="114" s="1"/>
  <c r="AE722" i="114" s="1"/>
  <c r="T714" i="114"/>
  <c r="T706" i="114"/>
  <c r="T998" i="115"/>
  <c r="T983" i="115"/>
  <c r="U983" i="115" s="1"/>
  <c r="T964" i="115"/>
  <c r="U964" i="115" s="1"/>
  <c r="T953" i="115"/>
  <c r="U953" i="115" s="1"/>
  <c r="T942" i="115"/>
  <c r="V942" i="115" s="1"/>
  <c r="T925" i="115"/>
  <c r="V925" i="115" s="1"/>
  <c r="T878" i="115"/>
  <c r="V878" i="115" s="1"/>
  <c r="T855" i="115"/>
  <c r="U855" i="115" s="1"/>
  <c r="T845" i="115"/>
  <c r="U845" i="115" s="1"/>
  <c r="T835" i="115"/>
  <c r="U835" i="115" s="1"/>
  <c r="T817" i="115"/>
  <c r="U817" i="115" s="1"/>
  <c r="T808" i="115"/>
  <c r="V808" i="115" s="1"/>
  <c r="T793" i="115"/>
  <c r="U793" i="115" s="1"/>
  <c r="T783" i="115"/>
  <c r="U783" i="115" s="1"/>
  <c r="T773" i="115"/>
  <c r="T735" i="115"/>
  <c r="U735" i="115" s="1"/>
  <c r="T98" i="114"/>
  <c r="U98" i="114" s="1"/>
  <c r="T260" i="114"/>
  <c r="T167" i="114"/>
  <c r="U167" i="114" s="1"/>
  <c r="T741" i="68"/>
  <c r="U741" i="68" s="1"/>
  <c r="T688" i="114"/>
  <c r="T700" i="68"/>
  <c r="V700" i="68" s="1"/>
  <c r="T594" i="114"/>
  <c r="T692" i="68"/>
  <c r="U692" i="68" s="1"/>
  <c r="T588" i="114"/>
  <c r="T458" i="68"/>
  <c r="U458" i="68" s="1"/>
  <c r="T328" i="114"/>
  <c r="T305" i="68"/>
  <c r="T266" i="114"/>
  <c r="U266" i="114" s="1"/>
  <c r="T289" i="68"/>
  <c r="T166" i="114"/>
  <c r="U166" i="114" s="1"/>
  <c r="T193" i="68"/>
  <c r="U193" i="68" s="1"/>
  <c r="T141" i="114"/>
  <c r="U141" i="114" s="1"/>
  <c r="T180" i="68"/>
  <c r="V180" i="68" s="1"/>
  <c r="T133" i="114"/>
  <c r="U133" i="114" s="1"/>
  <c r="T178" i="68"/>
  <c r="U178" i="68" s="1"/>
  <c r="T20" i="114"/>
  <c r="T120" i="68"/>
  <c r="U120" i="68" s="1"/>
  <c r="T83" i="68"/>
  <c r="T42" i="68"/>
  <c r="T158" i="114"/>
  <c r="U158" i="114" s="1"/>
  <c r="T533" i="115"/>
  <c r="U533" i="115" s="1"/>
  <c r="T506" i="115"/>
  <c r="U506" i="115" s="1"/>
  <c r="T427" i="115"/>
  <c r="U427" i="115" s="1"/>
  <c r="T403" i="115"/>
  <c r="U403" i="115" s="1"/>
  <c r="T391" i="115"/>
  <c r="V391" i="115" s="1"/>
  <c r="T371" i="115"/>
  <c r="U371" i="115" s="1"/>
  <c r="T215" i="115"/>
  <c r="U215" i="115" s="1"/>
  <c r="T207" i="115"/>
  <c r="T110" i="115"/>
  <c r="V110" i="115" s="1"/>
  <c r="T91" i="115"/>
  <c r="V91" i="115" s="1"/>
  <c r="T721" i="114"/>
  <c r="T712" i="114"/>
  <c r="T703" i="114"/>
  <c r="T993" i="115"/>
  <c r="U993" i="115" s="1"/>
  <c r="T982" i="115"/>
  <c r="U982" i="115" s="1"/>
  <c r="T963" i="115"/>
  <c r="U963" i="115" s="1"/>
  <c r="T941" i="115"/>
  <c r="V941" i="115" s="1"/>
  <c r="T893" i="115"/>
  <c r="U893" i="115" s="1"/>
  <c r="T877" i="115"/>
  <c r="U877" i="115" s="1"/>
  <c r="T844" i="115"/>
  <c r="U844" i="115" s="1"/>
  <c r="T834" i="115"/>
  <c r="U834" i="115" s="1"/>
  <c r="T815" i="115"/>
  <c r="V815" i="115" s="1"/>
  <c r="T807" i="115"/>
  <c r="U807" i="115" s="1"/>
  <c r="T781" i="115"/>
  <c r="V781" i="115" s="1"/>
  <c r="T743" i="115"/>
  <c r="U743" i="115" s="1"/>
  <c r="T400" i="114"/>
  <c r="T321" i="114"/>
  <c r="T94" i="114"/>
  <c r="U94" i="114" s="1"/>
  <c r="T848" i="68"/>
  <c r="U848" i="68" s="1"/>
  <c r="T27" i="115"/>
  <c r="U27" i="115" s="1"/>
  <c r="T699" i="68"/>
  <c r="V699" i="68" s="1"/>
  <c r="T593" i="114"/>
  <c r="T691" i="68"/>
  <c r="U691" i="68" s="1"/>
  <c r="T587" i="114"/>
  <c r="T343" i="68"/>
  <c r="U343" i="68" s="1"/>
  <c r="T92" i="114"/>
  <c r="U92" i="114" s="1"/>
  <c r="T319" i="68"/>
  <c r="T76" i="114"/>
  <c r="U76" i="114" s="1"/>
  <c r="T192" i="68"/>
  <c r="V192" i="68" s="1"/>
  <c r="T140" i="114"/>
  <c r="U140" i="114" s="1"/>
  <c r="T140" i="68"/>
  <c r="V140" i="68" s="1"/>
  <c r="T89" i="68"/>
  <c r="T91" i="68"/>
  <c r="T57" i="68"/>
  <c r="T49" i="68"/>
  <c r="T38" i="68"/>
  <c r="T41" i="68"/>
  <c r="T31" i="68"/>
  <c r="T29" i="68"/>
  <c r="T13" i="68"/>
  <c r="T12" i="68"/>
  <c r="Y12" i="68" s="1"/>
  <c r="Z12" i="68" s="1"/>
  <c r="T570" i="115"/>
  <c r="U570" i="115" s="1"/>
  <c r="T522" i="115"/>
  <c r="U522" i="115" s="1"/>
  <c r="T514" i="115"/>
  <c r="U514" i="115" s="1"/>
  <c r="T248" i="115"/>
  <c r="U248" i="115" s="1"/>
  <c r="T133" i="115"/>
  <c r="V133" i="115" s="1"/>
  <c r="T976" i="115"/>
  <c r="U976" i="115" s="1"/>
  <c r="T702" i="114"/>
  <c r="T692" i="114"/>
  <c r="T892" i="115"/>
  <c r="U892" i="115" s="1"/>
  <c r="T876" i="115"/>
  <c r="V876" i="115" s="1"/>
  <c r="T843" i="115"/>
  <c r="U843" i="115" s="1"/>
  <c r="T733" i="68"/>
  <c r="U733" i="68" s="1"/>
  <c r="T681" i="114"/>
  <c r="Y681" i="114" s="1"/>
  <c r="Z681" i="114" s="1"/>
  <c r="AB681" i="114" s="1"/>
  <c r="AC681" i="114" s="1"/>
  <c r="AE681" i="114" s="1"/>
  <c r="AF681" i="114" s="1"/>
  <c r="AH681" i="114" s="1"/>
  <c r="T601" i="68"/>
  <c r="U601" i="68" s="1"/>
  <c r="T765" i="115"/>
  <c r="U765" i="115" s="1"/>
  <c r="T356" i="68"/>
  <c r="U356" i="68" s="1"/>
  <c r="T318" i="114"/>
  <c r="T312" i="68"/>
  <c r="Y312" i="68" s="1"/>
  <c r="Z312" i="68" s="1"/>
  <c r="T75" i="114"/>
  <c r="U75" i="114" s="1"/>
  <c r="T303" i="68"/>
  <c r="T263" i="114"/>
  <c r="U263" i="114" s="1"/>
  <c r="T191" i="68"/>
  <c r="U191" i="68" s="1"/>
  <c r="T139" i="114"/>
  <c r="U139" i="114" s="1"/>
  <c r="T179" i="68"/>
  <c r="V179" i="68" s="1"/>
  <c r="T131" i="114"/>
  <c r="U131" i="114" s="1"/>
  <c r="T80" i="68"/>
  <c r="Y80" i="68" s="1"/>
  <c r="Z80" i="68" s="1"/>
  <c r="AB80" i="68" s="1"/>
  <c r="T58" i="68"/>
  <c r="T64" i="68"/>
  <c r="T56" i="68"/>
  <c r="Y56" i="68" s="1"/>
  <c r="Z56" i="68" s="1"/>
  <c r="AB56" i="68" s="1"/>
  <c r="T48" i="68"/>
  <c r="T37" i="68"/>
  <c r="T28" i="68"/>
  <c r="T20" i="68"/>
  <c r="T379" i="115"/>
  <c r="U379" i="115" s="1"/>
  <c r="T44" i="115"/>
  <c r="V44" i="115" s="1"/>
  <c r="T728" i="114"/>
  <c r="T718" i="114"/>
  <c r="T693" i="114"/>
  <c r="T691" i="114"/>
  <c r="T1040" i="115"/>
  <c r="U1040" i="115" s="1"/>
  <c r="T991" i="115"/>
  <c r="V991" i="115" s="1"/>
  <c r="T980" i="115"/>
  <c r="U980" i="115" s="1"/>
  <c r="T939" i="115"/>
  <c r="U939" i="115" s="1"/>
  <c r="T922" i="115"/>
  <c r="V922" i="115" s="1"/>
  <c r="T909" i="115"/>
  <c r="V909" i="115" s="1"/>
  <c r="T873" i="115"/>
  <c r="U873" i="115" s="1"/>
  <c r="T850" i="115"/>
  <c r="U850" i="115" s="1"/>
  <c r="T832" i="115"/>
  <c r="U832" i="115" s="1"/>
  <c r="T813" i="115"/>
  <c r="V813" i="115" s="1"/>
  <c r="T803" i="115"/>
  <c r="U803" i="115" s="1"/>
  <c r="T779" i="115"/>
  <c r="U779" i="115" s="1"/>
  <c r="T751" i="115"/>
  <c r="U751" i="115" s="1"/>
  <c r="T81" i="114"/>
  <c r="U81" i="114" s="1"/>
  <c r="T149" i="114"/>
  <c r="T737" i="68"/>
  <c r="U737" i="68" s="1"/>
  <c r="T687" i="114"/>
  <c r="T697" i="68"/>
  <c r="V697" i="68" s="1"/>
  <c r="T592" i="114"/>
  <c r="T583" i="68"/>
  <c r="T747" i="115"/>
  <c r="U747" i="115" s="1"/>
  <c r="T519" i="68"/>
  <c r="U519" i="68" s="1"/>
  <c r="T739" i="115"/>
  <c r="U739" i="115" s="1"/>
  <c r="T354" i="68"/>
  <c r="U354" i="68" s="1"/>
  <c r="T317" i="114"/>
  <c r="T203" i="68"/>
  <c r="U203" i="68" s="1"/>
  <c r="T146" i="114"/>
  <c r="U146" i="114" s="1"/>
  <c r="T190" i="68"/>
  <c r="U190" i="68" s="1"/>
  <c r="T138" i="114"/>
  <c r="U138" i="114" s="1"/>
  <c r="T166" i="68"/>
  <c r="V166" i="68" s="1"/>
  <c r="T18" i="114"/>
  <c r="T127" i="68"/>
  <c r="U127" i="68" s="1"/>
  <c r="T88" i="68"/>
  <c r="T36" i="68"/>
  <c r="Y36" i="68" s="1"/>
  <c r="Z36" i="68" s="1"/>
  <c r="T19" i="68"/>
  <c r="T724" i="114"/>
  <c r="T202" i="115"/>
  <c r="U202" i="115" s="1"/>
  <c r="T701" i="114"/>
  <c r="T989" i="115"/>
  <c r="U989" i="115" s="1"/>
  <c r="T979" i="115"/>
  <c r="U979" i="115" s="1"/>
  <c r="T949" i="115"/>
  <c r="V949" i="115" s="1"/>
  <c r="T921" i="115"/>
  <c r="V921" i="115" s="1"/>
  <c r="T859" i="115"/>
  <c r="V859" i="115" s="1"/>
  <c r="T812" i="115"/>
  <c r="V812" i="115" s="1"/>
  <c r="T884" i="68"/>
  <c r="U884" i="68" s="1"/>
  <c r="T647" i="115"/>
  <c r="U647" i="115" s="1"/>
  <c r="T763" i="68"/>
  <c r="T13" i="115"/>
  <c r="U13" i="115" s="1"/>
  <c r="T609" i="68"/>
  <c r="U609" i="68" s="1"/>
  <c r="T585" i="114"/>
  <c r="T600" i="68"/>
  <c r="U600" i="68" s="1"/>
  <c r="T761" i="115"/>
  <c r="T474" i="68"/>
  <c r="U474" i="68" s="1"/>
  <c r="T403" i="114"/>
  <c r="T463" i="68"/>
  <c r="U463" i="68" s="1"/>
  <c r="T395" i="114"/>
  <c r="T326" i="68"/>
  <c r="Y326" i="68" s="1"/>
  <c r="Z326" i="68" s="1"/>
  <c r="AB326" i="68" s="1"/>
  <c r="T79" i="114"/>
  <c r="U79" i="114" s="1"/>
  <c r="T308" i="68"/>
  <c r="T73" i="114"/>
  <c r="U73" i="114" s="1"/>
  <c r="T215" i="68"/>
  <c r="U215" i="68" s="1"/>
  <c r="T152" i="114"/>
  <c r="U152" i="114" s="1"/>
  <c r="T202" i="68"/>
  <c r="V202" i="68" s="1"/>
  <c r="T145" i="114"/>
  <c r="U145" i="114" s="1"/>
  <c r="T189" i="68"/>
  <c r="V189" i="68" s="1"/>
  <c r="T137" i="114"/>
  <c r="U137" i="114" s="1"/>
  <c r="T177" i="68"/>
  <c r="U177" i="68" s="1"/>
  <c r="T129" i="114"/>
  <c r="U129" i="114" s="1"/>
  <c r="T511" i="115"/>
  <c r="V511" i="115" s="1"/>
  <c r="T398" i="115"/>
  <c r="U398" i="115" s="1"/>
  <c r="T70" i="115"/>
  <c r="V70" i="115" s="1"/>
  <c r="T36" i="115"/>
  <c r="U36" i="115" s="1"/>
  <c r="T727" i="114"/>
  <c r="T696" i="114"/>
  <c r="T709" i="114"/>
  <c r="T1032" i="115"/>
  <c r="U1032" i="115" s="1"/>
  <c r="T988" i="115"/>
  <c r="V988" i="115" s="1"/>
  <c r="T978" i="115"/>
  <c r="V978" i="115" s="1"/>
  <c r="T960" i="115"/>
  <c r="U960" i="115" s="1"/>
  <c r="T948" i="115"/>
  <c r="U948" i="115" s="1"/>
  <c r="T937" i="115"/>
  <c r="U937" i="115" s="1"/>
  <c r="T920" i="115"/>
  <c r="T907" i="115"/>
  <c r="U907" i="115" s="1"/>
  <c r="T885" i="115"/>
  <c r="V885" i="115" s="1"/>
  <c r="T858" i="115"/>
  <c r="V858" i="115" s="1"/>
  <c r="T838" i="115"/>
  <c r="V838" i="115" s="1"/>
  <c r="T830" i="115"/>
  <c r="U830" i="115" s="1"/>
  <c r="T811" i="115"/>
  <c r="U811" i="115" s="1"/>
  <c r="T800" i="115"/>
  <c r="U800" i="115" s="1"/>
  <c r="T776" i="115"/>
  <c r="T99" i="114"/>
  <c r="U99" i="114" s="1"/>
  <c r="T461" i="68"/>
  <c r="U461" i="68" s="1"/>
  <c r="T394" i="114"/>
  <c r="T214" i="68"/>
  <c r="U214" i="68" s="1"/>
  <c r="T151" i="114"/>
  <c r="U151" i="114" s="1"/>
  <c r="T201" i="68"/>
  <c r="U201" i="68" s="1"/>
  <c r="T144" i="114"/>
  <c r="U144" i="114" s="1"/>
  <c r="T188" i="68"/>
  <c r="T136" i="114"/>
  <c r="U136" i="114" s="1"/>
  <c r="T176" i="68"/>
  <c r="U176" i="68" s="1"/>
  <c r="T128" i="114"/>
  <c r="U128" i="114" s="1"/>
  <c r="T164" i="68"/>
  <c r="U164" i="68" s="1"/>
  <c r="T16" i="114"/>
  <c r="T125" i="68"/>
  <c r="U125" i="68" s="1"/>
  <c r="T86" i="68"/>
  <c r="T102" i="68"/>
  <c r="T70" i="68"/>
  <c r="T81" i="68"/>
  <c r="T53" i="68"/>
  <c r="T45" i="68"/>
  <c r="T25" i="68"/>
  <c r="T17" i="68"/>
  <c r="T528" i="115"/>
  <c r="U528" i="115" s="1"/>
  <c r="T518" i="115"/>
  <c r="U518" i="115" s="1"/>
  <c r="T397" i="115"/>
  <c r="V397" i="115" s="1"/>
  <c r="T374" i="115"/>
  <c r="T286" i="115"/>
  <c r="U286" i="115" s="1"/>
  <c r="T262" i="115"/>
  <c r="U262" i="115" s="1"/>
  <c r="T244" i="115"/>
  <c r="V244" i="115" s="1"/>
  <c r="T109" i="115"/>
  <c r="U109" i="115" s="1"/>
  <c r="T96" i="115"/>
  <c r="V96" i="115" s="1"/>
  <c r="T717" i="114"/>
  <c r="T707" i="114"/>
  <c r="T683" i="114"/>
  <c r="T987" i="115"/>
  <c r="V987" i="115" s="1"/>
  <c r="T977" i="115"/>
  <c r="U977" i="115" s="1"/>
  <c r="T936" i="115"/>
  <c r="U936" i="115" s="1"/>
  <c r="T916" i="115"/>
  <c r="U916" i="115" s="1"/>
  <c r="T906" i="115"/>
  <c r="U906" i="115" s="1"/>
  <c r="T883" i="115"/>
  <c r="T857" i="115"/>
  <c r="U857" i="115" s="1"/>
  <c r="T848" i="115"/>
  <c r="U848" i="115" s="1"/>
  <c r="T837" i="115"/>
  <c r="V837" i="115" s="1"/>
  <c r="T829" i="115"/>
  <c r="U829" i="115" s="1"/>
  <c r="T810" i="115"/>
  <c r="U810" i="115" s="1"/>
  <c r="T787" i="115"/>
  <c r="U787" i="115" s="1"/>
  <c r="T775" i="115"/>
  <c r="U775" i="115" s="1"/>
  <c r="T159" i="114"/>
  <c r="U159" i="114" s="1"/>
  <c r="T851" i="68"/>
  <c r="V851" i="68" s="1"/>
  <c r="T29" i="115"/>
  <c r="U29" i="115" s="1"/>
  <c r="T727" i="68"/>
  <c r="U727" i="68" s="1"/>
  <c r="T677" i="114"/>
  <c r="T711" i="68"/>
  <c r="U711" i="68" s="1"/>
  <c r="T653" i="114"/>
  <c r="T529" i="68"/>
  <c r="U529" i="68" s="1"/>
  <c r="T744" i="115"/>
  <c r="U744" i="115" s="1"/>
  <c r="T199" i="68"/>
  <c r="U199" i="68" s="1"/>
  <c r="T143" i="114"/>
  <c r="U143" i="114" s="1"/>
  <c r="T181" i="68"/>
  <c r="V181" i="68" s="1"/>
  <c r="T135" i="114"/>
  <c r="U135" i="114" s="1"/>
  <c r="T163" i="68"/>
  <c r="V163" i="68" s="1"/>
  <c r="T15" i="114"/>
  <c r="T143" i="68"/>
  <c r="U143" i="68" s="1"/>
  <c r="T93" i="68"/>
  <c r="T79" i="68"/>
  <c r="T61" i="68"/>
  <c r="T52" i="68"/>
  <c r="T44" i="68"/>
  <c r="T33" i="68"/>
  <c r="T24" i="68"/>
  <c r="Y24" i="68" s="1"/>
  <c r="Z24" i="68" s="1"/>
  <c r="T16" i="68"/>
  <c r="G725" i="68"/>
  <c r="G466" i="68"/>
  <c r="H467" i="68" s="1"/>
  <c r="G673" i="68"/>
  <c r="G251" i="68"/>
  <c r="H252" i="68" s="1"/>
  <c r="G1658" i="68"/>
  <c r="H1659" i="68" s="1"/>
  <c r="G413" i="68"/>
  <c r="G413" i="114"/>
  <c r="G1103" i="68"/>
  <c r="G955" i="115"/>
  <c r="H956" i="115" s="1"/>
  <c r="G712" i="114"/>
  <c r="G686" i="115"/>
  <c r="G834" i="115"/>
  <c r="G1581" i="68"/>
  <c r="H1582" i="68" s="1"/>
  <c r="G600" i="68"/>
  <c r="G1297" i="68"/>
  <c r="G1145" i="68"/>
  <c r="G1043" i="68"/>
  <c r="G1706" i="68"/>
  <c r="G1695" i="68"/>
  <c r="G988" i="68"/>
  <c r="H989" i="68" s="1"/>
  <c r="G1830" i="68"/>
  <c r="H1831" i="68" s="1"/>
  <c r="G1416" i="68"/>
  <c r="G1313" i="68"/>
  <c r="G572" i="68"/>
  <c r="G1536" i="68"/>
  <c r="G828" i="68"/>
  <c r="H829" i="68" s="1"/>
  <c r="G419" i="114"/>
  <c r="H420" i="114" s="1"/>
  <c r="G719" i="114"/>
  <c r="G206" i="114"/>
  <c r="G969" i="68"/>
  <c r="G408" i="68"/>
  <c r="G266" i="68"/>
  <c r="G181" i="115"/>
  <c r="G318" i="115"/>
  <c r="G465" i="115"/>
  <c r="G219" i="114"/>
  <c r="G127" i="115"/>
  <c r="H128" i="115" s="1"/>
  <c r="G715" i="114"/>
  <c r="G441" i="115"/>
  <c r="H442" i="115" s="1"/>
  <c r="G1866" i="68"/>
  <c r="G655" i="68"/>
  <c r="H656" i="68" s="1"/>
  <c r="G569" i="68"/>
  <c r="G1550" i="68"/>
  <c r="G1166" i="68"/>
  <c r="G1611" i="68"/>
  <c r="H1612" i="68" s="1"/>
  <c r="G1537" i="68"/>
  <c r="G1839" i="68"/>
  <c r="G1711" i="68"/>
  <c r="H1712" i="68" s="1"/>
  <c r="G1072" i="68"/>
  <c r="G889" i="68"/>
  <c r="H890" i="68" s="1"/>
  <c r="G385" i="68"/>
  <c r="G1852" i="68"/>
  <c r="G1748" i="68"/>
  <c r="H1749" i="68" s="1"/>
  <c r="G1407" i="68"/>
  <c r="H1408" i="68" s="1"/>
  <c r="G1305" i="68"/>
  <c r="G542" i="68"/>
  <c r="G1171" i="68"/>
  <c r="H1172" i="68" s="1"/>
  <c r="G1015" i="68"/>
  <c r="G1042" i="68"/>
  <c r="G997" i="68"/>
  <c r="G285" i="68"/>
  <c r="H286" i="68" s="1"/>
  <c r="G717" i="114"/>
  <c r="G530" i="114"/>
  <c r="H531" i="114" s="1"/>
  <c r="G1903" i="68"/>
  <c r="H1904" i="68" s="1"/>
  <c r="G389" i="68"/>
  <c r="H390" i="68" s="1"/>
  <c r="G292" i="68"/>
  <c r="G216" i="68"/>
  <c r="H217" i="68" s="1"/>
  <c r="G264" i="115"/>
  <c r="O384" i="68"/>
  <c r="Q384" i="68"/>
  <c r="O385" i="68"/>
  <c r="P385" i="68" s="1"/>
  <c r="S385" i="68"/>
  <c r="J6" i="114"/>
  <c r="G937" i="115"/>
  <c r="G884" i="68"/>
  <c r="G791" i="68"/>
  <c r="G648" i="68"/>
  <c r="G1403" i="68"/>
  <c r="G1605" i="68"/>
  <c r="G426" i="68"/>
  <c r="G461" i="68"/>
  <c r="G458" i="114"/>
  <c r="G1270" i="68"/>
  <c r="G189" i="68"/>
  <c r="G777" i="115"/>
  <c r="G199" i="115"/>
  <c r="G1275" i="68"/>
  <c r="H1276" i="68" s="1"/>
  <c r="G110" i="68"/>
  <c r="H111" i="68" s="1"/>
  <c r="G143" i="68"/>
  <c r="H144" i="68" s="1"/>
  <c r="G431" i="68"/>
  <c r="H432" i="68" s="1"/>
  <c r="G844" i="68"/>
  <c r="H845" i="68" s="1"/>
  <c r="G1064" i="68"/>
  <c r="H1065" i="68" s="1"/>
  <c r="G1529" i="68"/>
  <c r="H1530" i="68" s="1"/>
  <c r="G1699" i="68"/>
  <c r="H1700" i="68" s="1"/>
  <c r="G1467" i="68"/>
  <c r="H1468" i="68" s="1"/>
  <c r="G395" i="68"/>
  <c r="G1281" i="68"/>
  <c r="G662" i="68"/>
  <c r="G806" i="68"/>
  <c r="G1621" i="68"/>
  <c r="G1756" i="68"/>
  <c r="G331" i="115"/>
  <c r="G667" i="68"/>
  <c r="H668" i="68" s="1"/>
  <c r="G860" i="68"/>
  <c r="G67" i="115"/>
  <c r="G463" i="115"/>
  <c r="G1858" i="68"/>
  <c r="G259" i="68"/>
  <c r="G406" i="68"/>
  <c r="G469" i="115"/>
  <c r="G72" i="115"/>
  <c r="G354" i="68"/>
  <c r="G912" i="68"/>
  <c r="G677" i="68"/>
  <c r="G606" i="68"/>
  <c r="G526" i="114"/>
  <c r="G1920" i="68"/>
  <c r="G820" i="68"/>
  <c r="G343" i="115"/>
  <c r="G1389" i="68"/>
  <c r="H1390" i="68" s="1"/>
  <c r="G357" i="115"/>
  <c r="H358" i="115" s="1"/>
  <c r="G1512" i="68"/>
  <c r="G1906" i="68"/>
  <c r="H1907" i="68" s="1"/>
  <c r="G1393" i="68"/>
  <c r="H1394" i="68" s="1"/>
  <c r="G419" i="115"/>
  <c r="H420" i="115" s="1"/>
  <c r="G1340" i="68"/>
  <c r="H1341" i="68" s="1"/>
  <c r="G412" i="68"/>
  <c r="G343" i="68"/>
  <c r="H344" i="68" s="1"/>
  <c r="G1134" i="68"/>
  <c r="G1091" i="68"/>
  <c r="G1088" i="68"/>
  <c r="G241" i="68"/>
  <c r="H242" i="68" s="1"/>
  <c r="G527" i="114"/>
  <c r="G518" i="114"/>
  <c r="H519" i="114" s="1"/>
  <c r="G105" i="68"/>
  <c r="G122" i="115"/>
  <c r="G175" i="115"/>
  <c r="H176" i="115" s="1"/>
  <c r="G303" i="115"/>
  <c r="G796" i="115"/>
  <c r="G908" i="115"/>
  <c r="G1606" i="68"/>
  <c r="G339" i="68"/>
  <c r="G650" i="68"/>
  <c r="G980" i="115"/>
  <c r="G944" i="68"/>
  <c r="H945" i="68" s="1"/>
  <c r="G1543" i="68"/>
  <c r="H1544" i="68" s="1"/>
  <c r="G198" i="114"/>
  <c r="G1095" i="68"/>
  <c r="G181" i="114"/>
  <c r="G1197" i="68"/>
  <c r="G1307" i="68"/>
  <c r="G868" i="68"/>
  <c r="G414" i="68"/>
  <c r="G998" i="68"/>
  <c r="G914" i="68"/>
  <c r="G1319" i="68"/>
  <c r="H1320" i="68" s="1"/>
  <c r="G575" i="68"/>
  <c r="H576" i="68" s="1"/>
  <c r="G1504" i="68"/>
  <c r="H1505" i="68" s="1"/>
  <c r="G189" i="115"/>
  <c r="H190" i="115" s="1"/>
  <c r="G1840" i="68"/>
  <c r="G1139" i="68"/>
  <c r="H1140" i="68" s="1"/>
  <c r="G695" i="68"/>
  <c r="G558" i="68"/>
  <c r="H559" i="68" s="1"/>
  <c r="G1303" i="68"/>
  <c r="G1085" i="68"/>
  <c r="H1086" i="68" s="1"/>
  <c r="G995" i="68"/>
  <c r="G1525" i="68"/>
  <c r="G1196" i="68"/>
  <c r="G822" i="68"/>
  <c r="G1871" i="68"/>
  <c r="G1744" i="68"/>
  <c r="G1632" i="68"/>
  <c r="G1554" i="68"/>
  <c r="G701" i="68"/>
  <c r="H702" i="68" s="1"/>
  <c r="G623" i="68"/>
  <c r="H624" i="68" s="1"/>
  <c r="G1084" i="68"/>
  <c r="G933" i="68"/>
  <c r="H934" i="68" s="1"/>
  <c r="G547" i="68"/>
  <c r="H548" i="68" s="1"/>
  <c r="G1369" i="68"/>
  <c r="H1370" i="68" s="1"/>
  <c r="G470" i="68"/>
  <c r="G471" i="114"/>
  <c r="H472" i="114" s="1"/>
  <c r="G429" i="114"/>
  <c r="H430" i="114" s="1"/>
  <c r="G437" i="114"/>
  <c r="G723" i="114"/>
  <c r="G1298" i="68"/>
  <c r="H1299" i="68" s="1"/>
  <c r="G411" i="68"/>
  <c r="G416" i="68"/>
  <c r="H417" i="68" s="1"/>
  <c r="G464" i="114"/>
  <c r="J5" i="115"/>
  <c r="G506" i="115"/>
  <c r="H507" i="115" s="1"/>
  <c r="G802" i="115"/>
  <c r="G833" i="115"/>
  <c r="G496" i="68"/>
  <c r="G1123" i="68"/>
  <c r="G320" i="68"/>
  <c r="G730" i="68"/>
  <c r="H731" i="68" s="1"/>
  <c r="G281" i="68"/>
  <c r="G423" i="114"/>
  <c r="G1524" i="68"/>
  <c r="G797" i="68"/>
  <c r="H798" i="68" s="1"/>
  <c r="G563" i="68"/>
  <c r="G212" i="115"/>
  <c r="V525" i="115"/>
  <c r="V382" i="115"/>
  <c r="U382" i="115"/>
  <c r="U216" i="115"/>
  <c r="V216" i="115"/>
  <c r="T208" i="115"/>
  <c r="V22" i="115"/>
  <c r="U22" i="115"/>
  <c r="U14" i="115"/>
  <c r="V14" i="115"/>
  <c r="V736" i="114"/>
  <c r="U736" i="114"/>
  <c r="V706" i="114"/>
  <c r="U679" i="114"/>
  <c r="V679" i="114"/>
  <c r="V657" i="114"/>
  <c r="U657" i="114"/>
  <c r="U584" i="114"/>
  <c r="V584" i="114"/>
  <c r="V912" i="115"/>
  <c r="U912" i="115"/>
  <c r="V904" i="115"/>
  <c r="U904" i="115"/>
  <c r="U754" i="115"/>
  <c r="V754" i="115"/>
  <c r="U745" i="115"/>
  <c r="V745" i="115"/>
  <c r="U322" i="114"/>
  <c r="V322" i="114"/>
  <c r="U291" i="114"/>
  <c r="V291" i="114"/>
  <c r="V275" i="114"/>
  <c r="U154" i="114"/>
  <c r="V154" i="114"/>
  <c r="T1635" i="68"/>
  <c r="T469" i="68"/>
  <c r="U141" i="68"/>
  <c r="V141" i="68"/>
  <c r="U59" i="68"/>
  <c r="V59" i="68"/>
  <c r="U50" i="68"/>
  <c r="V50" i="68"/>
  <c r="V30" i="68"/>
  <c r="U30" i="68"/>
  <c r="V22" i="68"/>
  <c r="U22" i="68"/>
  <c r="V14" i="68"/>
  <c r="U14" i="68"/>
  <c r="V701" i="115"/>
  <c r="V679" i="115"/>
  <c r="V646" i="115"/>
  <c r="U646" i="115"/>
  <c r="T571" i="115"/>
  <c r="T531" i="115"/>
  <c r="U531" i="115" s="1"/>
  <c r="V215" i="115"/>
  <c r="U21" i="115"/>
  <c r="V21" i="115"/>
  <c r="U12" i="115"/>
  <c r="V12" i="115"/>
  <c r="V740" i="114"/>
  <c r="U740" i="114"/>
  <c r="V721" i="114"/>
  <c r="V703" i="114"/>
  <c r="V678" i="114"/>
  <c r="U678" i="114"/>
  <c r="U655" i="114"/>
  <c r="V655" i="114"/>
  <c r="V993" i="115"/>
  <c r="T215" i="114"/>
  <c r="U215" i="114" s="1"/>
  <c r="V1666" i="68"/>
  <c r="V940" i="68"/>
  <c r="V856" i="68"/>
  <c r="T295" i="68"/>
  <c r="Y295" i="68" s="1"/>
  <c r="Z295" i="68" s="1"/>
  <c r="AB295" i="68" s="1"/>
  <c r="T288" i="68"/>
  <c r="Y288" i="68" s="1"/>
  <c r="Z288" i="68" s="1"/>
  <c r="T170" i="68"/>
  <c r="V667" i="115"/>
  <c r="V419" i="115"/>
  <c r="U30" i="115"/>
  <c r="V30" i="115"/>
  <c r="U20" i="115"/>
  <c r="V20" i="115"/>
  <c r="V11" i="115"/>
  <c r="U11" i="115"/>
  <c r="U676" i="114"/>
  <c r="V676" i="114"/>
  <c r="T951" i="115"/>
  <c r="U951" i="115" s="1"/>
  <c r="V892" i="115"/>
  <c r="V763" i="115"/>
  <c r="U763" i="115"/>
  <c r="U752" i="115"/>
  <c r="V752" i="115"/>
  <c r="U742" i="115"/>
  <c r="V742" i="115"/>
  <c r="U733" i="115"/>
  <c r="V733" i="115"/>
  <c r="V399" i="114"/>
  <c r="U399" i="114"/>
  <c r="V320" i="114"/>
  <c r="U320" i="114"/>
  <c r="V163" i="114"/>
  <c r="V1410" i="68"/>
  <c r="V1351" i="68"/>
  <c r="V1134" i="68"/>
  <c r="V914" i="68"/>
  <c r="V743" i="68"/>
  <c r="V11" i="68"/>
  <c r="U11" i="68"/>
  <c r="V213" i="115"/>
  <c r="V72" i="115"/>
  <c r="U28" i="115"/>
  <c r="V28" i="115"/>
  <c r="V693" i="114"/>
  <c r="V651" i="114"/>
  <c r="V962" i="115"/>
  <c r="U962" i="115"/>
  <c r="V850" i="115"/>
  <c r="U760" i="115"/>
  <c r="V760" i="115"/>
  <c r="U741" i="115"/>
  <c r="V741" i="115"/>
  <c r="U398" i="114"/>
  <c r="V398" i="114"/>
  <c r="T340" i="114"/>
  <c r="Y340" i="114" s="1"/>
  <c r="Z340" i="114" s="1"/>
  <c r="AB340" i="114" s="1"/>
  <c r="U327" i="114"/>
  <c r="V327" i="114"/>
  <c r="U1894" i="68"/>
  <c r="V1894" i="68"/>
  <c r="V1757" i="68"/>
  <c r="T1614" i="68"/>
  <c r="U1614" i="68" s="1"/>
  <c r="V1607" i="68"/>
  <c r="T1584" i="68"/>
  <c r="V1555" i="68"/>
  <c r="U1555" i="68"/>
  <c r="U1546" i="68"/>
  <c r="V1546" i="68"/>
  <c r="T1372" i="68"/>
  <c r="T847" i="68"/>
  <c r="V705" i="68"/>
  <c r="T594" i="68"/>
  <c r="T75" i="68"/>
  <c r="Y75" i="68" s="1"/>
  <c r="Z75" i="68" s="1"/>
  <c r="V55" i="68"/>
  <c r="U55" i="68"/>
  <c r="U27" i="68"/>
  <c r="V27" i="68"/>
  <c r="G39" i="114"/>
  <c r="G47" i="114"/>
  <c r="G301" i="114"/>
  <c r="G513" i="114"/>
  <c r="V683" i="115"/>
  <c r="V642" i="115"/>
  <c r="U642" i="115"/>
  <c r="V417" i="115"/>
  <c r="V388" i="115"/>
  <c r="U388" i="115"/>
  <c r="U293" i="115"/>
  <c r="V293" i="115"/>
  <c r="T279" i="115"/>
  <c r="U256" i="115"/>
  <c r="V256" i="115"/>
  <c r="V246" i="115"/>
  <c r="U246" i="115"/>
  <c r="U229" i="115"/>
  <c r="V229" i="115"/>
  <c r="U221" i="115"/>
  <c r="V221" i="115"/>
  <c r="V131" i="115"/>
  <c r="U131" i="115"/>
  <c r="V87" i="115"/>
  <c r="U87" i="115"/>
  <c r="U71" i="115"/>
  <c r="V71" i="115"/>
  <c r="U61" i="115"/>
  <c r="V61" i="115"/>
  <c r="U52" i="115"/>
  <c r="V52" i="115"/>
  <c r="U43" i="115"/>
  <c r="V43" i="115"/>
  <c r="U26" i="115"/>
  <c r="V26" i="115"/>
  <c r="U18" i="115"/>
  <c r="V18" i="115"/>
  <c r="V697" i="114"/>
  <c r="U697" i="114"/>
  <c r="V710" i="114"/>
  <c r="U710" i="114"/>
  <c r="U685" i="114"/>
  <c r="V685" i="114"/>
  <c r="V668" i="114"/>
  <c r="U668" i="114"/>
  <c r="U650" i="114"/>
  <c r="V650" i="114"/>
  <c r="U603" i="114"/>
  <c r="V603" i="114"/>
  <c r="U1033" i="115"/>
  <c r="V1033" i="115"/>
  <c r="U961" i="115"/>
  <c r="V961" i="115"/>
  <c r="U938" i="115"/>
  <c r="V938" i="115"/>
  <c r="U908" i="115"/>
  <c r="V908" i="115"/>
  <c r="T558" i="115"/>
  <c r="U558" i="115" s="1"/>
  <c r="V831" i="115"/>
  <c r="U831" i="115"/>
  <c r="U789" i="115"/>
  <c r="V789" i="115"/>
  <c r="U777" i="115"/>
  <c r="V777" i="115"/>
  <c r="U750" i="115"/>
  <c r="V750" i="115"/>
  <c r="U740" i="115"/>
  <c r="V740" i="115"/>
  <c r="V551" i="114"/>
  <c r="U551" i="114"/>
  <c r="V441" i="114"/>
  <c r="U441" i="114"/>
  <c r="U429" i="114"/>
  <c r="V429" i="114"/>
  <c r="U418" i="114"/>
  <c r="V418" i="114"/>
  <c r="V410" i="114"/>
  <c r="U410" i="114"/>
  <c r="U397" i="114"/>
  <c r="V397" i="114"/>
  <c r="V371" i="114"/>
  <c r="U371" i="114"/>
  <c r="U356" i="114"/>
  <c r="V356" i="114"/>
  <c r="U339" i="114"/>
  <c r="V339" i="114"/>
  <c r="V296" i="114"/>
  <c r="U296" i="114"/>
  <c r="V256" i="114"/>
  <c r="U256" i="114"/>
  <c r="V161" i="114"/>
  <c r="U161" i="114"/>
  <c r="U1919" i="68"/>
  <c r="V1919" i="68"/>
  <c r="U1793" i="68"/>
  <c r="V1793" i="68"/>
  <c r="U1773" i="68"/>
  <c r="V1773" i="68"/>
  <c r="V1765" i="68"/>
  <c r="U1765" i="68"/>
  <c r="U1756" i="68"/>
  <c r="V1756" i="68"/>
  <c r="U1746" i="68"/>
  <c r="V1746" i="68"/>
  <c r="U1725" i="68"/>
  <c r="V1725" i="68"/>
  <c r="U1715" i="68"/>
  <c r="V1715" i="68"/>
  <c r="V1705" i="68"/>
  <c r="U1705" i="68"/>
  <c r="U1663" i="68"/>
  <c r="V1663" i="68"/>
  <c r="U1605" i="68"/>
  <c r="V1605" i="68"/>
  <c r="U1581" i="68"/>
  <c r="V1581" i="68"/>
  <c r="U1554" i="68"/>
  <c r="V1554" i="68"/>
  <c r="U1560" i="68"/>
  <c r="U1536" i="68"/>
  <c r="V1536" i="68"/>
  <c r="U1525" i="68"/>
  <c r="V1525" i="68"/>
  <c r="V1437" i="68"/>
  <c r="U1437" i="68"/>
  <c r="U1428" i="68"/>
  <c r="V1428" i="68"/>
  <c r="U1419" i="68"/>
  <c r="V1419" i="68"/>
  <c r="U1411" i="68"/>
  <c r="V1411" i="68"/>
  <c r="V1400" i="68"/>
  <c r="U1400" i="68"/>
  <c r="T1350" i="68"/>
  <c r="U1336" i="68"/>
  <c r="V1336" i="68"/>
  <c r="V1253" i="68"/>
  <c r="U1253" i="68"/>
  <c r="U1197" i="68"/>
  <c r="V1197" i="68"/>
  <c r="U1165" i="68"/>
  <c r="V1165" i="68"/>
  <c r="U1146" i="68"/>
  <c r="V1146" i="68"/>
  <c r="U1132" i="68"/>
  <c r="V1132" i="68"/>
  <c r="V1123" i="68"/>
  <c r="U1123" i="68"/>
  <c r="U1044" i="68"/>
  <c r="V1044" i="68"/>
  <c r="V1016" i="68"/>
  <c r="U1016" i="68"/>
  <c r="U1001" i="68"/>
  <c r="V1001" i="68"/>
  <c r="U992" i="68"/>
  <c r="V992" i="68"/>
  <c r="U956" i="68"/>
  <c r="V956" i="68"/>
  <c r="U870" i="68"/>
  <c r="V870" i="68"/>
  <c r="U862" i="68"/>
  <c r="V862" i="68"/>
  <c r="U853" i="68"/>
  <c r="V853" i="68"/>
  <c r="U844" i="68"/>
  <c r="V844" i="68"/>
  <c r="V836" i="68"/>
  <c r="U836" i="68"/>
  <c r="V591" i="68"/>
  <c r="U591" i="68"/>
  <c r="V301" i="68"/>
  <c r="T113" i="68"/>
  <c r="V82" i="68"/>
  <c r="U82" i="68"/>
  <c r="V71" i="68"/>
  <c r="U71" i="68"/>
  <c r="U63" i="68"/>
  <c r="V63" i="68"/>
  <c r="V35" i="68"/>
  <c r="U35" i="68"/>
  <c r="U18" i="68"/>
  <c r="V18" i="68"/>
  <c r="U641" i="115"/>
  <c r="V641" i="115"/>
  <c r="V277" i="115"/>
  <c r="V220" i="115"/>
  <c r="T130" i="115"/>
  <c r="U130" i="115" s="1"/>
  <c r="U25" i="115"/>
  <c r="V25" i="115"/>
  <c r="V591" i="114"/>
  <c r="U591" i="114"/>
  <c r="U749" i="115"/>
  <c r="V749" i="115"/>
  <c r="T1769" i="68"/>
  <c r="T1184" i="68"/>
  <c r="T852" i="68"/>
  <c r="T307" i="68"/>
  <c r="Y307" i="68" s="1"/>
  <c r="Z307" i="68" s="1"/>
  <c r="AB307" i="68" s="1"/>
  <c r="G1124" i="68"/>
  <c r="Q5" i="115"/>
  <c r="G788" i="115"/>
  <c r="G305" i="114"/>
  <c r="V518" i="115"/>
  <c r="T69" i="115"/>
  <c r="V34" i="115"/>
  <c r="U34" i="115"/>
  <c r="V24" i="115"/>
  <c r="U24" i="115"/>
  <c r="U16" i="115"/>
  <c r="V16" i="115"/>
  <c r="V756" i="115"/>
  <c r="U756" i="115"/>
  <c r="U748" i="115"/>
  <c r="V748" i="115"/>
  <c r="U737" i="115"/>
  <c r="V737" i="115"/>
  <c r="U545" i="114"/>
  <c r="V545" i="114"/>
  <c r="U404" i="114"/>
  <c r="V404" i="114"/>
  <c r="V369" i="114"/>
  <c r="U324" i="114"/>
  <c r="V324" i="114"/>
  <c r="V293" i="114"/>
  <c r="U293" i="114"/>
  <c r="T1131" i="68"/>
  <c r="V1014" i="68"/>
  <c r="T936" i="68"/>
  <c r="T704" i="68"/>
  <c r="G953" i="115"/>
  <c r="G1666" i="68"/>
  <c r="T517" i="115"/>
  <c r="V396" i="115"/>
  <c r="T95" i="115"/>
  <c r="U68" i="115"/>
  <c r="V68" i="115"/>
  <c r="V23" i="115"/>
  <c r="U23" i="115"/>
  <c r="U680" i="114"/>
  <c r="V680" i="114"/>
  <c r="V586" i="114"/>
  <c r="U586" i="114"/>
  <c r="U755" i="115"/>
  <c r="V755" i="115"/>
  <c r="U544" i="114"/>
  <c r="V544" i="114"/>
  <c r="T97" i="114"/>
  <c r="U97" i="114" s="1"/>
  <c r="V282" i="114"/>
  <c r="T216" i="114"/>
  <c r="U216" i="114" s="1"/>
  <c r="V157" i="114"/>
  <c r="U157" i="114"/>
  <c r="T50" i="114"/>
  <c r="Y50" i="114" s="1"/>
  <c r="AB50" i="114" s="1"/>
  <c r="AE50" i="114" s="1"/>
  <c r="AH50" i="114" s="1"/>
  <c r="AK50" i="114" s="1"/>
  <c r="AL50" i="114" s="1"/>
  <c r="AN50" i="114" s="1"/>
  <c r="T13" i="114"/>
  <c r="T1702" i="68"/>
  <c r="V1602" i="68"/>
  <c r="T1532" i="68"/>
  <c r="Y1532" i="68" s="1"/>
  <c r="Z1532" i="68" s="1"/>
  <c r="T1343" i="68"/>
  <c r="V967" i="68"/>
  <c r="V734" i="68"/>
  <c r="V297" i="68"/>
  <c r="T196" i="68"/>
  <c r="R493" i="68"/>
  <c r="Q493" i="68"/>
  <c r="S493" i="68"/>
  <c r="M493" i="68"/>
  <c r="V493" i="68" s="1"/>
  <c r="T493" i="68"/>
  <c r="J493" i="68"/>
  <c r="J382" i="68"/>
  <c r="G564" i="68"/>
  <c r="G213" i="115"/>
  <c r="G671" i="115"/>
  <c r="G691" i="115"/>
  <c r="G51" i="115"/>
  <c r="G878" i="115"/>
  <c r="G63" i="115"/>
  <c r="H64" i="115" s="1"/>
  <c r="G136" i="115"/>
  <c r="H137" i="115" s="1"/>
  <c r="G269" i="115"/>
  <c r="J414" i="68"/>
  <c r="J750" i="68"/>
  <c r="J400" i="68"/>
  <c r="V592" i="115"/>
  <c r="X592" i="115"/>
  <c r="G877" i="115"/>
  <c r="G102" i="68"/>
  <c r="G934" i="115"/>
  <c r="G607" i="114"/>
  <c r="H608" i="114" s="1"/>
  <c r="G28" i="114"/>
  <c r="G444" i="68"/>
  <c r="G207" i="114"/>
  <c r="G462" i="114"/>
  <c r="G141" i="68"/>
  <c r="C7" i="114"/>
  <c r="J677" i="68"/>
  <c r="J409" i="68"/>
  <c r="H891" i="115"/>
  <c r="G186" i="115"/>
  <c r="J412" i="68"/>
  <c r="H458" i="115"/>
  <c r="H788" i="115"/>
  <c r="H220" i="114"/>
  <c r="G916" i="115"/>
  <c r="H917" i="115" s="1"/>
  <c r="H712" i="114"/>
  <c r="G590" i="114"/>
  <c r="H596" i="114"/>
  <c r="R410" i="68"/>
  <c r="H768" i="115"/>
  <c r="H945" i="115"/>
  <c r="G502" i="114"/>
  <c r="G243" i="114"/>
  <c r="H685" i="114"/>
  <c r="V15" i="114"/>
  <c r="O1810" i="68"/>
  <c r="U38" i="114"/>
  <c r="G1318" i="68"/>
  <c r="G942" i="115"/>
  <c r="H943" i="115" s="1"/>
  <c r="H776" i="115"/>
  <c r="H923" i="115"/>
  <c r="H754" i="115"/>
  <c r="G883" i="115"/>
  <c r="J1644" i="68"/>
  <c r="H271" i="115"/>
  <c r="H934" i="115"/>
  <c r="H474" i="115"/>
  <c r="G783" i="115"/>
  <c r="H784" i="115" s="1"/>
  <c r="H763" i="115"/>
  <c r="G500" i="114"/>
  <c r="G292" i="114"/>
  <c r="H363" i="114"/>
  <c r="J549" i="114"/>
  <c r="J611" i="114"/>
  <c r="H744" i="115"/>
  <c r="H459" i="115"/>
  <c r="H637" i="114"/>
  <c r="H691" i="115"/>
  <c r="H396" i="114"/>
  <c r="G189" i="114"/>
  <c r="J173" i="114"/>
  <c r="G909" i="115"/>
  <c r="H180" i="115"/>
  <c r="G1042" i="115"/>
  <c r="H1043" i="115" s="1"/>
  <c r="H574" i="115"/>
  <c r="G256" i="115"/>
  <c r="G967" i="115"/>
  <c r="H968" i="115" s="1"/>
  <c r="H885" i="115"/>
  <c r="G371" i="114"/>
  <c r="H434" i="115"/>
  <c r="H890" i="115"/>
  <c r="G734" i="115"/>
  <c r="G269" i="114"/>
  <c r="H397" i="114"/>
  <c r="G621" i="114"/>
  <c r="H749" i="115"/>
  <c r="G793" i="115"/>
  <c r="H794" i="115" s="1"/>
  <c r="G892" i="115"/>
  <c r="G960" i="115"/>
  <c r="H787" i="115"/>
  <c r="G756" i="115"/>
  <c r="H796" i="115"/>
  <c r="H545" i="114"/>
  <c r="I104" i="6"/>
  <c r="H921" i="115"/>
  <c r="G958" i="115"/>
  <c r="H953" i="115"/>
  <c r="H777" i="115"/>
  <c r="H670" i="115"/>
  <c r="H688" i="115"/>
  <c r="H908" i="115"/>
  <c r="H750" i="115"/>
  <c r="G873" i="115"/>
  <c r="G905" i="115"/>
  <c r="H938" i="115"/>
  <c r="H773" i="115"/>
  <c r="H742" i="115"/>
  <c r="G438" i="114"/>
  <c r="G190" i="114"/>
  <c r="G296" i="114"/>
  <c r="H715" i="114"/>
  <c r="G464" i="115"/>
  <c r="H464" i="115"/>
  <c r="G758" i="115"/>
  <c r="H758" i="115"/>
  <c r="H781" i="115"/>
  <c r="G781" i="115"/>
  <c r="G792" i="115"/>
  <c r="H792" i="115"/>
  <c r="G1031" i="115"/>
  <c r="H1031" i="115"/>
  <c r="H177" i="114"/>
  <c r="G177" i="114"/>
  <c r="G274" i="114"/>
  <c r="H274" i="114"/>
  <c r="G293" i="114"/>
  <c r="H293" i="114"/>
  <c r="H394" i="114"/>
  <c r="G394" i="114"/>
  <c r="G400" i="114"/>
  <c r="H400" i="114"/>
  <c r="G508" i="114"/>
  <c r="H509" i="114" s="1"/>
  <c r="H508" i="114"/>
  <c r="G591" i="114"/>
  <c r="H591" i="114"/>
  <c r="H688" i="114"/>
  <c r="G688" i="114"/>
  <c r="H689" i="114" s="1"/>
  <c r="G907" i="115"/>
  <c r="H204" i="115"/>
  <c r="H940" i="115"/>
  <c r="H779" i="115"/>
  <c r="H655" i="115"/>
  <c r="G910" i="115"/>
  <c r="G760" i="115"/>
  <c r="H875" i="115"/>
  <c r="G661" i="115"/>
  <c r="H166" i="114"/>
  <c r="G630" i="114"/>
  <c r="H631" i="114" s="1"/>
  <c r="G12" i="115"/>
  <c r="H12" i="115"/>
  <c r="G948" i="115"/>
  <c r="H948" i="115"/>
  <c r="G145" i="114"/>
  <c r="H145" i="114"/>
  <c r="H211" i="114"/>
  <c r="G211" i="114"/>
  <c r="H224" i="114"/>
  <c r="G224" i="114"/>
  <c r="G369" i="114"/>
  <c r="H369" i="114"/>
  <c r="G517" i="114"/>
  <c r="H517" i="114"/>
  <c r="H619" i="114"/>
  <c r="G619" i="114"/>
  <c r="H635" i="114"/>
  <c r="G635" i="114"/>
  <c r="G925" i="115"/>
  <c r="H926" i="115" s="1"/>
  <c r="G657" i="115"/>
  <c r="G999" i="115"/>
  <c r="H1000" i="115" s="1"/>
  <c r="H392" i="115"/>
  <c r="H936" i="115"/>
  <c r="H775" i="115"/>
  <c r="G380" i="115"/>
  <c r="G740" i="115"/>
  <c r="G675" i="115"/>
  <c r="H718" i="114"/>
  <c r="G585" i="114"/>
  <c r="H359" i="114"/>
  <c r="G291" i="114"/>
  <c r="H629" i="114"/>
  <c r="H737" i="115"/>
  <c r="G737" i="115"/>
  <c r="G273" i="114"/>
  <c r="H273" i="114"/>
  <c r="H671" i="115"/>
  <c r="H955" i="115"/>
  <c r="H695" i="115"/>
  <c r="H878" i="115"/>
  <c r="H949" i="115"/>
  <c r="G736" i="115"/>
  <c r="G658" i="115"/>
  <c r="H659" i="115" s="1"/>
  <c r="H720" i="114"/>
  <c r="G398" i="114"/>
  <c r="G589" i="114"/>
  <c r="G276" i="114"/>
  <c r="G226" i="114"/>
  <c r="G683" i="114"/>
  <c r="G510" i="115"/>
  <c r="H510" i="115"/>
  <c r="G672" i="115"/>
  <c r="H673" i="115" s="1"/>
  <c r="H672" i="115"/>
  <c r="G712" i="115"/>
  <c r="H712" i="115"/>
  <c r="G874" i="115"/>
  <c r="H874" i="115"/>
  <c r="H904" i="115"/>
  <c r="G904" i="115"/>
  <c r="H947" i="115"/>
  <c r="G947" i="115"/>
  <c r="H111" i="114"/>
  <c r="G111" i="114"/>
  <c r="G217" i="114"/>
  <c r="H217" i="114"/>
  <c r="G356" i="114"/>
  <c r="H357" i="114" s="1"/>
  <c r="H356" i="114"/>
  <c r="H362" i="114"/>
  <c r="G362" i="114"/>
  <c r="G512" i="114"/>
  <c r="H512" i="114"/>
  <c r="G622" i="114"/>
  <c r="H622" i="114"/>
  <c r="H636" i="114"/>
  <c r="G636" i="114"/>
  <c r="H652" i="114"/>
  <c r="G652" i="114"/>
  <c r="H919" i="115"/>
  <c r="G651" i="115"/>
  <c r="H951" i="115"/>
  <c r="G653" i="115"/>
  <c r="H937" i="115"/>
  <c r="G746" i="115"/>
  <c r="G720" i="115"/>
  <c r="H721" i="115" s="1"/>
  <c r="H897" i="115"/>
  <c r="H521" i="114"/>
  <c r="G337" i="68"/>
  <c r="G479" i="68"/>
  <c r="G481" i="68"/>
  <c r="G568" i="68"/>
  <c r="G586" i="68"/>
  <c r="G1016" i="68"/>
  <c r="G1363" i="68"/>
  <c r="G1491" i="68"/>
  <c r="G1709" i="68"/>
  <c r="G113" i="68"/>
  <c r="G981" i="68"/>
  <c r="G552" i="114"/>
  <c r="G504" i="114"/>
  <c r="G682" i="114"/>
  <c r="G442" i="114"/>
  <c r="H443" i="114" s="1"/>
  <c r="H641" i="115"/>
  <c r="H57" i="115"/>
  <c r="G57" i="115"/>
  <c r="G131" i="115"/>
  <c r="H131" i="115"/>
  <c r="G225" i="115"/>
  <c r="H225" i="115"/>
  <c r="H262" i="115"/>
  <c r="G262" i="115"/>
  <c r="G268" i="115"/>
  <c r="H268" i="115"/>
  <c r="H384" i="115"/>
  <c r="G384" i="115"/>
  <c r="H457" i="115"/>
  <c r="G457" i="115"/>
  <c r="G490" i="115"/>
  <c r="H491" i="115" s="1"/>
  <c r="H490" i="115"/>
  <c r="G572" i="115"/>
  <c r="H572" i="115"/>
  <c r="H61" i="115"/>
  <c r="G61" i="115"/>
  <c r="H321" i="115"/>
  <c r="G321" i="115"/>
  <c r="H337" i="115"/>
  <c r="G337" i="115"/>
  <c r="G404" i="115"/>
  <c r="H404" i="115"/>
  <c r="G812" i="115"/>
  <c r="H812" i="115"/>
  <c r="G831" i="115"/>
  <c r="H831" i="115"/>
  <c r="G856" i="115"/>
  <c r="H856" i="115"/>
  <c r="H26" i="114"/>
  <c r="G26" i="114"/>
  <c r="G38" i="114"/>
  <c r="H38" i="114"/>
  <c r="H745" i="115"/>
  <c r="G782" i="115"/>
  <c r="G1028" i="115"/>
  <c r="H774" i="115"/>
  <c r="H14" i="115"/>
  <c r="G14" i="115"/>
  <c r="G89" i="115"/>
  <c r="H89" i="115"/>
  <c r="G440" i="115"/>
  <c r="H440" i="115"/>
  <c r="G509" i="115"/>
  <c r="H509" i="115"/>
  <c r="G741" i="115"/>
  <c r="H648" i="115"/>
  <c r="H361" i="115"/>
  <c r="H526" i="114"/>
  <c r="H513" i="114"/>
  <c r="H414" i="115"/>
  <c r="G414" i="115"/>
  <c r="H415" i="115" s="1"/>
  <c r="H654" i="115"/>
  <c r="G654" i="115"/>
  <c r="G709" i="115"/>
  <c r="H709" i="115"/>
  <c r="H739" i="115"/>
  <c r="G739" i="115"/>
  <c r="H743" i="115"/>
  <c r="G743" i="115"/>
  <c r="G747" i="115"/>
  <c r="H747" i="115"/>
  <c r="H755" i="115"/>
  <c r="G755" i="115"/>
  <c r="H759" i="115"/>
  <c r="G759" i="115"/>
  <c r="H780" i="115"/>
  <c r="G780" i="115"/>
  <c r="H998" i="115"/>
  <c r="G998" i="115"/>
  <c r="H1032" i="115"/>
  <c r="G1032" i="115"/>
  <c r="H1034" i="115" s="1"/>
  <c r="G61" i="114"/>
  <c r="H61" i="114"/>
  <c r="G63" i="114"/>
  <c r="H64" i="114" s="1"/>
  <c r="H63" i="114"/>
  <c r="H136" i="114"/>
  <c r="G136" i="114"/>
  <c r="H275" i="114"/>
  <c r="G275" i="114"/>
  <c r="G297" i="114"/>
  <c r="H298" i="114" s="1"/>
  <c r="H297" i="114"/>
  <c r="G399" i="114"/>
  <c r="H399" i="114"/>
  <c r="H439" i="114"/>
  <c r="G439" i="114"/>
  <c r="H592" i="114"/>
  <c r="G592" i="114"/>
  <c r="H684" i="114"/>
  <c r="G684" i="114"/>
  <c r="G686" i="114"/>
  <c r="H686" i="114"/>
  <c r="H761" i="115"/>
  <c r="G735" i="115"/>
  <c r="G485" i="115"/>
  <c r="H486" i="115" s="1"/>
  <c r="G786" i="115"/>
  <c r="G142" i="114"/>
  <c r="G757" i="115"/>
  <c r="G733" i="115"/>
  <c r="G652" i="115"/>
  <c r="G717" i="115"/>
  <c r="G466" i="115"/>
  <c r="H466" i="115"/>
  <c r="G519" i="115"/>
  <c r="H519" i="115"/>
  <c r="G713" i="115"/>
  <c r="H713" i="115"/>
  <c r="G880" i="115"/>
  <c r="H881" i="115" s="1"/>
  <c r="H880" i="115"/>
  <c r="G889" i="115"/>
  <c r="H889" i="115"/>
  <c r="G912" i="115"/>
  <c r="H912" i="115"/>
  <c r="G922" i="115"/>
  <c r="H922" i="115"/>
  <c r="G933" i="115"/>
  <c r="H933" i="115"/>
  <c r="H939" i="115"/>
  <c r="G939" i="115"/>
  <c r="G954" i="115"/>
  <c r="H954" i="115"/>
  <c r="H961" i="115"/>
  <c r="G961" i="115"/>
  <c r="G753" i="115"/>
  <c r="H696" i="115"/>
  <c r="G687" i="115"/>
  <c r="H174" i="115"/>
  <c r="H72" i="115"/>
  <c r="H294" i="114"/>
  <c r="H35" i="114"/>
  <c r="G642" i="115"/>
  <c r="H642" i="115"/>
  <c r="H748" i="115"/>
  <c r="G748" i="115"/>
  <c r="G137" i="114"/>
  <c r="H137" i="114"/>
  <c r="G172" i="114"/>
  <c r="H172" i="114"/>
  <c r="G278" i="114"/>
  <c r="H278" i="114"/>
  <c r="H457" i="114"/>
  <c r="G457" i="114"/>
  <c r="H468" i="114"/>
  <c r="G468" i="114"/>
  <c r="G727" i="114"/>
  <c r="H727" i="114"/>
  <c r="H22" i="68"/>
  <c r="G22" i="68"/>
  <c r="H238" i="68"/>
  <c r="G238" i="68"/>
  <c r="H308" i="68"/>
  <c r="G308" i="68"/>
  <c r="H911" i="115"/>
  <c r="G911" i="115"/>
  <c r="G88" i="114"/>
  <c r="H88" i="114"/>
  <c r="G218" i="114"/>
  <c r="H218" i="114"/>
  <c r="H225" i="114"/>
  <c r="G225" i="114"/>
  <c r="G257" i="114"/>
  <c r="H257" i="114"/>
  <c r="G280" i="114"/>
  <c r="H280" i="114"/>
  <c r="H361" i="114"/>
  <c r="G361" i="114"/>
  <c r="G374" i="114"/>
  <c r="H374" i="114"/>
  <c r="G528" i="114"/>
  <c r="H528" i="114"/>
  <c r="H584" i="114"/>
  <c r="G584" i="114"/>
  <c r="G82" i="114"/>
  <c r="H261" i="114"/>
  <c r="H266" i="114"/>
  <c r="G946" i="115"/>
  <c r="H888" i="115"/>
  <c r="G262" i="114"/>
  <c r="H370" i="114"/>
  <c r="G404" i="114"/>
  <c r="H28" i="68"/>
  <c r="G14" i="68"/>
  <c r="G302" i="68"/>
  <c r="G193" i="68"/>
  <c r="H194" i="68" s="1"/>
  <c r="H120" i="114"/>
  <c r="G120" i="114"/>
  <c r="H237" i="114"/>
  <c r="G237" i="114"/>
  <c r="H583" i="114"/>
  <c r="G583" i="114"/>
  <c r="H877" i="115"/>
  <c r="G222" i="114"/>
  <c r="H318" i="114"/>
  <c r="G714" i="114"/>
  <c r="H593" i="114"/>
  <c r="G593" i="114"/>
  <c r="G1035" i="68"/>
  <c r="G653" i="114"/>
  <c r="H653" i="114"/>
  <c r="H703" i="114"/>
  <c r="G703" i="114"/>
  <c r="G594" i="68"/>
  <c r="G244" i="68"/>
  <c r="G272" i="114"/>
  <c r="G651" i="114"/>
  <c r="H607" i="114"/>
  <c r="H728" i="114"/>
  <c r="G1438" i="68"/>
  <c r="H1439" i="68" s="1"/>
  <c r="G654" i="114"/>
  <c r="H610" i="114"/>
  <c r="G308" i="114"/>
  <c r="G626" i="114"/>
  <c r="H627" i="114" s="1"/>
  <c r="H650" i="114"/>
  <c r="G179" i="115"/>
  <c r="G335" i="115"/>
  <c r="G180" i="114"/>
  <c r="H28" i="115"/>
  <c r="G28" i="115"/>
  <c r="H184" i="115"/>
  <c r="G184" i="115"/>
  <c r="G455" i="115"/>
  <c r="H455" i="115"/>
  <c r="H462" i="115"/>
  <c r="G462" i="115"/>
  <c r="G579" i="115"/>
  <c r="H579" i="115"/>
  <c r="H412" i="115"/>
  <c r="G412" i="115"/>
  <c r="H540" i="115"/>
  <c r="G540" i="115"/>
  <c r="H71" i="115"/>
  <c r="G71" i="115"/>
  <c r="H88" i="115"/>
  <c r="G88" i="115"/>
  <c r="G336" i="115"/>
  <c r="H336" i="115"/>
  <c r="H409" i="115"/>
  <c r="G409" i="115"/>
  <c r="H410" i="115" s="1"/>
  <c r="G476" i="115"/>
  <c r="H476" i="115"/>
  <c r="G515" i="115"/>
  <c r="H515" i="115"/>
  <c r="G580" i="115"/>
  <c r="H581" i="115" s="1"/>
  <c r="H580" i="115"/>
  <c r="G656" i="115"/>
  <c r="G254" i="115"/>
  <c r="G964" i="115"/>
  <c r="H965" i="115" s="1"/>
  <c r="G789" i="115"/>
  <c r="H893" i="115"/>
  <c r="G449" i="115"/>
  <c r="H952" i="115"/>
  <c r="G920" i="115"/>
  <c r="H146" i="114"/>
  <c r="G376" i="114"/>
  <c r="H377" i="114" s="1"/>
  <c r="G277" i="114"/>
  <c r="H305" i="114"/>
  <c r="H623" i="114"/>
  <c r="H114" i="114"/>
  <c r="G548" i="114"/>
  <c r="G588" i="114"/>
  <c r="G73" i="114"/>
  <c r="G402" i="114"/>
  <c r="H302" i="114"/>
  <c r="G470" i="114"/>
  <c r="H87" i="114"/>
  <c r="H58" i="114"/>
  <c r="G256" i="114"/>
  <c r="G178" i="114"/>
  <c r="G266" i="115"/>
  <c r="H104" i="115"/>
  <c r="H390" i="115"/>
  <c r="H570" i="115"/>
  <c r="H302" i="115"/>
  <c r="H14" i="114"/>
  <c r="G62" i="114"/>
  <c r="G182" i="114"/>
  <c r="G37" i="114"/>
  <c r="H169" i="114"/>
  <c r="G913" i="115"/>
  <c r="H914" i="115" s="1"/>
  <c r="G778" i="115"/>
  <c r="G260" i="115"/>
  <c r="H333" i="115" s="1"/>
  <c r="H388" i="115"/>
  <c r="H876" i="115"/>
  <c r="G935" i="115"/>
  <c r="G924" i="115"/>
  <c r="G879" i="115"/>
  <c r="G350" i="114"/>
  <c r="H351" i="114" s="1"/>
  <c r="H20" i="114"/>
  <c r="G395" i="114"/>
  <c r="G138" i="114"/>
  <c r="G353" i="114"/>
  <c r="H300" i="114"/>
  <c r="G223" i="114"/>
  <c r="G724" i="114"/>
  <c r="G625" i="114"/>
  <c r="G506" i="114"/>
  <c r="G200" i="115"/>
  <c r="H252" i="115" s="1"/>
  <c r="G320" i="115"/>
  <c r="G259" i="114"/>
  <c r="H403" i="114"/>
  <c r="G544" i="114"/>
  <c r="H349" i="114"/>
  <c r="G147" i="114"/>
  <c r="H554" i="115"/>
  <c r="H350" i="115"/>
  <c r="H168" i="115"/>
  <c r="H26" i="115"/>
  <c r="H17" i="114"/>
  <c r="H151" i="115"/>
  <c r="H68" i="115"/>
  <c r="G315" i="115"/>
  <c r="H197" i="115"/>
  <c r="H357" i="115"/>
  <c r="G31" i="115"/>
  <c r="G140" i="114"/>
  <c r="H83" i="114"/>
  <c r="H447" i="115"/>
  <c r="H59" i="115"/>
  <c r="G20" i="115"/>
  <c r="H258" i="115"/>
  <c r="H87" i="115"/>
  <c r="G308" i="115"/>
  <c r="H309" i="115" s="1"/>
  <c r="G518" i="115"/>
  <c r="G204" i="114"/>
  <c r="G27" i="114"/>
  <c r="H301" i="114"/>
  <c r="H117" i="114"/>
  <c r="G45" i="114"/>
  <c r="H401" i="114"/>
  <c r="H219" i="114"/>
  <c r="G175" i="114"/>
  <c r="G116" i="114"/>
  <c r="H264" i="115"/>
  <c r="G24" i="115"/>
  <c r="H386" i="115"/>
  <c r="H178" i="115"/>
  <c r="H170" i="115"/>
  <c r="H451" i="115"/>
  <c r="G522" i="115"/>
  <c r="H523" i="115" s="1"/>
  <c r="G360" i="114"/>
  <c r="H366" i="114"/>
  <c r="G523" i="114"/>
  <c r="G258" i="114"/>
  <c r="G118" i="114"/>
  <c r="G133" i="115"/>
  <c r="H16" i="115"/>
  <c r="H382" i="115"/>
  <c r="G342" i="115"/>
  <c r="G70" i="115"/>
  <c r="H344" i="115"/>
  <c r="G34" i="115"/>
  <c r="H188" i="115"/>
  <c r="H236" i="115"/>
  <c r="G514" i="115"/>
  <c r="G15" i="115"/>
  <c r="H113" i="114"/>
  <c r="H47" i="114"/>
  <c r="G372" i="114"/>
  <c r="G139" i="114"/>
  <c r="G620" i="114"/>
  <c r="G92" i="115"/>
  <c r="H93" i="115" s="1"/>
  <c r="G22" i="115"/>
  <c r="H941" i="115"/>
  <c r="G906" i="115"/>
  <c r="G16" i="114"/>
  <c r="G85" i="114"/>
  <c r="G221" i="114"/>
  <c r="G634" i="114"/>
  <c r="G198" i="115"/>
  <c r="H91" i="115"/>
  <c r="H517" i="115"/>
  <c r="G201" i="115"/>
  <c r="G355" i="115"/>
  <c r="H264" i="114"/>
  <c r="H95" i="114"/>
  <c r="H18" i="114"/>
  <c r="G32" i="115"/>
  <c r="G85" i="115"/>
  <c r="H324" i="115"/>
  <c r="H511" i="115"/>
  <c r="H203" i="115"/>
  <c r="G520" i="115"/>
  <c r="G102" i="114"/>
  <c r="H516" i="115"/>
  <c r="G69" i="115"/>
  <c r="G23" i="115"/>
  <c r="G110" i="114"/>
  <c r="H86" i="114"/>
  <c r="G143" i="114"/>
  <c r="V274" i="39"/>
  <c r="G684" i="68"/>
  <c r="H685" i="68" s="1"/>
  <c r="V881" i="39"/>
  <c r="G98" i="114"/>
  <c r="H28" i="114"/>
  <c r="H19" i="114"/>
  <c r="H13" i="114"/>
  <c r="G31" i="114"/>
  <c r="H32" i="114" s="1"/>
  <c r="G25" i="114"/>
  <c r="G43" i="114"/>
  <c r="H40" i="114"/>
  <c r="H46" i="114"/>
  <c r="H39" i="114"/>
  <c r="G30" i="114"/>
  <c r="J415" i="68"/>
  <c r="J538" i="68"/>
  <c r="J1915" i="68"/>
  <c r="J235" i="68"/>
  <c r="J380" i="68"/>
  <c r="J407" i="68"/>
  <c r="J663" i="68"/>
  <c r="J254" i="68"/>
  <c r="J661" i="68"/>
  <c r="J1684" i="68"/>
  <c r="J1813" i="68"/>
  <c r="J651" i="68"/>
  <c r="J408" i="68"/>
  <c r="J678" i="68"/>
  <c r="J662" i="68"/>
  <c r="J650" i="68"/>
  <c r="J1208" i="68"/>
  <c r="J648" i="68"/>
  <c r="J1442" i="68"/>
  <c r="J653" i="68"/>
  <c r="J388" i="68"/>
  <c r="J379" i="68"/>
  <c r="J247" i="68"/>
  <c r="J378" i="68"/>
  <c r="J397" i="68"/>
  <c r="J540" i="68"/>
  <c r="J539" i="68"/>
  <c r="J398" i="68"/>
  <c r="J674" i="68"/>
  <c r="J392" i="68"/>
  <c r="J389" i="68"/>
  <c r="J399" i="68"/>
  <c r="J387" i="68"/>
  <c r="J1237" i="68"/>
  <c r="J197" i="68"/>
  <c r="J106" i="6"/>
  <c r="J681" i="68"/>
  <c r="J237" i="68"/>
  <c r="J255" i="68"/>
  <c r="J406" i="68"/>
  <c r="AN22" i="6"/>
  <c r="AO22" i="6" s="1"/>
  <c r="V1561" i="39"/>
  <c r="AG28" i="6"/>
  <c r="J1260" i="68"/>
  <c r="J664" i="68"/>
  <c r="J226" i="68"/>
  <c r="J394" i="68"/>
  <c r="J313" i="68"/>
  <c r="J383" i="68"/>
  <c r="J386" i="68"/>
  <c r="J405" i="68"/>
  <c r="J676" i="68"/>
  <c r="AG26" i="6"/>
  <c r="AR26" i="6"/>
  <c r="AG27" i="6"/>
  <c r="AG31" i="6"/>
  <c r="AS21" i="6"/>
  <c r="AS22" i="6" s="1"/>
  <c r="AT22" i="6" s="1"/>
  <c r="C145" i="6"/>
  <c r="AG29" i="6"/>
  <c r="V1615" i="39"/>
  <c r="AG30" i="6"/>
  <c r="AR20" i="6"/>
  <c r="AR21" i="6" s="1"/>
  <c r="D145" i="6"/>
  <c r="Q1644" i="68"/>
  <c r="G660" i="68"/>
  <c r="V130" i="39"/>
  <c r="G1567" i="68"/>
  <c r="H1568" i="68" s="1"/>
  <c r="G790" i="115"/>
  <c r="G1040" i="115"/>
  <c r="V1232" i="39"/>
  <c r="P21" i="6"/>
  <c r="Q1147" i="115"/>
  <c r="G435" i="115"/>
  <c r="H465" i="115"/>
  <c r="H301" i="115"/>
  <c r="G255" i="115"/>
  <c r="H506" i="115"/>
  <c r="H143" i="115"/>
  <c r="H166" i="115"/>
  <c r="G502" i="115"/>
  <c r="H140" i="115"/>
  <c r="G325" i="115"/>
  <c r="G154" i="115"/>
  <c r="G351" i="115"/>
  <c r="H352" i="115" s="1"/>
  <c r="G399" i="115"/>
  <c r="H275" i="115"/>
  <c r="G317" i="115"/>
  <c r="G379" i="115"/>
  <c r="H185" i="115"/>
  <c r="H313" i="115"/>
  <c r="G405" i="115"/>
  <c r="G397" i="115"/>
  <c r="G58" i="115"/>
  <c r="H58" i="115"/>
  <c r="H60" i="115"/>
  <c r="G60" i="115"/>
  <c r="H76" i="115"/>
  <c r="G76" i="115"/>
  <c r="G322" i="115"/>
  <c r="H175" i="115"/>
  <c r="G470" i="115"/>
  <c r="G159" i="115"/>
  <c r="H160" i="115" s="1"/>
  <c r="H383" i="115"/>
  <c r="G261" i="115"/>
  <c r="H267" i="115"/>
  <c r="H453" i="115"/>
  <c r="G393" i="115"/>
  <c r="H394" i="115" s="1"/>
  <c r="G573" i="115"/>
  <c r="G259" i="115"/>
  <c r="G224" i="115"/>
  <c r="G391" i="115"/>
  <c r="H182" i="115"/>
  <c r="H331" i="115"/>
  <c r="H445" i="115"/>
  <c r="G387" i="115"/>
  <c r="G257" i="115"/>
  <c r="G306" i="115"/>
  <c r="H438" i="115"/>
  <c r="G385" i="115"/>
  <c r="H269" i="115"/>
  <c r="G263" i="115"/>
  <c r="G348" i="115"/>
  <c r="H136" i="115"/>
  <c r="G73" i="115"/>
  <c r="G389" i="115"/>
  <c r="G381" i="115"/>
  <c r="G338" i="115"/>
  <c r="G130" i="115"/>
  <c r="H222" i="115" s="1"/>
  <c r="G52" i="115"/>
  <c r="H99" i="115"/>
  <c r="G44" i="115"/>
  <c r="H349" i="115"/>
  <c r="H127" i="115"/>
  <c r="G96" i="115"/>
  <c r="H121" i="115"/>
  <c r="G183" i="115"/>
  <c r="G153" i="115"/>
  <c r="H67" i="115"/>
  <c r="H199" i="115"/>
  <c r="G472" i="115"/>
  <c r="H18" i="115"/>
  <c r="G30" i="115"/>
  <c r="H512" i="115"/>
  <c r="H155" i="115"/>
  <c r="H413" i="115"/>
  <c r="H541" i="115"/>
  <c r="H77" i="115"/>
  <c r="G47" i="115"/>
  <c r="H179" i="115"/>
  <c r="G525" i="115"/>
  <c r="H214" i="115"/>
  <c r="G345" i="115"/>
  <c r="H172" i="115"/>
  <c r="G229" i="115"/>
  <c r="G319" i="115"/>
  <c r="H233" i="115"/>
  <c r="H450" i="115"/>
  <c r="H120" i="115"/>
  <c r="G559" i="115"/>
  <c r="G249" i="115"/>
  <c r="G156" i="115"/>
  <c r="H51" i="115"/>
  <c r="G207" i="115"/>
  <c r="H108" i="115"/>
  <c r="G369" i="115"/>
  <c r="H1" i="115"/>
  <c r="G265" i="115"/>
  <c r="G132" i="115"/>
  <c r="H335" i="115"/>
  <c r="G327" i="115"/>
  <c r="G163" i="115"/>
  <c r="H126" i="115"/>
  <c r="G221" i="115"/>
  <c r="G533" i="115"/>
  <c r="G106" i="115"/>
  <c r="G567" i="115"/>
  <c r="H568" i="115" s="1"/>
  <c r="G95" i="115"/>
  <c r="G29" i="115"/>
  <c r="G49" i="115"/>
  <c r="H303" i="115"/>
  <c r="G247" i="115"/>
  <c r="G124" i="115"/>
  <c r="G219" i="115"/>
  <c r="G531" i="115"/>
  <c r="G100" i="115"/>
  <c r="G112" i="115"/>
  <c r="H113" i="115" s="1"/>
  <c r="G375" i="115"/>
  <c r="H565" i="115"/>
  <c r="H45" i="115"/>
  <c r="G228" i="115"/>
  <c r="G563" i="115"/>
  <c r="G245" i="115"/>
  <c r="G13" i="115"/>
  <c r="G187" i="115"/>
  <c r="G230" i="115"/>
  <c r="H122" i="115"/>
  <c r="G216" i="115"/>
  <c r="G536" i="115"/>
  <c r="H537" i="115" s="1"/>
  <c r="H527" i="115"/>
  <c r="G475" i="115"/>
  <c r="G110" i="115"/>
  <c r="G373" i="115"/>
  <c r="G53" i="115"/>
  <c r="H54" i="115" s="1"/>
  <c r="G43" i="115"/>
  <c r="G561" i="115"/>
  <c r="G251" i="115"/>
  <c r="G371" i="115"/>
  <c r="V1414" i="39"/>
  <c r="V1586" i="39"/>
  <c r="G1478" i="68"/>
  <c r="V864" i="39"/>
  <c r="V462" i="39"/>
  <c r="V131" i="39"/>
  <c r="V1268" i="39"/>
  <c r="V1184" i="39"/>
  <c r="V1230" i="39"/>
  <c r="V1602" i="39"/>
  <c r="V654" i="39"/>
  <c r="V209" i="39"/>
  <c r="V147" i="39"/>
  <c r="V129" i="39"/>
  <c r="V1312" i="39"/>
  <c r="V776" i="39"/>
  <c r="V1605" i="39"/>
  <c r="V164" i="39"/>
  <c r="G756" i="68"/>
  <c r="V964" i="39"/>
  <c r="G1884" i="68"/>
  <c r="V961" i="39"/>
  <c r="V195" i="39"/>
  <c r="G770" i="68"/>
  <c r="H771" i="68" s="1"/>
  <c r="G708" i="114"/>
  <c r="V1314" i="39"/>
  <c r="V1503" i="39"/>
  <c r="V1614" i="39"/>
  <c r="V1167" i="39"/>
  <c r="G791" i="115"/>
  <c r="G368" i="114"/>
  <c r="G1100" i="68"/>
  <c r="S410" i="68"/>
  <c r="O410" i="68"/>
  <c r="M1810" i="68"/>
  <c r="V1810" i="68" s="1"/>
  <c r="U43" i="114"/>
  <c r="S622" i="115"/>
  <c r="V16" i="114"/>
  <c r="M381" i="68"/>
  <c r="V381" i="68" s="1"/>
  <c r="P1928" i="68"/>
  <c r="M1928" i="68"/>
  <c r="V1928" i="68" s="1"/>
  <c r="U37" i="114"/>
  <c r="G1036" i="68"/>
  <c r="M22" i="6"/>
  <c r="M23" i="6" s="1"/>
  <c r="G460" i="114"/>
  <c r="G503" i="114"/>
  <c r="J410" i="68"/>
  <c r="T410" i="68"/>
  <c r="Y410" i="68" s="1"/>
  <c r="Z410" i="68" s="1"/>
  <c r="AB410" i="68" s="1"/>
  <c r="V914" i="39"/>
  <c r="V963" i="39"/>
  <c r="Q381" i="68"/>
  <c r="G483" i="68"/>
  <c r="Q1810" i="68"/>
  <c r="H21" i="115"/>
  <c r="G21" i="115"/>
  <c r="G21" i="114"/>
  <c r="H22" i="114" s="1"/>
  <c r="H21" i="114"/>
  <c r="G1386" i="68"/>
  <c r="H1387" i="68" s="1"/>
  <c r="G1104" i="68"/>
  <c r="G327" i="68"/>
  <c r="H328" i="68" s="1"/>
  <c r="G1773" i="68"/>
  <c r="H1774" i="68" s="1"/>
  <c r="G127" i="68"/>
  <c r="H128" i="68" s="1"/>
  <c r="G446" i="68"/>
  <c r="H447" i="68" s="1"/>
  <c r="G440" i="114"/>
  <c r="G268" i="68"/>
  <c r="H269" i="68" s="1"/>
  <c r="G343" i="114"/>
  <c r="H344" i="114" s="1"/>
  <c r="G1110" i="68"/>
  <c r="H1111" i="68" s="1"/>
  <c r="G484" i="68"/>
  <c r="H485" i="68" s="1"/>
  <c r="H34" i="114"/>
  <c r="V947" i="39"/>
  <c r="V978" i="39"/>
  <c r="V595" i="39"/>
  <c r="V297" i="39"/>
  <c r="V833" i="39"/>
  <c r="V1374" i="39"/>
  <c r="G332" i="115"/>
  <c r="V1612" i="39"/>
  <c r="P600" i="115"/>
  <c r="S603" i="115"/>
  <c r="V331" i="39"/>
  <c r="V611" i="39"/>
  <c r="V488" i="39"/>
  <c r="V1260" i="39"/>
  <c r="V1307" i="39"/>
  <c r="V1613" i="39"/>
  <c r="V878" i="39"/>
  <c r="V846" i="39"/>
  <c r="V1560" i="39"/>
  <c r="V1249" i="39"/>
  <c r="V1018" i="39"/>
  <c r="V1064" i="39"/>
  <c r="V1295" i="39"/>
  <c r="V1407" i="39"/>
  <c r="V1524" i="39"/>
  <c r="V981" i="39"/>
  <c r="V935" i="39"/>
  <c r="O593" i="115"/>
  <c r="V1472" i="39"/>
  <c r="V1459" i="39"/>
  <c r="V1313" i="39"/>
  <c r="G747" i="114"/>
  <c r="V1562" i="39"/>
  <c r="V400" i="39"/>
  <c r="V1240" i="39"/>
  <c r="V852" i="39"/>
  <c r="V977" i="39"/>
  <c r="V980" i="39"/>
  <c r="V911" i="39"/>
  <c r="V1303" i="39"/>
  <c r="V879" i="39"/>
  <c r="V1301" i="39"/>
  <c r="V1545" i="39"/>
  <c r="V1463" i="39"/>
  <c r="V775" i="39"/>
  <c r="V1238" i="39"/>
  <c r="V876" i="39"/>
  <c r="V1015" i="39"/>
  <c r="V1069" i="39"/>
  <c r="V1417" i="39"/>
  <c r="V1239" i="39"/>
  <c r="V1047" i="39"/>
  <c r="V559" i="39"/>
  <c r="P20" i="6"/>
  <c r="G15" i="114"/>
  <c r="G44" i="114"/>
  <c r="Z714" i="115"/>
  <c r="H101" i="115"/>
  <c r="H220" i="115"/>
  <c r="H50" i="115"/>
  <c r="G123" i="115"/>
  <c r="H231" i="115"/>
  <c r="G215" i="115"/>
  <c r="G323" i="115"/>
  <c r="G339" i="115"/>
  <c r="H213" i="115"/>
  <c r="G211" i="115"/>
  <c r="H2" i="114"/>
  <c r="Q759" i="114"/>
  <c r="G676" i="114"/>
  <c r="G105" i="114"/>
  <c r="V754" i="39"/>
  <c r="V236" i="39"/>
  <c r="V1611" i="39"/>
  <c r="V1315" i="39"/>
  <c r="V1079" i="39"/>
  <c r="V1070" i="39"/>
  <c r="V1306" i="39"/>
  <c r="V1129" i="39"/>
  <c r="V854" i="39"/>
  <c r="V548" i="39"/>
  <c r="V1476" i="39"/>
  <c r="V273" i="39"/>
  <c r="V1600" i="39"/>
  <c r="V1073" i="39"/>
  <c r="V700" i="39"/>
  <c r="V936" i="39"/>
  <c r="V248" i="39"/>
  <c r="V1231" i="39"/>
  <c r="V1122" i="39"/>
  <c r="V920" i="39"/>
  <c r="V1078" i="39"/>
  <c r="V1074" i="39"/>
  <c r="V1251" i="39"/>
  <c r="V883" i="39"/>
  <c r="V619" i="39"/>
  <c r="V1556" i="39"/>
  <c r="V877" i="39"/>
  <c r="V675" i="39"/>
  <c r="V527" i="39"/>
  <c r="V531" i="39"/>
  <c r="V264" i="39"/>
  <c r="V455" i="39"/>
  <c r="V957" i="39"/>
  <c r="V866" i="39"/>
  <c r="V1608" i="39"/>
  <c r="V1558" i="39"/>
  <c r="V975" i="39"/>
  <c r="V720" i="39"/>
  <c r="V552" i="39"/>
  <c r="V740" i="39"/>
  <c r="V794" i="39"/>
  <c r="V689" i="39"/>
  <c r="V1350" i="39"/>
  <c r="V801" i="39"/>
  <c r="V1352" i="39"/>
  <c r="V853" i="39"/>
  <c r="V1071" i="39"/>
  <c r="V1208" i="39"/>
  <c r="V865" i="39"/>
  <c r="V1072" i="39"/>
  <c r="V880" i="39"/>
  <c r="V1016" i="39"/>
  <c r="V1305" i="39"/>
  <c r="V916" i="39"/>
  <c r="V1601" i="39"/>
  <c r="V341" i="39"/>
  <c r="V670" i="39"/>
  <c r="V442" i="39"/>
  <c r="V558" i="39"/>
  <c r="V1121" i="39"/>
  <c r="V560" i="39"/>
  <c r="V862" i="39"/>
  <c r="V910" i="39"/>
  <c r="V901" i="39"/>
  <c r="G713" i="114"/>
  <c r="G722" i="114"/>
  <c r="V1465" i="39"/>
  <c r="V1011" i="39"/>
  <c r="V1065" i="39"/>
  <c r="V368" i="39"/>
  <c r="V1262" i="39"/>
  <c r="V1308" i="39"/>
  <c r="V394" i="39"/>
  <c r="V960" i="39"/>
  <c r="V1541" i="39"/>
  <c r="V1604" i="39"/>
  <c r="V1233" i="39"/>
  <c r="V1380" i="39"/>
  <c r="V937" i="39"/>
  <c r="V138" i="39"/>
  <c r="V1077" i="39"/>
  <c r="V1606" i="39"/>
  <c r="V232" i="39"/>
  <c r="V919" i="39"/>
  <c r="V1354" i="39"/>
  <c r="V1157" i="39"/>
  <c r="V253" i="39"/>
  <c r="V671" i="39"/>
  <c r="V1448" i="39"/>
  <c r="V1482" i="39"/>
  <c r="V1152" i="39"/>
  <c r="V481" i="39"/>
  <c r="V1555" i="39"/>
  <c r="X23" i="6"/>
  <c r="V1012" i="39"/>
  <c r="V385" i="39"/>
  <c r="V672" i="39"/>
  <c r="V1502" i="39"/>
  <c r="V1181" i="39"/>
  <c r="V913" i="39"/>
  <c r="V1261" i="39"/>
  <c r="V882" i="39"/>
  <c r="V194" i="39"/>
  <c r="V277" i="39"/>
  <c r="V965" i="39"/>
  <c r="V1416" i="39"/>
  <c r="V1581" i="39"/>
  <c r="V686" i="39"/>
  <c r="V687" i="39"/>
  <c r="V399" i="39"/>
  <c r="V1501" i="39"/>
  <c r="V1009" i="39"/>
  <c r="V1013" i="39"/>
  <c r="V1259" i="39"/>
  <c r="V922" i="39"/>
  <c r="V1559" i="39"/>
  <c r="V1229" i="39"/>
  <c r="V1311" i="39"/>
  <c r="V1250" i="39"/>
  <c r="V1300" i="39"/>
  <c r="V1046" i="39"/>
  <c r="V575" i="39"/>
  <c r="V934" i="39"/>
  <c r="V1610" i="39"/>
  <c r="V1296" i="39"/>
  <c r="V915" i="39"/>
  <c r="V1049" i="39"/>
  <c r="V241" i="39"/>
  <c r="V1405" i="39"/>
  <c r="V844" i="39"/>
  <c r="V1413" i="39"/>
  <c r="V417" i="39"/>
  <c r="V1420" i="39"/>
  <c r="V228" i="39"/>
  <c r="V1456" i="39"/>
  <c r="V979" i="39"/>
  <c r="V962" i="39"/>
  <c r="V562" i="39"/>
  <c r="V1616" i="39"/>
  <c r="V1609" i="39"/>
  <c r="V974" i="39"/>
  <c r="V1302" i="39"/>
  <c r="V938" i="39"/>
  <c r="V1603" i="39"/>
  <c r="V921" i="39"/>
  <c r="V1557" i="39"/>
  <c r="V1607" i="39"/>
  <c r="V933" i="39"/>
  <c r="V659" i="39"/>
  <c r="G48" i="115"/>
  <c r="V1479" i="39"/>
  <c r="V634" i="39"/>
  <c r="V1388" i="39"/>
  <c r="V1034" i="39"/>
  <c r="V1342" i="39"/>
  <c r="G558" i="115"/>
  <c r="V1348" i="39"/>
  <c r="V1373" i="39"/>
  <c r="V909" i="39"/>
  <c r="V992" i="39"/>
  <c r="V1010" i="39"/>
  <c r="V1014" i="39"/>
  <c r="V1304" i="39"/>
  <c r="V535" i="39"/>
  <c r="V796" i="39"/>
  <c r="V539" i="39"/>
  <c r="G29" i="114"/>
  <c r="J492" i="114"/>
  <c r="H202" i="114"/>
  <c r="G57" i="114"/>
  <c r="G141" i="114"/>
  <c r="H36" i="114"/>
  <c r="S595" i="115"/>
  <c r="G521" i="115"/>
  <c r="G513" i="115"/>
  <c r="G162" i="115"/>
  <c r="G346" i="115"/>
  <c r="G173" i="115"/>
  <c r="H326" i="115"/>
  <c r="G75" i="115"/>
  <c r="G202" i="115"/>
  <c r="G436" i="115"/>
  <c r="H90" i="115"/>
  <c r="G311" i="115"/>
  <c r="G66" i="115"/>
  <c r="G329" i="115"/>
  <c r="G304" i="115"/>
  <c r="G36" i="115"/>
  <c r="H27" i="115"/>
  <c r="G19" i="115"/>
  <c r="G11" i="115"/>
  <c r="H86" i="115"/>
  <c r="G164" i="115"/>
  <c r="H318" i="115"/>
  <c r="G157" i="115"/>
  <c r="G33" i="115"/>
  <c r="G25" i="115"/>
  <c r="G17" i="115"/>
  <c r="U25" i="114"/>
  <c r="U45" i="114"/>
  <c r="Q140" i="32"/>
  <c r="S140" i="32" s="1"/>
  <c r="U46" i="114"/>
  <c r="U629" i="115"/>
  <c r="L110" i="32"/>
  <c r="J241" i="114"/>
  <c r="G700" i="115"/>
  <c r="J395" i="68"/>
  <c r="G1427" i="68"/>
  <c r="V270" i="39"/>
  <c r="V800" i="39"/>
  <c r="V989" i="39"/>
  <c r="V384" i="39"/>
  <c r="V589" i="39"/>
  <c r="J450" i="68"/>
  <c r="G304" i="114"/>
  <c r="G1513" i="68"/>
  <c r="H1514" i="68" s="1"/>
  <c r="G721" i="114"/>
  <c r="V1572" i="39"/>
  <c r="G817" i="68"/>
  <c r="V1234" i="39"/>
  <c r="G484" i="115"/>
  <c r="V618" i="39"/>
  <c r="V858" i="39"/>
  <c r="V793" i="39"/>
  <c r="V1599" i="39"/>
  <c r="V1423" i="39"/>
  <c r="V162" i="39"/>
  <c r="V677" i="39"/>
  <c r="V325" i="39"/>
  <c r="V315" i="39"/>
  <c r="V641" i="39"/>
  <c r="V1542" i="39"/>
  <c r="V68" i="39"/>
  <c r="G1077" i="68"/>
  <c r="V583" i="39"/>
  <c r="V413" i="39"/>
  <c r="G529" i="115"/>
  <c r="G303" i="68"/>
  <c r="V230" i="39"/>
  <c r="V723" i="39"/>
  <c r="V1204" i="39"/>
  <c r="V182" i="39"/>
  <c r="V383" i="39"/>
  <c r="V1496" i="39"/>
  <c r="V1506" i="39"/>
  <c r="V1532" i="39"/>
  <c r="T603" i="115"/>
  <c r="U603" i="115" s="1"/>
  <c r="O635" i="115"/>
  <c r="O603" i="115"/>
  <c r="P603" i="115" s="1"/>
  <c r="U29" i="114"/>
  <c r="V450" i="39"/>
  <c r="G994" i="68"/>
  <c r="V1392" i="39"/>
  <c r="V1452" i="39"/>
  <c r="V1035" i="39"/>
  <c r="V712" i="39"/>
  <c r="V1257" i="39"/>
  <c r="G467" i="115"/>
  <c r="G84" i="114"/>
  <c r="V207" i="39"/>
  <c r="V1595" i="39"/>
  <c r="AG20" i="6"/>
  <c r="V639" i="39"/>
  <c r="G896" i="68"/>
  <c r="V390" i="39"/>
  <c r="G340" i="114"/>
  <c r="V123" i="39"/>
  <c r="V152" i="39"/>
  <c r="H643" i="115"/>
  <c r="G76" i="114"/>
  <c r="G808" i="115"/>
  <c r="V223" i="39"/>
  <c r="V930" i="39"/>
  <c r="G80" i="114"/>
  <c r="V804" i="39"/>
  <c r="V235" i="39"/>
  <c r="V159" i="39"/>
  <c r="V1548" i="39"/>
  <c r="V555" i="39"/>
  <c r="O8" i="3"/>
  <c r="V1530" i="39"/>
  <c r="V875" i="39"/>
  <c r="V1185" i="39"/>
  <c r="V1481" i="39"/>
  <c r="V428" i="39"/>
  <c r="V328" i="39"/>
  <c r="V499" i="39"/>
  <c r="V1156" i="39"/>
  <c r="V1449" i="39"/>
  <c r="V1343" i="39"/>
  <c r="S108" i="32"/>
  <c r="S117" i="32"/>
  <c r="S165" i="32"/>
  <c r="S183" i="32"/>
  <c r="V1274" i="39"/>
  <c r="V946" i="39"/>
  <c r="V389" i="39"/>
  <c r="T8" i="9"/>
  <c r="G1863" i="68"/>
  <c r="V1574" i="39"/>
  <c r="V1067" i="39"/>
  <c r="V88" i="39"/>
  <c r="V142" i="39"/>
  <c r="V485" i="39"/>
  <c r="V1115" i="39"/>
  <c r="V477" i="39"/>
  <c r="V667" i="39"/>
  <c r="G1109" i="68"/>
  <c r="V114" i="39"/>
  <c r="V579" i="39"/>
  <c r="G99" i="114"/>
  <c r="V990" i="39"/>
  <c r="S172" i="32"/>
  <c r="V459" i="39"/>
  <c r="V657" i="39"/>
  <c r="V1210" i="39"/>
  <c r="V1140" i="39"/>
  <c r="G316" i="115"/>
  <c r="G957" i="68"/>
  <c r="V697" i="39"/>
  <c r="V742" i="39"/>
  <c r="V157" i="39"/>
  <c r="V715" i="39"/>
  <c r="V971" i="39"/>
  <c r="V767" i="39"/>
  <c r="V97" i="39"/>
  <c r="G712" i="68"/>
  <c r="V647" i="39"/>
  <c r="V1427" i="39"/>
  <c r="V747" i="39"/>
  <c r="V912" i="39"/>
  <c r="V826" i="39"/>
  <c r="V970" i="39"/>
  <c r="S100" i="32"/>
  <c r="S103" i="32"/>
  <c r="S106" i="32"/>
  <c r="S164" i="32"/>
  <c r="V190" i="39"/>
  <c r="V848" i="39"/>
  <c r="V868" i="39"/>
  <c r="V1526" i="39"/>
  <c r="V460" i="39"/>
  <c r="V988" i="39"/>
  <c r="G265" i="68"/>
  <c r="V438" i="39"/>
  <c r="V432" i="39"/>
  <c r="V1101" i="39"/>
  <c r="V382" i="39"/>
  <c r="G604" i="68"/>
  <c r="V830" i="39"/>
  <c r="G1767" i="68"/>
  <c r="V818" i="39"/>
  <c r="V1495" i="39"/>
  <c r="V1258" i="39"/>
  <c r="V845" i="39"/>
  <c r="V869" i="39"/>
  <c r="V204" i="39"/>
  <c r="V945" i="39"/>
  <c r="S101" i="32"/>
  <c r="S104" i="32"/>
  <c r="S189" i="32"/>
  <c r="Q365" i="68"/>
  <c r="R614" i="115"/>
  <c r="G896" i="115"/>
  <c r="G1924" i="68"/>
  <c r="H1925" i="68" s="1"/>
  <c r="V1395" i="39"/>
  <c r="V1272" i="39"/>
  <c r="V505" i="39"/>
  <c r="S23" i="32"/>
  <c r="S16" i="32"/>
  <c r="G91" i="68"/>
  <c r="V1454" i="39"/>
  <c r="V1533" i="39"/>
  <c r="V1563" i="39"/>
  <c r="V907" i="39"/>
  <c r="V197" i="39"/>
  <c r="V1062" i="39"/>
  <c r="V176" i="39"/>
  <c r="V676" i="39"/>
  <c r="V903" i="39"/>
  <c r="V1153" i="39"/>
  <c r="V1192" i="39"/>
  <c r="V557" i="39"/>
  <c r="V203" i="39"/>
  <c r="V186" i="39"/>
  <c r="V1227" i="39"/>
  <c r="V226" i="39"/>
  <c r="V346" i="39"/>
  <c r="S20" i="32"/>
  <c r="H75" i="114"/>
  <c r="G530" i="115"/>
  <c r="V1520" i="39"/>
  <c r="V1189" i="39"/>
  <c r="V158" i="39"/>
  <c r="V1419" i="39"/>
  <c r="V215" i="39"/>
  <c r="D136" i="6"/>
  <c r="S175" i="32"/>
  <c r="L6" i="9"/>
  <c r="V1195" i="39"/>
  <c r="V928" i="39"/>
  <c r="V995" i="39"/>
  <c r="V134" i="39"/>
  <c r="V1509" i="39"/>
  <c r="V510" i="39"/>
  <c r="V760" i="39"/>
  <c r="V898" i="39"/>
  <c r="V615" i="39"/>
  <c r="V169" i="39"/>
  <c r="V1575" i="39"/>
  <c r="V851" i="39"/>
  <c r="V820" i="39"/>
  <c r="V1183" i="39"/>
  <c r="V899" i="39"/>
  <c r="G1551" i="68"/>
  <c r="G962" i="115"/>
  <c r="V1106" i="39"/>
  <c r="G250" i="68"/>
  <c r="G675" i="68"/>
  <c r="V753" i="39"/>
  <c r="G417" i="115"/>
  <c r="V1385" i="39"/>
  <c r="V725" i="39"/>
  <c r="V294" i="39"/>
  <c r="V1203" i="39"/>
  <c r="V824" i="39"/>
  <c r="V573" i="39"/>
  <c r="V797" i="39"/>
  <c r="V1493" i="39"/>
  <c r="V301" i="39"/>
  <c r="V71" i="39"/>
  <c r="G303" i="114"/>
  <c r="V1430" i="39"/>
  <c r="V1224" i="39"/>
  <c r="H645" i="115"/>
  <c r="J603" i="115"/>
  <c r="V624" i="115"/>
  <c r="G340" i="115"/>
  <c r="G1635" i="68"/>
  <c r="V1060" i="39"/>
  <c r="V146" i="39"/>
  <c r="V419" i="39"/>
  <c r="V551" i="39"/>
  <c r="V224" i="39"/>
  <c r="V1590" i="39"/>
  <c r="V602" i="39"/>
  <c r="V247" i="39"/>
  <c r="G662" i="114"/>
  <c r="V642" i="39"/>
  <c r="V231" i="39"/>
  <c r="V272" i="39"/>
  <c r="G777" i="68"/>
  <c r="H778" i="68" s="1"/>
  <c r="V1036" i="39"/>
  <c r="G763" i="68"/>
  <c r="H764" i="68" s="1"/>
  <c r="H1681" i="68"/>
  <c r="V111" i="39"/>
  <c r="V93" i="39"/>
  <c r="V1436" i="39"/>
  <c r="G1615" i="68"/>
  <c r="V729" i="39"/>
  <c r="V896" i="39"/>
  <c r="V74" i="39"/>
  <c r="V724" i="39"/>
  <c r="V251" i="39"/>
  <c r="V706" i="39"/>
  <c r="V437" i="39"/>
  <c r="V470" i="39"/>
  <c r="V1544" i="39"/>
  <c r="V1007" i="39"/>
  <c r="G665" i="68"/>
  <c r="V1256" i="39"/>
  <c r="V1453" i="39"/>
  <c r="V254" i="39"/>
  <c r="V1137" i="39"/>
  <c r="V306" i="39"/>
  <c r="V217" i="39"/>
  <c r="V1588" i="39"/>
  <c r="V465" i="39"/>
  <c r="V1578" i="39"/>
  <c r="V1118" i="39"/>
  <c r="V1450" i="39"/>
  <c r="V996" i="39"/>
  <c r="V1483" i="39"/>
  <c r="V1504" i="39"/>
  <c r="V626" i="39"/>
  <c r="V423" i="39"/>
  <c r="V859" i="39"/>
  <c r="V736" i="39"/>
  <c r="V345" i="39"/>
  <c r="V682" i="39"/>
  <c r="V263" i="39"/>
  <c r="V1222" i="39"/>
  <c r="V121" i="39"/>
  <c r="G336" i="114"/>
  <c r="H337" i="114" s="1"/>
  <c r="V1375" i="39"/>
  <c r="V1528" i="39"/>
  <c r="V1325" i="39"/>
  <c r="V1026" i="39"/>
  <c r="V196" i="39"/>
  <c r="V929" i="39"/>
  <c r="V1100" i="39"/>
  <c r="G443" i="68"/>
  <c r="V1159" i="39"/>
  <c r="V1353" i="39"/>
  <c r="V1440" i="39"/>
  <c r="G661" i="68"/>
  <c r="V803" i="39"/>
  <c r="J381" i="68"/>
  <c r="G993" i="115"/>
  <c r="G1768" i="68"/>
  <c r="V1490" i="39"/>
  <c r="V105" i="39"/>
  <c r="G571" i="68"/>
  <c r="V201" i="39"/>
  <c r="V905" i="39"/>
  <c r="V444" i="39"/>
  <c r="V473" i="39"/>
  <c r="V1550" i="39"/>
  <c r="V1170" i="39"/>
  <c r="G1868" i="68"/>
  <c r="G768" i="68"/>
  <c r="V732" i="39"/>
  <c r="V311" i="39"/>
  <c r="V1337" i="39"/>
  <c r="V326" i="39"/>
  <c r="V193" i="39"/>
  <c r="G716" i="115"/>
  <c r="V1455" i="39"/>
  <c r="V391" i="39"/>
  <c r="V1435" i="39"/>
  <c r="V76" i="39"/>
  <c r="V660" i="39"/>
  <c r="V1135" i="39"/>
  <c r="V154" i="39"/>
  <c r="V414" i="39"/>
  <c r="V283" i="39"/>
  <c r="V187" i="39"/>
  <c r="V493" i="39"/>
  <c r="V1338" i="39"/>
  <c r="G918" i="68"/>
  <c r="H919" i="68" s="1"/>
  <c r="G1113" i="68"/>
  <c r="H1114" i="68" s="1"/>
  <c r="H467" i="115"/>
  <c r="V285" i="39"/>
  <c r="V307" i="39"/>
  <c r="V745" i="39"/>
  <c r="V1372" i="39"/>
  <c r="V508" i="39"/>
  <c r="V163" i="39"/>
  <c r="V1596" i="39"/>
  <c r="V1120" i="39"/>
  <c r="V1225" i="39"/>
  <c r="G533" i="114"/>
  <c r="G525" i="114"/>
  <c r="V240" i="39"/>
  <c r="V599" i="39"/>
  <c r="V1549" i="39"/>
  <c r="V280" i="39"/>
  <c r="V468" i="39"/>
  <c r="G335" i="114"/>
  <c r="V1132" i="39"/>
  <c r="V407" i="39"/>
  <c r="G950" i="115"/>
  <c r="V1200" i="39"/>
  <c r="V262" i="39"/>
  <c r="V1198" i="39"/>
  <c r="V213" i="39"/>
  <c r="V782" i="39"/>
  <c r="V707" i="39"/>
  <c r="V991" i="39"/>
  <c r="V1001" i="39"/>
  <c r="V1150" i="39"/>
  <c r="V925" i="39"/>
  <c r="V1368" i="39"/>
  <c r="G603" i="114"/>
  <c r="V536" i="39"/>
  <c r="V743" i="39"/>
  <c r="V683" i="39"/>
  <c r="V290" i="39"/>
  <c r="V265" i="39"/>
  <c r="V1487" i="39"/>
  <c r="V1582" i="39"/>
  <c r="G486" i="114"/>
  <c r="V614" i="39"/>
  <c r="V1043" i="39"/>
  <c r="G216" i="114"/>
  <c r="V380" i="39"/>
  <c r="V1028" i="39"/>
  <c r="V772" i="39"/>
  <c r="V520" i="39"/>
  <c r="V908" i="39"/>
  <c r="V343" i="39"/>
  <c r="V1437" i="39"/>
  <c r="V1221" i="39"/>
  <c r="V1160" i="39"/>
  <c r="V1055" i="39"/>
  <c r="V984" i="39"/>
  <c r="V1052" i="39"/>
  <c r="V252" i="39"/>
  <c r="V1507" i="39"/>
  <c r="V143" i="39"/>
  <c r="V397" i="39"/>
  <c r="V831" i="39"/>
  <c r="G355" i="114"/>
  <c r="G1259" i="68"/>
  <c r="H1260" i="68" s="1"/>
  <c r="V1045" i="39"/>
  <c r="G270" i="115"/>
  <c r="S34" i="32"/>
  <c r="G331" i="114"/>
  <c r="H78" i="114"/>
  <c r="H647" i="115"/>
  <c r="G328" i="115"/>
  <c r="G898" i="68"/>
  <c r="G92" i="114"/>
  <c r="AG25" i="6"/>
  <c r="S38" i="32"/>
  <c r="S35" i="32"/>
  <c r="G482" i="68"/>
  <c r="H657" i="114"/>
  <c r="Q139" i="32"/>
  <c r="S139" i="32" s="1"/>
  <c r="S33" i="32"/>
  <c r="R148" i="32"/>
  <c r="K148" i="32"/>
  <c r="S39" i="32"/>
  <c r="S31" i="32"/>
  <c r="S36" i="32"/>
  <c r="H1077" i="68"/>
  <c r="J365" i="68"/>
  <c r="P619" i="115"/>
  <c r="U627" i="115"/>
  <c r="M647" i="68"/>
  <c r="V647" i="68" s="1"/>
  <c r="J1450" i="68"/>
  <c r="J1452" i="68" s="1"/>
  <c r="T595" i="115"/>
  <c r="U595" i="115" s="1"/>
  <c r="J593" i="115"/>
  <c r="J595" i="115"/>
  <c r="R595" i="115"/>
  <c r="R593" i="115"/>
  <c r="M635" i="115"/>
  <c r="V635" i="115" s="1"/>
  <c r="V619" i="115"/>
  <c r="T633" i="115"/>
  <c r="U633" i="115" s="1"/>
  <c r="U624" i="115"/>
  <c r="R432" i="68"/>
  <c r="R438" i="68" s="1"/>
  <c r="O432" i="68"/>
  <c r="O438" i="68" s="1"/>
  <c r="X544" i="115"/>
  <c r="U131" i="68"/>
  <c r="Q432" i="68"/>
  <c r="Q438" i="68" s="1"/>
  <c r="M410" i="68"/>
  <c r="V410" i="68" s="1"/>
  <c r="J221" i="68"/>
  <c r="H1551" i="68"/>
  <c r="G1496" i="68"/>
  <c r="V1579" i="39"/>
  <c r="V674" i="39"/>
  <c r="V1589" i="39"/>
  <c r="V530" i="39"/>
  <c r="V116" i="39"/>
  <c r="G702" i="114"/>
  <c r="V746" i="39"/>
  <c r="V684" i="39"/>
  <c r="V1492" i="39"/>
  <c r="H304" i="114"/>
  <c r="G743" i="114"/>
  <c r="G277" i="115"/>
  <c r="G180" i="68"/>
  <c r="V791" i="39"/>
  <c r="V501" i="39"/>
  <c r="V354" i="39"/>
  <c r="V1283" i="39"/>
  <c r="V500" i="39"/>
  <c r="V1391" i="39"/>
  <c r="V451" i="39"/>
  <c r="V244" i="39"/>
  <c r="V84" i="39"/>
  <c r="V420" i="39"/>
  <c r="V795" i="39"/>
  <c r="V1431" i="39"/>
  <c r="V502" i="39"/>
  <c r="G306" i="114"/>
  <c r="V388" i="39"/>
  <c r="V482" i="39"/>
  <c r="V316" i="39"/>
  <c r="G1244" i="68"/>
  <c r="V1418" i="39"/>
  <c r="V956" i="39"/>
  <c r="G1670" i="68"/>
  <c r="G475" i="68"/>
  <c r="V1061" i="39"/>
  <c r="V359" i="39"/>
  <c r="V556" i="39"/>
  <c r="V227" i="39"/>
  <c r="V362" i="39"/>
  <c r="V233" i="39"/>
  <c r="V640" i="39"/>
  <c r="V711" i="39"/>
  <c r="V441" i="39"/>
  <c r="V86" i="39"/>
  <c r="V628" i="39"/>
  <c r="V1202" i="39"/>
  <c r="V1196" i="39"/>
  <c r="V112" i="39"/>
  <c r="V1521" i="39"/>
  <c r="V1517" i="39"/>
  <c r="V220" i="39"/>
  <c r="V954" i="39"/>
  <c r="V174" i="39"/>
  <c r="G773" i="68"/>
  <c r="G719" i="115"/>
  <c r="H270" i="115"/>
  <c r="G227" i="115"/>
  <c r="G565" i="68"/>
  <c r="V1475" i="39"/>
  <c r="V819" i="39"/>
  <c r="V150" i="39"/>
  <c r="V1510" i="39"/>
  <c r="V137" i="39"/>
  <c r="V1127" i="39"/>
  <c r="V643" i="39"/>
  <c r="V633" i="39"/>
  <c r="V678" i="39"/>
  <c r="V1194" i="39"/>
  <c r="V629" i="39"/>
  <c r="V503" i="39"/>
  <c r="V1335" i="39"/>
  <c r="V1030" i="39"/>
  <c r="V1480" i="39"/>
  <c r="V524" i="39"/>
  <c r="V718" i="39"/>
  <c r="V1269" i="39"/>
  <c r="V1119" i="39"/>
  <c r="V348" i="39"/>
  <c r="V547" i="39"/>
  <c r="V320" i="39"/>
  <c r="V1442" i="39"/>
  <c r="V570" i="39"/>
  <c r="V175" i="39"/>
  <c r="V395" i="39"/>
  <c r="V467" i="39"/>
  <c r="G707" i="114"/>
  <c r="V1537" i="39"/>
  <c r="V1201" i="39"/>
  <c r="G342" i="114"/>
  <c r="V738" i="39"/>
  <c r="V1197" i="39"/>
  <c r="G959" i="115"/>
  <c r="V1199" i="39"/>
  <c r="V998" i="39"/>
  <c r="V651" i="39"/>
  <c r="V1288" i="39"/>
  <c r="V1484" i="39"/>
  <c r="V430" i="39"/>
  <c r="V1223" i="39"/>
  <c r="G696" i="68"/>
  <c r="V1178" i="39"/>
  <c r="V1529" i="39"/>
  <c r="G769" i="68"/>
  <c r="V1278" i="39"/>
  <c r="V1273" i="39"/>
  <c r="G218" i="115"/>
  <c r="H993" i="115"/>
  <c r="H716" i="115"/>
  <c r="G1002" i="68"/>
  <c r="G425" i="114"/>
  <c r="V1277" i="39"/>
  <c r="G746" i="114"/>
  <c r="V534" i="39"/>
  <c r="V504" i="39"/>
  <c r="V758" i="39"/>
  <c r="V1226" i="39"/>
  <c r="V816" i="39"/>
  <c r="V1425" i="39"/>
  <c r="V1429" i="39"/>
  <c r="V839" i="39"/>
  <c r="V1386" i="39"/>
  <c r="V768" i="39"/>
  <c r="V165" i="39"/>
  <c r="V790" i="39"/>
  <c r="V474" i="39"/>
  <c r="V713" i="39"/>
  <c r="V1126" i="39"/>
  <c r="V393" i="39"/>
  <c r="V313" i="39"/>
  <c r="V127" i="39"/>
  <c r="V1523" i="39"/>
  <c r="V607" i="39"/>
  <c r="V565" i="39"/>
  <c r="V192" i="39"/>
  <c r="V355" i="39"/>
  <c r="V1488" i="39"/>
  <c r="V107" i="39"/>
  <c r="V1390" i="39"/>
  <c r="V543" i="39"/>
  <c r="V1114" i="39"/>
  <c r="V202" i="39"/>
  <c r="V580" i="39"/>
  <c r="V1297" i="39"/>
  <c r="V685" i="39"/>
  <c r="V453" i="39"/>
  <c r="V291" i="39"/>
  <c r="V1112" i="39"/>
  <c r="V763" i="39"/>
  <c r="V1553" i="39"/>
  <c r="V788" i="39"/>
  <c r="V787" i="39"/>
  <c r="V77" i="39"/>
  <c r="G1909" i="68"/>
  <c r="G760" i="68"/>
  <c r="V1369" i="39"/>
  <c r="V1328" i="39"/>
  <c r="V1145" i="39"/>
  <c r="V1275" i="39"/>
  <c r="H700" i="115"/>
  <c r="H687" i="114"/>
  <c r="G1683" i="68"/>
  <c r="H1684" i="68" s="1"/>
  <c r="G681" i="115"/>
  <c r="G1492" i="68"/>
  <c r="G514" i="114"/>
  <c r="G489" i="115"/>
  <c r="V751" i="39"/>
  <c r="V612" i="39"/>
  <c r="V603" i="39"/>
  <c r="V783" i="39"/>
  <c r="V1248" i="39"/>
  <c r="V260" i="39"/>
  <c r="V95" i="39"/>
  <c r="V704" i="39"/>
  <c r="V1247" i="39"/>
  <c r="G710" i="114"/>
  <c r="V600" i="39"/>
  <c r="V206" i="39"/>
  <c r="V85" i="39"/>
  <c r="V1519" i="39"/>
  <c r="V537" i="39"/>
  <c r="V178" i="39"/>
  <c r="V1130" i="39"/>
  <c r="V1347" i="39"/>
  <c r="V829" i="39"/>
  <c r="V1236" i="39"/>
  <c r="V335" i="39"/>
  <c r="V1583" i="39"/>
  <c r="V184" i="39"/>
  <c r="G571" i="115"/>
  <c r="V1441" i="39"/>
  <c r="V590" i="39"/>
  <c r="V774" i="39"/>
  <c r="V329" i="39"/>
  <c r="V456" i="39"/>
  <c r="V448" i="39"/>
  <c r="V695" i="39"/>
  <c r="V489" i="39"/>
  <c r="V1527" i="39"/>
  <c r="V376" i="39"/>
  <c r="V650" i="39"/>
  <c r="V518" i="39"/>
  <c r="V427" i="39"/>
  <c r="V1162" i="39"/>
  <c r="G435" i="68"/>
  <c r="G1461" i="68"/>
  <c r="V1158" i="39"/>
  <c r="G437" i="68"/>
  <c r="V582" i="39"/>
  <c r="V953" i="39"/>
  <c r="V1358" i="39"/>
  <c r="G1553" i="68"/>
  <c r="G441" i="114"/>
  <c r="G74" i="115"/>
  <c r="V1535" i="39"/>
  <c r="V259" i="39"/>
  <c r="G427" i="114"/>
  <c r="V82" i="39"/>
  <c r="G1033" i="115"/>
  <c r="G1917" i="68"/>
  <c r="V1163" i="39"/>
  <c r="G441" i="68"/>
  <c r="S102" i="32"/>
  <c r="S128" i="32"/>
  <c r="S130" i="32"/>
  <c r="S163" i="32"/>
  <c r="M177" i="32"/>
  <c r="S88" i="32"/>
  <c r="S145" i="32"/>
  <c r="R155" i="32"/>
  <c r="Q138" i="32"/>
  <c r="S138" i="32" s="1"/>
  <c r="Z138" i="32" s="1"/>
  <c r="AG21" i="6"/>
  <c r="S93" i="32"/>
  <c r="Q141" i="32"/>
  <c r="S141" i="32" s="1"/>
  <c r="M138" i="32"/>
  <c r="M148" i="32" s="1"/>
  <c r="S9" i="32"/>
  <c r="S32" i="32"/>
  <c r="H482" i="68"/>
  <c r="H81" i="114"/>
  <c r="H677" i="114"/>
  <c r="D132" i="6"/>
  <c r="S147" i="32"/>
  <c r="S144" i="32"/>
  <c r="S13" i="32"/>
  <c r="G74" i="114"/>
  <c r="D138" i="6"/>
  <c r="S86" i="32"/>
  <c r="S12" i="32"/>
  <c r="G90" i="68"/>
  <c r="P631" i="115"/>
  <c r="R1211" i="68"/>
  <c r="J209" i="114"/>
  <c r="J432" i="68"/>
  <c r="J438" i="68" s="1"/>
  <c r="M411" i="68"/>
  <c r="V411" i="68" s="1"/>
  <c r="P1731" i="68"/>
  <c r="T381" i="68"/>
  <c r="Y381" i="68" s="1"/>
  <c r="Z381" i="68" s="1"/>
  <c r="M1644" i="68"/>
  <c r="V1644" i="68" s="1"/>
  <c r="J622" i="115"/>
  <c r="R622" i="115"/>
  <c r="M593" i="115"/>
  <c r="V593" i="115" s="1"/>
  <c r="T635" i="115"/>
  <c r="U30" i="114"/>
  <c r="P822" i="115"/>
  <c r="X399" i="115"/>
  <c r="O822" i="115"/>
  <c r="P1568" i="68"/>
  <c r="J488" i="114"/>
  <c r="J357" i="114"/>
  <c r="J393" i="68"/>
  <c r="O1681" i="68"/>
  <c r="O221" i="68"/>
  <c r="T411" i="68"/>
  <c r="Y411" i="68" s="1"/>
  <c r="Z411" i="68" s="1"/>
  <c r="AB411" i="68" s="1"/>
  <c r="R395" i="68"/>
  <c r="X545" i="115"/>
  <c r="O1644" i="68"/>
  <c r="M400" i="68"/>
  <c r="V400" i="68" s="1"/>
  <c r="J265" i="68"/>
  <c r="X387" i="115"/>
  <c r="O400" i="68"/>
  <c r="M260" i="68"/>
  <c r="O395" i="68"/>
  <c r="O666" i="68"/>
  <c r="T413" i="68"/>
  <c r="Y413" i="68" s="1"/>
  <c r="Z413" i="68" s="1"/>
  <c r="AB413" i="68" s="1"/>
  <c r="X573" i="115"/>
  <c r="S1904" i="68"/>
  <c r="S1907" i="68" s="1"/>
  <c r="Q1681" i="68"/>
  <c r="J1394" i="68"/>
  <c r="O1211" i="68"/>
  <c r="O1568" i="68"/>
  <c r="P1029" i="115"/>
  <c r="P601" i="114"/>
  <c r="M248" i="68"/>
  <c r="V248" i="68" s="1"/>
  <c r="R267" i="68"/>
  <c r="X139" i="115"/>
  <c r="T251" i="68"/>
  <c r="Y251" i="68" s="1"/>
  <c r="Z251" i="68" s="1"/>
  <c r="AB251" i="68" s="1"/>
  <c r="P1734" i="68"/>
  <c r="Q267" i="68"/>
  <c r="T1211" i="68"/>
  <c r="U1211" i="68" s="1"/>
  <c r="J262" i="68"/>
  <c r="R401" i="68"/>
  <c r="R365" i="68"/>
  <c r="T401" i="68"/>
  <c r="Y401" i="68" s="1"/>
  <c r="Z401" i="68" s="1"/>
  <c r="AB401" i="68" s="1"/>
  <c r="T601" i="114"/>
  <c r="U601" i="114" s="1"/>
  <c r="T260" i="68"/>
  <c r="Y260" i="68" s="1"/>
  <c r="Z260" i="68" s="1"/>
  <c r="AB260" i="68" s="1"/>
  <c r="T271" i="68"/>
  <c r="T675" i="68"/>
  <c r="Y675" i="68" s="1"/>
  <c r="Z675" i="68" s="1"/>
  <c r="AB675" i="68" s="1"/>
  <c r="S365" i="68"/>
  <c r="R1734" i="68"/>
  <c r="O1904" i="68"/>
  <c r="O1907" i="68" s="1"/>
  <c r="T395" i="68"/>
  <c r="Y395" i="68" s="1"/>
  <c r="Z395" i="68" s="1"/>
  <c r="AB395" i="68" s="1"/>
  <c r="S631" i="114"/>
  <c r="T365" i="68"/>
  <c r="T1904" i="68"/>
  <c r="T1907" i="68" s="1"/>
  <c r="P493" i="68"/>
  <c r="X579" i="115"/>
  <c r="T267" i="68"/>
  <c r="Y267" i="68" s="1"/>
  <c r="Z267" i="68" s="1"/>
  <c r="AB267" i="68" s="1"/>
  <c r="Q1734" i="68"/>
  <c r="X540" i="115"/>
  <c r="T238" i="114"/>
  <c r="U238" i="114" s="1"/>
  <c r="T680" i="68"/>
  <c r="Y680" i="68" s="1"/>
  <c r="Z680" i="68" s="1"/>
  <c r="AB680" i="68" s="1"/>
  <c r="T221" i="68"/>
  <c r="T1734" i="68"/>
  <c r="Q401" i="68"/>
  <c r="Q631" i="114"/>
  <c r="Q898" i="115"/>
  <c r="J541" i="68"/>
  <c r="J898" i="115"/>
  <c r="V702" i="39"/>
  <c r="G212" i="114"/>
  <c r="V756" i="39"/>
  <c r="V807" i="39"/>
  <c r="V370" i="39"/>
  <c r="V1020" i="39"/>
  <c r="V1564" i="39"/>
  <c r="V1174" i="39"/>
  <c r="V952" i="39"/>
  <c r="V104" i="39"/>
  <c r="V904" i="39"/>
  <c r="V1471" i="39"/>
  <c r="V1381" i="39"/>
  <c r="V469" i="39"/>
  <c r="G213" i="114"/>
  <c r="V1053" i="39"/>
  <c r="V1329" i="39"/>
  <c r="G761" i="68"/>
  <c r="V406" i="39"/>
  <c r="V759" i="39"/>
  <c r="V374" i="39"/>
  <c r="G334" i="114"/>
  <c r="V1508" i="39"/>
  <c r="V855" i="39"/>
  <c r="V1363" i="39"/>
  <c r="V257" i="39"/>
  <c r="V927" i="39"/>
  <c r="V1366" i="39"/>
  <c r="V318" i="39"/>
  <c r="V268" i="39"/>
  <c r="V199" i="39"/>
  <c r="V1038" i="39"/>
  <c r="V1585" i="39"/>
  <c r="G679" i="115"/>
  <c r="V1346" i="39"/>
  <c r="V426" i="39"/>
  <c r="V271" i="39"/>
  <c r="V1536" i="39"/>
  <c r="V486" i="39"/>
  <c r="V1428" i="39"/>
  <c r="V593" i="39"/>
  <c r="V698" i="39"/>
  <c r="G1560" i="68"/>
  <c r="G1885" i="68"/>
  <c r="H1886" i="68" s="1"/>
  <c r="G1662" i="68"/>
  <c r="V550" i="39"/>
  <c r="V452" i="39"/>
  <c r="V421" i="39"/>
  <c r="V850" i="39"/>
  <c r="V1291" i="39"/>
  <c r="G97" i="114"/>
  <c r="V1096" i="39"/>
  <c r="V1584" i="39"/>
  <c r="V867" i="39"/>
  <c r="V1105" i="39"/>
  <c r="V1371" i="39"/>
  <c r="V661" i="39"/>
  <c r="V440" i="39"/>
  <c r="V762" i="39"/>
  <c r="V412" i="39"/>
  <c r="G884" i="115"/>
  <c r="V299" i="39"/>
  <c r="G291" i="115"/>
  <c r="V1334" i="39"/>
  <c r="V538" i="39"/>
  <c r="G516" i="114"/>
  <c r="V144" i="39"/>
  <c r="V219" i="39"/>
  <c r="V1333" i="39"/>
  <c r="V769" i="39"/>
  <c r="V1214" i="39"/>
  <c r="V379" i="39"/>
  <c r="V798" i="39"/>
  <c r="V267" i="39"/>
  <c r="V1451" i="39"/>
  <c r="G341" i="115"/>
  <c r="V1148" i="39"/>
  <c r="V786" i="39"/>
  <c r="V1489" i="39"/>
  <c r="V135" i="39"/>
  <c r="V777" i="39"/>
  <c r="V652" i="39"/>
  <c r="V1415" i="39"/>
  <c r="V1165" i="39"/>
  <c r="G1859" i="68"/>
  <c r="V1370" i="39"/>
  <c r="G774" i="68"/>
  <c r="V568" i="39"/>
  <c r="V1367" i="39"/>
  <c r="V969" i="39"/>
  <c r="G943" i="68"/>
  <c r="H943" i="68"/>
  <c r="G204" i="68"/>
  <c r="G1634" i="68"/>
  <c r="V584" i="39"/>
  <c r="V324" i="39"/>
  <c r="V836" i="39"/>
  <c r="V669" i="39"/>
  <c r="V78" i="39"/>
  <c r="V1387" i="39"/>
  <c r="V549" i="39"/>
  <c r="V1205" i="39"/>
  <c r="V443" i="39"/>
  <c r="V1032" i="39"/>
  <c r="V198" i="39"/>
  <c r="V766" i="39"/>
  <c r="V608" i="39"/>
  <c r="V402" i="39"/>
  <c r="G360" i="115"/>
  <c r="V378" i="39"/>
  <c r="V653" i="39"/>
  <c r="G697" i="114"/>
  <c r="V1058" i="39"/>
  <c r="V526" i="39"/>
  <c r="V1033" i="39"/>
  <c r="V542" i="39"/>
  <c r="V1538" i="39"/>
  <c r="V293" i="39"/>
  <c r="V519" i="39"/>
  <c r="V1113" i="39"/>
  <c r="V1107" i="39"/>
  <c r="V784" i="39"/>
  <c r="V122" i="39"/>
  <c r="V330" i="39"/>
  <c r="V1554" i="39"/>
  <c r="V789" i="39"/>
  <c r="V298" i="39"/>
  <c r="V1125" i="39"/>
  <c r="V985" i="39"/>
  <c r="V1021" i="39"/>
  <c r="V403" i="39"/>
  <c r="G492" i="68"/>
  <c r="H493" i="68" s="1"/>
  <c r="V1237" i="39"/>
  <c r="V1008" i="39"/>
  <c r="P590" i="115"/>
  <c r="P605" i="115"/>
  <c r="P612" i="115" s="1"/>
  <c r="P627" i="115"/>
  <c r="J32" i="114"/>
  <c r="T32" i="114"/>
  <c r="Q32" i="114"/>
  <c r="S32" i="114"/>
  <c r="U56" i="114"/>
  <c r="O381" i="68"/>
  <c r="G1027" i="68"/>
  <c r="V91" i="39"/>
  <c r="V1209" i="39"/>
  <c r="V282" i="39"/>
  <c r="V648" i="39"/>
  <c r="V363" i="39"/>
  <c r="V840" i="39"/>
  <c r="V189" i="39"/>
  <c r="G106" i="114"/>
  <c r="V696" i="39"/>
  <c r="V478" i="39"/>
  <c r="V216" i="39"/>
  <c r="V494" i="39"/>
  <c r="V1432" i="39"/>
  <c r="V781" i="39"/>
  <c r="V1460" i="39"/>
  <c r="V1050" i="39"/>
  <c r="V1187" i="39"/>
  <c r="V1172" i="39"/>
  <c r="V1384" i="39"/>
  <c r="V1515" i="39"/>
  <c r="G767" i="68"/>
  <c r="V1404" i="39"/>
  <c r="V1161" i="39"/>
  <c r="V586" i="39"/>
  <c r="V673" i="39"/>
  <c r="V1217" i="39"/>
  <c r="V310" i="39"/>
  <c r="G487" i="114"/>
  <c r="V606" i="39"/>
  <c r="V993" i="39"/>
  <c r="V523" i="39"/>
  <c r="V926" i="39"/>
  <c r="V564" i="39"/>
  <c r="V1219" i="39"/>
  <c r="V1108" i="39"/>
  <c r="V861" i="39"/>
  <c r="H644" i="115"/>
  <c r="G1914" i="68"/>
  <c r="H1915" i="68" s="1"/>
  <c r="G1392" i="68"/>
  <c r="V744" i="39"/>
  <c r="V239" i="39"/>
  <c r="V1567" i="39"/>
  <c r="V332" i="39"/>
  <c r="V1505" i="39"/>
  <c r="V185" i="39"/>
  <c r="V1546" i="39"/>
  <c r="V1377" i="39"/>
  <c r="V350" i="39"/>
  <c r="V1570" i="39"/>
  <c r="V156" i="39"/>
  <c r="V366" i="39"/>
  <c r="V498" i="39"/>
  <c r="V680" i="39"/>
  <c r="V811" i="39"/>
  <c r="G844" i="115"/>
  <c r="V1534" i="39"/>
  <c r="V166" i="39"/>
  <c r="V289" i="39"/>
  <c r="V1109" i="39"/>
  <c r="V81" i="39"/>
  <c r="V149" i="39"/>
  <c r="V302" i="39"/>
  <c r="V125" i="39"/>
  <c r="V191" i="39"/>
  <c r="G109" i="114"/>
  <c r="V764" i="39"/>
  <c r="V750" i="39"/>
  <c r="V480" i="39"/>
  <c r="V245" i="39"/>
  <c r="V572" i="39"/>
  <c r="V1466" i="39"/>
  <c r="V726" i="39"/>
  <c r="V847" i="39"/>
  <c r="V1552" i="39"/>
  <c r="V188" i="39"/>
  <c r="V944" i="39"/>
  <c r="G393" i="68"/>
  <c r="G757" i="68"/>
  <c r="V1332" i="39"/>
  <c r="V1401" i="39"/>
  <c r="V958" i="39"/>
  <c r="V1446" i="39"/>
  <c r="V1110" i="39"/>
  <c r="V222" i="39"/>
  <c r="V588" i="39"/>
  <c r="V1365" i="39"/>
  <c r="V1066" i="39"/>
  <c r="V609" i="39"/>
  <c r="G849" i="115"/>
  <c r="V529" i="39"/>
  <c r="V1146" i="39"/>
  <c r="V1576" i="39"/>
  <c r="V1410" i="39"/>
  <c r="V386" i="39"/>
  <c r="V857" i="39"/>
  <c r="G134" i="115"/>
  <c r="V415" i="39"/>
  <c r="V1004" i="39"/>
  <c r="V828" i="39"/>
  <c r="V161" i="39"/>
  <c r="V1349" i="39"/>
  <c r="V1128" i="39"/>
  <c r="V699" i="39"/>
  <c r="V1207" i="39"/>
  <c r="V90" i="39"/>
  <c r="V1592" i="39"/>
  <c r="G701" i="115"/>
  <c r="H702" i="115" s="1"/>
  <c r="G624" i="114"/>
  <c r="V895" i="39"/>
  <c r="V601" i="39"/>
  <c r="V1494" i="39"/>
  <c r="V1458" i="39"/>
  <c r="V221" i="39"/>
  <c r="V1376" i="39"/>
  <c r="V484" i="39"/>
  <c r="V463" i="39"/>
  <c r="V1355" i="39"/>
  <c r="V312" i="39"/>
  <c r="V577" i="39"/>
  <c r="V1474" i="39"/>
  <c r="V1294" i="39"/>
  <c r="G692" i="114"/>
  <c r="V1104" i="39"/>
  <c r="V401" i="39"/>
  <c r="V1513" i="39"/>
  <c r="V656" i="39"/>
  <c r="V377" i="39"/>
  <c r="V655" i="39"/>
  <c r="V1141" i="39"/>
  <c r="V171" i="39"/>
  <c r="V286" i="39"/>
  <c r="V1193" i="39"/>
  <c r="V1426" i="39"/>
  <c r="V705" i="39"/>
  <c r="V258" i="39"/>
  <c r="G203" i="114"/>
  <c r="G758" i="68"/>
  <c r="G1869" i="68"/>
  <c r="V117" i="39"/>
  <c r="V509" i="39"/>
  <c r="V717" i="39"/>
  <c r="G715" i="115"/>
  <c r="H689" i="115" s="1"/>
  <c r="V337" i="39"/>
  <c r="V436" i="39"/>
  <c r="V778" i="39"/>
  <c r="V356" i="39"/>
  <c r="V802" i="39"/>
  <c r="V1359" i="39"/>
  <c r="G863" i="68"/>
  <c r="V1516" i="39"/>
  <c r="V1131" i="39"/>
  <c r="V464" i="39"/>
  <c r="V1000" i="39"/>
  <c r="V183" i="39"/>
  <c r="V721" i="39"/>
  <c r="V514" i="39"/>
  <c r="V701" i="39"/>
  <c r="V755" i="39"/>
  <c r="V275" i="39"/>
  <c r="V620" i="39"/>
  <c r="V140" i="39"/>
  <c r="V369" i="39"/>
  <c r="V72" i="39"/>
  <c r="V100" i="39"/>
  <c r="V1396" i="39"/>
  <c r="V596" i="39"/>
  <c r="V1323" i="39"/>
  <c r="V664" i="39"/>
  <c r="G766" i="68"/>
  <c r="V497" i="39"/>
  <c r="V1362" i="39"/>
  <c r="V409" i="39"/>
  <c r="V1439" i="39"/>
  <c r="V604" i="39"/>
  <c r="V585" i="39"/>
  <c r="V605" i="39"/>
  <c r="V1364" i="39"/>
  <c r="V1408" i="39"/>
  <c r="V1031" i="39"/>
  <c r="V344" i="39"/>
  <c r="V710" i="39"/>
  <c r="V173" i="39"/>
  <c r="V1478" i="39"/>
  <c r="V83" i="39"/>
  <c r="V1444" i="39"/>
  <c r="V109" i="39"/>
  <c r="V765" i="39"/>
  <c r="V1412" i="39"/>
  <c r="V822" i="39"/>
  <c r="G436" i="68"/>
  <c r="G1667" i="68"/>
  <c r="H1668" i="68" s="1"/>
  <c r="V533" i="39"/>
  <c r="V741" i="39"/>
  <c r="V1525" i="39"/>
  <c r="V314" i="39"/>
  <c r="V447" i="39"/>
  <c r="G696" i="114"/>
  <c r="V610" i="39"/>
  <c r="V392" i="39"/>
  <c r="V1037" i="39"/>
  <c r="V317" i="39"/>
  <c r="V225" i="39"/>
  <c r="V87" i="39"/>
  <c r="V591" i="39"/>
  <c r="V1179" i="39"/>
  <c r="V714" i="39"/>
  <c r="V571" i="39"/>
  <c r="G176" i="114"/>
  <c r="V113" i="39"/>
  <c r="V827" i="39"/>
  <c r="V1345" i="39"/>
  <c r="V292" i="39"/>
  <c r="V160" i="39"/>
  <c r="V613" i="39"/>
  <c r="G488" i="115"/>
  <c r="V1499" i="39"/>
  <c r="V1593" i="39"/>
  <c r="V1594" i="39"/>
  <c r="H168" i="114"/>
  <c r="X577" i="115"/>
  <c r="U601" i="115"/>
  <c r="P602" i="115"/>
  <c r="P607" i="115"/>
  <c r="U609" i="115"/>
  <c r="P610" i="115"/>
  <c r="P629" i="115"/>
  <c r="R32" i="114"/>
  <c r="U28" i="114"/>
  <c r="S381" i="68"/>
  <c r="H701" i="115"/>
  <c r="H529" i="115"/>
  <c r="G171" i="115"/>
  <c r="V832" i="39"/>
  <c r="V167" i="39"/>
  <c r="V576" i="39"/>
  <c r="V1063" i="39"/>
  <c r="V627" i="39"/>
  <c r="V968" i="39"/>
  <c r="V309" i="39"/>
  <c r="V327" i="39"/>
  <c r="V308" i="39"/>
  <c r="V815" i="39"/>
  <c r="V1136" i="39"/>
  <c r="V544" i="39"/>
  <c r="V340" i="39"/>
  <c r="V506" i="39"/>
  <c r="G1910" i="68"/>
  <c r="V458" i="39"/>
  <c r="G1092" i="68"/>
  <c r="G701" i="114"/>
  <c r="V1464" i="39"/>
  <c r="V242" i="39"/>
  <c r="V1097" i="39"/>
  <c r="V553" i="39"/>
  <c r="V624" i="39"/>
  <c r="V694" i="39"/>
  <c r="V581" i="39"/>
  <c r="V1025" i="39"/>
  <c r="V734" i="39"/>
  <c r="V180" i="39"/>
  <c r="V806" i="39"/>
  <c r="V631" i="39"/>
  <c r="V153" i="39"/>
  <c r="V1048" i="39"/>
  <c r="V1212" i="39"/>
  <c r="V688" i="39"/>
  <c r="V128" i="39"/>
  <c r="V731" i="39"/>
  <c r="G992" i="115"/>
  <c r="V1019" i="39"/>
  <c r="V1282" i="39"/>
  <c r="V1154" i="39"/>
  <c r="V1003" i="39"/>
  <c r="V1168" i="39"/>
  <c r="V637" i="39"/>
  <c r="V597" i="39"/>
  <c r="V1340" i="39"/>
  <c r="G382" i="68"/>
  <c r="V955" i="39"/>
  <c r="V1409" i="39"/>
  <c r="V856" i="39"/>
  <c r="V1445" i="39"/>
  <c r="G848" i="115"/>
  <c r="V632" i="39"/>
  <c r="V735" i="39"/>
  <c r="V967" i="39"/>
  <c r="V1498" i="39"/>
  <c r="V872" i="39"/>
  <c r="V563" i="39"/>
  <c r="V574" i="39"/>
  <c r="G491" i="114"/>
  <c r="V843" i="39"/>
  <c r="G46" i="115"/>
  <c r="V357" i="39"/>
  <c r="V303" i="39"/>
  <c r="V1298" i="39"/>
  <c r="V540" i="39"/>
  <c r="V375" i="39"/>
  <c r="V1438" i="39"/>
  <c r="V761" i="39"/>
  <c r="V364" i="39"/>
  <c r="G1014" i="68"/>
  <c r="V986" i="39"/>
  <c r="G762" i="68"/>
  <c r="V949" i="39"/>
  <c r="V1403" i="39"/>
  <c r="V1486" i="39"/>
  <c r="V1098" i="39"/>
  <c r="V126" i="39"/>
  <c r="V1103" i="39"/>
  <c r="V1215" i="39"/>
  <c r="V1473" i="39"/>
  <c r="V1341" i="39"/>
  <c r="S186" i="32"/>
  <c r="S40" i="32"/>
  <c r="S37" i="32"/>
  <c r="D140" i="6"/>
  <c r="G765" i="115"/>
  <c r="H765" i="115"/>
  <c r="Q110" i="32"/>
  <c r="S105" i="32"/>
  <c r="Q190" i="32"/>
  <c r="S184" i="32"/>
  <c r="G476" i="114"/>
  <c r="AN21" i="6"/>
  <c r="Q94" i="32"/>
  <c r="S146" i="32"/>
  <c r="S142" i="32"/>
  <c r="J6" i="9"/>
  <c r="D135" i="6"/>
  <c r="R122" i="32"/>
  <c r="R94" i="32"/>
  <c r="AH20" i="6"/>
  <c r="S118" i="32"/>
  <c r="S185" i="32"/>
  <c r="S10" i="32"/>
  <c r="S18" i="32"/>
  <c r="S19" i="32"/>
  <c r="S82" i="32"/>
  <c r="G80" i="68"/>
  <c r="G77" i="114"/>
  <c r="H93" i="114"/>
  <c r="G93" i="114"/>
  <c r="G17" i="9"/>
  <c r="G93" i="68"/>
  <c r="H93" i="68"/>
  <c r="H679" i="114"/>
  <c r="H898" i="68"/>
  <c r="G1894" i="68"/>
  <c r="S76" i="32"/>
  <c r="S162" i="32" s="1"/>
  <c r="S15" i="32"/>
  <c r="S21" i="32"/>
  <c r="S29" i="32"/>
  <c r="S129" i="32"/>
  <c r="T509" i="68"/>
  <c r="X566" i="115"/>
  <c r="S1211" i="68"/>
  <c r="O631" i="114"/>
  <c r="U611" i="115"/>
  <c r="J256" i="68"/>
  <c r="J351" i="114"/>
  <c r="J631" i="114"/>
  <c r="J537" i="68"/>
  <c r="S898" i="115"/>
  <c r="O601" i="114"/>
  <c r="P1900" i="68"/>
  <c r="O267" i="68"/>
  <c r="Q693" i="115"/>
  <c r="X574" i="115"/>
  <c r="T1568" i="68"/>
  <c r="X414" i="115"/>
  <c r="T660" i="68"/>
  <c r="Y660" i="68" s="1"/>
  <c r="Z660" i="68" s="1"/>
  <c r="AB660" i="68" s="1"/>
  <c r="R221" i="68"/>
  <c r="R1904" i="68"/>
  <c r="R1907" i="68" s="1"/>
  <c r="Q498" i="68"/>
  <c r="O245" i="68"/>
  <c r="M221" i="68"/>
  <c r="V221" i="68" s="1"/>
  <c r="P244" i="114"/>
  <c r="P591" i="115"/>
  <c r="X264" i="115"/>
  <c r="X278" i="115"/>
  <c r="S271" i="68"/>
  <c r="S272" i="68" s="1"/>
  <c r="P1777" i="68"/>
  <c r="Q698" i="115"/>
  <c r="M271" i="68"/>
  <c r="M660" i="68"/>
  <c r="V660" i="68" s="1"/>
  <c r="Q209" i="114"/>
  <c r="J509" i="68"/>
  <c r="J267" i="68"/>
  <c r="O631" i="68"/>
  <c r="O509" i="68"/>
  <c r="T666" i="68"/>
  <c r="Y666" i="68" s="1"/>
  <c r="Z666" i="68" s="1"/>
  <c r="AB666" i="68" s="1"/>
  <c r="T628" i="68"/>
  <c r="T624" i="68"/>
  <c r="R898" i="115"/>
  <c r="Q131" i="68"/>
  <c r="O693" i="115"/>
  <c r="P1211" i="68"/>
  <c r="O401" i="68"/>
  <c r="P1681" i="68"/>
  <c r="P620" i="115"/>
  <c r="J654" i="68"/>
  <c r="J673" i="68"/>
  <c r="J652" i="68"/>
  <c r="U625" i="115"/>
  <c r="M612" i="115"/>
  <c r="V612" i="115" s="1"/>
  <c r="J670" i="68"/>
  <c r="U591" i="115"/>
  <c r="U608" i="115"/>
  <c r="T498" i="68"/>
  <c r="U17" i="114"/>
  <c r="R631" i="114"/>
  <c r="S209" i="114"/>
  <c r="Q666" i="68"/>
  <c r="M1904" i="68"/>
  <c r="M1907" i="68" s="1"/>
  <c r="V1907" i="68" s="1"/>
  <c r="X285" i="115"/>
  <c r="T898" i="115"/>
  <c r="S680" i="68"/>
  <c r="S401" i="68"/>
  <c r="R624" i="68"/>
  <c r="R628" i="68"/>
  <c r="Q680" i="68"/>
  <c r="Q628" i="68"/>
  <c r="O498" i="68"/>
  <c r="M680" i="68"/>
  <c r="V680" i="68" s="1"/>
  <c r="J364" i="114"/>
  <c r="J232" i="68"/>
  <c r="J639" i="68"/>
  <c r="J641" i="68" s="1"/>
  <c r="J672" i="68"/>
  <c r="U590" i="115"/>
  <c r="U600" i="115"/>
  <c r="U602" i="115"/>
  <c r="U607" i="115"/>
  <c r="U610" i="115"/>
  <c r="J545" i="68"/>
  <c r="J1904" i="68"/>
  <c r="J1907" i="68" s="1"/>
  <c r="J659" i="68"/>
  <c r="X271" i="115"/>
  <c r="T631" i="114"/>
  <c r="X263" i="115"/>
  <c r="Q395" i="68"/>
  <c r="O675" i="68"/>
  <c r="M693" i="115"/>
  <c r="R271" i="68"/>
  <c r="R272" i="68" s="1"/>
  <c r="P131" i="68"/>
  <c r="O396" i="68"/>
  <c r="P238" i="114"/>
  <c r="S698" i="115"/>
  <c r="J271" i="68"/>
  <c r="J272" i="68" s="1"/>
  <c r="K106" i="6"/>
  <c r="J498" i="68"/>
  <c r="J671" i="68"/>
  <c r="J679" i="68"/>
  <c r="Q622" i="115"/>
  <c r="U605" i="115"/>
  <c r="Q603" i="115"/>
  <c r="P410" i="115"/>
  <c r="V605" i="115"/>
  <c r="P611" i="115"/>
  <c r="U632" i="115"/>
  <c r="Q595" i="115"/>
  <c r="X595" i="115" s="1"/>
  <c r="U630" i="115"/>
  <c r="M410" i="115"/>
  <c r="V410" i="115" s="1"/>
  <c r="O898" i="115"/>
  <c r="X589" i="115"/>
  <c r="P624" i="115"/>
  <c r="P633" i="115" s="1"/>
  <c r="U620" i="115"/>
  <c r="P781" i="68"/>
  <c r="J638" i="114"/>
  <c r="J59" i="114"/>
  <c r="J48" i="114"/>
  <c r="J233" i="68"/>
  <c r="J372" i="68"/>
  <c r="M631" i="114"/>
  <c r="V631" i="114" s="1"/>
  <c r="Q1904" i="68"/>
  <c r="Q1907" i="68" s="1"/>
  <c r="S267" i="68"/>
  <c r="S509" i="68"/>
  <c r="S395" i="68"/>
  <c r="S666" i="68"/>
  <c r="S498" i="68"/>
  <c r="R498" i="68"/>
  <c r="R666" i="68"/>
  <c r="R631" i="68"/>
  <c r="M698" i="115"/>
  <c r="V698" i="115" s="1"/>
  <c r="J22" i="114"/>
  <c r="J41" i="114"/>
  <c r="J144" i="68"/>
  <c r="U626" i="115"/>
  <c r="U631" i="115"/>
  <c r="O624" i="68"/>
  <c r="M365" i="68"/>
  <c r="V365" i="68" s="1"/>
  <c r="M628" i="68"/>
  <c r="M666" i="68"/>
  <c r="V666" i="68" s="1"/>
  <c r="M631" i="68"/>
  <c r="V631" i="68" s="1"/>
  <c r="M395" i="68"/>
  <c r="V395" i="68" s="1"/>
  <c r="X100" i="115"/>
  <c r="T693" i="115"/>
  <c r="S693" i="115"/>
  <c r="S631" i="68"/>
  <c r="S628" i="68"/>
  <c r="M401" i="68"/>
  <c r="V401" i="68" s="1"/>
  <c r="J741" i="114"/>
  <c r="J411" i="68"/>
  <c r="J631" i="68"/>
  <c r="J234" i="68"/>
  <c r="R698" i="115"/>
  <c r="R680" i="68"/>
  <c r="R509" i="68"/>
  <c r="Q624" i="68"/>
  <c r="Q631" i="68"/>
  <c r="O131" i="68"/>
  <c r="O647" i="68"/>
  <c r="J479" i="114"/>
  <c r="O698" i="115"/>
  <c r="O365" i="68"/>
  <c r="O628" i="68"/>
  <c r="S1734" i="68"/>
  <c r="S1810" i="68"/>
  <c r="O680" i="68"/>
  <c r="M898" i="115"/>
  <c r="J416" i="68"/>
  <c r="J247" i="114"/>
  <c r="J693" i="115"/>
  <c r="P625" i="115"/>
  <c r="P630" i="115"/>
  <c r="P632" i="115"/>
  <c r="J246" i="68"/>
  <c r="X580" i="115"/>
  <c r="P601" i="115"/>
  <c r="P609" i="115"/>
  <c r="J266" i="68"/>
  <c r="J646" i="68"/>
  <c r="J344" i="114"/>
  <c r="J401" i="68"/>
  <c r="X287" i="115"/>
  <c r="X288" i="115"/>
  <c r="X393" i="115"/>
  <c r="T822" i="115"/>
  <c r="U822" i="115" s="1"/>
  <c r="T698" i="115"/>
  <c r="T647" i="68"/>
  <c r="Y647" i="68" s="1"/>
  <c r="Z647" i="68" s="1"/>
  <c r="S624" i="68"/>
  <c r="O660" i="68"/>
  <c r="R693" i="115"/>
  <c r="R209" i="114"/>
  <c r="M1777" i="68"/>
  <c r="V1777" i="68" s="1"/>
  <c r="M432" i="68"/>
  <c r="V432" i="68" s="1"/>
  <c r="Q509" i="68"/>
  <c r="M244" i="114"/>
  <c r="U244" i="114" s="1"/>
  <c r="M624" i="68"/>
  <c r="M267" i="68"/>
  <c r="V267" i="68" s="1"/>
  <c r="J1048" i="68"/>
  <c r="J680" i="68"/>
  <c r="J624" i="68"/>
  <c r="P589" i="115"/>
  <c r="P595" i="115" s="1"/>
  <c r="P968" i="115"/>
  <c r="J1347" i="68"/>
  <c r="J655" i="68"/>
  <c r="U621" i="115"/>
  <c r="U599" i="115"/>
  <c r="U1681" i="68"/>
  <c r="X386" i="115"/>
  <c r="X104" i="115"/>
  <c r="X99" i="115"/>
  <c r="T1029" i="115"/>
  <c r="U1029" i="115" s="1"/>
  <c r="X266" i="115"/>
  <c r="T631" i="68"/>
  <c r="T209" i="114"/>
  <c r="M1734" i="68"/>
  <c r="V1734" i="68" s="1"/>
  <c r="O209" i="114"/>
  <c r="M209" i="114"/>
  <c r="V209" i="114" s="1"/>
  <c r="M498" i="68"/>
  <c r="V498" i="68" s="1"/>
  <c r="J707" i="68"/>
  <c r="J919" i="68"/>
  <c r="J666" i="68"/>
  <c r="J658" i="68"/>
  <c r="P628" i="115"/>
  <c r="X409" i="115"/>
  <c r="M614" i="115"/>
  <c r="Q410" i="68"/>
  <c r="J628" i="68"/>
  <c r="V589" i="115"/>
  <c r="U619" i="115"/>
  <c r="U592" i="115"/>
  <c r="U628" i="115"/>
  <c r="P621" i="115"/>
  <c r="P606" i="115"/>
  <c r="P592" i="115"/>
  <c r="U24" i="114"/>
  <c r="P599" i="115"/>
  <c r="U589" i="115"/>
  <c r="U606" i="115"/>
  <c r="M622" i="115"/>
  <c r="V599" i="115"/>
  <c r="U31" i="114"/>
  <c r="J235" i="114"/>
  <c r="J698" i="115"/>
  <c r="P608" i="115"/>
  <c r="X412" i="115"/>
  <c r="J264" i="68"/>
  <c r="X563" i="115"/>
  <c r="V1731" i="68"/>
  <c r="U1731" i="68"/>
  <c r="J531" i="68"/>
  <c r="J64" i="114"/>
  <c r="X527" i="115"/>
  <c r="M509" i="68"/>
  <c r="O32" i="114"/>
  <c r="U27" i="114"/>
  <c r="J250" i="68"/>
  <c r="X410" i="115"/>
  <c r="U26" i="114"/>
  <c r="P626" i="115"/>
  <c r="M32" i="114"/>
  <c r="M968" i="115"/>
  <c r="U1900" i="68"/>
  <c r="U1390" i="68"/>
  <c r="V1006" i="39"/>
  <c r="V1246" i="39"/>
  <c r="V873" i="39"/>
  <c r="V1235" i="39"/>
  <c r="V1543" i="39"/>
  <c r="G535" i="114"/>
  <c r="G1323" i="68"/>
  <c r="H1324" i="68" s="1"/>
  <c r="V170" i="39"/>
  <c r="G446" i="114"/>
  <c r="H1158" i="68"/>
  <c r="V1051" i="39"/>
  <c r="V1399" i="39"/>
  <c r="V1434" i="39"/>
  <c r="V1469" i="39"/>
  <c r="V372" i="39"/>
  <c r="V1022" i="39"/>
  <c r="V492" i="39"/>
  <c r="V404" i="39"/>
  <c r="V1379" i="39"/>
  <c r="V517" i="39"/>
  <c r="V434" i="39"/>
  <c r="V950" i="39"/>
  <c r="G104" i="114"/>
  <c r="V733" i="39"/>
  <c r="V1143" i="39"/>
  <c r="V1477" i="39"/>
  <c r="V1518" i="39"/>
  <c r="V630" i="39"/>
  <c r="V817" i="39"/>
  <c r="V525" i="39"/>
  <c r="V1443" i="39"/>
  <c r="V1406" i="39"/>
  <c r="V1573" i="39"/>
  <c r="V1144" i="39"/>
  <c r="G847" i="115"/>
  <c r="V1220" i="39"/>
  <c r="H1383" i="68"/>
  <c r="G1383" i="68"/>
  <c r="G468" i="115"/>
  <c r="H468" i="115"/>
  <c r="G1800" i="68"/>
  <c r="H475" i="68"/>
  <c r="V1211" i="39"/>
  <c r="V507" i="39"/>
  <c r="V1378" i="39"/>
  <c r="V658" i="39"/>
  <c r="G1720" i="68"/>
  <c r="V365" i="39"/>
  <c r="G900" i="68"/>
  <c r="V155" i="39"/>
  <c r="V994" i="39"/>
  <c r="V1447" i="39"/>
  <c r="V1299" i="39"/>
  <c r="V1522" i="39"/>
  <c r="G354" i="114"/>
  <c r="V1411" i="39"/>
  <c r="G744" i="114"/>
  <c r="V445" i="39"/>
  <c r="V737" i="39"/>
  <c r="V821" i="39"/>
  <c r="V635" i="39"/>
  <c r="V823" i="39"/>
  <c r="V739" i="39"/>
  <c r="G1633" i="68"/>
  <c r="G1024" i="68"/>
  <c r="V75" i="39"/>
  <c r="V1565" i="39"/>
  <c r="V838" i="39"/>
  <c r="V1326" i="39"/>
  <c r="V512" i="39"/>
  <c r="V168" i="39"/>
  <c r="V1042" i="39"/>
  <c r="G1385" i="68"/>
  <c r="V616" i="39"/>
  <c r="V649" i="39"/>
  <c r="G1153" i="68"/>
  <c r="G776" i="68"/>
  <c r="V834" i="39"/>
  <c r="V752" i="39"/>
  <c r="V321" i="39"/>
  <c r="V545" i="39"/>
  <c r="G963" i="115"/>
  <c r="V1539" i="39"/>
  <c r="V1394" i="39"/>
  <c r="G1509" i="68"/>
  <c r="H1510" i="68" s="1"/>
  <c r="V1289" i="39"/>
  <c r="V1290" i="39"/>
  <c r="G725" i="114"/>
  <c r="V1270" i="39"/>
  <c r="V1285" i="39"/>
  <c r="G709" i="114"/>
  <c r="V1284" i="39"/>
  <c r="V1286" i="39"/>
  <c r="V1005" i="39"/>
  <c r="G780" i="68"/>
  <c r="V1280" i="39"/>
  <c r="G736" i="114"/>
  <c r="H736" i="114"/>
  <c r="V475" i="39"/>
  <c r="V1591" i="39"/>
  <c r="V102" i="39"/>
  <c r="V966" i="39"/>
  <c r="V1276" i="39"/>
  <c r="V1147" i="39"/>
  <c r="V679" i="39"/>
  <c r="V476" i="39"/>
  <c r="V387" i="39"/>
  <c r="V792" i="39"/>
  <c r="V1279" i="39"/>
  <c r="V1054" i="39"/>
  <c r="V338" i="39"/>
  <c r="V136" i="39"/>
  <c r="V1102" i="39"/>
  <c r="V1360" i="39"/>
  <c r="V145" i="39"/>
  <c r="V727" i="39"/>
  <c r="V94" i="39"/>
  <c r="V495" i="39"/>
  <c r="V662" i="39"/>
  <c r="V1382" i="39"/>
  <c r="V1402" i="39"/>
  <c r="V1175" i="39"/>
  <c r="V1330" i="39"/>
  <c r="V1568" i="39"/>
  <c r="V841" i="39"/>
  <c r="V625" i="39"/>
  <c r="V812" i="39"/>
  <c r="G107" i="114"/>
  <c r="V79" i="39"/>
  <c r="V1190" i="39"/>
  <c r="V269" i="39"/>
  <c r="V770" i="39"/>
  <c r="V98" i="39"/>
  <c r="V1117" i="39"/>
  <c r="V1068" i="39"/>
  <c r="V860" i="39"/>
  <c r="V748" i="39"/>
  <c r="V691" i="39"/>
  <c r="V1040" i="39"/>
  <c r="V1424" i="39"/>
  <c r="V360" i="39"/>
  <c r="V424" i="39"/>
  <c r="V719" i="39"/>
  <c r="V1462" i="39"/>
  <c r="V617" i="39"/>
  <c r="V546" i="39"/>
  <c r="V487" i="39"/>
  <c r="V1155" i="39"/>
  <c r="V999" i="39"/>
  <c r="V863" i="39"/>
  <c r="V398" i="39"/>
  <c r="V367" i="39"/>
  <c r="V805" i="39"/>
  <c r="V1540" i="39"/>
  <c r="V1166" i="39"/>
  <c r="V594" i="39"/>
  <c r="V1497" i="39"/>
  <c r="V513" i="39"/>
  <c r="V296" i="39"/>
  <c r="V208" i="39"/>
  <c r="V461" i="39"/>
  <c r="V835" i="39"/>
  <c r="V429" i="39"/>
  <c r="V322" i="39"/>
  <c r="V118" i="39"/>
  <c r="V849" i="39"/>
  <c r="V132" i="39"/>
  <c r="G1232" i="68"/>
  <c r="H1232" i="68"/>
  <c r="G135" i="115"/>
  <c r="H135" i="115"/>
  <c r="T1418" i="68"/>
  <c r="V1468" i="39"/>
  <c r="G338" i="68"/>
  <c r="V466" i="39"/>
  <c r="V214" i="39"/>
  <c r="V120" i="39"/>
  <c r="V1171" i="39"/>
  <c r="V1357" i="39"/>
  <c r="G332" i="114"/>
  <c r="V598" i="39"/>
  <c r="V808" i="39"/>
  <c r="V757" i="39"/>
  <c r="V1099" i="39"/>
  <c r="G759" i="68"/>
  <c r="V1433" i="39"/>
  <c r="V334" i="39"/>
  <c r="V1133" i="39"/>
  <c r="V983" i="39"/>
  <c r="V237" i="39"/>
  <c r="V433" i="39"/>
  <c r="V1186" i="39"/>
  <c r="V516" i="39"/>
  <c r="V622" i="39"/>
  <c r="V1398" i="39"/>
  <c r="V814" i="39"/>
  <c r="V785" i="39"/>
  <c r="V1514" i="39"/>
  <c r="V439" i="39"/>
  <c r="V342" i="39"/>
  <c r="V411" i="39"/>
  <c r="V1139" i="39"/>
  <c r="V666" i="39"/>
  <c r="V522" i="39"/>
  <c r="V229" i="39"/>
  <c r="V644" i="39"/>
  <c r="V422" i="39"/>
  <c r="V1180" i="39"/>
  <c r="V799" i="39"/>
  <c r="H401" i="115"/>
  <c r="G401" i="115"/>
  <c r="G646" i="115"/>
  <c r="V1206" i="39"/>
  <c r="V1116" i="39"/>
  <c r="G691" i="114"/>
  <c r="V148" i="39"/>
  <c r="V561" i="39"/>
  <c r="V1228" i="39"/>
  <c r="V1281" i="39"/>
  <c r="V1164" i="39"/>
  <c r="G678" i="114"/>
  <c r="V250" i="39"/>
  <c r="G1059" i="68"/>
  <c r="V1134" i="39"/>
  <c r="V279" i="39"/>
  <c r="V809" i="39"/>
  <c r="G459" i="114"/>
  <c r="V1059" i="39"/>
  <c r="V997" i="39"/>
  <c r="V351" i="39"/>
  <c r="V1002" i="39"/>
  <c r="V681" i="39"/>
  <c r="V1111" i="39"/>
  <c r="V1547" i="39"/>
  <c r="V353" i="39"/>
  <c r="V457" i="39"/>
  <c r="V541" i="39"/>
  <c r="V1124" i="39"/>
  <c r="V425" i="39"/>
  <c r="V483" i="39"/>
  <c r="V693" i="39"/>
  <c r="BB24" i="6"/>
  <c r="BC24" i="6" s="1"/>
  <c r="BA26" i="6"/>
  <c r="BB26" i="6" s="1"/>
  <c r="BA28" i="6"/>
  <c r="BB28" i="6" s="1"/>
  <c r="BB29" i="6" s="1"/>
  <c r="D137" i="6"/>
  <c r="V730" i="39"/>
  <c r="V1287" i="39"/>
  <c r="V300" i="39"/>
  <c r="G693" i="114"/>
  <c r="G1676" i="68"/>
  <c r="V371" i="39"/>
  <c r="V703" i="39"/>
  <c r="V278" i="39"/>
  <c r="V491" i="39"/>
  <c r="V1293" i="39"/>
  <c r="V771" i="39"/>
  <c r="V1138" i="39"/>
  <c r="V521" i="39"/>
  <c r="G214" i="114"/>
  <c r="V80" i="39"/>
  <c r="V408" i="39"/>
  <c r="V663" i="39"/>
  <c r="V284" i="39"/>
  <c r="V1216" i="39"/>
  <c r="V1176" i="39"/>
  <c r="V218" i="39"/>
  <c r="V471" i="39"/>
  <c r="G108" i="114"/>
  <c r="V813" i="39"/>
  <c r="V1383" i="39"/>
  <c r="V496" i="39"/>
  <c r="V1331" i="39"/>
  <c r="V906" i="39"/>
  <c r="V842" i="39"/>
  <c r="V1191" i="39"/>
  <c r="V1569" i="39"/>
  <c r="V1027" i="39"/>
  <c r="V900" i="39"/>
  <c r="V106" i="39"/>
  <c r="V124" i="39"/>
  <c r="V255" i="39"/>
  <c r="V987" i="39"/>
  <c r="V1361" i="39"/>
  <c r="V339" i="39"/>
  <c r="V728" i="39"/>
  <c r="V1044" i="39"/>
  <c r="V1029" i="39"/>
  <c r="V1057" i="39"/>
  <c r="V668" i="39"/>
  <c r="V566" i="39"/>
  <c r="V528" i="39"/>
  <c r="V479" i="39"/>
  <c r="V449" i="39"/>
  <c r="V418" i="39"/>
  <c r="V352" i="39"/>
  <c r="V1597" i="39"/>
  <c r="V1551" i="39"/>
  <c r="V870" i="39"/>
  <c r="V578" i="39"/>
  <c r="V779" i="39"/>
  <c r="V773" i="39"/>
  <c r="V1461" i="39"/>
  <c r="G103" i="114"/>
  <c r="V1271" i="39"/>
  <c r="G1876" i="68"/>
  <c r="V1218" i="39"/>
  <c r="V709" i="39"/>
  <c r="V1177" i="39"/>
  <c r="V1142" i="39"/>
  <c r="V567" i="39"/>
  <c r="V636" i="39"/>
  <c r="V1339" i="39"/>
  <c r="V532" i="39"/>
  <c r="V446" i="39"/>
  <c r="V347" i="39"/>
  <c r="V1389" i="39"/>
  <c r="G402" i="115"/>
  <c r="H402" i="115"/>
  <c r="G640" i="114"/>
  <c r="H641" i="114" s="1"/>
  <c r="G529" i="114"/>
  <c r="V1470" i="39"/>
  <c r="V151" i="39"/>
  <c r="V871" i="39"/>
  <c r="V1123" i="39"/>
  <c r="V238" i="39"/>
  <c r="V690" i="39"/>
  <c r="V89" i="39"/>
  <c r="V1467" i="39"/>
  <c r="V1188" i="39"/>
  <c r="V1500" i="39"/>
  <c r="V1393" i="39"/>
  <c r="V108" i="39"/>
  <c r="V780" i="39"/>
  <c r="V490" i="39"/>
  <c r="V234" i="39"/>
  <c r="V288" i="39"/>
  <c r="V246" i="39"/>
  <c r="V281" i="39"/>
  <c r="V1356" i="39"/>
  <c r="V1598" i="39"/>
  <c r="V177" i="39"/>
  <c r="V716" i="39"/>
  <c r="V708" i="39"/>
  <c r="G215" i="114"/>
  <c r="V1151" i="39"/>
  <c r="V1039" i="39"/>
  <c r="G647" i="68"/>
  <c r="V1351" i="39"/>
  <c r="V1344" i="39"/>
  <c r="V256" i="39"/>
  <c r="V1336" i="39"/>
  <c r="V1421" i="39"/>
  <c r="V1422" i="39"/>
  <c r="V211" i="39"/>
  <c r="V959" i="39"/>
  <c r="V1173" i="39"/>
  <c r="G752" i="115"/>
  <c r="H752" i="115"/>
  <c r="D133" i="6"/>
  <c r="G307" i="114"/>
  <c r="G1812" i="68"/>
  <c r="H1813" i="68" s="1"/>
  <c r="G528" i="115"/>
  <c r="V295" i="39"/>
  <c r="V1400" i="39"/>
  <c r="V722" i="39"/>
  <c r="V874" i="39"/>
  <c r="V92" i="39"/>
  <c r="G101" i="114"/>
  <c r="V172" i="39"/>
  <c r="V181" i="39"/>
  <c r="V212" i="39"/>
  <c r="V435" i="39"/>
  <c r="V396" i="39"/>
  <c r="V1457" i="39"/>
  <c r="V101" i="39"/>
  <c r="V336" i="39"/>
  <c r="V361" i="39"/>
  <c r="V103" i="39"/>
  <c r="V1024" i="39"/>
  <c r="V333" i="39"/>
  <c r="V645" i="39"/>
  <c r="V1324" i="39"/>
  <c r="V749" i="39"/>
  <c r="V1566" i="39"/>
  <c r="V410" i="39"/>
  <c r="V454" i="39"/>
  <c r="V511" i="39"/>
  <c r="V621" i="39"/>
  <c r="V951" i="39"/>
  <c r="V948" i="39"/>
  <c r="V515" i="39"/>
  <c r="G442" i="68"/>
  <c r="V1056" i="39"/>
  <c r="G1862" i="68"/>
  <c r="G418" i="115"/>
  <c r="V623" i="39"/>
  <c r="V431" i="39"/>
  <c r="V554" i="39"/>
  <c r="V592" i="39"/>
  <c r="V638" i="39"/>
  <c r="V692" i="39"/>
  <c r="V1182" i="39"/>
  <c r="V902" i="39"/>
  <c r="V349" i="39"/>
  <c r="V1213" i="39"/>
  <c r="V287" i="39"/>
  <c r="V405" i="39"/>
  <c r="V1149" i="39"/>
  <c r="V1531" i="39"/>
  <c r="V373" i="39"/>
  <c r="V1587" i="39"/>
  <c r="V1397" i="39"/>
  <c r="V1169" i="39"/>
  <c r="V472" i="39"/>
  <c r="G680" i="115"/>
  <c r="V133" i="39"/>
  <c r="V1041" i="39"/>
  <c r="V276" i="39"/>
  <c r="V73" i="39"/>
  <c r="V897" i="39"/>
  <c r="V358" i="39"/>
  <c r="V1580" i="39"/>
  <c r="V381" i="39"/>
  <c r="V115" i="39"/>
  <c r="V665" i="39"/>
  <c r="V587" i="39"/>
  <c r="V323" i="39"/>
  <c r="V646" i="39"/>
  <c r="V837" i="39"/>
  <c r="V319" i="39"/>
  <c r="V825" i="39"/>
  <c r="V569" i="39"/>
  <c r="V243" i="39"/>
  <c r="V416" i="39"/>
  <c r="G333" i="114"/>
  <c r="V810" i="39"/>
  <c r="V141" i="39"/>
  <c r="D139" i="6"/>
  <c r="N5" i="3"/>
  <c r="V130" i="32"/>
  <c r="M4" i="3"/>
  <c r="J48" i="32" s="1"/>
  <c r="M3" i="3"/>
  <c r="V131" i="32"/>
  <c r="S116" i="32"/>
  <c r="R132" i="32"/>
  <c r="S161" i="32"/>
  <c r="Q166" i="32"/>
  <c r="S8" i="32"/>
  <c r="S17" i="32"/>
  <c r="S22" i="32"/>
  <c r="S30" i="32"/>
  <c r="M94" i="32"/>
  <c r="M132" i="32"/>
  <c r="M155" i="32"/>
  <c r="R166" i="32"/>
  <c r="S174" i="32"/>
  <c r="Q177" i="32"/>
  <c r="I6" i="9"/>
  <c r="Q155" i="32"/>
  <c r="M190" i="32"/>
  <c r="M110" i="32"/>
  <c r="S119" i="32"/>
  <c r="U131" i="32"/>
  <c r="S131" i="32"/>
  <c r="M166" i="32"/>
  <c r="R177" i="32"/>
  <c r="S176" i="32"/>
  <c r="S187" i="32"/>
  <c r="B45" i="6"/>
  <c r="Q132" i="32"/>
  <c r="R190" i="32"/>
  <c r="B20" i="6"/>
  <c r="B24" i="9" s="1"/>
  <c r="S143" i="32"/>
  <c r="L148" i="32"/>
  <c r="K6" i="9"/>
  <c r="G570" i="68"/>
  <c r="H35" i="115"/>
  <c r="H246" i="114"/>
  <c r="G246" i="114"/>
  <c r="H751" i="115"/>
  <c r="G751" i="115"/>
  <c r="T781" i="68"/>
  <c r="G167" i="114"/>
  <c r="G79" i="114"/>
  <c r="O10" i="3" l="1"/>
  <c r="F9" i="103"/>
  <c r="F10" i="103" s="1"/>
  <c r="F11" i="103" s="1"/>
  <c r="F12" i="103" s="1"/>
  <c r="F13" i="103" s="1"/>
  <c r="F14" i="103" s="1"/>
  <c r="F15" i="103" s="1"/>
  <c r="F16" i="103" s="1"/>
  <c r="F17" i="103" s="1"/>
  <c r="F18" i="103" s="1"/>
  <c r="F19" i="103" s="1"/>
  <c r="O11" i="3"/>
  <c r="F21" i="103"/>
  <c r="F22" i="103" s="1"/>
  <c r="F23" i="103" s="1"/>
  <c r="F24" i="103" s="1"/>
  <c r="F25" i="103" s="1"/>
  <c r="F26" i="103" s="1"/>
  <c r="O14" i="3"/>
  <c r="F27" i="103"/>
  <c r="F28" i="103" s="1"/>
  <c r="F29" i="103" s="1"/>
  <c r="F30" i="103" s="1"/>
  <c r="F31" i="103" s="1"/>
  <c r="F32" i="103" s="1"/>
  <c r="F33" i="103" s="1"/>
  <c r="F34" i="103" s="1"/>
  <c r="F35" i="103" s="1"/>
  <c r="F346" i="103"/>
  <c r="F351" i="103"/>
  <c r="J188" i="32"/>
  <c r="J57" i="32"/>
  <c r="W57" i="32" s="1"/>
  <c r="J63" i="32"/>
  <c r="W63" i="32" s="1"/>
  <c r="F120" i="32"/>
  <c r="K120" i="32" s="1"/>
  <c r="J69" i="32"/>
  <c r="W69" i="32" s="1"/>
  <c r="J173" i="32"/>
  <c r="U173" i="32" s="1"/>
  <c r="J184" i="32"/>
  <c r="F161" i="103"/>
  <c r="F264" i="103"/>
  <c r="F265" i="103" s="1"/>
  <c r="F266" i="103" s="1"/>
  <c r="F267" i="103" s="1"/>
  <c r="F268" i="103" s="1"/>
  <c r="F269" i="103" s="1"/>
  <c r="F270" i="103" s="1"/>
  <c r="F279" i="103" s="1"/>
  <c r="F280" i="103" s="1"/>
  <c r="F281" i="103" s="1"/>
  <c r="F282" i="103" s="1"/>
  <c r="F283" i="103" s="1"/>
  <c r="AB331" i="114"/>
  <c r="Z35" i="114"/>
  <c r="Z741" i="114"/>
  <c r="Z743" i="114"/>
  <c r="AB743" i="114" s="1"/>
  <c r="AC736" i="114"/>
  <c r="AB741" i="114"/>
  <c r="L120" i="3" s="1"/>
  <c r="K537" i="114"/>
  <c r="L537" i="114"/>
  <c r="N537" i="114"/>
  <c r="U395" i="114"/>
  <c r="Y395" i="114"/>
  <c r="U724" i="114"/>
  <c r="Z724" i="114"/>
  <c r="AB724" i="114" s="1"/>
  <c r="AC724" i="114" s="1"/>
  <c r="AE724" i="114" s="1"/>
  <c r="U400" i="114"/>
  <c r="Y400" i="114"/>
  <c r="U328" i="114"/>
  <c r="Y328" i="114"/>
  <c r="Z328" i="114" s="1"/>
  <c r="AB328" i="114" s="1"/>
  <c r="AC328" i="114" s="1"/>
  <c r="AE328" i="114" s="1"/>
  <c r="AF328" i="114" s="1"/>
  <c r="AH328" i="114" s="1"/>
  <c r="V370" i="114"/>
  <c r="Y370" i="114"/>
  <c r="Z370" i="114" s="1"/>
  <c r="AB370" i="114" s="1"/>
  <c r="U585" i="114"/>
  <c r="Y585" i="114"/>
  <c r="Z585" i="114" s="1"/>
  <c r="AB585" i="114" s="1"/>
  <c r="AC585" i="114" s="1"/>
  <c r="AE585" i="114" s="1"/>
  <c r="AF585" i="114" s="1"/>
  <c r="AH585" i="114" s="1"/>
  <c r="U688" i="114"/>
  <c r="Y688" i="114"/>
  <c r="Z688" i="114" s="1"/>
  <c r="AB688" i="114" s="1"/>
  <c r="AC688" i="114" s="1"/>
  <c r="AE688" i="114" s="1"/>
  <c r="AF688" i="114" s="1"/>
  <c r="AH688" i="114" s="1"/>
  <c r="AI688" i="114" s="1"/>
  <c r="AK688" i="114" s="1"/>
  <c r="AL688" i="114" s="1"/>
  <c r="AN688" i="114" s="1"/>
  <c r="U21" i="114"/>
  <c r="Y21" i="114"/>
  <c r="Z21" i="114" s="1"/>
  <c r="AB21" i="114" s="1"/>
  <c r="AC21" i="114" s="1"/>
  <c r="AE21" i="114" s="1"/>
  <c r="AF21" i="114" s="1"/>
  <c r="AH21" i="114" s="1"/>
  <c r="V316" i="114"/>
  <c r="Y316" i="114"/>
  <c r="Z316" i="114" s="1"/>
  <c r="V701" i="114"/>
  <c r="Y701" i="114"/>
  <c r="Z701" i="114" s="1"/>
  <c r="AB701" i="114" s="1"/>
  <c r="U366" i="114"/>
  <c r="Y366" i="114"/>
  <c r="Z366" i="114" s="1"/>
  <c r="AB366" i="114" s="1"/>
  <c r="U321" i="114"/>
  <c r="Y321" i="114"/>
  <c r="Z321" i="114" s="1"/>
  <c r="AB321" i="114" s="1"/>
  <c r="V379" i="114"/>
  <c r="Y379" i="114"/>
  <c r="AB379" i="114" s="1"/>
  <c r="AF379" i="114" s="1"/>
  <c r="AH379" i="114" s="1"/>
  <c r="AI379" i="114" s="1"/>
  <c r="AK379" i="114" s="1"/>
  <c r="AL379" i="114" s="1"/>
  <c r="AN379" i="114" s="1"/>
  <c r="U394" i="114"/>
  <c r="Y394" i="114"/>
  <c r="U363" i="114"/>
  <c r="Y363" i="114"/>
  <c r="Z363" i="114" s="1"/>
  <c r="AB363" i="114" s="1"/>
  <c r="U18" i="114"/>
  <c r="Y18" i="114"/>
  <c r="Z18" i="114" s="1"/>
  <c r="AB18" i="114" s="1"/>
  <c r="AC18" i="114" s="1"/>
  <c r="AE18" i="114" s="1"/>
  <c r="AF18" i="114" s="1"/>
  <c r="AH18" i="114" s="1"/>
  <c r="V334" i="114"/>
  <c r="Y334" i="114"/>
  <c r="Z334" i="114" s="1"/>
  <c r="AB334" i="114" s="1"/>
  <c r="AC334" i="114" s="1"/>
  <c r="AE334" i="114" s="1"/>
  <c r="AF334" i="114" s="1"/>
  <c r="AH334" i="114" s="1"/>
  <c r="U692" i="114"/>
  <c r="Y692" i="114"/>
  <c r="Z692" i="114" s="1"/>
  <c r="AB692" i="114" s="1"/>
  <c r="U706" i="114"/>
  <c r="Z706" i="114"/>
  <c r="AB706" i="114" s="1"/>
  <c r="AC706" i="114" s="1"/>
  <c r="AE706" i="114" s="1"/>
  <c r="V380" i="114"/>
  <c r="Y380" i="114"/>
  <c r="Z380" i="114" s="1"/>
  <c r="AB380" i="114" s="1"/>
  <c r="AC380" i="114" s="1"/>
  <c r="AE380" i="114" s="1"/>
  <c r="AF380" i="114" s="1"/>
  <c r="AH380" i="114" s="1"/>
  <c r="AI380" i="114" s="1"/>
  <c r="AK380" i="114" s="1"/>
  <c r="AL380" i="114" s="1"/>
  <c r="AN380" i="114" s="1"/>
  <c r="U651" i="114"/>
  <c r="Y651" i="114"/>
  <c r="U718" i="114"/>
  <c r="Z718" i="114"/>
  <c r="AB718" i="114" s="1"/>
  <c r="AC718" i="114" s="1"/>
  <c r="AE718" i="114" s="1"/>
  <c r="U318" i="114"/>
  <c r="Y318" i="114"/>
  <c r="Z318" i="114" s="1"/>
  <c r="AB318" i="114" s="1"/>
  <c r="AC318" i="114" s="1"/>
  <c r="AE318" i="114" s="1"/>
  <c r="AF318" i="114" s="1"/>
  <c r="AH318" i="114" s="1"/>
  <c r="AI318" i="114" s="1"/>
  <c r="AK318" i="114" s="1"/>
  <c r="AL318" i="114" s="1"/>
  <c r="AN318" i="114" s="1"/>
  <c r="U336" i="114"/>
  <c r="Y336" i="114"/>
  <c r="Z336" i="114" s="1"/>
  <c r="AB336" i="114" s="1"/>
  <c r="AC336" i="114" s="1"/>
  <c r="AE336" i="114" s="1"/>
  <c r="AF336" i="114" s="1"/>
  <c r="AH336" i="114" s="1"/>
  <c r="U597" i="114"/>
  <c r="Y597" i="114"/>
  <c r="Z597" i="114" s="1"/>
  <c r="AB597" i="114" s="1"/>
  <c r="AC597" i="114" s="1"/>
  <c r="AE597" i="114" s="1"/>
  <c r="AF597" i="114" s="1"/>
  <c r="AH597" i="114" s="1"/>
  <c r="AI597" i="114" s="1"/>
  <c r="AK597" i="114" s="1"/>
  <c r="AL597" i="114" s="1"/>
  <c r="AN597" i="114" s="1"/>
  <c r="U687" i="114"/>
  <c r="Y687" i="114"/>
  <c r="Z687" i="114" s="1"/>
  <c r="AB687" i="114" s="1"/>
  <c r="AC687" i="114" s="1"/>
  <c r="AE687" i="114" s="1"/>
  <c r="AF687" i="114" s="1"/>
  <c r="AH687" i="114" s="1"/>
  <c r="AI687" i="114" s="1"/>
  <c r="AK687" i="114" s="1"/>
  <c r="AL687" i="114" s="1"/>
  <c r="AN687" i="114" s="1"/>
  <c r="V728" i="114"/>
  <c r="Z728" i="114"/>
  <c r="AB728" i="114" s="1"/>
  <c r="AC728" i="114" s="1"/>
  <c r="AE728" i="114" s="1"/>
  <c r="U355" i="114"/>
  <c r="Y355" i="114"/>
  <c r="Z355" i="114" s="1"/>
  <c r="AB355" i="114" s="1"/>
  <c r="AC355" i="114" s="1"/>
  <c r="AE355" i="114" s="1"/>
  <c r="U709" i="114"/>
  <c r="Y709" i="114"/>
  <c r="Z709" i="114" s="1"/>
  <c r="AB709" i="114" s="1"/>
  <c r="AC709" i="114" s="1"/>
  <c r="AE709" i="114" s="1"/>
  <c r="Z634" i="114"/>
  <c r="Y643" i="114"/>
  <c r="U696" i="114"/>
  <c r="Y696" i="114"/>
  <c r="Z696" i="114" s="1"/>
  <c r="AB696" i="114" s="1"/>
  <c r="U403" i="114"/>
  <c r="Y403" i="114"/>
  <c r="Z403" i="114" s="1"/>
  <c r="AB403" i="114" s="1"/>
  <c r="AC403" i="114" s="1"/>
  <c r="AE403" i="114" s="1"/>
  <c r="AF403" i="114" s="1"/>
  <c r="AH403" i="114" s="1"/>
  <c r="U588" i="114"/>
  <c r="Y588" i="114"/>
  <c r="Z588" i="114" s="1"/>
  <c r="AB588" i="114" s="1"/>
  <c r="V332" i="114"/>
  <c r="Y332" i="114"/>
  <c r="Z332" i="114" s="1"/>
  <c r="AB332" i="114" s="1"/>
  <c r="AC332" i="114" s="1"/>
  <c r="AE332" i="114" s="1"/>
  <c r="AF332" i="114" s="1"/>
  <c r="AH332" i="114" s="1"/>
  <c r="U727" i="114"/>
  <c r="Y727" i="114"/>
  <c r="Z727" i="114" s="1"/>
  <c r="AB727" i="114" s="1"/>
  <c r="AC727" i="114" s="1"/>
  <c r="AE727" i="114" s="1"/>
  <c r="V604" i="114"/>
  <c r="Y604" i="114"/>
  <c r="AB603" i="114"/>
  <c r="U15" i="114"/>
  <c r="Y15" i="114"/>
  <c r="Z15" i="114" s="1"/>
  <c r="AB15" i="114" s="1"/>
  <c r="AC15" i="114" s="1"/>
  <c r="AE15" i="114" s="1"/>
  <c r="AF15" i="114" s="1"/>
  <c r="AH15" i="114" s="1"/>
  <c r="AI15" i="114" s="1"/>
  <c r="AK15" i="114" s="1"/>
  <c r="AL15" i="114" s="1"/>
  <c r="AN15" i="114" s="1"/>
  <c r="U594" i="114"/>
  <c r="Y594" i="114"/>
  <c r="Z594" i="114" s="1"/>
  <c r="AB594" i="114" s="1"/>
  <c r="AC594" i="114" s="1"/>
  <c r="AE594" i="114" s="1"/>
  <c r="AF594" i="114" s="1"/>
  <c r="AH594" i="114" s="1"/>
  <c r="AI594" i="114" s="1"/>
  <c r="AK594" i="114" s="1"/>
  <c r="AL594" i="114" s="1"/>
  <c r="AN594" i="114" s="1"/>
  <c r="U376" i="114"/>
  <c r="Y376" i="114"/>
  <c r="Y323" i="114"/>
  <c r="Z323" i="114" s="1"/>
  <c r="AB323" i="114" s="1"/>
  <c r="AC323" i="114" s="1"/>
  <c r="AE323" i="114" s="1"/>
  <c r="AF323" i="114" s="1"/>
  <c r="AH323" i="114" s="1"/>
  <c r="U654" i="114"/>
  <c r="Y654" i="114"/>
  <c r="Z654" i="114" s="1"/>
  <c r="AB654" i="114" s="1"/>
  <c r="AC654" i="114" s="1"/>
  <c r="AE654" i="114" s="1"/>
  <c r="AF654" i="114" s="1"/>
  <c r="AH654" i="114" s="1"/>
  <c r="U342" i="114"/>
  <c r="Y342" i="114"/>
  <c r="Z342" i="114" s="1"/>
  <c r="AB342" i="114" s="1"/>
  <c r="U702" i="114"/>
  <c r="Y702" i="114"/>
  <c r="Z702" i="114" s="1"/>
  <c r="AB702" i="114" s="1"/>
  <c r="U714" i="114"/>
  <c r="Z714" i="114"/>
  <c r="AB714" i="114" s="1"/>
  <c r="AC714" i="114" s="1"/>
  <c r="AE714" i="114" s="1"/>
  <c r="V63" i="114"/>
  <c r="Z63" i="114"/>
  <c r="AB63" i="114" s="1"/>
  <c r="U658" i="114"/>
  <c r="Y658" i="114"/>
  <c r="Z658" i="114" s="1"/>
  <c r="AB658" i="114" s="1"/>
  <c r="AC658" i="114" s="1"/>
  <c r="AE658" i="114" s="1"/>
  <c r="AF658" i="114" s="1"/>
  <c r="AH658" i="114" s="1"/>
  <c r="AI658" i="114" s="1"/>
  <c r="AK658" i="114" s="1"/>
  <c r="AL658" i="114" s="1"/>
  <c r="AN658" i="114" s="1"/>
  <c r="U20" i="114"/>
  <c r="Y20" i="114"/>
  <c r="Z20" i="114" s="1"/>
  <c r="AB20" i="114" s="1"/>
  <c r="AC20" i="114" s="1"/>
  <c r="AE20" i="114" s="1"/>
  <c r="AF20" i="114" s="1"/>
  <c r="AH20" i="114" s="1"/>
  <c r="V723" i="114"/>
  <c r="Y723" i="114"/>
  <c r="Z723" i="114" s="1"/>
  <c r="AB723" i="114" s="1"/>
  <c r="AC723" i="114" s="1"/>
  <c r="AE723" i="114" s="1"/>
  <c r="V744" i="114"/>
  <c r="Y744" i="114"/>
  <c r="Z744" i="114" s="1"/>
  <c r="AB744" i="114" s="1"/>
  <c r="U325" i="114"/>
  <c r="Y325" i="114"/>
  <c r="Z325" i="114" s="1"/>
  <c r="AB325" i="114" s="1"/>
  <c r="AC325" i="114" s="1"/>
  <c r="AE325" i="114" s="1"/>
  <c r="AF325" i="114" s="1"/>
  <c r="AH325" i="114" s="1"/>
  <c r="U721" i="114"/>
  <c r="Y721" i="114"/>
  <c r="Z721" i="114" s="1"/>
  <c r="AB721" i="114" s="1"/>
  <c r="AC721" i="114" s="1"/>
  <c r="AE721" i="114" s="1"/>
  <c r="U381" i="114"/>
  <c r="Y381" i="114"/>
  <c r="AB381" i="114" s="1"/>
  <c r="AF381" i="114" s="1"/>
  <c r="AH381" i="114" s="1"/>
  <c r="AI381" i="114" s="1"/>
  <c r="AK381" i="114" s="1"/>
  <c r="AL381" i="114" s="1"/>
  <c r="AN381" i="114" s="1"/>
  <c r="U720" i="114"/>
  <c r="Z720" i="114"/>
  <c r="AB720" i="114" s="1"/>
  <c r="AC720" i="114" s="1"/>
  <c r="AE720" i="114" s="1"/>
  <c r="U684" i="114"/>
  <c r="Y684" i="114"/>
  <c r="Z684" i="114" s="1"/>
  <c r="AB684" i="114" s="1"/>
  <c r="AC684" i="114" s="1"/>
  <c r="AE684" i="114" s="1"/>
  <c r="AF684" i="114" s="1"/>
  <c r="AH684" i="114" s="1"/>
  <c r="Y627" i="114"/>
  <c r="Y13" i="114"/>
  <c r="U317" i="114"/>
  <c r="Y317" i="114"/>
  <c r="Z317" i="114" s="1"/>
  <c r="AB317" i="114" s="1"/>
  <c r="AC317" i="114" s="1"/>
  <c r="AE317" i="114" s="1"/>
  <c r="AF317" i="114" s="1"/>
  <c r="AH317" i="114" s="1"/>
  <c r="AI317" i="114" s="1"/>
  <c r="AK317" i="114" s="1"/>
  <c r="AL317" i="114" s="1"/>
  <c r="AN317" i="114" s="1"/>
  <c r="U396" i="114"/>
  <c r="Y396" i="114"/>
  <c r="U653" i="114"/>
  <c r="Y653" i="114"/>
  <c r="Z653" i="114" s="1"/>
  <c r="AB653" i="114" s="1"/>
  <c r="U683" i="114"/>
  <c r="Y683" i="114"/>
  <c r="Z683" i="114" s="1"/>
  <c r="AB683" i="114" s="1"/>
  <c r="AC683" i="114" s="1"/>
  <c r="AE683" i="114" s="1"/>
  <c r="AF683" i="114" s="1"/>
  <c r="AH683" i="114" s="1"/>
  <c r="U587" i="114"/>
  <c r="Y587" i="114"/>
  <c r="Z587" i="114" s="1"/>
  <c r="AB587" i="114" s="1"/>
  <c r="AC587" i="114" s="1"/>
  <c r="AE587" i="114" s="1"/>
  <c r="AF587" i="114" s="1"/>
  <c r="AH587" i="114" s="1"/>
  <c r="AI587" i="114" s="1"/>
  <c r="AK587" i="114" s="1"/>
  <c r="AL587" i="114" s="1"/>
  <c r="AN587" i="114" s="1"/>
  <c r="V335" i="114"/>
  <c r="Y335" i="114"/>
  <c r="Z335" i="114" s="1"/>
  <c r="AB335" i="114" s="1"/>
  <c r="AC335" i="114" s="1"/>
  <c r="AE335" i="114" s="1"/>
  <c r="AF335" i="114" s="1"/>
  <c r="AH335" i="114" s="1"/>
  <c r="U606" i="114"/>
  <c r="Y606" i="114"/>
  <c r="U405" i="114"/>
  <c r="Y405" i="114"/>
  <c r="Z405" i="114" s="1"/>
  <c r="AB405" i="114" s="1"/>
  <c r="AC405" i="114" s="1"/>
  <c r="AE405" i="114" s="1"/>
  <c r="AF405" i="114" s="1"/>
  <c r="AH405" i="114" s="1"/>
  <c r="AI405" i="114" s="1"/>
  <c r="AK405" i="114" s="1"/>
  <c r="AL405" i="114" s="1"/>
  <c r="AN405" i="114" s="1"/>
  <c r="U16" i="114"/>
  <c r="Y16" i="114"/>
  <c r="Z16" i="114" s="1"/>
  <c r="AB16" i="114" s="1"/>
  <c r="AC16" i="114" s="1"/>
  <c r="AE16" i="114" s="1"/>
  <c r="AF16" i="114" s="1"/>
  <c r="AH16" i="114" s="1"/>
  <c r="AI16" i="114" s="1"/>
  <c r="AK16" i="114" s="1"/>
  <c r="AL16" i="114" s="1"/>
  <c r="AN16" i="114" s="1"/>
  <c r="V354" i="114"/>
  <c r="Y354" i="114"/>
  <c r="Z354" i="114" s="1"/>
  <c r="AB354" i="114" s="1"/>
  <c r="U605" i="114"/>
  <c r="Y605" i="114"/>
  <c r="Z605" i="114" s="1"/>
  <c r="AB605" i="114" s="1"/>
  <c r="AC605" i="114" s="1"/>
  <c r="AE605" i="114" s="1"/>
  <c r="AF605" i="114" s="1"/>
  <c r="AH605" i="114" s="1"/>
  <c r="AI605" i="114" s="1"/>
  <c r="AK605" i="114" s="1"/>
  <c r="AL605" i="114" s="1"/>
  <c r="AN605" i="114" s="1"/>
  <c r="U712" i="114"/>
  <c r="Z712" i="114"/>
  <c r="AB712" i="114" s="1"/>
  <c r="AC712" i="114" s="1"/>
  <c r="AE712" i="114" s="1"/>
  <c r="V362" i="114"/>
  <c r="Y362" i="114"/>
  <c r="Z362" i="114" s="1"/>
  <c r="AB362" i="114" s="1"/>
  <c r="U691" i="114"/>
  <c r="Y691" i="114"/>
  <c r="V360" i="114"/>
  <c r="Y360" i="114"/>
  <c r="Z360" i="114" s="1"/>
  <c r="AB360" i="114" s="1"/>
  <c r="U333" i="114"/>
  <c r="Y333" i="114"/>
  <c r="Z333" i="114" s="1"/>
  <c r="AB333" i="114" s="1"/>
  <c r="AC333" i="114" s="1"/>
  <c r="AE333" i="114" s="1"/>
  <c r="AF333" i="114" s="1"/>
  <c r="AH333" i="114" s="1"/>
  <c r="U596" i="114"/>
  <c r="Y596" i="114"/>
  <c r="Z596" i="114" s="1"/>
  <c r="AB596" i="114" s="1"/>
  <c r="AC596" i="114" s="1"/>
  <c r="AE596" i="114" s="1"/>
  <c r="AF596" i="114" s="1"/>
  <c r="AH596" i="114" s="1"/>
  <c r="AI596" i="114" s="1"/>
  <c r="AK596" i="114" s="1"/>
  <c r="AL596" i="114" s="1"/>
  <c r="AN596" i="114" s="1"/>
  <c r="AB620" i="114"/>
  <c r="Z627" i="114"/>
  <c r="V707" i="114"/>
  <c r="Y707" i="114"/>
  <c r="Z707" i="114" s="1"/>
  <c r="AB707" i="114" s="1"/>
  <c r="AC707" i="114" s="1"/>
  <c r="AE707" i="114" s="1"/>
  <c r="U703" i="114"/>
  <c r="Z703" i="114"/>
  <c r="AB703" i="114" s="1"/>
  <c r="AC703" i="114" s="1"/>
  <c r="AE703" i="114" s="1"/>
  <c r="Y669" i="114"/>
  <c r="Z661" i="114"/>
  <c r="Y677" i="114"/>
  <c r="U717" i="114"/>
  <c r="Z717" i="114"/>
  <c r="AB717" i="114" s="1"/>
  <c r="AC717" i="114" s="1"/>
  <c r="AE717" i="114" s="1"/>
  <c r="U593" i="114"/>
  <c r="Y593" i="114"/>
  <c r="Z593" i="114" s="1"/>
  <c r="AB593" i="114" s="1"/>
  <c r="U589" i="114"/>
  <c r="Y589" i="114"/>
  <c r="Z589" i="114" s="1"/>
  <c r="AB589" i="114" s="1"/>
  <c r="AC589" i="114" s="1"/>
  <c r="AE589" i="114" s="1"/>
  <c r="AF589" i="114" s="1"/>
  <c r="AH589" i="114" s="1"/>
  <c r="AI589" i="114" s="1"/>
  <c r="AK589" i="114" s="1"/>
  <c r="AL589" i="114" s="1"/>
  <c r="AN589" i="114" s="1"/>
  <c r="U369" i="114"/>
  <c r="Y369" i="114"/>
  <c r="Z369" i="114" s="1"/>
  <c r="AB369" i="114" s="1"/>
  <c r="U711" i="114"/>
  <c r="Z711" i="114"/>
  <c r="AB711" i="114" s="1"/>
  <c r="AC711" i="114" s="1"/>
  <c r="AE711" i="114" s="1"/>
  <c r="U595" i="114"/>
  <c r="Y595" i="114"/>
  <c r="Z595" i="114" s="1"/>
  <c r="AB595" i="114" s="1"/>
  <c r="AC595" i="114" s="1"/>
  <c r="AE595" i="114" s="1"/>
  <c r="AF595" i="114" s="1"/>
  <c r="AH595" i="114" s="1"/>
  <c r="AI595" i="114" s="1"/>
  <c r="AK595" i="114" s="1"/>
  <c r="AL595" i="114" s="1"/>
  <c r="AN595" i="114" s="1"/>
  <c r="U592" i="114"/>
  <c r="Y592" i="114"/>
  <c r="Z592" i="114" s="1"/>
  <c r="AB592" i="114" s="1"/>
  <c r="AC592" i="114" s="1"/>
  <c r="AE592" i="114" s="1"/>
  <c r="AF592" i="114" s="1"/>
  <c r="AH592" i="114" s="1"/>
  <c r="U693" i="114"/>
  <c r="Y693" i="114"/>
  <c r="Z693" i="114" s="1"/>
  <c r="AB693" i="114" s="1"/>
  <c r="AC693" i="114" s="1"/>
  <c r="AE693" i="114" s="1"/>
  <c r="U372" i="114"/>
  <c r="Y372" i="114"/>
  <c r="Z372" i="114" s="1"/>
  <c r="AB372" i="114" s="1"/>
  <c r="U349" i="114"/>
  <c r="Y349" i="114"/>
  <c r="Z349" i="114" s="1"/>
  <c r="AB349" i="114" s="1"/>
  <c r="AC349" i="114" s="1"/>
  <c r="AE349" i="114" s="1"/>
  <c r="AB650" i="114"/>
  <c r="AC434" i="68"/>
  <c r="AE434" i="68" s="1"/>
  <c r="AF434" i="68" s="1"/>
  <c r="AH434" i="68" s="1"/>
  <c r="AC43" i="114"/>
  <c r="AE43" i="114" s="1"/>
  <c r="AF43" i="114" s="1"/>
  <c r="AH43" i="114" s="1"/>
  <c r="AC50" i="68"/>
  <c r="AE50" i="68" s="1"/>
  <c r="AC65" i="68"/>
  <c r="AE65" i="68" s="1"/>
  <c r="AF65" i="68" s="1"/>
  <c r="AH65" i="68" s="1"/>
  <c r="AC320" i="114"/>
  <c r="AE320" i="114" s="1"/>
  <c r="AF320" i="114" s="1"/>
  <c r="AH320" i="114" s="1"/>
  <c r="AB78" i="68"/>
  <c r="AC78" i="68" s="1"/>
  <c r="AE78" i="68" s="1"/>
  <c r="AF78" i="68" s="1"/>
  <c r="AH78" i="68" s="1"/>
  <c r="AB1462" i="68"/>
  <c r="AC1462" i="68" s="1"/>
  <c r="AE1462" i="68" s="1"/>
  <c r="AF1462" i="68" s="1"/>
  <c r="AH1462" i="68" s="1"/>
  <c r="AB87" i="68"/>
  <c r="AC87" i="68" s="1"/>
  <c r="AE87" i="68" s="1"/>
  <c r="AF87" i="68" s="1"/>
  <c r="AH87" i="68" s="1"/>
  <c r="AB647" i="68"/>
  <c r="AC647" i="68" s="1"/>
  <c r="AE647" i="68" s="1"/>
  <c r="AF647" i="68" s="1"/>
  <c r="AH647" i="68" s="1"/>
  <c r="AB75" i="68"/>
  <c r="AC75" i="68" s="1"/>
  <c r="AE75" i="68" s="1"/>
  <c r="AF75" i="68" s="1"/>
  <c r="AH75" i="68" s="1"/>
  <c r="AB77" i="68"/>
  <c r="AC77" i="68" s="1"/>
  <c r="AE77" i="68" s="1"/>
  <c r="AF77" i="68" s="1"/>
  <c r="AH77" i="68" s="1"/>
  <c r="AB47" i="68"/>
  <c r="AC47" i="68" s="1"/>
  <c r="AE47" i="68" s="1"/>
  <c r="AB1532" i="68"/>
  <c r="AC1532" i="68" s="1"/>
  <c r="AE1532" i="68" s="1"/>
  <c r="AF1532" i="68" s="1"/>
  <c r="AH1532" i="68" s="1"/>
  <c r="AB1526" i="68"/>
  <c r="AC1526" i="68" s="1"/>
  <c r="AE1526" i="68" s="1"/>
  <c r="AF1526" i="68" s="1"/>
  <c r="AH1526" i="68" s="1"/>
  <c r="AB12" i="68"/>
  <c r="AC12" i="68" s="1"/>
  <c r="AE12" i="68" s="1"/>
  <c r="AF12" i="68" s="1"/>
  <c r="AH12" i="68" s="1"/>
  <c r="AB792" i="68"/>
  <c r="AC792" i="68" s="1"/>
  <c r="AE792" i="68" s="1"/>
  <c r="AF792" i="68" s="1"/>
  <c r="AH792" i="68" s="1"/>
  <c r="AB312" i="68"/>
  <c r="AC312" i="68" s="1"/>
  <c r="AE312" i="68" s="1"/>
  <c r="AF312" i="68" s="1"/>
  <c r="AH312" i="68" s="1"/>
  <c r="AB542" i="68"/>
  <c r="AC542" i="68" s="1"/>
  <c r="AE542" i="68" s="1"/>
  <c r="AF542" i="68" s="1"/>
  <c r="AH542" i="68" s="1"/>
  <c r="AB24" i="68"/>
  <c r="AC24" i="68" s="1"/>
  <c r="AE24" i="68" s="1"/>
  <c r="AF24" i="68" s="1"/>
  <c r="AH24" i="68" s="1"/>
  <c r="AB90" i="68"/>
  <c r="AC90" i="68" s="1"/>
  <c r="AE90" i="68" s="1"/>
  <c r="AF90" i="68" s="1"/>
  <c r="AH90" i="68" s="1"/>
  <c r="AI90" i="68" s="1"/>
  <c r="AK90" i="68" s="1"/>
  <c r="AL90" i="68" s="1"/>
  <c r="AN90" i="68" s="1"/>
  <c r="AB449" i="68"/>
  <c r="AC449" i="68" s="1"/>
  <c r="AE449" i="68" s="1"/>
  <c r="AF449" i="68" s="1"/>
  <c r="AH449" i="68" s="1"/>
  <c r="AI449" i="68" s="1"/>
  <c r="AK449" i="68" s="1"/>
  <c r="AL449" i="68" s="1"/>
  <c r="AN449" i="68" s="1"/>
  <c r="AB288" i="68"/>
  <c r="AC288" i="68" s="1"/>
  <c r="AE288" i="68" s="1"/>
  <c r="AF288" i="68" s="1"/>
  <c r="AH288" i="68" s="1"/>
  <c r="AB1893" i="68"/>
  <c r="AC1893" i="68" s="1"/>
  <c r="AE1893" i="68" s="1"/>
  <c r="AF1893" i="68" s="1"/>
  <c r="AH1893" i="68" s="1"/>
  <c r="AI1893" i="68" s="1"/>
  <c r="AK1893" i="68" s="1"/>
  <c r="AL1893" i="68" s="1"/>
  <c r="AN1893" i="68" s="1"/>
  <c r="AB381" i="68"/>
  <c r="AC381" i="68" s="1"/>
  <c r="AE381" i="68" s="1"/>
  <c r="AF381" i="68" s="1"/>
  <c r="AH381" i="68" s="1"/>
  <c r="AB36" i="68"/>
  <c r="AC36" i="68" s="1"/>
  <c r="AE36" i="68" s="1"/>
  <c r="AB84" i="68"/>
  <c r="AC84" i="68" s="1"/>
  <c r="AE84" i="68" s="1"/>
  <c r="AF84" i="68" s="1"/>
  <c r="AH84" i="68" s="1"/>
  <c r="AC1917" i="68"/>
  <c r="AE1917" i="68" s="1"/>
  <c r="AF1917" i="68" s="1"/>
  <c r="AH1917" i="68" s="1"/>
  <c r="O28" i="3"/>
  <c r="E260" i="103"/>
  <c r="AC441" i="68"/>
  <c r="AE441" i="68" s="1"/>
  <c r="AF441" i="68" s="1"/>
  <c r="AH441" i="68" s="1"/>
  <c r="AC1546" i="68"/>
  <c r="AE1546" i="68" s="1"/>
  <c r="AF1546" i="68" s="1"/>
  <c r="AH1546" i="68" s="1"/>
  <c r="G3" i="103"/>
  <c r="F394" i="103"/>
  <c r="F398" i="103" s="1"/>
  <c r="F390" i="103"/>
  <c r="AC1896" i="68"/>
  <c r="AE1896" i="68" s="1"/>
  <c r="E262" i="103"/>
  <c r="E263" i="103" s="1"/>
  <c r="AC367" i="114"/>
  <c r="AE367" i="114" s="1"/>
  <c r="AF367" i="114" s="1"/>
  <c r="AH367" i="114" s="1"/>
  <c r="AC37" i="114"/>
  <c r="AE37" i="114" s="1"/>
  <c r="AF37" i="114" s="1"/>
  <c r="AH37" i="114" s="1"/>
  <c r="O15" i="3"/>
  <c r="F60" i="103"/>
  <c r="F61" i="103" s="1"/>
  <c r="E55" i="103"/>
  <c r="E56" i="103" s="1"/>
  <c r="E57" i="103" s="1"/>
  <c r="E58" i="103" s="1"/>
  <c r="O12" i="3"/>
  <c r="F37" i="103"/>
  <c r="F50" i="103" s="1"/>
  <c r="F51" i="103" s="1"/>
  <c r="F52" i="103" s="1"/>
  <c r="F53" i="103" s="1"/>
  <c r="F54" i="103" s="1"/>
  <c r="F55" i="103" s="1"/>
  <c r="F56" i="103" s="1"/>
  <c r="F57" i="103" s="1"/>
  <c r="F58" i="103" s="1"/>
  <c r="F59" i="103" s="1"/>
  <c r="F62" i="103" s="1"/>
  <c r="F63" i="103" s="1"/>
  <c r="F64" i="103" s="1"/>
  <c r="E67" i="103"/>
  <c r="AC66" i="68"/>
  <c r="AE66" i="68" s="1"/>
  <c r="AF66" i="68" s="1"/>
  <c r="AH66" i="68" s="1"/>
  <c r="O13" i="3"/>
  <c r="G36" i="103" s="1"/>
  <c r="F38" i="103"/>
  <c r="F39" i="103" s="1"/>
  <c r="F40" i="103" s="1"/>
  <c r="F41" i="103" s="1"/>
  <c r="F42" i="103" s="1"/>
  <c r="F43" i="103" s="1"/>
  <c r="F44" i="103" s="1"/>
  <c r="F45" i="103" s="1"/>
  <c r="F46" i="103" s="1"/>
  <c r="F47" i="103" s="1"/>
  <c r="F48" i="103" s="1"/>
  <c r="F49" i="103" s="1"/>
  <c r="F138" i="103" s="1"/>
  <c r="F139" i="103" s="1"/>
  <c r="F140" i="103" s="1"/>
  <c r="F141" i="103" s="1"/>
  <c r="F142" i="103" s="1"/>
  <c r="F143" i="103" s="1"/>
  <c r="F144" i="103" s="1"/>
  <c r="F145" i="103" s="1"/>
  <c r="F146" i="103" s="1"/>
  <c r="F292" i="103"/>
  <c r="F123" i="103"/>
  <c r="F147" i="103" s="1"/>
  <c r="F148" i="103" s="1"/>
  <c r="F149" i="103" s="1"/>
  <c r="F150" i="103" s="1"/>
  <c r="F151" i="103" s="1"/>
  <c r="F152" i="103" s="1"/>
  <c r="F76" i="103"/>
  <c r="AC55" i="68"/>
  <c r="AE55" i="68" s="1"/>
  <c r="P29" i="3"/>
  <c r="H284" i="103" s="1"/>
  <c r="H292" i="103" s="1"/>
  <c r="H319" i="103" s="1"/>
  <c r="H326" i="103" s="1"/>
  <c r="H332" i="103" s="1"/>
  <c r="H338" i="103" s="1"/>
  <c r="H368" i="103" s="1"/>
  <c r="H369" i="103" s="1"/>
  <c r="H370" i="103" s="1"/>
  <c r="H372" i="103" s="1"/>
  <c r="H374" i="103" s="1"/>
  <c r="G284" i="103"/>
  <c r="G292" i="103" s="1"/>
  <c r="G319" i="103" s="1"/>
  <c r="G326" i="103" s="1"/>
  <c r="G332" i="103" s="1"/>
  <c r="G338" i="103" s="1"/>
  <c r="G368" i="103" s="1"/>
  <c r="G369" i="103" s="1"/>
  <c r="G370" i="103" s="1"/>
  <c r="G372" i="103" s="1"/>
  <c r="G374" i="103" s="1"/>
  <c r="V280" i="68"/>
  <c r="Y280" i="68"/>
  <c r="Z280" i="68" s="1"/>
  <c r="U283" i="68"/>
  <c r="Y283" i="68"/>
  <c r="Z283" i="68" s="1"/>
  <c r="U289" i="68"/>
  <c r="Y289" i="68"/>
  <c r="Z289" i="68" s="1"/>
  <c r="AB289" i="68" s="1"/>
  <c r="V305" i="68"/>
  <c r="Y305" i="68"/>
  <c r="Z305" i="68" s="1"/>
  <c r="AB305" i="68" s="1"/>
  <c r="U385" i="68"/>
  <c r="Y385" i="68"/>
  <c r="Z385" i="68" s="1"/>
  <c r="U290" i="68"/>
  <c r="Y290" i="68"/>
  <c r="Z290" i="68" s="1"/>
  <c r="AB290" i="68" s="1"/>
  <c r="U297" i="68"/>
  <c r="Y297" i="68"/>
  <c r="Z297" i="68" s="1"/>
  <c r="AB297" i="68" s="1"/>
  <c r="V279" i="68"/>
  <c r="Y279" i="68"/>
  <c r="Z279" i="68" s="1"/>
  <c r="U61" i="68"/>
  <c r="Y61" i="68"/>
  <c r="Z61" i="68" s="1"/>
  <c r="U79" i="68"/>
  <c r="Y79" i="68"/>
  <c r="Z79" i="68" s="1"/>
  <c r="U19" i="68"/>
  <c r="Y19" i="68"/>
  <c r="Z19" i="68" s="1"/>
  <c r="V49" i="68"/>
  <c r="Y49" i="68"/>
  <c r="Z49" i="68" s="1"/>
  <c r="U51" i="68"/>
  <c r="Y51" i="68"/>
  <c r="Z51" i="68" s="1"/>
  <c r="U1579" i="68"/>
  <c r="U309" i="68"/>
  <c r="Y309" i="68"/>
  <c r="Z309" i="68" s="1"/>
  <c r="AB309" i="68" s="1"/>
  <c r="U33" i="68"/>
  <c r="Y33" i="68"/>
  <c r="Z33" i="68" s="1"/>
  <c r="U31" i="68"/>
  <c r="Y31" i="68"/>
  <c r="Z31" i="68" s="1"/>
  <c r="U39" i="68"/>
  <c r="Y39" i="68"/>
  <c r="Z39" i="68" s="1"/>
  <c r="U301" i="68"/>
  <c r="Y301" i="68"/>
  <c r="Z301" i="68" s="1"/>
  <c r="AB301" i="68" s="1"/>
  <c r="V326" i="68"/>
  <c r="U1553" i="68"/>
  <c r="Y1553" i="68"/>
  <c r="Z1553" i="68" s="1"/>
  <c r="AB1553" i="68" s="1"/>
  <c r="U1528" i="68"/>
  <c r="Y1528" i="68"/>
  <c r="Z1528" i="68" s="1"/>
  <c r="U25" i="68"/>
  <c r="Y25" i="68"/>
  <c r="Z25" i="68" s="1"/>
  <c r="U48" i="68"/>
  <c r="Y48" i="68"/>
  <c r="Z48" i="68" s="1"/>
  <c r="U1578" i="68"/>
  <c r="U1527" i="68"/>
  <c r="Y1527" i="68"/>
  <c r="Z1527" i="68" s="1"/>
  <c r="U72" i="68"/>
  <c r="Y72" i="68"/>
  <c r="Z72" i="68" s="1"/>
  <c r="AB72" i="68" s="1"/>
  <c r="U26" i="68"/>
  <c r="Y26" i="68"/>
  <c r="Z26" i="68" s="1"/>
  <c r="U76" i="68"/>
  <c r="Y76" i="68"/>
  <c r="Z76" i="68" s="1"/>
  <c r="U13" i="68"/>
  <c r="Y13" i="68"/>
  <c r="Z13" i="68" s="1"/>
  <c r="V1548" i="68"/>
  <c r="Y1548" i="68"/>
  <c r="Z1548" i="68" s="1"/>
  <c r="AB1548" i="68" s="1"/>
  <c r="V45" i="68"/>
  <c r="Y45" i="68"/>
  <c r="Z45" i="68" s="1"/>
  <c r="V23" i="68"/>
  <c r="Y23" i="68"/>
  <c r="Z23" i="68" s="1"/>
  <c r="V1590" i="68"/>
  <c r="V282" i="68"/>
  <c r="Y282" i="68"/>
  <c r="Z282" i="68" s="1"/>
  <c r="U1534" i="68"/>
  <c r="Y1534" i="68"/>
  <c r="Z1534" i="68" s="1"/>
  <c r="AB1534" i="68" s="1"/>
  <c r="U1557" i="68"/>
  <c r="Y1557" i="68"/>
  <c r="Z1557" i="68" s="1"/>
  <c r="AB1557" i="68" s="1"/>
  <c r="U1914" i="68"/>
  <c r="Y1914" i="68"/>
  <c r="Z1914" i="68" s="1"/>
  <c r="V85" i="68"/>
  <c r="Y85" i="68"/>
  <c r="Z85" i="68" s="1"/>
  <c r="U46" i="68"/>
  <c r="Y46" i="68"/>
  <c r="Z46" i="68" s="1"/>
  <c r="U1911" i="68"/>
  <c r="Y1911" i="68"/>
  <c r="Z1911" i="68" s="1"/>
  <c r="AB1911" i="68" s="1"/>
  <c r="V321" i="68"/>
  <c r="Y321" i="68"/>
  <c r="Z321" i="68" s="1"/>
  <c r="V53" i="68"/>
  <c r="Y53" i="68"/>
  <c r="Z53" i="68" s="1"/>
  <c r="U64" i="68"/>
  <c r="Y64" i="68"/>
  <c r="Z64" i="68" s="1"/>
  <c r="AB64" i="68" s="1"/>
  <c r="U42" i="68"/>
  <c r="Y42" i="68"/>
  <c r="Z42" i="68" s="1"/>
  <c r="V32" i="68"/>
  <c r="Y32" i="68"/>
  <c r="Z32" i="68" s="1"/>
  <c r="U325" i="68"/>
  <c r="Y325" i="68"/>
  <c r="Z325" i="68" s="1"/>
  <c r="U1538" i="68"/>
  <c r="Y1538" i="68"/>
  <c r="Z1538" i="68" s="1"/>
  <c r="V1576" i="68"/>
  <c r="U1923" i="68"/>
  <c r="Y1923" i="68"/>
  <c r="Z1923" i="68" s="1"/>
  <c r="AB1923" i="68" s="1"/>
  <c r="U34" i="68"/>
  <c r="Y34" i="68"/>
  <c r="Z34" i="68" s="1"/>
  <c r="V15" i="68"/>
  <c r="Y15" i="68"/>
  <c r="Z15" i="68" s="1"/>
  <c r="U54" i="68"/>
  <c r="Y54" i="68"/>
  <c r="Z54" i="68" s="1"/>
  <c r="U284" i="68"/>
  <c r="Y284" i="68"/>
  <c r="Z284" i="68" s="1"/>
  <c r="U62" i="68"/>
  <c r="Y62" i="68"/>
  <c r="Z62" i="68" s="1"/>
  <c r="V29" i="68"/>
  <c r="Y29" i="68"/>
  <c r="Z29" i="68" s="1"/>
  <c r="U52" i="68"/>
  <c r="Y52" i="68"/>
  <c r="Z52" i="68" s="1"/>
  <c r="V293" i="68"/>
  <c r="Y293" i="68"/>
  <c r="Z293" i="68" s="1"/>
  <c r="U296" i="68"/>
  <c r="Y296" i="68"/>
  <c r="Z296" i="68" s="1"/>
  <c r="AB296" i="68" s="1"/>
  <c r="V17" i="68"/>
  <c r="Y17" i="68"/>
  <c r="Z17" i="68" s="1"/>
  <c r="U81" i="68"/>
  <c r="Y81" i="68"/>
  <c r="Z81" i="68" s="1"/>
  <c r="U83" i="68"/>
  <c r="Y83" i="68"/>
  <c r="Z83" i="68" s="1"/>
  <c r="V1547" i="68"/>
  <c r="Y1547" i="68"/>
  <c r="Z1547" i="68" s="1"/>
  <c r="U70" i="68"/>
  <c r="Y70" i="68"/>
  <c r="Z70" i="68" s="1"/>
  <c r="AB70" i="68" s="1"/>
  <c r="V319" i="68"/>
  <c r="Y319" i="68"/>
  <c r="Z319" i="68" s="1"/>
  <c r="U1556" i="68"/>
  <c r="Y1556" i="68"/>
  <c r="Z1556" i="68" s="1"/>
  <c r="AB1556" i="68" s="1"/>
  <c r="V1594" i="68"/>
  <c r="U1521" i="68"/>
  <c r="Y1521" i="68"/>
  <c r="Z1521" i="68" s="1"/>
  <c r="V1924" i="68"/>
  <c r="Y1924" i="68"/>
  <c r="Z1924" i="68" s="1"/>
  <c r="AB1924" i="68" s="1"/>
  <c r="U69" i="68"/>
  <c r="Y69" i="68"/>
  <c r="Z69" i="68" s="1"/>
  <c r="AB69" i="68" s="1"/>
  <c r="U292" i="68"/>
  <c r="Y292" i="68"/>
  <c r="Z292" i="68" s="1"/>
  <c r="AB292" i="68" s="1"/>
  <c r="U1559" i="68"/>
  <c r="Y1559" i="68"/>
  <c r="Z1559" i="68" s="1"/>
  <c r="AB1559" i="68" s="1"/>
  <c r="U88" i="68"/>
  <c r="Y88" i="68"/>
  <c r="Z88" i="68" s="1"/>
  <c r="AB88" i="68" s="1"/>
  <c r="U1522" i="68"/>
  <c r="Y1522" i="68"/>
  <c r="Z1522" i="68" s="1"/>
  <c r="U1520" i="68"/>
  <c r="Y1520" i="68"/>
  <c r="Z1520" i="68" s="1"/>
  <c r="U1552" i="68"/>
  <c r="Y1552" i="68"/>
  <c r="Z1552" i="68" s="1"/>
  <c r="AB1552" i="68" s="1"/>
  <c r="U58" i="68"/>
  <c r="Y58" i="68"/>
  <c r="Z58" i="68" s="1"/>
  <c r="AB58" i="68" s="1"/>
  <c r="U43" i="68"/>
  <c r="Y43" i="68"/>
  <c r="Z43" i="68" s="1"/>
  <c r="V1586" i="68"/>
  <c r="V60" i="68"/>
  <c r="Y60" i="68"/>
  <c r="Z60" i="68" s="1"/>
  <c r="AB60" i="68" s="1"/>
  <c r="U440" i="68"/>
  <c r="Y440" i="68"/>
  <c r="Z440" i="68" s="1"/>
  <c r="V1524" i="68"/>
  <c r="Y1524" i="68"/>
  <c r="Z1524" i="68" s="1"/>
  <c r="U67" i="68"/>
  <c r="Y67" i="68"/>
  <c r="Z67" i="68" s="1"/>
  <c r="AB67" i="68" s="1"/>
  <c r="U1533" i="68"/>
  <c r="Y1533" i="68"/>
  <c r="Z1533" i="68" s="1"/>
  <c r="AB1533" i="68" s="1"/>
  <c r="V1537" i="68"/>
  <c r="Y1537" i="68"/>
  <c r="Z1537" i="68" s="1"/>
  <c r="AB1537" i="68" s="1"/>
  <c r="U1575" i="68"/>
  <c r="U1529" i="68"/>
  <c r="Y1529" i="68"/>
  <c r="Z1529" i="68" s="1"/>
  <c r="U1910" i="68"/>
  <c r="Y1910" i="68"/>
  <c r="Z1910" i="68" s="1"/>
  <c r="AB1910" i="68" s="1"/>
  <c r="V1523" i="68"/>
  <c r="Y1523" i="68"/>
  <c r="Z1523" i="68" s="1"/>
  <c r="V44" i="68"/>
  <c r="Y44" i="68"/>
  <c r="Z44" i="68" s="1"/>
  <c r="V320" i="68"/>
  <c r="Y320" i="68"/>
  <c r="Z320" i="68" s="1"/>
  <c r="V1591" i="68"/>
  <c r="U89" i="68"/>
  <c r="Y89" i="68"/>
  <c r="Z89" i="68" s="1"/>
  <c r="U86" i="68"/>
  <c r="Y86" i="68"/>
  <c r="Z86" i="68" s="1"/>
  <c r="U281" i="68"/>
  <c r="Y281" i="68"/>
  <c r="Z281" i="68" s="1"/>
  <c r="V1543" i="68"/>
  <c r="Y1543" i="68"/>
  <c r="Z1543" i="68" s="1"/>
  <c r="AB1543" i="68" s="1"/>
  <c r="U1574" i="68"/>
  <c r="U1540" i="68"/>
  <c r="Y1540" i="68"/>
  <c r="Z1540" i="68" s="1"/>
  <c r="AB1540" i="68" s="1"/>
  <c r="U40" i="68"/>
  <c r="Y40" i="68"/>
  <c r="Z40" i="68" s="1"/>
  <c r="U306" i="68"/>
  <c r="Y306" i="68"/>
  <c r="Z306" i="68" s="1"/>
  <c r="AB306" i="68" s="1"/>
  <c r="U38" i="68"/>
  <c r="Y38" i="68"/>
  <c r="Z38" i="68" s="1"/>
  <c r="V57" i="68"/>
  <c r="Y57" i="68"/>
  <c r="Z57" i="68" s="1"/>
  <c r="AB57" i="68" s="1"/>
  <c r="U92" i="68"/>
  <c r="Y92" i="68"/>
  <c r="Z92" i="68" s="1"/>
  <c r="U94" i="68"/>
  <c r="Y94" i="68"/>
  <c r="Z94" i="68" s="1"/>
  <c r="U21" i="68"/>
  <c r="Y21" i="68"/>
  <c r="Z21" i="68" s="1"/>
  <c r="U308" i="68"/>
  <c r="Y308" i="68"/>
  <c r="Z308" i="68" s="1"/>
  <c r="AB308" i="68" s="1"/>
  <c r="V28" i="68"/>
  <c r="Y28" i="68"/>
  <c r="Z28" i="68" s="1"/>
  <c r="U37" i="68"/>
  <c r="Y37" i="68"/>
  <c r="Z37" i="68" s="1"/>
  <c r="U446" i="68"/>
  <c r="Y446" i="68"/>
  <c r="Z446" i="68" s="1"/>
  <c r="AB446" i="68" s="1"/>
  <c r="U291" i="68"/>
  <c r="Y291" i="68"/>
  <c r="Z291" i="68" s="1"/>
  <c r="AB291" i="68" s="1"/>
  <c r="U1580" i="68"/>
  <c r="U1551" i="68"/>
  <c r="Y1551" i="68"/>
  <c r="Z1551" i="68" s="1"/>
  <c r="AB1551" i="68" s="1"/>
  <c r="T272" i="68"/>
  <c r="Y271" i="68"/>
  <c r="Z271" i="68" s="1"/>
  <c r="U298" i="68"/>
  <c r="Y298" i="68"/>
  <c r="Z298" i="68" s="1"/>
  <c r="AB298" i="68" s="1"/>
  <c r="V1592" i="68"/>
  <c r="U285" i="68"/>
  <c r="Y285" i="68"/>
  <c r="Z285" i="68" s="1"/>
  <c r="U1558" i="68"/>
  <c r="Y1558" i="68"/>
  <c r="Z1558" i="68" s="1"/>
  <c r="AB1558" i="68" s="1"/>
  <c r="U91" i="68"/>
  <c r="Y91" i="68"/>
  <c r="Z91" i="68" s="1"/>
  <c r="U322" i="68"/>
  <c r="Y322" i="68"/>
  <c r="Z322" i="68" s="1"/>
  <c r="AB322" i="68" s="1"/>
  <c r="V294" i="68"/>
  <c r="Y294" i="68"/>
  <c r="Z294" i="68" s="1"/>
  <c r="AB294" i="68" s="1"/>
  <c r="U1577" i="68"/>
  <c r="U41" i="68"/>
  <c r="Y41" i="68"/>
  <c r="Z41" i="68" s="1"/>
  <c r="U302" i="68"/>
  <c r="Y302" i="68"/>
  <c r="Z302" i="68" s="1"/>
  <c r="AB302" i="68" s="1"/>
  <c r="U93" i="68"/>
  <c r="Y93" i="68"/>
  <c r="Z93" i="68" s="1"/>
  <c r="U20" i="68"/>
  <c r="Y20" i="68"/>
  <c r="Z20" i="68" s="1"/>
  <c r="U444" i="68"/>
  <c r="U16" i="68"/>
  <c r="Y16" i="68"/>
  <c r="Z16" i="68" s="1"/>
  <c r="V303" i="68"/>
  <c r="Y303" i="68"/>
  <c r="Z303" i="68" s="1"/>
  <c r="AB303" i="68" s="1"/>
  <c r="U12" i="68"/>
  <c r="Y10" i="68"/>
  <c r="U327" i="68"/>
  <c r="Y327" i="68"/>
  <c r="Z327" i="68" s="1"/>
  <c r="AB327" i="68" s="1"/>
  <c r="U278" i="68"/>
  <c r="Y278" i="68"/>
  <c r="Z278" i="68" s="1"/>
  <c r="U1595" i="68"/>
  <c r="D147" i="6"/>
  <c r="C108" i="6"/>
  <c r="H108" i="6" s="1"/>
  <c r="V3" i="32"/>
  <c r="O16" i="3"/>
  <c r="G65" i="103" s="1"/>
  <c r="G66" i="103" s="1"/>
  <c r="G67" i="103" s="1"/>
  <c r="G68" i="103" s="1"/>
  <c r="G69" i="103" s="1"/>
  <c r="G70" i="103" s="1"/>
  <c r="G71" i="103" s="1"/>
  <c r="G72" i="103" s="1"/>
  <c r="G73" i="103" s="1"/>
  <c r="G74" i="103" s="1"/>
  <c r="G75" i="103" s="1"/>
  <c r="U48" i="32"/>
  <c r="V48" i="32"/>
  <c r="W48" i="32"/>
  <c r="V45" i="32"/>
  <c r="W45" i="32"/>
  <c r="U45" i="32"/>
  <c r="W44" i="32"/>
  <c r="V44" i="32"/>
  <c r="U44" i="32"/>
  <c r="J51" i="32"/>
  <c r="W50" i="32"/>
  <c r="V50" i="32"/>
  <c r="U50" i="32"/>
  <c r="J55" i="32"/>
  <c r="V46" i="32"/>
  <c r="W46" i="32"/>
  <c r="U46" i="32"/>
  <c r="J49" i="32"/>
  <c r="J54" i="32"/>
  <c r="J53" i="32"/>
  <c r="J47" i="32"/>
  <c r="O26" i="3"/>
  <c r="G258" i="103" s="1"/>
  <c r="G259" i="103" s="1"/>
  <c r="G260" i="103" s="1"/>
  <c r="G261" i="103" s="1"/>
  <c r="J9" i="115"/>
  <c r="U101" i="68"/>
  <c r="V718" i="114"/>
  <c r="K9" i="115"/>
  <c r="K8" i="114"/>
  <c r="U777" i="68"/>
  <c r="V777" i="68"/>
  <c r="V691" i="114"/>
  <c r="U24" i="68"/>
  <c r="V24" i="68"/>
  <c r="V1462" i="68"/>
  <c r="V960" i="115"/>
  <c r="V727" i="114"/>
  <c r="L1324" i="68"/>
  <c r="U675" i="68"/>
  <c r="L1111" i="68"/>
  <c r="L559" i="68"/>
  <c r="L812" i="68"/>
  <c r="L1468" i="68"/>
  <c r="L1510" i="68"/>
  <c r="L1514" i="68" s="1"/>
  <c r="L1320" i="68"/>
  <c r="L668" i="68"/>
  <c r="L576" i="68"/>
  <c r="L242" i="68"/>
  <c r="L1276" i="68"/>
  <c r="L417" i="68"/>
  <c r="L656" i="68"/>
  <c r="L682" i="68"/>
  <c r="L798" i="68"/>
  <c r="L1854" i="68"/>
  <c r="L548" i="68"/>
  <c r="L252" i="68"/>
  <c r="L1086" i="68"/>
  <c r="L1831" i="68"/>
  <c r="L1878" i="68"/>
  <c r="L402" i="68"/>
  <c r="L1299" i="68"/>
  <c r="L1487" i="68"/>
  <c r="L1065" i="68"/>
  <c r="L826" i="68"/>
  <c r="L269" i="68"/>
  <c r="L1505" i="68"/>
  <c r="P675" i="68"/>
  <c r="L390" i="68"/>
  <c r="L1882" i="68"/>
  <c r="L1886" i="68" s="1"/>
  <c r="U400" i="115"/>
  <c r="K352" i="115"/>
  <c r="K1132" i="115"/>
  <c r="K1153" i="115" s="1"/>
  <c r="K525" i="114"/>
  <c r="K504" i="114"/>
  <c r="K523" i="114"/>
  <c r="K502" i="114"/>
  <c r="K513" i="114"/>
  <c r="K534" i="114"/>
  <c r="K533" i="114"/>
  <c r="K512" i="114"/>
  <c r="K524" i="114"/>
  <c r="K503" i="114"/>
  <c r="K522" i="114"/>
  <c r="K501" i="114"/>
  <c r="K521" i="114"/>
  <c r="K500" i="114"/>
  <c r="K499" i="114"/>
  <c r="K518" i="114"/>
  <c r="K514" i="114"/>
  <c r="K535" i="114"/>
  <c r="K511" i="114"/>
  <c r="K530" i="114"/>
  <c r="K529" i="114"/>
  <c r="K508" i="114"/>
  <c r="K528" i="114"/>
  <c r="K507" i="114"/>
  <c r="K527" i="114"/>
  <c r="K506" i="114"/>
  <c r="K526" i="114"/>
  <c r="K505" i="114"/>
  <c r="K517" i="114"/>
  <c r="K516" i="114"/>
  <c r="K515" i="114"/>
  <c r="K333" i="115"/>
  <c r="K176" i="115"/>
  <c r="K1125" i="115"/>
  <c r="K1152" i="115" s="1"/>
  <c r="K309" i="115"/>
  <c r="K190" i="115"/>
  <c r="K442" i="115"/>
  <c r="K460" i="115"/>
  <c r="K362" i="115"/>
  <c r="K1064" i="115"/>
  <c r="K1150" i="115" s="1"/>
  <c r="K478" i="115"/>
  <c r="K358" i="115"/>
  <c r="K491" i="115"/>
  <c r="K1094" i="115"/>
  <c r="K1151" i="115" s="1"/>
  <c r="K160" i="115"/>
  <c r="K486" i="115"/>
  <c r="P271" i="68"/>
  <c r="P272" i="68" s="1"/>
  <c r="U384" i="68"/>
  <c r="M1147" i="115"/>
  <c r="O6" i="114"/>
  <c r="U999" i="68"/>
  <c r="U997" i="68"/>
  <c r="U1000" i="68"/>
  <c r="O5" i="115"/>
  <c r="O1147" i="115" s="1"/>
  <c r="U331" i="114"/>
  <c r="U1494" i="68"/>
  <c r="P1494" i="68"/>
  <c r="V773" i="115"/>
  <c r="V503" i="115"/>
  <c r="F6" i="115"/>
  <c r="G6" i="115" s="1"/>
  <c r="H6" i="115" s="1"/>
  <c r="I6" i="115" s="1"/>
  <c r="J6" i="115" s="1"/>
  <c r="T534" i="114"/>
  <c r="Y534" i="114" s="1"/>
  <c r="J534" i="114"/>
  <c r="O534" i="114"/>
  <c r="M534" i="114"/>
  <c r="R534" i="114"/>
  <c r="L534" i="114"/>
  <c r="I534" i="114"/>
  <c r="N534" i="114"/>
  <c r="Q534" i="114"/>
  <c r="S534" i="114"/>
  <c r="U149" i="114"/>
  <c r="U169" i="114"/>
  <c r="L190" i="115"/>
  <c r="H1029" i="115"/>
  <c r="H555" i="115"/>
  <c r="H781" i="68"/>
  <c r="H639" i="68"/>
  <c r="U146" i="68"/>
  <c r="H365" i="68"/>
  <c r="H1450" i="68"/>
  <c r="H488" i="114"/>
  <c r="H549" i="114"/>
  <c r="H601" i="114"/>
  <c r="L491" i="115"/>
  <c r="U1378" i="68"/>
  <c r="V1378" i="68"/>
  <c r="I2" i="39"/>
  <c r="N8" i="114" s="1"/>
  <c r="L8" i="114"/>
  <c r="L9" i="115"/>
  <c r="U1769" i="68"/>
  <c r="V1769" i="68"/>
  <c r="U947" i="68"/>
  <c r="V947" i="68"/>
  <c r="U449" i="68"/>
  <c r="V449" i="68"/>
  <c r="U1376" i="68"/>
  <c r="V1376" i="68"/>
  <c r="V717" i="114"/>
  <c r="V743" i="115"/>
  <c r="K812" i="68"/>
  <c r="L358" i="115"/>
  <c r="L486" i="115"/>
  <c r="V724" i="114"/>
  <c r="T713" i="115"/>
  <c r="U713" i="115" s="1"/>
  <c r="L362" i="115"/>
  <c r="L160" i="115"/>
  <c r="L176" i="115"/>
  <c r="L478" i="115"/>
  <c r="L1125" i="115"/>
  <c r="L1152" i="115" s="1"/>
  <c r="L460" i="115"/>
  <c r="L352" i="115"/>
  <c r="L1094" i="115"/>
  <c r="L1151" i="115" s="1"/>
  <c r="L1064" i="115"/>
  <c r="L1150" i="115" s="1"/>
  <c r="L333" i="115"/>
  <c r="L1132" i="115"/>
  <c r="L1153" i="115" s="1"/>
  <c r="L442" i="115"/>
  <c r="L309" i="115"/>
  <c r="L535" i="114"/>
  <c r="L525" i="114"/>
  <c r="L516" i="114"/>
  <c r="L508" i="114"/>
  <c r="L500" i="114"/>
  <c r="L533" i="114"/>
  <c r="L524" i="114"/>
  <c r="L515" i="114"/>
  <c r="L507" i="114"/>
  <c r="L499" i="114"/>
  <c r="L523" i="114"/>
  <c r="L514" i="114"/>
  <c r="L506" i="114"/>
  <c r="L530" i="114"/>
  <c r="L522" i="114"/>
  <c r="L513" i="114"/>
  <c r="L505" i="114"/>
  <c r="L529" i="114"/>
  <c r="L521" i="114"/>
  <c r="L504" i="114"/>
  <c r="L528" i="114"/>
  <c r="L512" i="114"/>
  <c r="L503" i="114"/>
  <c r="L527" i="114"/>
  <c r="L518" i="114"/>
  <c r="L511" i="114"/>
  <c r="L502" i="114"/>
  <c r="L526" i="114"/>
  <c r="L517" i="114"/>
  <c r="L501" i="114"/>
  <c r="K1882" i="68"/>
  <c r="K1886" i="68" s="1"/>
  <c r="U77" i="68"/>
  <c r="V77" i="68"/>
  <c r="V1259" i="68"/>
  <c r="U323" i="114"/>
  <c r="V323" i="114"/>
  <c r="U1206" i="68"/>
  <c r="V1206" i="68"/>
  <c r="K252" i="68"/>
  <c r="K656" i="68"/>
  <c r="K682" i="68"/>
  <c r="K1065" i="68"/>
  <c r="K1299" i="68"/>
  <c r="K1487" i="68"/>
  <c r="K576" i="68"/>
  <c r="K1111" i="68"/>
  <c r="K1086" i="68"/>
  <c r="K417" i="68"/>
  <c r="K798" i="68"/>
  <c r="K548" i="68"/>
  <c r="K390" i="68"/>
  <c r="K402" i="68"/>
  <c r="K559" i="68"/>
  <c r="K1320" i="68"/>
  <c r="K1878" i="68"/>
  <c r="K1510" i="68"/>
  <c r="K1514" i="68" s="1"/>
  <c r="K242" i="68"/>
  <c r="K269" i="68"/>
  <c r="K1505" i="68"/>
  <c r="K668" i="68"/>
  <c r="K826" i="68"/>
  <c r="K1324" i="68"/>
  <c r="K1831" i="68"/>
  <c r="K1468" i="68"/>
  <c r="K1854" i="68"/>
  <c r="K1276" i="68"/>
  <c r="O25" i="3"/>
  <c r="G255" i="103" s="1"/>
  <c r="G256" i="103" s="1"/>
  <c r="G257" i="103" s="1"/>
  <c r="G262" i="103" s="1"/>
  <c r="G263" i="103" s="1"/>
  <c r="G271" i="103" s="1"/>
  <c r="G272" i="103" s="1"/>
  <c r="G273" i="103" s="1"/>
  <c r="G274" i="103" s="1"/>
  <c r="G275" i="103" s="1"/>
  <c r="G276" i="103" s="1"/>
  <c r="G277" i="103" s="1"/>
  <c r="G278" i="103" s="1"/>
  <c r="G289" i="103" s="1"/>
  <c r="G293" i="103" s="1"/>
  <c r="G302" i="103" s="1"/>
  <c r="G303" i="103" s="1"/>
  <c r="G308" i="103" s="1"/>
  <c r="G309" i="103" s="1"/>
  <c r="G310" i="103" s="1"/>
  <c r="G314" i="103" s="1"/>
  <c r="G316" i="103" s="1"/>
  <c r="G317" i="103" s="1"/>
  <c r="G318" i="103" s="1"/>
  <c r="G320" i="103" s="1"/>
  <c r="G321" i="103" s="1"/>
  <c r="G322" i="103" s="1"/>
  <c r="G324" i="103" s="1"/>
  <c r="G328" i="103" s="1"/>
  <c r="G329" i="103" s="1"/>
  <c r="G334" i="103" s="1"/>
  <c r="G339" i="103" s="1"/>
  <c r="G341" i="103" s="1"/>
  <c r="G359" i="103" s="1"/>
  <c r="G366" i="103" s="1"/>
  <c r="G377" i="103" s="1"/>
  <c r="G379" i="103" s="1"/>
  <c r="G385" i="103" s="1"/>
  <c r="G386" i="103" s="1"/>
  <c r="G387" i="103" s="1"/>
  <c r="G388" i="103" s="1"/>
  <c r="G389" i="103" s="1"/>
  <c r="O24" i="3"/>
  <c r="O17" i="3"/>
  <c r="P9" i="3"/>
  <c r="H8" i="103" s="1"/>
  <c r="AL14" i="68" s="1"/>
  <c r="AN14" i="68" s="1"/>
  <c r="U60" i="115"/>
  <c r="V60" i="115"/>
  <c r="U767" i="68"/>
  <c r="V767" i="68"/>
  <c r="U721" i="68"/>
  <c r="P384" i="68"/>
  <c r="U17" i="115"/>
  <c r="P1462" i="68"/>
  <c r="P792" i="68"/>
  <c r="P649" i="68"/>
  <c r="U792" i="68"/>
  <c r="U1462" i="68"/>
  <c r="V586" i="68"/>
  <c r="T649" i="68"/>
  <c r="Y649" i="68" s="1"/>
  <c r="Z649" i="68" s="1"/>
  <c r="V374" i="115"/>
  <c r="T439" i="115"/>
  <c r="U554" i="115"/>
  <c r="V520" i="115"/>
  <c r="U542" i="68"/>
  <c r="J8" i="114"/>
  <c r="U681" i="115"/>
  <c r="V275" i="115"/>
  <c r="V62" i="68"/>
  <c r="V282" i="115"/>
  <c r="V126" i="115"/>
  <c r="U757" i="115"/>
  <c r="V1176" i="68"/>
  <c r="V947" i="115"/>
  <c r="V404" i="115"/>
  <c r="V209" i="115"/>
  <c r="V1185" i="68"/>
  <c r="U1369" i="68"/>
  <c r="V746" i="115"/>
  <c r="V396" i="114"/>
  <c r="V405" i="115"/>
  <c r="V262" i="114"/>
  <c r="V26" i="68"/>
  <c r="U567" i="115"/>
  <c r="V284" i="68"/>
  <c r="U945" i="115"/>
  <c r="V652" i="115"/>
  <c r="V941" i="68"/>
  <c r="V536" i="115"/>
  <c r="U933" i="115"/>
  <c r="V738" i="115"/>
  <c r="V534" i="115"/>
  <c r="V680" i="115"/>
  <c r="V74" i="115"/>
  <c r="V666" i="115"/>
  <c r="V798" i="115"/>
  <c r="V203" i="115"/>
  <c r="V981" i="115"/>
  <c r="V924" i="115"/>
  <c r="V54" i="68"/>
  <c r="V530" i="115"/>
  <c r="U532" i="115"/>
  <c r="V108" i="115"/>
  <c r="U1368" i="68"/>
  <c r="V21" i="68"/>
  <c r="V15" i="115"/>
  <c r="V526" i="115"/>
  <c r="U262" i="114"/>
  <c r="V510" i="115"/>
  <c r="X27" i="115"/>
  <c r="V251" i="115"/>
  <c r="V512" i="115"/>
  <c r="V76" i="68"/>
  <c r="X60" i="115"/>
  <c r="V939" i="68"/>
  <c r="U1800" i="68"/>
  <c r="V1683" i="68"/>
  <c r="U205" i="68"/>
  <c r="V1220" i="68"/>
  <c r="V923" i="115"/>
  <c r="U292" i="114"/>
  <c r="U316" i="114"/>
  <c r="V712" i="114"/>
  <c r="P542" i="68"/>
  <c r="U913" i="115"/>
  <c r="V560" i="115"/>
  <c r="V46" i="68"/>
  <c r="V734" i="115"/>
  <c r="U1634" i="68"/>
  <c r="V150" i="114"/>
  <c r="V499" i="115"/>
  <c r="V745" i="68"/>
  <c r="V665" i="115"/>
  <c r="V34" i="68"/>
  <c r="V86" i="115"/>
  <c r="U688" i="115"/>
  <c r="V53" i="115"/>
  <c r="U985" i="68"/>
  <c r="V124" i="115"/>
  <c r="U1047" i="68"/>
  <c r="U1803" i="68"/>
  <c r="V463" i="114"/>
  <c r="U199" i="115"/>
  <c r="V269" i="115"/>
  <c r="U1339" i="68"/>
  <c r="V259" i="115"/>
  <c r="V456" i="114"/>
  <c r="V255" i="115"/>
  <c r="U478" i="68"/>
  <c r="U1404" i="68"/>
  <c r="V169" i="114"/>
  <c r="V840" i="68"/>
  <c r="V1558" i="68"/>
  <c r="U1748" i="68"/>
  <c r="U357" i="68"/>
  <c r="V539" i="115"/>
  <c r="U1168" i="68"/>
  <c r="V151" i="68"/>
  <c r="V1627" i="68"/>
  <c r="U501" i="115"/>
  <c r="I190" i="115"/>
  <c r="I486" i="115"/>
  <c r="I358" i="115"/>
  <c r="U375" i="115"/>
  <c r="V736" i="115"/>
  <c r="V233" i="115"/>
  <c r="U232" i="115"/>
  <c r="V883" i="68"/>
  <c r="U855" i="68"/>
  <c r="U389" i="115"/>
  <c r="V791" i="115"/>
  <c r="U249" i="115"/>
  <c r="V1032" i="115"/>
  <c r="V258" i="115"/>
  <c r="U455" i="114"/>
  <c r="V198" i="115"/>
  <c r="U380" i="114"/>
  <c r="V714" i="114"/>
  <c r="I491" i="115"/>
  <c r="V709" i="114"/>
  <c r="I535" i="114"/>
  <c r="I525" i="114"/>
  <c r="I516" i="114"/>
  <c r="I508" i="114"/>
  <c r="I500" i="114"/>
  <c r="I533" i="114"/>
  <c r="I524" i="114"/>
  <c r="I515" i="114"/>
  <c r="I507" i="114"/>
  <c r="I499" i="114"/>
  <c r="I523" i="114"/>
  <c r="I514" i="114"/>
  <c r="I506" i="114"/>
  <c r="I530" i="114"/>
  <c r="I522" i="114"/>
  <c r="I513" i="114"/>
  <c r="I505" i="114"/>
  <c r="I529" i="114"/>
  <c r="I521" i="114"/>
  <c r="I504" i="114"/>
  <c r="I528" i="114"/>
  <c r="I512" i="114"/>
  <c r="I503" i="114"/>
  <c r="I527" i="114"/>
  <c r="I518" i="114"/>
  <c r="I511" i="114"/>
  <c r="I502" i="114"/>
  <c r="I537" i="114"/>
  <c r="I526" i="114"/>
  <c r="I517" i="114"/>
  <c r="I501" i="114"/>
  <c r="I442" i="115"/>
  <c r="I160" i="115"/>
  <c r="I176" i="115"/>
  <c r="I309" i="115"/>
  <c r="I333" i="115"/>
  <c r="I362" i="115"/>
  <c r="I1094" i="115"/>
  <c r="I1151" i="115" s="1"/>
  <c r="I478" i="115"/>
  <c r="I1125" i="115"/>
  <c r="I1152" i="115" s="1"/>
  <c r="I460" i="115"/>
  <c r="I352" i="115"/>
  <c r="I1064" i="115"/>
  <c r="I1150" i="115" s="1"/>
  <c r="I1132" i="115"/>
  <c r="I1153" i="115" s="1"/>
  <c r="I1882" i="68"/>
  <c r="I1886" i="68" s="1"/>
  <c r="J1147" i="115"/>
  <c r="P261" i="68"/>
  <c r="I1505" i="68"/>
  <c r="I1468" i="68"/>
  <c r="I798" i="68"/>
  <c r="I1831" i="68"/>
  <c r="I1320" i="68"/>
  <c r="I812" i="68"/>
  <c r="I242" i="68"/>
  <c r="I576" i="68"/>
  <c r="I390" i="68"/>
  <c r="I559" i="68"/>
  <c r="I1324" i="68"/>
  <c r="I1487" i="68"/>
  <c r="I1111" i="68"/>
  <c r="I1510" i="68"/>
  <c r="I1514" i="68" s="1"/>
  <c r="I1086" i="68"/>
  <c r="I402" i="68"/>
  <c r="I656" i="68"/>
  <c r="I1276" i="68"/>
  <c r="I826" i="68"/>
  <c r="I668" i="68"/>
  <c r="I417" i="68"/>
  <c r="I1065" i="68"/>
  <c r="I1854" i="68"/>
  <c r="I252" i="68"/>
  <c r="I548" i="68"/>
  <c r="I269" i="68"/>
  <c r="I1299" i="68"/>
  <c r="I682" i="68"/>
  <c r="I1878" i="68"/>
  <c r="U491" i="114"/>
  <c r="V491" i="114"/>
  <c r="U279" i="115"/>
  <c r="V279" i="115"/>
  <c r="U83" i="114"/>
  <c r="V83" i="114"/>
  <c r="U776" i="68"/>
  <c r="V776" i="68"/>
  <c r="U684" i="115"/>
  <c r="V684" i="115"/>
  <c r="U758" i="68"/>
  <c r="V758" i="68"/>
  <c r="U1917" i="68"/>
  <c r="V1917" i="68"/>
  <c r="U681" i="114"/>
  <c r="V681" i="114"/>
  <c r="U761" i="115"/>
  <c r="V761" i="115"/>
  <c r="U84" i="68"/>
  <c r="V84" i="68"/>
  <c r="V1618" i="68"/>
  <c r="V1747" i="68"/>
  <c r="U58" i="115"/>
  <c r="V74" i="114"/>
  <c r="V562" i="115"/>
  <c r="V753" i="115"/>
  <c r="V662" i="115"/>
  <c r="V46" i="115"/>
  <c r="U153" i="114"/>
  <c r="U261" i="68"/>
  <c r="X13" i="115"/>
  <c r="V638" i="68"/>
  <c r="U106" i="68"/>
  <c r="V1698" i="68"/>
  <c r="V743" i="114"/>
  <c r="T752" i="114"/>
  <c r="I121" i="3" s="1"/>
  <c r="K121" i="3" s="1"/>
  <c r="U677" i="114"/>
  <c r="V677" i="114"/>
  <c r="V564" i="115"/>
  <c r="U383" i="115"/>
  <c r="V120" i="115"/>
  <c r="V717" i="115"/>
  <c r="V236" i="115"/>
  <c r="V668" i="115"/>
  <c r="V369" i="115"/>
  <c r="V63" i="115"/>
  <c r="V786" i="115"/>
  <c r="U685" i="115"/>
  <c r="U231" i="115"/>
  <c r="V475" i="114"/>
  <c r="V268" i="115"/>
  <c r="V114" i="68"/>
  <c r="V132" i="115"/>
  <c r="V655" i="115"/>
  <c r="V505" i="115"/>
  <c r="V940" i="115"/>
  <c r="V125" i="115"/>
  <c r="V300" i="114"/>
  <c r="V865" i="68"/>
  <c r="V780" i="115"/>
  <c r="V932" i="68"/>
  <c r="U402" i="115"/>
  <c r="U891" i="115"/>
  <c r="U1751" i="68"/>
  <c r="U1548" i="68"/>
  <c r="U908" i="68"/>
  <c r="U294" i="68"/>
  <c r="V1333" i="68"/>
  <c r="U466" i="68"/>
  <c r="U854" i="68"/>
  <c r="V427" i="114"/>
  <c r="U417" i="114"/>
  <c r="U194" i="114"/>
  <c r="U257" i="114"/>
  <c r="U360" i="114"/>
  <c r="V363" i="114"/>
  <c r="U303" i="114"/>
  <c r="V257" i="114"/>
  <c r="U63" i="114"/>
  <c r="V232" i="114"/>
  <c r="U471" i="114"/>
  <c r="U160" i="114"/>
  <c r="K105" i="6"/>
  <c r="U258" i="114"/>
  <c r="U604" i="114"/>
  <c r="V258" i="114"/>
  <c r="U723" i="114"/>
  <c r="U332" i="114"/>
  <c r="U264" i="114"/>
  <c r="U362" i="114"/>
  <c r="V264" i="114"/>
  <c r="V105" i="114"/>
  <c r="U435" i="114"/>
  <c r="U1524" i="68"/>
  <c r="V984" i="68"/>
  <c r="V1167" i="68"/>
  <c r="U895" i="68"/>
  <c r="U1636" i="68"/>
  <c r="V281" i="68"/>
  <c r="V861" i="68"/>
  <c r="V107" i="114"/>
  <c r="U994" i="68"/>
  <c r="V589" i="68"/>
  <c r="V1553" i="68"/>
  <c r="V938" i="68"/>
  <c r="U1362" i="68"/>
  <c r="V1385" i="68"/>
  <c r="V818" i="115"/>
  <c r="V1639" i="68"/>
  <c r="V970" i="68"/>
  <c r="U1543" i="68"/>
  <c r="V1789" i="68"/>
  <c r="V482" i="68"/>
  <c r="U1045" i="68"/>
  <c r="U1576" i="68"/>
  <c r="V980" i="68"/>
  <c r="V1144" i="68"/>
  <c r="V1672" i="68"/>
  <c r="V1028" i="68"/>
  <c r="V280" i="115"/>
  <c r="U1709" i="68"/>
  <c r="V590" i="68"/>
  <c r="V1334" i="68"/>
  <c r="V1790" i="68"/>
  <c r="U1247" i="68"/>
  <c r="U1924" i="68"/>
  <c r="U260" i="115"/>
  <c r="V1154" i="68"/>
  <c r="V729" i="68"/>
  <c r="V1766" i="68"/>
  <c r="U874" i="68"/>
  <c r="U654" i="115"/>
  <c r="V1527" i="68"/>
  <c r="U189" i="114"/>
  <c r="V952" i="68"/>
  <c r="V353" i="68"/>
  <c r="V1401" i="68"/>
  <c r="U260" i="114"/>
  <c r="U272" i="114"/>
  <c r="U259" i="114"/>
  <c r="U261" i="114"/>
  <c r="V1706" i="68"/>
  <c r="U257" i="115"/>
  <c r="V1244" i="68"/>
  <c r="V135" i="115"/>
  <c r="V723" i="68"/>
  <c r="V856" i="115"/>
  <c r="V477" i="114"/>
  <c r="U911" i="115"/>
  <c r="V464" i="114"/>
  <c r="V1359" i="68"/>
  <c r="U1046" i="68"/>
  <c r="V1413" i="68"/>
  <c r="V45" i="115"/>
  <c r="V467" i="114"/>
  <c r="V414" i="114"/>
  <c r="U1604" i="68"/>
  <c r="V548" i="114"/>
  <c r="U552" i="114"/>
  <c r="V910" i="115"/>
  <c r="U346" i="68"/>
  <c r="U907" i="68"/>
  <c r="V392" i="115"/>
  <c r="V49" i="115"/>
  <c r="V1425" i="68"/>
  <c r="U671" i="115"/>
  <c r="V714" i="68"/>
  <c r="V698" i="68"/>
  <c r="U390" i="115"/>
  <c r="V1714" i="68"/>
  <c r="V502" i="115"/>
  <c r="V541" i="115"/>
  <c r="V521" i="115"/>
  <c r="V105" i="68"/>
  <c r="V949" i="68"/>
  <c r="V259" i="114"/>
  <c r="V304" i="114"/>
  <c r="V984" i="115"/>
  <c r="V406" i="115"/>
  <c r="V336" i="114"/>
  <c r="V214" i="115"/>
  <c r="V76" i="115"/>
  <c r="U583" i="68"/>
  <c r="U354" i="114"/>
  <c r="U1928" i="68"/>
  <c r="V869" i="68"/>
  <c r="U1177" i="68"/>
  <c r="U744" i="114"/>
  <c r="U535" i="115"/>
  <c r="U161" i="68"/>
  <c r="U59" i="115"/>
  <c r="V1383" i="68"/>
  <c r="V1187" i="68"/>
  <c r="V1147" i="68"/>
  <c r="U1032" i="68"/>
  <c r="U370" i="114"/>
  <c r="U973" i="68"/>
  <c r="U942" i="68"/>
  <c r="V185" i="114"/>
  <c r="V367" i="68"/>
  <c r="V1787" i="68"/>
  <c r="U1619" i="68"/>
  <c r="V1551" i="68"/>
  <c r="X29" i="115"/>
  <c r="U653" i="115"/>
  <c r="U62" i="115"/>
  <c r="V224" i="115"/>
  <c r="V672" i="115"/>
  <c r="U111" i="115"/>
  <c r="V276" i="115"/>
  <c r="U1431" i="68"/>
  <c r="U1720" i="68"/>
  <c r="U162" i="114"/>
  <c r="V40" i="68"/>
  <c r="U1785" i="68"/>
  <c r="V677" i="115"/>
  <c r="U1586" i="68"/>
  <c r="V366" i="114"/>
  <c r="U1786" i="68"/>
  <c r="U381" i="115"/>
  <c r="U603" i="68"/>
  <c r="V678" i="115"/>
  <c r="U436" i="114"/>
  <c r="V136" i="115"/>
  <c r="V981" i="68"/>
  <c r="V664" i="115"/>
  <c r="V711" i="114"/>
  <c r="V1331" i="68"/>
  <c r="U955" i="115"/>
  <c r="V77" i="115"/>
  <c r="U836" i="115"/>
  <c r="U1658" i="68"/>
  <c r="U716" i="115"/>
  <c r="V1676" i="68"/>
  <c r="V370" i="115"/>
  <c r="V1403" i="68"/>
  <c r="V458" i="114"/>
  <c r="V201" i="115"/>
  <c r="U504" i="115"/>
  <c r="V143" i="115"/>
  <c r="U1677" i="68"/>
  <c r="U457" i="114"/>
  <c r="V475" i="68"/>
  <c r="U1653" i="68"/>
  <c r="U90" i="115"/>
  <c r="V333" i="114"/>
  <c r="V250" i="115"/>
  <c r="V415" i="114"/>
  <c r="V69" i="68"/>
  <c r="V559" i="115"/>
  <c r="V186" i="114"/>
  <c r="V804" i="115"/>
  <c r="U1180" i="68"/>
  <c r="V606" i="114"/>
  <c r="V97" i="115"/>
  <c r="V444" i="68"/>
  <c r="V929" i="68"/>
  <c r="V1227" i="68"/>
  <c r="V401" i="115"/>
  <c r="V676" i="115"/>
  <c r="V465" i="68"/>
  <c r="V992" i="115"/>
  <c r="V376" i="114"/>
  <c r="V1127" i="68"/>
  <c r="V809" i="115"/>
  <c r="V1533" i="68"/>
  <c r="V1772" i="68"/>
  <c r="U294" i="114"/>
  <c r="U428" i="114"/>
  <c r="V265" i="115"/>
  <c r="V1617" i="68"/>
  <c r="V19" i="115"/>
  <c r="U279" i="68"/>
  <c r="U484" i="68"/>
  <c r="V1910" i="68"/>
  <c r="V658" i="115"/>
  <c r="V218" i="115"/>
  <c r="V663" i="115"/>
  <c r="V982" i="68"/>
  <c r="V412" i="114"/>
  <c r="V656" i="115"/>
  <c r="V978" i="68"/>
  <c r="V224" i="114"/>
  <c r="V1415" i="68"/>
  <c r="V1029" i="68"/>
  <c r="V1412" i="68"/>
  <c r="V372" i="114"/>
  <c r="U167" i="68"/>
  <c r="V903" i="68"/>
  <c r="V1179" i="68"/>
  <c r="V722" i="68"/>
  <c r="V1655" i="68"/>
  <c r="V1252" i="68"/>
  <c r="V837" i="68"/>
  <c r="V1758" i="68"/>
  <c r="V306" i="68"/>
  <c r="U882" i="68"/>
  <c r="V325" i="68"/>
  <c r="V928" i="68"/>
  <c r="U1616" i="68"/>
  <c r="U1624" i="68"/>
  <c r="V1528" i="68"/>
  <c r="U773" i="115"/>
  <c r="V1449" i="68"/>
  <c r="V334" i="68"/>
  <c r="U1727" i="68"/>
  <c r="U974" i="68"/>
  <c r="V1026" i="68"/>
  <c r="V1628" i="68"/>
  <c r="U815" i="115"/>
  <c r="V509" i="115"/>
  <c r="V1128" i="68"/>
  <c r="U123" i="68"/>
  <c r="U1222" i="68"/>
  <c r="U927" i="68"/>
  <c r="U1223" i="68"/>
  <c r="U878" i="115"/>
  <c r="V479" i="68"/>
  <c r="V1670" i="68"/>
  <c r="V352" i="68"/>
  <c r="U1726" i="68"/>
  <c r="V1332" i="68"/>
  <c r="U460" i="68"/>
  <c r="U1432" i="68"/>
  <c r="U245" i="115"/>
  <c r="V529" i="115"/>
  <c r="V713" i="68"/>
  <c r="V1741" i="68"/>
  <c r="V1201" i="68"/>
  <c r="V43" i="68"/>
  <c r="U1039" i="68"/>
  <c r="U1615" i="68"/>
  <c r="U280" i="68"/>
  <c r="V842" i="68"/>
  <c r="V416" i="114"/>
  <c r="U200" i="115"/>
  <c r="V1433" i="68"/>
  <c r="V446" i="68"/>
  <c r="U142" i="115"/>
  <c r="V887" i="68"/>
  <c r="V1552" i="68"/>
  <c r="U1754" i="68"/>
  <c r="V850" i="68"/>
  <c r="V1651" i="68"/>
  <c r="V148" i="68"/>
  <c r="K46" i="6"/>
  <c r="V725" i="68"/>
  <c r="V1405" i="68"/>
  <c r="U1367" i="68"/>
  <c r="V112" i="115"/>
  <c r="U1547" i="68"/>
  <c r="V1610" i="68"/>
  <c r="V1352" i="68"/>
  <c r="U1743" i="68"/>
  <c r="V291" i="68"/>
  <c r="V1805" i="68"/>
  <c r="V477" i="68"/>
  <c r="V1182" i="68"/>
  <c r="U1171" i="68"/>
  <c r="V1559" i="68"/>
  <c r="U743" i="114"/>
  <c r="U695" i="68"/>
  <c r="V1164" i="68"/>
  <c r="U291" i="115"/>
  <c r="V833" i="115"/>
  <c r="U1200" i="68"/>
  <c r="U986" i="68"/>
  <c r="V1149" i="68"/>
  <c r="U281" i="115"/>
  <c r="U889" i="68"/>
  <c r="U335" i="114"/>
  <c r="V221" i="114"/>
  <c r="V419" i="114"/>
  <c r="U230" i="115"/>
  <c r="V433" i="114"/>
  <c r="V931" i="68"/>
  <c r="V1019" i="68"/>
  <c r="V423" i="114"/>
  <c r="V888" i="68"/>
  <c r="U321" i="68"/>
  <c r="U988" i="68"/>
  <c r="U1652" i="68"/>
  <c r="V838" i="68"/>
  <c r="V104" i="114"/>
  <c r="V66" i="115"/>
  <c r="U320" i="68"/>
  <c r="U47" i="115"/>
  <c r="U106" i="115"/>
  <c r="V1611" i="68"/>
  <c r="V596" i="68"/>
  <c r="U110" i="68"/>
  <c r="V863" i="68"/>
  <c r="U975" i="115"/>
  <c r="U247" i="115"/>
  <c r="V557" i="115"/>
  <c r="V380" i="115"/>
  <c r="U1031" i="68"/>
  <c r="U1219" i="68"/>
  <c r="U470" i="114"/>
  <c r="V292" i="68"/>
  <c r="U89" i="115"/>
  <c r="V285" i="68"/>
  <c r="V73" i="115"/>
  <c r="V108" i="114"/>
  <c r="U85" i="68"/>
  <c r="V871" i="68"/>
  <c r="V513" i="115"/>
  <c r="U486" i="114"/>
  <c r="V515" i="115"/>
  <c r="U1169" i="68"/>
  <c r="V190" i="114"/>
  <c r="U227" i="115"/>
  <c r="V728" i="68"/>
  <c r="V1402" i="68"/>
  <c r="V1802" i="68"/>
  <c r="V851" i="115"/>
  <c r="V720" i="114"/>
  <c r="V164" i="114"/>
  <c r="U1340" i="68"/>
  <c r="V57" i="115"/>
  <c r="U372" i="115"/>
  <c r="V88" i="115"/>
  <c r="U460" i="114"/>
  <c r="V204" i="115"/>
  <c r="U709" i="68"/>
  <c r="U15" i="68"/>
  <c r="V847" i="115"/>
  <c r="V50" i="115"/>
  <c r="V384" i="115"/>
  <c r="V376" i="115"/>
  <c r="V1696" i="68"/>
  <c r="V272" i="114"/>
  <c r="V434" i="114"/>
  <c r="V1521" i="68"/>
  <c r="AR22" i="6"/>
  <c r="AR23" i="6" s="1"/>
  <c r="AR24" i="6" s="1"/>
  <c r="AP22" i="6"/>
  <c r="AS24" i="6"/>
  <c r="AS25" i="6" s="1"/>
  <c r="AP30" i="6"/>
  <c r="AP21" i="6"/>
  <c r="AQ21" i="6"/>
  <c r="AP24" i="6"/>
  <c r="V893" i="115"/>
  <c r="U1711" i="68"/>
  <c r="V868" i="68"/>
  <c r="V207" i="115"/>
  <c r="U881" i="68"/>
  <c r="U993" i="68"/>
  <c r="V1603" i="68"/>
  <c r="V190" i="68"/>
  <c r="U172" i="114"/>
  <c r="V1923" i="68"/>
  <c r="V1024" i="68"/>
  <c r="U340" i="68"/>
  <c r="V347" i="68"/>
  <c r="U894" i="68"/>
  <c r="V1574" i="68"/>
  <c r="V779" i="115"/>
  <c r="U44" i="115"/>
  <c r="V331" i="114"/>
  <c r="V184" i="114"/>
  <c r="U730" i="68"/>
  <c r="U107" i="68"/>
  <c r="U1426" i="68"/>
  <c r="V1427" i="68"/>
  <c r="V1724" i="68"/>
  <c r="V1723" i="68"/>
  <c r="U480" i="68"/>
  <c r="V877" i="115"/>
  <c r="U1243" i="68"/>
  <c r="U293" i="68"/>
  <c r="U1420" i="68"/>
  <c r="U305" i="68"/>
  <c r="U165" i="68"/>
  <c r="V570" i="115"/>
  <c r="V844" i="115"/>
  <c r="U179" i="68"/>
  <c r="V832" i="115"/>
  <c r="V692" i="114"/>
  <c r="V356" i="68"/>
  <c r="U326" i="68"/>
  <c r="V201" i="68"/>
  <c r="U1221" i="68"/>
  <c r="U1591" i="68"/>
  <c r="V1795" i="68"/>
  <c r="V1030" i="68"/>
  <c r="V1788" i="68"/>
  <c r="V943" i="68"/>
  <c r="V1202" i="68"/>
  <c r="U192" i="114"/>
  <c r="V744" i="68"/>
  <c r="V910" i="68"/>
  <c r="V1015" i="68"/>
  <c r="U1203" i="68"/>
  <c r="U211" i="115"/>
  <c r="U1537" i="68"/>
  <c r="U1228" i="68"/>
  <c r="V1414" i="68"/>
  <c r="V335" i="68"/>
  <c r="V1621" i="68"/>
  <c r="V1742" i="68"/>
  <c r="U379" i="114"/>
  <c r="V841" i="68"/>
  <c r="U987" i="68"/>
  <c r="V440" i="68"/>
  <c r="U675" i="115"/>
  <c r="V911" i="68"/>
  <c r="V737" i="68"/>
  <c r="V885" i="68"/>
  <c r="V972" i="68"/>
  <c r="V1166" i="68"/>
  <c r="V1360" i="68"/>
  <c r="V721" i="68"/>
  <c r="V1556" i="68"/>
  <c r="V1697" i="68"/>
  <c r="U483" i="68"/>
  <c r="U1594" i="68"/>
  <c r="V1540" i="68"/>
  <c r="V461" i="68"/>
  <c r="V341" i="68"/>
  <c r="V997" i="68"/>
  <c r="V514" i="115"/>
  <c r="V1418" i="68"/>
  <c r="U1418" i="68"/>
  <c r="V1198" i="68"/>
  <c r="V1416" i="68"/>
  <c r="V999" i="68"/>
  <c r="V1671" i="68"/>
  <c r="V991" i="68"/>
  <c r="V1580" i="68"/>
  <c r="V463" i="68"/>
  <c r="V583" i="68"/>
  <c r="V1768" i="68"/>
  <c r="V1230" i="68"/>
  <c r="V701" i="68"/>
  <c r="V1631" i="68"/>
  <c r="V1753" i="68"/>
  <c r="V1911" i="68"/>
  <c r="V1175" i="68"/>
  <c r="V893" i="68"/>
  <c r="V948" i="68"/>
  <c r="V1003" i="68"/>
  <c r="V897" i="68"/>
  <c r="V1013" i="68"/>
  <c r="V106" i="114"/>
  <c r="V298" i="68"/>
  <c r="V711" i="68"/>
  <c r="V146" i="68"/>
  <c r="V1693" i="68"/>
  <c r="V608" i="68"/>
  <c r="V1124" i="68"/>
  <c r="V1361" i="68"/>
  <c r="V1349" i="68"/>
  <c r="V1759" i="68"/>
  <c r="V735" i="68"/>
  <c r="V1183" i="68"/>
  <c r="V873" i="115"/>
  <c r="V191" i="68"/>
  <c r="V1188" i="68"/>
  <c r="V226" i="115"/>
  <c r="AO21" i="6"/>
  <c r="V51" i="68"/>
  <c r="V1691" i="68"/>
  <c r="U109" i="68"/>
  <c r="V810" i="115"/>
  <c r="V122" i="115"/>
  <c r="V204" i="68"/>
  <c r="V1534" i="68"/>
  <c r="V691" i="68"/>
  <c r="V1557" i="68"/>
  <c r="V371" i="115"/>
  <c r="V849" i="68"/>
  <c r="V108" i="68"/>
  <c r="V336" i="68"/>
  <c r="V1386" i="68"/>
  <c r="V1812" i="68"/>
  <c r="V283" i="68"/>
  <c r="V1254" i="68"/>
  <c r="V476" i="68"/>
  <c r="V906" i="68"/>
  <c r="V966" i="68"/>
  <c r="V1577" i="68"/>
  <c r="V1699" i="68"/>
  <c r="V964" i="115"/>
  <c r="V370" i="68"/>
  <c r="V1579" i="68"/>
  <c r="V830" i="115"/>
  <c r="V302" i="68"/>
  <c r="V1441" i="68"/>
  <c r="V1664" i="68"/>
  <c r="V601" i="68"/>
  <c r="V1654" i="68"/>
  <c r="V457" i="68"/>
  <c r="V983" i="115"/>
  <c r="V963" i="115"/>
  <c r="X35" i="115"/>
  <c r="U122" i="68"/>
  <c r="U857" i="68"/>
  <c r="V979" i="68"/>
  <c r="V1170" i="68"/>
  <c r="V1721" i="68"/>
  <c r="U231" i="114"/>
  <c r="U373" i="115"/>
  <c r="V727" i="68"/>
  <c r="V528" i="115"/>
  <c r="V937" i="115"/>
  <c r="U192" i="68"/>
  <c r="V178" i="68"/>
  <c r="U808" i="115"/>
  <c r="V953" i="115"/>
  <c r="U720" i="115"/>
  <c r="V720" i="115"/>
  <c r="V123" i="115"/>
  <c r="U171" i="68"/>
  <c r="U470" i="68"/>
  <c r="V710" i="68"/>
  <c r="U867" i="68"/>
  <c r="V1522" i="68"/>
  <c r="U511" i="115"/>
  <c r="U189" i="68"/>
  <c r="V609" i="68"/>
  <c r="U949" i="115"/>
  <c r="U28" i="68"/>
  <c r="V343" i="68"/>
  <c r="V427" i="115"/>
  <c r="V741" i="68"/>
  <c r="V1248" i="68"/>
  <c r="U1657" i="68"/>
  <c r="V800" i="115"/>
  <c r="U498" i="115"/>
  <c r="V67" i="68"/>
  <c r="V605" i="68"/>
  <c r="U742" i="68"/>
  <c r="V1153" i="68"/>
  <c r="V879" i="115"/>
  <c r="U1406" i="68"/>
  <c r="U1692" i="68"/>
  <c r="U799" i="115"/>
  <c r="V127" i="115"/>
  <c r="U282" i="68"/>
  <c r="U481" i="68"/>
  <c r="U1592" i="68"/>
  <c r="U1755" i="68"/>
  <c r="V355" i="114"/>
  <c r="U978" i="115"/>
  <c r="U51" i="115"/>
  <c r="U971" i="68"/>
  <c r="V1625" i="68"/>
  <c r="U957" i="68"/>
  <c r="V1217" i="68"/>
  <c r="V418" i="115"/>
  <c r="V687" i="115"/>
  <c r="V223" i="68"/>
  <c r="U584" i="68"/>
  <c r="U1338" i="68"/>
  <c r="V1538" i="68"/>
  <c r="U57" i="68"/>
  <c r="V278" i="68"/>
  <c r="U740" i="68"/>
  <c r="V915" i="68"/>
  <c r="V1135" i="68"/>
  <c r="V1189" i="68"/>
  <c r="V197" i="115"/>
  <c r="V270" i="115"/>
  <c r="U657" i="115"/>
  <c r="V1020" i="68"/>
  <c r="U1190" i="68"/>
  <c r="V845" i="115"/>
  <c r="U942" i="115"/>
  <c r="U565" i="115"/>
  <c r="U213" i="68"/>
  <c r="U909" i="68"/>
  <c r="V968" i="68"/>
  <c r="U228" i="115"/>
  <c r="V103" i="68"/>
  <c r="U901" i="68"/>
  <c r="V203" i="68"/>
  <c r="U464" i="68"/>
  <c r="V1674" i="68"/>
  <c r="U1784" i="68"/>
  <c r="U991" i="115"/>
  <c r="V561" i="115"/>
  <c r="U342" i="68"/>
  <c r="V930" i="68"/>
  <c r="U814" i="115"/>
  <c r="U965" i="68"/>
  <c r="V403" i="115"/>
  <c r="V1595" i="68"/>
  <c r="V793" i="115"/>
  <c r="V107" i="115"/>
  <c r="U883" i="115"/>
  <c r="V883" i="115"/>
  <c r="U102" i="68"/>
  <c r="V102" i="68"/>
  <c r="V188" i="68"/>
  <c r="U188" i="68"/>
  <c r="V776" i="115"/>
  <c r="U776" i="115"/>
  <c r="U920" i="115"/>
  <c r="V920" i="115"/>
  <c r="U36" i="68"/>
  <c r="V36" i="68"/>
  <c r="V56" i="68"/>
  <c r="U56" i="68"/>
  <c r="V998" i="115"/>
  <c r="U998" i="115"/>
  <c r="V75" i="115"/>
  <c r="U75" i="115"/>
  <c r="U925" i="68"/>
  <c r="V925" i="68"/>
  <c r="V1037" i="68"/>
  <c r="U1037" i="68"/>
  <c r="U1143" i="68"/>
  <c r="V1143" i="68"/>
  <c r="V1249" i="68"/>
  <c r="U1249" i="68"/>
  <c r="U1535" i="68"/>
  <c r="V1535" i="68"/>
  <c r="U1632" i="68"/>
  <c r="V1632" i="68"/>
  <c r="U1771" i="68"/>
  <c r="V1771" i="68"/>
  <c r="V843" i="68"/>
  <c r="U843" i="68"/>
  <c r="V955" i="68"/>
  <c r="U955" i="68"/>
  <c r="U1122" i="68"/>
  <c r="V1122" i="68"/>
  <c r="V1194" i="68"/>
  <c r="U1194" i="68"/>
  <c r="U1407" i="68"/>
  <c r="V1407" i="68"/>
  <c r="U1633" i="68"/>
  <c r="V1633" i="68"/>
  <c r="V1704" i="68"/>
  <c r="U1704" i="68"/>
  <c r="U1922" i="68"/>
  <c r="V1922" i="68"/>
  <c r="U216" i="68"/>
  <c r="V216" i="68"/>
  <c r="U912" i="68"/>
  <c r="V912" i="68"/>
  <c r="U1017" i="68"/>
  <c r="V1017" i="68"/>
  <c r="V1133" i="68"/>
  <c r="U1133" i="68"/>
  <c r="U1337" i="68"/>
  <c r="V1337" i="68"/>
  <c r="V1526" i="68"/>
  <c r="U1526" i="68"/>
  <c r="U886" i="68"/>
  <c r="V886" i="68"/>
  <c r="V1018" i="68"/>
  <c r="U1018" i="68"/>
  <c r="U1382" i="68"/>
  <c r="V1382" i="68"/>
  <c r="U1608" i="68"/>
  <c r="V1608" i="68"/>
  <c r="U1921" i="68"/>
  <c r="V1921" i="68"/>
  <c r="U187" i="114"/>
  <c r="V187" i="114"/>
  <c r="V1011" i="68"/>
  <c r="U1011" i="68"/>
  <c r="U1246" i="68"/>
  <c r="V1246" i="68"/>
  <c r="U1719" i="68"/>
  <c r="V1719" i="68"/>
  <c r="U1767" i="68"/>
  <c r="V1767" i="68"/>
  <c r="U355" i="68"/>
  <c r="V355" i="68"/>
  <c r="U1374" i="68"/>
  <c r="V1374" i="68"/>
  <c r="U1430" i="68"/>
  <c r="V1430" i="68"/>
  <c r="U1656" i="68"/>
  <c r="V1656" i="68"/>
  <c r="U500" i="115"/>
  <c r="V500" i="115"/>
  <c r="U440" i="114"/>
  <c r="V440" i="114"/>
  <c r="U519" i="115"/>
  <c r="V519" i="115"/>
  <c r="V422" i="114"/>
  <c r="U422" i="114"/>
  <c r="U474" i="114"/>
  <c r="V474" i="114"/>
  <c r="U56" i="115"/>
  <c r="V56" i="115"/>
  <c r="U121" i="115"/>
  <c r="V121" i="115"/>
  <c r="U670" i="115"/>
  <c r="V670" i="115"/>
  <c r="U905" i="115"/>
  <c r="V905" i="115"/>
  <c r="V651" i="115"/>
  <c r="U651" i="115"/>
  <c r="V1375" i="68"/>
  <c r="U1590" i="68"/>
  <c r="U774" i="115"/>
  <c r="V999" i="115"/>
  <c r="V1000" i="68"/>
  <c r="U1231" i="68"/>
  <c r="V1695" i="68"/>
  <c r="V309" i="68"/>
  <c r="V138" i="68"/>
  <c r="V1199" i="68"/>
  <c r="V1665" i="68"/>
  <c r="V225" i="115"/>
  <c r="V602" i="68"/>
  <c r="V1520" i="68"/>
  <c r="V1620" i="68"/>
  <c r="V587" i="68"/>
  <c r="V977" i="68"/>
  <c r="U1137" i="68"/>
  <c r="U1760" i="68"/>
  <c r="V516" i="115"/>
  <c r="N362" i="115"/>
  <c r="U697" i="68"/>
  <c r="U813" i="115"/>
  <c r="U921" i="115"/>
  <c r="N190" i="115"/>
  <c r="U180" i="68"/>
  <c r="N491" i="115"/>
  <c r="U70" i="115"/>
  <c r="U202" i="68"/>
  <c r="U140" i="68"/>
  <c r="U941" i="115"/>
  <c r="U700" i="68"/>
  <c r="U163" i="68"/>
  <c r="U219" i="115"/>
  <c r="U29" i="68"/>
  <c r="U160" i="68"/>
  <c r="U812" i="115"/>
  <c r="V683" i="114"/>
  <c r="V939" i="115"/>
  <c r="V843" i="115"/>
  <c r="V33" i="68"/>
  <c r="V25" i="68"/>
  <c r="V989" i="115"/>
  <c r="V458" i="68"/>
  <c r="V199" i="68"/>
  <c r="V936" i="115"/>
  <c r="V48" i="68"/>
  <c r="U110" i="115"/>
  <c r="V533" i="115"/>
  <c r="V260" i="114"/>
  <c r="V835" i="115"/>
  <c r="N1882" i="68"/>
  <c r="N1886" i="68" s="1"/>
  <c r="U244" i="115"/>
  <c r="V260" i="68"/>
  <c r="U588" i="68"/>
  <c r="U1762" i="68"/>
  <c r="V1042" i="68"/>
  <c r="U1233" i="68"/>
  <c r="V351" i="68"/>
  <c r="V1002" i="68"/>
  <c r="V706" i="68"/>
  <c r="V1896" i="68"/>
  <c r="V839" i="68"/>
  <c r="V950" i="68"/>
  <c r="V1126" i="68"/>
  <c r="U1229" i="68"/>
  <c r="V1422" i="68"/>
  <c r="V1609" i="68"/>
  <c r="V1708" i="68"/>
  <c r="V1914" i="68"/>
  <c r="V290" i="68"/>
  <c r="V1623" i="68"/>
  <c r="V944" i="68"/>
  <c r="V127" i="68"/>
  <c r="V902" i="68"/>
  <c r="U115" i="68"/>
  <c r="V595" i="68"/>
  <c r="V1578" i="68"/>
  <c r="U471" i="68"/>
  <c r="U851" i="68"/>
  <c r="U1523" i="68"/>
  <c r="V153" i="68"/>
  <c r="V1717" i="68"/>
  <c r="V1575" i="68"/>
  <c r="V1707" i="68"/>
  <c r="U142" i="68"/>
  <c r="U1366" i="68"/>
  <c r="V860" i="68"/>
  <c r="V1232" i="68"/>
  <c r="U85" i="115"/>
  <c r="V746" i="68"/>
  <c r="V301" i="114"/>
  <c r="V461" i="114"/>
  <c r="V1752" i="68"/>
  <c r="V783" i="115"/>
  <c r="U60" i="68"/>
  <c r="V1142" i="68"/>
  <c r="V1804" i="68"/>
  <c r="U1121" i="68"/>
  <c r="U102" i="114"/>
  <c r="V872" i="68"/>
  <c r="U958" i="68"/>
  <c r="U1125" i="68"/>
  <c r="V1256" i="68"/>
  <c r="U876" i="115"/>
  <c r="U586" i="68"/>
  <c r="U1012" i="68"/>
  <c r="U1181" i="68"/>
  <c r="V1365" i="68"/>
  <c r="V1529" i="68"/>
  <c r="V61" i="68"/>
  <c r="V175" i="68"/>
  <c r="V954" i="68"/>
  <c r="V1745" i="68"/>
  <c r="V193" i="114"/>
  <c r="V354" i="68"/>
  <c r="V1381" i="68"/>
  <c r="V327" i="68"/>
  <c r="V1637" i="68"/>
  <c r="N176" i="115"/>
  <c r="V933" i="68"/>
  <c r="U1120" i="68"/>
  <c r="V338" i="68"/>
  <c r="V474" i="68"/>
  <c r="V248" i="115"/>
  <c r="U699" i="68"/>
  <c r="V42" i="68"/>
  <c r="V692" i="68"/>
  <c r="V735" i="115"/>
  <c r="V52" i="68"/>
  <c r="U987" i="115"/>
  <c r="V202" i="115"/>
  <c r="U922" i="115"/>
  <c r="U728" i="114"/>
  <c r="V41" i="68"/>
  <c r="V855" i="115"/>
  <c r="U32" i="68"/>
  <c r="U350" i="68"/>
  <c r="U53" i="68"/>
  <c r="V751" i="115"/>
  <c r="V64" i="68"/>
  <c r="U303" i="68"/>
  <c r="V926" i="68"/>
  <c r="V884" i="68"/>
  <c r="V733" i="68"/>
  <c r="V193" i="68"/>
  <c r="U212" i="68"/>
  <c r="V1770" i="68"/>
  <c r="U837" i="115"/>
  <c r="U858" i="115"/>
  <c r="U988" i="115"/>
  <c r="V215" i="68"/>
  <c r="V807" i="115"/>
  <c r="V982" i="115"/>
  <c r="U181" i="68"/>
  <c r="V286" i="115"/>
  <c r="V143" i="68"/>
  <c r="U96" i="115"/>
  <c r="V16" i="68"/>
  <c r="V775" i="115"/>
  <c r="V906" i="115"/>
  <c r="V214" i="68"/>
  <c r="U838" i="115"/>
  <c r="U166" i="68"/>
  <c r="U909" i="115"/>
  <c r="U781" i="115"/>
  <c r="V1638" i="68"/>
  <c r="V322" i="68"/>
  <c r="V1193" i="68"/>
  <c r="V262" i="115"/>
  <c r="V164" i="68"/>
  <c r="V398" i="115"/>
  <c r="U1761" i="68"/>
  <c r="U44" i="68"/>
  <c r="V101" i="68"/>
  <c r="V829" i="115"/>
  <c r="N1562" i="68"/>
  <c r="N1570" i="68" s="1"/>
  <c r="U23" i="68"/>
  <c r="V459" i="68"/>
  <c r="V977" i="115"/>
  <c r="V736" i="68"/>
  <c r="V105" i="115"/>
  <c r="U162" i="68"/>
  <c r="U45" i="68"/>
  <c r="U207" i="115"/>
  <c r="U274" i="115"/>
  <c r="U133" i="115"/>
  <c r="N6" i="114"/>
  <c r="N5" i="115"/>
  <c r="N1147" i="115" s="1"/>
  <c r="V857" i="115"/>
  <c r="U397" i="115"/>
  <c r="V379" i="115"/>
  <c r="U391" i="115"/>
  <c r="V120" i="68"/>
  <c r="V289" i="68"/>
  <c r="U572" i="115"/>
  <c r="V907" i="115"/>
  <c r="V803" i="115"/>
  <c r="U707" i="114"/>
  <c r="U859" i="115"/>
  <c r="V522" i="115"/>
  <c r="V848" i="68"/>
  <c r="U925" i="115"/>
  <c r="V558" i="115"/>
  <c r="U319" i="68"/>
  <c r="V980" i="115"/>
  <c r="V834" i="115"/>
  <c r="U305" i="114"/>
  <c r="V476" i="114"/>
  <c r="N528" i="114"/>
  <c r="N512" i="114"/>
  <c r="N503" i="114"/>
  <c r="N527" i="114"/>
  <c r="N518" i="114"/>
  <c r="N511" i="114"/>
  <c r="N502" i="114"/>
  <c r="N526" i="114"/>
  <c r="N517" i="114"/>
  <c r="N501" i="114"/>
  <c r="N535" i="114"/>
  <c r="N525" i="114"/>
  <c r="N516" i="114"/>
  <c r="N508" i="114"/>
  <c r="N500" i="114"/>
  <c r="N533" i="114"/>
  <c r="N524" i="114"/>
  <c r="N515" i="114"/>
  <c r="N507" i="114"/>
  <c r="N499" i="114"/>
  <c r="N523" i="114"/>
  <c r="N514" i="114"/>
  <c r="N506" i="114"/>
  <c r="N530" i="114"/>
  <c r="N522" i="114"/>
  <c r="N513" i="114"/>
  <c r="N505" i="114"/>
  <c r="N529" i="114"/>
  <c r="N521" i="114"/>
  <c r="N504" i="114"/>
  <c r="U411" i="114"/>
  <c r="U274" i="114"/>
  <c r="V349" i="114"/>
  <c r="U199" i="114"/>
  <c r="U701" i="114"/>
  <c r="V605" i="114"/>
  <c r="V413" i="114"/>
  <c r="V158" i="114"/>
  <c r="V426" i="114"/>
  <c r="N309" i="115"/>
  <c r="N1132" i="115"/>
  <c r="N1153" i="115" s="1"/>
  <c r="V848" i="115"/>
  <c r="N1094" i="115"/>
  <c r="N1151" i="115" s="1"/>
  <c r="N478" i="115"/>
  <c r="N160" i="115"/>
  <c r="N1125" i="115"/>
  <c r="N1152" i="115" s="1"/>
  <c r="N352" i="115"/>
  <c r="N333" i="115"/>
  <c r="N442" i="115"/>
  <c r="N358" i="115"/>
  <c r="N486" i="115"/>
  <c r="U374" i="115"/>
  <c r="N460" i="115"/>
  <c r="U885" i="115"/>
  <c r="N1064" i="115"/>
  <c r="N1150" i="115" s="1"/>
  <c r="N1510" i="68"/>
  <c r="N1514" i="68" s="1"/>
  <c r="N668" i="68"/>
  <c r="N402" i="68"/>
  <c r="U493" i="68"/>
  <c r="N252" i="68"/>
  <c r="N1299" i="68"/>
  <c r="N1086" i="68"/>
  <c r="N1276" i="68"/>
  <c r="N682" i="68"/>
  <c r="N1505" i="68"/>
  <c r="N1468" i="68"/>
  <c r="N269" i="68"/>
  <c r="N1487" i="68"/>
  <c r="V308" i="68"/>
  <c r="N656" i="68"/>
  <c r="N1320" i="68"/>
  <c r="N1878" i="68"/>
  <c r="V177" i="68"/>
  <c r="V600" i="68"/>
  <c r="V19" i="68"/>
  <c r="N812" i="68"/>
  <c r="N1111" i="68"/>
  <c r="N390" i="68"/>
  <c r="N826" i="68"/>
  <c r="N1831" i="68"/>
  <c r="N798" i="68"/>
  <c r="U49" i="68"/>
  <c r="N417" i="68"/>
  <c r="N559" i="68"/>
  <c r="N1854" i="68"/>
  <c r="N548" i="68"/>
  <c r="N242" i="68"/>
  <c r="N576" i="68"/>
  <c r="N1065" i="68"/>
  <c r="N1324" i="68"/>
  <c r="V283" i="114"/>
  <c r="V381" i="114"/>
  <c r="U462" i="114"/>
  <c r="D7" i="114"/>
  <c r="E7" i="114" s="1"/>
  <c r="U302" i="114"/>
  <c r="U191" i="114"/>
  <c r="U334" i="114"/>
  <c r="V159" i="114"/>
  <c r="U425" i="114"/>
  <c r="V696" i="114"/>
  <c r="U766" i="68"/>
  <c r="V766" i="68"/>
  <c r="U1718" i="68"/>
  <c r="V1718" i="68"/>
  <c r="U759" i="68"/>
  <c r="V759" i="68"/>
  <c r="U770" i="68"/>
  <c r="V770" i="68"/>
  <c r="U1667" i="68"/>
  <c r="V1667" i="68"/>
  <c r="U368" i="114"/>
  <c r="V368" i="114"/>
  <c r="U756" i="68"/>
  <c r="V756" i="68"/>
  <c r="U210" i="115"/>
  <c r="V210" i="115"/>
  <c r="U374" i="114"/>
  <c r="V374" i="114"/>
  <c r="U763" i="68"/>
  <c r="V763" i="68"/>
  <c r="U898" i="68"/>
  <c r="V898" i="68"/>
  <c r="U768" i="68"/>
  <c r="V768" i="68"/>
  <c r="V951" i="115"/>
  <c r="U761" i="68"/>
  <c r="V761" i="68"/>
  <c r="U760" i="68"/>
  <c r="V760" i="68"/>
  <c r="U773" i="68"/>
  <c r="V773" i="68"/>
  <c r="U757" i="68"/>
  <c r="V757" i="68"/>
  <c r="U775" i="68"/>
  <c r="V775" i="68"/>
  <c r="U762" i="68"/>
  <c r="V762" i="68"/>
  <c r="U769" i="68"/>
  <c r="V769" i="68"/>
  <c r="U896" i="68"/>
  <c r="V896" i="68"/>
  <c r="U312" i="68"/>
  <c r="V312" i="68"/>
  <c r="U774" i="68"/>
  <c r="V774" i="68"/>
  <c r="V787" i="115"/>
  <c r="U17" i="68"/>
  <c r="V109" i="115"/>
  <c r="V400" i="114"/>
  <c r="V167" i="114"/>
  <c r="V916" i="115"/>
  <c r="V811" i="115"/>
  <c r="V948" i="115"/>
  <c r="V702" i="114"/>
  <c r="V13" i="68"/>
  <c r="V817" i="115"/>
  <c r="V979" i="115"/>
  <c r="U80" i="68"/>
  <c r="V80" i="68"/>
  <c r="U722" i="114"/>
  <c r="V722" i="114"/>
  <c r="U91" i="115"/>
  <c r="V506" i="115"/>
  <c r="U92" i="115"/>
  <c r="U704" i="68"/>
  <c r="V704" i="68"/>
  <c r="U295" i="68"/>
  <c r="V295" i="68"/>
  <c r="U571" i="115"/>
  <c r="V571" i="115"/>
  <c r="U196" i="68"/>
  <c r="V196" i="68"/>
  <c r="V95" i="115"/>
  <c r="U95" i="115"/>
  <c r="U1184" i="68"/>
  <c r="V1184" i="68"/>
  <c r="V75" i="68"/>
  <c r="U75" i="68"/>
  <c r="U1584" i="68"/>
  <c r="V1584" i="68"/>
  <c r="H465" i="114"/>
  <c r="H553" i="114"/>
  <c r="U1702" i="68"/>
  <c r="V1702" i="68"/>
  <c r="U517" i="115"/>
  <c r="V517" i="115"/>
  <c r="V1131" i="68"/>
  <c r="U1131" i="68"/>
  <c r="U113" i="68"/>
  <c r="V113" i="68"/>
  <c r="U594" i="68"/>
  <c r="V594" i="68"/>
  <c r="U170" i="68"/>
  <c r="V170" i="68"/>
  <c r="U847" i="68"/>
  <c r="V847" i="68"/>
  <c r="U852" i="68"/>
  <c r="V852" i="68"/>
  <c r="U1372" i="68"/>
  <c r="V1372" i="68"/>
  <c r="V1532" i="68"/>
  <c r="U1532" i="68"/>
  <c r="U936" i="68"/>
  <c r="V936" i="68"/>
  <c r="U69" i="115"/>
  <c r="V69" i="115"/>
  <c r="V307" i="68"/>
  <c r="U307" i="68"/>
  <c r="U469" i="68"/>
  <c r="V469" i="68"/>
  <c r="V1343" i="68"/>
  <c r="U1343" i="68"/>
  <c r="V340" i="114"/>
  <c r="U340" i="114"/>
  <c r="U1635" i="68"/>
  <c r="V1635" i="68"/>
  <c r="U1350" i="68"/>
  <c r="V1350" i="68"/>
  <c r="U288" i="68"/>
  <c r="V288" i="68"/>
  <c r="X208" i="115"/>
  <c r="V208" i="115"/>
  <c r="U208" i="115"/>
  <c r="J472" i="114"/>
  <c r="J382" i="114"/>
  <c r="J385" i="114" s="1"/>
  <c r="J546" i="68"/>
  <c r="J544" i="68"/>
  <c r="J641" i="114"/>
  <c r="J643" i="114" s="1"/>
  <c r="J1797" i="68"/>
  <c r="J128" i="68"/>
  <c r="V693" i="115"/>
  <c r="J581" i="115"/>
  <c r="J1341" i="68"/>
  <c r="J217" i="68"/>
  <c r="J228" i="68" s="1"/>
  <c r="J521" i="68"/>
  <c r="J543" i="68"/>
  <c r="J257" i="68"/>
  <c r="J298" i="114"/>
  <c r="J448" i="114"/>
  <c r="Q148" i="32"/>
  <c r="J249" i="68"/>
  <c r="J608" i="114"/>
  <c r="J613" i="114" s="1"/>
  <c r="J1408" i="68"/>
  <c r="J1925" i="68"/>
  <c r="J525" i="68"/>
  <c r="J1912" i="68"/>
  <c r="J240" i="68"/>
  <c r="J241" i="68"/>
  <c r="J263" i="68"/>
  <c r="J1712" i="68"/>
  <c r="J390" i="68"/>
  <c r="J845" i="68"/>
  <c r="J239" i="68"/>
  <c r="J1791" i="68"/>
  <c r="J236" i="68"/>
  <c r="J1806" i="68"/>
  <c r="J168" i="68"/>
  <c r="J309" i="114"/>
  <c r="J553" i="114"/>
  <c r="J555" i="114" s="1"/>
  <c r="J258" i="68"/>
  <c r="J1021" i="68"/>
  <c r="J598" i="68"/>
  <c r="J1234" i="68"/>
  <c r="J267" i="114"/>
  <c r="J627" i="114"/>
  <c r="J702" i="68"/>
  <c r="J1728" i="68"/>
  <c r="J1191" i="68"/>
  <c r="J598" i="114"/>
  <c r="J173" i="68"/>
  <c r="J738" i="68"/>
  <c r="J934" i="68"/>
  <c r="J1387" i="68"/>
  <c r="J959" i="68"/>
  <c r="J149" i="68"/>
  <c r="J328" i="68"/>
  <c r="J238" i="68"/>
  <c r="J259" i="68"/>
  <c r="J547" i="68"/>
  <c r="J420" i="114"/>
  <c r="J200" i="114"/>
  <c r="J53" i="114"/>
  <c r="J66" i="114" s="1"/>
  <c r="J68" i="114" s="1"/>
  <c r="J154" i="68"/>
  <c r="J1439" i="68"/>
  <c r="J1224" i="68"/>
  <c r="J1204" i="68"/>
  <c r="J1749" i="68"/>
  <c r="J975" i="68"/>
  <c r="J1629" i="68"/>
  <c r="J194" i="68"/>
  <c r="J1370" i="68"/>
  <c r="J1423" i="68"/>
  <c r="J485" i="68"/>
  <c r="J1004" i="68"/>
  <c r="J1562" i="68"/>
  <c r="J1033" i="68"/>
  <c r="J1897" i="68"/>
  <c r="J715" i="68"/>
  <c r="J1596" i="68"/>
  <c r="J890" i="68"/>
  <c r="J1700" i="68"/>
  <c r="J1155" i="68"/>
  <c r="J1659" i="68"/>
  <c r="J1257" i="68"/>
  <c r="J747" i="68"/>
  <c r="J323" i="68"/>
  <c r="J875" i="68"/>
  <c r="J116" i="68"/>
  <c r="J358" i="68"/>
  <c r="J1544" i="68"/>
  <c r="J1530" i="68"/>
  <c r="J286" i="68"/>
  <c r="J467" i="68"/>
  <c r="J268" i="68"/>
  <c r="J989" i="68"/>
  <c r="J299" i="68"/>
  <c r="J1763" i="68"/>
  <c r="J465" i="114"/>
  <c r="J284" i="114"/>
  <c r="J610" i="68"/>
  <c r="J344" i="68"/>
  <c r="J945" i="68"/>
  <c r="J1588" i="68"/>
  <c r="J1379" i="68"/>
  <c r="J858" i="68"/>
  <c r="J1140" i="68"/>
  <c r="J1172" i="68"/>
  <c r="J1434" i="68"/>
  <c r="J1774" i="68"/>
  <c r="J1129" i="68"/>
  <c r="J206" i="68"/>
  <c r="J1250" i="68"/>
  <c r="J1612" i="68"/>
  <c r="J472" i="68"/>
  <c r="J244" i="68"/>
  <c r="J182" i="68"/>
  <c r="J1582" i="68"/>
  <c r="J310" i="68"/>
  <c r="J377" i="114"/>
  <c r="J904" i="68"/>
  <c r="J731" i="68"/>
  <c r="J1640" i="68"/>
  <c r="J111" i="68"/>
  <c r="J443" i="114"/>
  <c r="J592" i="68"/>
  <c r="J1353" i="68"/>
  <c r="J447" i="68"/>
  <c r="J452" i="68" s="1"/>
  <c r="J684" i="68"/>
  <c r="J685" i="68" s="1"/>
  <c r="J1678" i="68"/>
  <c r="P381" i="68"/>
  <c r="U381" i="68"/>
  <c r="J633" i="68"/>
  <c r="J404" i="68"/>
  <c r="J417" i="68" s="1"/>
  <c r="V32" i="6"/>
  <c r="AN28" i="6"/>
  <c r="AO28" i="6" s="1"/>
  <c r="AP27" i="6"/>
  <c r="C141" i="6"/>
  <c r="AM27" i="6"/>
  <c r="AR28" i="6"/>
  <c r="AH31" i="6"/>
  <c r="AH30" i="6"/>
  <c r="J96" i="68"/>
  <c r="J7" i="68" s="1"/>
  <c r="AO24" i="6"/>
  <c r="U593" i="115"/>
  <c r="P593" i="115"/>
  <c r="U1810" i="68"/>
  <c r="P898" i="115"/>
  <c r="J348" i="68"/>
  <c r="J402" i="68"/>
  <c r="J329" i="114"/>
  <c r="U1644" i="68"/>
  <c r="J1668" i="68"/>
  <c r="H2" i="9"/>
  <c r="J764" i="68"/>
  <c r="P635" i="115"/>
  <c r="P400" i="68"/>
  <c r="P647" i="68"/>
  <c r="P221" i="68"/>
  <c r="P693" i="115"/>
  <c r="J337" i="114"/>
  <c r="P1810" i="68"/>
  <c r="U410" i="68"/>
  <c r="J495" i="114"/>
  <c r="U271" i="68"/>
  <c r="M24" i="6"/>
  <c r="J778" i="68"/>
  <c r="AX29" i="6"/>
  <c r="U635" i="115"/>
  <c r="S110" i="32"/>
  <c r="S190" i="32"/>
  <c r="S166" i="32"/>
  <c r="U411" i="68"/>
  <c r="E22" i="6"/>
  <c r="F22" i="6"/>
  <c r="P22" i="6" s="1"/>
  <c r="H22" i="6"/>
  <c r="U680" i="68"/>
  <c r="J105" i="6"/>
  <c r="P410" i="68"/>
  <c r="P660" i="68"/>
  <c r="J406" i="114"/>
  <c r="J374" i="68"/>
  <c r="J659" i="114"/>
  <c r="U248" i="68"/>
  <c r="P1644" i="68"/>
  <c r="J511" i="68"/>
  <c r="U260" i="68"/>
  <c r="Q511" i="68"/>
  <c r="P698" i="115"/>
  <c r="J771" i="68"/>
  <c r="P432" i="68"/>
  <c r="P260" i="68"/>
  <c r="P401" i="68"/>
  <c r="T511" i="68"/>
  <c r="U693" i="115"/>
  <c r="U395" i="68"/>
  <c r="U698" i="115"/>
  <c r="U221" i="68"/>
  <c r="U1904" i="68"/>
  <c r="S511" i="68"/>
  <c r="P1904" i="68"/>
  <c r="P1907" i="68" s="1"/>
  <c r="O511" i="68"/>
  <c r="U631" i="68"/>
  <c r="R511" i="68"/>
  <c r="P631" i="114"/>
  <c r="P395" i="68"/>
  <c r="V1904" i="68"/>
  <c r="U612" i="115"/>
  <c r="P631" i="68"/>
  <c r="U1907" i="68"/>
  <c r="S155" i="32"/>
  <c r="P267" i="68"/>
  <c r="AO26" i="6"/>
  <c r="AP26" i="6"/>
  <c r="S132" i="32"/>
  <c r="V244" i="114"/>
  <c r="J682" i="68"/>
  <c r="S94" i="32"/>
  <c r="S148" i="32"/>
  <c r="S177" i="32"/>
  <c r="P624" i="68"/>
  <c r="P680" i="68"/>
  <c r="P8" i="3"/>
  <c r="H3" i="103" s="1"/>
  <c r="U410" i="115"/>
  <c r="M438" i="68"/>
  <c r="U438" i="68" s="1"/>
  <c r="M272" i="68"/>
  <c r="V271" i="68"/>
  <c r="U660" i="68"/>
  <c r="U1568" i="68"/>
  <c r="J752" i="114"/>
  <c r="J754" i="114" s="1"/>
  <c r="U631" i="114"/>
  <c r="J729" i="114"/>
  <c r="U666" i="68"/>
  <c r="P666" i="68"/>
  <c r="U365" i="68"/>
  <c r="J656" i="68"/>
  <c r="U628" i="68"/>
  <c r="V628" i="68"/>
  <c r="J170" i="114"/>
  <c r="P32" i="114"/>
  <c r="P509" i="68"/>
  <c r="U898" i="115"/>
  <c r="V898" i="115"/>
  <c r="J95" i="114"/>
  <c r="P628" i="68"/>
  <c r="J669" i="114"/>
  <c r="J227" i="114"/>
  <c r="J430" i="114"/>
  <c r="U401" i="68"/>
  <c r="P498" i="68"/>
  <c r="J121" i="114"/>
  <c r="U432" i="68"/>
  <c r="U1777" i="68"/>
  <c r="U267" i="68"/>
  <c r="J668" i="68"/>
  <c r="U624" i="68"/>
  <c r="V624" i="68"/>
  <c r="U647" i="68"/>
  <c r="P365" i="68"/>
  <c r="V622" i="115"/>
  <c r="U622" i="115"/>
  <c r="V614" i="115"/>
  <c r="P614" i="115"/>
  <c r="U614" i="115"/>
  <c r="P622" i="115"/>
  <c r="U209" i="114"/>
  <c r="U1734" i="68"/>
  <c r="U498" i="68"/>
  <c r="J689" i="114"/>
  <c r="J702" i="115"/>
  <c r="J917" i="115"/>
  <c r="J475" i="115"/>
  <c r="J542" i="115"/>
  <c r="J546" i="115" s="1"/>
  <c r="M8" i="114"/>
  <c r="M9" i="115"/>
  <c r="M511" i="68"/>
  <c r="V509" i="68"/>
  <c r="U509" i="68"/>
  <c r="U968" i="115"/>
  <c r="V968" i="115"/>
  <c r="V32" i="114"/>
  <c r="U32" i="114"/>
  <c r="M21" i="9"/>
  <c r="A20" i="6"/>
  <c r="A24" i="9" s="1"/>
  <c r="B21" i="6"/>
  <c r="B25" i="9" s="1"/>
  <c r="A15" i="6"/>
  <c r="A19" i="9" s="1"/>
  <c r="C140" i="6"/>
  <c r="AO23" i="6"/>
  <c r="AP23" i="6"/>
  <c r="P209" i="114"/>
  <c r="AO25" i="6"/>
  <c r="AP25" i="6"/>
  <c r="U781" i="68"/>
  <c r="W130" i="32"/>
  <c r="N4" i="3"/>
  <c r="J60" i="32" s="1"/>
  <c r="O5" i="3"/>
  <c r="X46" i="32" s="1"/>
  <c r="W131" i="32"/>
  <c r="N3" i="3"/>
  <c r="P1390" i="68"/>
  <c r="I37" i="6"/>
  <c r="AF36" i="68" l="1"/>
  <c r="AH36" i="68" s="1"/>
  <c r="P11" i="3"/>
  <c r="H21" i="103" s="1"/>
  <c r="H22" i="103" s="1"/>
  <c r="H23" i="103" s="1"/>
  <c r="H24" i="103" s="1"/>
  <c r="H25" i="103" s="1"/>
  <c r="H26" i="103" s="1"/>
  <c r="G21" i="103"/>
  <c r="G22" i="103" s="1"/>
  <c r="G23" i="103" s="1"/>
  <c r="G24" i="103" s="1"/>
  <c r="G25" i="103" s="1"/>
  <c r="G26" i="103" s="1"/>
  <c r="P10" i="3"/>
  <c r="H9" i="103" s="1"/>
  <c r="H10" i="103" s="1"/>
  <c r="H11" i="103" s="1"/>
  <c r="H12" i="103" s="1"/>
  <c r="H13" i="103" s="1"/>
  <c r="H14" i="103" s="1"/>
  <c r="H15" i="103" s="1"/>
  <c r="H16" i="103" s="1"/>
  <c r="H17" i="103" s="1"/>
  <c r="H18" i="103" s="1"/>
  <c r="H19" i="103" s="1"/>
  <c r="G9" i="103"/>
  <c r="G10" i="103" s="1"/>
  <c r="G11" i="103" s="1"/>
  <c r="G12" i="103" s="1"/>
  <c r="G13" i="103" s="1"/>
  <c r="G14" i="103" s="1"/>
  <c r="G15" i="103" s="1"/>
  <c r="G16" i="103" s="1"/>
  <c r="G17" i="103" s="1"/>
  <c r="G18" i="103" s="1"/>
  <c r="G19" i="103" s="1"/>
  <c r="AF27" i="68"/>
  <c r="AH27" i="68" s="1"/>
  <c r="AI24" i="68"/>
  <c r="AK24" i="68" s="1"/>
  <c r="AF30" i="68"/>
  <c r="AH30" i="68" s="1"/>
  <c r="AF22" i="68"/>
  <c r="AH22" i="68" s="1"/>
  <c r="AI22" i="68" s="1"/>
  <c r="AK22" i="68" s="1"/>
  <c r="AF18" i="68"/>
  <c r="AH18" i="68" s="1"/>
  <c r="AI18" i="68" s="1"/>
  <c r="AK18" i="68" s="1"/>
  <c r="AL18" i="68" s="1"/>
  <c r="AN18" i="68" s="1"/>
  <c r="AF35" i="68"/>
  <c r="AH35" i="68" s="1"/>
  <c r="F168" i="103"/>
  <c r="F169" i="103" s="1"/>
  <c r="F209" i="103"/>
  <c r="F210" i="103" s="1"/>
  <c r="F211" i="103" s="1"/>
  <c r="F218" i="103" s="1"/>
  <c r="P14" i="3"/>
  <c r="H27" i="103" s="1"/>
  <c r="H28" i="103" s="1"/>
  <c r="H29" i="103" s="1"/>
  <c r="H30" i="103" s="1"/>
  <c r="H31" i="103" s="1"/>
  <c r="H32" i="103" s="1"/>
  <c r="H33" i="103" s="1"/>
  <c r="H34" i="103" s="1"/>
  <c r="H35" i="103" s="1"/>
  <c r="G27" i="103"/>
  <c r="G28" i="103" s="1"/>
  <c r="G29" i="103" s="1"/>
  <c r="G30" i="103" s="1"/>
  <c r="G31" i="103" s="1"/>
  <c r="G32" i="103" s="1"/>
  <c r="G33" i="103" s="1"/>
  <c r="G34" i="103" s="1"/>
  <c r="G35" i="103" s="1"/>
  <c r="G346" i="103"/>
  <c r="G351" i="103"/>
  <c r="E264" i="103"/>
  <c r="E261" i="103"/>
  <c r="V57" i="32"/>
  <c r="X188" i="32"/>
  <c r="U188" i="32"/>
  <c r="V188" i="32"/>
  <c r="U57" i="32"/>
  <c r="V63" i="32"/>
  <c r="U63" i="32"/>
  <c r="X57" i="32"/>
  <c r="J72" i="32"/>
  <c r="W72" i="32" s="1"/>
  <c r="J66" i="32"/>
  <c r="J61" i="32"/>
  <c r="J64" i="32"/>
  <c r="X63" i="32"/>
  <c r="X60" i="32"/>
  <c r="U60" i="32"/>
  <c r="V60" i="32"/>
  <c r="W60" i="32"/>
  <c r="J67" i="32"/>
  <c r="V69" i="32"/>
  <c r="J58" i="32"/>
  <c r="U69" i="32"/>
  <c r="Q120" i="32"/>
  <c r="M120" i="32"/>
  <c r="M122" i="32" s="1"/>
  <c r="K122" i="32"/>
  <c r="Z376" i="114"/>
  <c r="AB376" i="114" s="1"/>
  <c r="AC376" i="114" s="1"/>
  <c r="AE376" i="114" s="1"/>
  <c r="Y387" i="114"/>
  <c r="V173" i="32"/>
  <c r="W173" i="32"/>
  <c r="J70" i="32"/>
  <c r="V70" i="32" s="1"/>
  <c r="J79" i="32"/>
  <c r="U79" i="32" s="1"/>
  <c r="J185" i="32"/>
  <c r="X173" i="32"/>
  <c r="F285" i="103"/>
  <c r="F286" i="103" s="1"/>
  <c r="F287" i="103" s="1"/>
  <c r="F288" i="103" s="1"/>
  <c r="F290" i="103" s="1"/>
  <c r="F291" i="103" s="1"/>
  <c r="F295" i="103" s="1"/>
  <c r="F296" i="103" s="1"/>
  <c r="F297" i="103" s="1"/>
  <c r="F298" i="103" s="1"/>
  <c r="F299" i="103" s="1"/>
  <c r="F300" i="103" s="1"/>
  <c r="F305" i="103" s="1"/>
  <c r="F306" i="103" s="1"/>
  <c r="F307" i="103" s="1"/>
  <c r="F311" i="103" s="1"/>
  <c r="F212" i="103"/>
  <c r="F213" i="103" s="1"/>
  <c r="J73" i="32"/>
  <c r="J42" i="32"/>
  <c r="W42" i="32" s="1"/>
  <c r="J77" i="32"/>
  <c r="X69" i="32"/>
  <c r="G161" i="103"/>
  <c r="G264" i="103"/>
  <c r="G265" i="103" s="1"/>
  <c r="G266" i="103" s="1"/>
  <c r="G267" i="103" s="1"/>
  <c r="G268" i="103" s="1"/>
  <c r="G269" i="103" s="1"/>
  <c r="G270" i="103" s="1"/>
  <c r="G279" i="103" s="1"/>
  <c r="G280" i="103" s="1"/>
  <c r="G281" i="103" s="1"/>
  <c r="G282" i="103" s="1"/>
  <c r="G283" i="103" s="1"/>
  <c r="AB316" i="114"/>
  <c r="Z329" i="114"/>
  <c r="AC331" i="114"/>
  <c r="Y66" i="114"/>
  <c r="Y689" i="114"/>
  <c r="AC593" i="114"/>
  <c r="AE593" i="114" s="1"/>
  <c r="Z13" i="114"/>
  <c r="Y22" i="114"/>
  <c r="AC588" i="114"/>
  <c r="AE588" i="114" s="1"/>
  <c r="AB35" i="114"/>
  <c r="AB66" i="114" s="1"/>
  <c r="Z66" i="114"/>
  <c r="Z691" i="114"/>
  <c r="Y729" i="114"/>
  <c r="Z394" i="114"/>
  <c r="AB394" i="114" s="1"/>
  <c r="Y406" i="114"/>
  <c r="Y752" i="114"/>
  <c r="AE736" i="114"/>
  <c r="AC741" i="114"/>
  <c r="Z752" i="114"/>
  <c r="AC743" i="114"/>
  <c r="AB752" i="114"/>
  <c r="Z534" i="114"/>
  <c r="AB534" i="114" s="1"/>
  <c r="AC534" i="114" s="1"/>
  <c r="AE534" i="114" s="1"/>
  <c r="AC650" i="114"/>
  <c r="AB661" i="114"/>
  <c r="AB669" i="114" s="1"/>
  <c r="Z669" i="114"/>
  <c r="AB604" i="114"/>
  <c r="AC604" i="114" s="1"/>
  <c r="AE604" i="114" s="1"/>
  <c r="AF604" i="114" s="1"/>
  <c r="AH604" i="114" s="1"/>
  <c r="AI604" i="114" s="1"/>
  <c r="AK604" i="114" s="1"/>
  <c r="AL604" i="114" s="1"/>
  <c r="AN604" i="114" s="1"/>
  <c r="Y613" i="114"/>
  <c r="AC620" i="114"/>
  <c r="AB627" i="114"/>
  <c r="L96" i="3" s="1"/>
  <c r="Z651" i="114"/>
  <c r="Y659" i="114"/>
  <c r="AB634" i="114"/>
  <c r="Z643" i="114"/>
  <c r="AF1896" i="68"/>
  <c r="AH1896" i="68" s="1"/>
  <c r="G245" i="103"/>
  <c r="G246" i="103" s="1"/>
  <c r="AI434" i="68"/>
  <c r="AK434" i="68" s="1"/>
  <c r="AB29" i="68"/>
  <c r="AC29" i="68" s="1"/>
  <c r="AE29" i="68" s="1"/>
  <c r="AF29" i="68" s="1"/>
  <c r="AH29" i="68" s="1"/>
  <c r="AI29" i="68" s="1"/>
  <c r="AK29" i="68" s="1"/>
  <c r="AL29" i="68" s="1"/>
  <c r="AN29" i="68" s="1"/>
  <c r="AB42" i="68"/>
  <c r="AC42" i="68" s="1"/>
  <c r="AE42" i="68" s="1"/>
  <c r="AF42" i="68" s="1"/>
  <c r="AH42" i="68" s="1"/>
  <c r="AB271" i="68"/>
  <c r="AC271" i="68" s="1"/>
  <c r="AE271" i="68" s="1"/>
  <c r="AF271" i="68" s="1"/>
  <c r="AH271" i="68" s="1"/>
  <c r="AI271" i="68" s="1"/>
  <c r="AK271" i="68" s="1"/>
  <c r="AL271" i="68" s="1"/>
  <c r="AN271" i="68" s="1"/>
  <c r="AB92" i="68"/>
  <c r="AC92" i="68" s="1"/>
  <c r="AE92" i="68" s="1"/>
  <c r="AF92" i="68" s="1"/>
  <c r="AH92" i="68" s="1"/>
  <c r="AI92" i="68" s="1"/>
  <c r="AK92" i="68" s="1"/>
  <c r="AL92" i="68" s="1"/>
  <c r="AN92" i="68" s="1"/>
  <c r="AB89" i="68"/>
  <c r="AC89" i="68" s="1"/>
  <c r="AE89" i="68" s="1"/>
  <c r="AF89" i="68" s="1"/>
  <c r="AH89" i="68" s="1"/>
  <c r="AI89" i="68" s="1"/>
  <c r="AK89" i="68" s="1"/>
  <c r="AL89" i="68" s="1"/>
  <c r="AN89" i="68" s="1"/>
  <c r="AB1547" i="68"/>
  <c r="AC1547" i="68" s="1"/>
  <c r="AE1547" i="68" s="1"/>
  <c r="AF1547" i="68" s="1"/>
  <c r="AH1547" i="68" s="1"/>
  <c r="AI1547" i="68" s="1"/>
  <c r="AK1547" i="68" s="1"/>
  <c r="AB54" i="68"/>
  <c r="AC54" i="68" s="1"/>
  <c r="AE54" i="68" s="1"/>
  <c r="AF54" i="68" s="1"/>
  <c r="AH54" i="68" s="1"/>
  <c r="AB53" i="68"/>
  <c r="AC53" i="68" s="1"/>
  <c r="AE53" i="68" s="1"/>
  <c r="AF53" i="68" s="1"/>
  <c r="AH53" i="68" s="1"/>
  <c r="AB49" i="68"/>
  <c r="AC49" i="68" s="1"/>
  <c r="AE49" i="68" s="1"/>
  <c r="AF49" i="68" s="1"/>
  <c r="AH49" i="68" s="1"/>
  <c r="AB283" i="68"/>
  <c r="AC283" i="68" s="1"/>
  <c r="AE283" i="68" s="1"/>
  <c r="AF283" i="68" s="1"/>
  <c r="AH283" i="68" s="1"/>
  <c r="AB45" i="68"/>
  <c r="AC45" i="68" s="1"/>
  <c r="AE45" i="68" s="1"/>
  <c r="AF45" i="68" s="1"/>
  <c r="AH45" i="68" s="1"/>
  <c r="AB1528" i="68"/>
  <c r="AC1528" i="68" s="1"/>
  <c r="AE1528" i="68" s="1"/>
  <c r="AF1528" i="68" s="1"/>
  <c r="AH1528" i="68" s="1"/>
  <c r="AB16" i="68"/>
  <c r="AC16" i="68" s="1"/>
  <c r="AE16" i="68" s="1"/>
  <c r="AF16" i="68" s="1"/>
  <c r="AH16" i="68" s="1"/>
  <c r="AI16" i="68" s="1"/>
  <c r="AK16" i="68" s="1"/>
  <c r="AB282" i="68"/>
  <c r="AC282" i="68" s="1"/>
  <c r="AE282" i="68" s="1"/>
  <c r="AF282" i="68" s="1"/>
  <c r="AH282" i="68" s="1"/>
  <c r="AB278" i="68"/>
  <c r="AC278" i="68" s="1"/>
  <c r="AE278" i="68" s="1"/>
  <c r="AF278" i="68" s="1"/>
  <c r="AH278" i="68" s="1"/>
  <c r="AB13" i="68"/>
  <c r="AC13" i="68" s="1"/>
  <c r="AE13" i="68" s="1"/>
  <c r="AF13" i="68" s="1"/>
  <c r="AH13" i="68" s="1"/>
  <c r="AB34" i="68"/>
  <c r="AC34" i="68" s="1"/>
  <c r="AE34" i="68" s="1"/>
  <c r="AF34" i="68" s="1"/>
  <c r="AH34" i="68" s="1"/>
  <c r="AB44" i="68"/>
  <c r="AC44" i="68" s="1"/>
  <c r="AE44" i="68" s="1"/>
  <c r="AF44" i="68" s="1"/>
  <c r="AH44" i="68" s="1"/>
  <c r="AB17" i="68"/>
  <c r="AC17" i="68" s="1"/>
  <c r="AE17" i="68" s="1"/>
  <c r="AF17" i="68" s="1"/>
  <c r="AH17" i="68" s="1"/>
  <c r="AI17" i="68" s="1"/>
  <c r="AK17" i="68" s="1"/>
  <c r="AL17" i="68" s="1"/>
  <c r="AN17" i="68" s="1"/>
  <c r="AB46" i="68"/>
  <c r="AC46" i="68" s="1"/>
  <c r="AE46" i="68" s="1"/>
  <c r="AF46" i="68" s="1"/>
  <c r="AH46" i="68" s="1"/>
  <c r="AB61" i="68"/>
  <c r="AC61" i="68" s="1"/>
  <c r="AE61" i="68" s="1"/>
  <c r="AF61" i="68" s="1"/>
  <c r="AH61" i="68" s="1"/>
  <c r="AB76" i="68"/>
  <c r="AC76" i="68" s="1"/>
  <c r="AE76" i="68" s="1"/>
  <c r="AF76" i="68" s="1"/>
  <c r="AH76" i="68" s="1"/>
  <c r="AB1527" i="68"/>
  <c r="AC1527" i="68" s="1"/>
  <c r="AE1527" i="68" s="1"/>
  <c r="AF1527" i="68" s="1"/>
  <c r="AH1527" i="68" s="1"/>
  <c r="AB40" i="68"/>
  <c r="AC40" i="68" s="1"/>
  <c r="AE40" i="68" s="1"/>
  <c r="AF40" i="68" s="1"/>
  <c r="AH40" i="68" s="1"/>
  <c r="AB1523" i="68"/>
  <c r="AC1523" i="68" s="1"/>
  <c r="AE1523" i="68" s="1"/>
  <c r="AF1523" i="68" s="1"/>
  <c r="AH1523" i="68" s="1"/>
  <c r="AB85" i="68"/>
  <c r="AC85" i="68" s="1"/>
  <c r="AE85" i="68" s="1"/>
  <c r="AF85" i="68" s="1"/>
  <c r="AH85" i="68" s="1"/>
  <c r="AB39" i="68"/>
  <c r="AC39" i="68" s="1"/>
  <c r="AE39" i="68" s="1"/>
  <c r="AF39" i="68" s="1"/>
  <c r="AH39" i="68" s="1"/>
  <c r="AI39" i="68" s="1"/>
  <c r="AK39" i="68" s="1"/>
  <c r="AB279" i="68"/>
  <c r="AC279" i="68" s="1"/>
  <c r="AE279" i="68" s="1"/>
  <c r="AF279" i="68" s="1"/>
  <c r="AH279" i="68" s="1"/>
  <c r="AB285" i="68"/>
  <c r="AC285" i="68" s="1"/>
  <c r="AE285" i="68" s="1"/>
  <c r="AF285" i="68" s="1"/>
  <c r="AH285" i="68" s="1"/>
  <c r="AB51" i="68"/>
  <c r="AC51" i="68" s="1"/>
  <c r="AE51" i="68" s="1"/>
  <c r="AF51" i="68" s="1"/>
  <c r="AH51" i="68" s="1"/>
  <c r="AB19" i="68"/>
  <c r="AC19" i="68" s="1"/>
  <c r="AE19" i="68" s="1"/>
  <c r="AF19" i="68" s="1"/>
  <c r="AH19" i="68" s="1"/>
  <c r="AI19" i="68" s="1"/>
  <c r="AK19" i="68" s="1"/>
  <c r="AB649" i="68"/>
  <c r="AC649" i="68" s="1"/>
  <c r="AE649" i="68" s="1"/>
  <c r="AF649" i="68" s="1"/>
  <c r="AH649" i="68" s="1"/>
  <c r="AB320" i="68"/>
  <c r="AC320" i="68" s="1"/>
  <c r="AE320" i="68" s="1"/>
  <c r="AF320" i="68" s="1"/>
  <c r="AH320" i="68" s="1"/>
  <c r="AI320" i="68" s="1"/>
  <c r="AK320" i="68" s="1"/>
  <c r="AB81" i="68"/>
  <c r="AC81" i="68" s="1"/>
  <c r="AE81" i="68" s="1"/>
  <c r="AF81" i="68" s="1"/>
  <c r="AH81" i="68" s="1"/>
  <c r="AB26" i="68"/>
  <c r="AC26" i="68" s="1"/>
  <c r="AE26" i="68" s="1"/>
  <c r="AF26" i="68" s="1"/>
  <c r="AH26" i="68" s="1"/>
  <c r="AI26" i="68" s="1"/>
  <c r="AK26" i="68" s="1"/>
  <c r="AL26" i="68" s="1"/>
  <c r="AN26" i="68" s="1"/>
  <c r="AB385" i="68"/>
  <c r="AC385" i="68" s="1"/>
  <c r="AE385" i="68" s="1"/>
  <c r="AF385" i="68" s="1"/>
  <c r="AH385" i="68" s="1"/>
  <c r="AB48" i="68"/>
  <c r="AC48" i="68" s="1"/>
  <c r="AE48" i="68" s="1"/>
  <c r="AF48" i="68" s="1"/>
  <c r="AH48" i="68" s="1"/>
  <c r="AB79" i="68"/>
  <c r="AC79" i="68" s="1"/>
  <c r="AE79" i="68" s="1"/>
  <c r="AF79" i="68" s="1"/>
  <c r="AH79" i="68" s="1"/>
  <c r="AB91" i="68"/>
  <c r="AC91" i="68" s="1"/>
  <c r="AE91" i="68" s="1"/>
  <c r="AF91" i="68" s="1"/>
  <c r="AH91" i="68" s="1"/>
  <c r="AI91" i="68" s="1"/>
  <c r="AK91" i="68" s="1"/>
  <c r="AL91" i="68" s="1"/>
  <c r="AN91" i="68" s="1"/>
  <c r="AB37" i="68"/>
  <c r="AC37" i="68" s="1"/>
  <c r="AE37" i="68" s="1"/>
  <c r="AF37" i="68" s="1"/>
  <c r="AH37" i="68" s="1"/>
  <c r="AB43" i="68"/>
  <c r="AC43" i="68" s="1"/>
  <c r="AE43" i="68" s="1"/>
  <c r="AF43" i="68" s="1"/>
  <c r="AH43" i="68" s="1"/>
  <c r="AB1521" i="68"/>
  <c r="AC1521" i="68" s="1"/>
  <c r="AE1521" i="68" s="1"/>
  <c r="AF1521" i="68" s="1"/>
  <c r="AH1521" i="68" s="1"/>
  <c r="AB293" i="68"/>
  <c r="AC293" i="68" s="1"/>
  <c r="AE293" i="68" s="1"/>
  <c r="AF293" i="68" s="1"/>
  <c r="AH293" i="68" s="1"/>
  <c r="AI293" i="68" s="1"/>
  <c r="AK293" i="68" s="1"/>
  <c r="AB1538" i="68"/>
  <c r="AC1538" i="68" s="1"/>
  <c r="AE1538" i="68" s="1"/>
  <c r="AF1538" i="68" s="1"/>
  <c r="AH1538" i="68" s="1"/>
  <c r="AI1538" i="68" s="1"/>
  <c r="AK1538" i="68" s="1"/>
  <c r="AB1914" i="68"/>
  <c r="AC1914" i="68" s="1"/>
  <c r="AE1914" i="68" s="1"/>
  <c r="AF1914" i="68" s="1"/>
  <c r="AH1914" i="68" s="1"/>
  <c r="AB31" i="68"/>
  <c r="AC31" i="68" s="1"/>
  <c r="AE31" i="68" s="1"/>
  <c r="AF31" i="68" s="1"/>
  <c r="AH31" i="68" s="1"/>
  <c r="AB32" i="68"/>
  <c r="AC32" i="68" s="1"/>
  <c r="AE32" i="68" s="1"/>
  <c r="AF32" i="68" s="1"/>
  <c r="AH32" i="68" s="1"/>
  <c r="AB23" i="68"/>
  <c r="AC23" i="68" s="1"/>
  <c r="AE23" i="68" s="1"/>
  <c r="AF23" i="68" s="1"/>
  <c r="AH23" i="68" s="1"/>
  <c r="AI23" i="68" s="1"/>
  <c r="AK23" i="68" s="1"/>
  <c r="AB440" i="68"/>
  <c r="AC440" i="68" s="1"/>
  <c r="AE440" i="68" s="1"/>
  <c r="AF440" i="68" s="1"/>
  <c r="AH440" i="68" s="1"/>
  <c r="AI440" i="68" s="1"/>
  <c r="AK440" i="68" s="1"/>
  <c r="AB20" i="68"/>
  <c r="AC20" i="68" s="1"/>
  <c r="AE20" i="68" s="1"/>
  <c r="AF20" i="68" s="1"/>
  <c r="AH20" i="68" s="1"/>
  <c r="AI20" i="68" s="1"/>
  <c r="AK20" i="68" s="1"/>
  <c r="AB21" i="68"/>
  <c r="AC21" i="68" s="1"/>
  <c r="AE21" i="68" s="1"/>
  <c r="AF21" i="68" s="1"/>
  <c r="AH21" i="68" s="1"/>
  <c r="AI21" i="68" s="1"/>
  <c r="AK21" i="68" s="1"/>
  <c r="AB281" i="68"/>
  <c r="AC281" i="68" s="1"/>
  <c r="AE281" i="68" s="1"/>
  <c r="AF281" i="68" s="1"/>
  <c r="AH281" i="68" s="1"/>
  <c r="AB1520" i="68"/>
  <c r="AC1520" i="68" s="1"/>
  <c r="AE1520" i="68" s="1"/>
  <c r="AF1520" i="68" s="1"/>
  <c r="AH1520" i="68" s="1"/>
  <c r="AB319" i="68"/>
  <c r="AC319" i="68" s="1"/>
  <c r="AE319" i="68" s="1"/>
  <c r="AF319" i="68" s="1"/>
  <c r="AH319" i="68" s="1"/>
  <c r="AI319" i="68" s="1"/>
  <c r="AK319" i="68" s="1"/>
  <c r="AB62" i="68"/>
  <c r="AC62" i="68" s="1"/>
  <c r="AE62" i="68" s="1"/>
  <c r="AF62" i="68" s="1"/>
  <c r="AH62" i="68" s="1"/>
  <c r="AB93" i="68"/>
  <c r="AC93" i="68" s="1"/>
  <c r="AE93" i="68" s="1"/>
  <c r="AF93" i="68" s="1"/>
  <c r="AH93" i="68" s="1"/>
  <c r="AI93" i="68" s="1"/>
  <c r="AK93" i="68" s="1"/>
  <c r="AL93" i="68" s="1"/>
  <c r="AN93" i="68" s="1"/>
  <c r="AB94" i="68"/>
  <c r="AC94" i="68" s="1"/>
  <c r="AE94" i="68" s="1"/>
  <c r="AF94" i="68" s="1"/>
  <c r="AH94" i="68" s="1"/>
  <c r="AI94" i="68" s="1"/>
  <c r="AK94" i="68" s="1"/>
  <c r="AL94" i="68" s="1"/>
  <c r="AN94" i="68" s="1"/>
  <c r="AB86" i="68"/>
  <c r="AC86" i="68" s="1"/>
  <c r="AE86" i="68" s="1"/>
  <c r="AF86" i="68" s="1"/>
  <c r="AH86" i="68" s="1"/>
  <c r="AB1522" i="68"/>
  <c r="AC1522" i="68" s="1"/>
  <c r="AE1522" i="68" s="1"/>
  <c r="AF1522" i="68" s="1"/>
  <c r="AH1522" i="68" s="1"/>
  <c r="AB284" i="68"/>
  <c r="AC284" i="68" s="1"/>
  <c r="AE284" i="68" s="1"/>
  <c r="AF284" i="68" s="1"/>
  <c r="AH284" i="68" s="1"/>
  <c r="AB25" i="68"/>
  <c r="AC25" i="68" s="1"/>
  <c r="AE25" i="68" s="1"/>
  <c r="AF25" i="68" s="1"/>
  <c r="AH25" i="68" s="1"/>
  <c r="AI25" i="68" s="1"/>
  <c r="AK25" i="68" s="1"/>
  <c r="AL25" i="68" s="1"/>
  <c r="AN25" i="68" s="1"/>
  <c r="AB41" i="68"/>
  <c r="AC41" i="68" s="1"/>
  <c r="AE41" i="68" s="1"/>
  <c r="AF41" i="68" s="1"/>
  <c r="AH41" i="68" s="1"/>
  <c r="AB1524" i="68"/>
  <c r="AC1524" i="68" s="1"/>
  <c r="AE1524" i="68" s="1"/>
  <c r="AF1524" i="68" s="1"/>
  <c r="AH1524" i="68" s="1"/>
  <c r="AB83" i="68"/>
  <c r="AC83" i="68" s="1"/>
  <c r="AE83" i="68" s="1"/>
  <c r="AF83" i="68" s="1"/>
  <c r="AH83" i="68" s="1"/>
  <c r="AB15" i="68"/>
  <c r="AC15" i="68" s="1"/>
  <c r="AE15" i="68" s="1"/>
  <c r="AF15" i="68" s="1"/>
  <c r="AH15" i="68" s="1"/>
  <c r="AI15" i="68" s="1"/>
  <c r="AK15" i="68" s="1"/>
  <c r="AL15" i="68" s="1"/>
  <c r="AN15" i="68" s="1"/>
  <c r="AB321" i="68"/>
  <c r="AC321" i="68" s="1"/>
  <c r="AE321" i="68" s="1"/>
  <c r="AF321" i="68" s="1"/>
  <c r="AH321" i="68" s="1"/>
  <c r="AI321" i="68" s="1"/>
  <c r="AK321" i="68" s="1"/>
  <c r="AB280" i="68"/>
  <c r="AC280" i="68" s="1"/>
  <c r="AE280" i="68" s="1"/>
  <c r="AF280" i="68" s="1"/>
  <c r="AH280" i="68" s="1"/>
  <c r="AB38" i="68"/>
  <c r="AC38" i="68" s="1"/>
  <c r="AE38" i="68" s="1"/>
  <c r="AF38" i="68" s="1"/>
  <c r="AH38" i="68" s="1"/>
  <c r="AB28" i="68"/>
  <c r="AC28" i="68" s="1"/>
  <c r="AE28" i="68" s="1"/>
  <c r="AF28" i="68" s="1"/>
  <c r="AH28" i="68" s="1"/>
  <c r="AI28" i="68" s="1"/>
  <c r="AK28" i="68" s="1"/>
  <c r="AB1529" i="68"/>
  <c r="AC1529" i="68" s="1"/>
  <c r="AE1529" i="68" s="1"/>
  <c r="AF1529" i="68" s="1"/>
  <c r="AH1529" i="68" s="1"/>
  <c r="AB52" i="68"/>
  <c r="AC52" i="68" s="1"/>
  <c r="AE52" i="68" s="1"/>
  <c r="AF52" i="68" s="1"/>
  <c r="AH52" i="68" s="1"/>
  <c r="AB325" i="68"/>
  <c r="AC325" i="68" s="1"/>
  <c r="AE325" i="68" s="1"/>
  <c r="AF325" i="68" s="1"/>
  <c r="AH325" i="68" s="1"/>
  <c r="AI325" i="68" s="1"/>
  <c r="AK325" i="68" s="1"/>
  <c r="AB33" i="68"/>
  <c r="AC33" i="68" s="1"/>
  <c r="AE33" i="68" s="1"/>
  <c r="AF33" i="68" s="1"/>
  <c r="AH33" i="68" s="1"/>
  <c r="Y97" i="68"/>
  <c r="AI1546" i="68"/>
  <c r="AK1546" i="68" s="1"/>
  <c r="AF47" i="68"/>
  <c r="AH47" i="68" s="1"/>
  <c r="AI320" i="114"/>
  <c r="AK320" i="114" s="1"/>
  <c r="AI367" i="114"/>
  <c r="AK367" i="114" s="1"/>
  <c r="AI312" i="68"/>
  <c r="AK312" i="68" s="1"/>
  <c r="AL312" i="68" s="1"/>
  <c r="AN312" i="68" s="1"/>
  <c r="AF55" i="68"/>
  <c r="AH55" i="68" s="1"/>
  <c r="G78" i="103"/>
  <c r="AI75" i="68" s="1"/>
  <c r="AK75" i="68" s="1"/>
  <c r="AC58" i="68"/>
  <c r="AE58" i="68" s="1"/>
  <c r="AF58" i="68" s="1"/>
  <c r="AH58" i="68" s="1"/>
  <c r="AC61" i="114"/>
  <c r="AE61" i="114" s="1"/>
  <c r="AF61" i="114" s="1"/>
  <c r="AH61" i="114" s="1"/>
  <c r="AC63" i="114"/>
  <c r="AE63" i="114" s="1"/>
  <c r="AF63" i="114" s="1"/>
  <c r="AH63" i="114" s="1"/>
  <c r="G394" i="103"/>
  <c r="G398" i="103" s="1"/>
  <c r="G390" i="103"/>
  <c r="AI66" i="68"/>
  <c r="AK66" i="68" s="1"/>
  <c r="G123" i="103"/>
  <c r="G147" i="103" s="1"/>
  <c r="G148" i="103" s="1"/>
  <c r="G149" i="103" s="1"/>
  <c r="G150" i="103" s="1"/>
  <c r="G151" i="103" s="1"/>
  <c r="G152" i="103" s="1"/>
  <c r="G76" i="103"/>
  <c r="E68" i="103"/>
  <c r="AC67" i="68" s="1"/>
  <c r="AE67" i="68" s="1"/>
  <c r="AF67" i="68" s="1"/>
  <c r="AH67" i="68" s="1"/>
  <c r="AI67" i="68" s="1"/>
  <c r="AK67" i="68" s="1"/>
  <c r="AC321" i="114"/>
  <c r="AE321" i="114" s="1"/>
  <c r="AF321" i="114" s="1"/>
  <c r="AH321" i="114" s="1"/>
  <c r="AI321" i="114" s="1"/>
  <c r="AK321" i="114" s="1"/>
  <c r="AC73" i="68"/>
  <c r="AE73" i="68" s="1"/>
  <c r="AF73" i="68" s="1"/>
  <c r="AH73" i="68" s="1"/>
  <c r="AI73" i="68" s="1"/>
  <c r="AK73" i="68" s="1"/>
  <c r="AI37" i="114"/>
  <c r="AK37" i="114" s="1"/>
  <c r="C23" i="6"/>
  <c r="F23" i="6" s="1"/>
  <c r="G4" i="103"/>
  <c r="G205" i="103"/>
  <c r="P15" i="3"/>
  <c r="H60" i="103" s="1"/>
  <c r="H61" i="103" s="1"/>
  <c r="G60" i="103"/>
  <c r="G61" i="103" s="1"/>
  <c r="F217" i="103"/>
  <c r="F242" i="103" s="1"/>
  <c r="F158" i="103"/>
  <c r="AC57" i="68"/>
  <c r="AE57" i="68" s="1"/>
  <c r="AF57" i="68" s="1"/>
  <c r="AH57" i="68" s="1"/>
  <c r="AI65" i="68"/>
  <c r="AK65" i="68" s="1"/>
  <c r="AI441" i="68"/>
  <c r="AK441" i="68" s="1"/>
  <c r="AC56" i="68"/>
  <c r="AE56" i="68" s="1"/>
  <c r="AF56" i="68" s="1"/>
  <c r="AH56" i="68" s="1"/>
  <c r="E271" i="103"/>
  <c r="E272" i="103" s="1"/>
  <c r="AC290" i="68" s="1"/>
  <c r="AE290" i="68" s="1"/>
  <c r="AF290" i="68" s="1"/>
  <c r="AH290" i="68" s="1"/>
  <c r="AI290" i="68" s="1"/>
  <c r="AK290" i="68" s="1"/>
  <c r="AC38" i="114"/>
  <c r="AE38" i="114" s="1"/>
  <c r="AF38" i="114" s="1"/>
  <c r="AH38" i="114" s="1"/>
  <c r="AI38" i="114" s="1"/>
  <c r="AK38" i="114" s="1"/>
  <c r="AI1917" i="68"/>
  <c r="AK1917" i="68" s="1"/>
  <c r="P12" i="3"/>
  <c r="H37" i="103" s="1"/>
  <c r="H50" i="103" s="1"/>
  <c r="H51" i="103" s="1"/>
  <c r="H52" i="103" s="1"/>
  <c r="H53" i="103" s="1"/>
  <c r="H54" i="103" s="1"/>
  <c r="H55" i="103" s="1"/>
  <c r="H56" i="103" s="1"/>
  <c r="H57" i="103" s="1"/>
  <c r="H58" i="103" s="1"/>
  <c r="H59" i="103" s="1"/>
  <c r="H62" i="103" s="1"/>
  <c r="H63" i="103" s="1"/>
  <c r="H64" i="103" s="1"/>
  <c r="G37" i="103"/>
  <c r="G50" i="103" s="1"/>
  <c r="G51" i="103" s="1"/>
  <c r="G52" i="103" s="1"/>
  <c r="G53" i="103" s="1"/>
  <c r="G54" i="103" s="1"/>
  <c r="G55" i="103" s="1"/>
  <c r="G56" i="103" s="1"/>
  <c r="G57" i="103" s="1"/>
  <c r="G58" i="103" s="1"/>
  <c r="G59" i="103" s="1"/>
  <c r="G62" i="103" s="1"/>
  <c r="G63" i="103" s="1"/>
  <c r="G64" i="103" s="1"/>
  <c r="H4" i="103"/>
  <c r="H5" i="103" s="1"/>
  <c r="H6" i="103" s="1"/>
  <c r="H7" i="103" s="1"/>
  <c r="H205" i="103"/>
  <c r="H206" i="103" s="1"/>
  <c r="H207" i="103" s="1"/>
  <c r="H208" i="103" s="1"/>
  <c r="C24" i="6"/>
  <c r="C25" i="6" s="1"/>
  <c r="C26" i="6" s="1"/>
  <c r="C27" i="6" s="1"/>
  <c r="AC294" i="68"/>
  <c r="AE294" i="68" s="1"/>
  <c r="AF294" i="68" s="1"/>
  <c r="AH294" i="68" s="1"/>
  <c r="AI294" i="68" s="1"/>
  <c r="AK294" i="68" s="1"/>
  <c r="AC301" i="68"/>
  <c r="AE301" i="68" s="1"/>
  <c r="AF301" i="68" s="1"/>
  <c r="AH301" i="68" s="1"/>
  <c r="AI301" i="68" s="1"/>
  <c r="AK301" i="68" s="1"/>
  <c r="F319" i="103"/>
  <c r="AF56" i="114"/>
  <c r="AH56" i="114" s="1"/>
  <c r="AI56" i="114" s="1"/>
  <c r="AK56" i="114" s="1"/>
  <c r="AL56" i="114" s="1"/>
  <c r="AN56" i="114" s="1"/>
  <c r="AF1927" i="68"/>
  <c r="AH1927" i="68" s="1"/>
  <c r="AI1927" i="68" s="1"/>
  <c r="AK1927" i="68" s="1"/>
  <c r="AL1927" i="68" s="1"/>
  <c r="AN1927" i="68" s="1"/>
  <c r="AI288" i="68"/>
  <c r="AK288" i="68" s="1"/>
  <c r="AC1911" i="68"/>
  <c r="AE1911" i="68" s="1"/>
  <c r="AF1911" i="68" s="1"/>
  <c r="AH1911" i="68" s="1"/>
  <c r="AI1911" i="68" s="1"/>
  <c r="AK1911" i="68" s="1"/>
  <c r="AC342" i="114"/>
  <c r="AE342" i="114" s="1"/>
  <c r="AF342" i="114" s="1"/>
  <c r="AH342" i="114" s="1"/>
  <c r="AI342" i="114" s="1"/>
  <c r="AK342" i="114" s="1"/>
  <c r="AC326" i="68"/>
  <c r="AE326" i="68" s="1"/>
  <c r="AF326" i="68" s="1"/>
  <c r="AH326" i="68" s="1"/>
  <c r="AI326" i="68" s="1"/>
  <c r="AK326" i="68" s="1"/>
  <c r="AC371" i="114"/>
  <c r="AE371" i="114" s="1"/>
  <c r="AF371" i="114" s="1"/>
  <c r="AH371" i="114" s="1"/>
  <c r="AI371" i="114" s="1"/>
  <c r="AK371" i="114" s="1"/>
  <c r="AC442" i="68"/>
  <c r="AE442" i="68" s="1"/>
  <c r="AF442" i="68" s="1"/>
  <c r="AH442" i="68" s="1"/>
  <c r="AI442" i="68" s="1"/>
  <c r="AK442" i="68" s="1"/>
  <c r="AI43" i="114"/>
  <c r="AK43" i="114" s="1"/>
  <c r="AC322" i="68"/>
  <c r="AE322" i="68" s="1"/>
  <c r="AF322" i="68" s="1"/>
  <c r="AH322" i="68" s="1"/>
  <c r="AI322" i="68" s="1"/>
  <c r="AK322" i="68" s="1"/>
  <c r="G375" i="103"/>
  <c r="G392" i="103"/>
  <c r="P13" i="3"/>
  <c r="G38" i="103"/>
  <c r="G39" i="103" s="1"/>
  <c r="G40" i="103" s="1"/>
  <c r="G41" i="103" s="1"/>
  <c r="G42" i="103" s="1"/>
  <c r="G43" i="103" s="1"/>
  <c r="G44" i="103" s="1"/>
  <c r="G45" i="103" s="1"/>
  <c r="G46" i="103" s="1"/>
  <c r="G47" i="103" s="1"/>
  <c r="G48" i="103" s="1"/>
  <c r="G49" i="103" s="1"/>
  <c r="G138" i="103" s="1"/>
  <c r="G139" i="103" s="1"/>
  <c r="G140" i="103" s="1"/>
  <c r="G141" i="103" s="1"/>
  <c r="G142" i="103" s="1"/>
  <c r="G143" i="103" s="1"/>
  <c r="G144" i="103" s="1"/>
  <c r="G145" i="103" s="1"/>
  <c r="G146" i="103" s="1"/>
  <c r="AC1539" i="68"/>
  <c r="AE1539" i="68" s="1"/>
  <c r="AF1539" i="68" s="1"/>
  <c r="AH1539" i="68" s="1"/>
  <c r="AI1539" i="68" s="1"/>
  <c r="AK1539" i="68" s="1"/>
  <c r="E59" i="103"/>
  <c r="E62" i="103" s="1"/>
  <c r="AC59" i="68"/>
  <c r="AE59" i="68" s="1"/>
  <c r="AF59" i="68" s="1"/>
  <c r="AH59" i="68" s="1"/>
  <c r="F77" i="103"/>
  <c r="F125" i="103" s="1"/>
  <c r="F99" i="103"/>
  <c r="F106" i="103" s="1"/>
  <c r="F107" i="103" s="1"/>
  <c r="F108" i="103" s="1"/>
  <c r="F109" i="103" s="1"/>
  <c r="F110" i="103" s="1"/>
  <c r="F111" i="103" s="1"/>
  <c r="F112" i="103" s="1"/>
  <c r="F113" i="103" s="1"/>
  <c r="F114" i="103" s="1"/>
  <c r="F115" i="103" s="1"/>
  <c r="F116" i="103" s="1"/>
  <c r="F117" i="103" s="1"/>
  <c r="F118" i="103" s="1"/>
  <c r="F119" i="103" s="1"/>
  <c r="F120" i="103" s="1"/>
  <c r="F121" i="103" s="1"/>
  <c r="F122" i="103" s="1"/>
  <c r="F162" i="103" s="1"/>
  <c r="H375" i="103"/>
  <c r="H392" i="103"/>
  <c r="AI1532" i="68"/>
  <c r="AK1532" i="68" s="1"/>
  <c r="AF50" i="68"/>
  <c r="AH50" i="68" s="1"/>
  <c r="P28" i="3"/>
  <c r="H346" i="103" s="1"/>
  <c r="W3" i="32"/>
  <c r="P16" i="3"/>
  <c r="H65" i="103" s="1"/>
  <c r="H66" i="103" s="1"/>
  <c r="H67" i="103" s="1"/>
  <c r="H68" i="103" s="1"/>
  <c r="H69" i="103" s="1"/>
  <c r="H70" i="103" s="1"/>
  <c r="H71" i="103" s="1"/>
  <c r="H72" i="103" s="1"/>
  <c r="H73" i="103" s="1"/>
  <c r="H74" i="103" s="1"/>
  <c r="H75" i="103" s="1"/>
  <c r="X50" i="32"/>
  <c r="U53" i="32"/>
  <c r="W53" i="32"/>
  <c r="X53" i="32"/>
  <c r="V53" i="32"/>
  <c r="U51" i="32"/>
  <c r="W51" i="32"/>
  <c r="X51" i="32"/>
  <c r="V51" i="32"/>
  <c r="X44" i="32"/>
  <c r="U54" i="32"/>
  <c r="W54" i="32"/>
  <c r="X54" i="32"/>
  <c r="V54" i="32"/>
  <c r="U49" i="32"/>
  <c r="X49" i="32"/>
  <c r="W49" i="32"/>
  <c r="V49" i="32"/>
  <c r="X45" i="32"/>
  <c r="X48" i="32"/>
  <c r="U55" i="32"/>
  <c r="W55" i="32"/>
  <c r="X55" i="32"/>
  <c r="V55" i="32"/>
  <c r="U47" i="32"/>
  <c r="W47" i="32"/>
  <c r="X47" i="32"/>
  <c r="V47" i="32"/>
  <c r="J52" i="32"/>
  <c r="J41" i="32"/>
  <c r="L419" i="68"/>
  <c r="L578" i="68"/>
  <c r="L831" i="68"/>
  <c r="L1116" i="68"/>
  <c r="L687" i="68"/>
  <c r="L1888" i="68"/>
  <c r="K1138" i="115"/>
  <c r="K1154" i="115" s="1"/>
  <c r="L1327" i="68"/>
  <c r="L1516" i="68"/>
  <c r="L274" i="68"/>
  <c r="K493" i="115"/>
  <c r="K192" i="115"/>
  <c r="K364" i="115"/>
  <c r="K531" i="114"/>
  <c r="K509" i="114"/>
  <c r="K519" i="114"/>
  <c r="L6" i="115"/>
  <c r="M6" i="115" s="1"/>
  <c r="N6" i="115" s="1"/>
  <c r="O6" i="115" s="1"/>
  <c r="P6" i="115" s="1"/>
  <c r="Q6" i="115" s="1"/>
  <c r="R6" i="115" s="1"/>
  <c r="S6" i="115" s="1"/>
  <c r="T6" i="115" s="1"/>
  <c r="W6" i="115" s="1"/>
  <c r="X6" i="115" s="1"/>
  <c r="K6" i="115"/>
  <c r="J2" i="39"/>
  <c r="K2" i="39" s="1"/>
  <c r="L2" i="39" s="1"/>
  <c r="M2" i="39" s="1"/>
  <c r="N2" i="39" s="1"/>
  <c r="J387" i="114"/>
  <c r="J389" i="114" s="1"/>
  <c r="J14" i="32"/>
  <c r="J27" i="32"/>
  <c r="U534" i="114"/>
  <c r="V534" i="114"/>
  <c r="N9" i="115"/>
  <c r="T714" i="115"/>
  <c r="T1421" i="68"/>
  <c r="U1421" i="68" s="1"/>
  <c r="T715" i="115"/>
  <c r="J8" i="68"/>
  <c r="J921" i="68"/>
  <c r="P534" i="114"/>
  <c r="V713" i="115"/>
  <c r="K419" i="68"/>
  <c r="K1327" i="68"/>
  <c r="T718" i="115"/>
  <c r="U718" i="115" s="1"/>
  <c r="L364" i="115"/>
  <c r="L192" i="115"/>
  <c r="K274" i="68"/>
  <c r="K1888" i="68"/>
  <c r="L1138" i="115"/>
  <c r="L1154" i="115" s="1"/>
  <c r="L493" i="115"/>
  <c r="L519" i="114"/>
  <c r="L531" i="114"/>
  <c r="L509" i="114"/>
  <c r="K831" i="68"/>
  <c r="K578" i="68"/>
  <c r="K1116" i="68"/>
  <c r="K1516" i="68"/>
  <c r="K687" i="68"/>
  <c r="P25" i="3"/>
  <c r="H255" i="103" s="1"/>
  <c r="H256" i="103" s="1"/>
  <c r="H257" i="103" s="1"/>
  <c r="H262" i="103" s="1"/>
  <c r="H263" i="103" s="1"/>
  <c r="H271" i="103" s="1"/>
  <c r="H272" i="103" s="1"/>
  <c r="H273" i="103" s="1"/>
  <c r="H274" i="103" s="1"/>
  <c r="H275" i="103" s="1"/>
  <c r="H276" i="103" s="1"/>
  <c r="H277" i="103" s="1"/>
  <c r="H278" i="103" s="1"/>
  <c r="H289" i="103" s="1"/>
  <c r="H293" i="103" s="1"/>
  <c r="H302" i="103" s="1"/>
  <c r="H303" i="103" s="1"/>
  <c r="H308" i="103" s="1"/>
  <c r="H309" i="103" s="1"/>
  <c r="H310" i="103" s="1"/>
  <c r="H314" i="103" s="1"/>
  <c r="H316" i="103" s="1"/>
  <c r="H317" i="103" s="1"/>
  <c r="H318" i="103" s="1"/>
  <c r="H320" i="103" s="1"/>
  <c r="H321" i="103" s="1"/>
  <c r="H322" i="103" s="1"/>
  <c r="H324" i="103" s="1"/>
  <c r="H328" i="103" s="1"/>
  <c r="H329" i="103" s="1"/>
  <c r="H334" i="103" s="1"/>
  <c r="H339" i="103" s="1"/>
  <c r="H341" i="103" s="1"/>
  <c r="H359" i="103" s="1"/>
  <c r="H366" i="103" s="1"/>
  <c r="H377" i="103" s="1"/>
  <c r="H379" i="103" s="1"/>
  <c r="H385" i="103" s="1"/>
  <c r="H386" i="103" s="1"/>
  <c r="H387" i="103" s="1"/>
  <c r="H388" i="103" s="1"/>
  <c r="H389" i="103" s="1"/>
  <c r="P17" i="3"/>
  <c r="H78" i="103" s="1"/>
  <c r="P24" i="3"/>
  <c r="H245" i="103" s="1"/>
  <c r="H246" i="103" s="1"/>
  <c r="H247" i="103" s="1"/>
  <c r="H248" i="103" s="1"/>
  <c r="H249" i="103" s="1"/>
  <c r="H250" i="103" s="1"/>
  <c r="H251" i="103" s="1"/>
  <c r="H252" i="103" s="1"/>
  <c r="P26" i="3"/>
  <c r="H258" i="103" s="1"/>
  <c r="H259" i="103" s="1"/>
  <c r="H260" i="103" s="1"/>
  <c r="H261" i="103" s="1"/>
  <c r="U649" i="68"/>
  <c r="V649" i="68"/>
  <c r="V439" i="115"/>
  <c r="U439" i="115"/>
  <c r="X17" i="6"/>
  <c r="I1116" i="68"/>
  <c r="I192" i="115"/>
  <c r="I578" i="68"/>
  <c r="I493" i="115"/>
  <c r="I1327" i="68"/>
  <c r="I364" i="115"/>
  <c r="I519" i="114"/>
  <c r="I531" i="114"/>
  <c r="I509" i="114"/>
  <c r="I1138" i="115"/>
  <c r="I1154" i="115" s="1"/>
  <c r="I419" i="68"/>
  <c r="I831" i="68"/>
  <c r="I687" i="68"/>
  <c r="I274" i="68"/>
  <c r="I1888" i="68"/>
  <c r="I1516" i="68"/>
  <c r="J615" i="68"/>
  <c r="L46" i="6"/>
  <c r="L48" i="6" s="1"/>
  <c r="K49" i="6"/>
  <c r="K48" i="6"/>
  <c r="F7" i="114"/>
  <c r="G7" i="114" s="1"/>
  <c r="AU20" i="6"/>
  <c r="AV20" i="6" s="1"/>
  <c r="N192" i="115"/>
  <c r="J481" i="114"/>
  <c r="J252" i="68"/>
  <c r="N493" i="115"/>
  <c r="N687" i="68"/>
  <c r="N274" i="68"/>
  <c r="N531" i="114"/>
  <c r="N831" i="68"/>
  <c r="N364" i="115"/>
  <c r="N519" i="114"/>
  <c r="N509" i="114"/>
  <c r="N1138" i="115"/>
  <c r="N1154" i="115" s="1"/>
  <c r="N1516" i="68"/>
  <c r="N578" i="68"/>
  <c r="N1888" i="68"/>
  <c r="N1116" i="68"/>
  <c r="N1327" i="68"/>
  <c r="N419" i="68"/>
  <c r="AN29" i="6"/>
  <c r="J1815" i="68"/>
  <c r="J533" i="68"/>
  <c r="J1213" i="68"/>
  <c r="J555" i="68"/>
  <c r="J551" i="68"/>
  <c r="J554" i="68"/>
  <c r="J552" i="68"/>
  <c r="J550" i="68"/>
  <c r="J557" i="68"/>
  <c r="J553" i="68"/>
  <c r="J548" i="68"/>
  <c r="J1355" i="68"/>
  <c r="M750" i="68"/>
  <c r="J187" i="115"/>
  <c r="J311" i="114"/>
  <c r="J784" i="115"/>
  <c r="J645" i="114"/>
  <c r="J689" i="115"/>
  <c r="J787" i="68"/>
  <c r="J242" i="68"/>
  <c r="J184" i="68"/>
  <c r="J286" i="114"/>
  <c r="J249" i="114"/>
  <c r="J1444" i="68"/>
  <c r="J1646" i="68"/>
  <c r="J330" i="68"/>
  <c r="J717" i="68"/>
  <c r="J1239" i="68"/>
  <c r="M581" i="115"/>
  <c r="J615" i="114"/>
  <c r="J1930" i="68"/>
  <c r="J1263" i="68"/>
  <c r="J133" i="68"/>
  <c r="J208" i="68"/>
  <c r="J1736" i="68"/>
  <c r="J752" i="68"/>
  <c r="J1160" i="68"/>
  <c r="J961" i="68"/>
  <c r="J1570" i="68"/>
  <c r="J1050" i="68"/>
  <c r="J877" i="68"/>
  <c r="J315" i="68"/>
  <c r="J1598" i="68"/>
  <c r="J1396" i="68"/>
  <c r="J1006" i="68"/>
  <c r="J269" i="68"/>
  <c r="J156" i="68"/>
  <c r="J487" i="68"/>
  <c r="J1779" i="68"/>
  <c r="J1686" i="68"/>
  <c r="J450" i="114"/>
  <c r="J360" i="68"/>
  <c r="J852" i="115"/>
  <c r="J687" i="68"/>
  <c r="J649" i="115"/>
  <c r="J222" i="115"/>
  <c r="J137" i="115"/>
  <c r="J995" i="115"/>
  <c r="J64" i="115"/>
  <c r="J102" i="115"/>
  <c r="J956" i="115"/>
  <c r="J1043" i="115"/>
  <c r="J1045" i="115" s="1"/>
  <c r="J419" i="68"/>
  <c r="J783" i="68"/>
  <c r="J671" i="114"/>
  <c r="M25" i="6"/>
  <c r="J93" i="32"/>
  <c r="U93" i="32" s="1"/>
  <c r="J251" i="114"/>
  <c r="J349" i="115"/>
  <c r="J1036" i="115"/>
  <c r="J575" i="115"/>
  <c r="J731" i="114"/>
  <c r="V438" i="68"/>
  <c r="P438" i="68"/>
  <c r="V272" i="68"/>
  <c r="U272" i="68"/>
  <c r="J965" i="115"/>
  <c r="J794" i="115"/>
  <c r="P511" i="68"/>
  <c r="J123" i="114"/>
  <c r="J252" i="115"/>
  <c r="J294" i="115"/>
  <c r="J1000" i="115"/>
  <c r="J1034" i="115"/>
  <c r="J721" i="115"/>
  <c r="J283" i="115"/>
  <c r="J537" i="115"/>
  <c r="J272" i="115"/>
  <c r="J377" i="115"/>
  <c r="J659" i="115"/>
  <c r="J860" i="115"/>
  <c r="J864" i="115" s="1"/>
  <c r="J914" i="115"/>
  <c r="J839" i="115"/>
  <c r="M663" i="68"/>
  <c r="M650" i="68"/>
  <c r="J428" i="115"/>
  <c r="J430" i="115" s="1"/>
  <c r="J507" i="115"/>
  <c r="J289" i="115"/>
  <c r="J523" i="115"/>
  <c r="J407" i="115"/>
  <c r="J234" i="115"/>
  <c r="J894" i="115"/>
  <c r="J926" i="115"/>
  <c r="J985" i="115"/>
  <c r="J128" i="115"/>
  <c r="O9" i="115"/>
  <c r="O8" i="114"/>
  <c r="J555" i="115"/>
  <c r="J38" i="115"/>
  <c r="J943" i="115"/>
  <c r="J93" i="115"/>
  <c r="J415" i="115"/>
  <c r="J420" i="115" s="1"/>
  <c r="J673" i="115"/>
  <c r="J881" i="115"/>
  <c r="J54" i="115"/>
  <c r="J819" i="115"/>
  <c r="J113" i="115"/>
  <c r="J237" i="115"/>
  <c r="J78" i="115"/>
  <c r="J205" i="115"/>
  <c r="J568" i="115"/>
  <c r="J144" i="115"/>
  <c r="J394" i="115"/>
  <c r="J768" i="115"/>
  <c r="J1149" i="115" s="1"/>
  <c r="J886" i="115"/>
  <c r="V511" i="68"/>
  <c r="U511" i="68"/>
  <c r="AM26" i="6"/>
  <c r="A14" i="6"/>
  <c r="A18" i="9" s="1"/>
  <c r="A21" i="6"/>
  <c r="A25" i="9" s="1"/>
  <c r="B22" i="6"/>
  <c r="B26" i="9" s="1"/>
  <c r="I38" i="6"/>
  <c r="X130" i="32"/>
  <c r="O4" i="3"/>
  <c r="P5" i="3"/>
  <c r="Y60" i="32" s="1"/>
  <c r="O3" i="3"/>
  <c r="X131" i="32"/>
  <c r="AL28" i="68" l="1"/>
  <c r="AN28" i="68" s="1"/>
  <c r="AL16" i="68"/>
  <c r="AN16" i="68" s="1"/>
  <c r="AI30" i="68"/>
  <c r="AK30" i="68" s="1"/>
  <c r="AL30" i="68" s="1"/>
  <c r="AN30" i="68" s="1"/>
  <c r="AL22" i="68"/>
  <c r="AN22" i="68" s="1"/>
  <c r="AL24" i="68"/>
  <c r="AN24" i="68" s="1"/>
  <c r="AL21" i="68"/>
  <c r="AN21" i="68" s="1"/>
  <c r="AL19" i="68"/>
  <c r="AN19" i="68" s="1"/>
  <c r="AI27" i="68"/>
  <c r="AK27" i="68" s="1"/>
  <c r="AL27" i="68" s="1"/>
  <c r="AN27" i="68" s="1"/>
  <c r="AL20" i="68"/>
  <c r="AN20" i="68" s="1"/>
  <c r="AL23" i="68"/>
  <c r="AN23" i="68" s="1"/>
  <c r="AI32" i="68"/>
  <c r="AK32" i="68" s="1"/>
  <c r="AL32" i="68" s="1"/>
  <c r="AN32" i="68" s="1"/>
  <c r="AI37" i="68"/>
  <c r="AK37" i="68" s="1"/>
  <c r="AI31" i="68"/>
  <c r="AK31" i="68" s="1"/>
  <c r="AL31" i="68" s="1"/>
  <c r="AN31" i="68" s="1"/>
  <c r="AI33" i="68"/>
  <c r="AK33" i="68" s="1"/>
  <c r="AI38" i="68"/>
  <c r="AK38" i="68" s="1"/>
  <c r="AL37" i="68"/>
  <c r="AN37" i="68" s="1"/>
  <c r="AL33" i="68"/>
  <c r="AN33" i="68" s="1"/>
  <c r="H38" i="103"/>
  <c r="H39" i="103" s="1"/>
  <c r="H40" i="103" s="1"/>
  <c r="H41" i="103" s="1"/>
  <c r="H42" i="103" s="1"/>
  <c r="H43" i="103" s="1"/>
  <c r="H44" i="103" s="1"/>
  <c r="H45" i="103" s="1"/>
  <c r="H46" i="103" s="1"/>
  <c r="H47" i="103" s="1"/>
  <c r="H48" i="103" s="1"/>
  <c r="H49" i="103" s="1"/>
  <c r="H138" i="103" s="1"/>
  <c r="H139" i="103" s="1"/>
  <c r="H140" i="103" s="1"/>
  <c r="H141" i="103" s="1"/>
  <c r="H142" i="103" s="1"/>
  <c r="H143" i="103" s="1"/>
  <c r="H144" i="103" s="1"/>
  <c r="H145" i="103" s="1"/>
  <c r="H146" i="103" s="1"/>
  <c r="H36" i="103"/>
  <c r="AL39" i="68" s="1"/>
  <c r="AN39" i="68" s="1"/>
  <c r="AL38" i="68"/>
  <c r="AN38" i="68" s="1"/>
  <c r="H209" i="103"/>
  <c r="H210" i="103" s="1"/>
  <c r="H211" i="103" s="1"/>
  <c r="H218" i="103" s="1"/>
  <c r="H168" i="103"/>
  <c r="H169" i="103" s="1"/>
  <c r="G168" i="103"/>
  <c r="G169" i="103" s="1"/>
  <c r="G209" i="103"/>
  <c r="G210" i="103" s="1"/>
  <c r="G211" i="103" s="1"/>
  <c r="G218" i="103" s="1"/>
  <c r="AI34" i="68"/>
  <c r="AK34" i="68" s="1"/>
  <c r="AL34" i="68" s="1"/>
  <c r="AN34" i="68" s="1"/>
  <c r="AI36" i="68"/>
  <c r="AK36" i="68" s="1"/>
  <c r="AL36" i="68" s="1"/>
  <c r="AN36" i="68" s="1"/>
  <c r="AI35" i="68"/>
  <c r="AK35" i="68" s="1"/>
  <c r="AL35" i="68" s="1"/>
  <c r="AN35" i="68" s="1"/>
  <c r="H351" i="103"/>
  <c r="Y188" i="32"/>
  <c r="V72" i="32"/>
  <c r="U72" i="32"/>
  <c r="X72" i="32"/>
  <c r="AB387" i="114"/>
  <c r="Z387" i="114"/>
  <c r="Y64" i="32"/>
  <c r="X64" i="32"/>
  <c r="V64" i="32"/>
  <c r="U64" i="32"/>
  <c r="W64" i="32"/>
  <c r="Y173" i="32"/>
  <c r="Y57" i="32"/>
  <c r="Y63" i="32"/>
  <c r="X66" i="32"/>
  <c r="Y66" i="32"/>
  <c r="U66" i="32"/>
  <c r="W66" i="32"/>
  <c r="V66" i="32"/>
  <c r="Y61" i="32"/>
  <c r="U61" i="32"/>
  <c r="V61" i="32"/>
  <c r="X61" i="32"/>
  <c r="W61" i="32"/>
  <c r="W58" i="32"/>
  <c r="V58" i="32"/>
  <c r="X58" i="32"/>
  <c r="U58" i="32"/>
  <c r="Y58" i="32"/>
  <c r="X67" i="32"/>
  <c r="V67" i="32"/>
  <c r="Y67" i="32"/>
  <c r="U67" i="32"/>
  <c r="W67" i="32"/>
  <c r="W70" i="32"/>
  <c r="U70" i="32"/>
  <c r="X79" i="32"/>
  <c r="X70" i="32"/>
  <c r="S120" i="32"/>
  <c r="Q122" i="32"/>
  <c r="V79" i="32"/>
  <c r="W79" i="32"/>
  <c r="J186" i="32"/>
  <c r="X42" i="32"/>
  <c r="U42" i="32"/>
  <c r="F304" i="103"/>
  <c r="V42" i="32"/>
  <c r="F323" i="103"/>
  <c r="F325" i="103" s="1"/>
  <c r="F330" i="103" s="1"/>
  <c r="F331" i="103" s="1"/>
  <c r="F335" i="103" s="1"/>
  <c r="F336" i="103" s="1"/>
  <c r="F337" i="103" s="1"/>
  <c r="F342" i="103" s="1"/>
  <c r="F343" i="103" s="1"/>
  <c r="F344" i="103" s="1"/>
  <c r="F347" i="103" s="1"/>
  <c r="F353" i="103" s="1"/>
  <c r="F354" i="103" s="1"/>
  <c r="F355" i="103" s="1"/>
  <c r="F356" i="103" s="1"/>
  <c r="F357" i="103" s="1"/>
  <c r="F358" i="103" s="1"/>
  <c r="F360" i="103" s="1"/>
  <c r="F361" i="103" s="1"/>
  <c r="F362" i="103" s="1"/>
  <c r="F363" i="103" s="1"/>
  <c r="F364" i="103" s="1"/>
  <c r="F365" i="103" s="1"/>
  <c r="F378" i="103" s="1"/>
  <c r="F382" i="103" s="1"/>
  <c r="F384" i="103" s="1"/>
  <c r="F391" i="103" s="1"/>
  <c r="F397" i="103" s="1"/>
  <c r="F399" i="103" s="1"/>
  <c r="F315" i="103"/>
  <c r="G285" i="103"/>
  <c r="G286" i="103" s="1"/>
  <c r="G287" i="103" s="1"/>
  <c r="G288" i="103" s="1"/>
  <c r="G291" i="103" s="1"/>
  <c r="G295" i="103" s="1"/>
  <c r="G296" i="103" s="1"/>
  <c r="G297" i="103" s="1"/>
  <c r="G298" i="103" s="1"/>
  <c r="G299" i="103" s="1"/>
  <c r="G300" i="103" s="1"/>
  <c r="G212" i="103"/>
  <c r="G213" i="103" s="1"/>
  <c r="Y54" i="32"/>
  <c r="Y69" i="32"/>
  <c r="Y70" i="32"/>
  <c r="Y79" i="32"/>
  <c r="J36" i="32"/>
  <c r="W73" i="32"/>
  <c r="Y73" i="32"/>
  <c r="X73" i="32"/>
  <c r="U73" i="32"/>
  <c r="V73" i="32"/>
  <c r="U77" i="32"/>
  <c r="X77" i="32"/>
  <c r="Y77" i="32"/>
  <c r="V77" i="32"/>
  <c r="W77" i="32"/>
  <c r="Y72" i="32"/>
  <c r="H161" i="103"/>
  <c r="H264" i="103"/>
  <c r="H265" i="103" s="1"/>
  <c r="H266" i="103" s="1"/>
  <c r="H267" i="103" s="1"/>
  <c r="H268" i="103" s="1"/>
  <c r="H269" i="103" s="1"/>
  <c r="H270" i="103" s="1"/>
  <c r="H279" i="103" s="1"/>
  <c r="H280" i="103" s="1"/>
  <c r="H281" i="103" s="1"/>
  <c r="H282" i="103" s="1"/>
  <c r="H283" i="103" s="1"/>
  <c r="H253" i="103"/>
  <c r="AC309" i="68"/>
  <c r="AE309" i="68" s="1"/>
  <c r="AF309" i="68" s="1"/>
  <c r="AH309" i="68" s="1"/>
  <c r="AI309" i="68" s="1"/>
  <c r="AK309" i="68" s="1"/>
  <c r="E161" i="103"/>
  <c r="F163" i="103"/>
  <c r="F164" i="103" s="1"/>
  <c r="F165" i="103" s="1"/>
  <c r="F166" i="103" s="1"/>
  <c r="F167" i="103" s="1"/>
  <c r="F170" i="103" s="1"/>
  <c r="F171" i="103" s="1"/>
  <c r="F172" i="103" s="1"/>
  <c r="F173" i="103" s="1"/>
  <c r="F174" i="103" s="1"/>
  <c r="F175" i="103" s="1"/>
  <c r="F176" i="103" s="1"/>
  <c r="F177" i="103" s="1"/>
  <c r="F178" i="103" s="1"/>
  <c r="F179" i="103" s="1"/>
  <c r="F180" i="103" s="1"/>
  <c r="F181" i="103" s="1"/>
  <c r="F182" i="103" s="1"/>
  <c r="F183" i="103" s="1"/>
  <c r="F184" i="103" s="1"/>
  <c r="F185" i="103" s="1"/>
  <c r="F186" i="103" s="1"/>
  <c r="F187" i="103" s="1"/>
  <c r="F191" i="103" s="1"/>
  <c r="AE331" i="114"/>
  <c r="AC316" i="114"/>
  <c r="AB329" i="114"/>
  <c r="L64" i="3" s="1"/>
  <c r="AF588" i="114"/>
  <c r="AH588" i="114" s="1"/>
  <c r="AB13" i="114"/>
  <c r="Z22" i="114"/>
  <c r="AF593" i="114"/>
  <c r="AH593" i="114" s="1"/>
  <c r="AB691" i="114"/>
  <c r="Z729" i="114"/>
  <c r="AE743" i="114"/>
  <c r="AF736" i="114"/>
  <c r="AE741" i="114"/>
  <c r="M120" i="3" s="1"/>
  <c r="AF534" i="114"/>
  <c r="AH534" i="114" s="1"/>
  <c r="AI534" i="114" s="1"/>
  <c r="AK534" i="114" s="1"/>
  <c r="AL534" i="114" s="1"/>
  <c r="AN534" i="114" s="1"/>
  <c r="AC394" i="114"/>
  <c r="AE620" i="114"/>
  <c r="AC627" i="114"/>
  <c r="AC634" i="114"/>
  <c r="AE634" i="114" s="1"/>
  <c r="AF634" i="114" s="1"/>
  <c r="AH634" i="114" s="1"/>
  <c r="AI634" i="114" s="1"/>
  <c r="AK634" i="114" s="1"/>
  <c r="AL634" i="114" s="1"/>
  <c r="AN634" i="114" s="1"/>
  <c r="AB643" i="114"/>
  <c r="AB651" i="114"/>
  <c r="Z659" i="114"/>
  <c r="AE650" i="114"/>
  <c r="G206" i="103"/>
  <c r="AI619" i="114"/>
  <c r="AI423" i="68"/>
  <c r="AK423" i="68" s="1"/>
  <c r="AL423" i="68" s="1"/>
  <c r="AN423" i="68" s="1"/>
  <c r="AI278" i="68"/>
  <c r="AK278" i="68" s="1"/>
  <c r="AL278" i="68" s="1"/>
  <c r="AN278" i="68" s="1"/>
  <c r="AI1520" i="68"/>
  <c r="AK1520" i="68" s="1"/>
  <c r="AL1520" i="68" s="1"/>
  <c r="AN1520" i="68" s="1"/>
  <c r="AI323" i="114"/>
  <c r="AK323" i="114" s="1"/>
  <c r="AL323" i="114" s="1"/>
  <c r="AN323" i="114" s="1"/>
  <c r="AI559" i="114"/>
  <c r="AI739" i="114"/>
  <c r="AK739" i="114" s="1"/>
  <c r="AL739" i="114" s="1"/>
  <c r="AN739" i="114" s="1"/>
  <c r="AI654" i="114"/>
  <c r="AK654" i="114" s="1"/>
  <c r="AL654" i="114" s="1"/>
  <c r="AN654" i="114" s="1"/>
  <c r="AL294" i="68"/>
  <c r="AN294" i="68" s="1"/>
  <c r="AI1521" i="68"/>
  <c r="AK1521" i="68" s="1"/>
  <c r="AL1521" i="68" s="1"/>
  <c r="AN1521" i="68" s="1"/>
  <c r="AI279" i="68"/>
  <c r="AK279" i="68" s="1"/>
  <c r="AL279" i="68" s="1"/>
  <c r="AN279" i="68" s="1"/>
  <c r="AI55" i="68"/>
  <c r="AK55" i="68" s="1"/>
  <c r="AL55" i="68" s="1"/>
  <c r="AN55" i="68" s="1"/>
  <c r="AL290" i="68"/>
  <c r="AN290" i="68" s="1"/>
  <c r="AL325" i="68"/>
  <c r="AN325" i="68" s="1"/>
  <c r="AL320" i="114"/>
  <c r="AN320" i="114" s="1"/>
  <c r="AL301" i="68"/>
  <c r="AN301" i="68" s="1"/>
  <c r="AC327" i="68"/>
  <c r="AE327" i="68" s="1"/>
  <c r="AF327" i="68" s="1"/>
  <c r="AH327" i="68" s="1"/>
  <c r="AI327" i="68" s="1"/>
  <c r="AK327" i="68" s="1"/>
  <c r="AL1911" i="68"/>
  <c r="AN1911" i="68" s="1"/>
  <c r="AI590" i="114"/>
  <c r="AK590" i="114" s="1"/>
  <c r="AL590" i="114" s="1"/>
  <c r="AN590" i="114" s="1"/>
  <c r="AI56" i="68"/>
  <c r="AK56" i="68" s="1"/>
  <c r="AL56" i="68" s="1"/>
  <c r="AN56" i="68" s="1"/>
  <c r="AL440" i="68"/>
  <c r="AN440" i="68" s="1"/>
  <c r="AI18" i="114"/>
  <c r="AK18" i="114" s="1"/>
  <c r="AL18" i="114" s="1"/>
  <c r="AN18" i="114" s="1"/>
  <c r="H23" i="6"/>
  <c r="H24" i="6" s="1"/>
  <c r="H25" i="6" s="1"/>
  <c r="H26" i="6" s="1"/>
  <c r="H27" i="6" s="1"/>
  <c r="H28" i="6" s="1"/>
  <c r="H29" i="6" s="1"/>
  <c r="H30" i="6" s="1"/>
  <c r="H31" i="6" s="1"/>
  <c r="H32" i="6" s="1"/>
  <c r="H33" i="6" s="1"/>
  <c r="H34" i="6" s="1"/>
  <c r="H35" i="6" s="1"/>
  <c r="H36" i="6" s="1"/>
  <c r="H37" i="6" s="1"/>
  <c r="H38" i="6" s="1"/>
  <c r="H39" i="6" s="1"/>
  <c r="H40" i="6" s="1"/>
  <c r="H41" i="6" s="1"/>
  <c r="AI54" i="68"/>
  <c r="AK54" i="68" s="1"/>
  <c r="AL54" i="68" s="1"/>
  <c r="AN54" i="68" s="1"/>
  <c r="AI401" i="114"/>
  <c r="AK401" i="114" s="1"/>
  <c r="AL401" i="114" s="1"/>
  <c r="AN401" i="114" s="1"/>
  <c r="AL441" i="68"/>
  <c r="AN441" i="68" s="1"/>
  <c r="AC1924" i="68"/>
  <c r="AE1924" i="68" s="1"/>
  <c r="AF1924" i="68" s="1"/>
  <c r="AH1924" i="68" s="1"/>
  <c r="AI1924" i="68" s="1"/>
  <c r="AK1924" i="68" s="1"/>
  <c r="AI682" i="114"/>
  <c r="AK682" i="114" s="1"/>
  <c r="AL682" i="114" s="1"/>
  <c r="AN682" i="114" s="1"/>
  <c r="AI59" i="68"/>
  <c r="AK59" i="68" s="1"/>
  <c r="AL59" i="68" s="1"/>
  <c r="AN59" i="68" s="1"/>
  <c r="G126" i="103"/>
  <c r="G79" i="103"/>
  <c r="AI76" i="68" s="1"/>
  <c r="AK76" i="68" s="1"/>
  <c r="E23" i="6"/>
  <c r="E24" i="6" s="1"/>
  <c r="E25" i="6" s="1"/>
  <c r="E26" i="6" s="1"/>
  <c r="E27" i="6" s="1"/>
  <c r="E28" i="6" s="1"/>
  <c r="E29" i="6" s="1"/>
  <c r="E30" i="6" s="1"/>
  <c r="E31" i="6" s="1"/>
  <c r="E32" i="6" s="1"/>
  <c r="E33" i="6" s="1"/>
  <c r="E34" i="6" s="1"/>
  <c r="E35" i="6" s="1"/>
  <c r="E36" i="6" s="1"/>
  <c r="E37" i="6" s="1"/>
  <c r="E38" i="6" s="1"/>
  <c r="E39" i="6" s="1"/>
  <c r="E40" i="6" s="1"/>
  <c r="E41" i="6" s="1"/>
  <c r="AC446" i="68"/>
  <c r="AE446" i="68" s="1"/>
  <c r="AF446" i="68" s="1"/>
  <c r="AH446" i="68" s="1"/>
  <c r="AI446" i="68" s="1"/>
  <c r="AK446" i="68" s="1"/>
  <c r="AI1896" i="68"/>
  <c r="AK1896" i="68" s="1"/>
  <c r="AL1896" i="68" s="1"/>
  <c r="AN1896" i="68" s="1"/>
  <c r="AL320" i="68"/>
  <c r="AN320" i="68" s="1"/>
  <c r="H99" i="103"/>
  <c r="H106" i="103" s="1"/>
  <c r="H107" i="103" s="1"/>
  <c r="H108" i="103" s="1"/>
  <c r="H109" i="103" s="1"/>
  <c r="H110" i="103" s="1"/>
  <c r="H111" i="103" s="1"/>
  <c r="H112" i="103" s="1"/>
  <c r="H113" i="103" s="1"/>
  <c r="H114" i="103" s="1"/>
  <c r="H115" i="103" s="1"/>
  <c r="H116" i="103" s="1"/>
  <c r="H117" i="103" s="1"/>
  <c r="H118" i="103" s="1"/>
  <c r="H119" i="103" s="1"/>
  <c r="H120" i="103" s="1"/>
  <c r="H121" i="103" s="1"/>
  <c r="H122" i="103" s="1"/>
  <c r="H77" i="103"/>
  <c r="H125" i="103" s="1"/>
  <c r="AL1917" i="68"/>
  <c r="AN1917" i="68" s="1"/>
  <c r="AL288" i="68"/>
  <c r="AN288" i="68" s="1"/>
  <c r="AI49" i="68"/>
  <c r="AK49" i="68" s="1"/>
  <c r="AL321" i="68"/>
  <c r="AN321" i="68" s="1"/>
  <c r="G5" i="103"/>
  <c r="AI584" i="114"/>
  <c r="AK584" i="114" s="1"/>
  <c r="AL584" i="114" s="1"/>
  <c r="AN584" i="114" s="1"/>
  <c r="AI11" i="68"/>
  <c r="AK11" i="68" s="1"/>
  <c r="AL11" i="68" s="1"/>
  <c r="AN11" i="68" s="1"/>
  <c r="AI63" i="114"/>
  <c r="AK63" i="114" s="1"/>
  <c r="AL63" i="114" s="1"/>
  <c r="AN63" i="114" s="1"/>
  <c r="AL67" i="68"/>
  <c r="AN67" i="68" s="1"/>
  <c r="AL65" i="68"/>
  <c r="AN65" i="68" s="1"/>
  <c r="G217" i="103"/>
  <c r="G242" i="103" s="1"/>
  <c r="G158" i="103"/>
  <c r="AI50" i="68"/>
  <c r="AK50" i="68" s="1"/>
  <c r="AL1547" i="68"/>
  <c r="AN1547" i="68" s="1"/>
  <c r="AI61" i="114"/>
  <c r="AK61" i="114" s="1"/>
  <c r="AL1532" i="68"/>
  <c r="AN1532" i="68" s="1"/>
  <c r="AL43" i="114"/>
  <c r="AN43" i="114" s="1"/>
  <c r="AI53" i="68"/>
  <c r="AK53" i="68" s="1"/>
  <c r="AL53" i="68" s="1"/>
  <c r="AN53" i="68" s="1"/>
  <c r="AL37" i="114"/>
  <c r="AN37" i="114" s="1"/>
  <c r="AI42" i="68"/>
  <c r="AK42" i="68" s="1"/>
  <c r="G77" i="103"/>
  <c r="G125" i="103" s="1"/>
  <c r="G99" i="103"/>
  <c r="G106" i="103" s="1"/>
  <c r="G107" i="103" s="1"/>
  <c r="G108" i="103" s="1"/>
  <c r="G109" i="103" s="1"/>
  <c r="G110" i="103" s="1"/>
  <c r="G111" i="103" s="1"/>
  <c r="G112" i="103" s="1"/>
  <c r="G113" i="103" s="1"/>
  <c r="G114" i="103" s="1"/>
  <c r="G115" i="103" s="1"/>
  <c r="G116" i="103" s="1"/>
  <c r="G117" i="103" s="1"/>
  <c r="G118" i="103" s="1"/>
  <c r="G119" i="103" s="1"/>
  <c r="G120" i="103" s="1"/>
  <c r="G121" i="103" s="1"/>
  <c r="G122" i="103" s="1"/>
  <c r="G162" i="103" s="1"/>
  <c r="AL442" i="68"/>
  <c r="AN442" i="68" s="1"/>
  <c r="AI46" i="68"/>
  <c r="AK46" i="68" s="1"/>
  <c r="AL321" i="114"/>
  <c r="AN321" i="114" s="1"/>
  <c r="AI47" i="68"/>
  <c r="AK47" i="68" s="1"/>
  <c r="H126" i="103"/>
  <c r="H79" i="103"/>
  <c r="AI57" i="68"/>
  <c r="AK57" i="68" s="1"/>
  <c r="AL57" i="68" s="1"/>
  <c r="AN57" i="68" s="1"/>
  <c r="AL342" i="114"/>
  <c r="AN342" i="114" s="1"/>
  <c r="E273" i="103"/>
  <c r="AC366" i="114"/>
  <c r="AE366" i="114" s="1"/>
  <c r="AF366" i="114" s="1"/>
  <c r="AH366" i="114" s="1"/>
  <c r="AI366" i="114" s="1"/>
  <c r="AK366" i="114" s="1"/>
  <c r="AL366" i="114" s="1"/>
  <c r="AN366" i="114" s="1"/>
  <c r="AC749" i="114"/>
  <c r="AE749" i="114" s="1"/>
  <c r="AF749" i="114" s="1"/>
  <c r="AH749" i="114" s="1"/>
  <c r="AI749" i="114" s="1"/>
  <c r="AK749" i="114" s="1"/>
  <c r="AL749" i="114" s="1"/>
  <c r="AN749" i="114" s="1"/>
  <c r="AC339" i="114"/>
  <c r="AE339" i="114" s="1"/>
  <c r="AF339" i="114" s="1"/>
  <c r="AH339" i="114" s="1"/>
  <c r="AI339" i="114" s="1"/>
  <c r="AK339" i="114" s="1"/>
  <c r="AL339" i="114" s="1"/>
  <c r="AN339" i="114" s="1"/>
  <c r="AC359" i="114"/>
  <c r="AE359" i="114" s="1"/>
  <c r="AF359" i="114" s="1"/>
  <c r="AH359" i="114" s="1"/>
  <c r="AI359" i="114" s="1"/>
  <c r="AK359" i="114" s="1"/>
  <c r="AL359" i="114" s="1"/>
  <c r="AN359" i="114" s="1"/>
  <c r="AC708" i="114"/>
  <c r="AE708" i="114" s="1"/>
  <c r="AF708" i="114" s="1"/>
  <c r="AH708" i="114" s="1"/>
  <c r="AI708" i="114" s="1"/>
  <c r="AK708" i="114" s="1"/>
  <c r="AL708" i="114" s="1"/>
  <c r="AN708" i="114" s="1"/>
  <c r="AC353" i="114"/>
  <c r="AE353" i="114" s="1"/>
  <c r="AF353" i="114" s="1"/>
  <c r="AH353" i="114" s="1"/>
  <c r="AI353" i="114" s="1"/>
  <c r="AK353" i="114" s="1"/>
  <c r="AL353" i="114" s="1"/>
  <c r="AN353" i="114" s="1"/>
  <c r="AC34" i="114"/>
  <c r="AC1535" i="68"/>
  <c r="AE1535" i="68" s="1"/>
  <c r="AF1535" i="68" s="1"/>
  <c r="AH1535" i="68" s="1"/>
  <c r="AI1535" i="68" s="1"/>
  <c r="AK1535" i="68" s="1"/>
  <c r="AL1535" i="68" s="1"/>
  <c r="AN1535" i="68" s="1"/>
  <c r="AL434" i="68"/>
  <c r="AN434" i="68" s="1"/>
  <c r="AL367" i="114"/>
  <c r="AN367" i="114" s="1"/>
  <c r="H76" i="103"/>
  <c r="H123" i="103"/>
  <c r="H147" i="103" s="1"/>
  <c r="H148" i="103" s="1"/>
  <c r="H149" i="103" s="1"/>
  <c r="H150" i="103" s="1"/>
  <c r="H151" i="103" s="1"/>
  <c r="H152" i="103" s="1"/>
  <c r="AI61" i="68"/>
  <c r="AK61" i="68" s="1"/>
  <c r="AL61" i="68" s="1"/>
  <c r="AN61" i="68" s="1"/>
  <c r="AL73" i="68"/>
  <c r="AN73" i="68" s="1"/>
  <c r="AI58" i="68"/>
  <c r="AK58" i="68" s="1"/>
  <c r="AL58" i="68" s="1"/>
  <c r="AN58" i="68" s="1"/>
  <c r="AL326" i="68"/>
  <c r="AN326" i="68" s="1"/>
  <c r="AC289" i="68"/>
  <c r="AE289" i="68" s="1"/>
  <c r="AF289" i="68" s="1"/>
  <c r="AH289" i="68" s="1"/>
  <c r="AI289" i="68" s="1"/>
  <c r="AK289" i="68" s="1"/>
  <c r="AL289" i="68" s="1"/>
  <c r="AN289" i="68" s="1"/>
  <c r="G247" i="103"/>
  <c r="AI24" i="114"/>
  <c r="AI424" i="68"/>
  <c r="AK424" i="68" s="1"/>
  <c r="AL424" i="68" s="1"/>
  <c r="AN424" i="68" s="1"/>
  <c r="AC60" i="68"/>
  <c r="AE60" i="68" s="1"/>
  <c r="AF60" i="68" s="1"/>
  <c r="AH60" i="68" s="1"/>
  <c r="AI60" i="68" s="1"/>
  <c r="AK60" i="68" s="1"/>
  <c r="AL60" i="68" s="1"/>
  <c r="AN60" i="68" s="1"/>
  <c r="AL322" i="68"/>
  <c r="AN322" i="68" s="1"/>
  <c r="AI44" i="68"/>
  <c r="AK44" i="68" s="1"/>
  <c r="AI45" i="68"/>
  <c r="AK45" i="68" s="1"/>
  <c r="AL66" i="68"/>
  <c r="AN66" i="68" s="1"/>
  <c r="AC1533" i="68"/>
  <c r="AE1533" i="68" s="1"/>
  <c r="AF1533" i="68" s="1"/>
  <c r="AH1533" i="68" s="1"/>
  <c r="AI1533" i="68" s="1"/>
  <c r="AK1533" i="68" s="1"/>
  <c r="AL1533" i="68" s="1"/>
  <c r="AN1533" i="68" s="1"/>
  <c r="AL1539" i="68"/>
  <c r="AN1539" i="68" s="1"/>
  <c r="AL319" i="68"/>
  <c r="AN319" i="68" s="1"/>
  <c r="AI52" i="68"/>
  <c r="AK52" i="68" s="1"/>
  <c r="AL52" i="68" s="1"/>
  <c r="AN52" i="68" s="1"/>
  <c r="AL371" i="114"/>
  <c r="AN371" i="114" s="1"/>
  <c r="E69" i="103"/>
  <c r="AC319" i="114"/>
  <c r="AE319" i="114" s="1"/>
  <c r="AF319" i="114" s="1"/>
  <c r="AH319" i="114" s="1"/>
  <c r="AI319" i="114" s="1"/>
  <c r="AK319" i="114" s="1"/>
  <c r="AL319" i="114" s="1"/>
  <c r="AN319" i="114" s="1"/>
  <c r="AI40" i="68"/>
  <c r="AK40" i="68" s="1"/>
  <c r="AL40" i="68" s="1"/>
  <c r="AN40" i="68" s="1"/>
  <c r="AL1546" i="68"/>
  <c r="AN1546" i="68" s="1"/>
  <c r="AC363" i="114"/>
  <c r="AE363" i="114" s="1"/>
  <c r="AF363" i="114" s="1"/>
  <c r="AH363" i="114" s="1"/>
  <c r="AI363" i="114" s="1"/>
  <c r="AK363" i="114" s="1"/>
  <c r="AC343" i="114"/>
  <c r="AE343" i="114" s="1"/>
  <c r="AF343" i="114" s="1"/>
  <c r="AH343" i="114" s="1"/>
  <c r="AI343" i="114" s="1"/>
  <c r="AK343" i="114" s="1"/>
  <c r="AC1561" i="68"/>
  <c r="AE1561" i="68" s="1"/>
  <c r="AF1561" i="68" s="1"/>
  <c r="AH1561" i="68" s="1"/>
  <c r="AI1561" i="68" s="1"/>
  <c r="AK1561" i="68" s="1"/>
  <c r="AI48" i="68"/>
  <c r="AK48" i="68" s="1"/>
  <c r="AL75" i="68"/>
  <c r="AN75" i="68" s="1"/>
  <c r="H394" i="103"/>
  <c r="H398" i="103" s="1"/>
  <c r="H390" i="103"/>
  <c r="E63" i="103"/>
  <c r="AC63" i="68"/>
  <c r="AE63" i="68" s="1"/>
  <c r="AF63" i="68" s="1"/>
  <c r="AH63" i="68" s="1"/>
  <c r="AI63" i="68" s="1"/>
  <c r="AK63" i="68" s="1"/>
  <c r="AL63" i="68" s="1"/>
  <c r="AN63" i="68" s="1"/>
  <c r="AL1538" i="68"/>
  <c r="AN1538" i="68" s="1"/>
  <c r="AI62" i="68"/>
  <c r="AK62" i="68" s="1"/>
  <c r="AL62" i="68" s="1"/>
  <c r="AN62" i="68" s="1"/>
  <c r="F326" i="103"/>
  <c r="AF722" i="114"/>
  <c r="AH722" i="114" s="1"/>
  <c r="AI722" i="114" s="1"/>
  <c r="AK722" i="114" s="1"/>
  <c r="AL722" i="114" s="1"/>
  <c r="AN722" i="114" s="1"/>
  <c r="AF747" i="114"/>
  <c r="AH747" i="114" s="1"/>
  <c r="AI747" i="114" s="1"/>
  <c r="AK747" i="114" s="1"/>
  <c r="AL747" i="114" s="1"/>
  <c r="AN747" i="114" s="1"/>
  <c r="AF726" i="114"/>
  <c r="AH726" i="114" s="1"/>
  <c r="AI726" i="114" s="1"/>
  <c r="AK726" i="114" s="1"/>
  <c r="AL726" i="114" s="1"/>
  <c r="AN726" i="114" s="1"/>
  <c r="AF711" i="114"/>
  <c r="AH711" i="114" s="1"/>
  <c r="AI711" i="114" s="1"/>
  <c r="AK711" i="114" s="1"/>
  <c r="AL711" i="114" s="1"/>
  <c r="AN711" i="114" s="1"/>
  <c r="AF373" i="114"/>
  <c r="AH373" i="114" s="1"/>
  <c r="AI373" i="114" s="1"/>
  <c r="AK373" i="114" s="1"/>
  <c r="AL373" i="114" s="1"/>
  <c r="AN373" i="114" s="1"/>
  <c r="AF750" i="114"/>
  <c r="AH750" i="114" s="1"/>
  <c r="AI750" i="114" s="1"/>
  <c r="AK750" i="114" s="1"/>
  <c r="AL750" i="114" s="1"/>
  <c r="AN750" i="114" s="1"/>
  <c r="AF724" i="114"/>
  <c r="AH724" i="114" s="1"/>
  <c r="AI724" i="114" s="1"/>
  <c r="AK724" i="114" s="1"/>
  <c r="AL724" i="114" s="1"/>
  <c r="AN724" i="114" s="1"/>
  <c r="AF713" i="114"/>
  <c r="AH713" i="114" s="1"/>
  <c r="AI713" i="114" s="1"/>
  <c r="AK713" i="114" s="1"/>
  <c r="AL713" i="114" s="1"/>
  <c r="AN713" i="114" s="1"/>
  <c r="AF355" i="114"/>
  <c r="AH355" i="114" s="1"/>
  <c r="AI355" i="114" s="1"/>
  <c r="AK355" i="114" s="1"/>
  <c r="AL355" i="114" s="1"/>
  <c r="AN355" i="114" s="1"/>
  <c r="AF707" i="114"/>
  <c r="AH707" i="114" s="1"/>
  <c r="AI707" i="114" s="1"/>
  <c r="AK707" i="114" s="1"/>
  <c r="AL707" i="114" s="1"/>
  <c r="AN707" i="114" s="1"/>
  <c r="AF374" i="114"/>
  <c r="AH374" i="114" s="1"/>
  <c r="AI374" i="114" s="1"/>
  <c r="AK374" i="114" s="1"/>
  <c r="AL374" i="114" s="1"/>
  <c r="AN374" i="114" s="1"/>
  <c r="AF57" i="114"/>
  <c r="AH57" i="114" s="1"/>
  <c r="AI57" i="114" s="1"/>
  <c r="AK57" i="114" s="1"/>
  <c r="AL57" i="114" s="1"/>
  <c r="AN57" i="114" s="1"/>
  <c r="AF1902" i="68"/>
  <c r="AH1902" i="68" s="1"/>
  <c r="AI1902" i="68" s="1"/>
  <c r="AK1902" i="68" s="1"/>
  <c r="AL1902" i="68" s="1"/>
  <c r="AN1902" i="68" s="1"/>
  <c r="AL293" i="68"/>
  <c r="AN293" i="68" s="1"/>
  <c r="AI43" i="68"/>
  <c r="AK43" i="68" s="1"/>
  <c r="AI41" i="68"/>
  <c r="AK41" i="68" s="1"/>
  <c r="AI51" i="68"/>
  <c r="AK51" i="68" s="1"/>
  <c r="AL51" i="68" s="1"/>
  <c r="AN51" i="68" s="1"/>
  <c r="AL38" i="114"/>
  <c r="AN38" i="114" s="1"/>
  <c r="X3" i="32"/>
  <c r="Y48" i="32"/>
  <c r="Y46" i="32"/>
  <c r="Y45" i="32"/>
  <c r="Y44" i="32"/>
  <c r="Y50" i="32"/>
  <c r="U52" i="32"/>
  <c r="V52" i="32"/>
  <c r="X52" i="32"/>
  <c r="Y52" i="32"/>
  <c r="W52" i="32"/>
  <c r="Y47" i="32"/>
  <c r="Y51" i="32"/>
  <c r="Y55" i="32"/>
  <c r="W27" i="32"/>
  <c r="Y27" i="32"/>
  <c r="V27" i="32"/>
  <c r="X27" i="32"/>
  <c r="U27" i="32"/>
  <c r="Y53" i="32"/>
  <c r="U41" i="32"/>
  <c r="V41" i="32"/>
  <c r="Y41" i="32"/>
  <c r="X41" i="32"/>
  <c r="W41" i="32"/>
  <c r="Y49" i="32"/>
  <c r="Y42" i="32"/>
  <c r="J43" i="32"/>
  <c r="K1140" i="115"/>
  <c r="K1143" i="115" s="1"/>
  <c r="K539" i="114"/>
  <c r="K546" i="114" s="1"/>
  <c r="L1937" i="68"/>
  <c r="L1939" i="68" s="1"/>
  <c r="U14" i="32"/>
  <c r="Y14" i="32"/>
  <c r="X14" i="32"/>
  <c r="V14" i="32"/>
  <c r="W14" i="32"/>
  <c r="J28" i="32"/>
  <c r="V1421" i="68"/>
  <c r="V714" i="115"/>
  <c r="U714" i="115"/>
  <c r="U715" i="115"/>
  <c r="V715" i="115"/>
  <c r="L1140" i="115"/>
  <c r="L1143" i="115" s="1"/>
  <c r="L539" i="114"/>
  <c r="L546" i="114" s="1"/>
  <c r="K1937" i="68"/>
  <c r="K1939" i="68" s="1"/>
  <c r="J88" i="32"/>
  <c r="Y88" i="32" s="1"/>
  <c r="I1140" i="115"/>
  <c r="I1143" i="115" s="1"/>
  <c r="I539" i="114"/>
  <c r="I546" i="114" s="1"/>
  <c r="I1937" i="68"/>
  <c r="I1939" i="68" s="1"/>
  <c r="V93" i="32"/>
  <c r="J704" i="115"/>
  <c r="J723" i="115" s="1"/>
  <c r="J725" i="115" s="1"/>
  <c r="W93" i="32"/>
  <c r="X93" i="32"/>
  <c r="H7" i="114"/>
  <c r="N539" i="114"/>
  <c r="N546" i="114" s="1"/>
  <c r="N1140" i="115"/>
  <c r="N1937" i="68"/>
  <c r="N1939" i="68" s="1"/>
  <c r="J274" i="68"/>
  <c r="J556" i="68"/>
  <c r="J561" i="68"/>
  <c r="J558" i="68"/>
  <c r="J567" i="68"/>
  <c r="J562" i="68"/>
  <c r="J568" i="68"/>
  <c r="J566" i="68"/>
  <c r="M128" i="68"/>
  <c r="M414" i="68"/>
  <c r="V414" i="68" s="1"/>
  <c r="M413" i="68"/>
  <c r="M396" i="68"/>
  <c r="O750" i="68"/>
  <c r="M667" i="68"/>
  <c r="V667" i="68" s="1"/>
  <c r="M245" i="68"/>
  <c r="M251" i="68"/>
  <c r="M241" i="114"/>
  <c r="V241" i="114" s="1"/>
  <c r="J502" i="114"/>
  <c r="J501" i="114"/>
  <c r="J500" i="114"/>
  <c r="J504" i="114"/>
  <c r="J503" i="114"/>
  <c r="J499" i="114"/>
  <c r="J789" i="68"/>
  <c r="J793" i="68"/>
  <c r="J791" i="68"/>
  <c r="J788" i="68"/>
  <c r="J790" i="68"/>
  <c r="P581" i="115"/>
  <c r="O581" i="115"/>
  <c r="J18" i="32"/>
  <c r="Y18" i="32" s="1"/>
  <c r="M684" i="68"/>
  <c r="M685" i="68" s="1"/>
  <c r="M1043" i="115"/>
  <c r="M1045" i="115" s="1"/>
  <c r="V1045" i="115" s="1"/>
  <c r="M450" i="68"/>
  <c r="J146" i="115"/>
  <c r="J970" i="115"/>
  <c r="M26" i="6"/>
  <c r="J824" i="115"/>
  <c r="J422" i="115"/>
  <c r="J1002" i="115"/>
  <c r="J296" i="115"/>
  <c r="J928" i="115"/>
  <c r="J548" i="115"/>
  <c r="F24" i="6"/>
  <c r="P23" i="6"/>
  <c r="J239" i="115"/>
  <c r="J80" i="115"/>
  <c r="J866" i="115"/>
  <c r="J900" i="115"/>
  <c r="J115" i="115"/>
  <c r="J583" i="115"/>
  <c r="M886" i="115"/>
  <c r="M415" i="115"/>
  <c r="M507" i="115"/>
  <c r="M659" i="115"/>
  <c r="M78" i="115"/>
  <c r="M428" i="115"/>
  <c r="M430" i="115" s="1"/>
  <c r="M568" i="115"/>
  <c r="M294" i="115"/>
  <c r="M956" i="115"/>
  <c r="M985" i="115"/>
  <c r="M555" i="115"/>
  <c r="M523" i="115"/>
  <c r="Q9" i="115"/>
  <c r="Q8" i="114"/>
  <c r="M173" i="68"/>
  <c r="M539" i="68"/>
  <c r="M715" i="68"/>
  <c r="M383" i="68"/>
  <c r="V383" i="68" s="1"/>
  <c r="M1204" i="68"/>
  <c r="M1668" i="68"/>
  <c r="M916" i="68"/>
  <c r="M409" i="68"/>
  <c r="M945" i="68"/>
  <c r="M392" i="68"/>
  <c r="M348" i="68"/>
  <c r="M655" i="68"/>
  <c r="M263" i="68"/>
  <c r="M194" i="68"/>
  <c r="M654" i="68"/>
  <c r="M904" i="68"/>
  <c r="M537" i="68"/>
  <c r="M467" i="68"/>
  <c r="M236" i="68"/>
  <c r="M1582" i="68"/>
  <c r="M149" i="68"/>
  <c r="M247" i="68"/>
  <c r="M1004" i="68"/>
  <c r="M1450" i="68"/>
  <c r="M1452" i="68" s="1"/>
  <c r="M875" i="68"/>
  <c r="M1172" i="68"/>
  <c r="M1700" i="68"/>
  <c r="M592" i="68"/>
  <c r="M646" i="68"/>
  <c r="M250" i="68"/>
  <c r="M394" i="68"/>
  <c r="V394" i="68" s="1"/>
  <c r="M1640" i="68"/>
  <c r="M286" i="68"/>
  <c r="M676" i="68"/>
  <c r="M665" i="68"/>
  <c r="V665" i="68" s="1"/>
  <c r="M1347" i="68"/>
  <c r="M1033" i="68"/>
  <c r="M1387" i="68"/>
  <c r="M1021" i="68"/>
  <c r="M1749" i="68"/>
  <c r="M144" i="68"/>
  <c r="M116" i="68"/>
  <c r="M249" i="68"/>
  <c r="M1423" i="68"/>
  <c r="M1442" i="68"/>
  <c r="M670" i="68"/>
  <c r="M610" i="68"/>
  <c r="M702" i="68"/>
  <c r="M1439" i="68"/>
  <c r="M310" i="68"/>
  <c r="M233" i="68"/>
  <c r="M1684" i="68"/>
  <c r="M1813" i="68"/>
  <c r="M247" i="114"/>
  <c r="V247" i="114" s="1"/>
  <c r="M729" i="114"/>
  <c r="M479" i="114"/>
  <c r="M627" i="114"/>
  <c r="M351" i="114"/>
  <c r="M420" i="114"/>
  <c r="M741" i="114"/>
  <c r="M329" i="114"/>
  <c r="M64" i="114"/>
  <c r="M669" i="114"/>
  <c r="M59" i="114"/>
  <c r="M227" i="114"/>
  <c r="M95" i="114"/>
  <c r="M881" i="115"/>
  <c r="M113" i="115"/>
  <c r="M689" i="115"/>
  <c r="M64" i="115"/>
  <c r="M38" i="115"/>
  <c r="M860" i="115"/>
  <c r="M864" i="115" s="1"/>
  <c r="M475" i="115"/>
  <c r="M943" i="115"/>
  <c r="M289" i="115"/>
  <c r="M237" i="115"/>
  <c r="M283" i="115"/>
  <c r="M128" i="115"/>
  <c r="M649" i="115"/>
  <c r="M702" i="115"/>
  <c r="M485" i="68"/>
  <c r="M379" i="68"/>
  <c r="M738" i="68"/>
  <c r="M378" i="68"/>
  <c r="M344" i="68"/>
  <c r="M238" i="68"/>
  <c r="M254" i="68"/>
  <c r="M182" i="68"/>
  <c r="M661" i="68"/>
  <c r="V661" i="68" s="1"/>
  <c r="M672" i="68"/>
  <c r="M677" i="68"/>
  <c r="V677" i="68" s="1"/>
  <c r="M540" i="68"/>
  <c r="M217" i="68"/>
  <c r="M264" i="68"/>
  <c r="M653" i="68"/>
  <c r="M388" i="68"/>
  <c r="M1434" i="68"/>
  <c r="M648" i="68"/>
  <c r="M328" i="68"/>
  <c r="M1562" i="68"/>
  <c r="M1353" i="68"/>
  <c r="M1728" i="68"/>
  <c r="M415" i="68"/>
  <c r="M1408" i="68"/>
  <c r="M1806" i="68"/>
  <c r="M1224" i="68"/>
  <c r="M268" i="68"/>
  <c r="M240" i="68"/>
  <c r="M399" i="68"/>
  <c r="V399" i="68" s="1"/>
  <c r="M1341" i="68"/>
  <c r="M1379" i="68"/>
  <c r="M256" i="68"/>
  <c r="M989" i="68"/>
  <c r="M959" i="68"/>
  <c r="M407" i="68"/>
  <c r="M1712" i="68"/>
  <c r="M1925" i="68"/>
  <c r="M1588" i="68"/>
  <c r="M1129" i="68"/>
  <c r="M1897" i="68"/>
  <c r="M232" i="68"/>
  <c r="M111" i="68"/>
  <c r="M408" i="68"/>
  <c r="M235" i="68"/>
  <c r="V235" i="68" s="1"/>
  <c r="M1659" i="68"/>
  <c r="M405" i="68"/>
  <c r="M386" i="68"/>
  <c r="M262" i="68"/>
  <c r="M393" i="68"/>
  <c r="V393" i="68" s="1"/>
  <c r="M265" i="68"/>
  <c r="M778" i="68"/>
  <c r="M689" i="114"/>
  <c r="M309" i="114"/>
  <c r="M465" i="114"/>
  <c r="M298" i="114"/>
  <c r="M267" i="114"/>
  <c r="M382" i="114"/>
  <c r="M385" i="114" s="1"/>
  <c r="M488" i="114"/>
  <c r="M611" i="114"/>
  <c r="V611" i="114" s="1"/>
  <c r="M443" i="114"/>
  <c r="M41" i="114"/>
  <c r="M472" i="114"/>
  <c r="M48" i="114"/>
  <c r="M121" i="114"/>
  <c r="M234" i="115"/>
  <c r="M394" i="115"/>
  <c r="M252" i="115"/>
  <c r="M926" i="115"/>
  <c r="M1000" i="115"/>
  <c r="M542" i="115"/>
  <c r="M407" i="115"/>
  <c r="M54" i="115"/>
  <c r="M144" i="115"/>
  <c r="M852" i="115"/>
  <c r="M768" i="115"/>
  <c r="M1149" i="115" s="1"/>
  <c r="M721" i="115"/>
  <c r="M794" i="115"/>
  <c r="M377" i="115"/>
  <c r="M819" i="115"/>
  <c r="M538" i="68"/>
  <c r="M544" i="68" s="1"/>
  <c r="M197" i="68"/>
  <c r="M671" i="68"/>
  <c r="M389" i="68"/>
  <c r="M416" i="68"/>
  <c r="M975" i="68"/>
  <c r="M447" i="68"/>
  <c r="M521" i="68"/>
  <c r="V521" i="68" s="1"/>
  <c r="M168" i="68"/>
  <c r="M678" i="68"/>
  <c r="M639" i="68"/>
  <c r="M845" i="68"/>
  <c r="M747" i="68"/>
  <c r="M1140" i="68"/>
  <c r="M226" i="68"/>
  <c r="M681" i="68"/>
  <c r="M1191" i="68"/>
  <c r="M1370" i="68"/>
  <c r="M237" i="68"/>
  <c r="M662" i="68"/>
  <c r="V662" i="68" s="1"/>
  <c r="M679" i="68"/>
  <c r="V679" i="68" s="1"/>
  <c r="M1048" i="68"/>
  <c r="M652" i="68"/>
  <c r="M1612" i="68"/>
  <c r="M258" i="68"/>
  <c r="M246" i="68"/>
  <c r="M890" i="68"/>
  <c r="M372" i="68"/>
  <c r="M239" i="68"/>
  <c r="M323" i="68"/>
  <c r="M1530" i="68"/>
  <c r="M658" i="68"/>
  <c r="M598" i="68"/>
  <c r="M154" i="68"/>
  <c r="M257" i="68"/>
  <c r="M707" i="68"/>
  <c r="M1155" i="68"/>
  <c r="M255" i="68"/>
  <c r="M206" i="68"/>
  <c r="M313" i="68"/>
  <c r="M1915" i="68"/>
  <c r="M1629" i="68"/>
  <c r="M1394" i="68"/>
  <c r="V1394" i="68" s="1"/>
  <c r="M771" i="68"/>
  <c r="M382" i="68"/>
  <c r="M377" i="114"/>
  <c r="M170" i="114"/>
  <c r="M598" i="114"/>
  <c r="M173" i="114"/>
  <c r="M364" i="114"/>
  <c r="M430" i="114"/>
  <c r="M200" i="114"/>
  <c r="M406" i="114"/>
  <c r="M752" i="114"/>
  <c r="M638" i="114"/>
  <c r="M917" i="115"/>
  <c r="M784" i="115"/>
  <c r="M272" i="115"/>
  <c r="M187" i="115"/>
  <c r="M205" i="115"/>
  <c r="M349" i="115"/>
  <c r="M1034" i="115"/>
  <c r="M1036" i="115"/>
  <c r="M137" i="115"/>
  <c r="M995" i="115"/>
  <c r="M537" i="115"/>
  <c r="M93" i="115"/>
  <c r="M102" i="115"/>
  <c r="M575" i="115"/>
  <c r="M673" i="115"/>
  <c r="M839" i="115"/>
  <c r="M914" i="115"/>
  <c r="M222" i="115"/>
  <c r="M894" i="115"/>
  <c r="M965" i="115"/>
  <c r="M919" i="68"/>
  <c r="V919" i="68" s="1"/>
  <c r="M541" i="68"/>
  <c r="M397" i="68"/>
  <c r="M412" i="68"/>
  <c r="M472" i="68"/>
  <c r="M543" i="68"/>
  <c r="M244" i="68"/>
  <c r="M545" i="68"/>
  <c r="M673" i="68"/>
  <c r="M731" i="68"/>
  <c r="M1791" i="68"/>
  <c r="M266" i="68"/>
  <c r="V266" i="68" s="1"/>
  <c r="M1234" i="68"/>
  <c r="M398" i="68"/>
  <c r="V398" i="68" s="1"/>
  <c r="M659" i="68"/>
  <c r="V659" i="68" s="1"/>
  <c r="M651" i="68"/>
  <c r="M380" i="68"/>
  <c r="M404" i="68"/>
  <c r="M358" i="68"/>
  <c r="M664" i="68"/>
  <c r="M1774" i="68"/>
  <c r="M406" i="68"/>
  <c r="M387" i="68"/>
  <c r="M234" i="68"/>
  <c r="M1797" i="68"/>
  <c r="M299" i="68"/>
  <c r="M259" i="68"/>
  <c r="M1544" i="68"/>
  <c r="M525" i="68"/>
  <c r="V525" i="68" s="1"/>
  <c r="M674" i="68"/>
  <c r="M1250" i="68"/>
  <c r="M934" i="68"/>
  <c r="M1257" i="68"/>
  <c r="M1763" i="68"/>
  <c r="M531" i="68"/>
  <c r="V531" i="68" s="1"/>
  <c r="M858" i="68"/>
  <c r="M1596" i="68"/>
  <c r="M241" i="68"/>
  <c r="M1912" i="68"/>
  <c r="M1237" i="68"/>
  <c r="V1237" i="68" s="1"/>
  <c r="M1208" i="68"/>
  <c r="M1260" i="68"/>
  <c r="M764" i="68"/>
  <c r="M1678" i="68"/>
  <c r="M337" i="114"/>
  <c r="M492" i="114"/>
  <c r="M448" i="114"/>
  <c r="V448" i="114" s="1"/>
  <c r="M357" i="114"/>
  <c r="M53" i="114"/>
  <c r="M553" i="114"/>
  <c r="M235" i="114"/>
  <c r="M549" i="114"/>
  <c r="M284" i="114"/>
  <c r="M608" i="114"/>
  <c r="M22" i="114"/>
  <c r="M659" i="114"/>
  <c r="M344" i="114"/>
  <c r="P4" i="3"/>
  <c r="J65" i="32" s="1"/>
  <c r="Y131" i="32"/>
  <c r="Y130" i="32"/>
  <c r="P3" i="3"/>
  <c r="C139" i="6"/>
  <c r="A13" i="6"/>
  <c r="A17" i="9" s="1"/>
  <c r="AM25" i="6"/>
  <c r="I39" i="6"/>
  <c r="B23" i="6"/>
  <c r="B27" i="9" s="1"/>
  <c r="A22" i="6"/>
  <c r="A26" i="9" s="1"/>
  <c r="Y93" i="32"/>
  <c r="AL42" i="68" l="1"/>
  <c r="AN42" i="68" s="1"/>
  <c r="AL49" i="68"/>
  <c r="AN49" i="68" s="1"/>
  <c r="AL45" i="68"/>
  <c r="AN45" i="68" s="1"/>
  <c r="AL41" i="68"/>
  <c r="AN41" i="68" s="1"/>
  <c r="AL48" i="68"/>
  <c r="AN48" i="68" s="1"/>
  <c r="AL50" i="68"/>
  <c r="AN50" i="68" s="1"/>
  <c r="AL47" i="68"/>
  <c r="AN47" i="68" s="1"/>
  <c r="AL44" i="68"/>
  <c r="AN44" i="68" s="1"/>
  <c r="AL43" i="68"/>
  <c r="AN43" i="68" s="1"/>
  <c r="AL46" i="68"/>
  <c r="AN46" i="68" s="1"/>
  <c r="AL61" i="114"/>
  <c r="AN61" i="114" s="1"/>
  <c r="J59" i="32"/>
  <c r="AL446" i="68"/>
  <c r="AN446" i="68" s="1"/>
  <c r="J187" i="32"/>
  <c r="J120" i="32"/>
  <c r="Y120" i="32" s="1"/>
  <c r="U59" i="32"/>
  <c r="U109" i="32" s="1"/>
  <c r="X59" i="32"/>
  <c r="X109" i="32" s="1"/>
  <c r="Y59" i="32"/>
  <c r="Y109" i="32" s="1"/>
  <c r="V59" i="32"/>
  <c r="V109" i="32" s="1"/>
  <c r="W59" i="32"/>
  <c r="W109" i="32" s="1"/>
  <c r="X65" i="32"/>
  <c r="X121" i="32" s="1"/>
  <c r="W65" i="32"/>
  <c r="W121" i="32" s="1"/>
  <c r="Y65" i="32"/>
  <c r="Y121" i="32" s="1"/>
  <c r="U65" i="32"/>
  <c r="U121" i="32" s="1"/>
  <c r="V65" i="32"/>
  <c r="V121" i="32" s="1"/>
  <c r="J107" i="32"/>
  <c r="S122" i="32"/>
  <c r="AL1561" i="68"/>
  <c r="AN1561" i="68" s="1"/>
  <c r="AL343" i="114"/>
  <c r="AN343" i="114" s="1"/>
  <c r="AL363" i="114"/>
  <c r="AN363" i="114" s="1"/>
  <c r="AL309" i="68"/>
  <c r="AN309" i="68" s="1"/>
  <c r="H285" i="103"/>
  <c r="H286" i="103" s="1"/>
  <c r="H287" i="103" s="1"/>
  <c r="H288" i="103" s="1"/>
  <c r="H290" i="103" s="1"/>
  <c r="H291" i="103" s="1"/>
  <c r="H295" i="103" s="1"/>
  <c r="H296" i="103" s="1"/>
  <c r="H297" i="103" s="1"/>
  <c r="H298" i="103" s="1"/>
  <c r="H299" i="103" s="1"/>
  <c r="H300" i="103" s="1"/>
  <c r="H212" i="103"/>
  <c r="H213" i="103" s="1"/>
  <c r="H162" i="103"/>
  <c r="H163" i="103" s="1"/>
  <c r="H164" i="103" s="1"/>
  <c r="H165" i="103" s="1"/>
  <c r="H166" i="103" s="1"/>
  <c r="H167" i="103" s="1"/>
  <c r="H170" i="103" s="1"/>
  <c r="H171" i="103" s="1"/>
  <c r="H172" i="103" s="1"/>
  <c r="H173" i="103" s="1"/>
  <c r="H174" i="103" s="1"/>
  <c r="H175" i="103" s="1"/>
  <c r="H176" i="103" s="1"/>
  <c r="H177" i="103" s="1"/>
  <c r="H178" i="103" s="1"/>
  <c r="H179" i="103" s="1"/>
  <c r="H180" i="103" s="1"/>
  <c r="H181" i="103" s="1"/>
  <c r="H182" i="103" s="1"/>
  <c r="H183" i="103" s="1"/>
  <c r="H184" i="103" s="1"/>
  <c r="H185" i="103" s="1"/>
  <c r="H186" i="103" s="1"/>
  <c r="H187" i="103" s="1"/>
  <c r="H191" i="103" s="1"/>
  <c r="AL327" i="68"/>
  <c r="AN327" i="68" s="1"/>
  <c r="J80" i="32"/>
  <c r="J78" i="32"/>
  <c r="J71" i="32"/>
  <c r="G304" i="103"/>
  <c r="G305" i="103"/>
  <c r="G306" i="103" s="1"/>
  <c r="G307" i="103" s="1"/>
  <c r="G311" i="103" s="1"/>
  <c r="AL1924" i="68"/>
  <c r="AN1924" i="68" s="1"/>
  <c r="H254" i="103"/>
  <c r="H190" i="103"/>
  <c r="F192" i="103"/>
  <c r="F193" i="103" s="1"/>
  <c r="F194" i="103" s="1"/>
  <c r="F195" i="103" s="1"/>
  <c r="F196" i="103" s="1"/>
  <c r="F197" i="103" s="1"/>
  <c r="F214" i="103"/>
  <c r="F215" i="103" s="1"/>
  <c r="F216" i="103" s="1"/>
  <c r="F220" i="103" s="1"/>
  <c r="F221" i="103" s="1"/>
  <c r="F222" i="103" s="1"/>
  <c r="F223" i="103" s="1"/>
  <c r="F224" i="103" s="1"/>
  <c r="F225" i="103" s="1"/>
  <c r="F226" i="103" s="1"/>
  <c r="F227" i="103" s="1"/>
  <c r="F228" i="103" s="1"/>
  <c r="F229" i="103" s="1"/>
  <c r="F230" i="103" s="1"/>
  <c r="F231" i="103" s="1"/>
  <c r="F232" i="103" s="1"/>
  <c r="F233" i="103" s="1"/>
  <c r="G163" i="103"/>
  <c r="G164" i="103" s="1"/>
  <c r="G165" i="103" s="1"/>
  <c r="G166" i="103" s="1"/>
  <c r="G167" i="103" s="1"/>
  <c r="G170" i="103" s="1"/>
  <c r="G171" i="103" s="1"/>
  <c r="G172" i="103" s="1"/>
  <c r="G173" i="103" s="1"/>
  <c r="G174" i="103" s="1"/>
  <c r="G175" i="103" s="1"/>
  <c r="G176" i="103" s="1"/>
  <c r="G177" i="103" s="1"/>
  <c r="G178" i="103" s="1"/>
  <c r="G179" i="103" s="1"/>
  <c r="G180" i="103" s="1"/>
  <c r="G181" i="103" s="1"/>
  <c r="G182" i="103" s="1"/>
  <c r="G183" i="103" s="1"/>
  <c r="G184" i="103" s="1"/>
  <c r="G185" i="103" s="1"/>
  <c r="G186" i="103" s="1"/>
  <c r="G187" i="103" s="1"/>
  <c r="G191" i="103" s="1"/>
  <c r="AE316" i="114"/>
  <c r="AF331" i="114"/>
  <c r="AE34" i="114"/>
  <c r="AI593" i="114"/>
  <c r="AK593" i="114" s="1"/>
  <c r="AC13" i="114"/>
  <c r="AB22" i="114"/>
  <c r="L56" i="3" s="1"/>
  <c r="AK24" i="114"/>
  <c r="AI588" i="114"/>
  <c r="AK588" i="114" s="1"/>
  <c r="AC691" i="114"/>
  <c r="AB729" i="114"/>
  <c r="AH736" i="114"/>
  <c r="AE394" i="114"/>
  <c r="AC651" i="114"/>
  <c r="AB659" i="114"/>
  <c r="L104" i="3" s="1"/>
  <c r="AF650" i="114"/>
  <c r="AF620" i="114"/>
  <c r="AE627" i="114"/>
  <c r="M96" i="3" s="1"/>
  <c r="AK619" i="114"/>
  <c r="G207" i="103"/>
  <c r="G127" i="103"/>
  <c r="AK559" i="114"/>
  <c r="G80" i="103"/>
  <c r="G81" i="103" s="1"/>
  <c r="AL76" i="68"/>
  <c r="AN76" i="68" s="1"/>
  <c r="E70" i="103"/>
  <c r="E71" i="103" s="1"/>
  <c r="AC322" i="114"/>
  <c r="AE322" i="114" s="1"/>
  <c r="AF322" i="114" s="1"/>
  <c r="AH322" i="114" s="1"/>
  <c r="AI322" i="114" s="1"/>
  <c r="AK322" i="114" s="1"/>
  <c r="AL322" i="114" s="1"/>
  <c r="AN322" i="114" s="1"/>
  <c r="AC68" i="68"/>
  <c r="AE68" i="68" s="1"/>
  <c r="AF68" i="68" s="1"/>
  <c r="AH68" i="68" s="1"/>
  <c r="AI68" i="68" s="1"/>
  <c r="AK68" i="68" s="1"/>
  <c r="AL68" i="68" s="1"/>
  <c r="AN68" i="68" s="1"/>
  <c r="E64" i="103"/>
  <c r="AC88" i="68"/>
  <c r="AE88" i="68" s="1"/>
  <c r="AF88" i="68" s="1"/>
  <c r="AH88" i="68" s="1"/>
  <c r="AI88" i="68" s="1"/>
  <c r="AK88" i="68" s="1"/>
  <c r="AL88" i="68" s="1"/>
  <c r="AN88" i="68" s="1"/>
  <c r="H127" i="103"/>
  <c r="H80" i="103"/>
  <c r="H217" i="103"/>
  <c r="H242" i="103" s="1"/>
  <c r="H158" i="103"/>
  <c r="AC35" i="114"/>
  <c r="AE35" i="114" s="1"/>
  <c r="AF35" i="114" s="1"/>
  <c r="AH35" i="114" s="1"/>
  <c r="AI35" i="114" s="1"/>
  <c r="AK35" i="114" s="1"/>
  <c r="AL35" i="114" s="1"/>
  <c r="AN35" i="114" s="1"/>
  <c r="E274" i="103"/>
  <c r="AC291" i="68"/>
  <c r="AE291" i="68" s="1"/>
  <c r="AF291" i="68" s="1"/>
  <c r="AH291" i="68" s="1"/>
  <c r="AI291" i="68" s="1"/>
  <c r="AK291" i="68" s="1"/>
  <c r="AL291" i="68" s="1"/>
  <c r="AN291" i="68" s="1"/>
  <c r="G248" i="103"/>
  <c r="AI25" i="114"/>
  <c r="AK25" i="114" s="1"/>
  <c r="AL25" i="114" s="1"/>
  <c r="AN25" i="114" s="1"/>
  <c r="AI425" i="68"/>
  <c r="AK425" i="68" s="1"/>
  <c r="AL425" i="68" s="1"/>
  <c r="AN425" i="68" s="1"/>
  <c r="AI647" i="68"/>
  <c r="AK647" i="68" s="1"/>
  <c r="AL647" i="68" s="1"/>
  <c r="AN647" i="68" s="1"/>
  <c r="AI1522" i="68"/>
  <c r="AK1522" i="68" s="1"/>
  <c r="AL1522" i="68" s="1"/>
  <c r="AN1522" i="68" s="1"/>
  <c r="AI280" i="68"/>
  <c r="AK280" i="68" s="1"/>
  <c r="AL280" i="68" s="1"/>
  <c r="AN280" i="68" s="1"/>
  <c r="E265" i="103"/>
  <c r="AC1552" i="68"/>
  <c r="AE1552" i="68" s="1"/>
  <c r="AF1552" i="68" s="1"/>
  <c r="AH1552" i="68" s="1"/>
  <c r="AI1552" i="68" s="1"/>
  <c r="AK1552" i="68" s="1"/>
  <c r="AL1552" i="68" s="1"/>
  <c r="AN1552" i="68" s="1"/>
  <c r="G6" i="103"/>
  <c r="AI12" i="68"/>
  <c r="AK12" i="68" s="1"/>
  <c r="AL12" i="68" s="1"/>
  <c r="AN12" i="68" s="1"/>
  <c r="AI585" i="114"/>
  <c r="AK585" i="114" s="1"/>
  <c r="AL585" i="114" s="1"/>
  <c r="AN585" i="114" s="1"/>
  <c r="F332" i="103"/>
  <c r="AF663" i="114"/>
  <c r="AH663" i="114" s="1"/>
  <c r="AI663" i="114" s="1"/>
  <c r="AK663" i="114" s="1"/>
  <c r="AL663" i="114" s="1"/>
  <c r="AN663" i="114" s="1"/>
  <c r="AF745" i="114"/>
  <c r="AH745" i="114" s="1"/>
  <c r="AI745" i="114" s="1"/>
  <c r="AK745" i="114" s="1"/>
  <c r="AL745" i="114" s="1"/>
  <c r="AN745" i="114" s="1"/>
  <c r="AF348" i="114"/>
  <c r="AH348" i="114" s="1"/>
  <c r="AI348" i="114" s="1"/>
  <c r="AK348" i="114" s="1"/>
  <c r="AL348" i="114" s="1"/>
  <c r="AN348" i="114" s="1"/>
  <c r="AF55" i="114"/>
  <c r="AH55" i="114" s="1"/>
  <c r="AI55" i="114" s="1"/>
  <c r="AK55" i="114" s="1"/>
  <c r="AL55" i="114" s="1"/>
  <c r="AN55" i="114" s="1"/>
  <c r="Y3" i="32"/>
  <c r="V28" i="32"/>
  <c r="W28" i="32"/>
  <c r="U28" i="32"/>
  <c r="Y28" i="32"/>
  <c r="X28" i="32"/>
  <c r="W43" i="32"/>
  <c r="Y43" i="32"/>
  <c r="U43" i="32"/>
  <c r="V43" i="32"/>
  <c r="X43" i="32"/>
  <c r="J12" i="32"/>
  <c r="X12" i="32" s="1"/>
  <c r="J108" i="32"/>
  <c r="V108" i="32" s="1"/>
  <c r="J23" i="32"/>
  <c r="J176" i="32"/>
  <c r="X176" i="32" s="1"/>
  <c r="V186" i="32"/>
  <c r="X187" i="32"/>
  <c r="J164" i="32"/>
  <c r="Y164" i="32" s="1"/>
  <c r="U184" i="32"/>
  <c r="J165" i="32"/>
  <c r="W165" i="32" s="1"/>
  <c r="J163" i="32"/>
  <c r="X163" i="32" s="1"/>
  <c r="J105" i="32"/>
  <c r="V105" i="32" s="1"/>
  <c r="J175" i="32"/>
  <c r="W175" i="32" s="1"/>
  <c r="U185" i="32"/>
  <c r="J86" i="32"/>
  <c r="J11" i="32"/>
  <c r="J174" i="32"/>
  <c r="Y174" i="32" s="1"/>
  <c r="V189" i="32"/>
  <c r="J106" i="32"/>
  <c r="W106" i="32" s="1"/>
  <c r="J90" i="32"/>
  <c r="V90" i="32" s="1"/>
  <c r="J39" i="32"/>
  <c r="J139" i="32"/>
  <c r="J76" i="32"/>
  <c r="J172" i="32"/>
  <c r="Y172" i="32" s="1"/>
  <c r="V183" i="32"/>
  <c r="M387" i="114"/>
  <c r="J15" i="32"/>
  <c r="Y15" i="32" s="1"/>
  <c r="J17" i="32"/>
  <c r="Y17" i="32" s="1"/>
  <c r="J92" i="32"/>
  <c r="J161" i="32"/>
  <c r="J85" i="32"/>
  <c r="W88" i="32"/>
  <c r="U88" i="32"/>
  <c r="X88" i="32"/>
  <c r="V88" i="32"/>
  <c r="J89" i="32"/>
  <c r="X89" i="32" s="1"/>
  <c r="J7" i="114"/>
  <c r="N7" i="114" s="1"/>
  <c r="I7" i="114"/>
  <c r="J29" i="32"/>
  <c r="J37" i="32"/>
  <c r="J25" i="32"/>
  <c r="J84" i="32"/>
  <c r="J8" i="32"/>
  <c r="J9" i="32"/>
  <c r="J32" i="32"/>
  <c r="J26" i="32"/>
  <c r="J138" i="32"/>
  <c r="J34" i="32"/>
  <c r="J24" i="32"/>
  <c r="J33" i="32"/>
  <c r="J21" i="32"/>
  <c r="J40" i="32"/>
  <c r="J38" i="32"/>
  <c r="J31" i="32"/>
  <c r="J35" i="32"/>
  <c r="J13" i="32"/>
  <c r="J30" i="32"/>
  <c r="J22" i="32"/>
  <c r="J19" i="32"/>
  <c r="M615" i="68"/>
  <c r="M704" i="115"/>
  <c r="M723" i="115" s="1"/>
  <c r="J104" i="32"/>
  <c r="V104" i="32" s="1"/>
  <c r="J103" i="32"/>
  <c r="J87" i="32"/>
  <c r="U87" i="32" s="1"/>
  <c r="J20" i="32"/>
  <c r="J10" i="32"/>
  <c r="J16" i="32"/>
  <c r="J559" i="68"/>
  <c r="J569" i="68"/>
  <c r="M546" i="68"/>
  <c r="V546" i="68" s="1"/>
  <c r="M551" i="68"/>
  <c r="V551" i="68" s="1"/>
  <c r="J564" i="68"/>
  <c r="M550" i="68"/>
  <c r="M547" i="68"/>
  <c r="M554" i="68"/>
  <c r="M557" i="68"/>
  <c r="V557" i="68" s="1"/>
  <c r="J565" i="68"/>
  <c r="J575" i="68" s="1"/>
  <c r="J563" i="68"/>
  <c r="O128" i="68"/>
  <c r="V245" i="68"/>
  <c r="P245" i="68"/>
  <c r="O248" i="68"/>
  <c r="P248" i="68" s="1"/>
  <c r="V396" i="68"/>
  <c r="P396" i="68"/>
  <c r="O251" i="68"/>
  <c r="P251" i="68" s="1"/>
  <c r="O414" i="68"/>
  <c r="P414" i="68" s="1"/>
  <c r="O411" i="68"/>
  <c r="P411" i="68" s="1"/>
  <c r="Q750" i="68"/>
  <c r="Q660" i="68"/>
  <c r="Q245" i="68"/>
  <c r="Q667" i="68"/>
  <c r="Q411" i="68"/>
  <c r="Q248" i="68"/>
  <c r="Q413" i="68"/>
  <c r="Q396" i="68"/>
  <c r="Q400" i="68"/>
  <c r="Q251" i="68"/>
  <c r="Q414" i="68"/>
  <c r="V251" i="68"/>
  <c r="U251" i="68"/>
  <c r="O413" i="68"/>
  <c r="P413" i="68" s="1"/>
  <c r="P750" i="68"/>
  <c r="V413" i="68"/>
  <c r="U413" i="68"/>
  <c r="O667" i="68"/>
  <c r="P667" i="68" s="1"/>
  <c r="Q241" i="114"/>
  <c r="P241" i="114"/>
  <c r="O241" i="114"/>
  <c r="J508" i="114"/>
  <c r="J506" i="114"/>
  <c r="J507" i="114"/>
  <c r="J505" i="114"/>
  <c r="J162" i="115"/>
  <c r="J180" i="115"/>
  <c r="J179" i="115"/>
  <c r="J173" i="115"/>
  <c r="J151" i="115"/>
  <c r="J169" i="115"/>
  <c r="J170" i="115"/>
  <c r="J181" i="115"/>
  <c r="J156" i="115"/>
  <c r="J153" i="115"/>
  <c r="J183" i="115"/>
  <c r="J168" i="115"/>
  <c r="J172" i="115"/>
  <c r="J165" i="115"/>
  <c r="J174" i="115"/>
  <c r="J171" i="115"/>
  <c r="J159" i="115"/>
  <c r="J175" i="115"/>
  <c r="J167" i="115"/>
  <c r="J155" i="115"/>
  <c r="J154" i="115"/>
  <c r="J152" i="115"/>
  <c r="J163" i="115"/>
  <c r="J166" i="115"/>
  <c r="J178" i="115"/>
  <c r="J182" i="115"/>
  <c r="J164" i="115"/>
  <c r="J158" i="115"/>
  <c r="J157" i="115"/>
  <c r="M787" i="68"/>
  <c r="J797" i="68"/>
  <c r="J795" i="68"/>
  <c r="J796" i="68"/>
  <c r="J794" i="68"/>
  <c r="Q581" i="115"/>
  <c r="J140" i="32"/>
  <c r="J141" i="32"/>
  <c r="W18" i="32"/>
  <c r="U18" i="32"/>
  <c r="V18" i="32"/>
  <c r="X18" i="32"/>
  <c r="M900" i="115"/>
  <c r="O684" i="68"/>
  <c r="O685" i="68" s="1"/>
  <c r="O633" i="68"/>
  <c r="M633" i="68"/>
  <c r="V633" i="68" s="1"/>
  <c r="M731" i="114"/>
  <c r="P633" i="68"/>
  <c r="M360" i="68"/>
  <c r="M1006" i="68"/>
  <c r="M239" i="115"/>
  <c r="V1043" i="115"/>
  <c r="O1043" i="115"/>
  <c r="O1045" i="115" s="1"/>
  <c r="M487" i="68"/>
  <c r="M613" i="114"/>
  <c r="M615" i="114" s="1"/>
  <c r="M184" i="68"/>
  <c r="O450" i="68"/>
  <c r="P450" i="68"/>
  <c r="M80" i="115"/>
  <c r="M27" i="6"/>
  <c r="Q450" i="68"/>
  <c r="M296" i="115"/>
  <c r="J101" i="32"/>
  <c r="W101" i="32" s="1"/>
  <c r="J129" i="32"/>
  <c r="V129" i="32" s="1"/>
  <c r="J117" i="32"/>
  <c r="X117" i="32" s="1"/>
  <c r="J118" i="32"/>
  <c r="U118" i="32" s="1"/>
  <c r="J145" i="32"/>
  <c r="J147" i="32"/>
  <c r="M66" i="114"/>
  <c r="M824" i="115"/>
  <c r="J119" i="32"/>
  <c r="W119" i="32" s="1"/>
  <c r="J116" i="32"/>
  <c r="Y116" i="32" s="1"/>
  <c r="J100" i="32"/>
  <c r="W100" i="32" s="1"/>
  <c r="I1933" i="68"/>
  <c r="K1933" i="68" s="1"/>
  <c r="M928" i="115"/>
  <c r="M1646" i="68"/>
  <c r="M133" i="68"/>
  <c r="J128" i="32"/>
  <c r="Y128" i="32" s="1"/>
  <c r="M311" i="114"/>
  <c r="F25" i="6"/>
  <c r="P24" i="6"/>
  <c r="J1047" i="115"/>
  <c r="M1263" i="68"/>
  <c r="M452" i="68"/>
  <c r="M970" i="115"/>
  <c r="M156" i="68"/>
  <c r="M1598" i="68"/>
  <c r="M1213" i="68"/>
  <c r="M417" i="68"/>
  <c r="M252" i="68"/>
  <c r="O430" i="114"/>
  <c r="O553" i="114"/>
  <c r="O53" i="114"/>
  <c r="O741" i="114"/>
  <c r="O227" i="114"/>
  <c r="P488" i="114"/>
  <c r="O488" i="114"/>
  <c r="O669" i="114"/>
  <c r="O916" i="68"/>
  <c r="P226" i="68"/>
  <c r="O226" i="68"/>
  <c r="O679" i="68"/>
  <c r="P679" i="68" s="1"/>
  <c r="O1612" i="68"/>
  <c r="P525" i="68"/>
  <c r="O525" i="68"/>
  <c r="O1640" i="68"/>
  <c r="O747" i="68"/>
  <c r="O1700" i="68"/>
  <c r="O1204" i="68"/>
  <c r="O232" i="68"/>
  <c r="O111" i="68"/>
  <c r="O702" i="68"/>
  <c r="O259" i="68"/>
  <c r="P259" i="68" s="1"/>
  <c r="O268" i="68"/>
  <c r="P268" i="68" s="1"/>
  <c r="O989" i="68"/>
  <c r="O648" i="68"/>
  <c r="P648" i="68" s="1"/>
  <c r="O661" i="68"/>
  <c r="P661" i="68" s="1"/>
  <c r="O264" i="68"/>
  <c r="P264" i="68" s="1"/>
  <c r="O240" i="68"/>
  <c r="P240" i="68" s="1"/>
  <c r="O472" i="68"/>
  <c r="O1387" i="68"/>
  <c r="O313" i="68"/>
  <c r="P1774" i="68"/>
  <c r="O1774" i="68"/>
  <c r="O241" i="68"/>
  <c r="P241" i="68" s="1"/>
  <c r="O249" i="68"/>
  <c r="P249" i="68" s="1"/>
  <c r="O263" i="68"/>
  <c r="P263" i="68" s="1"/>
  <c r="O610" i="68"/>
  <c r="O670" i="68"/>
  <c r="O1048" i="68"/>
  <c r="O738" i="68"/>
  <c r="O239" i="68"/>
  <c r="P239" i="68" s="1"/>
  <c r="O399" i="68"/>
  <c r="P399" i="68" s="1"/>
  <c r="P531" i="68"/>
  <c r="O531" i="68"/>
  <c r="O1347" i="68"/>
  <c r="O372" i="68"/>
  <c r="O374" i="68" s="1"/>
  <c r="O1659" i="68"/>
  <c r="P1659" i="68"/>
  <c r="P1797" i="68"/>
  <c r="O1797" i="68"/>
  <c r="O1439" i="68"/>
  <c r="P1439" i="68"/>
  <c r="O250" i="68"/>
  <c r="P250" i="68" s="1"/>
  <c r="O398" i="68"/>
  <c r="P398" i="68" s="1"/>
  <c r="O415" i="68"/>
  <c r="P415" i="68" s="1"/>
  <c r="O194" i="68"/>
  <c r="O262" i="68"/>
  <c r="P262" i="68" s="1"/>
  <c r="O1129" i="68"/>
  <c r="O934" i="68"/>
  <c r="P934" i="68"/>
  <c r="O1224" i="68"/>
  <c r="P1224" i="68"/>
  <c r="O154" i="68"/>
  <c r="O257" i="68"/>
  <c r="P257" i="68" s="1"/>
  <c r="O1629" i="68"/>
  <c r="M286" i="114"/>
  <c r="M481" i="114"/>
  <c r="M1686" i="68"/>
  <c r="M961" i="68"/>
  <c r="M330" i="68"/>
  <c r="M390" i="68"/>
  <c r="O272" i="115"/>
  <c r="O222" i="115"/>
  <c r="O64" i="115"/>
  <c r="O113" i="115"/>
  <c r="O93" i="115"/>
  <c r="O555" i="115"/>
  <c r="P555" i="115"/>
  <c r="P926" i="115"/>
  <c r="O926" i="115"/>
  <c r="O237" i="115"/>
  <c r="O673" i="115"/>
  <c r="O128" i="115"/>
  <c r="P537" i="115"/>
  <c r="O537" i="115"/>
  <c r="O860" i="115"/>
  <c r="O864" i="115" s="1"/>
  <c r="P860" i="115"/>
  <c r="P864" i="115" s="1"/>
  <c r="O144" i="115"/>
  <c r="M123" i="114"/>
  <c r="M249" i="114"/>
  <c r="M754" i="114"/>
  <c r="M450" i="114"/>
  <c r="M717" i="68"/>
  <c r="M1050" i="68"/>
  <c r="Q393" i="68"/>
  <c r="Q382" i="68"/>
  <c r="Q237" i="68"/>
  <c r="Q653" i="68"/>
  <c r="Q538" i="68"/>
  <c r="Q648" i="68"/>
  <c r="Q399" i="68"/>
  <c r="Q662" i="68"/>
  <c r="Q665" i="68"/>
  <c r="Q405" i="68"/>
  <c r="Q659" i="68"/>
  <c r="Q652" i="68"/>
  <c r="Q397" i="68"/>
  <c r="Q394" i="68"/>
  <c r="Q663" i="68"/>
  <c r="Q383" i="68"/>
  <c r="Q407" i="68"/>
  <c r="Q398" i="68"/>
  <c r="Q679" i="68"/>
  <c r="Q673" i="68"/>
  <c r="Q674" i="68"/>
  <c r="Q380" i="68"/>
  <c r="Q654" i="68"/>
  <c r="Q655" i="68"/>
  <c r="Q661" i="68"/>
  <c r="Q651" i="68"/>
  <c r="Q408" i="68"/>
  <c r="Q406" i="68"/>
  <c r="Q416" i="68"/>
  <c r="Q676" i="68"/>
  <c r="Q415" i="68"/>
  <c r="Q672" i="68"/>
  <c r="Q387" i="68"/>
  <c r="Q664" i="68"/>
  <c r="Q389" i="68"/>
  <c r="Q409" i="68"/>
  <c r="Q677" i="68"/>
  <c r="Q540" i="68"/>
  <c r="Q386" i="68"/>
  <c r="Q650" i="68"/>
  <c r="Q412" i="68"/>
  <c r="Q235" i="68"/>
  <c r="Q539" i="68"/>
  <c r="Q388" i="68"/>
  <c r="Q379" i="68"/>
  <c r="M783" i="68"/>
  <c r="N60" i="6"/>
  <c r="O59" i="114"/>
  <c r="O267" i="114"/>
  <c r="O298" i="114"/>
  <c r="O364" i="114"/>
  <c r="O173" i="114"/>
  <c r="O549" i="114"/>
  <c r="O329" i="114"/>
  <c r="F108" i="6"/>
  <c r="K108" i="6" s="1"/>
  <c r="O598" i="114"/>
  <c r="O95" i="114"/>
  <c r="M251" i="114"/>
  <c r="M668" i="68"/>
  <c r="M1570" i="68"/>
  <c r="O149" i="68"/>
  <c r="O247" i="68"/>
  <c r="P247" i="68" s="1"/>
  <c r="P149" i="68"/>
  <c r="O348" i="68"/>
  <c r="O392" i="68"/>
  <c r="O672" i="68"/>
  <c r="P672" i="68" s="1"/>
  <c r="O412" i="68"/>
  <c r="P412" i="68" s="1"/>
  <c r="O1370" i="68"/>
  <c r="O677" i="68"/>
  <c r="P677" i="68" s="1"/>
  <c r="O1155" i="68"/>
  <c r="O404" i="68"/>
  <c r="O358" i="68"/>
  <c r="O959" i="68"/>
  <c r="P959" i="68"/>
  <c r="O144" i="68"/>
  <c r="O541" i="68"/>
  <c r="P541" i="68" s="1"/>
  <c r="O237" i="68"/>
  <c r="P237" i="68" s="1"/>
  <c r="O383" i="68"/>
  <c r="P383" i="68" s="1"/>
  <c r="O1749" i="68"/>
  <c r="O678" i="68"/>
  <c r="P678" i="68" s="1"/>
  <c r="P639" i="68"/>
  <c r="P641" i="68" s="1"/>
  <c r="O639" i="68"/>
  <c r="O641" i="68" s="1"/>
  <c r="O659" i="68"/>
  <c r="P659" i="68" s="1"/>
  <c r="O1191" i="68"/>
  <c r="O845" i="68"/>
  <c r="O673" i="68"/>
  <c r="O676" i="68"/>
  <c r="P676" i="68" s="1"/>
  <c r="O1728" i="68"/>
  <c r="O646" i="68"/>
  <c r="O592" i="68"/>
  <c r="O266" i="68"/>
  <c r="P266" i="68" s="1"/>
  <c r="O540" i="68"/>
  <c r="P540" i="68" s="1"/>
  <c r="O598" i="68"/>
  <c r="O658" i="68"/>
  <c r="O1353" i="68"/>
  <c r="O1379" i="68"/>
  <c r="O1668" i="68"/>
  <c r="O217" i="68"/>
  <c r="O406" i="68"/>
  <c r="P406" i="68" s="1"/>
  <c r="P1234" i="68"/>
  <c r="O1234" i="68"/>
  <c r="O323" i="68"/>
  <c r="O1408" i="68"/>
  <c r="O379" i="68"/>
  <c r="P379" i="68" s="1"/>
  <c r="O173" i="68"/>
  <c r="P173" i="68"/>
  <c r="O416" i="68"/>
  <c r="P416" i="68" s="1"/>
  <c r="O665" i="68"/>
  <c r="P665" i="68" s="1"/>
  <c r="O1021" i="68"/>
  <c r="O1588" i="68"/>
  <c r="O671" i="68"/>
  <c r="P671" i="68" s="1"/>
  <c r="O521" i="68"/>
  <c r="O236" i="68"/>
  <c r="P236" i="68" s="1"/>
  <c r="O246" i="68"/>
  <c r="P246" i="68" s="1"/>
  <c r="O1813" i="68"/>
  <c r="P1813" i="68"/>
  <c r="P771" i="68"/>
  <c r="O771" i="68"/>
  <c r="P1912" i="68"/>
  <c r="O1912" i="68"/>
  <c r="M546" i="115"/>
  <c r="V546" i="115" s="1"/>
  <c r="M1444" i="68"/>
  <c r="O415" i="115"/>
  <c r="O420" i="115" s="1"/>
  <c r="O568" i="115"/>
  <c r="P568" i="115"/>
  <c r="O407" i="115"/>
  <c r="O956" i="115"/>
  <c r="O475" i="115"/>
  <c r="P475" i="115"/>
  <c r="P1000" i="115"/>
  <c r="O1000" i="115"/>
  <c r="O819" i="115"/>
  <c r="O38" i="115"/>
  <c r="O187" i="115"/>
  <c r="O794" i="115"/>
  <c r="O784" i="115"/>
  <c r="O659" i="115"/>
  <c r="O394" i="115"/>
  <c r="O575" i="115"/>
  <c r="O1034" i="115"/>
  <c r="O1036" i="115"/>
  <c r="M866" i="115"/>
  <c r="M402" i="68"/>
  <c r="M1815" i="68"/>
  <c r="O41" i="114"/>
  <c r="O611" i="114"/>
  <c r="O443" i="114"/>
  <c r="O284" i="114"/>
  <c r="O377" i="114"/>
  <c r="O309" i="114"/>
  <c r="P479" i="114"/>
  <c r="O479" i="114"/>
  <c r="O659" i="114"/>
  <c r="O48" i="114"/>
  <c r="O22" i="114"/>
  <c r="P13" i="114"/>
  <c r="O200" i="114"/>
  <c r="O357" i="114"/>
  <c r="O465" i="114"/>
  <c r="P465" i="114"/>
  <c r="O247" i="114"/>
  <c r="O448" i="114"/>
  <c r="O752" i="114"/>
  <c r="O729" i="114"/>
  <c r="V638" i="114"/>
  <c r="M641" i="114"/>
  <c r="O310" i="68"/>
  <c r="P310" i="68"/>
  <c r="P1033" i="68"/>
  <c r="O1033" i="68"/>
  <c r="E108" i="6"/>
  <c r="J108" i="6" s="1"/>
  <c r="P10" i="68"/>
  <c r="P197" i="68"/>
  <c r="O197" i="68"/>
  <c r="O387" i="68"/>
  <c r="P387" i="68" s="1"/>
  <c r="O1450" i="68"/>
  <c r="O1452" i="68" s="1"/>
  <c r="P1450" i="68"/>
  <c r="P1452" i="68" s="1"/>
  <c r="O233" i="68"/>
  <c r="P233" i="68" s="1"/>
  <c r="O1434" i="68"/>
  <c r="O858" i="68"/>
  <c r="O681" i="68"/>
  <c r="P681" i="68" s="1"/>
  <c r="O386" i="68"/>
  <c r="P386" i="68" s="1"/>
  <c r="O875" i="68"/>
  <c r="O258" i="68"/>
  <c r="P258" i="68" s="1"/>
  <c r="O206" i="68"/>
  <c r="O255" i="68"/>
  <c r="P255" i="68" s="1"/>
  <c r="P206" i="68"/>
  <c r="O655" i="68"/>
  <c r="P655" i="68" s="1"/>
  <c r="O975" i="68"/>
  <c r="O1423" i="68"/>
  <c r="O1897" i="68"/>
  <c r="O539" i="68"/>
  <c r="P539" i="68" s="1"/>
  <c r="O650" i="68"/>
  <c r="P650" i="68" s="1"/>
  <c r="O1341" i="68"/>
  <c r="O715" i="68"/>
  <c r="O394" i="68"/>
  <c r="P394" i="68" s="1"/>
  <c r="O1791" i="68"/>
  <c r="O405" i="68"/>
  <c r="P405" i="68" s="1"/>
  <c r="O1915" i="68"/>
  <c r="P1915" i="68"/>
  <c r="O256" i="68"/>
  <c r="P256" i="68" s="1"/>
  <c r="O1250" i="68"/>
  <c r="P1250" i="68"/>
  <c r="P1442" i="68"/>
  <c r="O1442" i="68"/>
  <c r="O1596" i="68"/>
  <c r="O652" i="68"/>
  <c r="P652" i="68" s="1"/>
  <c r="O409" i="68"/>
  <c r="P409" i="68" s="1"/>
  <c r="O537" i="68"/>
  <c r="O467" i="68"/>
  <c r="O388" i="68"/>
  <c r="P388" i="68" s="1"/>
  <c r="O116" i="68"/>
  <c r="O244" i="68"/>
  <c r="O408" i="68"/>
  <c r="P408" i="68" s="1"/>
  <c r="O674" i="68"/>
  <c r="P674" i="68" s="1"/>
  <c r="O1530" i="68"/>
  <c r="O654" i="68"/>
  <c r="P654" i="68" s="1"/>
  <c r="O1004" i="68"/>
  <c r="P1004" i="68"/>
  <c r="O182" i="68"/>
  <c r="O254" i="68"/>
  <c r="O1237" i="68"/>
  <c r="P1237" i="68"/>
  <c r="M752" i="68"/>
  <c r="M242" i="68"/>
  <c r="M1239" i="68"/>
  <c r="M1736" i="68"/>
  <c r="M269" i="68"/>
  <c r="O294" i="115"/>
  <c r="O78" i="115"/>
  <c r="O985" i="115"/>
  <c r="P985" i="115"/>
  <c r="P542" i="115"/>
  <c r="P546" i="115" s="1"/>
  <c r="O542" i="115"/>
  <c r="O546" i="115" s="1"/>
  <c r="P995" i="115"/>
  <c r="O995" i="115"/>
  <c r="O205" i="115"/>
  <c r="O377" i="115"/>
  <c r="O102" i="115"/>
  <c r="P917" i="115"/>
  <c r="O917" i="115"/>
  <c r="P881" i="115"/>
  <c r="O881" i="115"/>
  <c r="O702" i="115"/>
  <c r="O886" i="115"/>
  <c r="P886" i="115"/>
  <c r="P252" i="115"/>
  <c r="O252" i="115"/>
  <c r="O839" i="115"/>
  <c r="P839" i="115"/>
  <c r="P965" i="115"/>
  <c r="O965" i="115"/>
  <c r="M208" i="68"/>
  <c r="M315" i="68"/>
  <c r="M555" i="114"/>
  <c r="M495" i="114"/>
  <c r="M1779" i="68"/>
  <c r="O235" i="114"/>
  <c r="P235" i="114"/>
  <c r="O382" i="114"/>
  <c r="O385" i="114" s="1"/>
  <c r="O472" i="114"/>
  <c r="P472" i="114"/>
  <c r="O351" i="114"/>
  <c r="O406" i="114"/>
  <c r="O420" i="114"/>
  <c r="O638" i="114"/>
  <c r="O641" i="114" s="1"/>
  <c r="O64" i="114"/>
  <c r="O170" i="114"/>
  <c r="O689" i="114"/>
  <c r="G108" i="6"/>
  <c r="O627" i="114"/>
  <c r="O608" i="114"/>
  <c r="O337" i="114"/>
  <c r="O121" i="114"/>
  <c r="O492" i="114"/>
  <c r="P492" i="114"/>
  <c r="O344" i="114"/>
  <c r="M115" i="115"/>
  <c r="N61" i="6"/>
  <c r="M374" i="68"/>
  <c r="M921" i="68"/>
  <c r="M1396" i="68"/>
  <c r="M877" i="68"/>
  <c r="M641" i="68"/>
  <c r="M533" i="68"/>
  <c r="V533" i="68" s="1"/>
  <c r="O378" i="68"/>
  <c r="O344" i="68"/>
  <c r="O707" i="68"/>
  <c r="O544" i="68"/>
  <c r="P544" i="68" s="1"/>
  <c r="O397" i="68"/>
  <c r="P397" i="68" s="1"/>
  <c r="O664" i="68"/>
  <c r="P664" i="68" s="1"/>
  <c r="O1582" i="68"/>
  <c r="P447" i="68"/>
  <c r="O447" i="68"/>
  <c r="P1562" i="68"/>
  <c r="O1562" i="68"/>
  <c r="O235" i="68"/>
  <c r="P235" i="68" s="1"/>
  <c r="O651" i="68"/>
  <c r="P651" i="68" s="1"/>
  <c r="O485" i="68"/>
  <c r="O653" i="68"/>
  <c r="P653" i="68" s="1"/>
  <c r="P945" i="68"/>
  <c r="O945" i="68"/>
  <c r="O1925" i="68"/>
  <c r="P1925" i="68"/>
  <c r="O1140" i="68"/>
  <c r="O1806" i="68"/>
  <c r="P1806" i="68"/>
  <c r="O904" i="68"/>
  <c r="O1172" i="68"/>
  <c r="O234" i="68"/>
  <c r="P234" i="68" s="1"/>
  <c r="O1712" i="68"/>
  <c r="O380" i="68"/>
  <c r="P380" i="68" s="1"/>
  <c r="P1544" i="68"/>
  <c r="O1544" i="68"/>
  <c r="O299" i="68"/>
  <c r="P299" i="68"/>
  <c r="O538" i="68"/>
  <c r="P538" i="68" s="1"/>
  <c r="P890" i="68"/>
  <c r="O890" i="68"/>
  <c r="O662" i="68"/>
  <c r="P662" i="68" s="1"/>
  <c r="P328" i="68"/>
  <c r="O328" i="68"/>
  <c r="O238" i="68"/>
  <c r="P238" i="68" s="1"/>
  <c r="O407" i="68"/>
  <c r="P407" i="68" s="1"/>
  <c r="P1257" i="68"/>
  <c r="O1257" i="68"/>
  <c r="P286" i="68"/>
  <c r="O286" i="68"/>
  <c r="P168" i="68"/>
  <c r="O168" i="68"/>
  <c r="O731" i="68"/>
  <c r="O663" i="68"/>
  <c r="P663" i="68" s="1"/>
  <c r="P1763" i="68"/>
  <c r="O1763" i="68"/>
  <c r="O389" i="68"/>
  <c r="P389" i="68" s="1"/>
  <c r="P1394" i="68"/>
  <c r="O1394" i="68"/>
  <c r="O919" i="68"/>
  <c r="O393" i="68"/>
  <c r="P393" i="68" s="1"/>
  <c r="P1208" i="68"/>
  <c r="O1208" i="68"/>
  <c r="P1260" i="68"/>
  <c r="O1260" i="68"/>
  <c r="O382" i="68"/>
  <c r="P382" i="68" s="1"/>
  <c r="P778" i="68"/>
  <c r="O778" i="68"/>
  <c r="P1684" i="68"/>
  <c r="O1684" i="68"/>
  <c r="O1678" i="68"/>
  <c r="O265" i="68"/>
  <c r="P265" i="68" s="1"/>
  <c r="O764" i="68"/>
  <c r="M1930" i="68"/>
  <c r="M1160" i="68"/>
  <c r="M228" i="68"/>
  <c r="M1355" i="68"/>
  <c r="P894" i="115"/>
  <c r="O894" i="115"/>
  <c r="O289" i="115"/>
  <c r="O768" i="115"/>
  <c r="O1149" i="115" s="1"/>
  <c r="P721" i="115"/>
  <c r="O721" i="115"/>
  <c r="O914" i="115"/>
  <c r="P914" i="115"/>
  <c r="O234" i="115"/>
  <c r="O428" i="115"/>
  <c r="O430" i="115" s="1"/>
  <c r="P349" i="115"/>
  <c r="O349" i="115"/>
  <c r="O283" i="115"/>
  <c r="O137" i="115"/>
  <c r="O507" i="115"/>
  <c r="P507" i="115"/>
  <c r="O689" i="115"/>
  <c r="P852" i="115"/>
  <c r="O852" i="115"/>
  <c r="O523" i="115"/>
  <c r="P523" i="115"/>
  <c r="O943" i="115"/>
  <c r="O54" i="115"/>
  <c r="O649" i="115"/>
  <c r="M146" i="115"/>
  <c r="M671" i="114"/>
  <c r="M682" i="68"/>
  <c r="M656" i="68"/>
  <c r="R8" i="68"/>
  <c r="R8" i="114"/>
  <c r="R9" i="115"/>
  <c r="M583" i="115"/>
  <c r="M1002" i="115"/>
  <c r="M420" i="115"/>
  <c r="A23" i="6"/>
  <c r="A27" i="9" s="1"/>
  <c r="B24" i="6"/>
  <c r="B28" i="9" s="1"/>
  <c r="J142" i="32"/>
  <c r="J102" i="32"/>
  <c r="J144" i="32"/>
  <c r="J146" i="32"/>
  <c r="A12" i="6"/>
  <c r="A16" i="9" s="1"/>
  <c r="C138" i="6"/>
  <c r="AM24" i="6"/>
  <c r="J143" i="32"/>
  <c r="I40" i="6"/>
  <c r="W120" i="32" l="1"/>
  <c r="V120" i="32"/>
  <c r="U120" i="32"/>
  <c r="X120" i="32"/>
  <c r="U107" i="32"/>
  <c r="V107" i="32"/>
  <c r="X107" i="32"/>
  <c r="W107" i="32"/>
  <c r="Y107" i="32"/>
  <c r="G315" i="103"/>
  <c r="G323" i="103"/>
  <c r="G325" i="103" s="1"/>
  <c r="G330" i="103" s="1"/>
  <c r="G331" i="103" s="1"/>
  <c r="G335" i="103" s="1"/>
  <c r="G336" i="103" s="1"/>
  <c r="G337" i="103" s="1"/>
  <c r="G342" i="103" s="1"/>
  <c r="G343" i="103" s="1"/>
  <c r="G344" i="103" s="1"/>
  <c r="G347" i="103" s="1"/>
  <c r="G353" i="103" s="1"/>
  <c r="G354" i="103" s="1"/>
  <c r="G355" i="103" s="1"/>
  <c r="G356" i="103" s="1"/>
  <c r="G357" i="103" s="1"/>
  <c r="G358" i="103" s="1"/>
  <c r="G360" i="103" s="1"/>
  <c r="G361" i="103" s="1"/>
  <c r="G362" i="103" s="1"/>
  <c r="G363" i="103" s="1"/>
  <c r="G364" i="103" s="1"/>
  <c r="G365" i="103" s="1"/>
  <c r="G378" i="103" s="1"/>
  <c r="G382" i="103" s="1"/>
  <c r="G384" i="103" s="1"/>
  <c r="G391" i="103" s="1"/>
  <c r="G397" i="103" s="1"/>
  <c r="G399" i="103" s="1"/>
  <c r="W71" i="32"/>
  <c r="W154" i="32" s="1"/>
  <c r="X71" i="32"/>
  <c r="X154" i="32" s="1"/>
  <c r="Y71" i="32"/>
  <c r="Y154" i="32" s="1"/>
  <c r="U71" i="32"/>
  <c r="U154" i="32" s="1"/>
  <c r="V71" i="32"/>
  <c r="V154" i="32" s="1"/>
  <c r="Y80" i="32"/>
  <c r="V80" i="32"/>
  <c r="W80" i="32"/>
  <c r="X80" i="32"/>
  <c r="U80" i="32"/>
  <c r="V78" i="32"/>
  <c r="U78" i="32"/>
  <c r="W78" i="32"/>
  <c r="X78" i="32"/>
  <c r="Y78" i="32"/>
  <c r="H305" i="103"/>
  <c r="H306" i="103" s="1"/>
  <c r="H307" i="103" s="1"/>
  <c r="H311" i="103" s="1"/>
  <c r="H304" i="103"/>
  <c r="H301" i="103"/>
  <c r="H327" i="103" s="1"/>
  <c r="H352" i="103"/>
  <c r="H373" i="103" s="1"/>
  <c r="H376" i="103" s="1"/>
  <c r="G192" i="103"/>
  <c r="G193" i="103" s="1"/>
  <c r="G194" i="103" s="1"/>
  <c r="G195" i="103" s="1"/>
  <c r="G196" i="103" s="1"/>
  <c r="G197" i="103" s="1"/>
  <c r="H214" i="103"/>
  <c r="H215" i="103" s="1"/>
  <c r="H216" i="103" s="1"/>
  <c r="H220" i="103" s="1"/>
  <c r="H221" i="103" s="1"/>
  <c r="H222" i="103" s="1"/>
  <c r="H223" i="103" s="1"/>
  <c r="H224" i="103" s="1"/>
  <c r="H225" i="103" s="1"/>
  <c r="H226" i="103" s="1"/>
  <c r="H227" i="103" s="1"/>
  <c r="H228" i="103" s="1"/>
  <c r="H229" i="103" s="1"/>
  <c r="H230" i="103" s="1"/>
  <c r="H231" i="103" s="1"/>
  <c r="H232" i="103" s="1"/>
  <c r="H233" i="103" s="1"/>
  <c r="H192" i="103"/>
  <c r="H193" i="103" s="1"/>
  <c r="H194" i="103" s="1"/>
  <c r="H195" i="103" s="1"/>
  <c r="H196" i="103" s="1"/>
  <c r="H197" i="103" s="1"/>
  <c r="Y103" i="32"/>
  <c r="X103" i="32"/>
  <c r="W103" i="32"/>
  <c r="V103" i="32"/>
  <c r="U103" i="32"/>
  <c r="AH331" i="114"/>
  <c r="AC329" i="114"/>
  <c r="AF316" i="114"/>
  <c r="AE329" i="114"/>
  <c r="M64" i="3" s="1"/>
  <c r="AL24" i="114"/>
  <c r="AE13" i="114"/>
  <c r="AL593" i="114"/>
  <c r="AN593" i="114" s="1"/>
  <c r="AL588" i="114"/>
  <c r="AN588" i="114" s="1"/>
  <c r="AF34" i="114"/>
  <c r="AE691" i="114"/>
  <c r="AI736" i="114"/>
  <c r="AF394" i="114"/>
  <c r="AH650" i="114"/>
  <c r="I82" i="3"/>
  <c r="AH620" i="114"/>
  <c r="AE651" i="114"/>
  <c r="G208" i="103"/>
  <c r="AI621" i="114"/>
  <c r="AK621" i="114" s="1"/>
  <c r="AL621" i="114" s="1"/>
  <c r="AN621" i="114" s="1"/>
  <c r="AL619" i="114"/>
  <c r="AI77" i="68"/>
  <c r="AK77" i="68" s="1"/>
  <c r="AL77" i="68" s="1"/>
  <c r="AN77" i="68" s="1"/>
  <c r="AI683" i="114"/>
  <c r="AK683" i="114" s="1"/>
  <c r="AL683" i="114" s="1"/>
  <c r="AN683" i="114" s="1"/>
  <c r="AI324" i="114"/>
  <c r="AK324" i="114" s="1"/>
  <c r="AL324" i="114" s="1"/>
  <c r="AN324" i="114" s="1"/>
  <c r="AL559" i="114"/>
  <c r="AI402" i="114"/>
  <c r="AK402" i="114" s="1"/>
  <c r="AL402" i="114" s="1"/>
  <c r="AN402" i="114" s="1"/>
  <c r="G128" i="103"/>
  <c r="F338" i="103"/>
  <c r="AF664" i="114"/>
  <c r="AH664" i="114" s="1"/>
  <c r="AI664" i="114" s="1"/>
  <c r="AK664" i="114" s="1"/>
  <c r="AL664" i="114" s="1"/>
  <c r="AN664" i="114" s="1"/>
  <c r="E266" i="103"/>
  <c r="AC629" i="114" s="1"/>
  <c r="AC341" i="114"/>
  <c r="AE341" i="114" s="1"/>
  <c r="AF341" i="114" s="1"/>
  <c r="AH341" i="114" s="1"/>
  <c r="AI341" i="114" s="1"/>
  <c r="AK341" i="114" s="1"/>
  <c r="AL341" i="114" s="1"/>
  <c r="AN341" i="114" s="1"/>
  <c r="AC1559" i="68"/>
  <c r="AE1559" i="68" s="1"/>
  <c r="AF1559" i="68" s="1"/>
  <c r="AH1559" i="68" s="1"/>
  <c r="AI1559" i="68" s="1"/>
  <c r="AK1559" i="68" s="1"/>
  <c r="AL1559" i="68" s="1"/>
  <c r="AN1559" i="68" s="1"/>
  <c r="G7" i="103"/>
  <c r="AI586" i="114"/>
  <c r="AK586" i="114" s="1"/>
  <c r="AL586" i="114" s="1"/>
  <c r="AN586" i="114" s="1"/>
  <c r="AI13" i="68"/>
  <c r="AK13" i="68" s="1"/>
  <c r="AL13" i="68" s="1"/>
  <c r="AN13" i="68" s="1"/>
  <c r="E99" i="103"/>
  <c r="E77" i="103"/>
  <c r="AC652" i="114"/>
  <c r="AE652" i="114" s="1"/>
  <c r="AF652" i="114" s="1"/>
  <c r="AH652" i="114" s="1"/>
  <c r="AI652" i="114" s="1"/>
  <c r="AK652" i="114" s="1"/>
  <c r="AL652" i="114" s="1"/>
  <c r="AN652" i="114" s="1"/>
  <c r="AC64" i="68"/>
  <c r="AE64" i="68" s="1"/>
  <c r="AF64" i="68" s="1"/>
  <c r="AH64" i="68" s="1"/>
  <c r="AI64" i="68" s="1"/>
  <c r="AK64" i="68" s="1"/>
  <c r="AL64" i="68" s="1"/>
  <c r="AN64" i="68" s="1"/>
  <c r="E72" i="103"/>
  <c r="AC69" i="68"/>
  <c r="AE69" i="68" s="1"/>
  <c r="AF69" i="68" s="1"/>
  <c r="AH69" i="68" s="1"/>
  <c r="AI69" i="68" s="1"/>
  <c r="AK69" i="68" s="1"/>
  <c r="AL69" i="68" s="1"/>
  <c r="AN69" i="68" s="1"/>
  <c r="G82" i="103"/>
  <c r="G129" i="103"/>
  <c r="AI78" i="68"/>
  <c r="AK78" i="68" s="1"/>
  <c r="E275" i="103"/>
  <c r="AC248" i="68"/>
  <c r="AE248" i="68" s="1"/>
  <c r="AF248" i="68" s="1"/>
  <c r="AH248" i="68" s="1"/>
  <c r="AI248" i="68" s="1"/>
  <c r="AK248" i="68" s="1"/>
  <c r="AL248" i="68" s="1"/>
  <c r="AN248" i="68" s="1"/>
  <c r="AC1537" i="68"/>
  <c r="AE1537" i="68" s="1"/>
  <c r="AF1537" i="68" s="1"/>
  <c r="AH1537" i="68" s="1"/>
  <c r="AI1537" i="68" s="1"/>
  <c r="AK1537" i="68" s="1"/>
  <c r="AL1537" i="68" s="1"/>
  <c r="AN1537" i="68" s="1"/>
  <c r="AC292" i="68"/>
  <c r="AE292" i="68" s="1"/>
  <c r="AF292" i="68" s="1"/>
  <c r="AH292" i="68" s="1"/>
  <c r="AI292" i="68" s="1"/>
  <c r="AK292" i="68" s="1"/>
  <c r="AL292" i="68" s="1"/>
  <c r="AN292" i="68" s="1"/>
  <c r="H81" i="103"/>
  <c r="H128" i="103"/>
  <c r="G249" i="103"/>
  <c r="AI381" i="68"/>
  <c r="AK381" i="68" s="1"/>
  <c r="AL381" i="68" s="1"/>
  <c r="AN381" i="68" s="1"/>
  <c r="AI649" i="68"/>
  <c r="AK649" i="68" s="1"/>
  <c r="AL649" i="68" s="1"/>
  <c r="AN649" i="68" s="1"/>
  <c r="AI1523" i="68"/>
  <c r="AK1523" i="68" s="1"/>
  <c r="AL1523" i="68" s="1"/>
  <c r="AN1523" i="68" s="1"/>
  <c r="V12" i="32"/>
  <c r="W12" i="32"/>
  <c r="V25" i="32"/>
  <c r="W25" i="32"/>
  <c r="Y25" i="32"/>
  <c r="X25" i="32"/>
  <c r="U25" i="32"/>
  <c r="W24" i="32"/>
  <c r="X24" i="32"/>
  <c r="V24" i="32"/>
  <c r="Y24" i="32"/>
  <c r="U24" i="32"/>
  <c r="X26" i="32"/>
  <c r="V26" i="32"/>
  <c r="Y26" i="32"/>
  <c r="W26" i="32"/>
  <c r="U26" i="32"/>
  <c r="Y165" i="32"/>
  <c r="U165" i="32"/>
  <c r="U12" i="32"/>
  <c r="Y12" i="32"/>
  <c r="X165" i="32"/>
  <c r="W108" i="32"/>
  <c r="X108" i="32"/>
  <c r="Y108" i="32"/>
  <c r="V165" i="32"/>
  <c r="U108" i="32"/>
  <c r="Y105" i="32"/>
  <c r="X105" i="32"/>
  <c r="U186" i="32"/>
  <c r="U105" i="32"/>
  <c r="Y186" i="32"/>
  <c r="W105" i="32"/>
  <c r="X186" i="32"/>
  <c r="W176" i="32"/>
  <c r="V176" i="32"/>
  <c r="Y176" i="32"/>
  <c r="U176" i="32"/>
  <c r="W174" i="32"/>
  <c r="U174" i="32"/>
  <c r="V174" i="32"/>
  <c r="X174" i="32"/>
  <c r="U163" i="32"/>
  <c r="V163" i="32"/>
  <c r="W163" i="32"/>
  <c r="Y163" i="32"/>
  <c r="L7" i="114"/>
  <c r="K7" i="114"/>
  <c r="V185" i="32"/>
  <c r="Y185" i="32"/>
  <c r="X185" i="32"/>
  <c r="U175" i="32"/>
  <c r="Y187" i="32"/>
  <c r="V164" i="32"/>
  <c r="X175" i="32"/>
  <c r="W172" i="32"/>
  <c r="V187" i="32"/>
  <c r="X164" i="32"/>
  <c r="V175" i="32"/>
  <c r="Y106" i="32"/>
  <c r="Y175" i="32"/>
  <c r="U187" i="32"/>
  <c r="U164" i="32"/>
  <c r="W164" i="32"/>
  <c r="Y184" i="32"/>
  <c r="X184" i="32"/>
  <c r="V184" i="32"/>
  <c r="U183" i="32"/>
  <c r="V172" i="32"/>
  <c r="U172" i="32"/>
  <c r="X172" i="32"/>
  <c r="U189" i="32"/>
  <c r="X189" i="32"/>
  <c r="V106" i="32"/>
  <c r="X106" i="32"/>
  <c r="U106" i="32"/>
  <c r="X183" i="32"/>
  <c r="X17" i="32"/>
  <c r="X90" i="32"/>
  <c r="Y90" i="32"/>
  <c r="U90" i="32"/>
  <c r="V17" i="32"/>
  <c r="W17" i="32"/>
  <c r="W90" i="32"/>
  <c r="Y189" i="32"/>
  <c r="U17" i="32"/>
  <c r="W11" i="32"/>
  <c r="U11" i="32"/>
  <c r="V11" i="32"/>
  <c r="X11" i="32"/>
  <c r="Y11" i="32"/>
  <c r="Y183" i="32"/>
  <c r="V76" i="32"/>
  <c r="U76" i="32"/>
  <c r="X76" i="32"/>
  <c r="Y76" i="32"/>
  <c r="W76" i="32"/>
  <c r="X86" i="32"/>
  <c r="Y86" i="32"/>
  <c r="V86" i="32"/>
  <c r="W86" i="32"/>
  <c r="U86" i="32"/>
  <c r="U15" i="32"/>
  <c r="X15" i="32"/>
  <c r="W104" i="32"/>
  <c r="X116" i="32"/>
  <c r="O387" i="114"/>
  <c r="O389" i="114" s="1"/>
  <c r="W15" i="32"/>
  <c r="V15" i="32"/>
  <c r="W92" i="32"/>
  <c r="X92" i="32"/>
  <c r="U92" i="32"/>
  <c r="V92" i="32"/>
  <c r="Y92" i="32"/>
  <c r="W85" i="32"/>
  <c r="X85" i="32"/>
  <c r="V85" i="32"/>
  <c r="U85" i="32"/>
  <c r="Y85" i="32"/>
  <c r="U161" i="32"/>
  <c r="W161" i="32"/>
  <c r="V161" i="32"/>
  <c r="X161" i="32"/>
  <c r="Y161" i="32"/>
  <c r="X118" i="32"/>
  <c r="Y118" i="32"/>
  <c r="V118" i="32"/>
  <c r="W118" i="32"/>
  <c r="Y104" i="32"/>
  <c r="U104" i="32"/>
  <c r="Y89" i="32"/>
  <c r="X104" i="32"/>
  <c r="P452" i="68"/>
  <c r="U89" i="32"/>
  <c r="W89" i="32"/>
  <c r="V89" i="32"/>
  <c r="W117" i="32"/>
  <c r="M7" i="114"/>
  <c r="O7" i="114" s="1"/>
  <c r="P7" i="114" s="1"/>
  <c r="Q7" i="114" s="1"/>
  <c r="R7" i="114" s="1"/>
  <c r="R583" i="114" s="1"/>
  <c r="W8" i="32"/>
  <c r="U8" i="32"/>
  <c r="V8" i="32"/>
  <c r="X8" i="32"/>
  <c r="Y8" i="32"/>
  <c r="W36" i="32"/>
  <c r="U36" i="32"/>
  <c r="V36" i="32"/>
  <c r="X36" i="32"/>
  <c r="Y36" i="32"/>
  <c r="W19" i="32"/>
  <c r="V19" i="32"/>
  <c r="X19" i="32"/>
  <c r="O46" i="3" s="1"/>
  <c r="U19" i="32"/>
  <c r="Y19" i="32"/>
  <c r="W30" i="32"/>
  <c r="U30" i="32"/>
  <c r="V30" i="32"/>
  <c r="X30" i="32"/>
  <c r="Y30" i="32"/>
  <c r="V23" i="32"/>
  <c r="W23" i="32"/>
  <c r="X23" i="32"/>
  <c r="U23" i="32"/>
  <c r="Y23" i="32"/>
  <c r="V13" i="32"/>
  <c r="W13" i="32"/>
  <c r="X13" i="32"/>
  <c r="U13" i="32"/>
  <c r="Y13" i="32"/>
  <c r="W33" i="32"/>
  <c r="U33" i="32"/>
  <c r="V33" i="32"/>
  <c r="X33" i="32"/>
  <c r="Y33" i="32"/>
  <c r="W22" i="32"/>
  <c r="X22" i="32"/>
  <c r="V22" i="32"/>
  <c r="U22" i="32"/>
  <c r="Y22" i="32"/>
  <c r="U35" i="32"/>
  <c r="W35" i="32"/>
  <c r="V35" i="32"/>
  <c r="X35" i="32"/>
  <c r="Y35" i="32"/>
  <c r="W40" i="32"/>
  <c r="X40" i="32"/>
  <c r="V40" i="32"/>
  <c r="U40" i="32"/>
  <c r="Y40" i="32"/>
  <c r="W39" i="32"/>
  <c r="V39" i="32"/>
  <c r="X39" i="32"/>
  <c r="U39" i="32"/>
  <c r="Y39" i="32"/>
  <c r="V31" i="32"/>
  <c r="X31" i="32"/>
  <c r="U31" i="32"/>
  <c r="W31" i="32"/>
  <c r="Y31" i="32"/>
  <c r="X34" i="32"/>
  <c r="V34" i="32"/>
  <c r="W34" i="32"/>
  <c r="U34" i="32"/>
  <c r="Y34" i="32"/>
  <c r="W84" i="32"/>
  <c r="V84" i="32"/>
  <c r="U84" i="32"/>
  <c r="X84" i="32"/>
  <c r="Y84" i="32"/>
  <c r="V37" i="32"/>
  <c r="W37" i="32"/>
  <c r="U37" i="32"/>
  <c r="X37" i="32"/>
  <c r="Y37" i="32"/>
  <c r="X38" i="32"/>
  <c r="W38" i="32"/>
  <c r="V38" i="32"/>
  <c r="U38" i="32"/>
  <c r="Y38" i="32"/>
  <c r="U32" i="32"/>
  <c r="V32" i="32"/>
  <c r="W32" i="32"/>
  <c r="X32" i="32"/>
  <c r="Y32" i="32"/>
  <c r="X9" i="32"/>
  <c r="V9" i="32"/>
  <c r="U9" i="32"/>
  <c r="W9" i="32"/>
  <c r="Y9" i="32"/>
  <c r="X21" i="32"/>
  <c r="V21" i="32"/>
  <c r="U21" i="32"/>
  <c r="W21" i="32"/>
  <c r="Y21" i="32"/>
  <c r="V29" i="32"/>
  <c r="W29" i="32"/>
  <c r="X29" i="32"/>
  <c r="U29" i="32"/>
  <c r="Y29" i="32"/>
  <c r="X100" i="32"/>
  <c r="S7" i="114"/>
  <c r="T7" i="114" s="1"/>
  <c r="X7" i="114" s="1"/>
  <c r="X129" i="32"/>
  <c r="Y129" i="32"/>
  <c r="W129" i="32"/>
  <c r="U129" i="32"/>
  <c r="O452" i="68"/>
  <c r="O615" i="68"/>
  <c r="O704" i="115"/>
  <c r="O723" i="115" s="1"/>
  <c r="O725" i="115" s="1"/>
  <c r="Y100" i="32"/>
  <c r="V87" i="32"/>
  <c r="W87" i="32" s="1"/>
  <c r="X87" i="32" s="1"/>
  <c r="W128" i="32"/>
  <c r="V128" i="32"/>
  <c r="U128" i="32"/>
  <c r="X119" i="32"/>
  <c r="V119" i="32"/>
  <c r="U119" i="32"/>
  <c r="V117" i="32"/>
  <c r="Y119" i="32"/>
  <c r="U117" i="32"/>
  <c r="Y117" i="32"/>
  <c r="O228" i="68"/>
  <c r="U101" i="32"/>
  <c r="U100" i="32"/>
  <c r="V100" i="32"/>
  <c r="V10" i="32"/>
  <c r="U10" i="32"/>
  <c r="W10" i="32"/>
  <c r="X10" i="32"/>
  <c r="Y10" i="32"/>
  <c r="V20" i="32"/>
  <c r="U20" i="32"/>
  <c r="W20" i="32"/>
  <c r="X20" i="32"/>
  <c r="Y20" i="32"/>
  <c r="V83" i="32"/>
  <c r="U83" i="32"/>
  <c r="W83" i="32"/>
  <c r="X83" i="32"/>
  <c r="Y83" i="32"/>
  <c r="W16" i="32"/>
  <c r="V16" i="32"/>
  <c r="U16" i="32"/>
  <c r="X16" i="32"/>
  <c r="Y16" i="32"/>
  <c r="V82" i="32"/>
  <c r="W82" i="32"/>
  <c r="U82" i="32"/>
  <c r="X82" i="32"/>
  <c r="Y82" i="32"/>
  <c r="O1239" i="68"/>
  <c r="Q265" i="68"/>
  <c r="M548" i="68"/>
  <c r="O752" i="68"/>
  <c r="Q671" i="68"/>
  <c r="J570" i="68"/>
  <c r="J573" i="68"/>
  <c r="J571" i="68"/>
  <c r="O543" i="68"/>
  <c r="O550" i="68"/>
  <c r="P550" i="68" s="1"/>
  <c r="M558" i="68"/>
  <c r="V558" i="68" s="1"/>
  <c r="M552" i="68"/>
  <c r="O547" i="68"/>
  <c r="P547" i="68" s="1"/>
  <c r="J574" i="68"/>
  <c r="M555" i="68"/>
  <c r="V555" i="68" s="1"/>
  <c r="M553" i="68"/>
  <c r="M556" i="68"/>
  <c r="V556" i="68" s="1"/>
  <c r="O546" i="68"/>
  <c r="P546" i="68" s="1"/>
  <c r="J572" i="68"/>
  <c r="O545" i="68"/>
  <c r="P545" i="68" s="1"/>
  <c r="M565" i="68"/>
  <c r="P128" i="68"/>
  <c r="Q128" i="68"/>
  <c r="J176" i="115"/>
  <c r="R667" i="68"/>
  <c r="R251" i="68"/>
  <c r="R248" i="68"/>
  <c r="R245" i="68"/>
  <c r="R396" i="68"/>
  <c r="R660" i="68"/>
  <c r="R413" i="68"/>
  <c r="R411" i="68"/>
  <c r="R414" i="68"/>
  <c r="R400" i="68"/>
  <c r="R750" i="68"/>
  <c r="P187" i="115"/>
  <c r="R241" i="114"/>
  <c r="O133" i="68"/>
  <c r="P154" i="68"/>
  <c r="J513" i="114"/>
  <c r="J511" i="114"/>
  <c r="J514" i="114"/>
  <c r="M68" i="114"/>
  <c r="J509" i="114"/>
  <c r="J517" i="114" s="1"/>
  <c r="J512" i="114"/>
  <c r="J160" i="115"/>
  <c r="M174" i="115"/>
  <c r="J188" i="115"/>
  <c r="M155" i="115"/>
  <c r="M163" i="115"/>
  <c r="M171" i="115"/>
  <c r="J185" i="115"/>
  <c r="J189" i="115"/>
  <c r="M179" i="115"/>
  <c r="M151" i="115"/>
  <c r="M157" i="115"/>
  <c r="M178" i="115"/>
  <c r="J184" i="115"/>
  <c r="M156" i="115"/>
  <c r="M169" i="115"/>
  <c r="M173" i="115"/>
  <c r="M162" i="115"/>
  <c r="M164" i="115"/>
  <c r="M175" i="115"/>
  <c r="M181" i="115"/>
  <c r="M172" i="115"/>
  <c r="M180" i="115"/>
  <c r="M168" i="115"/>
  <c r="M165" i="115"/>
  <c r="M159" i="115"/>
  <c r="M154" i="115"/>
  <c r="M167" i="115"/>
  <c r="M166" i="115"/>
  <c r="J186" i="115"/>
  <c r="M170" i="115"/>
  <c r="M182" i="115"/>
  <c r="M153" i="115"/>
  <c r="M158" i="115"/>
  <c r="M152" i="115"/>
  <c r="O787" i="68"/>
  <c r="M788" i="68"/>
  <c r="M794" i="68" s="1"/>
  <c r="M791" i="68"/>
  <c r="M789" i="68"/>
  <c r="M790" i="68"/>
  <c r="V790" i="68" s="1"/>
  <c r="M793" i="68"/>
  <c r="J801" i="68"/>
  <c r="J802" i="68"/>
  <c r="J800" i="68"/>
  <c r="J798" i="68"/>
  <c r="J803" i="68" s="1"/>
  <c r="P684" i="68"/>
  <c r="P685" i="68" s="1"/>
  <c r="W116" i="32"/>
  <c r="V116" i="32"/>
  <c r="U116" i="32"/>
  <c r="R581" i="115"/>
  <c r="P956" i="115"/>
  <c r="Q633" i="68"/>
  <c r="O123" i="114"/>
  <c r="O115" i="115"/>
  <c r="O754" i="114"/>
  <c r="M687" i="68"/>
  <c r="P673" i="68"/>
  <c r="Q681" i="68"/>
  <c r="Q684" i="68"/>
  <c r="Q685" i="68" s="1"/>
  <c r="O671" i="114"/>
  <c r="P1712" i="68"/>
  <c r="O360" i="68"/>
  <c r="O80" i="115"/>
  <c r="O533" i="68"/>
  <c r="O1779" i="68"/>
  <c r="X128" i="32"/>
  <c r="O184" i="68"/>
  <c r="O1160" i="68"/>
  <c r="P495" i="114"/>
  <c r="P1043" i="115"/>
  <c r="P1045" i="115" s="1"/>
  <c r="Q1043" i="115"/>
  <c r="Q1045" i="115" s="1"/>
  <c r="O422" i="115"/>
  <c r="O1355" i="68"/>
  <c r="P377" i="114"/>
  <c r="O928" i="115"/>
  <c r="P1728" i="68"/>
  <c r="O450" i="114"/>
  <c r="Q262" i="68"/>
  <c r="P200" i="114"/>
  <c r="O555" i="114"/>
  <c r="M28" i="6"/>
  <c r="R450" i="68"/>
  <c r="O311" i="114"/>
  <c r="Q266" i="68"/>
  <c r="V101" i="32"/>
  <c r="Y101" i="32"/>
  <c r="X101" i="32"/>
  <c r="O717" i="68"/>
  <c r="Q246" i="68"/>
  <c r="O1598" i="68"/>
  <c r="O731" i="114"/>
  <c r="O330" i="68"/>
  <c r="O1050" i="68"/>
  <c r="O481" i="114"/>
  <c r="O613" i="114"/>
  <c r="O615" i="114" s="1"/>
  <c r="Q263" i="68"/>
  <c r="P900" i="115"/>
  <c r="Q541" i="68"/>
  <c r="P283" i="115"/>
  <c r="O1930" i="68"/>
  <c r="O1002" i="115"/>
  <c r="F26" i="6"/>
  <c r="P25" i="6"/>
  <c r="Q249" i="68"/>
  <c r="O208" i="68"/>
  <c r="O315" i="68"/>
  <c r="O783" i="68"/>
  <c r="P1678" i="68"/>
  <c r="O921" i="68"/>
  <c r="O156" i="68"/>
  <c r="Q241" i="68"/>
  <c r="O1570" i="68"/>
  <c r="O900" i="115"/>
  <c r="Q236" i="68"/>
  <c r="O296" i="115"/>
  <c r="O1263" i="68"/>
  <c r="P1140" i="68"/>
  <c r="O251" i="114"/>
  <c r="O1444" i="68"/>
  <c r="P357" i="114"/>
  <c r="O583" i="115"/>
  <c r="P1379" i="68"/>
  <c r="O877" i="68"/>
  <c r="O1396" i="68"/>
  <c r="O487" i="68"/>
  <c r="O1006" i="68"/>
  <c r="O249" i="114"/>
  <c r="O66" i="114"/>
  <c r="O866" i="115"/>
  <c r="O286" i="114"/>
  <c r="O1736" i="68"/>
  <c r="O1646" i="68"/>
  <c r="O1213" i="68"/>
  <c r="O1815" i="68"/>
  <c r="O824" i="115"/>
  <c r="O1686" i="68"/>
  <c r="O146" i="115"/>
  <c r="O961" i="68"/>
  <c r="M725" i="115"/>
  <c r="R475" i="115"/>
  <c r="P764" i="68"/>
  <c r="P783" i="68" s="1"/>
  <c r="P1172" i="68"/>
  <c r="P485" i="68"/>
  <c r="P1582" i="68"/>
  <c r="O390" i="68"/>
  <c r="P378" i="68"/>
  <c r="P344" i="114"/>
  <c r="P608" i="114"/>
  <c r="Q41" i="114"/>
  <c r="Q479" i="114"/>
  <c r="Q420" i="114"/>
  <c r="Q549" i="114"/>
  <c r="Q64" i="114"/>
  <c r="Q729" i="114"/>
  <c r="Q309" i="114"/>
  <c r="Q298" i="114"/>
  <c r="Q611" i="114"/>
  <c r="Q344" i="114"/>
  <c r="Q227" i="114"/>
  <c r="O970" i="115"/>
  <c r="O252" i="68"/>
  <c r="P244" i="68"/>
  <c r="P252" i="68" s="1"/>
  <c r="P467" i="68"/>
  <c r="P1791" i="68"/>
  <c r="P1815" i="68" s="1"/>
  <c r="P448" i="114"/>
  <c r="P22" i="114"/>
  <c r="Q234" i="115"/>
  <c r="Q222" i="115"/>
  <c r="Q523" i="115"/>
  <c r="Q113" i="115"/>
  <c r="Q926" i="115"/>
  <c r="Q881" i="115"/>
  <c r="Q507" i="115"/>
  <c r="Q1034" i="115"/>
  <c r="Q1036" i="115"/>
  <c r="Q956" i="115"/>
  <c r="Q943" i="115"/>
  <c r="Q914" i="115"/>
  <c r="Q144" i="115"/>
  <c r="P1036" i="115"/>
  <c r="P394" i="115"/>
  <c r="P323" i="68"/>
  <c r="P330" i="68" s="1"/>
  <c r="P592" i="68"/>
  <c r="P1191" i="68"/>
  <c r="P144" i="68"/>
  <c r="P961" i="68"/>
  <c r="P95" i="114"/>
  <c r="P598" i="114"/>
  <c r="P364" i="114"/>
  <c r="P267" i="114"/>
  <c r="P59" i="114"/>
  <c r="Q286" i="68"/>
  <c r="Q144" i="68"/>
  <c r="Q173" i="68"/>
  <c r="Q945" i="68"/>
  <c r="Q1897" i="68"/>
  <c r="Q1191" i="68"/>
  <c r="Q1728" i="68"/>
  <c r="Q268" i="68"/>
  <c r="Q256" i="68"/>
  <c r="Q670" i="68"/>
  <c r="Q610" i="68"/>
  <c r="Q1700" i="68"/>
  <c r="Q310" i="68"/>
  <c r="Q1749" i="68"/>
  <c r="Q1763" i="68"/>
  <c r="Q239" i="68"/>
  <c r="Q372" i="68"/>
  <c r="Q374" i="68" s="1"/>
  <c r="Q258" i="68"/>
  <c r="Q934" i="68"/>
  <c r="Q392" i="68"/>
  <c r="Q402" i="68" s="1"/>
  <c r="Q348" i="68"/>
  <c r="Q1257" i="68"/>
  <c r="Q1347" i="68"/>
  <c r="Q1172" i="68"/>
  <c r="Q1450" i="68"/>
  <c r="Q1452" i="68" s="1"/>
  <c r="Q116" i="68"/>
  <c r="Q244" i="68"/>
  <c r="Q264" i="68"/>
  <c r="Q1912" i="68"/>
  <c r="Q1629" i="68"/>
  <c r="Q919" i="68"/>
  <c r="Q1394" i="68"/>
  <c r="Q778" i="68"/>
  <c r="O548" i="115"/>
  <c r="P128" i="115"/>
  <c r="P237" i="115"/>
  <c r="P64" i="115"/>
  <c r="P649" i="115"/>
  <c r="P1629" i="68"/>
  <c r="P1347" i="68"/>
  <c r="P472" i="68"/>
  <c r="O242" i="68"/>
  <c r="P232" i="68"/>
  <c r="P242" i="68" s="1"/>
  <c r="P1700" i="68"/>
  <c r="P1640" i="68"/>
  <c r="P669" i="114"/>
  <c r="P227" i="114"/>
  <c r="M422" i="115"/>
  <c r="P729" i="114"/>
  <c r="P54" i="115"/>
  <c r="P689" i="115"/>
  <c r="P919" i="68"/>
  <c r="P904" i="68"/>
  <c r="P344" i="68"/>
  <c r="P443" i="114"/>
  <c r="P627" i="114"/>
  <c r="O643" i="114"/>
  <c r="O645" i="114" s="1"/>
  <c r="P420" i="114"/>
  <c r="P406" i="114"/>
  <c r="P351" i="114"/>
  <c r="P382" i="114"/>
  <c r="P385" i="114" s="1"/>
  <c r="Q553" i="114"/>
  <c r="Q267" i="114"/>
  <c r="Q638" i="114"/>
  <c r="Q641" i="114" s="1"/>
  <c r="Q465" i="114"/>
  <c r="Q659" i="114"/>
  <c r="Q448" i="114"/>
  <c r="Q669" i="114"/>
  <c r="Q247" i="114"/>
  <c r="Q377" i="114"/>
  <c r="Q443" i="114"/>
  <c r="Q173" i="114"/>
  <c r="Q741" i="114"/>
  <c r="Q337" i="114"/>
  <c r="Q492" i="114"/>
  <c r="P702" i="115"/>
  <c r="P78" i="115"/>
  <c r="P182" i="68"/>
  <c r="P184" i="68" s="1"/>
  <c r="P1530" i="68"/>
  <c r="P715" i="68"/>
  <c r="P1423" i="68"/>
  <c r="P875" i="68"/>
  <c r="P1434" i="68"/>
  <c r="P752" i="114"/>
  <c r="P659" i="114"/>
  <c r="P284" i="114"/>
  <c r="P611" i="114"/>
  <c r="Q252" i="115"/>
  <c r="Q673" i="115"/>
  <c r="Q289" i="115"/>
  <c r="Q784" i="115"/>
  <c r="Q649" i="115"/>
  <c r="Q93" i="115"/>
  <c r="Q475" i="115"/>
  <c r="Q428" i="115"/>
  <c r="Q659" i="115"/>
  <c r="Q349" i="115"/>
  <c r="Q205" i="115"/>
  <c r="Q102" i="115"/>
  <c r="Q575" i="115"/>
  <c r="Q568" i="115"/>
  <c r="Q886" i="115"/>
  <c r="Q985" i="115"/>
  <c r="Q894" i="115"/>
  <c r="P659" i="115"/>
  <c r="P38" i="115"/>
  <c r="P819" i="115"/>
  <c r="P415" i="115"/>
  <c r="P420" i="115" s="1"/>
  <c r="P1034" i="115"/>
  <c r="P1588" i="68"/>
  <c r="P1353" i="68"/>
  <c r="P658" i="68"/>
  <c r="P668" i="68" s="1"/>
  <c r="O668" i="68"/>
  <c r="P845" i="68"/>
  <c r="P1749" i="68"/>
  <c r="P1779" i="68" s="1"/>
  <c r="P1155" i="68"/>
  <c r="P1370" i="68"/>
  <c r="P392" i="68"/>
  <c r="P402" i="68" s="1"/>
  <c r="O402" i="68"/>
  <c r="P173" i="114"/>
  <c r="Q313" i="68"/>
  <c r="Q299" i="68"/>
  <c r="Q1155" i="68"/>
  <c r="Q226" i="68"/>
  <c r="Q875" i="68"/>
  <c r="Q1791" i="68"/>
  <c r="Q1004" i="68"/>
  <c r="Q1204" i="68"/>
  <c r="Q1774" i="68"/>
  <c r="Q747" i="68"/>
  <c r="Q1612" i="68"/>
  <c r="Q1712" i="68"/>
  <c r="Q344" i="68"/>
  <c r="Q390" i="68"/>
  <c r="Q858" i="68"/>
  <c r="Q521" i="68"/>
  <c r="Q639" i="68"/>
  <c r="Q641" i="68" s="1"/>
  <c r="Q678" i="68"/>
  <c r="Q1588" i="68"/>
  <c r="Q1423" i="68"/>
  <c r="Q1442" i="68"/>
  <c r="Q238" i="68"/>
  <c r="Q255" i="68"/>
  <c r="Q206" i="68"/>
  <c r="Q1341" i="68"/>
  <c r="Q1806" i="68"/>
  <c r="Q485" i="68"/>
  <c r="Q259" i="68"/>
  <c r="Q702" i="68"/>
  <c r="Q472" i="68"/>
  <c r="Q592" i="68"/>
  <c r="Q646" i="68"/>
  <c r="Q656" i="68" s="1"/>
  <c r="Q1408" i="68"/>
  <c r="Q738" i="68"/>
  <c r="Q1797" i="68"/>
  <c r="Q240" i="68"/>
  <c r="P144" i="115"/>
  <c r="P548" i="115"/>
  <c r="P673" i="115"/>
  <c r="P928" i="115"/>
  <c r="P738" i="68"/>
  <c r="P610" i="68"/>
  <c r="P989" i="68"/>
  <c r="P702" i="68"/>
  <c r="P1612" i="68"/>
  <c r="P916" i="68"/>
  <c r="P53" i="114"/>
  <c r="P553" i="114"/>
  <c r="P430" i="114"/>
  <c r="P943" i="115"/>
  <c r="P137" i="115"/>
  <c r="P428" i="115"/>
  <c r="P430" i="115" s="1"/>
  <c r="P234" i="115"/>
  <c r="P731" i="68"/>
  <c r="N64" i="6"/>
  <c r="P170" i="114"/>
  <c r="P64" i="114"/>
  <c r="P638" i="114"/>
  <c r="P641" i="114" s="1"/>
  <c r="P643" i="114" s="1"/>
  <c r="M389" i="114"/>
  <c r="Q235" i="114"/>
  <c r="Q689" i="114"/>
  <c r="Q284" i="114"/>
  <c r="Q48" i="114"/>
  <c r="Q53" i="114"/>
  <c r="Q472" i="114"/>
  <c r="Q430" i="114"/>
  <c r="Q627" i="114"/>
  <c r="Q488" i="114"/>
  <c r="Q608" i="114"/>
  <c r="Q752" i="114"/>
  <c r="Q364" i="114"/>
  <c r="Q121" i="114"/>
  <c r="O239" i="115"/>
  <c r="P294" i="115"/>
  <c r="P537" i="68"/>
  <c r="P1596" i="68"/>
  <c r="P1341" i="68"/>
  <c r="M1047" i="115"/>
  <c r="P247" i="114"/>
  <c r="P481" i="114"/>
  <c r="P48" i="114"/>
  <c r="Q721" i="115"/>
  <c r="Q377" i="115"/>
  <c r="Q702" i="115"/>
  <c r="Q917" i="115"/>
  <c r="Q187" i="115"/>
  <c r="Q237" i="115"/>
  <c r="Q537" i="115"/>
  <c r="Q1000" i="115"/>
  <c r="Q394" i="115"/>
  <c r="Q542" i="115"/>
  <c r="Q852" i="115"/>
  <c r="Q839" i="115"/>
  <c r="Q819" i="115"/>
  <c r="Q38" i="115"/>
  <c r="P784" i="115"/>
  <c r="P1408" i="68"/>
  <c r="P1668" i="68"/>
  <c r="P598" i="68"/>
  <c r="P646" i="68"/>
  <c r="O656" i="68"/>
  <c r="O417" i="68"/>
  <c r="P404" i="68"/>
  <c r="P417" i="68" s="1"/>
  <c r="P329" i="114"/>
  <c r="P549" i="114"/>
  <c r="P298" i="114"/>
  <c r="Q182" i="68"/>
  <c r="Q254" i="68"/>
  <c r="Q537" i="68"/>
  <c r="Q467" i="68"/>
  <c r="Q916" i="68"/>
  <c r="Q989" i="68"/>
  <c r="Q1048" i="68"/>
  <c r="Q1562" i="68"/>
  <c r="Q1925" i="68"/>
  <c r="Q1224" i="68"/>
  <c r="Q959" i="68"/>
  <c r="Q525" i="68"/>
  <c r="Q707" i="68"/>
  <c r="Q1439" i="68"/>
  <c r="Q1387" i="68"/>
  <c r="Q1129" i="68"/>
  <c r="Q111" i="68"/>
  <c r="Q232" i="68"/>
  <c r="Q217" i="68"/>
  <c r="Q1379" i="68"/>
  <c r="Q531" i="68"/>
  <c r="Q168" i="68"/>
  <c r="Q1370" i="68"/>
  <c r="Q1544" i="68"/>
  <c r="Q1668" i="68"/>
  <c r="Q149" i="68"/>
  <c r="Q247" i="68"/>
  <c r="Q1915" i="68"/>
  <c r="Q1813" i="68"/>
  <c r="Q1208" i="68"/>
  <c r="Q1237" i="68"/>
  <c r="Q1260" i="68"/>
  <c r="Q1684" i="68"/>
  <c r="Q764" i="68"/>
  <c r="P93" i="115"/>
  <c r="P113" i="115"/>
  <c r="P222" i="115"/>
  <c r="P768" i="115"/>
  <c r="P1149" i="115" s="1"/>
  <c r="P1897" i="68"/>
  <c r="P1930" i="68" s="1"/>
  <c r="P1129" i="68"/>
  <c r="P670" i="68"/>
  <c r="O682" i="68"/>
  <c r="P313" i="68"/>
  <c r="P315" i="68" s="1"/>
  <c r="P1387" i="68"/>
  <c r="P111" i="68"/>
  <c r="P1204" i="68"/>
  <c r="O495" i="114"/>
  <c r="P741" i="114"/>
  <c r="R382" i="68"/>
  <c r="R398" i="68"/>
  <c r="R394" i="68"/>
  <c r="R393" i="68"/>
  <c r="R652" i="68"/>
  <c r="R654" i="68"/>
  <c r="R539" i="68"/>
  <c r="R673" i="68"/>
  <c r="R405" i="68"/>
  <c r="R672" i="68"/>
  <c r="R662" i="68"/>
  <c r="R379" i="68"/>
  <c r="R659" i="68"/>
  <c r="R399" i="68"/>
  <c r="R408" i="68"/>
  <c r="R389" i="68"/>
  <c r="R409" i="68"/>
  <c r="R663" i="68"/>
  <c r="R415" i="68"/>
  <c r="R653" i="68"/>
  <c r="R661" i="68"/>
  <c r="R383" i="68"/>
  <c r="R648" i="68"/>
  <c r="R650" i="68"/>
  <c r="R412" i="68"/>
  <c r="R10" i="68"/>
  <c r="R406" i="68"/>
  <c r="R679" i="68"/>
  <c r="R407" i="68"/>
  <c r="R676" i="68"/>
  <c r="R237" i="68"/>
  <c r="R416" i="68"/>
  <c r="R664" i="68"/>
  <c r="R655" i="68"/>
  <c r="R674" i="68"/>
  <c r="R651" i="68"/>
  <c r="R677" i="68"/>
  <c r="R538" i="68"/>
  <c r="R386" i="68"/>
  <c r="R387" i="68"/>
  <c r="R380" i="68"/>
  <c r="R397" i="68"/>
  <c r="R540" i="68"/>
  <c r="R665" i="68"/>
  <c r="R388" i="68"/>
  <c r="R235" i="68"/>
  <c r="P289" i="115"/>
  <c r="P1263" i="68"/>
  <c r="P707" i="68"/>
  <c r="P121" i="114"/>
  <c r="P337" i="114"/>
  <c r="P689" i="114"/>
  <c r="Q170" i="114"/>
  <c r="Q200" i="114"/>
  <c r="Q59" i="114"/>
  <c r="Q22" i="114"/>
  <c r="Q357" i="114"/>
  <c r="Q351" i="114"/>
  <c r="Q406" i="114"/>
  <c r="Q382" i="114"/>
  <c r="Q385" i="114" s="1"/>
  <c r="Q329" i="114"/>
  <c r="Q95" i="114"/>
  <c r="P102" i="115"/>
  <c r="P377" i="115"/>
  <c r="P205" i="115"/>
  <c r="P1002" i="115"/>
  <c r="P866" i="115"/>
  <c r="M274" i="68"/>
  <c r="O269" i="68"/>
  <c r="P254" i="68"/>
  <c r="P269" i="68" s="1"/>
  <c r="P116" i="68"/>
  <c r="P975" i="68"/>
  <c r="P858" i="68"/>
  <c r="V641" i="114"/>
  <c r="M643" i="114"/>
  <c r="P309" i="114"/>
  <c r="P41" i="114"/>
  <c r="Q54" i="115"/>
  <c r="Q283" i="115"/>
  <c r="Q768" i="115"/>
  <c r="Q1149" i="115" s="1"/>
  <c r="Q995" i="115"/>
  <c r="Q415" i="115"/>
  <c r="Q272" i="115"/>
  <c r="Q407" i="115"/>
  <c r="Q137" i="115"/>
  <c r="Q294" i="115"/>
  <c r="Q78" i="115"/>
  <c r="Q794" i="115"/>
  <c r="Q689" i="115"/>
  <c r="Q64" i="115"/>
  <c r="Q860" i="115"/>
  <c r="Q864" i="115" s="1"/>
  <c r="Q555" i="115"/>
  <c r="Q128" i="115"/>
  <c r="Q965" i="115"/>
  <c r="P575" i="115"/>
  <c r="P583" i="115" s="1"/>
  <c r="P794" i="115"/>
  <c r="P407" i="115"/>
  <c r="P521" i="68"/>
  <c r="P533" i="68" s="1"/>
  <c r="P1021" i="68"/>
  <c r="P217" i="68"/>
  <c r="P228" i="68" s="1"/>
  <c r="P358" i="68"/>
  <c r="P348" i="68"/>
  <c r="Q1582" i="68"/>
  <c r="Q715" i="68"/>
  <c r="Q328" i="68"/>
  <c r="Q845" i="68"/>
  <c r="Q1033" i="68"/>
  <c r="Q323" i="68"/>
  <c r="Q975" i="68"/>
  <c r="Q1353" i="68"/>
  <c r="Q197" i="68"/>
  <c r="Q1021" i="68"/>
  <c r="Q1530" i="68"/>
  <c r="Q1659" i="68"/>
  <c r="Q598" i="68"/>
  <c r="Q658" i="68"/>
  <c r="Q257" i="68"/>
  <c r="Q154" i="68"/>
  <c r="Q194" i="68"/>
  <c r="Q731" i="68"/>
  <c r="Q404" i="68"/>
  <c r="Q417" i="68" s="1"/>
  <c r="Q358" i="68"/>
  <c r="Q544" i="68"/>
  <c r="Q1640" i="68"/>
  <c r="Q447" i="68"/>
  <c r="Q452" i="68" s="1"/>
  <c r="Q1250" i="68"/>
  <c r="Q1596" i="68"/>
  <c r="Q904" i="68"/>
  <c r="Q547" i="68"/>
  <c r="Q1234" i="68"/>
  <c r="Q890" i="68"/>
  <c r="Q233" i="68"/>
  <c r="Q250" i="68"/>
  <c r="Q1140" i="68"/>
  <c r="Q1434" i="68"/>
  <c r="Q234" i="68"/>
  <c r="Q1678" i="68"/>
  <c r="Q771" i="68"/>
  <c r="P272" i="115"/>
  <c r="M419" i="68"/>
  <c r="P1239" i="68"/>
  <c r="P194" i="68"/>
  <c r="P208" i="68" s="1"/>
  <c r="P372" i="68"/>
  <c r="P374" i="68" s="1"/>
  <c r="P1048" i="68"/>
  <c r="P747" i="68"/>
  <c r="M548" i="115"/>
  <c r="A11" i="6"/>
  <c r="A15" i="9" s="1"/>
  <c r="AM23" i="6"/>
  <c r="C137" i="6"/>
  <c r="I41" i="6"/>
  <c r="B25" i="6"/>
  <c r="B29" i="9" s="1"/>
  <c r="A24" i="6"/>
  <c r="A28" i="9" s="1"/>
  <c r="V102" i="32"/>
  <c r="U102" i="32"/>
  <c r="Y102" i="32"/>
  <c r="W102" i="32"/>
  <c r="X102" i="32"/>
  <c r="M25" i="9"/>
  <c r="Y177" i="32" l="1"/>
  <c r="V190" i="32"/>
  <c r="U190" i="32"/>
  <c r="L121" i="3" s="1"/>
  <c r="L122" i="3" s="1"/>
  <c r="L123" i="3" s="1"/>
  <c r="W52" i="3" s="1"/>
  <c r="X190" i="32"/>
  <c r="Y190" i="32"/>
  <c r="V162" i="32"/>
  <c r="V166" i="32" s="1"/>
  <c r="W177" i="32"/>
  <c r="X177" i="32"/>
  <c r="W162" i="32"/>
  <c r="W166" i="32" s="1"/>
  <c r="X162" i="32"/>
  <c r="X166" i="32" s="1"/>
  <c r="U162" i="32"/>
  <c r="U166" i="32" s="1"/>
  <c r="L105" i="3" s="1"/>
  <c r="U177" i="32"/>
  <c r="L113" i="3" s="1"/>
  <c r="V177" i="32"/>
  <c r="H323" i="103"/>
  <c r="H325" i="103" s="1"/>
  <c r="H330" i="103" s="1"/>
  <c r="H331" i="103" s="1"/>
  <c r="H335" i="103" s="1"/>
  <c r="H336" i="103" s="1"/>
  <c r="H337" i="103" s="1"/>
  <c r="H342" i="103" s="1"/>
  <c r="H343" i="103" s="1"/>
  <c r="H344" i="103" s="1"/>
  <c r="H347" i="103" s="1"/>
  <c r="H353" i="103" s="1"/>
  <c r="H354" i="103" s="1"/>
  <c r="H355" i="103" s="1"/>
  <c r="H356" i="103" s="1"/>
  <c r="H357" i="103" s="1"/>
  <c r="H358" i="103" s="1"/>
  <c r="H360" i="103" s="1"/>
  <c r="H361" i="103" s="1"/>
  <c r="H362" i="103" s="1"/>
  <c r="H363" i="103" s="1"/>
  <c r="H364" i="103" s="1"/>
  <c r="H365" i="103" s="1"/>
  <c r="H378" i="103" s="1"/>
  <c r="H382" i="103" s="1"/>
  <c r="H384" i="103" s="1"/>
  <c r="H391" i="103" s="1"/>
  <c r="H397" i="103" s="1"/>
  <c r="H399" i="103" s="1"/>
  <c r="H315" i="103"/>
  <c r="Y162" i="32"/>
  <c r="Y166" i="32" s="1"/>
  <c r="AH316" i="114"/>
  <c r="AI331" i="114"/>
  <c r="AF13" i="114"/>
  <c r="AH34" i="114"/>
  <c r="AN24" i="114"/>
  <c r="AK736" i="114"/>
  <c r="AH394" i="114"/>
  <c r="AI650" i="114"/>
  <c r="AI620" i="114"/>
  <c r="AK620" i="114" s="1"/>
  <c r="AL620" i="114" s="1"/>
  <c r="AN620" i="114" s="1"/>
  <c r="AF651" i="114"/>
  <c r="K82" i="3"/>
  <c r="AN619" i="114"/>
  <c r="AE629" i="114"/>
  <c r="AC643" i="114"/>
  <c r="AN559" i="114"/>
  <c r="AL78" i="68"/>
  <c r="AN78" i="68" s="1"/>
  <c r="E125" i="103"/>
  <c r="AC80" i="68"/>
  <c r="AE80" i="68" s="1"/>
  <c r="AF80" i="68" s="1"/>
  <c r="AH80" i="68" s="1"/>
  <c r="AI80" i="68" s="1"/>
  <c r="AK80" i="68" s="1"/>
  <c r="AL80" i="68" s="1"/>
  <c r="AN80" i="68" s="1"/>
  <c r="H82" i="103"/>
  <c r="H129" i="103"/>
  <c r="G250" i="103"/>
  <c r="AI332" i="114"/>
  <c r="AK332" i="114" s="1"/>
  <c r="AL332" i="114" s="1"/>
  <c r="AN332" i="114" s="1"/>
  <c r="AI26" i="114"/>
  <c r="AI426" i="68"/>
  <c r="AK426" i="68" s="1"/>
  <c r="AL426" i="68" s="1"/>
  <c r="AN426" i="68" s="1"/>
  <c r="AI281" i="68"/>
  <c r="AK281" i="68" s="1"/>
  <c r="AL281" i="68" s="1"/>
  <c r="AN281" i="68" s="1"/>
  <c r="AI1524" i="68"/>
  <c r="AK1524" i="68" s="1"/>
  <c r="AL1524" i="68" s="1"/>
  <c r="AN1524" i="68" s="1"/>
  <c r="E106" i="103"/>
  <c r="E107" i="103" s="1"/>
  <c r="E108" i="103" s="1"/>
  <c r="E109" i="103" s="1"/>
  <c r="E110" i="103" s="1"/>
  <c r="E111" i="103" s="1"/>
  <c r="E112" i="103" s="1"/>
  <c r="E113" i="103" s="1"/>
  <c r="E114" i="103" s="1"/>
  <c r="E115" i="103" s="1"/>
  <c r="E116" i="103" s="1"/>
  <c r="E117" i="103" s="1"/>
  <c r="E118" i="103" s="1"/>
  <c r="E119" i="103" s="1"/>
  <c r="E120" i="103" s="1"/>
  <c r="E121" i="103" s="1"/>
  <c r="E122" i="103" s="1"/>
  <c r="AC14" i="114"/>
  <c r="E267" i="103"/>
  <c r="E268" i="103" s="1"/>
  <c r="AC576" i="114"/>
  <c r="AE576" i="114" s="1"/>
  <c r="AF576" i="114" s="1"/>
  <c r="AH576" i="114" s="1"/>
  <c r="AI576" i="114" s="1"/>
  <c r="AK576" i="114" s="1"/>
  <c r="AL576" i="114" s="1"/>
  <c r="AN576" i="114" s="1"/>
  <c r="AC662" i="114"/>
  <c r="AE662" i="114" s="1"/>
  <c r="AF662" i="114" s="1"/>
  <c r="AH662" i="114" s="1"/>
  <c r="AI662" i="114" s="1"/>
  <c r="AK662" i="114" s="1"/>
  <c r="AL662" i="114" s="1"/>
  <c r="AN662" i="114" s="1"/>
  <c r="AC346" i="114"/>
  <c r="AE346" i="114" s="1"/>
  <c r="AF346" i="114" s="1"/>
  <c r="AH346" i="114" s="1"/>
  <c r="AI346" i="114" s="1"/>
  <c r="AK346" i="114" s="1"/>
  <c r="AL346" i="114" s="1"/>
  <c r="AN346" i="114" s="1"/>
  <c r="AC340" i="114"/>
  <c r="AC661" i="114"/>
  <c r="AC361" i="114"/>
  <c r="AE361" i="114" s="1"/>
  <c r="AF361" i="114" s="1"/>
  <c r="AH361" i="114" s="1"/>
  <c r="AI361" i="114" s="1"/>
  <c r="AK361" i="114" s="1"/>
  <c r="AL361" i="114" s="1"/>
  <c r="AN361" i="114" s="1"/>
  <c r="AC44" i="114"/>
  <c r="AE44" i="114" s="1"/>
  <c r="AF44" i="114" s="1"/>
  <c r="AH44" i="114" s="1"/>
  <c r="AI44" i="114" s="1"/>
  <c r="AK44" i="114" s="1"/>
  <c r="AL44" i="114" s="1"/>
  <c r="AN44" i="114" s="1"/>
  <c r="AC444" i="68"/>
  <c r="AE444" i="68" s="1"/>
  <c r="AF444" i="68" s="1"/>
  <c r="AH444" i="68" s="1"/>
  <c r="AI444" i="68" s="1"/>
  <c r="AK444" i="68" s="1"/>
  <c r="AL444" i="68" s="1"/>
  <c r="AN444" i="68" s="1"/>
  <c r="AC1922" i="68"/>
  <c r="AE1922" i="68" s="1"/>
  <c r="AF1922" i="68" s="1"/>
  <c r="AH1922" i="68" s="1"/>
  <c r="AI1922" i="68" s="1"/>
  <c r="AK1922" i="68" s="1"/>
  <c r="AL1922" i="68" s="1"/>
  <c r="AN1922" i="68" s="1"/>
  <c r="AC307" i="68"/>
  <c r="AE307" i="68" s="1"/>
  <c r="AF307" i="68" s="1"/>
  <c r="AH307" i="68" s="1"/>
  <c r="AI307" i="68" s="1"/>
  <c r="AK307" i="68" s="1"/>
  <c r="AL307" i="68" s="1"/>
  <c r="AN307" i="68" s="1"/>
  <c r="AC603" i="114"/>
  <c r="AC1560" i="68"/>
  <c r="AE1560" i="68" s="1"/>
  <c r="AF1560" i="68" s="1"/>
  <c r="AH1560" i="68" s="1"/>
  <c r="AI1560" i="68" s="1"/>
  <c r="AK1560" i="68" s="1"/>
  <c r="AL1560" i="68" s="1"/>
  <c r="AN1560" i="68" s="1"/>
  <c r="G83" i="103"/>
  <c r="G85" i="103" s="1"/>
  <c r="G130" i="103"/>
  <c r="AI684" i="114"/>
  <c r="AK684" i="114" s="1"/>
  <c r="AI325" i="114"/>
  <c r="AK325" i="114" s="1"/>
  <c r="AI403" i="114"/>
  <c r="AK403" i="114" s="1"/>
  <c r="AI21" i="114"/>
  <c r="AK21" i="114" s="1"/>
  <c r="AI79" i="68"/>
  <c r="AK79" i="68" s="1"/>
  <c r="E73" i="103"/>
  <c r="E74" i="103" s="1"/>
  <c r="AC70" i="68"/>
  <c r="AE70" i="68" s="1"/>
  <c r="AF70" i="68" s="1"/>
  <c r="AH70" i="68" s="1"/>
  <c r="AI70" i="68" s="1"/>
  <c r="AK70" i="68" s="1"/>
  <c r="AL70" i="68" s="1"/>
  <c r="AN70" i="68" s="1"/>
  <c r="E276" i="103"/>
  <c r="AC354" i="114"/>
  <c r="AE354" i="114" s="1"/>
  <c r="AF354" i="114" s="1"/>
  <c r="AH354" i="114" s="1"/>
  <c r="AI354" i="114" s="1"/>
  <c r="AK354" i="114" s="1"/>
  <c r="AL354" i="114" s="1"/>
  <c r="AN354" i="114" s="1"/>
  <c r="AC347" i="114"/>
  <c r="AE347" i="114" s="1"/>
  <c r="AF347" i="114" s="1"/>
  <c r="AH347" i="114" s="1"/>
  <c r="AI347" i="114" s="1"/>
  <c r="AK347" i="114" s="1"/>
  <c r="AL347" i="114" s="1"/>
  <c r="AN347" i="114" s="1"/>
  <c r="AC744" i="114"/>
  <c r="AC746" i="114"/>
  <c r="AE746" i="114" s="1"/>
  <c r="AF746" i="114" s="1"/>
  <c r="AH746" i="114" s="1"/>
  <c r="AI746" i="114" s="1"/>
  <c r="AK746" i="114" s="1"/>
  <c r="AL746" i="114" s="1"/>
  <c r="AN746" i="114" s="1"/>
  <c r="AC435" i="68"/>
  <c r="AE435" i="68" s="1"/>
  <c r="AF435" i="68" s="1"/>
  <c r="AH435" i="68" s="1"/>
  <c r="AI435" i="68" s="1"/>
  <c r="AK435" i="68" s="1"/>
  <c r="AL435" i="68" s="1"/>
  <c r="AN435" i="68" s="1"/>
  <c r="AC295" i="68"/>
  <c r="AE295" i="68" s="1"/>
  <c r="AF295" i="68" s="1"/>
  <c r="AH295" i="68" s="1"/>
  <c r="AI295" i="68" s="1"/>
  <c r="AK295" i="68" s="1"/>
  <c r="AL295" i="68" s="1"/>
  <c r="AN295" i="68" s="1"/>
  <c r="AC1540" i="68"/>
  <c r="AE1540" i="68" s="1"/>
  <c r="AF1540" i="68" s="1"/>
  <c r="AH1540" i="68" s="1"/>
  <c r="AI1540" i="68" s="1"/>
  <c r="AK1540" i="68" s="1"/>
  <c r="AL1540" i="68" s="1"/>
  <c r="AN1540" i="68" s="1"/>
  <c r="F368" i="103"/>
  <c r="AF666" i="114"/>
  <c r="AH666" i="114" s="1"/>
  <c r="AI666" i="114" s="1"/>
  <c r="AK666" i="114" s="1"/>
  <c r="AL666" i="114" s="1"/>
  <c r="AN666" i="114" s="1"/>
  <c r="AF1564" i="68"/>
  <c r="AH1564" i="68" s="1"/>
  <c r="AI1564" i="68" s="1"/>
  <c r="AK1564" i="68" s="1"/>
  <c r="AL1564" i="68" s="1"/>
  <c r="AN1564" i="68" s="1"/>
  <c r="V94" i="32"/>
  <c r="X155" i="32"/>
  <c r="V155" i="32"/>
  <c r="Y155" i="32"/>
  <c r="W155" i="32"/>
  <c r="U155" i="32"/>
  <c r="L97" i="3" s="1"/>
  <c r="V132" i="32"/>
  <c r="Q704" i="115"/>
  <c r="Q723" i="115" s="1"/>
  <c r="Q725" i="115" s="1"/>
  <c r="W110" i="32"/>
  <c r="U110" i="32"/>
  <c r="L57" i="3" s="1"/>
  <c r="L58" i="3" s="1"/>
  <c r="L59" i="3" s="1"/>
  <c r="W44" i="3" s="1"/>
  <c r="P387" i="114"/>
  <c r="P389" i="114" s="1"/>
  <c r="Q387" i="114"/>
  <c r="Q389" i="114" s="1"/>
  <c r="L46" i="3"/>
  <c r="M46" i="3"/>
  <c r="U94" i="32"/>
  <c r="W94" i="32"/>
  <c r="Y110" i="32"/>
  <c r="U132" i="32"/>
  <c r="Y132" i="32"/>
  <c r="X132" i="32"/>
  <c r="W132" i="32"/>
  <c r="V110" i="32"/>
  <c r="P682" i="68"/>
  <c r="P615" i="68"/>
  <c r="Q615" i="68"/>
  <c r="P704" i="115"/>
  <c r="P723" i="115" s="1"/>
  <c r="P1736" i="68"/>
  <c r="O548" i="68"/>
  <c r="P970" i="115"/>
  <c r="P156" i="68"/>
  <c r="P787" i="68"/>
  <c r="R671" i="68"/>
  <c r="J576" i="68"/>
  <c r="J578" i="68" s="1"/>
  <c r="O554" i="68"/>
  <c r="P554" i="68" s="1"/>
  <c r="Q545" i="68"/>
  <c r="O552" i="68"/>
  <c r="P552" i="68" s="1"/>
  <c r="M563" i="68"/>
  <c r="M561" i="68"/>
  <c r="M575" i="68" s="1"/>
  <c r="O553" i="68"/>
  <c r="P553" i="68" s="1"/>
  <c r="Q543" i="68"/>
  <c r="Q550" i="68" s="1"/>
  <c r="M567" i="68"/>
  <c r="P543" i="68"/>
  <c r="P548" i="68" s="1"/>
  <c r="O556" i="68"/>
  <c r="P556" i="68" s="1"/>
  <c r="O555" i="68"/>
  <c r="P555" i="68" s="1"/>
  <c r="M562" i="68"/>
  <c r="Q551" i="68"/>
  <c r="Q546" i="68"/>
  <c r="O551" i="68"/>
  <c r="V552" i="68"/>
  <c r="M566" i="68"/>
  <c r="M574" i="68" s="1"/>
  <c r="V574" i="68" s="1"/>
  <c r="M568" i="68"/>
  <c r="M564" i="68"/>
  <c r="M573" i="68" s="1"/>
  <c r="M559" i="68"/>
  <c r="R128" i="68"/>
  <c r="Q330" i="68"/>
  <c r="M176" i="115"/>
  <c r="R187" i="115"/>
  <c r="J807" i="68"/>
  <c r="W122" i="32"/>
  <c r="M795" i="68"/>
  <c r="M800" i="68" s="1"/>
  <c r="J805" i="68"/>
  <c r="M796" i="68"/>
  <c r="M801" i="68" s="1"/>
  <c r="V801" i="68" s="1"/>
  <c r="J515" i="114"/>
  <c r="J522" i="114" s="1"/>
  <c r="O501" i="114"/>
  <c r="M501" i="114"/>
  <c r="O68" i="114"/>
  <c r="O502" i="114"/>
  <c r="O499" i="114"/>
  <c r="O503" i="114"/>
  <c r="M504" i="114"/>
  <c r="J521" i="114"/>
  <c r="J518" i="114"/>
  <c r="M503" i="114"/>
  <c r="J516" i="114"/>
  <c r="M499" i="114"/>
  <c r="M500" i="114"/>
  <c r="O500" i="114"/>
  <c r="O504" i="114"/>
  <c r="M502" i="114"/>
  <c r="J190" i="115"/>
  <c r="J192" i="115" s="1"/>
  <c r="O181" i="115"/>
  <c r="O153" i="115"/>
  <c r="O172" i="115"/>
  <c r="O170" i="115"/>
  <c r="O165" i="115"/>
  <c r="O152" i="115"/>
  <c r="M185" i="115"/>
  <c r="O178" i="115"/>
  <c r="O155" i="115"/>
  <c r="O151" i="115"/>
  <c r="O183" i="115" s="1"/>
  <c r="O179" i="115"/>
  <c r="O171" i="115"/>
  <c r="O174" i="115"/>
  <c r="O167" i="115"/>
  <c r="O159" i="115"/>
  <c r="O156" i="115"/>
  <c r="M183" i="115"/>
  <c r="O166" i="115"/>
  <c r="O154" i="115"/>
  <c r="O158" i="115"/>
  <c r="O173" i="115"/>
  <c r="O182" i="115"/>
  <c r="O164" i="115"/>
  <c r="O157" i="115"/>
  <c r="O168" i="115"/>
  <c r="M189" i="115"/>
  <c r="O162" i="115"/>
  <c r="M188" i="115"/>
  <c r="O169" i="115"/>
  <c r="M186" i="115"/>
  <c r="M184" i="115"/>
  <c r="O163" i="115"/>
  <c r="M160" i="115"/>
  <c r="O180" i="115"/>
  <c r="O175" i="115"/>
  <c r="Q787" i="68"/>
  <c r="O791" i="68"/>
  <c r="P791" i="68" s="1"/>
  <c r="O789" i="68"/>
  <c r="P789" i="68" s="1"/>
  <c r="O788" i="68"/>
  <c r="O790" i="68"/>
  <c r="P790" i="68" s="1"/>
  <c r="O793" i="68"/>
  <c r="P793" i="68" s="1"/>
  <c r="M797" i="68"/>
  <c r="J806" i="68"/>
  <c r="J804" i="68"/>
  <c r="R633" i="68"/>
  <c r="O687" i="68"/>
  <c r="Q1646" i="68"/>
  <c r="R681" i="68"/>
  <c r="R684" i="68"/>
  <c r="R685" i="68" s="1"/>
  <c r="P731" i="114"/>
  <c r="Q123" i="114"/>
  <c r="P1686" i="68"/>
  <c r="R1043" i="115"/>
  <c r="R1045" i="115" s="1"/>
  <c r="Q877" i="68"/>
  <c r="O274" i="68"/>
  <c r="R246" i="68"/>
  <c r="Q133" i="68"/>
  <c r="Q731" i="114"/>
  <c r="Q1160" i="68"/>
  <c r="P1160" i="68"/>
  <c r="Q754" i="114"/>
  <c r="R268" i="68"/>
  <c r="Q752" i="68"/>
  <c r="Q555" i="114"/>
  <c r="P249" i="114"/>
  <c r="Q495" i="114"/>
  <c r="Q1002" i="115"/>
  <c r="Q583" i="115"/>
  <c r="X122" i="32"/>
  <c r="Y122" i="32"/>
  <c r="M29" i="6"/>
  <c r="P1646" i="68"/>
  <c r="O1047" i="115"/>
  <c r="X110" i="32"/>
  <c r="P450" i="114"/>
  <c r="V122" i="32"/>
  <c r="Q613" i="114"/>
  <c r="Q481" i="114"/>
  <c r="Q286" i="114"/>
  <c r="U122" i="32"/>
  <c r="L65" i="3" s="1"/>
  <c r="L66" i="3" s="1"/>
  <c r="L67" i="3" s="1"/>
  <c r="W45" i="3" s="1"/>
  <c r="Q1570" i="68"/>
  <c r="Q1006" i="68"/>
  <c r="P133" i="68"/>
  <c r="P115" i="115"/>
  <c r="R264" i="68"/>
  <c r="Q1263" i="68"/>
  <c r="R262" i="68"/>
  <c r="J1933" i="68"/>
  <c r="L1933" i="68" s="1"/>
  <c r="Q249" i="114"/>
  <c r="Q1355" i="68"/>
  <c r="Q228" i="68"/>
  <c r="P1355" i="68"/>
  <c r="Q487" i="68"/>
  <c r="Q184" i="68"/>
  <c r="P1050" i="68"/>
  <c r="Q311" i="114"/>
  <c r="F27" i="6"/>
  <c r="P26" i="6"/>
  <c r="R263" i="68"/>
  <c r="Q1050" i="68"/>
  <c r="Q1396" i="68"/>
  <c r="Q643" i="114"/>
  <c r="Q645" i="114" s="1"/>
  <c r="Q80" i="115"/>
  <c r="R250" i="68"/>
  <c r="P555" i="114"/>
  <c r="P1444" i="68"/>
  <c r="Q1736" i="68"/>
  <c r="P1396" i="68"/>
  <c r="Q208" i="68"/>
  <c r="Q1686" i="68"/>
  <c r="Q450" i="114"/>
  <c r="Q251" i="114"/>
  <c r="Q783" i="68"/>
  <c r="Q1239" i="68"/>
  <c r="P717" i="68"/>
  <c r="Q533" i="68"/>
  <c r="P877" i="68"/>
  <c r="P1598" i="68"/>
  <c r="Q115" i="115"/>
  <c r="Q1213" i="68"/>
  <c r="P613" i="114"/>
  <c r="P615" i="114" s="1"/>
  <c r="Q717" i="68"/>
  <c r="Q66" i="114"/>
  <c r="P752" i="68"/>
  <c r="Q1444" i="68"/>
  <c r="Q1815" i="68"/>
  <c r="Q315" i="68"/>
  <c r="P80" i="115"/>
  <c r="Q671" i="114"/>
  <c r="Q1930" i="68"/>
  <c r="Q970" i="115"/>
  <c r="R236" i="68"/>
  <c r="Q360" i="68"/>
  <c r="Q928" i="115"/>
  <c r="Q1598" i="68"/>
  <c r="P360" i="68"/>
  <c r="Q146" i="115"/>
  <c r="P311" i="114"/>
  <c r="P146" i="115"/>
  <c r="O419" i="68"/>
  <c r="Q900" i="115"/>
  <c r="P671" i="114"/>
  <c r="Q1779" i="68"/>
  <c r="Q156" i="68"/>
  <c r="P1213" i="68"/>
  <c r="Q420" i="115"/>
  <c r="Q422" i="115" s="1"/>
  <c r="V643" i="114"/>
  <c r="M645" i="114"/>
  <c r="R485" i="68"/>
  <c r="R1204" i="68"/>
  <c r="Q668" i="68"/>
  <c r="R1423" i="68"/>
  <c r="R1021" i="68"/>
  <c r="R217" i="68"/>
  <c r="R226" i="68"/>
  <c r="R1387" i="68"/>
  <c r="R1250" i="68"/>
  <c r="R670" i="68"/>
  <c r="R610" i="68"/>
  <c r="R858" i="68"/>
  <c r="R328" i="68"/>
  <c r="R1728" i="68"/>
  <c r="R1341" i="68"/>
  <c r="R256" i="68"/>
  <c r="R1806" i="68"/>
  <c r="R1612" i="68"/>
  <c r="R265" i="68"/>
  <c r="R173" i="68"/>
  <c r="R875" i="68"/>
  <c r="R1172" i="68"/>
  <c r="R255" i="68"/>
  <c r="R206" i="68"/>
  <c r="R1191" i="68"/>
  <c r="R239" i="68"/>
  <c r="R241" i="68"/>
  <c r="R238" i="68"/>
  <c r="R194" i="68"/>
  <c r="R1048" i="68"/>
  <c r="R1700" i="68"/>
  <c r="R1912" i="68"/>
  <c r="R919" i="68"/>
  <c r="R1237" i="68"/>
  <c r="R764" i="68"/>
  <c r="R747" i="68"/>
  <c r="R1562" i="68"/>
  <c r="R244" i="68"/>
  <c r="R116" i="68"/>
  <c r="R382" i="114"/>
  <c r="R385" i="114" s="1"/>
  <c r="R309" i="114"/>
  <c r="R689" i="114"/>
  <c r="R553" i="114"/>
  <c r="R659" i="114"/>
  <c r="R549" i="114"/>
  <c r="R465" i="114"/>
  <c r="R170" i="114"/>
  <c r="R329" i="114"/>
  <c r="R364" i="114"/>
  <c r="R64" i="114"/>
  <c r="R406" i="114"/>
  <c r="R669" i="114"/>
  <c r="R729" i="114"/>
  <c r="R95" i="114"/>
  <c r="Q546" i="115"/>
  <c r="Q548" i="115" s="1"/>
  <c r="Q430" i="115"/>
  <c r="P921" i="68"/>
  <c r="R113" i="115"/>
  <c r="R926" i="115"/>
  <c r="R428" i="115"/>
  <c r="R430" i="115" s="1"/>
  <c r="R283" i="115"/>
  <c r="R575" i="115"/>
  <c r="R659" i="115"/>
  <c r="R886" i="115"/>
  <c r="R702" i="115"/>
  <c r="R852" i="115"/>
  <c r="R377" i="115"/>
  <c r="R234" i="115"/>
  <c r="R54" i="115"/>
  <c r="R1379" i="68"/>
  <c r="R1596" i="68"/>
  <c r="R1897" i="68"/>
  <c r="R715" i="68"/>
  <c r="R182" i="68"/>
  <c r="R254" i="68"/>
  <c r="R934" i="68"/>
  <c r="R1582" i="68"/>
  <c r="R1347" i="68"/>
  <c r="R1712" i="68"/>
  <c r="R96" i="68"/>
  <c r="R467" i="68"/>
  <c r="R537" i="68"/>
  <c r="R521" i="68"/>
  <c r="R1530" i="68"/>
  <c r="R1791" i="68"/>
  <c r="R259" i="68"/>
  <c r="R168" i="68"/>
  <c r="R1442" i="68"/>
  <c r="R916" i="68"/>
  <c r="R1353" i="68"/>
  <c r="R1394" i="68"/>
  <c r="R1257" i="68"/>
  <c r="R1234" i="68"/>
  <c r="R1925" i="68"/>
  <c r="R845" i="68"/>
  <c r="R258" i="68"/>
  <c r="R975" i="68"/>
  <c r="R1774" i="68"/>
  <c r="R1260" i="68"/>
  <c r="R247" i="68"/>
  <c r="R149" i="68"/>
  <c r="R1763" i="68"/>
  <c r="R377" i="114"/>
  <c r="R479" i="114"/>
  <c r="R611" i="114"/>
  <c r="R638" i="114"/>
  <c r="R641" i="114" s="1"/>
  <c r="R22" i="114"/>
  <c r="R267" i="114"/>
  <c r="R443" i="114"/>
  <c r="R598" i="114"/>
  <c r="R472" i="114"/>
  <c r="R41" i="114"/>
  <c r="R235" i="114"/>
  <c r="R627" i="114"/>
  <c r="R741" i="114"/>
  <c r="R492" i="114"/>
  <c r="Q242" i="68"/>
  <c r="Q269" i="68"/>
  <c r="Q824" i="115"/>
  <c r="Q296" i="115"/>
  <c r="Q682" i="68"/>
  <c r="P390" i="68"/>
  <c r="P419" i="68" s="1"/>
  <c r="R415" i="115"/>
  <c r="R420" i="115" s="1"/>
  <c r="R205" i="115"/>
  <c r="R881" i="115"/>
  <c r="R93" i="115"/>
  <c r="R222" i="115"/>
  <c r="R128" i="115"/>
  <c r="R237" i="115"/>
  <c r="R252" i="115"/>
  <c r="R507" i="115"/>
  <c r="R784" i="115"/>
  <c r="R985" i="115"/>
  <c r="R1000" i="115"/>
  <c r="R965" i="115"/>
  <c r="Q921" i="68"/>
  <c r="P274" i="68"/>
  <c r="P422" i="115"/>
  <c r="R1140" i="68"/>
  <c r="R541" i="68"/>
  <c r="R1439" i="68"/>
  <c r="R678" i="68"/>
  <c r="R639" i="68"/>
  <c r="R641" i="68" s="1"/>
  <c r="R1155" i="68"/>
  <c r="R1158" i="68" s="1"/>
  <c r="R707" i="68"/>
  <c r="R1129" i="68"/>
  <c r="R1450" i="68"/>
  <c r="R1452" i="68" s="1"/>
  <c r="R1588" i="68"/>
  <c r="R731" i="68"/>
  <c r="R1224" i="68"/>
  <c r="R1668" i="68"/>
  <c r="R447" i="68"/>
  <c r="R452" i="68" s="1"/>
  <c r="R545" i="68"/>
  <c r="R525" i="68"/>
  <c r="R111" i="68"/>
  <c r="R232" i="68"/>
  <c r="R240" i="68"/>
  <c r="R233" i="68"/>
  <c r="R299" i="68"/>
  <c r="R358" i="68"/>
  <c r="R404" i="68"/>
  <c r="R417" i="68" s="1"/>
  <c r="R1629" i="68"/>
  <c r="R266" i="68"/>
  <c r="R286" i="68"/>
  <c r="R1004" i="68"/>
  <c r="R1544" i="68"/>
  <c r="R778" i="68"/>
  <c r="R53" i="114"/>
  <c r="R351" i="114"/>
  <c r="R59" i="114"/>
  <c r="R420" i="114"/>
  <c r="R284" i="114"/>
  <c r="R200" i="114"/>
  <c r="R448" i="114"/>
  <c r="R337" i="114"/>
  <c r="R608" i="114"/>
  <c r="R247" i="114"/>
  <c r="R488" i="114"/>
  <c r="P296" i="115"/>
  <c r="P239" i="115"/>
  <c r="Q419" i="68"/>
  <c r="Q239" i="115"/>
  <c r="P754" i="114"/>
  <c r="P251" i="114"/>
  <c r="Q961" i="68"/>
  <c r="P66" i="114"/>
  <c r="P68" i="114" s="1"/>
  <c r="P123" i="114"/>
  <c r="R649" i="115"/>
  <c r="R860" i="115"/>
  <c r="R864" i="115" s="1"/>
  <c r="R102" i="115"/>
  <c r="R523" i="115"/>
  <c r="R78" i="115"/>
  <c r="R673" i="115"/>
  <c r="R943" i="115"/>
  <c r="R917" i="115"/>
  <c r="R137" i="115"/>
  <c r="R721" i="115"/>
  <c r="R819" i="115"/>
  <c r="R349" i="115"/>
  <c r="R768" i="115"/>
  <c r="R839" i="115"/>
  <c r="R372" i="68"/>
  <c r="R374" i="68" s="1"/>
  <c r="R249" i="68"/>
  <c r="R890" i="68"/>
  <c r="R904" i="68"/>
  <c r="R348" i="68"/>
  <c r="R392" i="68"/>
  <c r="R402" i="68" s="1"/>
  <c r="R531" i="68"/>
  <c r="R1797" i="68"/>
  <c r="R989" i="68"/>
  <c r="R738" i="68"/>
  <c r="R1408" i="68"/>
  <c r="R646" i="68"/>
  <c r="R592" i="68"/>
  <c r="R945" i="68"/>
  <c r="R472" i="68"/>
  <c r="R658" i="68"/>
  <c r="R668" i="68" s="1"/>
  <c r="R598" i="68"/>
  <c r="R310" i="68"/>
  <c r="R313" i="68"/>
  <c r="R1749" i="68"/>
  <c r="R197" i="68"/>
  <c r="R378" i="68"/>
  <c r="R344" i="68"/>
  <c r="R1434" i="68"/>
  <c r="R1659" i="68"/>
  <c r="R702" i="68"/>
  <c r="R144" i="68"/>
  <c r="R323" i="68"/>
  <c r="R1915" i="68"/>
  <c r="R1208" i="68"/>
  <c r="R1813" i="68"/>
  <c r="R1678" i="68"/>
  <c r="R234" i="68"/>
  <c r="R959" i="68"/>
  <c r="R1640" i="68"/>
  <c r="R1370" i="68"/>
  <c r="R257" i="68"/>
  <c r="R154" i="68"/>
  <c r="R1033" i="68"/>
  <c r="R1684" i="68"/>
  <c r="R771" i="68"/>
  <c r="R48" i="114"/>
  <c r="R298" i="114"/>
  <c r="R173" i="114"/>
  <c r="R357" i="114"/>
  <c r="R430" i="114"/>
  <c r="R752" i="114"/>
  <c r="R344" i="114"/>
  <c r="R121" i="114"/>
  <c r="R227" i="114"/>
  <c r="P656" i="68"/>
  <c r="P824" i="115"/>
  <c r="Q866" i="115"/>
  <c r="P1006" i="68"/>
  <c r="P645" i="114"/>
  <c r="S8" i="68"/>
  <c r="S8" i="114"/>
  <c r="S9" i="115"/>
  <c r="Q252" i="68"/>
  <c r="P286" i="114"/>
  <c r="P487" i="68"/>
  <c r="R914" i="115"/>
  <c r="R294" i="115"/>
  <c r="R144" i="115"/>
  <c r="R289" i="115"/>
  <c r="R568" i="115"/>
  <c r="R995" i="115"/>
  <c r="R38" i="115"/>
  <c r="R64" i="115"/>
  <c r="R956" i="115"/>
  <c r="R537" i="115"/>
  <c r="R542" i="115"/>
  <c r="R546" i="115" s="1"/>
  <c r="R407" i="115"/>
  <c r="R394" i="115"/>
  <c r="R1034" i="115"/>
  <c r="R1036" i="115"/>
  <c r="R555" i="115"/>
  <c r="R272" i="115"/>
  <c r="R689" i="115"/>
  <c r="R794" i="115"/>
  <c r="R894" i="115"/>
  <c r="A10" i="6"/>
  <c r="A14" i="9" s="1"/>
  <c r="AM22" i="6"/>
  <c r="C136" i="6"/>
  <c r="B26" i="6"/>
  <c r="B30" i="9" s="1"/>
  <c r="A25" i="6"/>
  <c r="A29" i="9" s="1"/>
  <c r="M26" i="9"/>
  <c r="AK331" i="114" l="1"/>
  <c r="AE340" i="114"/>
  <c r="AI316" i="114"/>
  <c r="AE14" i="114"/>
  <c r="AK26" i="114"/>
  <c r="AI34" i="114"/>
  <c r="AK34" i="114" s="1"/>
  <c r="AL34" i="114" s="1"/>
  <c r="AN34" i="114" s="1"/>
  <c r="AH13" i="114"/>
  <c r="AE744" i="114"/>
  <c r="AC752" i="114"/>
  <c r="AL736" i="114"/>
  <c r="AI394" i="114"/>
  <c r="AL79" i="68"/>
  <c r="AN79" i="68" s="1"/>
  <c r="AK650" i="114"/>
  <c r="AH651" i="114"/>
  <c r="AE661" i="114"/>
  <c r="AF629" i="114"/>
  <c r="AE643" i="114"/>
  <c r="M97" i="3" s="1"/>
  <c r="AE603" i="114"/>
  <c r="AL403" i="114"/>
  <c r="AN403" i="114" s="1"/>
  <c r="E269" i="103"/>
  <c r="E270" i="103" s="1"/>
  <c r="E279" i="103" s="1"/>
  <c r="AC1549" i="68"/>
  <c r="AE1549" i="68" s="1"/>
  <c r="AF1549" i="68" s="1"/>
  <c r="AH1549" i="68" s="1"/>
  <c r="AI1549" i="68" s="1"/>
  <c r="AK1549" i="68" s="1"/>
  <c r="AL1549" i="68" s="1"/>
  <c r="AN1549" i="68" s="1"/>
  <c r="AC675" i="68"/>
  <c r="AE675" i="68" s="1"/>
  <c r="AF675" i="68" s="1"/>
  <c r="AH675" i="68" s="1"/>
  <c r="AI675" i="68" s="1"/>
  <c r="AK675" i="68" s="1"/>
  <c r="AL675" i="68" s="1"/>
  <c r="AN675" i="68" s="1"/>
  <c r="G251" i="103"/>
  <c r="G252" i="103" s="1"/>
  <c r="AI384" i="68"/>
  <c r="AK384" i="68" s="1"/>
  <c r="AL384" i="68" s="1"/>
  <c r="AN384" i="68" s="1"/>
  <c r="AL684" i="114"/>
  <c r="AN684" i="114" s="1"/>
  <c r="AL325" i="114"/>
  <c r="AN325" i="114" s="1"/>
  <c r="G131" i="103"/>
  <c r="AI326" i="114"/>
  <c r="AK326" i="114" s="1"/>
  <c r="AI81" i="68"/>
  <c r="AK81" i="68" s="1"/>
  <c r="F369" i="103"/>
  <c r="AF718" i="114"/>
  <c r="AH718" i="114" s="1"/>
  <c r="AI718" i="114" s="1"/>
  <c r="AK718" i="114" s="1"/>
  <c r="AL718" i="114" s="1"/>
  <c r="AN718" i="114" s="1"/>
  <c r="AF706" i="114"/>
  <c r="AH706" i="114" s="1"/>
  <c r="AI706" i="114" s="1"/>
  <c r="AK706" i="114" s="1"/>
  <c r="AL706" i="114" s="1"/>
  <c r="AN706" i="114" s="1"/>
  <c r="AF376" i="114"/>
  <c r="AH376" i="114" s="1"/>
  <c r="AI376" i="114" s="1"/>
  <c r="AK376" i="114" s="1"/>
  <c r="AL376" i="114" s="1"/>
  <c r="AN376" i="114" s="1"/>
  <c r="AF725" i="114"/>
  <c r="AH725" i="114" s="1"/>
  <c r="AI725" i="114" s="1"/>
  <c r="AK725" i="114" s="1"/>
  <c r="AL725" i="114" s="1"/>
  <c r="AN725" i="114" s="1"/>
  <c r="AF709" i="114"/>
  <c r="AH709" i="114" s="1"/>
  <c r="AI709" i="114" s="1"/>
  <c r="AK709" i="114" s="1"/>
  <c r="AL709" i="114" s="1"/>
  <c r="AN709" i="114" s="1"/>
  <c r="AF704" i="114"/>
  <c r="AH704" i="114" s="1"/>
  <c r="AI704" i="114" s="1"/>
  <c r="AK704" i="114" s="1"/>
  <c r="AL704" i="114" s="1"/>
  <c r="AN704" i="114" s="1"/>
  <c r="AF728" i="114"/>
  <c r="AH728" i="114" s="1"/>
  <c r="AI728" i="114" s="1"/>
  <c r="AK728" i="114" s="1"/>
  <c r="AL728" i="114" s="1"/>
  <c r="AN728" i="114" s="1"/>
  <c r="AF710" i="114"/>
  <c r="AH710" i="114" s="1"/>
  <c r="AI710" i="114" s="1"/>
  <c r="AK710" i="114" s="1"/>
  <c r="AL710" i="114" s="1"/>
  <c r="AN710" i="114" s="1"/>
  <c r="AF719" i="114"/>
  <c r="AH719" i="114" s="1"/>
  <c r="AI719" i="114" s="1"/>
  <c r="AK719" i="114" s="1"/>
  <c r="AL719" i="114" s="1"/>
  <c r="AN719" i="114" s="1"/>
  <c r="AF715" i="114"/>
  <c r="AH715" i="114" s="1"/>
  <c r="AI715" i="114" s="1"/>
  <c r="AK715" i="114" s="1"/>
  <c r="AL715" i="114" s="1"/>
  <c r="AN715" i="114" s="1"/>
  <c r="AF716" i="114"/>
  <c r="AH716" i="114" s="1"/>
  <c r="AI716" i="114" s="1"/>
  <c r="AK716" i="114" s="1"/>
  <c r="AL716" i="114" s="1"/>
  <c r="AN716" i="114" s="1"/>
  <c r="AF691" i="114"/>
  <c r="AF727" i="114"/>
  <c r="AH727" i="114" s="1"/>
  <c r="AI727" i="114" s="1"/>
  <c r="AK727" i="114" s="1"/>
  <c r="AL727" i="114" s="1"/>
  <c r="AN727" i="114" s="1"/>
  <c r="AF703" i="114"/>
  <c r="AH703" i="114" s="1"/>
  <c r="AI703" i="114" s="1"/>
  <c r="AK703" i="114" s="1"/>
  <c r="AL703" i="114" s="1"/>
  <c r="AN703" i="114" s="1"/>
  <c r="AF721" i="114"/>
  <c r="AH721" i="114" s="1"/>
  <c r="AI721" i="114" s="1"/>
  <c r="AK721" i="114" s="1"/>
  <c r="AL721" i="114" s="1"/>
  <c r="AN721" i="114" s="1"/>
  <c r="AF712" i="114"/>
  <c r="AH712" i="114" s="1"/>
  <c r="AI712" i="114" s="1"/>
  <c r="AK712" i="114" s="1"/>
  <c r="AL712" i="114" s="1"/>
  <c r="AN712" i="114" s="1"/>
  <c r="AF717" i="114"/>
  <c r="AH717" i="114" s="1"/>
  <c r="AI717" i="114" s="1"/>
  <c r="AK717" i="114" s="1"/>
  <c r="AL717" i="114" s="1"/>
  <c r="AN717" i="114" s="1"/>
  <c r="AF720" i="114"/>
  <c r="AH720" i="114" s="1"/>
  <c r="AI720" i="114" s="1"/>
  <c r="AK720" i="114" s="1"/>
  <c r="AL720" i="114" s="1"/>
  <c r="AN720" i="114" s="1"/>
  <c r="AF723" i="114"/>
  <c r="AH723" i="114" s="1"/>
  <c r="AI723" i="114" s="1"/>
  <c r="AK723" i="114" s="1"/>
  <c r="AL723" i="114" s="1"/>
  <c r="AN723" i="114" s="1"/>
  <c r="AF693" i="114"/>
  <c r="AH693" i="114" s="1"/>
  <c r="AI693" i="114" s="1"/>
  <c r="AK693" i="114" s="1"/>
  <c r="AL693" i="114" s="1"/>
  <c r="AN693" i="114" s="1"/>
  <c r="AF714" i="114"/>
  <c r="AH714" i="114" s="1"/>
  <c r="AI714" i="114" s="1"/>
  <c r="AK714" i="114" s="1"/>
  <c r="AL714" i="114" s="1"/>
  <c r="AN714" i="114" s="1"/>
  <c r="AF1903" i="68"/>
  <c r="AH1903" i="68" s="1"/>
  <c r="AI1903" i="68" s="1"/>
  <c r="AK1903" i="68" s="1"/>
  <c r="AL1903" i="68" s="1"/>
  <c r="AN1903" i="68" s="1"/>
  <c r="E277" i="103"/>
  <c r="AC702" i="114"/>
  <c r="AE702" i="114" s="1"/>
  <c r="AF702" i="114" s="1"/>
  <c r="AH702" i="114" s="1"/>
  <c r="AI702" i="114" s="1"/>
  <c r="AK702" i="114" s="1"/>
  <c r="AL702" i="114" s="1"/>
  <c r="AN702" i="114" s="1"/>
  <c r="AC699" i="114"/>
  <c r="AE699" i="114" s="1"/>
  <c r="AF699" i="114" s="1"/>
  <c r="AH699" i="114" s="1"/>
  <c r="AI699" i="114" s="1"/>
  <c r="AK699" i="114" s="1"/>
  <c r="AL699" i="114" s="1"/>
  <c r="AN699" i="114" s="1"/>
  <c r="AC692" i="114"/>
  <c r="AC369" i="114"/>
  <c r="AE369" i="114" s="1"/>
  <c r="AF369" i="114" s="1"/>
  <c r="AH369" i="114" s="1"/>
  <c r="AI369" i="114" s="1"/>
  <c r="AK369" i="114" s="1"/>
  <c r="AL369" i="114" s="1"/>
  <c r="AN369" i="114" s="1"/>
  <c r="AC701" i="114"/>
  <c r="AE701" i="114" s="1"/>
  <c r="AF701" i="114" s="1"/>
  <c r="AH701" i="114" s="1"/>
  <c r="AI701" i="114" s="1"/>
  <c r="AK701" i="114" s="1"/>
  <c r="AL701" i="114" s="1"/>
  <c r="AN701" i="114" s="1"/>
  <c r="AC698" i="114"/>
  <c r="AE698" i="114" s="1"/>
  <c r="AF698" i="114" s="1"/>
  <c r="AH698" i="114" s="1"/>
  <c r="AI698" i="114" s="1"/>
  <c r="AK698" i="114" s="1"/>
  <c r="AL698" i="114" s="1"/>
  <c r="AN698" i="114" s="1"/>
  <c r="AC705" i="114"/>
  <c r="AE705" i="114" s="1"/>
  <c r="AF705" i="114" s="1"/>
  <c r="AH705" i="114" s="1"/>
  <c r="AI705" i="114" s="1"/>
  <c r="AK705" i="114" s="1"/>
  <c r="AL705" i="114" s="1"/>
  <c r="AN705" i="114" s="1"/>
  <c r="AC694" i="114"/>
  <c r="AE694" i="114" s="1"/>
  <c r="AF694" i="114" s="1"/>
  <c r="AH694" i="114" s="1"/>
  <c r="AI694" i="114" s="1"/>
  <c r="AK694" i="114" s="1"/>
  <c r="AL694" i="114" s="1"/>
  <c r="AN694" i="114" s="1"/>
  <c r="AC697" i="114"/>
  <c r="AE697" i="114" s="1"/>
  <c r="AF697" i="114" s="1"/>
  <c r="AH697" i="114" s="1"/>
  <c r="AI697" i="114" s="1"/>
  <c r="AK697" i="114" s="1"/>
  <c r="AL697" i="114" s="1"/>
  <c r="AN697" i="114" s="1"/>
  <c r="AC696" i="114"/>
  <c r="AE696" i="114" s="1"/>
  <c r="AF696" i="114" s="1"/>
  <c r="AH696" i="114" s="1"/>
  <c r="AI696" i="114" s="1"/>
  <c r="AK696" i="114" s="1"/>
  <c r="AL696" i="114" s="1"/>
  <c r="AN696" i="114" s="1"/>
  <c r="AC695" i="114"/>
  <c r="AE695" i="114" s="1"/>
  <c r="AF695" i="114" s="1"/>
  <c r="AH695" i="114" s="1"/>
  <c r="AI695" i="114" s="1"/>
  <c r="AK695" i="114" s="1"/>
  <c r="AL695" i="114" s="1"/>
  <c r="AN695" i="114" s="1"/>
  <c r="AC700" i="114"/>
  <c r="AE700" i="114" s="1"/>
  <c r="AF700" i="114" s="1"/>
  <c r="AH700" i="114" s="1"/>
  <c r="AI700" i="114" s="1"/>
  <c r="AK700" i="114" s="1"/>
  <c r="AL700" i="114" s="1"/>
  <c r="AN700" i="114" s="1"/>
  <c r="AC296" i="68"/>
  <c r="AE296" i="68" s="1"/>
  <c r="AF296" i="68" s="1"/>
  <c r="AH296" i="68" s="1"/>
  <c r="AI296" i="68" s="1"/>
  <c r="AK296" i="68" s="1"/>
  <c r="AL296" i="68" s="1"/>
  <c r="AN296" i="68" s="1"/>
  <c r="H83" i="103"/>
  <c r="H85" i="103" s="1"/>
  <c r="H130" i="103"/>
  <c r="AL21" i="114"/>
  <c r="AN21" i="114" s="1"/>
  <c r="E162" i="103"/>
  <c r="E163" i="103" s="1"/>
  <c r="E164" i="103" s="1"/>
  <c r="E165" i="103" s="1"/>
  <c r="E166" i="103" s="1"/>
  <c r="E75" i="103"/>
  <c r="AC71" i="68"/>
  <c r="AE71" i="68" s="1"/>
  <c r="AF71" i="68" s="1"/>
  <c r="AH71" i="68" s="1"/>
  <c r="AI71" i="68" s="1"/>
  <c r="AK71" i="68" s="1"/>
  <c r="AL71" i="68" s="1"/>
  <c r="AN71" i="68" s="1"/>
  <c r="N1933" i="68"/>
  <c r="R387" i="114"/>
  <c r="R389" i="114" s="1"/>
  <c r="N46" i="3"/>
  <c r="P1047" i="115"/>
  <c r="P687" i="68"/>
  <c r="R615" i="68"/>
  <c r="R704" i="115"/>
  <c r="R723" i="115" s="1"/>
  <c r="R725" i="115" s="1"/>
  <c r="R330" i="68"/>
  <c r="Q548" i="68"/>
  <c r="O505" i="114"/>
  <c r="R544" i="68"/>
  <c r="Q555" i="68"/>
  <c r="Q553" i="68"/>
  <c r="P551" i="68"/>
  <c r="O561" i="68"/>
  <c r="R546" i="68"/>
  <c r="R552" i="68"/>
  <c r="R543" i="68"/>
  <c r="R550" i="68" s="1"/>
  <c r="Q557" i="68"/>
  <c r="M570" i="68"/>
  <c r="M569" i="68"/>
  <c r="V569" i="68" s="1"/>
  <c r="M571" i="68"/>
  <c r="V571" i="68" s="1"/>
  <c r="Q554" i="68"/>
  <c r="O557" i="68"/>
  <c r="Q556" i="68"/>
  <c r="Q563" i="68"/>
  <c r="O558" i="68"/>
  <c r="P558" i="68" s="1"/>
  <c r="M572" i="68"/>
  <c r="V572" i="68" s="1"/>
  <c r="R547" i="68"/>
  <c r="R553" i="68"/>
  <c r="Q552" i="68"/>
  <c r="Q562" i="68"/>
  <c r="R554" i="68"/>
  <c r="O564" i="68"/>
  <c r="P564" i="68" s="1"/>
  <c r="O562" i="68"/>
  <c r="P562" i="68" s="1"/>
  <c r="O568" i="68"/>
  <c r="P568" i="68" s="1"/>
  <c r="J523" i="114"/>
  <c r="O176" i="115"/>
  <c r="S411" i="68"/>
  <c r="S750" i="68"/>
  <c r="S660" i="68"/>
  <c r="S251" i="68"/>
  <c r="S400" i="68"/>
  <c r="S245" i="68"/>
  <c r="S248" i="68"/>
  <c r="S667" i="68"/>
  <c r="S413" i="68"/>
  <c r="S396" i="68"/>
  <c r="S414" i="68"/>
  <c r="P184" i="115"/>
  <c r="M802" i="68"/>
  <c r="V802" i="68" s="1"/>
  <c r="M798" i="68"/>
  <c r="M803" i="68" s="1"/>
  <c r="V803" i="68" s="1"/>
  <c r="R731" i="114"/>
  <c r="S241" i="114"/>
  <c r="P504" i="114"/>
  <c r="J311" i="115"/>
  <c r="J305" i="115"/>
  <c r="J304" i="115"/>
  <c r="J301" i="115"/>
  <c r="J307" i="115"/>
  <c r="J318" i="115"/>
  <c r="J332" i="115"/>
  <c r="J325" i="115"/>
  <c r="J302" i="115"/>
  <c r="J331" i="115"/>
  <c r="J330" i="115"/>
  <c r="J306" i="115"/>
  <c r="J313" i="115"/>
  <c r="J321" i="115"/>
  <c r="J329" i="115"/>
  <c r="J316" i="115"/>
  <c r="J314" i="115"/>
  <c r="J315" i="115"/>
  <c r="J312" i="115"/>
  <c r="J317" i="115"/>
  <c r="J308" i="115"/>
  <c r="J320" i="115"/>
  <c r="J323" i="115"/>
  <c r="J322" i="115"/>
  <c r="J326" i="115"/>
  <c r="O189" i="115"/>
  <c r="J319" i="115"/>
  <c r="J303" i="115"/>
  <c r="J335" i="115"/>
  <c r="M508" i="114"/>
  <c r="O506" i="114"/>
  <c r="O512" i="114" s="1"/>
  <c r="P500" i="114"/>
  <c r="J525" i="114"/>
  <c r="M507" i="114"/>
  <c r="J519" i="114"/>
  <c r="J529" i="114" s="1"/>
  <c r="P503" i="114"/>
  <c r="P499" i="114"/>
  <c r="M505" i="114"/>
  <c r="M511" i="114" s="1"/>
  <c r="P501" i="114"/>
  <c r="P502" i="114"/>
  <c r="O507" i="114"/>
  <c r="O511" i="114"/>
  <c r="Q68" i="114"/>
  <c r="M506" i="114"/>
  <c r="J524" i="114"/>
  <c r="O508" i="114"/>
  <c r="Q179" i="115"/>
  <c r="O186" i="115"/>
  <c r="P169" i="115"/>
  <c r="Q151" i="115"/>
  <c r="Q183" i="115" s="1"/>
  <c r="P156" i="115"/>
  <c r="Q158" i="115"/>
  <c r="P152" i="115"/>
  <c r="Q165" i="115"/>
  <c r="Q152" i="115"/>
  <c r="Q166" i="115"/>
  <c r="Q168" i="115"/>
  <c r="Q174" i="115"/>
  <c r="Q156" i="115"/>
  <c r="Q167" i="115"/>
  <c r="Q180" i="115"/>
  <c r="Q157" i="115"/>
  <c r="Q154" i="115"/>
  <c r="Q173" i="115"/>
  <c r="Q175" i="115"/>
  <c r="Q172" i="115"/>
  <c r="Q162" i="115"/>
  <c r="Q164" i="115"/>
  <c r="Q153" i="115"/>
  <c r="Q169" i="115"/>
  <c r="Q178" i="115"/>
  <c r="Q182" i="115"/>
  <c r="Q170" i="115"/>
  <c r="Q171" i="115"/>
  <c r="Q155" i="115"/>
  <c r="Q159" i="115"/>
  <c r="Q181" i="115"/>
  <c r="P164" i="115"/>
  <c r="P151" i="115"/>
  <c r="P162" i="115"/>
  <c r="P178" i="115"/>
  <c r="P180" i="115"/>
  <c r="P168" i="115"/>
  <c r="P171" i="115"/>
  <c r="P183" i="115"/>
  <c r="P157" i="115"/>
  <c r="P173" i="115"/>
  <c r="P155" i="115"/>
  <c r="P158" i="115"/>
  <c r="P154" i="115"/>
  <c r="P172" i="115"/>
  <c r="P165" i="115"/>
  <c r="P175" i="115"/>
  <c r="P174" i="115"/>
  <c r="P179" i="115"/>
  <c r="P170" i="115"/>
  <c r="P181" i="115"/>
  <c r="P167" i="115"/>
  <c r="P166" i="115"/>
  <c r="P163" i="115"/>
  <c r="P182" i="115"/>
  <c r="P153" i="115"/>
  <c r="Q163" i="115"/>
  <c r="P159" i="115"/>
  <c r="O185" i="115"/>
  <c r="J324" i="115"/>
  <c r="J328" i="115"/>
  <c r="J336" i="115"/>
  <c r="M190" i="115"/>
  <c r="M192" i="115" s="1"/>
  <c r="M307" i="115" s="1"/>
  <c r="O160" i="115"/>
  <c r="J337" i="115"/>
  <c r="O188" i="115"/>
  <c r="O184" i="115"/>
  <c r="J327" i="115"/>
  <c r="J808" i="68"/>
  <c r="J810" i="68"/>
  <c r="J811" i="68"/>
  <c r="J809" i="68"/>
  <c r="Q790" i="68"/>
  <c r="Q789" i="68"/>
  <c r="Q788" i="68"/>
  <c r="Q794" i="68" s="1"/>
  <c r="Q791" i="68"/>
  <c r="Q793" i="68"/>
  <c r="R787" i="68"/>
  <c r="O794" i="68"/>
  <c r="O795" i="68"/>
  <c r="P795" i="68" s="1"/>
  <c r="P788" i="68"/>
  <c r="O796" i="68"/>
  <c r="P796" i="68" s="1"/>
  <c r="O797" i="68"/>
  <c r="P797" i="68" s="1"/>
  <c r="S581" i="115"/>
  <c r="R717" i="68"/>
  <c r="Q687" i="68"/>
  <c r="R613" i="114"/>
  <c r="R615" i="114" s="1"/>
  <c r="R1779" i="68"/>
  <c r="Z6" i="68"/>
  <c r="R1930" i="68"/>
  <c r="R311" i="114"/>
  <c r="R1239" i="68"/>
  <c r="R1050" i="68"/>
  <c r="R1396" i="68"/>
  <c r="M30" i="6"/>
  <c r="Q274" i="68"/>
  <c r="R671" i="114"/>
  <c r="R928" i="115"/>
  <c r="M1933" i="68"/>
  <c r="R555" i="114"/>
  <c r="R80" i="115"/>
  <c r="R495" i="114"/>
  <c r="R1002" i="115"/>
  <c r="R1006" i="68"/>
  <c r="R156" i="68"/>
  <c r="F28" i="6"/>
  <c r="P27" i="6"/>
  <c r="R315" i="68"/>
  <c r="R921" i="68"/>
  <c r="R184" i="68"/>
  <c r="R877" i="68"/>
  <c r="R583" i="115"/>
  <c r="R1444" i="68"/>
  <c r="R481" i="114"/>
  <c r="R360" i="68"/>
  <c r="R1160" i="68"/>
  <c r="R970" i="115"/>
  <c r="R115" i="115"/>
  <c r="Q1047" i="115"/>
  <c r="R1736" i="68"/>
  <c r="R450" i="114"/>
  <c r="R548" i="115"/>
  <c r="R487" i="68"/>
  <c r="R783" i="68"/>
  <c r="R208" i="68"/>
  <c r="R296" i="115"/>
  <c r="R249" i="114"/>
  <c r="R1686" i="68"/>
  <c r="R752" i="68"/>
  <c r="R66" i="114"/>
  <c r="R533" i="68"/>
  <c r="R961" i="68"/>
  <c r="R123" i="114"/>
  <c r="R251" i="114"/>
  <c r="R1213" i="68"/>
  <c r="R1263" i="68"/>
  <c r="R1815" i="68"/>
  <c r="R146" i="115"/>
  <c r="R824" i="115"/>
  <c r="R900" i="115"/>
  <c r="R754" i="114"/>
  <c r="R286" i="114"/>
  <c r="R1570" i="68"/>
  <c r="R1355" i="68"/>
  <c r="R1598" i="68"/>
  <c r="R228" i="68"/>
  <c r="R242" i="68"/>
  <c r="R239" i="115"/>
  <c r="R422" i="115"/>
  <c r="P725" i="115"/>
  <c r="R269" i="68"/>
  <c r="R252" i="68"/>
  <c r="R133" i="68"/>
  <c r="S393" i="68"/>
  <c r="S382" i="68"/>
  <c r="S237" i="68"/>
  <c r="S663" i="68"/>
  <c r="S235" i="68"/>
  <c r="S661" i="68"/>
  <c r="S394" i="68"/>
  <c r="S416" i="68"/>
  <c r="S406" i="68"/>
  <c r="S651" i="68"/>
  <c r="S648" i="68"/>
  <c r="S672" i="68"/>
  <c r="S380" i="68"/>
  <c r="S538" i="68"/>
  <c r="S389" i="68"/>
  <c r="S408" i="68"/>
  <c r="S655" i="68"/>
  <c r="S679" i="68"/>
  <c r="S412" i="68"/>
  <c r="S659" i="68"/>
  <c r="S654" i="68"/>
  <c r="S662" i="68"/>
  <c r="S379" i="68"/>
  <c r="S676" i="68"/>
  <c r="S399" i="68"/>
  <c r="S677" i="68"/>
  <c r="S415" i="68"/>
  <c r="S673" i="68"/>
  <c r="S383" i="68"/>
  <c r="S387" i="68"/>
  <c r="S405" i="68"/>
  <c r="S397" i="68"/>
  <c r="S539" i="68"/>
  <c r="S398" i="68"/>
  <c r="S650" i="68"/>
  <c r="S653" i="68"/>
  <c r="S388" i="68"/>
  <c r="S665" i="68"/>
  <c r="S664" i="68"/>
  <c r="S409" i="68"/>
  <c r="S674" i="68"/>
  <c r="S652" i="68"/>
  <c r="S386" i="68"/>
  <c r="S407" i="68"/>
  <c r="S540" i="68"/>
  <c r="S475" i="115"/>
  <c r="S187" i="115"/>
  <c r="R390" i="68"/>
  <c r="R419" i="68" s="1"/>
  <c r="R643" i="114"/>
  <c r="R645" i="114" s="1"/>
  <c r="R656" i="68"/>
  <c r="R866" i="115"/>
  <c r="R1646" i="68"/>
  <c r="R682" i="68"/>
  <c r="B27" i="6"/>
  <c r="B31" i="9" s="1"/>
  <c r="A26" i="6"/>
  <c r="A30" i="9" s="1"/>
  <c r="A9" i="6"/>
  <c r="A13" i="9" s="1"/>
  <c r="C135" i="6"/>
  <c r="AM21" i="6"/>
  <c r="G253" i="103" l="1"/>
  <c r="AF340" i="114"/>
  <c r="AK316" i="114"/>
  <c r="AL331" i="114"/>
  <c r="AL26" i="114"/>
  <c r="AI13" i="114"/>
  <c r="AF14" i="114"/>
  <c r="AH691" i="114"/>
  <c r="AE692" i="114"/>
  <c r="AC729" i="114"/>
  <c r="AN736" i="114"/>
  <c r="AF744" i="114"/>
  <c r="AH744" i="114" s="1"/>
  <c r="AI744" i="114" s="1"/>
  <c r="AK744" i="114" s="1"/>
  <c r="AL744" i="114" s="1"/>
  <c r="AN744" i="114" s="1"/>
  <c r="AE752" i="114"/>
  <c r="AK394" i="114"/>
  <c r="AL650" i="114"/>
  <c r="AF661" i="114"/>
  <c r="AI651" i="114"/>
  <c r="AH629" i="114"/>
  <c r="AF643" i="114"/>
  <c r="AF603" i="114"/>
  <c r="AL81" i="68"/>
  <c r="AN81" i="68" s="1"/>
  <c r="AI624" i="114"/>
  <c r="AK624" i="114" s="1"/>
  <c r="E278" i="103"/>
  <c r="AC40" i="114"/>
  <c r="AE40" i="114" s="1"/>
  <c r="AF40" i="114" s="1"/>
  <c r="AH40" i="114" s="1"/>
  <c r="AI40" i="114" s="1"/>
  <c r="AK40" i="114" s="1"/>
  <c r="AL40" i="114" s="1"/>
  <c r="AN40" i="114" s="1"/>
  <c r="AC666" i="68"/>
  <c r="AE666" i="68" s="1"/>
  <c r="AF666" i="68" s="1"/>
  <c r="AH666" i="68" s="1"/>
  <c r="AI666" i="68" s="1"/>
  <c r="AK666" i="68" s="1"/>
  <c r="AL666" i="68" s="1"/>
  <c r="AN666" i="68" s="1"/>
  <c r="AC297" i="68"/>
  <c r="AE297" i="68" s="1"/>
  <c r="AF297" i="68" s="1"/>
  <c r="AH297" i="68" s="1"/>
  <c r="AI297" i="68" s="1"/>
  <c r="AK297" i="68" s="1"/>
  <c r="AL297" i="68" s="1"/>
  <c r="AN297" i="68" s="1"/>
  <c r="H131" i="103"/>
  <c r="AL326" i="114"/>
  <c r="AN326" i="114" s="1"/>
  <c r="G190" i="103"/>
  <c r="G214" i="103" s="1"/>
  <c r="G215" i="103" s="1"/>
  <c r="G216" i="103" s="1"/>
  <c r="G220" i="103" s="1"/>
  <c r="G221" i="103" s="1"/>
  <c r="G222" i="103" s="1"/>
  <c r="G223" i="103" s="1"/>
  <c r="G224" i="103" s="1"/>
  <c r="G225" i="103" s="1"/>
  <c r="G226" i="103" s="1"/>
  <c r="G227" i="103" s="1"/>
  <c r="G228" i="103" s="1"/>
  <c r="G229" i="103" s="1"/>
  <c r="G230" i="103" s="1"/>
  <c r="G231" i="103" s="1"/>
  <c r="G232" i="103" s="1"/>
  <c r="G233" i="103" s="1"/>
  <c r="AI333" i="114"/>
  <c r="AI28" i="114"/>
  <c r="AK28" i="114" s="1"/>
  <c r="AL28" i="114" s="1"/>
  <c r="AN28" i="114" s="1"/>
  <c r="AI428" i="68"/>
  <c r="AK428" i="68" s="1"/>
  <c r="AL428" i="68" s="1"/>
  <c r="AN428" i="68" s="1"/>
  <c r="AI1526" i="68"/>
  <c r="AK1526" i="68" s="1"/>
  <c r="AL1526" i="68" s="1"/>
  <c r="AN1526" i="68" s="1"/>
  <c r="AI282" i="68"/>
  <c r="AK282" i="68" s="1"/>
  <c r="AL282" i="68" s="1"/>
  <c r="AN282" i="68" s="1"/>
  <c r="E280" i="103"/>
  <c r="AC46" i="114"/>
  <c r="AE46" i="114" s="1"/>
  <c r="AF46" i="114" s="1"/>
  <c r="AH46" i="114" s="1"/>
  <c r="AI46" i="114" s="1"/>
  <c r="AK46" i="114" s="1"/>
  <c r="AL46" i="114" s="1"/>
  <c r="AN46" i="114" s="1"/>
  <c r="AC372" i="114"/>
  <c r="AE372" i="114" s="1"/>
  <c r="AF372" i="114" s="1"/>
  <c r="AH372" i="114" s="1"/>
  <c r="AI372" i="114" s="1"/>
  <c r="AK372" i="114" s="1"/>
  <c r="AL372" i="114" s="1"/>
  <c r="AN372" i="114" s="1"/>
  <c r="AC443" i="68"/>
  <c r="AE443" i="68" s="1"/>
  <c r="AF443" i="68" s="1"/>
  <c r="AH443" i="68" s="1"/>
  <c r="AI443" i="68" s="1"/>
  <c r="AK443" i="68" s="1"/>
  <c r="AL443" i="68" s="1"/>
  <c r="AN443" i="68" s="1"/>
  <c r="AC1550" i="68"/>
  <c r="AE1550" i="68" s="1"/>
  <c r="AF1550" i="68" s="1"/>
  <c r="AH1550" i="68" s="1"/>
  <c r="AI1550" i="68" s="1"/>
  <c r="AK1550" i="68" s="1"/>
  <c r="AL1550" i="68" s="1"/>
  <c r="AN1550" i="68" s="1"/>
  <c r="AC1919" i="68"/>
  <c r="AE1919" i="68" s="1"/>
  <c r="AF1919" i="68" s="1"/>
  <c r="AH1919" i="68" s="1"/>
  <c r="AI1919" i="68" s="1"/>
  <c r="AK1919" i="68" s="1"/>
  <c r="AL1919" i="68" s="1"/>
  <c r="AN1919" i="68" s="1"/>
  <c r="AC302" i="68"/>
  <c r="AE302" i="68" s="1"/>
  <c r="AF302" i="68" s="1"/>
  <c r="AH302" i="68" s="1"/>
  <c r="AI302" i="68" s="1"/>
  <c r="AK302" i="68" s="1"/>
  <c r="AL302" i="68" s="1"/>
  <c r="AN302" i="68" s="1"/>
  <c r="F370" i="103"/>
  <c r="AF748" i="114"/>
  <c r="AH748" i="114" s="1"/>
  <c r="AI748" i="114" s="1"/>
  <c r="AK748" i="114" s="1"/>
  <c r="AL748" i="114" s="1"/>
  <c r="AN748" i="114" s="1"/>
  <c r="AF743" i="114"/>
  <c r="AF58" i="114"/>
  <c r="AH58" i="114" s="1"/>
  <c r="AI58" i="114" s="1"/>
  <c r="AK58" i="114" s="1"/>
  <c r="AL58" i="114" s="1"/>
  <c r="AN58" i="114" s="1"/>
  <c r="AF751" i="114"/>
  <c r="AH751" i="114" s="1"/>
  <c r="AI751" i="114" s="1"/>
  <c r="AK751" i="114" s="1"/>
  <c r="AL751" i="114" s="1"/>
  <c r="AN751" i="114" s="1"/>
  <c r="AF349" i="114"/>
  <c r="AH349" i="114" s="1"/>
  <c r="AI349" i="114" s="1"/>
  <c r="AK349" i="114" s="1"/>
  <c r="AL349" i="114" s="1"/>
  <c r="AN349" i="114" s="1"/>
  <c r="E123" i="103"/>
  <c r="E147" i="103" s="1"/>
  <c r="E148" i="103" s="1"/>
  <c r="E149" i="103" s="1"/>
  <c r="E150" i="103" s="1"/>
  <c r="E76" i="103"/>
  <c r="AC72" i="68"/>
  <c r="AE72" i="68" s="1"/>
  <c r="AF72" i="68" s="1"/>
  <c r="AH72" i="68" s="1"/>
  <c r="AI72" i="68" s="1"/>
  <c r="AK72" i="68" s="1"/>
  <c r="AL72" i="68" s="1"/>
  <c r="AN72" i="68" s="1"/>
  <c r="Y87" i="32"/>
  <c r="X94" i="32"/>
  <c r="S671" i="68"/>
  <c r="R548" i="68"/>
  <c r="Q561" i="68"/>
  <c r="P557" i="68"/>
  <c r="P559" i="68" s="1"/>
  <c r="O569" i="68"/>
  <c r="P569" i="68" s="1"/>
  <c r="Q558" i="68"/>
  <c r="M576" i="68"/>
  <c r="M578" i="68" s="1"/>
  <c r="R551" i="68"/>
  <c r="R558" i="68" s="1"/>
  <c r="O559" i="68"/>
  <c r="O566" i="68"/>
  <c r="P566" i="68" s="1"/>
  <c r="Q569" i="68"/>
  <c r="O567" i="68"/>
  <c r="P567" i="68" s="1"/>
  <c r="R555" i="68"/>
  <c r="P561" i="68"/>
  <c r="R561" i="68"/>
  <c r="O565" i="68"/>
  <c r="P565" i="68" s="1"/>
  <c r="R556" i="68"/>
  <c r="O575" i="68"/>
  <c r="P575" i="68" s="1"/>
  <c r="O563" i="68"/>
  <c r="O573" i="68" s="1"/>
  <c r="P573" i="68" s="1"/>
  <c r="S128" i="68"/>
  <c r="O190" i="115"/>
  <c r="O192" i="115" s="1"/>
  <c r="O317" i="115" s="1"/>
  <c r="Q176" i="115"/>
  <c r="P176" i="115"/>
  <c r="J533" i="114"/>
  <c r="M807" i="68"/>
  <c r="M804" i="68"/>
  <c r="M805" i="68"/>
  <c r="M806" i="68"/>
  <c r="V806" i="68" s="1"/>
  <c r="J343" i="115"/>
  <c r="O800" i="68"/>
  <c r="J341" i="115"/>
  <c r="J530" i="114"/>
  <c r="Q184" i="115"/>
  <c r="Q797" i="68"/>
  <c r="P186" i="115"/>
  <c r="J814" i="68"/>
  <c r="J528" i="114"/>
  <c r="J342" i="115"/>
  <c r="J340" i="115"/>
  <c r="J345" i="115"/>
  <c r="J339" i="115"/>
  <c r="J309" i="115"/>
  <c r="J354" i="115" s="1"/>
  <c r="J338" i="115"/>
  <c r="J344" i="115"/>
  <c r="M324" i="115"/>
  <c r="M332" i="115"/>
  <c r="M323" i="115"/>
  <c r="M328" i="115"/>
  <c r="M305" i="115"/>
  <c r="M326" i="115"/>
  <c r="M330" i="115"/>
  <c r="M301" i="115"/>
  <c r="M336" i="115" s="1"/>
  <c r="M321" i="115"/>
  <c r="M313" i="115"/>
  <c r="M331" i="115"/>
  <c r="P189" i="115"/>
  <c r="M509" i="114"/>
  <c r="M516" i="114" s="1"/>
  <c r="P508" i="114"/>
  <c r="P505" i="114"/>
  <c r="P507" i="114"/>
  <c r="M513" i="114"/>
  <c r="M512" i="114"/>
  <c r="P512" i="114" s="1"/>
  <c r="O514" i="114"/>
  <c r="Q503" i="114"/>
  <c r="O513" i="114"/>
  <c r="Q502" i="114"/>
  <c r="R68" i="114"/>
  <c r="R502" i="114"/>
  <c r="M514" i="114"/>
  <c r="Q501" i="114"/>
  <c r="R500" i="114"/>
  <c r="J535" i="114"/>
  <c r="R501" i="114"/>
  <c r="P506" i="114"/>
  <c r="Q500" i="114"/>
  <c r="O509" i="114"/>
  <c r="O516" i="114" s="1"/>
  <c r="P511" i="114"/>
  <c r="R503" i="114"/>
  <c r="R504" i="114"/>
  <c r="R499" i="114"/>
  <c r="Q504" i="114"/>
  <c r="J526" i="114"/>
  <c r="J537" i="114" s="1"/>
  <c r="J527" i="114"/>
  <c r="Q499" i="114"/>
  <c r="M308" i="115"/>
  <c r="M302" i="115"/>
  <c r="M318" i="115"/>
  <c r="M327" i="115"/>
  <c r="M316" i="115"/>
  <c r="M312" i="115"/>
  <c r="J333" i="115"/>
  <c r="R182" i="115"/>
  <c r="M319" i="115"/>
  <c r="R158" i="115"/>
  <c r="P160" i="115"/>
  <c r="Q160" i="115"/>
  <c r="R163" i="115"/>
  <c r="R166" i="115"/>
  <c r="R165" i="115"/>
  <c r="Q189" i="115"/>
  <c r="R180" i="115"/>
  <c r="R162" i="115"/>
  <c r="R154" i="115"/>
  <c r="M303" i="115"/>
  <c r="R151" i="115"/>
  <c r="R183" i="115" s="1"/>
  <c r="R169" i="115"/>
  <c r="R172" i="115"/>
  <c r="R155" i="115"/>
  <c r="R152" i="115"/>
  <c r="M322" i="115"/>
  <c r="M314" i="115"/>
  <c r="M320" i="115"/>
  <c r="M315" i="115"/>
  <c r="M325" i="115"/>
  <c r="M317" i="115"/>
  <c r="R168" i="115"/>
  <c r="P185" i="115"/>
  <c r="R153" i="115"/>
  <c r="R157" i="115"/>
  <c r="R174" i="115"/>
  <c r="R173" i="115"/>
  <c r="R178" i="115"/>
  <c r="M304" i="115"/>
  <c r="R159" i="115"/>
  <c r="R171" i="115"/>
  <c r="R181" i="115"/>
  <c r="R170" i="115"/>
  <c r="M306" i="115"/>
  <c r="M335" i="115"/>
  <c r="M329" i="115"/>
  <c r="M311" i="115"/>
  <c r="R179" i="115"/>
  <c r="P188" i="115"/>
  <c r="Q188" i="115"/>
  <c r="Q186" i="115"/>
  <c r="R164" i="115"/>
  <c r="R167" i="115"/>
  <c r="O320" i="115"/>
  <c r="O306" i="115"/>
  <c r="Q185" i="115"/>
  <c r="R156" i="115"/>
  <c r="R175" i="115"/>
  <c r="O801" i="68"/>
  <c r="P801" i="68" s="1"/>
  <c r="O798" i="68"/>
  <c r="O803" i="68" s="1"/>
  <c r="P803" i="68" s="1"/>
  <c r="P794" i="68"/>
  <c r="O802" i="68"/>
  <c r="P802" i="68" s="1"/>
  <c r="R791" i="68"/>
  <c r="R790" i="68"/>
  <c r="R788" i="68"/>
  <c r="R793" i="68"/>
  <c r="R789" i="68"/>
  <c r="J812" i="68"/>
  <c r="Q795" i="68"/>
  <c r="Q800" i="68" s="1"/>
  <c r="Q796" i="68"/>
  <c r="J815" i="68"/>
  <c r="S633" i="68"/>
  <c r="R687" i="68"/>
  <c r="S681" i="68"/>
  <c r="S684" i="68"/>
  <c r="S685" i="68" s="1"/>
  <c r="S450" i="68"/>
  <c r="S1043" i="115"/>
  <c r="S1045" i="115" s="1"/>
  <c r="R1047" i="115"/>
  <c r="S246" i="68"/>
  <c r="M31" i="6"/>
  <c r="S233" i="68"/>
  <c r="O1933" i="68"/>
  <c r="S266" i="68"/>
  <c r="S264" i="68"/>
  <c r="F29" i="6"/>
  <c r="P28" i="6"/>
  <c r="S544" i="68"/>
  <c r="S259" i="68"/>
  <c r="S262" i="68"/>
  <c r="R274" i="68"/>
  <c r="S265" i="68"/>
  <c r="S329" i="114"/>
  <c r="S200" i="114"/>
  <c r="S235" i="114"/>
  <c r="S638" i="114"/>
  <c r="S641" i="114" s="1"/>
  <c r="S337" i="114"/>
  <c r="S357" i="114"/>
  <c r="S430" i="114"/>
  <c r="S465" i="114"/>
  <c r="S472" i="114"/>
  <c r="S659" i="114"/>
  <c r="S627" i="114"/>
  <c r="S284" i="114"/>
  <c r="S377" i="114"/>
  <c r="S227" i="114"/>
  <c r="S78" i="115"/>
  <c r="S860" i="115"/>
  <c r="S864" i="115" s="1"/>
  <c r="S113" i="115"/>
  <c r="S415" i="115"/>
  <c r="S420" i="115" s="1"/>
  <c r="S721" i="115"/>
  <c r="S852" i="115"/>
  <c r="S794" i="115"/>
  <c r="S64" i="115"/>
  <c r="S659" i="115"/>
  <c r="S272" i="115"/>
  <c r="S819" i="115"/>
  <c r="S102" i="115"/>
  <c r="S294" i="115"/>
  <c r="S313" i="68"/>
  <c r="S747" i="68"/>
  <c r="S1712" i="68"/>
  <c r="S1129" i="68"/>
  <c r="S392" i="68"/>
  <c r="S402" i="68" s="1"/>
  <c r="S348" i="68"/>
  <c r="S1668" i="68"/>
  <c r="S738" i="68"/>
  <c r="S1140" i="68"/>
  <c r="S238" i="68"/>
  <c r="S1763" i="68"/>
  <c r="S1204" i="68"/>
  <c r="S1640" i="68"/>
  <c r="S255" i="68"/>
  <c r="S206" i="68"/>
  <c r="S1155" i="68"/>
  <c r="S1158" i="68" s="1"/>
  <c r="S639" i="68"/>
  <c r="S641" i="68" s="1"/>
  <c r="S678" i="68"/>
  <c r="S240" i="68"/>
  <c r="S1370" i="68"/>
  <c r="S250" i="68"/>
  <c r="S168" i="68"/>
  <c r="S485" i="68"/>
  <c r="S858" i="68"/>
  <c r="S286" i="68"/>
  <c r="S358" i="68"/>
  <c r="S404" i="68"/>
  <c r="S417" i="68" s="1"/>
  <c r="S111" i="68"/>
  <c r="S232" i="68"/>
  <c r="S310" i="68"/>
  <c r="S904" i="68"/>
  <c r="S537" i="68"/>
  <c r="S467" i="68"/>
  <c r="S447" i="68"/>
  <c r="S1813" i="68"/>
  <c r="S1912" i="68"/>
  <c r="S1678" i="68"/>
  <c r="S1684" i="68"/>
  <c r="S549" i="114"/>
  <c r="S669" i="114"/>
  <c r="S492" i="114"/>
  <c r="S443" i="114"/>
  <c r="S382" i="114"/>
  <c r="S385" i="114" s="1"/>
  <c r="S608" i="114"/>
  <c r="S729" i="114"/>
  <c r="S41" i="114"/>
  <c r="S752" i="114"/>
  <c r="S985" i="115"/>
  <c r="S428" i="115"/>
  <c r="S430" i="115" s="1"/>
  <c r="S943" i="115"/>
  <c r="S555" i="115"/>
  <c r="S252" i="115"/>
  <c r="S537" i="115"/>
  <c r="S38" i="115"/>
  <c r="S649" i="115"/>
  <c r="S1000" i="115"/>
  <c r="S394" i="115"/>
  <c r="S283" i="115"/>
  <c r="S54" i="115"/>
  <c r="S956" i="115"/>
  <c r="S349" i="115"/>
  <c r="S377" i="115"/>
  <c r="S839" i="115"/>
  <c r="S965" i="115"/>
  <c r="S731" i="68"/>
  <c r="S1442" i="68"/>
  <c r="S1048" i="68"/>
  <c r="S1021" i="68"/>
  <c r="S1434" i="68"/>
  <c r="S472" i="68"/>
  <c r="S1915" i="68"/>
  <c r="S173" i="68"/>
  <c r="S1612" i="68"/>
  <c r="S1700" i="68"/>
  <c r="S1341" i="68"/>
  <c r="S1257" i="68"/>
  <c r="S521" i="68"/>
  <c r="S197" i="68"/>
  <c r="S525" i="68"/>
  <c r="S256" i="68"/>
  <c r="S845" i="68"/>
  <c r="S323" i="68"/>
  <c r="S715" i="68"/>
  <c r="S1806" i="68"/>
  <c r="S945" i="68"/>
  <c r="S1379" i="68"/>
  <c r="S236" i="68"/>
  <c r="S154" i="68"/>
  <c r="S257" i="68"/>
  <c r="S658" i="68"/>
  <c r="S668" i="68" s="1"/>
  <c r="S598" i="68"/>
  <c r="S254" i="68"/>
  <c r="S182" i="68"/>
  <c r="S226" i="68"/>
  <c r="S934" i="68"/>
  <c r="S241" i="68"/>
  <c r="S1172" i="68"/>
  <c r="S1033" i="68"/>
  <c r="S1791" i="68"/>
  <c r="S247" i="68"/>
  <c r="S149" i="68"/>
  <c r="S1250" i="68"/>
  <c r="S1260" i="68"/>
  <c r="S764" i="68"/>
  <c r="S479" i="114"/>
  <c r="S420" i="114"/>
  <c r="S267" i="114"/>
  <c r="S351" i="114"/>
  <c r="S448" i="114"/>
  <c r="S309" i="114"/>
  <c r="S53" i="114"/>
  <c r="S364" i="114"/>
  <c r="S298" i="114"/>
  <c r="S95" i="114"/>
  <c r="S598" i="114"/>
  <c r="S488" i="114"/>
  <c r="S247" i="114"/>
  <c r="S689" i="114"/>
  <c r="S741" i="114"/>
  <c r="S289" i="115"/>
  <c r="S237" i="115"/>
  <c r="S914" i="115"/>
  <c r="S926" i="115"/>
  <c r="S568" i="115"/>
  <c r="S881" i="115"/>
  <c r="S886" i="115"/>
  <c r="S507" i="115"/>
  <c r="S137" i="115"/>
  <c r="S673" i="115"/>
  <c r="S128" i="115"/>
  <c r="S205" i="115"/>
  <c r="S784" i="115"/>
  <c r="S917" i="115"/>
  <c r="S575" i="115"/>
  <c r="S234" i="115"/>
  <c r="S894" i="115"/>
  <c r="S299" i="68"/>
  <c r="S1797" i="68"/>
  <c r="S372" i="68"/>
  <c r="S374" i="68" s="1"/>
  <c r="S916" i="68"/>
  <c r="S1596" i="68"/>
  <c r="S1749" i="68"/>
  <c r="S1387" i="68"/>
  <c r="S1544" i="68"/>
  <c r="S1347" i="68"/>
  <c r="S545" i="68"/>
  <c r="S975" i="68"/>
  <c r="S1439" i="68"/>
  <c r="S890" i="68"/>
  <c r="S1408" i="68"/>
  <c r="S217" i="68"/>
  <c r="S1925" i="68"/>
  <c r="S1530" i="68"/>
  <c r="S1774" i="68"/>
  <c r="S610" i="68"/>
  <c r="S670" i="68"/>
  <c r="S1224" i="68"/>
  <c r="S116" i="68"/>
  <c r="S244" i="68"/>
  <c r="S268" i="68"/>
  <c r="S1728" i="68"/>
  <c r="S249" i="68"/>
  <c r="S1237" i="68"/>
  <c r="S778" i="68"/>
  <c r="S1394" i="68"/>
  <c r="S170" i="114"/>
  <c r="S344" i="114"/>
  <c r="S553" i="114"/>
  <c r="S22" i="114"/>
  <c r="S173" i="114"/>
  <c r="S48" i="114"/>
  <c r="S59" i="114"/>
  <c r="S64" i="114"/>
  <c r="S406" i="114"/>
  <c r="S611" i="114"/>
  <c r="S121" i="114"/>
  <c r="S222" i="115"/>
  <c r="S407" i="115"/>
  <c r="S542" i="115"/>
  <c r="S546" i="115" s="1"/>
  <c r="S702" i="115"/>
  <c r="S689" i="115"/>
  <c r="S93" i="115"/>
  <c r="S768" i="115"/>
  <c r="S523" i="115"/>
  <c r="S144" i="115"/>
  <c r="S1034" i="115"/>
  <c r="S995" i="115"/>
  <c r="S328" i="68"/>
  <c r="S531" i="68"/>
  <c r="S144" i="68"/>
  <c r="S1004" i="68"/>
  <c r="S1582" i="68"/>
  <c r="S875" i="68"/>
  <c r="S1450" i="68"/>
  <c r="S1452" i="68" s="1"/>
  <c r="S194" i="68"/>
  <c r="S1659" i="68"/>
  <c r="S989" i="68"/>
  <c r="S263" i="68"/>
  <c r="S541" i="68"/>
  <c r="S1191" i="68"/>
  <c r="S1423" i="68"/>
  <c r="S959" i="68"/>
  <c r="S1897" i="68"/>
  <c r="S1353" i="68"/>
  <c r="S239" i="68"/>
  <c r="S234" i="68"/>
  <c r="S258" i="68"/>
  <c r="S1234" i="68"/>
  <c r="S1588" i="68"/>
  <c r="S707" i="68"/>
  <c r="S646" i="68"/>
  <c r="S592" i="68"/>
  <c r="S1562" i="68"/>
  <c r="S344" i="68"/>
  <c r="S378" i="68"/>
  <c r="S390" i="68" s="1"/>
  <c r="S1629" i="68"/>
  <c r="S919" i="68"/>
  <c r="S702" i="68"/>
  <c r="S96" i="68"/>
  <c r="S1208" i="68"/>
  <c r="S771" i="68"/>
  <c r="T8" i="68"/>
  <c r="T9" i="115"/>
  <c r="T8" i="114"/>
  <c r="A8" i="6"/>
  <c r="A12" i="9" s="1"/>
  <c r="C134" i="6"/>
  <c r="B28" i="6"/>
  <c r="B32" i="9" s="1"/>
  <c r="A27" i="6"/>
  <c r="A31" i="9" s="1"/>
  <c r="M121" i="3" l="1"/>
  <c r="M122" i="3" s="1"/>
  <c r="M123" i="3" s="1"/>
  <c r="X52" i="3" s="1"/>
  <c r="AN331" i="114"/>
  <c r="AL316" i="114"/>
  <c r="AK333" i="114"/>
  <c r="AH340" i="114"/>
  <c r="AH14" i="114"/>
  <c r="AK13" i="114"/>
  <c r="AN26" i="114"/>
  <c r="AF692" i="114"/>
  <c r="AE729" i="114"/>
  <c r="M113" i="3" s="1"/>
  <c r="AI691" i="114"/>
  <c r="AH743" i="114"/>
  <c r="AF752" i="114"/>
  <c r="AL394" i="114"/>
  <c r="AH661" i="114"/>
  <c r="AN650" i="114"/>
  <c r="AK651" i="114"/>
  <c r="AI629" i="114"/>
  <c r="AH643" i="114"/>
  <c r="N97" i="3" s="1"/>
  <c r="AH603" i="114"/>
  <c r="F372" i="103"/>
  <c r="F374" i="103" s="1"/>
  <c r="AF350" i="114"/>
  <c r="AH350" i="114" s="1"/>
  <c r="AI350" i="114" s="1"/>
  <c r="AK350" i="114" s="1"/>
  <c r="AL350" i="114" s="1"/>
  <c r="AN350" i="114" s="1"/>
  <c r="AF356" i="114"/>
  <c r="AH356" i="114" s="1"/>
  <c r="AI356" i="114" s="1"/>
  <c r="AK356" i="114" s="1"/>
  <c r="AL356" i="114" s="1"/>
  <c r="AN356" i="114" s="1"/>
  <c r="E289" i="103"/>
  <c r="E293" i="103" s="1"/>
  <c r="AC437" i="68"/>
  <c r="AE437" i="68" s="1"/>
  <c r="AF437" i="68" s="1"/>
  <c r="AH437" i="68" s="1"/>
  <c r="AI437" i="68" s="1"/>
  <c r="AK437" i="68" s="1"/>
  <c r="AL437" i="68" s="1"/>
  <c r="AN437" i="68" s="1"/>
  <c r="AC298" i="68"/>
  <c r="AE298" i="68" s="1"/>
  <c r="AF298" i="68" s="1"/>
  <c r="AH298" i="68" s="1"/>
  <c r="AI298" i="68" s="1"/>
  <c r="AK298" i="68" s="1"/>
  <c r="AL298" i="68" s="1"/>
  <c r="AN298" i="68" s="1"/>
  <c r="AC1543" i="68"/>
  <c r="AE1543" i="68" s="1"/>
  <c r="AF1543" i="68" s="1"/>
  <c r="AH1543" i="68" s="1"/>
  <c r="AI1543" i="68" s="1"/>
  <c r="AK1543" i="68" s="1"/>
  <c r="AL1543" i="68" s="1"/>
  <c r="AN1543" i="68" s="1"/>
  <c r="E281" i="103"/>
  <c r="AC1551" i="68"/>
  <c r="AE1551" i="68" s="1"/>
  <c r="AF1551" i="68" s="1"/>
  <c r="AH1551" i="68" s="1"/>
  <c r="AI1551" i="68" s="1"/>
  <c r="AK1551" i="68" s="1"/>
  <c r="AL1551" i="68" s="1"/>
  <c r="AN1551" i="68" s="1"/>
  <c r="AC303" i="68"/>
  <c r="AE303" i="68" s="1"/>
  <c r="AF303" i="68" s="1"/>
  <c r="AH303" i="68" s="1"/>
  <c r="AI303" i="68" s="1"/>
  <c r="AK303" i="68" s="1"/>
  <c r="AL303" i="68" s="1"/>
  <c r="AN303" i="68" s="1"/>
  <c r="E151" i="103"/>
  <c r="E152" i="103" s="1"/>
  <c r="AC653" i="114"/>
  <c r="AL624" i="114"/>
  <c r="AN624" i="114" s="1"/>
  <c r="AI334" i="114"/>
  <c r="AK334" i="114" s="1"/>
  <c r="AL334" i="114" s="1"/>
  <c r="AN334" i="114" s="1"/>
  <c r="AI29" i="114"/>
  <c r="AK29" i="114" s="1"/>
  <c r="AL29" i="114" s="1"/>
  <c r="AN29" i="114" s="1"/>
  <c r="AI429" i="68"/>
  <c r="AK429" i="68" s="1"/>
  <c r="AL429" i="68" s="1"/>
  <c r="AN429" i="68" s="1"/>
  <c r="AI1527" i="68"/>
  <c r="AK1527" i="68" s="1"/>
  <c r="AL1527" i="68" s="1"/>
  <c r="AN1527" i="68" s="1"/>
  <c r="AI283" i="68"/>
  <c r="AK283" i="68" s="1"/>
  <c r="AL283" i="68" s="1"/>
  <c r="AN283" i="68" s="1"/>
  <c r="G86" i="103"/>
  <c r="G133" i="103"/>
  <c r="AI592" i="114"/>
  <c r="AK592" i="114" s="1"/>
  <c r="AI686" i="114"/>
  <c r="AK686" i="114" s="1"/>
  <c r="AI20" i="114"/>
  <c r="AK20" i="114" s="1"/>
  <c r="AI328" i="114"/>
  <c r="AK328" i="114" s="1"/>
  <c r="AI656" i="114"/>
  <c r="AK656" i="114" s="1"/>
  <c r="AI83" i="68"/>
  <c r="AK83" i="68" s="1"/>
  <c r="S387" i="114"/>
  <c r="S389" i="114" s="1"/>
  <c r="P46" i="3"/>
  <c r="Y94" i="32"/>
  <c r="S615" i="68"/>
  <c r="S704" i="115"/>
  <c r="S723" i="115" s="1"/>
  <c r="S725" i="115" s="1"/>
  <c r="S555" i="114"/>
  <c r="P800" i="68"/>
  <c r="S543" i="68"/>
  <c r="R557" i="68"/>
  <c r="R567" i="68" s="1"/>
  <c r="Q565" i="68"/>
  <c r="Q572" i="68"/>
  <c r="P563" i="68"/>
  <c r="O574" i="68"/>
  <c r="P574" i="68" s="1"/>
  <c r="O572" i="68"/>
  <c r="P572" i="68" s="1"/>
  <c r="R562" i="68"/>
  <c r="Q568" i="68"/>
  <c r="S550" i="68"/>
  <c r="R566" i="68"/>
  <c r="O571" i="68"/>
  <c r="P571" i="68" s="1"/>
  <c r="O570" i="68"/>
  <c r="P570" i="68" s="1"/>
  <c r="R563" i="68"/>
  <c r="Q570" i="68"/>
  <c r="Q567" i="68"/>
  <c r="Q566" i="68"/>
  <c r="S551" i="68"/>
  <c r="S546" i="68"/>
  <c r="S552" i="68"/>
  <c r="S556" i="68"/>
  <c r="S547" i="68"/>
  <c r="S555" i="68" s="1"/>
  <c r="Q564" i="68"/>
  <c r="R570" i="68"/>
  <c r="R569" i="68"/>
  <c r="Q559" i="68"/>
  <c r="M810" i="68"/>
  <c r="J818" i="68"/>
  <c r="M811" i="68"/>
  <c r="V811" i="68" s="1"/>
  <c r="M809" i="68"/>
  <c r="V809" i="68" s="1"/>
  <c r="R176" i="115"/>
  <c r="X578" i="115"/>
  <c r="Q190" i="115"/>
  <c r="Q192" i="115" s="1"/>
  <c r="Q306" i="115" s="1"/>
  <c r="J355" i="115"/>
  <c r="T750" i="68"/>
  <c r="M808" i="68"/>
  <c r="P190" i="115"/>
  <c r="P192" i="115" s="1"/>
  <c r="P325" i="115" s="1"/>
  <c r="J360" i="115"/>
  <c r="M518" i="114"/>
  <c r="O316" i="115"/>
  <c r="O806" i="68"/>
  <c r="P806" i="68" s="1"/>
  <c r="J351" i="115"/>
  <c r="R186" i="115"/>
  <c r="J350" i="115"/>
  <c r="R184" i="115"/>
  <c r="J357" i="115"/>
  <c r="J361" i="115"/>
  <c r="J348" i="115"/>
  <c r="J347" i="115"/>
  <c r="J356" i="115"/>
  <c r="J346" i="115"/>
  <c r="M517" i="114"/>
  <c r="M515" i="114"/>
  <c r="P509" i="114"/>
  <c r="J819" i="68"/>
  <c r="O805" i="68"/>
  <c r="P805" i="68" s="1"/>
  <c r="M337" i="115"/>
  <c r="M338" i="115"/>
  <c r="M339" i="115"/>
  <c r="M340" i="115"/>
  <c r="R185" i="115"/>
  <c r="O319" i="115"/>
  <c r="O515" i="114"/>
  <c r="P513" i="114"/>
  <c r="M521" i="114"/>
  <c r="P516" i="114"/>
  <c r="O517" i="114"/>
  <c r="O518" i="114"/>
  <c r="Q508" i="114"/>
  <c r="Q507" i="114"/>
  <c r="R505" i="114"/>
  <c r="R511" i="114" s="1"/>
  <c r="P514" i="114"/>
  <c r="R508" i="114"/>
  <c r="Q506" i="114"/>
  <c r="J531" i="114"/>
  <c r="J539" i="114" s="1"/>
  <c r="J546" i="114" s="1"/>
  <c r="R506" i="114"/>
  <c r="R507" i="114"/>
  <c r="O521" i="114"/>
  <c r="Q505" i="114"/>
  <c r="O314" i="115"/>
  <c r="O328" i="115"/>
  <c r="M309" i="115"/>
  <c r="M346" i="115" s="1"/>
  <c r="M341" i="115"/>
  <c r="O329" i="115"/>
  <c r="O304" i="115"/>
  <c r="M344" i="115"/>
  <c r="R189" i="115"/>
  <c r="M343" i="115"/>
  <c r="O313" i="115"/>
  <c r="O303" i="115"/>
  <c r="O321" i="115"/>
  <c r="R188" i="115"/>
  <c r="O308" i="115"/>
  <c r="O325" i="115"/>
  <c r="O312" i="115"/>
  <c r="O302" i="115"/>
  <c r="M345" i="115"/>
  <c r="M342" i="115"/>
  <c r="M333" i="115"/>
  <c r="O305" i="115"/>
  <c r="O330" i="115"/>
  <c r="O322" i="115"/>
  <c r="O332" i="115"/>
  <c r="O315" i="115"/>
  <c r="O318" i="115"/>
  <c r="O331" i="115"/>
  <c r="O335" i="115"/>
  <c r="O307" i="115"/>
  <c r="O324" i="115"/>
  <c r="O326" i="115"/>
  <c r="O327" i="115"/>
  <c r="O301" i="115"/>
  <c r="O323" i="115"/>
  <c r="P332" i="115"/>
  <c r="R160" i="115"/>
  <c r="P317" i="115"/>
  <c r="O311" i="115"/>
  <c r="S787" i="68"/>
  <c r="P798" i="68"/>
  <c r="R796" i="68"/>
  <c r="J817" i="68"/>
  <c r="J816" i="68"/>
  <c r="J821" i="68" s="1"/>
  <c r="R795" i="68"/>
  <c r="O807" i="68"/>
  <c r="P807" i="68" s="1"/>
  <c r="J820" i="68"/>
  <c r="Q801" i="68"/>
  <c r="Q802" i="68"/>
  <c r="Q798" i="68"/>
  <c r="R797" i="68"/>
  <c r="O804" i="68"/>
  <c r="P804" i="68" s="1"/>
  <c r="R794" i="68"/>
  <c r="T581" i="115"/>
  <c r="S452" i="68"/>
  <c r="S286" i="114"/>
  <c r="S208" i="68"/>
  <c r="S783" i="68"/>
  <c r="S156" i="68"/>
  <c r="S133" i="68"/>
  <c r="S481" i="114"/>
  <c r="S1646" i="68"/>
  <c r="S1930" i="68"/>
  <c r="S877" i="68"/>
  <c r="S360" i="68"/>
  <c r="S115" i="115"/>
  <c r="S422" i="115"/>
  <c r="S824" i="115"/>
  <c r="S866" i="115"/>
  <c r="S1686" i="68"/>
  <c r="S1002" i="115"/>
  <c r="S1239" i="68"/>
  <c r="S330" i="68"/>
  <c r="S682" i="68"/>
  <c r="S731" i="114"/>
  <c r="S921" i="68"/>
  <c r="S1736" i="68"/>
  <c r="S1444" i="68"/>
  <c r="M32" i="6"/>
  <c r="K104" i="6"/>
  <c r="J104" i="6"/>
  <c r="S249" i="114"/>
  <c r="S754" i="114"/>
  <c r="S1050" i="68"/>
  <c r="P1933" i="68"/>
  <c r="Q1933" i="68" s="1"/>
  <c r="S961" i="68"/>
  <c r="S752" i="68"/>
  <c r="S613" i="114"/>
  <c r="S615" i="114" s="1"/>
  <c r="S228" i="68"/>
  <c r="S495" i="114"/>
  <c r="S1036" i="115"/>
  <c r="S251" i="114"/>
  <c r="F30" i="6"/>
  <c r="P29" i="6"/>
  <c r="S717" i="68"/>
  <c r="S1263" i="68"/>
  <c r="S450" i="114"/>
  <c r="S643" i="114"/>
  <c r="S645" i="114" s="1"/>
  <c r="S1598" i="68"/>
  <c r="S1213" i="68"/>
  <c r="S548" i="115"/>
  <c r="S900" i="115"/>
  <c r="S296" i="115"/>
  <c r="S970" i="115"/>
  <c r="S184" i="68"/>
  <c r="S1160" i="68"/>
  <c r="S671" i="114"/>
  <c r="S1815" i="68"/>
  <c r="S315" i="68"/>
  <c r="S1570" i="68"/>
  <c r="S239" i="115"/>
  <c r="S583" i="115"/>
  <c r="S928" i="115"/>
  <c r="S533" i="68"/>
  <c r="S1006" i="68"/>
  <c r="S1355" i="68"/>
  <c r="S1779" i="68"/>
  <c r="S146" i="115"/>
  <c r="S123" i="114"/>
  <c r="S311" i="114"/>
  <c r="S1396" i="68"/>
  <c r="S66" i="114"/>
  <c r="S68" i="114" s="1"/>
  <c r="S487" i="68"/>
  <c r="T684" i="68"/>
  <c r="S419" i="68"/>
  <c r="S252" i="68"/>
  <c r="S269" i="68"/>
  <c r="S242" i="68"/>
  <c r="S80" i="115"/>
  <c r="S167" i="115" s="1"/>
  <c r="S656" i="68"/>
  <c r="A7" i="6"/>
  <c r="A11" i="9" s="1"/>
  <c r="C133" i="6"/>
  <c r="B29" i="6"/>
  <c r="B33" i="9" s="1"/>
  <c r="A28" i="6"/>
  <c r="A32" i="9" s="1"/>
  <c r="M29" i="9"/>
  <c r="AL333" i="114" l="1"/>
  <c r="AI340" i="114"/>
  <c r="AK340" i="114" s="1"/>
  <c r="AL340" i="114" s="1"/>
  <c r="AN340" i="114" s="1"/>
  <c r="AN316" i="114"/>
  <c r="AL13" i="114"/>
  <c r="AI14" i="114"/>
  <c r="AK691" i="114"/>
  <c r="AH692" i="114"/>
  <c r="AF729" i="114"/>
  <c r="AI743" i="114"/>
  <c r="AH752" i="114"/>
  <c r="AN394" i="114"/>
  <c r="AE653" i="114"/>
  <c r="AC659" i="114"/>
  <c r="AI661" i="114"/>
  <c r="AL651" i="114"/>
  <c r="AL328" i="114"/>
  <c r="AN328" i="114" s="1"/>
  <c r="AL686" i="114"/>
  <c r="AN686" i="114" s="1"/>
  <c r="AL656" i="114"/>
  <c r="AN656" i="114" s="1"/>
  <c r="AL592" i="114"/>
  <c r="AN592" i="114" s="1"/>
  <c r="AK629" i="114"/>
  <c r="AI643" i="114"/>
  <c r="AL20" i="114"/>
  <c r="AN20" i="114" s="1"/>
  <c r="AI603" i="114"/>
  <c r="E217" i="103"/>
  <c r="E242" i="103" s="1"/>
  <c r="E158" i="103"/>
  <c r="AC17" i="114"/>
  <c r="AC74" i="68"/>
  <c r="AE74" i="68" s="1"/>
  <c r="AF74" i="68" s="1"/>
  <c r="AH74" i="68" s="1"/>
  <c r="AI74" i="68" s="1"/>
  <c r="AK74" i="68" s="1"/>
  <c r="AL74" i="68" s="1"/>
  <c r="AN74" i="68" s="1"/>
  <c r="E282" i="103"/>
  <c r="E283" i="103" s="1"/>
  <c r="AC305" i="68"/>
  <c r="AE305" i="68" s="1"/>
  <c r="AF305" i="68" s="1"/>
  <c r="AH305" i="68" s="1"/>
  <c r="AI305" i="68" s="1"/>
  <c r="AK305" i="68" s="1"/>
  <c r="AL305" i="68" s="1"/>
  <c r="AN305" i="68" s="1"/>
  <c r="AC1557" i="68"/>
  <c r="AE1557" i="68" s="1"/>
  <c r="AF1557" i="68" s="1"/>
  <c r="AH1557" i="68" s="1"/>
  <c r="AI1557" i="68" s="1"/>
  <c r="AK1557" i="68" s="1"/>
  <c r="AL1557" i="68" s="1"/>
  <c r="AN1557" i="68" s="1"/>
  <c r="H86" i="103"/>
  <c r="H133" i="103"/>
  <c r="E302" i="103"/>
  <c r="E303" i="103" s="1"/>
  <c r="AC667" i="114"/>
  <c r="AC360" i="114"/>
  <c r="AC370" i="114"/>
  <c r="AE370" i="114" s="1"/>
  <c r="AF370" i="114" s="1"/>
  <c r="AH370" i="114" s="1"/>
  <c r="AI370" i="114" s="1"/>
  <c r="AK370" i="114" s="1"/>
  <c r="AL370" i="114" s="1"/>
  <c r="AN370" i="114" s="1"/>
  <c r="AC436" i="68"/>
  <c r="AE436" i="68" s="1"/>
  <c r="AF436" i="68" s="1"/>
  <c r="AH436" i="68" s="1"/>
  <c r="AI436" i="68" s="1"/>
  <c r="AK436" i="68" s="1"/>
  <c r="AL436" i="68" s="1"/>
  <c r="AN436" i="68" s="1"/>
  <c r="AC1542" i="68"/>
  <c r="AE1542" i="68" s="1"/>
  <c r="AF1542" i="68" s="1"/>
  <c r="AH1542" i="68" s="1"/>
  <c r="AI1542" i="68" s="1"/>
  <c r="AK1542" i="68" s="1"/>
  <c r="AL1542" i="68" s="1"/>
  <c r="AN1542" i="68" s="1"/>
  <c r="AC401" i="68"/>
  <c r="AE401" i="68" s="1"/>
  <c r="AF401" i="68" s="1"/>
  <c r="AH401" i="68" s="1"/>
  <c r="AI401" i="68" s="1"/>
  <c r="AK401" i="68" s="1"/>
  <c r="AL401" i="68" s="1"/>
  <c r="AN401" i="68" s="1"/>
  <c r="AC251" i="68"/>
  <c r="AE251" i="68" s="1"/>
  <c r="AF251" i="68" s="1"/>
  <c r="AH251" i="68" s="1"/>
  <c r="AI251" i="68" s="1"/>
  <c r="AK251" i="68" s="1"/>
  <c r="AL251" i="68" s="1"/>
  <c r="AN251" i="68" s="1"/>
  <c r="G87" i="103"/>
  <c r="G134" i="103"/>
  <c r="AI737" i="114"/>
  <c r="AI681" i="114"/>
  <c r="AK681" i="114" s="1"/>
  <c r="AI84" i="68"/>
  <c r="AK84" i="68" s="1"/>
  <c r="G254" i="103"/>
  <c r="AI335" i="114"/>
  <c r="AK335" i="114" s="1"/>
  <c r="AL335" i="114" s="1"/>
  <c r="AN335" i="114" s="1"/>
  <c r="AI30" i="114"/>
  <c r="AK30" i="114" s="1"/>
  <c r="AL30" i="114" s="1"/>
  <c r="AN30" i="114" s="1"/>
  <c r="AI430" i="68"/>
  <c r="AK430" i="68" s="1"/>
  <c r="AL430" i="68" s="1"/>
  <c r="AN430" i="68" s="1"/>
  <c r="AI284" i="68"/>
  <c r="AK284" i="68" s="1"/>
  <c r="AL284" i="68" s="1"/>
  <c r="AN284" i="68" s="1"/>
  <c r="AI1528" i="68"/>
  <c r="AK1528" i="68" s="1"/>
  <c r="AL1528" i="68" s="1"/>
  <c r="AN1528" i="68" s="1"/>
  <c r="AL83" i="68"/>
  <c r="AN83" i="68" s="1"/>
  <c r="F392" i="103"/>
  <c r="F375" i="103"/>
  <c r="T685" i="68"/>
  <c r="Y684" i="68"/>
  <c r="Z684" i="68" s="1"/>
  <c r="S548" i="68"/>
  <c r="R559" i="68"/>
  <c r="R568" i="68" s="1"/>
  <c r="P517" i="114"/>
  <c r="M815" i="68"/>
  <c r="P576" i="68"/>
  <c r="P578" i="68" s="1"/>
  <c r="R564" i="68"/>
  <c r="S554" i="68"/>
  <c r="Q575" i="68"/>
  <c r="Q573" i="68"/>
  <c r="S553" i="68"/>
  <c r="R572" i="68"/>
  <c r="O576" i="68"/>
  <c r="O578" i="68" s="1"/>
  <c r="Q571" i="68"/>
  <c r="R571" i="68"/>
  <c r="Q574" i="68"/>
  <c r="R565" i="68"/>
  <c r="R573" i="68" s="1"/>
  <c r="S557" i="68"/>
  <c r="S563" i="68" s="1"/>
  <c r="S561" i="68"/>
  <c r="M525" i="114"/>
  <c r="M812" i="68"/>
  <c r="M814" i="68"/>
  <c r="T128" i="68"/>
  <c r="M524" i="114"/>
  <c r="M522" i="114"/>
  <c r="M519" i="114"/>
  <c r="M526" i="114" s="1"/>
  <c r="P515" i="114"/>
  <c r="M523" i="114"/>
  <c r="J358" i="115"/>
  <c r="T400" i="68"/>
  <c r="J362" i="115"/>
  <c r="T667" i="68"/>
  <c r="T396" i="68"/>
  <c r="T245" i="68"/>
  <c r="T414" i="68"/>
  <c r="J825" i="68"/>
  <c r="O523" i="114"/>
  <c r="J352" i="115"/>
  <c r="J822" i="68"/>
  <c r="J823" i="68"/>
  <c r="O525" i="114"/>
  <c r="X220" i="115"/>
  <c r="X110" i="115"/>
  <c r="X531" i="115"/>
  <c r="X279" i="115"/>
  <c r="X254" i="115"/>
  <c r="X229" i="115"/>
  <c r="T241" i="114"/>
  <c r="U241" i="114" s="1"/>
  <c r="O524" i="114"/>
  <c r="O522" i="114"/>
  <c r="O519" i="114"/>
  <c r="O529" i="114" s="1"/>
  <c r="R513" i="114"/>
  <c r="P313" i="115"/>
  <c r="P308" i="115"/>
  <c r="P324" i="115"/>
  <c r="P331" i="115"/>
  <c r="P306" i="115"/>
  <c r="P323" i="115"/>
  <c r="P319" i="115"/>
  <c r="P328" i="115"/>
  <c r="P302" i="115"/>
  <c r="P316" i="115"/>
  <c r="P327" i="115"/>
  <c r="P307" i="115"/>
  <c r="P335" i="115"/>
  <c r="P322" i="115"/>
  <c r="M355" i="115"/>
  <c r="M347" i="115"/>
  <c r="M360" i="115"/>
  <c r="M357" i="115"/>
  <c r="M361" i="115"/>
  <c r="M350" i="115"/>
  <c r="P312" i="115"/>
  <c r="P329" i="115"/>
  <c r="P314" i="115"/>
  <c r="P305" i="115"/>
  <c r="Q308" i="115"/>
  <c r="S504" i="114"/>
  <c r="S502" i="114"/>
  <c r="S503" i="114"/>
  <c r="Q513" i="114"/>
  <c r="S500" i="114"/>
  <c r="R514" i="114"/>
  <c r="Q511" i="114"/>
  <c r="S499" i="114"/>
  <c r="P521" i="114"/>
  <c r="R509" i="114"/>
  <c r="S505" i="114"/>
  <c r="R512" i="114"/>
  <c r="Q512" i="114"/>
  <c r="Q514" i="114"/>
  <c r="P518" i="114"/>
  <c r="S501" i="114"/>
  <c r="Q509" i="114"/>
  <c r="M354" i="115"/>
  <c r="S175" i="115"/>
  <c r="Q318" i="115"/>
  <c r="P320" i="115"/>
  <c r="P315" i="115"/>
  <c r="J435" i="115"/>
  <c r="J450" i="115"/>
  <c r="J457" i="115"/>
  <c r="J449" i="115"/>
  <c r="J456" i="115"/>
  <c r="J440" i="115"/>
  <c r="J437" i="115"/>
  <c r="J441" i="115"/>
  <c r="J463" i="115"/>
  <c r="J436" i="115"/>
  <c r="J455" i="115"/>
  <c r="J447" i="115"/>
  <c r="J438" i="115"/>
  <c r="J459" i="115"/>
  <c r="J445" i="115"/>
  <c r="J454" i="115"/>
  <c r="J466" i="115"/>
  <c r="J458" i="115"/>
  <c r="J446" i="115"/>
  <c r="J451" i="115"/>
  <c r="J434" i="115"/>
  <c r="J462" i="115"/>
  <c r="J453" i="115"/>
  <c r="J464" i="115"/>
  <c r="J452" i="115"/>
  <c r="J448" i="115"/>
  <c r="J465" i="115"/>
  <c r="J444" i="115"/>
  <c r="Q323" i="115"/>
  <c r="S169" i="115"/>
  <c r="Q314" i="115"/>
  <c r="S153" i="115"/>
  <c r="S182" i="115"/>
  <c r="O339" i="115"/>
  <c r="Q326" i="115"/>
  <c r="Q328" i="115"/>
  <c r="Q329" i="115"/>
  <c r="S154" i="115"/>
  <c r="P311" i="115"/>
  <c r="O336" i="115"/>
  <c r="P303" i="115"/>
  <c r="S178" i="115"/>
  <c r="M356" i="115"/>
  <c r="O344" i="115"/>
  <c r="S159" i="115"/>
  <c r="Q325" i="115"/>
  <c r="Q312" i="115"/>
  <c r="S155" i="115"/>
  <c r="Q316" i="115"/>
  <c r="Q320" i="115"/>
  <c r="P318" i="115"/>
  <c r="Q327" i="115"/>
  <c r="M351" i="115"/>
  <c r="O337" i="115"/>
  <c r="O309" i="115"/>
  <c r="O360" i="115" s="1"/>
  <c r="O345" i="115"/>
  <c r="O343" i="115"/>
  <c r="Q315" i="115"/>
  <c r="Q335" i="115"/>
  <c r="Q304" i="115"/>
  <c r="Q311" i="115"/>
  <c r="P321" i="115"/>
  <c r="R190" i="115"/>
  <c r="R192" i="115" s="1"/>
  <c r="R312" i="115" s="1"/>
  <c r="O341" i="115"/>
  <c r="Q317" i="115"/>
  <c r="S171" i="115"/>
  <c r="Q322" i="115"/>
  <c r="Q302" i="115"/>
  <c r="Q301" i="115"/>
  <c r="Q336" i="115" s="1"/>
  <c r="O340" i="115"/>
  <c r="S152" i="115"/>
  <c r="O333" i="115"/>
  <c r="S166" i="115"/>
  <c r="O342" i="115"/>
  <c r="S181" i="115"/>
  <c r="S158" i="115"/>
  <c r="P326" i="115"/>
  <c r="Q331" i="115"/>
  <c r="P330" i="115"/>
  <c r="S165" i="115"/>
  <c r="M348" i="115"/>
  <c r="O338" i="115"/>
  <c r="S163" i="115"/>
  <c r="Q332" i="115"/>
  <c r="Q303" i="115"/>
  <c r="S173" i="115"/>
  <c r="S172" i="115"/>
  <c r="P304" i="115"/>
  <c r="S151" i="115"/>
  <c r="S164" i="115"/>
  <c r="S156" i="115"/>
  <c r="S179" i="115"/>
  <c r="S162" i="115"/>
  <c r="S157" i="115"/>
  <c r="S168" i="115"/>
  <c r="Q307" i="115"/>
  <c r="Q313" i="115"/>
  <c r="Q321" i="115"/>
  <c r="Q324" i="115"/>
  <c r="S174" i="115"/>
  <c r="Q319" i="115"/>
  <c r="Q305" i="115"/>
  <c r="S180" i="115"/>
  <c r="Q330" i="115"/>
  <c r="P301" i="115"/>
  <c r="S170" i="115"/>
  <c r="Q804" i="68"/>
  <c r="O810" i="68"/>
  <c r="R800" i="68"/>
  <c r="O811" i="68"/>
  <c r="R802" i="68"/>
  <c r="S793" i="68"/>
  <c r="S791" i="68"/>
  <c r="R801" i="68"/>
  <c r="Q806" i="68"/>
  <c r="S790" i="68"/>
  <c r="S789" i="68"/>
  <c r="S788" i="68"/>
  <c r="M816" i="68"/>
  <c r="M817" i="68"/>
  <c r="R798" i="68"/>
  <c r="Q803" i="68"/>
  <c r="Q805" i="68"/>
  <c r="J824" i="68"/>
  <c r="O808" i="68"/>
  <c r="P808" i="68" s="1"/>
  <c r="O809" i="68"/>
  <c r="U581" i="115"/>
  <c r="V581" i="115"/>
  <c r="X581" i="115"/>
  <c r="S687" i="68"/>
  <c r="T633" i="68"/>
  <c r="U684" i="68"/>
  <c r="V684" i="68"/>
  <c r="T1043" i="115"/>
  <c r="S1047" i="115"/>
  <c r="T450" i="68"/>
  <c r="D33" i="9"/>
  <c r="M33" i="6"/>
  <c r="X49" i="115"/>
  <c r="X558" i="115"/>
  <c r="X48" i="115"/>
  <c r="X210" i="115"/>
  <c r="R1933" i="68"/>
  <c r="X217" i="115"/>
  <c r="F31" i="6"/>
  <c r="P30" i="6"/>
  <c r="S274" i="68"/>
  <c r="U50" i="114"/>
  <c r="T53" i="114"/>
  <c r="V50" i="114"/>
  <c r="T553" i="114"/>
  <c r="T41" i="114"/>
  <c r="U39" i="114"/>
  <c r="V39" i="114"/>
  <c r="U14" i="114"/>
  <c r="V14" i="114"/>
  <c r="T638" i="114"/>
  <c r="T22" i="114"/>
  <c r="I56" i="3" s="1"/>
  <c r="K56" i="3" s="1"/>
  <c r="U13" i="114"/>
  <c r="V13" i="114"/>
  <c r="T542" i="115"/>
  <c r="X541" i="115"/>
  <c r="T187" i="115"/>
  <c r="X111" i="115"/>
  <c r="X247" i="115"/>
  <c r="X526" i="115"/>
  <c r="X209" i="115"/>
  <c r="T507" i="115"/>
  <c r="X498" i="115"/>
  <c r="T1034" i="115"/>
  <c r="X211" i="115"/>
  <c r="X506" i="115"/>
  <c r="T64" i="115"/>
  <c r="X56" i="115"/>
  <c r="T995" i="115"/>
  <c r="X516" i="115"/>
  <c r="X261" i="115"/>
  <c r="T113" i="115"/>
  <c r="T917" i="115"/>
  <c r="X86" i="115"/>
  <c r="X21" i="115"/>
  <c r="X23" i="115"/>
  <c r="X533" i="115"/>
  <c r="X499" i="115"/>
  <c r="T852" i="115"/>
  <c r="X405" i="115"/>
  <c r="X376" i="115"/>
  <c r="X532" i="115"/>
  <c r="T943" i="115"/>
  <c r="X282" i="115"/>
  <c r="X370" i="115"/>
  <c r="X124" i="115"/>
  <c r="X76" i="115"/>
  <c r="X16" i="115"/>
  <c r="X270" i="115"/>
  <c r="X525" i="115"/>
  <c r="X233" i="115"/>
  <c r="X258" i="115"/>
  <c r="T102" i="115"/>
  <c r="X95" i="115"/>
  <c r="X101" i="115"/>
  <c r="X403" i="115"/>
  <c r="X50" i="115"/>
  <c r="X570" i="115"/>
  <c r="T575" i="115"/>
  <c r="T914" i="115"/>
  <c r="X61" i="115"/>
  <c r="X534" i="115"/>
  <c r="X70" i="115"/>
  <c r="X536" i="115"/>
  <c r="X77" i="115"/>
  <c r="X75" i="115"/>
  <c r="X31" i="115"/>
  <c r="X281" i="115"/>
  <c r="X28" i="115"/>
  <c r="X500" i="115"/>
  <c r="X389" i="115"/>
  <c r="X390" i="115"/>
  <c r="T555" i="115"/>
  <c r="X554" i="115"/>
  <c r="X246" i="115"/>
  <c r="X123" i="115"/>
  <c r="X107" i="115"/>
  <c r="X198" i="115"/>
  <c r="X259" i="115"/>
  <c r="X36" i="115"/>
  <c r="X20" i="115"/>
  <c r="X529" i="115"/>
  <c r="X401" i="115"/>
  <c r="T965" i="115"/>
  <c r="T237" i="68"/>
  <c r="Y237" i="68" s="1"/>
  <c r="Z237" i="68" s="1"/>
  <c r="T404" i="68"/>
  <c r="Y404" i="68" s="1"/>
  <c r="Z404" i="68" s="1"/>
  <c r="AB404" i="68" s="1"/>
  <c r="AC404" i="68" s="1"/>
  <c r="AE404" i="68" s="1"/>
  <c r="AF404" i="68" s="1"/>
  <c r="AH404" i="68" s="1"/>
  <c r="AI404" i="68" s="1"/>
  <c r="AK404" i="68" s="1"/>
  <c r="AL404" i="68" s="1"/>
  <c r="AN404" i="68" s="1"/>
  <c r="T358" i="68"/>
  <c r="T1530" i="68"/>
  <c r="T1774" i="68"/>
  <c r="T415" i="68"/>
  <c r="Y415" i="68" s="1"/>
  <c r="Z415" i="68" s="1"/>
  <c r="T1191" i="68"/>
  <c r="T1408" i="68"/>
  <c r="T372" i="68"/>
  <c r="T374" i="68" s="1"/>
  <c r="T1450" i="68"/>
  <c r="T1452" i="68" s="1"/>
  <c r="T182" i="68"/>
  <c r="T254" i="68"/>
  <c r="Y254" i="68" s="1"/>
  <c r="Z254" i="68" s="1"/>
  <c r="T233" i="68"/>
  <c r="Y233" i="68" s="1"/>
  <c r="Z233" i="68" s="1"/>
  <c r="T250" i="68"/>
  <c r="Y250" i="68" s="1"/>
  <c r="Z250" i="68" s="1"/>
  <c r="T1260" i="68"/>
  <c r="T239" i="68"/>
  <c r="Y239" i="68" s="1"/>
  <c r="Z239" i="68" s="1"/>
  <c r="T1423" i="68"/>
  <c r="T659" i="68"/>
  <c r="Y659" i="68" s="1"/>
  <c r="Z659" i="68" s="1"/>
  <c r="AB659" i="68" s="1"/>
  <c r="T399" i="68"/>
  <c r="Y399" i="68" s="1"/>
  <c r="Z399" i="68" s="1"/>
  <c r="T197" i="68"/>
  <c r="T173" i="68"/>
  <c r="T168" i="68"/>
  <c r="T771" i="68"/>
  <c r="T472" i="68"/>
  <c r="T1155" i="68"/>
  <c r="T380" i="68"/>
  <c r="Y380" i="68" s="1"/>
  <c r="Z380" i="68" s="1"/>
  <c r="T1004" i="68"/>
  <c r="T383" i="68"/>
  <c r="Y383" i="68" s="1"/>
  <c r="Z383" i="68" s="1"/>
  <c r="T259" i="68"/>
  <c r="Y259" i="68" s="1"/>
  <c r="Z259" i="68" s="1"/>
  <c r="T598" i="68"/>
  <c r="T658" i="68"/>
  <c r="Y658" i="68" s="1"/>
  <c r="Z658" i="68" s="1"/>
  <c r="T1442" i="68"/>
  <c r="T674" i="68"/>
  <c r="Y674" i="68" s="1"/>
  <c r="Z674" i="68" s="1"/>
  <c r="AB674" i="68" s="1"/>
  <c r="T246" i="68"/>
  <c r="Y246" i="68" s="1"/>
  <c r="Z246" i="68" s="1"/>
  <c r="T226" i="68"/>
  <c r="T662" i="68"/>
  <c r="Y662" i="68" s="1"/>
  <c r="Z662" i="68" s="1"/>
  <c r="T673" i="68"/>
  <c r="Y673" i="68" s="1"/>
  <c r="Z673" i="68" s="1"/>
  <c r="T959" i="68"/>
  <c r="T397" i="68"/>
  <c r="Y397" i="68" s="1"/>
  <c r="Z397" i="68" s="1"/>
  <c r="T1596" i="68"/>
  <c r="T116" i="68"/>
  <c r="T244" i="68"/>
  <c r="Y244" i="68" s="1"/>
  <c r="Z244" i="68" s="1"/>
  <c r="T653" i="68"/>
  <c r="Y653" i="68" s="1"/>
  <c r="Z653" i="68" s="1"/>
  <c r="T1728" i="68"/>
  <c r="T639" i="68"/>
  <c r="T641" i="68" s="1"/>
  <c r="T678" i="68"/>
  <c r="Y678" i="68" s="1"/>
  <c r="Z678" i="68" s="1"/>
  <c r="AB678" i="68" s="1"/>
  <c r="T1897" i="68"/>
  <c r="T731" i="68"/>
  <c r="T257" i="68"/>
  <c r="Y257" i="68" s="1"/>
  <c r="Z257" i="68" s="1"/>
  <c r="T154" i="68"/>
  <c r="T661" i="68"/>
  <c r="Y661" i="68" s="1"/>
  <c r="Z661" i="68" s="1"/>
  <c r="T1341" i="68"/>
  <c r="T1813" i="68"/>
  <c r="T1678" i="68"/>
  <c r="T382" i="114"/>
  <c r="T385" i="114" s="1"/>
  <c r="T364" i="114"/>
  <c r="T95" i="114"/>
  <c r="T329" i="114"/>
  <c r="T64" i="114"/>
  <c r="T448" i="114"/>
  <c r="U448" i="114" s="1"/>
  <c r="T351" i="114"/>
  <c r="T611" i="114"/>
  <c r="U611" i="114" s="1"/>
  <c r="T48" i="114"/>
  <c r="U44" i="114"/>
  <c r="V44" i="114"/>
  <c r="T173" i="114"/>
  <c r="T741" i="114"/>
  <c r="I120" i="3" s="1"/>
  <c r="T247" i="114"/>
  <c r="U247" i="114" s="1"/>
  <c r="X97" i="115"/>
  <c r="X374" i="115"/>
  <c r="T784" i="115"/>
  <c r="X371" i="115"/>
  <c r="X133" i="115"/>
  <c r="X384" i="115"/>
  <c r="X515" i="115"/>
  <c r="X565" i="115"/>
  <c r="T1000" i="115"/>
  <c r="X228" i="115"/>
  <c r="X250" i="115"/>
  <c r="X15" i="115"/>
  <c r="X67" i="115"/>
  <c r="X112" i="115"/>
  <c r="T673" i="115"/>
  <c r="T222" i="115"/>
  <c r="X207" i="115"/>
  <c r="X88" i="115"/>
  <c r="X108" i="115"/>
  <c r="X251" i="115"/>
  <c r="X560" i="115"/>
  <c r="X90" i="115"/>
  <c r="X510" i="115"/>
  <c r="X30" i="115"/>
  <c r="X58" i="115"/>
  <c r="X268" i="115"/>
  <c r="T38" i="115"/>
  <c r="X11" i="115"/>
  <c r="X96" i="115"/>
  <c r="X12" i="115"/>
  <c r="X518" i="115"/>
  <c r="X276" i="115"/>
  <c r="T54" i="115"/>
  <c r="X43" i="115"/>
  <c r="X505" i="115"/>
  <c r="X219" i="115"/>
  <c r="X375" i="115"/>
  <c r="X503" i="115"/>
  <c r="X230" i="115"/>
  <c r="X106" i="115"/>
  <c r="X127" i="115"/>
  <c r="X513" i="115"/>
  <c r="T1036" i="115"/>
  <c r="X32" i="115"/>
  <c r="X22" i="115"/>
  <c r="X62" i="115"/>
  <c r="T234" i="115"/>
  <c r="X224" i="115"/>
  <c r="T659" i="115"/>
  <c r="X213" i="115"/>
  <c r="T649" i="115"/>
  <c r="X398" i="115"/>
  <c r="X397" i="115"/>
  <c r="T407" i="115"/>
  <c r="X396" i="115"/>
  <c r="X105" i="115"/>
  <c r="X202" i="115"/>
  <c r="X383" i="115"/>
  <c r="X372" i="115"/>
  <c r="X89" i="115"/>
  <c r="X69" i="115"/>
  <c r="X44" i="115"/>
  <c r="X402" i="115"/>
  <c r="X417" i="115"/>
  <c r="X134" i="115"/>
  <c r="X227" i="115"/>
  <c r="X98" i="115"/>
  <c r="X528" i="115"/>
  <c r="T894" i="115"/>
  <c r="X262" i="115"/>
  <c r="T1612" i="68"/>
  <c r="T875" i="68"/>
  <c r="T540" i="68"/>
  <c r="Y540" i="68" s="1"/>
  <c r="Z540" i="68" s="1"/>
  <c r="T679" i="68"/>
  <c r="Y679" i="68" s="1"/>
  <c r="Z679" i="68" s="1"/>
  <c r="T715" i="68"/>
  <c r="T394" i="68"/>
  <c r="Y394" i="68" s="1"/>
  <c r="Z394" i="68" s="1"/>
  <c r="AB394" i="68" s="1"/>
  <c r="T707" i="68"/>
  <c r="T286" i="68"/>
  <c r="T1700" i="68"/>
  <c r="T447" i="68"/>
  <c r="T389" i="68"/>
  <c r="Y389" i="68" s="1"/>
  <c r="Z389" i="68" s="1"/>
  <c r="T256" i="68"/>
  <c r="Y256" i="68" s="1"/>
  <c r="Z256" i="68" s="1"/>
  <c r="T1915" i="68"/>
  <c r="T1394" i="68"/>
  <c r="T393" i="68"/>
  <c r="Y393" i="68" s="1"/>
  <c r="Z393" i="68" s="1"/>
  <c r="AB393" i="68" s="1"/>
  <c r="T485" i="68"/>
  <c r="T236" i="68"/>
  <c r="Y236" i="68" s="1"/>
  <c r="Z236" i="68" s="1"/>
  <c r="T989" i="68"/>
  <c r="T610" i="68"/>
  <c r="T670" i="68"/>
  <c r="Y670" i="68" s="1"/>
  <c r="Z670" i="68" s="1"/>
  <c r="AB670" i="68" s="1"/>
  <c r="T1204" i="68"/>
  <c r="T1434" i="68"/>
  <c r="T651" i="68"/>
  <c r="Y651" i="68" s="1"/>
  <c r="Z651" i="68" s="1"/>
  <c r="T934" i="68"/>
  <c r="T241" i="68"/>
  <c r="Y241" i="68" s="1"/>
  <c r="Z241" i="68" s="1"/>
  <c r="T677" i="68"/>
  <c r="Y677" i="68" s="1"/>
  <c r="Z677" i="68" s="1"/>
  <c r="AB677" i="68" s="1"/>
  <c r="T890" i="68"/>
  <c r="T263" i="68"/>
  <c r="Y263" i="68" s="1"/>
  <c r="T313" i="68"/>
  <c r="T652" i="68"/>
  <c r="Y652" i="68" s="1"/>
  <c r="Z652" i="68" s="1"/>
  <c r="T521" i="68"/>
  <c r="T323" i="68"/>
  <c r="T648" i="68"/>
  <c r="Y648" i="68" s="1"/>
  <c r="Z648" i="68" s="1"/>
  <c r="T676" i="68"/>
  <c r="Y676" i="68" s="1"/>
  <c r="Z676" i="68" s="1"/>
  <c r="T264" i="68"/>
  <c r="Y264" i="68" s="1"/>
  <c r="Z264" i="68" s="1"/>
  <c r="AB264" i="68" s="1"/>
  <c r="T144" i="68"/>
  <c r="T919" i="68"/>
  <c r="T206" i="68"/>
  <c r="T255" i="68"/>
  <c r="Y255" i="68" s="1"/>
  <c r="Z255" i="68" s="1"/>
  <c r="T665" i="68"/>
  <c r="Y665" i="68" s="1"/>
  <c r="Z665" i="68" s="1"/>
  <c r="T1387" i="68"/>
  <c r="T646" i="68"/>
  <c r="Y646" i="68" s="1"/>
  <c r="Z646" i="68" s="1"/>
  <c r="T592" i="68"/>
  <c r="T386" i="68"/>
  <c r="Y386" i="68" s="1"/>
  <c r="Z386" i="68" s="1"/>
  <c r="T310" i="68"/>
  <c r="T194" i="68"/>
  <c r="T249" i="68"/>
  <c r="Y249" i="68" s="1"/>
  <c r="Z249" i="68" s="1"/>
  <c r="U1561" i="68"/>
  <c r="V1561" i="68"/>
  <c r="T265" i="68"/>
  <c r="Y265" i="68" s="1"/>
  <c r="Z265" i="68" s="1"/>
  <c r="T298" i="114"/>
  <c r="G109" i="6"/>
  <c r="T627" i="114"/>
  <c r="I96" i="3" s="1"/>
  <c r="K96" i="3" s="1"/>
  <c r="T284" i="114"/>
  <c r="U57" i="114"/>
  <c r="T59" i="114"/>
  <c r="V57" i="114"/>
  <c r="T608" i="114"/>
  <c r="T472" i="114"/>
  <c r="T406" i="114"/>
  <c r="I72" i="3" s="1"/>
  <c r="K72" i="3" s="1"/>
  <c r="U19" i="114"/>
  <c r="V19" i="114"/>
  <c r="T344" i="114"/>
  <c r="T729" i="114"/>
  <c r="I113" i="3" s="1"/>
  <c r="K113" i="3" s="1"/>
  <c r="T235" i="114"/>
  <c r="T443" i="114"/>
  <c r="T430" i="114"/>
  <c r="U47" i="114"/>
  <c r="V47" i="114"/>
  <c r="T170" i="114"/>
  <c r="T669" i="114"/>
  <c r="I105" i="3" s="1"/>
  <c r="K105" i="3" s="1"/>
  <c r="T121" i="114"/>
  <c r="T267" i="114"/>
  <c r="T337" i="114"/>
  <c r="X204" i="115"/>
  <c r="X91" i="115"/>
  <c r="X373" i="115"/>
  <c r="T78" i="115"/>
  <c r="X66" i="115"/>
  <c r="X267" i="115"/>
  <c r="X504" i="115"/>
  <c r="T881" i="115"/>
  <c r="X521" i="115"/>
  <c r="X400" i="115"/>
  <c r="X512" i="115"/>
  <c r="X225" i="115"/>
  <c r="X275" i="115"/>
  <c r="T956" i="115"/>
  <c r="X33" i="115"/>
  <c r="X392" i="115"/>
  <c r="X201" i="115"/>
  <c r="X71" i="115"/>
  <c r="T283" i="115"/>
  <c r="X274" i="115"/>
  <c r="X256" i="115"/>
  <c r="X561" i="115"/>
  <c r="X45" i="115"/>
  <c r="T523" i="115"/>
  <c r="X509" i="115"/>
  <c r="T794" i="115"/>
  <c r="X141" i="115"/>
  <c r="X51" i="115"/>
  <c r="T415" i="115"/>
  <c r="V415" i="115" s="1"/>
  <c r="X413" i="115"/>
  <c r="X53" i="115"/>
  <c r="X391" i="115"/>
  <c r="T252" i="115"/>
  <c r="X244" i="115"/>
  <c r="X34" i="115"/>
  <c r="X17" i="115"/>
  <c r="T475" i="115"/>
  <c r="X404" i="115"/>
  <c r="X200" i="115"/>
  <c r="X382" i="115"/>
  <c r="T137" i="115"/>
  <c r="X130" i="115"/>
  <c r="T689" i="115"/>
  <c r="X142" i="115"/>
  <c r="T428" i="115"/>
  <c r="X427" i="115"/>
  <c r="X214" i="115"/>
  <c r="T768" i="115"/>
  <c r="T985" i="115"/>
  <c r="T289" i="115"/>
  <c r="X286" i="115"/>
  <c r="X511" i="115"/>
  <c r="T349" i="115"/>
  <c r="X125" i="115"/>
  <c r="Z14" i="115"/>
  <c r="X14" i="115"/>
  <c r="X19" i="115"/>
  <c r="X245" i="115"/>
  <c r="X199" i="115"/>
  <c r="X519" i="115"/>
  <c r="X236" i="115"/>
  <c r="T237" i="115"/>
  <c r="T860" i="115"/>
  <c r="X221" i="115"/>
  <c r="X419" i="115"/>
  <c r="X381" i="115"/>
  <c r="X257" i="115"/>
  <c r="X572" i="115"/>
  <c r="X232" i="115"/>
  <c r="X109" i="115"/>
  <c r="X121" i="115"/>
  <c r="X47" i="115"/>
  <c r="T702" i="115"/>
  <c r="X74" i="115"/>
  <c r="X571" i="115"/>
  <c r="X212" i="115"/>
  <c r="X530" i="115"/>
  <c r="X291" i="115"/>
  <c r="T845" i="68"/>
  <c r="T904" i="68"/>
  <c r="T664" i="68"/>
  <c r="Y664" i="68" s="1"/>
  <c r="Z664" i="68" s="1"/>
  <c r="T1544" i="68"/>
  <c r="T672" i="68"/>
  <c r="Y672" i="68" s="1"/>
  <c r="Z672" i="68" s="1"/>
  <c r="T1021" i="68"/>
  <c r="T1797" i="68"/>
  <c r="T1640" i="68"/>
  <c r="T409" i="68"/>
  <c r="Y409" i="68" s="1"/>
  <c r="Z409" i="68" s="1"/>
  <c r="AB409" i="68" s="1"/>
  <c r="T1129" i="68"/>
  <c r="T1562" i="68"/>
  <c r="T268" i="68"/>
  <c r="Y268" i="68" s="1"/>
  <c r="Z268" i="68" s="1"/>
  <c r="T299" i="68"/>
  <c r="T541" i="68"/>
  <c r="Y541" i="68" s="1"/>
  <c r="Z541" i="68" s="1"/>
  <c r="T1353" i="68"/>
  <c r="T388" i="68"/>
  <c r="Y388" i="68" s="1"/>
  <c r="Z388" i="68" s="1"/>
  <c r="T1439" i="68"/>
  <c r="T1925" i="68"/>
  <c r="T398" i="68"/>
  <c r="Y398" i="68" s="1"/>
  <c r="Z398" i="68" s="1"/>
  <c r="AB398" i="68" s="1"/>
  <c r="T1257" i="68"/>
  <c r="T738" i="68"/>
  <c r="T1172" i="68"/>
  <c r="T1140" i="68"/>
  <c r="T650" i="68"/>
  <c r="Y650" i="68" s="1"/>
  <c r="Z650" i="68" s="1"/>
  <c r="T234" i="68"/>
  <c r="Y234" i="68" s="1"/>
  <c r="Z234" i="68" s="1"/>
  <c r="T1684" i="68"/>
  <c r="T217" i="68"/>
  <c r="T1224" i="68"/>
  <c r="T654" i="68"/>
  <c r="Y654" i="68" s="1"/>
  <c r="Z654" i="68" s="1"/>
  <c r="T328" i="68"/>
  <c r="T1659" i="68"/>
  <c r="T1668" i="68"/>
  <c r="T378" i="68"/>
  <c r="Y378" i="68" s="1"/>
  <c r="Z378" i="68" s="1"/>
  <c r="T344" i="68"/>
  <c r="T916" i="68"/>
  <c r="T1048" i="68"/>
  <c r="T1250" i="68"/>
  <c r="T1791" i="68"/>
  <c r="T416" i="68"/>
  <c r="Y416" i="68" s="1"/>
  <c r="Z416" i="68" s="1"/>
  <c r="T238" i="68"/>
  <c r="Y238" i="68" s="1"/>
  <c r="Z238" i="68" s="1"/>
  <c r="T655" i="68"/>
  <c r="Y655" i="68" s="1"/>
  <c r="Z655" i="68" s="1"/>
  <c r="T537" i="68"/>
  <c r="Y537" i="68" s="1"/>
  <c r="Z537" i="68" s="1"/>
  <c r="T467" i="68"/>
  <c r="T232" i="68"/>
  <c r="Y232" i="68" s="1"/>
  <c r="Z232" i="68" s="1"/>
  <c r="T111" i="68"/>
  <c r="T1912" i="68"/>
  <c r="T465" i="114"/>
  <c r="T479" i="114"/>
  <c r="T659" i="114"/>
  <c r="I104" i="3" s="1"/>
  <c r="K104" i="3" s="1"/>
  <c r="U40" i="114"/>
  <c r="V40" i="114"/>
  <c r="T420" i="114"/>
  <c r="T549" i="114"/>
  <c r="T377" i="114"/>
  <c r="T492" i="114"/>
  <c r="T309" i="114"/>
  <c r="T689" i="114"/>
  <c r="I112" i="3" s="1"/>
  <c r="T200" i="114"/>
  <c r="U52" i="114"/>
  <c r="V52" i="114"/>
  <c r="T357" i="114"/>
  <c r="U51" i="114"/>
  <c r="V51" i="114"/>
  <c r="T488" i="114"/>
  <c r="T227" i="114"/>
  <c r="T377" i="115"/>
  <c r="X369" i="115"/>
  <c r="X388" i="115"/>
  <c r="X559" i="115"/>
  <c r="X231" i="115"/>
  <c r="T886" i="115"/>
  <c r="X57" i="115"/>
  <c r="X260" i="115"/>
  <c r="X226" i="115"/>
  <c r="X562" i="115"/>
  <c r="T721" i="115"/>
  <c r="X567" i="115"/>
  <c r="X520" i="115"/>
  <c r="T537" i="115"/>
  <c r="X87" i="115"/>
  <c r="X406" i="115"/>
  <c r="X92" i="115"/>
  <c r="X24" i="115"/>
  <c r="X216" i="115"/>
  <c r="X380" i="115"/>
  <c r="T926" i="115"/>
  <c r="X265" i="115"/>
  <c r="T819" i="115"/>
  <c r="T205" i="115"/>
  <c r="X197" i="115"/>
  <c r="X215" i="115"/>
  <c r="X72" i="115"/>
  <c r="T394" i="115"/>
  <c r="X379" i="115"/>
  <c r="T568" i="115"/>
  <c r="X557" i="115"/>
  <c r="X122" i="115"/>
  <c r="X514" i="115"/>
  <c r="X18" i="115"/>
  <c r="X73" i="115"/>
  <c r="X203" i="115"/>
  <c r="X517" i="115"/>
  <c r="X280" i="115"/>
  <c r="X502" i="115"/>
  <c r="T144" i="115"/>
  <c r="X140" i="115"/>
  <c r="X535" i="115"/>
  <c r="X269" i="115"/>
  <c r="X143" i="115"/>
  <c r="T93" i="115"/>
  <c r="X85" i="115"/>
  <c r="T294" i="115"/>
  <c r="X293" i="115"/>
  <c r="X25" i="115"/>
  <c r="X126" i="115"/>
  <c r="X26" i="115"/>
  <c r="X63" i="115"/>
  <c r="X132" i="115"/>
  <c r="X522" i="115"/>
  <c r="X136" i="115"/>
  <c r="T839" i="115"/>
  <c r="X249" i="115"/>
  <c r="T128" i="115"/>
  <c r="X120" i="115"/>
  <c r="X131" i="115"/>
  <c r="T272" i="115"/>
  <c r="X255" i="115"/>
  <c r="X564" i="115"/>
  <c r="X52" i="115"/>
  <c r="X248" i="115"/>
  <c r="X218" i="115"/>
  <c r="X385" i="115"/>
  <c r="X68" i="115"/>
  <c r="X59" i="115"/>
  <c r="X135" i="115"/>
  <c r="X277" i="115"/>
  <c r="X418" i="115"/>
  <c r="X46" i="115"/>
  <c r="T408" i="68"/>
  <c r="Y408" i="68" s="1"/>
  <c r="Z408" i="68" s="1"/>
  <c r="AB408" i="68" s="1"/>
  <c r="T1033" i="68"/>
  <c r="T1712" i="68"/>
  <c r="T1370" i="68"/>
  <c r="T407" i="68"/>
  <c r="Y407" i="68" s="1"/>
  <c r="Z407" i="68" s="1"/>
  <c r="AB407" i="68" s="1"/>
  <c r="T235" i="68"/>
  <c r="Y235" i="68" s="1"/>
  <c r="Z235" i="68" s="1"/>
  <c r="T1237" i="68"/>
  <c r="T1629" i="68"/>
  <c r="T764" i="68"/>
  <c r="V764" i="68" s="1"/>
  <c r="T1588" i="68"/>
  <c r="T379" i="68"/>
  <c r="Y379" i="68" s="1"/>
  <c r="Z379" i="68" s="1"/>
  <c r="T240" i="68"/>
  <c r="Y240" i="68" s="1"/>
  <c r="Z240" i="68" s="1"/>
  <c r="T406" i="68"/>
  <c r="Y406" i="68" s="1"/>
  <c r="Z406" i="68" s="1"/>
  <c r="T1234" i="68"/>
  <c r="T1582" i="68"/>
  <c r="T149" i="68"/>
  <c r="T247" i="68"/>
  <c r="Y247" i="68" s="1"/>
  <c r="Z247" i="68" s="1"/>
  <c r="T382" i="68"/>
  <c r="Y382" i="68" s="1"/>
  <c r="Z382" i="68" s="1"/>
  <c r="T1379" i="68"/>
  <c r="T663" i="68"/>
  <c r="Y663" i="68" s="1"/>
  <c r="Z663" i="68" s="1"/>
  <c r="T747" i="68"/>
  <c r="T531" i="68"/>
  <c r="T702" i="68"/>
  <c r="T1763" i="68"/>
  <c r="T392" i="68"/>
  <c r="Y392" i="68" s="1"/>
  <c r="Z392" i="68" s="1"/>
  <c r="T348" i="68"/>
  <c r="T539" i="68"/>
  <c r="Y539" i="68" s="1"/>
  <c r="Z539" i="68" s="1"/>
  <c r="T538" i="68"/>
  <c r="Y538" i="68" s="1"/>
  <c r="Z538" i="68" s="1"/>
  <c r="T858" i="68"/>
  <c r="T1806" i="68"/>
  <c r="T262" i="68"/>
  <c r="Y262" i="68" s="1"/>
  <c r="Z262" i="68" s="1"/>
  <c r="T1208" i="68"/>
  <c r="V1208" i="68" s="1"/>
  <c r="T778" i="68"/>
  <c r="V778" i="68" s="1"/>
  <c r="T387" i="68"/>
  <c r="Y387" i="68" s="1"/>
  <c r="Z387" i="68" s="1"/>
  <c r="T266" i="68"/>
  <c r="Y266" i="68" s="1"/>
  <c r="Z266" i="68" s="1"/>
  <c r="AB266" i="68" s="1"/>
  <c r="T525" i="68"/>
  <c r="T945" i="68"/>
  <c r="T405" i="68"/>
  <c r="Y405" i="68" s="1"/>
  <c r="Z405" i="68" s="1"/>
  <c r="T681" i="68"/>
  <c r="Y681" i="68" s="1"/>
  <c r="Z681" i="68" s="1"/>
  <c r="T1347" i="68"/>
  <c r="T1749" i="68"/>
  <c r="T412" i="68"/>
  <c r="Y412" i="68" s="1"/>
  <c r="Z412" i="68" s="1"/>
  <c r="AB412" i="68" s="1"/>
  <c r="T975" i="68"/>
  <c r="T258" i="68"/>
  <c r="Y258" i="68" s="1"/>
  <c r="Z258" i="68" s="1"/>
  <c r="T671" i="68"/>
  <c r="Y671" i="68" s="1"/>
  <c r="Z671" i="68" s="1"/>
  <c r="AB671" i="68" s="1"/>
  <c r="AC671" i="68" s="1"/>
  <c r="AE671" i="68" s="1"/>
  <c r="AF671" i="68" s="1"/>
  <c r="AH671" i="68" s="1"/>
  <c r="AI671" i="68" s="1"/>
  <c r="AK671" i="68" s="1"/>
  <c r="AL671" i="68" s="1"/>
  <c r="AN671" i="68" s="1"/>
  <c r="M30" i="9"/>
  <c r="B30" i="6"/>
  <c r="B34" i="9" s="1"/>
  <c r="A29" i="6"/>
  <c r="A33" i="9" s="1"/>
  <c r="A6" i="6"/>
  <c r="A10" i="9" s="1"/>
  <c r="C132" i="6"/>
  <c r="N121" i="3" l="1"/>
  <c r="AE360" i="114"/>
  <c r="AN333" i="114"/>
  <c r="AK14" i="114"/>
  <c r="AE17" i="114"/>
  <c r="AC22" i="114"/>
  <c r="AN13" i="114"/>
  <c r="K120" i="3"/>
  <c r="K122" i="3" s="1"/>
  <c r="I122" i="3"/>
  <c r="K112" i="3"/>
  <c r="K114" i="3" s="1"/>
  <c r="I114" i="3"/>
  <c r="AI692" i="114"/>
  <c r="AH729" i="114"/>
  <c r="N113" i="3" s="1"/>
  <c r="AL691" i="114"/>
  <c r="AK737" i="114"/>
  <c r="AK743" i="114"/>
  <c r="AI752" i="114"/>
  <c r="AE667" i="114"/>
  <c r="AC669" i="114"/>
  <c r="AN651" i="114"/>
  <c r="AK661" i="114"/>
  <c r="AF653" i="114"/>
  <c r="AE659" i="114"/>
  <c r="M104" i="3" s="1"/>
  <c r="AL629" i="114"/>
  <c r="AK643" i="114"/>
  <c r="O97" i="3" s="1"/>
  <c r="AK603" i="114"/>
  <c r="AB387" i="68"/>
  <c r="AC387" i="68" s="1"/>
  <c r="AE387" i="68" s="1"/>
  <c r="AF387" i="68" s="1"/>
  <c r="AH387" i="68" s="1"/>
  <c r="AI387" i="68" s="1"/>
  <c r="AK387" i="68" s="1"/>
  <c r="AL387" i="68" s="1"/>
  <c r="AN387" i="68" s="1"/>
  <c r="AB246" i="68"/>
  <c r="AC246" i="68" s="1"/>
  <c r="AE246" i="68" s="1"/>
  <c r="AF246" i="68" s="1"/>
  <c r="AH246" i="68" s="1"/>
  <c r="AI246" i="68" s="1"/>
  <c r="AK246" i="68" s="1"/>
  <c r="AL246" i="68" s="1"/>
  <c r="AN246" i="68" s="1"/>
  <c r="AB250" i="68"/>
  <c r="AC250" i="68" s="1"/>
  <c r="AE250" i="68" s="1"/>
  <c r="AF250" i="68" s="1"/>
  <c r="AH250" i="68" s="1"/>
  <c r="AI250" i="68" s="1"/>
  <c r="AK250" i="68" s="1"/>
  <c r="AL250" i="68" s="1"/>
  <c r="AN250" i="68" s="1"/>
  <c r="AB676" i="68"/>
  <c r="AC676" i="68" s="1"/>
  <c r="AE676" i="68" s="1"/>
  <c r="AF676" i="68" s="1"/>
  <c r="AH676" i="68" s="1"/>
  <c r="AI676" i="68" s="1"/>
  <c r="AK676" i="68" s="1"/>
  <c r="AL676" i="68" s="1"/>
  <c r="AN676" i="68" s="1"/>
  <c r="AB651" i="68"/>
  <c r="AC651" i="68" s="1"/>
  <c r="AE651" i="68" s="1"/>
  <c r="AF651" i="68" s="1"/>
  <c r="AH651" i="68" s="1"/>
  <c r="AI651" i="68" s="1"/>
  <c r="AK651" i="68" s="1"/>
  <c r="AL651" i="68" s="1"/>
  <c r="AN651" i="68" s="1"/>
  <c r="AB256" i="68"/>
  <c r="AC256" i="68" s="1"/>
  <c r="AE256" i="68" s="1"/>
  <c r="AF256" i="68" s="1"/>
  <c r="AH256" i="68" s="1"/>
  <c r="AI256" i="68" s="1"/>
  <c r="AK256" i="68" s="1"/>
  <c r="AL256" i="68" s="1"/>
  <c r="AN256" i="68" s="1"/>
  <c r="AB254" i="68"/>
  <c r="AC254" i="68" s="1"/>
  <c r="AE254" i="68" s="1"/>
  <c r="AF254" i="68" s="1"/>
  <c r="AH254" i="68" s="1"/>
  <c r="AI254" i="68" s="1"/>
  <c r="AK254" i="68" s="1"/>
  <c r="AL254" i="68" s="1"/>
  <c r="AN254" i="68" s="1"/>
  <c r="AB262" i="68"/>
  <c r="AC262" i="68" s="1"/>
  <c r="AE262" i="68" s="1"/>
  <c r="AF262" i="68" s="1"/>
  <c r="AH262" i="68" s="1"/>
  <c r="AI262" i="68" s="1"/>
  <c r="AK262" i="68" s="1"/>
  <c r="AL262" i="68" s="1"/>
  <c r="AN262" i="68" s="1"/>
  <c r="AB388" i="68"/>
  <c r="AC388" i="68" s="1"/>
  <c r="AE388" i="68" s="1"/>
  <c r="AF388" i="68" s="1"/>
  <c r="AH388" i="68" s="1"/>
  <c r="AI388" i="68" s="1"/>
  <c r="AK388" i="68" s="1"/>
  <c r="AL388" i="68" s="1"/>
  <c r="AN388" i="68" s="1"/>
  <c r="AB386" i="68"/>
  <c r="AC386" i="68" s="1"/>
  <c r="AE386" i="68" s="1"/>
  <c r="AF386" i="68" s="1"/>
  <c r="AH386" i="68" s="1"/>
  <c r="AI386" i="68" s="1"/>
  <c r="AK386" i="68" s="1"/>
  <c r="AL386" i="68" s="1"/>
  <c r="AN386" i="68" s="1"/>
  <c r="AB648" i="68"/>
  <c r="AC648" i="68" s="1"/>
  <c r="AE648" i="68" s="1"/>
  <c r="AF648" i="68" s="1"/>
  <c r="AH648" i="68" s="1"/>
  <c r="AI648" i="68" s="1"/>
  <c r="AK648" i="68" s="1"/>
  <c r="AL648" i="68" s="1"/>
  <c r="AN648" i="68" s="1"/>
  <c r="AB389" i="68"/>
  <c r="AC389" i="68" s="1"/>
  <c r="AE389" i="68" s="1"/>
  <c r="AF389" i="68" s="1"/>
  <c r="AH389" i="68" s="1"/>
  <c r="AI389" i="68" s="1"/>
  <c r="AK389" i="68" s="1"/>
  <c r="AL389" i="68" s="1"/>
  <c r="AN389" i="68" s="1"/>
  <c r="AB679" i="68"/>
  <c r="AC679" i="68" s="1"/>
  <c r="AE679" i="68" s="1"/>
  <c r="AF679" i="68" s="1"/>
  <c r="AH679" i="68" s="1"/>
  <c r="AI679" i="68" s="1"/>
  <c r="AK679" i="68" s="1"/>
  <c r="AL679" i="68" s="1"/>
  <c r="AN679" i="68" s="1"/>
  <c r="AB379" i="68"/>
  <c r="AC379" i="68" s="1"/>
  <c r="AE379" i="68" s="1"/>
  <c r="AF379" i="68" s="1"/>
  <c r="AH379" i="68" s="1"/>
  <c r="AI379" i="68" s="1"/>
  <c r="AK379" i="68" s="1"/>
  <c r="AL379" i="68" s="1"/>
  <c r="AN379" i="68" s="1"/>
  <c r="AB237" i="68"/>
  <c r="AC237" i="68" s="1"/>
  <c r="AE237" i="68" s="1"/>
  <c r="AF237" i="68" s="1"/>
  <c r="AH237" i="68" s="1"/>
  <c r="AI237" i="68" s="1"/>
  <c r="AK237" i="68" s="1"/>
  <c r="AL237" i="68" s="1"/>
  <c r="AN237" i="68" s="1"/>
  <c r="AB658" i="68"/>
  <c r="AC658" i="68" s="1"/>
  <c r="AE658" i="68" s="1"/>
  <c r="AF658" i="68" s="1"/>
  <c r="AH658" i="68" s="1"/>
  <c r="AI658" i="68" s="1"/>
  <c r="AK658" i="68" s="1"/>
  <c r="AL658" i="68" s="1"/>
  <c r="AN658" i="68" s="1"/>
  <c r="AB232" i="68"/>
  <c r="AC232" i="68" s="1"/>
  <c r="AE232" i="68" s="1"/>
  <c r="AF232" i="68" s="1"/>
  <c r="AH232" i="68" s="1"/>
  <c r="AI232" i="68" s="1"/>
  <c r="AK232" i="68" s="1"/>
  <c r="AL232" i="68" s="1"/>
  <c r="AN232" i="68" s="1"/>
  <c r="AB541" i="68"/>
  <c r="AC541" i="68" s="1"/>
  <c r="AE541" i="68" s="1"/>
  <c r="AF541" i="68" s="1"/>
  <c r="AH541" i="68" s="1"/>
  <c r="AI541" i="68" s="1"/>
  <c r="AK541" i="68" s="1"/>
  <c r="AL541" i="68" s="1"/>
  <c r="AN541" i="68" s="1"/>
  <c r="AB672" i="68"/>
  <c r="AC672" i="68" s="1"/>
  <c r="AE672" i="68" s="1"/>
  <c r="AF672" i="68" s="1"/>
  <c r="AH672" i="68" s="1"/>
  <c r="AI672" i="68" s="1"/>
  <c r="AK672" i="68" s="1"/>
  <c r="AL672" i="68" s="1"/>
  <c r="AN672" i="68" s="1"/>
  <c r="AB646" i="68"/>
  <c r="AC646" i="68" s="1"/>
  <c r="AE646" i="68" s="1"/>
  <c r="AF646" i="68" s="1"/>
  <c r="AH646" i="68" s="1"/>
  <c r="AI646" i="68" s="1"/>
  <c r="AK646" i="68" s="1"/>
  <c r="AL646" i="68" s="1"/>
  <c r="AN646" i="68" s="1"/>
  <c r="AB397" i="68"/>
  <c r="AC397" i="68" s="1"/>
  <c r="AE397" i="68" s="1"/>
  <c r="AF397" i="68" s="1"/>
  <c r="AH397" i="68" s="1"/>
  <c r="AI397" i="68" s="1"/>
  <c r="AK397" i="68" s="1"/>
  <c r="AL397" i="68" s="1"/>
  <c r="AN397" i="68" s="1"/>
  <c r="AB249" i="68"/>
  <c r="AC249" i="68" s="1"/>
  <c r="AE249" i="68" s="1"/>
  <c r="AF249" i="68" s="1"/>
  <c r="AH249" i="68" s="1"/>
  <c r="AI249" i="68" s="1"/>
  <c r="AK249" i="68" s="1"/>
  <c r="AL249" i="68" s="1"/>
  <c r="AN249" i="68" s="1"/>
  <c r="AB241" i="68"/>
  <c r="AC241" i="68" s="1"/>
  <c r="AE241" i="68" s="1"/>
  <c r="AF241" i="68" s="1"/>
  <c r="AH241" i="68" s="1"/>
  <c r="AI241" i="68" s="1"/>
  <c r="AK241" i="68" s="1"/>
  <c r="AL241" i="68" s="1"/>
  <c r="AN241" i="68" s="1"/>
  <c r="AB537" i="68"/>
  <c r="AC537" i="68" s="1"/>
  <c r="AE537" i="68" s="1"/>
  <c r="AF537" i="68" s="1"/>
  <c r="AH537" i="68" s="1"/>
  <c r="AI537" i="68" s="1"/>
  <c r="AK537" i="68" s="1"/>
  <c r="AL537" i="68" s="1"/>
  <c r="AN537" i="68" s="1"/>
  <c r="AB234" i="68"/>
  <c r="AC234" i="68" s="1"/>
  <c r="AE234" i="68" s="1"/>
  <c r="AF234" i="68" s="1"/>
  <c r="AH234" i="68" s="1"/>
  <c r="AI234" i="68" s="1"/>
  <c r="AK234" i="68" s="1"/>
  <c r="AL234" i="68" s="1"/>
  <c r="AN234" i="68" s="1"/>
  <c r="AB661" i="68"/>
  <c r="AC661" i="68" s="1"/>
  <c r="AE661" i="68" s="1"/>
  <c r="AF661" i="68" s="1"/>
  <c r="AH661" i="68" s="1"/>
  <c r="AI661" i="68" s="1"/>
  <c r="AK661" i="68" s="1"/>
  <c r="AL661" i="68" s="1"/>
  <c r="AN661" i="68" s="1"/>
  <c r="AB382" i="68"/>
  <c r="AC382" i="68" s="1"/>
  <c r="AE382" i="68" s="1"/>
  <c r="AF382" i="68" s="1"/>
  <c r="AH382" i="68" s="1"/>
  <c r="AI382" i="68" s="1"/>
  <c r="AK382" i="68" s="1"/>
  <c r="AL382" i="68" s="1"/>
  <c r="AN382" i="68" s="1"/>
  <c r="AB238" i="68"/>
  <c r="AC238" i="68" s="1"/>
  <c r="AE238" i="68" s="1"/>
  <c r="AF238" i="68" s="1"/>
  <c r="AH238" i="68" s="1"/>
  <c r="AI238" i="68" s="1"/>
  <c r="AK238" i="68" s="1"/>
  <c r="AL238" i="68" s="1"/>
  <c r="AN238" i="68" s="1"/>
  <c r="AB259" i="68"/>
  <c r="AC259" i="68" s="1"/>
  <c r="AE259" i="68" s="1"/>
  <c r="AF259" i="68" s="1"/>
  <c r="AH259" i="68" s="1"/>
  <c r="AI259" i="68" s="1"/>
  <c r="AK259" i="68" s="1"/>
  <c r="AL259" i="68" s="1"/>
  <c r="AN259" i="68" s="1"/>
  <c r="AB416" i="68"/>
  <c r="AC416" i="68" s="1"/>
  <c r="AE416" i="68" s="1"/>
  <c r="AF416" i="68" s="1"/>
  <c r="AH416" i="68" s="1"/>
  <c r="AI416" i="68" s="1"/>
  <c r="AK416" i="68" s="1"/>
  <c r="AL416" i="68" s="1"/>
  <c r="AN416" i="68" s="1"/>
  <c r="AB650" i="68"/>
  <c r="AC650" i="68" s="1"/>
  <c r="AE650" i="68" s="1"/>
  <c r="AF650" i="68" s="1"/>
  <c r="AH650" i="68" s="1"/>
  <c r="AB257" i="68"/>
  <c r="AC257" i="68" s="1"/>
  <c r="AE257" i="68" s="1"/>
  <c r="AF257" i="68" s="1"/>
  <c r="AH257" i="68" s="1"/>
  <c r="AI257" i="68" s="1"/>
  <c r="AK257" i="68" s="1"/>
  <c r="AL257" i="68" s="1"/>
  <c r="AN257" i="68" s="1"/>
  <c r="AB383" i="68"/>
  <c r="AC383" i="68" s="1"/>
  <c r="AE383" i="68" s="1"/>
  <c r="AF383" i="68" s="1"/>
  <c r="AH383" i="68" s="1"/>
  <c r="AB399" i="68"/>
  <c r="AC399" i="68" s="1"/>
  <c r="AE399" i="68" s="1"/>
  <c r="AF399" i="68" s="1"/>
  <c r="AH399" i="68" s="1"/>
  <c r="AI399" i="68" s="1"/>
  <c r="AK399" i="68" s="1"/>
  <c r="AL399" i="68" s="1"/>
  <c r="AN399" i="68" s="1"/>
  <c r="AB233" i="68"/>
  <c r="AC233" i="68" s="1"/>
  <c r="AE233" i="68" s="1"/>
  <c r="AF233" i="68" s="1"/>
  <c r="AH233" i="68" s="1"/>
  <c r="AI233" i="68" s="1"/>
  <c r="AK233" i="68" s="1"/>
  <c r="AL233" i="68" s="1"/>
  <c r="AN233" i="68" s="1"/>
  <c r="AB406" i="68"/>
  <c r="AC406" i="68" s="1"/>
  <c r="AE406" i="68" s="1"/>
  <c r="AF406" i="68" s="1"/>
  <c r="AH406" i="68" s="1"/>
  <c r="AI406" i="68" s="1"/>
  <c r="AK406" i="68" s="1"/>
  <c r="AL406" i="68" s="1"/>
  <c r="AN406" i="68" s="1"/>
  <c r="AB258" i="68"/>
  <c r="AC258" i="68" s="1"/>
  <c r="AE258" i="68" s="1"/>
  <c r="AF258" i="68" s="1"/>
  <c r="AH258" i="68" s="1"/>
  <c r="AI258" i="68" s="1"/>
  <c r="AK258" i="68" s="1"/>
  <c r="AL258" i="68" s="1"/>
  <c r="AN258" i="68" s="1"/>
  <c r="AB244" i="68"/>
  <c r="AC244" i="68" s="1"/>
  <c r="AE244" i="68" s="1"/>
  <c r="AF244" i="68" s="1"/>
  <c r="AH244" i="68" s="1"/>
  <c r="AI244" i="68" s="1"/>
  <c r="AK244" i="68" s="1"/>
  <c r="AL244" i="68" s="1"/>
  <c r="AN244" i="68" s="1"/>
  <c r="AB538" i="68"/>
  <c r="AC538" i="68" s="1"/>
  <c r="AE538" i="68" s="1"/>
  <c r="AF538" i="68" s="1"/>
  <c r="AH538" i="68" s="1"/>
  <c r="AI538" i="68" s="1"/>
  <c r="AK538" i="68" s="1"/>
  <c r="AL538" i="68" s="1"/>
  <c r="AN538" i="68" s="1"/>
  <c r="AB653" i="68"/>
  <c r="AC653" i="68" s="1"/>
  <c r="AE653" i="68" s="1"/>
  <c r="AF653" i="68" s="1"/>
  <c r="AH653" i="68" s="1"/>
  <c r="AI653" i="68" s="1"/>
  <c r="AK653" i="68" s="1"/>
  <c r="AL653" i="68" s="1"/>
  <c r="AN653" i="68" s="1"/>
  <c r="AB681" i="68"/>
  <c r="AC681" i="68" s="1"/>
  <c r="AE681" i="68" s="1"/>
  <c r="AF681" i="68" s="1"/>
  <c r="AH681" i="68" s="1"/>
  <c r="AI681" i="68" s="1"/>
  <c r="AK681" i="68" s="1"/>
  <c r="AL681" i="68" s="1"/>
  <c r="AN681" i="68" s="1"/>
  <c r="AB673" i="68"/>
  <c r="AC673" i="68" s="1"/>
  <c r="AE673" i="68" s="1"/>
  <c r="AF673" i="68" s="1"/>
  <c r="AH673" i="68" s="1"/>
  <c r="AI673" i="68" s="1"/>
  <c r="AK673" i="68" s="1"/>
  <c r="AL673" i="68" s="1"/>
  <c r="AN673" i="68" s="1"/>
  <c r="AB405" i="68"/>
  <c r="AC405" i="68" s="1"/>
  <c r="AE405" i="68" s="1"/>
  <c r="AF405" i="68" s="1"/>
  <c r="AH405" i="68" s="1"/>
  <c r="AI405" i="68" s="1"/>
  <c r="AK405" i="68" s="1"/>
  <c r="AL405" i="68" s="1"/>
  <c r="AN405" i="68" s="1"/>
  <c r="AB662" i="68"/>
  <c r="AC662" i="68" s="1"/>
  <c r="AE662" i="68" s="1"/>
  <c r="AF662" i="68" s="1"/>
  <c r="AH662" i="68" s="1"/>
  <c r="AI662" i="68" s="1"/>
  <c r="AK662" i="68" s="1"/>
  <c r="AL662" i="68" s="1"/>
  <c r="AN662" i="68" s="1"/>
  <c r="AB663" i="68"/>
  <c r="AC663" i="68" s="1"/>
  <c r="AE663" i="68" s="1"/>
  <c r="AF663" i="68" s="1"/>
  <c r="AH663" i="68" s="1"/>
  <c r="AI663" i="68" s="1"/>
  <c r="AK663" i="68" s="1"/>
  <c r="AL663" i="68" s="1"/>
  <c r="AN663" i="68" s="1"/>
  <c r="AB664" i="68"/>
  <c r="AC664" i="68" s="1"/>
  <c r="AE664" i="68" s="1"/>
  <c r="AF664" i="68" s="1"/>
  <c r="AH664" i="68" s="1"/>
  <c r="AI664" i="68" s="1"/>
  <c r="AK664" i="68" s="1"/>
  <c r="AL664" i="68" s="1"/>
  <c r="AN664" i="68" s="1"/>
  <c r="AB665" i="68"/>
  <c r="AC665" i="68" s="1"/>
  <c r="AE665" i="68" s="1"/>
  <c r="AF665" i="68" s="1"/>
  <c r="AH665" i="68" s="1"/>
  <c r="AI665" i="68" s="1"/>
  <c r="AK665" i="68" s="1"/>
  <c r="AL665" i="68" s="1"/>
  <c r="AN665" i="68" s="1"/>
  <c r="AB539" i="68"/>
  <c r="AC539" i="68" s="1"/>
  <c r="AE539" i="68" s="1"/>
  <c r="AF539" i="68" s="1"/>
  <c r="AH539" i="68" s="1"/>
  <c r="AI539" i="68" s="1"/>
  <c r="AK539" i="68" s="1"/>
  <c r="AL539" i="68" s="1"/>
  <c r="AN539" i="68" s="1"/>
  <c r="AB247" i="68"/>
  <c r="AC247" i="68" s="1"/>
  <c r="AE247" i="68" s="1"/>
  <c r="AF247" i="68" s="1"/>
  <c r="AH247" i="68" s="1"/>
  <c r="AI247" i="68" s="1"/>
  <c r="AK247" i="68" s="1"/>
  <c r="AL247" i="68" s="1"/>
  <c r="AN247" i="68" s="1"/>
  <c r="AB540" i="68"/>
  <c r="AC540" i="68" s="1"/>
  <c r="AE540" i="68" s="1"/>
  <c r="AF540" i="68" s="1"/>
  <c r="AH540" i="68" s="1"/>
  <c r="AI540" i="68" s="1"/>
  <c r="AK540" i="68" s="1"/>
  <c r="AL540" i="68" s="1"/>
  <c r="AN540" i="68" s="1"/>
  <c r="AB684" i="68"/>
  <c r="AC684" i="68" s="1"/>
  <c r="AE684" i="68" s="1"/>
  <c r="AF684" i="68" s="1"/>
  <c r="AH684" i="68" s="1"/>
  <c r="AI684" i="68" s="1"/>
  <c r="AK684" i="68" s="1"/>
  <c r="AL684" i="68" s="1"/>
  <c r="AN684" i="68" s="1"/>
  <c r="AB652" i="68"/>
  <c r="AC652" i="68" s="1"/>
  <c r="AE652" i="68" s="1"/>
  <c r="AF652" i="68" s="1"/>
  <c r="AH652" i="68" s="1"/>
  <c r="AI652" i="68" s="1"/>
  <c r="AK652" i="68" s="1"/>
  <c r="AL652" i="68" s="1"/>
  <c r="AN652" i="68" s="1"/>
  <c r="AB268" i="68"/>
  <c r="AC268" i="68" s="1"/>
  <c r="AE268" i="68" s="1"/>
  <c r="AF268" i="68" s="1"/>
  <c r="AH268" i="68" s="1"/>
  <c r="AI268" i="68" s="1"/>
  <c r="AK268" i="68" s="1"/>
  <c r="AL268" i="68" s="1"/>
  <c r="AN268" i="68" s="1"/>
  <c r="AB265" i="68"/>
  <c r="AC265" i="68" s="1"/>
  <c r="AE265" i="68" s="1"/>
  <c r="AF265" i="68" s="1"/>
  <c r="AH265" i="68" s="1"/>
  <c r="AI265" i="68" s="1"/>
  <c r="AK265" i="68" s="1"/>
  <c r="AL265" i="68" s="1"/>
  <c r="AN265" i="68" s="1"/>
  <c r="AB380" i="68"/>
  <c r="AC380" i="68" s="1"/>
  <c r="AE380" i="68" s="1"/>
  <c r="AF380" i="68" s="1"/>
  <c r="AH380" i="68" s="1"/>
  <c r="AI380" i="68" s="1"/>
  <c r="AK380" i="68" s="1"/>
  <c r="AL380" i="68" s="1"/>
  <c r="AN380" i="68" s="1"/>
  <c r="AB239" i="68"/>
  <c r="AC239" i="68" s="1"/>
  <c r="AE239" i="68" s="1"/>
  <c r="AF239" i="68" s="1"/>
  <c r="AH239" i="68" s="1"/>
  <c r="AI239" i="68" s="1"/>
  <c r="AK239" i="68" s="1"/>
  <c r="AL239" i="68" s="1"/>
  <c r="AN239" i="68" s="1"/>
  <c r="AB415" i="68"/>
  <c r="AC415" i="68" s="1"/>
  <c r="AE415" i="68" s="1"/>
  <c r="AF415" i="68" s="1"/>
  <c r="AH415" i="68" s="1"/>
  <c r="AI415" i="68" s="1"/>
  <c r="AK415" i="68" s="1"/>
  <c r="AL415" i="68" s="1"/>
  <c r="AN415" i="68" s="1"/>
  <c r="AB240" i="68"/>
  <c r="AC240" i="68" s="1"/>
  <c r="AE240" i="68" s="1"/>
  <c r="AF240" i="68" s="1"/>
  <c r="AH240" i="68" s="1"/>
  <c r="AI240" i="68" s="1"/>
  <c r="AK240" i="68" s="1"/>
  <c r="AL240" i="68" s="1"/>
  <c r="AN240" i="68" s="1"/>
  <c r="AB655" i="68"/>
  <c r="AC655" i="68" s="1"/>
  <c r="AE655" i="68" s="1"/>
  <c r="AF655" i="68" s="1"/>
  <c r="AH655" i="68" s="1"/>
  <c r="AI655" i="68" s="1"/>
  <c r="AK655" i="68" s="1"/>
  <c r="AL655" i="68" s="1"/>
  <c r="AN655" i="68" s="1"/>
  <c r="AB392" i="68"/>
  <c r="AC392" i="68" s="1"/>
  <c r="AE392" i="68" s="1"/>
  <c r="AF392" i="68" s="1"/>
  <c r="AH392" i="68" s="1"/>
  <c r="AI392" i="68" s="1"/>
  <c r="AK392" i="68" s="1"/>
  <c r="AL392" i="68" s="1"/>
  <c r="AN392" i="68" s="1"/>
  <c r="AB255" i="68"/>
  <c r="AC255" i="68" s="1"/>
  <c r="AE255" i="68" s="1"/>
  <c r="AF255" i="68" s="1"/>
  <c r="AH255" i="68" s="1"/>
  <c r="AI255" i="68" s="1"/>
  <c r="AK255" i="68" s="1"/>
  <c r="AL255" i="68" s="1"/>
  <c r="AN255" i="68" s="1"/>
  <c r="AB236" i="68"/>
  <c r="AC236" i="68" s="1"/>
  <c r="AE236" i="68" s="1"/>
  <c r="AF236" i="68" s="1"/>
  <c r="AH236" i="68" s="1"/>
  <c r="AI236" i="68" s="1"/>
  <c r="AK236" i="68" s="1"/>
  <c r="AL236" i="68" s="1"/>
  <c r="AN236" i="68" s="1"/>
  <c r="AB378" i="68"/>
  <c r="AC378" i="68" s="1"/>
  <c r="AE378" i="68" s="1"/>
  <c r="AF378" i="68" s="1"/>
  <c r="AH378" i="68" s="1"/>
  <c r="AI378" i="68" s="1"/>
  <c r="AK378" i="68" s="1"/>
  <c r="AL378" i="68" s="1"/>
  <c r="AN378" i="68" s="1"/>
  <c r="AB235" i="68"/>
  <c r="AC235" i="68" s="1"/>
  <c r="AE235" i="68" s="1"/>
  <c r="AF235" i="68" s="1"/>
  <c r="AH235" i="68" s="1"/>
  <c r="AI235" i="68" s="1"/>
  <c r="AK235" i="68" s="1"/>
  <c r="AL235" i="68" s="1"/>
  <c r="AN235" i="68" s="1"/>
  <c r="AB654" i="68"/>
  <c r="AC654" i="68" s="1"/>
  <c r="AE654" i="68" s="1"/>
  <c r="AF654" i="68" s="1"/>
  <c r="AH654" i="68" s="1"/>
  <c r="AI654" i="68" s="1"/>
  <c r="AK654" i="68" s="1"/>
  <c r="AL654" i="68" s="1"/>
  <c r="AN654" i="68" s="1"/>
  <c r="E308" i="103"/>
  <c r="E309" i="103" s="1"/>
  <c r="E310" i="103" s="1"/>
  <c r="E314" i="103" s="1"/>
  <c r="E316" i="103" s="1"/>
  <c r="AC1541" i="68"/>
  <c r="AE1541" i="68" s="1"/>
  <c r="AF1541" i="68" s="1"/>
  <c r="AH1541" i="68" s="1"/>
  <c r="AI1541" i="68" s="1"/>
  <c r="AK1541" i="68" s="1"/>
  <c r="AL1541" i="68" s="1"/>
  <c r="AN1541" i="68" s="1"/>
  <c r="E212" i="103"/>
  <c r="E213" i="103" s="1"/>
  <c r="AC680" i="68"/>
  <c r="AE680" i="68" s="1"/>
  <c r="AF680" i="68" s="1"/>
  <c r="AH680" i="68" s="1"/>
  <c r="AI680" i="68" s="1"/>
  <c r="AK680" i="68" s="1"/>
  <c r="AL680" i="68" s="1"/>
  <c r="AN680" i="68" s="1"/>
  <c r="AC306" i="68"/>
  <c r="AE306" i="68" s="1"/>
  <c r="AF306" i="68" s="1"/>
  <c r="AH306" i="68" s="1"/>
  <c r="AI306" i="68" s="1"/>
  <c r="AK306" i="68" s="1"/>
  <c r="AL306" i="68" s="1"/>
  <c r="AN306" i="68" s="1"/>
  <c r="AC1558" i="68"/>
  <c r="AE1558" i="68" s="1"/>
  <c r="AF1558" i="68" s="1"/>
  <c r="AH1558" i="68" s="1"/>
  <c r="AI1558" i="68" s="1"/>
  <c r="AK1558" i="68" s="1"/>
  <c r="AL1558" i="68" s="1"/>
  <c r="AN1558" i="68" s="1"/>
  <c r="AL681" i="114"/>
  <c r="AN681" i="114" s="1"/>
  <c r="G352" i="103"/>
  <c r="G373" i="103" s="1"/>
  <c r="G301" i="103"/>
  <c r="AI31" i="114"/>
  <c r="AK31" i="114" s="1"/>
  <c r="AL31" i="114" s="1"/>
  <c r="AN31" i="114" s="1"/>
  <c r="AI336" i="114"/>
  <c r="AI431" i="68"/>
  <c r="AK431" i="68" s="1"/>
  <c r="AL431" i="68" s="1"/>
  <c r="AN431" i="68" s="1"/>
  <c r="AI1529" i="68"/>
  <c r="AK1529" i="68" s="1"/>
  <c r="AL1529" i="68" s="1"/>
  <c r="AN1529" i="68" s="1"/>
  <c r="AI285" i="68"/>
  <c r="AK285" i="68" s="1"/>
  <c r="AL285" i="68" s="1"/>
  <c r="AN285" i="68" s="1"/>
  <c r="AL84" i="68"/>
  <c r="AN84" i="68" s="1"/>
  <c r="H87" i="103"/>
  <c r="H134" i="103"/>
  <c r="G88" i="103"/>
  <c r="G135" i="103"/>
  <c r="AI85" i="68"/>
  <c r="AK85" i="68" s="1"/>
  <c r="Z263" i="68"/>
  <c r="AB263" i="68" s="1"/>
  <c r="U396" i="68"/>
  <c r="Y396" i="68"/>
  <c r="Z396" i="68" s="1"/>
  <c r="U667" i="68"/>
  <c r="Y667" i="68"/>
  <c r="Z667" i="68" s="1"/>
  <c r="U400" i="68"/>
  <c r="Y400" i="68"/>
  <c r="Z400" i="68" s="1"/>
  <c r="U414" i="68"/>
  <c r="Y414" i="68"/>
  <c r="Z414" i="68" s="1"/>
  <c r="AB414" i="68" s="1"/>
  <c r="U245" i="68"/>
  <c r="Y245" i="68"/>
  <c r="Z245" i="68" s="1"/>
  <c r="T387" i="114"/>
  <c r="U385" i="114"/>
  <c r="V385" i="114"/>
  <c r="U627" i="114"/>
  <c r="V627" i="114"/>
  <c r="U450" i="68"/>
  <c r="V450" i="68"/>
  <c r="U492" i="114"/>
  <c r="V492" i="114"/>
  <c r="T615" i="68"/>
  <c r="T704" i="115"/>
  <c r="T723" i="115" s="1"/>
  <c r="T725" i="115" s="1"/>
  <c r="I10" i="9"/>
  <c r="I11" i="9" s="1"/>
  <c r="I12" i="9" s="1"/>
  <c r="I13" i="9" s="1"/>
  <c r="I14" i="9" s="1"/>
  <c r="I15" i="9" s="1"/>
  <c r="I16" i="9" s="1"/>
  <c r="I17" i="9" s="1"/>
  <c r="I20" i="9" s="1"/>
  <c r="V771" i="68"/>
  <c r="U613" i="68"/>
  <c r="V613" i="68"/>
  <c r="J826" i="68"/>
  <c r="M819" i="68"/>
  <c r="P525" i="114"/>
  <c r="P523" i="114"/>
  <c r="M535" i="114"/>
  <c r="T543" i="68"/>
  <c r="S572" i="68"/>
  <c r="R574" i="68"/>
  <c r="Q576" i="68"/>
  <c r="Q578" i="68" s="1"/>
  <c r="S570" i="68"/>
  <c r="T551" i="68"/>
  <c r="T546" i="68"/>
  <c r="T545" i="68"/>
  <c r="T547" i="68"/>
  <c r="S568" i="68"/>
  <c r="S558" i="68"/>
  <c r="S566" i="68"/>
  <c r="S574" i="68" s="1"/>
  <c r="S562" i="68"/>
  <c r="S564" i="68"/>
  <c r="R575" i="68"/>
  <c r="S565" i="68"/>
  <c r="T544" i="68"/>
  <c r="M818" i="68"/>
  <c r="V818" i="68" s="1"/>
  <c r="M820" i="68"/>
  <c r="V820" i="68" s="1"/>
  <c r="P522" i="114"/>
  <c r="M821" i="68"/>
  <c r="V821" i="68" s="1"/>
  <c r="M529" i="114"/>
  <c r="P529" i="114" s="1"/>
  <c r="P524" i="114"/>
  <c r="M530" i="114"/>
  <c r="M527" i="114"/>
  <c r="M528" i="114"/>
  <c r="M533" i="114"/>
  <c r="S176" i="115"/>
  <c r="P519" i="114"/>
  <c r="O350" i="115"/>
  <c r="J364" i="115"/>
  <c r="U750" i="68"/>
  <c r="V750" i="68"/>
  <c r="O351" i="115"/>
  <c r="J828" i="68"/>
  <c r="Q811" i="68"/>
  <c r="M352" i="115"/>
  <c r="S797" i="68"/>
  <c r="R805" i="68"/>
  <c r="O347" i="115"/>
  <c r="S184" i="115"/>
  <c r="Q337" i="115"/>
  <c r="O530" i="114"/>
  <c r="O533" i="114"/>
  <c r="O528" i="114"/>
  <c r="O526" i="114"/>
  <c r="P526" i="114" s="1"/>
  <c r="O527" i="114"/>
  <c r="O535" i="114"/>
  <c r="S508" i="114"/>
  <c r="Q810" i="68"/>
  <c r="R804" i="68"/>
  <c r="Q809" i="68"/>
  <c r="O348" i="115"/>
  <c r="O356" i="115"/>
  <c r="M358" i="115"/>
  <c r="Q340" i="115"/>
  <c r="R318" i="115"/>
  <c r="M362" i="115"/>
  <c r="R315" i="115"/>
  <c r="Q341" i="115"/>
  <c r="R329" i="115"/>
  <c r="J472" i="115"/>
  <c r="R521" i="114"/>
  <c r="Q521" i="114"/>
  <c r="S511" i="114"/>
  <c r="R517" i="114"/>
  <c r="R518" i="114"/>
  <c r="Q515" i="114"/>
  <c r="Q522" i="114" s="1"/>
  <c r="S506" i="114"/>
  <c r="S512" i="114" s="1"/>
  <c r="R516" i="114"/>
  <c r="Q517" i="114"/>
  <c r="Q516" i="114"/>
  <c r="S507" i="114"/>
  <c r="M537" i="114"/>
  <c r="R515" i="114"/>
  <c r="Q518" i="114"/>
  <c r="R306" i="115"/>
  <c r="R307" i="115"/>
  <c r="R335" i="115"/>
  <c r="R320" i="115"/>
  <c r="R308" i="115"/>
  <c r="R314" i="115"/>
  <c r="R326" i="115"/>
  <c r="R319" i="115"/>
  <c r="P343" i="115"/>
  <c r="R321" i="115"/>
  <c r="R323" i="115"/>
  <c r="P309" i="115"/>
  <c r="P350" i="115" s="1"/>
  <c r="P341" i="115"/>
  <c r="P339" i="115"/>
  <c r="P345" i="115"/>
  <c r="P337" i="115"/>
  <c r="P338" i="115"/>
  <c r="P344" i="115"/>
  <c r="R303" i="115"/>
  <c r="O346" i="115"/>
  <c r="O354" i="115"/>
  <c r="R302" i="115"/>
  <c r="Q309" i="115"/>
  <c r="Q346" i="115" s="1"/>
  <c r="Q339" i="115"/>
  <c r="Q343" i="115"/>
  <c r="R316" i="115"/>
  <c r="O361" i="115"/>
  <c r="O362" i="115" s="1"/>
  <c r="J442" i="115"/>
  <c r="J477" i="115" s="1"/>
  <c r="J467" i="115"/>
  <c r="J469" i="115"/>
  <c r="J473" i="115"/>
  <c r="Q344" i="115"/>
  <c r="S185" i="115"/>
  <c r="S183" i="115"/>
  <c r="J460" i="115"/>
  <c r="P340" i="115"/>
  <c r="P342" i="115"/>
  <c r="S160" i="115"/>
  <c r="S189" i="115"/>
  <c r="R327" i="115"/>
  <c r="R330" i="115"/>
  <c r="R304" i="115"/>
  <c r="R331" i="115"/>
  <c r="R305" i="115"/>
  <c r="R325" i="115"/>
  <c r="O355" i="115"/>
  <c r="J474" i="115"/>
  <c r="Q342" i="115"/>
  <c r="Q345" i="115"/>
  <c r="R332" i="115"/>
  <c r="Q333" i="115"/>
  <c r="R311" i="115"/>
  <c r="R322" i="115"/>
  <c r="S186" i="115"/>
  <c r="Q338" i="115"/>
  <c r="O357" i="115"/>
  <c r="J471" i="115"/>
  <c r="R317" i="115"/>
  <c r="P333" i="115"/>
  <c r="S188" i="115"/>
  <c r="R324" i="115"/>
  <c r="R328" i="115"/>
  <c r="R301" i="115"/>
  <c r="R313" i="115"/>
  <c r="P336" i="115"/>
  <c r="P351" i="115"/>
  <c r="J476" i="115"/>
  <c r="J468" i="115"/>
  <c r="J470" i="115"/>
  <c r="Q807" i="68"/>
  <c r="S795" i="68"/>
  <c r="O812" i="68"/>
  <c r="T787" i="68"/>
  <c r="R803" i="68"/>
  <c r="R807" i="68" s="1"/>
  <c r="M823" i="68"/>
  <c r="M822" i="68"/>
  <c r="S796" i="68"/>
  <c r="P811" i="68"/>
  <c r="P809" i="68"/>
  <c r="O814" i="68"/>
  <c r="R806" i="68"/>
  <c r="S794" i="68"/>
  <c r="M825" i="68"/>
  <c r="Q808" i="68"/>
  <c r="M824" i="68"/>
  <c r="P810" i="68"/>
  <c r="O815" i="68"/>
  <c r="U633" i="68"/>
  <c r="T1045" i="115"/>
  <c r="U1045" i="115" s="1"/>
  <c r="U1043" i="115"/>
  <c r="T555" i="114"/>
  <c r="T123" i="114"/>
  <c r="V123" i="114" s="1"/>
  <c r="T754" i="114"/>
  <c r="U754" i="114" s="1"/>
  <c r="T115" i="115"/>
  <c r="X115" i="115" s="1"/>
  <c r="T613" i="114"/>
  <c r="T156" i="68"/>
  <c r="V156" i="68" s="1"/>
  <c r="T928" i="115"/>
  <c r="V928" i="115" s="1"/>
  <c r="T900" i="115"/>
  <c r="U900" i="115" s="1"/>
  <c r="D34" i="9"/>
  <c r="M34" i="6"/>
  <c r="T671" i="114"/>
  <c r="V671" i="114" s="1"/>
  <c r="T208" i="68"/>
  <c r="U208" i="68" s="1"/>
  <c r="T133" i="68"/>
  <c r="V133" i="68" s="1"/>
  <c r="T487" i="68"/>
  <c r="U487" i="68" s="1"/>
  <c r="T286" i="114"/>
  <c r="U286" i="114" s="1"/>
  <c r="T961" i="68"/>
  <c r="T717" i="68"/>
  <c r="U717" i="68" s="1"/>
  <c r="T1598" i="68"/>
  <c r="V1598" i="68" s="1"/>
  <c r="T452" i="68"/>
  <c r="V452" i="68" s="1"/>
  <c r="T184" i="68"/>
  <c r="F32" i="6"/>
  <c r="P31" i="6"/>
  <c r="T1686" i="68"/>
  <c r="T1160" i="68"/>
  <c r="T533" i="68"/>
  <c r="T1646" i="68"/>
  <c r="T583" i="115"/>
  <c r="V583" i="115" s="1"/>
  <c r="T1815" i="68"/>
  <c r="U1815" i="68" s="1"/>
  <c r="T1930" i="68"/>
  <c r="U1930" i="68" s="1"/>
  <c r="T1570" i="68"/>
  <c r="V1570" i="68" s="1"/>
  <c r="T783" i="68"/>
  <c r="V783" i="68" s="1"/>
  <c r="T360" i="68"/>
  <c r="U360" i="68" s="1"/>
  <c r="T80" i="115"/>
  <c r="T182" i="115" s="1"/>
  <c r="U182" i="115" s="1"/>
  <c r="T66" i="114"/>
  <c r="I57" i="3" s="1"/>
  <c r="V1452" i="68"/>
  <c r="U1452" i="68"/>
  <c r="U975" i="68"/>
  <c r="V975" i="68"/>
  <c r="U1749" i="68"/>
  <c r="V1749" i="68"/>
  <c r="U1347" i="68"/>
  <c r="V1347" i="68"/>
  <c r="U1806" i="68"/>
  <c r="V1806" i="68"/>
  <c r="U258" i="68"/>
  <c r="V258" i="68"/>
  <c r="T1006" i="68"/>
  <c r="U858" i="68"/>
  <c r="V858" i="68"/>
  <c r="U348" i="68"/>
  <c r="V348" i="68"/>
  <c r="U747" i="68"/>
  <c r="V747" i="68"/>
  <c r="U247" i="68"/>
  <c r="V247" i="68"/>
  <c r="U1234" i="68"/>
  <c r="V1234" i="68"/>
  <c r="U379" i="68"/>
  <c r="V379" i="68"/>
  <c r="U272" i="115"/>
  <c r="V272" i="115"/>
  <c r="X272" i="115"/>
  <c r="U128" i="115"/>
  <c r="V128" i="115"/>
  <c r="X128" i="115"/>
  <c r="U839" i="115"/>
  <c r="V839" i="115"/>
  <c r="U394" i="115"/>
  <c r="V394" i="115"/>
  <c r="X394" i="115"/>
  <c r="U537" i="115"/>
  <c r="V537" i="115"/>
  <c r="X537" i="115"/>
  <c r="U377" i="115"/>
  <c r="V377" i="115"/>
  <c r="X377" i="115"/>
  <c r="U227" i="114"/>
  <c r="V227" i="114"/>
  <c r="U465" i="114"/>
  <c r="V465" i="114"/>
  <c r="U537" i="68"/>
  <c r="V537" i="68"/>
  <c r="U238" i="68"/>
  <c r="V238" i="68"/>
  <c r="U1250" i="68"/>
  <c r="V1250" i="68"/>
  <c r="T1239" i="68"/>
  <c r="V650" i="68"/>
  <c r="U650" i="68"/>
  <c r="U1172" i="68"/>
  <c r="V1172" i="68"/>
  <c r="U1257" i="68"/>
  <c r="V1257" i="68"/>
  <c r="U398" i="68"/>
  <c r="U1925" i="68"/>
  <c r="V1925" i="68"/>
  <c r="U1439" i="68"/>
  <c r="V1439" i="68"/>
  <c r="U1562" i="68"/>
  <c r="V1562" i="68"/>
  <c r="U1129" i="68"/>
  <c r="V1129" i="68"/>
  <c r="U409" i="68"/>
  <c r="V409" i="68"/>
  <c r="U1640" i="68"/>
  <c r="V1640" i="68"/>
  <c r="U904" i="68"/>
  <c r="V904" i="68"/>
  <c r="T877" i="68"/>
  <c r="U860" i="115"/>
  <c r="V860" i="115"/>
  <c r="U428" i="115"/>
  <c r="V428" i="115"/>
  <c r="X428" i="115"/>
  <c r="U689" i="115"/>
  <c r="V689" i="115"/>
  <c r="U252" i="115"/>
  <c r="V252" i="115"/>
  <c r="X252" i="115"/>
  <c r="U78" i="115"/>
  <c r="V78" i="115"/>
  <c r="X78" i="115"/>
  <c r="U337" i="114"/>
  <c r="V337" i="114"/>
  <c r="U170" i="114"/>
  <c r="V170" i="114"/>
  <c r="U729" i="114"/>
  <c r="V729" i="114"/>
  <c r="U344" i="114"/>
  <c r="V344" i="114"/>
  <c r="U265" i="68"/>
  <c r="V265" i="68"/>
  <c r="U249" i="68"/>
  <c r="V249" i="68"/>
  <c r="U310" i="68"/>
  <c r="V310" i="68"/>
  <c r="U676" i="68"/>
  <c r="V676" i="68"/>
  <c r="U648" i="68"/>
  <c r="V648" i="68"/>
  <c r="T921" i="68"/>
  <c r="V1915" i="68"/>
  <c r="U1915" i="68"/>
  <c r="U256" i="68"/>
  <c r="V256" i="68"/>
  <c r="U286" i="68"/>
  <c r="V286" i="68"/>
  <c r="U715" i="68"/>
  <c r="V715" i="68"/>
  <c r="V875" i="68"/>
  <c r="U875" i="68"/>
  <c r="U649" i="115"/>
  <c r="V649" i="115"/>
  <c r="U222" i="115"/>
  <c r="V222" i="115"/>
  <c r="X222" i="115"/>
  <c r="U173" i="114"/>
  <c r="V173" i="114"/>
  <c r="U351" i="114"/>
  <c r="V351" i="114"/>
  <c r="Y393" i="114"/>
  <c r="Z393" i="114" s="1"/>
  <c r="X365" i="114"/>
  <c r="U364" i="114"/>
  <c r="V364" i="114"/>
  <c r="U382" i="114"/>
  <c r="V382" i="114"/>
  <c r="T1355" i="68"/>
  <c r="U731" i="68"/>
  <c r="V731" i="68"/>
  <c r="U678" i="68"/>
  <c r="V678" i="68"/>
  <c r="U116" i="68"/>
  <c r="V116" i="68"/>
  <c r="U959" i="68"/>
  <c r="V959" i="68"/>
  <c r="U226" i="68"/>
  <c r="V226" i="68"/>
  <c r="V1442" i="68"/>
  <c r="U1442" i="68"/>
  <c r="T668" i="68"/>
  <c r="U658" i="68"/>
  <c r="V658" i="68"/>
  <c r="U259" i="68"/>
  <c r="V259" i="68"/>
  <c r="U472" i="68"/>
  <c r="V472" i="68"/>
  <c r="U771" i="68"/>
  <c r="U399" i="68"/>
  <c r="V233" i="68"/>
  <c r="U233" i="68"/>
  <c r="U182" i="68"/>
  <c r="V182" i="68"/>
  <c r="U372" i="68"/>
  <c r="V372" i="68"/>
  <c r="U1408" i="68"/>
  <c r="V1408" i="68"/>
  <c r="U415" i="68"/>
  <c r="V415" i="68"/>
  <c r="U237" i="68"/>
  <c r="V237" i="68"/>
  <c r="V64" i="115"/>
  <c r="U64" i="115"/>
  <c r="X64" i="115"/>
  <c r="T546" i="115"/>
  <c r="T548" i="115" s="1"/>
  <c r="U542" i="115"/>
  <c r="V542" i="115"/>
  <c r="X542" i="115"/>
  <c r="U53" i="114"/>
  <c r="V53" i="114"/>
  <c r="U405" i="68"/>
  <c r="V405" i="68"/>
  <c r="U671" i="68"/>
  <c r="V671" i="68"/>
  <c r="U412" i="68"/>
  <c r="V412" i="68"/>
  <c r="U681" i="68"/>
  <c r="V681" i="68"/>
  <c r="U266" i="68"/>
  <c r="U778" i="68"/>
  <c r="U1208" i="68"/>
  <c r="U392" i="68"/>
  <c r="T402" i="68"/>
  <c r="V392" i="68"/>
  <c r="U1763" i="68"/>
  <c r="V1763" i="68"/>
  <c r="U1582" i="68"/>
  <c r="V1582" i="68"/>
  <c r="U240" i="68"/>
  <c r="V240" i="68"/>
  <c r="U1370" i="68"/>
  <c r="V1370" i="68"/>
  <c r="U294" i="115"/>
  <c r="V294" i="115"/>
  <c r="X294" i="115"/>
  <c r="U144" i="115"/>
  <c r="V144" i="115"/>
  <c r="X144" i="115"/>
  <c r="U205" i="115"/>
  <c r="V205" i="115"/>
  <c r="X205" i="115"/>
  <c r="U819" i="115"/>
  <c r="V819" i="115"/>
  <c r="U488" i="114"/>
  <c r="V488" i="114"/>
  <c r="V689" i="114"/>
  <c r="U689" i="114"/>
  <c r="U309" i="114"/>
  <c r="V309" i="114"/>
  <c r="Y392" i="114"/>
  <c r="U377" i="114"/>
  <c r="V377" i="114"/>
  <c r="U420" i="114"/>
  <c r="V420" i="114"/>
  <c r="U655" i="68"/>
  <c r="V655" i="68"/>
  <c r="U416" i="68"/>
  <c r="V416" i="68"/>
  <c r="U1048" i="68"/>
  <c r="V1048" i="68"/>
  <c r="U378" i="68"/>
  <c r="T390" i="68"/>
  <c r="V378" i="68"/>
  <c r="V1668" i="68"/>
  <c r="U1668" i="68"/>
  <c r="U328" i="68"/>
  <c r="V328" i="68"/>
  <c r="U217" i="68"/>
  <c r="V217" i="68"/>
  <c r="U234" i="68"/>
  <c r="V234" i="68"/>
  <c r="U1140" i="68"/>
  <c r="V1140" i="68"/>
  <c r="T1213" i="68"/>
  <c r="U299" i="68"/>
  <c r="V299" i="68"/>
  <c r="U268" i="68"/>
  <c r="V268" i="68"/>
  <c r="U1021" i="68"/>
  <c r="V1021" i="68"/>
  <c r="U237" i="115"/>
  <c r="V237" i="115"/>
  <c r="X237" i="115"/>
  <c r="T296" i="115"/>
  <c r="U794" i="115"/>
  <c r="V794" i="115"/>
  <c r="U523" i="115"/>
  <c r="V523" i="115"/>
  <c r="X523" i="115"/>
  <c r="U283" i="115"/>
  <c r="V283" i="115"/>
  <c r="X283" i="115"/>
  <c r="V956" i="115"/>
  <c r="U956" i="115"/>
  <c r="T251" i="114"/>
  <c r="U406" i="114"/>
  <c r="V406" i="114"/>
  <c r="U472" i="114"/>
  <c r="V472" i="114"/>
  <c r="U284" i="114"/>
  <c r="V284" i="114"/>
  <c r="U298" i="114"/>
  <c r="V298" i="114"/>
  <c r="U386" i="68"/>
  <c r="V386" i="68"/>
  <c r="U592" i="68"/>
  <c r="V592" i="68"/>
  <c r="U206" i="68"/>
  <c r="V206" i="68"/>
  <c r="U144" i="68"/>
  <c r="V144" i="68"/>
  <c r="V264" i="68"/>
  <c r="U264" i="68"/>
  <c r="U323" i="68"/>
  <c r="V323" i="68"/>
  <c r="U652" i="68"/>
  <c r="V652" i="68"/>
  <c r="U313" i="68"/>
  <c r="V313" i="68"/>
  <c r="U890" i="68"/>
  <c r="V890" i="68"/>
  <c r="U677" i="68"/>
  <c r="V241" i="68"/>
  <c r="U241" i="68"/>
  <c r="U1434" i="68"/>
  <c r="V1434" i="68"/>
  <c r="U485" i="68"/>
  <c r="V485" i="68"/>
  <c r="U393" i="68"/>
  <c r="U1700" i="68"/>
  <c r="V1700" i="68"/>
  <c r="T315" i="68"/>
  <c r="U707" i="68"/>
  <c r="V707" i="68"/>
  <c r="U540" i="68"/>
  <c r="V540" i="68"/>
  <c r="T864" i="115"/>
  <c r="U659" i="115"/>
  <c r="V659" i="115"/>
  <c r="U1036" i="115"/>
  <c r="V1036" i="115"/>
  <c r="U784" i="115"/>
  <c r="V784" i="115"/>
  <c r="U1678" i="68"/>
  <c r="V1678" i="68"/>
  <c r="U1341" i="68"/>
  <c r="V1341" i="68"/>
  <c r="U661" i="68"/>
  <c r="U639" i="68"/>
  <c r="V639" i="68"/>
  <c r="U673" i="68"/>
  <c r="V673" i="68"/>
  <c r="U383" i="68"/>
  <c r="U1004" i="68"/>
  <c r="V1004" i="68"/>
  <c r="U659" i="68"/>
  <c r="V1423" i="68"/>
  <c r="U1423" i="68"/>
  <c r="V1191" i="68"/>
  <c r="U1191" i="68"/>
  <c r="U358" i="68"/>
  <c r="V358" i="68"/>
  <c r="U914" i="115"/>
  <c r="V914" i="115"/>
  <c r="V943" i="115"/>
  <c r="U943" i="115"/>
  <c r="U113" i="115"/>
  <c r="V113" i="115"/>
  <c r="X113" i="115"/>
  <c r="U995" i="115"/>
  <c r="V995" i="115"/>
  <c r="U1034" i="115"/>
  <c r="V1034" i="115"/>
  <c r="U507" i="115"/>
  <c r="V507" i="115"/>
  <c r="X507" i="115"/>
  <c r="U187" i="115"/>
  <c r="V187" i="115"/>
  <c r="X187" i="115"/>
  <c r="T641" i="114"/>
  <c r="U638" i="114"/>
  <c r="U262" i="68"/>
  <c r="V262" i="68"/>
  <c r="U539" i="68"/>
  <c r="V539" i="68"/>
  <c r="T1779" i="68"/>
  <c r="U945" i="68"/>
  <c r="V945" i="68"/>
  <c r="U538" i="68"/>
  <c r="V538" i="68"/>
  <c r="U1379" i="68"/>
  <c r="V1379" i="68"/>
  <c r="U382" i="68"/>
  <c r="V382" i="68"/>
  <c r="U149" i="68"/>
  <c r="V149" i="68"/>
  <c r="U406" i="68"/>
  <c r="V406" i="68"/>
  <c r="U235" i="68"/>
  <c r="U407" i="68"/>
  <c r="V407" i="68"/>
  <c r="U1712" i="68"/>
  <c r="V1712" i="68"/>
  <c r="X93" i="115"/>
  <c r="U93" i="115"/>
  <c r="V93" i="115"/>
  <c r="T239" i="115"/>
  <c r="U721" i="115"/>
  <c r="V721" i="115"/>
  <c r="U357" i="114"/>
  <c r="V357" i="114"/>
  <c r="T731" i="114"/>
  <c r="U549" i="114"/>
  <c r="V549" i="114"/>
  <c r="T450" i="114"/>
  <c r="U659" i="114"/>
  <c r="V659" i="114"/>
  <c r="U479" i="114"/>
  <c r="V479" i="114"/>
  <c r="T481" i="114"/>
  <c r="U1912" i="68"/>
  <c r="V1912" i="68"/>
  <c r="U111" i="68"/>
  <c r="V111" i="68"/>
  <c r="T1263" i="68"/>
  <c r="U1224" i="68"/>
  <c r="V1224" i="68"/>
  <c r="T228" i="68"/>
  <c r="U738" i="68"/>
  <c r="V738" i="68"/>
  <c r="U1353" i="68"/>
  <c r="V1353" i="68"/>
  <c r="U672" i="68"/>
  <c r="V672" i="68"/>
  <c r="U1544" i="68"/>
  <c r="V1544" i="68"/>
  <c r="U845" i="68"/>
  <c r="V845" i="68"/>
  <c r="U349" i="115"/>
  <c r="V349" i="115"/>
  <c r="X349" i="115"/>
  <c r="U289" i="115"/>
  <c r="V289" i="115"/>
  <c r="X289" i="115"/>
  <c r="T1002" i="115"/>
  <c r="U985" i="115"/>
  <c r="V985" i="115"/>
  <c r="T430" i="115"/>
  <c r="U137" i="115"/>
  <c r="V137" i="115"/>
  <c r="X137" i="115"/>
  <c r="U415" i="115"/>
  <c r="T420" i="115"/>
  <c r="T422" i="115" s="1"/>
  <c r="X415" i="115"/>
  <c r="U881" i="115"/>
  <c r="V881" i="115"/>
  <c r="U430" i="114"/>
  <c r="V430" i="114"/>
  <c r="U443" i="114"/>
  <c r="V443" i="114"/>
  <c r="U235" i="114"/>
  <c r="V235" i="114"/>
  <c r="U608" i="114"/>
  <c r="V608" i="114"/>
  <c r="T311" i="114"/>
  <c r="U194" i="68"/>
  <c r="V194" i="68"/>
  <c r="U1387" i="68"/>
  <c r="V1387" i="68"/>
  <c r="U665" i="68"/>
  <c r="U919" i="68"/>
  <c r="T330" i="68"/>
  <c r="U521" i="68"/>
  <c r="U263" i="68"/>
  <c r="V263" i="68"/>
  <c r="U670" i="68"/>
  <c r="T682" i="68"/>
  <c r="V670" i="68"/>
  <c r="V989" i="68"/>
  <c r="U989" i="68"/>
  <c r="T1736" i="68"/>
  <c r="U394" i="68"/>
  <c r="U679" i="68"/>
  <c r="U407" i="115"/>
  <c r="V407" i="115"/>
  <c r="X407" i="115"/>
  <c r="U234" i="115"/>
  <c r="V234" i="115"/>
  <c r="X234" i="115"/>
  <c r="U38" i="115"/>
  <c r="V38" i="115"/>
  <c r="X38" i="115"/>
  <c r="U673" i="115"/>
  <c r="V673" i="115"/>
  <c r="U741" i="114"/>
  <c r="V741" i="114"/>
  <c r="U329" i="114"/>
  <c r="V329" i="114"/>
  <c r="U95" i="114"/>
  <c r="V95" i="114"/>
  <c r="V1813" i="68"/>
  <c r="U1813" i="68"/>
  <c r="V154" i="68"/>
  <c r="U154" i="68"/>
  <c r="T752" i="68"/>
  <c r="U397" i="68"/>
  <c r="V397" i="68"/>
  <c r="U662" i="68"/>
  <c r="U674" i="68"/>
  <c r="V674" i="68"/>
  <c r="U598" i="68"/>
  <c r="V598" i="68"/>
  <c r="U380" i="68"/>
  <c r="V380" i="68"/>
  <c r="U197" i="68"/>
  <c r="V197" i="68"/>
  <c r="U239" i="68"/>
  <c r="V239" i="68"/>
  <c r="U250" i="68"/>
  <c r="V250" i="68"/>
  <c r="U374" i="68"/>
  <c r="V374" i="68"/>
  <c r="U852" i="115"/>
  <c r="V852" i="115"/>
  <c r="U525" i="68"/>
  <c r="U387" i="68"/>
  <c r="V387" i="68"/>
  <c r="U702" i="68"/>
  <c r="V702" i="68"/>
  <c r="U531" i="68"/>
  <c r="U663" i="68"/>
  <c r="V663" i="68"/>
  <c r="U1588" i="68"/>
  <c r="V1588" i="68"/>
  <c r="U764" i="68"/>
  <c r="V1629" i="68"/>
  <c r="U1629" i="68"/>
  <c r="U1237" i="68"/>
  <c r="T1396" i="68"/>
  <c r="U1033" i="68"/>
  <c r="V1033" i="68"/>
  <c r="U408" i="68"/>
  <c r="V408" i="68"/>
  <c r="T146" i="115"/>
  <c r="U568" i="115"/>
  <c r="V568" i="115"/>
  <c r="X568" i="115"/>
  <c r="U926" i="115"/>
  <c r="V926" i="115"/>
  <c r="U886" i="115"/>
  <c r="V886" i="115"/>
  <c r="T495" i="114"/>
  <c r="V200" i="114"/>
  <c r="U200" i="114"/>
  <c r="U752" i="114"/>
  <c r="V752" i="114"/>
  <c r="U232" i="68"/>
  <c r="T242" i="68"/>
  <c r="V232" i="68"/>
  <c r="U467" i="68"/>
  <c r="V467" i="68"/>
  <c r="U1791" i="68"/>
  <c r="V1791" i="68"/>
  <c r="U916" i="68"/>
  <c r="V916" i="68"/>
  <c r="U344" i="68"/>
  <c r="V344" i="68"/>
  <c r="U1659" i="68"/>
  <c r="V1659" i="68"/>
  <c r="U654" i="68"/>
  <c r="V654" i="68"/>
  <c r="U1684" i="68"/>
  <c r="V1684" i="68"/>
  <c r="U388" i="68"/>
  <c r="V388" i="68"/>
  <c r="U541" i="68"/>
  <c r="V541" i="68"/>
  <c r="U1797" i="68"/>
  <c r="V1797" i="68"/>
  <c r="T1050" i="68"/>
  <c r="U664" i="68"/>
  <c r="V664" i="68"/>
  <c r="U702" i="115"/>
  <c r="V702" i="115"/>
  <c r="U768" i="115"/>
  <c r="V768" i="115"/>
  <c r="U475" i="115"/>
  <c r="V475" i="115"/>
  <c r="X475" i="115"/>
  <c r="U267" i="114"/>
  <c r="V267" i="114"/>
  <c r="U121" i="114"/>
  <c r="V121" i="114"/>
  <c r="U669" i="114"/>
  <c r="V669" i="114"/>
  <c r="V59" i="114"/>
  <c r="U59" i="114"/>
  <c r="V646" i="68"/>
  <c r="U646" i="68"/>
  <c r="T656" i="68"/>
  <c r="U255" i="68"/>
  <c r="V255" i="68"/>
  <c r="U934" i="68"/>
  <c r="V934" i="68"/>
  <c r="V651" i="68"/>
  <c r="U651" i="68"/>
  <c r="U1204" i="68"/>
  <c r="V1204" i="68"/>
  <c r="U610" i="68"/>
  <c r="V610" i="68"/>
  <c r="U236" i="68"/>
  <c r="V236" i="68"/>
  <c r="U1394" i="68"/>
  <c r="U128" i="68"/>
  <c r="V128" i="68"/>
  <c r="U389" i="68"/>
  <c r="V389" i="68"/>
  <c r="U447" i="68"/>
  <c r="V447" i="68"/>
  <c r="U1612" i="68"/>
  <c r="V1612" i="68"/>
  <c r="U894" i="115"/>
  <c r="V894" i="115"/>
  <c r="U54" i="115"/>
  <c r="V54" i="115"/>
  <c r="X54" i="115"/>
  <c r="U1000" i="115"/>
  <c r="V1000" i="115"/>
  <c r="T824" i="115"/>
  <c r="T249" i="114"/>
  <c r="U48" i="114"/>
  <c r="V48" i="114"/>
  <c r="U64" i="114"/>
  <c r="V64" i="114"/>
  <c r="U257" i="68"/>
  <c r="V257" i="68"/>
  <c r="U1897" i="68"/>
  <c r="V1897" i="68"/>
  <c r="U641" i="68"/>
  <c r="V641" i="68"/>
  <c r="U1728" i="68"/>
  <c r="V1728" i="68"/>
  <c r="U653" i="68"/>
  <c r="V653" i="68"/>
  <c r="T252" i="68"/>
  <c r="U244" i="68"/>
  <c r="V244" i="68"/>
  <c r="V1596" i="68"/>
  <c r="U1596" i="68"/>
  <c r="U246" i="68"/>
  <c r="V246" i="68"/>
  <c r="U1155" i="68"/>
  <c r="V1155" i="68"/>
  <c r="U168" i="68"/>
  <c r="V168" i="68"/>
  <c r="U1260" i="68"/>
  <c r="V1260" i="68"/>
  <c r="V254" i="68"/>
  <c r="U254" i="68"/>
  <c r="T269" i="68"/>
  <c r="U1450" i="68"/>
  <c r="V1450" i="68"/>
  <c r="T1444" i="68"/>
  <c r="U1774" i="68"/>
  <c r="V1774" i="68"/>
  <c r="V1530" i="68"/>
  <c r="U1530" i="68"/>
  <c r="U404" i="68"/>
  <c r="T417" i="68"/>
  <c r="V404" i="68"/>
  <c r="U965" i="115"/>
  <c r="V965" i="115"/>
  <c r="U555" i="115"/>
  <c r="V555" i="115"/>
  <c r="X555" i="115"/>
  <c r="U575" i="115"/>
  <c r="V575" i="115"/>
  <c r="X575" i="115"/>
  <c r="U102" i="115"/>
  <c r="V102" i="115"/>
  <c r="X102" i="115"/>
  <c r="T970" i="115"/>
  <c r="U917" i="115"/>
  <c r="V917" i="115"/>
  <c r="U22" i="114"/>
  <c r="V22" i="114"/>
  <c r="U41" i="114"/>
  <c r="V41" i="114"/>
  <c r="U553" i="114"/>
  <c r="V553" i="114"/>
  <c r="A30" i="6"/>
  <c r="A34" i="9" s="1"/>
  <c r="B31" i="6"/>
  <c r="B35" i="9" s="1"/>
  <c r="N10" i="9"/>
  <c r="P10" i="9"/>
  <c r="Q10" i="9"/>
  <c r="O10" i="9"/>
  <c r="K10" i="9"/>
  <c r="J10" i="9"/>
  <c r="M10" i="9"/>
  <c r="R10" i="9"/>
  <c r="L10" i="9"/>
  <c r="M31" i="9"/>
  <c r="AK336" i="114" l="1"/>
  <c r="AF360" i="114"/>
  <c r="V555" i="114"/>
  <c r="I58" i="3"/>
  <c r="K57" i="3"/>
  <c r="K58" i="3" s="1"/>
  <c r="AF17" i="114"/>
  <c r="AE22" i="114"/>
  <c r="M56" i="3" s="1"/>
  <c r="AL14" i="114"/>
  <c r="AL737" i="114"/>
  <c r="AN737" i="114" s="1"/>
  <c r="AK692" i="114"/>
  <c r="AI729" i="114"/>
  <c r="AN691" i="114"/>
  <c r="AL743" i="114"/>
  <c r="AK752" i="114"/>
  <c r="O121" i="3" s="1"/>
  <c r="U613" i="114"/>
  <c r="I89" i="3"/>
  <c r="K89" i="3" s="1"/>
  <c r="AH653" i="114"/>
  <c r="AL661" i="114"/>
  <c r="AF667" i="114"/>
  <c r="AE669" i="114"/>
  <c r="M105" i="3" s="1"/>
  <c r="AN629" i="114"/>
  <c r="AN643" i="114" s="1"/>
  <c r="P97" i="3" s="1"/>
  <c r="AL643" i="114"/>
  <c r="AL603" i="114"/>
  <c r="AC398" i="68"/>
  <c r="AE398" i="68" s="1"/>
  <c r="AF398" i="68" s="1"/>
  <c r="AH398" i="68" s="1"/>
  <c r="AI398" i="68" s="1"/>
  <c r="AK398" i="68" s="1"/>
  <c r="AL398" i="68" s="1"/>
  <c r="AN398" i="68" s="1"/>
  <c r="AB245" i="68"/>
  <c r="AB396" i="68"/>
  <c r="AC396" i="68" s="1"/>
  <c r="AE396" i="68" s="1"/>
  <c r="AF396" i="68" s="1"/>
  <c r="AH396" i="68" s="1"/>
  <c r="AI396" i="68" s="1"/>
  <c r="AK396" i="68" s="1"/>
  <c r="AL396" i="68" s="1"/>
  <c r="AN396" i="68" s="1"/>
  <c r="AB400" i="68"/>
  <c r="AC400" i="68" s="1"/>
  <c r="AE400" i="68" s="1"/>
  <c r="AF400" i="68" s="1"/>
  <c r="AH400" i="68" s="1"/>
  <c r="AI400" i="68" s="1"/>
  <c r="AK400" i="68" s="1"/>
  <c r="AL400" i="68" s="1"/>
  <c r="AN400" i="68" s="1"/>
  <c r="AB667" i="68"/>
  <c r="AC667" i="68" s="1"/>
  <c r="AE667" i="68" s="1"/>
  <c r="AF667" i="68" s="1"/>
  <c r="AH667" i="68" s="1"/>
  <c r="AI667" i="68" s="1"/>
  <c r="AK667" i="68" s="1"/>
  <c r="AL667" i="68" s="1"/>
  <c r="AN667" i="68" s="1"/>
  <c r="E167" i="103"/>
  <c r="E170" i="103" s="1"/>
  <c r="E171" i="103" s="1"/>
  <c r="E172" i="103" s="1"/>
  <c r="E173" i="103" s="1"/>
  <c r="E174" i="103" s="1"/>
  <c r="E175" i="103" s="1"/>
  <c r="E176" i="103" s="1"/>
  <c r="E177" i="103" s="1"/>
  <c r="E178" i="103" s="1"/>
  <c r="E179" i="103" s="1"/>
  <c r="E180" i="103" s="1"/>
  <c r="E181" i="103" s="1"/>
  <c r="E182" i="103" s="1"/>
  <c r="E183" i="103" s="1"/>
  <c r="E184" i="103" s="1"/>
  <c r="E185" i="103" s="1"/>
  <c r="E186" i="103" s="1"/>
  <c r="E187" i="103" s="1"/>
  <c r="E191" i="103" s="1"/>
  <c r="G376" i="103"/>
  <c r="AI385" i="68"/>
  <c r="AK385" i="68" s="1"/>
  <c r="AL385" i="68" s="1"/>
  <c r="AN385" i="68" s="1"/>
  <c r="E285" i="103"/>
  <c r="AC308" i="68"/>
  <c r="AE308" i="68" s="1"/>
  <c r="AF308" i="68" s="1"/>
  <c r="AH308" i="68" s="1"/>
  <c r="AI308" i="68" s="1"/>
  <c r="AK308" i="68" s="1"/>
  <c r="AL308" i="68" s="1"/>
  <c r="AN308" i="68" s="1"/>
  <c r="H88" i="103"/>
  <c r="H135" i="103"/>
  <c r="AL85" i="68"/>
  <c r="AN85" i="68" s="1"/>
  <c r="E317" i="103"/>
  <c r="E318" i="103" s="1"/>
  <c r="E320" i="103" s="1"/>
  <c r="AC36" i="114"/>
  <c r="G327" i="103"/>
  <c r="AI1914" i="68" s="1"/>
  <c r="AK1914" i="68" s="1"/>
  <c r="AL1914" i="68" s="1"/>
  <c r="AN1914" i="68" s="1"/>
  <c r="AI427" i="68"/>
  <c r="AK427" i="68" s="1"/>
  <c r="AL427" i="68" s="1"/>
  <c r="AN427" i="68" s="1"/>
  <c r="AI1462" i="68"/>
  <c r="AK1462" i="68" s="1"/>
  <c r="AL1462" i="68" s="1"/>
  <c r="AN1462" i="68" s="1"/>
  <c r="G89" i="103"/>
  <c r="G136" i="103"/>
  <c r="G153" i="103" s="1"/>
  <c r="G159" i="103" s="1"/>
  <c r="AI86" i="68"/>
  <c r="AK86" i="68" s="1"/>
  <c r="AC263" i="68"/>
  <c r="AE263" i="68" s="1"/>
  <c r="AF263" i="68" s="1"/>
  <c r="AH263" i="68" s="1"/>
  <c r="AI263" i="68" s="1"/>
  <c r="AK263" i="68" s="1"/>
  <c r="AL263" i="68" s="1"/>
  <c r="AN263" i="68" s="1"/>
  <c r="U544" i="68"/>
  <c r="Y544" i="68"/>
  <c r="Z544" i="68" s="1"/>
  <c r="U547" i="68"/>
  <c r="Y547" i="68"/>
  <c r="Z547" i="68" s="1"/>
  <c r="U545" i="68"/>
  <c r="Y545" i="68"/>
  <c r="Z545" i="68" s="1"/>
  <c r="U546" i="68"/>
  <c r="Y546" i="68"/>
  <c r="Z546" i="68" s="1"/>
  <c r="U551" i="68"/>
  <c r="Y551" i="68"/>
  <c r="Z551" i="68" s="1"/>
  <c r="AB551" i="68" s="1"/>
  <c r="V787" i="68"/>
  <c r="Y787" i="68"/>
  <c r="Z787" i="68" s="1"/>
  <c r="U543" i="68"/>
  <c r="Y543" i="68"/>
  <c r="Z543" i="68" s="1"/>
  <c r="I21" i="9"/>
  <c r="I23" i="9" s="1"/>
  <c r="I24" i="9" s="1"/>
  <c r="V543" i="68"/>
  <c r="V545" i="68"/>
  <c r="I18" i="9"/>
  <c r="I19" i="9"/>
  <c r="V544" i="68"/>
  <c r="V547" i="68"/>
  <c r="P535" i="114"/>
  <c r="V819" i="68"/>
  <c r="U787" i="68"/>
  <c r="J829" i="68"/>
  <c r="J831" i="68" s="1"/>
  <c r="M531" i="114"/>
  <c r="M539" i="114" s="1"/>
  <c r="M546" i="114" s="1"/>
  <c r="P528" i="114"/>
  <c r="P530" i="114"/>
  <c r="R576" i="68"/>
  <c r="R578" i="68" s="1"/>
  <c r="P527" i="114"/>
  <c r="S569" i="68"/>
  <c r="T555" i="68"/>
  <c r="S559" i="68"/>
  <c r="S567" i="68" s="1"/>
  <c r="S575" i="68" s="1"/>
  <c r="T548" i="68"/>
  <c r="U548" i="68" s="1"/>
  <c r="S573" i="68"/>
  <c r="T550" i="68"/>
  <c r="Y550" i="68" s="1"/>
  <c r="Z550" i="68" s="1"/>
  <c r="T553" i="68"/>
  <c r="Y553" i="68" s="1"/>
  <c r="Z553" i="68" s="1"/>
  <c r="T554" i="68"/>
  <c r="Y554" i="68" s="1"/>
  <c r="Z554" i="68" s="1"/>
  <c r="S571" i="68"/>
  <c r="T552" i="68"/>
  <c r="P533" i="114"/>
  <c r="R808" i="68"/>
  <c r="M364" i="115"/>
  <c r="O352" i="115"/>
  <c r="R810" i="68"/>
  <c r="Q812" i="68"/>
  <c r="Q817" i="68" s="1"/>
  <c r="R811" i="68"/>
  <c r="S802" i="68"/>
  <c r="O531" i="114"/>
  <c r="Q815" i="68"/>
  <c r="P812" i="68"/>
  <c r="P354" i="115"/>
  <c r="P361" i="115"/>
  <c r="P357" i="115"/>
  <c r="P348" i="115"/>
  <c r="P356" i="115"/>
  <c r="P360" i="115"/>
  <c r="R343" i="115"/>
  <c r="R519" i="114"/>
  <c r="R526" i="114" s="1"/>
  <c r="R537" i="114" s="1"/>
  <c r="Q523" i="114"/>
  <c r="R522" i="114"/>
  <c r="R523" i="114"/>
  <c r="R525" i="114"/>
  <c r="R524" i="114"/>
  <c r="Q519" i="114"/>
  <c r="Q528" i="114" s="1"/>
  <c r="Q525" i="114"/>
  <c r="Q524" i="114"/>
  <c r="O537" i="114"/>
  <c r="P537" i="114"/>
  <c r="S514" i="114"/>
  <c r="S513" i="114"/>
  <c r="T68" i="114"/>
  <c r="V68" i="114" s="1"/>
  <c r="S509" i="114"/>
  <c r="S516" i="114" s="1"/>
  <c r="R338" i="115"/>
  <c r="Q351" i="115"/>
  <c r="Q354" i="115"/>
  <c r="R344" i="115"/>
  <c r="T173" i="115"/>
  <c r="X173" i="115" s="1"/>
  <c r="Q347" i="115"/>
  <c r="Q348" i="115"/>
  <c r="Q360" i="115"/>
  <c r="Q361" i="115"/>
  <c r="J478" i="115"/>
  <c r="J490" i="115"/>
  <c r="T170" i="115"/>
  <c r="T165" i="115"/>
  <c r="M455" i="115"/>
  <c r="M459" i="115"/>
  <c r="M444" i="115"/>
  <c r="M449" i="115"/>
  <c r="M435" i="115"/>
  <c r="M453" i="115"/>
  <c r="M438" i="115"/>
  <c r="M452" i="115"/>
  <c r="M463" i="115"/>
  <c r="M451" i="115"/>
  <c r="M437" i="115"/>
  <c r="M441" i="115"/>
  <c r="M436" i="115"/>
  <c r="M450" i="115"/>
  <c r="M464" i="115"/>
  <c r="M447" i="115"/>
  <c r="M466" i="115"/>
  <c r="M454" i="115"/>
  <c r="M465" i="115"/>
  <c r="M440" i="115"/>
  <c r="M434" i="115"/>
  <c r="M445" i="115"/>
  <c r="M448" i="115"/>
  <c r="M462" i="115"/>
  <c r="M446" i="115"/>
  <c r="M458" i="115"/>
  <c r="M457" i="115"/>
  <c r="M456" i="115"/>
  <c r="T152" i="115"/>
  <c r="J480" i="115"/>
  <c r="J481" i="115" s="1"/>
  <c r="Q350" i="115"/>
  <c r="R345" i="115"/>
  <c r="T164" i="115"/>
  <c r="R341" i="115"/>
  <c r="J485" i="115"/>
  <c r="T174" i="115"/>
  <c r="T179" i="115"/>
  <c r="T154" i="115"/>
  <c r="J484" i="115"/>
  <c r="Q355" i="115"/>
  <c r="T155" i="115"/>
  <c r="R309" i="115"/>
  <c r="R354" i="115" s="1"/>
  <c r="R336" i="115"/>
  <c r="R337" i="115"/>
  <c r="T162" i="115"/>
  <c r="T159" i="115"/>
  <c r="J489" i="115"/>
  <c r="T168" i="115"/>
  <c r="T163" i="115"/>
  <c r="Q357" i="115"/>
  <c r="P346" i="115"/>
  <c r="P347" i="115"/>
  <c r="T166" i="115"/>
  <c r="J483" i="115"/>
  <c r="R340" i="115"/>
  <c r="R342" i="115"/>
  <c r="J488" i="115"/>
  <c r="T181" i="115"/>
  <c r="X182" i="115"/>
  <c r="V182" i="115"/>
  <c r="U80" i="115"/>
  <c r="T171" i="115"/>
  <c r="T169" i="115"/>
  <c r="T158" i="115"/>
  <c r="T180" i="115"/>
  <c r="R339" i="115"/>
  <c r="T157" i="115"/>
  <c r="T172" i="115"/>
  <c r="T178" i="115"/>
  <c r="R333" i="115"/>
  <c r="O358" i="115"/>
  <c r="S190" i="115"/>
  <c r="T151" i="115"/>
  <c r="T184" i="115" s="1"/>
  <c r="T156" i="115"/>
  <c r="T153" i="115"/>
  <c r="T175" i="115"/>
  <c r="T167" i="115"/>
  <c r="P355" i="115"/>
  <c r="Q356" i="115"/>
  <c r="Q816" i="68"/>
  <c r="O820" i="68"/>
  <c r="T789" i="68"/>
  <c r="Y789" i="68" s="1"/>
  <c r="Z789" i="68" s="1"/>
  <c r="Q814" i="68"/>
  <c r="S800" i="68"/>
  <c r="V822" i="68"/>
  <c r="M826" i="68"/>
  <c r="S801" i="68"/>
  <c r="T791" i="68"/>
  <c r="Y791" i="68" s="1"/>
  <c r="Z791" i="68" s="1"/>
  <c r="S798" i="68"/>
  <c r="S803" i="68" s="1"/>
  <c r="T788" i="68"/>
  <c r="Y788" i="68" s="1"/>
  <c r="Z788" i="68" s="1"/>
  <c r="M828" i="68"/>
  <c r="O817" i="68"/>
  <c r="O816" i="68"/>
  <c r="P814" i="68"/>
  <c r="O818" i="68"/>
  <c r="R809" i="68"/>
  <c r="T793" i="68"/>
  <c r="Y793" i="68" s="1"/>
  <c r="Z793" i="68" s="1"/>
  <c r="P815" i="68"/>
  <c r="O819" i="68"/>
  <c r="T790" i="68"/>
  <c r="U1598" i="68"/>
  <c r="V208" i="68"/>
  <c r="U615" i="68"/>
  <c r="U555" i="114"/>
  <c r="T687" i="68"/>
  <c r="U685" i="68"/>
  <c r="V685" i="68"/>
  <c r="V615" i="68"/>
  <c r="U123" i="114"/>
  <c r="V115" i="115"/>
  <c r="U115" i="115"/>
  <c r="U156" i="68"/>
  <c r="V754" i="114"/>
  <c r="U671" i="114"/>
  <c r="U928" i="115"/>
  <c r="V613" i="114"/>
  <c r="V961" i="68"/>
  <c r="U961" i="68"/>
  <c r="V900" i="115"/>
  <c r="D35" i="9"/>
  <c r="M35" i="6"/>
  <c r="V717" i="68"/>
  <c r="V286" i="114"/>
  <c r="U133" i="68"/>
  <c r="V487" i="68"/>
  <c r="V184" i="68"/>
  <c r="U1686" i="68"/>
  <c r="S1933" i="68"/>
  <c r="U184" i="68"/>
  <c r="U1570" i="68"/>
  <c r="U452" i="68"/>
  <c r="V1686" i="68"/>
  <c r="V1815" i="68"/>
  <c r="U66" i="114"/>
  <c r="F33" i="6"/>
  <c r="P32" i="6"/>
  <c r="V1160" i="68"/>
  <c r="U1160" i="68"/>
  <c r="U533" i="68"/>
  <c r="U583" i="115"/>
  <c r="X80" i="115"/>
  <c r="V1930" i="68"/>
  <c r="X583" i="115"/>
  <c r="V80" i="115"/>
  <c r="U783" i="68"/>
  <c r="V1646" i="68"/>
  <c r="V66" i="114"/>
  <c r="U1646" i="68"/>
  <c r="V360" i="68"/>
  <c r="U422" i="115"/>
  <c r="V422" i="115"/>
  <c r="X422" i="115"/>
  <c r="U1050" i="68"/>
  <c r="V1050" i="68"/>
  <c r="U864" i="115"/>
  <c r="V864" i="115"/>
  <c r="U1213" i="68"/>
  <c r="V1213" i="68"/>
  <c r="U390" i="68"/>
  <c r="V390" i="68"/>
  <c r="Z392" i="114"/>
  <c r="U704" i="115"/>
  <c r="V704" i="115"/>
  <c r="X704" i="115"/>
  <c r="U1239" i="68"/>
  <c r="V1239" i="68"/>
  <c r="U1444" i="68"/>
  <c r="V1444" i="68"/>
  <c r="U269" i="68"/>
  <c r="V269" i="68"/>
  <c r="U752" i="68"/>
  <c r="V752" i="68"/>
  <c r="U1779" i="68"/>
  <c r="V1779" i="68"/>
  <c r="U251" i="114"/>
  <c r="V251" i="114"/>
  <c r="U296" i="115"/>
  <c r="V296" i="115"/>
  <c r="X296" i="115"/>
  <c r="U402" i="68"/>
  <c r="V402" i="68"/>
  <c r="U921" i="68"/>
  <c r="V921" i="68"/>
  <c r="V311" i="114"/>
  <c r="U311" i="114"/>
  <c r="U420" i="115"/>
  <c r="V420" i="115"/>
  <c r="X420" i="115"/>
  <c r="U430" i="115"/>
  <c r="V430" i="115"/>
  <c r="X430" i="115"/>
  <c r="U656" i="68"/>
  <c r="V656" i="68"/>
  <c r="T389" i="114"/>
  <c r="U387" i="114"/>
  <c r="V387" i="114"/>
  <c r="T274" i="68"/>
  <c r="U242" i="68"/>
  <c r="V242" i="68"/>
  <c r="T866" i="115"/>
  <c r="T1047" i="115" s="1"/>
  <c r="U1047" i="115" s="1"/>
  <c r="U723" i="115"/>
  <c r="V723" i="115"/>
  <c r="V228" i="68"/>
  <c r="U228" i="68"/>
  <c r="U481" i="114"/>
  <c r="V481" i="114"/>
  <c r="U450" i="114"/>
  <c r="V450" i="114"/>
  <c r="V731" i="114"/>
  <c r="U731" i="114"/>
  <c r="U315" i="68"/>
  <c r="V315" i="68"/>
  <c r="U546" i="115"/>
  <c r="X546" i="115"/>
  <c r="U725" i="115"/>
  <c r="V725" i="115"/>
  <c r="U682" i="68"/>
  <c r="V682" i="68"/>
  <c r="U970" i="115"/>
  <c r="V970" i="115"/>
  <c r="U249" i="114"/>
  <c r="V249" i="114"/>
  <c r="U548" i="115"/>
  <c r="V548" i="115"/>
  <c r="X548" i="115"/>
  <c r="U417" i="68"/>
  <c r="V417" i="68"/>
  <c r="U824" i="115"/>
  <c r="V824" i="115"/>
  <c r="U1158" i="68"/>
  <c r="V1158" i="68"/>
  <c r="U252" i="68"/>
  <c r="V252" i="68"/>
  <c r="I106" i="3"/>
  <c r="U495" i="114"/>
  <c r="V495" i="114"/>
  <c r="U146" i="115"/>
  <c r="V146" i="115"/>
  <c r="X146" i="115"/>
  <c r="U1396" i="68"/>
  <c r="V1396" i="68"/>
  <c r="U1736" i="68"/>
  <c r="V1736" i="68"/>
  <c r="V330" i="68"/>
  <c r="U330" i="68"/>
  <c r="U1002" i="115"/>
  <c r="V1002" i="115"/>
  <c r="U1263" i="68"/>
  <c r="V1263" i="68"/>
  <c r="U239" i="115"/>
  <c r="V239" i="115"/>
  <c r="X239" i="115"/>
  <c r="U641" i="114"/>
  <c r="T643" i="114"/>
  <c r="T419" i="68"/>
  <c r="V668" i="68"/>
  <c r="U668" i="68"/>
  <c r="U1355" i="68"/>
  <c r="V1355" i="68"/>
  <c r="U877" i="68"/>
  <c r="V877" i="68"/>
  <c r="U1006" i="68"/>
  <c r="V1006" i="68"/>
  <c r="Q11" i="9"/>
  <c r="Q12" i="9" s="1"/>
  <c r="Q13" i="9" s="1"/>
  <c r="Q14" i="9" s="1"/>
  <c r="Q15" i="9" s="1"/>
  <c r="Q16" i="9" s="1"/>
  <c r="Q19" i="9" s="1"/>
  <c r="L11" i="9"/>
  <c r="L12" i="9" s="1"/>
  <c r="L13" i="9" s="1"/>
  <c r="L14" i="9" s="1"/>
  <c r="S10" i="9"/>
  <c r="R11" i="9"/>
  <c r="R12" i="9" s="1"/>
  <c r="R13" i="9" s="1"/>
  <c r="R14" i="9" s="1"/>
  <c r="R15" i="9" s="1"/>
  <c r="R16" i="9" s="1"/>
  <c r="R19" i="9" s="1"/>
  <c r="P11" i="9"/>
  <c r="P12" i="9" s="1"/>
  <c r="P13" i="9" s="1"/>
  <c r="P14" i="9" s="1"/>
  <c r="P15" i="9" s="1"/>
  <c r="P16" i="9" s="1"/>
  <c r="P19" i="9" s="1"/>
  <c r="M11" i="9"/>
  <c r="M12" i="9" s="1"/>
  <c r="M13" i="9" s="1"/>
  <c r="M14" i="9" s="1"/>
  <c r="M15" i="9" s="1"/>
  <c r="M16" i="9" s="1"/>
  <c r="N11" i="9"/>
  <c r="N12" i="9" s="1"/>
  <c r="N13" i="9" s="1"/>
  <c r="N14" i="9" s="1"/>
  <c r="N15" i="9" s="1"/>
  <c r="N16" i="9" s="1"/>
  <c r="N19" i="9" s="1"/>
  <c r="J11" i="9"/>
  <c r="J12" i="9" s="1"/>
  <c r="J13" i="9" s="1"/>
  <c r="J14" i="9" s="1"/>
  <c r="A31" i="6"/>
  <c r="A35" i="9" s="1"/>
  <c r="B32" i="6"/>
  <c r="B36" i="9" s="1"/>
  <c r="K11" i="9"/>
  <c r="K12" i="9" s="1"/>
  <c r="K13" i="9" s="1"/>
  <c r="K14" i="9" s="1"/>
  <c r="M32" i="9"/>
  <c r="O11" i="9"/>
  <c r="O12" i="9" s="1"/>
  <c r="O13" i="9" s="1"/>
  <c r="O14" i="9" s="1"/>
  <c r="O15" i="9" s="1"/>
  <c r="O16" i="9" s="1"/>
  <c r="O19" i="9" s="1"/>
  <c r="AH360" i="114" l="1"/>
  <c r="AL336" i="114"/>
  <c r="AN14" i="114"/>
  <c r="AE36" i="114"/>
  <c r="AH17" i="114"/>
  <c r="I66" i="3"/>
  <c r="K65" i="3"/>
  <c r="K66" i="3" s="1"/>
  <c r="AL692" i="114"/>
  <c r="AK729" i="114"/>
  <c r="O113" i="3" s="1"/>
  <c r="AN743" i="114"/>
  <c r="AN752" i="114" s="1"/>
  <c r="AL752" i="114"/>
  <c r="U643" i="114"/>
  <c r="I97" i="3"/>
  <c r="AN661" i="114"/>
  <c r="AI653" i="114"/>
  <c r="AH667" i="114"/>
  <c r="AF669" i="114"/>
  <c r="AN603" i="114"/>
  <c r="AB547" i="68"/>
  <c r="AC547" i="68" s="1"/>
  <c r="AE547" i="68" s="1"/>
  <c r="AF547" i="68" s="1"/>
  <c r="AH547" i="68" s="1"/>
  <c r="AI547" i="68" s="1"/>
  <c r="AK547" i="68" s="1"/>
  <c r="AL547" i="68" s="1"/>
  <c r="AN547" i="68" s="1"/>
  <c r="AB545" i="68"/>
  <c r="AC545" i="68" s="1"/>
  <c r="AE545" i="68" s="1"/>
  <c r="AF545" i="68" s="1"/>
  <c r="AH545" i="68" s="1"/>
  <c r="AI545" i="68" s="1"/>
  <c r="AK545" i="68" s="1"/>
  <c r="AL545" i="68" s="1"/>
  <c r="AN545" i="68" s="1"/>
  <c r="AB793" i="68"/>
  <c r="AC793" i="68" s="1"/>
  <c r="AE793" i="68" s="1"/>
  <c r="AF793" i="68" s="1"/>
  <c r="AH793" i="68" s="1"/>
  <c r="AI793" i="68" s="1"/>
  <c r="AK793" i="68" s="1"/>
  <c r="AL793" i="68" s="1"/>
  <c r="AN793" i="68" s="1"/>
  <c r="AB544" i="68"/>
  <c r="AC544" i="68" s="1"/>
  <c r="AE544" i="68" s="1"/>
  <c r="AF544" i="68" s="1"/>
  <c r="AH544" i="68" s="1"/>
  <c r="AI544" i="68" s="1"/>
  <c r="AK544" i="68" s="1"/>
  <c r="AL544" i="68" s="1"/>
  <c r="AN544" i="68" s="1"/>
  <c r="AB546" i="68"/>
  <c r="AC546" i="68" s="1"/>
  <c r="AE546" i="68" s="1"/>
  <c r="AF546" i="68" s="1"/>
  <c r="AH546" i="68" s="1"/>
  <c r="AI546" i="68" s="1"/>
  <c r="AK546" i="68" s="1"/>
  <c r="AL546" i="68" s="1"/>
  <c r="AN546" i="68" s="1"/>
  <c r="AB788" i="68"/>
  <c r="AC788" i="68" s="1"/>
  <c r="AE788" i="68" s="1"/>
  <c r="AF788" i="68" s="1"/>
  <c r="AH788" i="68" s="1"/>
  <c r="AI788" i="68" s="1"/>
  <c r="AK788" i="68" s="1"/>
  <c r="AL788" i="68" s="1"/>
  <c r="AN788" i="68" s="1"/>
  <c r="AB787" i="68"/>
  <c r="AC787" i="68" s="1"/>
  <c r="AE787" i="68" s="1"/>
  <c r="AF787" i="68" s="1"/>
  <c r="AH787" i="68" s="1"/>
  <c r="AI787" i="68" s="1"/>
  <c r="AK787" i="68" s="1"/>
  <c r="AL787" i="68" s="1"/>
  <c r="AN787" i="68" s="1"/>
  <c r="AB789" i="68"/>
  <c r="AC789" i="68" s="1"/>
  <c r="AE789" i="68" s="1"/>
  <c r="AF789" i="68" s="1"/>
  <c r="AH789" i="68" s="1"/>
  <c r="AI789" i="68" s="1"/>
  <c r="AK789" i="68" s="1"/>
  <c r="AL789" i="68" s="1"/>
  <c r="AN789" i="68" s="1"/>
  <c r="AB554" i="68"/>
  <c r="AC554" i="68" s="1"/>
  <c r="AE554" i="68" s="1"/>
  <c r="AF554" i="68" s="1"/>
  <c r="AH554" i="68" s="1"/>
  <c r="AI554" i="68" s="1"/>
  <c r="AK554" i="68" s="1"/>
  <c r="AL554" i="68" s="1"/>
  <c r="AN554" i="68" s="1"/>
  <c r="AB553" i="68"/>
  <c r="AC553" i="68" s="1"/>
  <c r="AE553" i="68" s="1"/>
  <c r="AF553" i="68" s="1"/>
  <c r="AH553" i="68" s="1"/>
  <c r="AI553" i="68" s="1"/>
  <c r="AK553" i="68" s="1"/>
  <c r="AL553" i="68" s="1"/>
  <c r="AN553" i="68" s="1"/>
  <c r="AB550" i="68"/>
  <c r="AC550" i="68" s="1"/>
  <c r="AE550" i="68" s="1"/>
  <c r="AF550" i="68" s="1"/>
  <c r="AH550" i="68" s="1"/>
  <c r="AI550" i="68" s="1"/>
  <c r="AK550" i="68" s="1"/>
  <c r="AL550" i="68" s="1"/>
  <c r="AN550" i="68" s="1"/>
  <c r="AC245" i="68"/>
  <c r="AE245" i="68" s="1"/>
  <c r="AF245" i="68" s="1"/>
  <c r="AH245" i="68" s="1"/>
  <c r="AI245" i="68" s="1"/>
  <c r="AK245" i="68" s="1"/>
  <c r="AL245" i="68" s="1"/>
  <c r="AN245" i="68" s="1"/>
  <c r="AB791" i="68"/>
  <c r="AC791" i="68" s="1"/>
  <c r="AE791" i="68" s="1"/>
  <c r="AF791" i="68" s="1"/>
  <c r="AH791" i="68" s="1"/>
  <c r="AI791" i="68" s="1"/>
  <c r="AK791" i="68" s="1"/>
  <c r="AL791" i="68" s="1"/>
  <c r="AN791" i="68" s="1"/>
  <c r="AB543" i="68"/>
  <c r="E321" i="103"/>
  <c r="AC394" i="68"/>
  <c r="AE394" i="68" s="1"/>
  <c r="AF394" i="68" s="1"/>
  <c r="AH394" i="68" s="1"/>
  <c r="AI394" i="68" s="1"/>
  <c r="AK394" i="68" s="1"/>
  <c r="AL394" i="68" s="1"/>
  <c r="AN394" i="68" s="1"/>
  <c r="AC551" i="68"/>
  <c r="AE551" i="68" s="1"/>
  <c r="AF551" i="68" s="1"/>
  <c r="AH551" i="68" s="1"/>
  <c r="AI551" i="68" s="1"/>
  <c r="AK551" i="68" s="1"/>
  <c r="AL551" i="68" s="1"/>
  <c r="AN551" i="68" s="1"/>
  <c r="H89" i="103"/>
  <c r="H90" i="103" s="1"/>
  <c r="H136" i="103"/>
  <c r="H153" i="103" s="1"/>
  <c r="H159" i="103" s="1"/>
  <c r="G90" i="103"/>
  <c r="AI87" i="68"/>
  <c r="AK87" i="68" s="1"/>
  <c r="AI27" i="114"/>
  <c r="AI1525" i="68"/>
  <c r="AK1525" i="68" s="1"/>
  <c r="AL1525" i="68" s="1"/>
  <c r="AN1525" i="68" s="1"/>
  <c r="AI542" i="68"/>
  <c r="AK542" i="68" s="1"/>
  <c r="AL542" i="68" s="1"/>
  <c r="AN542" i="68" s="1"/>
  <c r="AI792" i="68"/>
  <c r="AK792" i="68" s="1"/>
  <c r="AL792" i="68" s="1"/>
  <c r="AN792" i="68" s="1"/>
  <c r="AI383" i="68"/>
  <c r="AK383" i="68" s="1"/>
  <c r="AL383" i="68" s="1"/>
  <c r="AN383" i="68" s="1"/>
  <c r="AI650" i="68"/>
  <c r="AK650" i="68" s="1"/>
  <c r="AL650" i="68" s="1"/>
  <c r="AN650" i="68" s="1"/>
  <c r="E286" i="103"/>
  <c r="AC260" i="68"/>
  <c r="AE260" i="68" s="1"/>
  <c r="AF260" i="68" s="1"/>
  <c r="AH260" i="68" s="1"/>
  <c r="AI260" i="68" s="1"/>
  <c r="AK260" i="68" s="1"/>
  <c r="AL260" i="68" s="1"/>
  <c r="AN260" i="68" s="1"/>
  <c r="AC407" i="68"/>
  <c r="AE407" i="68" s="1"/>
  <c r="AF407" i="68" s="1"/>
  <c r="AH407" i="68" s="1"/>
  <c r="AI407" i="68" s="1"/>
  <c r="AK407" i="68" s="1"/>
  <c r="AL407" i="68" s="1"/>
  <c r="AN407" i="68" s="1"/>
  <c r="AC674" i="68"/>
  <c r="AE674" i="68" s="1"/>
  <c r="AF674" i="68" s="1"/>
  <c r="AH674" i="68" s="1"/>
  <c r="AI674" i="68" s="1"/>
  <c r="AK674" i="68" s="1"/>
  <c r="AL674" i="68" s="1"/>
  <c r="AN674" i="68" s="1"/>
  <c r="AL86" i="68"/>
  <c r="AN86" i="68" s="1"/>
  <c r="U552" i="68"/>
  <c r="Y552" i="68"/>
  <c r="Z552" i="68" s="1"/>
  <c r="U555" i="68"/>
  <c r="Y555" i="68"/>
  <c r="Z555" i="68" s="1"/>
  <c r="U790" i="68"/>
  <c r="Y790" i="68"/>
  <c r="Z790" i="68" s="1"/>
  <c r="I25" i="9"/>
  <c r="V548" i="68"/>
  <c r="K15" i="9"/>
  <c r="K16" i="9" s="1"/>
  <c r="L15" i="9"/>
  <c r="L16" i="9" s="1"/>
  <c r="J15" i="9"/>
  <c r="J16" i="9" s="1"/>
  <c r="U68" i="114"/>
  <c r="O364" i="115"/>
  <c r="U793" i="68"/>
  <c r="V793" i="68"/>
  <c r="U791" i="68"/>
  <c r="V791" i="68"/>
  <c r="T794" i="68"/>
  <c r="Y794" i="68" s="1"/>
  <c r="Z794" i="68" s="1"/>
  <c r="V788" i="68"/>
  <c r="U789" i="68"/>
  <c r="V789" i="68"/>
  <c r="O539" i="114"/>
  <c r="O546" i="114" s="1"/>
  <c r="P531" i="114"/>
  <c r="P539" i="114" s="1"/>
  <c r="P546" i="114" s="1"/>
  <c r="P358" i="115"/>
  <c r="U553" i="68"/>
  <c r="V553" i="68"/>
  <c r="U554" i="68"/>
  <c r="V554" i="68"/>
  <c r="T561" i="68"/>
  <c r="Y561" i="68" s="1"/>
  <c r="Z561" i="68" s="1"/>
  <c r="AB561" i="68" s="1"/>
  <c r="AC561" i="68" s="1"/>
  <c r="AE561" i="68" s="1"/>
  <c r="AF561" i="68" s="1"/>
  <c r="AH561" i="68" s="1"/>
  <c r="AI561" i="68" s="1"/>
  <c r="AK561" i="68" s="1"/>
  <c r="AL561" i="68" s="1"/>
  <c r="AN561" i="68" s="1"/>
  <c r="V550" i="68"/>
  <c r="T556" i="68"/>
  <c r="Y556" i="68" s="1"/>
  <c r="Z556" i="68" s="1"/>
  <c r="T562" i="68"/>
  <c r="Y562" i="68" s="1"/>
  <c r="Z562" i="68" s="1"/>
  <c r="T557" i="68"/>
  <c r="S576" i="68"/>
  <c r="S578" i="68" s="1"/>
  <c r="U550" i="68"/>
  <c r="T558" i="68"/>
  <c r="T568" i="68"/>
  <c r="Y568" i="68" s="1"/>
  <c r="Z568" i="68" s="1"/>
  <c r="AB568" i="68" s="1"/>
  <c r="J1058" i="68"/>
  <c r="J1055" i="68"/>
  <c r="J1056" i="68"/>
  <c r="J1054" i="68"/>
  <c r="J1060" i="68"/>
  <c r="J1059" i="68"/>
  <c r="J1057" i="68"/>
  <c r="S806" i="68"/>
  <c r="Q820" i="68"/>
  <c r="Q530" i="114"/>
  <c r="Q529" i="114"/>
  <c r="Q533" i="114"/>
  <c r="R529" i="114"/>
  <c r="R527" i="114"/>
  <c r="R533" i="114"/>
  <c r="R528" i="114"/>
  <c r="R530" i="114"/>
  <c r="R348" i="115"/>
  <c r="S804" i="68"/>
  <c r="S809" i="68" s="1"/>
  <c r="J491" i="115"/>
  <c r="P352" i="115"/>
  <c r="P362" i="115"/>
  <c r="R355" i="115"/>
  <c r="R350" i="115"/>
  <c r="Q535" i="114"/>
  <c r="R535" i="114"/>
  <c r="S521" i="114"/>
  <c r="S518" i="114"/>
  <c r="T501" i="114"/>
  <c r="Y501" i="114" s="1"/>
  <c r="Z501" i="114" s="1"/>
  <c r="AB501" i="114" s="1"/>
  <c r="AC501" i="114" s="1"/>
  <c r="AE501" i="114" s="1"/>
  <c r="AF501" i="114" s="1"/>
  <c r="AH501" i="114" s="1"/>
  <c r="AI501" i="114" s="1"/>
  <c r="AK501" i="114" s="1"/>
  <c r="AL501" i="114" s="1"/>
  <c r="AN501" i="114" s="1"/>
  <c r="Q527" i="114"/>
  <c r="Q526" i="114"/>
  <c r="S515" i="114"/>
  <c r="S522" i="114" s="1"/>
  <c r="T500" i="114"/>
  <c r="Y500" i="114" s="1"/>
  <c r="Z500" i="114" s="1"/>
  <c r="AB500" i="114" s="1"/>
  <c r="AC500" i="114" s="1"/>
  <c r="AE500" i="114" s="1"/>
  <c r="AF500" i="114" s="1"/>
  <c r="AH500" i="114" s="1"/>
  <c r="AI500" i="114" s="1"/>
  <c r="AK500" i="114" s="1"/>
  <c r="AL500" i="114" s="1"/>
  <c r="AN500" i="114" s="1"/>
  <c r="S517" i="114"/>
  <c r="S523" i="114" s="1"/>
  <c r="T499" i="114"/>
  <c r="T505" i="114"/>
  <c r="Y505" i="114" s="1"/>
  <c r="Z505" i="114" s="1"/>
  <c r="AB505" i="114" s="1"/>
  <c r="AC505" i="114" s="1"/>
  <c r="AE505" i="114" s="1"/>
  <c r="AF505" i="114" s="1"/>
  <c r="AH505" i="114" s="1"/>
  <c r="AI505" i="114" s="1"/>
  <c r="AK505" i="114" s="1"/>
  <c r="AL505" i="114" s="1"/>
  <c r="AN505" i="114" s="1"/>
  <c r="T504" i="114"/>
  <c r="Y504" i="114" s="1"/>
  <c r="Z504" i="114" s="1"/>
  <c r="AB504" i="114" s="1"/>
  <c r="AC504" i="114" s="1"/>
  <c r="AE504" i="114" s="1"/>
  <c r="AF504" i="114" s="1"/>
  <c r="AH504" i="114" s="1"/>
  <c r="AI504" i="114" s="1"/>
  <c r="AK504" i="114" s="1"/>
  <c r="AL504" i="114" s="1"/>
  <c r="AN504" i="114" s="1"/>
  <c r="T503" i="114"/>
  <c r="Y503" i="114" s="1"/>
  <c r="Z503" i="114" s="1"/>
  <c r="AB503" i="114" s="1"/>
  <c r="AC503" i="114" s="1"/>
  <c r="AE503" i="114" s="1"/>
  <c r="AF503" i="114" s="1"/>
  <c r="AH503" i="114" s="1"/>
  <c r="AI503" i="114" s="1"/>
  <c r="AK503" i="114" s="1"/>
  <c r="AL503" i="114" s="1"/>
  <c r="AN503" i="114" s="1"/>
  <c r="T502" i="114"/>
  <c r="Y502" i="114" s="1"/>
  <c r="Z502" i="114" s="1"/>
  <c r="AB502" i="114" s="1"/>
  <c r="AC502" i="114" s="1"/>
  <c r="AE502" i="114" s="1"/>
  <c r="AF502" i="114" s="1"/>
  <c r="AH502" i="114" s="1"/>
  <c r="AI502" i="114" s="1"/>
  <c r="AK502" i="114" s="1"/>
  <c r="AL502" i="114" s="1"/>
  <c r="AN502" i="114" s="1"/>
  <c r="Q362" i="115"/>
  <c r="V173" i="115"/>
  <c r="U173" i="115"/>
  <c r="R346" i="115"/>
  <c r="O457" i="115"/>
  <c r="O464" i="115"/>
  <c r="O450" i="115"/>
  <c r="O455" i="115"/>
  <c r="O447" i="115"/>
  <c r="O445" i="115"/>
  <c r="O444" i="115"/>
  <c r="O446" i="115"/>
  <c r="O462" i="115"/>
  <c r="O456" i="115"/>
  <c r="O458" i="115"/>
  <c r="O448" i="115"/>
  <c r="O463" i="115"/>
  <c r="O440" i="115"/>
  <c r="O453" i="115"/>
  <c r="O465" i="115"/>
  <c r="O434" i="115"/>
  <c r="O449" i="115"/>
  <c r="O459" i="115"/>
  <c r="O454" i="115"/>
  <c r="O436" i="115"/>
  <c r="O452" i="115"/>
  <c r="O451" i="115"/>
  <c r="O437" i="115"/>
  <c r="O438" i="115"/>
  <c r="O435" i="115"/>
  <c r="O441" i="115"/>
  <c r="O466" i="115"/>
  <c r="T188" i="115"/>
  <c r="R357" i="115"/>
  <c r="V164" i="115"/>
  <c r="U164" i="115"/>
  <c r="X164" i="115"/>
  <c r="M473" i="115"/>
  <c r="U156" i="115"/>
  <c r="V156" i="115"/>
  <c r="X156" i="115"/>
  <c r="V181" i="115"/>
  <c r="U181" i="115"/>
  <c r="X181" i="115"/>
  <c r="U175" i="115"/>
  <c r="V175" i="115"/>
  <c r="X175" i="115"/>
  <c r="X184" i="115"/>
  <c r="U184" i="115"/>
  <c r="V184" i="115"/>
  <c r="U180" i="115"/>
  <c r="V180" i="115"/>
  <c r="X180" i="115"/>
  <c r="U171" i="115"/>
  <c r="V171" i="115"/>
  <c r="X171" i="115"/>
  <c r="X166" i="115"/>
  <c r="V166" i="115"/>
  <c r="U166" i="115"/>
  <c r="T176" i="115"/>
  <c r="V162" i="115"/>
  <c r="U162" i="115"/>
  <c r="X162" i="115"/>
  <c r="U155" i="115"/>
  <c r="V155" i="115"/>
  <c r="X155" i="115"/>
  <c r="M442" i="115"/>
  <c r="M488" i="115" s="1"/>
  <c r="M469" i="115"/>
  <c r="M467" i="115"/>
  <c r="M471" i="115"/>
  <c r="M468" i="115"/>
  <c r="M470" i="115"/>
  <c r="T189" i="115"/>
  <c r="U167" i="115"/>
  <c r="V167" i="115"/>
  <c r="X167" i="115"/>
  <c r="U153" i="115"/>
  <c r="V153" i="115"/>
  <c r="X153" i="115"/>
  <c r="S192" i="115"/>
  <c r="S311" i="115" s="1"/>
  <c r="X168" i="115"/>
  <c r="V168" i="115"/>
  <c r="U168" i="115"/>
  <c r="R347" i="115"/>
  <c r="R361" i="115"/>
  <c r="M476" i="115"/>
  <c r="M485" i="115"/>
  <c r="U165" i="115"/>
  <c r="V165" i="115"/>
  <c r="X165" i="115"/>
  <c r="U178" i="115"/>
  <c r="V178" i="115"/>
  <c r="X178" i="115"/>
  <c r="S326" i="115"/>
  <c r="S319" i="115"/>
  <c r="J486" i="115"/>
  <c r="M472" i="115"/>
  <c r="M460" i="115"/>
  <c r="R356" i="115"/>
  <c r="R351" i="115"/>
  <c r="U151" i="115"/>
  <c r="T160" i="115"/>
  <c r="T186" i="115"/>
  <c r="T185" i="115"/>
  <c r="V151" i="115"/>
  <c r="X151" i="115"/>
  <c r="V172" i="115"/>
  <c r="U172" i="115"/>
  <c r="X172" i="115"/>
  <c r="V159" i="115"/>
  <c r="U159" i="115"/>
  <c r="X159" i="115"/>
  <c r="S306" i="115"/>
  <c r="S335" i="115"/>
  <c r="U170" i="115"/>
  <c r="V170" i="115"/>
  <c r="X170" i="115"/>
  <c r="S312" i="115"/>
  <c r="U157" i="115"/>
  <c r="V157" i="115"/>
  <c r="X157" i="115"/>
  <c r="X158" i="115"/>
  <c r="U158" i="115"/>
  <c r="V158" i="115"/>
  <c r="U163" i="115"/>
  <c r="V163" i="115"/>
  <c r="X163" i="115"/>
  <c r="T183" i="115"/>
  <c r="Q358" i="115"/>
  <c r="U154" i="115"/>
  <c r="V154" i="115"/>
  <c r="X154" i="115"/>
  <c r="U179" i="115"/>
  <c r="V179" i="115"/>
  <c r="X179" i="115"/>
  <c r="S301" i="115"/>
  <c r="X152" i="115"/>
  <c r="V152" i="115"/>
  <c r="U152" i="115"/>
  <c r="V169" i="115"/>
  <c r="X169" i="115"/>
  <c r="U169" i="115"/>
  <c r="S322" i="115"/>
  <c r="V174" i="115"/>
  <c r="U174" i="115"/>
  <c r="X174" i="115"/>
  <c r="Q352" i="115"/>
  <c r="M474" i="115"/>
  <c r="R360" i="115"/>
  <c r="P817" i="68"/>
  <c r="O822" i="68"/>
  <c r="P822" i="68" s="1"/>
  <c r="P819" i="68"/>
  <c r="O824" i="68"/>
  <c r="P824" i="68" s="1"/>
  <c r="R814" i="68"/>
  <c r="M829" i="68"/>
  <c r="V828" i="68"/>
  <c r="S805" i="68"/>
  <c r="S807" i="68"/>
  <c r="R812" i="68"/>
  <c r="Q822" i="68"/>
  <c r="T797" i="68"/>
  <c r="Y797" i="68" s="1"/>
  <c r="Z797" i="68" s="1"/>
  <c r="Q818" i="68"/>
  <c r="Q821" i="68"/>
  <c r="S808" i="68"/>
  <c r="P820" i="68"/>
  <c r="O825" i="68"/>
  <c r="P825" i="68" s="1"/>
  <c r="T795" i="68"/>
  <c r="Y795" i="68" s="1"/>
  <c r="Z795" i="68" s="1"/>
  <c r="R815" i="68"/>
  <c r="P818" i="68"/>
  <c r="O823" i="68"/>
  <c r="P816" i="68"/>
  <c r="O821" i="68"/>
  <c r="P821" i="68" s="1"/>
  <c r="U788" i="68"/>
  <c r="T796" i="68"/>
  <c r="Y796" i="68" s="1"/>
  <c r="Z796" i="68" s="1"/>
  <c r="Q819" i="68"/>
  <c r="D36" i="9"/>
  <c r="M36" i="6"/>
  <c r="F34" i="6"/>
  <c r="P33" i="6"/>
  <c r="K106" i="3"/>
  <c r="U866" i="115"/>
  <c r="V866" i="115"/>
  <c r="U274" i="68"/>
  <c r="V274" i="68"/>
  <c r="U419" i="68"/>
  <c r="V419" i="68"/>
  <c r="T645" i="114"/>
  <c r="U687" i="68"/>
  <c r="V687" i="68"/>
  <c r="U389" i="114"/>
  <c r="V389" i="114"/>
  <c r="N18" i="9"/>
  <c r="N17" i="9"/>
  <c r="N20" i="9" s="1"/>
  <c r="S11" i="9"/>
  <c r="M18" i="9"/>
  <c r="M17" i="9"/>
  <c r="A32" i="6"/>
  <c r="A36" i="9" s="1"/>
  <c r="B33" i="6"/>
  <c r="B37" i="9" s="1"/>
  <c r="O18" i="9"/>
  <c r="O17" i="9"/>
  <c r="O20" i="9" s="1"/>
  <c r="M33" i="9"/>
  <c r="P18" i="9"/>
  <c r="P17" i="9"/>
  <c r="P20" i="9" s="1"/>
  <c r="Q18" i="9"/>
  <c r="Q17" i="9"/>
  <c r="Q20" i="9" s="1"/>
  <c r="R18" i="9"/>
  <c r="R17" i="9"/>
  <c r="P121" i="3" l="1"/>
  <c r="AN336" i="114"/>
  <c r="AI360" i="114"/>
  <c r="AK27" i="114"/>
  <c r="AI17" i="114"/>
  <c r="AF36" i="114"/>
  <c r="AN692" i="114"/>
  <c r="AN729" i="114" s="1"/>
  <c r="P113" i="3" s="1"/>
  <c r="AL729" i="114"/>
  <c r="AI667" i="114"/>
  <c r="AH669" i="114"/>
  <c r="N105" i="3" s="1"/>
  <c r="AK653" i="114"/>
  <c r="K97" i="3"/>
  <c r="K98" i="3" s="1"/>
  <c r="I98" i="3"/>
  <c r="Y499" i="114"/>
  <c r="AL87" i="68"/>
  <c r="AN87" i="68" s="1"/>
  <c r="AB552" i="68"/>
  <c r="AC552" i="68" s="1"/>
  <c r="AE552" i="68" s="1"/>
  <c r="AF552" i="68" s="1"/>
  <c r="AH552" i="68" s="1"/>
  <c r="AI552" i="68" s="1"/>
  <c r="AK552" i="68" s="1"/>
  <c r="AL552" i="68" s="1"/>
  <c r="AN552" i="68" s="1"/>
  <c r="AB790" i="68"/>
  <c r="AC790" i="68" s="1"/>
  <c r="AE790" i="68" s="1"/>
  <c r="AF790" i="68" s="1"/>
  <c r="AH790" i="68" s="1"/>
  <c r="AI790" i="68" s="1"/>
  <c r="AK790" i="68" s="1"/>
  <c r="AL790" i="68" s="1"/>
  <c r="AN790" i="68" s="1"/>
  <c r="AB795" i="68"/>
  <c r="AC795" i="68" s="1"/>
  <c r="AE795" i="68" s="1"/>
  <c r="AF795" i="68" s="1"/>
  <c r="AH795" i="68" s="1"/>
  <c r="AI795" i="68" s="1"/>
  <c r="AK795" i="68" s="1"/>
  <c r="AL795" i="68" s="1"/>
  <c r="AN795" i="68" s="1"/>
  <c r="AB555" i="68"/>
  <c r="AC555" i="68" s="1"/>
  <c r="AE555" i="68" s="1"/>
  <c r="AF555" i="68" s="1"/>
  <c r="AH555" i="68" s="1"/>
  <c r="AI555" i="68" s="1"/>
  <c r="AK555" i="68" s="1"/>
  <c r="AL555" i="68" s="1"/>
  <c r="AN555" i="68" s="1"/>
  <c r="AB562" i="68"/>
  <c r="AC562" i="68" s="1"/>
  <c r="AE562" i="68" s="1"/>
  <c r="AF562" i="68" s="1"/>
  <c r="AH562" i="68" s="1"/>
  <c r="AI562" i="68" s="1"/>
  <c r="AK562" i="68" s="1"/>
  <c r="AL562" i="68" s="1"/>
  <c r="AN562" i="68" s="1"/>
  <c r="AC543" i="68"/>
  <c r="AE543" i="68" s="1"/>
  <c r="AF543" i="68" s="1"/>
  <c r="AH543" i="68" s="1"/>
  <c r="AI543" i="68" s="1"/>
  <c r="AK543" i="68" s="1"/>
  <c r="AL543" i="68" s="1"/>
  <c r="AN543" i="68" s="1"/>
  <c r="AB556" i="68"/>
  <c r="AC556" i="68" s="1"/>
  <c r="AE556" i="68" s="1"/>
  <c r="AF556" i="68" s="1"/>
  <c r="AH556" i="68" s="1"/>
  <c r="AI556" i="68" s="1"/>
  <c r="AK556" i="68" s="1"/>
  <c r="AL556" i="68" s="1"/>
  <c r="AN556" i="68" s="1"/>
  <c r="AB796" i="68"/>
  <c r="AC796" i="68" s="1"/>
  <c r="AE796" i="68" s="1"/>
  <c r="AF796" i="68" s="1"/>
  <c r="AH796" i="68" s="1"/>
  <c r="AI796" i="68" s="1"/>
  <c r="AK796" i="68" s="1"/>
  <c r="AL796" i="68" s="1"/>
  <c r="AN796" i="68" s="1"/>
  <c r="AB797" i="68"/>
  <c r="AC797" i="68" s="1"/>
  <c r="AE797" i="68" s="1"/>
  <c r="AF797" i="68" s="1"/>
  <c r="AH797" i="68" s="1"/>
  <c r="AI797" i="68" s="1"/>
  <c r="AK797" i="68" s="1"/>
  <c r="AL797" i="68" s="1"/>
  <c r="AN797" i="68" s="1"/>
  <c r="AB794" i="68"/>
  <c r="AC794" i="68" s="1"/>
  <c r="AE794" i="68" s="1"/>
  <c r="AF794" i="68" s="1"/>
  <c r="AH794" i="68" s="1"/>
  <c r="AI794" i="68" s="1"/>
  <c r="AK794" i="68" s="1"/>
  <c r="AL794" i="68" s="1"/>
  <c r="AN794" i="68" s="1"/>
  <c r="E287" i="103"/>
  <c r="AC45" i="114"/>
  <c r="AE45" i="114" s="1"/>
  <c r="AF45" i="114" s="1"/>
  <c r="AH45" i="114" s="1"/>
  <c r="AI45" i="114" s="1"/>
  <c r="AK45" i="114" s="1"/>
  <c r="AL45" i="114" s="1"/>
  <c r="AN45" i="114" s="1"/>
  <c r="AC408" i="68"/>
  <c r="AE408" i="68" s="1"/>
  <c r="AF408" i="68" s="1"/>
  <c r="AH408" i="68" s="1"/>
  <c r="AI408" i="68" s="1"/>
  <c r="AK408" i="68" s="1"/>
  <c r="AL408" i="68" s="1"/>
  <c r="AN408" i="68" s="1"/>
  <c r="H91" i="103"/>
  <c r="H124" i="103"/>
  <c r="G91" i="103"/>
  <c r="G124" i="103"/>
  <c r="E192" i="103"/>
  <c r="E322" i="103"/>
  <c r="AC1536" i="68"/>
  <c r="AE1536" i="68" s="1"/>
  <c r="AF1536" i="68" s="1"/>
  <c r="AH1536" i="68" s="1"/>
  <c r="AI1536" i="68" s="1"/>
  <c r="AK1536" i="68" s="1"/>
  <c r="AL1536" i="68" s="1"/>
  <c r="AN1536" i="68" s="1"/>
  <c r="U557" i="68"/>
  <c r="Y557" i="68"/>
  <c r="Z557" i="68" s="1"/>
  <c r="U558" i="68"/>
  <c r="Y558" i="68"/>
  <c r="Z558" i="68" s="1"/>
  <c r="L98" i="3"/>
  <c r="L106" i="3"/>
  <c r="O21" i="9"/>
  <c r="O23" i="9" s="1"/>
  <c r="O24" i="9" s="1"/>
  <c r="O25" i="9" s="1"/>
  <c r="O26" i="9" s="1"/>
  <c r="O27" i="9" s="1"/>
  <c r="O28" i="9" s="1"/>
  <c r="O29" i="9" s="1"/>
  <c r="O30" i="9" s="1"/>
  <c r="O31" i="9" s="1"/>
  <c r="O32" i="9" s="1"/>
  <c r="O33" i="9" s="1"/>
  <c r="O34" i="9" s="1"/>
  <c r="N21" i="9"/>
  <c r="N23" i="9" s="1"/>
  <c r="N24" i="9" s="1"/>
  <c r="N25" i="9" s="1"/>
  <c r="N26" i="9" s="1"/>
  <c r="N27" i="9" s="1"/>
  <c r="N28" i="9" s="1"/>
  <c r="N29" i="9" s="1"/>
  <c r="N30" i="9" s="1"/>
  <c r="N31" i="9" s="1"/>
  <c r="N32" i="9" s="1"/>
  <c r="N33" i="9" s="1"/>
  <c r="N34" i="9" s="1"/>
  <c r="Q21" i="9"/>
  <c r="Q23" i="9" s="1"/>
  <c r="Q24" i="9" s="1"/>
  <c r="Q25" i="9" s="1"/>
  <c r="Q26" i="9" s="1"/>
  <c r="Q27" i="9" s="1"/>
  <c r="Q28" i="9" s="1"/>
  <c r="Q29" i="9" s="1"/>
  <c r="Q30" i="9" s="1"/>
  <c r="Q31" i="9" s="1"/>
  <c r="Q32" i="9" s="1"/>
  <c r="Q33" i="9" s="1"/>
  <c r="Q34" i="9" s="1"/>
  <c r="P21" i="9"/>
  <c r="P23" i="9" s="1"/>
  <c r="P24" i="9" s="1"/>
  <c r="P25" i="9" s="1"/>
  <c r="P26" i="9" s="1"/>
  <c r="P27" i="9" s="1"/>
  <c r="P28" i="9" s="1"/>
  <c r="P29" i="9" s="1"/>
  <c r="P30" i="9" s="1"/>
  <c r="P31" i="9" s="1"/>
  <c r="P32" i="9" s="1"/>
  <c r="P33" i="9" s="1"/>
  <c r="P34" i="9" s="1"/>
  <c r="U645" i="114"/>
  <c r="V645" i="114"/>
  <c r="I26" i="9"/>
  <c r="J493" i="115"/>
  <c r="J19" i="9"/>
  <c r="J17" i="9"/>
  <c r="J20" i="9" s="1"/>
  <c r="J18" i="9"/>
  <c r="L18" i="9"/>
  <c r="L19" i="9"/>
  <c r="L17" i="9"/>
  <c r="L20" i="9" s="1"/>
  <c r="K19" i="9"/>
  <c r="K17" i="9"/>
  <c r="K20" i="9" s="1"/>
  <c r="K18" i="9"/>
  <c r="T508" i="114"/>
  <c r="U796" i="68"/>
  <c r="V796" i="68"/>
  <c r="U797" i="68"/>
  <c r="V797" i="68"/>
  <c r="U794" i="68"/>
  <c r="V794" i="68"/>
  <c r="V795" i="68"/>
  <c r="U561" i="68"/>
  <c r="V561" i="68"/>
  <c r="U568" i="68"/>
  <c r="V568" i="68"/>
  <c r="U562" i="68"/>
  <c r="V562" i="68"/>
  <c r="T565" i="68"/>
  <c r="Y565" i="68" s="1"/>
  <c r="Z565" i="68" s="1"/>
  <c r="AB565" i="68" s="1"/>
  <c r="U556" i="68"/>
  <c r="T569" i="68"/>
  <c r="T564" i="68"/>
  <c r="Y564" i="68" s="1"/>
  <c r="Z564" i="68" s="1"/>
  <c r="AB564" i="68" s="1"/>
  <c r="T566" i="68"/>
  <c r="Y566" i="68" s="1"/>
  <c r="Z566" i="68" s="1"/>
  <c r="T563" i="68"/>
  <c r="Y563" i="68" s="1"/>
  <c r="Z563" i="68" s="1"/>
  <c r="T572" i="68"/>
  <c r="T567" i="68"/>
  <c r="Y567" i="68" s="1"/>
  <c r="Z567" i="68" s="1"/>
  <c r="AB567" i="68" s="1"/>
  <c r="T573" i="68"/>
  <c r="Y573" i="68" s="1"/>
  <c r="Z573" i="68" s="1"/>
  <c r="AB573" i="68" s="1"/>
  <c r="T570" i="68"/>
  <c r="Y570" i="68" s="1"/>
  <c r="Z570" i="68" s="1"/>
  <c r="AB570" i="68" s="1"/>
  <c r="S811" i="68"/>
  <c r="T559" i="68"/>
  <c r="R819" i="68"/>
  <c r="J1064" i="68"/>
  <c r="J1062" i="68"/>
  <c r="J1061" i="68"/>
  <c r="J1063" i="68"/>
  <c r="S814" i="68"/>
  <c r="Q824" i="68"/>
  <c r="M484" i="115"/>
  <c r="R531" i="114"/>
  <c r="R539" i="114" s="1"/>
  <c r="R546" i="114" s="1"/>
  <c r="M490" i="115"/>
  <c r="M489" i="115"/>
  <c r="R362" i="115"/>
  <c r="R358" i="115"/>
  <c r="P364" i="115"/>
  <c r="P450" i="115" s="1"/>
  <c r="P435" i="115"/>
  <c r="P447" i="115"/>
  <c r="S317" i="115"/>
  <c r="S308" i="115"/>
  <c r="S315" i="115"/>
  <c r="O472" i="115"/>
  <c r="S525" i="114"/>
  <c r="U505" i="114"/>
  <c r="V505" i="114"/>
  <c r="T511" i="114"/>
  <c r="U500" i="114"/>
  <c r="V500" i="114"/>
  <c r="U504" i="114"/>
  <c r="V504" i="114"/>
  <c r="U502" i="114"/>
  <c r="V502" i="114"/>
  <c r="S524" i="114"/>
  <c r="S519" i="114"/>
  <c r="S528" i="114" s="1"/>
  <c r="V503" i="114"/>
  <c r="U503" i="114"/>
  <c r="U499" i="114"/>
  <c r="V499" i="114"/>
  <c r="V501" i="114"/>
  <c r="U501" i="114"/>
  <c r="Q537" i="114"/>
  <c r="Q531" i="114"/>
  <c r="T507" i="114"/>
  <c r="Y507" i="114" s="1"/>
  <c r="Z507" i="114" s="1"/>
  <c r="AB507" i="114" s="1"/>
  <c r="AC507" i="114" s="1"/>
  <c r="AE507" i="114" s="1"/>
  <c r="AF507" i="114" s="1"/>
  <c r="AH507" i="114" s="1"/>
  <c r="AI507" i="114" s="1"/>
  <c r="AK507" i="114" s="1"/>
  <c r="AL507" i="114" s="1"/>
  <c r="AN507" i="114" s="1"/>
  <c r="T506" i="114"/>
  <c r="Y506" i="114" s="1"/>
  <c r="Z506" i="114" s="1"/>
  <c r="AB506" i="114" s="1"/>
  <c r="AC506" i="114" s="1"/>
  <c r="AE506" i="114" s="1"/>
  <c r="AF506" i="114" s="1"/>
  <c r="AH506" i="114" s="1"/>
  <c r="AI506" i="114" s="1"/>
  <c r="AK506" i="114" s="1"/>
  <c r="AL506" i="114" s="1"/>
  <c r="AN506" i="114" s="1"/>
  <c r="R352" i="115"/>
  <c r="P451" i="115"/>
  <c r="P464" i="115"/>
  <c r="P466" i="115"/>
  <c r="P463" i="115"/>
  <c r="O473" i="115"/>
  <c r="P455" i="115"/>
  <c r="P454" i="115"/>
  <c r="P459" i="115"/>
  <c r="P453" i="115"/>
  <c r="P449" i="115"/>
  <c r="P440" i="115"/>
  <c r="P438" i="115"/>
  <c r="P457" i="115"/>
  <c r="P434" i="115"/>
  <c r="P437" i="115"/>
  <c r="O471" i="115"/>
  <c r="S304" i="115"/>
  <c r="P444" i="115"/>
  <c r="P445" i="115"/>
  <c r="P441" i="115"/>
  <c r="P436" i="115"/>
  <c r="P456" i="115"/>
  <c r="P448" i="115"/>
  <c r="O476" i="115"/>
  <c r="P462" i="115"/>
  <c r="P458" i="115"/>
  <c r="P446" i="115"/>
  <c r="T190" i="115"/>
  <c r="T192" i="115" s="1"/>
  <c r="T315" i="115" s="1"/>
  <c r="S331" i="115"/>
  <c r="S302" i="115"/>
  <c r="O442" i="115"/>
  <c r="O477" i="115" s="1"/>
  <c r="O467" i="115"/>
  <c r="O469" i="115"/>
  <c r="M480" i="115"/>
  <c r="O474" i="115"/>
  <c r="X185" i="115"/>
  <c r="U185" i="115"/>
  <c r="V185" i="115"/>
  <c r="S336" i="115"/>
  <c r="O460" i="115"/>
  <c r="V186" i="115"/>
  <c r="U186" i="115"/>
  <c r="X186" i="115"/>
  <c r="X189" i="115"/>
  <c r="U189" i="115"/>
  <c r="V189" i="115"/>
  <c r="X176" i="115"/>
  <c r="U176" i="115"/>
  <c r="V176" i="115"/>
  <c r="S305" i="115"/>
  <c r="S325" i="115"/>
  <c r="U160" i="115"/>
  <c r="X160" i="115"/>
  <c r="V160" i="115"/>
  <c r="M477" i="115"/>
  <c r="Q364" i="115"/>
  <c r="S329" i="115"/>
  <c r="S318" i="115"/>
  <c r="M483" i="115"/>
  <c r="U188" i="115"/>
  <c r="X188" i="115"/>
  <c r="V188" i="115"/>
  <c r="P467" i="115"/>
  <c r="P469" i="115"/>
  <c r="U183" i="115"/>
  <c r="V183" i="115"/>
  <c r="X183" i="115"/>
  <c r="T307" i="115"/>
  <c r="S327" i="115"/>
  <c r="S314" i="115"/>
  <c r="S307" i="115"/>
  <c r="S330" i="115"/>
  <c r="S323" i="115"/>
  <c r="S337" i="115"/>
  <c r="S324" i="115"/>
  <c r="S303" i="115"/>
  <c r="S316" i="115"/>
  <c r="S332" i="115"/>
  <c r="S313" i="115"/>
  <c r="S320" i="115"/>
  <c r="S321" i="115"/>
  <c r="S328" i="115"/>
  <c r="T318" i="115"/>
  <c r="O468" i="115"/>
  <c r="O470" i="115"/>
  <c r="T306" i="115"/>
  <c r="R817" i="68"/>
  <c r="R816" i="68"/>
  <c r="R821" i="68" s="1"/>
  <c r="R820" i="68"/>
  <c r="Q823" i="68"/>
  <c r="Q828" i="68" s="1"/>
  <c r="R818" i="68"/>
  <c r="T800" i="68"/>
  <c r="T798" i="68"/>
  <c r="V798" i="68" s="1"/>
  <c r="V829" i="68"/>
  <c r="M831" i="68"/>
  <c r="Q825" i="68"/>
  <c r="P823" i="68"/>
  <c r="P826" i="68" s="1"/>
  <c r="O828" i="68"/>
  <c r="O826" i="68"/>
  <c r="S810" i="68"/>
  <c r="U795" i="68"/>
  <c r="T801" i="68"/>
  <c r="T802" i="68"/>
  <c r="D37" i="9"/>
  <c r="M37" i="6"/>
  <c r="T1933" i="68"/>
  <c r="F35" i="6"/>
  <c r="P34" i="6"/>
  <c r="V1047" i="115"/>
  <c r="B34" i="6"/>
  <c r="B38" i="9" s="1"/>
  <c r="A33" i="6"/>
  <c r="A37" i="9" s="1"/>
  <c r="M34" i="9"/>
  <c r="S12" i="9"/>
  <c r="R20" i="9"/>
  <c r="AK360" i="114" l="1"/>
  <c r="AH36" i="114"/>
  <c r="AK17" i="114"/>
  <c r="AL27" i="114"/>
  <c r="Z499" i="114"/>
  <c r="Y511" i="114"/>
  <c r="Z511" i="114" s="1"/>
  <c r="AB511" i="114" s="1"/>
  <c r="AC511" i="114" s="1"/>
  <c r="AE511" i="114" s="1"/>
  <c r="AF511" i="114" s="1"/>
  <c r="AH511" i="114" s="1"/>
  <c r="AI511" i="114" s="1"/>
  <c r="AK511" i="114" s="1"/>
  <c r="AL511" i="114" s="1"/>
  <c r="AN511" i="114" s="1"/>
  <c r="AL653" i="114"/>
  <c r="AK667" i="114"/>
  <c r="AI669" i="114"/>
  <c r="AB557" i="68"/>
  <c r="AC557" i="68" s="1"/>
  <c r="AE557" i="68" s="1"/>
  <c r="AF557" i="68" s="1"/>
  <c r="AH557" i="68" s="1"/>
  <c r="AI557" i="68" s="1"/>
  <c r="AK557" i="68" s="1"/>
  <c r="AL557" i="68" s="1"/>
  <c r="AN557" i="68" s="1"/>
  <c r="AB558" i="68"/>
  <c r="AC558" i="68" s="1"/>
  <c r="AE558" i="68" s="1"/>
  <c r="AF558" i="68" s="1"/>
  <c r="AH558" i="68" s="1"/>
  <c r="AI558" i="68" s="1"/>
  <c r="AK558" i="68" s="1"/>
  <c r="AL558" i="68" s="1"/>
  <c r="AN558" i="68" s="1"/>
  <c r="AB563" i="68"/>
  <c r="AC563" i="68" s="1"/>
  <c r="AE563" i="68" s="1"/>
  <c r="AF563" i="68" s="1"/>
  <c r="AH563" i="68" s="1"/>
  <c r="AI563" i="68" s="1"/>
  <c r="AK563" i="68" s="1"/>
  <c r="AL563" i="68" s="1"/>
  <c r="AN563" i="68" s="1"/>
  <c r="AB566" i="68"/>
  <c r="AC566" i="68" s="1"/>
  <c r="AE566" i="68" s="1"/>
  <c r="AF566" i="68" s="1"/>
  <c r="AH566" i="68" s="1"/>
  <c r="AI566" i="68" s="1"/>
  <c r="AK566" i="68" s="1"/>
  <c r="AL566" i="68" s="1"/>
  <c r="AN566" i="68" s="1"/>
  <c r="V508" i="114"/>
  <c r="Y508" i="114"/>
  <c r="Z508" i="114" s="1"/>
  <c r="AB508" i="114" s="1"/>
  <c r="AC508" i="114" s="1"/>
  <c r="AE508" i="114" s="1"/>
  <c r="AF508" i="114" s="1"/>
  <c r="AH508" i="114" s="1"/>
  <c r="AI508" i="114" s="1"/>
  <c r="AK508" i="114" s="1"/>
  <c r="AL508" i="114" s="1"/>
  <c r="AN508" i="114" s="1"/>
  <c r="E193" i="103"/>
  <c r="E214" i="103"/>
  <c r="E324" i="103"/>
  <c r="AC39" i="114"/>
  <c r="AC368" i="114"/>
  <c r="AE368" i="114" s="1"/>
  <c r="AF368" i="114" s="1"/>
  <c r="AH368" i="114" s="1"/>
  <c r="AI368" i="114" s="1"/>
  <c r="AK368" i="114" s="1"/>
  <c r="AL368" i="114" s="1"/>
  <c r="AN368" i="114" s="1"/>
  <c r="E288" i="103"/>
  <c r="AC412" i="68"/>
  <c r="AE412" i="68" s="1"/>
  <c r="AF412" i="68" s="1"/>
  <c r="AH412" i="68" s="1"/>
  <c r="AI412" i="68" s="1"/>
  <c r="AK412" i="68" s="1"/>
  <c r="AL412" i="68" s="1"/>
  <c r="AN412" i="68" s="1"/>
  <c r="AC264" i="68"/>
  <c r="AE264" i="68" s="1"/>
  <c r="AF264" i="68" s="1"/>
  <c r="AH264" i="68" s="1"/>
  <c r="AI264" i="68" s="1"/>
  <c r="AK264" i="68" s="1"/>
  <c r="AL264" i="68" s="1"/>
  <c r="AN264" i="68" s="1"/>
  <c r="AC677" i="68"/>
  <c r="AE677" i="68" s="1"/>
  <c r="AF677" i="68" s="1"/>
  <c r="AH677" i="68" s="1"/>
  <c r="AI677" i="68" s="1"/>
  <c r="AK677" i="68" s="1"/>
  <c r="AL677" i="68" s="1"/>
  <c r="AN677" i="68" s="1"/>
  <c r="V800" i="68"/>
  <c r="Y800" i="68"/>
  <c r="Z800" i="68" s="1"/>
  <c r="U572" i="68"/>
  <c r="Y572" i="68"/>
  <c r="Z572" i="68" s="1"/>
  <c r="AB572" i="68" s="1"/>
  <c r="U569" i="68"/>
  <c r="Y569" i="68"/>
  <c r="Z569" i="68" s="1"/>
  <c r="U802" i="68"/>
  <c r="Y802" i="68"/>
  <c r="Z802" i="68" s="1"/>
  <c r="U801" i="68"/>
  <c r="Y801" i="68"/>
  <c r="Z801" i="68" s="1"/>
  <c r="AB801" i="68" s="1"/>
  <c r="M106" i="3"/>
  <c r="M98" i="3"/>
  <c r="R21" i="9"/>
  <c r="R23" i="9" s="1"/>
  <c r="R24" i="9" s="1"/>
  <c r="R25" i="9" s="1"/>
  <c r="R26" i="9" s="1"/>
  <c r="R27" i="9" s="1"/>
  <c r="R28" i="9" s="1"/>
  <c r="R29" i="9" s="1"/>
  <c r="R30" i="9" s="1"/>
  <c r="R31" i="9" s="1"/>
  <c r="R32" i="9" s="1"/>
  <c r="R33" i="9" s="1"/>
  <c r="R34" i="9" s="1"/>
  <c r="R35" i="9" s="1"/>
  <c r="S22" i="9"/>
  <c r="U563" i="68"/>
  <c r="V563" i="68"/>
  <c r="I27" i="9"/>
  <c r="K21" i="9"/>
  <c r="K23" i="9" s="1"/>
  <c r="L21" i="9"/>
  <c r="L23" i="9" s="1"/>
  <c r="J21" i="9"/>
  <c r="J23" i="9" s="1"/>
  <c r="U508" i="114"/>
  <c r="S812" i="68"/>
  <c r="S817" i="68" s="1"/>
  <c r="Q829" i="68"/>
  <c r="U573" i="68"/>
  <c r="V573" i="68"/>
  <c r="U567" i="68"/>
  <c r="V567" i="68"/>
  <c r="U565" i="68"/>
  <c r="V565" i="68"/>
  <c r="U559" i="68"/>
  <c r="V559" i="68"/>
  <c r="U566" i="68"/>
  <c r="V566" i="68"/>
  <c r="U570" i="68"/>
  <c r="V570" i="68"/>
  <c r="U564" i="68"/>
  <c r="V564" i="68"/>
  <c r="T575" i="68"/>
  <c r="Y575" i="68" s="1"/>
  <c r="Z575" i="68" s="1"/>
  <c r="T574" i="68"/>
  <c r="T571" i="68"/>
  <c r="Y571" i="68" s="1"/>
  <c r="Z571" i="68" s="1"/>
  <c r="AB571" i="68" s="1"/>
  <c r="Q826" i="68"/>
  <c r="M491" i="115"/>
  <c r="J1067" i="68"/>
  <c r="J1065" i="68"/>
  <c r="J1070" i="68" s="1"/>
  <c r="J1068" i="68"/>
  <c r="J1069" i="68"/>
  <c r="T804" i="68"/>
  <c r="Y804" i="68" s="1"/>
  <c r="Z804" i="68" s="1"/>
  <c r="Q539" i="114"/>
  <c r="Q546" i="114" s="1"/>
  <c r="S529" i="114"/>
  <c r="R823" i="68"/>
  <c r="R822" i="68"/>
  <c r="P452" i="115"/>
  <c r="P460" i="115" s="1"/>
  <c r="R364" i="115"/>
  <c r="R455" i="115" s="1"/>
  <c r="R447" i="115"/>
  <c r="P465" i="115"/>
  <c r="R436" i="115"/>
  <c r="P468" i="115"/>
  <c r="P471" i="115"/>
  <c r="P470" i="115"/>
  <c r="S341" i="115"/>
  <c r="T303" i="115"/>
  <c r="U303" i="115" s="1"/>
  <c r="T320" i="115"/>
  <c r="U320" i="115" s="1"/>
  <c r="T328" i="115"/>
  <c r="X328" i="115" s="1"/>
  <c r="T308" i="115"/>
  <c r="U308" i="115" s="1"/>
  <c r="T332" i="115"/>
  <c r="U332" i="115" s="1"/>
  <c r="R453" i="115"/>
  <c r="T319" i="115"/>
  <c r="U319" i="115" s="1"/>
  <c r="P473" i="115"/>
  <c r="S533" i="114"/>
  <c r="T514" i="114"/>
  <c r="Y514" i="114" s="1"/>
  <c r="Z514" i="114" s="1"/>
  <c r="AB514" i="114" s="1"/>
  <c r="AC514" i="114" s="1"/>
  <c r="AE514" i="114" s="1"/>
  <c r="AF514" i="114" s="1"/>
  <c r="AH514" i="114" s="1"/>
  <c r="AI514" i="114" s="1"/>
  <c r="AK514" i="114" s="1"/>
  <c r="AL514" i="114" s="1"/>
  <c r="AN514" i="114" s="1"/>
  <c r="T512" i="114"/>
  <c r="Y512" i="114" s="1"/>
  <c r="Z512" i="114" s="1"/>
  <c r="AB512" i="114" s="1"/>
  <c r="U507" i="114"/>
  <c r="V507" i="114"/>
  <c r="T509" i="114"/>
  <c r="T518" i="114" s="1"/>
  <c r="Y518" i="114" s="1"/>
  <c r="Z518" i="114" s="1"/>
  <c r="AB518" i="114" s="1"/>
  <c r="AC518" i="114" s="1"/>
  <c r="AE518" i="114" s="1"/>
  <c r="AF518" i="114" s="1"/>
  <c r="AH518" i="114" s="1"/>
  <c r="AI518" i="114" s="1"/>
  <c r="AK518" i="114" s="1"/>
  <c r="AL518" i="114" s="1"/>
  <c r="AN518" i="114" s="1"/>
  <c r="S527" i="114"/>
  <c r="S526" i="114"/>
  <c r="S537" i="114" s="1"/>
  <c r="S530" i="114"/>
  <c r="T513" i="114"/>
  <c r="Y513" i="114" s="1"/>
  <c r="Z513" i="114" s="1"/>
  <c r="AB513" i="114" s="1"/>
  <c r="AC513" i="114" s="1"/>
  <c r="AE513" i="114" s="1"/>
  <c r="AF513" i="114" s="1"/>
  <c r="AH513" i="114" s="1"/>
  <c r="AI513" i="114" s="1"/>
  <c r="AK513" i="114" s="1"/>
  <c r="AL513" i="114" s="1"/>
  <c r="AN513" i="114" s="1"/>
  <c r="V506" i="114"/>
  <c r="U506" i="114"/>
  <c r="U511" i="114"/>
  <c r="V511" i="114"/>
  <c r="S535" i="114"/>
  <c r="P476" i="115"/>
  <c r="O480" i="115"/>
  <c r="O481" i="115" s="1"/>
  <c r="O489" i="115"/>
  <c r="R456" i="115"/>
  <c r="R440" i="115"/>
  <c r="R448" i="115"/>
  <c r="T326" i="115"/>
  <c r="X326" i="115" s="1"/>
  <c r="R434" i="115"/>
  <c r="R441" i="115"/>
  <c r="O484" i="115"/>
  <c r="P474" i="115"/>
  <c r="T314" i="115"/>
  <c r="X314" i="115" s="1"/>
  <c r="T327" i="115"/>
  <c r="X327" i="115" s="1"/>
  <c r="R465" i="115"/>
  <c r="R444" i="115"/>
  <c r="R445" i="115"/>
  <c r="R438" i="115"/>
  <c r="O485" i="115"/>
  <c r="P472" i="115"/>
  <c r="R458" i="115"/>
  <c r="R437" i="115"/>
  <c r="R463" i="115"/>
  <c r="R457" i="115"/>
  <c r="T305" i="115"/>
  <c r="X305" i="115" s="1"/>
  <c r="R459" i="115"/>
  <c r="R452" i="115"/>
  <c r="R435" i="115"/>
  <c r="R454" i="115"/>
  <c r="O483" i="115"/>
  <c r="O490" i="115"/>
  <c r="R451" i="115"/>
  <c r="R464" i="115"/>
  <c r="R450" i="115"/>
  <c r="R446" i="115"/>
  <c r="P442" i="115"/>
  <c r="P489" i="115" s="1"/>
  <c r="O488" i="115"/>
  <c r="R462" i="115"/>
  <c r="R449" i="115"/>
  <c r="R466" i="115"/>
  <c r="O478" i="115"/>
  <c r="U315" i="115"/>
  <c r="V315" i="115"/>
  <c r="X315" i="115"/>
  <c r="U306" i="115"/>
  <c r="X306" i="115"/>
  <c r="V306" i="115"/>
  <c r="S342" i="115"/>
  <c r="S340" i="115"/>
  <c r="T311" i="115"/>
  <c r="T312" i="115"/>
  <c r="V192" i="115"/>
  <c r="U192" i="115"/>
  <c r="X192" i="115"/>
  <c r="T313" i="115"/>
  <c r="P490" i="115"/>
  <c r="T330" i="115"/>
  <c r="T331" i="115"/>
  <c r="S333" i="115"/>
  <c r="V318" i="115"/>
  <c r="X318" i="115"/>
  <c r="U318" i="115"/>
  <c r="Q464" i="115"/>
  <c r="Q437" i="115"/>
  <c r="Q465" i="115"/>
  <c r="Q450" i="115"/>
  <c r="Q435" i="115"/>
  <c r="Q455" i="115"/>
  <c r="Q434" i="115"/>
  <c r="Q449" i="115"/>
  <c r="Q448" i="115"/>
  <c r="Q458" i="115"/>
  <c r="Q462" i="115"/>
  <c r="Q441" i="115"/>
  <c r="Q452" i="115"/>
  <c r="Q466" i="115"/>
  <c r="Q456" i="115"/>
  <c r="Q440" i="115"/>
  <c r="Q445" i="115"/>
  <c r="Q436" i="115"/>
  <c r="Q446" i="115"/>
  <c r="Q454" i="115"/>
  <c r="Q457" i="115"/>
  <c r="Q463" i="115"/>
  <c r="Q451" i="115"/>
  <c r="Q438" i="115"/>
  <c r="Q459" i="115"/>
  <c r="Q447" i="115"/>
  <c r="Q444" i="115"/>
  <c r="Q453" i="115"/>
  <c r="S309" i="115"/>
  <c r="S351" i="115" s="1"/>
  <c r="S338" i="115"/>
  <c r="T325" i="115"/>
  <c r="T301" i="115"/>
  <c r="T336" i="115" s="1"/>
  <c r="T335" i="115"/>
  <c r="M478" i="115"/>
  <c r="R471" i="115"/>
  <c r="V326" i="115"/>
  <c r="S343" i="115"/>
  <c r="M481" i="115"/>
  <c r="T323" i="115"/>
  <c r="R467" i="115"/>
  <c r="R469" i="115"/>
  <c r="S345" i="115"/>
  <c r="M486" i="115"/>
  <c r="S339" i="115"/>
  <c r="V190" i="115"/>
  <c r="U190" i="115"/>
  <c r="X190" i="115"/>
  <c r="T329" i="115"/>
  <c r="T321" i="115"/>
  <c r="T302" i="115"/>
  <c r="T324" i="115"/>
  <c r="T317" i="115"/>
  <c r="T304" i="115"/>
  <c r="V307" i="115"/>
  <c r="U307" i="115"/>
  <c r="X307" i="115"/>
  <c r="P484" i="115"/>
  <c r="P488" i="115"/>
  <c r="R472" i="115"/>
  <c r="S344" i="115"/>
  <c r="T322" i="115"/>
  <c r="T316" i="115"/>
  <c r="P483" i="115"/>
  <c r="R468" i="115"/>
  <c r="R470" i="115"/>
  <c r="M1059" i="68"/>
  <c r="M1054" i="68"/>
  <c r="M1058" i="68"/>
  <c r="M1056" i="68"/>
  <c r="M1055" i="68"/>
  <c r="M1057" i="68"/>
  <c r="M1060" i="68"/>
  <c r="U800" i="68"/>
  <c r="R825" i="68"/>
  <c r="T806" i="68"/>
  <c r="S815" i="68"/>
  <c r="P828" i="68"/>
  <c r="P829" i="68" s="1"/>
  <c r="P831" i="68" s="1"/>
  <c r="O829" i="68"/>
  <c r="O831" i="68" s="1"/>
  <c r="T805" i="68"/>
  <c r="Y805" i="68" s="1"/>
  <c r="Z805" i="68" s="1"/>
  <c r="U798" i="68"/>
  <c r="R824" i="68"/>
  <c r="T803" i="68"/>
  <c r="Y803" i="68" s="1"/>
  <c r="Z803" i="68" s="1"/>
  <c r="AB803" i="68" s="1"/>
  <c r="S818" i="68"/>
  <c r="S816" i="68"/>
  <c r="M38" i="6"/>
  <c r="D38" i="9"/>
  <c r="U1933" i="68"/>
  <c r="V1933" i="68" s="1"/>
  <c r="F36" i="6"/>
  <c r="P35" i="6"/>
  <c r="B35" i="6"/>
  <c r="B39" i="9" s="1"/>
  <c r="A34" i="6"/>
  <c r="A38" i="9" s="1"/>
  <c r="N35" i="9"/>
  <c r="Q35" i="9"/>
  <c r="M35" i="9"/>
  <c r="O35" i="9"/>
  <c r="P35" i="9"/>
  <c r="S13" i="9"/>
  <c r="AL360" i="114" l="1"/>
  <c r="AE39" i="114"/>
  <c r="AN27" i="114"/>
  <c r="AL17" i="114"/>
  <c r="AI36" i="114"/>
  <c r="AB499" i="114"/>
  <c r="AL667" i="114"/>
  <c r="AK669" i="114"/>
  <c r="O105" i="3" s="1"/>
  <c r="AN653" i="114"/>
  <c r="AB802" i="68"/>
  <c r="AC802" i="68" s="1"/>
  <c r="AE802" i="68" s="1"/>
  <c r="AF802" i="68" s="1"/>
  <c r="AH802" i="68" s="1"/>
  <c r="AI802" i="68" s="1"/>
  <c r="AK802" i="68" s="1"/>
  <c r="AL802" i="68" s="1"/>
  <c r="AN802" i="68" s="1"/>
  <c r="AB575" i="68"/>
  <c r="AC575" i="68" s="1"/>
  <c r="AE575" i="68" s="1"/>
  <c r="AF575" i="68" s="1"/>
  <c r="AH575" i="68" s="1"/>
  <c r="AI575" i="68" s="1"/>
  <c r="AK575" i="68" s="1"/>
  <c r="AL575" i="68" s="1"/>
  <c r="AN575" i="68" s="1"/>
  <c r="AB569" i="68"/>
  <c r="AC569" i="68" s="1"/>
  <c r="AE569" i="68" s="1"/>
  <c r="AF569" i="68" s="1"/>
  <c r="AH569" i="68" s="1"/>
  <c r="AI569" i="68" s="1"/>
  <c r="AK569" i="68" s="1"/>
  <c r="AL569" i="68" s="1"/>
  <c r="AN569" i="68" s="1"/>
  <c r="AB804" i="68"/>
  <c r="AC804" i="68" s="1"/>
  <c r="AE804" i="68" s="1"/>
  <c r="AF804" i="68" s="1"/>
  <c r="AH804" i="68" s="1"/>
  <c r="AI804" i="68" s="1"/>
  <c r="AK804" i="68" s="1"/>
  <c r="AL804" i="68" s="1"/>
  <c r="AN804" i="68" s="1"/>
  <c r="AB800" i="68"/>
  <c r="AC800" i="68" s="1"/>
  <c r="AE800" i="68" s="1"/>
  <c r="AF800" i="68" s="1"/>
  <c r="AH800" i="68" s="1"/>
  <c r="AI800" i="68" s="1"/>
  <c r="AK800" i="68" s="1"/>
  <c r="AL800" i="68" s="1"/>
  <c r="AN800" i="68" s="1"/>
  <c r="AB805" i="68"/>
  <c r="AC805" i="68" s="1"/>
  <c r="AE805" i="68" s="1"/>
  <c r="AF805" i="68" s="1"/>
  <c r="AH805" i="68" s="1"/>
  <c r="AI805" i="68" s="1"/>
  <c r="AK805" i="68" s="1"/>
  <c r="AL805" i="68" s="1"/>
  <c r="AN805" i="68" s="1"/>
  <c r="E290" i="103"/>
  <c r="AC409" i="68"/>
  <c r="AE409" i="68" s="1"/>
  <c r="AF409" i="68" s="1"/>
  <c r="AH409" i="68" s="1"/>
  <c r="AI409" i="68" s="1"/>
  <c r="AK409" i="68" s="1"/>
  <c r="AL409" i="68" s="1"/>
  <c r="AN409" i="68" s="1"/>
  <c r="E215" i="103"/>
  <c r="E328" i="103"/>
  <c r="E329" i="103" s="1"/>
  <c r="E334" i="103" s="1"/>
  <c r="AC1909" i="68"/>
  <c r="AE1909" i="68" s="1"/>
  <c r="AF1909" i="68" s="1"/>
  <c r="AH1909" i="68" s="1"/>
  <c r="AI1909" i="68" s="1"/>
  <c r="AK1909" i="68" s="1"/>
  <c r="AL1909" i="68" s="1"/>
  <c r="AN1909" i="68" s="1"/>
  <c r="E194" i="103"/>
  <c r="U806" i="68"/>
  <c r="Y806" i="68"/>
  <c r="Z806" i="68" s="1"/>
  <c r="U574" i="68"/>
  <c r="Y574" i="68"/>
  <c r="Z574" i="68" s="1"/>
  <c r="AB574" i="68" s="1"/>
  <c r="L107" i="3"/>
  <c r="W50" i="3" s="1"/>
  <c r="L18" i="6"/>
  <c r="V328" i="115"/>
  <c r="U575" i="68"/>
  <c r="V575" i="68"/>
  <c r="I28" i="9"/>
  <c r="I29" i="9" s="1"/>
  <c r="I30" i="9" s="1"/>
  <c r="I31" i="9" s="1"/>
  <c r="I32" i="9" s="1"/>
  <c r="I33" i="9" s="1"/>
  <c r="I34" i="9" s="1"/>
  <c r="I35" i="9" s="1"/>
  <c r="I36" i="9" s="1"/>
  <c r="L24" i="9"/>
  <c r="L25" i="9" s="1"/>
  <c r="L26" i="9" s="1"/>
  <c r="L27" i="9" s="1"/>
  <c r="L28" i="9" s="1"/>
  <c r="K24" i="9"/>
  <c r="K25" i="9" s="1"/>
  <c r="K26" i="9" s="1"/>
  <c r="K27" i="9" s="1"/>
  <c r="K28" i="9" s="1"/>
  <c r="K29" i="9" s="1"/>
  <c r="K30" i="9" s="1"/>
  <c r="K31" i="9" s="1"/>
  <c r="K32" i="9" s="1"/>
  <c r="K33" i="9" s="1"/>
  <c r="K34" i="9" s="1"/>
  <c r="K35" i="9" s="1"/>
  <c r="K36" i="9" s="1"/>
  <c r="K37" i="9" s="1"/>
  <c r="U328" i="115"/>
  <c r="U305" i="115"/>
  <c r="V305" i="115"/>
  <c r="U326" i="115"/>
  <c r="X303" i="115"/>
  <c r="V303" i="115"/>
  <c r="Q831" i="68"/>
  <c r="Q1057" i="68" s="1"/>
  <c r="U805" i="68"/>
  <c r="V805" i="68"/>
  <c r="U804" i="68"/>
  <c r="V804" i="68"/>
  <c r="V308" i="115"/>
  <c r="X308" i="115"/>
  <c r="T808" i="68"/>
  <c r="Y808" i="68" s="1"/>
  <c r="Z808" i="68" s="1"/>
  <c r="Q1058" i="68"/>
  <c r="Q1054" i="68"/>
  <c r="J1071" i="68"/>
  <c r="Q1056" i="68"/>
  <c r="Q1060" i="68"/>
  <c r="Q1059" i="68"/>
  <c r="Q1055" i="68"/>
  <c r="J1076" i="68"/>
  <c r="V332" i="115"/>
  <c r="U571" i="68"/>
  <c r="T576" i="68"/>
  <c r="T578" i="68" s="1"/>
  <c r="V319" i="115"/>
  <c r="V320" i="115"/>
  <c r="X319" i="115"/>
  <c r="X320" i="115"/>
  <c r="V327" i="115"/>
  <c r="U327" i="115"/>
  <c r="T517" i="114"/>
  <c r="V314" i="115"/>
  <c r="S821" i="68"/>
  <c r="U314" i="115"/>
  <c r="P485" i="115"/>
  <c r="P486" i="115" s="1"/>
  <c r="J1072" i="68"/>
  <c r="J1074" i="68"/>
  <c r="J1073" i="68"/>
  <c r="J1075" i="68"/>
  <c r="R828" i="68"/>
  <c r="X332" i="115"/>
  <c r="O491" i="115"/>
  <c r="S822" i="68"/>
  <c r="S354" i="115"/>
  <c r="T344" i="115"/>
  <c r="X344" i="115" s="1"/>
  <c r="O486" i="115"/>
  <c r="R474" i="115"/>
  <c r="R460" i="115"/>
  <c r="S531" i="114"/>
  <c r="S539" i="114" s="1"/>
  <c r="S546" i="114" s="1"/>
  <c r="V518" i="114"/>
  <c r="U518" i="114"/>
  <c r="U514" i="114"/>
  <c r="V514" i="114"/>
  <c r="U512" i="114"/>
  <c r="V512" i="114"/>
  <c r="T521" i="114"/>
  <c r="Y521" i="114" s="1"/>
  <c r="Z521" i="114" s="1"/>
  <c r="AB521" i="114" s="1"/>
  <c r="AC521" i="114" s="1"/>
  <c r="AE521" i="114" s="1"/>
  <c r="AF521" i="114" s="1"/>
  <c r="AH521" i="114" s="1"/>
  <c r="AI521" i="114" s="1"/>
  <c r="AK521" i="114" s="1"/>
  <c r="AL521" i="114" s="1"/>
  <c r="AN521" i="114" s="1"/>
  <c r="U513" i="114"/>
  <c r="V513" i="114"/>
  <c r="U509" i="114"/>
  <c r="V509" i="114"/>
  <c r="T516" i="114"/>
  <c r="Y516" i="114" s="1"/>
  <c r="Z516" i="114" s="1"/>
  <c r="AB516" i="114" s="1"/>
  <c r="AC516" i="114" s="1"/>
  <c r="AE516" i="114" s="1"/>
  <c r="AF516" i="114" s="1"/>
  <c r="AH516" i="114" s="1"/>
  <c r="AI516" i="114" s="1"/>
  <c r="AK516" i="114" s="1"/>
  <c r="AL516" i="114" s="1"/>
  <c r="AN516" i="114" s="1"/>
  <c r="T515" i="114"/>
  <c r="Y515" i="114" s="1"/>
  <c r="Z515" i="114" s="1"/>
  <c r="AB515" i="114" s="1"/>
  <c r="AC515" i="114" s="1"/>
  <c r="AE515" i="114" s="1"/>
  <c r="AF515" i="114" s="1"/>
  <c r="AH515" i="114" s="1"/>
  <c r="AI515" i="114" s="1"/>
  <c r="AK515" i="114" s="1"/>
  <c r="AL515" i="114" s="1"/>
  <c r="AN515" i="114" s="1"/>
  <c r="R473" i="115"/>
  <c r="T340" i="115"/>
  <c r="V340" i="115" s="1"/>
  <c r="R442" i="115"/>
  <c r="R477" i="115" s="1"/>
  <c r="T343" i="115"/>
  <c r="U343" i="115" s="1"/>
  <c r="P477" i="115"/>
  <c r="P478" i="115" s="1"/>
  <c r="P480" i="115"/>
  <c r="P481" i="115" s="1"/>
  <c r="T345" i="115"/>
  <c r="U345" i="115" s="1"/>
  <c r="R476" i="115"/>
  <c r="P491" i="115"/>
  <c r="V336" i="115"/>
  <c r="X336" i="115"/>
  <c r="U336" i="115"/>
  <c r="V344" i="115"/>
  <c r="U335" i="115"/>
  <c r="V335" i="115"/>
  <c r="X335" i="115"/>
  <c r="S347" i="115"/>
  <c r="S346" i="115"/>
  <c r="Q460" i="115"/>
  <c r="Q476" i="115"/>
  <c r="S357" i="115"/>
  <c r="S361" i="115"/>
  <c r="X312" i="115"/>
  <c r="V312" i="115"/>
  <c r="U312" i="115"/>
  <c r="S355" i="115"/>
  <c r="S348" i="115"/>
  <c r="Q468" i="115"/>
  <c r="Q470" i="115"/>
  <c r="M493" i="115"/>
  <c r="Q474" i="115"/>
  <c r="R488" i="115"/>
  <c r="S360" i="115"/>
  <c r="U324" i="115"/>
  <c r="V324" i="115"/>
  <c r="X324" i="115"/>
  <c r="U301" i="115"/>
  <c r="T309" i="115"/>
  <c r="T357" i="115" s="1"/>
  <c r="V301" i="115"/>
  <c r="X301" i="115"/>
  <c r="T337" i="115"/>
  <c r="T339" i="115"/>
  <c r="T338" i="115"/>
  <c r="Q471" i="115"/>
  <c r="Q472" i="115"/>
  <c r="U331" i="115"/>
  <c r="V331" i="115"/>
  <c r="X331" i="115"/>
  <c r="R489" i="115"/>
  <c r="U311" i="115"/>
  <c r="V311" i="115"/>
  <c r="X311" i="115"/>
  <c r="T333" i="115"/>
  <c r="V343" i="115"/>
  <c r="X302" i="115"/>
  <c r="V302" i="115"/>
  <c r="U302" i="115"/>
  <c r="Q473" i="115"/>
  <c r="U330" i="115"/>
  <c r="V330" i="115"/>
  <c r="X330" i="115"/>
  <c r="U313" i="115"/>
  <c r="V313" i="115"/>
  <c r="X313" i="115"/>
  <c r="S350" i="115"/>
  <c r="V323" i="115"/>
  <c r="X323" i="115"/>
  <c r="U323" i="115"/>
  <c r="U325" i="115"/>
  <c r="V325" i="115"/>
  <c r="X325" i="115"/>
  <c r="S356" i="115"/>
  <c r="V329" i="115"/>
  <c r="X329" i="115"/>
  <c r="U329" i="115"/>
  <c r="U304" i="115"/>
  <c r="V304" i="115"/>
  <c r="X304" i="115"/>
  <c r="T342" i="115"/>
  <c r="R483" i="115"/>
  <c r="Q442" i="115"/>
  <c r="Q488" i="115" s="1"/>
  <c r="Q467" i="115"/>
  <c r="Q469" i="115"/>
  <c r="R484" i="115"/>
  <c r="T341" i="115"/>
  <c r="U322" i="115"/>
  <c r="V322" i="115"/>
  <c r="X322" i="115"/>
  <c r="U316" i="115"/>
  <c r="V316" i="115"/>
  <c r="X316" i="115"/>
  <c r="U317" i="115"/>
  <c r="V317" i="115"/>
  <c r="X317" i="115"/>
  <c r="X321" i="115"/>
  <c r="V321" i="115"/>
  <c r="U321" i="115"/>
  <c r="R485" i="115"/>
  <c r="M1063" i="68"/>
  <c r="R826" i="68"/>
  <c r="M1061" i="68"/>
  <c r="S823" i="68"/>
  <c r="T807" i="68"/>
  <c r="Y807" i="68" s="1"/>
  <c r="Z807" i="68" s="1"/>
  <c r="O1060" i="68"/>
  <c r="P1060" i="68" s="1"/>
  <c r="O1057" i="68"/>
  <c r="O1058" i="68"/>
  <c r="P1058" i="68" s="1"/>
  <c r="O1059" i="68"/>
  <c r="P1059" i="68" s="1"/>
  <c r="O1056" i="68"/>
  <c r="O1054" i="68"/>
  <c r="O1055" i="68"/>
  <c r="T810" i="68"/>
  <c r="S820" i="68"/>
  <c r="T809" i="68"/>
  <c r="M1064" i="68"/>
  <c r="U803" i="68"/>
  <c r="T811" i="68"/>
  <c r="Y811" i="68" s="1"/>
  <c r="Z811" i="68" s="1"/>
  <c r="S819" i="68"/>
  <c r="S824" i="68" s="1"/>
  <c r="M1062" i="68"/>
  <c r="M39" i="6"/>
  <c r="D39" i="9"/>
  <c r="F37" i="6"/>
  <c r="P36" i="6"/>
  <c r="B36" i="6"/>
  <c r="B40" i="9" s="1"/>
  <c r="A35" i="6"/>
  <c r="A39" i="9" s="1"/>
  <c r="N36" i="9"/>
  <c r="M36" i="9"/>
  <c r="P36" i="9"/>
  <c r="Q36" i="9"/>
  <c r="O36" i="9"/>
  <c r="R36" i="9"/>
  <c r="S14" i="9"/>
  <c r="AN360" i="114" l="1"/>
  <c r="AN17" i="114"/>
  <c r="AK36" i="114"/>
  <c r="AF39" i="114"/>
  <c r="AC499" i="114"/>
  <c r="AN667" i="114"/>
  <c r="AN669" i="114" s="1"/>
  <c r="AL669" i="114"/>
  <c r="AB811" i="68"/>
  <c r="AC811" i="68" s="1"/>
  <c r="AE811" i="68" s="1"/>
  <c r="AF811" i="68" s="1"/>
  <c r="AH811" i="68" s="1"/>
  <c r="AI811" i="68" s="1"/>
  <c r="AK811" i="68" s="1"/>
  <c r="AL811" i="68" s="1"/>
  <c r="AN811" i="68" s="1"/>
  <c r="AB807" i="68"/>
  <c r="AC807" i="68" s="1"/>
  <c r="AE807" i="68" s="1"/>
  <c r="AF807" i="68" s="1"/>
  <c r="AH807" i="68" s="1"/>
  <c r="AI807" i="68" s="1"/>
  <c r="AK807" i="68" s="1"/>
  <c r="AL807" i="68" s="1"/>
  <c r="AN807" i="68" s="1"/>
  <c r="AB806" i="68"/>
  <c r="AC806" i="68" s="1"/>
  <c r="AE806" i="68" s="1"/>
  <c r="AF806" i="68" s="1"/>
  <c r="AH806" i="68" s="1"/>
  <c r="AI806" i="68" s="1"/>
  <c r="AK806" i="68" s="1"/>
  <c r="AL806" i="68" s="1"/>
  <c r="AN806" i="68" s="1"/>
  <c r="AB808" i="68"/>
  <c r="AC808" i="68" s="1"/>
  <c r="AE808" i="68" s="1"/>
  <c r="AF808" i="68" s="1"/>
  <c r="AH808" i="68" s="1"/>
  <c r="AI808" i="68" s="1"/>
  <c r="AK808" i="68" s="1"/>
  <c r="AL808" i="68" s="1"/>
  <c r="AN808" i="68" s="1"/>
  <c r="V517" i="114"/>
  <c r="Y517" i="114"/>
  <c r="Z517" i="114" s="1"/>
  <c r="AB517" i="114" s="1"/>
  <c r="AC517" i="114" s="1"/>
  <c r="AE517" i="114" s="1"/>
  <c r="AF517" i="114" s="1"/>
  <c r="AH517" i="114" s="1"/>
  <c r="AI517" i="114" s="1"/>
  <c r="AK517" i="114" s="1"/>
  <c r="AL517" i="114" s="1"/>
  <c r="AN517" i="114" s="1"/>
  <c r="E195" i="103"/>
  <c r="E216" i="103"/>
  <c r="E339" i="103"/>
  <c r="E341" i="103" s="1"/>
  <c r="AC1534" i="68"/>
  <c r="AE1534" i="68" s="1"/>
  <c r="AF1534" i="68" s="1"/>
  <c r="AH1534" i="68" s="1"/>
  <c r="AI1534" i="68" s="1"/>
  <c r="AK1534" i="68" s="1"/>
  <c r="AL1534" i="68" s="1"/>
  <c r="AN1534" i="68" s="1"/>
  <c r="E291" i="103"/>
  <c r="AC670" i="68"/>
  <c r="AE670" i="68" s="1"/>
  <c r="AF670" i="68" s="1"/>
  <c r="AH670" i="68" s="1"/>
  <c r="AI670" i="68" s="1"/>
  <c r="AK670" i="68" s="1"/>
  <c r="AL670" i="68" s="1"/>
  <c r="AN670" i="68" s="1"/>
  <c r="V810" i="68"/>
  <c r="Y810" i="68"/>
  <c r="Z810" i="68" s="1"/>
  <c r="U809" i="68"/>
  <c r="Y809" i="68"/>
  <c r="Z809" i="68" s="1"/>
  <c r="M107" i="3"/>
  <c r="X50" i="3" s="1"/>
  <c r="L10" i="6"/>
  <c r="L29" i="9"/>
  <c r="L30" i="9" s="1"/>
  <c r="L31" i="9" s="1"/>
  <c r="L32" i="9" s="1"/>
  <c r="L33" i="9" s="1"/>
  <c r="L34" i="9" s="1"/>
  <c r="L35" i="9" s="1"/>
  <c r="L36" i="9" s="1"/>
  <c r="L37" i="9" s="1"/>
  <c r="L38" i="9" s="1"/>
  <c r="K38" i="9"/>
  <c r="U517" i="114"/>
  <c r="U808" i="68"/>
  <c r="V808" i="68"/>
  <c r="V807" i="68"/>
  <c r="R829" i="68"/>
  <c r="R831" i="68" s="1"/>
  <c r="Q1063" i="68"/>
  <c r="Q1061" i="68"/>
  <c r="Q1067" i="68" s="1"/>
  <c r="Q1064" i="68"/>
  <c r="Q1062" i="68"/>
  <c r="J1079" i="68"/>
  <c r="J1078" i="68"/>
  <c r="J1077" i="68"/>
  <c r="U578" i="68"/>
  <c r="V578" i="68"/>
  <c r="U576" i="68"/>
  <c r="V576" i="68"/>
  <c r="J1081" i="68"/>
  <c r="U344" i="115"/>
  <c r="T525" i="114"/>
  <c r="X343" i="115"/>
  <c r="J1082" i="68"/>
  <c r="O493" i="115"/>
  <c r="J1080" i="68"/>
  <c r="J1083" i="68"/>
  <c r="T350" i="115"/>
  <c r="X350" i="115" s="1"/>
  <c r="T361" i="115"/>
  <c r="V361" i="115" s="1"/>
  <c r="X345" i="115"/>
  <c r="V345" i="115"/>
  <c r="R478" i="115"/>
  <c r="X340" i="115"/>
  <c r="R480" i="115"/>
  <c r="R481" i="115" s="1"/>
  <c r="U340" i="115"/>
  <c r="R490" i="115"/>
  <c r="R491" i="115" s="1"/>
  <c r="Q485" i="115"/>
  <c r="T519" i="114"/>
  <c r="U519" i="114" s="1"/>
  <c r="V521" i="114"/>
  <c r="U521" i="114"/>
  <c r="U516" i="114"/>
  <c r="V516" i="114"/>
  <c r="T523" i="114"/>
  <c r="Y523" i="114" s="1"/>
  <c r="Z523" i="114" s="1"/>
  <c r="AB523" i="114" s="1"/>
  <c r="AC523" i="114" s="1"/>
  <c r="AE523" i="114" s="1"/>
  <c r="AF523" i="114" s="1"/>
  <c r="AH523" i="114" s="1"/>
  <c r="AI523" i="114" s="1"/>
  <c r="AK523" i="114" s="1"/>
  <c r="AL523" i="114" s="1"/>
  <c r="AN523" i="114" s="1"/>
  <c r="T524" i="114"/>
  <c r="Y524" i="114" s="1"/>
  <c r="Z524" i="114" s="1"/>
  <c r="AB524" i="114" s="1"/>
  <c r="AC524" i="114" s="1"/>
  <c r="AE524" i="114" s="1"/>
  <c r="AF524" i="114" s="1"/>
  <c r="AH524" i="114" s="1"/>
  <c r="AI524" i="114" s="1"/>
  <c r="AK524" i="114" s="1"/>
  <c r="AL524" i="114" s="1"/>
  <c r="AN524" i="114" s="1"/>
  <c r="V515" i="114"/>
  <c r="U515" i="114"/>
  <c r="T522" i="114"/>
  <c r="Q483" i="115"/>
  <c r="Q480" i="115"/>
  <c r="Q481" i="115" s="1"/>
  <c r="Q489" i="115"/>
  <c r="P493" i="115"/>
  <c r="S352" i="115"/>
  <c r="S362" i="115"/>
  <c r="V342" i="115"/>
  <c r="U342" i="115"/>
  <c r="X342" i="115"/>
  <c r="Q477" i="115"/>
  <c r="Q478" i="115" s="1"/>
  <c r="U333" i="115"/>
  <c r="X333" i="115"/>
  <c r="V333" i="115"/>
  <c r="T348" i="115"/>
  <c r="X341" i="115"/>
  <c r="V341" i="115"/>
  <c r="U341" i="115"/>
  <c r="Q484" i="115"/>
  <c r="T354" i="115"/>
  <c r="U339" i="115"/>
  <c r="V339" i="115"/>
  <c r="X339" i="115"/>
  <c r="Q490" i="115"/>
  <c r="S358" i="115"/>
  <c r="R486" i="115"/>
  <c r="U338" i="115"/>
  <c r="V338" i="115"/>
  <c r="X338" i="115"/>
  <c r="U337" i="115"/>
  <c r="X337" i="115"/>
  <c r="V337" i="115"/>
  <c r="V309" i="115"/>
  <c r="U309" i="115"/>
  <c r="X309" i="115"/>
  <c r="T355" i="115"/>
  <c r="T346" i="115"/>
  <c r="T356" i="115"/>
  <c r="T351" i="115"/>
  <c r="T347" i="115"/>
  <c r="U357" i="115"/>
  <c r="V357" i="115"/>
  <c r="X357" i="115"/>
  <c r="T360" i="115"/>
  <c r="P1054" i="68"/>
  <c r="O1061" i="68"/>
  <c r="S825" i="68"/>
  <c r="S826" i="68" s="1"/>
  <c r="P1056" i="68"/>
  <c r="O1063" i="68"/>
  <c r="M1067" i="68"/>
  <c r="M1069" i="68"/>
  <c r="M1065" i="68"/>
  <c r="T812" i="68"/>
  <c r="V812" i="68" s="1"/>
  <c r="P1057" i="68"/>
  <c r="O1064" i="68"/>
  <c r="U811" i="68"/>
  <c r="T814" i="68"/>
  <c r="Y814" i="68" s="1"/>
  <c r="Z814" i="68" s="1"/>
  <c r="AB814" i="68" s="1"/>
  <c r="AC814" i="68" s="1"/>
  <c r="AE814" i="68" s="1"/>
  <c r="AF814" i="68" s="1"/>
  <c r="AH814" i="68" s="1"/>
  <c r="AI814" i="68" s="1"/>
  <c r="AK814" i="68" s="1"/>
  <c r="AL814" i="68" s="1"/>
  <c r="AN814" i="68" s="1"/>
  <c r="S828" i="68"/>
  <c r="U810" i="68"/>
  <c r="T815" i="68"/>
  <c r="P1055" i="68"/>
  <c r="O1062" i="68"/>
  <c r="U807" i="68"/>
  <c r="M1068" i="68"/>
  <c r="I37" i="9"/>
  <c r="M40" i="6"/>
  <c r="D40" i="9"/>
  <c r="F38" i="6"/>
  <c r="P37" i="6"/>
  <c r="N37" i="9"/>
  <c r="Q37" i="9"/>
  <c r="M37" i="9"/>
  <c r="P37" i="9"/>
  <c r="O37" i="9"/>
  <c r="R37" i="9"/>
  <c r="B37" i="6"/>
  <c r="B41" i="9" s="1"/>
  <c r="A36" i="6"/>
  <c r="A40" i="9" s="1"/>
  <c r="S15" i="9"/>
  <c r="L11" i="6" s="1"/>
  <c r="P105" i="3" l="1"/>
  <c r="AH39" i="114"/>
  <c r="AL36" i="114"/>
  <c r="AE499" i="114"/>
  <c r="Y522" i="114"/>
  <c r="Z522" i="114" s="1"/>
  <c r="AB522" i="114" s="1"/>
  <c r="AC522" i="114" s="1"/>
  <c r="AE522" i="114" s="1"/>
  <c r="AF522" i="114" s="1"/>
  <c r="AH522" i="114" s="1"/>
  <c r="AI522" i="114" s="1"/>
  <c r="AK522" i="114" s="1"/>
  <c r="AL522" i="114" s="1"/>
  <c r="AN522" i="114" s="1"/>
  <c r="AB810" i="68"/>
  <c r="AC810" i="68" s="1"/>
  <c r="AE810" i="68" s="1"/>
  <c r="AF810" i="68" s="1"/>
  <c r="AH810" i="68" s="1"/>
  <c r="AI810" i="68" s="1"/>
  <c r="AK810" i="68" s="1"/>
  <c r="AL810" i="68" s="1"/>
  <c r="AN810" i="68" s="1"/>
  <c r="AB809" i="68"/>
  <c r="AC809" i="68" s="1"/>
  <c r="AE809" i="68" s="1"/>
  <c r="AF809" i="68" s="1"/>
  <c r="AH809" i="68" s="1"/>
  <c r="AI809" i="68" s="1"/>
  <c r="AK809" i="68" s="1"/>
  <c r="AL809" i="68" s="1"/>
  <c r="AN809" i="68" s="1"/>
  <c r="V525" i="114"/>
  <c r="Y525" i="114"/>
  <c r="Z525" i="114" s="1"/>
  <c r="AB525" i="114" s="1"/>
  <c r="AC525" i="114" s="1"/>
  <c r="AE525" i="114" s="1"/>
  <c r="AF525" i="114" s="1"/>
  <c r="AH525" i="114" s="1"/>
  <c r="AI525" i="114" s="1"/>
  <c r="AK525" i="114" s="1"/>
  <c r="AL525" i="114" s="1"/>
  <c r="AN525" i="114" s="1"/>
  <c r="E220" i="103"/>
  <c r="E221" i="103" s="1"/>
  <c r="E222" i="103" s="1"/>
  <c r="E223" i="103" s="1"/>
  <c r="E224" i="103" s="1"/>
  <c r="E225" i="103" s="1"/>
  <c r="E226" i="103" s="1"/>
  <c r="E227" i="103" s="1"/>
  <c r="E228" i="103" s="1"/>
  <c r="E229" i="103" s="1"/>
  <c r="E230" i="103" s="1"/>
  <c r="E231" i="103" s="1"/>
  <c r="E232" i="103" s="1"/>
  <c r="E233" i="103" s="1"/>
  <c r="E295" i="103"/>
  <c r="AC1899" i="68"/>
  <c r="AE1899" i="68" s="1"/>
  <c r="AF1899" i="68" s="1"/>
  <c r="AH1899" i="68" s="1"/>
  <c r="AI1899" i="68" s="1"/>
  <c r="AK1899" i="68" s="1"/>
  <c r="AL1899" i="68" s="1"/>
  <c r="AN1899" i="68" s="1"/>
  <c r="AC678" i="68"/>
  <c r="AE678" i="68" s="1"/>
  <c r="AF678" i="68" s="1"/>
  <c r="AH678" i="68" s="1"/>
  <c r="AI678" i="68" s="1"/>
  <c r="AK678" i="68" s="1"/>
  <c r="AL678" i="68" s="1"/>
  <c r="AN678" i="68" s="1"/>
  <c r="E359" i="103"/>
  <c r="E366" i="103" s="1"/>
  <c r="AC1910" i="68"/>
  <c r="AE1910" i="68" s="1"/>
  <c r="AF1910" i="68" s="1"/>
  <c r="AH1910" i="68" s="1"/>
  <c r="AI1910" i="68" s="1"/>
  <c r="AK1910" i="68" s="1"/>
  <c r="AL1910" i="68" s="1"/>
  <c r="AN1910" i="68" s="1"/>
  <c r="AC393" i="68"/>
  <c r="AE393" i="68" s="1"/>
  <c r="AF393" i="68" s="1"/>
  <c r="AH393" i="68" s="1"/>
  <c r="AI393" i="68" s="1"/>
  <c r="AK393" i="68" s="1"/>
  <c r="AL393" i="68" s="1"/>
  <c r="AN393" i="68" s="1"/>
  <c r="AC659" i="68"/>
  <c r="AE659" i="68" s="1"/>
  <c r="AF659" i="68" s="1"/>
  <c r="AH659" i="68" s="1"/>
  <c r="AI659" i="68" s="1"/>
  <c r="AK659" i="68" s="1"/>
  <c r="AL659" i="68" s="1"/>
  <c r="AN659" i="68" s="1"/>
  <c r="AC801" i="68"/>
  <c r="AE801" i="68" s="1"/>
  <c r="AF801" i="68" s="1"/>
  <c r="AH801" i="68" s="1"/>
  <c r="AI801" i="68" s="1"/>
  <c r="AK801" i="68" s="1"/>
  <c r="AL801" i="68" s="1"/>
  <c r="AN801" i="68" s="1"/>
  <c r="E196" i="103"/>
  <c r="V815" i="68"/>
  <c r="Y815" i="68"/>
  <c r="Z815" i="68" s="1"/>
  <c r="V814" i="68"/>
  <c r="V350" i="115"/>
  <c r="L39" i="9"/>
  <c r="K39" i="9"/>
  <c r="U525" i="114"/>
  <c r="Q1069" i="68"/>
  <c r="R1056" i="68"/>
  <c r="R1059" i="68"/>
  <c r="R1058" i="68"/>
  <c r="R1060" i="68"/>
  <c r="R1054" i="68"/>
  <c r="R1055" i="68"/>
  <c r="R1063" i="68" s="1"/>
  <c r="R1057" i="68"/>
  <c r="Q1068" i="68"/>
  <c r="Q1065" i="68"/>
  <c r="J1085" i="68"/>
  <c r="S829" i="68"/>
  <c r="S831" i="68" s="1"/>
  <c r="R1062" i="68"/>
  <c r="J1084" i="68"/>
  <c r="J1088" i="68"/>
  <c r="J1089" i="68"/>
  <c r="U350" i="115"/>
  <c r="T529" i="114"/>
  <c r="T528" i="114"/>
  <c r="T526" i="114"/>
  <c r="Y526" i="114" s="1"/>
  <c r="Z526" i="114" s="1"/>
  <c r="AB526" i="114" s="1"/>
  <c r="AC526" i="114" s="1"/>
  <c r="AE526" i="114" s="1"/>
  <c r="AF526" i="114" s="1"/>
  <c r="AH526" i="114" s="1"/>
  <c r="AI526" i="114" s="1"/>
  <c r="AK526" i="114" s="1"/>
  <c r="AL526" i="114" s="1"/>
  <c r="AN526" i="114" s="1"/>
  <c r="T527" i="114"/>
  <c r="R1064" i="68"/>
  <c r="Q1073" i="68"/>
  <c r="Q1072" i="68"/>
  <c r="X361" i="115"/>
  <c r="U361" i="115"/>
  <c r="R493" i="115"/>
  <c r="S364" i="115"/>
  <c r="V519" i="114"/>
  <c r="T535" i="114"/>
  <c r="Y535" i="114" s="1"/>
  <c r="Z535" i="114" s="1"/>
  <c r="AB535" i="114" s="1"/>
  <c r="AC535" i="114" s="1"/>
  <c r="AE535" i="114" s="1"/>
  <c r="AF535" i="114" s="1"/>
  <c r="AH535" i="114" s="1"/>
  <c r="AI535" i="114" s="1"/>
  <c r="AK535" i="114" s="1"/>
  <c r="AL535" i="114" s="1"/>
  <c r="AN535" i="114" s="1"/>
  <c r="U524" i="114"/>
  <c r="V524" i="114"/>
  <c r="T533" i="114"/>
  <c r="U522" i="114"/>
  <c r="V522" i="114"/>
  <c r="T530" i="114"/>
  <c r="Y530" i="114" s="1"/>
  <c r="Z530" i="114" s="1"/>
  <c r="AB530" i="114" s="1"/>
  <c r="AC530" i="114" s="1"/>
  <c r="AE530" i="114" s="1"/>
  <c r="AF530" i="114" s="1"/>
  <c r="AH530" i="114" s="1"/>
  <c r="AI530" i="114" s="1"/>
  <c r="AK530" i="114" s="1"/>
  <c r="AL530" i="114" s="1"/>
  <c r="AN530" i="114" s="1"/>
  <c r="U523" i="114"/>
  <c r="V523" i="114"/>
  <c r="S458" i="115"/>
  <c r="S456" i="115"/>
  <c r="S445" i="115"/>
  <c r="S436" i="115"/>
  <c r="S457" i="115"/>
  <c r="S441" i="115"/>
  <c r="S448" i="115"/>
  <c r="S463" i="115"/>
  <c r="S437" i="115"/>
  <c r="S464" i="115"/>
  <c r="S449" i="115"/>
  <c r="S446" i="115"/>
  <c r="S438" i="115"/>
  <c r="S454" i="115"/>
  <c r="S450" i="115"/>
  <c r="S455" i="115"/>
  <c r="S465" i="115"/>
  <c r="S466" i="115"/>
  <c r="S459" i="115"/>
  <c r="S453" i="115"/>
  <c r="S435" i="115"/>
  <c r="S434" i="115"/>
  <c r="S447" i="115"/>
  <c r="S444" i="115"/>
  <c r="S440" i="115"/>
  <c r="S451" i="115"/>
  <c r="S452" i="115"/>
  <c r="S462" i="115"/>
  <c r="U348" i="115"/>
  <c r="V348" i="115"/>
  <c r="X348" i="115"/>
  <c r="U360" i="115"/>
  <c r="V360" i="115"/>
  <c r="X360" i="115"/>
  <c r="T362" i="115"/>
  <c r="V355" i="115"/>
  <c r="U355" i="115"/>
  <c r="X355" i="115"/>
  <c r="Q491" i="115"/>
  <c r="V347" i="115"/>
  <c r="U347" i="115"/>
  <c r="X347" i="115"/>
  <c r="U351" i="115"/>
  <c r="V351" i="115"/>
  <c r="X351" i="115"/>
  <c r="U356" i="115"/>
  <c r="V356" i="115"/>
  <c r="X356" i="115"/>
  <c r="U354" i="115"/>
  <c r="V354" i="115"/>
  <c r="T358" i="115"/>
  <c r="X354" i="115"/>
  <c r="U346" i="115"/>
  <c r="V346" i="115"/>
  <c r="X346" i="115"/>
  <c r="Q486" i="115"/>
  <c r="T352" i="115"/>
  <c r="M1073" i="68"/>
  <c r="U814" i="68"/>
  <c r="M1072" i="68"/>
  <c r="M1075" i="68"/>
  <c r="M1074" i="68"/>
  <c r="M1071" i="68"/>
  <c r="Q1076" i="68"/>
  <c r="Q1070" i="68"/>
  <c r="P1061" i="68"/>
  <c r="O1067" i="68"/>
  <c r="P1063" i="68"/>
  <c r="O1068" i="68"/>
  <c r="R1061" i="68"/>
  <c r="U815" i="68"/>
  <c r="T819" i="68"/>
  <c r="Y819" i="68" s="1"/>
  <c r="Z819" i="68" s="1"/>
  <c r="AB819" i="68" s="1"/>
  <c r="P1064" i="68"/>
  <c r="O1069" i="68"/>
  <c r="M1070" i="68"/>
  <c r="Q1071" i="68"/>
  <c r="O1065" i="68"/>
  <c r="T820" i="68"/>
  <c r="Y820" i="68" s="1"/>
  <c r="Z820" i="68" s="1"/>
  <c r="AB820" i="68" s="1"/>
  <c r="Q1075" i="68"/>
  <c r="P1062" i="68"/>
  <c r="S1059" i="68"/>
  <c r="S1057" i="68"/>
  <c r="S1054" i="68"/>
  <c r="S1055" i="68"/>
  <c r="S1060" i="68"/>
  <c r="S1056" i="68"/>
  <c r="S1058" i="68"/>
  <c r="U812" i="68"/>
  <c r="T817" i="68"/>
  <c r="T818" i="68"/>
  <c r="Y818" i="68" s="1"/>
  <c r="Z818" i="68" s="1"/>
  <c r="T816" i="68"/>
  <c r="I38" i="9"/>
  <c r="M41" i="6"/>
  <c r="D42" i="9" s="1"/>
  <c r="D41" i="9"/>
  <c r="F39" i="6"/>
  <c r="P38" i="6"/>
  <c r="S16" i="9"/>
  <c r="L12" i="6" s="1"/>
  <c r="S17" i="9"/>
  <c r="P38" i="9"/>
  <c r="M38" i="9"/>
  <c r="O38" i="9"/>
  <c r="N38" i="9"/>
  <c r="Q38" i="9"/>
  <c r="R38" i="9"/>
  <c r="B38" i="6"/>
  <c r="B42" i="9" s="1"/>
  <c r="A37" i="6"/>
  <c r="A41" i="9" s="1"/>
  <c r="AN36" i="114" l="1"/>
  <c r="AI39" i="114"/>
  <c r="AK39" i="114" s="1"/>
  <c r="AF499" i="114"/>
  <c r="Y533" i="114"/>
  <c r="Z533" i="114" s="1"/>
  <c r="AB533" i="114" s="1"/>
  <c r="AC533" i="114" s="1"/>
  <c r="AE533" i="114" s="1"/>
  <c r="AF533" i="114" s="1"/>
  <c r="AH533" i="114" s="1"/>
  <c r="AI533" i="114" s="1"/>
  <c r="AK533" i="114" s="1"/>
  <c r="AL533" i="114" s="1"/>
  <c r="AN533" i="114" s="1"/>
  <c r="AB818" i="68"/>
  <c r="AC818" i="68" s="1"/>
  <c r="AE818" i="68" s="1"/>
  <c r="AF818" i="68" s="1"/>
  <c r="AH818" i="68" s="1"/>
  <c r="AI818" i="68" s="1"/>
  <c r="AK818" i="68" s="1"/>
  <c r="AL818" i="68" s="1"/>
  <c r="AN818" i="68" s="1"/>
  <c r="AB815" i="68"/>
  <c r="AC815" i="68" s="1"/>
  <c r="AE815" i="68" s="1"/>
  <c r="AF815" i="68" s="1"/>
  <c r="AH815" i="68" s="1"/>
  <c r="AI815" i="68" s="1"/>
  <c r="AK815" i="68" s="1"/>
  <c r="AL815" i="68" s="1"/>
  <c r="AN815" i="68" s="1"/>
  <c r="V529" i="114"/>
  <c r="Y529" i="114"/>
  <c r="Z529" i="114" s="1"/>
  <c r="AB529" i="114" s="1"/>
  <c r="V527" i="114"/>
  <c r="Y527" i="114"/>
  <c r="Z527" i="114" s="1"/>
  <c r="AB527" i="114" s="1"/>
  <c r="U528" i="114"/>
  <c r="Y528" i="114"/>
  <c r="Z528" i="114" s="1"/>
  <c r="AB528" i="114" s="1"/>
  <c r="E197" i="103"/>
  <c r="E377" i="103"/>
  <c r="E379" i="103" s="1"/>
  <c r="E385" i="103" s="1"/>
  <c r="E386" i="103" s="1"/>
  <c r="E387" i="103" s="1"/>
  <c r="E388" i="103" s="1"/>
  <c r="E389" i="103" s="1"/>
  <c r="AC512" i="114"/>
  <c r="AC395" i="68"/>
  <c r="AE395" i="68" s="1"/>
  <c r="AF395" i="68" s="1"/>
  <c r="AH395" i="68" s="1"/>
  <c r="AI395" i="68" s="1"/>
  <c r="AK395" i="68" s="1"/>
  <c r="AL395" i="68" s="1"/>
  <c r="AN395" i="68" s="1"/>
  <c r="AC660" i="68"/>
  <c r="AE660" i="68" s="1"/>
  <c r="AF660" i="68" s="1"/>
  <c r="AH660" i="68" s="1"/>
  <c r="AI660" i="68" s="1"/>
  <c r="AK660" i="68" s="1"/>
  <c r="AL660" i="68" s="1"/>
  <c r="AN660" i="68" s="1"/>
  <c r="AC803" i="68"/>
  <c r="AE803" i="68" s="1"/>
  <c r="AF803" i="68" s="1"/>
  <c r="AH803" i="68" s="1"/>
  <c r="AI803" i="68" s="1"/>
  <c r="AK803" i="68" s="1"/>
  <c r="AL803" i="68" s="1"/>
  <c r="AN803" i="68" s="1"/>
  <c r="E296" i="103"/>
  <c r="AC564" i="68"/>
  <c r="AE564" i="68" s="1"/>
  <c r="AF564" i="68" s="1"/>
  <c r="AH564" i="68" s="1"/>
  <c r="AI564" i="68" s="1"/>
  <c r="AK564" i="68" s="1"/>
  <c r="AL564" i="68" s="1"/>
  <c r="AN564" i="68" s="1"/>
  <c r="V817" i="68"/>
  <c r="Y817" i="68"/>
  <c r="Z817" i="68" s="1"/>
  <c r="V816" i="68"/>
  <c r="Y816" i="68"/>
  <c r="Z816" i="68" s="1"/>
  <c r="L13" i="6"/>
  <c r="K40" i="9"/>
  <c r="L40" i="9"/>
  <c r="U526" i="114"/>
  <c r="V526" i="114"/>
  <c r="U529" i="114"/>
  <c r="J1086" i="68"/>
  <c r="Q1074" i="68"/>
  <c r="R1067" i="68"/>
  <c r="J1091" i="68"/>
  <c r="J1092" i="68"/>
  <c r="J1090" i="68"/>
  <c r="J1097" i="68" s="1"/>
  <c r="U527" i="114"/>
  <c r="Q1079" i="68"/>
  <c r="V528" i="114"/>
  <c r="J1095" i="68"/>
  <c r="J1096" i="68"/>
  <c r="R1068" i="68"/>
  <c r="P1065" i="68"/>
  <c r="J1094" i="68"/>
  <c r="J1093" i="68"/>
  <c r="R1069" i="68"/>
  <c r="Q1080" i="68"/>
  <c r="I39" i="9"/>
  <c r="S1062" i="68"/>
  <c r="Q1082" i="68"/>
  <c r="S1063" i="68"/>
  <c r="R1065" i="68"/>
  <c r="S1064" i="68"/>
  <c r="U533" i="114"/>
  <c r="V533" i="114"/>
  <c r="T537" i="114"/>
  <c r="U535" i="114"/>
  <c r="V535" i="114"/>
  <c r="U530" i="114"/>
  <c r="V530" i="114"/>
  <c r="T531" i="114"/>
  <c r="S476" i="115"/>
  <c r="T364" i="115"/>
  <c r="U364" i="115" s="1"/>
  <c r="T456" i="115"/>
  <c r="T452" i="115"/>
  <c r="T466" i="115"/>
  <c r="T453" i="115"/>
  <c r="T438" i="115"/>
  <c r="T447" i="115"/>
  <c r="T463" i="115"/>
  <c r="T437" i="115"/>
  <c r="T446" i="115"/>
  <c r="T465" i="115"/>
  <c r="T448" i="115"/>
  <c r="T458" i="115"/>
  <c r="T457" i="115"/>
  <c r="T462" i="115"/>
  <c r="T434" i="115"/>
  <c r="T454" i="115"/>
  <c r="T451" i="115"/>
  <c r="S442" i="115"/>
  <c r="S483" i="115" s="1"/>
  <c r="S469" i="115"/>
  <c r="S467" i="115"/>
  <c r="S473" i="115"/>
  <c r="S471" i="115"/>
  <c r="S480" i="115"/>
  <c r="S481" i="115" s="1"/>
  <c r="V362" i="115"/>
  <c r="X362" i="115"/>
  <c r="U362" i="115"/>
  <c r="S468" i="115"/>
  <c r="S470" i="115"/>
  <c r="U358" i="115"/>
  <c r="V358" i="115"/>
  <c r="X358" i="115"/>
  <c r="S460" i="115"/>
  <c r="S474" i="115"/>
  <c r="S472" i="115"/>
  <c r="U352" i="115"/>
  <c r="V352" i="115"/>
  <c r="X352" i="115"/>
  <c r="Q493" i="115"/>
  <c r="M1079" i="68"/>
  <c r="U817" i="68"/>
  <c r="T822" i="68"/>
  <c r="U819" i="68"/>
  <c r="T824" i="68"/>
  <c r="Y824" i="68" s="1"/>
  <c r="Z824" i="68" s="1"/>
  <c r="P1068" i="68"/>
  <c r="O1073" i="68"/>
  <c r="M1082" i="68"/>
  <c r="P1067" i="68"/>
  <c r="O1071" i="68"/>
  <c r="U820" i="68"/>
  <c r="T825" i="68"/>
  <c r="Y825" i="68" s="1"/>
  <c r="Z825" i="68" s="1"/>
  <c r="M1077" i="68"/>
  <c r="M1078" i="68"/>
  <c r="O1072" i="68"/>
  <c r="M1076" i="68"/>
  <c r="Q1078" i="68"/>
  <c r="Q1077" i="68"/>
  <c r="M1080" i="68"/>
  <c r="M1081" i="68"/>
  <c r="U816" i="68"/>
  <c r="T821" i="68"/>
  <c r="O1070" i="68"/>
  <c r="P1069" i="68"/>
  <c r="O1074" i="68"/>
  <c r="O1075" i="68"/>
  <c r="P1075" i="68" s="1"/>
  <c r="Q1081" i="68"/>
  <c r="Q1083" i="68"/>
  <c r="U818" i="68"/>
  <c r="T823" i="68"/>
  <c r="S1061" i="68"/>
  <c r="S1067" i="68" s="1"/>
  <c r="F40" i="6"/>
  <c r="P39" i="6"/>
  <c r="O39" i="9"/>
  <c r="M39" i="9"/>
  <c r="Q39" i="9"/>
  <c r="N39" i="9"/>
  <c r="P39" i="9"/>
  <c r="R39" i="9"/>
  <c r="S18" i="9"/>
  <c r="L14" i="6" s="1"/>
  <c r="A38" i="6"/>
  <c r="A42" i="9" s="1"/>
  <c r="B39" i="6"/>
  <c r="B43" i="9" s="1"/>
  <c r="AL39" i="114" l="1"/>
  <c r="AB539" i="114"/>
  <c r="L73" i="3" s="1"/>
  <c r="Z539" i="114"/>
  <c r="Y539" i="114"/>
  <c r="AE512" i="114"/>
  <c r="AH499" i="114"/>
  <c r="AB824" i="68"/>
  <c r="AC824" i="68" s="1"/>
  <c r="AE824" i="68" s="1"/>
  <c r="AF824" i="68" s="1"/>
  <c r="AH824" i="68" s="1"/>
  <c r="AI824" i="68" s="1"/>
  <c r="AK824" i="68" s="1"/>
  <c r="AL824" i="68" s="1"/>
  <c r="AN824" i="68" s="1"/>
  <c r="AB825" i="68"/>
  <c r="AC825" i="68" s="1"/>
  <c r="AE825" i="68" s="1"/>
  <c r="AF825" i="68" s="1"/>
  <c r="AH825" i="68" s="1"/>
  <c r="AI825" i="68" s="1"/>
  <c r="AK825" i="68" s="1"/>
  <c r="AL825" i="68" s="1"/>
  <c r="AN825" i="68" s="1"/>
  <c r="AB816" i="68"/>
  <c r="AC816" i="68" s="1"/>
  <c r="AE816" i="68" s="1"/>
  <c r="AF816" i="68" s="1"/>
  <c r="AH816" i="68" s="1"/>
  <c r="AI816" i="68" s="1"/>
  <c r="AK816" i="68" s="1"/>
  <c r="AL816" i="68" s="1"/>
  <c r="AN816" i="68" s="1"/>
  <c r="AB817" i="68"/>
  <c r="AC817" i="68" s="1"/>
  <c r="AE817" i="68" s="1"/>
  <c r="AF817" i="68" s="1"/>
  <c r="AH817" i="68" s="1"/>
  <c r="AI817" i="68" s="1"/>
  <c r="AK817" i="68" s="1"/>
  <c r="AL817" i="68" s="1"/>
  <c r="AN817" i="68" s="1"/>
  <c r="E394" i="103"/>
  <c r="E398" i="103" s="1"/>
  <c r="E390" i="103"/>
  <c r="E297" i="103"/>
  <c r="AC261" i="68"/>
  <c r="AE261" i="68" s="1"/>
  <c r="AF261" i="68" s="1"/>
  <c r="AH261" i="68" s="1"/>
  <c r="AI261" i="68" s="1"/>
  <c r="AK261" i="68" s="1"/>
  <c r="AL261" i="68" s="1"/>
  <c r="AN261" i="68" s="1"/>
  <c r="AC565" i="68"/>
  <c r="AE565" i="68" s="1"/>
  <c r="AF565" i="68" s="1"/>
  <c r="AH565" i="68" s="1"/>
  <c r="AI565" i="68" s="1"/>
  <c r="AK565" i="68" s="1"/>
  <c r="AL565" i="68" s="1"/>
  <c r="AN565" i="68" s="1"/>
  <c r="U822" i="68"/>
  <c r="Y822" i="68"/>
  <c r="Z822" i="68" s="1"/>
  <c r="AB822" i="68" s="1"/>
  <c r="U821" i="68"/>
  <c r="Y821" i="68"/>
  <c r="Z821" i="68" s="1"/>
  <c r="AB821" i="68" s="1"/>
  <c r="V823" i="68"/>
  <c r="Y823" i="68"/>
  <c r="Z823" i="68" s="1"/>
  <c r="U825" i="68"/>
  <c r="V825" i="68"/>
  <c r="U824" i="68"/>
  <c r="V824" i="68"/>
  <c r="L41" i="9"/>
  <c r="K41" i="9"/>
  <c r="I40" i="9"/>
  <c r="J1098" i="68"/>
  <c r="R1071" i="68"/>
  <c r="Q1085" i="68"/>
  <c r="R1076" i="68"/>
  <c r="R1074" i="68"/>
  <c r="R1075" i="68"/>
  <c r="R1070" i="68"/>
  <c r="R1079" i="68" s="1"/>
  <c r="J1105" i="68"/>
  <c r="J1101" i="68"/>
  <c r="J1104" i="68"/>
  <c r="J1103" i="68"/>
  <c r="J1100" i="68"/>
  <c r="J1099" i="68"/>
  <c r="J1102" i="68"/>
  <c r="R1073" i="68"/>
  <c r="R1072" i="68"/>
  <c r="Q1089" i="68"/>
  <c r="S485" i="115"/>
  <c r="S488" i="115"/>
  <c r="S484" i="115"/>
  <c r="S1065" i="68"/>
  <c r="S490" i="115"/>
  <c r="S489" i="115"/>
  <c r="T464" i="115"/>
  <c r="U464" i="115" s="1"/>
  <c r="T450" i="115"/>
  <c r="U450" i="115" s="1"/>
  <c r="V364" i="115"/>
  <c r="T444" i="115"/>
  <c r="U444" i="115" s="1"/>
  <c r="T455" i="115"/>
  <c r="X455" i="115" s="1"/>
  <c r="T445" i="115"/>
  <c r="U445" i="115" s="1"/>
  <c r="T436" i="115"/>
  <c r="X436" i="115" s="1"/>
  <c r="T459" i="115"/>
  <c r="V459" i="115" s="1"/>
  <c r="T449" i="115"/>
  <c r="V449" i="115" s="1"/>
  <c r="T441" i="115"/>
  <c r="V441" i="115" s="1"/>
  <c r="U537" i="114"/>
  <c r="V537" i="114"/>
  <c r="T539" i="114"/>
  <c r="I73" i="3" s="1"/>
  <c r="K73" i="3" s="1"/>
  <c r="U531" i="114"/>
  <c r="V531" i="114"/>
  <c r="T435" i="115"/>
  <c r="X435" i="115" s="1"/>
  <c r="T440" i="115"/>
  <c r="V440" i="115" s="1"/>
  <c r="X364" i="115"/>
  <c r="U454" i="115"/>
  <c r="V454" i="115"/>
  <c r="X454" i="115"/>
  <c r="U446" i="115"/>
  <c r="V446" i="115"/>
  <c r="X446" i="115"/>
  <c r="U438" i="115"/>
  <c r="V438" i="115"/>
  <c r="X438" i="115"/>
  <c r="U465" i="115"/>
  <c r="V465" i="115"/>
  <c r="X465" i="115"/>
  <c r="U434" i="115"/>
  <c r="V434" i="115"/>
  <c r="T467" i="115"/>
  <c r="T469" i="115"/>
  <c r="X434" i="115"/>
  <c r="U437" i="115"/>
  <c r="V437" i="115"/>
  <c r="X437" i="115"/>
  <c r="U453" i="115"/>
  <c r="V453" i="115"/>
  <c r="X453" i="115"/>
  <c r="U451" i="115"/>
  <c r="V451" i="115"/>
  <c r="X451" i="115"/>
  <c r="S477" i="115"/>
  <c r="S478" i="115" s="1"/>
  <c r="U462" i="115"/>
  <c r="V462" i="115"/>
  <c r="X462" i="115"/>
  <c r="V450" i="115"/>
  <c r="X439" i="115"/>
  <c r="U463" i="115"/>
  <c r="V463" i="115"/>
  <c r="X463" i="115"/>
  <c r="U466" i="115"/>
  <c r="V466" i="115"/>
  <c r="X466" i="115"/>
  <c r="U452" i="115"/>
  <c r="V452" i="115"/>
  <c r="X452" i="115"/>
  <c r="U457" i="115"/>
  <c r="V457" i="115"/>
  <c r="X457" i="115"/>
  <c r="U456" i="115"/>
  <c r="V456" i="115"/>
  <c r="X456" i="115"/>
  <c r="U458" i="115"/>
  <c r="V458" i="115"/>
  <c r="X458" i="115"/>
  <c r="U447" i="115"/>
  <c r="V447" i="115"/>
  <c r="X447" i="115"/>
  <c r="U448" i="115"/>
  <c r="V448" i="115"/>
  <c r="X448" i="115"/>
  <c r="P1073" i="68"/>
  <c r="O1081" i="68"/>
  <c r="P1081" i="68" s="1"/>
  <c r="P1070" i="68"/>
  <c r="O1078" i="68"/>
  <c r="O1077" i="68"/>
  <c r="P1077" i="68" s="1"/>
  <c r="Q1088" i="68"/>
  <c r="S1068" i="68"/>
  <c r="M1088" i="68"/>
  <c r="M1085" i="68"/>
  <c r="P1074" i="68"/>
  <c r="O1082" i="68"/>
  <c r="O1076" i="68"/>
  <c r="T826" i="68"/>
  <c r="M1083" i="68"/>
  <c r="M1084" i="68"/>
  <c r="P1071" i="68"/>
  <c r="O1079" i="68"/>
  <c r="U823" i="68"/>
  <c r="T828" i="68"/>
  <c r="Y828" i="68" s="1"/>
  <c r="Z828" i="68" s="1"/>
  <c r="P1072" i="68"/>
  <c r="O1080" i="68"/>
  <c r="P1080" i="68" s="1"/>
  <c r="S1069" i="68"/>
  <c r="Q1084" i="68"/>
  <c r="Q1090" i="68" s="1"/>
  <c r="W19" i="9"/>
  <c r="Y19" i="9" s="1"/>
  <c r="S19" i="9"/>
  <c r="F41" i="6"/>
  <c r="P41" i="6" s="1"/>
  <c r="P40" i="6"/>
  <c r="Q40" i="9"/>
  <c r="O40" i="9"/>
  <c r="M40" i="9"/>
  <c r="N40" i="9"/>
  <c r="P40" i="9"/>
  <c r="R40" i="9"/>
  <c r="W20" i="9"/>
  <c r="Y20" i="9" s="1"/>
  <c r="Y21" i="9" s="1"/>
  <c r="S20" i="9"/>
  <c r="B40" i="6"/>
  <c r="B44" i="9" s="1"/>
  <c r="A39" i="6"/>
  <c r="A43" i="9" s="1"/>
  <c r="AN39" i="114" l="1"/>
  <c r="AI499" i="114"/>
  <c r="AF512" i="114"/>
  <c r="I74" i="3"/>
  <c r="K74" i="3"/>
  <c r="AB823" i="68"/>
  <c r="AC823" i="68" s="1"/>
  <c r="AE823" i="68" s="1"/>
  <c r="AF823" i="68" s="1"/>
  <c r="AH823" i="68" s="1"/>
  <c r="AI823" i="68" s="1"/>
  <c r="AK823" i="68" s="1"/>
  <c r="AL823" i="68" s="1"/>
  <c r="AN823" i="68" s="1"/>
  <c r="AB828" i="68"/>
  <c r="AC828" i="68" s="1"/>
  <c r="AE828" i="68" s="1"/>
  <c r="AF828" i="68" s="1"/>
  <c r="AH828" i="68" s="1"/>
  <c r="AI828" i="68" s="1"/>
  <c r="AK828" i="68" s="1"/>
  <c r="AL828" i="68" s="1"/>
  <c r="AN828" i="68" s="1"/>
  <c r="E298" i="103"/>
  <c r="AC410" i="68"/>
  <c r="AE410" i="68" s="1"/>
  <c r="AF410" i="68" s="1"/>
  <c r="AH410" i="68" s="1"/>
  <c r="AI410" i="68" s="1"/>
  <c r="AK410" i="68" s="1"/>
  <c r="AL410" i="68" s="1"/>
  <c r="AN410" i="68" s="1"/>
  <c r="AC567" i="68"/>
  <c r="AE567" i="68" s="1"/>
  <c r="AF567" i="68" s="1"/>
  <c r="AH567" i="68" s="1"/>
  <c r="AI567" i="68" s="1"/>
  <c r="AK567" i="68" s="1"/>
  <c r="AL567" i="68" s="1"/>
  <c r="AN567" i="68" s="1"/>
  <c r="L16" i="6"/>
  <c r="K42" i="9"/>
  <c r="K43" i="9" s="1"/>
  <c r="K45" i="9" s="1"/>
  <c r="L42" i="9"/>
  <c r="L43" i="9" s="1"/>
  <c r="I41" i="9"/>
  <c r="V445" i="115"/>
  <c r="U826" i="68"/>
  <c r="V826" i="68"/>
  <c r="R1082" i="68"/>
  <c r="R1081" i="68"/>
  <c r="R1078" i="68"/>
  <c r="R1077" i="68"/>
  <c r="R1083" i="68"/>
  <c r="R1080" i="68"/>
  <c r="S1070" i="68"/>
  <c r="S1081" i="68" s="1"/>
  <c r="S1071" i="68"/>
  <c r="S1073" i="68"/>
  <c r="S1072" i="68"/>
  <c r="V455" i="115"/>
  <c r="U440" i="115"/>
  <c r="V436" i="115"/>
  <c r="V464" i="115"/>
  <c r="X441" i="115"/>
  <c r="X445" i="115"/>
  <c r="U455" i="115"/>
  <c r="S486" i="115"/>
  <c r="J1106" i="68"/>
  <c r="J1108" i="68"/>
  <c r="J1109" i="68"/>
  <c r="J1107" i="68"/>
  <c r="J1110" i="68"/>
  <c r="T468" i="115"/>
  <c r="U468" i="115" s="1"/>
  <c r="M1086" i="68"/>
  <c r="M1095" i="68" s="1"/>
  <c r="T471" i="115"/>
  <c r="X471" i="115" s="1"/>
  <c r="U436" i="115"/>
  <c r="S491" i="115"/>
  <c r="S1076" i="68"/>
  <c r="X464" i="115"/>
  <c r="R1089" i="68"/>
  <c r="X450" i="115"/>
  <c r="T470" i="115"/>
  <c r="X470" i="115" s="1"/>
  <c r="U435" i="115"/>
  <c r="U441" i="115"/>
  <c r="X444" i="115"/>
  <c r="V444" i="115"/>
  <c r="X449" i="115"/>
  <c r="U449" i="115"/>
  <c r="T460" i="115"/>
  <c r="V460" i="115" s="1"/>
  <c r="T474" i="115"/>
  <c r="X474" i="115" s="1"/>
  <c r="U459" i="115"/>
  <c r="X459" i="115"/>
  <c r="X440" i="115"/>
  <c r="T476" i="115"/>
  <c r="U476" i="115" s="1"/>
  <c r="V435" i="115"/>
  <c r="T472" i="115"/>
  <c r="U472" i="115" s="1"/>
  <c r="T473" i="115"/>
  <c r="U473" i="115" s="1"/>
  <c r="U539" i="114"/>
  <c r="V539" i="114"/>
  <c r="X450" i="114"/>
  <c r="X451" i="114" s="1"/>
  <c r="T546" i="114"/>
  <c r="T442" i="115"/>
  <c r="X442" i="115" s="1"/>
  <c r="V471" i="115"/>
  <c r="V468" i="115"/>
  <c r="U469" i="115"/>
  <c r="V469" i="115"/>
  <c r="X469" i="115"/>
  <c r="U467" i="115"/>
  <c r="V467" i="115"/>
  <c r="X467" i="115"/>
  <c r="R1085" i="68"/>
  <c r="R1084" i="68"/>
  <c r="R1090" i="68" s="1"/>
  <c r="M1090" i="68"/>
  <c r="M1092" i="68"/>
  <c r="M1091" i="68"/>
  <c r="R1088" i="68"/>
  <c r="S1074" i="68"/>
  <c r="S1075" i="68"/>
  <c r="Q1086" i="68"/>
  <c r="Q1096" i="68" s="1"/>
  <c r="T829" i="68"/>
  <c r="U828" i="68"/>
  <c r="P1078" i="68"/>
  <c r="O1084" i="68"/>
  <c r="Q1091" i="68"/>
  <c r="M1089" i="68"/>
  <c r="P1082" i="68"/>
  <c r="O1088" i="68"/>
  <c r="P1079" i="68"/>
  <c r="O1085" i="68"/>
  <c r="P1076" i="68"/>
  <c r="O1083" i="68"/>
  <c r="Q1092" i="68"/>
  <c r="T18" i="9"/>
  <c r="S21" i="9"/>
  <c r="L17" i="6" s="1"/>
  <c r="T20" i="9"/>
  <c r="T19" i="9"/>
  <c r="B41" i="6"/>
  <c r="B45" i="9" s="1"/>
  <c r="A40" i="6"/>
  <c r="A44" i="9" s="1"/>
  <c r="O41" i="9"/>
  <c r="Q41" i="9"/>
  <c r="N41" i="9"/>
  <c r="M41" i="9"/>
  <c r="R41" i="9"/>
  <c r="P41" i="9"/>
  <c r="AH512" i="114" l="1"/>
  <c r="AK499" i="114"/>
  <c r="E299" i="103"/>
  <c r="AC411" i="68"/>
  <c r="AE411" i="68" s="1"/>
  <c r="AF411" i="68" s="1"/>
  <c r="AH411" i="68" s="1"/>
  <c r="AI411" i="68" s="1"/>
  <c r="AK411" i="68" s="1"/>
  <c r="AL411" i="68" s="1"/>
  <c r="AN411" i="68" s="1"/>
  <c r="AC568" i="68"/>
  <c r="AE568" i="68" s="1"/>
  <c r="AF568" i="68" s="1"/>
  <c r="AH568" i="68" s="1"/>
  <c r="AI568" i="68" s="1"/>
  <c r="AK568" i="68" s="1"/>
  <c r="AL568" i="68" s="1"/>
  <c r="AN568" i="68" s="1"/>
  <c r="L44" i="9"/>
  <c r="L45" i="9" s="1"/>
  <c r="K44" i="9"/>
  <c r="I42" i="9"/>
  <c r="I43" i="9" s="1"/>
  <c r="S1078" i="68"/>
  <c r="S1077" i="68"/>
  <c r="S1079" i="68"/>
  <c r="M1094" i="68"/>
  <c r="M1093" i="68"/>
  <c r="S1082" i="68"/>
  <c r="S1088" i="68" s="1"/>
  <c r="S1080" i="68"/>
  <c r="J1113" i="68"/>
  <c r="Q1098" i="68"/>
  <c r="S493" i="115"/>
  <c r="T477" i="115"/>
  <c r="X477" i="115" s="1"/>
  <c r="X468" i="115"/>
  <c r="U471" i="115"/>
  <c r="J1111" i="68"/>
  <c r="T484" i="115"/>
  <c r="U484" i="115" s="1"/>
  <c r="T490" i="115"/>
  <c r="X490" i="115" s="1"/>
  <c r="V470" i="115"/>
  <c r="U470" i="115"/>
  <c r="U460" i="115"/>
  <c r="X460" i="115"/>
  <c r="U474" i="115"/>
  <c r="V474" i="115"/>
  <c r="X476" i="115"/>
  <c r="V476" i="115"/>
  <c r="X472" i="115"/>
  <c r="V472" i="115"/>
  <c r="V442" i="115"/>
  <c r="X473" i="115"/>
  <c r="V473" i="115"/>
  <c r="V546" i="114"/>
  <c r="U546" i="114"/>
  <c r="V490" i="115"/>
  <c r="T489" i="115"/>
  <c r="T483" i="115"/>
  <c r="T485" i="115"/>
  <c r="T488" i="115"/>
  <c r="T480" i="115"/>
  <c r="U442" i="115"/>
  <c r="V484" i="115"/>
  <c r="V477" i="115"/>
  <c r="S1084" i="68"/>
  <c r="U829" i="68"/>
  <c r="T831" i="68"/>
  <c r="V831" i="68" s="1"/>
  <c r="P1084" i="68"/>
  <c r="O1090" i="68"/>
  <c r="M1098" i="68"/>
  <c r="R1086" i="68"/>
  <c r="R1096" i="68" s="1"/>
  <c r="P1088" i="68"/>
  <c r="P1085" i="68"/>
  <c r="O1092" i="68"/>
  <c r="P1092" i="68" s="1"/>
  <c r="O1091" i="68"/>
  <c r="M1096" i="68"/>
  <c r="Q1094" i="68"/>
  <c r="Q1093" i="68"/>
  <c r="M1102" i="68"/>
  <c r="Q1095" i="68"/>
  <c r="P1083" i="68"/>
  <c r="O1089" i="68"/>
  <c r="O1086" i="68"/>
  <c r="O1095" i="68" s="1"/>
  <c r="Q1097" i="68"/>
  <c r="M1097" i="68"/>
  <c r="S1085" i="68"/>
  <c r="M1101" i="68"/>
  <c r="R1092" i="68"/>
  <c r="R1091" i="68"/>
  <c r="M1100" i="68"/>
  <c r="M1099" i="68"/>
  <c r="S1083" i="68"/>
  <c r="S1089" i="68" s="1"/>
  <c r="O42" i="9"/>
  <c r="O43" i="9" s="1"/>
  <c r="O45" i="9" s="1"/>
  <c r="N42" i="9"/>
  <c r="N43" i="9" s="1"/>
  <c r="N45" i="9" s="1"/>
  <c r="R42" i="9"/>
  <c r="R43" i="9" s="1"/>
  <c r="R45" i="9" s="1"/>
  <c r="Q42" i="9"/>
  <c r="Q43" i="9" s="1"/>
  <c r="Q45" i="9" s="1"/>
  <c r="P42" i="9"/>
  <c r="P43" i="9" s="1"/>
  <c r="P45" i="9" s="1"/>
  <c r="M42" i="9"/>
  <c r="M43" i="9" s="1"/>
  <c r="M45" i="9" s="1"/>
  <c r="A41" i="6"/>
  <c r="A45" i="9" s="1"/>
  <c r="AL499" i="114" l="1"/>
  <c r="AI512" i="114"/>
  <c r="E300" i="103"/>
  <c r="AC574" i="114"/>
  <c r="AC570" i="68"/>
  <c r="AE570" i="68" s="1"/>
  <c r="AF570" i="68" s="1"/>
  <c r="AH570" i="68" s="1"/>
  <c r="AI570" i="68" s="1"/>
  <c r="AK570" i="68" s="1"/>
  <c r="AL570" i="68" s="1"/>
  <c r="AN570" i="68" s="1"/>
  <c r="I45" i="9"/>
  <c r="I44" i="9"/>
  <c r="J1114" i="68"/>
  <c r="J1116" i="68" s="1"/>
  <c r="J1272" i="68" s="1"/>
  <c r="R1098" i="68"/>
  <c r="R1097" i="68"/>
  <c r="P1086" i="68"/>
  <c r="U477" i="115"/>
  <c r="T478" i="115"/>
  <c r="U478" i="115" s="1"/>
  <c r="J1268" i="68"/>
  <c r="Q1101" i="68"/>
  <c r="X484" i="115"/>
  <c r="Q1105" i="68"/>
  <c r="U490" i="115"/>
  <c r="Q1104" i="68"/>
  <c r="U488" i="115"/>
  <c r="T491" i="115"/>
  <c r="V488" i="115"/>
  <c r="X488" i="115"/>
  <c r="X480" i="115"/>
  <c r="U480" i="115"/>
  <c r="V480" i="115"/>
  <c r="T481" i="115"/>
  <c r="X485" i="115"/>
  <c r="U485" i="115"/>
  <c r="V485" i="115"/>
  <c r="U483" i="115"/>
  <c r="V483" i="115"/>
  <c r="X483" i="115"/>
  <c r="V489" i="115"/>
  <c r="X489" i="115"/>
  <c r="U489" i="115"/>
  <c r="T486" i="115"/>
  <c r="P1095" i="68"/>
  <c r="M1108" i="68"/>
  <c r="Q1102" i="68"/>
  <c r="Q1100" i="68"/>
  <c r="Q1099" i="68"/>
  <c r="R1095" i="68"/>
  <c r="M1105" i="68"/>
  <c r="S1090" i="68"/>
  <c r="R1094" i="68"/>
  <c r="R1093" i="68"/>
  <c r="Q1103" i="68"/>
  <c r="S1091" i="68"/>
  <c r="S1092" i="68"/>
  <c r="M1103" i="68"/>
  <c r="O1094" i="68"/>
  <c r="O1093" i="68"/>
  <c r="S1086" i="68"/>
  <c r="S1096" i="68" s="1"/>
  <c r="P1091" i="68"/>
  <c r="O1098" i="68"/>
  <c r="M1107" i="68"/>
  <c r="P1089" i="68"/>
  <c r="O1096" i="68"/>
  <c r="M1106" i="68"/>
  <c r="M1104" i="68"/>
  <c r="P1090" i="68"/>
  <c r="O1097" i="68"/>
  <c r="U831" i="68"/>
  <c r="T1059" i="68"/>
  <c r="Y1059" i="68" s="1"/>
  <c r="Z1059" i="68" s="1"/>
  <c r="T1054" i="68"/>
  <c r="Y1054" i="68" s="1"/>
  <c r="Z1054" i="68" s="1"/>
  <c r="AB1054" i="68" s="1"/>
  <c r="AC1054" i="68" s="1"/>
  <c r="AE1054" i="68" s="1"/>
  <c r="AF1054" i="68" s="1"/>
  <c r="AH1054" i="68" s="1"/>
  <c r="AI1054" i="68" s="1"/>
  <c r="AK1054" i="68" s="1"/>
  <c r="AL1054" i="68" s="1"/>
  <c r="AN1054" i="68" s="1"/>
  <c r="T1056" i="68"/>
  <c r="Y1056" i="68" s="1"/>
  <c r="Z1056" i="68" s="1"/>
  <c r="AB1056" i="68" s="1"/>
  <c r="AC1056" i="68" s="1"/>
  <c r="AE1056" i="68" s="1"/>
  <c r="AF1056" i="68" s="1"/>
  <c r="AH1056" i="68" s="1"/>
  <c r="AI1056" i="68" s="1"/>
  <c r="AK1056" i="68" s="1"/>
  <c r="AL1056" i="68" s="1"/>
  <c r="AN1056" i="68" s="1"/>
  <c r="T1055" i="68"/>
  <c r="Y1055" i="68" s="1"/>
  <c r="Z1055" i="68" s="1"/>
  <c r="AB1055" i="68" s="1"/>
  <c r="AC1055" i="68" s="1"/>
  <c r="AE1055" i="68" s="1"/>
  <c r="AF1055" i="68" s="1"/>
  <c r="AH1055" i="68" s="1"/>
  <c r="AI1055" i="68" s="1"/>
  <c r="AK1055" i="68" s="1"/>
  <c r="AL1055" i="68" s="1"/>
  <c r="AN1055" i="68" s="1"/>
  <c r="T1060" i="68"/>
  <c r="Y1060" i="68" s="1"/>
  <c r="Z1060" i="68" s="1"/>
  <c r="T1058" i="68"/>
  <c r="Y1058" i="68" s="1"/>
  <c r="Z1058" i="68" s="1"/>
  <c r="AB1058" i="68" s="1"/>
  <c r="AC1058" i="68" s="1"/>
  <c r="AE1058" i="68" s="1"/>
  <c r="AF1058" i="68" s="1"/>
  <c r="AH1058" i="68" s="1"/>
  <c r="AI1058" i="68" s="1"/>
  <c r="AK1058" i="68" s="1"/>
  <c r="AL1058" i="68" s="1"/>
  <c r="AN1058" i="68" s="1"/>
  <c r="T1057" i="68"/>
  <c r="Y1057" i="68" s="1"/>
  <c r="Z1057" i="68" s="1"/>
  <c r="AB1057" i="68" s="1"/>
  <c r="AC1057" i="68" s="1"/>
  <c r="AE1057" i="68" s="1"/>
  <c r="AF1057" i="68" s="1"/>
  <c r="AH1057" i="68" s="1"/>
  <c r="AI1057" i="68" s="1"/>
  <c r="AK1057" i="68" s="1"/>
  <c r="AL1057" i="68" s="1"/>
  <c r="AN1057" i="68" s="1"/>
  <c r="Q44" i="9"/>
  <c r="Q48" i="9" s="1"/>
  <c r="Q49" i="9" s="1"/>
  <c r="K48" i="9"/>
  <c r="K49" i="9" s="1"/>
  <c r="R44" i="9"/>
  <c r="R48" i="9" s="1"/>
  <c r="R49" i="9" s="1"/>
  <c r="N44" i="9"/>
  <c r="N48" i="9" s="1"/>
  <c r="N49" i="9" s="1"/>
  <c r="L48" i="9"/>
  <c r="L49" i="9" s="1"/>
  <c r="O44" i="9"/>
  <c r="O48" i="9" s="1"/>
  <c r="O49" i="9" s="1"/>
  <c r="M44" i="9"/>
  <c r="M48" i="9" s="1"/>
  <c r="M49" i="9" s="1"/>
  <c r="P44" i="9"/>
  <c r="P48" i="9" s="1"/>
  <c r="P49" i="9" s="1"/>
  <c r="AK512" i="114" l="1"/>
  <c r="AN499" i="114"/>
  <c r="AE574" i="114"/>
  <c r="AB1060" i="68"/>
  <c r="AC1060" i="68" s="1"/>
  <c r="AE1060" i="68" s="1"/>
  <c r="AF1060" i="68" s="1"/>
  <c r="AH1060" i="68" s="1"/>
  <c r="AI1060" i="68" s="1"/>
  <c r="AK1060" i="68" s="1"/>
  <c r="AL1060" i="68" s="1"/>
  <c r="AN1060" i="68" s="1"/>
  <c r="AB1059" i="68"/>
  <c r="AC1059" i="68" s="1"/>
  <c r="AE1059" i="68" s="1"/>
  <c r="AF1059" i="68" s="1"/>
  <c r="AH1059" i="68" s="1"/>
  <c r="AI1059" i="68" s="1"/>
  <c r="AK1059" i="68" s="1"/>
  <c r="AL1059" i="68" s="1"/>
  <c r="AN1059" i="68" s="1"/>
  <c r="E304" i="103"/>
  <c r="E305" i="103"/>
  <c r="AC573" i="68"/>
  <c r="AE573" i="68" s="1"/>
  <c r="AF573" i="68" s="1"/>
  <c r="AH573" i="68" s="1"/>
  <c r="AI573" i="68" s="1"/>
  <c r="AK573" i="68" s="1"/>
  <c r="AL573" i="68" s="1"/>
  <c r="AN573" i="68" s="1"/>
  <c r="J1270" i="68"/>
  <c r="J1267" i="68"/>
  <c r="J1271" i="68"/>
  <c r="J1269" i="68"/>
  <c r="R1101" i="68"/>
  <c r="V478" i="115"/>
  <c r="X478" i="115"/>
  <c r="R1105" i="68"/>
  <c r="S1098" i="68"/>
  <c r="Q1109" i="68"/>
  <c r="Q1110" i="68"/>
  <c r="T493" i="115"/>
  <c r="U493" i="115" s="1"/>
  <c r="X481" i="115"/>
  <c r="U481" i="115"/>
  <c r="V481" i="115"/>
  <c r="X491" i="115"/>
  <c r="U491" i="115"/>
  <c r="V491" i="115"/>
  <c r="U486" i="115"/>
  <c r="X486" i="115"/>
  <c r="V486" i="115"/>
  <c r="U1056" i="68"/>
  <c r="T1063" i="68"/>
  <c r="Y1063" i="68" s="1"/>
  <c r="Z1063" i="68" s="1"/>
  <c r="V1056" i="68"/>
  <c r="U1054" i="68"/>
  <c r="T1061" i="68"/>
  <c r="Y1061" i="68" s="1"/>
  <c r="Z1061" i="68" s="1"/>
  <c r="V1054" i="68"/>
  <c r="M1109" i="68"/>
  <c r="M1110" i="68"/>
  <c r="U1057" i="68"/>
  <c r="T1064" i="68"/>
  <c r="Y1064" i="68" s="1"/>
  <c r="Z1064" i="68" s="1"/>
  <c r="V1057" i="68"/>
  <c r="S1094" i="68"/>
  <c r="S1093" i="68"/>
  <c r="M1113" i="68"/>
  <c r="P1097" i="68"/>
  <c r="O1104" i="68"/>
  <c r="U1058" i="68"/>
  <c r="V1058" i="68"/>
  <c r="U1060" i="68"/>
  <c r="V1060" i="68"/>
  <c r="Q1107" i="68"/>
  <c r="P1093" i="68"/>
  <c r="O1099" i="68"/>
  <c r="O1100" i="68"/>
  <c r="P1100" i="68" s="1"/>
  <c r="R1102" i="68"/>
  <c r="P1094" i="68"/>
  <c r="O1101" i="68"/>
  <c r="S1097" i="68"/>
  <c r="Q1106" i="68"/>
  <c r="O1102" i="68"/>
  <c r="U1055" i="68"/>
  <c r="V1055" i="68"/>
  <c r="T1062" i="68"/>
  <c r="Y1062" i="68" s="1"/>
  <c r="Z1062" i="68" s="1"/>
  <c r="R1100" i="68"/>
  <c r="R1099" i="68"/>
  <c r="R1106" i="68" s="1"/>
  <c r="R1104" i="68"/>
  <c r="U1059" i="68"/>
  <c r="V1059" i="68"/>
  <c r="Q1108" i="68"/>
  <c r="P1096" i="68"/>
  <c r="O1103" i="68"/>
  <c r="P1098" i="68"/>
  <c r="O1105" i="68"/>
  <c r="S1095" i="68"/>
  <c r="S1102" i="68" s="1"/>
  <c r="R1103" i="68"/>
  <c r="AL512" i="114" l="1"/>
  <c r="AF574" i="114"/>
  <c r="AB1062" i="68"/>
  <c r="AC1062" i="68" s="1"/>
  <c r="AE1062" i="68" s="1"/>
  <c r="AF1062" i="68" s="1"/>
  <c r="AH1062" i="68" s="1"/>
  <c r="AI1062" i="68" s="1"/>
  <c r="AK1062" i="68" s="1"/>
  <c r="AL1062" i="68" s="1"/>
  <c r="AN1062" i="68" s="1"/>
  <c r="AB1064" i="68"/>
  <c r="AC1064" i="68" s="1"/>
  <c r="AE1064" i="68" s="1"/>
  <c r="AF1064" i="68" s="1"/>
  <c r="AH1064" i="68" s="1"/>
  <c r="AI1064" i="68" s="1"/>
  <c r="AK1064" i="68" s="1"/>
  <c r="AL1064" i="68" s="1"/>
  <c r="AN1064" i="68" s="1"/>
  <c r="AB1061" i="68"/>
  <c r="AC1061" i="68" s="1"/>
  <c r="AE1061" i="68" s="1"/>
  <c r="AF1061" i="68" s="1"/>
  <c r="AH1061" i="68" s="1"/>
  <c r="AI1061" i="68" s="1"/>
  <c r="AK1061" i="68" s="1"/>
  <c r="AL1061" i="68" s="1"/>
  <c r="AN1061" i="68" s="1"/>
  <c r="AB1063" i="68"/>
  <c r="AC1063" i="68" s="1"/>
  <c r="AE1063" i="68" s="1"/>
  <c r="AF1063" i="68" s="1"/>
  <c r="AH1063" i="68" s="1"/>
  <c r="AI1063" i="68" s="1"/>
  <c r="AK1063" i="68" s="1"/>
  <c r="AL1063" i="68" s="1"/>
  <c r="AN1063" i="68" s="1"/>
  <c r="E306" i="103"/>
  <c r="AC529" i="114"/>
  <c r="AE529" i="114" s="1"/>
  <c r="AF529" i="114" s="1"/>
  <c r="AH529" i="114" s="1"/>
  <c r="AI529" i="114" s="1"/>
  <c r="AK529" i="114" s="1"/>
  <c r="AL529" i="114" s="1"/>
  <c r="AN529" i="114" s="1"/>
  <c r="AC362" i="114"/>
  <c r="AC304" i="68"/>
  <c r="AE304" i="68" s="1"/>
  <c r="AF304" i="68" s="1"/>
  <c r="AH304" i="68" s="1"/>
  <c r="AI304" i="68" s="1"/>
  <c r="AK304" i="68" s="1"/>
  <c r="AL304" i="68" s="1"/>
  <c r="AN304" i="68" s="1"/>
  <c r="AC1555" i="68"/>
  <c r="AE1555" i="68" s="1"/>
  <c r="AF1555" i="68" s="1"/>
  <c r="AH1555" i="68" s="1"/>
  <c r="AI1555" i="68" s="1"/>
  <c r="AK1555" i="68" s="1"/>
  <c r="AL1555" i="68" s="1"/>
  <c r="AN1555" i="68" s="1"/>
  <c r="AC414" i="68"/>
  <c r="AE414" i="68" s="1"/>
  <c r="AF414" i="68" s="1"/>
  <c r="AH414" i="68" s="1"/>
  <c r="AI414" i="68" s="1"/>
  <c r="AK414" i="68" s="1"/>
  <c r="AL414" i="68" s="1"/>
  <c r="AN414" i="68" s="1"/>
  <c r="AC822" i="68"/>
  <c r="AE822" i="68" s="1"/>
  <c r="AF822" i="68" s="1"/>
  <c r="AH822" i="68" s="1"/>
  <c r="AI822" i="68" s="1"/>
  <c r="AK822" i="68" s="1"/>
  <c r="AL822" i="68" s="1"/>
  <c r="AN822" i="68" s="1"/>
  <c r="L99" i="3"/>
  <c r="W49" i="3" s="1"/>
  <c r="J1274" i="68"/>
  <c r="J1275" i="68"/>
  <c r="J1278" i="68"/>
  <c r="Q1113" i="68"/>
  <c r="J1273" i="68"/>
  <c r="J1279" i="68"/>
  <c r="S1101" i="68"/>
  <c r="R1108" i="68"/>
  <c r="M1111" i="68"/>
  <c r="R1107" i="68"/>
  <c r="V493" i="115"/>
  <c r="X493" i="115"/>
  <c r="S1105" i="68"/>
  <c r="Q1111" i="68"/>
  <c r="P1101" i="68"/>
  <c r="O1107" i="68"/>
  <c r="P1107" i="68" s="1"/>
  <c r="M1114" i="68"/>
  <c r="U1061" i="68"/>
  <c r="T1067" i="68"/>
  <c r="Y1067" i="68" s="1"/>
  <c r="Z1067" i="68" s="1"/>
  <c r="V1061" i="68"/>
  <c r="P1103" i="68"/>
  <c r="P1099" i="68"/>
  <c r="O1106" i="68"/>
  <c r="P1106" i="68" s="1"/>
  <c r="P1104" i="68"/>
  <c r="O1109" i="68"/>
  <c r="P1109" i="68" s="1"/>
  <c r="U1064" i="68"/>
  <c r="T1069" i="68"/>
  <c r="Y1069" i="68" s="1"/>
  <c r="Z1069" i="68" s="1"/>
  <c r="V1064" i="68"/>
  <c r="T1065" i="68"/>
  <c r="R1110" i="68"/>
  <c r="U1062" i="68"/>
  <c r="V1062" i="68"/>
  <c r="S1104" i="68"/>
  <c r="S1103" i="68"/>
  <c r="R1109" i="68"/>
  <c r="U1063" i="68"/>
  <c r="T1068" i="68"/>
  <c r="Y1068" i="68" s="1"/>
  <c r="Z1068" i="68" s="1"/>
  <c r="V1063" i="68"/>
  <c r="P1102" i="68"/>
  <c r="O1108" i="68"/>
  <c r="S1100" i="68"/>
  <c r="S1099" i="68"/>
  <c r="S1106" i="68" s="1"/>
  <c r="P1105" i="68"/>
  <c r="O1110" i="68"/>
  <c r="P1110" i="68" s="1"/>
  <c r="AE362" i="114" l="1"/>
  <c r="AN512" i="114"/>
  <c r="AH574" i="114"/>
  <c r="AB1069" i="68"/>
  <c r="AC1069" i="68" s="1"/>
  <c r="AE1069" i="68" s="1"/>
  <c r="AF1069" i="68" s="1"/>
  <c r="AH1069" i="68" s="1"/>
  <c r="AI1069" i="68" s="1"/>
  <c r="AK1069" i="68" s="1"/>
  <c r="AL1069" i="68" s="1"/>
  <c r="AN1069" i="68" s="1"/>
  <c r="AB1068" i="68"/>
  <c r="AC1068" i="68" s="1"/>
  <c r="AE1068" i="68" s="1"/>
  <c r="AF1068" i="68" s="1"/>
  <c r="AH1068" i="68" s="1"/>
  <c r="AI1068" i="68" s="1"/>
  <c r="AK1068" i="68" s="1"/>
  <c r="AL1068" i="68" s="1"/>
  <c r="AN1068" i="68" s="1"/>
  <c r="AB1067" i="68"/>
  <c r="AC1067" i="68" s="1"/>
  <c r="AE1067" i="68" s="1"/>
  <c r="AF1067" i="68" s="1"/>
  <c r="AH1067" i="68" s="1"/>
  <c r="AI1067" i="68" s="1"/>
  <c r="AK1067" i="68" s="1"/>
  <c r="AL1067" i="68" s="1"/>
  <c r="AN1067" i="68" s="1"/>
  <c r="E307" i="103"/>
  <c r="AC1556" i="68"/>
  <c r="AE1556" i="68" s="1"/>
  <c r="AF1556" i="68" s="1"/>
  <c r="AH1556" i="68" s="1"/>
  <c r="AI1556" i="68" s="1"/>
  <c r="AK1556" i="68" s="1"/>
  <c r="AL1556" i="68" s="1"/>
  <c r="AN1556" i="68" s="1"/>
  <c r="M99" i="3"/>
  <c r="X49" i="3" s="1"/>
  <c r="J1276" i="68"/>
  <c r="Q1114" i="68"/>
  <c r="Q1116" i="68" s="1"/>
  <c r="Q1268" i="68" s="1"/>
  <c r="J1280" i="68"/>
  <c r="J1285" i="68" s="1"/>
  <c r="J1281" i="68"/>
  <c r="J1283" i="68"/>
  <c r="J1282" i="68"/>
  <c r="J1284" i="68"/>
  <c r="R1113" i="68"/>
  <c r="R1111" i="68"/>
  <c r="S1107" i="68"/>
  <c r="Q1272" i="68"/>
  <c r="Q1267" i="68"/>
  <c r="U1069" i="68"/>
  <c r="T1075" i="68"/>
  <c r="Y1075" i="68" s="1"/>
  <c r="Z1075" i="68" s="1"/>
  <c r="T1074" i="68"/>
  <c r="Y1074" i="68" s="1"/>
  <c r="Z1074" i="68" s="1"/>
  <c r="V1069" i="68"/>
  <c r="S1108" i="68"/>
  <c r="U1067" i="68"/>
  <c r="T1071" i="68"/>
  <c r="Y1071" i="68" s="1"/>
  <c r="Z1071" i="68" s="1"/>
  <c r="V1067" i="68"/>
  <c r="S1110" i="68"/>
  <c r="O1111" i="68"/>
  <c r="S1109" i="68"/>
  <c r="U1065" i="68"/>
  <c r="T1070" i="68"/>
  <c r="Y1070" i="68" s="1"/>
  <c r="Z1070" i="68" s="1"/>
  <c r="V1065" i="68"/>
  <c r="P1108" i="68"/>
  <c r="P1111" i="68" s="1"/>
  <c r="O1113" i="68"/>
  <c r="U1068" i="68"/>
  <c r="T1073" i="68"/>
  <c r="Y1073" i="68" s="1"/>
  <c r="Z1073" i="68" s="1"/>
  <c r="V1068" i="68"/>
  <c r="M1116" i="68"/>
  <c r="T1072" i="68"/>
  <c r="Y1072" i="68" s="1"/>
  <c r="Z1072" i="68" s="1"/>
  <c r="AF362" i="114" l="1"/>
  <c r="AI574" i="114"/>
  <c r="AB1071" i="68"/>
  <c r="AC1071" i="68" s="1"/>
  <c r="AE1071" i="68" s="1"/>
  <c r="AF1071" i="68" s="1"/>
  <c r="AH1071" i="68" s="1"/>
  <c r="AI1071" i="68" s="1"/>
  <c r="AK1071" i="68" s="1"/>
  <c r="AL1071" i="68" s="1"/>
  <c r="AN1071" i="68" s="1"/>
  <c r="AB1074" i="68"/>
  <c r="AC1074" i="68" s="1"/>
  <c r="AE1074" i="68" s="1"/>
  <c r="AF1074" i="68" s="1"/>
  <c r="AH1074" i="68" s="1"/>
  <c r="AI1074" i="68" s="1"/>
  <c r="AK1074" i="68" s="1"/>
  <c r="AL1074" i="68" s="1"/>
  <c r="AN1074" i="68" s="1"/>
  <c r="AB1075" i="68"/>
  <c r="AC1075" i="68" s="1"/>
  <c r="AE1075" i="68" s="1"/>
  <c r="AF1075" i="68" s="1"/>
  <c r="AH1075" i="68" s="1"/>
  <c r="AI1075" i="68" s="1"/>
  <c r="AK1075" i="68" s="1"/>
  <c r="AL1075" i="68" s="1"/>
  <c r="AN1075" i="68" s="1"/>
  <c r="AB1072" i="68"/>
  <c r="AC1072" i="68" s="1"/>
  <c r="AE1072" i="68" s="1"/>
  <c r="AF1072" i="68" s="1"/>
  <c r="AH1072" i="68" s="1"/>
  <c r="AI1072" i="68" s="1"/>
  <c r="AK1072" i="68" s="1"/>
  <c r="AL1072" i="68" s="1"/>
  <c r="AN1072" i="68" s="1"/>
  <c r="AB1070" i="68"/>
  <c r="AC1070" i="68" s="1"/>
  <c r="AE1070" i="68" s="1"/>
  <c r="AF1070" i="68" s="1"/>
  <c r="AH1070" i="68" s="1"/>
  <c r="AI1070" i="68" s="1"/>
  <c r="AK1070" i="68" s="1"/>
  <c r="AL1070" i="68" s="1"/>
  <c r="AN1070" i="68" s="1"/>
  <c r="AB1073" i="68"/>
  <c r="AC1073" i="68" s="1"/>
  <c r="AE1073" i="68" s="1"/>
  <c r="AF1073" i="68" s="1"/>
  <c r="AH1073" i="68" s="1"/>
  <c r="AI1073" i="68" s="1"/>
  <c r="AK1073" i="68" s="1"/>
  <c r="AL1073" i="68" s="1"/>
  <c r="AN1073" i="68" s="1"/>
  <c r="E311" i="103"/>
  <c r="AC445" i="68"/>
  <c r="AE445" i="68" s="1"/>
  <c r="AF445" i="68" s="1"/>
  <c r="AH445" i="68" s="1"/>
  <c r="AI445" i="68" s="1"/>
  <c r="AK445" i="68" s="1"/>
  <c r="AL445" i="68" s="1"/>
  <c r="AN445" i="68" s="1"/>
  <c r="Q1271" i="68"/>
  <c r="J1286" i="68"/>
  <c r="Q1269" i="68"/>
  <c r="R1114" i="68"/>
  <c r="R1116" i="68" s="1"/>
  <c r="R1270" i="68" s="1"/>
  <c r="J1287" i="68"/>
  <c r="Q1270" i="68"/>
  <c r="J1288" i="68"/>
  <c r="J1289" i="68"/>
  <c r="J1290" i="68"/>
  <c r="J1292" i="68"/>
  <c r="J1291" i="68"/>
  <c r="S1113" i="68"/>
  <c r="Q1274" i="68"/>
  <c r="Q1275" i="68"/>
  <c r="Q1278" i="68"/>
  <c r="J1293" i="68"/>
  <c r="T1076" i="68"/>
  <c r="Y1076" i="68" s="1"/>
  <c r="Z1076" i="68" s="1"/>
  <c r="U1070" i="68"/>
  <c r="T1077" i="68"/>
  <c r="Y1077" i="68" s="1"/>
  <c r="Z1077" i="68" s="1"/>
  <c r="T1078" i="68"/>
  <c r="Y1078" i="68" s="1"/>
  <c r="Z1078" i="68" s="1"/>
  <c r="V1070" i="68"/>
  <c r="U1071" i="68"/>
  <c r="T1079" i="68"/>
  <c r="Y1079" i="68" s="1"/>
  <c r="Z1079" i="68" s="1"/>
  <c r="V1071" i="68"/>
  <c r="O1114" i="68"/>
  <c r="O1116" i="68" s="1"/>
  <c r="P1113" i="68"/>
  <c r="P1114" i="68" s="1"/>
  <c r="P1116" i="68" s="1"/>
  <c r="U1072" i="68"/>
  <c r="T1080" i="68"/>
  <c r="Y1080" i="68" s="1"/>
  <c r="Z1080" i="68" s="1"/>
  <c r="V1072" i="68"/>
  <c r="U1073" i="68"/>
  <c r="T1081" i="68"/>
  <c r="Y1081" i="68" s="1"/>
  <c r="Z1081" i="68" s="1"/>
  <c r="V1073" i="68"/>
  <c r="Q1273" i="68"/>
  <c r="Q1279" i="68" s="1"/>
  <c r="S1111" i="68"/>
  <c r="U1074" i="68"/>
  <c r="T1082" i="68"/>
  <c r="Y1082" i="68" s="1"/>
  <c r="Z1082" i="68" s="1"/>
  <c r="V1074" i="68"/>
  <c r="M1267" i="68"/>
  <c r="M1271" i="68"/>
  <c r="M1272" i="68"/>
  <c r="M1268" i="68"/>
  <c r="M1269" i="68"/>
  <c r="M1270" i="68"/>
  <c r="R1268" i="68"/>
  <c r="R1267" i="68"/>
  <c r="R1271" i="68"/>
  <c r="R1269" i="68"/>
  <c r="R1272" i="68"/>
  <c r="U1075" i="68"/>
  <c r="V1075" i="68"/>
  <c r="AH362" i="114" l="1"/>
  <c r="AK574" i="114"/>
  <c r="AB1078" i="68"/>
  <c r="AC1078" i="68" s="1"/>
  <c r="AE1078" i="68" s="1"/>
  <c r="AF1078" i="68" s="1"/>
  <c r="AH1078" i="68" s="1"/>
  <c r="AI1078" i="68" s="1"/>
  <c r="AK1078" i="68" s="1"/>
  <c r="AL1078" i="68" s="1"/>
  <c r="AN1078" i="68" s="1"/>
  <c r="AB1077" i="68"/>
  <c r="AC1077" i="68" s="1"/>
  <c r="AE1077" i="68" s="1"/>
  <c r="AF1077" i="68" s="1"/>
  <c r="AH1077" i="68" s="1"/>
  <c r="AI1077" i="68" s="1"/>
  <c r="AK1077" i="68" s="1"/>
  <c r="AL1077" i="68" s="1"/>
  <c r="AN1077" i="68" s="1"/>
  <c r="AB1081" i="68"/>
  <c r="AC1081" i="68" s="1"/>
  <c r="AE1081" i="68" s="1"/>
  <c r="AF1081" i="68" s="1"/>
  <c r="AH1081" i="68" s="1"/>
  <c r="AI1081" i="68" s="1"/>
  <c r="AK1081" i="68" s="1"/>
  <c r="AL1081" i="68" s="1"/>
  <c r="AN1081" i="68" s="1"/>
  <c r="AB1082" i="68"/>
  <c r="AC1082" i="68" s="1"/>
  <c r="AE1082" i="68" s="1"/>
  <c r="AF1082" i="68" s="1"/>
  <c r="AH1082" i="68" s="1"/>
  <c r="AI1082" i="68" s="1"/>
  <c r="AK1082" i="68" s="1"/>
  <c r="AL1082" i="68" s="1"/>
  <c r="AN1082" i="68" s="1"/>
  <c r="AB1080" i="68"/>
  <c r="AC1080" i="68" s="1"/>
  <c r="AE1080" i="68" s="1"/>
  <c r="AF1080" i="68" s="1"/>
  <c r="AH1080" i="68" s="1"/>
  <c r="AI1080" i="68" s="1"/>
  <c r="AK1080" i="68" s="1"/>
  <c r="AL1080" i="68" s="1"/>
  <c r="AN1080" i="68" s="1"/>
  <c r="AB1076" i="68"/>
  <c r="AC1076" i="68" s="1"/>
  <c r="AE1076" i="68" s="1"/>
  <c r="AF1076" i="68" s="1"/>
  <c r="AH1076" i="68" s="1"/>
  <c r="AI1076" i="68" s="1"/>
  <c r="AK1076" i="68" s="1"/>
  <c r="AL1076" i="68" s="1"/>
  <c r="AN1076" i="68" s="1"/>
  <c r="AB1079" i="68"/>
  <c r="AC1079" i="68" s="1"/>
  <c r="AE1079" i="68" s="1"/>
  <c r="AF1079" i="68" s="1"/>
  <c r="AH1079" i="68" s="1"/>
  <c r="AI1079" i="68" s="1"/>
  <c r="AK1079" i="68" s="1"/>
  <c r="AL1079" i="68" s="1"/>
  <c r="AN1079" i="68" s="1"/>
  <c r="E315" i="103"/>
  <c r="E323" i="103"/>
  <c r="E325" i="103" s="1"/>
  <c r="J1294" i="68"/>
  <c r="S1114" i="68"/>
  <c r="S1116" i="68" s="1"/>
  <c r="S1268" i="68" s="1"/>
  <c r="J1298" i="68"/>
  <c r="J1296" i="68"/>
  <c r="J1295" i="68"/>
  <c r="J1297" i="68"/>
  <c r="Q1281" i="68"/>
  <c r="R1278" i="68"/>
  <c r="Q1280" i="68"/>
  <c r="U1079" i="68"/>
  <c r="T1085" i="68"/>
  <c r="Y1085" i="68" s="1"/>
  <c r="Z1085" i="68" s="1"/>
  <c r="V1079" i="68"/>
  <c r="R1273" i="68"/>
  <c r="R1279" i="68" s="1"/>
  <c r="U1082" i="68"/>
  <c r="T1088" i="68"/>
  <c r="Y1088" i="68" s="1"/>
  <c r="Z1088" i="68" s="1"/>
  <c r="V1082" i="68"/>
  <c r="U1080" i="68"/>
  <c r="V1080" i="68"/>
  <c r="R1275" i="68"/>
  <c r="M1274" i="68"/>
  <c r="M1278" i="68"/>
  <c r="Q1276" i="68"/>
  <c r="O1268" i="68"/>
  <c r="O1271" i="68"/>
  <c r="P1271" i="68" s="1"/>
  <c r="O1269" i="68"/>
  <c r="O1272" i="68"/>
  <c r="O1267" i="68"/>
  <c r="O1270" i="68"/>
  <c r="P1270" i="68" s="1"/>
  <c r="R1274" i="68"/>
  <c r="M1273" i="68"/>
  <c r="U1081" i="68"/>
  <c r="V1081" i="68"/>
  <c r="U1078" i="68"/>
  <c r="T1084" i="68"/>
  <c r="Y1084" i="68" s="1"/>
  <c r="Z1084" i="68" s="1"/>
  <c r="V1078" i="68"/>
  <c r="M1275" i="68"/>
  <c r="U1077" i="68"/>
  <c r="V1077" i="68"/>
  <c r="U1076" i="68"/>
  <c r="T1083" i="68"/>
  <c r="Y1083" i="68" s="1"/>
  <c r="Z1083" i="68" s="1"/>
  <c r="V1076" i="68"/>
  <c r="AI362" i="114" l="1"/>
  <c r="AK362" i="114" s="1"/>
  <c r="AL362" i="114" s="1"/>
  <c r="AL574" i="114"/>
  <c r="AB1084" i="68"/>
  <c r="AC1084" i="68" s="1"/>
  <c r="AE1084" i="68" s="1"/>
  <c r="AF1084" i="68" s="1"/>
  <c r="AH1084" i="68" s="1"/>
  <c r="AI1084" i="68" s="1"/>
  <c r="AK1084" i="68" s="1"/>
  <c r="AL1084" i="68" s="1"/>
  <c r="AN1084" i="68" s="1"/>
  <c r="AB1085" i="68"/>
  <c r="AC1085" i="68" s="1"/>
  <c r="AE1085" i="68" s="1"/>
  <c r="AF1085" i="68" s="1"/>
  <c r="AH1085" i="68" s="1"/>
  <c r="AI1085" i="68" s="1"/>
  <c r="AK1085" i="68" s="1"/>
  <c r="AL1085" i="68" s="1"/>
  <c r="AN1085" i="68" s="1"/>
  <c r="AB1083" i="68"/>
  <c r="AC1083" i="68" s="1"/>
  <c r="AE1083" i="68" s="1"/>
  <c r="AF1083" i="68" s="1"/>
  <c r="AH1083" i="68" s="1"/>
  <c r="AI1083" i="68" s="1"/>
  <c r="AK1083" i="68" s="1"/>
  <c r="AL1083" i="68" s="1"/>
  <c r="AN1083" i="68" s="1"/>
  <c r="AB1088" i="68"/>
  <c r="AC1088" i="68" s="1"/>
  <c r="AE1088" i="68" s="1"/>
  <c r="AF1088" i="68" s="1"/>
  <c r="AH1088" i="68" s="1"/>
  <c r="AI1088" i="68" s="1"/>
  <c r="AK1088" i="68" s="1"/>
  <c r="AL1088" i="68" s="1"/>
  <c r="AN1088" i="68" s="1"/>
  <c r="E330" i="103"/>
  <c r="E331" i="103" s="1"/>
  <c r="AC375" i="114"/>
  <c r="J1303" i="68"/>
  <c r="J1301" i="68"/>
  <c r="S1271" i="68"/>
  <c r="J1299" i="68"/>
  <c r="J1304" i="68" s="1"/>
  <c r="S1267" i="68"/>
  <c r="J1302" i="68"/>
  <c r="S1272" i="68"/>
  <c r="S1269" i="68"/>
  <c r="S1275" i="68" s="1"/>
  <c r="S1270" i="68"/>
  <c r="S1278" i="68" s="1"/>
  <c r="R1280" i="68"/>
  <c r="J1309" i="68"/>
  <c r="S1274" i="68"/>
  <c r="J1307" i="68"/>
  <c r="J1306" i="68"/>
  <c r="J1308" i="68"/>
  <c r="M1281" i="68"/>
  <c r="P1272" i="68"/>
  <c r="O1278" i="68"/>
  <c r="Q1282" i="68"/>
  <c r="Q1283" i="68"/>
  <c r="M1279" i="68"/>
  <c r="Q1285" i="68"/>
  <c r="P1269" i="68"/>
  <c r="O1275" i="68"/>
  <c r="R1276" i="68"/>
  <c r="R1284" i="68" s="1"/>
  <c r="M1276" i="68"/>
  <c r="M1283" i="68" s="1"/>
  <c r="P1268" i="68"/>
  <c r="O1274" i="68"/>
  <c r="Q1284" i="68"/>
  <c r="U1084" i="68"/>
  <c r="T1090" i="68"/>
  <c r="Y1090" i="68" s="1"/>
  <c r="Z1090" i="68" s="1"/>
  <c r="V1084" i="68"/>
  <c r="M1280" i="68"/>
  <c r="S1273" i="68"/>
  <c r="R1281" i="68"/>
  <c r="U1088" i="68"/>
  <c r="V1088" i="68"/>
  <c r="U1085" i="68"/>
  <c r="T1091" i="68"/>
  <c r="Y1091" i="68" s="1"/>
  <c r="Z1091" i="68" s="1"/>
  <c r="T1092" i="68"/>
  <c r="Y1092" i="68" s="1"/>
  <c r="Z1092" i="68" s="1"/>
  <c r="V1085" i="68"/>
  <c r="U1083" i="68"/>
  <c r="T1089" i="68"/>
  <c r="Y1089" i="68" s="1"/>
  <c r="Z1089" i="68" s="1"/>
  <c r="AB1089" i="68" s="1"/>
  <c r="AC1089" i="68" s="1"/>
  <c r="AE1089" i="68" s="1"/>
  <c r="AF1089" i="68" s="1"/>
  <c r="AH1089" i="68" s="1"/>
  <c r="AI1089" i="68" s="1"/>
  <c r="AK1089" i="68" s="1"/>
  <c r="AL1089" i="68" s="1"/>
  <c r="AN1089" i="68" s="1"/>
  <c r="V1083" i="68"/>
  <c r="P1267" i="68"/>
  <c r="O1273" i="68"/>
  <c r="Q1286" i="68"/>
  <c r="T1086" i="68"/>
  <c r="AE375" i="114" l="1"/>
  <c r="AC387" i="114"/>
  <c r="AN362" i="114"/>
  <c r="AN574" i="114"/>
  <c r="AB1092" i="68"/>
  <c r="AC1092" i="68" s="1"/>
  <c r="AE1092" i="68" s="1"/>
  <c r="AF1092" i="68" s="1"/>
  <c r="AH1092" i="68" s="1"/>
  <c r="AI1092" i="68" s="1"/>
  <c r="AK1092" i="68" s="1"/>
  <c r="AL1092" i="68" s="1"/>
  <c r="AN1092" i="68" s="1"/>
  <c r="AB1090" i="68"/>
  <c r="AC1090" i="68" s="1"/>
  <c r="AE1090" i="68" s="1"/>
  <c r="AF1090" i="68" s="1"/>
  <c r="AH1090" i="68" s="1"/>
  <c r="AI1090" i="68" s="1"/>
  <c r="AK1090" i="68" s="1"/>
  <c r="AL1090" i="68" s="1"/>
  <c r="AN1090" i="68" s="1"/>
  <c r="AB1091" i="68"/>
  <c r="AC1091" i="68" s="1"/>
  <c r="AE1091" i="68" s="1"/>
  <c r="AF1091" i="68" s="1"/>
  <c r="AH1091" i="68" s="1"/>
  <c r="AI1091" i="68" s="1"/>
  <c r="AK1091" i="68" s="1"/>
  <c r="AL1091" i="68" s="1"/>
  <c r="AN1091" i="68" s="1"/>
  <c r="E335" i="103"/>
  <c r="AC1494" i="68"/>
  <c r="AE1494" i="68" s="1"/>
  <c r="AF1494" i="68" s="1"/>
  <c r="AH1494" i="68" s="1"/>
  <c r="AI1494" i="68" s="1"/>
  <c r="AK1494" i="68" s="1"/>
  <c r="AL1494" i="68" s="1"/>
  <c r="AN1494" i="68" s="1"/>
  <c r="R1286" i="68"/>
  <c r="J1311" i="68"/>
  <c r="J1305" i="68"/>
  <c r="J1312" i="68" s="1"/>
  <c r="J1310" i="68"/>
  <c r="S1279" i="68"/>
  <c r="Q1289" i="68"/>
  <c r="J1316" i="68"/>
  <c r="O1276" i="68"/>
  <c r="O1283" i="68" s="1"/>
  <c r="R1283" i="68"/>
  <c r="Q1288" i="68"/>
  <c r="J1313" i="68"/>
  <c r="J1319" i="68" s="1"/>
  <c r="Q1290" i="68"/>
  <c r="R1285" i="68"/>
  <c r="Q1292" i="68"/>
  <c r="U1086" i="68"/>
  <c r="T1094" i="68"/>
  <c r="Y1094" i="68" s="1"/>
  <c r="Z1094" i="68" s="1"/>
  <c r="T1093" i="68"/>
  <c r="Y1093" i="68" s="1"/>
  <c r="Z1093" i="68" s="1"/>
  <c r="V1086" i="68"/>
  <c r="Q1291" i="68"/>
  <c r="Q1287" i="68"/>
  <c r="T1095" i="68"/>
  <c r="Y1095" i="68" s="1"/>
  <c r="Z1095" i="68" s="1"/>
  <c r="P1273" i="68"/>
  <c r="O1279" i="68"/>
  <c r="U1089" i="68"/>
  <c r="T1096" i="68"/>
  <c r="Y1096" i="68" s="1"/>
  <c r="Z1096" i="68" s="1"/>
  <c r="V1089" i="68"/>
  <c r="U1090" i="68"/>
  <c r="T1097" i="68"/>
  <c r="Y1097" i="68" s="1"/>
  <c r="Z1097" i="68" s="1"/>
  <c r="V1090" i="68"/>
  <c r="P1278" i="68"/>
  <c r="M1285" i="68"/>
  <c r="P1275" i="68"/>
  <c r="O1281" i="68"/>
  <c r="S1281" i="68"/>
  <c r="U1092" i="68"/>
  <c r="V1092" i="68"/>
  <c r="P1274" i="68"/>
  <c r="O1280" i="68"/>
  <c r="R1282" i="68"/>
  <c r="U1091" i="68"/>
  <c r="T1098" i="68"/>
  <c r="Y1098" i="68" s="1"/>
  <c r="Z1098" i="68" s="1"/>
  <c r="V1091" i="68"/>
  <c r="S1276" i="68"/>
  <c r="S1283" i="68" s="1"/>
  <c r="M1286" i="68"/>
  <c r="S1280" i="68"/>
  <c r="M1284" i="68"/>
  <c r="M1282" i="68"/>
  <c r="AF375" i="114" l="1"/>
  <c r="AE387" i="114"/>
  <c r="AB1097" i="68"/>
  <c r="AC1097" i="68" s="1"/>
  <c r="AE1097" i="68" s="1"/>
  <c r="AF1097" i="68" s="1"/>
  <c r="AH1097" i="68" s="1"/>
  <c r="AI1097" i="68" s="1"/>
  <c r="AK1097" i="68" s="1"/>
  <c r="AL1097" i="68" s="1"/>
  <c r="AN1097" i="68" s="1"/>
  <c r="AB1098" i="68"/>
  <c r="AC1098" i="68" s="1"/>
  <c r="AE1098" i="68" s="1"/>
  <c r="AF1098" i="68" s="1"/>
  <c r="AH1098" i="68" s="1"/>
  <c r="AI1098" i="68" s="1"/>
  <c r="AK1098" i="68" s="1"/>
  <c r="AL1098" i="68" s="1"/>
  <c r="AN1098" i="68" s="1"/>
  <c r="AB1093" i="68"/>
  <c r="AC1093" i="68" s="1"/>
  <c r="AE1093" i="68" s="1"/>
  <c r="AF1093" i="68" s="1"/>
  <c r="AH1093" i="68" s="1"/>
  <c r="AI1093" i="68" s="1"/>
  <c r="AK1093" i="68" s="1"/>
  <c r="AL1093" i="68" s="1"/>
  <c r="AN1093" i="68" s="1"/>
  <c r="AB1096" i="68"/>
  <c r="AC1096" i="68" s="1"/>
  <c r="AE1096" i="68" s="1"/>
  <c r="AF1096" i="68" s="1"/>
  <c r="AH1096" i="68" s="1"/>
  <c r="AI1096" i="68" s="1"/>
  <c r="AK1096" i="68" s="1"/>
  <c r="AL1096" i="68" s="1"/>
  <c r="AN1096" i="68" s="1"/>
  <c r="AB1095" i="68"/>
  <c r="AC1095" i="68" s="1"/>
  <c r="AE1095" i="68" s="1"/>
  <c r="AF1095" i="68" s="1"/>
  <c r="AH1095" i="68" s="1"/>
  <c r="AI1095" i="68" s="1"/>
  <c r="AK1095" i="68" s="1"/>
  <c r="AL1095" i="68" s="1"/>
  <c r="AN1095" i="68" s="1"/>
  <c r="AB1094" i="68"/>
  <c r="AC1094" i="68" s="1"/>
  <c r="AE1094" i="68" s="1"/>
  <c r="AF1094" i="68" s="1"/>
  <c r="AH1094" i="68" s="1"/>
  <c r="AI1094" i="68" s="1"/>
  <c r="AK1094" i="68" s="1"/>
  <c r="AL1094" i="68" s="1"/>
  <c r="AN1094" i="68" s="1"/>
  <c r="E336" i="103"/>
  <c r="AC1548" i="68"/>
  <c r="AE1548" i="68" s="1"/>
  <c r="AF1548" i="68" s="1"/>
  <c r="AH1548" i="68" s="1"/>
  <c r="AI1548" i="68" s="1"/>
  <c r="AK1548" i="68" s="1"/>
  <c r="AL1548" i="68" s="1"/>
  <c r="AN1548" i="68" s="1"/>
  <c r="J1315" i="68"/>
  <c r="J1318" i="68"/>
  <c r="J1317" i="68"/>
  <c r="J1314" i="68"/>
  <c r="O1282" i="68"/>
  <c r="P1282" i="68" s="1"/>
  <c r="Q1296" i="68"/>
  <c r="J1322" i="68"/>
  <c r="Q1298" i="68"/>
  <c r="Q1294" i="68"/>
  <c r="Q1295" i="68"/>
  <c r="Q1297" i="68"/>
  <c r="P1276" i="68"/>
  <c r="J1323" i="68"/>
  <c r="S1285" i="68"/>
  <c r="R1291" i="68"/>
  <c r="S1287" i="68"/>
  <c r="S1282" i="68"/>
  <c r="R1289" i="68"/>
  <c r="M1291" i="68"/>
  <c r="Q1293" i="68"/>
  <c r="R1292" i="68"/>
  <c r="U1096" i="68"/>
  <c r="T1103" i="68"/>
  <c r="Y1103" i="68" s="1"/>
  <c r="Z1103" i="68" s="1"/>
  <c r="V1096" i="68"/>
  <c r="P1281" i="68"/>
  <c r="O1286" i="68"/>
  <c r="M1287" i="68"/>
  <c r="U1098" i="68"/>
  <c r="T1105" i="68"/>
  <c r="Y1105" i="68" s="1"/>
  <c r="Z1105" i="68" s="1"/>
  <c r="V1098" i="68"/>
  <c r="M1288" i="68"/>
  <c r="R1288" i="68"/>
  <c r="P1283" i="68"/>
  <c r="O1289" i="68"/>
  <c r="P1279" i="68"/>
  <c r="O1284" i="68"/>
  <c r="R1287" i="68"/>
  <c r="M1290" i="68"/>
  <c r="M1292" i="68"/>
  <c r="M1289" i="68"/>
  <c r="P1280" i="68"/>
  <c r="O1285" i="68"/>
  <c r="O1288" i="68"/>
  <c r="S1284" i="68"/>
  <c r="U1097" i="68"/>
  <c r="T1104" i="68"/>
  <c r="Y1104" i="68" s="1"/>
  <c r="Z1104" i="68" s="1"/>
  <c r="V1097" i="68"/>
  <c r="R1290" i="68"/>
  <c r="O1287" i="68"/>
  <c r="S1286" i="68"/>
  <c r="U1095" i="68"/>
  <c r="T1102" i="68"/>
  <c r="Y1102" i="68" s="1"/>
  <c r="Z1102" i="68" s="1"/>
  <c r="AB1102" i="68" s="1"/>
  <c r="V1095" i="68"/>
  <c r="U1093" i="68"/>
  <c r="T1100" i="68"/>
  <c r="Y1100" i="68" s="1"/>
  <c r="Z1100" i="68" s="1"/>
  <c r="AB1100" i="68" s="1"/>
  <c r="T1099" i="68"/>
  <c r="Y1099" i="68" s="1"/>
  <c r="Z1099" i="68" s="1"/>
  <c r="V1093" i="68"/>
  <c r="U1094" i="68"/>
  <c r="T1101" i="68"/>
  <c r="Y1101" i="68" s="1"/>
  <c r="Z1101" i="68" s="1"/>
  <c r="AB1101" i="68" s="1"/>
  <c r="V1094" i="68"/>
  <c r="M65" i="3" l="1"/>
  <c r="M66" i="3" s="1"/>
  <c r="M67" i="3" s="1"/>
  <c r="X45" i="3" s="1"/>
  <c r="AH375" i="114"/>
  <c r="AF387" i="114"/>
  <c r="AB1103" i="68"/>
  <c r="AC1103" i="68" s="1"/>
  <c r="AE1103" i="68" s="1"/>
  <c r="AF1103" i="68" s="1"/>
  <c r="AH1103" i="68" s="1"/>
  <c r="AI1103" i="68" s="1"/>
  <c r="AK1103" i="68" s="1"/>
  <c r="AL1103" i="68" s="1"/>
  <c r="AN1103" i="68" s="1"/>
  <c r="AB1099" i="68"/>
  <c r="AC1099" i="68" s="1"/>
  <c r="AE1099" i="68" s="1"/>
  <c r="AF1099" i="68" s="1"/>
  <c r="AH1099" i="68" s="1"/>
  <c r="AI1099" i="68" s="1"/>
  <c r="AK1099" i="68" s="1"/>
  <c r="AL1099" i="68" s="1"/>
  <c r="AN1099" i="68" s="1"/>
  <c r="AB1105" i="68"/>
  <c r="AC1105" i="68" s="1"/>
  <c r="AE1105" i="68" s="1"/>
  <c r="AF1105" i="68" s="1"/>
  <c r="AH1105" i="68" s="1"/>
  <c r="AI1105" i="68" s="1"/>
  <c r="AK1105" i="68" s="1"/>
  <c r="AL1105" i="68" s="1"/>
  <c r="AN1105" i="68" s="1"/>
  <c r="AB1104" i="68"/>
  <c r="AC1104" i="68" s="1"/>
  <c r="AE1104" i="68" s="1"/>
  <c r="AF1104" i="68" s="1"/>
  <c r="AH1104" i="68" s="1"/>
  <c r="AI1104" i="68" s="1"/>
  <c r="AK1104" i="68" s="1"/>
  <c r="AL1104" i="68" s="1"/>
  <c r="AN1104" i="68" s="1"/>
  <c r="E337" i="103"/>
  <c r="AC1101" i="68" s="1"/>
  <c r="AE1101" i="68" s="1"/>
  <c r="AF1101" i="68" s="1"/>
  <c r="AH1101" i="68" s="1"/>
  <c r="AI1101" i="68" s="1"/>
  <c r="AK1101" i="68" s="1"/>
  <c r="AL1101" i="68" s="1"/>
  <c r="AN1101" i="68" s="1"/>
  <c r="AC1553" i="68"/>
  <c r="AE1553" i="68" s="1"/>
  <c r="AF1553" i="68" s="1"/>
  <c r="AH1553" i="68" s="1"/>
  <c r="AI1553" i="68" s="1"/>
  <c r="AK1553" i="68" s="1"/>
  <c r="AL1553" i="68" s="1"/>
  <c r="AN1553" i="68" s="1"/>
  <c r="J1320" i="68"/>
  <c r="Q1302" i="68"/>
  <c r="S1289" i="68"/>
  <c r="S1290" i="68"/>
  <c r="S1288" i="68"/>
  <c r="R1296" i="68"/>
  <c r="Q1303" i="68"/>
  <c r="J1324" i="68"/>
  <c r="S1295" i="68"/>
  <c r="Q1299" i="68"/>
  <c r="Q1304" i="68" s="1"/>
  <c r="S1291" i="68"/>
  <c r="S1297" i="68" s="1"/>
  <c r="S1292" i="68"/>
  <c r="Q1301" i="68"/>
  <c r="M1295" i="68"/>
  <c r="R1293" i="68"/>
  <c r="P1289" i="68"/>
  <c r="O1295" i="68"/>
  <c r="R1298" i="68"/>
  <c r="U1099" i="68"/>
  <c r="T1106" i="68"/>
  <c r="Y1106" i="68" s="1"/>
  <c r="Z1106" i="68" s="1"/>
  <c r="V1099" i="68"/>
  <c r="U1100" i="68"/>
  <c r="V1100" i="68"/>
  <c r="P1287" i="68"/>
  <c r="O1293" i="68"/>
  <c r="S1296" i="68"/>
  <c r="M1298" i="68"/>
  <c r="U1105" i="68"/>
  <c r="T1110" i="68"/>
  <c r="Y1110" i="68" s="1"/>
  <c r="Z1110" i="68" s="1"/>
  <c r="V1105" i="68"/>
  <c r="P1286" i="68"/>
  <c r="O1292" i="68"/>
  <c r="P1288" i="68"/>
  <c r="O1294" i="68"/>
  <c r="U1103" i="68"/>
  <c r="V1103" i="68"/>
  <c r="U1101" i="68"/>
  <c r="T1107" i="68"/>
  <c r="Y1107" i="68" s="1"/>
  <c r="Z1107" i="68" s="1"/>
  <c r="V1101" i="68"/>
  <c r="U1104" i="68"/>
  <c r="T1109" i="68"/>
  <c r="Y1109" i="68" s="1"/>
  <c r="Z1109" i="68" s="1"/>
  <c r="V1104" i="68"/>
  <c r="M1296" i="68"/>
  <c r="R1294" i="68"/>
  <c r="R1295" i="68"/>
  <c r="S1294" i="68"/>
  <c r="U1102" i="68"/>
  <c r="T1108" i="68"/>
  <c r="Y1108" i="68" s="1"/>
  <c r="Z1108" i="68" s="1"/>
  <c r="V1102" i="68"/>
  <c r="P1285" i="68"/>
  <c r="O1291" i="68"/>
  <c r="M1293" i="68"/>
  <c r="S1293" i="68"/>
  <c r="P1284" i="68"/>
  <c r="O1290" i="68"/>
  <c r="M1294" i="68"/>
  <c r="M1297" i="68"/>
  <c r="R1297" i="68"/>
  <c r="AI375" i="114" l="1"/>
  <c r="AH387" i="114"/>
  <c r="AB1108" i="68"/>
  <c r="AC1108" i="68" s="1"/>
  <c r="AE1108" i="68" s="1"/>
  <c r="AF1108" i="68" s="1"/>
  <c r="AH1108" i="68" s="1"/>
  <c r="AI1108" i="68" s="1"/>
  <c r="AK1108" i="68" s="1"/>
  <c r="AL1108" i="68" s="1"/>
  <c r="AN1108" i="68" s="1"/>
  <c r="AB1109" i="68"/>
  <c r="AC1109" i="68" s="1"/>
  <c r="AE1109" i="68" s="1"/>
  <c r="AF1109" i="68" s="1"/>
  <c r="AH1109" i="68" s="1"/>
  <c r="AI1109" i="68" s="1"/>
  <c r="AK1109" i="68" s="1"/>
  <c r="AL1109" i="68" s="1"/>
  <c r="AN1109" i="68" s="1"/>
  <c r="AB1106" i="68"/>
  <c r="AC1106" i="68" s="1"/>
  <c r="AE1106" i="68" s="1"/>
  <c r="AF1106" i="68" s="1"/>
  <c r="AH1106" i="68" s="1"/>
  <c r="AI1106" i="68" s="1"/>
  <c r="AK1106" i="68" s="1"/>
  <c r="AL1106" i="68" s="1"/>
  <c r="AN1106" i="68" s="1"/>
  <c r="AB1107" i="68"/>
  <c r="AC1107" i="68" s="1"/>
  <c r="AE1107" i="68" s="1"/>
  <c r="AF1107" i="68" s="1"/>
  <c r="AH1107" i="68" s="1"/>
  <c r="AI1107" i="68" s="1"/>
  <c r="AK1107" i="68" s="1"/>
  <c r="AL1107" i="68" s="1"/>
  <c r="AN1107" i="68" s="1"/>
  <c r="AB1110" i="68"/>
  <c r="AC1110" i="68" s="1"/>
  <c r="AE1110" i="68" s="1"/>
  <c r="AF1110" i="68" s="1"/>
  <c r="AH1110" i="68" s="1"/>
  <c r="AI1110" i="68" s="1"/>
  <c r="AK1110" i="68" s="1"/>
  <c r="AL1110" i="68" s="1"/>
  <c r="AN1110" i="68" s="1"/>
  <c r="E342" i="103"/>
  <c r="AC527" i="114"/>
  <c r="AC1554" i="68"/>
  <c r="AE1554" i="68" s="1"/>
  <c r="AF1554" i="68" s="1"/>
  <c r="AH1554" i="68" s="1"/>
  <c r="AI1554" i="68" s="1"/>
  <c r="AK1554" i="68" s="1"/>
  <c r="AL1554" i="68" s="1"/>
  <c r="AN1554" i="68" s="1"/>
  <c r="AC1920" i="68"/>
  <c r="AE1920" i="68" s="1"/>
  <c r="AF1920" i="68" s="1"/>
  <c r="AH1920" i="68" s="1"/>
  <c r="AI1920" i="68" s="1"/>
  <c r="AK1920" i="68" s="1"/>
  <c r="AL1920" i="68" s="1"/>
  <c r="AN1920" i="68" s="1"/>
  <c r="AC413" i="68"/>
  <c r="AE413" i="68" s="1"/>
  <c r="AF413" i="68" s="1"/>
  <c r="AH413" i="68" s="1"/>
  <c r="AI413" i="68" s="1"/>
  <c r="AK413" i="68" s="1"/>
  <c r="AL413" i="68" s="1"/>
  <c r="AN413" i="68" s="1"/>
  <c r="AC266" i="68"/>
  <c r="AE266" i="68" s="1"/>
  <c r="AF266" i="68" s="1"/>
  <c r="AH266" i="68" s="1"/>
  <c r="AI266" i="68" s="1"/>
  <c r="AK266" i="68" s="1"/>
  <c r="AL266" i="68" s="1"/>
  <c r="AN266" i="68" s="1"/>
  <c r="AC572" i="68"/>
  <c r="AE572" i="68" s="1"/>
  <c r="AF572" i="68" s="1"/>
  <c r="AH572" i="68" s="1"/>
  <c r="AI572" i="68" s="1"/>
  <c r="AK572" i="68" s="1"/>
  <c r="AL572" i="68" s="1"/>
  <c r="AN572" i="68" s="1"/>
  <c r="AC820" i="68"/>
  <c r="AE820" i="68" s="1"/>
  <c r="AF820" i="68" s="1"/>
  <c r="AH820" i="68" s="1"/>
  <c r="AI820" i="68" s="1"/>
  <c r="AK820" i="68" s="1"/>
  <c r="AL820" i="68" s="1"/>
  <c r="AN820" i="68" s="1"/>
  <c r="J1327" i="68"/>
  <c r="R1302" i="68"/>
  <c r="Q1305" i="68"/>
  <c r="S1298" i="68"/>
  <c r="J1459" i="68"/>
  <c r="J1464" i="68"/>
  <c r="J1463" i="68"/>
  <c r="J1461" i="68"/>
  <c r="J1457" i="68"/>
  <c r="J1460" i="68"/>
  <c r="J1458" i="68"/>
  <c r="S1303" i="68"/>
  <c r="R1301" i="68"/>
  <c r="M1299" i="68"/>
  <c r="M1304" i="68" s="1"/>
  <c r="U1106" i="68"/>
  <c r="V1106" i="68"/>
  <c r="P1295" i="68"/>
  <c r="O1301" i="68"/>
  <c r="Q1306" i="68"/>
  <c r="S1301" i="68"/>
  <c r="M1303" i="68"/>
  <c r="P1291" i="68"/>
  <c r="O1297" i="68"/>
  <c r="P1293" i="68"/>
  <c r="Q1308" i="68"/>
  <c r="Q1307" i="68"/>
  <c r="U1107" i="68"/>
  <c r="V1107" i="68"/>
  <c r="P1294" i="68"/>
  <c r="R1299" i="68"/>
  <c r="T1111" i="68"/>
  <c r="U1110" i="68"/>
  <c r="V1110" i="68"/>
  <c r="R1303" i="68"/>
  <c r="Q1310" i="68"/>
  <c r="P1290" i="68"/>
  <c r="O1296" i="68"/>
  <c r="M1301" i="68"/>
  <c r="Q1312" i="68"/>
  <c r="M1302" i="68"/>
  <c r="P1292" i="68"/>
  <c r="O1298" i="68"/>
  <c r="S1302" i="68"/>
  <c r="Q1311" i="68"/>
  <c r="U1108" i="68"/>
  <c r="T1113" i="68"/>
  <c r="Y1113" i="68" s="1"/>
  <c r="Z1113" i="68" s="1"/>
  <c r="V1108" i="68"/>
  <c r="U1109" i="68"/>
  <c r="V1109" i="68"/>
  <c r="Q1309" i="68"/>
  <c r="N65" i="3" l="1"/>
  <c r="AK375" i="114"/>
  <c r="AI387" i="114"/>
  <c r="AE527" i="114"/>
  <c r="AB1113" i="68"/>
  <c r="AC1113" i="68" s="1"/>
  <c r="AE1113" i="68" s="1"/>
  <c r="AF1113" i="68" s="1"/>
  <c r="AH1113" i="68" s="1"/>
  <c r="AI1113" i="68" s="1"/>
  <c r="AK1113" i="68" s="1"/>
  <c r="AL1113" i="68" s="1"/>
  <c r="AN1113" i="68" s="1"/>
  <c r="E343" i="103"/>
  <c r="AC1918" i="68"/>
  <c r="AE1918" i="68" s="1"/>
  <c r="AF1918" i="68" s="1"/>
  <c r="AH1918" i="68" s="1"/>
  <c r="AI1918" i="68" s="1"/>
  <c r="AK1918" i="68" s="1"/>
  <c r="AL1918" i="68" s="1"/>
  <c r="AN1918" i="68" s="1"/>
  <c r="AC571" i="68"/>
  <c r="AE571" i="68" s="1"/>
  <c r="AF571" i="68" s="1"/>
  <c r="AH571" i="68" s="1"/>
  <c r="AI571" i="68" s="1"/>
  <c r="AK571" i="68" s="1"/>
  <c r="AL571" i="68" s="1"/>
  <c r="AN571" i="68" s="1"/>
  <c r="AC819" i="68"/>
  <c r="AE819" i="68" s="1"/>
  <c r="AF819" i="68" s="1"/>
  <c r="AH819" i="68" s="1"/>
  <c r="AI819" i="68" s="1"/>
  <c r="AK819" i="68" s="1"/>
  <c r="AL819" i="68" s="1"/>
  <c r="AN819" i="68" s="1"/>
  <c r="AC1100" i="68"/>
  <c r="AE1100" i="68" s="1"/>
  <c r="AF1100" i="68" s="1"/>
  <c r="AH1100" i="68" s="1"/>
  <c r="AI1100" i="68" s="1"/>
  <c r="AK1100" i="68" s="1"/>
  <c r="AL1100" i="68" s="1"/>
  <c r="AN1100" i="68" s="1"/>
  <c r="S1299" i="68"/>
  <c r="Q1313" i="68"/>
  <c r="R1310" i="68"/>
  <c r="R1309" i="68"/>
  <c r="M1305" i="68"/>
  <c r="Q1315" i="68"/>
  <c r="J1467" i="68"/>
  <c r="R1306" i="68"/>
  <c r="J1470" i="68"/>
  <c r="J1466" i="68"/>
  <c r="J1465" i="68"/>
  <c r="Q1314" i="68"/>
  <c r="S1310" i="68"/>
  <c r="O1299" i="68"/>
  <c r="O1304" i="68" s="1"/>
  <c r="O1305" i="68"/>
  <c r="S1304" i="68"/>
  <c r="S1311" i="68" s="1"/>
  <c r="S1305" i="68"/>
  <c r="R1308" i="68"/>
  <c r="R1307" i="68"/>
  <c r="P1297" i="68"/>
  <c r="O1302" i="68"/>
  <c r="Q1317" i="68"/>
  <c r="Q1318" i="68"/>
  <c r="S1309" i="68"/>
  <c r="U1111" i="68"/>
  <c r="V1111" i="68"/>
  <c r="Q1319" i="68"/>
  <c r="T1114" i="68"/>
  <c r="U1113" i="68"/>
  <c r="V1113" i="68"/>
  <c r="M1309" i="68"/>
  <c r="M1310" i="68"/>
  <c r="M1312" i="68"/>
  <c r="S1308" i="68"/>
  <c r="S1307" i="68"/>
  <c r="M1306" i="68"/>
  <c r="P1296" i="68"/>
  <c r="P1301" i="68"/>
  <c r="O1306" i="68"/>
  <c r="M1311" i="68"/>
  <c r="S1306" i="68"/>
  <c r="P1298" i="68"/>
  <c r="O1303" i="68"/>
  <c r="Q1316" i="68"/>
  <c r="M1308" i="68"/>
  <c r="M1307" i="68"/>
  <c r="R1304" i="68"/>
  <c r="R1305" i="68"/>
  <c r="AL375" i="114" l="1"/>
  <c r="AK387" i="114"/>
  <c r="AF527" i="114"/>
  <c r="E344" i="103"/>
  <c r="AC528" i="114"/>
  <c r="AC267" i="68"/>
  <c r="AE267" i="68" s="1"/>
  <c r="AF267" i="68" s="1"/>
  <c r="AH267" i="68" s="1"/>
  <c r="AI267" i="68" s="1"/>
  <c r="AK267" i="68" s="1"/>
  <c r="AL267" i="68" s="1"/>
  <c r="AN267" i="68" s="1"/>
  <c r="AC1921" i="68"/>
  <c r="AE1921" i="68" s="1"/>
  <c r="AF1921" i="68" s="1"/>
  <c r="AH1921" i="68" s="1"/>
  <c r="AI1921" i="68" s="1"/>
  <c r="AK1921" i="68" s="1"/>
  <c r="AL1921" i="68" s="1"/>
  <c r="AN1921" i="68" s="1"/>
  <c r="AC574" i="68"/>
  <c r="AE574" i="68" s="1"/>
  <c r="AF574" i="68" s="1"/>
  <c r="AH574" i="68" s="1"/>
  <c r="AI574" i="68" s="1"/>
  <c r="AK574" i="68" s="1"/>
  <c r="AL574" i="68" s="1"/>
  <c r="AN574" i="68" s="1"/>
  <c r="AC821" i="68"/>
  <c r="AE821" i="68" s="1"/>
  <c r="AF821" i="68" s="1"/>
  <c r="AH821" i="68" s="1"/>
  <c r="AI821" i="68" s="1"/>
  <c r="AK821" i="68" s="1"/>
  <c r="AL821" i="68" s="1"/>
  <c r="AN821" i="68" s="1"/>
  <c r="AC1102" i="68"/>
  <c r="AE1102" i="68" s="1"/>
  <c r="AF1102" i="68" s="1"/>
  <c r="AH1102" i="68" s="1"/>
  <c r="AI1102" i="68" s="1"/>
  <c r="AK1102" i="68" s="1"/>
  <c r="AL1102" i="68" s="1"/>
  <c r="AN1102" i="68" s="1"/>
  <c r="Q1322" i="68"/>
  <c r="J1473" i="68"/>
  <c r="S1313" i="68"/>
  <c r="R1315" i="68"/>
  <c r="S1312" i="68"/>
  <c r="J1471" i="68"/>
  <c r="J1468" i="68"/>
  <c r="J1476" i="68" s="1"/>
  <c r="J1472" i="68"/>
  <c r="R1312" i="68"/>
  <c r="P1299" i="68"/>
  <c r="M1314" i="68"/>
  <c r="M1317" i="68"/>
  <c r="M1318" i="68"/>
  <c r="R1316" i="68"/>
  <c r="P1306" i="68"/>
  <c r="O1313" i="68"/>
  <c r="O1307" i="68"/>
  <c r="O1308" i="68"/>
  <c r="P1308" i="68" s="1"/>
  <c r="R1313" i="68"/>
  <c r="P1302" i="68"/>
  <c r="O1309" i="68"/>
  <c r="S1316" i="68"/>
  <c r="M1313" i="68"/>
  <c r="Q1320" i="68"/>
  <c r="S1314" i="68"/>
  <c r="M1316" i="68"/>
  <c r="P1304" i="68"/>
  <c r="O1311" i="68"/>
  <c r="U1114" i="68"/>
  <c r="V1114" i="68"/>
  <c r="T1116" i="68"/>
  <c r="S1315" i="68"/>
  <c r="P1305" i="68"/>
  <c r="O1312" i="68"/>
  <c r="R1311" i="68"/>
  <c r="M1315" i="68"/>
  <c r="S1317" i="68"/>
  <c r="S1318" i="68"/>
  <c r="P1303" i="68"/>
  <c r="O1310" i="68"/>
  <c r="Q1323" i="68"/>
  <c r="R1314" i="68"/>
  <c r="O65" i="3" l="1"/>
  <c r="AN375" i="114"/>
  <c r="AN387" i="114" s="1"/>
  <c r="AL387" i="114"/>
  <c r="AE528" i="114"/>
  <c r="AC539" i="114"/>
  <c r="AH527" i="114"/>
  <c r="E347" i="103"/>
  <c r="AC1923" i="68"/>
  <c r="AE1923" i="68" s="1"/>
  <c r="AF1923" i="68" s="1"/>
  <c r="AH1923" i="68" s="1"/>
  <c r="AI1923" i="68" s="1"/>
  <c r="AK1923" i="68" s="1"/>
  <c r="AL1923" i="68" s="1"/>
  <c r="AN1923" i="68" s="1"/>
  <c r="S1319" i="68"/>
  <c r="S1320" i="68" s="1"/>
  <c r="J1475" i="68"/>
  <c r="J1474" i="68"/>
  <c r="J1478" i="68"/>
  <c r="J1477" i="68"/>
  <c r="J1479" i="68"/>
  <c r="J1480" i="68"/>
  <c r="Q1324" i="68"/>
  <c r="P1309" i="68"/>
  <c r="O1315" i="68"/>
  <c r="P1315" i="68" s="1"/>
  <c r="P1311" i="68"/>
  <c r="M1322" i="68"/>
  <c r="M1319" i="68"/>
  <c r="P1313" i="68"/>
  <c r="O1319" i="68"/>
  <c r="R1319" i="68"/>
  <c r="R1318" i="68"/>
  <c r="S1322" i="68"/>
  <c r="R1317" i="68"/>
  <c r="P1310" i="68"/>
  <c r="O1316" i="68"/>
  <c r="R1323" i="68"/>
  <c r="U1116" i="68"/>
  <c r="T1270" i="68"/>
  <c r="Y1270" i="68" s="1"/>
  <c r="Z1270" i="68" s="1"/>
  <c r="AB1270" i="68" s="1"/>
  <c r="AC1270" i="68" s="1"/>
  <c r="AE1270" i="68" s="1"/>
  <c r="AF1270" i="68" s="1"/>
  <c r="AH1270" i="68" s="1"/>
  <c r="AI1270" i="68" s="1"/>
  <c r="AK1270" i="68" s="1"/>
  <c r="AL1270" i="68" s="1"/>
  <c r="AN1270" i="68" s="1"/>
  <c r="T1267" i="68"/>
  <c r="Y1267" i="68" s="1"/>
  <c r="Z1267" i="68" s="1"/>
  <c r="AB1267" i="68" s="1"/>
  <c r="AC1267" i="68" s="1"/>
  <c r="AE1267" i="68" s="1"/>
  <c r="AF1267" i="68" s="1"/>
  <c r="AH1267" i="68" s="1"/>
  <c r="AI1267" i="68" s="1"/>
  <c r="AK1267" i="68" s="1"/>
  <c r="AL1267" i="68" s="1"/>
  <c r="AN1267" i="68" s="1"/>
  <c r="T1268" i="68"/>
  <c r="Y1268" i="68" s="1"/>
  <c r="Z1268" i="68" s="1"/>
  <c r="AB1268" i="68" s="1"/>
  <c r="AC1268" i="68" s="1"/>
  <c r="AE1268" i="68" s="1"/>
  <c r="AF1268" i="68" s="1"/>
  <c r="AH1268" i="68" s="1"/>
  <c r="AI1268" i="68" s="1"/>
  <c r="AK1268" i="68" s="1"/>
  <c r="AL1268" i="68" s="1"/>
  <c r="AN1268" i="68" s="1"/>
  <c r="T1271" i="68"/>
  <c r="Y1271" i="68" s="1"/>
  <c r="Z1271" i="68" s="1"/>
  <c r="AB1271" i="68" s="1"/>
  <c r="AC1271" i="68" s="1"/>
  <c r="AE1271" i="68" s="1"/>
  <c r="AF1271" i="68" s="1"/>
  <c r="AH1271" i="68" s="1"/>
  <c r="AI1271" i="68" s="1"/>
  <c r="AK1271" i="68" s="1"/>
  <c r="AL1271" i="68" s="1"/>
  <c r="AN1271" i="68" s="1"/>
  <c r="T1272" i="68"/>
  <c r="Y1272" i="68" s="1"/>
  <c r="Z1272" i="68" s="1"/>
  <c r="AB1272" i="68" s="1"/>
  <c r="AC1272" i="68" s="1"/>
  <c r="AE1272" i="68" s="1"/>
  <c r="AF1272" i="68" s="1"/>
  <c r="AH1272" i="68" s="1"/>
  <c r="AI1272" i="68" s="1"/>
  <c r="AK1272" i="68" s="1"/>
  <c r="AL1272" i="68" s="1"/>
  <c r="AN1272" i="68" s="1"/>
  <c r="T1269" i="68"/>
  <c r="Y1269" i="68" s="1"/>
  <c r="Z1269" i="68" s="1"/>
  <c r="AB1269" i="68" s="1"/>
  <c r="AC1269" i="68" s="1"/>
  <c r="AE1269" i="68" s="1"/>
  <c r="AF1269" i="68" s="1"/>
  <c r="AH1269" i="68" s="1"/>
  <c r="AI1269" i="68" s="1"/>
  <c r="AK1269" i="68" s="1"/>
  <c r="AL1269" i="68" s="1"/>
  <c r="AN1269" i="68" s="1"/>
  <c r="V1116" i="68"/>
  <c r="S1323" i="68"/>
  <c r="P1312" i="68"/>
  <c r="O1317" i="68"/>
  <c r="P1317" i="68" s="1"/>
  <c r="O1318" i="68"/>
  <c r="P1318" i="68" s="1"/>
  <c r="R1322" i="68"/>
  <c r="P1307" i="68"/>
  <c r="O1314" i="68"/>
  <c r="P1314" i="68" s="1"/>
  <c r="M1323" i="68"/>
  <c r="P65" i="3" l="1"/>
  <c r="AI527" i="114"/>
  <c r="AF528" i="114"/>
  <c r="AE539" i="114"/>
  <c r="M73" i="3" s="1"/>
  <c r="E353" i="103"/>
  <c r="E354" i="103" s="1"/>
  <c r="E355" i="103" s="1"/>
  <c r="E356" i="103" s="1"/>
  <c r="E357" i="103" s="1"/>
  <c r="E358" i="103" s="1"/>
  <c r="E360" i="103" s="1"/>
  <c r="E361" i="103" s="1"/>
  <c r="E362" i="103" s="1"/>
  <c r="E363" i="103" s="1"/>
  <c r="E364" i="103" s="1"/>
  <c r="E365" i="103" s="1"/>
  <c r="E378" i="103" s="1"/>
  <c r="E382" i="103" s="1"/>
  <c r="AC47" i="114"/>
  <c r="Q1327" i="68"/>
  <c r="R1324" i="68"/>
  <c r="R1320" i="68"/>
  <c r="J1481" i="68"/>
  <c r="J1484" i="68"/>
  <c r="J1486" i="68"/>
  <c r="J1483" i="68"/>
  <c r="J1482" i="68"/>
  <c r="J1485" i="68"/>
  <c r="U1268" i="68"/>
  <c r="T1274" i="68"/>
  <c r="Y1274" i="68" s="1"/>
  <c r="Z1274" i="68" s="1"/>
  <c r="V1268" i="68"/>
  <c r="O1323" i="68"/>
  <c r="P1323" i="68" s="1"/>
  <c r="U1267" i="68"/>
  <c r="T1273" i="68"/>
  <c r="Y1273" i="68" s="1"/>
  <c r="Z1273" i="68" s="1"/>
  <c r="V1267" i="68"/>
  <c r="U1270" i="68"/>
  <c r="V1270" i="68"/>
  <c r="O1320" i="68"/>
  <c r="Q1457" i="68"/>
  <c r="Q1459" i="68"/>
  <c r="Q1463" i="68"/>
  <c r="Q1460" i="68"/>
  <c r="Q1458" i="68"/>
  <c r="Q1464" i="68"/>
  <c r="Q1461" i="68"/>
  <c r="S1324" i="68"/>
  <c r="M1320" i="68"/>
  <c r="U1269" i="68"/>
  <c r="T1275" i="68"/>
  <c r="Y1275" i="68" s="1"/>
  <c r="Z1275" i="68" s="1"/>
  <c r="V1269" i="68"/>
  <c r="U1272" i="68"/>
  <c r="T1278" i="68"/>
  <c r="Y1278" i="68" s="1"/>
  <c r="Z1278" i="68" s="1"/>
  <c r="V1272" i="68"/>
  <c r="P1316" i="68"/>
  <c r="O1322" i="68"/>
  <c r="U1271" i="68"/>
  <c r="V1271" i="68"/>
  <c r="P1319" i="68"/>
  <c r="M1324" i="68"/>
  <c r="AE47" i="114" l="1"/>
  <c r="AC66" i="114"/>
  <c r="AK527" i="114"/>
  <c r="AH528" i="114"/>
  <c r="AF539" i="114"/>
  <c r="AB1273" i="68"/>
  <c r="AC1273" i="68" s="1"/>
  <c r="AE1273" i="68" s="1"/>
  <c r="AF1273" i="68" s="1"/>
  <c r="AH1273" i="68" s="1"/>
  <c r="AI1273" i="68" s="1"/>
  <c r="AK1273" i="68" s="1"/>
  <c r="AL1273" i="68" s="1"/>
  <c r="AN1273" i="68" s="1"/>
  <c r="AB1278" i="68"/>
  <c r="AC1278" i="68" s="1"/>
  <c r="AE1278" i="68" s="1"/>
  <c r="AF1278" i="68" s="1"/>
  <c r="AH1278" i="68" s="1"/>
  <c r="AI1278" i="68" s="1"/>
  <c r="AK1278" i="68" s="1"/>
  <c r="AL1278" i="68" s="1"/>
  <c r="AN1278" i="68" s="1"/>
  <c r="AB1274" i="68"/>
  <c r="AC1274" i="68" s="1"/>
  <c r="AE1274" i="68" s="1"/>
  <c r="AF1274" i="68" s="1"/>
  <c r="AH1274" i="68" s="1"/>
  <c r="AI1274" i="68" s="1"/>
  <c r="AK1274" i="68" s="1"/>
  <c r="AL1274" i="68" s="1"/>
  <c r="AN1274" i="68" s="1"/>
  <c r="AB1275" i="68"/>
  <c r="AC1275" i="68" s="1"/>
  <c r="AE1275" i="68" s="1"/>
  <c r="AF1275" i="68" s="1"/>
  <c r="AH1275" i="68" s="1"/>
  <c r="AI1275" i="68" s="1"/>
  <c r="AK1275" i="68" s="1"/>
  <c r="AL1275" i="68" s="1"/>
  <c r="AN1275" i="68" s="1"/>
  <c r="E384" i="103"/>
  <c r="E391" i="103" s="1"/>
  <c r="E397" i="103" s="1"/>
  <c r="E399" i="103" s="1"/>
  <c r="AC575" i="114"/>
  <c r="S1327" i="68"/>
  <c r="R1463" i="68"/>
  <c r="Q1467" i="68"/>
  <c r="J1487" i="68"/>
  <c r="J1491" i="68"/>
  <c r="J1489" i="68"/>
  <c r="J1490" i="68"/>
  <c r="J1492" i="68"/>
  <c r="P1320" i="68"/>
  <c r="T1276" i="68"/>
  <c r="V1276" i="68" s="1"/>
  <c r="O1324" i="68"/>
  <c r="P1322" i="68"/>
  <c r="P1324" i="68" s="1"/>
  <c r="U1275" i="68"/>
  <c r="T1281" i="68"/>
  <c r="Y1281" i="68" s="1"/>
  <c r="Z1281" i="68" s="1"/>
  <c r="V1275" i="68"/>
  <c r="Q1465" i="68"/>
  <c r="Q1471" i="68" s="1"/>
  <c r="S1463" i="68"/>
  <c r="S1460" i="68"/>
  <c r="S1459" i="68"/>
  <c r="S1458" i="68"/>
  <c r="S1464" i="68"/>
  <c r="S1457" i="68"/>
  <c r="S1461" i="68"/>
  <c r="U1278" i="68"/>
  <c r="T1283" i="68"/>
  <c r="Y1283" i="68" s="1"/>
  <c r="Z1283" i="68" s="1"/>
  <c r="V1278" i="68"/>
  <c r="Q1470" i="68"/>
  <c r="R1457" i="68"/>
  <c r="Q1466" i="68"/>
  <c r="U1273" i="68"/>
  <c r="T1279" i="68"/>
  <c r="Y1279" i="68" s="1"/>
  <c r="Z1279" i="68" s="1"/>
  <c r="V1273" i="68"/>
  <c r="U1274" i="68"/>
  <c r="T1280" i="68"/>
  <c r="Y1280" i="68" s="1"/>
  <c r="Z1280" i="68" s="1"/>
  <c r="V1274" i="68"/>
  <c r="AF47" i="114" l="1"/>
  <c r="AE66" i="114"/>
  <c r="AI528" i="114"/>
  <c r="AH539" i="114"/>
  <c r="N73" i="3" s="1"/>
  <c r="AL527" i="114"/>
  <c r="AE575" i="114"/>
  <c r="AC577" i="114"/>
  <c r="AB1280" i="68"/>
  <c r="AC1280" i="68" s="1"/>
  <c r="AE1280" i="68" s="1"/>
  <c r="AF1280" i="68" s="1"/>
  <c r="AH1280" i="68" s="1"/>
  <c r="AI1280" i="68" s="1"/>
  <c r="AK1280" i="68" s="1"/>
  <c r="AL1280" i="68" s="1"/>
  <c r="AN1280" i="68" s="1"/>
  <c r="AB1281" i="68"/>
  <c r="AC1281" i="68" s="1"/>
  <c r="AE1281" i="68" s="1"/>
  <c r="AF1281" i="68" s="1"/>
  <c r="AH1281" i="68" s="1"/>
  <c r="AI1281" i="68" s="1"/>
  <c r="AK1281" i="68" s="1"/>
  <c r="AL1281" i="68" s="1"/>
  <c r="AN1281" i="68" s="1"/>
  <c r="AB1283" i="68"/>
  <c r="AC1283" i="68" s="1"/>
  <c r="AE1283" i="68" s="1"/>
  <c r="AF1283" i="68" s="1"/>
  <c r="AH1283" i="68" s="1"/>
  <c r="AI1283" i="68" s="1"/>
  <c r="AK1283" i="68" s="1"/>
  <c r="AL1283" i="68" s="1"/>
  <c r="AN1283" i="68" s="1"/>
  <c r="AB1279" i="68"/>
  <c r="AC1279" i="68" s="1"/>
  <c r="AE1279" i="68" s="1"/>
  <c r="AF1279" i="68" s="1"/>
  <c r="AH1279" i="68" s="1"/>
  <c r="AI1279" i="68" s="1"/>
  <c r="AK1279" i="68" s="1"/>
  <c r="AL1279" i="68" s="1"/>
  <c r="AN1279" i="68" s="1"/>
  <c r="R1327" i="68"/>
  <c r="R1460" i="68" s="1"/>
  <c r="P1327" i="68"/>
  <c r="R1461" i="68"/>
  <c r="R1470" i="68" s="1"/>
  <c r="R1459" i="68"/>
  <c r="R1458" i="68"/>
  <c r="R1466" i="68" s="1"/>
  <c r="R1464" i="68"/>
  <c r="J1498" i="68"/>
  <c r="T1282" i="68"/>
  <c r="O1327" i="68"/>
  <c r="O1463" i="68" s="1"/>
  <c r="S1467" i="68"/>
  <c r="J1500" i="68"/>
  <c r="J1499" i="68"/>
  <c r="J1496" i="68"/>
  <c r="J1497" i="68"/>
  <c r="J1493" i="68"/>
  <c r="J1495" i="68"/>
  <c r="U1276" i="68"/>
  <c r="S1470" i="68"/>
  <c r="S1466" i="68"/>
  <c r="U1279" i="68"/>
  <c r="T1284" i="68"/>
  <c r="Y1284" i="68" s="1"/>
  <c r="Z1284" i="68" s="1"/>
  <c r="V1279" i="68"/>
  <c r="Q1468" i="68"/>
  <c r="Q1477" i="68" s="1"/>
  <c r="Q1472" i="68"/>
  <c r="R1465" i="68"/>
  <c r="U1283" i="68"/>
  <c r="T1289" i="68"/>
  <c r="Y1289" i="68" s="1"/>
  <c r="Z1289" i="68" s="1"/>
  <c r="V1283" i="68"/>
  <c r="R1467" i="68"/>
  <c r="Q1473" i="68"/>
  <c r="S1465" i="68"/>
  <c r="S1471" i="68" s="1"/>
  <c r="U1280" i="68"/>
  <c r="T1285" i="68"/>
  <c r="Y1285" i="68" s="1"/>
  <c r="Z1285" i="68" s="1"/>
  <c r="V1280" i="68"/>
  <c r="O1461" i="68"/>
  <c r="U1281" i="68"/>
  <c r="T1286" i="68"/>
  <c r="Y1286" i="68" s="1"/>
  <c r="Z1286" i="68" s="1"/>
  <c r="V1281" i="68"/>
  <c r="M57" i="3" l="1"/>
  <c r="M58" i="3" s="1"/>
  <c r="M59" i="3" s="1"/>
  <c r="X44" i="3" s="1"/>
  <c r="AH47" i="114"/>
  <c r="AF66" i="114"/>
  <c r="AN527" i="114"/>
  <c r="AK528" i="114"/>
  <c r="AI539" i="114"/>
  <c r="AF575" i="114"/>
  <c r="AE577" i="114"/>
  <c r="M81" i="3" s="1"/>
  <c r="AB1289" i="68"/>
  <c r="AC1289" i="68" s="1"/>
  <c r="AE1289" i="68" s="1"/>
  <c r="AF1289" i="68" s="1"/>
  <c r="AH1289" i="68" s="1"/>
  <c r="AI1289" i="68" s="1"/>
  <c r="AK1289" i="68" s="1"/>
  <c r="AL1289" i="68" s="1"/>
  <c r="AN1289" i="68" s="1"/>
  <c r="AB1284" i="68"/>
  <c r="AC1284" i="68" s="1"/>
  <c r="AE1284" i="68" s="1"/>
  <c r="AF1284" i="68" s="1"/>
  <c r="AH1284" i="68" s="1"/>
  <c r="AI1284" i="68" s="1"/>
  <c r="AK1284" i="68" s="1"/>
  <c r="AL1284" i="68" s="1"/>
  <c r="AN1284" i="68" s="1"/>
  <c r="AB1286" i="68"/>
  <c r="AC1286" i="68" s="1"/>
  <c r="AE1286" i="68" s="1"/>
  <c r="AF1286" i="68" s="1"/>
  <c r="AH1286" i="68" s="1"/>
  <c r="AI1286" i="68" s="1"/>
  <c r="AK1286" i="68" s="1"/>
  <c r="AL1286" i="68" s="1"/>
  <c r="AN1286" i="68" s="1"/>
  <c r="AB1285" i="68"/>
  <c r="AC1285" i="68" s="1"/>
  <c r="AE1285" i="68" s="1"/>
  <c r="AF1285" i="68" s="1"/>
  <c r="AH1285" i="68" s="1"/>
  <c r="AI1285" i="68" s="1"/>
  <c r="AK1285" i="68" s="1"/>
  <c r="AL1285" i="68" s="1"/>
  <c r="AN1285" i="68" s="1"/>
  <c r="U1282" i="68"/>
  <c r="Y1282" i="68"/>
  <c r="Z1282" i="68" s="1"/>
  <c r="T1287" i="68"/>
  <c r="Y1287" i="68" s="1"/>
  <c r="Z1287" i="68" s="1"/>
  <c r="R1471" i="68"/>
  <c r="O1459" i="68"/>
  <c r="O1457" i="68"/>
  <c r="Q1476" i="68"/>
  <c r="O1458" i="68"/>
  <c r="O1464" i="68"/>
  <c r="O1460" i="68"/>
  <c r="V1282" i="68"/>
  <c r="T1288" i="68"/>
  <c r="J1501" i="68"/>
  <c r="J1507" i="68" s="1"/>
  <c r="J1503" i="68"/>
  <c r="J1502" i="68"/>
  <c r="J1504" i="68"/>
  <c r="Q1480" i="68"/>
  <c r="S1472" i="68"/>
  <c r="R1473" i="68"/>
  <c r="R1472" i="68"/>
  <c r="S1468" i="68"/>
  <c r="S1477" i="68" s="1"/>
  <c r="R1468" i="68"/>
  <c r="T1293" i="68"/>
  <c r="Y1293" i="68" s="1"/>
  <c r="Z1293" i="68" s="1"/>
  <c r="Q1475" i="68"/>
  <c r="Q1474" i="68"/>
  <c r="U1284" i="68"/>
  <c r="T1290" i="68"/>
  <c r="Y1290" i="68" s="1"/>
  <c r="Z1290" i="68" s="1"/>
  <c r="V1284" i="68"/>
  <c r="U1285" i="68"/>
  <c r="T1291" i="68"/>
  <c r="Y1291" i="68" s="1"/>
  <c r="Z1291" i="68" s="1"/>
  <c r="V1285" i="68"/>
  <c r="O1465" i="68"/>
  <c r="U1289" i="68"/>
  <c r="T1295" i="68"/>
  <c r="Y1295" i="68" s="1"/>
  <c r="Z1295" i="68" s="1"/>
  <c r="V1289" i="68"/>
  <c r="U1286" i="68"/>
  <c r="T1292" i="68"/>
  <c r="Y1292" i="68" s="1"/>
  <c r="Z1292" i="68" s="1"/>
  <c r="V1286" i="68"/>
  <c r="T1294" i="68"/>
  <c r="Y1294" i="68" s="1"/>
  <c r="Z1294" i="68" s="1"/>
  <c r="Q1478" i="68"/>
  <c r="Q1479" i="68"/>
  <c r="M1327" i="68"/>
  <c r="S1473" i="68"/>
  <c r="AI47" i="114" l="1"/>
  <c r="AH66" i="114"/>
  <c r="AL528" i="114"/>
  <c r="AK539" i="114"/>
  <c r="O73" i="3" s="1"/>
  <c r="AH575" i="114"/>
  <c r="AF577" i="114"/>
  <c r="AB1287" i="68"/>
  <c r="AC1287" i="68" s="1"/>
  <c r="AE1287" i="68" s="1"/>
  <c r="AF1287" i="68" s="1"/>
  <c r="AH1287" i="68" s="1"/>
  <c r="AI1287" i="68" s="1"/>
  <c r="AK1287" i="68" s="1"/>
  <c r="AL1287" i="68" s="1"/>
  <c r="AN1287" i="68" s="1"/>
  <c r="AB1293" i="68"/>
  <c r="AC1293" i="68" s="1"/>
  <c r="AE1293" i="68" s="1"/>
  <c r="AF1293" i="68" s="1"/>
  <c r="AH1293" i="68" s="1"/>
  <c r="AI1293" i="68" s="1"/>
  <c r="AK1293" i="68" s="1"/>
  <c r="AL1293" i="68" s="1"/>
  <c r="AN1293" i="68" s="1"/>
  <c r="AB1282" i="68"/>
  <c r="AC1282" i="68" s="1"/>
  <c r="AE1282" i="68" s="1"/>
  <c r="AF1282" i="68" s="1"/>
  <c r="AH1282" i="68" s="1"/>
  <c r="AI1282" i="68" s="1"/>
  <c r="AK1282" i="68" s="1"/>
  <c r="AL1282" i="68" s="1"/>
  <c r="AN1282" i="68" s="1"/>
  <c r="AB1294" i="68"/>
  <c r="AC1294" i="68" s="1"/>
  <c r="AE1294" i="68" s="1"/>
  <c r="AF1294" i="68" s="1"/>
  <c r="AH1294" i="68" s="1"/>
  <c r="AI1294" i="68" s="1"/>
  <c r="AK1294" i="68" s="1"/>
  <c r="AL1294" i="68" s="1"/>
  <c r="AN1294" i="68" s="1"/>
  <c r="AB1292" i="68"/>
  <c r="AC1292" i="68" s="1"/>
  <c r="AE1292" i="68" s="1"/>
  <c r="AF1292" i="68" s="1"/>
  <c r="AH1292" i="68" s="1"/>
  <c r="AI1292" i="68" s="1"/>
  <c r="AK1292" i="68" s="1"/>
  <c r="AL1292" i="68" s="1"/>
  <c r="AN1292" i="68" s="1"/>
  <c r="AB1290" i="68"/>
  <c r="AC1290" i="68" s="1"/>
  <c r="AE1290" i="68" s="1"/>
  <c r="AF1290" i="68" s="1"/>
  <c r="AH1290" i="68" s="1"/>
  <c r="AI1290" i="68" s="1"/>
  <c r="AK1290" i="68" s="1"/>
  <c r="AL1290" i="68" s="1"/>
  <c r="AN1290" i="68" s="1"/>
  <c r="AB1291" i="68"/>
  <c r="AC1291" i="68" s="1"/>
  <c r="AE1291" i="68" s="1"/>
  <c r="AF1291" i="68" s="1"/>
  <c r="AH1291" i="68" s="1"/>
  <c r="AI1291" i="68" s="1"/>
  <c r="AK1291" i="68" s="1"/>
  <c r="AL1291" i="68" s="1"/>
  <c r="AN1291" i="68" s="1"/>
  <c r="AB1295" i="68"/>
  <c r="AC1295" i="68" s="1"/>
  <c r="AE1295" i="68" s="1"/>
  <c r="AF1295" i="68" s="1"/>
  <c r="AH1295" i="68" s="1"/>
  <c r="AI1295" i="68" s="1"/>
  <c r="AK1295" i="68" s="1"/>
  <c r="AL1295" i="68" s="1"/>
  <c r="AN1295" i="68" s="1"/>
  <c r="U1287" i="68"/>
  <c r="V1288" i="68"/>
  <c r="Y1288" i="68"/>
  <c r="Z1288" i="68" s="1"/>
  <c r="V1287" i="68"/>
  <c r="U1288" i="68"/>
  <c r="O1466" i="68"/>
  <c r="O1470" i="68"/>
  <c r="O1467" i="68"/>
  <c r="S1480" i="68"/>
  <c r="R1479" i="68"/>
  <c r="R1480" i="68"/>
  <c r="R1478" i="68"/>
  <c r="R1477" i="68"/>
  <c r="Q1482" i="68"/>
  <c r="J1508" i="68"/>
  <c r="J1509" i="68"/>
  <c r="J1505" i="68"/>
  <c r="J1512" i="68" s="1"/>
  <c r="S1479" i="68"/>
  <c r="Q1485" i="68"/>
  <c r="S1478" i="68"/>
  <c r="Q1486" i="68"/>
  <c r="Q1483" i="68"/>
  <c r="Q1484" i="68"/>
  <c r="U1292" i="68"/>
  <c r="T1298" i="68"/>
  <c r="Y1298" i="68" s="1"/>
  <c r="Z1298" i="68" s="1"/>
  <c r="V1292" i="68"/>
  <c r="U1295" i="68"/>
  <c r="T1301" i="68"/>
  <c r="Y1301" i="68" s="1"/>
  <c r="Z1301" i="68" s="1"/>
  <c r="V1295" i="68"/>
  <c r="O1472" i="68"/>
  <c r="U1294" i="68"/>
  <c r="V1294" i="68"/>
  <c r="U1291" i="68"/>
  <c r="T1297" i="68"/>
  <c r="Y1297" i="68" s="1"/>
  <c r="Z1297" i="68" s="1"/>
  <c r="V1291" i="68"/>
  <c r="R1475" i="68"/>
  <c r="R1474" i="68"/>
  <c r="R1476" i="68"/>
  <c r="U1290" i="68"/>
  <c r="T1296" i="68"/>
  <c r="Y1296" i="68" s="1"/>
  <c r="Z1296" i="68" s="1"/>
  <c r="V1290" i="68"/>
  <c r="O1471" i="68"/>
  <c r="U1293" i="68"/>
  <c r="V1293" i="68"/>
  <c r="S1475" i="68"/>
  <c r="S1474" i="68"/>
  <c r="S1481" i="68" s="1"/>
  <c r="S1476" i="68"/>
  <c r="Q1481" i="68"/>
  <c r="O1473" i="68"/>
  <c r="M1463" i="68"/>
  <c r="M1459" i="68"/>
  <c r="M1461" i="68"/>
  <c r="M1457" i="68"/>
  <c r="M1458" i="68"/>
  <c r="M1460" i="68"/>
  <c r="M1464" i="68"/>
  <c r="N57" i="3" l="1"/>
  <c r="AK47" i="114"/>
  <c r="AI66" i="114"/>
  <c r="AN528" i="114"/>
  <c r="AN539" i="114" s="1"/>
  <c r="P73" i="3" s="1"/>
  <c r="AL539" i="114"/>
  <c r="AI575" i="114"/>
  <c r="AH577" i="114"/>
  <c r="N81" i="3" s="1"/>
  <c r="AB1296" i="68"/>
  <c r="AC1296" i="68" s="1"/>
  <c r="AE1296" i="68" s="1"/>
  <c r="AF1296" i="68" s="1"/>
  <c r="AH1296" i="68" s="1"/>
  <c r="AI1296" i="68" s="1"/>
  <c r="AK1296" i="68" s="1"/>
  <c r="AL1296" i="68" s="1"/>
  <c r="AN1296" i="68" s="1"/>
  <c r="AB1297" i="68"/>
  <c r="AC1297" i="68" s="1"/>
  <c r="AE1297" i="68" s="1"/>
  <c r="AF1297" i="68" s="1"/>
  <c r="AH1297" i="68" s="1"/>
  <c r="AI1297" i="68" s="1"/>
  <c r="AK1297" i="68" s="1"/>
  <c r="AL1297" i="68" s="1"/>
  <c r="AN1297" i="68" s="1"/>
  <c r="AB1288" i="68"/>
  <c r="AC1288" i="68" s="1"/>
  <c r="AE1288" i="68" s="1"/>
  <c r="AF1288" i="68" s="1"/>
  <c r="AH1288" i="68" s="1"/>
  <c r="AI1288" i="68" s="1"/>
  <c r="AK1288" i="68" s="1"/>
  <c r="AL1288" i="68" s="1"/>
  <c r="AN1288" i="68" s="1"/>
  <c r="AB1301" i="68"/>
  <c r="AC1301" i="68" s="1"/>
  <c r="AE1301" i="68" s="1"/>
  <c r="AF1301" i="68" s="1"/>
  <c r="AH1301" i="68" s="1"/>
  <c r="AI1301" i="68" s="1"/>
  <c r="AK1301" i="68" s="1"/>
  <c r="AL1301" i="68" s="1"/>
  <c r="AN1301" i="68" s="1"/>
  <c r="AB1298" i="68"/>
  <c r="AC1298" i="68" s="1"/>
  <c r="AE1298" i="68" s="1"/>
  <c r="AF1298" i="68" s="1"/>
  <c r="AH1298" i="68" s="1"/>
  <c r="AI1298" i="68" s="1"/>
  <c r="AK1298" i="68" s="1"/>
  <c r="AL1298" i="68" s="1"/>
  <c r="AN1298" i="68" s="1"/>
  <c r="O1468" i="68"/>
  <c r="O1476" i="68" s="1"/>
  <c r="O1475" i="68"/>
  <c r="O1474" i="68"/>
  <c r="J1513" i="68"/>
  <c r="S1485" i="68"/>
  <c r="R1482" i="68"/>
  <c r="J1510" i="68"/>
  <c r="T1299" i="68"/>
  <c r="V1299" i="68" s="1"/>
  <c r="R1486" i="68"/>
  <c r="S1483" i="68"/>
  <c r="S1486" i="68"/>
  <c r="R1484" i="68"/>
  <c r="Q1487" i="68"/>
  <c r="Q1497" i="68" s="1"/>
  <c r="R1483" i="68"/>
  <c r="P1460" i="68"/>
  <c r="M1465" i="68"/>
  <c r="P1457" i="68"/>
  <c r="S1482" i="68"/>
  <c r="P1461" i="68"/>
  <c r="M1467" i="68"/>
  <c r="P1459" i="68"/>
  <c r="R1481" i="68"/>
  <c r="U1298" i="68"/>
  <c r="T1303" i="68"/>
  <c r="Y1303" i="68" s="1"/>
  <c r="Z1303" i="68" s="1"/>
  <c r="V1298" i="68"/>
  <c r="O1480" i="68"/>
  <c r="P1463" i="68"/>
  <c r="O1482" i="68"/>
  <c r="O1477" i="68"/>
  <c r="Q1491" i="68"/>
  <c r="O1481" i="68"/>
  <c r="Q1490" i="68"/>
  <c r="Q1492" i="68"/>
  <c r="Q1493" i="68"/>
  <c r="Q1495" i="68"/>
  <c r="Q1496" i="68"/>
  <c r="O1479" i="68"/>
  <c r="O1478" i="68"/>
  <c r="Q1489" i="68"/>
  <c r="Q1498" i="68" s="1"/>
  <c r="S1484" i="68"/>
  <c r="M1470" i="68"/>
  <c r="P1464" i="68"/>
  <c r="U1297" i="68"/>
  <c r="T1302" i="68"/>
  <c r="Y1302" i="68" s="1"/>
  <c r="Z1302" i="68" s="1"/>
  <c r="V1297" i="68"/>
  <c r="M1466" i="68"/>
  <c r="P1458" i="68"/>
  <c r="U1296" i="68"/>
  <c r="V1296" i="68"/>
  <c r="U1301" i="68"/>
  <c r="T1306" i="68"/>
  <c r="Y1306" i="68" s="1"/>
  <c r="Z1306" i="68" s="1"/>
  <c r="V1301" i="68"/>
  <c r="O1483" i="68"/>
  <c r="R1485" i="68"/>
  <c r="I48" i="9"/>
  <c r="I49" i="9" s="1"/>
  <c r="AL47" i="114" l="1"/>
  <c r="AK66" i="114"/>
  <c r="AK575" i="114"/>
  <c r="AI577" i="114"/>
  <c r="AB1302" i="68"/>
  <c r="AC1302" i="68" s="1"/>
  <c r="AE1302" i="68" s="1"/>
  <c r="AF1302" i="68" s="1"/>
  <c r="AH1302" i="68" s="1"/>
  <c r="AI1302" i="68" s="1"/>
  <c r="AK1302" i="68" s="1"/>
  <c r="AL1302" i="68" s="1"/>
  <c r="AN1302" i="68" s="1"/>
  <c r="AB1303" i="68"/>
  <c r="AC1303" i="68" s="1"/>
  <c r="AE1303" i="68" s="1"/>
  <c r="AF1303" i="68" s="1"/>
  <c r="AH1303" i="68" s="1"/>
  <c r="AI1303" i="68" s="1"/>
  <c r="AK1303" i="68" s="1"/>
  <c r="AL1303" i="68" s="1"/>
  <c r="AN1303" i="68" s="1"/>
  <c r="AB1306" i="68"/>
  <c r="AC1306" i="68" s="1"/>
  <c r="AE1306" i="68" s="1"/>
  <c r="AF1306" i="68" s="1"/>
  <c r="AH1306" i="68" s="1"/>
  <c r="AI1306" i="68" s="1"/>
  <c r="AK1306" i="68" s="1"/>
  <c r="AL1306" i="68" s="1"/>
  <c r="AN1306" i="68" s="1"/>
  <c r="U1299" i="68"/>
  <c r="S1489" i="68"/>
  <c r="T1304" i="68"/>
  <c r="T1305" i="68"/>
  <c r="J1514" i="68"/>
  <c r="J1516" i="68" s="1"/>
  <c r="J1824" i="68" s="1"/>
  <c r="M1468" i="68"/>
  <c r="M1474" i="68" s="1"/>
  <c r="R1490" i="68"/>
  <c r="Q1504" i="68"/>
  <c r="S1492" i="68"/>
  <c r="O1485" i="68"/>
  <c r="Q1501" i="68"/>
  <c r="S1490" i="68"/>
  <c r="T1312" i="68"/>
  <c r="Y1312" i="68" s="1"/>
  <c r="Z1312" i="68" s="1"/>
  <c r="V1305" i="68"/>
  <c r="M1471" i="68"/>
  <c r="P1465" i="68"/>
  <c r="T1307" i="68"/>
  <c r="Y1307" i="68" s="1"/>
  <c r="Z1307" i="68" s="1"/>
  <c r="T1308" i="68"/>
  <c r="Y1308" i="68" s="1"/>
  <c r="Z1308" i="68" s="1"/>
  <c r="S1491" i="68"/>
  <c r="Q1500" i="68"/>
  <c r="M1473" i="68"/>
  <c r="P1467" i="68"/>
  <c r="M1472" i="68"/>
  <c r="P1466" i="68"/>
  <c r="M1476" i="68"/>
  <c r="P1470" i="68"/>
  <c r="R1489" i="68"/>
  <c r="S1487" i="68"/>
  <c r="S1498" i="68" s="1"/>
  <c r="R1491" i="68"/>
  <c r="U1303" i="68"/>
  <c r="T1310" i="68"/>
  <c r="Y1310" i="68" s="1"/>
  <c r="Z1310" i="68" s="1"/>
  <c r="V1303" i="68"/>
  <c r="R1487" i="68"/>
  <c r="R1492" i="68"/>
  <c r="U1306" i="68"/>
  <c r="T1313" i="68"/>
  <c r="Y1313" i="68" s="1"/>
  <c r="Z1313" i="68" s="1"/>
  <c r="V1306" i="68"/>
  <c r="O1486" i="68"/>
  <c r="Q1503" i="68"/>
  <c r="U1302" i="68"/>
  <c r="T1309" i="68"/>
  <c r="Y1309" i="68" s="1"/>
  <c r="Z1309" i="68" s="1"/>
  <c r="V1302" i="68"/>
  <c r="Q1502" i="68"/>
  <c r="Q1499" i="68"/>
  <c r="O1484" i="68"/>
  <c r="T1311" i="68"/>
  <c r="Y1311" i="68" s="1"/>
  <c r="Z1311" i="68" s="1"/>
  <c r="O57" i="3" l="1"/>
  <c r="AN47" i="114"/>
  <c r="AN66" i="114" s="1"/>
  <c r="AL66" i="114"/>
  <c r="AL575" i="114"/>
  <c r="AK577" i="114"/>
  <c r="O81" i="3" s="1"/>
  <c r="AB1312" i="68"/>
  <c r="AC1312" i="68" s="1"/>
  <c r="AE1312" i="68" s="1"/>
  <c r="AF1312" i="68" s="1"/>
  <c r="AH1312" i="68" s="1"/>
  <c r="AI1312" i="68" s="1"/>
  <c r="AK1312" i="68" s="1"/>
  <c r="AL1312" i="68" s="1"/>
  <c r="AN1312" i="68" s="1"/>
  <c r="AB1310" i="68"/>
  <c r="AC1310" i="68" s="1"/>
  <c r="AE1310" i="68" s="1"/>
  <c r="AF1310" i="68" s="1"/>
  <c r="AH1310" i="68" s="1"/>
  <c r="AI1310" i="68" s="1"/>
  <c r="AK1310" i="68" s="1"/>
  <c r="AL1310" i="68" s="1"/>
  <c r="AN1310" i="68" s="1"/>
  <c r="AB1309" i="68"/>
  <c r="AC1309" i="68" s="1"/>
  <c r="AE1309" i="68" s="1"/>
  <c r="AF1309" i="68" s="1"/>
  <c r="AH1309" i="68" s="1"/>
  <c r="AI1309" i="68" s="1"/>
  <c r="AK1309" i="68" s="1"/>
  <c r="AL1309" i="68" s="1"/>
  <c r="AN1309" i="68" s="1"/>
  <c r="AB1308" i="68"/>
  <c r="AC1308" i="68" s="1"/>
  <c r="AE1308" i="68" s="1"/>
  <c r="AF1308" i="68" s="1"/>
  <c r="AH1308" i="68" s="1"/>
  <c r="AI1308" i="68" s="1"/>
  <c r="AK1308" i="68" s="1"/>
  <c r="AL1308" i="68" s="1"/>
  <c r="AN1308" i="68" s="1"/>
  <c r="AB1307" i="68"/>
  <c r="AC1307" i="68" s="1"/>
  <c r="AE1307" i="68" s="1"/>
  <c r="AF1307" i="68" s="1"/>
  <c r="AH1307" i="68" s="1"/>
  <c r="AI1307" i="68" s="1"/>
  <c r="AK1307" i="68" s="1"/>
  <c r="AL1307" i="68" s="1"/>
  <c r="AN1307" i="68" s="1"/>
  <c r="AB1311" i="68"/>
  <c r="AC1311" i="68" s="1"/>
  <c r="AE1311" i="68" s="1"/>
  <c r="AF1311" i="68" s="1"/>
  <c r="AH1311" i="68" s="1"/>
  <c r="AI1311" i="68" s="1"/>
  <c r="AK1311" i="68" s="1"/>
  <c r="AL1311" i="68" s="1"/>
  <c r="AN1311" i="68" s="1"/>
  <c r="AB1313" i="68"/>
  <c r="AC1313" i="68" s="1"/>
  <c r="AE1313" i="68" s="1"/>
  <c r="AF1313" i="68" s="1"/>
  <c r="AH1313" i="68" s="1"/>
  <c r="AI1313" i="68" s="1"/>
  <c r="AK1313" i="68" s="1"/>
  <c r="AL1313" i="68" s="1"/>
  <c r="AN1313" i="68" s="1"/>
  <c r="U1305" i="68"/>
  <c r="Y1305" i="68"/>
  <c r="Z1305" i="68" s="1"/>
  <c r="V1304" i="68"/>
  <c r="Y1304" i="68"/>
  <c r="Z1304" i="68" s="1"/>
  <c r="U1304" i="68"/>
  <c r="M1475" i="68"/>
  <c r="P1475" i="68" s="1"/>
  <c r="J1820" i="68"/>
  <c r="J1822" i="68"/>
  <c r="J1825" i="68"/>
  <c r="J1821" i="68"/>
  <c r="J1823" i="68"/>
  <c r="S1497" i="68"/>
  <c r="P1468" i="68"/>
  <c r="R1498" i="68"/>
  <c r="R1496" i="68"/>
  <c r="R1493" i="68"/>
  <c r="R1501" i="68" s="1"/>
  <c r="R1495" i="68"/>
  <c r="S1500" i="68"/>
  <c r="U1312" i="68"/>
  <c r="T1317" i="68"/>
  <c r="Y1317" i="68" s="1"/>
  <c r="Z1317" i="68" s="1"/>
  <c r="AB1317" i="68" s="1"/>
  <c r="AC1317" i="68" s="1"/>
  <c r="AE1317" i="68" s="1"/>
  <c r="AF1317" i="68" s="1"/>
  <c r="AH1317" i="68" s="1"/>
  <c r="AI1317" i="68" s="1"/>
  <c r="AK1317" i="68" s="1"/>
  <c r="AL1317" i="68" s="1"/>
  <c r="AN1317" i="68" s="1"/>
  <c r="T1318" i="68"/>
  <c r="Y1318" i="68" s="1"/>
  <c r="Z1318" i="68" s="1"/>
  <c r="V1312" i="68"/>
  <c r="Q1507" i="68"/>
  <c r="M1482" i="68"/>
  <c r="R1499" i="68"/>
  <c r="M1480" i="68"/>
  <c r="P1473" i="68"/>
  <c r="O1490" i="68"/>
  <c r="M1481" i="68"/>
  <c r="P1474" i="68"/>
  <c r="O1489" i="68"/>
  <c r="U1309" i="68"/>
  <c r="T1315" i="68"/>
  <c r="Y1315" i="68" s="1"/>
  <c r="Z1315" i="68" s="1"/>
  <c r="V1309" i="68"/>
  <c r="O1492" i="68"/>
  <c r="O1491" i="68"/>
  <c r="Q1505" i="68"/>
  <c r="Q1512" i="68" s="1"/>
  <c r="Q1508" i="68"/>
  <c r="Q1509" i="68"/>
  <c r="U1310" i="68"/>
  <c r="T1316" i="68"/>
  <c r="Y1316" i="68" s="1"/>
  <c r="Z1316" i="68" s="1"/>
  <c r="V1310" i="68"/>
  <c r="R1500" i="68"/>
  <c r="M1483" i="68"/>
  <c r="P1476" i="68"/>
  <c r="S1493" i="68"/>
  <c r="S1496" i="68"/>
  <c r="S1495" i="68"/>
  <c r="U1313" i="68"/>
  <c r="T1319" i="68"/>
  <c r="Y1319" i="68" s="1"/>
  <c r="Z1319" i="68" s="1"/>
  <c r="V1313" i="68"/>
  <c r="U1311" i="68"/>
  <c r="V1311" i="68"/>
  <c r="S1499" i="68"/>
  <c r="O1487" i="68"/>
  <c r="U1308" i="68"/>
  <c r="V1308" i="68"/>
  <c r="M1477" i="68"/>
  <c r="P1471" i="68"/>
  <c r="R1497" i="68"/>
  <c r="M1478" i="68"/>
  <c r="M1479" i="68"/>
  <c r="P1472" i="68"/>
  <c r="U1307" i="68"/>
  <c r="T1314" i="68"/>
  <c r="Y1314" i="68" s="1"/>
  <c r="Z1314" i="68" s="1"/>
  <c r="V1307" i="68"/>
  <c r="P57" i="3" l="1"/>
  <c r="AN575" i="114"/>
  <c r="AN577" i="114" s="1"/>
  <c r="P81" i="3" s="1"/>
  <c r="AL577" i="114"/>
  <c r="AB1316" i="68"/>
  <c r="AC1316" i="68" s="1"/>
  <c r="AE1316" i="68" s="1"/>
  <c r="AF1316" i="68" s="1"/>
  <c r="AH1316" i="68" s="1"/>
  <c r="AI1316" i="68" s="1"/>
  <c r="AK1316" i="68" s="1"/>
  <c r="AL1316" i="68" s="1"/>
  <c r="AN1316" i="68" s="1"/>
  <c r="AB1304" i="68"/>
  <c r="AC1304" i="68" s="1"/>
  <c r="AE1304" i="68" s="1"/>
  <c r="AF1304" i="68" s="1"/>
  <c r="AH1304" i="68" s="1"/>
  <c r="AI1304" i="68" s="1"/>
  <c r="AK1304" i="68" s="1"/>
  <c r="AL1304" i="68" s="1"/>
  <c r="AN1304" i="68" s="1"/>
  <c r="AB1318" i="68"/>
  <c r="AC1318" i="68" s="1"/>
  <c r="AE1318" i="68" s="1"/>
  <c r="AF1318" i="68" s="1"/>
  <c r="AH1318" i="68" s="1"/>
  <c r="AI1318" i="68" s="1"/>
  <c r="AK1318" i="68" s="1"/>
  <c r="AL1318" i="68" s="1"/>
  <c r="AN1318" i="68" s="1"/>
  <c r="AB1315" i="68"/>
  <c r="AC1315" i="68" s="1"/>
  <c r="AE1315" i="68" s="1"/>
  <c r="AF1315" i="68" s="1"/>
  <c r="AH1315" i="68" s="1"/>
  <c r="AI1315" i="68" s="1"/>
  <c r="AK1315" i="68" s="1"/>
  <c r="AL1315" i="68" s="1"/>
  <c r="AN1315" i="68" s="1"/>
  <c r="AB1305" i="68"/>
  <c r="AC1305" i="68" s="1"/>
  <c r="AE1305" i="68" s="1"/>
  <c r="AF1305" i="68" s="1"/>
  <c r="AH1305" i="68" s="1"/>
  <c r="AI1305" i="68" s="1"/>
  <c r="AK1305" i="68" s="1"/>
  <c r="AL1305" i="68" s="1"/>
  <c r="AN1305" i="68" s="1"/>
  <c r="AB1319" i="68"/>
  <c r="AC1319" i="68" s="1"/>
  <c r="AE1319" i="68" s="1"/>
  <c r="AF1319" i="68" s="1"/>
  <c r="AH1319" i="68" s="1"/>
  <c r="AI1319" i="68" s="1"/>
  <c r="AK1319" i="68" s="1"/>
  <c r="AL1319" i="68" s="1"/>
  <c r="AN1319" i="68" s="1"/>
  <c r="AB1314" i="68"/>
  <c r="AC1314" i="68" s="1"/>
  <c r="AE1314" i="68" s="1"/>
  <c r="AF1314" i="68" s="1"/>
  <c r="AH1314" i="68" s="1"/>
  <c r="AI1314" i="68" s="1"/>
  <c r="AK1314" i="68" s="1"/>
  <c r="AL1314" i="68" s="1"/>
  <c r="AN1314" i="68" s="1"/>
  <c r="J1826" i="68"/>
  <c r="J1827" i="68"/>
  <c r="J1830" i="68"/>
  <c r="J1828" i="68"/>
  <c r="J1834" i="68" s="1"/>
  <c r="J1829" i="68"/>
  <c r="R1503" i="68"/>
  <c r="J1833" i="68"/>
  <c r="S1502" i="68"/>
  <c r="Q1510" i="68"/>
  <c r="R1504" i="68"/>
  <c r="T1320" i="68"/>
  <c r="V1320" i="68" s="1"/>
  <c r="S1504" i="68"/>
  <c r="M1486" i="68"/>
  <c r="P1480" i="68"/>
  <c r="P1482" i="68"/>
  <c r="M1485" i="68"/>
  <c r="P1479" i="68"/>
  <c r="U1316" i="68"/>
  <c r="T1322" i="68"/>
  <c r="Y1322" i="68" s="1"/>
  <c r="V1316" i="68"/>
  <c r="O1500" i="68"/>
  <c r="S1503" i="68"/>
  <c r="Q1513" i="68"/>
  <c r="O1496" i="68"/>
  <c r="O1495" i="68"/>
  <c r="O1493" i="68"/>
  <c r="U1319" i="68"/>
  <c r="V1319" i="68"/>
  <c r="U1314" i="68"/>
  <c r="V1314" i="68"/>
  <c r="M1484" i="68"/>
  <c r="P1477" i="68"/>
  <c r="O1497" i="68"/>
  <c r="U1318" i="68"/>
  <c r="V1318" i="68"/>
  <c r="T1323" i="68"/>
  <c r="Y1323" i="68" s="1"/>
  <c r="Z1323" i="68" s="1"/>
  <c r="P1481" i="68"/>
  <c r="U1317" i="68"/>
  <c r="V1317" i="68"/>
  <c r="U1315" i="68"/>
  <c r="V1315" i="68"/>
  <c r="O1499" i="68"/>
  <c r="R1507" i="68"/>
  <c r="P1478" i="68"/>
  <c r="S1501" i="68"/>
  <c r="S1507" i="68" s="1"/>
  <c r="P1483" i="68"/>
  <c r="R1502" i="68"/>
  <c r="O1498" i="68"/>
  <c r="AB1323" i="68" l="1"/>
  <c r="AC1323" i="68" s="1"/>
  <c r="AE1323" i="68" s="1"/>
  <c r="AF1323" i="68" s="1"/>
  <c r="AH1323" i="68" s="1"/>
  <c r="AI1323" i="68" s="1"/>
  <c r="AK1323" i="68" s="1"/>
  <c r="AL1323" i="68" s="1"/>
  <c r="AN1323" i="68" s="1"/>
  <c r="Z1322" i="68"/>
  <c r="AB1322" i="68" s="1"/>
  <c r="J1836" i="68"/>
  <c r="U1320" i="68"/>
  <c r="J1835" i="68"/>
  <c r="J1831" i="68"/>
  <c r="M1487" i="68"/>
  <c r="M1493" i="68" s="1"/>
  <c r="Q1514" i="68"/>
  <c r="Q1516" i="68" s="1"/>
  <c r="S1509" i="68"/>
  <c r="O1501" i="68"/>
  <c r="M1491" i="68"/>
  <c r="M1492" i="68"/>
  <c r="P1486" i="68"/>
  <c r="R1509" i="68"/>
  <c r="R1508" i="68"/>
  <c r="S1508" i="68"/>
  <c r="O1502" i="68"/>
  <c r="M1490" i="68"/>
  <c r="P1485" i="68"/>
  <c r="R1505" i="68"/>
  <c r="R1512" i="68" s="1"/>
  <c r="O1504" i="68"/>
  <c r="U1323" i="68"/>
  <c r="V1323" i="68"/>
  <c r="M1489" i="68"/>
  <c r="P1484" i="68"/>
  <c r="M1497" i="68"/>
  <c r="P1497" i="68" s="1"/>
  <c r="U1322" i="68"/>
  <c r="T1324" i="68"/>
  <c r="V1322" i="68"/>
  <c r="S1505" i="68"/>
  <c r="S1512" i="68" s="1"/>
  <c r="O1503" i="68"/>
  <c r="J1839" i="68" l="1"/>
  <c r="J1837" i="68"/>
  <c r="J1843" i="68" s="1"/>
  <c r="J1838" i="68"/>
  <c r="J1844" i="68" s="1"/>
  <c r="M1495" i="68"/>
  <c r="P1495" i="68" s="1"/>
  <c r="J1842" i="68"/>
  <c r="J1848" i="68" s="1"/>
  <c r="J1840" i="68"/>
  <c r="J1841" i="68"/>
  <c r="M1496" i="68"/>
  <c r="P1496" i="68" s="1"/>
  <c r="Q1821" i="68"/>
  <c r="Q1823" i="68"/>
  <c r="Q1825" i="68"/>
  <c r="Q1822" i="68"/>
  <c r="P1487" i="68"/>
  <c r="Q1820" i="68"/>
  <c r="Q1824" i="68"/>
  <c r="O1505" i="68"/>
  <c r="O1512" i="68" s="1"/>
  <c r="U1324" i="68"/>
  <c r="V1324" i="68"/>
  <c r="M1499" i="68"/>
  <c r="P1490" i="68"/>
  <c r="S1513" i="68"/>
  <c r="O1508" i="68"/>
  <c r="O1509" i="68"/>
  <c r="M1498" i="68"/>
  <c r="P1489" i="68"/>
  <c r="M1502" i="68"/>
  <c r="M1503" i="68"/>
  <c r="P1503" i="68" s="1"/>
  <c r="M1501" i="68"/>
  <c r="P1501" i="68" s="1"/>
  <c r="P1492" i="68"/>
  <c r="O1507" i="68"/>
  <c r="S1510" i="68"/>
  <c r="M1500" i="68"/>
  <c r="P1491" i="68"/>
  <c r="P1493" i="68"/>
  <c r="R1513" i="68"/>
  <c r="R1510" i="68"/>
  <c r="AC1322" i="68" l="1"/>
  <c r="T1327" i="68"/>
  <c r="V1327" i="68" s="1"/>
  <c r="Q1827" i="68"/>
  <c r="J1847" i="68"/>
  <c r="J1845" i="68"/>
  <c r="J1853" i="68" s="1"/>
  <c r="J1846" i="68"/>
  <c r="J1849" i="68"/>
  <c r="J1856" i="68" s="1"/>
  <c r="J1852" i="68"/>
  <c r="J1851" i="68"/>
  <c r="J1850" i="68"/>
  <c r="J1857" i="68" s="1"/>
  <c r="Q1826" i="68"/>
  <c r="Q1833" i="68" s="1"/>
  <c r="Q1828" i="68"/>
  <c r="Q1830" i="68"/>
  <c r="S1514" i="68"/>
  <c r="S1516" i="68" s="1"/>
  <c r="Q1829" i="68"/>
  <c r="R1514" i="68"/>
  <c r="R1516" i="68" s="1"/>
  <c r="M1507" i="68"/>
  <c r="P1500" i="68"/>
  <c r="P1499" i="68"/>
  <c r="O1510" i="68"/>
  <c r="O1513" i="68"/>
  <c r="T1460" i="68"/>
  <c r="Y1460" i="68" s="1"/>
  <c r="Z1460" i="68" s="1"/>
  <c r="T1459" i="68"/>
  <c r="Y1459" i="68" s="1"/>
  <c r="Z1459" i="68" s="1"/>
  <c r="T1461" i="68"/>
  <c r="Y1461" i="68" s="1"/>
  <c r="Z1461" i="68" s="1"/>
  <c r="T1457" i="68"/>
  <c r="Y1457" i="68" s="1"/>
  <c r="Z1457" i="68" s="1"/>
  <c r="T1463" i="68"/>
  <c r="Y1463" i="68" s="1"/>
  <c r="Z1463" i="68" s="1"/>
  <c r="T1464" i="68"/>
  <c r="Y1464" i="68" s="1"/>
  <c r="Z1464" i="68" s="1"/>
  <c r="T1458" i="68"/>
  <c r="Y1458" i="68" s="1"/>
  <c r="Z1458" i="68" s="1"/>
  <c r="P1502" i="68"/>
  <c r="M1504" i="68"/>
  <c r="M1505" i="68" s="1"/>
  <c r="P1498" i="68"/>
  <c r="M1509" i="68"/>
  <c r="P1509" i="68" s="1"/>
  <c r="M1508" i="68"/>
  <c r="P1508" i="68" s="1"/>
  <c r="AB1458" i="68" l="1"/>
  <c r="AC1458" i="68" s="1"/>
  <c r="AE1458" i="68" s="1"/>
  <c r="AF1458" i="68" s="1"/>
  <c r="AH1458" i="68" s="1"/>
  <c r="AI1458" i="68" s="1"/>
  <c r="AK1458" i="68" s="1"/>
  <c r="AL1458" i="68" s="1"/>
  <c r="AN1458" i="68" s="1"/>
  <c r="AB1464" i="68"/>
  <c r="AC1464" i="68" s="1"/>
  <c r="AE1464" i="68" s="1"/>
  <c r="AF1464" i="68" s="1"/>
  <c r="AH1464" i="68" s="1"/>
  <c r="AI1464" i="68" s="1"/>
  <c r="AK1464" i="68" s="1"/>
  <c r="AL1464" i="68" s="1"/>
  <c r="AN1464" i="68" s="1"/>
  <c r="AB1457" i="68"/>
  <c r="AC1457" i="68" s="1"/>
  <c r="AE1457" i="68" s="1"/>
  <c r="AF1457" i="68" s="1"/>
  <c r="AH1457" i="68" s="1"/>
  <c r="AI1457" i="68" s="1"/>
  <c r="AK1457" i="68" s="1"/>
  <c r="AL1457" i="68" s="1"/>
  <c r="AN1457" i="68" s="1"/>
  <c r="AB1461" i="68"/>
  <c r="AC1461" i="68" s="1"/>
  <c r="AE1461" i="68" s="1"/>
  <c r="AF1461" i="68" s="1"/>
  <c r="AH1461" i="68" s="1"/>
  <c r="AI1461" i="68" s="1"/>
  <c r="AK1461" i="68" s="1"/>
  <c r="AL1461" i="68" s="1"/>
  <c r="AN1461" i="68" s="1"/>
  <c r="AB1463" i="68"/>
  <c r="AC1463" i="68" s="1"/>
  <c r="AE1463" i="68" s="1"/>
  <c r="AF1463" i="68" s="1"/>
  <c r="AH1463" i="68" s="1"/>
  <c r="AI1463" i="68" s="1"/>
  <c r="AK1463" i="68" s="1"/>
  <c r="AL1463" i="68" s="1"/>
  <c r="AN1463" i="68" s="1"/>
  <c r="AB1460" i="68"/>
  <c r="AC1460" i="68" s="1"/>
  <c r="AE1460" i="68" s="1"/>
  <c r="AF1460" i="68" s="1"/>
  <c r="AH1460" i="68" s="1"/>
  <c r="AI1460" i="68" s="1"/>
  <c r="AK1460" i="68" s="1"/>
  <c r="AL1460" i="68" s="1"/>
  <c r="AN1460" i="68" s="1"/>
  <c r="AB1459" i="68"/>
  <c r="AC1459" i="68" s="1"/>
  <c r="AE1459" i="68" s="1"/>
  <c r="AF1459" i="68" s="1"/>
  <c r="AH1459" i="68" s="1"/>
  <c r="AI1459" i="68" s="1"/>
  <c r="AK1459" i="68" s="1"/>
  <c r="AL1459" i="68" s="1"/>
  <c r="AN1459" i="68" s="1"/>
  <c r="AE1322" i="68"/>
  <c r="U1327" i="68"/>
  <c r="Q1834" i="68"/>
  <c r="P1507" i="68"/>
  <c r="J1860" i="68"/>
  <c r="J1859" i="68"/>
  <c r="J1868" i="68" s="1"/>
  <c r="J1858" i="68"/>
  <c r="J1854" i="68"/>
  <c r="J1863" i="68" s="1"/>
  <c r="R1821" i="68"/>
  <c r="Q1836" i="68"/>
  <c r="Q1831" i="68"/>
  <c r="Q1839" i="68" s="1"/>
  <c r="Q1835" i="68"/>
  <c r="S1821" i="68"/>
  <c r="S1822" i="68"/>
  <c r="S1820" i="68"/>
  <c r="S1824" i="68"/>
  <c r="S1825" i="68"/>
  <c r="S1823" i="68"/>
  <c r="R1822" i="68"/>
  <c r="R1824" i="68"/>
  <c r="R1820" i="68"/>
  <c r="R1823" i="68"/>
  <c r="R1825" i="68"/>
  <c r="M1512" i="68"/>
  <c r="U1459" i="68"/>
  <c r="T1467" i="68"/>
  <c r="Y1467" i="68" s="1"/>
  <c r="Z1467" i="68" s="1"/>
  <c r="V1459" i="68"/>
  <c r="U1458" i="68"/>
  <c r="T1466" i="68"/>
  <c r="Y1466" i="68" s="1"/>
  <c r="Z1466" i="68" s="1"/>
  <c r="V1458" i="68"/>
  <c r="O1514" i="68"/>
  <c r="O1516" i="68" s="1"/>
  <c r="M1510" i="68"/>
  <c r="P1504" i="68"/>
  <c r="P1505" i="68" s="1"/>
  <c r="U1464" i="68"/>
  <c r="T1470" i="68"/>
  <c r="Y1470" i="68" s="1"/>
  <c r="Z1470" i="68" s="1"/>
  <c r="V1464" i="68"/>
  <c r="U1463" i="68"/>
  <c r="V1463" i="68"/>
  <c r="U1457" i="68"/>
  <c r="T1465" i="68"/>
  <c r="Y1465" i="68" s="1"/>
  <c r="Z1465" i="68" s="1"/>
  <c r="V1457" i="68"/>
  <c r="M1513" i="68"/>
  <c r="P1513" i="68" s="1"/>
  <c r="U1461" i="68"/>
  <c r="V1461" i="68"/>
  <c r="U1460" i="68"/>
  <c r="V1460" i="68"/>
  <c r="AB1465" i="68" l="1"/>
  <c r="AC1465" i="68" s="1"/>
  <c r="AE1465" i="68" s="1"/>
  <c r="AF1465" i="68" s="1"/>
  <c r="AH1465" i="68" s="1"/>
  <c r="AI1465" i="68" s="1"/>
  <c r="AK1465" i="68" s="1"/>
  <c r="AL1465" i="68" s="1"/>
  <c r="AN1465" i="68" s="1"/>
  <c r="AB1470" i="68"/>
  <c r="AC1470" i="68" s="1"/>
  <c r="AE1470" i="68" s="1"/>
  <c r="AF1470" i="68" s="1"/>
  <c r="AH1470" i="68" s="1"/>
  <c r="AI1470" i="68" s="1"/>
  <c r="AK1470" i="68" s="1"/>
  <c r="AL1470" i="68" s="1"/>
  <c r="AN1470" i="68" s="1"/>
  <c r="AB1467" i="68"/>
  <c r="AC1467" i="68" s="1"/>
  <c r="AE1467" i="68" s="1"/>
  <c r="AF1467" i="68" s="1"/>
  <c r="AH1467" i="68" s="1"/>
  <c r="AI1467" i="68" s="1"/>
  <c r="AK1467" i="68" s="1"/>
  <c r="AL1467" i="68" s="1"/>
  <c r="AN1467" i="68" s="1"/>
  <c r="AB1466" i="68"/>
  <c r="AC1466" i="68" s="1"/>
  <c r="AE1466" i="68" s="1"/>
  <c r="AF1466" i="68" s="1"/>
  <c r="AH1466" i="68" s="1"/>
  <c r="AI1466" i="68" s="1"/>
  <c r="AK1466" i="68" s="1"/>
  <c r="AL1466" i="68" s="1"/>
  <c r="AN1466" i="68" s="1"/>
  <c r="AF1322" i="68"/>
  <c r="J1867" i="68"/>
  <c r="J1865" i="68"/>
  <c r="J1866" i="68"/>
  <c r="J1864" i="68"/>
  <c r="J1861" i="68"/>
  <c r="J1862" i="68"/>
  <c r="J1869" i="68"/>
  <c r="Q1837" i="68"/>
  <c r="Q1838" i="68"/>
  <c r="Q1845" i="68" s="1"/>
  <c r="Q1843" i="68"/>
  <c r="Q1840" i="68"/>
  <c r="S1827" i="68"/>
  <c r="R1827" i="68"/>
  <c r="Q1841" i="68"/>
  <c r="R1828" i="68"/>
  <c r="R1826" i="68"/>
  <c r="R1833" i="68" s="1"/>
  <c r="Q1842" i="68"/>
  <c r="Q1848" i="68" s="1"/>
  <c r="R1830" i="68"/>
  <c r="R1829" i="68"/>
  <c r="Q1846" i="68"/>
  <c r="S1830" i="68"/>
  <c r="S1829" i="68"/>
  <c r="S1828" i="68"/>
  <c r="S1826" i="68"/>
  <c r="T1468" i="68"/>
  <c r="V1468" i="68" s="1"/>
  <c r="J1870" i="68"/>
  <c r="J1877" i="68" s="1"/>
  <c r="J1873" i="68"/>
  <c r="J1871" i="68"/>
  <c r="J1875" i="68"/>
  <c r="J1876" i="68"/>
  <c r="J1872" i="68"/>
  <c r="J1874" i="68"/>
  <c r="U1466" i="68"/>
  <c r="T1472" i="68"/>
  <c r="Y1472" i="68" s="1"/>
  <c r="Z1472" i="68" s="1"/>
  <c r="V1466" i="68"/>
  <c r="U1470" i="68"/>
  <c r="V1470" i="68"/>
  <c r="U1467" i="68"/>
  <c r="T1473" i="68"/>
  <c r="Y1473" i="68" s="1"/>
  <c r="Z1473" i="68" s="1"/>
  <c r="V1467" i="68"/>
  <c r="P1512" i="68"/>
  <c r="U1465" i="68"/>
  <c r="T1471" i="68"/>
  <c r="Y1471" i="68" s="1"/>
  <c r="Z1471" i="68" s="1"/>
  <c r="V1465" i="68"/>
  <c r="M1514" i="68"/>
  <c r="P1510" i="68"/>
  <c r="O1823" i="68"/>
  <c r="O1822" i="68"/>
  <c r="O1820" i="68"/>
  <c r="O1825" i="68"/>
  <c r="O1824" i="68"/>
  <c r="O1821" i="68"/>
  <c r="AB1471" i="68" l="1"/>
  <c r="AC1471" i="68" s="1"/>
  <c r="AE1471" i="68" s="1"/>
  <c r="AF1471" i="68" s="1"/>
  <c r="AH1471" i="68" s="1"/>
  <c r="AI1471" i="68" s="1"/>
  <c r="AK1471" i="68" s="1"/>
  <c r="AL1471" i="68" s="1"/>
  <c r="AN1471" i="68" s="1"/>
  <c r="AB1473" i="68"/>
  <c r="AC1473" i="68" s="1"/>
  <c r="AE1473" i="68" s="1"/>
  <c r="AF1473" i="68" s="1"/>
  <c r="AH1473" i="68" s="1"/>
  <c r="AI1473" i="68" s="1"/>
  <c r="AK1473" i="68" s="1"/>
  <c r="AL1473" i="68" s="1"/>
  <c r="AN1473" i="68" s="1"/>
  <c r="AB1472" i="68"/>
  <c r="AC1472" i="68" s="1"/>
  <c r="AE1472" i="68" s="1"/>
  <c r="AF1472" i="68" s="1"/>
  <c r="AH1472" i="68" s="1"/>
  <c r="AI1472" i="68" s="1"/>
  <c r="AK1472" i="68" s="1"/>
  <c r="AL1472" i="68" s="1"/>
  <c r="AN1472" i="68" s="1"/>
  <c r="AH1322" i="68"/>
  <c r="S1833" i="68"/>
  <c r="Q1844" i="68"/>
  <c r="Q1850" i="68" s="1"/>
  <c r="Q1847" i="68"/>
  <c r="R1834" i="68"/>
  <c r="R1835" i="68"/>
  <c r="R1836" i="68"/>
  <c r="Q1849" i="68"/>
  <c r="S1834" i="68"/>
  <c r="R1831" i="68"/>
  <c r="S1835" i="68"/>
  <c r="T1476" i="68"/>
  <c r="T1474" i="68"/>
  <c r="S1831" i="68"/>
  <c r="S1836" i="68"/>
  <c r="T1475" i="68"/>
  <c r="U1468" i="68"/>
  <c r="J1880" i="68"/>
  <c r="J1881" i="68"/>
  <c r="J1878" i="68"/>
  <c r="O1827" i="68"/>
  <c r="O1830" i="68"/>
  <c r="U1473" i="68"/>
  <c r="T1480" i="68"/>
  <c r="Y1480" i="68" s="1"/>
  <c r="Z1480" i="68" s="1"/>
  <c r="V1473" i="68"/>
  <c r="O1826" i="68"/>
  <c r="O1829" i="68"/>
  <c r="U1471" i="68"/>
  <c r="T1477" i="68"/>
  <c r="Y1477" i="68" s="1"/>
  <c r="Z1477" i="68" s="1"/>
  <c r="V1471" i="68"/>
  <c r="O1828" i="68"/>
  <c r="P1514" i="68"/>
  <c r="P1516" i="68" s="1"/>
  <c r="S1838" i="68"/>
  <c r="M1516" i="68"/>
  <c r="U1472" i="68"/>
  <c r="T1479" i="68"/>
  <c r="Y1479" i="68" s="1"/>
  <c r="Z1479" i="68" s="1"/>
  <c r="T1478" i="68"/>
  <c r="Y1478" i="68" s="1"/>
  <c r="Z1478" i="68" s="1"/>
  <c r="V1472" i="68"/>
  <c r="R1839" i="68"/>
  <c r="AB1480" i="68" l="1"/>
  <c r="AC1480" i="68" s="1"/>
  <c r="AE1480" i="68" s="1"/>
  <c r="AF1480" i="68" s="1"/>
  <c r="AH1480" i="68" s="1"/>
  <c r="AI1480" i="68" s="1"/>
  <c r="AK1480" i="68" s="1"/>
  <c r="AL1480" i="68" s="1"/>
  <c r="AN1480" i="68" s="1"/>
  <c r="AB1478" i="68"/>
  <c r="AC1478" i="68" s="1"/>
  <c r="AE1478" i="68" s="1"/>
  <c r="AF1478" i="68" s="1"/>
  <c r="AH1478" i="68" s="1"/>
  <c r="AI1478" i="68" s="1"/>
  <c r="AK1478" i="68" s="1"/>
  <c r="AL1478" i="68" s="1"/>
  <c r="AN1478" i="68" s="1"/>
  <c r="AB1477" i="68"/>
  <c r="AC1477" i="68" s="1"/>
  <c r="AE1477" i="68" s="1"/>
  <c r="AF1477" i="68" s="1"/>
  <c r="AH1477" i="68" s="1"/>
  <c r="AI1477" i="68" s="1"/>
  <c r="AK1477" i="68" s="1"/>
  <c r="AL1477" i="68" s="1"/>
  <c r="AN1477" i="68" s="1"/>
  <c r="AB1479" i="68"/>
  <c r="AC1479" i="68" s="1"/>
  <c r="AE1479" i="68" s="1"/>
  <c r="AF1479" i="68" s="1"/>
  <c r="AH1479" i="68" s="1"/>
  <c r="AI1479" i="68" s="1"/>
  <c r="AK1479" i="68" s="1"/>
  <c r="AL1479" i="68" s="1"/>
  <c r="AN1479" i="68" s="1"/>
  <c r="AI1322" i="68"/>
  <c r="U1475" i="68"/>
  <c r="Y1475" i="68"/>
  <c r="Z1475" i="68" s="1"/>
  <c r="U1474" i="68"/>
  <c r="Y1474" i="68"/>
  <c r="Z1474" i="68" s="1"/>
  <c r="U1476" i="68"/>
  <c r="Y1476" i="68"/>
  <c r="Z1476" i="68" s="1"/>
  <c r="S1837" i="68"/>
  <c r="Q1852" i="68"/>
  <c r="Q1853" i="68"/>
  <c r="Q1857" i="68"/>
  <c r="Q1851" i="68"/>
  <c r="Q1856" i="68"/>
  <c r="V1476" i="68"/>
  <c r="R1841" i="68"/>
  <c r="T1483" i="68"/>
  <c r="T1481" i="68"/>
  <c r="T1482" i="68"/>
  <c r="Q1858" i="68"/>
  <c r="S1840" i="68"/>
  <c r="S1839" i="68"/>
  <c r="S1845" i="68" s="1"/>
  <c r="S1841" i="68"/>
  <c r="R1838" i="68"/>
  <c r="Q1860" i="68"/>
  <c r="Q1859" i="68"/>
  <c r="V1475" i="68"/>
  <c r="V1474" i="68"/>
  <c r="S1844" i="68"/>
  <c r="R1842" i="68"/>
  <c r="R1840" i="68"/>
  <c r="S1842" i="68"/>
  <c r="R1837" i="68"/>
  <c r="R1843" i="68" s="1"/>
  <c r="J1884" i="68"/>
  <c r="J1885" i="68"/>
  <c r="J1882" i="68"/>
  <c r="O1836" i="68"/>
  <c r="S1843" i="68"/>
  <c r="U1477" i="68"/>
  <c r="T1484" i="68"/>
  <c r="Y1484" i="68" s="1"/>
  <c r="Z1484" i="68" s="1"/>
  <c r="V1477" i="68"/>
  <c r="O1833" i="68"/>
  <c r="O1834" i="68"/>
  <c r="U1480" i="68"/>
  <c r="T1486" i="68"/>
  <c r="Y1486" i="68" s="1"/>
  <c r="Z1486" i="68" s="1"/>
  <c r="V1480" i="68"/>
  <c r="O1835" i="68"/>
  <c r="V1481" i="68"/>
  <c r="O1831" i="68"/>
  <c r="U1478" i="68"/>
  <c r="V1478" i="68"/>
  <c r="U1479" i="68"/>
  <c r="T1485" i="68"/>
  <c r="Y1485" i="68" s="1"/>
  <c r="Z1485" i="68" s="1"/>
  <c r="V1479" i="68"/>
  <c r="M1823" i="68"/>
  <c r="M1822" i="68"/>
  <c r="M1824" i="68"/>
  <c r="M1820" i="68"/>
  <c r="M1825" i="68"/>
  <c r="M1821" i="68"/>
  <c r="AB1475" i="68" l="1"/>
  <c r="AC1475" i="68" s="1"/>
  <c r="AE1475" i="68" s="1"/>
  <c r="AF1475" i="68" s="1"/>
  <c r="AH1475" i="68" s="1"/>
  <c r="AI1475" i="68" s="1"/>
  <c r="AK1475" i="68" s="1"/>
  <c r="AL1475" i="68" s="1"/>
  <c r="AN1475" i="68" s="1"/>
  <c r="AB1484" i="68"/>
  <c r="AC1484" i="68" s="1"/>
  <c r="AE1484" i="68" s="1"/>
  <c r="AF1484" i="68" s="1"/>
  <c r="AH1484" i="68" s="1"/>
  <c r="AI1484" i="68" s="1"/>
  <c r="AK1484" i="68" s="1"/>
  <c r="AL1484" i="68" s="1"/>
  <c r="AN1484" i="68" s="1"/>
  <c r="AB1486" i="68"/>
  <c r="AC1486" i="68" s="1"/>
  <c r="AE1486" i="68" s="1"/>
  <c r="AF1486" i="68" s="1"/>
  <c r="AH1486" i="68" s="1"/>
  <c r="AI1486" i="68" s="1"/>
  <c r="AK1486" i="68" s="1"/>
  <c r="AL1486" i="68" s="1"/>
  <c r="AN1486" i="68" s="1"/>
  <c r="AB1474" i="68"/>
  <c r="AC1474" i="68" s="1"/>
  <c r="AE1474" i="68" s="1"/>
  <c r="AF1474" i="68" s="1"/>
  <c r="AH1474" i="68" s="1"/>
  <c r="AI1474" i="68" s="1"/>
  <c r="AK1474" i="68" s="1"/>
  <c r="AL1474" i="68" s="1"/>
  <c r="AN1474" i="68" s="1"/>
  <c r="AB1485" i="68"/>
  <c r="AC1485" i="68" s="1"/>
  <c r="AE1485" i="68" s="1"/>
  <c r="AF1485" i="68" s="1"/>
  <c r="AH1485" i="68" s="1"/>
  <c r="AI1485" i="68" s="1"/>
  <c r="AK1485" i="68" s="1"/>
  <c r="AL1485" i="68" s="1"/>
  <c r="AN1485" i="68" s="1"/>
  <c r="AB1476" i="68"/>
  <c r="AC1476" i="68" s="1"/>
  <c r="AE1476" i="68" s="1"/>
  <c r="AF1476" i="68" s="1"/>
  <c r="AH1476" i="68" s="1"/>
  <c r="AI1476" i="68" s="1"/>
  <c r="AK1476" i="68" s="1"/>
  <c r="AL1476" i="68" s="1"/>
  <c r="AN1476" i="68" s="1"/>
  <c r="AK1322" i="68"/>
  <c r="U1482" i="68"/>
  <c r="Y1482" i="68"/>
  <c r="Z1482" i="68" s="1"/>
  <c r="U1481" i="68"/>
  <c r="Y1481" i="68"/>
  <c r="Z1481" i="68" s="1"/>
  <c r="U1483" i="68"/>
  <c r="Y1483" i="68"/>
  <c r="Z1483" i="68" s="1"/>
  <c r="V1482" i="68"/>
  <c r="Q1854" i="68"/>
  <c r="Q1865" i="68" s="1"/>
  <c r="S1848" i="68"/>
  <c r="V1483" i="68"/>
  <c r="S1847" i="68"/>
  <c r="S1850" i="68"/>
  <c r="S1846" i="68"/>
  <c r="Q1863" i="68"/>
  <c r="Q1862" i="68"/>
  <c r="Q1869" i="68"/>
  <c r="Q1867" i="68"/>
  <c r="Q1861" i="68"/>
  <c r="Q1870" i="68" s="1"/>
  <c r="Q1866" i="68"/>
  <c r="Q1868" i="68"/>
  <c r="Q1864" i="68"/>
  <c r="R1847" i="68"/>
  <c r="R1846" i="68"/>
  <c r="R1848" i="68"/>
  <c r="R1844" i="68"/>
  <c r="R1845" i="68"/>
  <c r="R1849" i="68"/>
  <c r="J1886" i="68"/>
  <c r="J1888" i="68" s="1"/>
  <c r="J1937" i="68" s="1"/>
  <c r="J1939" i="68" s="1"/>
  <c r="T1487" i="68"/>
  <c r="U1487" i="68" s="1"/>
  <c r="S1852" i="68"/>
  <c r="S1853" i="68"/>
  <c r="M1826" i="68"/>
  <c r="P1820" i="68"/>
  <c r="O1837" i="68"/>
  <c r="M1830" i="68"/>
  <c r="P1824" i="68"/>
  <c r="O1838" i="68"/>
  <c r="U1484" i="68"/>
  <c r="T1489" i="68"/>
  <c r="Y1489" i="68" s="1"/>
  <c r="Z1489" i="68" s="1"/>
  <c r="V1484" i="68"/>
  <c r="M1829" i="68"/>
  <c r="P1823" i="68"/>
  <c r="S1851" i="68"/>
  <c r="O1839" i="68"/>
  <c r="M1828" i="68"/>
  <c r="P1822" i="68"/>
  <c r="M1827" i="68"/>
  <c r="P1821" i="68"/>
  <c r="U1485" i="68"/>
  <c r="T1490" i="68"/>
  <c r="Y1490" i="68" s="1"/>
  <c r="Z1490" i="68" s="1"/>
  <c r="V1485" i="68"/>
  <c r="U1486" i="68"/>
  <c r="T1492" i="68"/>
  <c r="Y1492" i="68" s="1"/>
  <c r="Z1492" i="68" s="1"/>
  <c r="T1491" i="68"/>
  <c r="Y1491" i="68" s="1"/>
  <c r="Z1491" i="68" s="1"/>
  <c r="V1486" i="68"/>
  <c r="Q1876" i="68"/>
  <c r="Q1875" i="68"/>
  <c r="O1841" i="68"/>
  <c r="P1825" i="68"/>
  <c r="O1840" i="68"/>
  <c r="S1849" i="68"/>
  <c r="S1856" i="68" s="1"/>
  <c r="AB1482" i="68" l="1"/>
  <c r="AC1482" i="68" s="1"/>
  <c r="AE1482" i="68" s="1"/>
  <c r="AF1482" i="68" s="1"/>
  <c r="AH1482" i="68" s="1"/>
  <c r="AI1482" i="68" s="1"/>
  <c r="AK1482" i="68" s="1"/>
  <c r="AL1482" i="68" s="1"/>
  <c r="AN1482" i="68" s="1"/>
  <c r="AB1489" i="68"/>
  <c r="AC1489" i="68" s="1"/>
  <c r="AE1489" i="68" s="1"/>
  <c r="AF1489" i="68" s="1"/>
  <c r="AH1489" i="68" s="1"/>
  <c r="AI1489" i="68" s="1"/>
  <c r="AK1489" i="68" s="1"/>
  <c r="AL1489" i="68" s="1"/>
  <c r="AN1489" i="68" s="1"/>
  <c r="AB1481" i="68"/>
  <c r="AC1481" i="68" s="1"/>
  <c r="AE1481" i="68" s="1"/>
  <c r="AF1481" i="68" s="1"/>
  <c r="AH1481" i="68" s="1"/>
  <c r="AI1481" i="68" s="1"/>
  <c r="AK1481" i="68" s="1"/>
  <c r="AL1481" i="68" s="1"/>
  <c r="AN1481" i="68" s="1"/>
  <c r="AB1492" i="68"/>
  <c r="AC1492" i="68" s="1"/>
  <c r="AE1492" i="68" s="1"/>
  <c r="AF1492" i="68" s="1"/>
  <c r="AH1492" i="68" s="1"/>
  <c r="AI1492" i="68" s="1"/>
  <c r="AK1492" i="68" s="1"/>
  <c r="AL1492" i="68" s="1"/>
  <c r="AN1492" i="68" s="1"/>
  <c r="AB1491" i="68"/>
  <c r="AC1491" i="68" s="1"/>
  <c r="AE1491" i="68" s="1"/>
  <c r="AF1491" i="68" s="1"/>
  <c r="AH1491" i="68" s="1"/>
  <c r="AI1491" i="68" s="1"/>
  <c r="AK1491" i="68" s="1"/>
  <c r="AL1491" i="68" s="1"/>
  <c r="AN1491" i="68" s="1"/>
  <c r="AB1483" i="68"/>
  <c r="AC1483" i="68" s="1"/>
  <c r="AE1483" i="68" s="1"/>
  <c r="AF1483" i="68" s="1"/>
  <c r="AH1483" i="68" s="1"/>
  <c r="AI1483" i="68" s="1"/>
  <c r="AK1483" i="68" s="1"/>
  <c r="AL1483" i="68" s="1"/>
  <c r="AN1483" i="68" s="1"/>
  <c r="AB1490" i="68"/>
  <c r="AC1490" i="68" s="1"/>
  <c r="AE1490" i="68" s="1"/>
  <c r="AF1490" i="68" s="1"/>
  <c r="AH1490" i="68" s="1"/>
  <c r="AI1490" i="68" s="1"/>
  <c r="AK1490" i="68" s="1"/>
  <c r="AL1490" i="68" s="1"/>
  <c r="AN1490" i="68" s="1"/>
  <c r="AL1322" i="68"/>
  <c r="Q1871" i="68"/>
  <c r="Q1872" i="68"/>
  <c r="Q1873" i="68"/>
  <c r="Q1874" i="68"/>
  <c r="Q1877" i="68"/>
  <c r="R1852" i="68"/>
  <c r="R1851" i="68"/>
  <c r="R1850" i="68"/>
  <c r="R1857" i="68" s="1"/>
  <c r="R1856" i="68"/>
  <c r="R1853" i="68"/>
  <c r="T1495" i="68"/>
  <c r="T1497" i="68"/>
  <c r="V1487" i="68"/>
  <c r="T1496" i="68"/>
  <c r="T1493" i="68"/>
  <c r="Q1880" i="68"/>
  <c r="Q1881" i="68"/>
  <c r="S1854" i="68"/>
  <c r="S1862" i="68" s="1"/>
  <c r="O1846" i="68"/>
  <c r="U1489" i="68"/>
  <c r="T1498" i="68"/>
  <c r="Y1498" i="68" s="1"/>
  <c r="Z1498" i="68" s="1"/>
  <c r="V1489" i="68"/>
  <c r="U1491" i="68"/>
  <c r="T1500" i="68"/>
  <c r="Y1500" i="68" s="1"/>
  <c r="Z1500" i="68" s="1"/>
  <c r="V1491" i="68"/>
  <c r="O1845" i="68"/>
  <c r="O1847" i="68"/>
  <c r="M1834" i="68"/>
  <c r="P1828" i="68"/>
  <c r="M1835" i="68"/>
  <c r="P1829" i="68"/>
  <c r="O1843" i="68"/>
  <c r="U1490" i="68"/>
  <c r="T1499" i="68"/>
  <c r="Y1499" i="68" s="1"/>
  <c r="Z1499" i="68" s="1"/>
  <c r="V1490" i="68"/>
  <c r="O1844" i="68"/>
  <c r="O1842" i="68"/>
  <c r="V1495" i="68"/>
  <c r="S1859" i="68"/>
  <c r="P1826" i="68"/>
  <c r="M1833" i="68"/>
  <c r="P1827" i="68"/>
  <c r="V1497" i="68"/>
  <c r="S1858" i="68"/>
  <c r="S1860" i="68"/>
  <c r="U1492" i="68"/>
  <c r="V1492" i="68"/>
  <c r="M1836" i="68"/>
  <c r="P1830" i="68"/>
  <c r="M1831" i="68"/>
  <c r="S1857" i="68"/>
  <c r="AB1499" i="68" l="1"/>
  <c r="AC1499" i="68" s="1"/>
  <c r="AE1499" i="68" s="1"/>
  <c r="AF1499" i="68" s="1"/>
  <c r="AH1499" i="68" s="1"/>
  <c r="AI1499" i="68" s="1"/>
  <c r="AK1499" i="68" s="1"/>
  <c r="AL1499" i="68" s="1"/>
  <c r="AN1499" i="68" s="1"/>
  <c r="AB1498" i="68"/>
  <c r="AC1498" i="68" s="1"/>
  <c r="AE1498" i="68" s="1"/>
  <c r="AF1498" i="68" s="1"/>
  <c r="AH1498" i="68" s="1"/>
  <c r="AI1498" i="68" s="1"/>
  <c r="AK1498" i="68" s="1"/>
  <c r="AL1498" i="68" s="1"/>
  <c r="AN1498" i="68" s="1"/>
  <c r="AB1500" i="68"/>
  <c r="AC1500" i="68" s="1"/>
  <c r="AE1500" i="68" s="1"/>
  <c r="AF1500" i="68" s="1"/>
  <c r="AH1500" i="68" s="1"/>
  <c r="AI1500" i="68" s="1"/>
  <c r="AK1500" i="68" s="1"/>
  <c r="AL1500" i="68" s="1"/>
  <c r="AN1500" i="68" s="1"/>
  <c r="AN1322" i="68"/>
  <c r="U1493" i="68"/>
  <c r="Y1493" i="68"/>
  <c r="Z1493" i="68" s="1"/>
  <c r="U1496" i="68"/>
  <c r="Y1496" i="68"/>
  <c r="U1497" i="68"/>
  <c r="Y1497" i="68"/>
  <c r="Z1497" i="68" s="1"/>
  <c r="U1495" i="68"/>
  <c r="Y1495" i="68"/>
  <c r="Z1495" i="68" s="1"/>
  <c r="Q1878" i="68"/>
  <c r="Q1884" i="68" s="1"/>
  <c r="R1858" i="68"/>
  <c r="R1860" i="68"/>
  <c r="R1859" i="68"/>
  <c r="T1503" i="68"/>
  <c r="S1864" i="68"/>
  <c r="V1496" i="68"/>
  <c r="T1502" i="68"/>
  <c r="Y1502" i="68" s="1"/>
  <c r="Z1502" i="68" s="1"/>
  <c r="AB1502" i="68" s="1"/>
  <c r="AC1502" i="68" s="1"/>
  <c r="AE1502" i="68" s="1"/>
  <c r="AF1502" i="68" s="1"/>
  <c r="AH1502" i="68" s="1"/>
  <c r="AI1502" i="68" s="1"/>
  <c r="AK1502" i="68" s="1"/>
  <c r="AL1502" i="68" s="1"/>
  <c r="AN1502" i="68" s="1"/>
  <c r="R1854" i="68"/>
  <c r="R1866" i="68" s="1"/>
  <c r="S1863" i="68"/>
  <c r="S1866" i="68"/>
  <c r="S1865" i="68"/>
  <c r="S1861" i="68"/>
  <c r="S1870" i="68" s="1"/>
  <c r="V1493" i="68"/>
  <c r="T1501" i="68"/>
  <c r="Q1882" i="68"/>
  <c r="P1831" i="68"/>
  <c r="S1867" i="68"/>
  <c r="M1841" i="68"/>
  <c r="P1836" i="68"/>
  <c r="U1500" i="68"/>
  <c r="V1500" i="68"/>
  <c r="U1498" i="68"/>
  <c r="T1504" i="68"/>
  <c r="Y1504" i="68" s="1"/>
  <c r="Z1504" i="68" s="1"/>
  <c r="V1498" i="68"/>
  <c r="O1848" i="68"/>
  <c r="U1499" i="68"/>
  <c r="V1499" i="68"/>
  <c r="M1839" i="68"/>
  <c r="P1834" i="68"/>
  <c r="O1853" i="68"/>
  <c r="M1837" i="68"/>
  <c r="M1840" i="68"/>
  <c r="P1835" i="68"/>
  <c r="O1852" i="68"/>
  <c r="Q1885" i="68"/>
  <c r="S1868" i="68"/>
  <c r="O1849" i="68"/>
  <c r="O1850" i="68"/>
  <c r="O1851" i="68"/>
  <c r="S1869" i="68"/>
  <c r="T1507" i="68"/>
  <c r="Y1507" i="68" s="1"/>
  <c r="Z1507" i="68" s="1"/>
  <c r="M1838" i="68"/>
  <c r="P1833" i="68"/>
  <c r="T1509" i="68"/>
  <c r="AB1495" i="68" l="1"/>
  <c r="AC1495" i="68" s="1"/>
  <c r="AE1495" i="68" s="1"/>
  <c r="AF1495" i="68" s="1"/>
  <c r="AH1495" i="68" s="1"/>
  <c r="AI1495" i="68" s="1"/>
  <c r="AK1495" i="68" s="1"/>
  <c r="AL1495" i="68" s="1"/>
  <c r="AN1495" i="68" s="1"/>
  <c r="AB1493" i="68"/>
  <c r="AC1493" i="68" s="1"/>
  <c r="AE1493" i="68" s="1"/>
  <c r="AF1493" i="68" s="1"/>
  <c r="AH1493" i="68" s="1"/>
  <c r="AI1493" i="68" s="1"/>
  <c r="AK1493" i="68" s="1"/>
  <c r="AL1493" i="68" s="1"/>
  <c r="AN1493" i="68" s="1"/>
  <c r="AB1504" i="68"/>
  <c r="AC1504" i="68" s="1"/>
  <c r="AE1504" i="68" s="1"/>
  <c r="AF1504" i="68" s="1"/>
  <c r="AH1504" i="68" s="1"/>
  <c r="AI1504" i="68" s="1"/>
  <c r="AK1504" i="68" s="1"/>
  <c r="AL1504" i="68" s="1"/>
  <c r="AN1504" i="68" s="1"/>
  <c r="AB1507" i="68"/>
  <c r="AC1507" i="68" s="1"/>
  <c r="AE1507" i="68" s="1"/>
  <c r="AF1507" i="68" s="1"/>
  <c r="AH1507" i="68" s="1"/>
  <c r="AI1507" i="68" s="1"/>
  <c r="AK1507" i="68" s="1"/>
  <c r="AL1507" i="68" s="1"/>
  <c r="AN1507" i="68" s="1"/>
  <c r="AB1497" i="68"/>
  <c r="AC1497" i="68" s="1"/>
  <c r="AE1497" i="68" s="1"/>
  <c r="AF1497" i="68" s="1"/>
  <c r="AH1497" i="68" s="1"/>
  <c r="AI1497" i="68" s="1"/>
  <c r="AK1497" i="68" s="1"/>
  <c r="AL1497" i="68" s="1"/>
  <c r="AN1497" i="68" s="1"/>
  <c r="Z1496" i="68"/>
  <c r="AB1496" i="68" s="1"/>
  <c r="U1502" i="68"/>
  <c r="U1503" i="68"/>
  <c r="Y1503" i="68"/>
  <c r="Z1503" i="68" s="1"/>
  <c r="Y1501" i="68"/>
  <c r="Z1501" i="68" s="1"/>
  <c r="V1503" i="68"/>
  <c r="V1502" i="68"/>
  <c r="R1864" i="68"/>
  <c r="R1862" i="68"/>
  <c r="R1865" i="68"/>
  <c r="R1869" i="68"/>
  <c r="T1508" i="68"/>
  <c r="V1501" i="68"/>
  <c r="R1863" i="68"/>
  <c r="R1861" i="68"/>
  <c r="U1501" i="68"/>
  <c r="R1868" i="68"/>
  <c r="R1867" i="68"/>
  <c r="Q1886" i="68"/>
  <c r="Q1888" i="68" s="1"/>
  <c r="S1873" i="68"/>
  <c r="S1872" i="68"/>
  <c r="S1871" i="68"/>
  <c r="S1874" i="68"/>
  <c r="S1875" i="68"/>
  <c r="S1877" i="68"/>
  <c r="M1843" i="68"/>
  <c r="P1837" i="68"/>
  <c r="U1504" i="68"/>
  <c r="V1504" i="68"/>
  <c r="M1842" i="68"/>
  <c r="O1859" i="68"/>
  <c r="O1860" i="68"/>
  <c r="O1857" i="68"/>
  <c r="S1876" i="68"/>
  <c r="M1847" i="68"/>
  <c r="P1841" i="68"/>
  <c r="U1507" i="68"/>
  <c r="V1507" i="68"/>
  <c r="U1509" i="68"/>
  <c r="V1509" i="68"/>
  <c r="O1858" i="68"/>
  <c r="O1856" i="68"/>
  <c r="O1854" i="68"/>
  <c r="S1881" i="68"/>
  <c r="M1846" i="68"/>
  <c r="P1840" i="68"/>
  <c r="M1845" i="68"/>
  <c r="P1839" i="68"/>
  <c r="M1844" i="68"/>
  <c r="P1838" i="68"/>
  <c r="T1505" i="68"/>
  <c r="T1513" i="68" s="1"/>
  <c r="Y1513" i="68" s="1"/>
  <c r="Z1513" i="68" s="1"/>
  <c r="AB1503" i="68" l="1"/>
  <c r="AC1503" i="68" s="1"/>
  <c r="AE1503" i="68" s="1"/>
  <c r="AF1503" i="68" s="1"/>
  <c r="AH1503" i="68" s="1"/>
  <c r="AI1503" i="68" s="1"/>
  <c r="AK1503" i="68" s="1"/>
  <c r="AL1503" i="68" s="1"/>
  <c r="AN1503" i="68" s="1"/>
  <c r="AB1501" i="68"/>
  <c r="AC1501" i="68" s="1"/>
  <c r="AE1501" i="68" s="1"/>
  <c r="AF1501" i="68" s="1"/>
  <c r="AH1501" i="68" s="1"/>
  <c r="AI1501" i="68" s="1"/>
  <c r="AK1501" i="68" s="1"/>
  <c r="AL1501" i="68" s="1"/>
  <c r="AN1501" i="68" s="1"/>
  <c r="AB1513" i="68"/>
  <c r="AC1513" i="68" s="1"/>
  <c r="AE1513" i="68" s="1"/>
  <c r="AF1513" i="68" s="1"/>
  <c r="AH1513" i="68" s="1"/>
  <c r="AI1513" i="68" s="1"/>
  <c r="AK1513" i="68" s="1"/>
  <c r="AL1513" i="68" s="1"/>
  <c r="AN1513" i="68" s="1"/>
  <c r="U1508" i="68"/>
  <c r="Y1508" i="68"/>
  <c r="Z1508" i="68" s="1"/>
  <c r="Q1937" i="68"/>
  <c r="Q1889" i="68"/>
  <c r="V1508" i="68"/>
  <c r="T1510" i="68"/>
  <c r="R1871" i="68"/>
  <c r="R1873" i="68"/>
  <c r="S1880" i="68"/>
  <c r="R1875" i="68"/>
  <c r="R1874" i="68"/>
  <c r="R1876" i="68"/>
  <c r="R1870" i="68"/>
  <c r="R1872" i="68"/>
  <c r="S1878" i="68"/>
  <c r="S1884" i="68" s="1"/>
  <c r="O1866" i="68"/>
  <c r="U1513" i="68"/>
  <c r="V1513" i="68"/>
  <c r="O1865" i="68"/>
  <c r="O1863" i="68"/>
  <c r="O1869" i="68"/>
  <c r="M1851" i="68"/>
  <c r="M1850" i="68"/>
  <c r="P1844" i="68"/>
  <c r="O1867" i="68"/>
  <c r="O1868" i="68"/>
  <c r="M1853" i="68"/>
  <c r="P1846" i="68"/>
  <c r="M1852" i="68"/>
  <c r="P1845" i="68"/>
  <c r="O1862" i="68"/>
  <c r="O1864" i="68"/>
  <c r="O1861" i="68"/>
  <c r="P1847" i="68"/>
  <c r="U1505" i="68"/>
  <c r="T1512" i="68"/>
  <c r="Y1512" i="68" s="1"/>
  <c r="V1505" i="68"/>
  <c r="M1848" i="68"/>
  <c r="P1842" i="68"/>
  <c r="M1849" i="68"/>
  <c r="P1843" i="68"/>
  <c r="AB1508" i="68" l="1"/>
  <c r="AC1508" i="68" s="1"/>
  <c r="AE1508" i="68" s="1"/>
  <c r="AF1508" i="68" s="1"/>
  <c r="AH1508" i="68" s="1"/>
  <c r="AI1508" i="68" s="1"/>
  <c r="AK1508" i="68" s="1"/>
  <c r="AL1508" i="68" s="1"/>
  <c r="AN1508" i="68" s="1"/>
  <c r="Z1512" i="68"/>
  <c r="AB1512" i="68" s="1"/>
  <c r="AC1496" i="68"/>
  <c r="U1510" i="68"/>
  <c r="Q1942" i="68"/>
  <c r="Q1948" i="68" s="1"/>
  <c r="V1510" i="68"/>
  <c r="R1880" i="68"/>
  <c r="S1882" i="68"/>
  <c r="R1877" i="68"/>
  <c r="R1881" i="68"/>
  <c r="S1885" i="68"/>
  <c r="M1856" i="68"/>
  <c r="P1849" i="68"/>
  <c r="O1875" i="68"/>
  <c r="O1876" i="68"/>
  <c r="M1858" i="68"/>
  <c r="P1852" i="68"/>
  <c r="O1874" i="68"/>
  <c r="M1859" i="68"/>
  <c r="M1860" i="68"/>
  <c r="P1853" i="68"/>
  <c r="O1872" i="68"/>
  <c r="O1873" i="68"/>
  <c r="P1848" i="68"/>
  <c r="M1857" i="68"/>
  <c r="P1850" i="68"/>
  <c r="U1512" i="68"/>
  <c r="V1512" i="68"/>
  <c r="P1851" i="68"/>
  <c r="M1854" i="68"/>
  <c r="O1870" i="68"/>
  <c r="O1871" i="68"/>
  <c r="T1514" i="68"/>
  <c r="AE1496" i="68" l="1"/>
  <c r="S1886" i="68"/>
  <c r="S1888" i="68" s="1"/>
  <c r="S1937" i="68" s="1"/>
  <c r="S1939" i="68" s="1"/>
  <c r="R1878" i="68"/>
  <c r="R1884" i="68" s="1"/>
  <c r="P1854" i="68"/>
  <c r="O1877" i="68"/>
  <c r="O1878" i="68" s="1"/>
  <c r="O1884" i="68" s="1"/>
  <c r="O1880" i="68"/>
  <c r="O1881" i="68"/>
  <c r="M1866" i="68"/>
  <c r="P1857" i="68"/>
  <c r="M1865" i="68"/>
  <c r="M1863" i="68"/>
  <c r="P1856" i="68"/>
  <c r="M1861" i="68"/>
  <c r="M1862" i="68"/>
  <c r="M1864" i="68"/>
  <c r="M1867" i="68"/>
  <c r="P1858" i="68"/>
  <c r="U1514" i="68"/>
  <c r="V1514" i="68"/>
  <c r="T1516" i="68"/>
  <c r="M1869" i="68"/>
  <c r="P1860" i="68"/>
  <c r="M1868" i="68"/>
  <c r="P1859" i="68"/>
  <c r="AC1512" i="68" l="1"/>
  <c r="AF1496" i="68"/>
  <c r="R1885" i="68"/>
  <c r="R1882" i="68"/>
  <c r="M1876" i="68"/>
  <c r="P1869" i="68"/>
  <c r="P1863" i="68"/>
  <c r="M1872" i="68"/>
  <c r="P1865" i="68"/>
  <c r="M1871" i="68"/>
  <c r="P1864" i="68"/>
  <c r="U1516" i="68"/>
  <c r="T1821" i="68"/>
  <c r="Y1821" i="68" s="1"/>
  <c r="Z1821" i="68" s="1"/>
  <c r="T1822" i="68"/>
  <c r="Y1822" i="68" s="1"/>
  <c r="Z1822" i="68" s="1"/>
  <c r="T1820" i="68"/>
  <c r="Y1820" i="68" s="1"/>
  <c r="T1823" i="68"/>
  <c r="Y1823" i="68" s="1"/>
  <c r="Z1823" i="68" s="1"/>
  <c r="T1824" i="68"/>
  <c r="Y1824" i="68" s="1"/>
  <c r="Z1824" i="68" s="1"/>
  <c r="T1825" i="68"/>
  <c r="Y1825" i="68" s="1"/>
  <c r="Z1825" i="68" s="1"/>
  <c r="V1516" i="68"/>
  <c r="P1862" i="68"/>
  <c r="M1874" i="68"/>
  <c r="P1867" i="68"/>
  <c r="O1885" i="68"/>
  <c r="M1870" i="68"/>
  <c r="P1861" i="68"/>
  <c r="O1882" i="68"/>
  <c r="M1875" i="68"/>
  <c r="P1868" i="68"/>
  <c r="M1873" i="68"/>
  <c r="P1866" i="68"/>
  <c r="AB1823" i="68" l="1"/>
  <c r="AC1823" i="68" s="1"/>
  <c r="AE1823" i="68" s="1"/>
  <c r="AF1823" i="68" s="1"/>
  <c r="AH1823" i="68" s="1"/>
  <c r="AI1823" i="68" s="1"/>
  <c r="AK1823" i="68" s="1"/>
  <c r="AL1823" i="68" s="1"/>
  <c r="AN1823" i="68" s="1"/>
  <c r="AB1824" i="68"/>
  <c r="AC1824" i="68" s="1"/>
  <c r="AE1824" i="68" s="1"/>
  <c r="AF1824" i="68" s="1"/>
  <c r="AH1824" i="68" s="1"/>
  <c r="AI1824" i="68" s="1"/>
  <c r="AK1824" i="68" s="1"/>
  <c r="AL1824" i="68" s="1"/>
  <c r="AN1824" i="68" s="1"/>
  <c r="AB1825" i="68"/>
  <c r="AC1825" i="68" s="1"/>
  <c r="AE1825" i="68" s="1"/>
  <c r="AF1825" i="68" s="1"/>
  <c r="AH1825" i="68" s="1"/>
  <c r="AI1825" i="68" s="1"/>
  <c r="AK1825" i="68" s="1"/>
  <c r="AL1825" i="68" s="1"/>
  <c r="AN1825" i="68" s="1"/>
  <c r="AB1822" i="68"/>
  <c r="AC1822" i="68" s="1"/>
  <c r="AE1822" i="68" s="1"/>
  <c r="AF1822" i="68" s="1"/>
  <c r="AH1822" i="68" s="1"/>
  <c r="AI1822" i="68" s="1"/>
  <c r="AK1822" i="68" s="1"/>
  <c r="AL1822" i="68" s="1"/>
  <c r="AN1822" i="68" s="1"/>
  <c r="AB1821" i="68"/>
  <c r="AC1821" i="68" s="1"/>
  <c r="AE1821" i="68" s="1"/>
  <c r="AF1821" i="68" s="1"/>
  <c r="AH1821" i="68" s="1"/>
  <c r="AI1821" i="68" s="1"/>
  <c r="AK1821" i="68" s="1"/>
  <c r="AL1821" i="68" s="1"/>
  <c r="AN1821" i="68" s="1"/>
  <c r="Z1820" i="68"/>
  <c r="AB1820" i="68" s="1"/>
  <c r="AE1512" i="68"/>
  <c r="AH1496" i="68"/>
  <c r="R1886" i="68"/>
  <c r="R1888" i="68" s="1"/>
  <c r="R1937" i="68" s="1"/>
  <c r="P1872" i="68"/>
  <c r="M1880" i="68"/>
  <c r="P1873" i="68"/>
  <c r="M1877" i="68"/>
  <c r="P1870" i="68"/>
  <c r="P1875" i="68"/>
  <c r="U1825" i="68"/>
  <c r="V1825" i="68"/>
  <c r="U1824" i="68"/>
  <c r="T1830" i="68"/>
  <c r="Y1830" i="68" s="1"/>
  <c r="Z1830" i="68" s="1"/>
  <c r="V1824" i="68"/>
  <c r="O1886" i="68"/>
  <c r="O1888" i="68" s="1"/>
  <c r="O1937" i="68" s="1"/>
  <c r="O1939" i="68" s="1"/>
  <c r="P1876" i="68"/>
  <c r="M1881" i="68"/>
  <c r="P1874" i="68"/>
  <c r="U1820" i="68"/>
  <c r="T1826" i="68"/>
  <c r="Y1826" i="68" s="1"/>
  <c r="Z1826" i="68" s="1"/>
  <c r="V1820" i="68"/>
  <c r="P1871" i="68"/>
  <c r="U1822" i="68"/>
  <c r="T1828" i="68"/>
  <c r="Y1828" i="68" s="1"/>
  <c r="Z1828" i="68" s="1"/>
  <c r="V1822" i="68"/>
  <c r="U1823" i="68"/>
  <c r="T1829" i="68"/>
  <c r="Y1829" i="68" s="1"/>
  <c r="Z1829" i="68" s="1"/>
  <c r="V1823" i="68"/>
  <c r="U1821" i="68"/>
  <c r="T1827" i="68"/>
  <c r="V1821" i="68"/>
  <c r="AB1828" i="68" l="1"/>
  <c r="AC1828" i="68" s="1"/>
  <c r="AE1828" i="68" s="1"/>
  <c r="AF1828" i="68" s="1"/>
  <c r="AH1828" i="68" s="1"/>
  <c r="AI1828" i="68" s="1"/>
  <c r="AK1828" i="68" s="1"/>
  <c r="AL1828" i="68" s="1"/>
  <c r="AN1828" i="68" s="1"/>
  <c r="AB1829" i="68"/>
  <c r="AC1829" i="68" s="1"/>
  <c r="AE1829" i="68" s="1"/>
  <c r="AF1829" i="68" s="1"/>
  <c r="AH1829" i="68" s="1"/>
  <c r="AI1829" i="68" s="1"/>
  <c r="AK1829" i="68" s="1"/>
  <c r="AL1829" i="68" s="1"/>
  <c r="AN1829" i="68" s="1"/>
  <c r="AB1830" i="68"/>
  <c r="AC1830" i="68" s="1"/>
  <c r="AE1830" i="68" s="1"/>
  <c r="AF1830" i="68" s="1"/>
  <c r="AH1830" i="68" s="1"/>
  <c r="AI1830" i="68" s="1"/>
  <c r="AK1830" i="68" s="1"/>
  <c r="AL1830" i="68" s="1"/>
  <c r="AN1830" i="68" s="1"/>
  <c r="AB1826" i="68"/>
  <c r="AC1826" i="68" s="1"/>
  <c r="AE1826" i="68" s="1"/>
  <c r="AF1826" i="68" s="1"/>
  <c r="AH1826" i="68" s="1"/>
  <c r="AI1826" i="68" s="1"/>
  <c r="AK1826" i="68" s="1"/>
  <c r="AL1826" i="68" s="1"/>
  <c r="AN1826" i="68" s="1"/>
  <c r="AC1820" i="68"/>
  <c r="AF1512" i="68"/>
  <c r="AI1496" i="68"/>
  <c r="Y1827" i="68"/>
  <c r="Z1827" i="68" s="1"/>
  <c r="AB1827" i="68" s="1"/>
  <c r="R1939" i="68"/>
  <c r="R1942" i="68"/>
  <c r="P1877" i="68"/>
  <c r="P1878" i="68" s="1"/>
  <c r="P1881" i="68"/>
  <c r="U1827" i="68"/>
  <c r="T1833" i="68"/>
  <c r="Y1833" i="68" s="1"/>
  <c r="Z1833" i="68" s="1"/>
  <c r="V1827" i="68"/>
  <c r="U1828" i="68"/>
  <c r="T1834" i="68"/>
  <c r="Y1834" i="68" s="1"/>
  <c r="Z1834" i="68" s="1"/>
  <c r="V1828" i="68"/>
  <c r="U1826" i="68"/>
  <c r="V1826" i="68"/>
  <c r="P1880" i="68"/>
  <c r="M1878" i="68"/>
  <c r="M1885" i="68" s="1"/>
  <c r="U1829" i="68"/>
  <c r="T1835" i="68"/>
  <c r="Y1835" i="68" s="1"/>
  <c r="Z1835" i="68" s="1"/>
  <c r="V1829" i="68"/>
  <c r="T1831" i="68"/>
  <c r="U1830" i="68"/>
  <c r="T1836" i="68"/>
  <c r="Y1836" i="68" s="1"/>
  <c r="Z1836" i="68" s="1"/>
  <c r="V1830" i="68"/>
  <c r="AB1836" i="68" l="1"/>
  <c r="AC1836" i="68" s="1"/>
  <c r="AE1836" i="68" s="1"/>
  <c r="AF1836" i="68" s="1"/>
  <c r="AH1836" i="68" s="1"/>
  <c r="AI1836" i="68" s="1"/>
  <c r="AK1836" i="68" s="1"/>
  <c r="AL1836" i="68" s="1"/>
  <c r="AN1836" i="68" s="1"/>
  <c r="AB1835" i="68"/>
  <c r="AC1835" i="68" s="1"/>
  <c r="AE1835" i="68" s="1"/>
  <c r="AF1835" i="68" s="1"/>
  <c r="AH1835" i="68" s="1"/>
  <c r="AI1835" i="68" s="1"/>
  <c r="AK1835" i="68" s="1"/>
  <c r="AL1835" i="68" s="1"/>
  <c r="AN1835" i="68" s="1"/>
  <c r="AB1833" i="68"/>
  <c r="AC1833" i="68" s="1"/>
  <c r="AE1833" i="68" s="1"/>
  <c r="AF1833" i="68" s="1"/>
  <c r="AH1833" i="68" s="1"/>
  <c r="AI1833" i="68" s="1"/>
  <c r="AK1833" i="68" s="1"/>
  <c r="AL1833" i="68" s="1"/>
  <c r="AN1833" i="68" s="1"/>
  <c r="AB1834" i="68"/>
  <c r="AC1834" i="68" s="1"/>
  <c r="AE1834" i="68" s="1"/>
  <c r="AF1834" i="68" s="1"/>
  <c r="AH1834" i="68" s="1"/>
  <c r="AI1834" i="68" s="1"/>
  <c r="AK1834" i="68" s="1"/>
  <c r="AL1834" i="68" s="1"/>
  <c r="AN1834" i="68" s="1"/>
  <c r="AE1820" i="68"/>
  <c r="AH1512" i="68"/>
  <c r="AK1496" i="68"/>
  <c r="U1833" i="68"/>
  <c r="T1838" i="68"/>
  <c r="Y1838" i="68" s="1"/>
  <c r="Z1838" i="68" s="1"/>
  <c r="V1833" i="68"/>
  <c r="U1831" i="68"/>
  <c r="T1837" i="68"/>
  <c r="Y1837" i="68" s="1"/>
  <c r="Z1837" i="68" s="1"/>
  <c r="V1831" i="68"/>
  <c r="M1884" i="68"/>
  <c r="U1835" i="68"/>
  <c r="T1840" i="68"/>
  <c r="Y1840" i="68" s="1"/>
  <c r="Z1840" i="68" s="1"/>
  <c r="V1835" i="68"/>
  <c r="U1836" i="68"/>
  <c r="T1841" i="68"/>
  <c r="Y1841" i="68" s="1"/>
  <c r="Z1841" i="68" s="1"/>
  <c r="V1836" i="68"/>
  <c r="U1834" i="68"/>
  <c r="T1839" i="68"/>
  <c r="Y1839" i="68" s="1"/>
  <c r="Z1839" i="68" s="1"/>
  <c r="V1834" i="68"/>
  <c r="P1882" i="68"/>
  <c r="P1885" i="68"/>
  <c r="M1882" i="68"/>
  <c r="AB1838" i="68" l="1"/>
  <c r="AC1838" i="68" s="1"/>
  <c r="AE1838" i="68" s="1"/>
  <c r="AF1838" i="68" s="1"/>
  <c r="AH1838" i="68" s="1"/>
  <c r="AI1838" i="68" s="1"/>
  <c r="AK1838" i="68" s="1"/>
  <c r="AL1838" i="68" s="1"/>
  <c r="AN1838" i="68" s="1"/>
  <c r="AB1839" i="68"/>
  <c r="AC1839" i="68" s="1"/>
  <c r="AE1839" i="68" s="1"/>
  <c r="AF1839" i="68" s="1"/>
  <c r="AH1839" i="68" s="1"/>
  <c r="AI1839" i="68" s="1"/>
  <c r="AK1839" i="68" s="1"/>
  <c r="AL1839" i="68" s="1"/>
  <c r="AN1839" i="68" s="1"/>
  <c r="AB1837" i="68"/>
  <c r="AC1837" i="68" s="1"/>
  <c r="AE1837" i="68" s="1"/>
  <c r="AF1837" i="68" s="1"/>
  <c r="AH1837" i="68" s="1"/>
  <c r="AI1837" i="68" s="1"/>
  <c r="AK1837" i="68" s="1"/>
  <c r="AL1837" i="68" s="1"/>
  <c r="AN1837" i="68" s="1"/>
  <c r="AB1841" i="68"/>
  <c r="AC1841" i="68" s="1"/>
  <c r="AE1841" i="68" s="1"/>
  <c r="AF1841" i="68" s="1"/>
  <c r="AH1841" i="68" s="1"/>
  <c r="AI1841" i="68" s="1"/>
  <c r="AK1841" i="68" s="1"/>
  <c r="AL1841" i="68" s="1"/>
  <c r="AN1841" i="68" s="1"/>
  <c r="AB1840" i="68"/>
  <c r="AC1840" i="68" s="1"/>
  <c r="AE1840" i="68" s="1"/>
  <c r="AF1840" i="68" s="1"/>
  <c r="AH1840" i="68" s="1"/>
  <c r="AI1840" i="68" s="1"/>
  <c r="AK1840" i="68" s="1"/>
  <c r="AL1840" i="68" s="1"/>
  <c r="AN1840" i="68" s="1"/>
  <c r="AF1820" i="68"/>
  <c r="AC1827" i="68"/>
  <c r="AI1512" i="68"/>
  <c r="AL1496" i="68"/>
  <c r="M1886" i="68"/>
  <c r="M1888" i="68" s="1"/>
  <c r="U1837" i="68"/>
  <c r="T1843" i="68"/>
  <c r="Y1843" i="68" s="1"/>
  <c r="Z1843" i="68" s="1"/>
  <c r="V1837" i="68"/>
  <c r="T1842" i="68"/>
  <c r="Y1842" i="68" s="1"/>
  <c r="Z1842" i="68" s="1"/>
  <c r="U1840" i="68"/>
  <c r="T1846" i="68"/>
  <c r="Y1846" i="68" s="1"/>
  <c r="Z1846" i="68" s="1"/>
  <c r="V1840" i="68"/>
  <c r="U1839" i="68"/>
  <c r="T1845" i="68"/>
  <c r="Y1845" i="68" s="1"/>
  <c r="Z1845" i="68" s="1"/>
  <c r="V1839" i="68"/>
  <c r="U1838" i="68"/>
  <c r="T1844" i="68"/>
  <c r="Y1844" i="68" s="1"/>
  <c r="Z1844" i="68" s="1"/>
  <c r="V1838" i="68"/>
  <c r="P1884" i="68"/>
  <c r="P1886" i="68" s="1"/>
  <c r="P1888" i="68" s="1"/>
  <c r="U1841" i="68"/>
  <c r="T1847" i="68"/>
  <c r="Y1847" i="68" s="1"/>
  <c r="Z1847" i="68" s="1"/>
  <c r="V1841" i="68"/>
  <c r="AB1842" i="68" l="1"/>
  <c r="AC1842" i="68" s="1"/>
  <c r="AE1842" i="68" s="1"/>
  <c r="AF1842" i="68" s="1"/>
  <c r="AH1842" i="68" s="1"/>
  <c r="AI1842" i="68" s="1"/>
  <c r="AK1842" i="68" s="1"/>
  <c r="AL1842" i="68" s="1"/>
  <c r="AN1842" i="68" s="1"/>
  <c r="AB1847" i="68"/>
  <c r="AC1847" i="68" s="1"/>
  <c r="AE1847" i="68" s="1"/>
  <c r="AF1847" i="68" s="1"/>
  <c r="AH1847" i="68" s="1"/>
  <c r="AI1847" i="68" s="1"/>
  <c r="AK1847" i="68" s="1"/>
  <c r="AL1847" i="68" s="1"/>
  <c r="AN1847" i="68" s="1"/>
  <c r="AB1843" i="68"/>
  <c r="AC1843" i="68" s="1"/>
  <c r="AE1843" i="68" s="1"/>
  <c r="AF1843" i="68" s="1"/>
  <c r="AH1843" i="68" s="1"/>
  <c r="AI1843" i="68" s="1"/>
  <c r="AK1843" i="68" s="1"/>
  <c r="AL1843" i="68" s="1"/>
  <c r="AN1843" i="68" s="1"/>
  <c r="AB1844" i="68"/>
  <c r="AC1844" i="68" s="1"/>
  <c r="AE1844" i="68" s="1"/>
  <c r="AF1844" i="68" s="1"/>
  <c r="AH1844" i="68" s="1"/>
  <c r="AI1844" i="68" s="1"/>
  <c r="AK1844" i="68" s="1"/>
  <c r="AL1844" i="68" s="1"/>
  <c r="AN1844" i="68" s="1"/>
  <c r="AB1845" i="68"/>
  <c r="AC1845" i="68" s="1"/>
  <c r="AE1845" i="68" s="1"/>
  <c r="AF1845" i="68" s="1"/>
  <c r="AH1845" i="68" s="1"/>
  <c r="AI1845" i="68" s="1"/>
  <c r="AK1845" i="68" s="1"/>
  <c r="AL1845" i="68" s="1"/>
  <c r="AN1845" i="68" s="1"/>
  <c r="AB1846" i="68"/>
  <c r="AC1846" i="68" s="1"/>
  <c r="AE1846" i="68" s="1"/>
  <c r="AF1846" i="68" s="1"/>
  <c r="AH1846" i="68" s="1"/>
  <c r="AI1846" i="68" s="1"/>
  <c r="AK1846" i="68" s="1"/>
  <c r="AL1846" i="68" s="1"/>
  <c r="AN1846" i="68" s="1"/>
  <c r="AE1827" i="68"/>
  <c r="AH1820" i="68"/>
  <c r="AK1512" i="68"/>
  <c r="AN1496" i="68"/>
  <c r="U1847" i="68"/>
  <c r="V1847" i="68"/>
  <c r="U1843" i="68"/>
  <c r="T1849" i="68"/>
  <c r="Y1849" i="68" s="1"/>
  <c r="Z1849" i="68" s="1"/>
  <c r="V1843" i="68"/>
  <c r="U1845" i="68"/>
  <c r="T1852" i="68"/>
  <c r="Y1852" i="68" s="1"/>
  <c r="Z1852" i="68" s="1"/>
  <c r="V1845" i="68"/>
  <c r="U1846" i="68"/>
  <c r="T1853" i="68"/>
  <c r="Y1853" i="68" s="1"/>
  <c r="Z1853" i="68" s="1"/>
  <c r="V1846" i="68"/>
  <c r="U1844" i="68"/>
  <c r="T1851" i="68"/>
  <c r="Y1851" i="68" s="1"/>
  <c r="Z1851" i="68" s="1"/>
  <c r="T1850" i="68"/>
  <c r="Y1850" i="68" s="1"/>
  <c r="Z1850" i="68" s="1"/>
  <c r="V1844" i="68"/>
  <c r="M1937" i="68"/>
  <c r="M1939" i="68" s="1"/>
  <c r="U1842" i="68"/>
  <c r="T1848" i="68"/>
  <c r="Y1848" i="68" s="1"/>
  <c r="Z1848" i="68" s="1"/>
  <c r="V1842" i="68"/>
  <c r="AB1849" i="68" l="1"/>
  <c r="AC1849" i="68" s="1"/>
  <c r="AE1849" i="68" s="1"/>
  <c r="AF1849" i="68" s="1"/>
  <c r="AH1849" i="68" s="1"/>
  <c r="AI1849" i="68" s="1"/>
  <c r="AK1849" i="68" s="1"/>
  <c r="AL1849" i="68" s="1"/>
  <c r="AN1849" i="68" s="1"/>
  <c r="AB1848" i="68"/>
  <c r="AC1848" i="68" s="1"/>
  <c r="AE1848" i="68" s="1"/>
  <c r="AF1848" i="68" s="1"/>
  <c r="AH1848" i="68" s="1"/>
  <c r="AI1848" i="68" s="1"/>
  <c r="AK1848" i="68" s="1"/>
  <c r="AL1848" i="68" s="1"/>
  <c r="AN1848" i="68" s="1"/>
  <c r="AB1850" i="68"/>
  <c r="AC1850" i="68" s="1"/>
  <c r="AE1850" i="68" s="1"/>
  <c r="AF1850" i="68" s="1"/>
  <c r="AH1850" i="68" s="1"/>
  <c r="AI1850" i="68" s="1"/>
  <c r="AK1850" i="68" s="1"/>
  <c r="AL1850" i="68" s="1"/>
  <c r="AN1850" i="68" s="1"/>
  <c r="AB1851" i="68"/>
  <c r="AC1851" i="68" s="1"/>
  <c r="AE1851" i="68" s="1"/>
  <c r="AF1851" i="68" s="1"/>
  <c r="AH1851" i="68" s="1"/>
  <c r="AI1851" i="68" s="1"/>
  <c r="AK1851" i="68" s="1"/>
  <c r="AL1851" i="68" s="1"/>
  <c r="AN1851" i="68" s="1"/>
  <c r="AB1853" i="68"/>
  <c r="AC1853" i="68" s="1"/>
  <c r="AE1853" i="68" s="1"/>
  <c r="AF1853" i="68" s="1"/>
  <c r="AH1853" i="68" s="1"/>
  <c r="AI1853" i="68" s="1"/>
  <c r="AK1853" i="68" s="1"/>
  <c r="AL1853" i="68" s="1"/>
  <c r="AN1853" i="68" s="1"/>
  <c r="AB1852" i="68"/>
  <c r="AC1852" i="68" s="1"/>
  <c r="AE1852" i="68" s="1"/>
  <c r="AF1852" i="68" s="1"/>
  <c r="AH1852" i="68" s="1"/>
  <c r="AI1852" i="68" s="1"/>
  <c r="AK1852" i="68" s="1"/>
  <c r="AL1852" i="68" s="1"/>
  <c r="AN1852" i="68" s="1"/>
  <c r="AI1820" i="68"/>
  <c r="AF1827" i="68"/>
  <c r="AL1512" i="68"/>
  <c r="U1850" i="68"/>
  <c r="T1857" i="68"/>
  <c r="Y1857" i="68" s="1"/>
  <c r="Z1857" i="68" s="1"/>
  <c r="V1850" i="68"/>
  <c r="U1851" i="68"/>
  <c r="V1851" i="68"/>
  <c r="U1849" i="68"/>
  <c r="T1856" i="68"/>
  <c r="Y1856" i="68" s="1"/>
  <c r="Z1856" i="68" s="1"/>
  <c r="AB1856" i="68" s="1"/>
  <c r="AC1856" i="68" s="1"/>
  <c r="AE1856" i="68" s="1"/>
  <c r="AF1856" i="68" s="1"/>
  <c r="AH1856" i="68" s="1"/>
  <c r="AI1856" i="68" s="1"/>
  <c r="AK1856" i="68" s="1"/>
  <c r="AL1856" i="68" s="1"/>
  <c r="AN1856" i="68" s="1"/>
  <c r="V1849" i="68"/>
  <c r="U1848" i="68"/>
  <c r="V1848" i="68"/>
  <c r="U1853" i="68"/>
  <c r="T1860" i="68"/>
  <c r="Y1860" i="68" s="1"/>
  <c r="Z1860" i="68" s="1"/>
  <c r="T1859" i="68"/>
  <c r="Y1859" i="68" s="1"/>
  <c r="Z1859" i="68" s="1"/>
  <c r="V1853" i="68"/>
  <c r="U1852" i="68"/>
  <c r="T1858" i="68"/>
  <c r="Y1858" i="68" s="1"/>
  <c r="Z1858" i="68" s="1"/>
  <c r="V1852" i="68"/>
  <c r="T1854" i="68"/>
  <c r="AB1857" i="68" l="1"/>
  <c r="AC1857" i="68" s="1"/>
  <c r="AE1857" i="68" s="1"/>
  <c r="AF1857" i="68" s="1"/>
  <c r="AH1857" i="68" s="1"/>
  <c r="AI1857" i="68" s="1"/>
  <c r="AK1857" i="68" s="1"/>
  <c r="AL1857" i="68" s="1"/>
  <c r="AN1857" i="68" s="1"/>
  <c r="AB1858" i="68"/>
  <c r="AC1858" i="68" s="1"/>
  <c r="AE1858" i="68" s="1"/>
  <c r="AF1858" i="68" s="1"/>
  <c r="AH1858" i="68" s="1"/>
  <c r="AI1858" i="68" s="1"/>
  <c r="AK1858" i="68" s="1"/>
  <c r="AL1858" i="68" s="1"/>
  <c r="AN1858" i="68" s="1"/>
  <c r="AB1859" i="68"/>
  <c r="AC1859" i="68" s="1"/>
  <c r="AE1859" i="68" s="1"/>
  <c r="AF1859" i="68" s="1"/>
  <c r="AH1859" i="68" s="1"/>
  <c r="AI1859" i="68" s="1"/>
  <c r="AK1859" i="68" s="1"/>
  <c r="AL1859" i="68" s="1"/>
  <c r="AN1859" i="68" s="1"/>
  <c r="AB1860" i="68"/>
  <c r="AC1860" i="68" s="1"/>
  <c r="AE1860" i="68" s="1"/>
  <c r="AF1860" i="68" s="1"/>
  <c r="AH1860" i="68" s="1"/>
  <c r="AI1860" i="68" s="1"/>
  <c r="AK1860" i="68" s="1"/>
  <c r="AL1860" i="68" s="1"/>
  <c r="AN1860" i="68" s="1"/>
  <c r="AH1827" i="68"/>
  <c r="AK1820" i="68"/>
  <c r="AN1512" i="68"/>
  <c r="U1859" i="68"/>
  <c r="T1868" i="68"/>
  <c r="Y1868" i="68" s="1"/>
  <c r="Z1868" i="68" s="1"/>
  <c r="V1859" i="68"/>
  <c r="U1860" i="68"/>
  <c r="T1869" i="68"/>
  <c r="Y1869" i="68" s="1"/>
  <c r="Z1869" i="68" s="1"/>
  <c r="V1860" i="68"/>
  <c r="U1856" i="68"/>
  <c r="T1863" i="68"/>
  <c r="Y1863" i="68" s="1"/>
  <c r="Z1863" i="68" s="1"/>
  <c r="T1865" i="68"/>
  <c r="V1856" i="68"/>
  <c r="U1857" i="68"/>
  <c r="T1866" i="68"/>
  <c r="Y1866" i="68" s="1"/>
  <c r="Z1866" i="68" s="1"/>
  <c r="V1857" i="68"/>
  <c r="U1858" i="68"/>
  <c r="T1867" i="68"/>
  <c r="Y1867" i="68" s="1"/>
  <c r="Z1867" i="68" s="1"/>
  <c r="V1858" i="68"/>
  <c r="U1854" i="68"/>
  <c r="T1861" i="68"/>
  <c r="Y1861" i="68" s="1"/>
  <c r="Z1861" i="68" s="1"/>
  <c r="T1862" i="68"/>
  <c r="Y1862" i="68" s="1"/>
  <c r="Z1862" i="68" s="1"/>
  <c r="T1864" i="68"/>
  <c r="Y1864" i="68" s="1"/>
  <c r="Z1864" i="68" s="1"/>
  <c r="V1854" i="68"/>
  <c r="AB1869" i="68" l="1"/>
  <c r="AC1869" i="68" s="1"/>
  <c r="AE1869" i="68" s="1"/>
  <c r="AF1869" i="68" s="1"/>
  <c r="AH1869" i="68" s="1"/>
  <c r="AI1869" i="68" s="1"/>
  <c r="AK1869" i="68" s="1"/>
  <c r="AL1869" i="68" s="1"/>
  <c r="AN1869" i="68" s="1"/>
  <c r="AB1868" i="68"/>
  <c r="AC1868" i="68" s="1"/>
  <c r="AE1868" i="68" s="1"/>
  <c r="AF1868" i="68" s="1"/>
  <c r="AH1868" i="68" s="1"/>
  <c r="AI1868" i="68" s="1"/>
  <c r="AK1868" i="68" s="1"/>
  <c r="AL1868" i="68" s="1"/>
  <c r="AN1868" i="68" s="1"/>
  <c r="AB1862" i="68"/>
  <c r="AC1862" i="68" s="1"/>
  <c r="AE1862" i="68" s="1"/>
  <c r="AF1862" i="68" s="1"/>
  <c r="AH1862" i="68" s="1"/>
  <c r="AI1862" i="68" s="1"/>
  <c r="AK1862" i="68" s="1"/>
  <c r="AL1862" i="68" s="1"/>
  <c r="AN1862" i="68" s="1"/>
  <c r="AB1864" i="68"/>
  <c r="AC1864" i="68" s="1"/>
  <c r="AE1864" i="68" s="1"/>
  <c r="AF1864" i="68" s="1"/>
  <c r="AH1864" i="68" s="1"/>
  <c r="AI1864" i="68" s="1"/>
  <c r="AK1864" i="68" s="1"/>
  <c r="AL1864" i="68" s="1"/>
  <c r="AN1864" i="68" s="1"/>
  <c r="AB1861" i="68"/>
  <c r="AC1861" i="68" s="1"/>
  <c r="AE1861" i="68" s="1"/>
  <c r="AB1863" i="68"/>
  <c r="AC1863" i="68" s="1"/>
  <c r="AE1863" i="68" s="1"/>
  <c r="AF1863" i="68" s="1"/>
  <c r="AH1863" i="68" s="1"/>
  <c r="AI1863" i="68" s="1"/>
  <c r="AK1863" i="68" s="1"/>
  <c r="AL1863" i="68" s="1"/>
  <c r="AN1863" i="68" s="1"/>
  <c r="AB1867" i="68"/>
  <c r="AC1867" i="68" s="1"/>
  <c r="AE1867" i="68" s="1"/>
  <c r="AF1867" i="68" s="1"/>
  <c r="AH1867" i="68" s="1"/>
  <c r="AI1867" i="68" s="1"/>
  <c r="AK1867" i="68" s="1"/>
  <c r="AL1867" i="68" s="1"/>
  <c r="AN1867" i="68" s="1"/>
  <c r="AB1866" i="68"/>
  <c r="AC1866" i="68" s="1"/>
  <c r="AE1866" i="68" s="1"/>
  <c r="AF1866" i="68" s="1"/>
  <c r="AH1866" i="68" s="1"/>
  <c r="AI1866" i="68" s="1"/>
  <c r="AK1866" i="68" s="1"/>
  <c r="AL1866" i="68" s="1"/>
  <c r="AN1866" i="68" s="1"/>
  <c r="AL1820" i="68"/>
  <c r="AI1827" i="68"/>
  <c r="U1865" i="68"/>
  <c r="Y1865" i="68"/>
  <c r="Z1865" i="68" s="1"/>
  <c r="U1867" i="68"/>
  <c r="T1874" i="68"/>
  <c r="Y1874" i="68" s="1"/>
  <c r="Z1874" i="68" s="1"/>
  <c r="V1867" i="68"/>
  <c r="U1866" i="68"/>
  <c r="T1873" i="68"/>
  <c r="Y1873" i="68" s="1"/>
  <c r="Z1873" i="68" s="1"/>
  <c r="V1866" i="68"/>
  <c r="T1872" i="68"/>
  <c r="Y1872" i="68" s="1"/>
  <c r="Z1872" i="68" s="1"/>
  <c r="V1865" i="68"/>
  <c r="U1869" i="68"/>
  <c r="T1876" i="68"/>
  <c r="Y1876" i="68" s="1"/>
  <c r="Z1876" i="68" s="1"/>
  <c r="V1869" i="68"/>
  <c r="U1862" i="68"/>
  <c r="V1862" i="68"/>
  <c r="U1861" i="68"/>
  <c r="T1870" i="68"/>
  <c r="Y1870" i="68" s="1"/>
  <c r="Z1870" i="68" s="1"/>
  <c r="V1861" i="68"/>
  <c r="U1868" i="68"/>
  <c r="T1875" i="68"/>
  <c r="Y1875" i="68" s="1"/>
  <c r="Z1875" i="68" s="1"/>
  <c r="V1868" i="68"/>
  <c r="U1864" i="68"/>
  <c r="T1871" i="68"/>
  <c r="Y1871" i="68" s="1"/>
  <c r="Z1871" i="68" s="1"/>
  <c r="V1864" i="68"/>
  <c r="U1863" i="68"/>
  <c r="V1863" i="68"/>
  <c r="AB1875" i="68" l="1"/>
  <c r="AC1875" i="68" s="1"/>
  <c r="AE1875" i="68" s="1"/>
  <c r="AF1875" i="68" s="1"/>
  <c r="AH1875" i="68" s="1"/>
  <c r="AI1875" i="68" s="1"/>
  <c r="AK1875" i="68" s="1"/>
  <c r="AL1875" i="68" s="1"/>
  <c r="AN1875" i="68" s="1"/>
  <c r="AB1870" i="68"/>
  <c r="AC1870" i="68" s="1"/>
  <c r="AE1870" i="68" s="1"/>
  <c r="AF1870" i="68" s="1"/>
  <c r="AH1870" i="68" s="1"/>
  <c r="AI1870" i="68" s="1"/>
  <c r="AK1870" i="68" s="1"/>
  <c r="AL1870" i="68" s="1"/>
  <c r="AN1870" i="68" s="1"/>
  <c r="AB1872" i="68"/>
  <c r="AC1872" i="68" s="1"/>
  <c r="AE1872" i="68" s="1"/>
  <c r="AF1872" i="68" s="1"/>
  <c r="AH1872" i="68" s="1"/>
  <c r="AI1872" i="68" s="1"/>
  <c r="AK1872" i="68" s="1"/>
  <c r="AL1872" i="68" s="1"/>
  <c r="AN1872" i="68" s="1"/>
  <c r="AB1876" i="68"/>
  <c r="AC1876" i="68" s="1"/>
  <c r="AE1876" i="68" s="1"/>
  <c r="AF1876" i="68" s="1"/>
  <c r="AH1876" i="68" s="1"/>
  <c r="AI1876" i="68" s="1"/>
  <c r="AK1876" i="68" s="1"/>
  <c r="AL1876" i="68" s="1"/>
  <c r="AN1876" i="68" s="1"/>
  <c r="AB1873" i="68"/>
  <c r="AC1873" i="68" s="1"/>
  <c r="AE1873" i="68" s="1"/>
  <c r="AF1873" i="68" s="1"/>
  <c r="AH1873" i="68" s="1"/>
  <c r="AI1873" i="68" s="1"/>
  <c r="AK1873" i="68" s="1"/>
  <c r="AL1873" i="68" s="1"/>
  <c r="AN1873" i="68" s="1"/>
  <c r="AB1874" i="68"/>
  <c r="AC1874" i="68" s="1"/>
  <c r="AE1874" i="68" s="1"/>
  <c r="AF1874" i="68" s="1"/>
  <c r="AH1874" i="68" s="1"/>
  <c r="AI1874" i="68" s="1"/>
  <c r="AK1874" i="68" s="1"/>
  <c r="AL1874" i="68" s="1"/>
  <c r="AN1874" i="68" s="1"/>
  <c r="AB1871" i="68"/>
  <c r="AC1871" i="68" s="1"/>
  <c r="AE1871" i="68" s="1"/>
  <c r="AF1871" i="68" s="1"/>
  <c r="AH1871" i="68" s="1"/>
  <c r="AI1871" i="68" s="1"/>
  <c r="AK1871" i="68" s="1"/>
  <c r="AL1871" i="68" s="1"/>
  <c r="AN1871" i="68" s="1"/>
  <c r="AB1865" i="68"/>
  <c r="AC1865" i="68" s="1"/>
  <c r="AE1865" i="68" s="1"/>
  <c r="AF1865" i="68" s="1"/>
  <c r="AH1865" i="68" s="1"/>
  <c r="AI1865" i="68" s="1"/>
  <c r="AK1865" i="68" s="1"/>
  <c r="AL1865" i="68" s="1"/>
  <c r="AN1865" i="68" s="1"/>
  <c r="AK1827" i="68"/>
  <c r="AN1820" i="68"/>
  <c r="AF1861" i="68"/>
  <c r="U1870" i="68"/>
  <c r="T1877" i="68"/>
  <c r="V1870" i="68"/>
  <c r="U1873" i="68"/>
  <c r="T1880" i="68"/>
  <c r="Y1880" i="68" s="1"/>
  <c r="Z1880" i="68" s="1"/>
  <c r="V1873" i="68"/>
  <c r="U1871" i="68"/>
  <c r="V1871" i="68"/>
  <c r="U1875" i="68"/>
  <c r="V1875" i="68"/>
  <c r="U1874" i="68"/>
  <c r="T1881" i="68"/>
  <c r="Y1881" i="68" s="1"/>
  <c r="Z1881" i="68" s="1"/>
  <c r="V1874" i="68"/>
  <c r="U1876" i="68"/>
  <c r="V1876" i="68"/>
  <c r="U1872" i="68"/>
  <c r="V1872" i="68"/>
  <c r="AB1881" i="68" l="1"/>
  <c r="AC1881" i="68" s="1"/>
  <c r="AE1881" i="68" s="1"/>
  <c r="AF1881" i="68" s="1"/>
  <c r="AH1881" i="68" s="1"/>
  <c r="AI1881" i="68" s="1"/>
  <c r="AK1881" i="68" s="1"/>
  <c r="AL1881" i="68" s="1"/>
  <c r="AN1881" i="68" s="1"/>
  <c r="AB1880" i="68"/>
  <c r="AC1880" i="68" s="1"/>
  <c r="AE1880" i="68" s="1"/>
  <c r="AF1880" i="68" s="1"/>
  <c r="AH1880" i="68" s="1"/>
  <c r="AI1880" i="68" s="1"/>
  <c r="AK1880" i="68" s="1"/>
  <c r="AL1880" i="68" s="1"/>
  <c r="AN1880" i="68" s="1"/>
  <c r="AH1861" i="68"/>
  <c r="AL1827" i="68"/>
  <c r="T1878" i="68"/>
  <c r="U1878" i="68" s="1"/>
  <c r="Y1877" i="68"/>
  <c r="Z1877" i="68" s="1"/>
  <c r="T1884" i="68"/>
  <c r="Y1884" i="68" s="1"/>
  <c r="Z1884" i="68" s="1"/>
  <c r="U1881" i="68"/>
  <c r="V1881" i="68"/>
  <c r="U1880" i="68"/>
  <c r="T1885" i="68"/>
  <c r="Y1885" i="68" s="1"/>
  <c r="V1880" i="68"/>
  <c r="U1877" i="68"/>
  <c r="V1877" i="68"/>
  <c r="AB1884" i="68" l="1"/>
  <c r="AC1884" i="68" s="1"/>
  <c r="AE1884" i="68" s="1"/>
  <c r="AF1884" i="68" s="1"/>
  <c r="AH1884" i="68" s="1"/>
  <c r="AI1884" i="68" s="1"/>
  <c r="AK1884" i="68" s="1"/>
  <c r="AL1884" i="68" s="1"/>
  <c r="AN1884" i="68" s="1"/>
  <c r="AB1877" i="68"/>
  <c r="AC1877" i="68" s="1"/>
  <c r="AE1877" i="68" s="1"/>
  <c r="AF1877" i="68" s="1"/>
  <c r="Z1885" i="68"/>
  <c r="AB1885" i="68" s="1"/>
  <c r="AB1937" i="68" s="1"/>
  <c r="L42" i="3" s="1"/>
  <c r="L48" i="3" s="1"/>
  <c r="Y1937" i="68"/>
  <c r="Z1937" i="68"/>
  <c r="AN1827" i="68"/>
  <c r="AI1861" i="68"/>
  <c r="V1878" i="68"/>
  <c r="T1882" i="68"/>
  <c r="U1882" i="68" s="1"/>
  <c r="V1882" i="68"/>
  <c r="U1885" i="68"/>
  <c r="V1885" i="68"/>
  <c r="U1884" i="68"/>
  <c r="V1884" i="68"/>
  <c r="Y1939" i="68" l="1"/>
  <c r="AK1861" i="68"/>
  <c r="AH1877" i="68"/>
  <c r="AC1885" i="68"/>
  <c r="T1886" i="68"/>
  <c r="U1886" i="68" s="1"/>
  <c r="AE1885" i="68" l="1"/>
  <c r="AC1937" i="68"/>
  <c r="AI1877" i="68"/>
  <c r="AL1861" i="68"/>
  <c r="T1888" i="68"/>
  <c r="U1888" i="68" s="1"/>
  <c r="V1886" i="68"/>
  <c r="Q1053" i="115"/>
  <c r="S1053" i="115"/>
  <c r="J1053" i="115"/>
  <c r="R1053" i="115"/>
  <c r="R1057" i="115"/>
  <c r="S1057" i="115"/>
  <c r="J1057" i="115"/>
  <c r="Q1057" i="115"/>
  <c r="Q1111" i="115"/>
  <c r="S1111" i="115"/>
  <c r="R1111" i="115"/>
  <c r="J1111" i="115"/>
  <c r="M1062" i="115"/>
  <c r="V1062" i="115" s="1"/>
  <c r="Q1062" i="115"/>
  <c r="S1062" i="115"/>
  <c r="R1062" i="115"/>
  <c r="J1062" i="115"/>
  <c r="M1069" i="115"/>
  <c r="V1069" i="115" s="1"/>
  <c r="J1069" i="115"/>
  <c r="Q1069" i="115"/>
  <c r="S1069" i="115"/>
  <c r="R1069" i="115"/>
  <c r="M1079" i="115"/>
  <c r="V1079" i="115" s="1"/>
  <c r="Q1079" i="115"/>
  <c r="S1079" i="115"/>
  <c r="J1079" i="115"/>
  <c r="R1079" i="115"/>
  <c r="M1122" i="115"/>
  <c r="V1122" i="115" s="1"/>
  <c r="J1122" i="115"/>
  <c r="R1122" i="115"/>
  <c r="Q1122" i="115"/>
  <c r="S1122" i="115"/>
  <c r="M1058" i="115"/>
  <c r="V1058" i="115" s="1"/>
  <c r="R1058" i="115"/>
  <c r="J1058" i="115"/>
  <c r="Q1058" i="115"/>
  <c r="S1058" i="115"/>
  <c r="M1076" i="115"/>
  <c r="V1076" i="115" s="1"/>
  <c r="R1076" i="115"/>
  <c r="Q1076" i="115"/>
  <c r="S1076" i="115"/>
  <c r="J1076" i="115"/>
  <c r="R1060" i="115"/>
  <c r="J1060" i="115"/>
  <c r="Q1060" i="115"/>
  <c r="S1060" i="115"/>
  <c r="Q1082" i="115"/>
  <c r="S1082" i="115"/>
  <c r="R1082" i="115"/>
  <c r="J1082" i="115"/>
  <c r="M1053" i="115"/>
  <c r="V1053" i="115" s="1"/>
  <c r="M1110" i="115"/>
  <c r="V1110" i="115" s="1"/>
  <c r="Q1110" i="115"/>
  <c r="S1110" i="115"/>
  <c r="R1110" i="115"/>
  <c r="J1110" i="115"/>
  <c r="M1085" i="115"/>
  <c r="V1085" i="115" s="1"/>
  <c r="Q1085" i="115"/>
  <c r="S1085" i="115"/>
  <c r="R1085" i="115"/>
  <c r="J1085" i="115"/>
  <c r="M1084" i="115"/>
  <c r="V1084" i="115" s="1"/>
  <c r="Q1084" i="115"/>
  <c r="J1084" i="115"/>
  <c r="S1084" i="115"/>
  <c r="R1084" i="115"/>
  <c r="M1063" i="115"/>
  <c r="V1063" i="115" s="1"/>
  <c r="Q1063" i="115"/>
  <c r="S1063" i="115"/>
  <c r="J1063" i="115"/>
  <c r="R1063" i="115"/>
  <c r="M1097" i="115"/>
  <c r="V1097" i="115" s="1"/>
  <c r="Q1097" i="115"/>
  <c r="S1097" i="115"/>
  <c r="J1097" i="115"/>
  <c r="R1097" i="115"/>
  <c r="R1091" i="115"/>
  <c r="J1091" i="115"/>
  <c r="Q1091" i="115"/>
  <c r="S1091" i="115"/>
  <c r="M1107" i="115"/>
  <c r="V1107" i="115" s="1"/>
  <c r="R1107" i="115"/>
  <c r="J1107" i="115"/>
  <c r="Q1107" i="115"/>
  <c r="S1107" i="115"/>
  <c r="M1080" i="115"/>
  <c r="V1080" i="115" s="1"/>
  <c r="R1080" i="115"/>
  <c r="Q1080" i="115"/>
  <c r="S1080" i="115"/>
  <c r="J1080" i="115"/>
  <c r="M1057" i="115"/>
  <c r="V1057" i="115" s="1"/>
  <c r="M1111" i="115"/>
  <c r="V1111" i="115" s="1"/>
  <c r="Q1055" i="115"/>
  <c r="S1055" i="115"/>
  <c r="J1055" i="115"/>
  <c r="R1055" i="115"/>
  <c r="M1081" i="115"/>
  <c r="V1081" i="115" s="1"/>
  <c r="Q1081" i="115"/>
  <c r="S1081" i="115"/>
  <c r="R1081" i="115"/>
  <c r="J1081" i="115"/>
  <c r="M1060" i="115"/>
  <c r="V1060" i="115" s="1"/>
  <c r="M1082" i="115"/>
  <c r="V1082" i="115" s="1"/>
  <c r="J1054" i="115"/>
  <c r="R1054" i="115"/>
  <c r="Q1054" i="115"/>
  <c r="S1054" i="115"/>
  <c r="R1118" i="115"/>
  <c r="J1118" i="115"/>
  <c r="Q1118" i="115"/>
  <c r="S1118" i="115"/>
  <c r="M1127" i="115"/>
  <c r="M1121" i="115"/>
  <c r="V1121" i="115" s="1"/>
  <c r="Q1121" i="115"/>
  <c r="S1121" i="115"/>
  <c r="J1121" i="115"/>
  <c r="R1121" i="115"/>
  <c r="M1091" i="115"/>
  <c r="V1091" i="115" s="1"/>
  <c r="M1056" i="115"/>
  <c r="V1056" i="115" s="1"/>
  <c r="Q1056" i="115"/>
  <c r="S1056" i="115"/>
  <c r="R1056" i="115"/>
  <c r="J1056" i="115"/>
  <c r="J1105" i="115"/>
  <c r="S1105" i="115"/>
  <c r="R1105" i="115"/>
  <c r="Q1105" i="115"/>
  <c r="J1067" i="115"/>
  <c r="R1067" i="115"/>
  <c r="S1067" i="115"/>
  <c r="Q1067" i="115"/>
  <c r="Q1093" i="115"/>
  <c r="S1093" i="115"/>
  <c r="R1093" i="115"/>
  <c r="J1093" i="115"/>
  <c r="M1124" i="115"/>
  <c r="V1124" i="115" s="1"/>
  <c r="S1124" i="115"/>
  <c r="R1124" i="115"/>
  <c r="J1124" i="115"/>
  <c r="Q1124" i="115"/>
  <c r="M1098" i="115"/>
  <c r="V1098" i="115" s="1"/>
  <c r="Q1098" i="115"/>
  <c r="S1098" i="115"/>
  <c r="R1098" i="115"/>
  <c r="J1098" i="115"/>
  <c r="M1055" i="115"/>
  <c r="V1055" i="115" s="1"/>
  <c r="M1108" i="115"/>
  <c r="V1108" i="115" s="1"/>
  <c r="Q1108" i="115"/>
  <c r="S1108" i="115"/>
  <c r="R1108" i="115"/>
  <c r="J1108" i="115"/>
  <c r="S1061" i="115"/>
  <c r="J1061" i="115"/>
  <c r="R1061" i="115"/>
  <c r="Q1061" i="115"/>
  <c r="Q1100" i="115"/>
  <c r="S1100" i="115"/>
  <c r="J1100" i="115"/>
  <c r="R1100" i="115"/>
  <c r="M1096" i="115"/>
  <c r="V1096" i="115" s="1"/>
  <c r="Q1109" i="115"/>
  <c r="J1109" i="115"/>
  <c r="S1109" i="115"/>
  <c r="R1109" i="115"/>
  <c r="J1128" i="115"/>
  <c r="R1128" i="115"/>
  <c r="Q1128" i="115"/>
  <c r="S1128" i="115"/>
  <c r="Q1088" i="115"/>
  <c r="J1088" i="115"/>
  <c r="S1088" i="115"/>
  <c r="R1088" i="115"/>
  <c r="M1120" i="115"/>
  <c r="V1120" i="115" s="1"/>
  <c r="R1120" i="115"/>
  <c r="J1120" i="115"/>
  <c r="S1120" i="115"/>
  <c r="Q1120" i="115"/>
  <c r="S1052" i="115"/>
  <c r="M1052" i="115"/>
  <c r="M1102" i="115"/>
  <c r="V1102" i="115" s="1"/>
  <c r="J1102" i="115"/>
  <c r="S1102" i="115"/>
  <c r="R1102" i="115"/>
  <c r="Q1102" i="115"/>
  <c r="M1066" i="115"/>
  <c r="M1054" i="115"/>
  <c r="V1054" i="115" s="1"/>
  <c r="M1092" i="115"/>
  <c r="V1092" i="115" s="1"/>
  <c r="R1092" i="115"/>
  <c r="J1092" i="115"/>
  <c r="S1092" i="115"/>
  <c r="Q1092" i="115"/>
  <c r="M1115" i="115"/>
  <c r="V1115" i="115" s="1"/>
  <c r="R1115" i="115"/>
  <c r="S1115" i="115"/>
  <c r="J1115" i="115"/>
  <c r="Q1115" i="115"/>
  <c r="S1096" i="115"/>
  <c r="M1105" i="115"/>
  <c r="V1105" i="115" s="1"/>
  <c r="M1106" i="115"/>
  <c r="V1106" i="115" s="1"/>
  <c r="R1106" i="115"/>
  <c r="J1106" i="115"/>
  <c r="Q1106" i="115"/>
  <c r="S1106" i="115"/>
  <c r="M1078" i="115"/>
  <c r="V1078" i="115" s="1"/>
  <c r="Q1078" i="115"/>
  <c r="S1078" i="115"/>
  <c r="J1078" i="115"/>
  <c r="R1078" i="115"/>
  <c r="M1077" i="115"/>
  <c r="V1077" i="115" s="1"/>
  <c r="Q1077" i="115"/>
  <c r="S1077" i="115"/>
  <c r="J1077" i="115"/>
  <c r="R1077" i="115"/>
  <c r="S1066" i="115"/>
  <c r="M1061" i="115"/>
  <c r="V1061" i="115" s="1"/>
  <c r="M1083" i="115"/>
  <c r="V1083" i="115" s="1"/>
  <c r="R1083" i="115"/>
  <c r="J1083" i="115"/>
  <c r="S1083" i="115"/>
  <c r="Q1083" i="115"/>
  <c r="M1074" i="115"/>
  <c r="V1074" i="115" s="1"/>
  <c r="Q1074" i="115"/>
  <c r="S1074" i="115"/>
  <c r="R1074" i="115"/>
  <c r="J1074" i="115"/>
  <c r="M1104" i="115"/>
  <c r="V1104" i="115" s="1"/>
  <c r="J1104" i="115"/>
  <c r="S1104" i="115"/>
  <c r="R1104" i="115"/>
  <c r="Q1104" i="115"/>
  <c r="M1119" i="115"/>
  <c r="V1119" i="115" s="1"/>
  <c r="Q1119" i="115"/>
  <c r="R1119" i="115"/>
  <c r="J1119" i="115"/>
  <c r="S1119" i="115"/>
  <c r="M1116" i="115"/>
  <c r="V1116" i="115" s="1"/>
  <c r="S1116" i="115"/>
  <c r="R1116" i="115"/>
  <c r="J1116" i="115"/>
  <c r="Q1116" i="115"/>
  <c r="M1117" i="115"/>
  <c r="V1117" i="115" s="1"/>
  <c r="J1117" i="115"/>
  <c r="S1117" i="115"/>
  <c r="R1117" i="115"/>
  <c r="Q1117" i="115"/>
  <c r="M1090" i="115"/>
  <c r="V1090" i="115" s="1"/>
  <c r="R1090" i="115"/>
  <c r="Q1090" i="115"/>
  <c r="S1090" i="115"/>
  <c r="J1090" i="115"/>
  <c r="M1134" i="115"/>
  <c r="V1134" i="115" s="1"/>
  <c r="Q1134" i="115"/>
  <c r="S1134" i="115"/>
  <c r="R1134" i="115"/>
  <c r="J1134" i="115"/>
  <c r="M1067" i="115"/>
  <c r="V1067" i="115" s="1"/>
  <c r="M1093" i="115"/>
  <c r="V1093" i="115" s="1"/>
  <c r="M1113" i="115"/>
  <c r="V1113" i="115" s="1"/>
  <c r="R1113" i="115"/>
  <c r="J1113" i="115"/>
  <c r="S1113" i="115"/>
  <c r="Q1113" i="115"/>
  <c r="M1118" i="115"/>
  <c r="V1118" i="115" s="1"/>
  <c r="S1131" i="115"/>
  <c r="M1131" i="115"/>
  <c r="R1052" i="115"/>
  <c r="M1073" i="115"/>
  <c r="V1073" i="115" s="1"/>
  <c r="Q1073" i="115"/>
  <c r="S1073" i="115"/>
  <c r="R1073" i="115"/>
  <c r="J1073" i="115"/>
  <c r="M1100" i="115"/>
  <c r="V1100" i="115" s="1"/>
  <c r="M1123" i="115"/>
  <c r="V1123" i="115" s="1"/>
  <c r="Q1123" i="115"/>
  <c r="S1123" i="115"/>
  <c r="R1123" i="115"/>
  <c r="J1123" i="115"/>
  <c r="M1109" i="115"/>
  <c r="V1109" i="115" s="1"/>
  <c r="M1128" i="115"/>
  <c r="V1128" i="115" s="1"/>
  <c r="M1088" i="115"/>
  <c r="V1088" i="115" s="1"/>
  <c r="R1096" i="115"/>
  <c r="R1066" i="115"/>
  <c r="Q1052" i="115"/>
  <c r="R1136" i="115"/>
  <c r="J1136" i="115"/>
  <c r="S1136" i="115"/>
  <c r="Q1136" i="115"/>
  <c r="O1052" i="115"/>
  <c r="R1127" i="115"/>
  <c r="Q1131" i="115"/>
  <c r="R1131" i="115"/>
  <c r="O1096" i="115"/>
  <c r="O1127" i="115"/>
  <c r="O1066" i="115"/>
  <c r="Q1127" i="115"/>
  <c r="Q1066" i="115"/>
  <c r="Q1096" i="115"/>
  <c r="O1136" i="115"/>
  <c r="J1052" i="115"/>
  <c r="J1127" i="115"/>
  <c r="J1096" i="115"/>
  <c r="J1131" i="115"/>
  <c r="O1092" i="115"/>
  <c r="O1061" i="115"/>
  <c r="O1091" i="115"/>
  <c r="J1066" i="115"/>
  <c r="Q1086" i="115"/>
  <c r="J1086" i="115"/>
  <c r="S1086" i="115"/>
  <c r="R1086" i="115"/>
  <c r="R1101" i="115"/>
  <c r="S1101" i="115"/>
  <c r="J1101" i="115"/>
  <c r="Q1101" i="115"/>
  <c r="O1105" i="115"/>
  <c r="O1115" i="115"/>
  <c r="O1069" i="115"/>
  <c r="O1113" i="115"/>
  <c r="O1078" i="115"/>
  <c r="M1101" i="115"/>
  <c r="V1101" i="115" s="1"/>
  <c r="O1124" i="115"/>
  <c r="O1081" i="115"/>
  <c r="O1053" i="115"/>
  <c r="Q1071" i="115"/>
  <c r="S1071" i="115"/>
  <c r="R1071" i="115"/>
  <c r="J1071" i="115"/>
  <c r="O1116" i="115"/>
  <c r="O1098" i="115"/>
  <c r="O1111" i="115"/>
  <c r="O1077" i="115"/>
  <c r="O1086" i="115"/>
  <c r="O1080" i="115"/>
  <c r="O1119" i="115"/>
  <c r="O1073" i="115"/>
  <c r="O1108" i="115"/>
  <c r="O1106" i="115"/>
  <c r="O1107" i="115"/>
  <c r="O1060" i="115"/>
  <c r="O1076" i="115"/>
  <c r="O1085" i="115"/>
  <c r="O1118" i="115"/>
  <c r="O1058" i="115"/>
  <c r="O1067" i="115"/>
  <c r="O1101" i="115"/>
  <c r="M1086" i="115"/>
  <c r="O1120" i="115"/>
  <c r="O1117" i="115"/>
  <c r="Q1070" i="115"/>
  <c r="J1070" i="115"/>
  <c r="S1070" i="115"/>
  <c r="R1070" i="115"/>
  <c r="S1127" i="115"/>
  <c r="O1055" i="115"/>
  <c r="O1097" i="115"/>
  <c r="O1079" i="115"/>
  <c r="O1071" i="115"/>
  <c r="O1110" i="115"/>
  <c r="O1062" i="115"/>
  <c r="O1121" i="115"/>
  <c r="O1093" i="115"/>
  <c r="O1129" i="115"/>
  <c r="Q1129" i="115"/>
  <c r="S1129" i="115"/>
  <c r="R1129" i="115"/>
  <c r="J1129" i="115"/>
  <c r="M1071" i="115"/>
  <c r="V1071" i="115" s="1"/>
  <c r="O1090" i="115"/>
  <c r="O1063" i="115"/>
  <c r="O1056" i="115"/>
  <c r="O1082" i="115"/>
  <c r="O1074" i="115"/>
  <c r="O1070" i="115"/>
  <c r="O1102" i="115"/>
  <c r="O1099" i="115"/>
  <c r="J1099" i="115"/>
  <c r="S1099" i="115"/>
  <c r="R1099" i="115"/>
  <c r="Q1099" i="115"/>
  <c r="O1054" i="115"/>
  <c r="O1057" i="115"/>
  <c r="O1084" i="115"/>
  <c r="O1088" i="115"/>
  <c r="O1109" i="115"/>
  <c r="O1100" i="115"/>
  <c r="O1104" i="115"/>
  <c r="O1128" i="115"/>
  <c r="O1122" i="115"/>
  <c r="M1070" i="115"/>
  <c r="V1070" i="115" s="1"/>
  <c r="H1052" i="115"/>
  <c r="S1130" i="115"/>
  <c r="J1130" i="115"/>
  <c r="Q1130" i="115"/>
  <c r="R1130" i="115"/>
  <c r="O1103" i="115"/>
  <c r="S1103" i="115"/>
  <c r="J1103" i="115"/>
  <c r="R1103" i="115"/>
  <c r="Q1103" i="115"/>
  <c r="O1072" i="115"/>
  <c r="S1072" i="115"/>
  <c r="R1072" i="115"/>
  <c r="Q1072" i="115"/>
  <c r="J1072" i="115"/>
  <c r="O1059" i="115"/>
  <c r="S1059" i="115"/>
  <c r="J1059" i="115"/>
  <c r="R1059" i="115"/>
  <c r="Q1059" i="115"/>
  <c r="O1131" i="115"/>
  <c r="O1112" i="115"/>
  <c r="R1112" i="115"/>
  <c r="Q1112" i="115"/>
  <c r="J1112" i="115"/>
  <c r="S1112" i="115"/>
  <c r="O1075" i="115"/>
  <c r="S1075" i="115"/>
  <c r="R1075" i="115"/>
  <c r="Q1075" i="115"/>
  <c r="J1075" i="115"/>
  <c r="O1087" i="115"/>
  <c r="R1087" i="115"/>
  <c r="Q1087" i="115"/>
  <c r="J1087" i="115"/>
  <c r="S1087" i="115"/>
  <c r="O1135" i="115"/>
  <c r="Q1135" i="115"/>
  <c r="R1135" i="115"/>
  <c r="S1135" i="115"/>
  <c r="J1135" i="115"/>
  <c r="G1052" i="115"/>
  <c r="O1130" i="115"/>
  <c r="Q1089" i="115"/>
  <c r="J1089" i="115"/>
  <c r="R1089" i="115"/>
  <c r="S1089" i="115"/>
  <c r="M1099" i="115"/>
  <c r="V1099" i="115" s="1"/>
  <c r="Q1137" i="115"/>
  <c r="J1137" i="115"/>
  <c r="S1137" i="115"/>
  <c r="R1137" i="115"/>
  <c r="R1114" i="115"/>
  <c r="J1114" i="115"/>
  <c r="S1114" i="115"/>
  <c r="Q1114" i="115"/>
  <c r="O1083" i="115"/>
  <c r="J1068" i="115"/>
  <c r="R1068" i="115"/>
  <c r="Q1068" i="115"/>
  <c r="S1068" i="115"/>
  <c r="M1136" i="115"/>
  <c r="G1107" i="115"/>
  <c r="H1107" i="115"/>
  <c r="G1078" i="115"/>
  <c r="H1078" i="115"/>
  <c r="H1101" i="115"/>
  <c r="G1101" i="115"/>
  <c r="G1123" i="115"/>
  <c r="H1123" i="115"/>
  <c r="H1074" i="115"/>
  <c r="G1074" i="115"/>
  <c r="H1091" i="115"/>
  <c r="G1091" i="115"/>
  <c r="H1124" i="115"/>
  <c r="H1063" i="115"/>
  <c r="G1127" i="115"/>
  <c r="H1127" i="115"/>
  <c r="H1116" i="115"/>
  <c r="G1116" i="115"/>
  <c r="G1106" i="115"/>
  <c r="H1106" i="115"/>
  <c r="H1070" i="115"/>
  <c r="G1070" i="115"/>
  <c r="G1072" i="115"/>
  <c r="H1072" i="115"/>
  <c r="H1118" i="115"/>
  <c r="G1118" i="115"/>
  <c r="G1075" i="115"/>
  <c r="H1075" i="115"/>
  <c r="H1119" i="115"/>
  <c r="G1119" i="115"/>
  <c r="G1108" i="115"/>
  <c r="H1108" i="115"/>
  <c r="H1135" i="115"/>
  <c r="G1135" i="115"/>
  <c r="G1130" i="115"/>
  <c r="H1130" i="115"/>
  <c r="H1081" i="115"/>
  <c r="G1081" i="115"/>
  <c r="O1068" i="115"/>
  <c r="O1134" i="115"/>
  <c r="O1123" i="115"/>
  <c r="M1112" i="115"/>
  <c r="V1112" i="115" s="1"/>
  <c r="M1072" i="115"/>
  <c r="V1072" i="115" s="1"/>
  <c r="G1092" i="115"/>
  <c r="H1092" i="115"/>
  <c r="G1129" i="115"/>
  <c r="H1129" i="115"/>
  <c r="H1093" i="115"/>
  <c r="G1128" i="115"/>
  <c r="H1128" i="115"/>
  <c r="G1089" i="115"/>
  <c r="H1089" i="115"/>
  <c r="G1062" i="115"/>
  <c r="H1062" i="115"/>
  <c r="G1090" i="115"/>
  <c r="H1090" i="115"/>
  <c r="G1120" i="115"/>
  <c r="H1120" i="115"/>
  <c r="G1100" i="115"/>
  <c r="H1100" i="115"/>
  <c r="G1058" i="115"/>
  <c r="H1058" i="115"/>
  <c r="M1087" i="115"/>
  <c r="V1087" i="115" s="1"/>
  <c r="M1130" i="115"/>
  <c r="V1130" i="115" s="1"/>
  <c r="G1054" i="115"/>
  <c r="H1054" i="115"/>
  <c r="G1055" i="115"/>
  <c r="H1055" i="115"/>
  <c r="H1134" i="115"/>
  <c r="G1134" i="115"/>
  <c r="G1060" i="115"/>
  <c r="H1060" i="115"/>
  <c r="H1059" i="115"/>
  <c r="G1059" i="115"/>
  <c r="G1068" i="115"/>
  <c r="H1068" i="115"/>
  <c r="G1114" i="115"/>
  <c r="H1114" i="115"/>
  <c r="G1122" i="115"/>
  <c r="H1122" i="115"/>
  <c r="H1069" i="115"/>
  <c r="G1069" i="115"/>
  <c r="G1103" i="115"/>
  <c r="H1103" i="115"/>
  <c r="H1053" i="115"/>
  <c r="G1053" i="115"/>
  <c r="G1056" i="115"/>
  <c r="H1056" i="115"/>
  <c r="H1097" i="115"/>
  <c r="G1097" i="115"/>
  <c r="G1057" i="115"/>
  <c r="H1057" i="115"/>
  <c r="H1098" i="115"/>
  <c r="G1098" i="115"/>
  <c r="G1071" i="115"/>
  <c r="H1071" i="115"/>
  <c r="H1121" i="115"/>
  <c r="G1121" i="115"/>
  <c r="G1080" i="115"/>
  <c r="H1080" i="115"/>
  <c r="H1104" i="115"/>
  <c r="G1104" i="115"/>
  <c r="G1109" i="115"/>
  <c r="H1109" i="115"/>
  <c r="T1054" i="115"/>
  <c r="T1070" i="115"/>
  <c r="T1090" i="115"/>
  <c r="T1122" i="115"/>
  <c r="M1089" i="115"/>
  <c r="V1089" i="115" s="1"/>
  <c r="M1137" i="115"/>
  <c r="V1137" i="115" s="1"/>
  <c r="M1114" i="115"/>
  <c r="V1114" i="115" s="1"/>
  <c r="G1066" i="115"/>
  <c r="H1066" i="115"/>
  <c r="H1077" i="115"/>
  <c r="G1077" i="115"/>
  <c r="H1084" i="115"/>
  <c r="G1084" i="115"/>
  <c r="H1087" i="115"/>
  <c r="G1087" i="115"/>
  <c r="G1117" i="115"/>
  <c r="H1117" i="115"/>
  <c r="H1061" i="115"/>
  <c r="G1061" i="115"/>
  <c r="G1088" i="115"/>
  <c r="H1088" i="115"/>
  <c r="H1136" i="115"/>
  <c r="G1136" i="115"/>
  <c r="G1083" i="115"/>
  <c r="H1083" i="115"/>
  <c r="G1073" i="115"/>
  <c r="H1073" i="115"/>
  <c r="G1105" i="115"/>
  <c r="H1105" i="115"/>
  <c r="G1076" i="115"/>
  <c r="H1076" i="115"/>
  <c r="G1079" i="115"/>
  <c r="H1079" i="115"/>
  <c r="T1078" i="115"/>
  <c r="M1129" i="115"/>
  <c r="G1102" i="115"/>
  <c r="H1102" i="115"/>
  <c r="G1082" i="115"/>
  <c r="T1082" i="115"/>
  <c r="H1082" i="115"/>
  <c r="G1115" i="115"/>
  <c r="H1115" i="115"/>
  <c r="T1062" i="115"/>
  <c r="T1102" i="115"/>
  <c r="T1130" i="115"/>
  <c r="G1086" i="115"/>
  <c r="T1086" i="115"/>
  <c r="H1086" i="115"/>
  <c r="G1113" i="115"/>
  <c r="H1113" i="115"/>
  <c r="G1124" i="115"/>
  <c r="H1125" i="115" s="1"/>
  <c r="G1099" i="115"/>
  <c r="H1099" i="115"/>
  <c r="M1068" i="115"/>
  <c r="V1068" i="115" s="1"/>
  <c r="G1112" i="115"/>
  <c r="H1112" i="115"/>
  <c r="G1131" i="115"/>
  <c r="H1132" i="115" s="1"/>
  <c r="H1131" i="115"/>
  <c r="T1066" i="115"/>
  <c r="M1059" i="115"/>
  <c r="V1059" i="115" s="1"/>
  <c r="O1089" i="115"/>
  <c r="G1093" i="115"/>
  <c r="H1094" i="115" s="1"/>
  <c r="G1110" i="115"/>
  <c r="T1110" i="115"/>
  <c r="H1110" i="115"/>
  <c r="G1085" i="115"/>
  <c r="H1085" i="115"/>
  <c r="G1063" i="115"/>
  <c r="H1064" i="115" s="1"/>
  <c r="G1137" i="115"/>
  <c r="H1138" i="115" s="1"/>
  <c r="H1137" i="115"/>
  <c r="G1067" i="115"/>
  <c r="H1067" i="115"/>
  <c r="T1074" i="115"/>
  <c r="T1098" i="115"/>
  <c r="M1075" i="115"/>
  <c r="V1075" i="115" s="1"/>
  <c r="T1114" i="115"/>
  <c r="O1114" i="115"/>
  <c r="M1135" i="115"/>
  <c r="V1135" i="115" s="1"/>
  <c r="G1096" i="115"/>
  <c r="H1096" i="115"/>
  <c r="G1111" i="115"/>
  <c r="H1111" i="115"/>
  <c r="T1058" i="115"/>
  <c r="T1055" i="115"/>
  <c r="T1073" i="115"/>
  <c r="T1084" i="115"/>
  <c r="T1112" i="115"/>
  <c r="T1123" i="115"/>
  <c r="M1103" i="115"/>
  <c r="V1103" i="115" s="1"/>
  <c r="O1137" i="115"/>
  <c r="T1101" i="115"/>
  <c r="T1106" i="115"/>
  <c r="T1118" i="115"/>
  <c r="T1134" i="115"/>
  <c r="T1053" i="115"/>
  <c r="T1072" i="115"/>
  <c r="T1083" i="115"/>
  <c r="T1093" i="115"/>
  <c r="T1100" i="115"/>
  <c r="T1111" i="115"/>
  <c r="T1121" i="115"/>
  <c r="T1060" i="115"/>
  <c r="T1071" i="115"/>
  <c r="T1079" i="115"/>
  <c r="T1087" i="115"/>
  <c r="T1109" i="115"/>
  <c r="T1117" i="115"/>
  <c r="T1129" i="115"/>
  <c r="T1056" i="115"/>
  <c r="T1067" i="115"/>
  <c r="T1075" i="115"/>
  <c r="T1097" i="115"/>
  <c r="T1105" i="115"/>
  <c r="T1113" i="115"/>
  <c r="T1137" i="115"/>
  <c r="T1081" i="115"/>
  <c r="T1089" i="115"/>
  <c r="T1120" i="115"/>
  <c r="T1127" i="115"/>
  <c r="T1063" i="115"/>
  <c r="T1059" i="115"/>
  <c r="T1069" i="115"/>
  <c r="T1077" i="115"/>
  <c r="T1085" i="115"/>
  <c r="T1108" i="115"/>
  <c r="T1116" i="115"/>
  <c r="T1124" i="115"/>
  <c r="T1096" i="115"/>
  <c r="T1128" i="115"/>
  <c r="T1136" i="115"/>
  <c r="T1057" i="115"/>
  <c r="T1068" i="115"/>
  <c r="T1076" i="115"/>
  <c r="U1076" i="115" s="1"/>
  <c r="T1099" i="115"/>
  <c r="T1107" i="115"/>
  <c r="T1115" i="115"/>
  <c r="T1052" i="115"/>
  <c r="T1092" i="115"/>
  <c r="T1104" i="115"/>
  <c r="T1061" i="115"/>
  <c r="T1080" i="115"/>
  <c r="T1088" i="115"/>
  <c r="T1119" i="115"/>
  <c r="T1131" i="115"/>
  <c r="T1135" i="115"/>
  <c r="T1091" i="115"/>
  <c r="T1103" i="115"/>
  <c r="L50" i="3" l="1"/>
  <c r="W43" i="3" s="1"/>
  <c r="AN1861" i="68"/>
  <c r="AK1877" i="68"/>
  <c r="AF1885" i="68"/>
  <c r="AE1937" i="68"/>
  <c r="M42" i="3" s="1"/>
  <c r="M48" i="3" s="1"/>
  <c r="V1888" i="68"/>
  <c r="T1937" i="68"/>
  <c r="U1097" i="115"/>
  <c r="P1054" i="115"/>
  <c r="P1122" i="115"/>
  <c r="P1104" i="115"/>
  <c r="U1134" i="115"/>
  <c r="U1060" i="115"/>
  <c r="U1121" i="115"/>
  <c r="U1070" i="115"/>
  <c r="P1098" i="115"/>
  <c r="U1090" i="115"/>
  <c r="U1058" i="115"/>
  <c r="P1076" i="115"/>
  <c r="U1062" i="115"/>
  <c r="U1122" i="115"/>
  <c r="U1079" i="115"/>
  <c r="P1062" i="115"/>
  <c r="P1110" i="115"/>
  <c r="P1079" i="115"/>
  <c r="P1082" i="115"/>
  <c r="U1057" i="115"/>
  <c r="U1084" i="115"/>
  <c r="P1084" i="115"/>
  <c r="P1085" i="115"/>
  <c r="U1069" i="115"/>
  <c r="U1063" i="115"/>
  <c r="P1063" i="115"/>
  <c r="U1085" i="115"/>
  <c r="U1117" i="115"/>
  <c r="P1107" i="115"/>
  <c r="U1107" i="115"/>
  <c r="U1116" i="115"/>
  <c r="U1077" i="115"/>
  <c r="U1115" i="115"/>
  <c r="U1082" i="115"/>
  <c r="P1097" i="115"/>
  <c r="U1053" i="115"/>
  <c r="U1054" i="115"/>
  <c r="P1053" i="115"/>
  <c r="P1121" i="115"/>
  <c r="P1120" i="115"/>
  <c r="P1057" i="115"/>
  <c r="U1108" i="115"/>
  <c r="U1120" i="115"/>
  <c r="P1108" i="115"/>
  <c r="U1081" i="115"/>
  <c r="U1104" i="115"/>
  <c r="U1111" i="115"/>
  <c r="P1111" i="115"/>
  <c r="U1113" i="115"/>
  <c r="U1118" i="115"/>
  <c r="P1134" i="115"/>
  <c r="U1128" i="115"/>
  <c r="U1096" i="115"/>
  <c r="U1105" i="115"/>
  <c r="U1098" i="115"/>
  <c r="P1081" i="115"/>
  <c r="P1105" i="115"/>
  <c r="U1093" i="115"/>
  <c r="U1073" i="115"/>
  <c r="U1119" i="115"/>
  <c r="U1083" i="115"/>
  <c r="U1055" i="115"/>
  <c r="U1088" i="115"/>
  <c r="P1083" i="115"/>
  <c r="U1102" i="115"/>
  <c r="P1058" i="115"/>
  <c r="P1115" i="115"/>
  <c r="P1123" i="115"/>
  <c r="P1102" i="115"/>
  <c r="P1067" i="115"/>
  <c r="U1091" i="115"/>
  <c r="U1124" i="115"/>
  <c r="U1101" i="115"/>
  <c r="P1060" i="115"/>
  <c r="P1080" i="115"/>
  <c r="U1080" i="115"/>
  <c r="P1124" i="115"/>
  <c r="P1074" i="115"/>
  <c r="U1127" i="115"/>
  <c r="P1056" i="115"/>
  <c r="U1074" i="115"/>
  <c r="U1078" i="115"/>
  <c r="U1061" i="115"/>
  <c r="U1056" i="115"/>
  <c r="U1092" i="115"/>
  <c r="U1100" i="115"/>
  <c r="W1131" i="115"/>
  <c r="P1118" i="115"/>
  <c r="P1078" i="115"/>
  <c r="P1117" i="115"/>
  <c r="P1077" i="115"/>
  <c r="P1093" i="115"/>
  <c r="P1128" i="115"/>
  <c r="P1091" i="115"/>
  <c r="P1096" i="115"/>
  <c r="P1127" i="115"/>
  <c r="P1069" i="115"/>
  <c r="P1131" i="115"/>
  <c r="P1088" i="115"/>
  <c r="P1119" i="115"/>
  <c r="P1116" i="115"/>
  <c r="P1113" i="115"/>
  <c r="P1055" i="115"/>
  <c r="P1106" i="115"/>
  <c r="W1052" i="115"/>
  <c r="P1100" i="115"/>
  <c r="P1090" i="115"/>
  <c r="P1073" i="115"/>
  <c r="P1129" i="115"/>
  <c r="P1061" i="115"/>
  <c r="U1071" i="115"/>
  <c r="W1059" i="115"/>
  <c r="P1109" i="115"/>
  <c r="U1099" i="115"/>
  <c r="U1086" i="115"/>
  <c r="W1103" i="115"/>
  <c r="P1136" i="115"/>
  <c r="P1092" i="115"/>
  <c r="P1114" i="115"/>
  <c r="U1075" i="115"/>
  <c r="W1072" i="115"/>
  <c r="W1082" i="115"/>
  <c r="W1117" i="115"/>
  <c r="U1112" i="115"/>
  <c r="W1058" i="115"/>
  <c r="P1089" i="115"/>
  <c r="W1120" i="115"/>
  <c r="W1079" i="115"/>
  <c r="W1080" i="115"/>
  <c r="W1105" i="115"/>
  <c r="P1101" i="115"/>
  <c r="U1135" i="115"/>
  <c r="W1060" i="115"/>
  <c r="W1128" i="115"/>
  <c r="W1097" i="115"/>
  <c r="U1072" i="115"/>
  <c r="W1084" i="115"/>
  <c r="U1114" i="115"/>
  <c r="U1130" i="115"/>
  <c r="W1111" i="115"/>
  <c r="W1076" i="115"/>
  <c r="W1073" i="115"/>
  <c r="W1135" i="115"/>
  <c r="P1070" i="115"/>
  <c r="S1132" i="115"/>
  <c r="S1138" i="115" s="1"/>
  <c r="W1116" i="115"/>
  <c r="W1113" i="115"/>
  <c r="W1056" i="115"/>
  <c r="W1093" i="115"/>
  <c r="W1055" i="115"/>
  <c r="P1135" i="115"/>
  <c r="W1057" i="115"/>
  <c r="W1069" i="115"/>
  <c r="W1071" i="115"/>
  <c r="W1100" i="115"/>
  <c r="W1053" i="115"/>
  <c r="W1134" i="115"/>
  <c r="P1059" i="115"/>
  <c r="U1123" i="115"/>
  <c r="W1123" i="115"/>
  <c r="P1087" i="115"/>
  <c r="W1087" i="115"/>
  <c r="U1129" i="115"/>
  <c r="W1129" i="115"/>
  <c r="U1059" i="115"/>
  <c r="W1068" i="115"/>
  <c r="U1089" i="115"/>
  <c r="W1089" i="115"/>
  <c r="U1106" i="115"/>
  <c r="W1106" i="115"/>
  <c r="U1110" i="115"/>
  <c r="W1110" i="115"/>
  <c r="W1104" i="115"/>
  <c r="W1107" i="115"/>
  <c r="U1136" i="115"/>
  <c r="W1085" i="115"/>
  <c r="W1081" i="115"/>
  <c r="U1109" i="115"/>
  <c r="W1109" i="115"/>
  <c r="W1121" i="115"/>
  <c r="W1083" i="115"/>
  <c r="W1101" i="115"/>
  <c r="U1087" i="115"/>
  <c r="U1066" i="115"/>
  <c r="W1066" i="115"/>
  <c r="W1119" i="115"/>
  <c r="W1077" i="115"/>
  <c r="W1063" i="115"/>
  <c r="U1137" i="115"/>
  <c r="U1067" i="115"/>
  <c r="W1067" i="115"/>
  <c r="P1137" i="115"/>
  <c r="P1068" i="115"/>
  <c r="P1130" i="115"/>
  <c r="P1099" i="115"/>
  <c r="W1114" i="115"/>
  <c r="W1137" i="115"/>
  <c r="W1075" i="115"/>
  <c r="W1112" i="115"/>
  <c r="P1112" i="115"/>
  <c r="P1075" i="115"/>
  <c r="P1103" i="115"/>
  <c r="P1072" i="115"/>
  <c r="P1086" i="115"/>
  <c r="P1071" i="115"/>
  <c r="J1094" i="115"/>
  <c r="J1151" i="115" s="1"/>
  <c r="W1098" i="115"/>
  <c r="V1129" i="115"/>
  <c r="W1122" i="115"/>
  <c r="S1064" i="115"/>
  <c r="W1096" i="115"/>
  <c r="W1061" i="115"/>
  <c r="U1052" i="115"/>
  <c r="W1099" i="115"/>
  <c r="W1136" i="115"/>
  <c r="W1124" i="115"/>
  <c r="T1094" i="115"/>
  <c r="T1064" i="115"/>
  <c r="U1131" i="115"/>
  <c r="W1074" i="115"/>
  <c r="W1086" i="115"/>
  <c r="W1130" i="115"/>
  <c r="W1090" i="115"/>
  <c r="V1136" i="115"/>
  <c r="U1068" i="115"/>
  <c r="W1118" i="115"/>
  <c r="T1132" i="115"/>
  <c r="W1102" i="115"/>
  <c r="W1070" i="115"/>
  <c r="R1094" i="115"/>
  <c r="U1103" i="115"/>
  <c r="J1125" i="115"/>
  <c r="J1152" i="115" s="1"/>
  <c r="W1091" i="115"/>
  <c r="W1088" i="115"/>
  <c r="W1092" i="115"/>
  <c r="W1115" i="115"/>
  <c r="W1108" i="115"/>
  <c r="T1125" i="115"/>
  <c r="W1127" i="115"/>
  <c r="W1062" i="115"/>
  <c r="W1078" i="115"/>
  <c r="W1054" i="115"/>
  <c r="J1132" i="115"/>
  <c r="J1153" i="115" s="1"/>
  <c r="R1125" i="115"/>
  <c r="R1132" i="115"/>
  <c r="R1138" i="115" s="1"/>
  <c r="V1086" i="115"/>
  <c r="Q1125" i="115"/>
  <c r="Q1152" i="115" s="1"/>
  <c r="O1064" i="115"/>
  <c r="O1150" i="115" s="1"/>
  <c r="Q1094" i="115"/>
  <c r="Q1151" i="115" s="1"/>
  <c r="O1094" i="115"/>
  <c r="O1151" i="115" s="1"/>
  <c r="P1066" i="115"/>
  <c r="Q1132" i="115"/>
  <c r="O1125" i="115"/>
  <c r="O1152" i="115" s="1"/>
  <c r="Q1064" i="115"/>
  <c r="Q1150" i="115" s="1"/>
  <c r="P1052" i="115"/>
  <c r="J1064" i="115"/>
  <c r="J1150" i="115" s="1"/>
  <c r="O1132" i="115"/>
  <c r="R1064" i="115"/>
  <c r="S1094" i="115"/>
  <c r="V1131" i="115"/>
  <c r="S1125" i="115"/>
  <c r="M1094" i="115"/>
  <c r="M1125" i="115"/>
  <c r="V1052" i="115"/>
  <c r="M1064" i="115"/>
  <c r="V1066" i="115"/>
  <c r="M1132" i="115"/>
  <c r="M1138" i="115" s="1"/>
  <c r="V1127" i="115"/>
  <c r="I42" i="3" l="1"/>
  <c r="K42" i="3" s="1"/>
  <c r="Y1941" i="68"/>
  <c r="AH1885" i="68"/>
  <c r="AF1937" i="68"/>
  <c r="AL1877" i="68"/>
  <c r="P1125" i="115"/>
  <c r="P1152" i="115" s="1"/>
  <c r="P1094" i="115"/>
  <c r="P1151" i="115" s="1"/>
  <c r="P1132" i="115"/>
  <c r="P1153" i="115" s="1"/>
  <c r="R1140" i="115"/>
  <c r="M1140" i="115"/>
  <c r="V1140" i="115" s="1"/>
  <c r="S1140" i="115"/>
  <c r="M1152" i="115"/>
  <c r="V1125" i="115"/>
  <c r="U1064" i="115"/>
  <c r="W1064" i="115"/>
  <c r="Q1153" i="115"/>
  <c r="Q1138" i="115"/>
  <c r="Q1154" i="115" s="1"/>
  <c r="U1094" i="115"/>
  <c r="W1094" i="115"/>
  <c r="O1153" i="115"/>
  <c r="O1138" i="115"/>
  <c r="O1154" i="115" s="1"/>
  <c r="V1094" i="115"/>
  <c r="M1151" i="115"/>
  <c r="P1064" i="115"/>
  <c r="P1150" i="115" s="1"/>
  <c r="J1138" i="115"/>
  <c r="J1154" i="115" s="1"/>
  <c r="V1132" i="115"/>
  <c r="M1153" i="115"/>
  <c r="M1150" i="115"/>
  <c r="V1064" i="115"/>
  <c r="U1125" i="115"/>
  <c r="W1125" i="115"/>
  <c r="U1132" i="115"/>
  <c r="W1132" i="115"/>
  <c r="V1138" i="115"/>
  <c r="M1154" i="115"/>
  <c r="T1138" i="115"/>
  <c r="K48" i="3" l="1"/>
  <c r="M50" i="3"/>
  <c r="X43" i="3" s="1"/>
  <c r="M51" i="3"/>
  <c r="AN1877" i="68"/>
  <c r="AI1885" i="68"/>
  <c r="AH1937" i="68"/>
  <c r="N42" i="3" s="1"/>
  <c r="N48" i="3" s="1"/>
  <c r="P1138" i="115"/>
  <c r="P1154" i="115" s="1"/>
  <c r="J1140" i="115"/>
  <c r="J1143" i="115" s="1"/>
  <c r="O1140" i="115"/>
  <c r="Q1140" i="115"/>
  <c r="U1138" i="115"/>
  <c r="W1138" i="115"/>
  <c r="T1140" i="115"/>
  <c r="L51" i="3" l="1"/>
  <c r="K50" i="3"/>
  <c r="V43" i="3" s="1"/>
  <c r="AK1885" i="68"/>
  <c r="AI1937" i="68"/>
  <c r="P1140" i="115"/>
  <c r="W1140" i="115"/>
  <c r="U1140" i="115"/>
  <c r="N51" i="3" l="1"/>
  <c r="N50" i="3"/>
  <c r="Y43" i="3" s="1"/>
  <c r="AL1885" i="68"/>
  <c r="AK1937" i="68"/>
  <c r="O42" i="3" s="1"/>
  <c r="O48" i="3" s="1"/>
  <c r="AN1885" i="68" l="1"/>
  <c r="AN1937" i="68" s="1"/>
  <c r="P42" i="3" s="1"/>
  <c r="P48" i="3" s="1"/>
  <c r="AL1937" i="68"/>
  <c r="O51" i="3" l="1"/>
  <c r="O50" i="3"/>
  <c r="Z43" i="3" s="1"/>
  <c r="P51" i="3" l="1"/>
  <c r="P50" i="3"/>
  <c r="AA43" i="3" s="1"/>
  <c r="S23" i="9" l="1"/>
  <c r="U22" i="9" s="1"/>
  <c r="J24" i="9"/>
  <c r="S24" i="9" s="1"/>
  <c r="Z606" i="114" s="1"/>
  <c r="AB606" i="114" l="1"/>
  <c r="Z613" i="114"/>
  <c r="U23" i="9"/>
  <c r="L19" i="6"/>
  <c r="U24" i="9"/>
  <c r="L20" i="6"/>
  <c r="J25" i="9"/>
  <c r="AB613" i="114" l="1"/>
  <c r="L89" i="3" s="1"/>
  <c r="J26" i="9"/>
  <c r="S25" i="9"/>
  <c r="AC606" i="114" s="1"/>
  <c r="AC613" i="114" s="1"/>
  <c r="AE606" i="114" l="1"/>
  <c r="U25" i="9"/>
  <c r="L21" i="6"/>
  <c r="S26" i="9"/>
  <c r="AF606" i="114" s="1"/>
  <c r="AF613" i="114" s="1"/>
  <c r="J27" i="9"/>
  <c r="AH606" i="114" l="1"/>
  <c r="AE613" i="114"/>
  <c r="M89" i="3" s="1"/>
  <c r="J28" i="9"/>
  <c r="S27" i="9"/>
  <c r="AI606" i="114" s="1"/>
  <c r="AI613" i="114" s="1"/>
  <c r="L22" i="6"/>
  <c r="U26" i="9"/>
  <c r="AK606" i="114" l="1"/>
  <c r="AH613" i="114"/>
  <c r="N89" i="3" s="1"/>
  <c r="L23" i="6"/>
  <c r="U27" i="9"/>
  <c r="S28" i="9"/>
  <c r="AL606" i="114" s="1"/>
  <c r="AL613" i="114" s="1"/>
  <c r="J29" i="9"/>
  <c r="AN606" i="114" l="1"/>
  <c r="AN613" i="114" s="1"/>
  <c r="P89" i="3" s="1"/>
  <c r="AK613" i="114"/>
  <c r="O89" i="3" s="1"/>
  <c r="U28" i="9"/>
  <c r="L24" i="6"/>
  <c r="S29" i="9"/>
  <c r="J30" i="9"/>
  <c r="L25" i="6" l="1"/>
  <c r="U29" i="9"/>
  <c r="S30" i="9"/>
  <c r="J31" i="9"/>
  <c r="L26" i="6" l="1"/>
  <c r="U30" i="9"/>
  <c r="S31" i="9"/>
  <c r="J32" i="9"/>
  <c r="U31" i="9" l="1"/>
  <c r="L27" i="6"/>
  <c r="S32" i="9"/>
  <c r="J33" i="9"/>
  <c r="S33" i="9" l="1"/>
  <c r="J34" i="9"/>
  <c r="U32" i="9"/>
  <c r="L28" i="6"/>
  <c r="J35" i="9" l="1"/>
  <c r="S34" i="9"/>
  <c r="U33" i="9"/>
  <c r="L29" i="6"/>
  <c r="U34" i="9" l="1"/>
  <c r="L30" i="6"/>
  <c r="J36" i="9"/>
  <c r="S35" i="9"/>
  <c r="U35" i="9" l="1"/>
  <c r="L31" i="6"/>
  <c r="J37" i="9"/>
  <c r="S36" i="9"/>
  <c r="U36" i="9" l="1"/>
  <c r="L32" i="6"/>
  <c r="S37" i="9"/>
  <c r="J38" i="9"/>
  <c r="U37" i="9" l="1"/>
  <c r="L33" i="6"/>
  <c r="J39" i="9"/>
  <c r="S38" i="9"/>
  <c r="L34" i="6" l="1"/>
  <c r="U38" i="9"/>
  <c r="J40" i="9"/>
  <c r="S39" i="9"/>
  <c r="S40" i="9" l="1"/>
  <c r="J41" i="9"/>
  <c r="L35" i="6"/>
  <c r="U39" i="9"/>
  <c r="S41" i="9" l="1"/>
  <c r="J42" i="9"/>
  <c r="L36" i="6"/>
  <c r="U40" i="9"/>
  <c r="L37" i="6" l="1"/>
  <c r="U41" i="9"/>
  <c r="J44" i="9"/>
  <c r="J43" i="9"/>
  <c r="S42" i="9"/>
  <c r="L38" i="6" l="1"/>
  <c r="U42" i="9"/>
  <c r="S43" i="9"/>
  <c r="J45" i="9"/>
  <c r="S45" i="9" s="1"/>
  <c r="L41" i="6" s="1"/>
  <c r="S44" i="9"/>
  <c r="L40" i="6" s="1"/>
  <c r="J48" i="9"/>
  <c r="J49" i="9" s="1"/>
  <c r="U43" i="9" l="1"/>
  <c r="L39" i="6"/>
  <c r="P1570" i="68" l="1"/>
  <c r="B48" i="6" l="1"/>
  <c r="D50" i="6"/>
  <c r="D19" i="6" s="1"/>
  <c r="D52" i="6"/>
  <c r="D59" i="6"/>
  <c r="C19" i="6" l="1"/>
  <c r="G19" i="6"/>
  <c r="H44" i="6"/>
  <c r="V2" i="6"/>
  <c r="D20" i="6"/>
  <c r="AL19" i="6"/>
  <c r="G56" i="6" l="1"/>
  <c r="G57" i="6" s="1"/>
  <c r="AJ19" i="6"/>
  <c r="D21" i="6"/>
  <c r="G20" i="6"/>
  <c r="J43" i="6" l="1"/>
  <c r="K19" i="6"/>
  <c r="U46" i="6"/>
  <c r="O47" i="6"/>
  <c r="Q47" i="6" s="1"/>
  <c r="N19" i="6"/>
  <c r="D87" i="6"/>
  <c r="D88" i="6" s="1"/>
  <c r="AE2" i="6"/>
  <c r="J20" i="6"/>
  <c r="G21" i="6"/>
  <c r="D22" i="6"/>
  <c r="U21" i="6" l="1"/>
  <c r="Y19" i="6"/>
  <c r="Y12" i="6"/>
  <c r="Y8" i="6"/>
  <c r="Y18" i="6"/>
  <c r="Z19" i="6"/>
  <c r="Q583" i="114"/>
  <c r="Z8" i="6"/>
  <c r="Z6" i="6"/>
  <c r="Z10" i="6"/>
  <c r="Z16" i="6"/>
  <c r="Z12" i="6"/>
  <c r="Z18" i="6"/>
  <c r="Y15" i="6"/>
  <c r="Y9" i="6"/>
  <c r="Z9" i="6"/>
  <c r="Y17" i="6"/>
  <c r="Z13" i="6"/>
  <c r="Y10" i="6"/>
  <c r="Y13" i="6"/>
  <c r="Z17" i="6"/>
  <c r="Y14" i="6"/>
  <c r="Y7" i="6"/>
  <c r="Y6" i="6"/>
  <c r="Z15" i="6"/>
  <c r="Z7" i="6"/>
  <c r="Y16" i="6"/>
  <c r="O61" i="6"/>
  <c r="Y11" i="6"/>
  <c r="Z11" i="6"/>
  <c r="Z14" i="6"/>
  <c r="P47" i="6"/>
  <c r="P46" i="6" s="1"/>
  <c r="Q46" i="6"/>
  <c r="E87" i="6"/>
  <c r="V46" i="6"/>
  <c r="O19" i="6"/>
  <c r="O46" i="6"/>
  <c r="D23" i="6"/>
  <c r="G22" i="6"/>
  <c r="K20" i="6"/>
  <c r="O20" i="6" s="1"/>
  <c r="Z10" i="68" s="1"/>
  <c r="AB10" i="68" s="1"/>
  <c r="AB97" i="68" s="1"/>
  <c r="AB1939" i="68" s="1"/>
  <c r="N20" i="6"/>
  <c r="Z583" i="114" s="1"/>
  <c r="J21" i="6"/>
  <c r="Q19" i="6" l="1"/>
  <c r="R19" i="6" s="1"/>
  <c r="AF11" i="6"/>
  <c r="AF16" i="6"/>
  <c r="AE11" i="6"/>
  <c r="AF14" i="6"/>
  <c r="V22" i="6"/>
  <c r="AF8" i="6"/>
  <c r="AE12" i="6"/>
  <c r="AE17" i="6"/>
  <c r="AF10" i="6"/>
  <c r="AF17" i="6"/>
  <c r="AE15" i="6"/>
  <c r="AE9" i="6"/>
  <c r="AE10" i="6"/>
  <c r="AF6" i="6"/>
  <c r="AF9" i="6"/>
  <c r="AE6" i="6"/>
  <c r="AE16" i="6"/>
  <c r="AF12" i="6"/>
  <c r="AE14" i="6"/>
  <c r="AA10" i="6"/>
  <c r="AA15" i="6"/>
  <c r="AA9" i="6"/>
  <c r="AB14" i="6"/>
  <c r="AB9" i="6"/>
  <c r="AA7" i="6"/>
  <c r="Q10" i="68"/>
  <c r="AB17" i="6"/>
  <c r="AB6" i="6"/>
  <c r="AA13" i="6"/>
  <c r="AB10" i="6"/>
  <c r="V25" i="6"/>
  <c r="AB18" i="6"/>
  <c r="AA14" i="6"/>
  <c r="AB7" i="6"/>
  <c r="AA16" i="6"/>
  <c r="AA12" i="6"/>
  <c r="AA8" i="6"/>
  <c r="AA17" i="6"/>
  <c r="AA6" i="6"/>
  <c r="AB19" i="6"/>
  <c r="AA19" i="6"/>
  <c r="AB15" i="6"/>
  <c r="AB16" i="6"/>
  <c r="AB13" i="6"/>
  <c r="AB8" i="6"/>
  <c r="AA11" i="6"/>
  <c r="O60" i="6"/>
  <c r="AB11" i="6"/>
  <c r="AA18" i="6"/>
  <c r="AB12" i="6"/>
  <c r="Q55" i="6"/>
  <c r="Q53" i="6"/>
  <c r="R46" i="6"/>
  <c r="R48" i="6" s="1"/>
  <c r="Q52" i="6"/>
  <c r="Q598" i="114"/>
  <c r="Q615" i="114" s="1"/>
  <c r="T583" i="114"/>
  <c r="Y583" i="114" s="1"/>
  <c r="T19" i="6"/>
  <c r="R49" i="6"/>
  <c r="O48" i="6"/>
  <c r="S19" i="6"/>
  <c r="Q61" i="6"/>
  <c r="P61" i="6"/>
  <c r="J22" i="6"/>
  <c r="K21" i="6"/>
  <c r="O21" i="6" s="1"/>
  <c r="AC10" i="68" s="1"/>
  <c r="N21" i="6"/>
  <c r="AC583" i="114" s="1"/>
  <c r="Q20" i="6"/>
  <c r="U20" i="6" s="1"/>
  <c r="T20" i="6"/>
  <c r="S20" i="6"/>
  <c r="R20" i="6"/>
  <c r="D24" i="6"/>
  <c r="G23" i="6"/>
  <c r="AB583" i="114" l="1"/>
  <c r="Y598" i="114"/>
  <c r="Z97" i="68"/>
  <c r="Z1939" i="68" s="1"/>
  <c r="AE10" i="68"/>
  <c r="AE18" i="6"/>
  <c r="U19" i="6"/>
  <c r="AF19" i="6"/>
  <c r="AM19" i="6"/>
  <c r="AE8" i="6"/>
  <c r="AF15" i="6"/>
  <c r="W28" i="6"/>
  <c r="AF7" i="6"/>
  <c r="AK19" i="6"/>
  <c r="AF13" i="6"/>
  <c r="AE19" i="6"/>
  <c r="AE7" i="6"/>
  <c r="AF18" i="6"/>
  <c r="AE13" i="6"/>
  <c r="P50" i="6"/>
  <c r="Q50" i="6"/>
  <c r="P49" i="6"/>
  <c r="Q49" i="6"/>
  <c r="R50" i="6"/>
  <c r="Q96" i="68"/>
  <c r="Q8" i="68" s="1"/>
  <c r="T10" i="68"/>
  <c r="R47" i="6"/>
  <c r="F109" i="6"/>
  <c r="K109" i="6" s="1"/>
  <c r="T598" i="114"/>
  <c r="I88" i="3" s="1"/>
  <c r="U583" i="114"/>
  <c r="V583" i="114"/>
  <c r="P60" i="6"/>
  <c r="P64" i="6" s="1"/>
  <c r="P69" i="6" s="1"/>
  <c r="P70" i="6" s="1"/>
  <c r="P71" i="6" s="1"/>
  <c r="O64" i="6"/>
  <c r="Q60" i="6"/>
  <c r="D25" i="6"/>
  <c r="G24" i="6"/>
  <c r="K22" i="6"/>
  <c r="O22" i="6" s="1"/>
  <c r="AF10" i="68" s="1"/>
  <c r="N22" i="6"/>
  <c r="AF583" i="114" s="1"/>
  <c r="J23" i="6"/>
  <c r="T21" i="6"/>
  <c r="S21" i="6"/>
  <c r="Q21" i="6"/>
  <c r="R21" i="6"/>
  <c r="Z598" i="114" l="1"/>
  <c r="I90" i="3"/>
  <c r="K88" i="3"/>
  <c r="K90" i="3" s="1"/>
  <c r="AB598" i="114"/>
  <c r="L88" i="3" s="1"/>
  <c r="L90" i="3" s="1"/>
  <c r="L41" i="3"/>
  <c r="AC97" i="68"/>
  <c r="AC1939" i="68" s="1"/>
  <c r="AE97" i="68"/>
  <c r="AH10" i="68"/>
  <c r="W20" i="6"/>
  <c r="X19" i="6"/>
  <c r="X20" i="6" s="1"/>
  <c r="U598" i="114"/>
  <c r="V598" i="114"/>
  <c r="E109" i="6"/>
  <c r="J109" i="6" s="1"/>
  <c r="T96" i="68"/>
  <c r="I41" i="3" s="1"/>
  <c r="U10" i="68"/>
  <c r="V10" i="68"/>
  <c r="Q64" i="6"/>
  <c r="P65" i="6"/>
  <c r="R61" i="6"/>
  <c r="Q7" i="68"/>
  <c r="Q1939" i="68"/>
  <c r="R60" i="6"/>
  <c r="T615" i="114"/>
  <c r="K23" i="6"/>
  <c r="O23" i="6" s="1"/>
  <c r="N23" i="6"/>
  <c r="AI583" i="114" s="1"/>
  <c r="J24" i="6"/>
  <c r="R22" i="6"/>
  <c r="G25" i="6"/>
  <c r="D26" i="6"/>
  <c r="S22" i="6"/>
  <c r="T22" i="6"/>
  <c r="Q22" i="6"/>
  <c r="AE583" i="114" l="1"/>
  <c r="AC598" i="114"/>
  <c r="AI10" i="68"/>
  <c r="AK10" i="68" s="1"/>
  <c r="L43" i="3"/>
  <c r="L47" i="3" s="1"/>
  <c r="L49" i="3" s="1"/>
  <c r="M41" i="3"/>
  <c r="AE1939" i="68"/>
  <c r="T1939" i="68"/>
  <c r="U96" i="68"/>
  <c r="V96" i="68"/>
  <c r="V615" i="114"/>
  <c r="U615" i="114"/>
  <c r="R23" i="6"/>
  <c r="G26" i="6"/>
  <c r="D27" i="6"/>
  <c r="J25" i="6"/>
  <c r="N24" i="6"/>
  <c r="AL583" i="114" s="1"/>
  <c r="K24" i="6"/>
  <c r="O24" i="6" s="1"/>
  <c r="S23" i="6"/>
  <c r="T23" i="6"/>
  <c r="Q23" i="6"/>
  <c r="AE598" i="114" l="1"/>
  <c r="M88" i="3" s="1"/>
  <c r="M90" i="3" s="1"/>
  <c r="AL10" i="68"/>
  <c r="M43" i="3"/>
  <c r="M47" i="3" s="1"/>
  <c r="M49" i="3" s="1"/>
  <c r="AN10" i="68"/>
  <c r="K41" i="3"/>
  <c r="I43" i="3"/>
  <c r="R24" i="6"/>
  <c r="K25" i="6"/>
  <c r="O25" i="6" s="1"/>
  <c r="R25" i="6" s="1"/>
  <c r="N25" i="6"/>
  <c r="J26" i="6"/>
  <c r="D28" i="6"/>
  <c r="G27" i="6"/>
  <c r="T24" i="6"/>
  <c r="S24" i="6"/>
  <c r="Q24" i="6"/>
  <c r="AH583" i="114" l="1"/>
  <c r="K43" i="3"/>
  <c r="L91" i="3"/>
  <c r="G28" i="6"/>
  <c r="D29" i="6"/>
  <c r="K26" i="6"/>
  <c r="O26" i="6" s="1"/>
  <c r="R26" i="6" s="1"/>
  <c r="N26" i="6"/>
  <c r="J27" i="6"/>
  <c r="S25" i="6"/>
  <c r="T25" i="6"/>
  <c r="Q25" i="6"/>
  <c r="M91" i="3" l="1"/>
  <c r="X48" i="3" s="1"/>
  <c r="W48" i="3"/>
  <c r="K27" i="6"/>
  <c r="O27" i="6" s="1"/>
  <c r="R27" i="6" s="1"/>
  <c r="N27" i="6"/>
  <c r="J28" i="6"/>
  <c r="Q26" i="6"/>
  <c r="S26" i="6"/>
  <c r="T26" i="6"/>
  <c r="D30" i="6"/>
  <c r="G29" i="6"/>
  <c r="AK583" i="114" l="1"/>
  <c r="G30" i="6"/>
  <c r="D31" i="6"/>
  <c r="J29" i="6"/>
  <c r="N28" i="6"/>
  <c r="K28" i="6"/>
  <c r="O28" i="6" s="1"/>
  <c r="R28" i="6" s="1"/>
  <c r="S27" i="6"/>
  <c r="Q27" i="6"/>
  <c r="T27" i="6"/>
  <c r="J30" i="6" l="1"/>
  <c r="K29" i="6"/>
  <c r="O29" i="6" s="1"/>
  <c r="R29" i="6" s="1"/>
  <c r="N29" i="6"/>
  <c r="Q28" i="6"/>
  <c r="S28" i="6"/>
  <c r="T28" i="6"/>
  <c r="G31" i="6"/>
  <c r="D32" i="6"/>
  <c r="AN583" i="114" l="1"/>
  <c r="L44" i="3"/>
  <c r="K30" i="6"/>
  <c r="O30" i="6" s="1"/>
  <c r="R30" i="6" s="1"/>
  <c r="N30" i="6"/>
  <c r="J31" i="6"/>
  <c r="S29" i="6"/>
  <c r="Q29" i="6"/>
  <c r="T29" i="6"/>
  <c r="D33" i="6"/>
  <c r="G32" i="6"/>
  <c r="W41" i="3" l="1"/>
  <c r="M44" i="3"/>
  <c r="G33" i="6"/>
  <c r="D34" i="6"/>
  <c r="N31" i="6"/>
  <c r="J32" i="6"/>
  <c r="K31" i="6"/>
  <c r="O31" i="6" s="1"/>
  <c r="R31" i="6" s="1"/>
  <c r="Q30" i="6"/>
  <c r="S30" i="6"/>
  <c r="T30" i="6"/>
  <c r="X41" i="3" l="1"/>
  <c r="J33" i="6"/>
  <c r="K32" i="6"/>
  <c r="O32" i="6" s="1"/>
  <c r="R32" i="6" s="1"/>
  <c r="N32" i="6"/>
  <c r="S31" i="6"/>
  <c r="Q31" i="6"/>
  <c r="T31" i="6"/>
  <c r="G34" i="6"/>
  <c r="D35" i="6"/>
  <c r="D36" i="6" l="1"/>
  <c r="G35" i="6"/>
  <c r="Q32" i="6"/>
  <c r="S32" i="6"/>
  <c r="T32" i="6"/>
  <c r="K33" i="6"/>
  <c r="O33" i="6" s="1"/>
  <c r="R33" i="6" s="1"/>
  <c r="N33" i="6"/>
  <c r="J34" i="6"/>
  <c r="G36" i="6" l="1"/>
  <c r="D37" i="6"/>
  <c r="K34" i="6"/>
  <c r="O34" i="6" s="1"/>
  <c r="R34" i="6" s="1"/>
  <c r="N34" i="6"/>
  <c r="J35" i="6"/>
  <c r="S33" i="6"/>
  <c r="T33" i="6"/>
  <c r="Q33" i="6"/>
  <c r="K35" i="6" l="1"/>
  <c r="O35" i="6" s="1"/>
  <c r="R35" i="6" s="1"/>
  <c r="N35" i="6"/>
  <c r="J36" i="6"/>
  <c r="Q34" i="6"/>
  <c r="S34" i="6"/>
  <c r="T34" i="6"/>
  <c r="D38" i="6"/>
  <c r="G37" i="6"/>
  <c r="G38" i="6" l="1"/>
  <c r="D39" i="6"/>
  <c r="J37" i="6"/>
  <c r="N36" i="6"/>
  <c r="K36" i="6"/>
  <c r="O36" i="6" s="1"/>
  <c r="R36" i="6" s="1"/>
  <c r="S35" i="6"/>
  <c r="Q35" i="6"/>
  <c r="T35" i="6"/>
  <c r="Q36" i="6" l="1"/>
  <c r="S36" i="6"/>
  <c r="T36" i="6"/>
  <c r="J38" i="6"/>
  <c r="K37" i="6"/>
  <c r="O37" i="6" s="1"/>
  <c r="R37" i="6" s="1"/>
  <c r="N37" i="6"/>
  <c r="D40" i="6"/>
  <c r="G39" i="6"/>
  <c r="D41" i="6" l="1"/>
  <c r="G41" i="6" s="1"/>
  <c r="G40" i="6"/>
  <c r="S37" i="6"/>
  <c r="Q37" i="6"/>
  <c r="T37" i="6"/>
  <c r="K38" i="6"/>
  <c r="O38" i="6" s="1"/>
  <c r="R38" i="6" s="1"/>
  <c r="N38" i="6"/>
  <c r="J39" i="6"/>
  <c r="N39" i="6" l="1"/>
  <c r="J40" i="6"/>
  <c r="K39" i="6"/>
  <c r="O39" i="6" s="1"/>
  <c r="R39" i="6" s="1"/>
  <c r="Q38" i="6"/>
  <c r="S38" i="6"/>
  <c r="T38" i="6"/>
  <c r="S39" i="6" l="1"/>
  <c r="Q39" i="6"/>
  <c r="T39" i="6"/>
  <c r="J41" i="6"/>
  <c r="K40" i="6"/>
  <c r="O40" i="6" s="1"/>
  <c r="R40" i="6" s="1"/>
  <c r="N40" i="6"/>
  <c r="Q40" i="6" l="1"/>
  <c r="S40" i="6"/>
  <c r="T40" i="6"/>
  <c r="K41" i="6"/>
  <c r="O41" i="6" s="1"/>
  <c r="R41" i="6" s="1"/>
  <c r="N41" i="6"/>
  <c r="S41" i="6" l="1"/>
  <c r="Q41" i="6"/>
  <c r="T41" i="6"/>
  <c r="Z395" i="114" l="1"/>
  <c r="AB395" i="114" s="1"/>
  <c r="D162" i="103"/>
  <c r="Z396" i="114" s="1"/>
  <c r="AB396" i="114" s="1"/>
  <c r="AC396" i="114" s="1"/>
  <c r="AE396" i="114" s="1"/>
  <c r="AF396" i="114" s="1"/>
  <c r="AH396" i="114" s="1"/>
  <c r="AI396" i="114" s="1"/>
  <c r="AK396" i="114" s="1"/>
  <c r="AL396" i="114" s="1"/>
  <c r="AN396" i="114" s="1"/>
  <c r="D163" i="103" l="1"/>
  <c r="Z397" i="114" s="1"/>
  <c r="AB397" i="114" s="1"/>
  <c r="AC397" i="114" s="1"/>
  <c r="AE397" i="114" s="1"/>
  <c r="AF397" i="114" s="1"/>
  <c r="AH397" i="114" s="1"/>
  <c r="AI397" i="114" s="1"/>
  <c r="AK397" i="114" s="1"/>
  <c r="AL397" i="114" s="1"/>
  <c r="AN397" i="114" s="1"/>
  <c r="AC395" i="114"/>
  <c r="D164" i="103"/>
  <c r="AE395" i="114" l="1"/>
  <c r="D165" i="103"/>
  <c r="Z398" i="114"/>
  <c r="Z399" i="114" l="1"/>
  <c r="AB399" i="114" s="1"/>
  <c r="AC399" i="114" s="1"/>
  <c r="AE399" i="114" s="1"/>
  <c r="AF399" i="114" s="1"/>
  <c r="AH399" i="114" s="1"/>
  <c r="AI399" i="114" s="1"/>
  <c r="AK399" i="114" s="1"/>
  <c r="AL399" i="114" s="1"/>
  <c r="AN399" i="114" s="1"/>
  <c r="D166" i="103"/>
  <c r="AB398" i="114"/>
  <c r="AF395" i="114"/>
  <c r="AH395" i="114" l="1"/>
  <c r="AC398" i="114"/>
  <c r="Z400" i="114"/>
  <c r="AB400" i="114" s="1"/>
  <c r="AC400" i="114" s="1"/>
  <c r="AE400" i="114" s="1"/>
  <c r="AF400" i="114" s="1"/>
  <c r="AH400" i="114" s="1"/>
  <c r="AI400" i="114" s="1"/>
  <c r="AK400" i="114" s="1"/>
  <c r="AL400" i="114" s="1"/>
  <c r="AN400" i="114" s="1"/>
  <c r="D167" i="103"/>
  <c r="D170" i="103" s="1"/>
  <c r="D171" i="103" s="1"/>
  <c r="D172" i="103" s="1"/>
  <c r="D173" i="103" s="1"/>
  <c r="D174" i="103" s="1"/>
  <c r="D175" i="103" s="1"/>
  <c r="D176" i="103" s="1"/>
  <c r="D177" i="103" s="1"/>
  <c r="D178" i="103" s="1"/>
  <c r="D179" i="103" s="1"/>
  <c r="D180" i="103" s="1"/>
  <c r="D181" i="103" s="1"/>
  <c r="D182" i="103" s="1"/>
  <c r="D183" i="103" s="1"/>
  <c r="D184" i="103" s="1"/>
  <c r="D185" i="103" s="1"/>
  <c r="D186" i="103" s="1"/>
  <c r="D187" i="103" s="1"/>
  <c r="D191" i="103" s="1"/>
  <c r="Z569" i="114" l="1"/>
  <c r="AB569" i="114" s="1"/>
  <c r="AC569" i="114" s="1"/>
  <c r="AE569" i="114" s="1"/>
  <c r="AF569" i="114" s="1"/>
  <c r="AH569" i="114" s="1"/>
  <c r="AI569" i="114" s="1"/>
  <c r="AK569" i="114" s="1"/>
  <c r="AL569" i="114" s="1"/>
  <c r="AN569" i="114" s="1"/>
  <c r="Z406" i="114"/>
  <c r="AB406" i="114"/>
  <c r="L72" i="3" s="1"/>
  <c r="L74" i="3" s="1"/>
  <c r="L75" i="3" s="1"/>
  <c r="W46" i="3" s="1"/>
  <c r="AE398" i="114"/>
  <c r="AC406" i="114"/>
  <c r="AI395" i="114"/>
  <c r="AK395" i="114" l="1"/>
  <c r="AF398" i="114"/>
  <c r="AE406" i="114"/>
  <c r="M72" i="3" s="1"/>
  <c r="M74" i="3" s="1"/>
  <c r="M75" i="3" s="1"/>
  <c r="X46" i="3" s="1"/>
  <c r="D213" i="103"/>
  <c r="Z677" i="114"/>
  <c r="AB677" i="114" s="1"/>
  <c r="AC677" i="114" s="1"/>
  <c r="AE677" i="114" s="1"/>
  <c r="AF677" i="114" s="1"/>
  <c r="AH677" i="114" s="1"/>
  <c r="AI677" i="114" s="1"/>
  <c r="AK677" i="114" s="1"/>
  <c r="AL677" i="114" s="1"/>
  <c r="AN677" i="114" s="1"/>
  <c r="D192" i="103"/>
  <c r="Z562" i="114"/>
  <c r="D214" i="103" l="1"/>
  <c r="Z676" i="114"/>
  <c r="AH398" i="114"/>
  <c r="AB562" i="114"/>
  <c r="Z563" i="114"/>
  <c r="AB563" i="114" s="1"/>
  <c r="AC563" i="114" s="1"/>
  <c r="AE563" i="114" s="1"/>
  <c r="AF563" i="114" s="1"/>
  <c r="AH563" i="114" s="1"/>
  <c r="AI563" i="114" s="1"/>
  <c r="AK563" i="114" s="1"/>
  <c r="AL563" i="114" s="1"/>
  <c r="AN563" i="114" s="1"/>
  <c r="D193" i="103"/>
  <c r="AL395" i="114"/>
  <c r="AN395" i="114" l="1"/>
  <c r="D194" i="103"/>
  <c r="Z564" i="114"/>
  <c r="AB564" i="114" s="1"/>
  <c r="AC564" i="114" s="1"/>
  <c r="AE564" i="114" s="1"/>
  <c r="AF564" i="114" s="1"/>
  <c r="AH564" i="114" s="1"/>
  <c r="AI564" i="114" s="1"/>
  <c r="AK564" i="114" s="1"/>
  <c r="AL564" i="114" s="1"/>
  <c r="AN564" i="114" s="1"/>
  <c r="AC562" i="114"/>
  <c r="AI398" i="114"/>
  <c r="AB676" i="114"/>
  <c r="D215" i="103"/>
  <c r="Z678" i="114"/>
  <c r="AB678" i="114" s="1"/>
  <c r="AC678" i="114" s="1"/>
  <c r="AE678" i="114" s="1"/>
  <c r="AF678" i="114" s="1"/>
  <c r="AH678" i="114" s="1"/>
  <c r="AI678" i="114" s="1"/>
  <c r="AK678" i="114" s="1"/>
  <c r="AL678" i="114" s="1"/>
  <c r="AN678" i="114" s="1"/>
  <c r="AC676" i="114" l="1"/>
  <c r="AK398" i="114"/>
  <c r="Z679" i="114"/>
  <c r="AB679" i="114" s="1"/>
  <c r="AC679" i="114" s="1"/>
  <c r="AE679" i="114" s="1"/>
  <c r="AF679" i="114" s="1"/>
  <c r="AH679" i="114" s="1"/>
  <c r="AI679" i="114" s="1"/>
  <c r="AK679" i="114" s="1"/>
  <c r="AL679" i="114" s="1"/>
  <c r="AN679" i="114" s="1"/>
  <c r="D216" i="103"/>
  <c r="AE562" i="114"/>
  <c r="Z565" i="114"/>
  <c r="AB565" i="114" s="1"/>
  <c r="AC565" i="114" s="1"/>
  <c r="AE565" i="114" s="1"/>
  <c r="AF565" i="114" s="1"/>
  <c r="AH565" i="114" s="1"/>
  <c r="AI565" i="114" s="1"/>
  <c r="AK565" i="114" s="1"/>
  <c r="AL565" i="114" s="1"/>
  <c r="AN565" i="114" s="1"/>
  <c r="D195" i="103"/>
  <c r="AF562" i="114" l="1"/>
  <c r="Z680" i="114"/>
  <c r="AB680" i="114" s="1"/>
  <c r="AC680" i="114" s="1"/>
  <c r="AE680" i="114" s="1"/>
  <c r="AF680" i="114" s="1"/>
  <c r="AH680" i="114" s="1"/>
  <c r="AI680" i="114" s="1"/>
  <c r="AK680" i="114" s="1"/>
  <c r="AL680" i="114" s="1"/>
  <c r="AN680" i="114" s="1"/>
  <c r="D220" i="103"/>
  <c r="D221" i="103" s="1"/>
  <c r="D222" i="103" s="1"/>
  <c r="D223" i="103" s="1"/>
  <c r="D224" i="103" s="1"/>
  <c r="D225" i="103" s="1"/>
  <c r="D226" i="103" s="1"/>
  <c r="D227" i="103" s="1"/>
  <c r="D228" i="103" s="1"/>
  <c r="D229" i="103" s="1"/>
  <c r="D230" i="103" s="1"/>
  <c r="D231" i="103" s="1"/>
  <c r="D232" i="103" s="1"/>
  <c r="D233" i="103" s="1"/>
  <c r="AL398" i="114"/>
  <c r="Z566" i="114"/>
  <c r="AB566" i="114" s="1"/>
  <c r="AC566" i="114" s="1"/>
  <c r="AE566" i="114" s="1"/>
  <c r="AF566" i="114" s="1"/>
  <c r="AH566" i="114" s="1"/>
  <c r="AI566" i="114" s="1"/>
  <c r="AK566" i="114" s="1"/>
  <c r="AL566" i="114" s="1"/>
  <c r="AN566" i="114" s="1"/>
  <c r="D196" i="103"/>
  <c r="AE676" i="114"/>
  <c r="Z689" i="114" l="1"/>
  <c r="AB689" i="114"/>
  <c r="L112" i="3" s="1"/>
  <c r="L114" i="3" s="1"/>
  <c r="L115" i="3" s="1"/>
  <c r="W51" i="3" s="1"/>
  <c r="AC689" i="114"/>
  <c r="AF676" i="114"/>
  <c r="AE689" i="114"/>
  <c r="M112" i="3" s="1"/>
  <c r="M114" i="3" s="1"/>
  <c r="Z567" i="114"/>
  <c r="AB567" i="114" s="1"/>
  <c r="AC567" i="114" s="1"/>
  <c r="AE567" i="114" s="1"/>
  <c r="AF567" i="114" s="1"/>
  <c r="AH567" i="114" s="1"/>
  <c r="AI567" i="114" s="1"/>
  <c r="AK567" i="114" s="1"/>
  <c r="AL567" i="114" s="1"/>
  <c r="AN567" i="114" s="1"/>
  <c r="D197" i="103"/>
  <c r="Z568" i="114" s="1"/>
  <c r="AB568" i="114" s="1"/>
  <c r="AC568" i="114" s="1"/>
  <c r="AE568" i="114" s="1"/>
  <c r="AF568" i="114" s="1"/>
  <c r="AH568" i="114" s="1"/>
  <c r="AI568" i="114" s="1"/>
  <c r="AK568" i="114" s="1"/>
  <c r="AL568" i="114" s="1"/>
  <c r="AN568" i="114" s="1"/>
  <c r="AN398" i="114"/>
  <c r="AH562" i="114"/>
  <c r="M115" i="3" l="1"/>
  <c r="X51" i="3" s="1"/>
  <c r="AC572" i="114"/>
  <c r="AI562" i="114"/>
  <c r="AE572" i="114"/>
  <c r="M80" i="3" s="1"/>
  <c r="M82" i="3" s="1"/>
  <c r="Z572" i="114"/>
  <c r="AB572" i="114"/>
  <c r="L80" i="3" s="1"/>
  <c r="L82" i="3" s="1"/>
  <c r="L83" i="3" s="1"/>
  <c r="W47" i="3" s="1"/>
  <c r="AH676" i="114"/>
  <c r="M83" i="3" l="1"/>
  <c r="AI676" i="114"/>
  <c r="AK562" i="114"/>
  <c r="X47" i="3" l="1"/>
  <c r="AL562" i="114"/>
  <c r="AK676" i="114"/>
  <c r="AL676" i="114" l="1"/>
  <c r="AN562" i="114"/>
  <c r="AN676" i="114" l="1"/>
  <c r="H84" i="103"/>
  <c r="H132" i="103" s="1"/>
  <c r="F84" i="103"/>
  <c r="AF685" i="114" s="1"/>
  <c r="AF689" i="114" l="1"/>
  <c r="AH685" i="114"/>
  <c r="AF19" i="114"/>
  <c r="AF591" i="114"/>
  <c r="AF740" i="114"/>
  <c r="AF327" i="114"/>
  <c r="AF655" i="114"/>
  <c r="AF571" i="114"/>
  <c r="AF404" i="114"/>
  <c r="AF82" i="68"/>
  <c r="AF623" i="114"/>
  <c r="F132" i="103"/>
  <c r="AH571" i="114" l="1"/>
  <c r="AF572" i="114"/>
  <c r="AF329" i="114"/>
  <c r="AH327" i="114"/>
  <c r="AF627" i="114"/>
  <c r="AH623" i="114"/>
  <c r="AF741" i="114"/>
  <c r="AH740" i="114"/>
  <c r="AH82" i="68"/>
  <c r="AF97" i="68"/>
  <c r="AF1939" i="68" s="1"/>
  <c r="AH591" i="114"/>
  <c r="AF598" i="114"/>
  <c r="AF406" i="114"/>
  <c r="AH404" i="114"/>
  <c r="AF659" i="114"/>
  <c r="AH655" i="114"/>
  <c r="AH19" i="114"/>
  <c r="AF22" i="114"/>
  <c r="AH689" i="114"/>
  <c r="N112" i="3" s="1"/>
  <c r="N114" i="3" s="1"/>
  <c r="N115" i="3" s="1"/>
  <c r="AH406" i="114" l="1"/>
  <c r="N72" i="3" s="1"/>
  <c r="N74" i="3" s="1"/>
  <c r="N75" i="3" s="1"/>
  <c r="AH598" i="114"/>
  <c r="N88" i="3" s="1"/>
  <c r="N90" i="3" s="1"/>
  <c r="N91" i="3" s="1"/>
  <c r="AH741" i="114"/>
  <c r="N120" i="3" s="1"/>
  <c r="N122" i="3" s="1"/>
  <c r="N123" i="3" s="1"/>
  <c r="AH22" i="114"/>
  <c r="N56" i="3" s="1"/>
  <c r="N58" i="3" s="1"/>
  <c r="N59" i="3" s="1"/>
  <c r="AH659" i="114"/>
  <c r="N104" i="3" s="1"/>
  <c r="N106" i="3" s="1"/>
  <c r="N107" i="3" s="1"/>
  <c r="AH627" i="114"/>
  <c r="N96" i="3" s="1"/>
  <c r="N98" i="3" s="1"/>
  <c r="N99" i="3" s="1"/>
  <c r="AH329" i="114"/>
  <c r="N64" i="3" s="1"/>
  <c r="N66" i="3" s="1"/>
  <c r="N67" i="3" s="1"/>
  <c r="Y51" i="3"/>
  <c r="AH97" i="68"/>
  <c r="AH572" i="114"/>
  <c r="N80" i="3" s="1"/>
  <c r="N82" i="3" s="1"/>
  <c r="N83" i="3" s="1"/>
  <c r="N41" i="3" l="1"/>
  <c r="AH1939" i="68"/>
  <c r="Y47" i="3"/>
  <c r="Y45" i="3"/>
  <c r="Y49" i="3"/>
  <c r="Y52" i="3"/>
  <c r="Y50" i="3"/>
  <c r="Y48" i="3"/>
  <c r="Y46" i="3"/>
  <c r="Y44" i="3"/>
  <c r="N43" i="3" l="1"/>
  <c r="N44" i="3" l="1"/>
  <c r="N47" i="3"/>
  <c r="N49" i="3" s="1"/>
  <c r="Y41" i="3" l="1"/>
  <c r="G84" i="103"/>
  <c r="G132" i="103" s="1"/>
  <c r="AI740" i="114"/>
  <c r="AK740" i="114" s="1"/>
  <c r="AI82" i="68" l="1"/>
  <c r="AI97" i="68" s="1"/>
  <c r="AI1939" i="68" s="1"/>
  <c r="AI571" i="114"/>
  <c r="AK571" i="114" s="1"/>
  <c r="AI655" i="114"/>
  <c r="AI659" i="114" s="1"/>
  <c r="AI623" i="114"/>
  <c r="AI627" i="114" s="1"/>
  <c r="AI404" i="114"/>
  <c r="AI406" i="114" s="1"/>
  <c r="AI685" i="114"/>
  <c r="AK685" i="114" s="1"/>
  <c r="AK689" i="114" s="1"/>
  <c r="O112" i="3" s="1"/>
  <c r="O114" i="3" s="1"/>
  <c r="O115" i="3" s="1"/>
  <c r="AI591" i="114"/>
  <c r="AI598" i="114" s="1"/>
  <c r="AI19" i="114"/>
  <c r="AK19" i="114" s="1"/>
  <c r="AL19" i="114" s="1"/>
  <c r="AI327" i="114"/>
  <c r="AI329" i="114" s="1"/>
  <c r="AK82" i="68"/>
  <c r="AI741" i="114"/>
  <c r="AL685" i="114"/>
  <c r="AL740" i="114"/>
  <c r="AK741" i="114"/>
  <c r="O120" i="3" s="1"/>
  <c r="O122" i="3" s="1"/>
  <c r="O123" i="3" s="1"/>
  <c r="AL571" i="114"/>
  <c r="AK572" i="114"/>
  <c r="O80" i="3" s="1"/>
  <c r="O82" i="3" s="1"/>
  <c r="O83" i="3" s="1"/>
  <c r="AK623" i="114"/>
  <c r="AK655" i="114"/>
  <c r="AK404" i="114" l="1"/>
  <c r="AI572" i="114"/>
  <c r="AI689" i="114"/>
  <c r="AK22" i="114"/>
  <c r="O56" i="3" s="1"/>
  <c r="O58" i="3" s="1"/>
  <c r="O59" i="3" s="1"/>
  <c r="Z44" i="3" s="1"/>
  <c r="AK591" i="114"/>
  <c r="AI22" i="114"/>
  <c r="AK327" i="114"/>
  <c r="AK329" i="114" s="1"/>
  <c r="O64" i="3" s="1"/>
  <c r="O66" i="3" s="1"/>
  <c r="O67" i="3" s="1"/>
  <c r="AL82" i="68"/>
  <c r="AK97" i="68"/>
  <c r="AK598" i="114"/>
  <c r="O88" i="3" s="1"/>
  <c r="O90" i="3" s="1"/>
  <c r="O91" i="3" s="1"/>
  <c r="Z48" i="3" s="1"/>
  <c r="AL591" i="114"/>
  <c r="AK406" i="114"/>
  <c r="O72" i="3" s="1"/>
  <c r="O74" i="3" s="1"/>
  <c r="O75" i="3" s="1"/>
  <c r="AL404" i="114"/>
  <c r="AL572" i="114"/>
  <c r="AN571" i="114"/>
  <c r="AN572" i="114" s="1"/>
  <c r="P80" i="3" s="1"/>
  <c r="P82" i="3" s="1"/>
  <c r="P83" i="3" s="1"/>
  <c r="AA47" i="3" s="1"/>
  <c r="P115" i="3"/>
  <c r="AA51" i="3" s="1"/>
  <c r="Z51" i="3"/>
  <c r="AK627" i="114"/>
  <c r="O96" i="3" s="1"/>
  <c r="O98" i="3" s="1"/>
  <c r="O99" i="3" s="1"/>
  <c r="AL623" i="114"/>
  <c r="AL741" i="114"/>
  <c r="AN740" i="114"/>
  <c r="AN741" i="114" s="1"/>
  <c r="P120" i="3" s="1"/>
  <c r="P122" i="3" s="1"/>
  <c r="P123" i="3" s="1"/>
  <c r="AA52" i="3" s="1"/>
  <c r="AL655" i="114"/>
  <c r="AK659" i="114"/>
  <c r="O104" i="3" s="1"/>
  <c r="O106" i="3" s="1"/>
  <c r="O107" i="3" s="1"/>
  <c r="Z47" i="3"/>
  <c r="Z52" i="3"/>
  <c r="AN685" i="114"/>
  <c r="AN689" i="114" s="1"/>
  <c r="P112" i="3" s="1"/>
  <c r="P114" i="3" s="1"/>
  <c r="AL689" i="114"/>
  <c r="AL22" i="114"/>
  <c r="AN19" i="114"/>
  <c r="AN22" i="114" s="1"/>
  <c r="P56" i="3" s="1"/>
  <c r="P58" i="3" s="1"/>
  <c r="P59" i="3" l="1"/>
  <c r="AA44" i="3" s="1"/>
  <c r="AL327" i="114"/>
  <c r="Z46" i="3"/>
  <c r="AL598" i="114"/>
  <c r="AN591" i="114"/>
  <c r="AN598" i="114" s="1"/>
  <c r="P88" i="3" s="1"/>
  <c r="P90" i="3" s="1"/>
  <c r="P91" i="3" s="1"/>
  <c r="AA48" i="3" s="1"/>
  <c r="AN404" i="114"/>
  <c r="AN406" i="114" s="1"/>
  <c r="P72" i="3" s="1"/>
  <c r="P74" i="3" s="1"/>
  <c r="P75" i="3" s="1"/>
  <c r="AA46" i="3" s="1"/>
  <c r="AL406" i="114"/>
  <c r="O41" i="3"/>
  <c r="AK1939" i="68"/>
  <c r="AN82" i="68"/>
  <c r="AN97" i="68" s="1"/>
  <c r="AL97" i="68"/>
  <c r="AL1939" i="68" s="1"/>
  <c r="Z50" i="3"/>
  <c r="Z45" i="3"/>
  <c r="Z49" i="3"/>
  <c r="AL329" i="114"/>
  <c r="AN327" i="114"/>
  <c r="AN329" i="114" s="1"/>
  <c r="P64" i="3" s="1"/>
  <c r="P66" i="3" s="1"/>
  <c r="P67" i="3" s="1"/>
  <c r="AA45" i="3" s="1"/>
  <c r="AL659" i="114"/>
  <c r="AN655" i="114"/>
  <c r="AN659" i="114" s="1"/>
  <c r="P104" i="3" s="1"/>
  <c r="P106" i="3" s="1"/>
  <c r="P107" i="3" s="1"/>
  <c r="AA50" i="3" s="1"/>
  <c r="AL627" i="114"/>
  <c r="AN623" i="114"/>
  <c r="AN627" i="114" s="1"/>
  <c r="P96" i="3" s="1"/>
  <c r="P98" i="3" s="1"/>
  <c r="P99" i="3" s="1"/>
  <c r="AA49" i="3" s="1"/>
  <c r="P41" i="3" l="1"/>
  <c r="AN1939" i="68"/>
  <c r="O43" i="3"/>
  <c r="O44" i="3" l="1"/>
  <c r="O47" i="3"/>
  <c r="O49" i="3" s="1"/>
  <c r="P43" i="3"/>
  <c r="P47" i="3" s="1"/>
  <c r="P49" i="3" s="1"/>
  <c r="Z41" i="3" l="1"/>
  <c r="P44" i="3"/>
  <c r="AA4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Aaron Rector</author>
  </authors>
  <commentList>
    <comment ref="M19" authorId="0" shapeId="0" xr:uid="{00000000-0006-0000-1200-000001000000}">
      <text>
        <r>
          <rPr>
            <b/>
            <sz val="9"/>
            <color indexed="81"/>
            <rFont val="Tahoma"/>
            <family val="2"/>
          </rPr>
          <t>Aaron Rector:</t>
        </r>
        <r>
          <rPr>
            <sz val="9"/>
            <color indexed="81"/>
            <rFont val="Tahoma"/>
            <family val="2"/>
          </rPr>
          <t xml:space="preserve">
use of FB</t>
        </r>
      </text>
    </comment>
    <comment ref="M20" authorId="0" shapeId="0" xr:uid="{00000000-0006-0000-1200-000002000000}">
      <text>
        <r>
          <rPr>
            <b/>
            <sz val="9"/>
            <color indexed="81"/>
            <rFont val="Tahoma"/>
            <family val="2"/>
          </rPr>
          <t>Aaron Rector:</t>
        </r>
        <r>
          <rPr>
            <sz val="9"/>
            <color indexed="81"/>
            <rFont val="Tahoma"/>
            <family val="2"/>
          </rPr>
          <t xml:space="preserve">
Refunding Savings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Aaron Rector</author>
    <author>Jose L. Juarez</author>
  </authors>
  <commentList>
    <comment ref="E231" authorId="0" shapeId="0" xr:uid="{00000000-0006-0000-1300-000001000000}">
      <text>
        <r>
          <rPr>
            <b/>
            <sz val="9"/>
            <color indexed="81"/>
            <rFont val="Tahoma"/>
            <family val="2"/>
          </rPr>
          <t>Aaron Rector:</t>
        </r>
        <r>
          <rPr>
            <sz val="9"/>
            <color indexed="81"/>
            <rFont val="Tahoma"/>
            <family val="2"/>
          </rPr>
          <t xml:space="preserve">
only one Div - Use Dept code</t>
        </r>
      </text>
    </comment>
    <comment ref="E378" authorId="0" shapeId="0" xr:uid="{00000000-0006-0000-1300-000002000000}">
      <text>
        <r>
          <rPr>
            <b/>
            <sz val="9"/>
            <color indexed="81"/>
            <rFont val="Tahoma"/>
            <family val="2"/>
          </rPr>
          <t>Aaron Rector:</t>
        </r>
        <r>
          <rPr>
            <sz val="9"/>
            <color indexed="81"/>
            <rFont val="Tahoma"/>
            <family val="2"/>
          </rPr>
          <t xml:space="preserve">
only one Div - Use Dept code</t>
        </r>
      </text>
    </comment>
    <comment ref="Q578" authorId="1" shapeId="0" xr:uid="{00000000-0006-0000-1300-000003000000}">
      <text>
        <r>
          <rPr>
            <b/>
            <sz val="9"/>
            <color indexed="81"/>
            <rFont val="Tahoma"/>
            <family val="2"/>
          </rPr>
          <t>Jose L. Juarez:</t>
        </r>
        <r>
          <rPr>
            <sz val="9"/>
            <color indexed="81"/>
            <rFont val="Tahoma"/>
            <family val="2"/>
          </rPr>
          <t xml:space="preserve">
missing travel, training, &amp;education.</t>
        </r>
      </text>
    </comment>
  </commentList>
</comments>
</file>

<file path=xl/sharedStrings.xml><?xml version="1.0" encoding="utf-8"?>
<sst xmlns="http://schemas.openxmlformats.org/spreadsheetml/2006/main" count="13611" uniqueCount="3610">
  <si>
    <t>OVERTIME</t>
  </si>
  <si>
    <t>SOCIAL SECURITY</t>
  </si>
  <si>
    <t>RETIREMENT</t>
  </si>
  <si>
    <t>AUTO ALLOWANCE</t>
  </si>
  <si>
    <t>SMALL TOOLS &amp; EQUIPMENT</t>
  </si>
  <si>
    <t>MEDICAL SUPPLIES</t>
  </si>
  <si>
    <t>EQUIPMENT RENTAL</t>
  </si>
  <si>
    <t>TOTAL EXPENDITURES</t>
  </si>
  <si>
    <t>EXPENDITURES</t>
  </si>
  <si>
    <t>REVENUES</t>
  </si>
  <si>
    <t>Tax Rate Projection Sheet</t>
  </si>
  <si>
    <t>TY</t>
  </si>
  <si>
    <t>FY</t>
  </si>
  <si>
    <t>Frozen Value</t>
  </si>
  <si>
    <t>TIRZ Value</t>
  </si>
  <si>
    <t>Net AV</t>
  </si>
  <si>
    <t>Frozen Levy</t>
  </si>
  <si>
    <t>Collection Rate</t>
  </si>
  <si>
    <t>Total Rate</t>
  </si>
  <si>
    <t>Debt Rate</t>
  </si>
  <si>
    <t>M&amp;O Rate</t>
  </si>
  <si>
    <t>Debt PMT</t>
  </si>
  <si>
    <t>Debt Levy</t>
  </si>
  <si>
    <t>M&amp;O Levy</t>
  </si>
  <si>
    <t>Value of $.01</t>
  </si>
  <si>
    <t>Current DS</t>
  </si>
  <si>
    <t>Fiscal Year</t>
  </si>
  <si>
    <t>Debt Analysis</t>
  </si>
  <si>
    <t>Total Net DS</t>
  </si>
  <si>
    <t>Growth Rate</t>
  </si>
  <si>
    <t>VALUES</t>
  </si>
  <si>
    <t>RATES</t>
  </si>
  <si>
    <t>LEVY INFORMATION</t>
  </si>
  <si>
    <t>% Variance</t>
  </si>
  <si>
    <t>Variance</t>
  </si>
  <si>
    <t>Total</t>
  </si>
  <si>
    <t>Year</t>
  </si>
  <si>
    <t>N/A</t>
  </si>
  <si>
    <t>GO TO TABLE OF CONTENTS</t>
  </si>
  <si>
    <t>Primary Roll</t>
  </si>
  <si>
    <t>ARB</t>
  </si>
  <si>
    <t>Library</t>
  </si>
  <si>
    <t>TOTAL</t>
  </si>
  <si>
    <t>City Secretary</t>
  </si>
  <si>
    <t>y</t>
  </si>
  <si>
    <t>Fire</t>
  </si>
  <si>
    <t>n</t>
  </si>
  <si>
    <t>Line Item</t>
  </si>
  <si>
    <t>4A/4B Admin Transfer</t>
  </si>
  <si>
    <t>CS</t>
  </si>
  <si>
    <t>REVENUE TOTAL</t>
  </si>
  <si>
    <t>DEPARTMENT TOTAL</t>
  </si>
  <si>
    <t>MUNICIPAL COURT</t>
  </si>
  <si>
    <t>STREET MAINTENANCE</t>
  </si>
  <si>
    <t>GENERAL FUND</t>
  </si>
  <si>
    <t>Street Maintenance</t>
  </si>
  <si>
    <t>Capital Outlay</t>
  </si>
  <si>
    <t>Frozen Cap</t>
  </si>
  <si>
    <t>Lost to Freeze</t>
  </si>
  <si>
    <t>Department</t>
  </si>
  <si>
    <t>Certified Roll</t>
  </si>
  <si>
    <t>GO TO DEPT SUMMARY</t>
  </si>
  <si>
    <t>GO TO ASSUMPTIONS</t>
  </si>
  <si>
    <t xml:space="preserve">GO TO REVENUES </t>
  </si>
  <si>
    <t>GO TO SUMMARY</t>
  </si>
  <si>
    <t>Administration</t>
  </si>
  <si>
    <t>Local Govt Code 102.005  Calculation</t>
  </si>
  <si>
    <t>Proposed</t>
  </si>
  <si>
    <t>GF A/V</t>
  </si>
  <si>
    <t>I&amp;S A/V</t>
  </si>
  <si>
    <t>Proposed Rate</t>
  </si>
  <si>
    <t>Raised from New Prop</t>
  </si>
  <si>
    <t>Current Year Adopt</t>
  </si>
  <si>
    <t>Growth</t>
  </si>
  <si>
    <t>ATB1</t>
  </si>
  <si>
    <t>ATB2</t>
  </si>
  <si>
    <t>ATB3</t>
  </si>
  <si>
    <t>ATB4</t>
  </si>
  <si>
    <t>ATB5</t>
  </si>
  <si>
    <t>ENCMT2</t>
  </si>
  <si>
    <t>ENCMT3</t>
  </si>
  <si>
    <t>ENCMT4</t>
  </si>
  <si>
    <t>ENCMT5</t>
  </si>
  <si>
    <t>ADMINISTRATION</t>
  </si>
  <si>
    <t>USE OF FUND BALANCE</t>
  </si>
  <si>
    <t>Type of Request</t>
  </si>
  <si>
    <t>Request Title</t>
  </si>
  <si>
    <t>Personnel</t>
  </si>
  <si>
    <t>Current</t>
  </si>
  <si>
    <t>Effective</t>
  </si>
  <si>
    <t>Rollback</t>
  </si>
  <si>
    <t>$ Variance</t>
  </si>
  <si>
    <t>O&amp;M Rate</t>
  </si>
  <si>
    <t>New Prop From TNT Calc (line 20&amp; 21)</t>
  </si>
  <si>
    <t>26.05.b.1.b</t>
  </si>
  <si>
    <t>GF</t>
  </si>
  <si>
    <t>Debt</t>
  </si>
  <si>
    <t>TIRZ</t>
  </si>
  <si>
    <t>Tourism Transfer</t>
  </si>
  <si>
    <t>Sales Tax</t>
  </si>
  <si>
    <t>ENCMT6</t>
  </si>
  <si>
    <t>ENCMT7</t>
  </si>
  <si>
    <t>ENCMT8</t>
  </si>
  <si>
    <t>TIRZ LEVY</t>
  </si>
  <si>
    <t>ENCMT1</t>
  </si>
  <si>
    <t>VARIANCE</t>
  </si>
  <si>
    <t xml:space="preserve">FY </t>
  </si>
  <si>
    <t>FACILITY MAINTENANCE</t>
  </si>
  <si>
    <t>ENCMT9</t>
  </si>
  <si>
    <t>ENCMT10</t>
  </si>
  <si>
    <t>ENCMT11</t>
  </si>
  <si>
    <t>ENCMT12</t>
  </si>
  <si>
    <t>I&amp;S</t>
  </si>
  <si>
    <t>Revenue</t>
  </si>
  <si>
    <t>Public Works</t>
  </si>
  <si>
    <t>Levy</t>
  </si>
  <si>
    <t>3.25,3.5,4</t>
  </si>
  <si>
    <t>RECONNECT FEES</t>
  </si>
  <si>
    <t>SEWER TAP FEES</t>
  </si>
  <si>
    <t>UTILITY ADMINISTRATION</t>
  </si>
  <si>
    <t>Personnel services</t>
  </si>
  <si>
    <t>Operations &amp; maintenance</t>
  </si>
  <si>
    <t>Services &amp; other</t>
  </si>
  <si>
    <t>Debt service</t>
  </si>
  <si>
    <t>Capital outlay</t>
  </si>
  <si>
    <t>Transfers to other funds</t>
  </si>
  <si>
    <t>Communications</t>
  </si>
  <si>
    <t>50140</t>
  </si>
  <si>
    <t>COMMUNICATIONS ALLOWANCE</t>
  </si>
  <si>
    <t>50101</t>
  </si>
  <si>
    <t>EXEMPT SALARIES</t>
  </si>
  <si>
    <t>50102</t>
  </si>
  <si>
    <t>NON EXEMPT SALARIES</t>
  </si>
  <si>
    <t>50109</t>
  </si>
  <si>
    <t>50110</t>
  </si>
  <si>
    <t>PART-TIME WAGES</t>
  </si>
  <si>
    <t>50111</t>
  </si>
  <si>
    <t>LONGEVITY PAY</t>
  </si>
  <si>
    <t>50115</t>
  </si>
  <si>
    <t>50120</t>
  </si>
  <si>
    <t>50610</t>
  </si>
  <si>
    <t>50620</t>
  </si>
  <si>
    <t>HEALTH/LIFE INSURANCE</t>
  </si>
  <si>
    <t>50630</t>
  </si>
  <si>
    <t>WORKER COMPENSATION</t>
  </si>
  <si>
    <t>50640</t>
  </si>
  <si>
    <t>UNEMPLOYMENT INSURANCE</t>
  </si>
  <si>
    <t>50650</t>
  </si>
  <si>
    <t>51210</t>
  </si>
  <si>
    <t>OFFICE SUPPLIES</t>
  </si>
  <si>
    <t>51220</t>
  </si>
  <si>
    <t>POSTAGE SUPPLIES</t>
  </si>
  <si>
    <t>51221</t>
  </si>
  <si>
    <t>BOTANICAL/AGRICULTURAL SUPPLY</t>
  </si>
  <si>
    <t>51225</t>
  </si>
  <si>
    <t>JANITORIAL SUPPLIES</t>
  </si>
  <si>
    <t>51230</t>
  </si>
  <si>
    <t>COMPUTER SUPPLIES</t>
  </si>
  <si>
    <t>51240</t>
  </si>
  <si>
    <t>51245</t>
  </si>
  <si>
    <t>51255</t>
  </si>
  <si>
    <t>FUEL/OILS/LUBRICANTS</t>
  </si>
  <si>
    <t>51257</t>
  </si>
  <si>
    <t>MEETING SPONSORSHIP/SUPPLIES</t>
  </si>
  <si>
    <t>51271</t>
  </si>
  <si>
    <t>BUILDING MATERIALS &amp; SUPPLIES</t>
  </si>
  <si>
    <t>51285</t>
  </si>
  <si>
    <t>WEARING APPAREL</t>
  </si>
  <si>
    <t>51299</t>
  </si>
  <si>
    <t>MISCELLANEOUS SUPPLIES</t>
  </si>
  <si>
    <t>52310</t>
  </si>
  <si>
    <t>BUILDING MAINTENANCE</t>
  </si>
  <si>
    <t>52311</t>
  </si>
  <si>
    <t>GROUNDS MAINTENANCE</t>
  </si>
  <si>
    <t>52440</t>
  </si>
  <si>
    <t>RADIO MAINTENANCE</t>
  </si>
  <si>
    <t>52480</t>
  </si>
  <si>
    <t>OFFICE EQUIPMENT MAINTENANCE</t>
  </si>
  <si>
    <t>52485</t>
  </si>
  <si>
    <t>SOFTWARE LICENSE &amp; MAINTENANCE</t>
  </si>
  <si>
    <t>52490</t>
  </si>
  <si>
    <t>A/C &amp; HEATING MAINTENANCE</t>
  </si>
  <si>
    <t>53501</t>
  </si>
  <si>
    <t>ELECTION SERVICES</t>
  </si>
  <si>
    <t>53505</t>
  </si>
  <si>
    <t>PUBLIC EDUCATION SERVICES</t>
  </si>
  <si>
    <t>53507</t>
  </si>
  <si>
    <t>ATTORNEY &amp; LEGAL SERVICES</t>
  </si>
  <si>
    <t>53509</t>
  </si>
  <si>
    <t>53510</t>
  </si>
  <si>
    <t>DUES &amp; SUBSCRIPTIONS</t>
  </si>
  <si>
    <t>TRAVEL, TRAINING &amp; EDUCATION</t>
  </si>
  <si>
    <t>53513</t>
  </si>
  <si>
    <t>CONSULTING SERVICES</t>
  </si>
  <si>
    <t>53517</t>
  </si>
  <si>
    <t>MEDICAL SERVICES</t>
  </si>
  <si>
    <t>53522</t>
  </si>
  <si>
    <t>ADVERTISING &amp; RECORDING</t>
  </si>
  <si>
    <t>53524</t>
  </si>
  <si>
    <t>53533</t>
  </si>
  <si>
    <t>EMPLOYEE RECRUITING/TESTING</t>
  </si>
  <si>
    <t>53534</t>
  </si>
  <si>
    <t>53540</t>
  </si>
  <si>
    <t>PRINTING &amp; BINDING SERVICES</t>
  </si>
  <si>
    <t>53550</t>
  </si>
  <si>
    <t>BAD DEBT EXPENSE</t>
  </si>
  <si>
    <t>53551</t>
  </si>
  <si>
    <t>FREIGHT &amp; EXPRESS SERVICES</t>
  </si>
  <si>
    <t>53560</t>
  </si>
  <si>
    <t>GENERAL INSURANCE</t>
  </si>
  <si>
    <t>53570</t>
  </si>
  <si>
    <t>TELEPHONE/COMMUNICATIONS</t>
  </si>
  <si>
    <t>53571</t>
  </si>
  <si>
    <t>NATURAL GAS UTILITY SERVICE</t>
  </si>
  <si>
    <t>53572</t>
  </si>
  <si>
    <t>ELECTRICAL UTILITY SERVICE</t>
  </si>
  <si>
    <t>53574</t>
  </si>
  <si>
    <t>WATER/SEWER UTILITY SERVICE</t>
  </si>
  <si>
    <t>53585</t>
  </si>
  <si>
    <t>BANKING SERVICES CHARGES</t>
  </si>
  <si>
    <t>VEHICLE/EQUIP LEASE EXP-CITY</t>
  </si>
  <si>
    <t>OFFICE EQUIP LEASE EXP-CITY</t>
  </si>
  <si>
    <t>58835</t>
  </si>
  <si>
    <t>OFFICE MACHINERY &amp; EQUIPMENT</t>
  </si>
  <si>
    <t>58851</t>
  </si>
  <si>
    <t>FURNITURE &amp; FIXTURES</t>
  </si>
  <si>
    <t>58853</t>
  </si>
  <si>
    <t>IMPROVEMENTS OTHER THAN BLDGS</t>
  </si>
  <si>
    <t>51262</t>
  </si>
  <si>
    <t>ART PROGRAM EXPENSES</t>
  </si>
  <si>
    <t>MARKETING &amp; PROMOTIONAL</t>
  </si>
  <si>
    <t>53554</t>
  </si>
  <si>
    <t>ADMINISTRATIVE SERVICES</t>
  </si>
  <si>
    <t>51265</t>
  </si>
  <si>
    <t>STREET SIGN/SIGNAL SUPPLIES</t>
  </si>
  <si>
    <t>52470</t>
  </si>
  <si>
    <t>EQUIPMENT MAINTENANCE</t>
  </si>
  <si>
    <t>53599</t>
  </si>
  <si>
    <t>MISCELLANEOUS SERVICES</t>
  </si>
  <si>
    <t>59170</t>
  </si>
  <si>
    <t>52460</t>
  </si>
  <si>
    <t>VEHICLE MAINTENANCE</t>
  </si>
  <si>
    <t>53584</t>
  </si>
  <si>
    <t>58840</t>
  </si>
  <si>
    <t>MOTOR VEHICLES</t>
  </si>
  <si>
    <t>53516</t>
  </si>
  <si>
    <t>AUDIT &amp; ACCOUNTING SERVICES</t>
  </si>
  <si>
    <t>53580</t>
  </si>
  <si>
    <t>CONTRIBUTION TO OTHER ENTITY</t>
  </si>
  <si>
    <t>50112</t>
  </si>
  <si>
    <t>TEMPORARY/SEASONAL WAGES</t>
  </si>
  <si>
    <t>51226</t>
  </si>
  <si>
    <t>51241</t>
  </si>
  <si>
    <t>51292</t>
  </si>
  <si>
    <t>TRAINING SUPPLIES</t>
  </si>
  <si>
    <t>53518</t>
  </si>
  <si>
    <t>TAX APPRAISAL SERVICES</t>
  </si>
  <si>
    <t>53527</t>
  </si>
  <si>
    <t>EMPLOYEE ACTIVITIES</t>
  </si>
  <si>
    <t>53541</t>
  </si>
  <si>
    <t>53552</t>
  </si>
  <si>
    <t>INVESTIGATIVE SERVICES</t>
  </si>
  <si>
    <t>51260</t>
  </si>
  <si>
    <t>EDUCATION/RECREATION SUPPLIES</t>
  </si>
  <si>
    <t>53515</t>
  </si>
  <si>
    <t>58828</t>
  </si>
  <si>
    <t>BUILDINGS &amp; IMPROVEMENTS</t>
  </si>
  <si>
    <t>58830</t>
  </si>
  <si>
    <t>MACHINERY &amp; EQUIPMENT</t>
  </si>
  <si>
    <t>53582</t>
  </si>
  <si>
    <t>JUDGMENTS/CLAIMS/DAMAGES</t>
  </si>
  <si>
    <t>53545</t>
  </si>
  <si>
    <t>ECONOMIC DEVEL INCENTIVES</t>
  </si>
  <si>
    <t>51287</t>
  </si>
  <si>
    <t>SAFETY EQUIPMENT/SUPPLIES</t>
  </si>
  <si>
    <t>51270</t>
  </si>
  <si>
    <t>CHEMICAL SUPPLIES</t>
  </si>
  <si>
    <t>53568</t>
  </si>
  <si>
    <t>LAW ENFORCEMENT LIAB PREMIUMS</t>
  </si>
  <si>
    <t>53519</t>
  </si>
  <si>
    <t>JAIL SERVICES</t>
  </si>
  <si>
    <t>53526</t>
  </si>
  <si>
    <t>LABORATORY SERVICES</t>
  </si>
  <si>
    <t>INCENTIVE/CERTIFICATION PAY</t>
  </si>
  <si>
    <t>51275</t>
  </si>
  <si>
    <t>51290</t>
  </si>
  <si>
    <t>FIRE PROTECTIVE CLOTHING</t>
  </si>
  <si>
    <t>52399</t>
  </si>
  <si>
    <t>MISCELLANEOUS MAINTENANCE</t>
  </si>
  <si>
    <t>52435</t>
  </si>
  <si>
    <t>SCBA MAINTENANCE</t>
  </si>
  <si>
    <t>52437</t>
  </si>
  <si>
    <t>52499</t>
  </si>
  <si>
    <t>52320</t>
  </si>
  <si>
    <t>52350</t>
  </si>
  <si>
    <t>SIGN &amp; SIGNAL MAINTENANCE</t>
  </si>
  <si>
    <t>58801</t>
  </si>
  <si>
    <t>LAND &amp; LAND RIGHTS</t>
  </si>
  <si>
    <t>58829</t>
  </si>
  <si>
    <t>STREET/ROAD/BRIDGE IMPROVEMENT</t>
  </si>
  <si>
    <t>53521</t>
  </si>
  <si>
    <t>SUBSCRIPTIONS/PERIODICALS</t>
  </si>
  <si>
    <t>58815</t>
  </si>
  <si>
    <t>53535</t>
  </si>
  <si>
    <t>53543</t>
  </si>
  <si>
    <t>ENGINEERING/DESIGN SERVICES</t>
  </si>
  <si>
    <t>56900</t>
  </si>
  <si>
    <t>56902</t>
  </si>
  <si>
    <t>59112</t>
  </si>
  <si>
    <t>59115</t>
  </si>
  <si>
    <t>58710</t>
  </si>
  <si>
    <t>58999</t>
  </si>
  <si>
    <t>56901</t>
  </si>
  <si>
    <t>PAYING AGENT SERVICES</t>
  </si>
  <si>
    <t>59178</t>
  </si>
  <si>
    <t>54691</t>
  </si>
  <si>
    <t>54557</t>
  </si>
  <si>
    <t>EXPENDITURES-UTILITY BILLING</t>
  </si>
  <si>
    <t>54558</t>
  </si>
  <si>
    <t>EXPENDITURES-SR SVS RECREATION</t>
  </si>
  <si>
    <t>54561</t>
  </si>
  <si>
    <t>EXPENDITURES-DONATIONS SR SVS</t>
  </si>
  <si>
    <t>54562</t>
  </si>
  <si>
    <t>54563</t>
  </si>
  <si>
    <t>EXPENDITURES-SR SVS NEWSLETTER</t>
  </si>
  <si>
    <t>54560</t>
  </si>
  <si>
    <t>EXPENDITURES-SR SVS TRIPS</t>
  </si>
  <si>
    <t>54551</t>
  </si>
  <si>
    <t>54559</t>
  </si>
  <si>
    <t>54555</t>
  </si>
  <si>
    <t>EXPENDITURES-VETERANS MEMORIAL</t>
  </si>
  <si>
    <t>54556</t>
  </si>
  <si>
    <t>EXPENDITURES-PARKS DONATIONS</t>
  </si>
  <si>
    <t>51291</t>
  </si>
  <si>
    <t>BULLET PROOF VEST SUPPLIES</t>
  </si>
  <si>
    <t>53595</t>
  </si>
  <si>
    <t>MISC PROPERTY/DRUG EXPENSE</t>
  </si>
  <si>
    <t>51280</t>
  </si>
  <si>
    <t>CONCESSION SUPPLIES</t>
  </si>
  <si>
    <t>53537</t>
  </si>
  <si>
    <t>RECREATION/BIRTHDAY PARTY PRGM</t>
  </si>
  <si>
    <t>53565</t>
  </si>
  <si>
    <t>50117</t>
  </si>
  <si>
    <t>51282</t>
  </si>
  <si>
    <t>COST OF GOODS SOLD</t>
  </si>
  <si>
    <t>58820</t>
  </si>
  <si>
    <t>MAINS &amp; SERVICES</t>
  </si>
  <si>
    <t>59206</t>
  </si>
  <si>
    <t>53577</t>
  </si>
  <si>
    <t>53508</t>
  </si>
  <si>
    <t>52321</t>
  </si>
  <si>
    <t>59400</t>
  </si>
  <si>
    <t>58651</t>
  </si>
  <si>
    <t>DEPRECIATION EXPENSE</t>
  </si>
  <si>
    <t>52410</t>
  </si>
  <si>
    <t>PUMP/MOTOR/WELL MAINTENANCE</t>
  </si>
  <si>
    <t>53514</t>
  </si>
  <si>
    <t>WHOLESALE WATER PURCHASED</t>
  </si>
  <si>
    <t>52330</t>
  </si>
  <si>
    <t>MAINS &amp; SERVICES MAINTENANCE</t>
  </si>
  <si>
    <t>52360</t>
  </si>
  <si>
    <t>LIFT STATION MAINTENANCE</t>
  </si>
  <si>
    <t>52430</t>
  </si>
  <si>
    <t>METER MAINTENANCE</t>
  </si>
  <si>
    <t>TCEQ SERVICES</t>
  </si>
  <si>
    <t>53503</t>
  </si>
  <si>
    <t>TRA PAYMENT-WASTEWATER</t>
  </si>
  <si>
    <t>53532</t>
  </si>
  <si>
    <t>INDUSTRIAL SAMPLING SURCHARGES</t>
  </si>
  <si>
    <t>58655</t>
  </si>
  <si>
    <t>204-56900-790-90</t>
  </si>
  <si>
    <t>204-56902-790-90</t>
  </si>
  <si>
    <t>204-59200-790-91</t>
  </si>
  <si>
    <t>204-56920-990-01</t>
  </si>
  <si>
    <t>231-53513-740-01</t>
  </si>
  <si>
    <t>231-58820-740-33</t>
  </si>
  <si>
    <t>231-58710-740-36</t>
  </si>
  <si>
    <t>231-58710-740-41</t>
  </si>
  <si>
    <t>231-58710-740-42</t>
  </si>
  <si>
    <t>231-58710-740-43</t>
  </si>
  <si>
    <t>231-58820-740-43</t>
  </si>
  <si>
    <t>232-53513-760-01</t>
  </si>
  <si>
    <t>232-58801-760-21</t>
  </si>
  <si>
    <t>232-58710-760-22</t>
  </si>
  <si>
    <t>232-58820-760-22</t>
  </si>
  <si>
    <t>232-58710-760-23</t>
  </si>
  <si>
    <t>232-58801-760-23</t>
  </si>
  <si>
    <t>232-58820-760-23</t>
  </si>
  <si>
    <t>232-58710-760-24</t>
  </si>
  <si>
    <t>232-58820-760-24</t>
  </si>
  <si>
    <t>CHANNEL MAINTENANCE</t>
  </si>
  <si>
    <t>Senior Services</t>
  </si>
  <si>
    <t>CURRENT TAXES</t>
  </si>
  <si>
    <t>DELINQUENT TAXES</t>
  </si>
  <si>
    <t>PENALTY &amp; INTEREST-TAXES</t>
  </si>
  <si>
    <t>CITY SALES TAXES</t>
  </si>
  <si>
    <t>FRANCHISE FEES-SOLID WASTE</t>
  </si>
  <si>
    <t>FRANCHISE FEES-OTHER MISC</t>
  </si>
  <si>
    <t>BUILDING &amp; C.O. PERMITS</t>
  </si>
  <si>
    <t>FENCE, SIGN &amp; MISC PERMITS</t>
  </si>
  <si>
    <t>ZONING &amp; SUBDIVISION FEES</t>
  </si>
  <si>
    <t>STREET SIGN FEES</t>
  </si>
  <si>
    <t>OPTICOM SYSTEM FEES</t>
  </si>
  <si>
    <t>ANIMAL CONTROL FEES</t>
  </si>
  <si>
    <t>FINGER PRINTING FEES</t>
  </si>
  <si>
    <t>SOLICITOR PERMITS</t>
  </si>
  <si>
    <t>SPECIAL EVENT FEES/PERMITS</t>
  </si>
  <si>
    <t>LIBRARY LOST BOOKS REVENUE</t>
  </si>
  <si>
    <t>LIBRARY SERVICE FEES</t>
  </si>
  <si>
    <t>FACILITY RENTAL FEES</t>
  </si>
  <si>
    <t>PUBLIC ARTS SALES COMMISSIONS</t>
  </si>
  <si>
    <t>OIL &amp; GAS ROYALTY REVENUE</t>
  </si>
  <si>
    <t>OTHER SERVICES</t>
  </si>
  <si>
    <t>KTC PROPERTY OWNERS ASSN FEES</t>
  </si>
  <si>
    <t>ADMINISTRATIVE SVCS-DRAINAGE</t>
  </si>
  <si>
    <t>ADMINISTRATIVE SVCS-KDC</t>
  </si>
  <si>
    <t>MERCHANDISE SALES</t>
  </si>
  <si>
    <t>WRITE OFF RECOVERY</t>
  </si>
  <si>
    <t>I/G REV-SOUTHLAKE</t>
  </si>
  <si>
    <t>I/G REV-TOWN OF WESTLAKE</t>
  </si>
  <si>
    <t>I/G REV-COLLEYVILLE</t>
  </si>
  <si>
    <t>MISCELLANEOUS REVENUE</t>
  </si>
  <si>
    <t>AUCTION PROCEEDS</t>
  </si>
  <si>
    <t>INTEREST REVENUE-INVESTMENTS</t>
  </si>
  <si>
    <t>REIMB-INSURANCE PROCEEDS</t>
  </si>
  <si>
    <t>PREMIUM ON DEBT ISSUANCE</t>
  </si>
  <si>
    <t>DEBT ISSUANCE-REFUNDING BONDS</t>
  </si>
  <si>
    <t>GAIN/LOSS ON DISP OF ASSETS</t>
  </si>
  <si>
    <t>DADDY/DAUGHTER SWEETHEART REV</t>
  </si>
  <si>
    <t>HALLOWEEN HAUNTED TRAIL REV</t>
  </si>
  <si>
    <t>RECREATION PROGRAM REVENUE</t>
  </si>
  <si>
    <t>MOTHER/SON ICE CREAM SOCIAL</t>
  </si>
  <si>
    <t>KELLER FAMILY CAMPOUT REVENUE</t>
  </si>
  <si>
    <t>EASTER EVENT REVENUE</t>
  </si>
  <si>
    <t>SPOOKY KOOKY KELLER KASTLE</t>
  </si>
  <si>
    <t>FAMILY FUN FILMS REVENUE</t>
  </si>
  <si>
    <t>FISHING EVENT REVENUE</t>
  </si>
  <si>
    <t>SR SERVICES BRTHDY BRKFST</t>
  </si>
  <si>
    <t>SR SERVICES THURSDAY NIGHTS</t>
  </si>
  <si>
    <t>REVENUE-SR SVS TRIP</t>
  </si>
  <si>
    <t>I/G REV-TARRANT COUNTY</t>
  </si>
  <si>
    <t>REVENUE-TREE RESTORATION</t>
  </si>
  <si>
    <t>REVENUE-TAAF SWIMMING</t>
  </si>
  <si>
    <t>REVENUE-HOLLYDAYS</t>
  </si>
  <si>
    <t>REVENUE-ROCK THE PARK</t>
  </si>
  <si>
    <t>REVENUE-SR SVS TRIPS</t>
  </si>
  <si>
    <t>REVENUE-TICKET SALES</t>
  </si>
  <si>
    <t>FRANCHISE FEES-VERIZON</t>
  </si>
  <si>
    <t>FRANCHISE FEES-TV CABLE</t>
  </si>
  <si>
    <t>FRANCHISE FEES-SBC/AT&amp;T</t>
  </si>
  <si>
    <t>FRANCHISE FEE-ONE SOURCE COMM</t>
  </si>
  <si>
    <t>I/G REV-ROANOKE</t>
  </si>
  <si>
    <t>ACCRUED PROPERTY TAX REVENUE</t>
  </si>
  <si>
    <t>INTEREST REVENUE-ASSESSMENTS</t>
  </si>
  <si>
    <t>GRANT-STATE</t>
  </si>
  <si>
    <t>RECYCLING BINS/LIDS</t>
  </si>
  <si>
    <t>WATER SALES &amp; SERVICE</t>
  </si>
  <si>
    <t>WATER TAPS &amp; CONNECT FEES</t>
  </si>
  <si>
    <t>UNCLASSIFIED WATER REVENUE</t>
  </si>
  <si>
    <t>SEWER SALES &amp; SERVICE</t>
  </si>
  <si>
    <t>SEWER CAMERA SYSTEM SERVICES</t>
  </si>
  <si>
    <t>ACCOUNT ACTIVATION FEE</t>
  </si>
  <si>
    <t>ACCOUNT TRANSFER FEE</t>
  </si>
  <si>
    <t>INSPECTION FEES-W&amp;S</t>
  </si>
  <si>
    <t>PENALTY REVENUE</t>
  </si>
  <si>
    <t>I/G REV-LAKE TURNER M.U.D.</t>
  </si>
  <si>
    <t>DRAINAGE UTILITY FEES</t>
  </si>
  <si>
    <t>FINANCE AND ACCOUNTING - TAX</t>
  </si>
  <si>
    <t>ECONOMIC DEVELOPMENT - OLD TOWN KELLER</t>
  </si>
  <si>
    <t>FRANCHISE FEES-TRI COUNTY</t>
  </si>
  <si>
    <t>FRANCHISE FEES-ATMOS GAS</t>
  </si>
  <si>
    <t>FRANCHISE/IN-LIEU OF TAXES-W&amp;S</t>
  </si>
  <si>
    <t>FRANCHISE/IN-LIEU OF TAXES-DRG</t>
  </si>
  <si>
    <t>MIXED BEVERAGE TAXES</t>
  </si>
  <si>
    <t>RENTAL-KSP NON RESIDENT FEE</t>
  </si>
  <si>
    <t>ADMINISTRATIVE SVCS-W&amp;S FUND</t>
  </si>
  <si>
    <t>GRANT-FED UASI HOMELAND SEC</t>
  </si>
  <si>
    <t>GRANT-LOCAL</t>
  </si>
  <si>
    <t>MISCELLANEOUS REBATES</t>
  </si>
  <si>
    <t>DONATIONS-OPER</t>
  </si>
  <si>
    <t>TRANSFER FROM W&amp;S FUND</t>
  </si>
  <si>
    <t>TRANSFER FROM DRAINAGE FUND</t>
  </si>
  <si>
    <t>DONATIONS-UTILITY BILLING</t>
  </si>
  <si>
    <t>DONATIONS-MMOW MEALS ON WHEELS</t>
  </si>
  <si>
    <t>DONATIONS-PARKS</t>
  </si>
  <si>
    <t>DONATIONS-RECREATION</t>
  </si>
  <si>
    <t>DONATIONS-CONCERTS IN THE PARK</t>
  </si>
  <si>
    <t>DONATIONS-VETERANS MEMORIAL</t>
  </si>
  <si>
    <t>GRANT-FED-BALLISTIC VESTS</t>
  </si>
  <si>
    <t>GRANT-FED</t>
  </si>
  <si>
    <t>DONATIONS-ANIMAL CONTROL</t>
  </si>
  <si>
    <t>DONATIONS-POLICE</t>
  </si>
  <si>
    <t>DONATIONS-FIRE</t>
  </si>
  <si>
    <t>INFORMATION SERVICES FEES-CITY</t>
  </si>
  <si>
    <t>OFFICE EQUIP LEASE REV-F 100</t>
  </si>
  <si>
    <t>OFFICE EQUIP LEASE REV-F 200</t>
  </si>
  <si>
    <t>OFFICE EQUIP LEASE REV-F 400</t>
  </si>
  <si>
    <t>OFFICE EQUIP LEASE REV-F 125</t>
  </si>
  <si>
    <t>DAILY TICKET SALES</t>
  </si>
  <si>
    <t>EMPLOYEE PASS REVENUE</t>
  </si>
  <si>
    <t>EMPL DEPENDENT PASS REVENUE</t>
  </si>
  <si>
    <t>PARTY REVENUES</t>
  </si>
  <si>
    <t>EXPIRED GIFT CARD REVENUE</t>
  </si>
  <si>
    <t>AQUATICS MERCHANDISE SALES</t>
  </si>
  <si>
    <t>OUTDOOR CONCESSION SALES</t>
  </si>
  <si>
    <t>OUTDOOR MERCHANDISE SALES</t>
  </si>
  <si>
    <t>STAY &amp; PLAY</t>
  </si>
  <si>
    <t>FITNESS PROGRAM REVENUES</t>
  </si>
  <si>
    <t>GROUP EXERCISE REVENUE</t>
  </si>
  <si>
    <t>PERSONAL TRAINING REVENUE</t>
  </si>
  <si>
    <t>GYM RENTAL FEES</t>
  </si>
  <si>
    <t>POOL RENTAL FEES</t>
  </si>
  <si>
    <t>TRANSFER FROM GENERAL FUND</t>
  </si>
  <si>
    <t>TRANSFER FROM KDC</t>
  </si>
  <si>
    <t>TRANSFER FROM CAPITAL PROJECTS</t>
  </si>
  <si>
    <t>REVENUE-TIF TAXES/TCCD</t>
  </si>
  <si>
    <t>REVENUE-TIF TAXES/TCHD</t>
  </si>
  <si>
    <t>VEHICLE/EQUIP LEASE REV-F 200</t>
  </si>
  <si>
    <t>VEHICLE/EQUIP LEASE REV-F 400</t>
  </si>
  <si>
    <t>231-41310-000-00</t>
  </si>
  <si>
    <t>231-46165-000-00</t>
  </si>
  <si>
    <t>231-47090-000-00</t>
  </si>
  <si>
    <t>231-47110-000-00</t>
  </si>
  <si>
    <t>232-41320-000-00</t>
  </si>
  <si>
    <t>232-47090-000-00</t>
  </si>
  <si>
    <t>232-47110-000-00</t>
  </si>
  <si>
    <t>40010</t>
  </si>
  <si>
    <t>40020</t>
  </si>
  <si>
    <t>40025</t>
  </si>
  <si>
    <t>40030</t>
  </si>
  <si>
    <t>40200</t>
  </si>
  <si>
    <t>40300</t>
  </si>
  <si>
    <t>40310</t>
  </si>
  <si>
    <t>40320</t>
  </si>
  <si>
    <t>40330</t>
  </si>
  <si>
    <t>40340</t>
  </si>
  <si>
    <t>40350</t>
  </si>
  <si>
    <t>40360</t>
  </si>
  <si>
    <t>40370</t>
  </si>
  <si>
    <t>40380</t>
  </si>
  <si>
    <t>40391</t>
  </si>
  <si>
    <t>40399</t>
  </si>
  <si>
    <t>40400</t>
  </si>
  <si>
    <t>41010</t>
  </si>
  <si>
    <t>41020</t>
  </si>
  <si>
    <t>41030</t>
  </si>
  <si>
    <t>41040</t>
  </si>
  <si>
    <t>41060</t>
  </si>
  <si>
    <t>41090</t>
  </si>
  <si>
    <t>41100</t>
  </si>
  <si>
    <t>41110</t>
  </si>
  <si>
    <t>41130</t>
  </si>
  <si>
    <t>41150</t>
  </si>
  <si>
    <t>41190</t>
  </si>
  <si>
    <t>41500</t>
  </si>
  <si>
    <t>41510</t>
  </si>
  <si>
    <t>41515</t>
  </si>
  <si>
    <t>41530</t>
  </si>
  <si>
    <t>41540</t>
  </si>
  <si>
    <t>41550</t>
  </si>
  <si>
    <t>41555</t>
  </si>
  <si>
    <t>41556</t>
  </si>
  <si>
    <t>41560</t>
  </si>
  <si>
    <t>41570</t>
  </si>
  <si>
    <t>41580</t>
  </si>
  <si>
    <t>41610</t>
  </si>
  <si>
    <t>42107</t>
  </si>
  <si>
    <t>42108</t>
  </si>
  <si>
    <t>42125</t>
  </si>
  <si>
    <t>42130</t>
  </si>
  <si>
    <t>42135</t>
  </si>
  <si>
    <t>42140</t>
  </si>
  <si>
    <t>42200</t>
  </si>
  <si>
    <t>43010</t>
  </si>
  <si>
    <t>43020</t>
  </si>
  <si>
    <t>43030</t>
  </si>
  <si>
    <t>43050</t>
  </si>
  <si>
    <t>43462</t>
  </si>
  <si>
    <t>44790</t>
  </si>
  <si>
    <t>46160</t>
  </si>
  <si>
    <t>46161</t>
  </si>
  <si>
    <t>46165</t>
  </si>
  <si>
    <t>46167</t>
  </si>
  <si>
    <t>46172</t>
  </si>
  <si>
    <t>46199</t>
  </si>
  <si>
    <t>46520</t>
  </si>
  <si>
    <t>46530</t>
  </si>
  <si>
    <t>46535</t>
  </si>
  <si>
    <t>46760</t>
  </si>
  <si>
    <t>47010</t>
  </si>
  <si>
    <t>47011</t>
  </si>
  <si>
    <t>47020</t>
  </si>
  <si>
    <t>47030</t>
  </si>
  <si>
    <t>47070</t>
  </si>
  <si>
    <t>47090</t>
  </si>
  <si>
    <t>47250</t>
  </si>
  <si>
    <t>47350</t>
  </si>
  <si>
    <t>47355</t>
  </si>
  <si>
    <t>47410</t>
  </si>
  <si>
    <t>48565</t>
  </si>
  <si>
    <t>48760</t>
  </si>
  <si>
    <t>49120</t>
  </si>
  <si>
    <t>49200</t>
  </si>
  <si>
    <t>49400</t>
  </si>
  <si>
    <t>ADMINISTRATION DEPARTMENT</t>
  </si>
  <si>
    <t>ADMINISTRATION DIVISION</t>
  </si>
  <si>
    <t>PUBLIC ARTS PROGRAM DIVISION</t>
  </si>
  <si>
    <t>CITY SECRETARY DIVISION</t>
  </si>
  <si>
    <t>COMMUNICATIONS DIVISION</t>
  </si>
  <si>
    <t>COMMUNITY SERVICES DIVISION</t>
  </si>
  <si>
    <t>TOWN HALL OPERATIONS DEPARTMENT</t>
  </si>
  <si>
    <t>MAYOR AND CITY COUNCIL DEPARTMENT</t>
  </si>
  <si>
    <t>FINANCE AND ACCOUNTING - ADMINISTRATION DIVISION</t>
  </si>
  <si>
    <t>FINANCE AND ACCOUNTING DEPARTMENT</t>
  </si>
  <si>
    <t>HUMAN RESOURCES - ADMINISTRATION DIVISION</t>
  </si>
  <si>
    <t>HUMAN RESOURCES - CITY-WIDE EMPLOYEE ACTIVITIES DIVISION</t>
  </si>
  <si>
    <t>HUMAN RESOURCES - RISK MANAGEMENT DIVISION</t>
  </si>
  <si>
    <t>HUMAN RESOURCES DEPARTMENT</t>
  </si>
  <si>
    <t>ECONOMIC DEVELOPMENT - ADMINISTRATION DIVISION</t>
  </si>
  <si>
    <t>ECONOMIC DEVELOPMENT DEPARTMENT</t>
  </si>
  <si>
    <t>COMMUNITY DEVELOPMENT DEPARTMENT</t>
  </si>
  <si>
    <t>COMMUNITY DEVELOPMENT - BUILDING AND CONSTRUCTION SERVICES DIVISION</t>
  </si>
  <si>
    <t>POLICE DEPARTMENT</t>
  </si>
  <si>
    <t>JAIL OPERATIONS DIVISION</t>
  </si>
  <si>
    <t>ANIMAL SERVICES AND ADOPTION DIVISION</t>
  </si>
  <si>
    <t>PUBLIC SAFETY DISPATCH AND RECORDS DIVISION</t>
  </si>
  <si>
    <t>POLICE OPERATIONS DIVISION</t>
  </si>
  <si>
    <t>POLICE ADMINISTRATION DIVISION</t>
  </si>
  <si>
    <t>FIRE DEPARTMENT</t>
  </si>
  <si>
    <t>FIRE ADMINISTRATION DIVISION</t>
  </si>
  <si>
    <t>FIRE OPERATIONS DIVISION</t>
  </si>
  <si>
    <t>EMERGENCY MEDICAL SERVICES DIVISION</t>
  </si>
  <si>
    <t>EMERGENCY MANAGEMENT DIVISION</t>
  </si>
  <si>
    <t>PUBLIC WORKS DEPARTMENT</t>
  </si>
  <si>
    <t>STREET LIGHTING DIVISION</t>
  </si>
  <si>
    <t>STREET MAINTENANCE DIVISION</t>
  </si>
  <si>
    <t>ENGINEERING &amp; INSPECTIONS DIVISION</t>
  </si>
  <si>
    <t>PUBLIC WORKS ADMINISTRATION DIVISION</t>
  </si>
  <si>
    <t>LIBRARY DEPARTMENT</t>
  </si>
  <si>
    <t>NON-DEPARTMENTAL DEPARTMENT</t>
  </si>
  <si>
    <t>PARKS AND RECREATION DEPARTMENT</t>
  </si>
  <si>
    <t>KELLER TOWN CENTER MAINTENANCE DIVISION</t>
  </si>
  <si>
    <t>KELLER SPORTS PARK MAINTENANCE DIVISION</t>
  </si>
  <si>
    <t>SENIOR SERVICES DIVISION</t>
  </si>
  <si>
    <t>RECREATION PROGRAMS DIVISION</t>
  </si>
  <si>
    <t>PARKS AND CITY GROUNDS MANAGEMENT DIVISION</t>
  </si>
  <si>
    <t>PARKS AND RECREATION ADMINISTRATION DIVISION</t>
  </si>
  <si>
    <t>43040</t>
  </si>
  <si>
    <t>43705</t>
  </si>
  <si>
    <t>44010</t>
  </si>
  <si>
    <t>44050</t>
  </si>
  <si>
    <t>44100</t>
  </si>
  <si>
    <t>44200</t>
  </si>
  <si>
    <t>44510</t>
  </si>
  <si>
    <t>44550</t>
  </si>
  <si>
    <t>44700</t>
  </si>
  <si>
    <t>44701</t>
  </si>
  <si>
    <t>44702</t>
  </si>
  <si>
    <t>44705</t>
  </si>
  <si>
    <t>44710</t>
  </si>
  <si>
    <t>44730</t>
  </si>
  <si>
    <t>44740</t>
  </si>
  <si>
    <t>46190</t>
  </si>
  <si>
    <t>45100</t>
  </si>
  <si>
    <t>45200</t>
  </si>
  <si>
    <t>CUSTOMER SERVICES ADMINISTRATION</t>
  </si>
  <si>
    <t>FIELD SERVICES</t>
  </si>
  <si>
    <t>CUSTOMER SERVICES DEPARTMENT</t>
  </si>
  <si>
    <t>WATER PRODUCTION DIVISION</t>
  </si>
  <si>
    <t>WATER DISTRIBUTION DIVISION</t>
  </si>
  <si>
    <t>WASTEWATER COLLECTION</t>
  </si>
  <si>
    <t>WASTEWATER TREATMENT</t>
  </si>
  <si>
    <t>WASTEWATER UTILITIES DEPARTMENT</t>
  </si>
  <si>
    <t>MSC OPERATIONS DEPARTMENT</t>
  </si>
  <si>
    <t>FUND VARIANCE</t>
  </si>
  <si>
    <t>DRAINAGE UTILITY FUND</t>
  </si>
  <si>
    <t>UTILITY DEBT SERVICE FUND</t>
  </si>
  <si>
    <t>FUND EXPENDITURE TOTAL</t>
  </si>
  <si>
    <t>FUND VARIANCE TOTAL</t>
  </si>
  <si>
    <t>42110</t>
  </si>
  <si>
    <t>49125</t>
  </si>
  <si>
    <t>KELLER DEVELOPMENT CORPORATION (KDC) FUND</t>
  </si>
  <si>
    <t>WATER IMPACT FEES FUND</t>
  </si>
  <si>
    <t>WASTEWATER IMPACT FEES FUND</t>
  </si>
  <si>
    <t>43070</t>
  </si>
  <si>
    <t>46600</t>
  </si>
  <si>
    <t>48560</t>
  </si>
  <si>
    <t>48570</t>
  </si>
  <si>
    <t>PARKS AND RECREATION SPECIAL REVENUE FUNDS</t>
  </si>
  <si>
    <t>41790</t>
  </si>
  <si>
    <t>43240</t>
  </si>
  <si>
    <t>43245</t>
  </si>
  <si>
    <t>43260</t>
  </si>
  <si>
    <t>43264</t>
  </si>
  <si>
    <t>43275</t>
  </si>
  <si>
    <t>43280</t>
  </si>
  <si>
    <t>43285</t>
  </si>
  <si>
    <t>43291</t>
  </si>
  <si>
    <t>43292</t>
  </si>
  <si>
    <t>43293</t>
  </si>
  <si>
    <t>43420</t>
  </si>
  <si>
    <t>43485</t>
  </si>
  <si>
    <t>43491</t>
  </si>
  <si>
    <t>43492</t>
  </si>
  <si>
    <t>43493</t>
  </si>
  <si>
    <t>43494</t>
  </si>
  <si>
    <t>46104</t>
  </si>
  <si>
    <t>47351</t>
  </si>
  <si>
    <t>47352</t>
  </si>
  <si>
    <t>47353</t>
  </si>
  <si>
    <t>47357</t>
  </si>
  <si>
    <t>47358</t>
  </si>
  <si>
    <t>47359</t>
  </si>
  <si>
    <t>48566</t>
  </si>
  <si>
    <t>48580</t>
  </si>
  <si>
    <t>48585</t>
  </si>
  <si>
    <t>41620</t>
  </si>
  <si>
    <t>41630</t>
  </si>
  <si>
    <t>41640</t>
  </si>
  <si>
    <t>41650</t>
  </si>
  <si>
    <t>41675</t>
  </si>
  <si>
    <t>MUNICIPAL COURT SPECIAL REVENUE FUNDS</t>
  </si>
  <si>
    <t>PUBLIC EDUCATION AND GOVERNMENT (PEG) FRANCHISE FEE FUND</t>
  </si>
  <si>
    <t>KELLER CRIME CONTROL AND PREVENTION DISTRICT (KCCPD) FUND</t>
  </si>
  <si>
    <t>44900</t>
  </si>
  <si>
    <t>44910</t>
  </si>
  <si>
    <t>44920</t>
  </si>
  <si>
    <t>44930</t>
  </si>
  <si>
    <t>44940</t>
  </si>
  <si>
    <t>INFORMATION SERVICES FUND</t>
  </si>
  <si>
    <t>GEOGRAPHIC INFORMATION SYSTEMS DIVISION</t>
  </si>
  <si>
    <t>INFORMATION SERVICES ADMINISTRATION DIVISION</t>
  </si>
  <si>
    <t>DEBT SERVICE FUND</t>
  </si>
  <si>
    <t>49100</t>
  </si>
  <si>
    <t>49110</t>
  </si>
  <si>
    <t>49170</t>
  </si>
  <si>
    <t>49178</t>
  </si>
  <si>
    <t>40060</t>
  </si>
  <si>
    <t>40070</t>
  </si>
  <si>
    <t>40080</t>
  </si>
  <si>
    <t>CAPITAL REPLACEMENT PROGRAM</t>
  </si>
  <si>
    <t>SEASONAL OUTDOOR CONCESSIONS</t>
  </si>
  <si>
    <t>CUSTOMER SERVICES/CONCESSIONS</t>
  </si>
  <si>
    <t>FITNESS PROGRAMS</t>
  </si>
  <si>
    <t>AQUATICS</t>
  </si>
  <si>
    <t>Adopted vs. YEP</t>
  </si>
  <si>
    <t>SOLID WASTE/GARBAGE FEES</t>
  </si>
  <si>
    <t>RECREATION</t>
  </si>
  <si>
    <t>COMMUNITY CLEAN-UP</t>
  </si>
  <si>
    <t>Other Taxes</t>
  </si>
  <si>
    <t>Licenses and Permits</t>
  </si>
  <si>
    <t>Fines and Fees</t>
  </si>
  <si>
    <t>Intergovernmental</t>
  </si>
  <si>
    <t>Other Revenue</t>
  </si>
  <si>
    <t>Development Fees</t>
  </si>
  <si>
    <t>Debt Service</t>
  </si>
  <si>
    <t>Intragovernmental</t>
  </si>
  <si>
    <t>WATER AND WASTEWATER FUND</t>
  </si>
  <si>
    <t>STREET / SIDEWALK IMPROVEMENTS FUND</t>
  </si>
  <si>
    <t>FLEET REPLACEMENT FUND</t>
  </si>
  <si>
    <t>Budget Variance ($)</t>
  </si>
  <si>
    <t>Budget Variance (%)</t>
  </si>
  <si>
    <t>DEVELOPMENT GRANT</t>
  </si>
  <si>
    <t>DIVISION TOTAL</t>
  </si>
  <si>
    <t>ECONOMIC DEVELOPMENT INCENTIVES</t>
  </si>
  <si>
    <t>FUND BALANCE</t>
  </si>
  <si>
    <t>Total Transfer</t>
  </si>
  <si>
    <t>GF &amp; UF  Split</t>
  </si>
  <si>
    <t>43410</t>
  </si>
  <si>
    <t>43415</t>
  </si>
  <si>
    <t>43421</t>
  </si>
  <si>
    <t>43450</t>
  </si>
  <si>
    <t>43455</t>
  </si>
  <si>
    <t>43460</t>
  </si>
  <si>
    <t>43463</t>
  </si>
  <si>
    <t>43465</t>
  </si>
  <si>
    <t>43466</t>
  </si>
  <si>
    <t>43480</t>
  </si>
  <si>
    <t>43481</t>
  </si>
  <si>
    <t>43482</t>
  </si>
  <si>
    <t>43483</t>
  </si>
  <si>
    <t>43484</t>
  </si>
  <si>
    <t>43501</t>
  </si>
  <si>
    <t>43503</t>
  </si>
  <si>
    <t>41140</t>
  </si>
  <si>
    <t>46710</t>
  </si>
  <si>
    <t>47100</t>
  </si>
  <si>
    <t>WATER UTILITIES DEPARTMENT</t>
  </si>
  <si>
    <t>COMMUNITY DEVELOPMENT - PLANNING AND ZONING DIVISION</t>
  </si>
  <si>
    <t>Finance TBD</t>
  </si>
  <si>
    <t>Finance TBD inc G&amp;O</t>
  </si>
  <si>
    <t>100</t>
  </si>
  <si>
    <t>Fund</t>
  </si>
  <si>
    <t>KDC</t>
  </si>
  <si>
    <t>Formula</t>
  </si>
  <si>
    <t>47500 in lease</t>
  </si>
  <si>
    <t>REVENUE-TIF TAXES/CITY</t>
  </si>
  <si>
    <t>TIRZ Transfer</t>
  </si>
  <si>
    <t>Total TAD</t>
  </si>
  <si>
    <t>Avg. Home Value</t>
  </si>
  <si>
    <t>TRANSFER TO CIP-DRAINAGE</t>
  </si>
  <si>
    <t>TRANSFER TO CIP-GENERAL GOVERN</t>
  </si>
  <si>
    <t>Property Tax</t>
  </si>
  <si>
    <t xml:space="preserve">O&amp;M </t>
  </si>
  <si>
    <t>Levy At Prior Rates</t>
  </si>
  <si>
    <t>Monthly</t>
  </si>
  <si>
    <t>THE KELLER POINTE FUND</t>
  </si>
  <si>
    <t>KCCPD</t>
  </si>
  <si>
    <t>Cost</t>
  </si>
  <si>
    <t>Parks &amp; Rec</t>
  </si>
  <si>
    <t>Ind Col vs. Total Col</t>
  </si>
  <si>
    <t>ST</t>
  </si>
  <si>
    <t>DF</t>
  </si>
  <si>
    <t>FF</t>
  </si>
  <si>
    <t>OL</t>
  </si>
  <si>
    <t>LP</t>
  </si>
  <si>
    <t>IA</t>
  </si>
  <si>
    <t>IE</t>
  </si>
  <si>
    <t>SB</t>
  </si>
  <si>
    <t>OM</t>
  </si>
  <si>
    <t>SO</t>
  </si>
  <si>
    <t>DS</t>
  </si>
  <si>
    <t>TO</t>
  </si>
  <si>
    <t>TI</t>
  </si>
  <si>
    <t>CO</t>
  </si>
  <si>
    <t>Forecast Code</t>
  </si>
  <si>
    <t>OR</t>
  </si>
  <si>
    <t>INCR/DECR IN FAIR VALUE OF INV</t>
  </si>
  <si>
    <t>INTEREST-DEBT ISSUANCE</t>
  </si>
  <si>
    <t>TRANSFER TO REC SPEC REV FUND</t>
  </si>
  <si>
    <t>TRANSFER FROM W&amp;S I&amp;S FUND</t>
  </si>
  <si>
    <t>TRANSFER FROM WATER IMPACT FEE</t>
  </si>
  <si>
    <t>TRANSFER FROM WW IMPACT FEE</t>
  </si>
  <si>
    <t>I/G REV-FT WORTH</t>
  </si>
  <si>
    <t>PT</t>
  </si>
  <si>
    <t>PROPERTY PROCEEDS</t>
  </si>
  <si>
    <t>TUITION REIMBURSEMENT</t>
  </si>
  <si>
    <t>AMBULANCE BILLING FEES</t>
  </si>
  <si>
    <t>TRANSFER TO CIP-STREET IMPROVE</t>
  </si>
  <si>
    <t>LANDSCAPE SERVICES</t>
  </si>
  <si>
    <t>TRANSFER TO CIP-PARK</t>
  </si>
  <si>
    <t>TRANSFER TO CIP-WATER/WW</t>
  </si>
  <si>
    <t>53520</t>
  </si>
  <si>
    <t>59406</t>
  </si>
  <si>
    <t>59105</t>
  </si>
  <si>
    <t>FACILITY EQUIPMENT REPLACEMENT FUND</t>
  </si>
  <si>
    <t>ASSESSMENT REVENUE-WINDSOR FST</t>
  </si>
  <si>
    <t>STREET ASSESSMENT REVENUE</t>
  </si>
  <si>
    <t>PENALTY REVENUE-ASSESSMENTS</t>
  </si>
  <si>
    <t>TAX CERTIFICATES</t>
  </si>
  <si>
    <t>FRANCHISE FEES-AT&amp;T</t>
  </si>
  <si>
    <t>PLUMBING PERMITS</t>
  </si>
  <si>
    <t>MECHANICAL PERMITS</t>
  </si>
  <si>
    <t>ELECTRICAL PERMITS</t>
  </si>
  <si>
    <t>PLATTING FEES</t>
  </si>
  <si>
    <t>STREET LIGHTING DEVELOPER FEES</t>
  </si>
  <si>
    <t>CONTRIBUTIONS-DEVELOPER</t>
  </si>
  <si>
    <t>CAPITAL CONTRIBUTIONS-CITY</t>
  </si>
  <si>
    <t>CONTRIBUTIONS-PROPERTY OWNERS</t>
  </si>
  <si>
    <t>ANIMAL CONTROL MICROCHIP</t>
  </si>
  <si>
    <t>AMBULANCE SERVICE FEES REVENUE</t>
  </si>
  <si>
    <t>ALARMS/PERMITS/MISC FEES-PD</t>
  </si>
  <si>
    <t>PERMITS &amp; INSPECTION FEES-FIRE</t>
  </si>
  <si>
    <t>FALSE ALARM FEES-FIRE</t>
  </si>
  <si>
    <t>ALARM PERMITS-POLICE</t>
  </si>
  <si>
    <t>FALSE ALARM FEES-PD</t>
  </si>
  <si>
    <t>LIBRARY FINES REVENUE</t>
  </si>
  <si>
    <t>JUVENILE CASE MANAGER FINES</t>
  </si>
  <si>
    <t>PARK RENTAL FEES-FACILITIES</t>
  </si>
  <si>
    <t>PARK RENTAL FEES-SPORTS PARK</t>
  </si>
  <si>
    <t>COMMUNICATION TOWER RENTAL</t>
  </si>
  <si>
    <t>RIGHT-OF-WAY EASEMENTS</t>
  </si>
  <si>
    <t>LIBRARY NON-RESIDENT FEES</t>
  </si>
  <si>
    <t>INSURANCE PREMIUMS</t>
  </si>
  <si>
    <t>REC THE PARK REVENUE</t>
  </si>
  <si>
    <t>CONCESSION SALES/PROCEEDS</t>
  </si>
  <si>
    <t>AQUATICS PROGRAM REVENUES</t>
  </si>
  <si>
    <t>REVENUE-SR SVS COFFEE</t>
  </si>
  <si>
    <t>HYDRANT METER RENTAL/PENALTY</t>
  </si>
  <si>
    <t>UNCLASSIFIED SEWER REVENUE</t>
  </si>
  <si>
    <t>INDUSTRIAL WASTE SURCHARGES</t>
  </si>
  <si>
    <t>METER BOXES/LIDS FEES</t>
  </si>
  <si>
    <t>OFFICE EQUIP LEASE REV-F 118</t>
  </si>
  <si>
    <t>DEBT ISSUANCE PROCEEDS</t>
  </si>
  <si>
    <t>PROCEEDS FROM NOTES PAYABLE</t>
  </si>
  <si>
    <t>GRANT</t>
  </si>
  <si>
    <t>I/GOVT REV-KELLER HIGH ED CORP</t>
  </si>
  <si>
    <t>I/G REV-CITY OF WATAUGA</t>
  </si>
  <si>
    <t>I/G REV-LOCAL-MISC</t>
  </si>
  <si>
    <t>GRANT-FED TXDOT</t>
  </si>
  <si>
    <t>WITHHOLDINGS FROM EMPLOYEES</t>
  </si>
  <si>
    <t>CASH OVER/SHORT</t>
  </si>
  <si>
    <t>INTEREST REVENUE-DEBT ISSUANCE</t>
  </si>
  <si>
    <t>PROPERTY FORFEITURE</t>
  </si>
  <si>
    <t>TICKET SALES</t>
  </si>
  <si>
    <t>REVENUE-TASTE KELLER</t>
  </si>
  <si>
    <t>MISC REVENUE-ART PURCHASE</t>
  </si>
  <si>
    <t>DONATIONS-SR SVS</t>
  </si>
  <si>
    <t>DONATIONS-CAPITAL</t>
  </si>
  <si>
    <t>TRANSFER FROM POINTE</t>
  </si>
  <si>
    <t>TRANSFER FROM EQUIP REPL FUND</t>
  </si>
  <si>
    <t>TRANSFER FROM PARKS CIP</t>
  </si>
  <si>
    <t>TRANSFER FROM W&amp;S CIP FUND</t>
  </si>
  <si>
    <t>TRANSFER FROM DRAINAGE CIP</t>
  </si>
  <si>
    <t>GROUP EXERCISE PAY</t>
  </si>
  <si>
    <t>ANIMAL CONTROL SUPPLIES</t>
  </si>
  <si>
    <t>JANITORIAL SERVICES</t>
  </si>
  <si>
    <t>DEBRIS &amp; WASTE DISPOSAL SVCS</t>
  </si>
  <si>
    <t>RECREATION &amp; CULTURE PROGRAMS</t>
  </si>
  <si>
    <t>WEBSITE/TECHNOLOGY SERVICES</t>
  </si>
  <si>
    <t>EXPENDITURES-DONATION MMOW</t>
  </si>
  <si>
    <t>EXPENDITURE-FIRE DONATIONS</t>
  </si>
  <si>
    <t>INTEREST/OTHER DEBTAMORTIZATI</t>
  </si>
  <si>
    <t>CAPITAL PROJECT CONTINGENCY</t>
  </si>
  <si>
    <t>TRANSFER TO PUB SAFTY SPEC REV</t>
  </si>
  <si>
    <t>TRANSFER TO DRAINAGE FUND</t>
  </si>
  <si>
    <t>REVENUE</t>
  </si>
  <si>
    <t>4</t>
  </si>
  <si>
    <t>51</t>
  </si>
  <si>
    <t>50</t>
  </si>
  <si>
    <t>52</t>
  </si>
  <si>
    <t>53</t>
  </si>
  <si>
    <t>54</t>
  </si>
  <si>
    <t>55</t>
  </si>
  <si>
    <t>56</t>
  </si>
  <si>
    <t>58</t>
  </si>
  <si>
    <t>59</t>
  </si>
  <si>
    <t>40040</t>
  </si>
  <si>
    <t>40100</t>
  </si>
  <si>
    <t>40110</t>
  </si>
  <si>
    <t>40120</t>
  </si>
  <si>
    <t>40160</t>
  </si>
  <si>
    <t>41050</t>
  </si>
  <si>
    <t>41120</t>
  </si>
  <si>
    <t>53512</t>
  </si>
  <si>
    <t>53525</t>
  </si>
  <si>
    <t>53529</t>
  </si>
  <si>
    <t>53530</t>
  </si>
  <si>
    <t>59179</t>
  </si>
  <si>
    <t>41350</t>
  </si>
  <si>
    <t>41355</t>
  </si>
  <si>
    <t>41360</t>
  </si>
  <si>
    <t>41370</t>
  </si>
  <si>
    <t>41505</t>
  </si>
  <si>
    <t>41535</t>
  </si>
  <si>
    <t>41551</t>
  </si>
  <si>
    <t>41655</t>
  </si>
  <si>
    <t>41685</t>
  </si>
  <si>
    <t>41690</t>
  </si>
  <si>
    <t>42105</t>
  </si>
  <si>
    <t>43080</t>
  </si>
  <si>
    <t>43263</t>
  </si>
  <si>
    <t>44560</t>
  </si>
  <si>
    <t>44570</t>
  </si>
  <si>
    <t>44810</t>
  </si>
  <si>
    <t>44870</t>
  </si>
  <si>
    <t>44925</t>
  </si>
  <si>
    <t>44935</t>
  </si>
  <si>
    <t>44945</t>
  </si>
  <si>
    <t>44950</t>
  </si>
  <si>
    <t>44960</t>
  </si>
  <si>
    <t>44970</t>
  </si>
  <si>
    <t>45000</t>
  </si>
  <si>
    <t>45010</t>
  </si>
  <si>
    <t>45095</t>
  </si>
  <si>
    <t>46162</t>
  </si>
  <si>
    <t>46170</t>
  </si>
  <si>
    <t>46175</t>
  </si>
  <si>
    <t>46180</t>
  </si>
  <si>
    <t>46182</t>
  </si>
  <si>
    <t>46515</t>
  </si>
  <si>
    <t>46730</t>
  </si>
  <si>
    <t>47025</t>
  </si>
  <si>
    <t>47040</t>
  </si>
  <si>
    <t>47060</t>
  </si>
  <si>
    <t>47095</t>
  </si>
  <si>
    <t>47099</t>
  </si>
  <si>
    <t>47210</t>
  </si>
  <si>
    <t>49160</t>
  </si>
  <si>
    <t>49175</t>
  </si>
  <si>
    <t>49198</t>
  </si>
  <si>
    <t>49204</t>
  </si>
  <si>
    <t>49206</t>
  </si>
  <si>
    <t>49231</t>
  </si>
  <si>
    <t>49232</t>
  </si>
  <si>
    <t>49406</t>
  </si>
  <si>
    <t>49999</t>
  </si>
  <si>
    <t>Wholesale Water</t>
  </si>
  <si>
    <t>TRA Payment-Wastewater</t>
  </si>
  <si>
    <t>COMPUTER REPLACEMENTS</t>
  </si>
  <si>
    <t>VEHICLE/EQUIP LEASE REV-F 100</t>
  </si>
  <si>
    <t>44955</t>
  </si>
  <si>
    <t>REC SPECIAL EVENT EXPENSE</t>
  </si>
  <si>
    <t>Bond Issuance Costs</t>
  </si>
  <si>
    <t>% Current</t>
  </si>
  <si>
    <t>% New Value</t>
  </si>
  <si>
    <t>Freeze Loss:</t>
  </si>
  <si>
    <t>Value</t>
  </si>
  <si>
    <t>LEVY GROWTH</t>
  </si>
  <si>
    <t>CK Total</t>
  </si>
  <si>
    <t>Freeze to Debt %</t>
  </si>
  <si>
    <t>TNT Rates</t>
  </si>
  <si>
    <t>Average Home Value Comparisons</t>
  </si>
  <si>
    <t>Avg. Adopted Levy</t>
  </si>
  <si>
    <t>Avg. Eff. Levy</t>
  </si>
  <si>
    <t>Avg. RB Levy</t>
  </si>
  <si>
    <t>Avg. Monthly Levy</t>
  </si>
  <si>
    <t>New Growth</t>
  </si>
  <si>
    <t>New Growth Levy</t>
  </si>
  <si>
    <t>Existing Levy</t>
  </si>
  <si>
    <t>Levy Growth</t>
  </si>
  <si>
    <t>Other Value</t>
  </si>
  <si>
    <t>Adopted</t>
  </si>
  <si>
    <t>Effective Levy</t>
  </si>
  <si>
    <t>Adopted vs Effective Levy</t>
  </si>
  <si>
    <t>Rollback Levy</t>
  </si>
  <si>
    <t>Adopted vs Rollback Levy</t>
  </si>
  <si>
    <t>Use of Cash/99.3% Collection</t>
  </si>
  <si>
    <t>City Rate</t>
  </si>
  <si>
    <t>Adopted vs. Eff Levy</t>
  </si>
  <si>
    <t>Adopted vs. RB Levy</t>
  </si>
  <si>
    <t>Per Month</t>
  </si>
  <si>
    <t>Check #</t>
  </si>
  <si>
    <t>MC-TRUANCY PREV</t>
  </si>
  <si>
    <t>MC-JURY FINES</t>
  </si>
  <si>
    <t>110</t>
  </si>
  <si>
    <t>112</t>
  </si>
  <si>
    <t>114</t>
  </si>
  <si>
    <t>116</t>
  </si>
  <si>
    <t>118</t>
  </si>
  <si>
    <t>120</t>
  </si>
  <si>
    <t>125</t>
  </si>
  <si>
    <t>119</t>
  </si>
  <si>
    <t>150</t>
  </si>
  <si>
    <t>174</t>
  </si>
  <si>
    <t>175</t>
  </si>
  <si>
    <t>179</t>
  </si>
  <si>
    <t>200</t>
  </si>
  <si>
    <t>400</t>
  </si>
  <si>
    <t>On-Going</t>
  </si>
  <si>
    <t>One-Time</t>
  </si>
  <si>
    <t>FY 2019-20</t>
  </si>
  <si>
    <t>PROPOSED COSTS</t>
  </si>
  <si>
    <t>SUBMITTED COSTS</t>
  </si>
  <si>
    <t>Division</t>
  </si>
  <si>
    <t>PROPERTY TAX</t>
  </si>
  <si>
    <t>DEVELOPMENT FEES</t>
  </si>
  <si>
    <t>OTHER REVENUE</t>
  </si>
  <si>
    <t>SALES TAX</t>
  </si>
  <si>
    <t>OTHER TAXES</t>
  </si>
  <si>
    <t>LICENSES AND PERMITS</t>
  </si>
  <si>
    <t>FINES AND FEES</t>
  </si>
  <si>
    <t>CHARGES FOR SERVICE</t>
  </si>
  <si>
    <t>DEBT ISSUANCES</t>
  </si>
  <si>
    <t>INTERGOVERNMENTAL</t>
  </si>
  <si>
    <t>INTRAGOVERNMENTAL</t>
  </si>
  <si>
    <t>TRANSFERS IN</t>
  </si>
  <si>
    <t>Transfers In</t>
  </si>
  <si>
    <t>Charges for Service</t>
  </si>
  <si>
    <t>TOTAL REVENUE</t>
  </si>
  <si>
    <t>IT</t>
  </si>
  <si>
    <t>GIS</t>
  </si>
  <si>
    <t>Engineering</t>
  </si>
  <si>
    <t>Streets</t>
  </si>
  <si>
    <t>Fund #</t>
  </si>
  <si>
    <t>Dept #</t>
  </si>
  <si>
    <t>Div #</t>
  </si>
  <si>
    <t>Keller Development Corp.</t>
  </si>
  <si>
    <t>IT Fund</t>
  </si>
  <si>
    <t>TIRZ Fund</t>
  </si>
  <si>
    <t>Fleet Replacement</t>
  </si>
  <si>
    <t>Facility Replacement Fund</t>
  </si>
  <si>
    <t>Debt Fund</t>
  </si>
  <si>
    <t>Bond Project / Proposal</t>
  </si>
  <si>
    <t>Interest</t>
  </si>
  <si>
    <t>Payment Years</t>
  </si>
  <si>
    <t>PMT</t>
  </si>
  <si>
    <t># of Payments</t>
  </si>
  <si>
    <t>Include</t>
  </si>
  <si>
    <t>New Services</t>
  </si>
  <si>
    <t>Repairs &amp; Maint.</t>
  </si>
  <si>
    <t>FY 2022-23</t>
  </si>
  <si>
    <t>AV</t>
  </si>
  <si>
    <t>Freeze</t>
  </si>
  <si>
    <t>Operations</t>
  </si>
  <si>
    <t>FY 2023-24</t>
  </si>
  <si>
    <t>WELLNESS ACTIVITIES</t>
  </si>
  <si>
    <t>SPRING/SUMMER CAMP</t>
  </si>
  <si>
    <t>MARTIAL ARTS</t>
  </si>
  <si>
    <t>WELLNESS PROCEEDS</t>
  </si>
  <si>
    <t>difference</t>
  </si>
  <si>
    <t>PUBLIC SAFETY SPECIAL REVENUE FUNDS</t>
  </si>
  <si>
    <t>47006</t>
  </si>
  <si>
    <t>53546</t>
  </si>
  <si>
    <t>43487</t>
  </si>
  <si>
    <t>43488</t>
  </si>
  <si>
    <t>VEHICLE/EQUIP LEASE REV-F 119</t>
  </si>
  <si>
    <t>Services &amp; Other</t>
  </si>
  <si>
    <t>59129</t>
  </si>
  <si>
    <t>CIP</t>
  </si>
  <si>
    <t>Sidewalk Reconstruction</t>
  </si>
  <si>
    <t>TRANSFER FROM GRANT FUND</t>
  </si>
  <si>
    <t>TRANSFER TO SELF-INSURANCE FUN</t>
  </si>
  <si>
    <t>I/G REV-KISD RESERVE OFFICER</t>
  </si>
  <si>
    <t>Account #</t>
  </si>
  <si>
    <t>Account Name</t>
  </si>
  <si>
    <t>Category</t>
  </si>
  <si>
    <t>FY 2024-25</t>
  </si>
  <si>
    <t>Playground Replacements</t>
  </si>
  <si>
    <t>LIBRARY MATERIALS</t>
  </si>
  <si>
    <t>HS</t>
  </si>
  <si>
    <t>Value of $.0025</t>
  </si>
  <si>
    <t>49151</t>
  </si>
  <si>
    <t>44965</t>
  </si>
  <si>
    <t>VEHICLE/EQUIP LEASE REV-F 125</t>
  </si>
  <si>
    <t>FUND TOTAL</t>
  </si>
  <si>
    <t>REV - EXP</t>
  </si>
  <si>
    <t>TRANSFER TO MC SPEC REV</t>
  </si>
  <si>
    <t>I/G REV-GRAPEVINE</t>
  </si>
  <si>
    <t>COMMUNITY DEVELOPMENT - CODE ENFORCEMENT DIVISION</t>
  </si>
  <si>
    <t>AMMUNITION</t>
  </si>
  <si>
    <t>TESTING SUPPLIES</t>
  </si>
  <si>
    <t>SCADA MAINTENANCE</t>
  </si>
  <si>
    <t>59114</t>
  </si>
  <si>
    <t>51273</t>
  </si>
  <si>
    <t>51295</t>
  </si>
  <si>
    <t>TRANSFER TO CIP-RECR/AQUA CTR</t>
  </si>
  <si>
    <t>Refunding</t>
  </si>
  <si>
    <t>125-50101-650</t>
  </si>
  <si>
    <t>125-50102-650</t>
  </si>
  <si>
    <t>125-50109-650</t>
  </si>
  <si>
    <t>125-50110-650</t>
  </si>
  <si>
    <t>125-50111-650</t>
  </si>
  <si>
    <t>125-50112-650</t>
  </si>
  <si>
    <t>125-50120-650</t>
  </si>
  <si>
    <t>125-50610-650</t>
  </si>
  <si>
    <t>125-50620-650</t>
  </si>
  <si>
    <t>125-50630-650</t>
  </si>
  <si>
    <t>125-50650-650</t>
  </si>
  <si>
    <t>125-51210-650</t>
  </si>
  <si>
    <t>125-51221-650</t>
  </si>
  <si>
    <t>125-51225-650</t>
  </si>
  <si>
    <t>125-51226-650</t>
  </si>
  <si>
    <t>125-51240-650</t>
  </si>
  <si>
    <t>125-51245-650</t>
  </si>
  <si>
    <t>125-51255-650</t>
  </si>
  <si>
    <t>125-51257-650</t>
  </si>
  <si>
    <t>125-51260-650</t>
  </si>
  <si>
    <t>125-51270-650</t>
  </si>
  <si>
    <t>125-51271-650</t>
  </si>
  <si>
    <t>125-51285-650</t>
  </si>
  <si>
    <t>125-51287-650</t>
  </si>
  <si>
    <t>125-51299-650</t>
  </si>
  <si>
    <t>125-52310-650</t>
  </si>
  <si>
    <t>125-52311-650</t>
  </si>
  <si>
    <t>125-52350-650</t>
  </si>
  <si>
    <t>125-52440-650</t>
  </si>
  <si>
    <t>125-52460-650</t>
  </si>
  <si>
    <t>125-52470-650</t>
  </si>
  <si>
    <t>125-52485-650</t>
  </si>
  <si>
    <t>125-52490-650</t>
  </si>
  <si>
    <t>125-53509-650</t>
  </si>
  <si>
    <t>125-53510-650</t>
  </si>
  <si>
    <t>125-53511-650</t>
  </si>
  <si>
    <t>125-53513-650</t>
  </si>
  <si>
    <t>125-53522-650</t>
  </si>
  <si>
    <t>125-53524-650</t>
  </si>
  <si>
    <t>125-53525-650</t>
  </si>
  <si>
    <t>125-53529-650</t>
  </si>
  <si>
    <t>125-53534-650</t>
  </si>
  <si>
    <t>125-53535-650</t>
  </si>
  <si>
    <t>125-53540-650</t>
  </si>
  <si>
    <t>125-53543-650</t>
  </si>
  <si>
    <t>125-53550-650</t>
  </si>
  <si>
    <t>125-53551-650</t>
  </si>
  <si>
    <t>125-53560-650</t>
  </si>
  <si>
    <t>125-53570-650</t>
  </si>
  <si>
    <t>125-53571-650</t>
  </si>
  <si>
    <t>125-53572-650</t>
  </si>
  <si>
    <t>125-53574-650</t>
  </si>
  <si>
    <t>125-53585-650</t>
  </si>
  <si>
    <t>125-55590-650</t>
  </si>
  <si>
    <t>125-55591-650</t>
  </si>
  <si>
    <t>125-58828-650</t>
  </si>
  <si>
    <t>125-58830-650</t>
  </si>
  <si>
    <t>125-58852-650</t>
  </si>
  <si>
    <t>125-58858-650</t>
  </si>
  <si>
    <t>125-59105-650</t>
  </si>
  <si>
    <t>125-59112-650</t>
  </si>
  <si>
    <t>59106</t>
  </si>
  <si>
    <t>125-59105-990</t>
  </si>
  <si>
    <t>125-59106-990</t>
  </si>
  <si>
    <t>125-53537-650</t>
  </si>
  <si>
    <t>125-53527-650</t>
  </si>
  <si>
    <t>125-53541-650</t>
  </si>
  <si>
    <t>125-51280-650</t>
  </si>
  <si>
    <t>125-51281-650</t>
  </si>
  <si>
    <t>125-51282-650</t>
  </si>
  <si>
    <t>125-50117-650</t>
  </si>
  <si>
    <t>125-52399-650</t>
  </si>
  <si>
    <t>125-51220-650</t>
  </si>
  <si>
    <t>125-53584-650</t>
  </si>
  <si>
    <t>125-53552-650</t>
  </si>
  <si>
    <t>125-53517-650</t>
  </si>
  <si>
    <t>125-53538-650</t>
  </si>
  <si>
    <t>125-51230-650</t>
  </si>
  <si>
    <t>Operations &amp; Maintance</t>
  </si>
  <si>
    <t>Transfers</t>
  </si>
  <si>
    <t>125-58851-650</t>
  </si>
  <si>
    <t>FY 2025-26</t>
  </si>
  <si>
    <t>200-00-000-43010</t>
  </si>
  <si>
    <t>200-00-000-43040</t>
  </si>
  <si>
    <t>200-00-000-43705</t>
  </si>
  <si>
    <t>200-00-000-44010</t>
  </si>
  <si>
    <t>200-00-000-44050</t>
  </si>
  <si>
    <t>200-00-000-44100</t>
  </si>
  <si>
    <t>200-00-000-44200</t>
  </si>
  <si>
    <t>200-00-000-44510</t>
  </si>
  <si>
    <t>200-00-000-44550</t>
  </si>
  <si>
    <t>200-00-000-44700</t>
  </si>
  <si>
    <t>200-00-000-44702</t>
  </si>
  <si>
    <t>200-00-000-44705</t>
  </si>
  <si>
    <t>200-00-000-44710</t>
  </si>
  <si>
    <t>200-00-000-44730</t>
  </si>
  <si>
    <t>200-00-000-44740</t>
  </si>
  <si>
    <t>200-00-000-44790</t>
  </si>
  <si>
    <t>200-00-000-45100</t>
  </si>
  <si>
    <t>200-00-000-46160</t>
  </si>
  <si>
    <t>200-00-000-46190</t>
  </si>
  <si>
    <t>200-00-000-47010</t>
  </si>
  <si>
    <t>200-00-000-47020</t>
  </si>
  <si>
    <t>200-00-000-47030</t>
  </si>
  <si>
    <t>200-00-000-47070</t>
  </si>
  <si>
    <t>200-00-000-47090</t>
  </si>
  <si>
    <t>200-00-000-47099</t>
  </si>
  <si>
    <t>200-00-000-49999</t>
  </si>
  <si>
    <t>200-70-701-50101</t>
  </si>
  <si>
    <t>200-70-701-50102</t>
  </si>
  <si>
    <t>200-70-701-50109</t>
  </si>
  <si>
    <t>200-70-701-50110</t>
  </si>
  <si>
    <t>200-70-701-50111</t>
  </si>
  <si>
    <t>200-70-701-50112</t>
  </si>
  <si>
    <t>200-70-701-50115</t>
  </si>
  <si>
    <t>200-70-701-50610</t>
  </si>
  <si>
    <t>200-70-701-50620</t>
  </si>
  <si>
    <t>200-70-701-50630</t>
  </si>
  <si>
    <t>200-70-701-50650</t>
  </si>
  <si>
    <t>200-70-701-51210</t>
  </si>
  <si>
    <t>200-70-701-51245</t>
  </si>
  <si>
    <t>200-70-701-51255</t>
  </si>
  <si>
    <t>200-70-701-51285</t>
  </si>
  <si>
    <t>200-70-701-51287</t>
  </si>
  <si>
    <t>200-70-701-51299</t>
  </si>
  <si>
    <t>200-70-701-52440</t>
  </si>
  <si>
    <t>200-70-701-52460</t>
  </si>
  <si>
    <t>200-70-701-53505</t>
  </si>
  <si>
    <t>200-70-701-53507</t>
  </si>
  <si>
    <t>200-70-701-53599</t>
  </si>
  <si>
    <t>200-70-701-53510</t>
  </si>
  <si>
    <t>200-70-701-53515</t>
  </si>
  <si>
    <t>200-70-701-53513</t>
  </si>
  <si>
    <t>200-70-701-53526</t>
  </si>
  <si>
    <t>200-70-701-53532</t>
  </si>
  <si>
    <t>200-70-701-53540</t>
  </si>
  <si>
    <t>200-70-701-53543</t>
  </si>
  <si>
    <t>200-70-701-55175</t>
  </si>
  <si>
    <t>200-70-701-55119</t>
  </si>
  <si>
    <t>200-71-711-50101</t>
  </si>
  <si>
    <t>200-71-711-50102</t>
  </si>
  <si>
    <t>200-71-711-50109</t>
  </si>
  <si>
    <t>200-71-711-50111</t>
  </si>
  <si>
    <t>200-71-711-50610</t>
  </si>
  <si>
    <t>200-71-711-50620</t>
  </si>
  <si>
    <t>200-71-711-50630</t>
  </si>
  <si>
    <t>200-71-711-50650</t>
  </si>
  <si>
    <t>200-71-711-51210</t>
  </si>
  <si>
    <t>200-71-711-51220</t>
  </si>
  <si>
    <t>200-71-711-51285</t>
  </si>
  <si>
    <t>200-71-711-51299</t>
  </si>
  <si>
    <t>200-71-711-52310</t>
  </si>
  <si>
    <t>200-71-711-52440</t>
  </si>
  <si>
    <t>200-71-711-52480</t>
  </si>
  <si>
    <t>200-71-711-53505</t>
  </si>
  <si>
    <t>200-71-711-53599</t>
  </si>
  <si>
    <t>200-71-711-53510</t>
  </si>
  <si>
    <t>200-71-711-53515</t>
  </si>
  <si>
    <t>200-71-711-53513</t>
  </si>
  <si>
    <t>200-71-711-53524</t>
  </si>
  <si>
    <t>200-71-711-53540</t>
  </si>
  <si>
    <t>200-71-711-53585</t>
  </si>
  <si>
    <t>200-71-711-55119</t>
  </si>
  <si>
    <t>200-71-712-50102</t>
  </si>
  <si>
    <t>200-71-712-50109</t>
  </si>
  <si>
    <t>200-71-712-50111</t>
  </si>
  <si>
    <t>200-71-712-50115</t>
  </si>
  <si>
    <t>200-71-712-50610</t>
  </si>
  <si>
    <t>200-71-712-50620</t>
  </si>
  <si>
    <t>200-71-712-50630</t>
  </si>
  <si>
    <t>200-71-712-50650</t>
  </si>
  <si>
    <t>200-71-712-51210</t>
  </si>
  <si>
    <t>200-71-712-51245</t>
  </si>
  <si>
    <t>200-71-712-51255</t>
  </si>
  <si>
    <t>200-71-712-51285</t>
  </si>
  <si>
    <t>200-71-712-52440</t>
  </si>
  <si>
    <t>200-71-712-52430</t>
  </si>
  <si>
    <t>200-71-712-52460</t>
  </si>
  <si>
    <t>200-71-712-53510</t>
  </si>
  <si>
    <t>200-71-712-53515</t>
  </si>
  <si>
    <t>200-71-712-53599</t>
  </si>
  <si>
    <t>200-71-712-55175</t>
  </si>
  <si>
    <t>200-71-712-55119</t>
  </si>
  <si>
    <t>200-73-734-50102</t>
  </si>
  <si>
    <t>200-73-734-50109</t>
  </si>
  <si>
    <t>200-73-734-50111</t>
  </si>
  <si>
    <t>200-73-734-50115</t>
  </si>
  <si>
    <t>200-73-734-50610</t>
  </si>
  <si>
    <t>200-73-734-50620</t>
  </si>
  <si>
    <t>200-73-734-50630</t>
  </si>
  <si>
    <t>200-73-734-50650</t>
  </si>
  <si>
    <t>200-73-734-51245</t>
  </si>
  <si>
    <t>200-73-734-51255</t>
  </si>
  <si>
    <t>200-73-734-51270</t>
  </si>
  <si>
    <t>200-73-734-51273</t>
  </si>
  <si>
    <t>200-73-734-51285</t>
  </si>
  <si>
    <t>200-73-734-51287</t>
  </si>
  <si>
    <t>200-73-734-51299</t>
  </si>
  <si>
    <t>200-73-734-52310</t>
  </si>
  <si>
    <t>200-73-734-52311</t>
  </si>
  <si>
    <t>200-73-734-52410</t>
  </si>
  <si>
    <t>200-73-734-52460</t>
  </si>
  <si>
    <t>200-73-734-52470</t>
  </si>
  <si>
    <t>200-73-734-51210</t>
  </si>
  <si>
    <t>200-73-734-52499</t>
  </si>
  <si>
    <t>200-73-734-53599</t>
  </si>
  <si>
    <t>200-73-734-53510</t>
  </si>
  <si>
    <t>200-73-734-53515</t>
  </si>
  <si>
    <t>200-73-734-53524</t>
  </si>
  <si>
    <t>200-73-734-53525</t>
  </si>
  <si>
    <t>200-73-734-53526</t>
  </si>
  <si>
    <t>200-73-734-53572</t>
  </si>
  <si>
    <t>200-73-734-53574</t>
  </si>
  <si>
    <t>200-73-734-55175</t>
  </si>
  <si>
    <t>200-73-734-55119</t>
  </si>
  <si>
    <t>200-73-734-53514</t>
  </si>
  <si>
    <t>200-73-735-50102</t>
  </si>
  <si>
    <t>200-73-735-50109</t>
  </si>
  <si>
    <t>200-73-735-50111</t>
  </si>
  <si>
    <t>200-73-735-50115</t>
  </si>
  <si>
    <t>200-73-735-50610</t>
  </si>
  <si>
    <t>200-73-735-50620</t>
  </si>
  <si>
    <t>200-73-735-50630</t>
  </si>
  <si>
    <t>200-73-735-50650</t>
  </si>
  <si>
    <t>200-73-735-51210</t>
  </si>
  <si>
    <t>200-73-735-51245</t>
  </si>
  <si>
    <t>200-73-735-51255</t>
  </si>
  <si>
    <t>200-73-735-51265</t>
  </si>
  <si>
    <t>200-73-735-51270</t>
  </si>
  <si>
    <t>200-73-735-51285</t>
  </si>
  <si>
    <t>200-73-735-51287</t>
  </si>
  <si>
    <t>200-73-735-51299</t>
  </si>
  <si>
    <t>200-73-735-52310</t>
  </si>
  <si>
    <t>200-73-735-52311</t>
  </si>
  <si>
    <t>200-73-735-52320</t>
  </si>
  <si>
    <t>200-73-735-52330</t>
  </si>
  <si>
    <t>200-73-735-52430</t>
  </si>
  <si>
    <t>200-73-735-52437</t>
  </si>
  <si>
    <t>200-73-735-52440</t>
  </si>
  <si>
    <t>200-73-735-52460</t>
  </si>
  <si>
    <t>200-73-735-52470</t>
  </si>
  <si>
    <t>200-73-735-52480</t>
  </si>
  <si>
    <t>200-73-735-53599</t>
  </si>
  <si>
    <t>200-73-735-53510</t>
  </si>
  <si>
    <t>200-73-735-53515</t>
  </si>
  <si>
    <t>200-73-735-53524</t>
  </si>
  <si>
    <t>200-73-735-53530</t>
  </si>
  <si>
    <t>200-73-735-53526</t>
  </si>
  <si>
    <t>200-73-735-53577</t>
  </si>
  <si>
    <t>200-73-735-55175</t>
  </si>
  <si>
    <t>200-73-735-55119</t>
  </si>
  <si>
    <t>200-73-735-58815</t>
  </si>
  <si>
    <t>200-73-735-58820</t>
  </si>
  <si>
    <t>200-73-735-58830</t>
  </si>
  <si>
    <t>200-73-735-58840</t>
  </si>
  <si>
    <t>200-73-735-59170</t>
  </si>
  <si>
    <t>200-73-735-59206</t>
  </si>
  <si>
    <t>200-75-752-50102</t>
  </si>
  <si>
    <t>200-75-752-50109</t>
  </si>
  <si>
    <t>200-75-752-50111</t>
  </si>
  <si>
    <t>200-75-752-50115</t>
  </si>
  <si>
    <t>200-75-752-50610</t>
  </si>
  <si>
    <t>200-75-752-50620</t>
  </si>
  <si>
    <t>200-75-752-50630</t>
  </si>
  <si>
    <t>200-75-752-50650</t>
  </si>
  <si>
    <t>200-75-752-51245</t>
  </si>
  <si>
    <t>200-75-752-51255</t>
  </si>
  <si>
    <t>200-75-752-51265</t>
  </si>
  <si>
    <t>200-75-752-51270</t>
  </si>
  <si>
    <t>200-75-752-51285</t>
  </si>
  <si>
    <t>200-75-752-51287</t>
  </si>
  <si>
    <t>200-75-752-51299</t>
  </si>
  <si>
    <t>200-75-752-52311</t>
  </si>
  <si>
    <t>200-75-752-52320</t>
  </si>
  <si>
    <t>200-75-752-52330</t>
  </si>
  <si>
    <t>200-75-752-52360</t>
  </si>
  <si>
    <t>200-75-752-52440</t>
  </si>
  <si>
    <t>200-75-752-52460</t>
  </si>
  <si>
    <t>200-75-752-52470</t>
  </si>
  <si>
    <t>200-75-752-51210</t>
  </si>
  <si>
    <t>200-75-752-53599</t>
  </si>
  <si>
    <t>200-75-752-53510</t>
  </si>
  <si>
    <t>200-75-752-53515</t>
  </si>
  <si>
    <t>200-75-752-53513</t>
  </si>
  <si>
    <t>200-75-752-53524</t>
  </si>
  <si>
    <t>200-75-752-53525</t>
  </si>
  <si>
    <t>200-75-752-53530</t>
  </si>
  <si>
    <t>200-75-752-53572</t>
  </si>
  <si>
    <t>200-75-752-53574</t>
  </si>
  <si>
    <t>200-75-752-55175</t>
  </si>
  <si>
    <t>200-75-752-55119</t>
  </si>
  <si>
    <t>200-75-752-53503</t>
  </si>
  <si>
    <t>200-75-752-58820</t>
  </si>
  <si>
    <t>200-75-752-58830</t>
  </si>
  <si>
    <t>200-75-752-58840</t>
  </si>
  <si>
    <t>200-75-752-59170</t>
  </si>
  <si>
    <t>200-75-752-59206</t>
  </si>
  <si>
    <t>200-75-752-59406</t>
  </si>
  <si>
    <t>200-75-754-53503</t>
  </si>
  <si>
    <t>200-77-772-50101</t>
  </si>
  <si>
    <t>200-77-772-50102</t>
  </si>
  <si>
    <t>200-77-772-50109</t>
  </si>
  <si>
    <t>200-77-772-50111</t>
  </si>
  <si>
    <t>200-77-772-50610</t>
  </si>
  <si>
    <t>200-77-772-50620</t>
  </si>
  <si>
    <t>200-77-772-50630</t>
  </si>
  <si>
    <t>200-77-772-50650</t>
  </si>
  <si>
    <t>200-77-772-51210</t>
  </si>
  <si>
    <t>200-77-772-51225</t>
  </si>
  <si>
    <t>200-77-772-51245</t>
  </si>
  <si>
    <t>200-77-772-51255</t>
  </si>
  <si>
    <t>200-77-772-51270</t>
  </si>
  <si>
    <t>200-77-772-51285</t>
  </si>
  <si>
    <t>200-77-772-51287</t>
  </si>
  <si>
    <t>200-77-772-51299</t>
  </si>
  <si>
    <t>200-77-772-52310</t>
  </si>
  <si>
    <t>200-77-772-52311</t>
  </si>
  <si>
    <t>200-77-772-52399</t>
  </si>
  <si>
    <t>200-77-772-52460</t>
  </si>
  <si>
    <t>200-77-772-52470</t>
  </si>
  <si>
    <t>200-77-772-52490</t>
  </si>
  <si>
    <t>200-77-772-53599</t>
  </si>
  <si>
    <t>200-77-772-53510</t>
  </si>
  <si>
    <t>200-77-772-53515</t>
  </si>
  <si>
    <t>200-77-772-53524</t>
  </si>
  <si>
    <t>200-77-772-53525</t>
  </si>
  <si>
    <t>200-77-772-53529</t>
  </si>
  <si>
    <t>200-77-772-53530</t>
  </si>
  <si>
    <t>200-77-772-53571</t>
  </si>
  <si>
    <t>200-77-772-53572</t>
  </si>
  <si>
    <t>200-77-772-53574</t>
  </si>
  <si>
    <t>200-77-772-55175</t>
  </si>
  <si>
    <t>200-77-772-55119</t>
  </si>
  <si>
    <t>200-77-772-58830</t>
  </si>
  <si>
    <t>200-77-772-58853</t>
  </si>
  <si>
    <t>200-77-772-59105</t>
  </si>
  <si>
    <t>200-77-772-59206</t>
  </si>
  <si>
    <t>200-79-799-51210</t>
  </si>
  <si>
    <t>200-79-792-53599</t>
  </si>
  <si>
    <t>200-79-799-53599</t>
  </si>
  <si>
    <t>200-79-799-53524</t>
  </si>
  <si>
    <t>200-79-799-53550</t>
  </si>
  <si>
    <t>200-79-799-53554</t>
  </si>
  <si>
    <t>200-79-792-53556</t>
  </si>
  <si>
    <t>200-79-799-53560</t>
  </si>
  <si>
    <t>200-79-799-53582</t>
  </si>
  <si>
    <t>200-79-799-55119</t>
  </si>
  <si>
    <t>200-79-799-55370</t>
  </si>
  <si>
    <t>200-79-792-56900</t>
  </si>
  <si>
    <t>200-79-792-56901</t>
  </si>
  <si>
    <t>200-79-792-56902</t>
  </si>
  <si>
    <t>200-79-792-56910</t>
  </si>
  <si>
    <t>200-79-799-58655</t>
  </si>
  <si>
    <t>200-79-798-59100</t>
  </si>
  <si>
    <t>200-79-798-59150</t>
  </si>
  <si>
    <t>200-79-798-59198</t>
  </si>
  <si>
    <t>400-00-000-44790</t>
  </si>
  <si>
    <t>400-00-000-44810</t>
  </si>
  <si>
    <t>400-00-000-47010</t>
  </si>
  <si>
    <t>400-00-000-47020</t>
  </si>
  <si>
    <t>400-00-000-47030</t>
  </si>
  <si>
    <t>400-00-000-47090</t>
  </si>
  <si>
    <t>400-00-000-47099</t>
  </si>
  <si>
    <t>400-00-000-49999</t>
  </si>
  <si>
    <t>400-81-815-50101</t>
  </si>
  <si>
    <t>400-81-815-50102</t>
  </si>
  <si>
    <t>400-81-815-50109</t>
  </si>
  <si>
    <t>400-81-815-50111</t>
  </si>
  <si>
    <t>400-81-815-50610</t>
  </si>
  <si>
    <t>400-81-815-50620</t>
  </si>
  <si>
    <t>400-81-815-50630</t>
  </si>
  <si>
    <t>400-81-815-50650</t>
  </si>
  <si>
    <t>400-81-815-51210</t>
  </si>
  <si>
    <t>400-81-815-51245</t>
  </si>
  <si>
    <t>400-81-815-51255</t>
  </si>
  <si>
    <t>400-81-815-51270</t>
  </si>
  <si>
    <t>400-81-815-51285</t>
  </si>
  <si>
    <t>400-81-815-51287</t>
  </si>
  <si>
    <t>400-81-815-51299</t>
  </si>
  <si>
    <t>400-81-815-52321</t>
  </si>
  <si>
    <t>400-81-815-52355</t>
  </si>
  <si>
    <t>400-81-815-52440</t>
  </si>
  <si>
    <t>400-81-815-52460</t>
  </si>
  <si>
    <t>400-81-815-52470</t>
  </si>
  <si>
    <t>400-81-815-53505</t>
  </si>
  <si>
    <t>400-81-815-53599</t>
  </si>
  <si>
    <t>400-81-815-53510</t>
  </si>
  <si>
    <t>400-81-815-53515</t>
  </si>
  <si>
    <t>400-81-815-53524</t>
  </si>
  <si>
    <t>400-81-815-53513</t>
  </si>
  <si>
    <t>400-81-815-53525</t>
  </si>
  <si>
    <t>400-81-815-53543</t>
  </si>
  <si>
    <t>400-81-815-53550</t>
  </si>
  <si>
    <t>400-81-815-53582</t>
  </si>
  <si>
    <t>400-81-815-55175</t>
  </si>
  <si>
    <t>400-81-815-55119</t>
  </si>
  <si>
    <t>400-81-815-56900</t>
  </si>
  <si>
    <t>400-81-815-56902</t>
  </si>
  <si>
    <t>400-81-815-58651</t>
  </si>
  <si>
    <t>400-81-815-58830</t>
  </si>
  <si>
    <t>400-81-815-58872</t>
  </si>
  <si>
    <t>400-81-815-59170</t>
  </si>
  <si>
    <t>400-81-815-59406</t>
  </si>
  <si>
    <t>400-49-491-58710</t>
  </si>
  <si>
    <t>400-49-491-58801</t>
  </si>
  <si>
    <t>400-49-491-58853</t>
  </si>
  <si>
    <t>400-89-899-53599</t>
  </si>
  <si>
    <t>400-89-899-53554</t>
  </si>
  <si>
    <t>400-89-899-53560</t>
  </si>
  <si>
    <t>400-89-899-53582</t>
  </si>
  <si>
    <t>400-89-899-55380</t>
  </si>
  <si>
    <t>400-89-899-58651</t>
  </si>
  <si>
    <t>400-89-898-59100</t>
  </si>
  <si>
    <t>400-89-898-59406</t>
  </si>
  <si>
    <t>125-00-000-42125</t>
  </si>
  <si>
    <t>125-00-000-43410</t>
  </si>
  <si>
    <t>125-00-000-43415</t>
  </si>
  <si>
    <t>125-00-000-43420</t>
  </si>
  <si>
    <t>125-00-000-43421</t>
  </si>
  <si>
    <t>125-00-000-43450</t>
  </si>
  <si>
    <t>125-00-000-43455</t>
  </si>
  <si>
    <t>125-00-000-43460</t>
  </si>
  <si>
    <t>125-00-000-43462</t>
  </si>
  <si>
    <t>125-00-000-43463</t>
  </si>
  <si>
    <t>125-00-000-43465</t>
  </si>
  <si>
    <t>125-00-000-43466</t>
  </si>
  <si>
    <t>125-00-000-43480</t>
  </si>
  <si>
    <t>125-00-000-43481</t>
  </si>
  <si>
    <t>125-00-000-43482</t>
  </si>
  <si>
    <t>125-00-000-43483</t>
  </si>
  <si>
    <t>125-00-000-43484</t>
  </si>
  <si>
    <t>125-00-000-43485</t>
  </si>
  <si>
    <t>125-00-000-43487</t>
  </si>
  <si>
    <t>125-00-000-43488</t>
  </si>
  <si>
    <t>125-00-000-43501</t>
  </si>
  <si>
    <t>125-00-000-43503</t>
  </si>
  <si>
    <t>125-00-000-44790</t>
  </si>
  <si>
    <t>125-00-000-47010</t>
  </si>
  <si>
    <t>125-00-000-47020</t>
  </si>
  <si>
    <t>125-00-000-47030</t>
  </si>
  <si>
    <t>125-00-000-47070</t>
  </si>
  <si>
    <t>125-00-000-47090</t>
  </si>
  <si>
    <t>125-00-000-47099</t>
  </si>
  <si>
    <t>125-00-000-48565</t>
  </si>
  <si>
    <t>125-00-000-48570</t>
  </si>
  <si>
    <t>125-00-000-49999</t>
  </si>
  <si>
    <t>125-65-651-50101</t>
  </si>
  <si>
    <t>125-65-651-50102</t>
  </si>
  <si>
    <t>125-65-651-50109</t>
  </si>
  <si>
    <t>125-65-651-50110</t>
  </si>
  <si>
    <t>125-65-651-50111</t>
  </si>
  <si>
    <t>125-65-651-50116</t>
  </si>
  <si>
    <t>125-65-651-50610</t>
  </si>
  <si>
    <t>125-65-651-50620</t>
  </si>
  <si>
    <t>125-65-651-50630</t>
  </si>
  <si>
    <t>125-65-651-50640</t>
  </si>
  <si>
    <t>125-65-651-50650</t>
  </si>
  <si>
    <t>125-65-651-51210</t>
  </si>
  <si>
    <t>125-65-651-51220</t>
  </si>
  <si>
    <t>125-65-651-51245</t>
  </si>
  <si>
    <t>125-65-651-51260</t>
  </si>
  <si>
    <t>125-65-651-51280</t>
  </si>
  <si>
    <t>125-65-651-51285</t>
  </si>
  <si>
    <t>125-65-651-51299</t>
  </si>
  <si>
    <t>125-65-651-52485</t>
  </si>
  <si>
    <t>125-65-651-53507</t>
  </si>
  <si>
    <t>125-65-651-53599</t>
  </si>
  <si>
    <t>125-65-651-53510</t>
  </si>
  <si>
    <t>125-65-651-53515</t>
  </si>
  <si>
    <t>125-65-651-53517</t>
  </si>
  <si>
    <t>125-65-651-53522</t>
  </si>
  <si>
    <t>125-65-651-53524</t>
  </si>
  <si>
    <t>125-65-651-53527</t>
  </si>
  <si>
    <t>125-65-651-53534</t>
  </si>
  <si>
    <t>125-65-651-53535</t>
  </si>
  <si>
    <t>125-65-651-53538</t>
  </si>
  <si>
    <t>125-65-651-53540</t>
  </si>
  <si>
    <t>125-65-651-53541</t>
  </si>
  <si>
    <t>125-65-651-53550</t>
  </si>
  <si>
    <t>125-65-651-53552</t>
  </si>
  <si>
    <t>125-65-651-53560</t>
  </si>
  <si>
    <t>125-65-651-53570</t>
  </si>
  <si>
    <t>125-65-651-53571</t>
  </si>
  <si>
    <t>125-65-651-53572</t>
  </si>
  <si>
    <t>125-65-651-53574</t>
  </si>
  <si>
    <t>125-65-651-52310</t>
  </si>
  <si>
    <t>125-65-651-53585</t>
  </si>
  <si>
    <t>125-65-651-55119</t>
  </si>
  <si>
    <t>125-65-651-58828</t>
  </si>
  <si>
    <t>125-65-652-50101</t>
  </si>
  <si>
    <t>125-65-652-50102</t>
  </si>
  <si>
    <t>125-65-652-50109</t>
  </si>
  <si>
    <t>125-65-652-50110</t>
  </si>
  <si>
    <t>125-65-652-50111</t>
  </si>
  <si>
    <t>125-65-652-50112</t>
  </si>
  <si>
    <t>125-65-652-50610</t>
  </si>
  <si>
    <t>125-65-652-50620</t>
  </si>
  <si>
    <t>125-65-652-50630</t>
  </si>
  <si>
    <t>125-65-652-50650</t>
  </si>
  <si>
    <t>125-65-652-51226</t>
  </si>
  <si>
    <t>125-65-652-51245</t>
  </si>
  <si>
    <t>125-65-652-51260</t>
  </si>
  <si>
    <t>125-65-652-51270</t>
  </si>
  <si>
    <t>125-65-652-51281</t>
  </si>
  <si>
    <t>125-65-652-51282</t>
  </si>
  <si>
    <t>125-65-652-51287</t>
  </si>
  <si>
    <t>125-65-652-51299</t>
  </si>
  <si>
    <t>125-65-652-52399</t>
  </si>
  <si>
    <t>125-65-652-52470</t>
  </si>
  <si>
    <t>125-65-652-53599</t>
  </si>
  <si>
    <t>125-65-652-53510</t>
  </si>
  <si>
    <t>125-65-652-53515</t>
  </si>
  <si>
    <t>125-65-652-53535</t>
  </si>
  <si>
    <t>125-65-652-52310</t>
  </si>
  <si>
    <t>125-65-652-55119</t>
  </si>
  <si>
    <t>125-65-652-58828</t>
  </si>
  <si>
    <t>125-65-652-58853</t>
  </si>
  <si>
    <t>125-65-653-50102</t>
  </si>
  <si>
    <t>125-65-653-50109</t>
  </si>
  <si>
    <t>125-65-653-50110</t>
  </si>
  <si>
    <t>125-65-653-50111</t>
  </si>
  <si>
    <t>125-65-653-50116</t>
  </si>
  <si>
    <t>125-65-653-50117</t>
  </si>
  <si>
    <t>125-65-653-50610</t>
  </si>
  <si>
    <t>125-65-653-50620</t>
  </si>
  <si>
    <t>125-65-653-50630</t>
  </si>
  <si>
    <t>125-65-653-50650</t>
  </si>
  <si>
    <t>125-65-653-51245</t>
  </si>
  <si>
    <t>125-65-653-51280</t>
  </si>
  <si>
    <t>125-65-653-52470</t>
  </si>
  <si>
    <t>125-65-653-53599</t>
  </si>
  <si>
    <t>125-65-653-53510</t>
  </si>
  <si>
    <t>125-65-653-53515</t>
  </si>
  <si>
    <t>125-65-653-53535</t>
  </si>
  <si>
    <t>125-65-653-52310</t>
  </si>
  <si>
    <t>125-65-653-55119</t>
  </si>
  <si>
    <t>125-65-653-58830</t>
  </si>
  <si>
    <t>125-65-653-58851</t>
  </si>
  <si>
    <t>125-65-654-50101</t>
  </si>
  <si>
    <t>125-65-654-50102</t>
  </si>
  <si>
    <t>125-65-654-50109</t>
  </si>
  <si>
    <t>125-65-654-50110</t>
  </si>
  <si>
    <t>125-65-654-50111</t>
  </si>
  <si>
    <t>125-65-654-50112</t>
  </si>
  <si>
    <t>125-65-654-50610</t>
  </si>
  <si>
    <t>125-65-654-50620</t>
  </si>
  <si>
    <t>125-65-654-50630</t>
  </si>
  <si>
    <t>125-65-654-50650</t>
  </si>
  <si>
    <t>125-65-654-51260</t>
  </si>
  <si>
    <t>125-65-654-53599</t>
  </si>
  <si>
    <t>125-65-654-53510</t>
  </si>
  <si>
    <t>125-65-654-53515</t>
  </si>
  <si>
    <t>125-65-654-53535</t>
  </si>
  <si>
    <t>125-65-654-53537</t>
  </si>
  <si>
    <t>125-65-654-53540</t>
  </si>
  <si>
    <t>125-65-654-55119</t>
  </si>
  <si>
    <t>125-65-655-50101</t>
  </si>
  <si>
    <t>125-65-655-50102</t>
  </si>
  <si>
    <t>125-65-655-50109</t>
  </si>
  <si>
    <t>125-65-655-50110</t>
  </si>
  <si>
    <t>125-65-655-50111</t>
  </si>
  <si>
    <t>125-65-655-50112</t>
  </si>
  <si>
    <t>125-65-655-50610</t>
  </si>
  <si>
    <t>125-65-655-50620</t>
  </si>
  <si>
    <t>125-65-655-50630</t>
  </si>
  <si>
    <t>125-65-655-50650</t>
  </si>
  <si>
    <t>125-65-655-51225</t>
  </si>
  <si>
    <t>125-65-655-51210</t>
  </si>
  <si>
    <t>125-65-655-51245</t>
  </si>
  <si>
    <t>125-65-655-51255</t>
  </si>
  <si>
    <t>125-65-655-51271</t>
  </si>
  <si>
    <t>125-65-655-51299</t>
  </si>
  <si>
    <t>125-65-655-52310</t>
  </si>
  <si>
    <t>125-65-655-52311</t>
  </si>
  <si>
    <t>125-65-655-52460</t>
  </si>
  <si>
    <t>125-65-655-52470</t>
  </si>
  <si>
    <t>125-65-655-52490</t>
  </si>
  <si>
    <t>125-65-655-53599</t>
  </si>
  <si>
    <t>125-65-655-53510</t>
  </si>
  <si>
    <t>125-65-655-53515</t>
  </si>
  <si>
    <t>125-65-655-53524</t>
  </si>
  <si>
    <t>125-65-655-53529</t>
  </si>
  <si>
    <t>125-65-655-55175</t>
  </si>
  <si>
    <t>125-65-655-55119</t>
  </si>
  <si>
    <t>125-65-655-58830</t>
  </si>
  <si>
    <t>125-65-656-50101</t>
  </si>
  <si>
    <t>125-65-656-50102</t>
  </si>
  <si>
    <t>125-65-656-50109</t>
  </si>
  <si>
    <t>125-65-656-50110</t>
  </si>
  <si>
    <t>125-65-656-50111</t>
  </si>
  <si>
    <t>125-65-656-50112</t>
  </si>
  <si>
    <t>125-65-656-50610</t>
  </si>
  <si>
    <t>125-65-656-50620</t>
  </si>
  <si>
    <t>125-65-656-50630</t>
  </si>
  <si>
    <t>125-65-656-50650</t>
  </si>
  <si>
    <t>125-65-656-51245</t>
  </si>
  <si>
    <t>125-65-656-51260</t>
  </si>
  <si>
    <t>125-65-656-51280</t>
  </si>
  <si>
    <t>125-65-656-51281</t>
  </si>
  <si>
    <t>125-65-656-51282</t>
  </si>
  <si>
    <t>125-65-656-51285</t>
  </si>
  <si>
    <t>125-65-656-51299</t>
  </si>
  <si>
    <t>125-65-656-52470</t>
  </si>
  <si>
    <t>125-65-656-53510</t>
  </si>
  <si>
    <t>125-65-656-53515</t>
  </si>
  <si>
    <t>125-65-656-55119</t>
  </si>
  <si>
    <t>125-65-658-52310</t>
  </si>
  <si>
    <t>125-65-658-58828</t>
  </si>
  <si>
    <t>125-65-658-58830</t>
  </si>
  <si>
    <t>125-65-658-59105</t>
  </si>
  <si>
    <t>125-99-998-59105</t>
  </si>
  <si>
    <t>125-99-998-59110</t>
  </si>
  <si>
    <t>110-00-000-40200</t>
  </si>
  <si>
    <t>110-00-000-42110</t>
  </si>
  <si>
    <t>110-00-000-45100</t>
  </si>
  <si>
    <t>110-00-000-45200</t>
  </si>
  <si>
    <t>110-00-000-46760</t>
  </si>
  <si>
    <t>110-00-000-47010</t>
  </si>
  <si>
    <t>110-00-000-47090</t>
  </si>
  <si>
    <t>110-00-000-47099</t>
  </si>
  <si>
    <t>110-00-000-49125</t>
  </si>
  <si>
    <t>110-63-631-50102</t>
  </si>
  <si>
    <t>110-63-631-50109</t>
  </si>
  <si>
    <t>110-63-631-50111</t>
  </si>
  <si>
    <t>110-63-631-50112</t>
  </si>
  <si>
    <t>110-63-631-50610</t>
  </si>
  <si>
    <t>110-63-631-50620</t>
  </si>
  <si>
    <t>110-63-631-50630</t>
  </si>
  <si>
    <t>110-63-631-50650</t>
  </si>
  <si>
    <t>110-63-631-51245</t>
  </si>
  <si>
    <t>110-63-631-51255</t>
  </si>
  <si>
    <t>110-63-631-51270</t>
  </si>
  <si>
    <t>110-63-631-51285</t>
  </si>
  <si>
    <t>110-63-631-51299</t>
  </si>
  <si>
    <t>110-63-631-52311</t>
  </si>
  <si>
    <t>110-63-631-52470</t>
  </si>
  <si>
    <t>110-63-631-53507</t>
  </si>
  <si>
    <t>110-63-631-53599</t>
  </si>
  <si>
    <t>110-63-631-53516</t>
  </si>
  <si>
    <t>110-63-631-53524</t>
  </si>
  <si>
    <t>110-99-992-56901</t>
  </si>
  <si>
    <t>110-63-631-53554</t>
  </si>
  <si>
    <t>110-99-992-56900</t>
  </si>
  <si>
    <t>110-99-992-56902</t>
  </si>
  <si>
    <t>110-63-631-58710</t>
  </si>
  <si>
    <t>110-63-631-58801</t>
  </si>
  <si>
    <t>110-63-631-58830</t>
  </si>
  <si>
    <t>110-63-631-58828</t>
  </si>
  <si>
    <t>110-63-631-59178</t>
  </si>
  <si>
    <t>110-19-198-59178</t>
  </si>
  <si>
    <t>110-99-998-59178</t>
  </si>
  <si>
    <t>115-00-000-41505</t>
  </si>
  <si>
    <t>115-00-000-46172</t>
  </si>
  <si>
    <t>115-00-000-46515</t>
  </si>
  <si>
    <t>115-00-000-46530</t>
  </si>
  <si>
    <t>115-00-000-46535</t>
  </si>
  <si>
    <t>115-00-000-46760</t>
  </si>
  <si>
    <t>115-00-000-46710</t>
  </si>
  <si>
    <t>115-00-000-46730</t>
  </si>
  <si>
    <t>115-00-000-46600</t>
  </si>
  <si>
    <t>115-00-000-47020</t>
  </si>
  <si>
    <t>115-00-000-47090</t>
  </si>
  <si>
    <t>115-00-000-47099</t>
  </si>
  <si>
    <t>115-00-000-47210</t>
  </si>
  <si>
    <t>115-00-000-48565</t>
  </si>
  <si>
    <t>115-00-000-48570</t>
  </si>
  <si>
    <t>115-00-000-48575</t>
  </si>
  <si>
    <t>115-00-000-48585</t>
  </si>
  <si>
    <t>115-00-000-49100</t>
  </si>
  <si>
    <t>115-00-000-49999</t>
  </si>
  <si>
    <t>115-19-196-51245</t>
  </si>
  <si>
    <t>115-19-196-51226</t>
  </si>
  <si>
    <t>115-19-196-53599</t>
  </si>
  <si>
    <t>115-30-301-50109</t>
  </si>
  <si>
    <t>115-30-301-50110</t>
  </si>
  <si>
    <t>115-30-301-50111</t>
  </si>
  <si>
    <t>115-30-301-50115</t>
  </si>
  <si>
    <t>115-30-301-50610</t>
  </si>
  <si>
    <t>115-30-301-50620</t>
  </si>
  <si>
    <t>115-30-301-50630</t>
  </si>
  <si>
    <t>115-30-301-50650</t>
  </si>
  <si>
    <t>115-30-301-53515</t>
  </si>
  <si>
    <t>115-30-302-51291</t>
  </si>
  <si>
    <t>115-30-302-51299</t>
  </si>
  <si>
    <t>115-30-302-53595</t>
  </si>
  <si>
    <t>115-30-302-53515</t>
  </si>
  <si>
    <t>115-30-302-53599</t>
  </si>
  <si>
    <t>115-30-303-53599</t>
  </si>
  <si>
    <t>115-30-304-51299</t>
  </si>
  <si>
    <t>115-30-306-53515</t>
  </si>
  <si>
    <t>115-35-358-53515</t>
  </si>
  <si>
    <t>112-00-000-41790</t>
  </si>
  <si>
    <t>112-00-000-43205</t>
  </si>
  <si>
    <t>112-00-000-43240</t>
  </si>
  <si>
    <t>112-00-000-43245</t>
  </si>
  <si>
    <t>112-00-000-43260</t>
  </si>
  <si>
    <t>112-00-000-43263</t>
  </si>
  <si>
    <t>112-00-000-43264</t>
  </si>
  <si>
    <t>112-00-000-43275</t>
  </si>
  <si>
    <t>112-00-000-43280</t>
  </si>
  <si>
    <t>112-00-000-43285</t>
  </si>
  <si>
    <t>112-00-000-43291</t>
  </si>
  <si>
    <t>112-00-000-43292</t>
  </si>
  <si>
    <t>112-00-000-43293</t>
  </si>
  <si>
    <t>112-00-000-43420</t>
  </si>
  <si>
    <t>112-00-000-43485</t>
  </si>
  <si>
    <t>112-00-000-43491</t>
  </si>
  <si>
    <t>112-00-000-43492</t>
  </si>
  <si>
    <t>112-00-000-43493</t>
  </si>
  <si>
    <t>112-00-000-43494</t>
  </si>
  <si>
    <t>112-00-000-46104</t>
  </si>
  <si>
    <t>112-00-000-46760</t>
  </si>
  <si>
    <t>112-00-000-47070</t>
  </si>
  <si>
    <t>112-00-000-47090</t>
  </si>
  <si>
    <t>112-00-000-47099</t>
  </si>
  <si>
    <t>112-00-000-47351</t>
  </si>
  <si>
    <t>112-00-000-47352</t>
  </si>
  <si>
    <t>112-00-000-47353</t>
  </si>
  <si>
    <t>112-00-000-47354</t>
  </si>
  <si>
    <t>112-00-000-47356</t>
  </si>
  <si>
    <t>112-00-000-47357</t>
  </si>
  <si>
    <t>112-00-000-47358</t>
  </si>
  <si>
    <t>112-00-000-47359</t>
  </si>
  <si>
    <t>112-00-000-48560</t>
  </si>
  <si>
    <t>112-00-000-48565</t>
  </si>
  <si>
    <t>112-00-000-48566</t>
  </si>
  <si>
    <t>112-00-000-48567</t>
  </si>
  <si>
    <t>112-00-000-48570</t>
  </si>
  <si>
    <t>112-00-000-48575</t>
  </si>
  <si>
    <t>112-00-000-48580</t>
  </si>
  <si>
    <t>112-00-000-48585</t>
  </si>
  <si>
    <t>112-00-000-49100</t>
  </si>
  <si>
    <t>112-63-631-54557</t>
  </si>
  <si>
    <t>112-62-622-51260</t>
  </si>
  <si>
    <t>112-62-622-51210</t>
  </si>
  <si>
    <t>112-62-622-52361</t>
  </si>
  <si>
    <t>112-62-622-52756</t>
  </si>
  <si>
    <t>112-62-622-53599</t>
  </si>
  <si>
    <t>112-62-622-53524</t>
  </si>
  <si>
    <t>112-62-622-53515</t>
  </si>
  <si>
    <t>112-62-622-53539</t>
  </si>
  <si>
    <t>112-62-622-54558</t>
  </si>
  <si>
    <t>112-62-622-54561</t>
  </si>
  <si>
    <t>112-62-622-54562</t>
  </si>
  <si>
    <t>112-62-622-54563</t>
  </si>
  <si>
    <t>112-62-622-58828</t>
  </si>
  <si>
    <t>112-62-623-50109</t>
  </si>
  <si>
    <t>112-62-623-50110</t>
  </si>
  <si>
    <t>112-62-623-50610</t>
  </si>
  <si>
    <t>112-62-623-50620</t>
  </si>
  <si>
    <t>112-62-623-50630</t>
  </si>
  <si>
    <t>112-62-623-50650</t>
  </si>
  <si>
    <t>112-62-623-52361</t>
  </si>
  <si>
    <t>112-62-623-53599</t>
  </si>
  <si>
    <t>112-62-623-53515</t>
  </si>
  <si>
    <t>112-62-623-53524</t>
  </si>
  <si>
    <t>112-62-623-54560</t>
  </si>
  <si>
    <t>112-64-642-51210</t>
  </si>
  <si>
    <t>112-64-642-51245</t>
  </si>
  <si>
    <t>112-64-642-53522</t>
  </si>
  <si>
    <t>112-64-642-53535</t>
  </si>
  <si>
    <t>112-64-642-53540</t>
  </si>
  <si>
    <t>112-64-646-51299</t>
  </si>
  <si>
    <t>112-64-646-53599</t>
  </si>
  <si>
    <t>112-64-643-50110</t>
  </si>
  <si>
    <t>112-64-643-50109</t>
  </si>
  <si>
    <t>112-64-643-50620</t>
  </si>
  <si>
    <t>112-64-643-50650</t>
  </si>
  <si>
    <t>112-64-643-50610</t>
  </si>
  <si>
    <t>112-64-643-50630</t>
  </si>
  <si>
    <t>112-64-643-51299</t>
  </si>
  <si>
    <t>112-64-643-53599</t>
  </si>
  <si>
    <t>112-64-643-53524</t>
  </si>
  <si>
    <t>112-64-643-53534</t>
  </si>
  <si>
    <t>112-64-643-54551</t>
  </si>
  <si>
    <t>112-64-643-54552</t>
  </si>
  <si>
    <t>112-64-643-54545</t>
  </si>
  <si>
    <t>112-64-643-54559</t>
  </si>
  <si>
    <t>112-64-643-53522</t>
  </si>
  <si>
    <t>112-64-643-53540</t>
  </si>
  <si>
    <t>112-64-642-51299</t>
  </si>
  <si>
    <t>112-64-642-53599</t>
  </si>
  <si>
    <t>112-64-642-54550</t>
  </si>
  <si>
    <t>112-64-642-54555</t>
  </si>
  <si>
    <t>112-64-642-54556</t>
  </si>
  <si>
    <t>112-19-198-58852</t>
  </si>
  <si>
    <t>112-64-646-51221</t>
  </si>
  <si>
    <t>112-19-198-51299</t>
  </si>
  <si>
    <t>112-99-994-53599</t>
  </si>
  <si>
    <t>112-99-998-59128</t>
  </si>
  <si>
    <t>114-00-000-41620</t>
  </si>
  <si>
    <t>114-00-000-41630</t>
  </si>
  <si>
    <t>114-00-000-41640</t>
  </si>
  <si>
    <t>114-00-000-41650</t>
  </si>
  <si>
    <t>114-00-000-41655</t>
  </si>
  <si>
    <t>114-00-000-41675</t>
  </si>
  <si>
    <t>114-00-000-41690</t>
  </si>
  <si>
    <t>114-00-000-47070</t>
  </si>
  <si>
    <t>114-00-000-47090</t>
  </si>
  <si>
    <t>114-00-000-49100</t>
  </si>
  <si>
    <t>114-00-000-47099</t>
  </si>
  <si>
    <t>114-16-165-51245</t>
  </si>
  <si>
    <t>114-16-165-51210</t>
  </si>
  <si>
    <t>114-16-165-53599</t>
  </si>
  <si>
    <t>114-16-166-51245</t>
  </si>
  <si>
    <t>114-16-166-52480</t>
  </si>
  <si>
    <t>114-16-166-51210</t>
  </si>
  <si>
    <t>114-16-166-55119</t>
  </si>
  <si>
    <t>114-16-166-58835</t>
  </si>
  <si>
    <t>114-16-166-58836</t>
  </si>
  <si>
    <t>114-16-162-50620</t>
  </si>
  <si>
    <t>114-16-162-50630</t>
  </si>
  <si>
    <t>114-16-162-53599</t>
  </si>
  <si>
    <t>114-16-163-53599</t>
  </si>
  <si>
    <t>116-00-000-40320</t>
  </si>
  <si>
    <t>116-00-000-40340</t>
  </si>
  <si>
    <t>116-00-000-40350</t>
  </si>
  <si>
    <t>116-00-000-40391</t>
  </si>
  <si>
    <t>116-00-000-47090</t>
  </si>
  <si>
    <t>116-00-000-47099</t>
  </si>
  <si>
    <t>116-10-101-51245</t>
  </si>
  <si>
    <t>116-10-101-52310</t>
  </si>
  <si>
    <t>116-10-101-52480</t>
  </si>
  <si>
    <t>116-10-101-51210</t>
  </si>
  <si>
    <t>116-10-101-53599</t>
  </si>
  <si>
    <t>116-10-101-53513</t>
  </si>
  <si>
    <t>116-10-101-58830</t>
  </si>
  <si>
    <t>116-10-101-58836</t>
  </si>
  <si>
    <t>116-10-101-58851</t>
  </si>
  <si>
    <t>118-00-000-40200</t>
  </si>
  <si>
    <t>118-00-000-45000</t>
  </si>
  <si>
    <t>118-00-000-45095</t>
  </si>
  <si>
    <t>118-00-000-46160</t>
  </si>
  <si>
    <t>118-00-000-46162</t>
  </si>
  <si>
    <t>118-00-000-46167</t>
  </si>
  <si>
    <t>118-00-000-47010</t>
  </si>
  <si>
    <t>118-00-000-47020</t>
  </si>
  <si>
    <t>118-00-000-47030</t>
  </si>
  <si>
    <t>118-00-000-47070</t>
  </si>
  <si>
    <t>118-00-000-47090</t>
  </si>
  <si>
    <t>118-00-000-47099</t>
  </si>
  <si>
    <t>118-31-311-50101</t>
  </si>
  <si>
    <t>118-31-311-50111</t>
  </si>
  <si>
    <t>118-31-311-50610</t>
  </si>
  <si>
    <t>118-31-311-50620</t>
  </si>
  <si>
    <t>118-31-311-50630</t>
  </si>
  <si>
    <t>118-31-311-50650</t>
  </si>
  <si>
    <t>118-31-311-51245</t>
  </si>
  <si>
    <t>118-31-311-53599</t>
  </si>
  <si>
    <t>118-31-311-53515</t>
  </si>
  <si>
    <t>118-31-311-55119</t>
  </si>
  <si>
    <t>118-31-313-53599</t>
  </si>
  <si>
    <t>118-31-313-58710</t>
  </si>
  <si>
    <t>118-31-313-58828</t>
  </si>
  <si>
    <t>118-31-313-58851</t>
  </si>
  <si>
    <t>118-31-314-51245</t>
  </si>
  <si>
    <t>118-31-314-52310</t>
  </si>
  <si>
    <t>118-31-314-58830</t>
  </si>
  <si>
    <t>118-31-314-58851</t>
  </si>
  <si>
    <t>118-31-315-51245</t>
  </si>
  <si>
    <t>118-31-315-52485</t>
  </si>
  <si>
    <t>118-31-315-53599</t>
  </si>
  <si>
    <t>118-31-315-53570</t>
  </si>
  <si>
    <t>118-31-315-55119</t>
  </si>
  <si>
    <t>118-31-312-51245</t>
  </si>
  <si>
    <t>118-31-312-52311</t>
  </si>
  <si>
    <t>118-31-312-52460</t>
  </si>
  <si>
    <t>118-31-312-52485</t>
  </si>
  <si>
    <t>118-31-312-53515</t>
  </si>
  <si>
    <t>118-31-312-53524</t>
  </si>
  <si>
    <t>118-31-312-58830</t>
  </si>
  <si>
    <t>118-31-312-58840</t>
  </si>
  <si>
    <t>118-99-992-56900</t>
  </si>
  <si>
    <t>118-99-992-56901</t>
  </si>
  <si>
    <t>118-99-992-56902</t>
  </si>
  <si>
    <t>119-00-000-42130</t>
  </si>
  <si>
    <t>119-00-000-44900</t>
  </si>
  <si>
    <t>119-00-000-44910</t>
  </si>
  <si>
    <t>119-00-000-44920</t>
  </si>
  <si>
    <t>119-00-000-44925</t>
  </si>
  <si>
    <t>119-00-000-44930</t>
  </si>
  <si>
    <t>119-00-000-44940</t>
  </si>
  <si>
    <t>119-00-000-47010</t>
  </si>
  <si>
    <t>119-00-000-47020</t>
  </si>
  <si>
    <t>119-00-000-47030</t>
  </si>
  <si>
    <t>119-00-000-47090</t>
  </si>
  <si>
    <t>119-00-000-49999</t>
  </si>
  <si>
    <t>119-18-181-50101</t>
  </si>
  <si>
    <t>119-18-181-50102</t>
  </si>
  <si>
    <t>119-18-181-50109</t>
  </si>
  <si>
    <t>119-18-181-50111</t>
  </si>
  <si>
    <t>119-18-181-50115</t>
  </si>
  <si>
    <t>119-18-181-50140</t>
  </si>
  <si>
    <t>119-18-181-50610</t>
  </si>
  <si>
    <t>119-18-181-50620</t>
  </si>
  <si>
    <t>119-18-181-50630</t>
  </si>
  <si>
    <t>119-18-181-50650</t>
  </si>
  <si>
    <t>119-18-181-51210</t>
  </si>
  <si>
    <t>119-18-181-51230</t>
  </si>
  <si>
    <t>119-18-181-51245</t>
  </si>
  <si>
    <t>119-18-181-51255</t>
  </si>
  <si>
    <t>119-18-181-51285</t>
  </si>
  <si>
    <t>119-18-181-52460</t>
  </si>
  <si>
    <t>119-18-181-52480</t>
  </si>
  <si>
    <t>119-18-181-52485</t>
  </si>
  <si>
    <t>119-18-181-53599</t>
  </si>
  <si>
    <t>119-18-181-53510</t>
  </si>
  <si>
    <t>119-18-181-53515</t>
  </si>
  <si>
    <t>119-18-181-53513</t>
  </si>
  <si>
    <t>119-18-181-53524</t>
  </si>
  <si>
    <t>119-18-181-53540</t>
  </si>
  <si>
    <t>119-18-181-53551</t>
  </si>
  <si>
    <t>119-18-181-53560</t>
  </si>
  <si>
    <t>119-18-181-53570</t>
  </si>
  <si>
    <t>119-18-181-55175</t>
  </si>
  <si>
    <t>119-18-181-55119</t>
  </si>
  <si>
    <t>119-18-181-58828</t>
  </si>
  <si>
    <t>119-18-181-58835</t>
  </si>
  <si>
    <t>119-18-181-58836</t>
  </si>
  <si>
    <t>119-18-183-50101</t>
  </si>
  <si>
    <t>119-18-183-50102</t>
  </si>
  <si>
    <t>119-18-183-50109</t>
  </si>
  <si>
    <t>119-18-183-50111</t>
  </si>
  <si>
    <t>119-18-183-50112</t>
  </si>
  <si>
    <t>119-18-183-50115</t>
  </si>
  <si>
    <t>119-18-183-50610</t>
  </si>
  <si>
    <t>119-18-183-50620</t>
  </si>
  <si>
    <t>119-18-183-50630</t>
  </si>
  <si>
    <t>119-18-183-50650</t>
  </si>
  <si>
    <t>119-18-183-51210</t>
  </si>
  <si>
    <t>119-18-183-51230</t>
  </si>
  <si>
    <t>119-18-183-51245</t>
  </si>
  <si>
    <t>119-18-183-51285</t>
  </si>
  <si>
    <t>119-18-183-52485</t>
  </si>
  <si>
    <t>119-18-183-53599</t>
  </si>
  <si>
    <t>119-18-183-53510</t>
  </si>
  <si>
    <t>119-18-183-53515</t>
  </si>
  <si>
    <t>119-18-183-53513</t>
  </si>
  <si>
    <t>119-18-183-55119</t>
  </si>
  <si>
    <t>119-18-186-51230</t>
  </si>
  <si>
    <t>119-18-186-51245</t>
  </si>
  <si>
    <t>119-18-186-58830</t>
  </si>
  <si>
    <t>120-00-000-44870</t>
  </si>
  <si>
    <t>120-00-000-47090</t>
  </si>
  <si>
    <t>120-10-105-51299</t>
  </si>
  <si>
    <t>120-10-105-53599</t>
  </si>
  <si>
    <t>120-10-105-53534</t>
  </si>
  <si>
    <t>150-00-000-40010</t>
  </si>
  <si>
    <t>150-00-000-40020</t>
  </si>
  <si>
    <t>150-00-000-40025</t>
  </si>
  <si>
    <t>150-00-000-40030</t>
  </si>
  <si>
    <t>150-00-000-45095</t>
  </si>
  <si>
    <t>150-00-000-45100</t>
  </si>
  <si>
    <t>150-00-000-45200</t>
  </si>
  <si>
    <t>150-00-000-47010</t>
  </si>
  <si>
    <t>150-00-000-47090</t>
  </si>
  <si>
    <t>150-00-000-47099</t>
  </si>
  <si>
    <t>150-00-000-49100</t>
  </si>
  <si>
    <t>150-00-000-49110</t>
  </si>
  <si>
    <t>150-00-000-49170</t>
  </si>
  <si>
    <t>150-00-000-49178</t>
  </si>
  <si>
    <t>150-00-000-49200</t>
  </si>
  <si>
    <t>150-13-131-53556</t>
  </si>
  <si>
    <t>150-13-131-53599</t>
  </si>
  <si>
    <t>150-13-131-56900</t>
  </si>
  <si>
    <t>150-13-131-56901</t>
  </si>
  <si>
    <t>150-13-131-56902</t>
  </si>
  <si>
    <t>150-13-131-56910</t>
  </si>
  <si>
    <t>150-99-998-59151</t>
  </si>
  <si>
    <t>151-00-000-40040</t>
  </si>
  <si>
    <t>151-00-000-40070</t>
  </si>
  <si>
    <t>151-00-000-40080</t>
  </si>
  <si>
    <t>151-00-000-45200</t>
  </si>
  <si>
    <t>151-00-000-47090</t>
  </si>
  <si>
    <t>151-00-000-47099</t>
  </si>
  <si>
    <t>151-00-000-49100</t>
  </si>
  <si>
    <t>151-00-000-49150</t>
  </si>
  <si>
    <t>151-13-131-53599</t>
  </si>
  <si>
    <t>151-13-131-53556</t>
  </si>
  <si>
    <t>151-13-131-56900</t>
  </si>
  <si>
    <t>151-13-131-56901</t>
  </si>
  <si>
    <t>151-13-131-56902</t>
  </si>
  <si>
    <t>151-13-131-56910</t>
  </si>
  <si>
    <t>151-13-131-59100</t>
  </si>
  <si>
    <t>174-00-000-40200</t>
  </si>
  <si>
    <t>174-00-000-41140</t>
  </si>
  <si>
    <t>174-00-000-44790</t>
  </si>
  <si>
    <t>174-00-000-46710</t>
  </si>
  <si>
    <t>174-00-000-47010</t>
  </si>
  <si>
    <t>174-00-000-47090</t>
  </si>
  <si>
    <t>174-00-000-47099</t>
  </si>
  <si>
    <t>174-00-000-47100</t>
  </si>
  <si>
    <t>174-00-000-49999</t>
  </si>
  <si>
    <t>174-13-131-53599</t>
  </si>
  <si>
    <t>174-19-191-53599</t>
  </si>
  <si>
    <t>174-19-191-58710</t>
  </si>
  <si>
    <t>174-19-191-58829</t>
  </si>
  <si>
    <t>174-19-191-59170</t>
  </si>
  <si>
    <t>174-19-191-58853</t>
  </si>
  <si>
    <t>174-99-998-59170</t>
  </si>
  <si>
    <t>175-00-000-44955</t>
  </si>
  <si>
    <t>175-00-000-44957</t>
  </si>
  <si>
    <t>175-00-000-44960</t>
  </si>
  <si>
    <t>175-00-000-44965</t>
  </si>
  <si>
    <t>175-00-000-44970</t>
  </si>
  <si>
    <t>175-00-000-45000</t>
  </si>
  <si>
    <t>175-00-000-47010</t>
  </si>
  <si>
    <t>175-00-000-47020</t>
  </si>
  <si>
    <t>175-00-000-47030</t>
  </si>
  <si>
    <t>175-00-000-47090</t>
  </si>
  <si>
    <t>175-00-000-47099</t>
  </si>
  <si>
    <t>175-00-000-49100</t>
  </si>
  <si>
    <t>175-00-000-49999</t>
  </si>
  <si>
    <t>175-11-111-58840</t>
  </si>
  <si>
    <t>175-18-181-52460</t>
  </si>
  <si>
    <t>175-50-502-58840</t>
  </si>
  <si>
    <t>175-65-651-52460</t>
  </si>
  <si>
    <t>175-70-701-52460</t>
  </si>
  <si>
    <t>175-81-815-52460</t>
  </si>
  <si>
    <t>175-99-994-52460</t>
  </si>
  <si>
    <t>175-20-204-58840</t>
  </si>
  <si>
    <t>175-35-351-58840</t>
  </si>
  <si>
    <t>175-35-352-58830</t>
  </si>
  <si>
    <t>175-35-352-51245</t>
  </si>
  <si>
    <t>175-35-352-58840</t>
  </si>
  <si>
    <t>175-35-353-58840</t>
  </si>
  <si>
    <t>175-50-503-58830</t>
  </si>
  <si>
    <t>175-50-503-58840</t>
  </si>
  <si>
    <t>175-63-632-58830</t>
  </si>
  <si>
    <t>175-63-632-58840</t>
  </si>
  <si>
    <t>175-63-633-58840</t>
  </si>
  <si>
    <t>175-63-635-58840</t>
  </si>
  <si>
    <t>175-70-701-58840</t>
  </si>
  <si>
    <t>175-71-711-58840</t>
  </si>
  <si>
    <t>175-71-712-58840</t>
  </si>
  <si>
    <t>175-73-734-58840</t>
  </si>
  <si>
    <t>175-73-735-58830</t>
  </si>
  <si>
    <t>175-73-735-58840</t>
  </si>
  <si>
    <t>175-75-752-58830</t>
  </si>
  <si>
    <t>175-75-752-58840</t>
  </si>
  <si>
    <t>175-77-772-58840</t>
  </si>
  <si>
    <t>175-81-815-58840</t>
  </si>
  <si>
    <t>179-00-000-49100</t>
  </si>
  <si>
    <t>179-00-000-47090</t>
  </si>
  <si>
    <t>179-11-111-58828</t>
  </si>
  <si>
    <t>179-11-111-52310</t>
  </si>
  <si>
    <t>179-77-772-52310</t>
  </si>
  <si>
    <t>179-11-111-58830</t>
  </si>
  <si>
    <t>179-77-772-58828</t>
  </si>
  <si>
    <t>100-00-000-40010</t>
  </si>
  <si>
    <t>100-00-000-40020</t>
  </si>
  <si>
    <t>100-00-000-40025</t>
  </si>
  <si>
    <t>100-00-000-40030</t>
  </si>
  <si>
    <t>100-00-000-40200</t>
  </si>
  <si>
    <t>100-00-000-40300</t>
  </si>
  <si>
    <t>100-00-000-40310</t>
  </si>
  <si>
    <t>100-00-000-40320</t>
  </si>
  <si>
    <t>100-00-000-40330</t>
  </si>
  <si>
    <t>100-00-000-40340</t>
  </si>
  <si>
    <t>100-00-000-40350</t>
  </si>
  <si>
    <t>100-00-000-40360</t>
  </si>
  <si>
    <t>100-00-000-40370</t>
  </si>
  <si>
    <t>100-00-000-40380</t>
  </si>
  <si>
    <t>100-00-000-40391</t>
  </si>
  <si>
    <t>100-00-000-40399</t>
  </si>
  <si>
    <t>100-00-000-40400</t>
  </si>
  <si>
    <t>100-00-000-41010</t>
  </si>
  <si>
    <t>100-00-000-41020</t>
  </si>
  <si>
    <t>100-00-000-41030</t>
  </si>
  <si>
    <t>100-00-000-41040</t>
  </si>
  <si>
    <t>100-00-000-41050</t>
  </si>
  <si>
    <t>100-00-000-41060</t>
  </si>
  <si>
    <t>100-00-000-41090</t>
  </si>
  <si>
    <t>100-00-000-41100</t>
  </si>
  <si>
    <t>100-00-000-41110</t>
  </si>
  <si>
    <t>100-00-000-41130</t>
  </si>
  <si>
    <t>100-00-000-41150</t>
  </si>
  <si>
    <t>100-00-000-41190</t>
  </si>
  <si>
    <t>100-00-000-41500</t>
  </si>
  <si>
    <t>100-00-000-46167</t>
  </si>
  <si>
    <t>100-00-000-46160</t>
  </si>
  <si>
    <t>100-00-000-46161</t>
  </si>
  <si>
    <t>100-00-000-41510</t>
  </si>
  <si>
    <t>100-00-000-41515</t>
  </si>
  <si>
    <t>100-00-000-41530</t>
  </si>
  <si>
    <t>100-00-000-41540</t>
  </si>
  <si>
    <t>100-00-000-41550</t>
  </si>
  <si>
    <t>100-00-000-41555</t>
  </si>
  <si>
    <t>100-00-000-41556</t>
  </si>
  <si>
    <t>100-00-000-41560</t>
  </si>
  <si>
    <t>100-00-000-41570</t>
  </si>
  <si>
    <t>100-00-000-41580</t>
  </si>
  <si>
    <t>100-00-000-41610</t>
  </si>
  <si>
    <t>100-00-000-42105</t>
  </si>
  <si>
    <t>100-00-000-42107</t>
  </si>
  <si>
    <t>100-00-000-42108</t>
  </si>
  <si>
    <t>100-00-000-42125</t>
  </si>
  <si>
    <t>100-00-000-42130</t>
  </si>
  <si>
    <t>100-00-000-42135</t>
  </si>
  <si>
    <t>100-00-000-42140</t>
  </si>
  <si>
    <t>100-00-000-42200</t>
  </si>
  <si>
    <t>100-00-000-43010</t>
  </si>
  <si>
    <t>100-00-000-43020</t>
  </si>
  <si>
    <t>100-00-000-43030</t>
  </si>
  <si>
    <t>100-00-000-43050</t>
  </si>
  <si>
    <t>100-00-000-43070</t>
  </si>
  <si>
    <t>100-00-000-47010</t>
  </si>
  <si>
    <t>100-00-000-44790</t>
  </si>
  <si>
    <t>100-00-000-46165</t>
  </si>
  <si>
    <t>100-00-000-46172</t>
  </si>
  <si>
    <t>100-00-000-46199</t>
  </si>
  <si>
    <t>100-00-000-46520</t>
  </si>
  <si>
    <t>100-00-000-46530</t>
  </si>
  <si>
    <t>100-00-000-46535</t>
  </si>
  <si>
    <t>100-00-000-46760</t>
  </si>
  <si>
    <t>100-00-000-47011</t>
  </si>
  <si>
    <t>100-00-000-47020</t>
  </si>
  <si>
    <t>100-00-000-47025</t>
  </si>
  <si>
    <t>100-00-000-47030</t>
  </si>
  <si>
    <t>100-00-000-47006</t>
  </si>
  <si>
    <t>100-00-000-47070</t>
  </si>
  <si>
    <t>100-00-000-47090</t>
  </si>
  <si>
    <t>100-00-000-47099</t>
  </si>
  <si>
    <t>100-00-000-47250</t>
  </si>
  <si>
    <t>100-00-000-47350</t>
  </si>
  <si>
    <t>100-00-000-47355</t>
  </si>
  <si>
    <t>100-00-000-47410</t>
  </si>
  <si>
    <t>100-00-000-48760</t>
  </si>
  <si>
    <t>100-00-000-49120</t>
  </si>
  <si>
    <t>100-00-000-49160</t>
  </si>
  <si>
    <t>100-00-000-49151</t>
  </si>
  <si>
    <t>100-00-000-49200</t>
  </si>
  <si>
    <t>100-00-000-49400</t>
  </si>
  <si>
    <t>100-00-000-49999</t>
  </si>
  <si>
    <t>100-10-101-50101</t>
  </si>
  <si>
    <t>100-10-101-50102</t>
  </si>
  <si>
    <t>100-10-101-50109</t>
  </si>
  <si>
    <t>100-10-101-50110</t>
  </si>
  <si>
    <t>100-10-101-50111</t>
  </si>
  <si>
    <t>100-10-101-50120</t>
  </si>
  <si>
    <t>100-10-101-50610</t>
  </si>
  <si>
    <t>100-10-101-50620</t>
  </si>
  <si>
    <t>100-10-101-50630</t>
  </si>
  <si>
    <t>100-10-101-50650</t>
  </si>
  <si>
    <t>100-10-101-51210</t>
  </si>
  <si>
    <t>100-10-101-51257</t>
  </si>
  <si>
    <t>100-10-101-51285</t>
  </si>
  <si>
    <t>100-10-101-53501</t>
  </si>
  <si>
    <t>100-10-101-53505</t>
  </si>
  <si>
    <t>100-10-101-53507</t>
  </si>
  <si>
    <t>100-10-101-53599</t>
  </si>
  <si>
    <t>100-10-101-53510</t>
  </si>
  <si>
    <t>100-10-101-53515</t>
  </si>
  <si>
    <t>100-10-101-53513</t>
  </si>
  <si>
    <t>100-10-101-53522</t>
  </si>
  <si>
    <t>100-10-101-53534</t>
  </si>
  <si>
    <t>100-10-101-55119</t>
  </si>
  <si>
    <t>100-10-101-58835</t>
  </si>
  <si>
    <t>100-10-102-50109</t>
  </si>
  <si>
    <t>100-10-102-50610</t>
  </si>
  <si>
    <t>100-10-102-50620</t>
  </si>
  <si>
    <t>100-10-102-50630</t>
  </si>
  <si>
    <t>100-10-102-50650</t>
  </si>
  <si>
    <t>100-10-102-51262</t>
  </si>
  <si>
    <t>100-10-102-51210</t>
  </si>
  <si>
    <t>100-10-102-53599</t>
  </si>
  <si>
    <t>100-10-102-53534</t>
  </si>
  <si>
    <t>100-10-103-50101</t>
  </si>
  <si>
    <t>100-10-103-50102</t>
  </si>
  <si>
    <t>100-10-103-50109</t>
  </si>
  <si>
    <t>100-10-103-50111</t>
  </si>
  <si>
    <t>100-10-103-50610</t>
  </si>
  <si>
    <t>100-10-103-50620</t>
  </si>
  <si>
    <t>100-10-103-50630</t>
  </si>
  <si>
    <t>100-10-103-50650</t>
  </si>
  <si>
    <t>100-10-103-51210</t>
  </si>
  <si>
    <t>100-10-103-51285</t>
  </si>
  <si>
    <t>100-10-103-51299</t>
  </si>
  <si>
    <t>100-10-103-53501</t>
  </si>
  <si>
    <t>100-10-103-53599</t>
  </si>
  <si>
    <t>100-10-103-53510</t>
  </si>
  <si>
    <t>100-10-103-53515</t>
  </si>
  <si>
    <t>100-10-103-53522</t>
  </si>
  <si>
    <t>100-10-103-53541</t>
  </si>
  <si>
    <t>100-10-103-55119</t>
  </si>
  <si>
    <t>100-10-104-50101</t>
  </si>
  <si>
    <t>100-10-104-50111</t>
  </si>
  <si>
    <t>100-10-104-50610</t>
  </si>
  <si>
    <t>100-10-104-50620</t>
  </si>
  <si>
    <t>100-10-104-50630</t>
  </si>
  <si>
    <t>100-10-104-50650</t>
  </si>
  <si>
    <t>100-10-104-51210</t>
  </si>
  <si>
    <t>100-10-104-53505</t>
  </si>
  <si>
    <t>100-10-104-53599</t>
  </si>
  <si>
    <t>100-10-104-53510</t>
  </si>
  <si>
    <t>100-10-104-53515</t>
  </si>
  <si>
    <t>100-10-104-53534</t>
  </si>
  <si>
    <t>100-10-104-53541</t>
  </si>
  <si>
    <t>100-10-104-55119</t>
  </si>
  <si>
    <t>100-10-105-50109</t>
  </si>
  <si>
    <t>100-10-105-50610</t>
  </si>
  <si>
    <t>100-10-105-50620</t>
  </si>
  <si>
    <t>100-10-105-50630</t>
  </si>
  <si>
    <t>100-10-105-50650</t>
  </si>
  <si>
    <t>100-10-105-51263</t>
  </si>
  <si>
    <t>100-10-105-51210</t>
  </si>
  <si>
    <t>100-10-105-53599</t>
  </si>
  <si>
    <t>100-10-105-53510</t>
  </si>
  <si>
    <t>100-10-105-53534</t>
  </si>
  <si>
    <t>100-11-111-50101</t>
  </si>
  <si>
    <t>100-11-111-50102</t>
  </si>
  <si>
    <t>100-11-111-50109</t>
  </si>
  <si>
    <t>100-11-111-50111</t>
  </si>
  <si>
    <t>100-11-111-50610</t>
  </si>
  <si>
    <t>100-11-111-50620</t>
  </si>
  <si>
    <t>100-11-111-50630</t>
  </si>
  <si>
    <t>100-11-111-50650</t>
  </si>
  <si>
    <t>100-11-111-51210</t>
  </si>
  <si>
    <t>100-11-111-51225</t>
  </si>
  <si>
    <t>100-11-111-51245</t>
  </si>
  <si>
    <t>100-11-111-51255</t>
  </si>
  <si>
    <t>100-11-111-51271</t>
  </si>
  <si>
    <t>100-11-111-51285</t>
  </si>
  <si>
    <t>100-11-111-51299</t>
  </si>
  <si>
    <t>100-11-111-52310</t>
  </si>
  <si>
    <t>100-11-111-52460</t>
  </si>
  <si>
    <t>100-11-111-52470</t>
  </si>
  <si>
    <t>100-11-111-52490</t>
  </si>
  <si>
    <t>100-11-111-53599</t>
  </si>
  <si>
    <t>100-11-111-53515</t>
  </si>
  <si>
    <t>100-11-111-53524</t>
  </si>
  <si>
    <t>100-11-111-53529</t>
  </si>
  <si>
    <t>100-11-111-53570</t>
  </si>
  <si>
    <t>100-11-111-53572</t>
  </si>
  <si>
    <t>100-11-111-53574</t>
  </si>
  <si>
    <t>100-11-111-55175</t>
  </si>
  <si>
    <t>100-11-111-55119</t>
  </si>
  <si>
    <t>100-11-111-58835</t>
  </si>
  <si>
    <t>100-12-121-51210</t>
  </si>
  <si>
    <t>100-12-121-51257</t>
  </si>
  <si>
    <t>100-12-121-51285</t>
  </si>
  <si>
    <t>100-12-121-51299</t>
  </si>
  <si>
    <t>100-12-121-53510</t>
  </si>
  <si>
    <t>100-12-121-53515</t>
  </si>
  <si>
    <t>100-12-121-55119</t>
  </si>
  <si>
    <t>100-13-131-50101</t>
  </si>
  <si>
    <t>100-13-131-50102</t>
  </si>
  <si>
    <t>100-13-131-50109</t>
  </si>
  <si>
    <t>100-13-131-50110</t>
  </si>
  <si>
    <t>100-13-131-50111</t>
  </si>
  <si>
    <t>100-13-131-50112</t>
  </si>
  <si>
    <t>100-13-131-50610</t>
  </si>
  <si>
    <t>100-13-131-50620</t>
  </si>
  <si>
    <t>100-13-131-50630</t>
  </si>
  <si>
    <t>100-13-131-50650</t>
  </si>
  <si>
    <t>100-13-131-51210</t>
  </si>
  <si>
    <t>100-13-131-51285</t>
  </si>
  <si>
    <t>100-13-131-53599</t>
  </si>
  <si>
    <t>100-13-131-53510</t>
  </si>
  <si>
    <t>100-13-131-53515</t>
  </si>
  <si>
    <t>100-13-131-53513</t>
  </si>
  <si>
    <t>100-13-131-53516</t>
  </si>
  <si>
    <t>100-13-131-53540</t>
  </si>
  <si>
    <t>100-13-131-53585</t>
  </si>
  <si>
    <t>100-13-131-55119</t>
  </si>
  <si>
    <t>100-13-139-51210</t>
  </si>
  <si>
    <t>100-13-139-53599</t>
  </si>
  <si>
    <t>100-13-139-53510</t>
  </si>
  <si>
    <t>100-13-139-53515</t>
  </si>
  <si>
    <t>100-13-139-53518</t>
  </si>
  <si>
    <t>100-13-139-55119</t>
  </si>
  <si>
    <t>100-16-161-50101</t>
  </si>
  <si>
    <t>100-16-161-50102</t>
  </si>
  <si>
    <t>100-16-161-50109</t>
  </si>
  <si>
    <t>100-16-161-50111</t>
  </si>
  <si>
    <t>100-16-161-50115</t>
  </si>
  <si>
    <t>100-16-161-50610</t>
  </si>
  <si>
    <t>100-16-161-50620</t>
  </si>
  <si>
    <t>100-16-161-50630</t>
  </si>
  <si>
    <t>100-16-161-50650</t>
  </si>
  <si>
    <t>100-16-161-51210</t>
  </si>
  <si>
    <t>100-16-161-52310</t>
  </si>
  <si>
    <t>100-16-161-52311</t>
  </si>
  <si>
    <t>100-16-161-52490</t>
  </si>
  <si>
    <t>100-16-161-53507</t>
  </si>
  <si>
    <t>100-16-161-53599</t>
  </si>
  <si>
    <t>100-16-161-53510</t>
  </si>
  <si>
    <t>100-16-161-53515</t>
  </si>
  <si>
    <t>100-16-161-53524</t>
  </si>
  <si>
    <t>100-16-161-53580</t>
  </si>
  <si>
    <t>100-16-161-55119</t>
  </si>
  <si>
    <t>100-16-165-59114</t>
  </si>
  <si>
    <t>100-17-171-50101</t>
  </si>
  <si>
    <t>100-17-171-50102</t>
  </si>
  <si>
    <t>100-17-171-50109</t>
  </si>
  <si>
    <t>100-17-171-50110</t>
  </si>
  <si>
    <t>100-17-171-50111</t>
  </si>
  <si>
    <t>100-17-171-50112</t>
  </si>
  <si>
    <t>100-17-171-50610</t>
  </si>
  <si>
    <t>100-17-171-50620</t>
  </si>
  <si>
    <t>100-17-171-50630</t>
  </si>
  <si>
    <t>100-17-171-50650</t>
  </si>
  <si>
    <t>100-17-171-51210</t>
  </si>
  <si>
    <t>100-17-171-51257</t>
  </si>
  <si>
    <t>100-17-171-51285</t>
  </si>
  <si>
    <t>100-17-171-53599</t>
  </si>
  <si>
    <t>100-17-171-53510</t>
  </si>
  <si>
    <t>100-17-171-53515</t>
  </si>
  <si>
    <t>100-17-171-53512</t>
  </si>
  <si>
    <t>100-17-171-53517</t>
  </si>
  <si>
    <t>100-17-171-53522</t>
  </si>
  <si>
    <t>100-17-171-53527</t>
  </si>
  <si>
    <t>100-17-171-53533</t>
  </si>
  <si>
    <t>100-17-171-53546</t>
  </si>
  <si>
    <t>100-17-171-53552</t>
  </si>
  <si>
    <t>100-17-171-55119</t>
  </si>
  <si>
    <t>100-17-172-50640</t>
  </si>
  <si>
    <t>100-17-172-51210</t>
  </si>
  <si>
    <t>100-17-172-51257</t>
  </si>
  <si>
    <t>100-17-172-51299</t>
  </si>
  <si>
    <t>100-17-172-53599</t>
  </si>
  <si>
    <t>100-17-172-53510</t>
  </si>
  <si>
    <t>100-17-172-53515</t>
  </si>
  <si>
    <t>100-17-172-53517</t>
  </si>
  <si>
    <t>100-17-172-53522</t>
  </si>
  <si>
    <t>100-17-172-53527</t>
  </si>
  <si>
    <t>100-17-172-53533</t>
  </si>
  <si>
    <t>100-17-172-53552</t>
  </si>
  <si>
    <t>100-17-172-55119</t>
  </si>
  <si>
    <t>100-17-175-50101</t>
  </si>
  <si>
    <t>100-17-175-50111</t>
  </si>
  <si>
    <t>100-17-175-50610</t>
  </si>
  <si>
    <t>100-17-175-50620</t>
  </si>
  <si>
    <t>100-17-175-50630</t>
  </si>
  <si>
    <t>100-17-175-50650</t>
  </si>
  <si>
    <t>100-17-175-51210</t>
  </si>
  <si>
    <t>100-17-175-51257</t>
  </si>
  <si>
    <t>100-17-175-53599</t>
  </si>
  <si>
    <t>100-17-175-53510</t>
  </si>
  <si>
    <t>100-17-175-53515</t>
  </si>
  <si>
    <t>100-17-175-55119</t>
  </si>
  <si>
    <t>100-14-141-50101</t>
  </si>
  <si>
    <t>100-14-141-50111</t>
  </si>
  <si>
    <t>100-14-141-50112</t>
  </si>
  <si>
    <t>100-14-141-50120</t>
  </si>
  <si>
    <t>100-14-141-50610</t>
  </si>
  <si>
    <t>100-14-141-50620</t>
  </si>
  <si>
    <t>100-14-141-50630</t>
  </si>
  <si>
    <t>100-14-141-50650</t>
  </si>
  <si>
    <t>100-14-141-51210</t>
  </si>
  <si>
    <t>100-14-141-51265</t>
  </si>
  <si>
    <t>100-14-141-51285</t>
  </si>
  <si>
    <t>100-14-141-52470</t>
  </si>
  <si>
    <t>100-14-141-53508</t>
  </si>
  <si>
    <t>100-14-141-53599</t>
  </si>
  <si>
    <t>100-14-141-53510</t>
  </si>
  <si>
    <t>100-14-141-53515</t>
  </si>
  <si>
    <t>100-14-141-53513</t>
  </si>
  <si>
    <t>100-14-141-53522</t>
  </si>
  <si>
    <t>100-14-141-53534</t>
  </si>
  <si>
    <t>100-14-141-53540</t>
  </si>
  <si>
    <t>100-14-141-53545</t>
  </si>
  <si>
    <t>100-14-141-55119</t>
  </si>
  <si>
    <t>100-14-147-50101</t>
  </si>
  <si>
    <t>100-14-147-50610</t>
  </si>
  <si>
    <t>100-14-147-50620</t>
  </si>
  <si>
    <t>100-14-147-50630</t>
  </si>
  <si>
    <t>100-14-147-50650</t>
  </si>
  <si>
    <t>100-14-147-51265</t>
  </si>
  <si>
    <t>100-14-147-52470</t>
  </si>
  <si>
    <t>100-14-147-53599</t>
  </si>
  <si>
    <t>100-14-149-53599</t>
  </si>
  <si>
    <t>100-14-148-53545</t>
  </si>
  <si>
    <t>100-20-201-50101</t>
  </si>
  <si>
    <t>100-20-201-50102</t>
  </si>
  <si>
    <t>100-20-201-50109</t>
  </si>
  <si>
    <t>100-20-201-50110</t>
  </si>
  <si>
    <t>100-20-201-50111</t>
  </si>
  <si>
    <t>100-20-201-50112</t>
  </si>
  <si>
    <t>100-20-201-50120</t>
  </si>
  <si>
    <t>100-20-201-50610</t>
  </si>
  <si>
    <t>100-20-201-50620</t>
  </si>
  <si>
    <t>100-20-201-50630</t>
  </si>
  <si>
    <t>100-20-201-50650</t>
  </si>
  <si>
    <t>100-20-201-51210</t>
  </si>
  <si>
    <t>100-20-201-51265</t>
  </si>
  <si>
    <t>100-20-201-51285</t>
  </si>
  <si>
    <t>100-20-201-53599</t>
  </si>
  <si>
    <t>100-20-201-53510</t>
  </si>
  <si>
    <t>100-20-201-53515</t>
  </si>
  <si>
    <t>100-20-201-53513</t>
  </si>
  <si>
    <t>100-20-201-53522</t>
  </si>
  <si>
    <t>100-20-201-55119</t>
  </si>
  <si>
    <t>100-20-204-50101</t>
  </si>
  <si>
    <t>100-20-204-50102</t>
  </si>
  <si>
    <t>100-20-204-50109</t>
  </si>
  <si>
    <t>100-20-204-50110</t>
  </si>
  <si>
    <t>100-20-204-50111</t>
  </si>
  <si>
    <t>100-20-204-50120</t>
  </si>
  <si>
    <t>100-20-204-50610</t>
  </si>
  <si>
    <t>100-20-204-50620</t>
  </si>
  <si>
    <t>100-20-204-50630</t>
  </si>
  <si>
    <t>100-20-204-50650</t>
  </si>
  <si>
    <t>100-20-204-51210</t>
  </si>
  <si>
    <t>100-20-204-51245</t>
  </si>
  <si>
    <t>100-20-204-51255</t>
  </si>
  <si>
    <t>100-20-204-51285</t>
  </si>
  <si>
    <t>100-20-204-52460</t>
  </si>
  <si>
    <t>100-20-204-53599</t>
  </si>
  <si>
    <t>100-20-204-53510</t>
  </si>
  <si>
    <t>100-20-204-53515</t>
  </si>
  <si>
    <t>100-20-204-53513</t>
  </si>
  <si>
    <t>100-20-204-53585</t>
  </si>
  <si>
    <t>100-20-204-55175</t>
  </si>
  <si>
    <t>100-20-204-55119</t>
  </si>
  <si>
    <t>100-20-208-50101</t>
  </si>
  <si>
    <t>100-20-208-50102</t>
  </si>
  <si>
    <t>100-20-208-50109</t>
  </si>
  <si>
    <t>100-20-208-50111</t>
  </si>
  <si>
    <t>100-20-208-50610</t>
  </si>
  <si>
    <t>100-20-208-50620</t>
  </si>
  <si>
    <t>100-20-208-50630</t>
  </si>
  <si>
    <t>100-20-208-50650</t>
  </si>
  <si>
    <t>100-20-208-51210</t>
  </si>
  <si>
    <t>100-20-208-51245</t>
  </si>
  <si>
    <t>100-20-208-51255</t>
  </si>
  <si>
    <t>100-20-208-51285</t>
  </si>
  <si>
    <t>100-20-208-52460</t>
  </si>
  <si>
    <t>100-20-208-53510</t>
  </si>
  <si>
    <t>100-20-208-53515</t>
  </si>
  <si>
    <t>100-20-208-55175</t>
  </si>
  <si>
    <t>100-20-208-55119</t>
  </si>
  <si>
    <t>100-30-301-50101</t>
  </si>
  <si>
    <t>100-30-301-50102</t>
  </si>
  <si>
    <t>100-30-301-50109</t>
  </si>
  <si>
    <t>100-30-301-50111</t>
  </si>
  <si>
    <t>100-30-301-50115</t>
  </si>
  <si>
    <t>100-30-301-50610</t>
  </si>
  <si>
    <t>100-30-301-50620</t>
  </si>
  <si>
    <t>100-30-301-50630</t>
  </si>
  <si>
    <t>100-30-301-50650</t>
  </si>
  <si>
    <t>100-30-301-51210</t>
  </si>
  <si>
    <t>100-30-301-51225</t>
  </si>
  <si>
    <t>100-30-301-51255</t>
  </si>
  <si>
    <t>100-30-301-51285</t>
  </si>
  <si>
    <t>100-30-301-51299</t>
  </si>
  <si>
    <t>100-30-301-52310</t>
  </si>
  <si>
    <t>100-30-301-52440</t>
  </si>
  <si>
    <t>100-30-301-52460</t>
  </si>
  <si>
    <t>100-30-301-52470</t>
  </si>
  <si>
    <t>100-30-301-52480</t>
  </si>
  <si>
    <t>100-30-301-52490</t>
  </si>
  <si>
    <t>100-30-301-53507</t>
  </si>
  <si>
    <t>100-30-301-53599</t>
  </si>
  <si>
    <t>100-30-301-53510</t>
  </si>
  <si>
    <t>100-30-301-53515</t>
  </si>
  <si>
    <t>100-30-301-53513</t>
  </si>
  <si>
    <t>100-30-301-53524</t>
  </si>
  <si>
    <t>100-30-301-53527</t>
  </si>
  <si>
    <t>100-30-301-53560</t>
  </si>
  <si>
    <t>100-30-301-53568</t>
  </si>
  <si>
    <t>100-30-301-53570</t>
  </si>
  <si>
    <t>100-30-301-53571</t>
  </si>
  <si>
    <t>100-30-301-53572</t>
  </si>
  <si>
    <t>100-30-301-53574</t>
  </si>
  <si>
    <t>100-30-301-53580</t>
  </si>
  <si>
    <t>100-30-301-55119</t>
  </si>
  <si>
    <t>100-30-302-50101</t>
  </si>
  <si>
    <t>100-30-302-50102</t>
  </si>
  <si>
    <t>100-30-302-50109</t>
  </si>
  <si>
    <t>100-30-302-50111</t>
  </si>
  <si>
    <t>100-30-302-50115</t>
  </si>
  <si>
    <t>100-30-302-50610</t>
  </si>
  <si>
    <t>100-30-302-50620</t>
  </si>
  <si>
    <t>100-30-302-50630</t>
  </si>
  <si>
    <t>100-30-302-50650</t>
  </si>
  <si>
    <t>100-30-302-51210</t>
  </si>
  <si>
    <t>100-30-302-51245</t>
  </si>
  <si>
    <t>100-30-302-51255</t>
  </si>
  <si>
    <t>100-30-302-51285</t>
  </si>
  <si>
    <t>100-30-302-51291</t>
  </si>
  <si>
    <t>100-30-302-51292</t>
  </si>
  <si>
    <t>100-30-302-51295</t>
  </si>
  <si>
    <t>100-30-302-51299</t>
  </si>
  <si>
    <t>100-30-302-52310</t>
  </si>
  <si>
    <t>100-30-302-52440</t>
  </si>
  <si>
    <t>100-30-302-52460</t>
  </si>
  <si>
    <t>100-30-302-52470</t>
  </si>
  <si>
    <t>100-30-302-53599</t>
  </si>
  <si>
    <t>100-30-302-53510</t>
  </si>
  <si>
    <t>100-30-302-53515</t>
  </si>
  <si>
    <t>100-30-302-53517</t>
  </si>
  <si>
    <t>100-30-302-53526</t>
  </si>
  <si>
    <t>100-30-302-53533</t>
  </si>
  <si>
    <t>100-30-302-53540</t>
  </si>
  <si>
    <t>100-30-302-53560</t>
  </si>
  <si>
    <t>100-30-302-53570</t>
  </si>
  <si>
    <t>100-30-302-55119</t>
  </si>
  <si>
    <t>100-30-302-59115</t>
  </si>
  <si>
    <t>100-30-303-50101</t>
  </si>
  <si>
    <t>100-30-303-50102</t>
  </si>
  <si>
    <t>100-30-303-50109</t>
  </si>
  <si>
    <t>100-30-303-50111</t>
  </si>
  <si>
    <t>100-30-303-50115</t>
  </si>
  <si>
    <t>100-30-303-50610</t>
  </si>
  <si>
    <t>100-30-303-50620</t>
  </si>
  <si>
    <t>100-30-303-50630</t>
  </si>
  <si>
    <t>100-30-303-50650</t>
  </si>
  <si>
    <t>100-30-303-51210</t>
  </si>
  <si>
    <t>100-30-303-51245</t>
  </si>
  <si>
    <t>100-30-303-51285</t>
  </si>
  <si>
    <t>100-30-303-51299</t>
  </si>
  <si>
    <t>100-30-303-52440</t>
  </si>
  <si>
    <t>100-30-303-52470</t>
  </si>
  <si>
    <t>100-30-303-52480</t>
  </si>
  <si>
    <t>100-30-303-52490</t>
  </si>
  <si>
    <t>100-30-303-53599</t>
  </si>
  <si>
    <t>100-30-303-53510</t>
  </si>
  <si>
    <t>100-30-303-53515</t>
  </si>
  <si>
    <t>100-30-303-53527</t>
  </si>
  <si>
    <t>100-30-303-53560</t>
  </si>
  <si>
    <t>100-30-303-53568</t>
  </si>
  <si>
    <t>100-30-303-53570</t>
  </si>
  <si>
    <t>100-30-303-53571</t>
  </si>
  <si>
    <t>100-30-303-53572</t>
  </si>
  <si>
    <t>100-30-303-53574</t>
  </si>
  <si>
    <t>100-30-303-53585</t>
  </si>
  <si>
    <t>100-30-303-55119</t>
  </si>
  <si>
    <t>100-30-304-50102</t>
  </si>
  <si>
    <t>100-30-304-50109</t>
  </si>
  <si>
    <t>100-30-304-50110</t>
  </si>
  <si>
    <t>100-30-304-50111</t>
  </si>
  <si>
    <t>100-30-304-50112</t>
  </si>
  <si>
    <t>100-30-304-50115</t>
  </si>
  <si>
    <t>100-30-304-50610</t>
  </si>
  <si>
    <t>100-30-304-50620</t>
  </si>
  <si>
    <t>100-30-304-50630</t>
  </si>
  <si>
    <t>100-30-304-50650</t>
  </si>
  <si>
    <t>100-30-304-51225</t>
  </si>
  <si>
    <t>100-30-304-51210</t>
  </si>
  <si>
    <t>100-30-304-51245</t>
  </si>
  <si>
    <t>100-30-304-51255</t>
  </si>
  <si>
    <t>100-30-304-51275</t>
  </si>
  <si>
    <t>100-30-304-51285</t>
  </si>
  <si>
    <t>100-30-304-51299</t>
  </si>
  <si>
    <t>100-30-304-52310</t>
  </si>
  <si>
    <t>100-30-304-52440</t>
  </si>
  <si>
    <t>100-30-304-52460</t>
  </si>
  <si>
    <t>100-30-304-52470</t>
  </si>
  <si>
    <t>100-30-304-52490</t>
  </si>
  <si>
    <t>100-30-304-53599</t>
  </si>
  <si>
    <t>100-30-304-53510</t>
  </si>
  <si>
    <t>100-30-304-53515</t>
  </si>
  <si>
    <t>100-30-304-53517</t>
  </si>
  <si>
    <t>100-30-304-53524</t>
  </si>
  <si>
    <t>100-30-304-53560</t>
  </si>
  <si>
    <t>100-30-304-53568</t>
  </si>
  <si>
    <t>100-30-304-53570</t>
  </si>
  <si>
    <t>100-30-304-53571</t>
  </si>
  <si>
    <t>100-30-304-53572</t>
  </si>
  <si>
    <t>100-30-304-53574</t>
  </si>
  <si>
    <t>100-30-304-53585</t>
  </si>
  <si>
    <t>100-30-304-55119</t>
  </si>
  <si>
    <t>100-30-305-50101</t>
  </si>
  <si>
    <t>100-30-305-50102</t>
  </si>
  <si>
    <t>100-30-305-50109</t>
  </si>
  <si>
    <t>100-30-305-50110</t>
  </si>
  <si>
    <t>100-30-305-50111</t>
  </si>
  <si>
    <t>100-30-305-50115</t>
  </si>
  <si>
    <t>100-30-305-50610</t>
  </si>
  <si>
    <t>100-30-305-50620</t>
  </si>
  <si>
    <t>100-30-305-50630</t>
  </si>
  <si>
    <t>100-30-305-50650</t>
  </si>
  <si>
    <t>100-30-305-51210</t>
  </si>
  <si>
    <t>100-30-305-51225</t>
  </si>
  <si>
    <t>100-30-305-51285</t>
  </si>
  <si>
    <t>100-30-305-51299</t>
  </si>
  <si>
    <t>100-30-305-52310</t>
  </si>
  <si>
    <t>100-30-305-52440</t>
  </si>
  <si>
    <t>100-30-305-52470</t>
  </si>
  <si>
    <t>100-30-305-52480</t>
  </si>
  <si>
    <t>100-30-305-52490</t>
  </si>
  <si>
    <t>100-30-305-53599</t>
  </si>
  <si>
    <t>100-30-305-53510</t>
  </si>
  <si>
    <t>100-30-305-53515</t>
  </si>
  <si>
    <t>100-30-305-53517</t>
  </si>
  <si>
    <t>100-30-305-53519</t>
  </si>
  <si>
    <t>100-30-305-53524</t>
  </si>
  <si>
    <t>100-30-305-53560</t>
  </si>
  <si>
    <t>100-30-305-53568</t>
  </si>
  <si>
    <t>100-30-305-53570</t>
  </si>
  <si>
    <t>100-30-305-53571</t>
  </si>
  <si>
    <t>100-30-305-53572</t>
  </si>
  <si>
    <t>100-30-305-53574</t>
  </si>
  <si>
    <t>100-30-305-55119</t>
  </si>
  <si>
    <t>100-35-351-50101</t>
  </si>
  <si>
    <t>100-35-351-50102</t>
  </si>
  <si>
    <t>100-35-351-50109</t>
  </si>
  <si>
    <t>100-35-351-50111</t>
  </si>
  <si>
    <t>100-35-351-50115</t>
  </si>
  <si>
    <t>100-35-351-50610</t>
  </si>
  <si>
    <t>100-35-351-50620</t>
  </si>
  <si>
    <t>100-35-351-50630</t>
  </si>
  <si>
    <t>100-35-351-50650</t>
  </si>
  <si>
    <t>100-35-351-51210</t>
  </si>
  <si>
    <t>100-35-351-51245</t>
  </si>
  <si>
    <t>100-35-351-51255</t>
  </si>
  <si>
    <t>100-35-351-53511</t>
  </si>
  <si>
    <t>100-35-351-51299</t>
  </si>
  <si>
    <t>100-35-351-52310</t>
  </si>
  <si>
    <t>100-35-351-52460</t>
  </si>
  <si>
    <t>100-35-351-52480</t>
  </si>
  <si>
    <t>100-35-351-52490</t>
  </si>
  <si>
    <t>100-35-351-53505</t>
  </si>
  <si>
    <t>100-35-351-53599</t>
  </si>
  <si>
    <t>100-35-351-53510</t>
  </si>
  <si>
    <t>100-35-351-53515</t>
  </si>
  <si>
    <t>100-35-351-53524</t>
  </si>
  <si>
    <t>100-35-351-53527</t>
  </si>
  <si>
    <t>100-35-351-53552</t>
  </si>
  <si>
    <t>100-35-351-53570</t>
  </si>
  <si>
    <t>100-35-351-53571</t>
  </si>
  <si>
    <t>100-35-351-53572</t>
  </si>
  <si>
    <t>100-35-351-53574</t>
  </si>
  <si>
    <t>100-35-351-55175</t>
  </si>
  <si>
    <t>100-35-351-55119</t>
  </si>
  <si>
    <t>100-35-352-50102</t>
  </si>
  <si>
    <t>100-35-352-50109</t>
  </si>
  <si>
    <t>100-35-352-50111</t>
  </si>
  <si>
    <t>100-35-352-50115</t>
  </si>
  <si>
    <t>100-35-352-50610</t>
  </si>
  <si>
    <t>100-35-352-50620</t>
  </si>
  <si>
    <t>100-35-352-50630</t>
  </si>
  <si>
    <t>100-35-352-50650</t>
  </si>
  <si>
    <t>100-35-352-51210</t>
  </si>
  <si>
    <t>100-35-352-51225</t>
  </si>
  <si>
    <t>100-35-352-51245</t>
  </si>
  <si>
    <t>100-35-352-51255</t>
  </si>
  <si>
    <t>100-35-352-51265</t>
  </si>
  <si>
    <t>100-35-352-51270</t>
  </si>
  <si>
    <t>100-35-352-51285</t>
  </si>
  <si>
    <t>100-35-352-51290</t>
  </si>
  <si>
    <t>100-35-352-51292</t>
  </si>
  <si>
    <t>100-35-352-51299</t>
  </si>
  <si>
    <t>100-35-352-52310</t>
  </si>
  <si>
    <t>100-35-352-52435</t>
  </si>
  <si>
    <t>100-35-352-52437</t>
  </si>
  <si>
    <t>100-35-352-52440</t>
  </si>
  <si>
    <t>100-35-352-52460</t>
  </si>
  <si>
    <t>100-35-352-52470</t>
  </si>
  <si>
    <t>100-35-352-52490</t>
  </si>
  <si>
    <t>100-35-352-53599</t>
  </si>
  <si>
    <t>100-35-352-53510</t>
  </si>
  <si>
    <t>100-35-352-53515</t>
  </si>
  <si>
    <t>100-35-352-53524</t>
  </si>
  <si>
    <t>100-35-352-53533</t>
  </si>
  <si>
    <t>100-35-352-53571</t>
  </si>
  <si>
    <t>100-35-352-53572</t>
  </si>
  <si>
    <t>100-35-352-53574</t>
  </si>
  <si>
    <t>100-35-352-55175</t>
  </si>
  <si>
    <t>100-35-352-55119</t>
  </si>
  <si>
    <t>100-35-352-58830</t>
  </si>
  <si>
    <t>100-35-352-58858</t>
  </si>
  <si>
    <t>100-35-353-51226</t>
  </si>
  <si>
    <t>100-35-353-51210</t>
  </si>
  <si>
    <t>100-35-353-51245</t>
  </si>
  <si>
    <t>100-35-353-51255</t>
  </si>
  <si>
    <t>100-35-353-51292</t>
  </si>
  <si>
    <t>100-35-353-52460</t>
  </si>
  <si>
    <t>100-35-353-52470</t>
  </si>
  <si>
    <t>100-35-353-53505</t>
  </si>
  <si>
    <t>100-35-353-53599</t>
  </si>
  <si>
    <t>100-35-353-53510</t>
  </si>
  <si>
    <t>100-35-353-53515</t>
  </si>
  <si>
    <t>100-35-353-53517</t>
  </si>
  <si>
    <t>100-35-353-53520</t>
  </si>
  <si>
    <t>100-35-353-55175</t>
  </si>
  <si>
    <t>100-35-353-55119</t>
  </si>
  <si>
    <t>100-35-353-58830</t>
  </si>
  <si>
    <t>100-35-354-51245</t>
  </si>
  <si>
    <t>100-35-354-51255</t>
  </si>
  <si>
    <t>100-35-354-53511</t>
  </si>
  <si>
    <t>100-35-354-51292</t>
  </si>
  <si>
    <t>100-35-354-52440</t>
  </si>
  <si>
    <t>100-35-354-52460</t>
  </si>
  <si>
    <t>100-35-354-52470</t>
  </si>
  <si>
    <t>100-35-354-53599</t>
  </si>
  <si>
    <t>100-35-354-53510</t>
  </si>
  <si>
    <t>100-35-354-53515</t>
  </si>
  <si>
    <t>100-35-354-53572</t>
  </si>
  <si>
    <t>100-35-354-55119</t>
  </si>
  <si>
    <t>100-35-354-58830</t>
  </si>
  <si>
    <t>100-50-501-50101</t>
  </si>
  <si>
    <t>100-50-501-50102</t>
  </si>
  <si>
    <t>100-50-501-50109</t>
  </si>
  <si>
    <t>100-50-501-50111</t>
  </si>
  <si>
    <t>100-50-501-50120</t>
  </si>
  <si>
    <t>100-50-501-50610</t>
  </si>
  <si>
    <t>100-50-501-50620</t>
  </si>
  <si>
    <t>100-50-501-50630</t>
  </si>
  <si>
    <t>100-50-501-50650</t>
  </si>
  <si>
    <t>100-50-501-51210</t>
  </si>
  <si>
    <t>100-50-501-51245</t>
  </si>
  <si>
    <t>100-50-501-51299</t>
  </si>
  <si>
    <t>100-50-501-53599</t>
  </si>
  <si>
    <t>100-50-501-53510</t>
  </si>
  <si>
    <t>100-50-501-53515</t>
  </si>
  <si>
    <t>100-50-501-55119</t>
  </si>
  <si>
    <t>100-50-502-50101</t>
  </si>
  <si>
    <t>100-50-502-50102</t>
  </si>
  <si>
    <t>100-50-502-50109</t>
  </si>
  <si>
    <t>100-50-502-50111</t>
  </si>
  <si>
    <t>100-50-502-50112</t>
  </si>
  <si>
    <t>100-50-502-50120</t>
  </si>
  <si>
    <t>100-50-502-50610</t>
  </si>
  <si>
    <t>100-50-502-50620</t>
  </si>
  <si>
    <t>100-50-502-50630</t>
  </si>
  <si>
    <t>100-50-502-50650</t>
  </si>
  <si>
    <t>100-50-502-51210</t>
  </si>
  <si>
    <t>100-50-502-51245</t>
  </si>
  <si>
    <t>100-50-502-51255</t>
  </si>
  <si>
    <t>100-50-502-51285</t>
  </si>
  <si>
    <t>100-50-502-51287</t>
  </si>
  <si>
    <t>100-50-502-51299</t>
  </si>
  <si>
    <t>100-50-502-52460</t>
  </si>
  <si>
    <t>100-50-502-53599</t>
  </si>
  <si>
    <t>100-50-502-53510</t>
  </si>
  <si>
    <t>100-50-502-53515</t>
  </si>
  <si>
    <t>100-50-502-53543</t>
  </si>
  <si>
    <t>100-50-502-55175</t>
  </si>
  <si>
    <t>100-50-502-55119</t>
  </si>
  <si>
    <t>100-50-502-58840</t>
  </si>
  <si>
    <t>100-50-502-59170</t>
  </si>
  <si>
    <t>100-50-502-59406</t>
  </si>
  <si>
    <t>100-50-503-50101</t>
  </si>
  <si>
    <t>100-50-503-50102</t>
  </si>
  <si>
    <t>100-50-503-50109</t>
  </si>
  <si>
    <t>100-50-503-50111</t>
  </si>
  <si>
    <t>100-50-503-50610</t>
  </si>
  <si>
    <t>100-50-503-50620</t>
  </si>
  <si>
    <t>100-50-503-50630</t>
  </si>
  <si>
    <t>100-50-503-50650</t>
  </si>
  <si>
    <t>100-50-503-51210</t>
  </si>
  <si>
    <t>100-50-503-51245</t>
  </si>
  <si>
    <t>100-50-503-51255</t>
  </si>
  <si>
    <t>100-50-503-51265</t>
  </si>
  <si>
    <t>100-50-503-51270</t>
  </si>
  <si>
    <t>100-50-503-51285</t>
  </si>
  <si>
    <t>100-50-503-51287</t>
  </si>
  <si>
    <t>100-50-503-51299</t>
  </si>
  <si>
    <t>100-50-503-52320</t>
  </si>
  <si>
    <t>100-50-503-52350</t>
  </si>
  <si>
    <t>100-50-503-52440</t>
  </si>
  <si>
    <t>100-50-503-52460</t>
  </si>
  <si>
    <t>100-50-503-52470</t>
  </si>
  <si>
    <t>100-50-503-53599</t>
  </si>
  <si>
    <t>100-50-503-53510</t>
  </si>
  <si>
    <t>100-50-503-53515</t>
  </si>
  <si>
    <t>100-50-503-53524</t>
  </si>
  <si>
    <t>100-50-503-53525</t>
  </si>
  <si>
    <t>100-50-503-53574</t>
  </si>
  <si>
    <t>100-50-503-52310</t>
  </si>
  <si>
    <t>100-50-503-55175</t>
  </si>
  <si>
    <t>100-50-503-55119</t>
  </si>
  <si>
    <t>100-50-503-58829</t>
  </si>
  <si>
    <t>100-50-503-58830</t>
  </si>
  <si>
    <t>100-50-503-58858</t>
  </si>
  <si>
    <t>100-50-503-59170</t>
  </si>
  <si>
    <t>100-50-504-53572</t>
  </si>
  <si>
    <t>100-60-601-50101</t>
  </si>
  <si>
    <t>100-60-601-50102</t>
  </si>
  <si>
    <t>100-60-601-50109</t>
  </si>
  <si>
    <t>100-60-601-50110</t>
  </si>
  <si>
    <t>100-60-601-50111</t>
  </si>
  <si>
    <t>100-60-601-50112</t>
  </si>
  <si>
    <t>100-60-601-50610</t>
  </si>
  <si>
    <t>100-60-601-50620</t>
  </si>
  <si>
    <t>100-60-601-50630</t>
  </si>
  <si>
    <t>100-60-601-50650</t>
  </si>
  <si>
    <t>100-60-601-51210</t>
  </si>
  <si>
    <t>100-60-601-51225</t>
  </si>
  <si>
    <t>100-60-601-51241</t>
  </si>
  <si>
    <t>100-60-601-51245</t>
  </si>
  <si>
    <t>100-60-601-51260</t>
  </si>
  <si>
    <t>100-60-601-51271</t>
  </si>
  <si>
    <t>100-60-601-51285</t>
  </si>
  <si>
    <t>100-60-601-51299</t>
  </si>
  <si>
    <t>100-60-601-52310</t>
  </si>
  <si>
    <t>100-60-601-52480</t>
  </si>
  <si>
    <t>100-60-601-52490</t>
  </si>
  <si>
    <t>100-60-601-53599</t>
  </si>
  <si>
    <t>100-60-601-53510</t>
  </si>
  <si>
    <t>100-60-601-53515</t>
  </si>
  <si>
    <t>100-60-601-53521</t>
  </si>
  <si>
    <t>100-60-601-53522</t>
  </si>
  <si>
    <t>100-60-601-53524</t>
  </si>
  <si>
    <t>100-60-601-53529</t>
  </si>
  <si>
    <t>100-60-601-53534</t>
  </si>
  <si>
    <t>100-60-601-53535</t>
  </si>
  <si>
    <t>100-60-601-53551</t>
  </si>
  <si>
    <t>100-60-601-53570</t>
  </si>
  <si>
    <t>100-60-601-53571</t>
  </si>
  <si>
    <t>100-60-601-53572</t>
  </si>
  <si>
    <t>100-60-601-53574</t>
  </si>
  <si>
    <t>100-60-601-53585</t>
  </si>
  <si>
    <t>100-60-601-55119</t>
  </si>
  <si>
    <t>100-63-631-50101</t>
  </si>
  <si>
    <t>100-63-631-50102</t>
  </si>
  <si>
    <t>100-63-631-50109</t>
  </si>
  <si>
    <t>100-63-631-50111</t>
  </si>
  <si>
    <t>100-63-631-50610</t>
  </si>
  <si>
    <t>100-63-631-50620</t>
  </si>
  <si>
    <t>100-63-631-50630</t>
  </si>
  <si>
    <t>100-63-631-50650</t>
  </si>
  <si>
    <t>100-63-631-51210</t>
  </si>
  <si>
    <t>100-63-631-51245</t>
  </si>
  <si>
    <t>100-63-631-51285</t>
  </si>
  <si>
    <t>100-63-631-51299</t>
  </si>
  <si>
    <t>100-63-631-53599</t>
  </si>
  <si>
    <t>100-63-631-53510</t>
  </si>
  <si>
    <t>100-63-631-53515</t>
  </si>
  <si>
    <t>100-63-631-53522</t>
  </si>
  <si>
    <t>100-63-631-53585</t>
  </si>
  <si>
    <t>100-63-631-55119</t>
  </si>
  <si>
    <t>100-63-632-50101</t>
  </si>
  <si>
    <t>100-63-632-50102</t>
  </si>
  <si>
    <t>100-63-632-50109</t>
  </si>
  <si>
    <t>100-63-632-50111</t>
  </si>
  <si>
    <t>100-63-632-50112</t>
  </si>
  <si>
    <t>100-63-632-50120</t>
  </si>
  <si>
    <t>100-63-632-50610</t>
  </si>
  <si>
    <t>100-63-632-50620</t>
  </si>
  <si>
    <t>100-63-632-50630</t>
  </si>
  <si>
    <t>100-63-632-50650</t>
  </si>
  <si>
    <t>100-63-632-51210</t>
  </si>
  <si>
    <t>100-63-632-51221</t>
  </si>
  <si>
    <t>100-63-632-51225</t>
  </si>
  <si>
    <t>100-63-632-51245</t>
  </si>
  <si>
    <t>100-63-632-51255</t>
  </si>
  <si>
    <t>100-63-632-51270</t>
  </si>
  <si>
    <t>100-63-632-51285</t>
  </si>
  <si>
    <t>100-63-632-51287</t>
  </si>
  <si>
    <t>100-63-632-51299</t>
  </si>
  <si>
    <t>100-63-632-52310</t>
  </si>
  <si>
    <t>100-63-632-52311</t>
  </si>
  <si>
    <t>100-63-632-52350</t>
  </si>
  <si>
    <t>100-63-632-52440</t>
  </si>
  <si>
    <t>100-63-632-52460</t>
  </si>
  <si>
    <t>100-63-632-52470</t>
  </si>
  <si>
    <t>100-63-632-53599</t>
  </si>
  <si>
    <t>100-63-632-53515</t>
  </si>
  <si>
    <t>100-63-632-53524</t>
  </si>
  <si>
    <t>100-63-632-53525</t>
  </si>
  <si>
    <t>100-63-632-53529</t>
  </si>
  <si>
    <t>100-63-632-53572</t>
  </si>
  <si>
    <t>100-63-632-53574</t>
  </si>
  <si>
    <t>100-63-632-55175</t>
  </si>
  <si>
    <t>100-63-632-55119</t>
  </si>
  <si>
    <t>100-63-632-58830</t>
  </si>
  <si>
    <t>100-63-632-58852</t>
  </si>
  <si>
    <t>100-63-633-50101</t>
  </si>
  <si>
    <t>100-63-633-50102</t>
  </si>
  <si>
    <t>100-63-633-50109</t>
  </si>
  <si>
    <t>100-63-633-50111</t>
  </si>
  <si>
    <t>100-63-633-50610</t>
  </si>
  <si>
    <t>100-63-633-50620</t>
  </si>
  <si>
    <t>100-63-633-50630</t>
  </si>
  <si>
    <t>100-63-633-50650</t>
  </si>
  <si>
    <t>100-63-633-51210</t>
  </si>
  <si>
    <t>100-63-633-51245</t>
  </si>
  <si>
    <t>100-63-633-51255</t>
  </si>
  <si>
    <t>100-63-633-51260</t>
  </si>
  <si>
    <t>100-63-633-51285</t>
  </si>
  <si>
    <t>100-63-633-52460</t>
  </si>
  <si>
    <t>100-63-633-53599</t>
  </si>
  <si>
    <t>100-63-633-53510</t>
  </si>
  <si>
    <t>100-63-633-53515</t>
  </si>
  <si>
    <t>100-63-633-53534</t>
  </si>
  <si>
    <t>100-63-633-53535</t>
  </si>
  <si>
    <t>100-63-633-53540</t>
  </si>
  <si>
    <t>100-63-633-55175</t>
  </si>
  <si>
    <t>100-63-633-55119</t>
  </si>
  <si>
    <t>100-63-633-59112</t>
  </si>
  <si>
    <t>100-63-634-50101</t>
  </si>
  <si>
    <t>100-63-634-50102</t>
  </si>
  <si>
    <t>100-63-634-50109</t>
  </si>
  <si>
    <t>100-63-634-50110</t>
  </si>
  <si>
    <t>100-63-634-50111</t>
  </si>
  <si>
    <t>100-63-634-50610</t>
  </si>
  <si>
    <t>100-63-634-50620</t>
  </si>
  <si>
    <t>100-63-634-50630</t>
  </si>
  <si>
    <t>100-63-634-50650</t>
  </si>
  <si>
    <t>100-63-634-51210</t>
  </si>
  <si>
    <t>100-63-634-51245</t>
  </si>
  <si>
    <t>100-63-634-51255</t>
  </si>
  <si>
    <t>100-63-634-51260</t>
  </si>
  <si>
    <t>100-63-634-51285</t>
  </si>
  <si>
    <t>100-63-634-51299</t>
  </si>
  <si>
    <t>100-63-634-52310</t>
  </si>
  <si>
    <t>100-63-634-52470</t>
  </si>
  <si>
    <t>100-63-634-52490</t>
  </si>
  <si>
    <t>100-63-634-53599</t>
  </si>
  <si>
    <t>100-63-634-53510</t>
  </si>
  <si>
    <t>100-63-634-53515</t>
  </si>
  <si>
    <t>100-63-634-53522</t>
  </si>
  <si>
    <t>100-63-634-53524</t>
  </si>
  <si>
    <t>100-63-634-53534</t>
  </si>
  <si>
    <t>100-63-634-53535</t>
  </si>
  <si>
    <t>100-63-634-53540</t>
  </si>
  <si>
    <t>100-63-634-53571</t>
  </si>
  <si>
    <t>100-63-634-53572</t>
  </si>
  <si>
    <t>100-63-634-53574</t>
  </si>
  <si>
    <t>100-63-634-53585</t>
  </si>
  <si>
    <t>100-63-634-55119</t>
  </si>
  <si>
    <t>100-63-634-58828</t>
  </si>
  <si>
    <t>100-63-634-59105</t>
  </si>
  <si>
    <t>100-63-635-50102</t>
  </si>
  <si>
    <t>100-63-635-50109</t>
  </si>
  <si>
    <t>100-63-635-50111</t>
  </si>
  <si>
    <t>100-63-635-50112</t>
  </si>
  <si>
    <t>100-63-635-50610</t>
  </si>
  <si>
    <t>100-63-635-50620</t>
  </si>
  <si>
    <t>100-63-635-50630</t>
  </si>
  <si>
    <t>100-63-635-50650</t>
  </si>
  <si>
    <t>100-63-635-51225</t>
  </si>
  <si>
    <t>100-63-635-51245</t>
  </si>
  <si>
    <t>100-63-635-51255</t>
  </si>
  <si>
    <t>100-63-635-51270</t>
  </si>
  <si>
    <t>100-63-635-51285</t>
  </si>
  <si>
    <t>100-63-635-51287</t>
  </si>
  <si>
    <t>100-63-635-51299</t>
  </si>
  <si>
    <t>100-63-635-52310</t>
  </si>
  <si>
    <t>100-63-635-52311</t>
  </si>
  <si>
    <t>100-63-635-52350</t>
  </si>
  <si>
    <t>100-63-635-52460</t>
  </si>
  <si>
    <t>100-63-635-52470</t>
  </si>
  <si>
    <t>100-63-635-53599</t>
  </si>
  <si>
    <t>100-63-635-53515</t>
  </si>
  <si>
    <t>100-63-635-53525</t>
  </si>
  <si>
    <t>100-63-635-53529</t>
  </si>
  <si>
    <t>100-63-635-53524</t>
  </si>
  <si>
    <t>100-63-635-53572</t>
  </si>
  <si>
    <t>100-63-635-53574</t>
  </si>
  <si>
    <t>100-63-635-55175</t>
  </si>
  <si>
    <t>100-63-635-55119</t>
  </si>
  <si>
    <t>100-63-635-58830</t>
  </si>
  <si>
    <t>100-63-636-50102</t>
  </si>
  <si>
    <t>100-63-636-50109</t>
  </si>
  <si>
    <t>100-63-636-50111</t>
  </si>
  <si>
    <t>100-63-636-50610</t>
  </si>
  <si>
    <t>100-63-636-50620</t>
  </si>
  <si>
    <t>100-63-636-50630</t>
  </si>
  <si>
    <t>100-63-636-50650</t>
  </si>
  <si>
    <t>100-63-636-51221</t>
  </si>
  <si>
    <t>100-63-636-51245</t>
  </si>
  <si>
    <t>100-63-636-52311</t>
  </si>
  <si>
    <t>100-63-636-52350</t>
  </si>
  <si>
    <t>100-63-636-53599</t>
  </si>
  <si>
    <t>100-63-636-53524</t>
  </si>
  <si>
    <t>100-63-636-53525</t>
  </si>
  <si>
    <t>100-63-636-53543</t>
  </si>
  <si>
    <t>100-63-636-53572</t>
  </si>
  <si>
    <t>100-63-636-53574</t>
  </si>
  <si>
    <t>100-63-636-55119</t>
  </si>
  <si>
    <t>100-63-636-58830</t>
  </si>
  <si>
    <t>100-63-636-58858</t>
  </si>
  <si>
    <t>100-63-636-59112</t>
  </si>
  <si>
    <t>100-99-998-59105</t>
  </si>
  <si>
    <t>100-99-998-59129</t>
  </si>
  <si>
    <t>100-99-998-59170</t>
  </si>
  <si>
    <t>100-99-998-59179</t>
  </si>
  <si>
    <t>100-99-993-53545</t>
  </si>
  <si>
    <t>100-99-993-58830</t>
  </si>
  <si>
    <t>100-99-993-58840</t>
  </si>
  <si>
    <t>100-99-993-59170</t>
  </si>
  <si>
    <t>100-99-994-51287</t>
  </si>
  <si>
    <t>100-99-994-51220</t>
  </si>
  <si>
    <t>100-99-994-51299</t>
  </si>
  <si>
    <t>100-99-994-50640</t>
  </si>
  <si>
    <t>100-99-994-53599</t>
  </si>
  <si>
    <t>100-99-994-53510</t>
  </si>
  <si>
    <t>100-99-994-53513</t>
  </si>
  <si>
    <t>100-99-994-53524</t>
  </si>
  <si>
    <t>100-99-994-53551</t>
  </si>
  <si>
    <t>100-99-994-53560</t>
  </si>
  <si>
    <t>100-99-994-53582</t>
  </si>
  <si>
    <t>100-99-994-55119</t>
  </si>
  <si>
    <t>100-99-994-58801</t>
  </si>
  <si>
    <t>115-35-353-51226</t>
  </si>
  <si>
    <t>119-00-000-47099</t>
  </si>
  <si>
    <t>174-00-000-40110</t>
  </si>
  <si>
    <t>400-00-000-43010</t>
  </si>
  <si>
    <t>200-77-772</t>
  </si>
  <si>
    <t>175-00-000-44935</t>
  </si>
  <si>
    <t>55119</t>
  </si>
  <si>
    <t>118-31-311-53585</t>
  </si>
  <si>
    <t>55175</t>
  </si>
  <si>
    <t>125-99-998-59106</t>
  </si>
  <si>
    <t>55380</t>
  </si>
  <si>
    <t>55370</t>
  </si>
  <si>
    <t>200-79-792-59129</t>
  </si>
  <si>
    <t>14</t>
  </si>
  <si>
    <t>100-20-208-53599</t>
  </si>
  <si>
    <t>20</t>
  </si>
  <si>
    <t>100-14-141-58801</t>
  </si>
  <si>
    <t>100-63-634-53529</t>
  </si>
  <si>
    <t>100-63-633-52470</t>
  </si>
  <si>
    <t>200-79-799-53507</t>
  </si>
  <si>
    <t>Account Number</t>
  </si>
  <si>
    <t>FRANCHISE FEES-TXU ELECTRIC</t>
  </si>
  <si>
    <t>COURT FINES &amp; FORFEITS</t>
  </si>
  <si>
    <t>TRANSFER FROM COMMUNITY CLEAN-UP</t>
  </si>
  <si>
    <t>TRANSFER FROM TC TIF#1 I&amp;S FUN</t>
  </si>
  <si>
    <t>REC SPECIAL EVENTS REVENUE</t>
  </si>
  <si>
    <t>MC-TECHNOLOGY FINES/FEES</t>
  </si>
  <si>
    <t>MC-BLDG SECURITY FINES/FEES</t>
  </si>
  <si>
    <t>MC-SCHOOL CROSSING FINES</t>
  </si>
  <si>
    <t>MC-TEEN COURT FINES</t>
  </si>
  <si>
    <t>MC-JUVENILE SUMMONS FTA</t>
  </si>
  <si>
    <t>115</t>
  </si>
  <si>
    <t>DONATIONS-PD SPECIAL EVENTS</t>
  </si>
  <si>
    <t>TRANSFER FROM GENERAL GOVERNME</t>
  </si>
  <si>
    <t>CITY CONTR OF CAP ASSETS(AUDIT</t>
  </si>
  <si>
    <t>TRANSFER FROM CIP-RECREATION/AQUATIC CENTER</t>
  </si>
  <si>
    <t>TRANSFER FROM TECHNOLOGY</t>
  </si>
  <si>
    <t>TRANSFER TO GRANT FUND</t>
  </si>
  <si>
    <t>TRANSFER TO FACILITY EQUIP REP</t>
  </si>
  <si>
    <t>GO RETIREMENT</t>
  </si>
  <si>
    <t>TAAF SWIMMING</t>
  </si>
  <si>
    <t>FA CONTRA CAPITAL OUTLAY</t>
  </si>
  <si>
    <t>FRANCHISE/IN-LIEU OF TAXES-W/WW</t>
  </si>
  <si>
    <t>FRANCHISE/IN-LIEU OF TAXES-DRNG</t>
  </si>
  <si>
    <t>110-00-000-47030</t>
  </si>
  <si>
    <t>110-00-000-49999</t>
  </si>
  <si>
    <t>112-00-000-49999</t>
  </si>
  <si>
    <t>114-00-000-49999</t>
  </si>
  <si>
    <t>116-00-000-49999</t>
  </si>
  <si>
    <t>118-00-000-49999</t>
  </si>
  <si>
    <t>120-00-000-49999</t>
  </si>
  <si>
    <t>150-00-000-49999</t>
  </si>
  <si>
    <t>175-00-000-49200</t>
  </si>
  <si>
    <t>200-00-000-41350</t>
  </si>
  <si>
    <t>200-00-000-49175</t>
  </si>
  <si>
    <t>200-00-000-49198</t>
  </si>
  <si>
    <t>200-00-000-49206</t>
  </si>
  <si>
    <t>200-00-000-49231</t>
  </si>
  <si>
    <t>200-00-000-49232</t>
  </si>
  <si>
    <t>400-00-000-41350</t>
  </si>
  <si>
    <t>400-00-000-49198</t>
  </si>
  <si>
    <t>400-00-000-49200</t>
  </si>
  <si>
    <t>400-00-000-49406</t>
  </si>
  <si>
    <t>119-30-301-58651</t>
  </si>
  <si>
    <t>119-35-351-58651</t>
  </si>
  <si>
    <t>119-60-601-58651</t>
  </si>
  <si>
    <t>125-65-652-51225</t>
  </si>
  <si>
    <t>125-99-905-58651</t>
  </si>
  <si>
    <t>175-10-101-58651</t>
  </si>
  <si>
    <t>175-20-201-58651</t>
  </si>
  <si>
    <t>175-30-304-58840</t>
  </si>
  <si>
    <t>175-35-351-58651</t>
  </si>
  <si>
    <t>175-50-501-58651</t>
  </si>
  <si>
    <t>175-63-631-58651</t>
  </si>
  <si>
    <t>175-70-701-58651</t>
  </si>
  <si>
    <t>175-71-711-58651</t>
  </si>
  <si>
    <t>175-81-811-58651</t>
  </si>
  <si>
    <t>200-99-905-58651</t>
  </si>
  <si>
    <t>112-00-000-47010</t>
  </si>
  <si>
    <t>114-00-000-47010</t>
  </si>
  <si>
    <t>115-00-000-47010</t>
  </si>
  <si>
    <t>116-00-000-47010</t>
  </si>
  <si>
    <t>120-00-000-47010</t>
  </si>
  <si>
    <t>125-00-000-49106</t>
  </si>
  <si>
    <t>179-00-000-47010</t>
  </si>
  <si>
    <t>100-10-102-51299</t>
  </si>
  <si>
    <t>100-14-148-58801</t>
  </si>
  <si>
    <t>100-16-161-52485</t>
  </si>
  <si>
    <t>100-30-301-50120</t>
  </si>
  <si>
    <t>100-30-305-51245</t>
  </si>
  <si>
    <t>100-50-503-50640</t>
  </si>
  <si>
    <t>100-60-601-52485</t>
  </si>
  <si>
    <t>100-63-632-53510</t>
  </si>
  <si>
    <t>100-63-635-50115</t>
  </si>
  <si>
    <t>110-99-998-59170</t>
  </si>
  <si>
    <t>115-30-301-51285</t>
  </si>
  <si>
    <t>115-35-352-54691</t>
  </si>
  <si>
    <t>118-31-311-50115</t>
  </si>
  <si>
    <t>118-31-311-50120</t>
  </si>
  <si>
    <t>118-31-312-52310</t>
  </si>
  <si>
    <t>119-10-101-58651</t>
  </si>
  <si>
    <t>119-18-181-58651</t>
  </si>
  <si>
    <t>125-65-651-52460</t>
  </si>
  <si>
    <t>175-30-301-58651</t>
  </si>
  <si>
    <t>179-10-101-58651</t>
  </si>
  <si>
    <t>200-79-798-59206</t>
  </si>
  <si>
    <t>200-79-798-59400</t>
  </si>
  <si>
    <t>200-79-799-58651</t>
  </si>
  <si>
    <t>400-81-815-53572</t>
  </si>
  <si>
    <t>400-99-905-58651</t>
  </si>
  <si>
    <t>400-00-000-49125</t>
  </si>
  <si>
    <t>119-99-905-58651</t>
  </si>
  <si>
    <t>175-99-905-58651</t>
  </si>
  <si>
    <t>100-63-634-51225</t>
  </si>
  <si>
    <t>175-99-905-58890</t>
  </si>
  <si>
    <t>100-30-303-51225</t>
  </si>
  <si>
    <t>100-50-502-50115</t>
  </si>
  <si>
    <t>118-31-315-58830</t>
  </si>
  <si>
    <t>179-35-352-51245</t>
  </si>
  <si>
    <t>200-73-734-52436</t>
  </si>
  <si>
    <t>200-73-734-52455</t>
  </si>
  <si>
    <t>400-89-899-53550</t>
  </si>
  <si>
    <t>175-77-772-58830</t>
  </si>
  <si>
    <t>200-77-772-58828</t>
  </si>
  <si>
    <t>Frozen Levy Growth</t>
  </si>
  <si>
    <t>% of AV is Frozen</t>
  </si>
  <si>
    <t>200-77-772-50110</t>
  </si>
  <si>
    <t>119-18</t>
  </si>
  <si>
    <t>SELF INSURANCE FUND</t>
  </si>
  <si>
    <t>175-73-735-52460</t>
  </si>
  <si>
    <t>129-00-000-44945</t>
  </si>
  <si>
    <t>129-00-000-44946</t>
  </si>
  <si>
    <t>129-00-000-44947</t>
  </si>
  <si>
    <t>129-00-000-44948</t>
  </si>
  <si>
    <t>129-00-000-44949</t>
  </si>
  <si>
    <t>129-00-000-44950</t>
  </si>
  <si>
    <t>129-00-000-44951</t>
  </si>
  <si>
    <t>129-00-000-47010</t>
  </si>
  <si>
    <t>129-00-000-47060</t>
  </si>
  <si>
    <t>129-00-000-47090</t>
  </si>
  <si>
    <t>129-00-000-49100</t>
  </si>
  <si>
    <t>129-00-000-49200</t>
  </si>
  <si>
    <t>129</t>
  </si>
  <si>
    <t>SELF-INSURANCE REV-F100</t>
  </si>
  <si>
    <t>SELF-INSURANCE REV-F115</t>
  </si>
  <si>
    <t>SELF-INSURANCE REV-F118</t>
  </si>
  <si>
    <t>SELF-INSURANCE REV-F119</t>
  </si>
  <si>
    <t>SELF-INSURANCE REV-F125</t>
  </si>
  <si>
    <t>SELF-INSURANCE REV-F200</t>
  </si>
  <si>
    <t>129-99-995-53546</t>
  </si>
  <si>
    <t>129-99-995-53565</t>
  </si>
  <si>
    <t>129-99-995-53599</t>
  </si>
  <si>
    <t>FUND REVENUE TOTAL</t>
  </si>
  <si>
    <t>44946</t>
  </si>
  <si>
    <t>SERVICES &amp; OTHER</t>
  </si>
  <si>
    <t>44947</t>
  </si>
  <si>
    <t>44948</t>
  </si>
  <si>
    <t>44949</t>
  </si>
  <si>
    <t>44951</t>
  </si>
  <si>
    <t>100-00-000-40160</t>
  </si>
  <si>
    <t>100-00-000-41120</t>
  </si>
  <si>
    <t>100-00-000-41370</t>
  </si>
  <si>
    <t>100-00-000-41535</t>
  </si>
  <si>
    <t>100-00-000-41551</t>
  </si>
  <si>
    <t>100-00-000-46170</t>
  </si>
  <si>
    <t>100-00-000-46761</t>
  </si>
  <si>
    <t>100-00-000-48790</t>
  </si>
  <si>
    <t>110-00-000-45000</t>
  </si>
  <si>
    <t>110-00-000-45010</t>
  </si>
  <si>
    <t>110-00-000-46761</t>
  </si>
  <si>
    <t>112-00-000-44790</t>
  </si>
  <si>
    <t>112-00-000-46761</t>
  </si>
  <si>
    <t>114-00-000-41685</t>
  </si>
  <si>
    <t>114-00-000-44790</t>
  </si>
  <si>
    <t>116-00-000-46182</t>
  </si>
  <si>
    <t>118-00-000-45100</t>
  </si>
  <si>
    <t>119-00-000-49198</t>
  </si>
  <si>
    <t>125-00-000-41355</t>
  </si>
  <si>
    <t>125-00-000-41360</t>
  </si>
  <si>
    <t>125-00-000-45000</t>
  </si>
  <si>
    <t>125-00-000-49198</t>
  </si>
  <si>
    <t>150-00-000-40100</t>
  </si>
  <si>
    <t>150-00-000-47095</t>
  </si>
  <si>
    <t>150-00-000-47100</t>
  </si>
  <si>
    <t>174-00-000-40120</t>
  </si>
  <si>
    <t>175-00-000-46180</t>
  </si>
  <si>
    <t>175-00-000-49198</t>
  </si>
  <si>
    <t>179-00-000-46180</t>
  </si>
  <si>
    <t>179-00-000-47030</t>
  </si>
  <si>
    <t>179-00-000-47099</t>
  </si>
  <si>
    <t>179-00-000-49198</t>
  </si>
  <si>
    <t>200-00-000-41355</t>
  </si>
  <si>
    <t>200-00-000-44560</t>
  </si>
  <si>
    <t>200-00-000-44570</t>
  </si>
  <si>
    <t>200-00-000-44701</t>
  </si>
  <si>
    <t>200-00-000-45000</t>
  </si>
  <si>
    <t>200-00-000-45095</t>
  </si>
  <si>
    <t>200-00-000-45200</t>
  </si>
  <si>
    <t>200-00-000-47095</t>
  </si>
  <si>
    <t>200-00-000-49119</t>
  </si>
  <si>
    <t>200-00-000-49204</t>
  </si>
  <si>
    <t>400-00-000-41355</t>
  </si>
  <si>
    <t>400-00-000-46175</t>
  </si>
  <si>
    <t>200-99-905-59400</t>
  </si>
  <si>
    <t>175-75-752-58841</t>
  </si>
  <si>
    <t>179-11-111-58831</t>
  </si>
  <si>
    <t>Program Assistant</t>
  </si>
  <si>
    <t>FY 2026-27</t>
  </si>
  <si>
    <t>125-00-000-47250</t>
  </si>
  <si>
    <t>175-00-000-47250</t>
  </si>
  <si>
    <t>118-00-000-46165</t>
  </si>
  <si>
    <t>100-10-102-53585</t>
  </si>
  <si>
    <t>2020-2021
 YTD Activity
 Through September</t>
  </si>
  <si>
    <t>2021-2022
 YTD Activity
 Through September</t>
  </si>
  <si>
    <t>112-00-000-48568</t>
  </si>
  <si>
    <t>115-00-000-48561</t>
  </si>
  <si>
    <t>115-00-000-48562</t>
  </si>
  <si>
    <t>115-00-000-48563</t>
  </si>
  <si>
    <t>115-00-000-48571</t>
  </si>
  <si>
    <t>116-00-000-40399</t>
  </si>
  <si>
    <t>118-00-000-49160</t>
  </si>
  <si>
    <t>125-00-000-48569</t>
  </si>
  <si>
    <t>DONATIONS-MISC</t>
  </si>
  <si>
    <t>129-00-000-43080</t>
  </si>
  <si>
    <t>100-99-994-53550</t>
  </si>
  <si>
    <t>115-30-302-51245</t>
  </si>
  <si>
    <t>115-30-302-54551</t>
  </si>
  <si>
    <t>PD SPECIAL EVENTS</t>
  </si>
  <si>
    <t>115-30-303-51245</t>
  </si>
  <si>
    <t>118-31-313-52310</t>
  </si>
  <si>
    <t>119-99-905-58999</t>
  </si>
  <si>
    <t>120-10-105-53550</t>
  </si>
  <si>
    <t>125-65-659-50660</t>
  </si>
  <si>
    <t>COMPENSATED ABSENCES</t>
  </si>
  <si>
    <t>125-99-905-59106</t>
  </si>
  <si>
    <t>SELF - INSURANCE CLAIMS</t>
  </si>
  <si>
    <t>175-50-503-52460</t>
  </si>
  <si>
    <t>179-70-701-58651</t>
  </si>
  <si>
    <t>200-79-799-50660</t>
  </si>
  <si>
    <t>400-89-899-50660</t>
  </si>
  <si>
    <t>100-35-352-53517</t>
  </si>
  <si>
    <t>100-50-502-58710</t>
  </si>
  <si>
    <t>175-65-655-52460</t>
  </si>
  <si>
    <t>FY 2027-28</t>
  </si>
  <si>
    <t>Mt Gilead Reconstruction</t>
  </si>
  <si>
    <t>175-35-351-52460</t>
  </si>
  <si>
    <t>175-71-712-52460</t>
  </si>
  <si>
    <t>175-75-752-52460</t>
  </si>
  <si>
    <t>179-65-651-58828</t>
  </si>
  <si>
    <t>100-14-141-50110</t>
  </si>
  <si>
    <t>114-16-161-53599</t>
  </si>
  <si>
    <t>175-20-208-58840</t>
  </si>
  <si>
    <t>174-99-998-52485</t>
  </si>
  <si>
    <t>100-50-501-51285</t>
  </si>
  <si>
    <t>115-19-196-58830</t>
  </si>
  <si>
    <t>115-35-353-53599</t>
  </si>
  <si>
    <t>152-00-000-40040</t>
  </si>
  <si>
    <t>152-00-000-40060</t>
  </si>
  <si>
    <t>175-63-634-58840</t>
  </si>
  <si>
    <t>TIRZ A/V</t>
  </si>
  <si>
    <t>52436</t>
  </si>
  <si>
    <t>48561</t>
  </si>
  <si>
    <t>48562</t>
  </si>
  <si>
    <t>48563</t>
  </si>
  <si>
    <t>48571</t>
  </si>
  <si>
    <t>2022-2023
 YTD Activity
 Through September</t>
  </si>
  <si>
    <t>FRANCHISE FEES-CHARTER/SPECTRUM</t>
  </si>
  <si>
    <t>MEMBERSHIP FEES</t>
  </si>
  <si>
    <t>100-00-000-43415</t>
  </si>
  <si>
    <t>100-10-102-50102</t>
  </si>
  <si>
    <t>118-31-313-53543</t>
  </si>
  <si>
    <t>179-35-352-58830</t>
  </si>
  <si>
    <t>48569</t>
  </si>
  <si>
    <t>100-50-501-50115</t>
  </si>
  <si>
    <t>100-50-503-53530</t>
  </si>
  <si>
    <t>400-81-815-53530</t>
  </si>
  <si>
    <t>FY 2021-22</t>
  </si>
  <si>
    <t>112-63-631-53550</t>
  </si>
  <si>
    <t>112-63-633-51282</t>
  </si>
  <si>
    <t>152</t>
  </si>
  <si>
    <t>152-00-000-40010</t>
  </si>
  <si>
    <t>152-00-000-40020</t>
  </si>
  <si>
    <t>152-00-000-40030</t>
  </si>
  <si>
    <t>REVENUE-TIF COUNTY</t>
  </si>
  <si>
    <t>152-00-000-40070</t>
  </si>
  <si>
    <t>152-00-000-40080</t>
  </si>
  <si>
    <t>152-00-000-47090</t>
  </si>
  <si>
    <t>114-16-164-53599</t>
  </si>
  <si>
    <t>152-13-131-53599</t>
  </si>
  <si>
    <t>Keller TIRZ #2</t>
  </si>
  <si>
    <t>FY 2028-29</t>
  </si>
  <si>
    <t>EMS Battalion Chief</t>
  </si>
  <si>
    <t>HR</t>
  </si>
  <si>
    <t>Transportation Master Plan</t>
  </si>
  <si>
    <t>Keller Sidewalk Improvements</t>
  </si>
  <si>
    <t>Keller Sidewalk improvements</t>
  </si>
  <si>
    <t>118-99-998-59105</t>
  </si>
  <si>
    <t>112-64-642-54551</t>
  </si>
  <si>
    <t>179-00-000-47250</t>
  </si>
  <si>
    <t>100-00-000-46162</t>
  </si>
  <si>
    <t>112-62-622-50117</t>
  </si>
  <si>
    <t>118-31-312-51285</t>
  </si>
  <si>
    <t>200-73-735-59178</t>
  </si>
  <si>
    <t>2023-2024
 Total Budget</t>
  </si>
  <si>
    <t>2023-2024
 YTD Activity
 Through September</t>
  </si>
  <si>
    <t>100-00-000-49198</t>
  </si>
  <si>
    <t>100-60-601-58853</t>
  </si>
  <si>
    <t>115-30-301-53550</t>
  </si>
  <si>
    <t>118-31-311-53550</t>
  </si>
  <si>
    <t>119-18-181-53550</t>
  </si>
  <si>
    <t>119-18-183-53550</t>
  </si>
  <si>
    <t>2023-2024
 Total Budget
 FY 2023-24 YEP</t>
  </si>
  <si>
    <t>2024-2025
 Total Budget
 FY 2024-25 Base</t>
  </si>
  <si>
    <t>2024-2025
 Total Budget
 FY 2024-25 ATB</t>
  </si>
  <si>
    <t>2024-2025
 Total Budget
 FY 2024-25 Enhance</t>
  </si>
  <si>
    <t>SMALL CELL NODES PERMIT FEES</t>
  </si>
  <si>
    <t>SIDEWALK INSPECTION FEES</t>
  </si>
  <si>
    <t>PLAN REVIEW FEES</t>
  </si>
  <si>
    <t>TREE RESTORATION</t>
  </si>
  <si>
    <t>SBITA REVENUE</t>
  </si>
  <si>
    <t>SIDEWALK DEVELOPMENT FEES</t>
  </si>
  <si>
    <t>CAPITAL OUTLAY - SBITA</t>
  </si>
  <si>
    <t>GO RETIREMENT-SBITA</t>
  </si>
  <si>
    <t>SBITA AMORTIZATION EXPENSE</t>
  </si>
  <si>
    <t>116-00-000-47040</t>
  </si>
  <si>
    <t>174-00-000-41090</t>
  </si>
  <si>
    <t>100-13-131-50120</t>
  </si>
  <si>
    <t>116-10-101-58860</t>
  </si>
  <si>
    <t>116-99-992-56902</t>
  </si>
  <si>
    <t>119-18-181-58655</t>
  </si>
  <si>
    <t>119-18-183-58655</t>
  </si>
  <si>
    <t>200-79-799-51220</t>
  </si>
  <si>
    <t>2019-2020
 YTD Activity
 Through September</t>
  </si>
  <si>
    <t>FY 2029-30</t>
  </si>
  <si>
    <t>ArchiveSocial Rate Increase (Larger Contract)</t>
  </si>
  <si>
    <t>Granicus Hosting/Maintenance Annual Increase</t>
  </si>
  <si>
    <t>Site Improvement Rate Increase</t>
  </si>
  <si>
    <t>Emergency Notification Vendor Change</t>
  </si>
  <si>
    <t>Mentor KCAL Intern</t>
  </si>
  <si>
    <t>Econ. Development</t>
  </si>
  <si>
    <t>Goals &amp; Services</t>
  </si>
  <si>
    <t>Smart Dollar - Financial Wellness tool for Employees</t>
  </si>
  <si>
    <t>Admin.</t>
  </si>
  <si>
    <t>Y</t>
  </si>
  <si>
    <t>Redesign of office space or cubicles for privacy</t>
  </si>
  <si>
    <t>Fire Inspector/Community Service Officer</t>
  </si>
  <si>
    <t>(10) FTE'S for Staffing 3rd Ambulance</t>
  </si>
  <si>
    <t>3rd Fronline Ambulance</t>
  </si>
  <si>
    <t>Medical Equipment for 3rd Ambulance</t>
  </si>
  <si>
    <t>Mini Pumper for response to EMS and Non fire calls</t>
  </si>
  <si>
    <t>EMS</t>
  </si>
  <si>
    <t>UTV - Special Events Vehicle</t>
  </si>
  <si>
    <t>Technical Service Librarian</t>
  </si>
  <si>
    <t>Improvement to Metting Room</t>
  </si>
  <si>
    <t>Improvements to Annex meeting space</t>
  </si>
  <si>
    <t>Furniture replacements and enhancements</t>
  </si>
  <si>
    <t>Ramp installation at Sensory Room entrance</t>
  </si>
  <si>
    <t>Bathroom Remodel</t>
  </si>
  <si>
    <t>New Technologies</t>
  </si>
  <si>
    <t>Outreach Vehicle</t>
  </si>
  <si>
    <t>Enhancement to Pathway</t>
  </si>
  <si>
    <t>Additional staff IF extended days/hours</t>
  </si>
  <si>
    <t>Additional staff for additional amenities</t>
  </si>
  <si>
    <t>Building Maintenance</t>
  </si>
  <si>
    <t>Additional Hours of Operations</t>
  </si>
  <si>
    <t>Event Stage</t>
  </si>
  <si>
    <t>Replace Workout Equipment</t>
  </si>
  <si>
    <t>Carpet Replacement</t>
  </si>
  <si>
    <t>Partition Replacement</t>
  </si>
  <si>
    <t>Add programming with increase of Facility Space</t>
  </si>
  <si>
    <t>Town Center Maint.</t>
  </si>
  <si>
    <t>Rec Programs</t>
  </si>
  <si>
    <t>Transportation Engineer</t>
  </si>
  <si>
    <t>Contract 3rd Party Development Material Testing</t>
  </si>
  <si>
    <t>Cathodic Protection Analysis</t>
  </si>
  <si>
    <t>Plan - ADA Transition Update</t>
  </si>
  <si>
    <t>Earthquake readiness study</t>
  </si>
  <si>
    <t>PCI Street Condition Evaluation</t>
  </si>
  <si>
    <t>Pavement Making Program</t>
  </si>
  <si>
    <t>Signal Maintenance Contract Technician</t>
  </si>
  <si>
    <t>Bridge Inspection/Maintenance Program</t>
  </si>
  <si>
    <t>Fog Sealing/Micro Surfacing Program</t>
  </si>
  <si>
    <t>Contract Concrete Pavement - Joint and Crack Seal Program</t>
  </si>
  <si>
    <t>Dumptruck Snowplow (x2)</t>
  </si>
  <si>
    <t>Pothole Patcher Machine</t>
  </si>
  <si>
    <t>Concrete Grinder/Scarifier</t>
  </si>
  <si>
    <t>Add GIS Analyst Position</t>
  </si>
  <si>
    <t>STREET INSPECTION FEES</t>
  </si>
  <si>
    <t>DRAINAGE INSPECTION FEES</t>
  </si>
  <si>
    <t>100-00-000-41095</t>
  </si>
  <si>
    <t>400-00-000-41094</t>
  </si>
  <si>
    <t>119-18-183-50110</t>
  </si>
  <si>
    <t>OTK Side Street Engineering</t>
  </si>
  <si>
    <t>Trail System Expansion and Repair</t>
  </si>
  <si>
    <t>Synthetic Turf Replacements (8 year warranty) 294,960 SF @ $12/SF $520,000*7 years</t>
  </si>
  <si>
    <t>Equipment Replacement - Tractor</t>
  </si>
  <si>
    <t>Old Town Keller Side Streets</t>
  </si>
  <si>
    <t>Total Expenditures - One-Times</t>
  </si>
  <si>
    <t>One-Times</t>
  </si>
  <si>
    <t>FY 24-25 Proposed Budget</t>
  </si>
  <si>
    <t>GROUNDS LEASE</t>
  </si>
  <si>
    <t>OTK Bond at 7/16</t>
  </si>
  <si>
    <t>Parking Lot</t>
  </si>
  <si>
    <t>175-30-302-52460</t>
  </si>
  <si>
    <t>179-00-000-49160</t>
  </si>
  <si>
    <t>179-11-111-58710</t>
  </si>
  <si>
    <t>125-00-000-49160</t>
  </si>
  <si>
    <t>REVENUE-SR SVS PROGRAMMING</t>
  </si>
  <si>
    <t>115-00-000-46601</t>
  </si>
  <si>
    <t>100-30-302-59160</t>
  </si>
  <si>
    <t>100-30-303-59160</t>
  </si>
  <si>
    <t>100-35-353-50620</t>
  </si>
  <si>
    <t>100-35-353-51225</t>
  </si>
  <si>
    <t>100-35-353-51260</t>
  </si>
  <si>
    <t>100-35-353-51271</t>
  </si>
  <si>
    <t>100-35-353-52311</t>
  </si>
  <si>
    <t>115-35-353-51230</t>
  </si>
  <si>
    <t>115-35-353-51245</t>
  </si>
  <si>
    <t>115-35-353-58830</t>
  </si>
  <si>
    <t>118-30-353-52310</t>
  </si>
  <si>
    <t>FY 2025-26 Formula</t>
  </si>
  <si>
    <t>FY 2025-26 Total</t>
  </si>
  <si>
    <t>FY 2026-27 Formula</t>
  </si>
  <si>
    <t>FY 2026-27 Total</t>
  </si>
  <si>
    <t>FY 2027-28 Formula</t>
  </si>
  <si>
    <t>FY 2027-28 Total</t>
  </si>
  <si>
    <t>FY 2028-29 Formula</t>
  </si>
  <si>
    <t>FY 2028-29 Total</t>
  </si>
  <si>
    <t>FY 2029-30 Formula</t>
  </si>
  <si>
    <t>FY 2029-30 Total</t>
  </si>
  <si>
    <t>41095</t>
  </si>
  <si>
    <t>46761</t>
  </si>
  <si>
    <t>48790</t>
  </si>
  <si>
    <t>48568</t>
  </si>
  <si>
    <t>46601</t>
  </si>
  <si>
    <t>49106</t>
  </si>
  <si>
    <t>49119</t>
  </si>
  <si>
    <t>41094</t>
  </si>
  <si>
    <t>ber</t>
  </si>
  <si>
    <t>59160</t>
  </si>
  <si>
    <t>58860</t>
  </si>
  <si>
    <t>50660</t>
  </si>
  <si>
    <t>58890</t>
  </si>
  <si>
    <t>Base Number</t>
  </si>
  <si>
    <t>TXDOT Services</t>
  </si>
  <si>
    <t>Sports Park Project</t>
  </si>
  <si>
    <t>Johnson Road Park</t>
  </si>
  <si>
    <t>Park Shade Structures</t>
  </si>
  <si>
    <t>Add IT Position</t>
  </si>
  <si>
    <t>Moved from General Fund</t>
  </si>
  <si>
    <t>Move to Street Maintenance Opt 1</t>
  </si>
  <si>
    <t>Move to Street Maintenance Opt 2</t>
  </si>
  <si>
    <t>Move to Street Maintenance Opt 3</t>
  </si>
  <si>
    <t>Move to Street Maintenance Opt 4</t>
  </si>
  <si>
    <t>Move to Street Maintenance Opt 5</t>
  </si>
  <si>
    <t>Move to TIRZ#2 Opt 1</t>
  </si>
  <si>
    <t>Move to TIRZ#2 Opt 2</t>
  </si>
  <si>
    <t>Move to TIRZ#2 Opt 3</t>
  </si>
  <si>
    <t>Move to TIRZ#2 Opt 4</t>
  </si>
  <si>
    <t>Move to TIRZ#2 Opt 5</t>
  </si>
  <si>
    <t>Year 1 Replacements</t>
  </si>
  <si>
    <t>Year 2 Replacements</t>
  </si>
  <si>
    <t>Year 3 Replacements</t>
  </si>
  <si>
    <t>Year 4 Replacements</t>
  </si>
  <si>
    <t>Year 5 Replacements</t>
  </si>
  <si>
    <t>Moved From General Fund</t>
  </si>
  <si>
    <t>Vehicle Replacements</t>
  </si>
  <si>
    <t>Dispatch Renovation</t>
  </si>
  <si>
    <t>Detention Renovation</t>
  </si>
  <si>
    <t>Animal Control Renovation</t>
  </si>
  <si>
    <t>Move to KCCPD Opt 1</t>
  </si>
  <si>
    <t>Move to KCCPD Opt 2</t>
  </si>
  <si>
    <t>Move to KCCPD Opt 3</t>
  </si>
  <si>
    <t>Move to KCCPD Opt 4</t>
  </si>
  <si>
    <t>Move to KCCPD Opt 5</t>
  </si>
  <si>
    <t>Issue Debt For Renovations</t>
  </si>
  <si>
    <t>Move to KDC Opt 1</t>
  </si>
  <si>
    <t>Move to KDC Opt 2</t>
  </si>
  <si>
    <t>Move to KDC Opt 3</t>
  </si>
  <si>
    <t>Move to KDC Opt 4</t>
  </si>
  <si>
    <t>Move to KDC Opt 5</t>
  </si>
  <si>
    <t>Variance-One-Times</t>
  </si>
  <si>
    <t>40% Fund Balance Requirement</t>
  </si>
  <si>
    <t>On-Going Expenditure Growth</t>
  </si>
  <si>
    <t>% Revenue Below On-Going Exps.</t>
  </si>
  <si>
    <t>Town Hall Bathroom Renovations Ph2</t>
  </si>
  <si>
    <t>Info Svcs</t>
  </si>
  <si>
    <t>Self-Ins.</t>
  </si>
  <si>
    <t>TIRZ#2</t>
  </si>
  <si>
    <t>Street Maint.</t>
  </si>
  <si>
    <t>Fleet</t>
  </si>
  <si>
    <t>Facilities</t>
  </si>
  <si>
    <t>Policy Min.</t>
  </si>
  <si>
    <t>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</si>
</sst>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0.00000000"/>
    <numFmt numFmtId="168" formatCode="0.000000"/>
    <numFmt numFmtId="169" formatCode="0.000%"/>
    <numFmt numFmtId="170" formatCode="_(&quot;$&quot;* #,##0.00000000_);_(&quot;$&quot;* \(#,##0.00000000\);_(&quot;$&quot;* &quot;-&quot;??_);_(@_)"/>
    <numFmt numFmtId="171" formatCode="_(&quot;$&quot;* #,##0.000000000_);_(&quot;$&quot;* \(#,##0.000000000\);_(&quot;$&quot;* &quot;-&quot;??_);_(@_)"/>
    <numFmt numFmtId="172" formatCode="0.0000%"/>
    <numFmt numFmtId="173" formatCode="&quot;$&quot;* #,##0"/>
    <numFmt numFmtId="174" formatCode="mm/dd/yy"/>
    <numFmt numFmtId="175" formatCode="0_);[Red]\(0\)"/>
    <numFmt numFmtId="176" formatCode="&quot;$&quot;* #,##0.00;_(&quot;$&quot;* \(#,##0.0000\);_(&quot;$&quot;* &quot;-&quot;??_);_(@_)"/>
    <numFmt numFmtId="177" formatCode="&quot;$&quot;#,##0.0_);[Red]\(&quot;$&quot;#,##0.0\)"/>
    <numFmt numFmtId="178" formatCode="_(&quot;$&quot;* #,##0.0000_);_(&quot;$&quot;* \(#,##0.0000\);_(&quot;$&quot;* &quot;-&quot;????????_);_(@_)"/>
    <numFmt numFmtId="179" formatCode="&quot;$&quot;#,##0.000000_);[Red]\(&quot;$&quot;#,##0.000000\)"/>
    <numFmt numFmtId="180" formatCode="_(&quot;$&quot;* #,##0.000000_);_(&quot;$&quot;* \(#,##0.000000\);_(&quot;$&quot;* &quot;-&quot;??????_);_(@_)"/>
    <numFmt numFmtId="181" formatCode="0.0000000"/>
    <numFmt numFmtId="182" formatCode="_(&quot;$&quot;* #,##0.0000000_);_(&quot;$&quot;* \(#,##0.0000000\);_(&quot;$&quot;* &quot;-&quot;??_);_(@_)"/>
    <numFmt numFmtId="183" formatCode="0.00000"/>
    <numFmt numFmtId="184" formatCode="_(&quot;$&quot;* #,##0.000000_);_(&quot;$&quot;* \(#,##0.000000\);_(&quot;$&quot;* &quot;-&quot;?????_);_(@_)"/>
    <numFmt numFmtId="185" formatCode="\ #,##0.00\ "/>
    <numFmt numFmtId="186" formatCode="_(* #,##0.0000000_);_(* \(#,##0.0000000\);_(* &quot;-&quot;_);_(@_)"/>
    <numFmt numFmtId="187" formatCode="_(* #,##0.00000_);_(* \(#,##0.00000\);_(* &quot;-&quot;??_);_(@_)"/>
    <numFmt numFmtId="188" formatCode="_(* #,##0.000000_);_(* \(#,##0.000000\);_(* &quot;-&quot;_);_(@_)"/>
    <numFmt numFmtId="189" formatCode="_(* #,##0.0000000_);_(* \(#,##0.0000000\);_(* &quot;-&quot;??_);_(@_)"/>
    <numFmt numFmtId="190" formatCode="_(* #,##0.00000000_);_(* \(#,##0.00000000\);_(* &quot;-&quot;??_);_(@_)"/>
    <numFmt numFmtId="191" formatCode="_(&quot;$&quot;* #,##0.00000_);_(&quot;$&quot;* \(#,##0.00000\);_(&quot;$&quot;* &quot;-&quot;??_);_(@_)"/>
    <numFmt numFmtId="192" formatCode="_(&quot;$&quot;* #,##0.000000_);_(&quot;$&quot;* \(#,##0.000000\);_(&quot;$&quot;* &quot;-&quot;??_);_(@_)"/>
    <numFmt numFmtId="193" formatCode="_(* #,##0.00_);_(* \(#,##0.00\);_(* &quot;-&quot;_);_(@_)"/>
    <numFmt numFmtId="194" formatCode="0.000000000"/>
    <numFmt numFmtId="195" formatCode="_(* #,##0.000_);_(* \(#,##0.000\);_(* &quot;-&quot;_);_(@_)"/>
    <numFmt numFmtId="196" formatCode="_(* #,##0.00000_);_(* \(#,##0.00000\);_(* &quot;-&quot;_);_(@_)"/>
  </numFmts>
  <fonts count="9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6"/>
      <color theme="1"/>
      <name val="Times New Roman"/>
      <family val="1"/>
    </font>
    <font>
      <sz val="11"/>
      <color theme="1"/>
      <name val="Times New Roman"/>
      <family val="1"/>
    </font>
    <font>
      <sz val="11"/>
      <name val="Times New Roman"/>
      <family val="1"/>
    </font>
    <font>
      <sz val="10"/>
      <name val="Arial"/>
      <family val="2"/>
    </font>
    <font>
      <b/>
      <sz val="11"/>
      <color theme="1"/>
      <name val="Times New Roman"/>
      <family val="1"/>
    </font>
    <font>
      <b/>
      <sz val="10"/>
      <name val="Arial"/>
      <family val="2"/>
    </font>
    <font>
      <u/>
      <sz val="11"/>
      <color theme="10"/>
      <name val="Calibri"/>
      <family val="2"/>
    </font>
    <font>
      <sz val="10"/>
      <name val="Arial"/>
      <family val="2"/>
    </font>
    <font>
      <b/>
      <u/>
      <sz val="11"/>
      <color theme="10"/>
      <name val="Calibri"/>
      <family val="2"/>
    </font>
    <font>
      <b/>
      <sz val="18"/>
      <name val="Arial"/>
      <family val="2"/>
    </font>
    <font>
      <b/>
      <sz val="16"/>
      <color theme="1"/>
      <name val="Arial"/>
      <family val="2"/>
    </font>
    <font>
      <sz val="10"/>
      <color indexed="8"/>
      <name val="Arial"/>
      <family val="2"/>
    </font>
    <font>
      <u/>
      <sz val="10"/>
      <color theme="10"/>
      <name val="Arial"/>
      <family val="2"/>
    </font>
    <font>
      <b/>
      <sz val="14"/>
      <color indexed="8"/>
      <name val="Arial"/>
      <family val="2"/>
    </font>
    <font>
      <sz val="10"/>
      <color indexed="8"/>
      <name val="Arial"/>
      <family val="2"/>
    </font>
    <font>
      <b/>
      <sz val="10"/>
      <color indexed="8"/>
      <name val="Arial"/>
      <family val="2"/>
    </font>
    <font>
      <b/>
      <sz val="18"/>
      <color indexed="8"/>
      <name val="Arial"/>
      <family val="2"/>
    </font>
    <font>
      <sz val="10"/>
      <color theme="0" tint="-0.499984740745262"/>
      <name val="Arial"/>
      <family val="2"/>
    </font>
    <font>
      <sz val="12"/>
      <color indexed="8"/>
      <name val="Arial"/>
      <family val="2"/>
    </font>
    <font>
      <sz val="12"/>
      <color theme="0" tint="-0.499984740745262"/>
      <name val="Arial"/>
      <family val="2"/>
    </font>
    <font>
      <sz val="11"/>
      <color theme="1"/>
      <name val="Arial"/>
      <family val="2"/>
    </font>
    <font>
      <b/>
      <sz val="14"/>
      <color theme="1"/>
      <name val="Times New Roman"/>
      <family val="1"/>
    </font>
    <font>
      <b/>
      <sz val="11"/>
      <name val="Arial"/>
      <family val="2"/>
    </font>
    <font>
      <sz val="11"/>
      <name val="Arial"/>
      <family val="2"/>
    </font>
    <font>
      <b/>
      <sz val="18"/>
      <color theme="0" tint="-0.499984740745262"/>
      <name val="Arial"/>
      <family val="2"/>
    </font>
    <font>
      <sz val="10"/>
      <name val="Arial"/>
      <family val="2"/>
    </font>
    <font>
      <b/>
      <sz val="14"/>
      <name val="Arial"/>
      <family val="2"/>
    </font>
    <font>
      <b/>
      <sz val="10"/>
      <name val="Arial"/>
      <family val="2"/>
    </font>
    <font>
      <sz val="12"/>
      <name val="Times New Roman"/>
      <family val="1"/>
    </font>
    <font>
      <sz val="9"/>
      <name val="CG Times (WN)"/>
    </font>
    <font>
      <sz val="10"/>
      <name val="CG Times (WN)"/>
      <family val="1"/>
    </font>
    <font>
      <sz val="9"/>
      <name val="Times New Roman"/>
      <family val="1"/>
    </font>
    <font>
      <sz val="11"/>
      <name val="Calibri"/>
      <family val="2"/>
      <scheme val="minor"/>
    </font>
    <font>
      <sz val="8"/>
      <color rgb="FF000000"/>
      <name val="Verdana"/>
      <family val="2"/>
    </font>
    <font>
      <sz val="8"/>
      <color rgb="FF2B0005"/>
      <name val="Verdana"/>
      <family val="2"/>
    </font>
    <font>
      <sz val="8"/>
      <color rgb="FF4F4F4F"/>
      <name val="Verdana"/>
      <family val="2"/>
    </font>
    <font>
      <b/>
      <sz val="12"/>
      <name val="Arial"/>
      <family val="2"/>
    </font>
    <font>
      <sz val="10"/>
      <name val="Arial"/>
      <family val="2"/>
    </font>
    <font>
      <sz val="8"/>
      <name val="Verdana"/>
      <family val="2"/>
    </font>
    <font>
      <sz val="9"/>
      <color indexed="81"/>
      <name val="Tahoma"/>
      <family val="2"/>
    </font>
    <font>
      <b/>
      <sz val="9"/>
      <color indexed="81"/>
      <name val="Tahoma"/>
      <family val="2"/>
    </font>
    <font>
      <b/>
      <u/>
      <sz val="18"/>
      <color rgb="FF0000FF"/>
      <name val="Arial"/>
      <family val="2"/>
    </font>
    <font>
      <sz val="11"/>
      <color indexed="8"/>
      <name val="Calibri"/>
      <family val="2"/>
    </font>
    <font>
      <sz val="10"/>
      <color rgb="FFFF0000"/>
      <name val="Arial"/>
      <family val="2"/>
    </font>
    <font>
      <b/>
      <sz val="18"/>
      <color theme="1"/>
      <name val="Arial"/>
      <family val="2"/>
    </font>
    <font>
      <sz val="10"/>
      <color rgb="FF000000"/>
      <name val="Arial"/>
      <family val="2"/>
    </font>
    <font>
      <sz val="10"/>
      <name val="MS Sans Serif"/>
      <family val="2"/>
    </font>
    <font>
      <b/>
      <sz val="11"/>
      <color theme="1"/>
      <name val="Arial"/>
      <family val="2"/>
    </font>
    <font>
      <b/>
      <sz val="10"/>
      <color theme="0"/>
      <name val="Arial"/>
      <family val="2"/>
    </font>
    <font>
      <sz val="11"/>
      <color rgb="FF0000FF"/>
      <name val="Arial"/>
      <family val="2"/>
    </font>
    <font>
      <sz val="12"/>
      <name val="Arial"/>
      <family val="2"/>
    </font>
    <font>
      <u/>
      <sz val="11"/>
      <color theme="1"/>
      <name val="Calibri"/>
      <family val="2"/>
    </font>
    <font>
      <sz val="12"/>
      <color theme="1"/>
      <name val="Arial"/>
      <family val="2"/>
    </font>
    <font>
      <sz val="10"/>
      <name val="Arial"/>
      <family val="2"/>
    </font>
    <font>
      <sz val="8"/>
      <color rgb="FF4F4F4F"/>
      <name val="Arial"/>
      <family val="2"/>
    </font>
    <font>
      <u/>
      <sz val="11"/>
      <color theme="10"/>
      <name val="Arial"/>
      <family val="2"/>
    </font>
    <font>
      <sz val="8"/>
      <color rgb="FF0000FF"/>
      <name val="Arial"/>
      <family val="2"/>
    </font>
    <font>
      <sz val="8"/>
      <name val="Arial"/>
      <family val="2"/>
    </font>
    <font>
      <b/>
      <sz val="12"/>
      <color indexed="8"/>
      <name val="Arial"/>
      <family val="2"/>
    </font>
    <font>
      <b/>
      <sz val="12"/>
      <color theme="1"/>
      <name val="Calibri"/>
      <family val="2"/>
      <scheme val="minor"/>
    </font>
    <font>
      <b/>
      <sz val="16"/>
      <color theme="1"/>
      <name val="Calibri"/>
      <family val="2"/>
    </font>
    <font>
      <sz val="11"/>
      <color theme="1"/>
      <name val="Calibri"/>
      <family val="2"/>
    </font>
    <font>
      <sz val="16"/>
      <color theme="1"/>
      <name val="Calibri"/>
      <family val="2"/>
    </font>
    <font>
      <b/>
      <sz val="11"/>
      <color theme="1"/>
      <name val="Calibri"/>
      <family val="2"/>
    </font>
    <font>
      <sz val="11"/>
      <name val="Calibri"/>
      <family val="2"/>
    </font>
    <font>
      <sz val="8"/>
      <color rgb="FFFF0000"/>
      <name val="Verdana"/>
      <family val="2"/>
    </font>
    <font>
      <sz val="10"/>
      <color theme="1"/>
      <name val="Calibri"/>
      <family val="2"/>
      <scheme val="minor"/>
    </font>
    <font>
      <sz val="8"/>
      <color rgb="FF000000"/>
      <name val="Calibri"/>
      <family val="2"/>
    </font>
    <font>
      <sz val="8"/>
      <color rgb="FF000000"/>
      <name val="Calibri"/>
      <family val="2"/>
    </font>
    <font>
      <b/>
      <sz val="8"/>
      <color rgb="FF000000"/>
      <name val="Calibri"/>
      <family val="2"/>
    </font>
    <font>
      <sz val="8"/>
      <color rgb="FF000000"/>
      <name val="Calibri"/>
      <family val="2"/>
    </font>
    <font>
      <b/>
      <u/>
      <sz val="11"/>
      <name val="Arial"/>
      <family val="2"/>
    </font>
    <font>
      <b/>
      <sz val="8"/>
      <name val="Arial"/>
      <family val="2"/>
    </font>
    <font>
      <u/>
      <sz val="10"/>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rgb="FFD6AD84"/>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EDDBC9"/>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FFA7A7"/>
        <bgColor indexed="64"/>
      </patternFill>
    </fill>
    <fill>
      <patternFill patternType="solid">
        <fgColor theme="9" tint="0.39997558519241921"/>
        <bgColor indexed="64"/>
      </patternFill>
    </fill>
    <fill>
      <patternFill patternType="solid">
        <fgColor indexed="22"/>
        <bgColor indexed="64"/>
      </patternFill>
    </fill>
    <fill>
      <patternFill patternType="solid">
        <fgColor theme="0"/>
        <bgColor indexed="64"/>
      </patternFill>
    </fill>
    <fill>
      <patternFill patternType="solid">
        <fgColor indexed="22"/>
        <bgColor indexed="0"/>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FF"/>
        <bgColor indexed="64"/>
      </patternFill>
    </fill>
    <fill>
      <patternFill patternType="solid">
        <fgColor rgb="FFFF0000"/>
        <bgColor indexed="64"/>
      </patternFill>
    </fill>
    <fill>
      <patternFill patternType="solid">
        <fgColor theme="8" tint="0.59999389629810485"/>
        <bgColor indexed="64"/>
      </patternFill>
    </fill>
    <fill>
      <patternFill patternType="lightUp"/>
    </fill>
    <fill>
      <patternFill patternType="solid">
        <fgColor theme="5" tint="0.59999389629810485"/>
        <bgColor indexed="64"/>
      </patternFill>
    </fill>
    <fill>
      <patternFill patternType="solid">
        <fgColor rgb="FFCCCCFF"/>
        <bgColor indexed="64"/>
      </patternFill>
    </fill>
    <fill>
      <patternFill patternType="solid">
        <fgColor theme="0"/>
        <bgColor indexed="8"/>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tint="0.79998168889431442"/>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8"/>
      </left>
      <right style="thin">
        <color indexed="8"/>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right/>
      <top style="medium">
        <color indexed="64"/>
      </top>
      <bottom/>
      <diagonal/>
    </border>
    <border>
      <left/>
      <right/>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01">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7" fillId="0" borderId="0"/>
    <xf numFmtId="9"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31" fillId="0" borderId="0"/>
    <xf numFmtId="0" fontId="32" fillId="0" borderId="0" applyNumberFormat="0" applyFill="0" applyBorder="0" applyAlignment="0" applyProtection="0">
      <alignment vertical="top"/>
      <protection locked="0"/>
    </xf>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45" fillId="0" borderId="0"/>
    <xf numFmtId="43" fontId="45" fillId="0" borderId="0" applyFont="0" applyFill="0" applyBorder="0" applyAlignment="0" applyProtection="0"/>
    <xf numFmtId="9" fontId="45" fillId="0" borderId="0" applyFont="0" applyFill="0" applyBorder="0" applyAlignment="0" applyProtection="0"/>
    <xf numFmtId="0" fontId="47" fillId="0" borderId="25" applyNumberFormat="0" applyFont="0" applyFill="0" applyAlignment="0" applyProtection="0">
      <alignment horizontal="centerContinuous"/>
    </xf>
    <xf numFmtId="173" fontId="48" fillId="0" borderId="0"/>
    <xf numFmtId="164" fontId="49" fillId="0" borderId="0"/>
    <xf numFmtId="174" fontId="23" fillId="0" borderId="0" applyFont="0" applyFill="0" applyBorder="0" applyAlignment="0" applyProtection="0"/>
    <xf numFmtId="175" fontId="23" fillId="0" borderId="0" applyFont="0" applyFill="0" applyBorder="0" applyAlignment="0" applyProtection="0"/>
    <xf numFmtId="176" fontId="48" fillId="0" borderId="10"/>
    <xf numFmtId="177" fontId="48" fillId="0" borderId="0"/>
    <xf numFmtId="49" fontId="23" fillId="0" borderId="0" applyFont="0" applyFill="0" applyBorder="0" applyAlignment="0" applyProtection="0"/>
    <xf numFmtId="49" fontId="50" fillId="0" borderId="0" applyBorder="0">
      <alignment horizontal="centerContinuous"/>
    </xf>
    <xf numFmtId="1" fontId="51" fillId="0" borderId="0">
      <alignment horizontal="center"/>
    </xf>
    <xf numFmtId="0" fontId="57" fillId="0" borderId="0"/>
    <xf numFmtId="0" fontId="23" fillId="0" borderId="0">
      <alignment wrapText="1"/>
    </xf>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5" fillId="0" borderId="25" applyNumberFormat="0" applyFont="0" applyFill="0" applyAlignment="0" applyProtection="0">
      <alignment horizontal="centerContinuous"/>
    </xf>
    <xf numFmtId="0" fontId="23" fillId="0" borderId="0">
      <alignment wrapText="1"/>
    </xf>
    <xf numFmtId="0" fontId="25" fillId="0" borderId="25" applyNumberFormat="0" applyFont="0" applyFill="0" applyAlignment="0" applyProtection="0">
      <alignment horizontal="centerContinuous"/>
    </xf>
    <xf numFmtId="43" fontId="62" fillId="0" borderId="0" applyFont="0" applyFill="0" applyBorder="0" applyAlignment="0" applyProtection="0"/>
    <xf numFmtId="43" fontId="31" fillId="0" borderId="0" applyFont="0" applyFill="0" applyBorder="0" applyAlignment="0" applyProtection="0"/>
    <xf numFmtId="43" fontId="23" fillId="0" borderId="0" applyFont="0" applyFill="0" applyBorder="0" applyAlignment="0" applyProtection="0"/>
    <xf numFmtId="44" fontId="62" fillId="0" borderId="0" applyFont="0" applyFill="0" applyBorder="0" applyAlignment="0" applyProtection="0"/>
    <xf numFmtId="44" fontId="31" fillId="0" borderId="0" applyFont="0" applyFill="0" applyBorder="0" applyAlignment="0" applyProtection="0"/>
    <xf numFmtId="0" fontId="23" fillId="0" borderId="0"/>
    <xf numFmtId="0" fontId="23" fillId="0" borderId="0"/>
    <xf numFmtId="9" fontId="62" fillId="0" borderId="0" applyFont="0" applyFill="0" applyBorder="0" applyAlignment="0" applyProtection="0"/>
    <xf numFmtId="9" fontId="31" fillId="0" borderId="0" applyFont="0" applyFill="0" applyBorder="0" applyAlignment="0" applyProtection="0"/>
    <xf numFmtId="9" fontId="23" fillId="0" borderId="0" applyFont="0" applyFill="0" applyBorder="0" applyAlignment="0" applyProtection="0"/>
    <xf numFmtId="0" fontId="65" fillId="0" borderId="0"/>
    <xf numFmtId="0" fontId="66" fillId="0" borderId="0"/>
    <xf numFmtId="43" fontId="23" fillId="0" borderId="0"/>
    <xf numFmtId="42" fontId="23" fillId="0" borderId="0"/>
    <xf numFmtId="0" fontId="73" fillId="0" borderId="0"/>
    <xf numFmtId="0" fontId="1" fillId="0" borderId="0"/>
  </cellStyleXfs>
  <cellXfs count="728">
    <xf numFmtId="0" fontId="0" fillId="0" borderId="0" xfId="0"/>
    <xf numFmtId="0" fontId="16" fillId="0" borderId="0" xfId="0" applyFont="1"/>
    <xf numFmtId="0" fontId="18" fillId="0" borderId="0" xfId="0" applyFont="1"/>
    <xf numFmtId="49" fontId="18" fillId="0" borderId="0" xfId="0" applyNumberFormat="1" applyFont="1"/>
    <xf numFmtId="0" fontId="19" fillId="0" borderId="0" xfId="0" applyFont="1"/>
    <xf numFmtId="49" fontId="19" fillId="0" borderId="0" xfId="0" applyNumberFormat="1" applyFont="1"/>
    <xf numFmtId="0" fontId="21" fillId="0" borderId="0" xfId="0" applyFont="1"/>
    <xf numFmtId="164" fontId="21" fillId="0" borderId="0" xfId="44" applyNumberFormat="1" applyFont="1"/>
    <xf numFmtId="165" fontId="21" fillId="0" borderId="0" xfId="1" applyNumberFormat="1" applyFont="1"/>
    <xf numFmtId="0" fontId="21" fillId="33" borderId="11" xfId="0" applyFont="1" applyFill="1" applyBorder="1" applyAlignment="1">
      <alignment horizontal="center" wrapText="1"/>
    </xf>
    <xf numFmtId="0" fontId="21" fillId="33" borderId="12" xfId="0" applyFont="1" applyFill="1" applyBorder="1" applyAlignment="1">
      <alignment horizontal="center" wrapText="1"/>
    </xf>
    <xf numFmtId="164" fontId="21" fillId="33" borderId="12" xfId="44" applyNumberFormat="1" applyFont="1" applyFill="1" applyBorder="1" applyAlignment="1">
      <alignment horizontal="center" wrapText="1"/>
    </xf>
    <xf numFmtId="165" fontId="21" fillId="33" borderId="12" xfId="1" applyNumberFormat="1" applyFont="1" applyFill="1" applyBorder="1" applyAlignment="1">
      <alignment horizontal="center" wrapText="1"/>
    </xf>
    <xf numFmtId="0" fontId="21" fillId="33" borderId="13" xfId="0" applyFont="1" applyFill="1" applyBorder="1" applyAlignment="1">
      <alignment horizontal="center" wrapText="1"/>
    </xf>
    <xf numFmtId="0" fontId="21" fillId="0" borderId="0" xfId="0" applyFont="1" applyAlignment="1">
      <alignment horizontal="center" wrapText="1"/>
    </xf>
    <xf numFmtId="0" fontId="21" fillId="0" borderId="0" xfId="0" applyFont="1" applyAlignment="1">
      <alignment horizontal="center"/>
    </xf>
    <xf numFmtId="166" fontId="21" fillId="0" borderId="0" xfId="43" applyNumberFormat="1" applyFont="1" applyAlignment="1">
      <alignment horizontal="center"/>
    </xf>
    <xf numFmtId="167" fontId="21" fillId="0" borderId="0" xfId="0" applyNumberFormat="1" applyFont="1"/>
    <xf numFmtId="167" fontId="21" fillId="0" borderId="0" xfId="1" applyNumberFormat="1" applyFont="1"/>
    <xf numFmtId="44" fontId="21" fillId="0" borderId="0" xfId="0" applyNumberFormat="1" applyFont="1"/>
    <xf numFmtId="43" fontId="21" fillId="0" borderId="0" xfId="1" applyFont="1"/>
    <xf numFmtId="165" fontId="21" fillId="0" borderId="0" xfId="0" applyNumberFormat="1" applyFont="1"/>
    <xf numFmtId="0" fontId="21" fillId="33" borderId="11" xfId="0" applyFont="1" applyFill="1" applyBorder="1"/>
    <xf numFmtId="0" fontId="21" fillId="33" borderId="12" xfId="0" applyFont="1" applyFill="1" applyBorder="1"/>
    <xf numFmtId="164" fontId="21" fillId="33" borderId="12" xfId="44" applyNumberFormat="1" applyFont="1" applyFill="1" applyBorder="1"/>
    <xf numFmtId="166" fontId="21" fillId="33" borderId="12" xfId="43" applyNumberFormat="1" applyFont="1" applyFill="1" applyBorder="1" applyAlignment="1">
      <alignment horizontal="center"/>
    </xf>
    <xf numFmtId="167" fontId="21" fillId="33" borderId="12" xfId="0" applyNumberFormat="1" applyFont="1" applyFill="1" applyBorder="1"/>
    <xf numFmtId="167" fontId="21" fillId="33" borderId="12" xfId="1" applyNumberFormat="1" applyFont="1" applyFill="1" applyBorder="1"/>
    <xf numFmtId="165" fontId="21" fillId="33" borderId="12" xfId="1" applyNumberFormat="1" applyFont="1" applyFill="1" applyBorder="1"/>
    <xf numFmtId="0" fontId="21" fillId="33" borderId="13" xfId="0" applyFont="1" applyFill="1" applyBorder="1"/>
    <xf numFmtId="165" fontId="21" fillId="0" borderId="0" xfId="1" applyNumberFormat="1" applyFont="1" applyFill="1"/>
    <xf numFmtId="165" fontId="0" fillId="0" borderId="0" xfId="1" applyNumberFormat="1" applyFont="1"/>
    <xf numFmtId="165" fontId="21" fillId="0" borderId="0" xfId="1" applyNumberFormat="1" applyFont="1" applyFill="1" applyBorder="1"/>
    <xf numFmtId="164" fontId="21" fillId="41" borderId="20" xfId="44" applyNumberFormat="1" applyFont="1" applyFill="1" applyBorder="1" applyAlignment="1">
      <alignment horizontal="center" wrapText="1"/>
    </xf>
    <xf numFmtId="0" fontId="21" fillId="40" borderId="20" xfId="0" applyFont="1" applyFill="1" applyBorder="1" applyAlignment="1">
      <alignment horizontal="center" wrapText="1"/>
    </xf>
    <xf numFmtId="0" fontId="21" fillId="38" borderId="20" xfId="0" applyFont="1" applyFill="1" applyBorder="1" applyAlignment="1">
      <alignment horizontal="center" wrapText="1"/>
    </xf>
    <xf numFmtId="10" fontId="21" fillId="0" borderId="0" xfId="43" applyNumberFormat="1" applyFont="1" applyFill="1"/>
    <xf numFmtId="164" fontId="21" fillId="42" borderId="0" xfId="44" applyNumberFormat="1" applyFont="1" applyFill="1"/>
    <xf numFmtId="167" fontId="21" fillId="43" borderId="0" xfId="0" applyNumberFormat="1" applyFont="1" applyFill="1"/>
    <xf numFmtId="167" fontId="22" fillId="43" borderId="0" xfId="1" applyNumberFormat="1" applyFont="1" applyFill="1"/>
    <xf numFmtId="165" fontId="21" fillId="0" borderId="0" xfId="1" applyNumberFormat="1" applyFont="1" applyBorder="1"/>
    <xf numFmtId="165" fontId="18" fillId="0" borderId="0" xfId="1" applyNumberFormat="1" applyFont="1"/>
    <xf numFmtId="165" fontId="18" fillId="0" borderId="0" xfId="1" applyNumberFormat="1" applyFont="1" applyAlignment="1">
      <alignment horizontal="center"/>
    </xf>
    <xf numFmtId="164" fontId="21" fillId="0" borderId="0" xfId="0" applyNumberFormat="1" applyFont="1"/>
    <xf numFmtId="166" fontId="0" fillId="46" borderId="20" xfId="43" applyNumberFormat="1" applyFont="1" applyFill="1" applyBorder="1" applyAlignment="1">
      <alignment horizontal="center"/>
    </xf>
    <xf numFmtId="166" fontId="0" fillId="44" borderId="20" xfId="43" applyNumberFormat="1" applyFont="1" applyFill="1" applyBorder="1" applyAlignment="1">
      <alignment horizontal="center"/>
    </xf>
    <xf numFmtId="0" fontId="33" fillId="48" borderId="0" xfId="56" applyFont="1" applyFill="1" applyAlignment="1">
      <alignment vertical="center"/>
    </xf>
    <xf numFmtId="0" fontId="33" fillId="48" borderId="18" xfId="56" applyFont="1" applyFill="1" applyBorder="1" applyAlignment="1">
      <alignment vertical="center"/>
    </xf>
    <xf numFmtId="0" fontId="33" fillId="0" borderId="0" xfId="56" applyFont="1" applyAlignment="1">
      <alignment horizontal="center" vertical="center"/>
    </xf>
    <xf numFmtId="164" fontId="21" fillId="0" borderId="16" xfId="44" applyNumberFormat="1" applyFont="1" applyBorder="1"/>
    <xf numFmtId="0" fontId="21" fillId="0" borderId="29" xfId="0" applyFont="1" applyBorder="1"/>
    <xf numFmtId="0" fontId="21" fillId="0" borderId="0" xfId="0" applyFont="1" applyAlignment="1">
      <alignment horizontal="right"/>
    </xf>
    <xf numFmtId="164" fontId="21" fillId="0" borderId="0" xfId="44" applyNumberFormat="1" applyFont="1" applyBorder="1"/>
    <xf numFmtId="164" fontId="21" fillId="0" borderId="32" xfId="44" applyNumberFormat="1" applyFont="1" applyBorder="1"/>
    <xf numFmtId="0" fontId="21" fillId="0" borderId="17" xfId="0" applyFont="1" applyBorder="1"/>
    <xf numFmtId="0" fontId="21" fillId="0" borderId="18" xfId="0" applyFont="1" applyBorder="1"/>
    <xf numFmtId="164" fontId="21" fillId="0" borderId="18" xfId="44" applyNumberFormat="1" applyFont="1" applyBorder="1"/>
    <xf numFmtId="164" fontId="21" fillId="0" borderId="19" xfId="44" applyNumberFormat="1" applyFont="1" applyBorder="1"/>
    <xf numFmtId="0" fontId="38" fillId="48" borderId="14" xfId="56" applyFont="1" applyFill="1" applyBorder="1"/>
    <xf numFmtId="0" fontId="39" fillId="51" borderId="0" xfId="56" applyFont="1" applyFill="1"/>
    <xf numFmtId="0" fontId="38" fillId="51" borderId="0" xfId="56" applyFont="1" applyFill="1"/>
    <xf numFmtId="0" fontId="38" fillId="0" borderId="0" xfId="56" applyFont="1"/>
    <xf numFmtId="164" fontId="21" fillId="42" borderId="28" xfId="44" applyNumberFormat="1" applyFont="1" applyFill="1" applyBorder="1"/>
    <xf numFmtId="167" fontId="21" fillId="43" borderId="28" xfId="0" applyNumberFormat="1" applyFont="1" applyFill="1" applyBorder="1"/>
    <xf numFmtId="165" fontId="21" fillId="0" borderId="28" xfId="1" applyNumberFormat="1" applyFont="1" applyBorder="1"/>
    <xf numFmtId="164" fontId="21" fillId="0" borderId="32" xfId="0" applyNumberFormat="1" applyFont="1" applyBorder="1"/>
    <xf numFmtId="0" fontId="21" fillId="0" borderId="17" xfId="0" applyFont="1" applyBorder="1" applyAlignment="1">
      <alignment horizontal="right"/>
    </xf>
    <xf numFmtId="165" fontId="18" fillId="0" borderId="0" xfId="1" applyNumberFormat="1" applyFont="1" applyFill="1"/>
    <xf numFmtId="0" fontId="31" fillId="0" borderId="0" xfId="56"/>
    <xf numFmtId="0" fontId="31" fillId="0" borderId="0" xfId="56" applyAlignment="1">
      <alignment wrapText="1"/>
    </xf>
    <xf numFmtId="0" fontId="31" fillId="53" borderId="0" xfId="56" applyFill="1"/>
    <xf numFmtId="0" fontId="31" fillId="52" borderId="0" xfId="56" applyFill="1"/>
    <xf numFmtId="0" fontId="36" fillId="0" borderId="0" xfId="56" applyFont="1" applyAlignment="1">
      <alignment horizontal="center"/>
    </xf>
    <xf numFmtId="0" fontId="44" fillId="51" borderId="0" xfId="56" applyFont="1" applyFill="1"/>
    <xf numFmtId="0" fontId="36" fillId="51" borderId="0" xfId="56" applyFont="1" applyFill="1"/>
    <xf numFmtId="0" fontId="36" fillId="0" borderId="0" xfId="56" applyFont="1"/>
    <xf numFmtId="41" fontId="0" fillId="0" borderId="0" xfId="0" applyNumberFormat="1"/>
    <xf numFmtId="10" fontId="0" fillId="0" borderId="0" xfId="43" applyNumberFormat="1" applyFont="1"/>
    <xf numFmtId="0" fontId="0" fillId="0" borderId="0" xfId="0" applyAlignment="1">
      <alignment wrapText="1"/>
    </xf>
    <xf numFmtId="10" fontId="21" fillId="0" borderId="0" xfId="43" applyNumberFormat="1" applyFont="1" applyFill="1" applyBorder="1" applyAlignment="1">
      <alignment horizontal="center"/>
    </xf>
    <xf numFmtId="164" fontId="21" fillId="42" borderId="0" xfId="44" applyNumberFormat="1" applyFont="1" applyFill="1" applyBorder="1"/>
    <xf numFmtId="10" fontId="21" fillId="0" borderId="28" xfId="43" applyNumberFormat="1" applyFont="1" applyFill="1" applyBorder="1"/>
    <xf numFmtId="10" fontId="21" fillId="0" borderId="0" xfId="43" applyNumberFormat="1" applyFont="1"/>
    <xf numFmtId="0" fontId="53" fillId="0" borderId="0" xfId="0" applyFont="1"/>
    <xf numFmtId="0" fontId="32" fillId="39" borderId="31" xfId="46" applyFont="1" applyFill="1" applyBorder="1" applyAlignment="1" applyProtection="1">
      <alignment horizontal="center"/>
    </xf>
    <xf numFmtId="44" fontId="21" fillId="0" borderId="0" xfId="44" applyFont="1"/>
    <xf numFmtId="0" fontId="46" fillId="0" borderId="0" xfId="56" applyFont="1" applyAlignment="1">
      <alignment horizontal="center" vertical="center"/>
    </xf>
    <xf numFmtId="165" fontId="46" fillId="0" borderId="0" xfId="58" applyNumberFormat="1" applyFont="1" applyFill="1" applyBorder="1" applyAlignment="1">
      <alignment horizontal="center" vertical="center"/>
    </xf>
    <xf numFmtId="0" fontId="23" fillId="0" borderId="0" xfId="56" applyFont="1"/>
    <xf numFmtId="0" fontId="25" fillId="0" borderId="0" xfId="56" applyFont="1" applyAlignment="1">
      <alignment horizontal="center" vertical="center" wrapText="1"/>
    </xf>
    <xf numFmtId="165" fontId="25" fillId="0" borderId="0" xfId="58" applyNumberFormat="1" applyFont="1" applyFill="1" applyBorder="1" applyAlignment="1">
      <alignment horizontal="center" vertical="center"/>
    </xf>
    <xf numFmtId="164" fontId="25" fillId="0" borderId="0" xfId="59" applyNumberFormat="1" applyFont="1" applyFill="1" applyBorder="1" applyAlignment="1">
      <alignment horizontal="right" wrapText="1"/>
    </xf>
    <xf numFmtId="42" fontId="25" fillId="0" borderId="0" xfId="59" applyNumberFormat="1" applyFont="1" applyFill="1" applyBorder="1" applyAlignment="1">
      <alignment horizontal="right" wrapText="1"/>
    </xf>
    <xf numFmtId="41" fontId="43" fillId="0" borderId="0" xfId="58" applyNumberFormat="1" applyFont="1" applyFill="1" applyBorder="1" applyAlignment="1">
      <alignment horizontal="right"/>
    </xf>
    <xf numFmtId="42" fontId="25" fillId="0" borderId="0" xfId="59" applyNumberFormat="1" applyFont="1" applyFill="1" applyBorder="1" applyAlignment="1">
      <alignment horizontal="right"/>
    </xf>
    <xf numFmtId="0" fontId="23" fillId="0" borderId="0" xfId="56" applyFont="1" applyAlignment="1">
      <alignment vertical="center"/>
    </xf>
    <xf numFmtId="165" fontId="43" fillId="0" borderId="0" xfId="58" applyNumberFormat="1" applyFont="1" applyFill="1" applyBorder="1" applyAlignment="1">
      <alignment vertical="center"/>
    </xf>
    <xf numFmtId="0" fontId="23" fillId="53" borderId="0" xfId="56" applyFont="1" applyFill="1"/>
    <xf numFmtId="0" fontId="23" fillId="0" borderId="0" xfId="56" applyFont="1" applyAlignment="1">
      <alignment vertical="center" wrapText="1"/>
    </xf>
    <xf numFmtId="41" fontId="23" fillId="0" borderId="0" xfId="56" applyNumberFormat="1" applyFont="1" applyAlignment="1">
      <alignment vertical="center" wrapText="1"/>
    </xf>
    <xf numFmtId="41" fontId="23" fillId="0" borderId="0" xfId="58" applyNumberFormat="1" applyFont="1" applyFill="1" applyAlignment="1">
      <alignment vertical="center"/>
    </xf>
    <xf numFmtId="0" fontId="31" fillId="0" borderId="0" xfId="56" applyAlignment="1">
      <alignment vertical="center" wrapText="1"/>
    </xf>
    <xf numFmtId="164" fontId="31" fillId="51" borderId="0" xfId="56" applyNumberFormat="1" applyFill="1" applyAlignment="1">
      <alignment vertical="center"/>
    </xf>
    <xf numFmtId="0" fontId="37" fillId="51" borderId="0" xfId="56" applyFont="1" applyFill="1" applyAlignment="1">
      <alignment vertical="center"/>
    </xf>
    <xf numFmtId="0" fontId="31" fillId="51" borderId="0" xfId="56" applyFill="1" applyAlignment="1">
      <alignment vertical="center"/>
    </xf>
    <xf numFmtId="0" fontId="31" fillId="0" borderId="0" xfId="56" applyAlignment="1">
      <alignment vertical="center"/>
    </xf>
    <xf numFmtId="41" fontId="23" fillId="0" borderId="0" xfId="58" applyNumberFormat="1" applyFont="1" applyFill="1" applyBorder="1" applyAlignment="1">
      <alignment horizontal="right" vertical="center" wrapText="1"/>
    </xf>
    <xf numFmtId="164" fontId="25" fillId="0" borderId="24" xfId="59" applyNumberFormat="1" applyFont="1" applyFill="1" applyBorder="1" applyAlignment="1">
      <alignment vertical="center" wrapText="1"/>
    </xf>
    <xf numFmtId="42" fontId="25" fillId="0" borderId="24" xfId="59" applyNumberFormat="1" applyFont="1" applyFill="1" applyBorder="1" applyAlignment="1">
      <alignment horizontal="right" vertical="center" wrapText="1"/>
    </xf>
    <xf numFmtId="42" fontId="25" fillId="0" borderId="24" xfId="59" applyNumberFormat="1" applyFont="1" applyFill="1" applyBorder="1" applyAlignment="1">
      <alignment horizontal="right" vertical="center"/>
    </xf>
    <xf numFmtId="41" fontId="23" fillId="0" borderId="0" xfId="58" applyNumberFormat="1" applyFont="1" applyFill="1" applyBorder="1" applyAlignment="1">
      <alignment horizontal="right" vertical="center"/>
    </xf>
    <xf numFmtId="41" fontId="23" fillId="0" borderId="0" xfId="58" applyNumberFormat="1" applyFont="1" applyFill="1" applyAlignment="1">
      <alignment horizontal="right" vertical="center"/>
    </xf>
    <xf numFmtId="41" fontId="43" fillId="0" borderId="0" xfId="58" applyNumberFormat="1" applyFont="1" applyFill="1" applyBorder="1" applyAlignment="1">
      <alignment horizontal="right" vertical="center"/>
    </xf>
    <xf numFmtId="41" fontId="43" fillId="0" borderId="0" xfId="58" applyNumberFormat="1" applyFont="1" applyFill="1" applyAlignment="1">
      <alignment horizontal="right" vertical="center"/>
    </xf>
    <xf numFmtId="0" fontId="25" fillId="0" borderId="24" xfId="56" applyFont="1" applyBorder="1" applyAlignment="1">
      <alignment horizontal="center" vertical="center" wrapText="1"/>
    </xf>
    <xf numFmtId="0" fontId="31" fillId="51" borderId="0" xfId="56" applyFill="1"/>
    <xf numFmtId="10" fontId="21" fillId="35" borderId="0" xfId="0" applyNumberFormat="1" applyFont="1" applyFill="1"/>
    <xf numFmtId="41" fontId="21" fillId="0" borderId="0" xfId="0" applyNumberFormat="1" applyFont="1"/>
    <xf numFmtId="164" fontId="21" fillId="0" borderId="0" xfId="44" applyNumberFormat="1" applyFont="1" applyBorder="1" applyAlignment="1">
      <alignment horizontal="right"/>
    </xf>
    <xf numFmtId="0" fontId="21" fillId="0" borderId="34" xfId="0" applyFont="1" applyBorder="1"/>
    <xf numFmtId="164" fontId="21" fillId="0" borderId="24" xfId="44" applyNumberFormat="1" applyFont="1" applyBorder="1"/>
    <xf numFmtId="0" fontId="31" fillId="51" borderId="0" xfId="56" applyFill="1" applyAlignment="1">
      <alignment horizontal="center"/>
    </xf>
    <xf numFmtId="42" fontId="31" fillId="51" borderId="0" xfId="56" applyNumberFormat="1" applyFill="1" applyAlignment="1">
      <alignment horizontal="center"/>
    </xf>
    <xf numFmtId="10" fontId="31" fillId="51" borderId="0" xfId="43" applyNumberFormat="1" applyFont="1" applyFill="1" applyAlignment="1">
      <alignment horizontal="center"/>
    </xf>
    <xf numFmtId="0" fontId="53" fillId="54" borderId="0" xfId="0" applyFont="1" applyFill="1" applyAlignment="1">
      <alignment horizontal="center" wrapText="1"/>
    </xf>
    <xf numFmtId="6" fontId="55" fillId="0" borderId="0" xfId="0" applyNumberFormat="1" applyFont="1" applyAlignment="1">
      <alignment horizontal="right" vertical="center" wrapText="1"/>
    </xf>
    <xf numFmtId="10" fontId="55" fillId="0" borderId="0" xfId="0" applyNumberFormat="1" applyFont="1" applyAlignment="1">
      <alignment horizontal="right" vertical="center" wrapText="1"/>
    </xf>
    <xf numFmtId="6" fontId="54" fillId="0" borderId="0" xfId="0" applyNumberFormat="1" applyFont="1" applyAlignment="1">
      <alignment horizontal="right" wrapText="1"/>
    </xf>
    <xf numFmtId="178" fontId="21" fillId="0" borderId="0" xfId="0" applyNumberFormat="1" applyFont="1"/>
    <xf numFmtId="172" fontId="21" fillId="0" borderId="0" xfId="43" applyNumberFormat="1" applyFont="1"/>
    <xf numFmtId="0" fontId="21" fillId="0" borderId="28" xfId="0" applyFont="1" applyBorder="1" applyAlignment="1">
      <alignment horizontal="center"/>
    </xf>
    <xf numFmtId="0" fontId="21" fillId="0" borderId="27" xfId="0" applyFont="1" applyBorder="1" applyAlignment="1">
      <alignment horizontal="center"/>
    </xf>
    <xf numFmtId="0" fontId="21" fillId="0" borderId="36" xfId="0" applyFont="1" applyBorder="1" applyAlignment="1">
      <alignment horizontal="right"/>
    </xf>
    <xf numFmtId="0" fontId="21" fillId="0" borderId="37" xfId="0" applyFont="1" applyBorder="1" applyAlignment="1">
      <alignment horizontal="right"/>
    </xf>
    <xf numFmtId="10" fontId="21" fillId="0" borderId="18" xfId="43" applyNumberFormat="1" applyFont="1" applyBorder="1"/>
    <xf numFmtId="10" fontId="21" fillId="0" borderId="19" xfId="43" applyNumberFormat="1" applyFont="1" applyBorder="1"/>
    <xf numFmtId="0" fontId="21" fillId="0" borderId="26" xfId="0" applyFont="1" applyBorder="1"/>
    <xf numFmtId="0" fontId="24" fillId="0" borderId="34" xfId="0" applyFont="1" applyBorder="1" applyAlignment="1">
      <alignment horizontal="right"/>
    </xf>
    <xf numFmtId="168" fontId="21" fillId="0" borderId="39" xfId="0" applyNumberFormat="1" applyFont="1" applyBorder="1"/>
    <xf numFmtId="168" fontId="21" fillId="0" borderId="0" xfId="0" applyNumberFormat="1" applyFont="1"/>
    <xf numFmtId="168" fontId="21" fillId="0" borderId="38" xfId="0" applyNumberFormat="1" applyFont="1" applyBorder="1"/>
    <xf numFmtId="168" fontId="24" fillId="0" borderId="24" xfId="0" applyNumberFormat="1" applyFont="1" applyBorder="1"/>
    <xf numFmtId="168" fontId="24" fillId="0" borderId="35" xfId="0" applyNumberFormat="1" applyFont="1" applyBorder="1"/>
    <xf numFmtId="179" fontId="21" fillId="0" borderId="0" xfId="0" applyNumberFormat="1" applyFont="1"/>
    <xf numFmtId="43" fontId="21" fillId="0" borderId="0" xfId="0" applyNumberFormat="1" applyFont="1"/>
    <xf numFmtId="165" fontId="18" fillId="0" borderId="0" xfId="1" applyNumberFormat="1" applyFont="1" applyFill="1" applyBorder="1"/>
    <xf numFmtId="0" fontId="55" fillId="0" borderId="0" xfId="0" applyFont="1" applyAlignment="1">
      <alignment horizontal="left" wrapText="1"/>
    </xf>
    <xf numFmtId="0" fontId="18" fillId="0" borderId="0" xfId="0" applyFont="1" applyAlignment="1">
      <alignment horizontal="center"/>
    </xf>
    <xf numFmtId="0" fontId="37" fillId="51" borderId="0" xfId="56" applyFont="1" applyFill="1"/>
    <xf numFmtId="0" fontId="55" fillId="0" borderId="33" xfId="0" applyFont="1" applyBorder="1" applyAlignment="1">
      <alignment horizontal="left" wrapText="1"/>
    </xf>
    <xf numFmtId="42" fontId="23" fillId="51" borderId="0" xfId="56" applyNumberFormat="1" applyFont="1" applyFill="1"/>
    <xf numFmtId="166" fontId="0" fillId="0" borderId="0" xfId="43" applyNumberFormat="1" applyFont="1"/>
    <xf numFmtId="0" fontId="21" fillId="38" borderId="0" xfId="0" applyFont="1" applyFill="1" applyAlignment="1">
      <alignment horizontal="center"/>
    </xf>
    <xf numFmtId="0" fontId="21" fillId="38" borderId="13" xfId="0" applyFont="1" applyFill="1" applyBorder="1" applyAlignment="1">
      <alignment horizontal="center" wrapText="1"/>
    </xf>
    <xf numFmtId="41" fontId="21" fillId="39" borderId="0" xfId="0" applyNumberFormat="1" applyFont="1" applyFill="1"/>
    <xf numFmtId="41" fontId="21" fillId="0" borderId="0" xfId="1" applyNumberFormat="1" applyFont="1"/>
    <xf numFmtId="41" fontId="21" fillId="0" borderId="0" xfId="1" applyNumberFormat="1" applyFont="1" applyBorder="1"/>
    <xf numFmtId="41" fontId="21" fillId="39" borderId="28" xfId="0" applyNumberFormat="1" applyFont="1" applyFill="1" applyBorder="1"/>
    <xf numFmtId="41" fontId="21" fillId="0" borderId="27" xfId="1" applyNumberFormat="1" applyFont="1" applyBorder="1"/>
    <xf numFmtId="0" fontId="0" fillId="0" borderId="0" xfId="0" applyAlignment="1">
      <alignment horizontal="center"/>
    </xf>
    <xf numFmtId="166" fontId="21" fillId="0" borderId="0" xfId="43" applyNumberFormat="1" applyFont="1"/>
    <xf numFmtId="10" fontId="21" fillId="0" borderId="0" xfId="43" applyNumberFormat="1" applyFont="1" applyFill="1" applyBorder="1"/>
    <xf numFmtId="41" fontId="31" fillId="51" borderId="0" xfId="56" applyNumberFormat="1" applyFill="1" applyAlignment="1">
      <alignment horizontal="center"/>
    </xf>
    <xf numFmtId="164" fontId="21" fillId="0" borderId="38" xfId="44" applyNumberFormat="1" applyFont="1" applyBorder="1"/>
    <xf numFmtId="168" fontId="21" fillId="0" borderId="0" xfId="0" applyNumberFormat="1" applyFont="1" applyAlignment="1">
      <alignment horizontal="center" wrapText="1"/>
    </xf>
    <xf numFmtId="0" fontId="31" fillId="51" borderId="0" xfId="56" applyFill="1" applyAlignment="1">
      <alignment horizontal="left"/>
    </xf>
    <xf numFmtId="180" fontId="21" fillId="0" borderId="0" xfId="0" applyNumberFormat="1" applyFont="1"/>
    <xf numFmtId="10" fontId="21" fillId="0" borderId="18" xfId="43" applyNumberFormat="1" applyFont="1" applyFill="1" applyBorder="1"/>
    <xf numFmtId="164" fontId="21" fillId="42" borderId="18" xfId="44" applyNumberFormat="1" applyFont="1" applyFill="1" applyBorder="1"/>
    <xf numFmtId="167" fontId="21" fillId="43" borderId="18" xfId="0" applyNumberFormat="1" applyFont="1" applyFill="1" applyBorder="1"/>
    <xf numFmtId="167" fontId="22" fillId="43" borderId="18" xfId="1" applyNumberFormat="1" applyFont="1" applyFill="1" applyBorder="1"/>
    <xf numFmtId="165" fontId="21" fillId="0" borderId="18" xfId="1" applyNumberFormat="1" applyFont="1" applyBorder="1"/>
    <xf numFmtId="166" fontId="21" fillId="0" borderId="18" xfId="43" applyNumberFormat="1" applyFont="1" applyBorder="1" applyAlignment="1">
      <alignment horizontal="center"/>
    </xf>
    <xf numFmtId="41" fontId="21" fillId="39" borderId="18" xfId="0" applyNumberFormat="1" applyFont="1" applyFill="1" applyBorder="1"/>
    <xf numFmtId="41" fontId="21" fillId="0" borderId="18" xfId="1" applyNumberFormat="1" applyFont="1" applyBorder="1"/>
    <xf numFmtId="0" fontId="21" fillId="0" borderId="26" xfId="0" applyFont="1" applyBorder="1" applyAlignment="1">
      <alignment horizontal="center"/>
    </xf>
    <xf numFmtId="0" fontId="20" fillId="0" borderId="0" xfId="0" applyFont="1" applyAlignment="1">
      <alignment horizontal="center"/>
    </xf>
    <xf numFmtId="0" fontId="21" fillId="33" borderId="0" xfId="0" applyFont="1" applyFill="1" applyAlignment="1">
      <alignment horizontal="center" wrapText="1"/>
    </xf>
    <xf numFmtId="0" fontId="21" fillId="33" borderId="0" xfId="0" applyFont="1" applyFill="1"/>
    <xf numFmtId="166" fontId="21" fillId="0" borderId="0" xfId="43" applyNumberFormat="1" applyFont="1" applyBorder="1"/>
    <xf numFmtId="170" fontId="21" fillId="0" borderId="0" xfId="44" applyNumberFormat="1" applyFont="1" applyBorder="1"/>
    <xf numFmtId="41" fontId="21" fillId="0" borderId="0" xfId="44" applyNumberFormat="1" applyFont="1" applyBorder="1"/>
    <xf numFmtId="8" fontId="21" fillId="0" borderId="0" xfId="1" applyNumberFormat="1" applyFont="1"/>
    <xf numFmtId="8" fontId="21" fillId="0" borderId="0" xfId="1" applyNumberFormat="1" applyFont="1" applyBorder="1"/>
    <xf numFmtId="167" fontId="21" fillId="45" borderId="0" xfId="0" applyNumberFormat="1" applyFont="1" applyFill="1"/>
    <xf numFmtId="0" fontId="40" fillId="0" borderId="0" xfId="0" applyFont="1"/>
    <xf numFmtId="10" fontId="0" fillId="0" borderId="0" xfId="0" applyNumberFormat="1"/>
    <xf numFmtId="49" fontId="0" fillId="0" borderId="0" xfId="0" applyNumberFormat="1"/>
    <xf numFmtId="182" fontId="21" fillId="0" borderId="0" xfId="0" applyNumberFormat="1" applyFont="1"/>
    <xf numFmtId="184" fontId="21" fillId="0" borderId="0" xfId="0" applyNumberFormat="1" applyFont="1" applyAlignment="1">
      <alignment horizontal="center" wrapText="1"/>
    </xf>
    <xf numFmtId="0" fontId="31" fillId="0" borderId="0" xfId="56" quotePrefix="1" applyAlignment="1">
      <alignment wrapText="1"/>
    </xf>
    <xf numFmtId="0" fontId="38" fillId="48" borderId="0" xfId="56" applyFont="1" applyFill="1"/>
    <xf numFmtId="0" fontId="23" fillId="51" borderId="0" xfId="56" applyFont="1" applyFill="1"/>
    <xf numFmtId="0" fontId="29" fillId="51" borderId="0" xfId="56" applyFont="1" applyFill="1"/>
    <xf numFmtId="41" fontId="52" fillId="0" borderId="0" xfId="0" applyNumberFormat="1" applyFont="1"/>
    <xf numFmtId="0" fontId="23" fillId="51" borderId="0" xfId="56" applyFont="1" applyFill="1" applyAlignment="1">
      <alignment wrapText="1"/>
    </xf>
    <xf numFmtId="0" fontId="23" fillId="51" borderId="0" xfId="56" applyFont="1" applyFill="1" applyAlignment="1">
      <alignment vertical="center"/>
    </xf>
    <xf numFmtId="42" fontId="25" fillId="0" borderId="24" xfId="89" applyNumberFormat="1" applyFont="1" applyFill="1" applyBorder="1" applyAlignment="1">
      <alignment horizontal="right" wrapText="1"/>
    </xf>
    <xf numFmtId="41" fontId="23" fillId="0" borderId="0" xfId="86" applyNumberFormat="1" applyFont="1" applyFill="1" applyAlignment="1">
      <alignment horizontal="right"/>
    </xf>
    <xf numFmtId="42" fontId="25" fillId="0" borderId="0" xfId="89" applyNumberFormat="1" applyFont="1" applyFill="1" applyBorder="1" applyAlignment="1">
      <alignment horizontal="right"/>
    </xf>
    <xf numFmtId="0" fontId="23" fillId="52" borderId="0" xfId="56" applyFont="1" applyFill="1"/>
    <xf numFmtId="43" fontId="23" fillId="0" borderId="0" xfId="97"/>
    <xf numFmtId="42" fontId="25" fillId="0" borderId="0" xfId="59" applyNumberFormat="1" applyFont="1" applyFill="1" applyBorder="1" applyAlignment="1">
      <alignment horizontal="right" vertical="center"/>
    </xf>
    <xf numFmtId="0" fontId="0" fillId="0" borderId="0" xfId="0" applyProtection="1">
      <protection locked="0"/>
    </xf>
    <xf numFmtId="41" fontId="0" fillId="0" borderId="10" xfId="0" applyNumberFormat="1" applyBorder="1"/>
    <xf numFmtId="0" fontId="38" fillId="48" borderId="14" xfId="56" applyFont="1" applyFill="1" applyBorder="1" applyAlignment="1">
      <alignment vertical="center"/>
    </xf>
    <xf numFmtId="0" fontId="38" fillId="48" borderId="0" xfId="56" applyFont="1" applyFill="1" applyAlignment="1">
      <alignment vertical="center"/>
    </xf>
    <xf numFmtId="0" fontId="39" fillId="51" borderId="0" xfId="56" applyFont="1" applyFill="1" applyAlignment="1">
      <alignment vertical="center"/>
    </xf>
    <xf numFmtId="0" fontId="56" fillId="34" borderId="28" xfId="56" applyFont="1" applyFill="1" applyBorder="1" applyAlignment="1">
      <alignment horizontal="center" vertical="center" wrapText="1"/>
    </xf>
    <xf numFmtId="0" fontId="38" fillId="51" borderId="0" xfId="56" applyFont="1" applyFill="1" applyAlignment="1">
      <alignment vertical="center"/>
    </xf>
    <xf numFmtId="0" fontId="35" fillId="50" borderId="17" xfId="56" applyFont="1" applyFill="1" applyBorder="1" applyAlignment="1">
      <alignment horizontal="center" vertical="center"/>
    </xf>
    <xf numFmtId="0" fontId="35" fillId="50" borderId="0" xfId="56" applyFont="1" applyFill="1" applyAlignment="1">
      <alignment horizontal="center" vertical="center"/>
    </xf>
    <xf numFmtId="41" fontId="43" fillId="0" borderId="0" xfId="58" applyNumberFormat="1" applyFont="1" applyFill="1" applyAlignment="1">
      <alignment vertical="center"/>
    </xf>
    <xf numFmtId="0" fontId="35" fillId="0" borderId="0" xfId="56" applyFont="1" applyAlignment="1">
      <alignment horizontal="center" vertical="center"/>
    </xf>
    <xf numFmtId="41" fontId="25" fillId="0" borderId="0" xfId="58" applyNumberFormat="1" applyFont="1" applyFill="1" applyBorder="1" applyAlignment="1">
      <alignment vertical="center"/>
    </xf>
    <xf numFmtId="0" fontId="36" fillId="0" borderId="0" xfId="56" applyFont="1" applyAlignment="1">
      <alignment horizontal="center" vertical="center"/>
    </xf>
    <xf numFmtId="0" fontId="44" fillId="51" borderId="0" xfId="56" applyFont="1" applyFill="1" applyAlignment="1">
      <alignment vertical="center"/>
    </xf>
    <xf numFmtId="0" fontId="31" fillId="0" borderId="0" xfId="56" quotePrefix="1" applyAlignment="1">
      <alignment vertical="center" wrapText="1"/>
    </xf>
    <xf numFmtId="165" fontId="23" fillId="0" borderId="0" xfId="58" applyNumberFormat="1" applyFont="1" applyFill="1" applyBorder="1" applyAlignment="1">
      <alignment horizontal="right" vertical="center" wrapText="1"/>
    </xf>
    <xf numFmtId="165" fontId="23" fillId="0" borderId="0" xfId="58" applyNumberFormat="1" applyFont="1" applyFill="1" applyBorder="1" applyAlignment="1">
      <alignment vertical="center"/>
    </xf>
    <xf numFmtId="0" fontId="25" fillId="0" borderId="24" xfId="56" applyFont="1" applyBorder="1" applyAlignment="1">
      <alignment vertical="center" wrapText="1"/>
    </xf>
    <xf numFmtId="164" fontId="25" fillId="0" borderId="24" xfId="59" applyNumberFormat="1" applyFont="1" applyFill="1" applyBorder="1" applyAlignment="1">
      <alignment horizontal="right" vertical="center" wrapText="1"/>
    </xf>
    <xf numFmtId="0" fontId="25" fillId="0" borderId="0" xfId="56" applyFont="1" applyAlignment="1">
      <alignment vertical="center" wrapText="1"/>
    </xf>
    <xf numFmtId="164" fontId="25" fillId="0" borderId="0" xfId="59" applyNumberFormat="1" applyFont="1" applyFill="1" applyBorder="1" applyAlignment="1">
      <alignment horizontal="right" vertical="center" wrapText="1"/>
    </xf>
    <xf numFmtId="0" fontId="36" fillId="0" borderId="0" xfId="56" applyFont="1" applyAlignment="1">
      <alignment vertical="center"/>
    </xf>
    <xf numFmtId="0" fontId="29" fillId="0" borderId="0" xfId="46" applyFont="1" applyFill="1" applyBorder="1" applyAlignment="1" applyProtection="1">
      <alignment horizontal="center" vertical="center" wrapText="1"/>
    </xf>
    <xf numFmtId="165" fontId="23" fillId="0" borderId="0" xfId="58" applyNumberFormat="1" applyFont="1" applyFill="1" applyBorder="1" applyAlignment="1">
      <alignment horizontal="right" vertical="center"/>
    </xf>
    <xf numFmtId="0" fontId="23" fillId="0" borderId="0" xfId="56" applyFont="1" applyAlignment="1">
      <alignment horizontal="center" vertical="center" wrapText="1"/>
    </xf>
    <xf numFmtId="164" fontId="23" fillId="0" borderId="0" xfId="59" applyNumberFormat="1" applyFont="1" applyFill="1" applyBorder="1" applyAlignment="1">
      <alignment horizontal="right" vertical="center" wrapText="1"/>
    </xf>
    <xf numFmtId="164" fontId="23" fillId="0" borderId="0" xfId="59" applyNumberFormat="1" applyFont="1" applyFill="1" applyBorder="1" applyAlignment="1">
      <alignment horizontal="right" vertical="center"/>
    </xf>
    <xf numFmtId="164" fontId="23" fillId="0" borderId="0" xfId="59" applyNumberFormat="1" applyFont="1" applyFill="1" applyAlignment="1">
      <alignment horizontal="right" vertical="center"/>
    </xf>
    <xf numFmtId="42" fontId="23" fillId="0" borderId="0" xfId="59" applyNumberFormat="1" applyFont="1" applyFill="1" applyAlignment="1">
      <alignment horizontal="right" vertical="center"/>
    </xf>
    <xf numFmtId="164" fontId="25" fillId="0" borderId="0" xfId="59" applyNumberFormat="1" applyFont="1" applyFill="1" applyBorder="1" applyAlignment="1">
      <alignment vertical="center" wrapText="1"/>
    </xf>
    <xf numFmtId="42" fontId="25" fillId="0" borderId="0" xfId="59" applyNumberFormat="1" applyFont="1" applyFill="1" applyBorder="1" applyAlignment="1">
      <alignment horizontal="right" vertical="center" wrapText="1"/>
    </xf>
    <xf numFmtId="165" fontId="25" fillId="0" borderId="0" xfId="58" applyNumberFormat="1" applyFont="1" applyFill="1" applyBorder="1" applyAlignment="1">
      <alignment vertical="center"/>
    </xf>
    <xf numFmtId="41" fontId="43" fillId="0" borderId="10" xfId="58" applyNumberFormat="1" applyFont="1" applyFill="1" applyBorder="1" applyAlignment="1">
      <alignment horizontal="right" vertical="center"/>
    </xf>
    <xf numFmtId="165" fontId="69" fillId="0" borderId="0" xfId="58" applyNumberFormat="1" applyFont="1" applyFill="1" applyBorder="1" applyAlignment="1">
      <alignment vertical="center"/>
    </xf>
    <xf numFmtId="164" fontId="25" fillId="0" borderId="24" xfId="89" applyNumberFormat="1" applyFont="1" applyFill="1" applyBorder="1" applyAlignment="1">
      <alignment vertical="center" wrapText="1"/>
    </xf>
    <xf numFmtId="42" fontId="25" fillId="0" borderId="24" xfId="89" applyNumberFormat="1" applyFont="1" applyFill="1" applyBorder="1" applyAlignment="1">
      <alignment horizontal="right" vertical="center" wrapText="1"/>
    </xf>
    <xf numFmtId="42" fontId="25" fillId="0" borderId="24" xfId="89" applyNumberFormat="1" applyFont="1" applyFill="1" applyBorder="1" applyAlignment="1">
      <alignment horizontal="right" vertical="center"/>
    </xf>
    <xf numFmtId="164" fontId="23" fillId="51" borderId="0" xfId="56" applyNumberFormat="1" applyFont="1" applyFill="1" applyAlignment="1">
      <alignment vertical="center"/>
    </xf>
    <xf numFmtId="41" fontId="43" fillId="0" borderId="0" xfId="86" applyNumberFormat="1" applyFont="1" applyFill="1" applyAlignment="1">
      <alignment horizontal="right" vertical="center"/>
    </xf>
    <xf numFmtId="41" fontId="23" fillId="0" borderId="0" xfId="89" applyNumberFormat="1" applyFont="1" applyFill="1" applyAlignment="1">
      <alignment vertical="center"/>
    </xf>
    <xf numFmtId="164" fontId="29" fillId="51" borderId="0" xfId="56" applyNumberFormat="1" applyFont="1" applyFill="1" applyAlignment="1">
      <alignment vertical="center"/>
    </xf>
    <xf numFmtId="0" fontId="23" fillId="53" borderId="0" xfId="56" applyFont="1" applyFill="1" applyAlignment="1">
      <alignment vertical="center"/>
    </xf>
    <xf numFmtId="165" fontId="43" fillId="0" borderId="0" xfId="58" applyNumberFormat="1" applyFont="1" applyBorder="1" applyAlignment="1">
      <alignment vertical="center"/>
    </xf>
    <xf numFmtId="41" fontId="43" fillId="0" borderId="0" xfId="58" applyNumberFormat="1" applyFont="1" applyAlignment="1">
      <alignment vertical="center"/>
    </xf>
    <xf numFmtId="0" fontId="30" fillId="0" borderId="0" xfId="0" applyFont="1" applyAlignment="1">
      <alignment horizontal="center" vertical="center"/>
    </xf>
    <xf numFmtId="41" fontId="23" fillId="0" borderId="0" xfId="56" applyNumberFormat="1" applyFont="1" applyAlignment="1">
      <alignment vertical="center"/>
    </xf>
    <xf numFmtId="185" fontId="0" fillId="0" borderId="0" xfId="0" applyNumberFormat="1" applyAlignment="1" applyProtection="1">
      <alignment horizontal="right"/>
      <protection locked="0"/>
    </xf>
    <xf numFmtId="41" fontId="56" fillId="34" borderId="0" xfId="58" applyNumberFormat="1" applyFont="1" applyFill="1" applyBorder="1" applyAlignment="1">
      <alignment horizontal="center" vertical="center" wrapText="1"/>
    </xf>
    <xf numFmtId="0" fontId="29" fillId="34" borderId="0" xfId="56" applyFont="1" applyFill="1" applyAlignment="1">
      <alignment horizontal="center" vertical="center" wrapText="1"/>
    </xf>
    <xf numFmtId="0" fontId="30" fillId="34" borderId="0" xfId="0" applyFont="1" applyFill="1" applyAlignment="1">
      <alignment horizontal="center" vertical="center"/>
    </xf>
    <xf numFmtId="42" fontId="25" fillId="0" borderId="0" xfId="89" applyNumberFormat="1" applyFont="1" applyFill="1" applyBorder="1" applyAlignment="1">
      <alignment horizontal="right" vertical="center"/>
    </xf>
    <xf numFmtId="0" fontId="61" fillId="34" borderId="0" xfId="46" applyFont="1" applyFill="1" applyBorder="1" applyAlignment="1" applyProtection="1">
      <alignment horizontal="center" vertical="center" wrapText="1"/>
    </xf>
    <xf numFmtId="10" fontId="23" fillId="0" borderId="0" xfId="43" applyNumberFormat="1" applyFont="1" applyFill="1" applyBorder="1" applyAlignment="1">
      <alignment vertical="center" wrapText="1"/>
    </xf>
    <xf numFmtId="165" fontId="19" fillId="0" borderId="0" xfId="1" applyNumberFormat="1" applyFont="1" applyFill="1" applyBorder="1"/>
    <xf numFmtId="41" fontId="18" fillId="0" borderId="0" xfId="0" applyNumberFormat="1" applyFont="1"/>
    <xf numFmtId="0" fontId="46" fillId="0" borderId="0" xfId="56" applyFont="1" applyAlignment="1">
      <alignment horizontal="right" vertical="center"/>
    </xf>
    <xf numFmtId="10" fontId="23" fillId="0" borderId="0" xfId="43" applyNumberFormat="1" applyFont="1" applyFill="1" applyBorder="1" applyAlignment="1">
      <alignment horizontal="right" vertical="center" wrapText="1"/>
    </xf>
    <xf numFmtId="0" fontId="29" fillId="0" borderId="0" xfId="46" applyFont="1" applyFill="1" applyBorder="1" applyAlignment="1" applyProtection="1">
      <alignment horizontal="right" vertical="center" wrapText="1"/>
    </xf>
    <xf numFmtId="0" fontId="30" fillId="0" borderId="0" xfId="0" applyFont="1" applyAlignment="1">
      <alignment horizontal="right" vertical="center"/>
    </xf>
    <xf numFmtId="0" fontId="37" fillId="0" borderId="0" xfId="56" applyFont="1"/>
    <xf numFmtId="164" fontId="23" fillId="0" borderId="0" xfId="56" applyNumberFormat="1" applyFont="1" applyAlignment="1">
      <alignment vertical="center"/>
    </xf>
    <xf numFmtId="164" fontId="31" fillId="0" borderId="0" xfId="56" applyNumberFormat="1" applyAlignment="1">
      <alignment vertical="center"/>
    </xf>
    <xf numFmtId="0" fontId="37" fillId="0" borderId="0" xfId="56" applyFont="1" applyAlignment="1">
      <alignment vertical="center"/>
    </xf>
    <xf numFmtId="0" fontId="71" fillId="47" borderId="0" xfId="46" applyFont="1" applyFill="1" applyBorder="1" applyAlignment="1" applyProtection="1">
      <alignment horizontal="center" vertical="center"/>
    </xf>
    <xf numFmtId="0" fontId="18" fillId="51" borderId="0" xfId="56" applyFont="1" applyFill="1"/>
    <xf numFmtId="0" fontId="72" fillId="51" borderId="0" xfId="56" applyFont="1" applyFill="1"/>
    <xf numFmtId="0" fontId="19" fillId="50" borderId="0" xfId="56" applyFont="1" applyFill="1" applyAlignment="1">
      <alignment horizontal="center" vertical="center"/>
    </xf>
    <xf numFmtId="0" fontId="64" fillId="51" borderId="0" xfId="56" applyFont="1" applyFill="1"/>
    <xf numFmtId="0" fontId="18" fillId="51" borderId="0" xfId="56" applyFont="1" applyFill="1" applyAlignment="1">
      <alignment vertical="center"/>
    </xf>
    <xf numFmtId="186" fontId="21" fillId="0" borderId="0" xfId="1" applyNumberFormat="1" applyFont="1"/>
    <xf numFmtId="10" fontId="21" fillId="0" borderId="0" xfId="43" applyNumberFormat="1" applyFont="1" applyBorder="1"/>
    <xf numFmtId="164" fontId="21" fillId="0" borderId="0" xfId="44" applyNumberFormat="1" applyFont="1" applyFill="1" applyBorder="1"/>
    <xf numFmtId="164" fontId="21" fillId="0" borderId="18" xfId="44" applyNumberFormat="1" applyFont="1" applyFill="1" applyBorder="1"/>
    <xf numFmtId="164" fontId="22" fillId="0" borderId="0" xfId="44" applyNumberFormat="1" applyFont="1" applyFill="1"/>
    <xf numFmtId="0" fontId="21" fillId="0" borderId="0" xfId="0" quotePrefix="1" applyFont="1" applyAlignment="1">
      <alignment horizontal="center"/>
    </xf>
    <xf numFmtId="43" fontId="21" fillId="0" borderId="0" xfId="1" applyFont="1" applyBorder="1"/>
    <xf numFmtId="188" fontId="21" fillId="0" borderId="0" xfId="1" applyNumberFormat="1" applyFont="1" applyBorder="1"/>
    <xf numFmtId="181" fontId="21" fillId="43" borderId="0" xfId="0" applyNumberFormat="1" applyFont="1" applyFill="1"/>
    <xf numFmtId="165" fontId="0" fillId="0" borderId="0" xfId="1" applyNumberFormat="1" applyFont="1" applyProtection="1">
      <protection locked="0"/>
    </xf>
    <xf numFmtId="0" fontId="21" fillId="0" borderId="24" xfId="0" applyFont="1" applyBorder="1" applyAlignment="1">
      <alignment horizontal="right"/>
    </xf>
    <xf numFmtId="164" fontId="21" fillId="0" borderId="24" xfId="0" applyNumberFormat="1" applyFont="1" applyBorder="1"/>
    <xf numFmtId="44" fontId="21" fillId="0" borderId="0" xfId="44" applyFont="1" applyBorder="1"/>
    <xf numFmtId="164" fontId="24" fillId="0" borderId="0" xfId="44" applyNumberFormat="1" applyFont="1" applyBorder="1" applyAlignment="1">
      <alignment horizontal="right" vertical="center" wrapText="1"/>
    </xf>
    <xf numFmtId="164" fontId="21" fillId="0" borderId="0" xfId="44" applyNumberFormat="1" applyFont="1" applyBorder="1" applyAlignment="1">
      <alignment vertical="center"/>
    </xf>
    <xf numFmtId="164" fontId="24" fillId="0" borderId="0" xfId="44" applyNumberFormat="1" applyFont="1" applyBorder="1"/>
    <xf numFmtId="171" fontId="21" fillId="0" borderId="0" xfId="44" applyNumberFormat="1" applyFont="1" applyBorder="1"/>
    <xf numFmtId="164" fontId="24" fillId="0" borderId="0" xfId="44" applyNumberFormat="1" applyFont="1" applyBorder="1" applyAlignment="1">
      <alignment horizontal="right"/>
    </xf>
    <xf numFmtId="183" fontId="21" fillId="0" borderId="0" xfId="0" applyNumberFormat="1" applyFont="1"/>
    <xf numFmtId="0" fontId="46" fillId="33" borderId="39" xfId="56" applyFont="1" applyFill="1" applyBorder="1" applyAlignment="1">
      <alignment horizontal="center" vertical="center"/>
    </xf>
    <xf numFmtId="0" fontId="46" fillId="33" borderId="0" xfId="56" applyFont="1" applyFill="1" applyAlignment="1">
      <alignment horizontal="center" vertical="center"/>
    </xf>
    <xf numFmtId="0" fontId="46" fillId="33" borderId="18" xfId="56" applyFont="1" applyFill="1" applyBorder="1" applyAlignment="1">
      <alignment horizontal="center" vertical="center"/>
    </xf>
    <xf numFmtId="0" fontId="74" fillId="0" borderId="33" xfId="0" applyFont="1" applyBorder="1" applyAlignment="1">
      <alignment horizontal="left" vertical="center" wrapText="1"/>
    </xf>
    <xf numFmtId="0" fontId="74" fillId="0" borderId="0" xfId="0" applyFont="1" applyAlignment="1">
      <alignment horizontal="left" vertical="center" wrapText="1"/>
    </xf>
    <xf numFmtId="0" fontId="40" fillId="0" borderId="0" xfId="0" applyFont="1" applyAlignment="1">
      <alignment vertical="center"/>
    </xf>
    <xf numFmtId="49" fontId="40" fillId="0" borderId="0" xfId="0" applyNumberFormat="1" applyFont="1" applyAlignment="1">
      <alignment vertical="center"/>
    </xf>
    <xf numFmtId="41" fontId="43" fillId="0" borderId="0" xfId="0" applyNumberFormat="1" applyFont="1" applyAlignment="1">
      <alignment vertical="center"/>
    </xf>
    <xf numFmtId="0" fontId="31" fillId="0" borderId="0" xfId="56" applyAlignment="1">
      <alignment horizontal="center"/>
    </xf>
    <xf numFmtId="41" fontId="23" fillId="0" borderId="0" xfId="58" applyNumberFormat="1" applyFont="1" applyFill="1" applyBorder="1"/>
    <xf numFmtId="41" fontId="23" fillId="0" borderId="0" xfId="58" applyNumberFormat="1" applyFont="1" applyFill="1" applyBorder="1" applyAlignment="1">
      <alignment horizontal="right"/>
    </xf>
    <xf numFmtId="164" fontId="23" fillId="0" borderId="0" xfId="59" applyNumberFormat="1" applyFont="1" applyFill="1" applyBorder="1" applyAlignment="1">
      <alignment horizontal="right"/>
    </xf>
    <xf numFmtId="41" fontId="23" fillId="0" borderId="0" xfId="58" applyNumberFormat="1" applyFont="1" applyFill="1" applyBorder="1" applyAlignment="1">
      <alignment vertical="center"/>
    </xf>
    <xf numFmtId="41" fontId="23" fillId="0" borderId="0" xfId="58" applyNumberFormat="1" applyFont="1" applyFill="1" applyBorder="1" applyAlignment="1"/>
    <xf numFmtId="42" fontId="23" fillId="51" borderId="0" xfId="56" applyNumberFormat="1" applyFont="1" applyFill="1" applyAlignment="1">
      <alignment horizontal="center"/>
    </xf>
    <xf numFmtId="10" fontId="23" fillId="51" borderId="0" xfId="43" applyNumberFormat="1" applyFont="1" applyFill="1" applyBorder="1" applyAlignment="1">
      <alignment horizontal="center"/>
    </xf>
    <xf numFmtId="0" fontId="23" fillId="51" borderId="0" xfId="56" applyFont="1" applyFill="1" applyAlignment="1">
      <alignment horizontal="center"/>
    </xf>
    <xf numFmtId="0" fontId="31" fillId="53" borderId="0" xfId="56" applyFill="1" applyAlignment="1">
      <alignment horizontal="center"/>
    </xf>
    <xf numFmtId="164" fontId="23" fillId="51" borderId="0" xfId="56" applyNumberFormat="1" applyFont="1" applyFill="1"/>
    <xf numFmtId="43" fontId="23" fillId="51" borderId="0" xfId="56" applyNumberFormat="1" applyFont="1" applyFill="1" applyAlignment="1">
      <alignment vertical="center" wrapText="1"/>
    </xf>
    <xf numFmtId="43" fontId="23" fillId="51" borderId="0" xfId="56" applyNumberFormat="1" applyFont="1" applyFill="1" applyAlignment="1">
      <alignment vertical="center"/>
    </xf>
    <xf numFmtId="41" fontId="43" fillId="0" borderId="0" xfId="0" applyNumberFormat="1" applyFont="1"/>
    <xf numFmtId="41" fontId="43" fillId="0" borderId="0" xfId="86" applyNumberFormat="1" applyFont="1" applyFill="1" applyBorder="1" applyAlignment="1">
      <alignment horizontal="right"/>
    </xf>
    <xf numFmtId="42" fontId="25" fillId="0" borderId="0" xfId="89" applyNumberFormat="1" applyFont="1" applyFill="1" applyBorder="1" applyAlignment="1">
      <alignment horizontal="right" wrapText="1"/>
    </xf>
    <xf numFmtId="0" fontId="23" fillId="51" borderId="0" xfId="56" applyFont="1" applyFill="1" applyAlignment="1">
      <alignment vertical="center" wrapText="1"/>
    </xf>
    <xf numFmtId="43" fontId="23" fillId="0" borderId="0" xfId="56" applyNumberFormat="1" applyFont="1" applyAlignment="1">
      <alignment vertical="center"/>
    </xf>
    <xf numFmtId="41" fontId="23" fillId="0" borderId="0" xfId="86" applyNumberFormat="1" applyFont="1" applyFill="1" applyBorder="1" applyAlignment="1">
      <alignment horizontal="right"/>
    </xf>
    <xf numFmtId="43" fontId="23" fillId="0" borderId="0" xfId="56" applyNumberFormat="1" applyFont="1"/>
    <xf numFmtId="0" fontId="78" fillId="51" borderId="0" xfId="56" applyFont="1" applyFill="1" applyAlignment="1">
      <alignment vertical="center"/>
    </xf>
    <xf numFmtId="0" fontId="56" fillId="51" borderId="0" xfId="56" applyFont="1" applyFill="1"/>
    <xf numFmtId="165" fontId="19" fillId="0" borderId="0" xfId="1" applyNumberFormat="1" applyFont="1" applyAlignment="1">
      <alignment horizontal="center" wrapText="1"/>
    </xf>
    <xf numFmtId="0" fontId="19" fillId="0" borderId="0" xfId="0" applyFont="1" applyAlignment="1">
      <alignment wrapText="1"/>
    </xf>
    <xf numFmtId="165" fontId="25" fillId="55" borderId="0" xfId="58" applyNumberFormat="1" applyFont="1" applyFill="1" applyBorder="1" applyAlignment="1">
      <alignment horizontal="center" vertical="center" wrapText="1"/>
    </xf>
    <xf numFmtId="165" fontId="18" fillId="0" borderId="0" xfId="1" applyNumberFormat="1" applyFont="1" applyBorder="1"/>
    <xf numFmtId="0" fontId="0" fillId="0" borderId="0" xfId="0" quotePrefix="1"/>
    <xf numFmtId="49" fontId="0" fillId="0" borderId="0" xfId="0" quotePrefix="1" applyNumberFormat="1"/>
    <xf numFmtId="0" fontId="68" fillId="49" borderId="0" xfId="56" applyFont="1" applyFill="1" applyAlignment="1">
      <alignment horizontal="center" vertical="center" wrapText="1"/>
    </xf>
    <xf numFmtId="41" fontId="68" fillId="49" borderId="0" xfId="58" applyNumberFormat="1" applyFont="1" applyFill="1" applyBorder="1" applyAlignment="1">
      <alignment vertical="center"/>
    </xf>
    <xf numFmtId="0" fontId="68" fillId="0" borderId="0" xfId="56" applyFont="1" applyAlignment="1">
      <alignment horizontal="center" vertical="center"/>
    </xf>
    <xf numFmtId="0" fontId="68" fillId="0" borderId="0" xfId="56" applyFont="1" applyAlignment="1">
      <alignment horizontal="center" vertical="center" wrapText="1"/>
    </xf>
    <xf numFmtId="165" fontId="68" fillId="0" borderId="0" xfId="58" applyNumberFormat="1" applyFont="1" applyFill="1" applyBorder="1" applyAlignment="1">
      <alignment horizontal="center" vertical="center" wrapText="1"/>
    </xf>
    <xf numFmtId="165" fontId="68" fillId="0" borderId="0" xfId="58" applyNumberFormat="1" applyFont="1" applyFill="1" applyBorder="1" applyAlignment="1">
      <alignment horizontal="center" vertical="center"/>
    </xf>
    <xf numFmtId="41" fontId="68" fillId="0" borderId="0" xfId="58" applyNumberFormat="1" applyFont="1" applyFill="1" applyBorder="1" applyAlignment="1">
      <alignment vertical="center"/>
    </xf>
    <xf numFmtId="9" fontId="31" fillId="51" borderId="0" xfId="43" applyFont="1" applyFill="1" applyAlignment="1">
      <alignment vertical="center"/>
    </xf>
    <xf numFmtId="166" fontId="21" fillId="0" borderId="0" xfId="43" applyNumberFormat="1" applyFont="1" applyFill="1"/>
    <xf numFmtId="10" fontId="0" fillId="0" borderId="0" xfId="43" applyNumberFormat="1" applyFont="1" applyFill="1"/>
    <xf numFmtId="1" fontId="21" fillId="0" borderId="0" xfId="0" applyNumberFormat="1" applyFont="1"/>
    <xf numFmtId="0" fontId="21" fillId="0" borderId="0" xfId="0" applyFont="1" applyAlignment="1">
      <alignment wrapText="1"/>
    </xf>
    <xf numFmtId="41" fontId="21" fillId="0" borderId="0" xfId="0" applyNumberFormat="1" applyFont="1" applyAlignment="1">
      <alignment wrapText="1"/>
    </xf>
    <xf numFmtId="41" fontId="21" fillId="0" borderId="0" xfId="0" applyNumberFormat="1" applyFont="1" applyAlignment="1">
      <alignment horizontal="center" wrapText="1"/>
    </xf>
    <xf numFmtId="166" fontId="21" fillId="0" borderId="0" xfId="43" applyNumberFormat="1" applyFont="1" applyFill="1" applyBorder="1" applyAlignment="1">
      <alignment horizontal="right"/>
    </xf>
    <xf numFmtId="167" fontId="22" fillId="0" borderId="0" xfId="1" applyNumberFormat="1" applyFont="1" applyFill="1" applyBorder="1"/>
    <xf numFmtId="166" fontId="21" fillId="0" borderId="0" xfId="43" applyNumberFormat="1" applyFont="1" applyFill="1" applyBorder="1" applyAlignment="1">
      <alignment horizontal="center"/>
    </xf>
    <xf numFmtId="41" fontId="21" fillId="0" borderId="0" xfId="1" applyNumberFormat="1" applyFont="1" applyFill="1" applyBorder="1"/>
    <xf numFmtId="166" fontId="21" fillId="0" borderId="0" xfId="43" applyNumberFormat="1" applyFont="1" applyFill="1" applyBorder="1"/>
    <xf numFmtId="0" fontId="21" fillId="0" borderId="36" xfId="0" applyFont="1" applyBorder="1"/>
    <xf numFmtId="14" fontId="24" fillId="0" borderId="39" xfId="0" applyNumberFormat="1" applyFont="1" applyBorder="1" applyAlignment="1">
      <alignment horizontal="right"/>
    </xf>
    <xf numFmtId="0" fontId="21" fillId="0" borderId="39" xfId="0" applyFont="1" applyBorder="1" applyAlignment="1">
      <alignment horizontal="right"/>
    </xf>
    <xf numFmtId="164" fontId="21" fillId="0" borderId="39" xfId="44" applyNumberFormat="1" applyFont="1" applyBorder="1"/>
    <xf numFmtId="0" fontId="21" fillId="0" borderId="37" xfId="0" applyFont="1" applyBorder="1"/>
    <xf numFmtId="10" fontId="21" fillId="0" borderId="37" xfId="43" applyNumberFormat="1" applyFont="1" applyBorder="1"/>
    <xf numFmtId="164" fontId="21" fillId="0" borderId="35" xfId="0" applyNumberFormat="1" applyFont="1" applyBorder="1"/>
    <xf numFmtId="168" fontId="24" fillId="0" borderId="0" xfId="0" applyNumberFormat="1" applyFont="1"/>
    <xf numFmtId="166" fontId="21" fillId="0" borderId="18" xfId="0" applyNumberFormat="1" applyFont="1" applyBorder="1"/>
    <xf numFmtId="10" fontId="21" fillId="0" borderId="38" xfId="43" applyNumberFormat="1" applyFont="1" applyBorder="1"/>
    <xf numFmtId="0" fontId="21" fillId="0" borderId="38" xfId="0" applyFont="1" applyBorder="1"/>
    <xf numFmtId="0" fontId="21" fillId="0" borderId="19" xfId="0" applyFont="1" applyBorder="1"/>
    <xf numFmtId="10" fontId="21" fillId="0" borderId="35" xfId="43" applyNumberFormat="1" applyFont="1" applyBorder="1"/>
    <xf numFmtId="0" fontId="21" fillId="0" borderId="24" xfId="0" applyFont="1" applyBorder="1"/>
    <xf numFmtId="0" fontId="24" fillId="0" borderId="26" xfId="0" applyFont="1" applyBorder="1"/>
    <xf numFmtId="0" fontId="24" fillId="0" borderId="28" xfId="0" applyFont="1" applyBorder="1" applyAlignment="1">
      <alignment horizontal="center"/>
    </xf>
    <xf numFmtId="165" fontId="24" fillId="0" borderId="16" xfId="1" applyNumberFormat="1" applyFont="1" applyBorder="1" applyAlignment="1">
      <alignment horizontal="center"/>
    </xf>
    <xf numFmtId="164" fontId="21" fillId="0" borderId="10" xfId="0" applyNumberFormat="1" applyFont="1" applyBorder="1"/>
    <xf numFmtId="41" fontId="21" fillId="39" borderId="0" xfId="1" applyNumberFormat="1" applyFont="1" applyFill="1" applyBorder="1"/>
    <xf numFmtId="191" fontId="21" fillId="0" borderId="0" xfId="44" applyNumberFormat="1" applyFont="1"/>
    <xf numFmtId="192" fontId="21" fillId="0" borderId="0" xfId="44" applyNumberFormat="1" applyFont="1"/>
    <xf numFmtId="186" fontId="21" fillId="0" borderId="0" xfId="1" applyNumberFormat="1" applyFont="1" applyBorder="1"/>
    <xf numFmtId="10" fontId="21" fillId="0" borderId="28" xfId="43" applyNumberFormat="1" applyFont="1" applyBorder="1" applyAlignment="1">
      <alignment horizontal="center"/>
    </xf>
    <xf numFmtId="10" fontId="21" fillId="0" borderId="0" xfId="43" applyNumberFormat="1" applyFont="1" applyBorder="1" applyAlignment="1">
      <alignment horizontal="center"/>
    </xf>
    <xf numFmtId="10" fontId="21" fillId="0" borderId="18" xfId="43" applyNumberFormat="1" applyFont="1" applyBorder="1" applyAlignment="1">
      <alignment horizontal="center"/>
    </xf>
    <xf numFmtId="10" fontId="21" fillId="0" borderId="0" xfId="43" applyNumberFormat="1" applyFont="1" applyAlignment="1">
      <alignment horizontal="center"/>
    </xf>
    <xf numFmtId="0" fontId="21" fillId="56" borderId="0" xfId="0" applyFont="1" applyFill="1" applyAlignment="1">
      <alignment horizontal="center" wrapText="1"/>
    </xf>
    <xf numFmtId="193" fontId="21" fillId="0" borderId="0" xfId="1" applyNumberFormat="1" applyFont="1" applyBorder="1"/>
    <xf numFmtId="0" fontId="21" fillId="0" borderId="0" xfId="44" applyNumberFormat="1" applyFont="1" applyBorder="1" applyAlignment="1">
      <alignment horizontal="center"/>
    </xf>
    <xf numFmtId="164" fontId="21" fillId="0" borderId="0" xfId="44" applyNumberFormat="1" applyFont="1" applyBorder="1" applyAlignment="1">
      <alignment horizontal="center"/>
    </xf>
    <xf numFmtId="164" fontId="21" fillId="0" borderId="0" xfId="44" applyNumberFormat="1" applyFont="1" applyBorder="1" applyAlignment="1">
      <alignment horizontal="right" vertical="center" wrapText="1"/>
    </xf>
    <xf numFmtId="0" fontId="21" fillId="0" borderId="0" xfId="0" applyFont="1" applyAlignment="1">
      <alignment horizontal="right" wrapText="1"/>
    </xf>
    <xf numFmtId="164" fontId="41" fillId="0" borderId="0" xfId="44" applyNumberFormat="1" applyFont="1" applyBorder="1" applyAlignment="1"/>
    <xf numFmtId="194" fontId="21" fillId="43" borderId="28" xfId="0" applyNumberFormat="1" applyFont="1" applyFill="1" applyBorder="1"/>
    <xf numFmtId="0" fontId="0" fillId="35" borderId="0" xfId="0" applyFill="1"/>
    <xf numFmtId="0" fontId="16" fillId="0" borderId="0" xfId="0" applyFont="1" applyAlignment="1">
      <alignment horizontal="center"/>
    </xf>
    <xf numFmtId="0" fontId="19" fillId="44" borderId="0" xfId="0" applyFont="1" applyFill="1"/>
    <xf numFmtId="167" fontId="22" fillId="43" borderId="0" xfId="1" applyNumberFormat="1" applyFont="1" applyFill="1" applyBorder="1"/>
    <xf numFmtId="194" fontId="21" fillId="43" borderId="18" xfId="0" applyNumberFormat="1" applyFont="1" applyFill="1" applyBorder="1"/>
    <xf numFmtId="166" fontId="21" fillId="39" borderId="0" xfId="43" applyNumberFormat="1" applyFont="1" applyFill="1"/>
    <xf numFmtId="166" fontId="21" fillId="39" borderId="28" xfId="43" applyNumberFormat="1" applyFont="1" applyFill="1" applyBorder="1"/>
    <xf numFmtId="194" fontId="22" fillId="43" borderId="0" xfId="1" applyNumberFormat="1" applyFont="1" applyFill="1" applyBorder="1"/>
    <xf numFmtId="42" fontId="19" fillId="0" borderId="24" xfId="0" applyNumberFormat="1" applyFont="1" applyBorder="1"/>
    <xf numFmtId="165" fontId="18" fillId="0" borderId="0" xfId="0" applyNumberFormat="1" applyFont="1" applyAlignment="1">
      <alignment wrapText="1"/>
    </xf>
    <xf numFmtId="0" fontId="18" fillId="57" borderId="0" xfId="0" applyFont="1" applyFill="1"/>
    <xf numFmtId="0" fontId="26" fillId="0" borderId="0" xfId="46" applyFill="1" applyBorder="1" applyAlignment="1" applyProtection="1">
      <alignment vertical="center"/>
    </xf>
    <xf numFmtId="37" fontId="19" fillId="0" borderId="0" xfId="1" applyNumberFormat="1" applyFont="1"/>
    <xf numFmtId="10" fontId="21" fillId="58" borderId="0" xfId="43" applyNumberFormat="1" applyFont="1" applyFill="1"/>
    <xf numFmtId="42" fontId="79" fillId="0" borderId="28" xfId="1" applyNumberFormat="1" applyFont="1" applyFill="1" applyBorder="1" applyAlignment="1">
      <alignment horizontal="center"/>
    </xf>
    <xf numFmtId="42" fontId="79" fillId="0" borderId="28" xfId="1" applyNumberFormat="1" applyFont="1" applyFill="1" applyBorder="1" applyAlignment="1">
      <alignment horizontal="center" wrapText="1"/>
    </xf>
    <xf numFmtId="42" fontId="18" fillId="0" borderId="28" xfId="1" applyNumberFormat="1" applyFont="1" applyBorder="1"/>
    <xf numFmtId="42" fontId="18" fillId="0" borderId="28" xfId="1" applyNumberFormat="1" applyFont="1" applyBorder="1" applyAlignment="1">
      <alignment horizontal="center"/>
    </xf>
    <xf numFmtId="42" fontId="79" fillId="0" borderId="27" xfId="1" applyNumberFormat="1" applyFont="1" applyFill="1" applyBorder="1" applyAlignment="1">
      <alignment horizontal="center"/>
    </xf>
    <xf numFmtId="0" fontId="16" fillId="0" borderId="40" xfId="0" applyFont="1" applyBorder="1" applyAlignment="1">
      <alignment horizontal="center" wrapText="1"/>
    </xf>
    <xf numFmtId="0" fontId="16" fillId="0" borderId="40" xfId="0" applyFont="1" applyBorder="1" applyAlignment="1">
      <alignment wrapText="1"/>
    </xf>
    <xf numFmtId="0" fontId="0" fillId="0" borderId="40" xfId="0" applyBorder="1" applyAlignment="1">
      <alignment wrapText="1"/>
    </xf>
    <xf numFmtId="165" fontId="19" fillId="0" borderId="0" xfId="1" applyNumberFormat="1" applyFont="1" applyAlignment="1">
      <alignment horizontal="center" vertical="center" wrapText="1"/>
    </xf>
    <xf numFmtId="0" fontId="19" fillId="0" borderId="0" xfId="0" applyFont="1" applyAlignment="1">
      <alignment vertical="center" wrapText="1"/>
    </xf>
    <xf numFmtId="0" fontId="16" fillId="0" borderId="40" xfId="0" applyFont="1" applyBorder="1" applyAlignment="1">
      <alignment horizontal="center" vertical="center" wrapText="1"/>
    </xf>
    <xf numFmtId="0" fontId="16" fillId="0" borderId="40" xfId="0" applyFont="1" applyBorder="1" applyAlignment="1">
      <alignment vertical="center" wrapText="1"/>
    </xf>
    <xf numFmtId="0" fontId="0" fillId="0" borderId="40" xfId="0" applyBorder="1" applyAlignment="1">
      <alignment vertical="center" wrapText="1"/>
    </xf>
    <xf numFmtId="0" fontId="18" fillId="0" borderId="0" xfId="0" applyFont="1" applyAlignment="1">
      <alignment horizontal="left" wrapText="1"/>
    </xf>
    <xf numFmtId="0" fontId="0" fillId="0" borderId="0" xfId="0" applyAlignment="1">
      <alignment horizontal="center" wrapText="1"/>
    </xf>
    <xf numFmtId="0" fontId="18" fillId="0" borderId="0" xfId="0" applyFont="1" applyAlignment="1">
      <alignment vertical="center"/>
    </xf>
    <xf numFmtId="0" fontId="1" fillId="0" borderId="0" xfId="1" applyNumberFormat="1" applyFont="1" applyAlignment="1">
      <alignment horizontal="center" vertical="center"/>
    </xf>
    <xf numFmtId="0" fontId="1"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41" fontId="18" fillId="0" borderId="0" xfId="54" applyNumberFormat="1" applyFont="1" applyFill="1" applyBorder="1" applyAlignment="1" applyProtection="1">
      <alignment vertical="center"/>
      <protection locked="0"/>
    </xf>
    <xf numFmtId="41" fontId="0" fillId="0" borderId="0" xfId="0" applyNumberFormat="1" applyAlignment="1">
      <alignment vertical="center"/>
    </xf>
    <xf numFmtId="165" fontId="18" fillId="0" borderId="0" xfId="1" applyNumberFormat="1" applyFont="1" applyAlignment="1">
      <alignment vertical="center"/>
    </xf>
    <xf numFmtId="9" fontId="0" fillId="39" borderId="0" xfId="43" applyFont="1" applyFill="1" applyBorder="1" applyAlignment="1">
      <alignment horizontal="center" vertical="center" wrapText="1"/>
    </xf>
    <xf numFmtId="165" fontId="18" fillId="0" borderId="0" xfId="1" applyNumberFormat="1" applyFont="1" applyAlignment="1">
      <alignment horizontal="center" vertical="center"/>
    </xf>
    <xf numFmtId="0" fontId="0" fillId="0" borderId="0" xfId="0" applyAlignment="1">
      <alignment vertical="center"/>
    </xf>
    <xf numFmtId="0" fontId="19" fillId="0" borderId="0" xfId="0" applyFont="1" applyAlignment="1">
      <alignment vertical="center"/>
    </xf>
    <xf numFmtId="41" fontId="1" fillId="0" borderId="0" xfId="55" applyNumberFormat="1" applyFont="1" applyFill="1" applyBorder="1" applyAlignment="1" applyProtection="1">
      <alignment vertical="center"/>
      <protection locked="0"/>
    </xf>
    <xf numFmtId="165" fontId="16" fillId="0" borderId="40" xfId="1" applyNumberFormat="1" applyFont="1" applyBorder="1" applyAlignment="1">
      <alignment horizontal="center" vertical="center" wrapText="1"/>
    </xf>
    <xf numFmtId="41" fontId="0" fillId="0" borderId="0" xfId="0" applyNumberFormat="1" applyAlignment="1">
      <alignment horizontal="center" vertical="center"/>
    </xf>
    <xf numFmtId="41" fontId="18" fillId="0" borderId="28" xfId="1" applyNumberFormat="1" applyFont="1" applyBorder="1"/>
    <xf numFmtId="10" fontId="0" fillId="0" borderId="0" xfId="0" applyNumberFormat="1" applyAlignment="1">
      <alignment horizontal="center" vertical="center"/>
    </xf>
    <xf numFmtId="0" fontId="28" fillId="0" borderId="0" xfId="46" applyFont="1" applyFill="1" applyBorder="1" applyAlignment="1" applyProtection="1">
      <alignment vertical="center"/>
    </xf>
    <xf numFmtId="0" fontId="81" fillId="0" borderId="0" xfId="0" applyFont="1"/>
    <xf numFmtId="0" fontId="82" fillId="0" borderId="0" xfId="0" applyFont="1" applyAlignment="1">
      <alignment horizontal="center"/>
    </xf>
    <xf numFmtId="0" fontId="81" fillId="0" borderId="0" xfId="0" applyFont="1" applyAlignment="1">
      <alignment horizontal="center"/>
    </xf>
    <xf numFmtId="0" fontId="83" fillId="0" borderId="40" xfId="0" applyFont="1" applyBorder="1" applyAlignment="1">
      <alignment horizontal="center" wrapText="1"/>
    </xf>
    <xf numFmtId="166" fontId="81" fillId="34" borderId="20" xfId="43" applyNumberFormat="1" applyFont="1" applyFill="1" applyBorder="1" applyAlignment="1">
      <alignment horizontal="center"/>
    </xf>
    <xf numFmtId="10" fontId="81" fillId="34" borderId="20" xfId="43" applyNumberFormat="1" applyFont="1" applyFill="1" applyBorder="1" applyAlignment="1">
      <alignment horizontal="center"/>
    </xf>
    <xf numFmtId="41" fontId="81" fillId="34" borderId="20" xfId="43" applyNumberFormat="1" applyFont="1" applyFill="1" applyBorder="1" applyAlignment="1">
      <alignment horizontal="center"/>
    </xf>
    <xf numFmtId="165" fontId="81" fillId="34" borderId="20" xfId="1" applyNumberFormat="1" applyFont="1" applyFill="1" applyBorder="1" applyAlignment="1">
      <alignment horizontal="center"/>
    </xf>
    <xf numFmtId="165" fontId="81" fillId="0" borderId="22" xfId="1" applyNumberFormat="1" applyFont="1" applyFill="1" applyBorder="1"/>
    <xf numFmtId="165" fontId="81" fillId="0" borderId="0" xfId="1" applyNumberFormat="1" applyFont="1" applyFill="1" applyBorder="1"/>
    <xf numFmtId="165" fontId="81" fillId="0" borderId="0" xfId="1" applyNumberFormat="1" applyFont="1" applyAlignment="1">
      <alignment horizontal="center"/>
    </xf>
    <xf numFmtId="0" fontId="81" fillId="0" borderId="0" xfId="0" applyFont="1" applyAlignment="1">
      <alignment horizontal="right"/>
    </xf>
    <xf numFmtId="6" fontId="81" fillId="0" borderId="23" xfId="0" applyNumberFormat="1" applyFont="1" applyBorder="1"/>
    <xf numFmtId="6" fontId="81" fillId="0" borderId="10" xfId="0" applyNumberFormat="1" applyFont="1" applyBorder="1"/>
    <xf numFmtId="0" fontId="81" fillId="36" borderId="11" xfId="0" applyFont="1" applyFill="1" applyBorder="1" applyAlignment="1">
      <alignment horizontal="center" wrapText="1"/>
    </xf>
    <xf numFmtId="0" fontId="81" fillId="36" borderId="12" xfId="0" applyFont="1" applyFill="1" applyBorder="1" applyAlignment="1">
      <alignment horizontal="center" wrapText="1"/>
    </xf>
    <xf numFmtId="0" fontId="81" fillId="36" borderId="13" xfId="0" applyFont="1" applyFill="1" applyBorder="1" applyAlignment="1">
      <alignment horizontal="center" wrapText="1"/>
    </xf>
    <xf numFmtId="0" fontId="81" fillId="0" borderId="0" xfId="0" applyFont="1" applyAlignment="1">
      <alignment horizontal="center" wrapText="1"/>
    </xf>
    <xf numFmtId="3" fontId="81" fillId="0" borderId="0" xfId="0" applyNumberFormat="1" applyFont="1" applyAlignment="1">
      <alignment horizontal="center" wrapText="1"/>
    </xf>
    <xf numFmtId="165" fontId="84" fillId="0" borderId="0" xfId="1" applyNumberFormat="1" applyFont="1" applyFill="1"/>
    <xf numFmtId="165" fontId="81" fillId="0" borderId="0" xfId="1" applyNumberFormat="1" applyFont="1"/>
    <xf numFmtId="165" fontId="81" fillId="0" borderId="0" xfId="1" applyNumberFormat="1" applyFont="1" applyFill="1"/>
    <xf numFmtId="165" fontId="81" fillId="0" borderId="0" xfId="0" applyNumberFormat="1" applyFont="1"/>
    <xf numFmtId="3" fontId="81" fillId="0" borderId="0" xfId="0" applyNumberFormat="1" applyFont="1"/>
    <xf numFmtId="0" fontId="81" fillId="36" borderId="11" xfId="0" applyFont="1" applyFill="1" applyBorder="1"/>
    <xf numFmtId="0" fontId="81" fillId="36" borderId="12" xfId="0" applyFont="1" applyFill="1" applyBorder="1"/>
    <xf numFmtId="165" fontId="81" fillId="36" borderId="12" xfId="0" applyNumberFormat="1" applyFont="1" applyFill="1" applyBorder="1"/>
    <xf numFmtId="6" fontId="81" fillId="36" borderId="12" xfId="0" applyNumberFormat="1" applyFont="1" applyFill="1" applyBorder="1"/>
    <xf numFmtId="165" fontId="81" fillId="36" borderId="13" xfId="0" applyNumberFormat="1" applyFont="1" applyFill="1" applyBorder="1"/>
    <xf numFmtId="41" fontId="81" fillId="0" borderId="0" xfId="0" applyNumberFormat="1" applyFont="1"/>
    <xf numFmtId="41" fontId="1" fillId="57" borderId="0" xfId="55" applyNumberFormat="1" applyFont="1" applyFill="1" applyBorder="1" applyAlignment="1" applyProtection="1">
      <alignment vertical="center"/>
      <protection locked="0"/>
    </xf>
    <xf numFmtId="0" fontId="0" fillId="0" borderId="0" xfId="0" applyAlignment="1">
      <alignment horizontal="left" wrapText="1"/>
    </xf>
    <xf numFmtId="0" fontId="0" fillId="0" borderId="40" xfId="0" applyBorder="1" applyAlignment="1">
      <alignment horizontal="left" vertical="center" wrapText="1"/>
    </xf>
    <xf numFmtId="0" fontId="0" fillId="0" borderId="40" xfId="0" applyBorder="1" applyAlignment="1">
      <alignment horizontal="left" wrapText="1"/>
    </xf>
    <xf numFmtId="42" fontId="40" fillId="0" borderId="28" xfId="0" applyNumberFormat="1" applyFont="1" applyBorder="1" applyAlignment="1">
      <alignment horizontal="left" wrapText="1"/>
    </xf>
    <xf numFmtId="0" fontId="40" fillId="0" borderId="0" xfId="0" applyFont="1" applyAlignment="1">
      <alignment horizontal="left" wrapText="1"/>
    </xf>
    <xf numFmtId="0" fontId="0" fillId="35" borderId="0" xfId="0" applyFill="1" applyAlignment="1">
      <alignment horizontal="center"/>
    </xf>
    <xf numFmtId="0" fontId="0" fillId="59" borderId="0" xfId="0" applyFill="1" applyAlignment="1">
      <alignment horizontal="center" vertical="center"/>
    </xf>
    <xf numFmtId="10" fontId="21" fillId="45" borderId="0" xfId="43" applyNumberFormat="1" applyFont="1" applyFill="1"/>
    <xf numFmtId="165" fontId="56" fillId="0" borderId="28" xfId="58" applyNumberFormat="1" applyFont="1" applyFill="1" applyBorder="1" applyAlignment="1">
      <alignment horizontal="center" vertical="center" wrapText="1"/>
    </xf>
    <xf numFmtId="41" fontId="56" fillId="0" borderId="28" xfId="58" applyNumberFormat="1" applyFont="1" applyFill="1" applyBorder="1" applyAlignment="1">
      <alignment horizontal="center" vertical="center" wrapText="1"/>
    </xf>
    <xf numFmtId="41" fontId="52" fillId="0" borderId="0" xfId="0" applyNumberFormat="1" applyFont="1" applyAlignment="1">
      <alignment vertical="center"/>
    </xf>
    <xf numFmtId="0" fontId="46" fillId="0" borderId="39" xfId="56" applyFont="1" applyBorder="1" applyAlignment="1">
      <alignment horizontal="center" vertical="center"/>
    </xf>
    <xf numFmtId="0" fontId="46" fillId="0" borderId="39" xfId="56" applyFont="1" applyBorder="1" applyAlignment="1">
      <alignment horizontal="right" vertical="center"/>
    </xf>
    <xf numFmtId="0" fontId="46" fillId="0" borderId="18" xfId="56" applyFont="1" applyBorder="1" applyAlignment="1">
      <alignment horizontal="center" vertical="center"/>
    </xf>
    <xf numFmtId="0" fontId="46" fillId="0" borderId="18" xfId="56" applyFont="1" applyBorder="1" applyAlignment="1">
      <alignment horizontal="right" vertical="center"/>
    </xf>
    <xf numFmtId="0" fontId="29" fillId="0" borderId="0" xfId="56" applyFont="1" applyAlignment="1">
      <alignment horizontal="center" vertical="center" wrapText="1"/>
    </xf>
    <xf numFmtId="0" fontId="29" fillId="0" borderId="0" xfId="56" applyFont="1" applyAlignment="1">
      <alignment horizontal="right" vertical="center" wrapText="1"/>
    </xf>
    <xf numFmtId="0" fontId="19" fillId="51" borderId="0" xfId="56" applyFont="1" applyFill="1"/>
    <xf numFmtId="0" fontId="19" fillId="51" borderId="0" xfId="56" applyFont="1" applyFill="1" applyAlignment="1">
      <alignment vertical="center"/>
    </xf>
    <xf numFmtId="164" fontId="25" fillId="0" borderId="0" xfId="44" applyNumberFormat="1" applyFont="1" applyFill="1" applyBorder="1" applyAlignment="1">
      <alignment vertical="center"/>
    </xf>
    <xf numFmtId="164" fontId="42" fillId="0" borderId="0" xfId="44" applyNumberFormat="1" applyFont="1" applyFill="1" applyBorder="1" applyAlignment="1">
      <alignment vertical="center"/>
    </xf>
    <xf numFmtId="42" fontId="25" fillId="0" borderId="40" xfId="59" applyNumberFormat="1" applyFont="1" applyFill="1" applyBorder="1" applyAlignment="1">
      <alignment horizontal="right" vertical="center" wrapText="1"/>
    </xf>
    <xf numFmtId="42" fontId="0" fillId="0" borderId="0" xfId="0" applyNumberFormat="1"/>
    <xf numFmtId="189" fontId="21" fillId="0" borderId="0" xfId="0" applyNumberFormat="1" applyFont="1"/>
    <xf numFmtId="41" fontId="1" fillId="0" borderId="0" xfId="54" applyNumberFormat="1" applyFont="1" applyFill="1" applyBorder="1" applyAlignment="1" applyProtection="1">
      <alignment vertical="center"/>
      <protection locked="0"/>
    </xf>
    <xf numFmtId="194" fontId="21" fillId="43" borderId="0" xfId="0" applyNumberFormat="1" applyFont="1" applyFill="1"/>
    <xf numFmtId="194" fontId="22" fillId="43" borderId="18" xfId="1" applyNumberFormat="1" applyFont="1" applyFill="1" applyBorder="1"/>
    <xf numFmtId="166" fontId="21" fillId="39" borderId="18" xfId="43" applyNumberFormat="1" applyFont="1" applyFill="1" applyBorder="1"/>
    <xf numFmtId="49" fontId="16" fillId="0" borderId="0" xfId="0" applyNumberFormat="1" applyFont="1"/>
    <xf numFmtId="0" fontId="56" fillId="0" borderId="26" xfId="56" applyFont="1" applyBorder="1" applyAlignment="1">
      <alignment horizontal="center" vertical="center" wrapText="1"/>
    </xf>
    <xf numFmtId="9" fontId="21" fillId="0" borderId="37" xfId="43" applyFont="1" applyBorder="1"/>
    <xf numFmtId="41" fontId="0" fillId="0" borderId="33" xfId="0" applyNumberFormat="1" applyBorder="1"/>
    <xf numFmtId="165" fontId="0" fillId="0" borderId="0" xfId="1" applyNumberFormat="1" applyFont="1" applyFill="1" applyBorder="1"/>
    <xf numFmtId="0" fontId="77" fillId="0" borderId="0" xfId="0" applyFont="1" applyAlignment="1">
      <alignment horizontal="left" vertical="center" wrapText="1"/>
    </xf>
    <xf numFmtId="0" fontId="56" fillId="60" borderId="26" xfId="56" applyFont="1" applyFill="1" applyBorder="1" applyAlignment="1">
      <alignment horizontal="center" vertical="center" wrapText="1"/>
    </xf>
    <xf numFmtId="0" fontId="56" fillId="49" borderId="28" xfId="56" applyFont="1" applyFill="1" applyBorder="1" applyAlignment="1">
      <alignment horizontal="center" vertical="center" wrapText="1"/>
    </xf>
    <xf numFmtId="0" fontId="56" fillId="49" borderId="27" xfId="56" applyFont="1" applyFill="1" applyBorder="1" applyAlignment="1">
      <alignment horizontal="center" vertical="center" wrapText="1"/>
    </xf>
    <xf numFmtId="41" fontId="56" fillId="52" borderId="41" xfId="58" applyNumberFormat="1" applyFont="1" applyFill="1" applyBorder="1" applyAlignment="1">
      <alignment horizontal="center" vertical="center" wrapText="1"/>
    </xf>
    <xf numFmtId="41" fontId="56" fillId="52" borderId="42" xfId="58" applyNumberFormat="1" applyFont="1" applyFill="1" applyBorder="1" applyAlignment="1">
      <alignment horizontal="center" vertical="center" wrapText="1"/>
    </xf>
    <xf numFmtId="0" fontId="76" fillId="0" borderId="0" xfId="0" applyFont="1" applyAlignment="1">
      <alignment horizontal="left" vertical="center" wrapText="1"/>
    </xf>
    <xf numFmtId="6" fontId="55" fillId="42" borderId="0" xfId="0" applyNumberFormat="1" applyFont="1" applyFill="1" applyAlignment="1">
      <alignment horizontal="right" vertical="center" wrapText="1"/>
    </xf>
    <xf numFmtId="0" fontId="0" fillId="42" borderId="0" xfId="0" applyFill="1"/>
    <xf numFmtId="10" fontId="55" fillId="42" borderId="0" xfId="0" applyNumberFormat="1" applyFont="1" applyFill="1" applyAlignment="1">
      <alignment horizontal="right" vertical="center" wrapText="1"/>
    </xf>
    <xf numFmtId="43" fontId="81" fillId="0" borderId="0" xfId="0" applyNumberFormat="1" applyFont="1"/>
    <xf numFmtId="193" fontId="21" fillId="0" borderId="0" xfId="1" applyNumberFormat="1" applyFont="1"/>
    <xf numFmtId="169" fontId="21" fillId="0" borderId="0" xfId="43" applyNumberFormat="1" applyFont="1"/>
    <xf numFmtId="41" fontId="21" fillId="45" borderId="0" xfId="1" applyNumberFormat="1" applyFont="1" applyFill="1" applyBorder="1"/>
    <xf numFmtId="195" fontId="21" fillId="0" borderId="0" xfId="1" applyNumberFormat="1" applyFont="1"/>
    <xf numFmtId="186" fontId="21" fillId="0" borderId="0" xfId="1" applyNumberFormat="1" applyFont="1" applyFill="1" applyBorder="1"/>
    <xf numFmtId="188" fontId="21" fillId="0" borderId="0" xfId="1" applyNumberFormat="1" applyFont="1" applyFill="1" applyBorder="1"/>
    <xf numFmtId="43" fontId="21" fillId="0" borderId="0" xfId="1" applyFont="1" applyFill="1" applyBorder="1"/>
    <xf numFmtId="43" fontId="21" fillId="0" borderId="0" xfId="1" applyFont="1" applyFill="1"/>
    <xf numFmtId="167" fontId="21" fillId="62" borderId="0" xfId="0" applyNumberFormat="1" applyFont="1" applyFill="1"/>
    <xf numFmtId="167" fontId="22" fillId="62" borderId="0" xfId="1" applyNumberFormat="1" applyFont="1" applyFill="1" applyBorder="1"/>
    <xf numFmtId="0" fontId="21" fillId="0" borderId="0" xfId="43" applyNumberFormat="1" applyFont="1"/>
    <xf numFmtId="166" fontId="21" fillId="39" borderId="0" xfId="43" applyNumberFormat="1" applyFont="1" applyFill="1" applyBorder="1"/>
    <xf numFmtId="9" fontId="21" fillId="45" borderId="0" xfId="43" applyFont="1" applyFill="1"/>
    <xf numFmtId="41" fontId="23" fillId="0" borderId="0" xfId="86" applyNumberFormat="1" applyFont="1" applyFill="1" applyBorder="1"/>
    <xf numFmtId="43" fontId="18" fillId="0" borderId="0" xfId="0" applyNumberFormat="1" applyFont="1"/>
    <xf numFmtId="169" fontId="21" fillId="0" borderId="0" xfId="43" applyNumberFormat="1" applyFont="1" applyBorder="1"/>
    <xf numFmtId="42" fontId="23" fillId="0" borderId="0" xfId="56" applyNumberFormat="1" applyFont="1" applyAlignment="1">
      <alignment vertical="center"/>
    </xf>
    <xf numFmtId="164" fontId="21" fillId="0" borderId="0" xfId="1" applyNumberFormat="1" applyFont="1" applyBorder="1"/>
    <xf numFmtId="196" fontId="21" fillId="0" borderId="0" xfId="1" applyNumberFormat="1" applyFont="1"/>
    <xf numFmtId="187" fontId="21" fillId="0" borderId="0" xfId="1" applyNumberFormat="1" applyFont="1" applyBorder="1"/>
    <xf numFmtId="9" fontId="21" fillId="0" borderId="0" xfId="43" applyFont="1"/>
    <xf numFmtId="6" fontId="85" fillId="0" borderId="0" xfId="0" applyNumberFormat="1" applyFont="1" applyAlignment="1">
      <alignment horizontal="right" vertical="center" wrapText="1"/>
    </xf>
    <xf numFmtId="165" fontId="14" fillId="0" borderId="0" xfId="1" applyNumberFormat="1" applyFont="1" applyFill="1" applyBorder="1"/>
    <xf numFmtId="10" fontId="85" fillId="0" borderId="0" xfId="0" applyNumberFormat="1" applyFont="1" applyAlignment="1">
      <alignment horizontal="right" vertical="center" wrapText="1"/>
    </xf>
    <xf numFmtId="0" fontId="85" fillId="0" borderId="0" xfId="0" applyFont="1"/>
    <xf numFmtId="0" fontId="53" fillId="0" borderId="0" xfId="0" applyFont="1" applyAlignment="1">
      <alignment horizontal="left"/>
    </xf>
    <xf numFmtId="0" fontId="53" fillId="0" borderId="0" xfId="0" applyFont="1" applyAlignment="1">
      <alignment horizontal="center"/>
    </xf>
    <xf numFmtId="6" fontId="58" fillId="0" borderId="0" xfId="0" applyNumberFormat="1" applyFont="1" applyAlignment="1">
      <alignment horizontal="right" vertical="center" wrapText="1"/>
    </xf>
    <xf numFmtId="165" fontId="52" fillId="0" borderId="0" xfId="1" applyNumberFormat="1" applyFont="1" applyFill="1" applyBorder="1"/>
    <xf numFmtId="0" fontId="52" fillId="0" borderId="0" xfId="0" applyFont="1"/>
    <xf numFmtId="10" fontId="58" fillId="0" borderId="0" xfId="0" applyNumberFormat="1" applyFont="1" applyAlignment="1">
      <alignment horizontal="right" vertical="center" wrapText="1"/>
    </xf>
    <xf numFmtId="41" fontId="0" fillId="59" borderId="0" xfId="0" applyNumberFormat="1" applyFill="1"/>
    <xf numFmtId="41" fontId="0" fillId="59" borderId="10" xfId="0" applyNumberFormat="1" applyFill="1" applyBorder="1"/>
    <xf numFmtId="6" fontId="55" fillId="59" borderId="0" xfId="0" applyNumberFormat="1" applyFont="1" applyFill="1" applyAlignment="1">
      <alignment horizontal="right" vertical="center" wrapText="1"/>
    </xf>
    <xf numFmtId="10" fontId="55" fillId="59" borderId="0" xfId="0" applyNumberFormat="1" applyFont="1" applyFill="1" applyAlignment="1">
      <alignment horizontal="right" vertical="center" wrapText="1"/>
    </xf>
    <xf numFmtId="0" fontId="53" fillId="59" borderId="0" xfId="0" applyFont="1" applyFill="1"/>
    <xf numFmtId="6" fontId="55" fillId="63" borderId="0" xfId="0" applyNumberFormat="1" applyFont="1" applyFill="1" applyAlignment="1">
      <alignment horizontal="right" vertical="center" wrapText="1"/>
    </xf>
    <xf numFmtId="0" fontId="0" fillId="63" borderId="0" xfId="0" applyFill="1"/>
    <xf numFmtId="10" fontId="55" fillId="63" borderId="0" xfId="0" applyNumberFormat="1" applyFont="1" applyFill="1" applyAlignment="1">
      <alignment horizontal="right" vertical="center" wrapText="1"/>
    </xf>
    <xf numFmtId="0" fontId="53" fillId="63" borderId="0" xfId="0" applyFont="1" applyFill="1"/>
    <xf numFmtId="41" fontId="53" fillId="0" borderId="0" xfId="0" applyNumberFormat="1" applyFont="1"/>
    <xf numFmtId="41" fontId="55" fillId="0" borderId="0" xfId="0" applyNumberFormat="1" applyFont="1" applyAlignment="1">
      <alignment horizontal="right" vertical="center" wrapText="1"/>
    </xf>
    <xf numFmtId="41" fontId="0" fillId="0" borderId="0" xfId="0" applyNumberFormat="1" applyProtection="1">
      <protection locked="0"/>
    </xf>
    <xf numFmtId="165" fontId="53" fillId="0" borderId="0" xfId="1" applyNumberFormat="1" applyFont="1" applyFill="1" applyBorder="1" applyAlignment="1">
      <alignment horizontal="center" wrapText="1"/>
    </xf>
    <xf numFmtId="4" fontId="0" fillId="0" borderId="0" xfId="0" applyNumberFormat="1"/>
    <xf numFmtId="6" fontId="55" fillId="58" borderId="0" xfId="0" applyNumberFormat="1" applyFont="1" applyFill="1" applyAlignment="1">
      <alignment horizontal="right" vertical="center" wrapText="1"/>
    </xf>
    <xf numFmtId="10" fontId="55" fillId="58" borderId="0" xfId="0" applyNumberFormat="1" applyFont="1" applyFill="1" applyAlignment="1">
      <alignment horizontal="right" vertical="center" wrapText="1"/>
    </xf>
    <xf numFmtId="0" fontId="53" fillId="58" borderId="0" xfId="0" applyFont="1" applyFill="1"/>
    <xf numFmtId="6" fontId="55" fillId="35" borderId="0" xfId="0" applyNumberFormat="1" applyFont="1" applyFill="1" applyAlignment="1">
      <alignment horizontal="right" vertical="center" wrapText="1"/>
    </xf>
    <xf numFmtId="165" fontId="0" fillId="35" borderId="0" xfId="1" applyNumberFormat="1" applyFont="1" applyFill="1" applyBorder="1"/>
    <xf numFmtId="10" fontId="55" fillId="35" borderId="0" xfId="0" applyNumberFormat="1" applyFont="1" applyFill="1" applyAlignment="1">
      <alignment horizontal="right" vertical="center" wrapText="1"/>
    </xf>
    <xf numFmtId="0" fontId="53" fillId="35" borderId="0" xfId="0" applyFont="1" applyFill="1"/>
    <xf numFmtId="41" fontId="21" fillId="35" borderId="28" xfId="0" applyNumberFormat="1" applyFont="1" applyFill="1" applyBorder="1"/>
    <xf numFmtId="164" fontId="40" fillId="0" borderId="0" xfId="0" applyNumberFormat="1" applyFont="1" applyAlignment="1" applyProtection="1">
      <alignment vertical="center"/>
      <protection locked="0"/>
    </xf>
    <xf numFmtId="0" fontId="74" fillId="0" borderId="33" xfId="0" quotePrefix="1" applyFont="1" applyBorder="1" applyAlignment="1">
      <alignment horizontal="left" vertical="center" wrapText="1"/>
    </xf>
    <xf numFmtId="41" fontId="0" fillId="0" borderId="40" xfId="0" applyNumberFormat="1" applyBorder="1"/>
    <xf numFmtId="0" fontId="18" fillId="0" borderId="0" xfId="56" applyFont="1" applyAlignment="1">
      <alignment vertical="center"/>
    </xf>
    <xf numFmtId="41" fontId="21" fillId="35" borderId="18" xfId="0" applyNumberFormat="1" applyFont="1" applyFill="1" applyBorder="1"/>
    <xf numFmtId="43" fontId="86" fillId="0" borderId="0" xfId="1" applyFont="1" applyBorder="1" applyAlignment="1"/>
    <xf numFmtId="41" fontId="23" fillId="35" borderId="0" xfId="56" applyNumberFormat="1" applyFont="1" applyFill="1" applyAlignment="1">
      <alignment vertical="center" wrapText="1"/>
    </xf>
    <xf numFmtId="41" fontId="23" fillId="64" borderId="0" xfId="56" applyNumberFormat="1" applyFont="1" applyFill="1" applyAlignment="1">
      <alignment vertical="center" wrapText="1"/>
    </xf>
    <xf numFmtId="0" fontId="0" fillId="35" borderId="0" xfId="0" applyFill="1" applyAlignment="1">
      <alignment horizontal="left" vertical="center" wrapText="1"/>
    </xf>
    <xf numFmtId="41" fontId="0" fillId="0" borderId="0" xfId="0" applyNumberFormat="1" applyAlignment="1">
      <alignment wrapText="1"/>
    </xf>
    <xf numFmtId="41" fontId="0" fillId="0" borderId="0" xfId="0" applyNumberFormat="1" applyAlignment="1" applyProtection="1">
      <alignment horizontal="right"/>
      <protection locked="0"/>
    </xf>
    <xf numFmtId="41" fontId="0" fillId="59" borderId="0" xfId="0" applyNumberFormat="1" applyFill="1" applyAlignment="1" applyProtection="1">
      <alignment horizontal="right"/>
      <protection locked="0"/>
    </xf>
    <xf numFmtId="41" fontId="0" fillId="59" borderId="0" xfId="0" applyNumberFormat="1" applyFill="1" applyProtection="1">
      <protection locked="0"/>
    </xf>
    <xf numFmtId="41" fontId="0" fillId="0" borderId="0" xfId="1" applyNumberFormat="1" applyFont="1" applyProtection="1">
      <protection locked="0"/>
    </xf>
    <xf numFmtId="41" fontId="0" fillId="59" borderId="0" xfId="1" applyNumberFormat="1" applyFont="1" applyFill="1" applyProtection="1">
      <protection locked="0"/>
    </xf>
    <xf numFmtId="41" fontId="0" fillId="0" borderId="0" xfId="1" applyNumberFormat="1" applyFont="1" applyFill="1" applyProtection="1">
      <protection locked="0"/>
    </xf>
    <xf numFmtId="41" fontId="56" fillId="0" borderId="27" xfId="58" applyNumberFormat="1" applyFont="1" applyFill="1" applyBorder="1" applyAlignment="1">
      <alignment horizontal="center" vertical="center" wrapText="1"/>
    </xf>
    <xf numFmtId="164" fontId="40" fillId="0" borderId="0" xfId="0" quotePrefix="1" applyNumberFormat="1" applyFont="1" applyAlignment="1" applyProtection="1">
      <alignment vertical="center"/>
      <protection locked="0"/>
    </xf>
    <xf numFmtId="164" fontId="25" fillId="0" borderId="24" xfId="59" applyNumberFormat="1" applyFont="1" applyFill="1" applyBorder="1" applyAlignment="1">
      <alignment horizontal="center" vertical="center" wrapText="1"/>
    </xf>
    <xf numFmtId="0" fontId="0" fillId="0" borderId="40" xfId="0" applyBorder="1" applyAlignment="1">
      <alignment horizontal="center" wrapText="1"/>
    </xf>
    <xf numFmtId="0" fontId="23" fillId="0" borderId="0" xfId="56" applyFont="1" applyAlignment="1">
      <alignment horizontal="left" vertical="center" wrapText="1"/>
    </xf>
    <xf numFmtId="41" fontId="63" fillId="0" borderId="0" xfId="56" applyNumberFormat="1" applyFont="1" applyAlignment="1">
      <alignment vertical="center" wrapText="1"/>
    </xf>
    <xf numFmtId="0" fontId="0" fillId="65" borderId="0" xfId="0" applyFill="1"/>
    <xf numFmtId="10" fontId="55" fillId="65" borderId="0" xfId="0" applyNumberFormat="1" applyFont="1" applyFill="1" applyAlignment="1">
      <alignment horizontal="right" vertical="center" wrapText="1"/>
    </xf>
    <xf numFmtId="6" fontId="55" fillId="65" borderId="0" xfId="0" applyNumberFormat="1" applyFont="1" applyFill="1" applyAlignment="1">
      <alignment horizontal="right" vertical="center" wrapText="1"/>
    </xf>
    <xf numFmtId="0" fontId="53" fillId="65" borderId="0" xfId="0" applyFont="1" applyFill="1"/>
    <xf numFmtId="9" fontId="19" fillId="49" borderId="0" xfId="43" applyFont="1" applyFill="1" applyBorder="1" applyAlignment="1">
      <alignment horizontal="center" vertical="center" wrapText="1"/>
    </xf>
    <xf numFmtId="166" fontId="35" fillId="0" borderId="0" xfId="43" applyNumberFormat="1" applyFont="1" applyFill="1" applyBorder="1" applyAlignment="1">
      <alignment horizontal="center" vertical="center"/>
    </xf>
    <xf numFmtId="0" fontId="21" fillId="0" borderId="18" xfId="0" applyFont="1" applyBorder="1" applyAlignment="1">
      <alignment horizontal="center"/>
    </xf>
    <xf numFmtId="41" fontId="21" fillId="35" borderId="0" xfId="0" applyNumberFormat="1" applyFont="1" applyFill="1"/>
    <xf numFmtId="0" fontId="21" fillId="0" borderId="17" xfId="0" applyFont="1" applyBorder="1" applyAlignment="1">
      <alignment horizontal="center"/>
    </xf>
    <xf numFmtId="190" fontId="22" fillId="43" borderId="28" xfId="1" applyNumberFormat="1" applyFont="1" applyFill="1" applyBorder="1"/>
    <xf numFmtId="37" fontId="0" fillId="0" borderId="0" xfId="1" applyNumberFormat="1" applyFont="1"/>
    <xf numFmtId="10" fontId="19" fillId="0" borderId="0" xfId="43" applyNumberFormat="1" applyFont="1" applyBorder="1"/>
    <xf numFmtId="42" fontId="67" fillId="0" borderId="0" xfId="1" applyNumberFormat="1" applyFont="1" applyBorder="1"/>
    <xf numFmtId="0" fontId="23" fillId="35" borderId="0" xfId="56" applyFont="1" applyFill="1" applyAlignment="1">
      <alignment vertical="center" wrapText="1"/>
    </xf>
    <xf numFmtId="37" fontId="0" fillId="35" borderId="0" xfId="1" applyNumberFormat="1" applyFont="1" applyFill="1"/>
    <xf numFmtId="9" fontId="18" fillId="0" borderId="0" xfId="43" applyFont="1" applyFill="1"/>
    <xf numFmtId="191" fontId="21" fillId="0" borderId="0" xfId="44" applyNumberFormat="1" applyFont="1" applyBorder="1"/>
    <xf numFmtId="192" fontId="21" fillId="0" borderId="0" xfId="44" applyNumberFormat="1" applyFont="1" applyBorder="1"/>
    <xf numFmtId="4" fontId="87" fillId="0" borderId="0" xfId="0" applyNumberFormat="1" applyFont="1" applyAlignment="1">
      <alignment horizontal="right" vertical="top"/>
    </xf>
    <xf numFmtId="0" fontId="0" fillId="0" borderId="0" xfId="0" applyAlignment="1" applyProtection="1">
      <alignment horizontal="center" wrapText="1"/>
      <protection locked="0"/>
    </xf>
    <xf numFmtId="0" fontId="0" fillId="0" borderId="0" xfId="0" applyAlignment="1">
      <alignment horizontal="center" vertical="center" wrapText="1"/>
    </xf>
    <xf numFmtId="0" fontId="86" fillId="0" borderId="0" xfId="0" applyFont="1" applyAlignment="1" applyProtection="1">
      <alignment horizontal="left" vertical="center" wrapText="1"/>
      <protection locked="0"/>
    </xf>
    <xf numFmtId="0" fontId="88" fillId="0" borderId="0" xfId="0" applyFont="1" applyAlignment="1">
      <alignment vertical="top"/>
    </xf>
    <xf numFmtId="0" fontId="88" fillId="0" borderId="0" xfId="0" applyFont="1" applyAlignment="1">
      <alignment horizontal="right" vertical="top"/>
    </xf>
    <xf numFmtId="10" fontId="21" fillId="45" borderId="31" xfId="43" applyNumberFormat="1" applyFont="1" applyFill="1" applyBorder="1"/>
    <xf numFmtId="10" fontId="18" fillId="0" borderId="0" xfId="43" applyNumberFormat="1" applyFont="1"/>
    <xf numFmtId="165" fontId="19" fillId="0" borderId="0" xfId="0" applyNumberFormat="1" applyFont="1"/>
    <xf numFmtId="0" fontId="19" fillId="0" borderId="0" xfId="0" applyFont="1" applyAlignment="1">
      <alignment horizontal="right"/>
    </xf>
    <xf numFmtId="42" fontId="19" fillId="0" borderId="0" xfId="0" applyNumberFormat="1" applyFont="1"/>
    <xf numFmtId="0" fontId="89" fillId="0" borderId="0" xfId="0" applyFont="1"/>
    <xf numFmtId="0" fontId="89" fillId="0" borderId="0" xfId="0" applyFont="1" applyAlignment="1">
      <alignment horizontal="right" wrapText="1"/>
    </xf>
    <xf numFmtId="0" fontId="90" fillId="0" borderId="0" xfId="0" applyFont="1" applyAlignment="1">
      <alignment vertical="top"/>
    </xf>
    <xf numFmtId="0" fontId="90" fillId="0" borderId="0" xfId="0" applyFont="1" applyAlignment="1">
      <alignment horizontal="right" vertical="top"/>
    </xf>
    <xf numFmtId="0" fontId="91" fillId="47" borderId="0" xfId="46" applyFont="1" applyFill="1" applyBorder="1" applyAlignment="1" applyProtection="1">
      <alignment horizontal="center" vertical="center"/>
    </xf>
    <xf numFmtId="0" fontId="25" fillId="51" borderId="0" xfId="56" applyFont="1" applyFill="1"/>
    <xf numFmtId="0" fontId="70" fillId="51" borderId="0" xfId="56" applyFont="1" applyFill="1"/>
    <xf numFmtId="0" fontId="25" fillId="50" borderId="0" xfId="56" applyFont="1" applyFill="1" applyAlignment="1">
      <alignment horizontal="center" vertical="center"/>
    </xf>
    <xf numFmtId="0" fontId="29" fillId="0" borderId="0" xfId="56" applyFont="1"/>
    <xf numFmtId="0" fontId="25" fillId="51" borderId="0" xfId="56" applyFont="1" applyFill="1" applyAlignment="1">
      <alignment vertical="center"/>
    </xf>
    <xf numFmtId="0" fontId="25" fillId="0" borderId="0" xfId="56" applyFont="1" applyAlignment="1">
      <alignment vertical="center"/>
    </xf>
    <xf numFmtId="166" fontId="23" fillId="51" borderId="0" xfId="43" applyNumberFormat="1" applyFont="1" applyFill="1"/>
    <xf numFmtId="0" fontId="92" fillId="0" borderId="0" xfId="0" applyFont="1" applyAlignment="1">
      <alignment horizontal="left" vertical="center" wrapText="1"/>
    </xf>
    <xf numFmtId="0" fontId="25" fillId="53" borderId="0" xfId="56" applyFont="1" applyFill="1"/>
    <xf numFmtId="0" fontId="93" fillId="39" borderId="0" xfId="46" applyFont="1" applyFill="1" applyBorder="1" applyAlignment="1" applyProtection="1">
      <alignment horizontal="center"/>
    </xf>
    <xf numFmtId="41" fontId="23" fillId="51" borderId="0" xfId="56" applyNumberFormat="1" applyFont="1" applyFill="1" applyAlignment="1">
      <alignment horizontal="center"/>
    </xf>
    <xf numFmtId="164" fontId="23" fillId="51" borderId="0" xfId="56" applyNumberFormat="1" applyFont="1" applyFill="1" applyAlignment="1">
      <alignment horizontal="center"/>
    </xf>
    <xf numFmtId="0" fontId="23" fillId="0" borderId="0" xfId="56" applyFont="1" applyAlignment="1">
      <alignment horizontal="center"/>
    </xf>
    <xf numFmtId="0" fontId="23" fillId="51" borderId="0" xfId="56" applyFont="1" applyFill="1" applyAlignment="1">
      <alignment horizontal="center" wrapText="1"/>
    </xf>
    <xf numFmtId="43" fontId="23" fillId="51" borderId="0" xfId="56" applyNumberFormat="1" applyFont="1" applyFill="1" applyAlignment="1">
      <alignment horizontal="center" wrapText="1"/>
    </xf>
    <xf numFmtId="43" fontId="23" fillId="51" borderId="0" xfId="56" applyNumberFormat="1" applyFont="1" applyFill="1" applyAlignment="1">
      <alignment horizontal="center"/>
    </xf>
    <xf numFmtId="0" fontId="23" fillId="51" borderId="0" xfId="56" applyFont="1" applyFill="1" applyAlignment="1">
      <alignment horizontal="center" vertical="center"/>
    </xf>
    <xf numFmtId="43" fontId="23" fillId="51" borderId="0" xfId="56" applyNumberFormat="1" applyFont="1" applyFill="1"/>
    <xf numFmtId="2" fontId="23" fillId="51" borderId="0" xfId="56" applyNumberFormat="1" applyFont="1" applyFill="1"/>
    <xf numFmtId="42" fontId="23" fillId="51" borderId="0" xfId="56" applyNumberFormat="1" applyFont="1" applyFill="1" applyAlignment="1">
      <alignment horizontal="center" wrapText="1"/>
    </xf>
    <xf numFmtId="0" fontId="23" fillId="53" borderId="0" xfId="56" applyFont="1" applyFill="1" applyAlignment="1">
      <alignment horizontal="center"/>
    </xf>
    <xf numFmtId="42" fontId="23" fillId="53" borderId="0" xfId="56" applyNumberFormat="1" applyFont="1" applyFill="1" applyAlignment="1">
      <alignment horizontal="center"/>
    </xf>
    <xf numFmtId="44" fontId="23" fillId="51" borderId="0" xfId="56" applyNumberFormat="1" applyFont="1" applyFill="1" applyAlignment="1">
      <alignment horizontal="left"/>
    </xf>
    <xf numFmtId="43" fontId="18" fillId="0" borderId="0" xfId="1" applyFont="1"/>
    <xf numFmtId="10" fontId="0" fillId="58" borderId="0" xfId="0" applyNumberFormat="1" applyFill="1"/>
    <xf numFmtId="49" fontId="0" fillId="37" borderId="0" xfId="0" quotePrefix="1" applyNumberFormat="1" applyFill="1"/>
    <xf numFmtId="0" fontId="0" fillId="37" borderId="0" xfId="0" applyFill="1"/>
    <xf numFmtId="43" fontId="23" fillId="37" borderId="0" xfId="97" applyFill="1"/>
    <xf numFmtId="10" fontId="0" fillId="37" borderId="0" xfId="0" applyNumberFormat="1" applyFill="1"/>
    <xf numFmtId="0" fontId="0" fillId="37" borderId="0" xfId="0" applyFill="1" applyAlignment="1">
      <alignment horizontal="center" vertical="center"/>
    </xf>
    <xf numFmtId="41" fontId="0" fillId="37" borderId="0" xfId="0" applyNumberFormat="1" applyFill="1" applyAlignment="1">
      <alignment vertical="center"/>
    </xf>
    <xf numFmtId="165" fontId="18" fillId="37" borderId="0" xfId="1" applyNumberFormat="1" applyFont="1" applyFill="1" applyAlignment="1">
      <alignment vertical="center"/>
    </xf>
    <xf numFmtId="9" fontId="0" fillId="37" borderId="0" xfId="43" applyFont="1" applyFill="1" applyBorder="1" applyAlignment="1">
      <alignment horizontal="center" vertical="center" wrapText="1"/>
    </xf>
    <xf numFmtId="165" fontId="18" fillId="37" borderId="0" xfId="1" applyNumberFormat="1" applyFont="1" applyFill="1" applyAlignment="1">
      <alignment horizontal="center" vertical="center"/>
    </xf>
    <xf numFmtId="42" fontId="19" fillId="0" borderId="0" xfId="1" applyNumberFormat="1" applyFont="1" applyBorder="1" applyAlignment="1">
      <alignment horizontal="center"/>
    </xf>
    <xf numFmtId="0" fontId="58" fillId="0" borderId="0" xfId="0" applyFont="1" applyAlignment="1">
      <alignment horizontal="left" wrapText="1"/>
    </xf>
    <xf numFmtId="4" fontId="18" fillId="0" borderId="0" xfId="0" applyNumberFormat="1" applyFont="1"/>
    <xf numFmtId="42" fontId="18" fillId="0" borderId="0" xfId="1" applyNumberFormat="1" applyFont="1" applyBorder="1" applyAlignment="1">
      <alignment horizontal="center"/>
    </xf>
    <xf numFmtId="42" fontId="18" fillId="0" borderId="0" xfId="0" applyNumberFormat="1" applyFont="1"/>
    <xf numFmtId="41" fontId="18" fillId="0" borderId="0" xfId="1" applyNumberFormat="1" applyFont="1" applyBorder="1" applyAlignment="1">
      <alignment horizontal="right"/>
    </xf>
    <xf numFmtId="0" fontId="25" fillId="0" borderId="0" xfId="0" applyFont="1" applyAlignment="1">
      <alignment horizontal="left" wrapText="1"/>
    </xf>
    <xf numFmtId="42" fontId="19" fillId="0" borderId="0" xfId="1" applyNumberFormat="1" applyFont="1" applyBorder="1" applyAlignment="1">
      <alignment horizontal="right"/>
    </xf>
    <xf numFmtId="0" fontId="25" fillId="0" borderId="26" xfId="0" applyFont="1" applyBorder="1" applyAlignment="1">
      <alignment horizontal="left" wrapText="1"/>
    </xf>
    <xf numFmtId="42" fontId="19" fillId="0" borderId="28" xfId="1" applyNumberFormat="1" applyFont="1" applyBorder="1" applyAlignment="1">
      <alignment horizontal="right"/>
    </xf>
    <xf numFmtId="42" fontId="19" fillId="0" borderId="27" xfId="1" applyNumberFormat="1" applyFont="1" applyBorder="1" applyAlignment="1">
      <alignment horizontal="right"/>
    </xf>
    <xf numFmtId="10" fontId="18" fillId="0" borderId="0" xfId="43" applyNumberFormat="1" applyFont="1" applyBorder="1"/>
    <xf numFmtId="0" fontId="19" fillId="0" borderId="0" xfId="0" applyFont="1" applyAlignment="1">
      <alignment horizontal="center"/>
    </xf>
    <xf numFmtId="0" fontId="16" fillId="0" borderId="0" xfId="0" applyFont="1" applyAlignment="1">
      <alignment horizontal="center"/>
    </xf>
    <xf numFmtId="0" fontId="16" fillId="0" borderId="40" xfId="0" applyFont="1" applyBorder="1" applyAlignment="1">
      <alignment horizontal="center" wrapText="1"/>
    </xf>
    <xf numFmtId="0" fontId="67" fillId="0" borderId="40" xfId="0" applyFont="1" applyBorder="1" applyAlignment="1">
      <alignment horizontal="center" wrapText="1"/>
    </xf>
    <xf numFmtId="0" fontId="16" fillId="0" borderId="40" xfId="0" applyFont="1" applyBorder="1" applyAlignment="1">
      <alignment horizontal="center" vertical="center" wrapText="1"/>
    </xf>
    <xf numFmtId="0" fontId="67" fillId="0" borderId="26" xfId="0" applyFont="1" applyBorder="1" applyAlignment="1">
      <alignment horizontal="center"/>
    </xf>
    <xf numFmtId="0" fontId="67" fillId="0" borderId="28" xfId="0" applyFont="1" applyBorder="1" applyAlignment="1">
      <alignment horizontal="center"/>
    </xf>
    <xf numFmtId="0" fontId="67" fillId="0" borderId="27" xfId="0" applyFont="1" applyBorder="1" applyAlignment="1">
      <alignment horizontal="center"/>
    </xf>
    <xf numFmtId="0" fontId="30" fillId="0" borderId="26" xfId="0" applyFont="1" applyBorder="1" applyAlignment="1">
      <alignment horizontal="center" vertical="center"/>
    </xf>
    <xf numFmtId="0" fontId="30" fillId="0" borderId="28" xfId="0" applyFont="1" applyBorder="1" applyAlignment="1">
      <alignment horizontal="center" vertical="center"/>
    </xf>
    <xf numFmtId="0" fontId="30" fillId="0" borderId="27" xfId="0" applyFont="1" applyBorder="1" applyAlignment="1">
      <alignment horizontal="center" vertical="center"/>
    </xf>
    <xf numFmtId="0" fontId="30" fillId="34" borderId="26" xfId="0" applyFont="1" applyFill="1" applyBorder="1" applyAlignment="1">
      <alignment horizontal="center" vertical="center"/>
    </xf>
    <xf numFmtId="0" fontId="30" fillId="34" borderId="28" xfId="0" applyFont="1" applyFill="1" applyBorder="1" applyAlignment="1">
      <alignment horizontal="center" vertical="center"/>
    </xf>
    <xf numFmtId="0" fontId="30" fillId="34" borderId="27" xfId="0" applyFont="1" applyFill="1" applyBorder="1" applyAlignment="1">
      <alignment horizontal="center" vertical="center"/>
    </xf>
    <xf numFmtId="0" fontId="46" fillId="33" borderId="14" xfId="56" applyFont="1" applyFill="1" applyBorder="1" applyAlignment="1">
      <alignment horizontal="center" vertical="center"/>
    </xf>
    <xf numFmtId="0" fontId="46" fillId="33" borderId="39" xfId="56" applyFont="1" applyFill="1" applyBorder="1" applyAlignment="1">
      <alignment horizontal="center" vertical="center"/>
    </xf>
    <xf numFmtId="0" fontId="46" fillId="33" borderId="15" xfId="56" applyFont="1" applyFill="1" applyBorder="1" applyAlignment="1">
      <alignment horizontal="center" vertical="center"/>
    </xf>
    <xf numFmtId="0" fontId="46" fillId="33" borderId="16" xfId="56" applyFont="1" applyFill="1" applyBorder="1" applyAlignment="1">
      <alignment horizontal="center" vertical="center"/>
    </xf>
    <xf numFmtId="0" fontId="46" fillId="33" borderId="29" xfId="56" applyFont="1" applyFill="1" applyBorder="1" applyAlignment="1">
      <alignment horizontal="center" vertical="center"/>
    </xf>
    <xf numFmtId="0" fontId="46" fillId="33" borderId="0" xfId="56" applyFont="1" applyFill="1" applyAlignment="1">
      <alignment horizontal="center" vertical="center"/>
    </xf>
    <xf numFmtId="0" fontId="46" fillId="33" borderId="30" xfId="56" applyFont="1" applyFill="1" applyBorder="1" applyAlignment="1">
      <alignment horizontal="center" vertical="center"/>
    </xf>
    <xf numFmtId="0" fontId="46" fillId="33" borderId="17" xfId="56" applyFont="1" applyFill="1" applyBorder="1" applyAlignment="1">
      <alignment horizontal="center" vertical="center"/>
    </xf>
    <xf numFmtId="0" fontId="46" fillId="33" borderId="18" xfId="56" applyFont="1" applyFill="1" applyBorder="1" applyAlignment="1">
      <alignment horizontal="center" vertical="center"/>
    </xf>
    <xf numFmtId="0" fontId="46" fillId="33" borderId="19" xfId="56" applyFont="1" applyFill="1" applyBorder="1" applyAlignment="1">
      <alignment horizontal="center" vertical="center"/>
    </xf>
    <xf numFmtId="0" fontId="26" fillId="47" borderId="26" xfId="46" applyFill="1" applyBorder="1" applyAlignment="1" applyProtection="1">
      <alignment horizontal="center" vertical="center"/>
    </xf>
    <xf numFmtId="0" fontId="26" fillId="47" borderId="27" xfId="46" applyFill="1" applyBorder="1" applyAlignment="1" applyProtection="1">
      <alignment horizontal="center" vertical="center"/>
    </xf>
    <xf numFmtId="0" fontId="29" fillId="34" borderId="26" xfId="56" applyFont="1" applyFill="1" applyBorder="1" applyAlignment="1">
      <alignment horizontal="center" vertical="center" wrapText="1"/>
    </xf>
    <xf numFmtId="0" fontId="29" fillId="34" borderId="28" xfId="56" applyFont="1" applyFill="1" applyBorder="1" applyAlignment="1">
      <alignment horizontal="center" vertical="center" wrapText="1"/>
    </xf>
    <xf numFmtId="0" fontId="29" fillId="34" borderId="27" xfId="56" applyFont="1" applyFill="1" applyBorder="1" applyAlignment="1">
      <alignment horizontal="center" vertical="center" wrapText="1"/>
    </xf>
    <xf numFmtId="0" fontId="61" fillId="34" borderId="26" xfId="46" applyFont="1" applyFill="1" applyBorder="1" applyAlignment="1" applyProtection="1">
      <alignment horizontal="center" vertical="center" wrapText="1"/>
    </xf>
    <xf numFmtId="0" fontId="61" fillId="34" borderId="28" xfId="46" applyFont="1" applyFill="1" applyBorder="1" applyAlignment="1" applyProtection="1">
      <alignment horizontal="center" vertical="center" wrapText="1"/>
    </xf>
    <xf numFmtId="0" fontId="61" fillId="34" borderId="27" xfId="46" applyFont="1" applyFill="1" applyBorder="1" applyAlignment="1" applyProtection="1">
      <alignment horizontal="center" vertical="center" wrapText="1"/>
    </xf>
    <xf numFmtId="0" fontId="61" fillId="0" borderId="26" xfId="46" applyFont="1" applyFill="1" applyBorder="1" applyAlignment="1" applyProtection="1">
      <alignment horizontal="center" vertical="center" wrapText="1"/>
    </xf>
    <xf numFmtId="0" fontId="61" fillId="0" borderId="28" xfId="46" applyFont="1" applyFill="1" applyBorder="1" applyAlignment="1" applyProtection="1">
      <alignment horizontal="center" vertical="center" wrapText="1"/>
    </xf>
    <xf numFmtId="0" fontId="61" fillId="0" borderId="27" xfId="46" applyFont="1" applyFill="1" applyBorder="1" applyAlignment="1" applyProtection="1">
      <alignment horizontal="center" vertical="center" wrapText="1"/>
    </xf>
    <xf numFmtId="0" fontId="26" fillId="0" borderId="26" xfId="46" applyFill="1" applyBorder="1" applyAlignment="1" applyProtection="1">
      <alignment horizontal="center" vertical="center"/>
    </xf>
    <xf numFmtId="0" fontId="26" fillId="0" borderId="27" xfId="46" applyFill="1" applyBorder="1" applyAlignment="1" applyProtection="1">
      <alignment horizontal="center" vertical="center"/>
    </xf>
    <xf numFmtId="0" fontId="30" fillId="35" borderId="26" xfId="0" applyFont="1" applyFill="1" applyBorder="1" applyAlignment="1">
      <alignment horizontal="center" vertical="center"/>
    </xf>
    <xf numFmtId="0" fontId="30" fillId="35" borderId="28" xfId="0" applyFont="1" applyFill="1" applyBorder="1" applyAlignment="1">
      <alignment horizontal="center" vertical="center"/>
    </xf>
    <xf numFmtId="0" fontId="30" fillId="35" borderId="27" xfId="0" applyFont="1" applyFill="1" applyBorder="1" applyAlignment="1">
      <alignment horizontal="center" vertical="center"/>
    </xf>
    <xf numFmtId="0" fontId="21" fillId="0" borderId="0" xfId="0" applyFont="1" applyAlignment="1">
      <alignment horizontal="center"/>
    </xf>
    <xf numFmtId="0" fontId="21" fillId="0" borderId="26" xfId="0" applyFont="1" applyBorder="1" applyAlignment="1">
      <alignment horizontal="center"/>
    </xf>
    <xf numFmtId="0" fontId="21" fillId="0" borderId="28" xfId="0" applyFont="1" applyBorder="1" applyAlignment="1">
      <alignment horizontal="center"/>
    </xf>
    <xf numFmtId="0" fontId="21" fillId="0" borderId="27" xfId="0" applyFont="1" applyBorder="1" applyAlignment="1">
      <alignment horizontal="center"/>
    </xf>
    <xf numFmtId="0" fontId="20" fillId="0" borderId="0" xfId="0" applyFont="1" applyAlignment="1">
      <alignment horizontal="center"/>
    </xf>
    <xf numFmtId="0" fontId="28" fillId="47" borderId="26" xfId="46" applyFont="1" applyFill="1" applyBorder="1" applyAlignment="1" applyProtection="1">
      <alignment horizontal="center" vertical="center"/>
    </xf>
    <xf numFmtId="0" fontId="28" fillId="47" borderId="28" xfId="46" applyFont="1" applyFill="1" applyBorder="1" applyAlignment="1" applyProtection="1">
      <alignment horizontal="center" vertical="center"/>
    </xf>
    <xf numFmtId="0" fontId="28" fillId="47" borderId="27" xfId="46" applyFont="1" applyFill="1" applyBorder="1" applyAlignment="1" applyProtection="1">
      <alignment horizontal="center" vertical="center"/>
    </xf>
    <xf numFmtId="164" fontId="21" fillId="41" borderId="21" xfId="44" applyNumberFormat="1" applyFont="1" applyFill="1" applyBorder="1" applyAlignment="1">
      <alignment horizontal="center"/>
    </xf>
    <xf numFmtId="164" fontId="21" fillId="41" borderId="20" xfId="44" applyNumberFormat="1" applyFont="1" applyFill="1" applyBorder="1" applyAlignment="1">
      <alignment horizontal="center"/>
    </xf>
    <xf numFmtId="0" fontId="21" fillId="40" borderId="21" xfId="0" applyFont="1" applyFill="1" applyBorder="1" applyAlignment="1">
      <alignment horizontal="center"/>
    </xf>
    <xf numFmtId="0" fontId="21" fillId="40" borderId="20" xfId="0" applyFont="1" applyFill="1" applyBorder="1" applyAlignment="1">
      <alignment horizontal="center"/>
    </xf>
    <xf numFmtId="0" fontId="21" fillId="38" borderId="20" xfId="0" applyFont="1" applyFill="1" applyBorder="1" applyAlignment="1">
      <alignment horizontal="center"/>
    </xf>
    <xf numFmtId="0" fontId="21" fillId="0" borderId="24" xfId="0" applyFont="1" applyBorder="1" applyAlignment="1">
      <alignment horizontal="center"/>
    </xf>
    <xf numFmtId="0" fontId="21" fillId="0" borderId="18" xfId="0" applyFont="1" applyBorder="1" applyAlignment="1">
      <alignment horizontal="center"/>
    </xf>
    <xf numFmtId="0" fontId="80" fillId="0" borderId="26" xfId="0" applyFont="1" applyBorder="1" applyAlignment="1">
      <alignment horizontal="center"/>
    </xf>
    <xf numFmtId="0" fontId="80" fillId="0" borderId="28" xfId="0" applyFont="1" applyBorder="1" applyAlignment="1">
      <alignment horizontal="center"/>
    </xf>
    <xf numFmtId="0" fontId="80" fillId="0" borderId="27" xfId="0" applyFont="1" applyBorder="1" applyAlignment="1">
      <alignment horizontal="center"/>
    </xf>
    <xf numFmtId="0" fontId="61" fillId="61" borderId="28" xfId="46" applyFont="1" applyFill="1" applyBorder="1" applyAlignment="1" applyProtection="1">
      <alignment horizontal="center" vertical="center" wrapText="1"/>
    </xf>
    <xf numFmtId="0" fontId="23" fillId="0" borderId="0" xfId="56" applyFont="1" applyAlignment="1">
      <alignment horizontal="left" vertical="center" wrapText="1"/>
    </xf>
    <xf numFmtId="0" fontId="46" fillId="61" borderId="15" xfId="56" applyFont="1" applyFill="1" applyBorder="1" applyAlignment="1">
      <alignment horizontal="center" vertical="center"/>
    </xf>
    <xf numFmtId="0" fontId="75" fillId="47" borderId="26" xfId="46" applyFont="1" applyFill="1" applyBorder="1" applyAlignment="1" applyProtection="1">
      <alignment horizontal="center" vertical="center"/>
    </xf>
    <xf numFmtId="0" fontId="75" fillId="47" borderId="28" xfId="46" applyFont="1" applyFill="1" applyBorder="1" applyAlignment="1" applyProtection="1">
      <alignment horizontal="center" vertical="center"/>
    </xf>
    <xf numFmtId="0" fontId="75" fillId="47" borderId="27" xfId="46" applyFont="1" applyFill="1" applyBorder="1" applyAlignment="1" applyProtection="1">
      <alignment horizontal="center" vertical="center"/>
    </xf>
    <xf numFmtId="0" fontId="0" fillId="0" borderId="0" xfId="0" applyFill="1"/>
    <xf numFmtId="43" fontId="23" fillId="0" borderId="0" xfId="97" applyFill="1"/>
    <xf numFmtId="10" fontId="0" fillId="0" borderId="0" xfId="0" applyNumberFormat="1" applyFill="1"/>
    <xf numFmtId="0" fontId="18" fillId="0" borderId="0" xfId="0" applyFont="1" applyFill="1"/>
    <xf numFmtId="0" fontId="19" fillId="0" borderId="0" xfId="0" applyFont="1" applyFill="1"/>
    <xf numFmtId="49" fontId="0" fillId="0" borderId="0" xfId="0" quotePrefix="1" applyNumberFormat="1" applyFill="1"/>
    <xf numFmtId="43" fontId="0" fillId="0" borderId="0" xfId="0" applyNumberFormat="1"/>
  </cellXfs>
  <cellStyles count="10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borders" xfId="64" xr:uid="{00000000-0005-0000-0000-000019000000}"/>
    <cellStyle name="borders 2" xfId="84" xr:uid="{00000000-0005-0000-0000-00001A000000}"/>
    <cellStyle name="borders 3" xfId="82" xr:uid="{00000000-0005-0000-0000-00001B000000}"/>
    <cellStyle name="Calculation" xfId="12" builtinId="22" customBuiltin="1"/>
    <cellStyle name="Check Cell" xfId="14" builtinId="23" customBuiltin="1"/>
    <cellStyle name="Comma" xfId="1" builtinId="3"/>
    <cellStyle name="Comma 2" xfId="50" xr:uid="{00000000-0005-0000-0000-00001F000000}"/>
    <cellStyle name="Comma 2 2" xfId="55" xr:uid="{00000000-0005-0000-0000-000020000000}"/>
    <cellStyle name="Comma 3" xfId="51" xr:uid="{00000000-0005-0000-0000-000021000000}"/>
    <cellStyle name="Comma 4" xfId="58" xr:uid="{00000000-0005-0000-0000-000022000000}"/>
    <cellStyle name="Comma 4 2" xfId="86" xr:uid="{00000000-0005-0000-0000-000023000000}"/>
    <cellStyle name="Comma 4 3" xfId="76" xr:uid="{00000000-0005-0000-0000-000024000000}"/>
    <cellStyle name="Comma 5" xfId="62" xr:uid="{00000000-0005-0000-0000-000025000000}"/>
    <cellStyle name="Comma 5 2" xfId="87" xr:uid="{00000000-0005-0000-0000-000026000000}"/>
    <cellStyle name="Comma 5 3" xfId="80" xr:uid="{00000000-0005-0000-0000-000027000000}"/>
    <cellStyle name="Comma 6" xfId="85" xr:uid="{00000000-0005-0000-0000-000028000000}"/>
    <cellStyle name="Comma2" xfId="65" xr:uid="{00000000-0005-0000-0000-000029000000}"/>
    <cellStyle name="Currency" xfId="44" builtinId="4"/>
    <cellStyle name="Currency 2" xfId="49" xr:uid="{00000000-0005-0000-0000-00002B000000}"/>
    <cellStyle name="Currency 2 2" xfId="54" xr:uid="{00000000-0005-0000-0000-00002C000000}"/>
    <cellStyle name="Currency 3" xfId="59" xr:uid="{00000000-0005-0000-0000-00002D000000}"/>
    <cellStyle name="Currency 3 2" xfId="89" xr:uid="{00000000-0005-0000-0000-00002E000000}"/>
    <cellStyle name="Currency 3 3" xfId="77" xr:uid="{00000000-0005-0000-0000-00002F000000}"/>
    <cellStyle name="Currency 4" xfId="88" xr:uid="{00000000-0005-0000-0000-000030000000}"/>
    <cellStyle name="Currency2" xfId="66" xr:uid="{00000000-0005-0000-0000-000031000000}"/>
    <cellStyle name="Date" xfId="67" xr:uid="{00000000-0005-0000-0000-000032000000}"/>
    <cellStyle name="EMOD]" xfId="96" xr:uid="{00000000-0005-0000-0000-000033000000}"/>
    <cellStyle name="Explanatory Text" xfId="17" builtinId="53" customBuiltin="1"/>
    <cellStyle name="Fixed" xfId="68" xr:uid="{00000000-0005-0000-0000-000035000000}"/>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6" builtinId="8"/>
    <cellStyle name="Hyperlink 2" xfId="57" xr:uid="{00000000-0005-0000-0000-00003C000000}"/>
    <cellStyle name="Input" xfId="10" builtinId="20" customBuiltin="1"/>
    <cellStyle name="Linked Cell" xfId="13" builtinId="24" customBuiltin="1"/>
    <cellStyle name="Neutral" xfId="9" builtinId="28" customBuiltin="1"/>
    <cellStyle name="Normal" xfId="0" builtinId="0"/>
    <cellStyle name="Normal 2" xfId="45" xr:uid="{00000000-0005-0000-0000-000041000000}"/>
    <cellStyle name="Normal 2 2" xfId="47" xr:uid="{00000000-0005-0000-0000-000042000000}"/>
    <cellStyle name="Normal 2 2 2" xfId="52" xr:uid="{00000000-0005-0000-0000-000043000000}"/>
    <cellStyle name="Normal 2 3" xfId="74" xr:uid="{00000000-0005-0000-0000-000044000000}"/>
    <cellStyle name="Normal 2 3 2" xfId="90" xr:uid="{00000000-0005-0000-0000-000045000000}"/>
    <cellStyle name="Normal 2 3 3" xfId="83" xr:uid="{00000000-0005-0000-0000-000046000000}"/>
    <cellStyle name="Normal 2 4" xfId="75" xr:uid="{00000000-0005-0000-0000-000047000000}"/>
    <cellStyle name="Normal 2 5" xfId="100" xr:uid="{00000000-0005-0000-0000-000048000000}"/>
    <cellStyle name="Normal 3" xfId="56" xr:uid="{00000000-0005-0000-0000-000049000000}"/>
    <cellStyle name="Normal 3 2" xfId="95" xr:uid="{00000000-0005-0000-0000-00004A000000}"/>
    <cellStyle name="Normal 4" xfId="61" xr:uid="{00000000-0005-0000-0000-00004B000000}"/>
    <cellStyle name="Normal 4 2" xfId="91" xr:uid="{00000000-0005-0000-0000-00004C000000}"/>
    <cellStyle name="Normal 4 3" xfId="79" xr:uid="{00000000-0005-0000-0000-00004D000000}"/>
    <cellStyle name="Normal 5" xfId="97" xr:uid="{00000000-0005-0000-0000-00004E000000}"/>
    <cellStyle name="Normal 6" xfId="98" xr:uid="{00000000-0005-0000-0000-00004F000000}"/>
    <cellStyle name="Normal 7" xfId="99" xr:uid="{00000000-0005-0000-0000-000050000000}"/>
    <cellStyle name="Note" xfId="16" builtinId="10" customBuiltin="1"/>
    <cellStyle name="Output" xfId="11" builtinId="21" customBuiltin="1"/>
    <cellStyle name="Parent" xfId="69" xr:uid="{00000000-0005-0000-0000-000054000000}"/>
    <cellStyle name="Percent" xfId="43" builtinId="5"/>
    <cellStyle name="Percent 2" xfId="48" xr:uid="{00000000-0005-0000-0000-000056000000}"/>
    <cellStyle name="Percent 2 2" xfId="53" xr:uid="{00000000-0005-0000-0000-000057000000}"/>
    <cellStyle name="Percent 3" xfId="60" xr:uid="{00000000-0005-0000-0000-000058000000}"/>
    <cellStyle name="Percent 3 2" xfId="93" xr:uid="{00000000-0005-0000-0000-000059000000}"/>
    <cellStyle name="Percent 3 3" xfId="78" xr:uid="{00000000-0005-0000-0000-00005A000000}"/>
    <cellStyle name="Percent 4" xfId="63" xr:uid="{00000000-0005-0000-0000-00005B000000}"/>
    <cellStyle name="Percent 4 2" xfId="94" xr:uid="{00000000-0005-0000-0000-00005C000000}"/>
    <cellStyle name="Percent 4 3" xfId="81" xr:uid="{00000000-0005-0000-0000-00005D000000}"/>
    <cellStyle name="Percent 5" xfId="92" xr:uid="{00000000-0005-0000-0000-00005E000000}"/>
    <cellStyle name="Super" xfId="70" xr:uid="{00000000-0005-0000-0000-00005F000000}"/>
    <cellStyle name="Text" xfId="71" xr:uid="{00000000-0005-0000-0000-000060000000}"/>
    <cellStyle name="text2" xfId="72" xr:uid="{00000000-0005-0000-0000-000061000000}"/>
    <cellStyle name="Title" xfId="2" builtinId="15" customBuiltin="1"/>
    <cellStyle name="Total" xfId="18" builtinId="25" customBuiltin="1"/>
    <cellStyle name="Warning Text" xfId="15" builtinId="11" customBuiltin="1"/>
    <cellStyle name="Year" xfId="73" xr:uid="{00000000-0005-0000-0000-000065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9900"/>
      <color rgb="FFFFA7A7"/>
      <color rgb="FFFFFD6B"/>
      <color rgb="FF990000"/>
      <color rgb="FFCCCCFF"/>
      <color rgb="FF990033"/>
      <color rgb="FF800000"/>
      <color rgb="FF0000FF"/>
      <color rgb="FFCC0000"/>
      <color rgb="FFFF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a:t>General Fund Fund Balance</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'5 Year Forecast'!$U$41</c:f>
              <c:strCache>
                <c:ptCount val="1"/>
                <c:pt idx="0">
                  <c:v>Adjusted</c:v>
                </c:pt>
              </c:strCache>
            </c:strRef>
          </c:tx>
          <c:spPr>
            <a:ln w="28575" cap="rnd">
              <a:solidFill>
                <a:schemeClr val="accent1"/>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Forecast'!$V$41:$AA$41</c:f>
              <c:numCache>
                <c:formatCode>_(* #,##0_);_(* \(#,##0\);_(* "-"_);_(@_)</c:formatCode>
                <c:ptCount val="6"/>
                <c:pt idx="0">
                  <c:v>28908876.41</c:v>
                </c:pt>
                <c:pt idx="1">
                  <c:v>29927957.620000023</c:v>
                </c:pt>
                <c:pt idx="2">
                  <c:v>30547554.486800041</c:v>
                </c:pt>
                <c:pt idx="3">
                  <c:v>30041705.95788205</c:v>
                </c:pt>
                <c:pt idx="4">
                  <c:v>27053117.62210108</c:v>
                </c:pt>
                <c:pt idx="5">
                  <c:v>24886371.853767511</c:v>
                </c:pt>
              </c:numCache>
            </c:numRef>
          </c:val>
          <c:smooth val="0"/>
          <c:extLst>
            <c:ext xmlns:c16="http://schemas.microsoft.com/office/drawing/2014/chart" uri="{C3380CC4-5D6E-409C-BE32-E72D297353CC}">
              <c16:uniqueId val="{00000000-2A9D-49D1-8369-97FF0000A2D3}"/>
            </c:ext>
          </c:extLst>
        </c:ser>
        <c:ser>
          <c:idx val="1"/>
          <c:order val="1"/>
          <c:tx>
            <c:strRef>
              <c:f>'5 Year Forecast'!$U$42</c:f>
              <c:strCache>
                <c:ptCount val="1"/>
                <c:pt idx="0">
                  <c:v>Current</c:v>
                </c:pt>
              </c:strCache>
            </c:strRef>
          </c:tx>
          <c:spPr>
            <a:ln w="28575" cap="rnd">
              <a:solidFill>
                <a:schemeClr val="accent2"/>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Forecast'!$V$42:$AA$42</c:f>
              <c:numCache>
                <c:formatCode>_(* #,##0_);_(* \(#,##0\);_(* "-"_);_(@_)</c:formatCode>
                <c:ptCount val="6"/>
                <c:pt idx="0">
                  <c:v>28908876.41</c:v>
                </c:pt>
                <c:pt idx="1">
                  <c:v>29927957.620000023</c:v>
                </c:pt>
                <c:pt idx="2">
                  <c:v>30547554.486800041</c:v>
                </c:pt>
                <c:pt idx="3">
                  <c:v>30041705.95788205</c:v>
                </c:pt>
                <c:pt idx="4">
                  <c:v>27053117.62210108</c:v>
                </c:pt>
                <c:pt idx="5">
                  <c:v>24886371.853767511</c:v>
                </c:pt>
              </c:numCache>
            </c:numRef>
          </c:val>
          <c:smooth val="0"/>
          <c:extLst>
            <c:ext xmlns:c16="http://schemas.microsoft.com/office/drawing/2014/chart" uri="{C3380CC4-5D6E-409C-BE32-E72D297353CC}">
              <c16:uniqueId val="{0000000A-2A9D-49D1-8369-97FF0000A2D3}"/>
            </c:ext>
          </c:extLst>
        </c:ser>
        <c:ser>
          <c:idx val="2"/>
          <c:order val="2"/>
          <c:tx>
            <c:strRef>
              <c:f>'5 Year Forecast'!$U$43</c:f>
              <c:strCache>
                <c:ptCount val="1"/>
                <c:pt idx="0">
                  <c:v>Policy Min.</c:v>
                </c:pt>
              </c:strCache>
            </c:strRef>
          </c:tx>
          <c:spPr>
            <a:ln w="28575" cap="rnd">
              <a:solidFill>
                <a:schemeClr val="accent3"/>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Forecast'!$V$43:$AA$43</c:f>
              <c:numCache>
                <c:formatCode>_(* #,##0_);_(* \(#,##0\);_(* "-"_);_(@_)</c:formatCode>
                <c:ptCount val="6"/>
                <c:pt idx="0">
                  <c:v>17272884</c:v>
                </c:pt>
                <c:pt idx="1">
                  <c:v>17903269.623999998</c:v>
                </c:pt>
                <c:pt idx="2">
                  <c:v>18438178.240959991</c:v>
                </c:pt>
                <c:pt idx="3">
                  <c:v>19044249.295166388</c:v>
                </c:pt>
                <c:pt idx="4">
                  <c:v>20133525.786774188</c:v>
                </c:pt>
                <c:pt idx="5">
                  <c:v>20761508.199665383</c:v>
                </c:pt>
              </c:numCache>
            </c:numRef>
          </c:val>
          <c:smooth val="0"/>
          <c:extLst>
            <c:ext xmlns:c16="http://schemas.microsoft.com/office/drawing/2014/chart" uri="{C3380CC4-5D6E-409C-BE32-E72D297353CC}">
              <c16:uniqueId val="{00000000-DDAD-42AD-9688-8668181CBA09}"/>
            </c:ext>
          </c:extLst>
        </c:ser>
        <c:dLbls>
          <c:showLegendKey val="0"/>
          <c:showVal val="0"/>
          <c:showCatName val="0"/>
          <c:showSerName val="0"/>
          <c:showPercent val="0"/>
          <c:showBubbleSize val="0"/>
        </c:dLbls>
        <c:smooth val="0"/>
        <c:axId val="1000648256"/>
        <c:axId val="1000661984"/>
      </c:lineChart>
      <c:catAx>
        <c:axId val="100064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000661984"/>
        <c:crosses val="autoZero"/>
        <c:auto val="1"/>
        <c:lblAlgn val="ctr"/>
        <c:lblOffset val="100"/>
        <c:noMultiLvlLbl val="0"/>
      </c:catAx>
      <c:valAx>
        <c:axId val="100066198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00064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a:t>Other Fund Balance</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'5 Year Forecast'!$U$44</c:f>
              <c:strCache>
                <c:ptCount val="1"/>
                <c:pt idx="0">
                  <c:v>KDC</c:v>
                </c:pt>
              </c:strCache>
            </c:strRef>
          </c:tx>
          <c:spPr>
            <a:ln w="28575" cap="rnd">
              <a:solidFill>
                <a:schemeClr val="accent1"/>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Forecast'!$V$44:$AA$44</c:f>
              <c:numCache>
                <c:formatCode>_(* #,##0_);_(* \(#,##0\);_(* "-"_);_(@_)</c:formatCode>
                <c:ptCount val="6"/>
                <c:pt idx="0">
                  <c:v>2406835</c:v>
                </c:pt>
                <c:pt idx="1">
                  <c:v>1764979.4600000009</c:v>
                </c:pt>
                <c:pt idx="2">
                  <c:v>2813753.7185000009</c:v>
                </c:pt>
                <c:pt idx="3">
                  <c:v>3882953.6026349994</c:v>
                </c:pt>
                <c:pt idx="4">
                  <c:v>5169017.6085897982</c:v>
                </c:pt>
                <c:pt idx="5">
                  <c:v>6399433.3318201331</c:v>
                </c:pt>
              </c:numCache>
            </c:numRef>
          </c:val>
          <c:smooth val="0"/>
          <c:extLst>
            <c:ext xmlns:c16="http://schemas.microsoft.com/office/drawing/2014/chart" uri="{C3380CC4-5D6E-409C-BE32-E72D297353CC}">
              <c16:uniqueId val="{00000000-445F-4560-8545-6BF4AA43D5B5}"/>
            </c:ext>
          </c:extLst>
        </c:ser>
        <c:ser>
          <c:idx val="1"/>
          <c:order val="1"/>
          <c:tx>
            <c:strRef>
              <c:f>'5 Year Forecast'!$U$45</c:f>
              <c:strCache>
                <c:ptCount val="1"/>
                <c:pt idx="0">
                  <c:v>KCCPD</c:v>
                </c:pt>
              </c:strCache>
            </c:strRef>
          </c:tx>
          <c:spPr>
            <a:ln w="28575" cap="rnd">
              <a:solidFill>
                <a:schemeClr val="accent2"/>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Forecast'!$V$45:$AA$45</c:f>
              <c:numCache>
                <c:formatCode>_(* #,##0_);_(* \(#,##0\);_(* "-"_);_(@_)</c:formatCode>
                <c:ptCount val="6"/>
                <c:pt idx="0">
                  <c:v>3139778</c:v>
                </c:pt>
                <c:pt idx="1">
                  <c:v>3267681.415</c:v>
                </c:pt>
                <c:pt idx="2">
                  <c:v>3941482.4046249995</c:v>
                </c:pt>
                <c:pt idx="3">
                  <c:v>4872712.0715518743</c:v>
                </c:pt>
                <c:pt idx="4">
                  <c:v>3340758.0925035644</c:v>
                </c:pt>
                <c:pt idx="5">
                  <c:v>4346476.1130231982</c:v>
                </c:pt>
              </c:numCache>
            </c:numRef>
          </c:val>
          <c:smooth val="0"/>
          <c:extLst>
            <c:ext xmlns:c16="http://schemas.microsoft.com/office/drawing/2014/chart" uri="{C3380CC4-5D6E-409C-BE32-E72D297353CC}">
              <c16:uniqueId val="{00000001-445F-4560-8545-6BF4AA43D5B5}"/>
            </c:ext>
          </c:extLst>
        </c:ser>
        <c:ser>
          <c:idx val="2"/>
          <c:order val="2"/>
          <c:tx>
            <c:strRef>
              <c:f>'5 Year Forecast'!$U$46</c:f>
              <c:strCache>
                <c:ptCount val="1"/>
                <c:pt idx="0">
                  <c:v>Info Svcs</c:v>
                </c:pt>
              </c:strCache>
            </c:strRef>
          </c:tx>
          <c:spPr>
            <a:ln w="28575" cap="rnd">
              <a:solidFill>
                <a:schemeClr val="accent3"/>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Forecast'!$V$46:$AA$46</c:f>
              <c:numCache>
                <c:formatCode>_(* #,##0_);_(* \(#,##0\);_(* "-"_);_(@_)</c:formatCode>
                <c:ptCount val="6"/>
                <c:pt idx="0">
                  <c:v>1924052</c:v>
                </c:pt>
                <c:pt idx="1">
                  <c:v>1937055.2899999986</c:v>
                </c:pt>
                <c:pt idx="2">
                  <c:v>1933665.9988999986</c:v>
                </c:pt>
                <c:pt idx="3">
                  <c:v>1940575.4602789981</c:v>
                </c:pt>
                <c:pt idx="4">
                  <c:v>1958238.5267048879</c:v>
                </c:pt>
                <c:pt idx="5">
                  <c:v>1987123.8887203899</c:v>
                </c:pt>
              </c:numCache>
            </c:numRef>
          </c:val>
          <c:smooth val="0"/>
          <c:extLst>
            <c:ext xmlns:c16="http://schemas.microsoft.com/office/drawing/2014/chart" uri="{C3380CC4-5D6E-409C-BE32-E72D297353CC}">
              <c16:uniqueId val="{00000002-445F-4560-8545-6BF4AA43D5B5}"/>
            </c:ext>
          </c:extLst>
        </c:ser>
        <c:ser>
          <c:idx val="3"/>
          <c:order val="3"/>
          <c:tx>
            <c:strRef>
              <c:f>'5 Year Forecast'!$U$47</c:f>
              <c:strCache>
                <c:ptCount val="1"/>
                <c:pt idx="0">
                  <c:v>Self-Ins.</c:v>
                </c:pt>
              </c:strCache>
            </c:strRef>
          </c:tx>
          <c:spPr>
            <a:ln w="28575" cap="rnd">
              <a:solidFill>
                <a:schemeClr val="accent4"/>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Forecast'!$V$47:$AA$47</c:f>
              <c:numCache>
                <c:formatCode>_(* #,##0_);_(* \(#,##0\);_(* "-"_);_(@_)</c:formatCode>
                <c:ptCount val="6"/>
                <c:pt idx="0">
                  <c:v>7461127</c:v>
                </c:pt>
                <c:pt idx="1">
                  <c:v>7622420.9699999997</c:v>
                </c:pt>
                <c:pt idx="2">
                  <c:v>7712974.5988999987</c:v>
                </c:pt>
                <c:pt idx="3">
                  <c:v>7828547.2282974981</c:v>
                </c:pt>
                <c:pt idx="4">
                  <c:v>7970768.9278207393</c:v>
                </c:pt>
                <c:pt idx="5">
                  <c:v>8141349.4516732786</c:v>
                </c:pt>
              </c:numCache>
            </c:numRef>
          </c:val>
          <c:smooth val="0"/>
          <c:extLst>
            <c:ext xmlns:c16="http://schemas.microsoft.com/office/drawing/2014/chart" uri="{C3380CC4-5D6E-409C-BE32-E72D297353CC}">
              <c16:uniqueId val="{00000003-445F-4560-8545-6BF4AA43D5B5}"/>
            </c:ext>
          </c:extLst>
        </c:ser>
        <c:ser>
          <c:idx val="4"/>
          <c:order val="4"/>
          <c:tx>
            <c:strRef>
              <c:f>'5 Year Forecast'!$U$48</c:f>
              <c:strCache>
                <c:ptCount val="1"/>
                <c:pt idx="0">
                  <c:v>Debt</c:v>
                </c:pt>
              </c:strCache>
            </c:strRef>
          </c:tx>
          <c:spPr>
            <a:ln w="28575" cap="rnd">
              <a:solidFill>
                <a:schemeClr val="accent5"/>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Forecast'!$V$48:$AA$48</c:f>
              <c:numCache>
                <c:formatCode>_(* #,##0_);_(* \(#,##0\);_(* "-"_);_(@_)</c:formatCode>
                <c:ptCount val="6"/>
                <c:pt idx="0">
                  <c:v>4997577</c:v>
                </c:pt>
                <c:pt idx="1">
                  <c:v>5200140.3307869891</c:v>
                </c:pt>
                <c:pt idx="2">
                  <c:v>5326890.2726193955</c:v>
                </c:pt>
                <c:pt idx="3">
                  <c:v>5450927.7099775234</c:v>
                </c:pt>
                <c:pt idx="4">
                  <c:v>5631112.3466274571</c:v>
                </c:pt>
                <c:pt idx="5">
                  <c:v>5729885.0197247099</c:v>
                </c:pt>
              </c:numCache>
            </c:numRef>
          </c:val>
          <c:smooth val="0"/>
          <c:extLst>
            <c:ext xmlns:c16="http://schemas.microsoft.com/office/drawing/2014/chart" uri="{C3380CC4-5D6E-409C-BE32-E72D297353CC}">
              <c16:uniqueId val="{00000004-445F-4560-8545-6BF4AA43D5B5}"/>
            </c:ext>
          </c:extLst>
        </c:ser>
        <c:ser>
          <c:idx val="5"/>
          <c:order val="5"/>
          <c:tx>
            <c:strRef>
              <c:f>'5 Year Forecast'!$U$49</c:f>
              <c:strCache>
                <c:ptCount val="1"/>
                <c:pt idx="0">
                  <c:v>TIRZ#2</c:v>
                </c:pt>
              </c:strCache>
            </c:strRef>
          </c:tx>
          <c:spPr>
            <a:ln w="28575" cap="rnd">
              <a:solidFill>
                <a:schemeClr val="accent6"/>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Forecast'!$V$49:$AA$49</c:f>
              <c:numCache>
                <c:formatCode>_(* #,##0_);_(* \(#,##0\);_(* "-"_);_(@_)</c:formatCode>
                <c:ptCount val="6"/>
                <c:pt idx="0">
                  <c:v>779775.36552390701</c:v>
                </c:pt>
                <c:pt idx="1">
                  <c:v>1199380.0947030531</c:v>
                </c:pt>
                <c:pt idx="2">
                  <c:v>1622607.1211739907</c:v>
                </c:pt>
                <c:pt idx="3">
                  <c:v>2050060.7929096376</c:v>
                </c:pt>
                <c:pt idx="4">
                  <c:v>2486052.2880799975</c:v>
                </c:pt>
                <c:pt idx="5">
                  <c:v>2930752.3631537645</c:v>
                </c:pt>
              </c:numCache>
            </c:numRef>
          </c:val>
          <c:smooth val="0"/>
          <c:extLst>
            <c:ext xmlns:c16="http://schemas.microsoft.com/office/drawing/2014/chart" uri="{C3380CC4-5D6E-409C-BE32-E72D297353CC}">
              <c16:uniqueId val="{00000005-445F-4560-8545-6BF4AA43D5B5}"/>
            </c:ext>
          </c:extLst>
        </c:ser>
        <c:ser>
          <c:idx val="6"/>
          <c:order val="6"/>
          <c:tx>
            <c:strRef>
              <c:f>'5 Year Forecast'!$U$50</c:f>
              <c:strCache>
                <c:ptCount val="1"/>
                <c:pt idx="0">
                  <c:v>Street Maint.</c:v>
                </c:pt>
              </c:strCache>
            </c:strRef>
          </c:tx>
          <c:spPr>
            <a:ln w="28575" cap="rnd">
              <a:solidFill>
                <a:schemeClr val="accent1">
                  <a:lumMod val="60000"/>
                </a:schemeClr>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Forecast'!$V$50:$AA$50</c:f>
              <c:numCache>
                <c:formatCode>_(* #,##0_);_(* \(#,##0\);_(* "-"_);_(@_)</c:formatCode>
                <c:ptCount val="6"/>
                <c:pt idx="0">
                  <c:v>1460892</c:v>
                </c:pt>
                <c:pt idx="1">
                  <c:v>1043752.5300000003</c:v>
                </c:pt>
                <c:pt idx="2">
                  <c:v>1188140.9920000001</c:v>
                </c:pt>
                <c:pt idx="3">
                  <c:v>1393624.6324249995</c:v>
                </c:pt>
                <c:pt idx="4">
                  <c:v>1661731.8711356237</c:v>
                </c:pt>
                <c:pt idx="5">
                  <c:v>1994029.3592970129</c:v>
                </c:pt>
              </c:numCache>
            </c:numRef>
          </c:val>
          <c:smooth val="0"/>
          <c:extLst>
            <c:ext xmlns:c16="http://schemas.microsoft.com/office/drawing/2014/chart" uri="{C3380CC4-5D6E-409C-BE32-E72D297353CC}">
              <c16:uniqueId val="{00000006-445F-4560-8545-6BF4AA43D5B5}"/>
            </c:ext>
          </c:extLst>
        </c:ser>
        <c:ser>
          <c:idx val="7"/>
          <c:order val="7"/>
          <c:tx>
            <c:strRef>
              <c:f>'5 Year Forecast'!$U$51</c:f>
              <c:strCache>
                <c:ptCount val="1"/>
                <c:pt idx="0">
                  <c:v>Fleet</c:v>
                </c:pt>
              </c:strCache>
            </c:strRef>
          </c:tx>
          <c:spPr>
            <a:ln w="28575" cap="rnd">
              <a:solidFill>
                <a:schemeClr val="accent2">
                  <a:lumMod val="60000"/>
                </a:schemeClr>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Forecast'!$V$51:$AA$51</c:f>
              <c:numCache>
                <c:formatCode>_(* #,##0_);_(* \(#,##0\);_(* "-"_);_(@_)</c:formatCode>
                <c:ptCount val="6"/>
                <c:pt idx="0">
                  <c:v>2085590</c:v>
                </c:pt>
                <c:pt idx="1">
                  <c:v>2070855.2</c:v>
                </c:pt>
                <c:pt idx="2">
                  <c:v>3363079.5708999997</c:v>
                </c:pt>
                <c:pt idx="3">
                  <c:v>3881069.444325</c:v>
                </c:pt>
                <c:pt idx="4">
                  <c:v>4032660.9002037104</c:v>
                </c:pt>
                <c:pt idx="5">
                  <c:v>2662268.4423597613</c:v>
                </c:pt>
              </c:numCache>
            </c:numRef>
          </c:val>
          <c:smooth val="0"/>
          <c:extLst>
            <c:ext xmlns:c16="http://schemas.microsoft.com/office/drawing/2014/chart" uri="{C3380CC4-5D6E-409C-BE32-E72D297353CC}">
              <c16:uniqueId val="{00000007-445F-4560-8545-6BF4AA43D5B5}"/>
            </c:ext>
          </c:extLst>
        </c:ser>
        <c:ser>
          <c:idx val="8"/>
          <c:order val="8"/>
          <c:tx>
            <c:strRef>
              <c:f>'5 Year Forecast'!$U$52</c:f>
              <c:strCache>
                <c:ptCount val="1"/>
                <c:pt idx="0">
                  <c:v>Facilities</c:v>
                </c:pt>
              </c:strCache>
            </c:strRef>
          </c:tx>
          <c:spPr>
            <a:ln w="28575" cap="rnd">
              <a:solidFill>
                <a:schemeClr val="accent3">
                  <a:lumMod val="60000"/>
                </a:schemeClr>
              </a:solidFill>
              <a:round/>
            </a:ln>
            <a:effectLst/>
          </c:spPr>
          <c:marker>
            <c:symbol val="none"/>
          </c:marker>
          <c:cat>
            <c:strRef>
              <c:f>'5 Year Forecast'!$V$40:$AA$40</c:f>
              <c:strCache>
                <c:ptCount val="6"/>
                <c:pt idx="0">
                  <c:v>FY 2024-25</c:v>
                </c:pt>
                <c:pt idx="1">
                  <c:v>FY 2025-26</c:v>
                </c:pt>
                <c:pt idx="2">
                  <c:v>FY 2026-27</c:v>
                </c:pt>
                <c:pt idx="3">
                  <c:v>FY 2027-28</c:v>
                </c:pt>
                <c:pt idx="4">
                  <c:v>FY 2028-29</c:v>
                </c:pt>
                <c:pt idx="5">
                  <c:v>FY 2029-30</c:v>
                </c:pt>
              </c:strCache>
            </c:strRef>
          </c:cat>
          <c:val>
            <c:numRef>
              <c:f>'5 Year Forecast'!$V$52:$AA$52</c:f>
              <c:numCache>
                <c:formatCode>_(* #,##0_);_(* \(#,##0\);_(* "-"_);_(@_)</c:formatCode>
                <c:ptCount val="6"/>
                <c:pt idx="0">
                  <c:v>1670615</c:v>
                </c:pt>
                <c:pt idx="1">
                  <c:v>1916071.5</c:v>
                </c:pt>
                <c:pt idx="2">
                  <c:v>1673483.25</c:v>
                </c:pt>
                <c:pt idx="3">
                  <c:v>1941895</c:v>
                </c:pt>
                <c:pt idx="4">
                  <c:v>2183753.75</c:v>
                </c:pt>
                <c:pt idx="5">
                  <c:v>2362165.5</c:v>
                </c:pt>
              </c:numCache>
            </c:numRef>
          </c:val>
          <c:smooth val="0"/>
          <c:extLst>
            <c:ext xmlns:c16="http://schemas.microsoft.com/office/drawing/2014/chart" uri="{C3380CC4-5D6E-409C-BE32-E72D297353CC}">
              <c16:uniqueId val="{00000008-445F-4560-8545-6BF4AA43D5B5}"/>
            </c:ext>
          </c:extLst>
        </c:ser>
        <c:dLbls>
          <c:showLegendKey val="0"/>
          <c:showVal val="0"/>
          <c:showCatName val="0"/>
          <c:showSerName val="0"/>
          <c:showPercent val="0"/>
          <c:showBubbleSize val="0"/>
        </c:dLbls>
        <c:smooth val="0"/>
        <c:axId val="1000648256"/>
        <c:axId val="1000661984"/>
      </c:lineChart>
      <c:catAx>
        <c:axId val="100064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000661984"/>
        <c:crosses val="autoZero"/>
        <c:auto val="1"/>
        <c:lblAlgn val="ctr"/>
        <c:lblOffset val="100"/>
        <c:noMultiLvlLbl val="0"/>
      </c:catAx>
      <c:valAx>
        <c:axId val="100066198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00064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mn-lt"/>
                <a:ea typeface="+mn-ea"/>
                <a:cs typeface="+mn-cs"/>
              </a:defRPr>
            </a:pPr>
            <a:r>
              <a:rPr lang="en-US"/>
              <a:t>Keller Pointe Revenue and Expenditures By Category</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1"/>
          <c:tx>
            <c:strRef>
              <c:f>'Enter Fund Line-Item Details'!$H$1150:$H$1150</c:f>
              <c:strCache>
                <c:ptCount val="1"/>
                <c:pt idx="0">
                  <c:v>Personnel</c:v>
                </c:pt>
              </c:strCache>
            </c:strRef>
          </c:tx>
          <c:spPr>
            <a:solidFill>
              <a:schemeClr val="accent1">
                <a:lumMod val="75000"/>
              </a:schemeClr>
            </a:solidFill>
            <a:ln>
              <a:noFill/>
            </a:ln>
            <a:effectLst/>
          </c:spPr>
          <c:invertIfNegative val="0"/>
          <c:cat>
            <c:strRef>
              <c:f>'Enter Fund Line-Item Details'!$I$1147:$Q$1147</c:f>
              <c:strCache>
                <c:ptCount val="9"/>
                <c:pt idx="0">
                  <c:v>FY 2019-20 Actual</c:v>
                </c:pt>
                <c:pt idx="1">
                  <c:v>FY 2020-21 Actual</c:v>
                </c:pt>
                <c:pt idx="2">
                  <c:v>FY 2021-22 Actual</c:v>
                </c:pt>
                <c:pt idx="3">
                  <c:v>FY 2022-23 Actual</c:v>
                </c:pt>
                <c:pt idx="4">
                  <c:v>FY 2023-24 Budget</c:v>
                </c:pt>
                <c:pt idx="5">
                  <c:v>FY 2023-24 
YTD</c:v>
                </c:pt>
                <c:pt idx="6">
                  <c:v>FY 2023-24 
YE Proj.</c:v>
                </c:pt>
                <c:pt idx="7">
                  <c:v>Adopted vs. YEP</c:v>
                </c:pt>
                <c:pt idx="8">
                  <c:v> FY 2024-25 
Proposed Budget </c:v>
                </c:pt>
              </c:strCache>
            </c:strRef>
          </c:cat>
          <c:val>
            <c:numRef>
              <c:f>'Enter Fund Line-Item Details'!$I$1150:$Q$1150</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D77-41F5-B1FB-5FEF71A263F3}"/>
            </c:ext>
          </c:extLst>
        </c:ser>
        <c:ser>
          <c:idx val="2"/>
          <c:order val="2"/>
          <c:tx>
            <c:strRef>
              <c:f>'Enter Fund Line-Item Details'!$H$1151:$H$1151</c:f>
              <c:strCache>
                <c:ptCount val="1"/>
                <c:pt idx="0">
                  <c:v>Operations &amp; Maintance</c:v>
                </c:pt>
              </c:strCache>
            </c:strRef>
          </c:tx>
          <c:spPr>
            <a:solidFill>
              <a:schemeClr val="accent3"/>
            </a:solidFill>
            <a:ln>
              <a:noFill/>
            </a:ln>
            <a:effectLst/>
          </c:spPr>
          <c:invertIfNegative val="0"/>
          <c:cat>
            <c:strRef>
              <c:f>'Enter Fund Line-Item Details'!$I$1147:$Q$1147</c:f>
              <c:strCache>
                <c:ptCount val="9"/>
                <c:pt idx="0">
                  <c:v>FY 2019-20 Actual</c:v>
                </c:pt>
                <c:pt idx="1">
                  <c:v>FY 2020-21 Actual</c:v>
                </c:pt>
                <c:pt idx="2">
                  <c:v>FY 2021-22 Actual</c:v>
                </c:pt>
                <c:pt idx="3">
                  <c:v>FY 2022-23 Actual</c:v>
                </c:pt>
                <c:pt idx="4">
                  <c:v>FY 2023-24 Budget</c:v>
                </c:pt>
                <c:pt idx="5">
                  <c:v>FY 2023-24 
YTD</c:v>
                </c:pt>
                <c:pt idx="6">
                  <c:v>FY 2023-24 
YE Proj.</c:v>
                </c:pt>
                <c:pt idx="7">
                  <c:v>Adopted vs. YEP</c:v>
                </c:pt>
                <c:pt idx="8">
                  <c:v> FY 2024-25 
Proposed Budget </c:v>
                </c:pt>
              </c:strCache>
            </c:strRef>
          </c:cat>
          <c:val>
            <c:numRef>
              <c:f>'Enter Fund Line-Item Details'!$I$1151:$Q$1151</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D77-41F5-B1FB-5FEF71A263F3}"/>
            </c:ext>
          </c:extLst>
        </c:ser>
        <c:ser>
          <c:idx val="3"/>
          <c:order val="3"/>
          <c:tx>
            <c:strRef>
              <c:f>'Enter Fund Line-Item Details'!$H$1152:$H$1152</c:f>
              <c:strCache>
                <c:ptCount val="1"/>
                <c:pt idx="0">
                  <c:v>Services &amp; Other</c:v>
                </c:pt>
              </c:strCache>
            </c:strRef>
          </c:tx>
          <c:spPr>
            <a:solidFill>
              <a:schemeClr val="accent4"/>
            </a:solidFill>
            <a:ln>
              <a:noFill/>
            </a:ln>
            <a:effectLst/>
          </c:spPr>
          <c:invertIfNegative val="0"/>
          <c:cat>
            <c:strRef>
              <c:f>'Enter Fund Line-Item Details'!$I$1147:$Q$1147</c:f>
              <c:strCache>
                <c:ptCount val="9"/>
                <c:pt idx="0">
                  <c:v>FY 2019-20 Actual</c:v>
                </c:pt>
                <c:pt idx="1">
                  <c:v>FY 2020-21 Actual</c:v>
                </c:pt>
                <c:pt idx="2">
                  <c:v>FY 2021-22 Actual</c:v>
                </c:pt>
                <c:pt idx="3">
                  <c:v>FY 2022-23 Actual</c:v>
                </c:pt>
                <c:pt idx="4">
                  <c:v>FY 2023-24 Budget</c:v>
                </c:pt>
                <c:pt idx="5">
                  <c:v>FY 2023-24 
YTD</c:v>
                </c:pt>
                <c:pt idx="6">
                  <c:v>FY 2023-24 
YE Proj.</c:v>
                </c:pt>
                <c:pt idx="7">
                  <c:v>Adopted vs. YEP</c:v>
                </c:pt>
                <c:pt idx="8">
                  <c:v> FY 2024-25 
Proposed Budget </c:v>
                </c:pt>
              </c:strCache>
            </c:strRef>
          </c:cat>
          <c:val>
            <c:numRef>
              <c:f>'Enter Fund Line-Item Details'!$I$1152:$Q$1152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DD77-41F5-B1FB-5FEF71A263F3}"/>
            </c:ext>
          </c:extLst>
        </c:ser>
        <c:ser>
          <c:idx val="4"/>
          <c:order val="4"/>
          <c:tx>
            <c:strRef>
              <c:f>'Enter Fund Line-Item Details'!$H$1153:$H$1153</c:f>
              <c:strCache>
                <c:ptCount val="1"/>
                <c:pt idx="0">
                  <c:v>Capital Outlay</c:v>
                </c:pt>
              </c:strCache>
            </c:strRef>
          </c:tx>
          <c:spPr>
            <a:solidFill>
              <a:srgbClr val="FFFF00"/>
            </a:solidFill>
            <a:ln>
              <a:noFill/>
            </a:ln>
            <a:effectLst/>
          </c:spPr>
          <c:invertIfNegative val="0"/>
          <c:cat>
            <c:strRef>
              <c:f>'Enter Fund Line-Item Details'!$I$1147:$Q$1147</c:f>
              <c:strCache>
                <c:ptCount val="9"/>
                <c:pt idx="0">
                  <c:v>FY 2019-20 Actual</c:v>
                </c:pt>
                <c:pt idx="1">
                  <c:v>FY 2020-21 Actual</c:v>
                </c:pt>
                <c:pt idx="2">
                  <c:v>FY 2021-22 Actual</c:v>
                </c:pt>
                <c:pt idx="3">
                  <c:v>FY 2022-23 Actual</c:v>
                </c:pt>
                <c:pt idx="4">
                  <c:v>FY 2023-24 Budget</c:v>
                </c:pt>
                <c:pt idx="5">
                  <c:v>FY 2023-24 
YTD</c:v>
                </c:pt>
                <c:pt idx="6">
                  <c:v>FY 2023-24 
YE Proj.</c:v>
                </c:pt>
                <c:pt idx="7">
                  <c:v>Adopted vs. YEP</c:v>
                </c:pt>
                <c:pt idx="8">
                  <c:v> FY 2024-25 
Proposed Budget </c:v>
                </c:pt>
              </c:strCache>
            </c:strRef>
          </c:cat>
          <c:val>
            <c:numRef>
              <c:f>'Enter Fund Line-Item Details'!$I$1153:$Q$1153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DD77-41F5-B1FB-5FEF71A263F3}"/>
            </c:ext>
          </c:extLst>
        </c:ser>
        <c:ser>
          <c:idx val="5"/>
          <c:order val="5"/>
          <c:tx>
            <c:strRef>
              <c:f>'Enter Fund Line-Item Details'!$H$1154:$H$1154</c:f>
              <c:strCache>
                <c:ptCount val="1"/>
                <c:pt idx="0">
                  <c:v>Transfers</c:v>
                </c:pt>
              </c:strCache>
            </c:strRef>
          </c:tx>
          <c:spPr>
            <a:solidFill>
              <a:srgbClr val="C00000"/>
            </a:solidFill>
            <a:ln>
              <a:noFill/>
            </a:ln>
            <a:effectLst/>
          </c:spPr>
          <c:invertIfNegative val="0"/>
          <c:cat>
            <c:strRef>
              <c:f>'Enter Fund Line-Item Details'!$I$1147:$Q$1147</c:f>
              <c:strCache>
                <c:ptCount val="9"/>
                <c:pt idx="0">
                  <c:v>FY 2019-20 Actual</c:v>
                </c:pt>
                <c:pt idx="1">
                  <c:v>FY 2020-21 Actual</c:v>
                </c:pt>
                <c:pt idx="2">
                  <c:v>FY 2021-22 Actual</c:v>
                </c:pt>
                <c:pt idx="3">
                  <c:v>FY 2022-23 Actual</c:v>
                </c:pt>
                <c:pt idx="4">
                  <c:v>FY 2023-24 Budget</c:v>
                </c:pt>
                <c:pt idx="5">
                  <c:v>FY 2023-24 
YTD</c:v>
                </c:pt>
                <c:pt idx="6">
                  <c:v>FY 2023-24 
YE Proj.</c:v>
                </c:pt>
                <c:pt idx="7">
                  <c:v>Adopted vs. YEP</c:v>
                </c:pt>
                <c:pt idx="8">
                  <c:v> FY 2024-25 
Proposed Budget </c:v>
                </c:pt>
              </c:strCache>
            </c:strRef>
          </c:cat>
          <c:val>
            <c:numRef>
              <c:f>'Enter Fund Line-Item Details'!$I$1154:$Q$1154</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77B-4CA6-B6F2-FA4C276BC288}"/>
            </c:ext>
          </c:extLst>
        </c:ser>
        <c:dLbls>
          <c:showLegendKey val="0"/>
          <c:showVal val="0"/>
          <c:showCatName val="0"/>
          <c:showSerName val="0"/>
          <c:showPercent val="0"/>
          <c:showBubbleSize val="0"/>
        </c:dLbls>
        <c:gapWidth val="219"/>
        <c:overlap val="100"/>
        <c:axId val="583856240"/>
        <c:axId val="583857024"/>
      </c:barChart>
      <c:lineChart>
        <c:grouping val="standard"/>
        <c:varyColors val="0"/>
        <c:ser>
          <c:idx val="0"/>
          <c:order val="0"/>
          <c:tx>
            <c:strRef>
              <c:f>'Enter Fund Line-Item Details'!$H$1149:$H$1149</c:f>
              <c:strCache>
                <c:ptCount val="1"/>
                <c:pt idx="0">
                  <c:v>Revenue</c:v>
                </c:pt>
              </c:strCache>
            </c:strRef>
          </c:tx>
          <c:spPr>
            <a:ln w="38100" cap="rnd">
              <a:solidFill>
                <a:srgbClr val="00B050"/>
              </a:solidFill>
              <a:round/>
            </a:ln>
            <a:effectLst/>
          </c:spPr>
          <c:marker>
            <c:symbol val="none"/>
          </c:marker>
          <c:cat>
            <c:strRef>
              <c:f>'Enter Fund Line-Item Details'!$I$1147:$Q$1147</c:f>
              <c:strCache>
                <c:ptCount val="9"/>
                <c:pt idx="0">
                  <c:v>FY 2019-20 Actual</c:v>
                </c:pt>
                <c:pt idx="1">
                  <c:v>FY 2020-21 Actual</c:v>
                </c:pt>
                <c:pt idx="2">
                  <c:v>FY 2021-22 Actual</c:v>
                </c:pt>
                <c:pt idx="3">
                  <c:v>FY 2022-23 Actual</c:v>
                </c:pt>
                <c:pt idx="4">
                  <c:v>FY 2023-24 Budget</c:v>
                </c:pt>
                <c:pt idx="5">
                  <c:v>FY 2023-24 
YTD</c:v>
                </c:pt>
                <c:pt idx="6">
                  <c:v>FY 2023-24 
YE Proj.</c:v>
                </c:pt>
                <c:pt idx="7">
                  <c:v>Adopted vs. YEP</c:v>
                </c:pt>
                <c:pt idx="8">
                  <c:v> FY 2024-25 
Proposed Budget </c:v>
                </c:pt>
              </c:strCache>
            </c:strRef>
          </c:cat>
          <c:val>
            <c:numRef>
              <c:f>'Enter Fund Line-Item Details'!$I$1149:$Q$1149</c:f>
              <c:numCache>
                <c:formatCode>_("$"* #,##0_);_("$"* \(#,##0\);_("$"* "-"_);_(@_)</c:formatCode>
                <c:ptCount val="9"/>
                <c:pt idx="0">
                  <c:v>1886476.2700000003</c:v>
                </c:pt>
                <c:pt idx="1">
                  <c:v>2585189.9400000009</c:v>
                </c:pt>
                <c:pt idx="2">
                  <c:v>3637345.44</c:v>
                </c:pt>
                <c:pt idx="3">
                  <c:v>4683478.0200000005</c:v>
                </c:pt>
                <c:pt idx="4">
                  <c:v>3102806</c:v>
                </c:pt>
                <c:pt idx="5">
                  <c:v>2757754.2100000004</c:v>
                </c:pt>
                <c:pt idx="6">
                  <c:v>3233996</c:v>
                </c:pt>
                <c:pt idx="7">
                  <c:v>131190</c:v>
                </c:pt>
                <c:pt idx="8">
                  <c:v>3240666</c:v>
                </c:pt>
              </c:numCache>
            </c:numRef>
          </c:val>
          <c:smooth val="0"/>
          <c:extLst>
            <c:ext xmlns:c16="http://schemas.microsoft.com/office/drawing/2014/chart" uri="{C3380CC4-5D6E-409C-BE32-E72D297353CC}">
              <c16:uniqueId val="{00000000-DD77-41F5-B1FB-5FEF71A263F3}"/>
            </c:ext>
          </c:extLst>
        </c:ser>
        <c:dLbls>
          <c:showLegendKey val="0"/>
          <c:showVal val="0"/>
          <c:showCatName val="0"/>
          <c:showSerName val="0"/>
          <c:showPercent val="0"/>
          <c:showBubbleSize val="0"/>
        </c:dLbls>
        <c:marker val="1"/>
        <c:smooth val="0"/>
        <c:axId val="583856240"/>
        <c:axId val="583857024"/>
      </c:lineChart>
      <c:catAx>
        <c:axId val="58385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583857024"/>
        <c:crosses val="autoZero"/>
        <c:auto val="1"/>
        <c:lblAlgn val="ctr"/>
        <c:lblOffset val="100"/>
        <c:noMultiLvlLbl val="0"/>
      </c:catAx>
      <c:valAx>
        <c:axId val="58385702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58385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 2017-18 </a:t>
            </a:r>
          </a:p>
          <a:p>
            <a:pPr>
              <a:defRPr/>
            </a:pPr>
            <a:r>
              <a:rPr lang="en-US"/>
              <a:t>Total Rate = $0.4250</a:t>
            </a:r>
          </a:p>
        </c:rich>
      </c:tx>
      <c:overlay val="0"/>
    </c:title>
    <c:autoTitleDeleted val="0"/>
    <c:plotArea>
      <c:layout>
        <c:manualLayout>
          <c:layoutTarget val="inner"/>
          <c:xMode val="edge"/>
          <c:yMode val="edge"/>
          <c:x val="7.4074074074074077E-3"/>
          <c:y val="0.22237897346165061"/>
          <c:w val="0.95401263730922525"/>
          <c:h val="0.63807596967045788"/>
        </c:manualLayout>
      </c:layout>
      <c:pieChart>
        <c:varyColors val="1"/>
        <c:ser>
          <c:idx val="0"/>
          <c:order val="0"/>
          <c:dLbls>
            <c:dLbl>
              <c:idx val="0"/>
              <c:layout>
                <c:manualLayout>
                  <c:x val="0.23739333679735508"/>
                  <c:y val="2.376618974345699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4CF5-4F26-AC23-BFE9E21E6A3E}"/>
                </c:ext>
              </c:extLst>
            </c:dLbl>
            <c:dLbl>
              <c:idx val="1"/>
              <c:layout>
                <c:manualLayout>
                  <c:x val="-0.23285048891902044"/>
                  <c:y val="-0.11949279662027476"/>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CF5-4F26-AC23-BFE9E21E6A3E}"/>
                </c:ext>
              </c:extLst>
            </c:dLbl>
            <c:numFmt formatCode="0.0%" sourceLinked="0"/>
            <c:spPr>
              <a:noFill/>
              <a:ln>
                <a:noFill/>
              </a:ln>
              <a:effectLst/>
            </c:spP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'PROPERTY TAX ANALYSIS'!$D$85:$E$85</c:f>
              <c:strCache>
                <c:ptCount val="2"/>
                <c:pt idx="0">
                  <c:v>Debt Rate</c:v>
                </c:pt>
                <c:pt idx="1">
                  <c:v>M&amp;O Rate</c:v>
                </c:pt>
              </c:strCache>
            </c:strRef>
          </c:cat>
          <c:val>
            <c:numRef>
              <c:f>'PROPERTY TAX ANALYSIS'!$D$87:$E$87</c:f>
              <c:numCache>
                <c:formatCode>_("$"* #,##0.000000_);_("$"* \(#,##0.000000\);_("$"* "-"??????_);_(@_)</c:formatCode>
                <c:ptCount val="2"/>
                <c:pt idx="0">
                  <c:v>4.3499999999999997E-2</c:v>
                </c:pt>
                <c:pt idx="1">
                  <c:v>0.24762000000000001</c:v>
                </c:pt>
              </c:numCache>
            </c:numRef>
          </c:val>
          <c:extLst>
            <c:ext xmlns:c16="http://schemas.microsoft.com/office/drawing/2014/chart" uri="{C3380CC4-5D6E-409C-BE32-E72D297353CC}">
              <c16:uniqueId val="{00000002-4CF5-4F26-AC23-BFE9E21E6A3E}"/>
            </c:ext>
          </c:extLst>
        </c:ser>
        <c:dLbls>
          <c:showLegendKey val="0"/>
          <c:showVal val="0"/>
          <c:showCatName val="0"/>
          <c:showSerName val="0"/>
          <c:showPercent val="1"/>
          <c:showBubbleSize val="0"/>
          <c:showLeaderLines val="1"/>
        </c:dLbls>
        <c:firstSliceAng val="0"/>
      </c:pieChart>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4470922460217"/>
          <c:y val="5.1400554097404488E-2"/>
          <c:w val="0.8828343774497911"/>
          <c:h val="0.72112459900845727"/>
        </c:manualLayout>
      </c:layout>
      <c:barChart>
        <c:barDir val="col"/>
        <c:grouping val="clustered"/>
        <c:varyColors val="0"/>
        <c:ser>
          <c:idx val="2"/>
          <c:order val="1"/>
          <c:tx>
            <c:strRef>
              <c:f>'PROPERTY TAX ANALYSIS'!$E$102</c:f>
              <c:strCache>
                <c:ptCount val="1"/>
                <c:pt idx="0">
                  <c:v>O&amp;M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'PROPERTY TAX ANALYSIS'!$C$104:$C$109</c:f>
              <c:strCache>
                <c:ptCount val="6"/>
                <c:pt idx="0">
                  <c:v>FY 2020-21 Actual</c:v>
                </c:pt>
                <c:pt idx="1">
                  <c:v>FY 2021-22 Actual</c:v>
                </c:pt>
                <c:pt idx="2">
                  <c:v>FY 2022-23 Actual</c:v>
                </c:pt>
                <c:pt idx="3">
                  <c:v>FY 2023-24 Budget</c:v>
                </c:pt>
                <c:pt idx="4">
                  <c:v>FY 2023-24 
YE Proj.</c:v>
                </c:pt>
                <c:pt idx="5">
                  <c:v> FY 2024-25 
Proposed Budget </c:v>
                </c:pt>
              </c:strCache>
            </c:strRef>
          </c:cat>
          <c:val>
            <c:numRef>
              <c:f>'PROPERTY TAX ANALYSIS'!$E$104:$E$109</c:f>
              <c:numCache>
                <c:formatCode>_(* #,##0_);_(* \(#,##0\);_(* "-"_);_(@_)</c:formatCode>
                <c:ptCount val="6"/>
                <c:pt idx="0">
                  <c:v>20259418.16</c:v>
                </c:pt>
                <c:pt idx="1">
                  <c:v>20203573.920000002</c:v>
                </c:pt>
                <c:pt idx="2">
                  <c:v>19992159.91</c:v>
                </c:pt>
                <c:pt idx="3">
                  <c:v>19929589</c:v>
                </c:pt>
                <c:pt idx="4">
                  <c:v>19929589</c:v>
                </c:pt>
                <c:pt idx="5">
                  <c:v>20367977</c:v>
                </c:pt>
              </c:numCache>
            </c:numRef>
          </c:val>
          <c:extLst>
            <c:ext xmlns:c16="http://schemas.microsoft.com/office/drawing/2014/chart" uri="{C3380CC4-5D6E-409C-BE32-E72D297353CC}">
              <c16:uniqueId val="{00000000-6450-42D5-B8BB-33020AC5182F}"/>
            </c:ext>
          </c:extLst>
        </c:ser>
        <c:ser>
          <c:idx val="3"/>
          <c:order val="2"/>
          <c:tx>
            <c:strRef>
              <c:f>'PROPERTY TAX ANALYSIS'!$F$102</c:f>
              <c:strCache>
                <c:ptCount val="1"/>
                <c:pt idx="0">
                  <c:v>I&amp;S</c:v>
                </c:pt>
              </c:strCache>
            </c:strRef>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'PROPERTY TAX ANALYSIS'!$C$104:$C$109</c:f>
              <c:strCache>
                <c:ptCount val="6"/>
                <c:pt idx="0">
                  <c:v>FY 2020-21 Actual</c:v>
                </c:pt>
                <c:pt idx="1">
                  <c:v>FY 2021-22 Actual</c:v>
                </c:pt>
                <c:pt idx="2">
                  <c:v>FY 2022-23 Actual</c:v>
                </c:pt>
                <c:pt idx="3">
                  <c:v>FY 2023-24 Budget</c:v>
                </c:pt>
                <c:pt idx="4">
                  <c:v>FY 2023-24 
YE Proj.</c:v>
                </c:pt>
                <c:pt idx="5">
                  <c:v> FY 2024-25 
Proposed Budget </c:v>
                </c:pt>
              </c:strCache>
            </c:strRef>
          </c:cat>
          <c:val>
            <c:numRef>
              <c:f>'PROPERTY TAX ANALYSIS'!$F$104:$F$109</c:f>
              <c:numCache>
                <c:formatCode>_(* #,##0_);_(* \(#,##0\);_(* "-"_);_(@_)</c:formatCode>
                <c:ptCount val="6"/>
                <c:pt idx="0">
                  <c:v>3703005.92</c:v>
                </c:pt>
                <c:pt idx="1">
                  <c:v>3545530.92</c:v>
                </c:pt>
                <c:pt idx="2">
                  <c:v>3616536.15</c:v>
                </c:pt>
                <c:pt idx="3">
                  <c:v>3978747</c:v>
                </c:pt>
                <c:pt idx="4">
                  <c:v>3920747</c:v>
                </c:pt>
                <c:pt idx="5">
                  <c:v>3605130</c:v>
                </c:pt>
              </c:numCache>
            </c:numRef>
          </c:val>
          <c:extLst>
            <c:ext xmlns:c16="http://schemas.microsoft.com/office/drawing/2014/chart" uri="{C3380CC4-5D6E-409C-BE32-E72D297353CC}">
              <c16:uniqueId val="{00000001-6450-42D5-B8BB-33020AC5182F}"/>
            </c:ext>
          </c:extLst>
        </c:ser>
        <c:ser>
          <c:idx val="0"/>
          <c:order val="3"/>
          <c:tx>
            <c:strRef>
              <c:f>'PROPERTY TAX ANALYSIS'!$G$102</c:f>
              <c:strCache>
                <c:ptCount val="1"/>
                <c:pt idx="0">
                  <c:v>TIRZ</c:v>
                </c:pt>
              </c:strCache>
            </c:strRef>
          </c:tx>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'PROPERTY TAX ANALYSIS'!$C$104:$C$109</c:f>
              <c:strCache>
                <c:ptCount val="6"/>
                <c:pt idx="0">
                  <c:v>FY 2020-21 Actual</c:v>
                </c:pt>
                <c:pt idx="1">
                  <c:v>FY 2021-22 Actual</c:v>
                </c:pt>
                <c:pt idx="2">
                  <c:v>FY 2022-23 Actual</c:v>
                </c:pt>
                <c:pt idx="3">
                  <c:v>FY 2023-24 Budget</c:v>
                </c:pt>
                <c:pt idx="4">
                  <c:v>FY 2023-24 
YE Proj.</c:v>
                </c:pt>
                <c:pt idx="5">
                  <c:v> FY 2024-25 
Proposed Budget </c:v>
                </c:pt>
              </c:strCache>
            </c:strRef>
          </c:cat>
          <c:val>
            <c:numRef>
              <c:f>'PROPERTY TAX ANALYSIS'!$G$104:$G$109</c:f>
              <c:numCache>
                <c:formatCode>_(* #,##0_);_(* \(#,##0\);_(* "-"_);_(@_)</c:formatCode>
                <c:ptCount val="6"/>
                <c:pt idx="0">
                  <c:v>0</c:v>
                </c:pt>
                <c:pt idx="1">
                  <c:v>0</c:v>
                </c:pt>
                <c:pt idx="2">
                  <c:v>27829.14</c:v>
                </c:pt>
                <c:pt idx="3">
                  <c:v>154110</c:v>
                </c:pt>
                <c:pt idx="4">
                  <c:v>154110</c:v>
                </c:pt>
                <c:pt idx="5">
                  <c:v>195683.36552390701</c:v>
                </c:pt>
              </c:numCache>
            </c:numRef>
          </c:val>
          <c:extLst>
            <c:ext xmlns:c16="http://schemas.microsoft.com/office/drawing/2014/chart" uri="{C3380CC4-5D6E-409C-BE32-E72D297353CC}">
              <c16:uniqueId val="{00000002-6450-42D5-B8BB-33020AC5182F}"/>
            </c:ext>
          </c:extLst>
        </c:ser>
        <c:dLbls>
          <c:showLegendKey val="0"/>
          <c:showVal val="0"/>
          <c:showCatName val="0"/>
          <c:showSerName val="0"/>
          <c:showPercent val="0"/>
          <c:showBubbleSize val="0"/>
        </c:dLbls>
        <c:gapWidth val="150"/>
        <c:axId val="583858200"/>
        <c:axId val="583858592"/>
      </c:barChart>
      <c:lineChart>
        <c:grouping val="standard"/>
        <c:varyColors val="0"/>
        <c:ser>
          <c:idx val="1"/>
          <c:order val="0"/>
          <c:tx>
            <c:strRef>
              <c:f>'PROPERTY TAX ANALYSIS'!$D$102</c:f>
              <c:strCache>
                <c:ptCount val="1"/>
                <c:pt idx="0">
                  <c:v>Total Rate</c:v>
                </c:pt>
              </c:strCache>
            </c:strRef>
          </c:tx>
          <c:spPr>
            <a:ln w="34925" cap="rnd">
              <a:solidFill>
                <a:srgbClr val="00B05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3-6450-42D5-B8BB-33020AC5182F}"/>
              </c:ext>
            </c:extLst>
          </c:dPt>
          <c:cat>
            <c:strRef>
              <c:f>'PROPERTY TAX ANALYSIS'!$C$104:$C$109</c:f>
              <c:strCache>
                <c:ptCount val="6"/>
                <c:pt idx="0">
                  <c:v>FY 2020-21 Actual</c:v>
                </c:pt>
                <c:pt idx="1">
                  <c:v>FY 2021-22 Actual</c:v>
                </c:pt>
                <c:pt idx="2">
                  <c:v>FY 2022-23 Actual</c:v>
                </c:pt>
                <c:pt idx="3">
                  <c:v>FY 2023-24 Budget</c:v>
                </c:pt>
                <c:pt idx="4">
                  <c:v>FY 2023-24 
YE Proj.</c:v>
                </c:pt>
                <c:pt idx="5">
                  <c:v> FY 2024-25 
Proposed Budget </c:v>
                </c:pt>
              </c:strCache>
            </c:strRef>
          </c:cat>
          <c:val>
            <c:numRef>
              <c:f>'PROPERTY TAX ANALYSIS'!$D$104:$D$109</c:f>
              <c:numCache>
                <c:formatCode>0.000000</c:formatCode>
                <c:ptCount val="6"/>
                <c:pt idx="0">
                  <c:v>0.39500000000000002</c:v>
                </c:pt>
                <c:pt idx="1">
                  <c:v>0.39500000000000002</c:v>
                </c:pt>
                <c:pt idx="2">
                  <c:v>0.35450000000000004</c:v>
                </c:pt>
                <c:pt idx="3">
                  <c:v>0.312</c:v>
                </c:pt>
                <c:pt idx="4">
                  <c:v>0.29111999999999999</c:v>
                </c:pt>
                <c:pt idx="5">
                  <c:v>0.29111999999999999</c:v>
                </c:pt>
              </c:numCache>
            </c:numRef>
          </c:val>
          <c:smooth val="0"/>
          <c:extLst>
            <c:ext xmlns:c16="http://schemas.microsoft.com/office/drawing/2014/chart" uri="{C3380CC4-5D6E-409C-BE32-E72D297353CC}">
              <c16:uniqueId val="{00000004-6450-42D5-B8BB-33020AC5182F}"/>
            </c:ext>
          </c:extLst>
        </c:ser>
        <c:dLbls>
          <c:showLegendKey val="0"/>
          <c:showVal val="0"/>
          <c:showCatName val="0"/>
          <c:showSerName val="0"/>
          <c:showPercent val="0"/>
          <c:showBubbleSize val="0"/>
        </c:dLbls>
        <c:marker val="1"/>
        <c:smooth val="0"/>
        <c:axId val="590522688"/>
        <c:axId val="590522296"/>
      </c:lineChart>
      <c:catAx>
        <c:axId val="58385820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83858592"/>
        <c:crosses val="autoZero"/>
        <c:auto val="1"/>
        <c:lblAlgn val="ctr"/>
        <c:lblOffset val="100"/>
        <c:noMultiLvlLbl val="0"/>
      </c:catAx>
      <c:valAx>
        <c:axId val="5838585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83858200"/>
        <c:crosses val="autoZero"/>
        <c:crossBetween val="between"/>
      </c:valAx>
      <c:valAx>
        <c:axId val="590522296"/>
        <c:scaling>
          <c:orientation val="minMax"/>
          <c:max val="0.4"/>
          <c:min val="0.25"/>
        </c:scaling>
        <c:delete val="0"/>
        <c:axPos val="r"/>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90522688"/>
        <c:crosses val="max"/>
        <c:crossBetween val="between"/>
      </c:valAx>
      <c:catAx>
        <c:axId val="590522688"/>
        <c:scaling>
          <c:orientation val="minMax"/>
        </c:scaling>
        <c:delete val="1"/>
        <c:axPos val="b"/>
        <c:numFmt formatCode="General" sourceLinked="1"/>
        <c:majorTickMark val="none"/>
        <c:minorTickMark val="none"/>
        <c:tickLblPos val="nextTo"/>
        <c:crossAx val="590522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Truth in Taxation Rates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'PROPERTY TAX ANALYSIS'!$D$131</c:f>
              <c:strCache>
                <c:ptCount val="1"/>
                <c:pt idx="0">
                  <c:v> Adopted </c:v>
                </c:pt>
              </c:strCache>
            </c:strRef>
          </c:tx>
          <c:spPr>
            <a:ln w="28575" cap="rnd">
              <a:solidFill>
                <a:schemeClr val="accent1"/>
              </a:solidFill>
              <a:round/>
            </a:ln>
            <a:effectLst/>
          </c:spPr>
          <c:marker>
            <c:symbol val="none"/>
          </c:marker>
          <c:cat>
            <c:strRef>
              <c:f>'PROPERTY TAX ANALYSIS'!$C$136:$C$145</c:f>
              <c:strCache>
                <c:ptCount val="10"/>
                <c:pt idx="0">
                  <c:v>FY 2015-16</c:v>
                </c:pt>
                <c:pt idx="1">
                  <c:v>FY 2016-17</c:v>
                </c:pt>
                <c:pt idx="2">
                  <c:v>FY 2017-18</c:v>
                </c:pt>
                <c:pt idx="3">
                  <c:v>FY 2018-19</c:v>
                </c:pt>
                <c:pt idx="4">
                  <c:v>FY 2019-20</c:v>
                </c:pt>
                <c:pt idx="5">
                  <c:v>FY 2020-21</c:v>
                </c:pt>
                <c:pt idx="6">
                  <c:v>FY 2021-22</c:v>
                </c:pt>
                <c:pt idx="7">
                  <c:v>FY 2022-23</c:v>
                </c:pt>
                <c:pt idx="8">
                  <c:v>FY 2023-24</c:v>
                </c:pt>
                <c:pt idx="9">
                  <c:v>FY 2024-25</c:v>
                </c:pt>
              </c:strCache>
            </c:strRef>
          </c:cat>
          <c:val>
            <c:numRef>
              <c:f>'PROPERTY TAX ANALYSIS'!$D$136:$D$145</c:f>
              <c:numCache>
                <c:formatCode>_("$"* #,##0.000000_);_("$"* \(#,##0.000000\);_("$"* "-"??_);_(@_)</c:formatCode>
                <c:ptCount val="10"/>
                <c:pt idx="0">
                  <c:v>0.43468999999999997</c:v>
                </c:pt>
                <c:pt idx="1">
                  <c:v>0.43</c:v>
                </c:pt>
                <c:pt idx="2">
                  <c:v>0.42749999999999999</c:v>
                </c:pt>
                <c:pt idx="3">
                  <c:v>0.41325000000000001</c:v>
                </c:pt>
                <c:pt idx="4">
                  <c:v>0.39989999999999998</c:v>
                </c:pt>
                <c:pt idx="5">
                  <c:v>0.39500000000000002</c:v>
                </c:pt>
                <c:pt idx="6">
                  <c:v>0.39500000000000002</c:v>
                </c:pt>
                <c:pt idx="7">
                  <c:v>0.35449999999999998</c:v>
                </c:pt>
                <c:pt idx="8">
                  <c:v>0.312</c:v>
                </c:pt>
                <c:pt idx="9">
                  <c:v>0.29111999999999999</c:v>
                </c:pt>
              </c:numCache>
            </c:numRef>
          </c:val>
          <c:smooth val="0"/>
          <c:extLst>
            <c:ext xmlns:c16="http://schemas.microsoft.com/office/drawing/2014/chart" uri="{C3380CC4-5D6E-409C-BE32-E72D297353CC}">
              <c16:uniqueId val="{00000000-D0CF-418D-A410-F2DFCA48D5BB}"/>
            </c:ext>
          </c:extLst>
        </c:ser>
        <c:ser>
          <c:idx val="1"/>
          <c:order val="1"/>
          <c:tx>
            <c:strRef>
              <c:f>'PROPERTY TAX ANALYSIS'!$E$131</c:f>
              <c:strCache>
                <c:ptCount val="1"/>
                <c:pt idx="0">
                  <c:v> Effective </c:v>
                </c:pt>
              </c:strCache>
            </c:strRef>
          </c:tx>
          <c:spPr>
            <a:ln w="28575" cap="rnd">
              <a:solidFill>
                <a:schemeClr val="accent2"/>
              </a:solidFill>
              <a:round/>
            </a:ln>
            <a:effectLst/>
          </c:spPr>
          <c:marker>
            <c:symbol val="none"/>
          </c:marker>
          <c:cat>
            <c:strRef>
              <c:f>'PROPERTY TAX ANALYSIS'!$C$136:$C$145</c:f>
              <c:strCache>
                <c:ptCount val="10"/>
                <c:pt idx="0">
                  <c:v>FY 2015-16</c:v>
                </c:pt>
                <c:pt idx="1">
                  <c:v>FY 2016-17</c:v>
                </c:pt>
                <c:pt idx="2">
                  <c:v>FY 2017-18</c:v>
                </c:pt>
                <c:pt idx="3">
                  <c:v>FY 2018-19</c:v>
                </c:pt>
                <c:pt idx="4">
                  <c:v>FY 2019-20</c:v>
                </c:pt>
                <c:pt idx="5">
                  <c:v>FY 2020-21</c:v>
                </c:pt>
                <c:pt idx="6">
                  <c:v>FY 2021-22</c:v>
                </c:pt>
                <c:pt idx="7">
                  <c:v>FY 2022-23</c:v>
                </c:pt>
                <c:pt idx="8">
                  <c:v>FY 2023-24</c:v>
                </c:pt>
                <c:pt idx="9">
                  <c:v>FY 2024-25</c:v>
                </c:pt>
              </c:strCache>
            </c:strRef>
          </c:cat>
          <c:val>
            <c:numRef>
              <c:f>'PROPERTY TAX ANALYSIS'!$E$136:$E$145</c:f>
              <c:numCache>
                <c:formatCode>_("$"* #,##0.000000_);_("$"* \(#,##0.000000\);_("$"* "-"??_);_(@_)</c:formatCode>
                <c:ptCount val="10"/>
                <c:pt idx="0">
                  <c:v>0.44158999999999998</c:v>
                </c:pt>
                <c:pt idx="1">
                  <c:v>0.408854</c:v>
                </c:pt>
                <c:pt idx="2">
                  <c:v>0.41819400000000001</c:v>
                </c:pt>
                <c:pt idx="3">
                  <c:v>0.41327900000000001</c:v>
                </c:pt>
                <c:pt idx="4">
                  <c:v>0.401949</c:v>
                </c:pt>
                <c:pt idx="5">
                  <c:v>0.41758800000000001</c:v>
                </c:pt>
                <c:pt idx="6">
                  <c:v>0.40622000000000003</c:v>
                </c:pt>
                <c:pt idx="7">
                  <c:v>0.41758800000000001</c:v>
                </c:pt>
                <c:pt idx="8">
                  <c:v>0.41758800000000001</c:v>
                </c:pt>
                <c:pt idx="9">
                  <c:v>0.41758800000000001</c:v>
                </c:pt>
              </c:numCache>
            </c:numRef>
          </c:val>
          <c:smooth val="0"/>
          <c:extLst>
            <c:ext xmlns:c16="http://schemas.microsoft.com/office/drawing/2014/chart" uri="{C3380CC4-5D6E-409C-BE32-E72D297353CC}">
              <c16:uniqueId val="{00000001-D0CF-418D-A410-F2DFCA48D5BB}"/>
            </c:ext>
          </c:extLst>
        </c:ser>
        <c:ser>
          <c:idx val="2"/>
          <c:order val="2"/>
          <c:tx>
            <c:strRef>
              <c:f>'PROPERTY TAX ANALYSIS'!$F$131</c:f>
              <c:strCache>
                <c:ptCount val="1"/>
                <c:pt idx="0">
                  <c:v> Rollback </c:v>
                </c:pt>
              </c:strCache>
            </c:strRef>
          </c:tx>
          <c:spPr>
            <a:ln w="28575" cap="rnd">
              <a:solidFill>
                <a:schemeClr val="accent3"/>
              </a:solidFill>
              <a:round/>
            </a:ln>
            <a:effectLst/>
          </c:spPr>
          <c:marker>
            <c:symbol val="none"/>
          </c:marker>
          <c:cat>
            <c:strRef>
              <c:f>'PROPERTY TAX ANALYSIS'!$C$136:$C$145</c:f>
              <c:strCache>
                <c:ptCount val="10"/>
                <c:pt idx="0">
                  <c:v>FY 2015-16</c:v>
                </c:pt>
                <c:pt idx="1">
                  <c:v>FY 2016-17</c:v>
                </c:pt>
                <c:pt idx="2">
                  <c:v>FY 2017-18</c:v>
                </c:pt>
                <c:pt idx="3">
                  <c:v>FY 2018-19</c:v>
                </c:pt>
                <c:pt idx="4">
                  <c:v>FY 2019-20</c:v>
                </c:pt>
                <c:pt idx="5">
                  <c:v>FY 2020-21</c:v>
                </c:pt>
                <c:pt idx="6">
                  <c:v>FY 2021-22</c:v>
                </c:pt>
                <c:pt idx="7">
                  <c:v>FY 2022-23</c:v>
                </c:pt>
                <c:pt idx="8">
                  <c:v>FY 2023-24</c:v>
                </c:pt>
                <c:pt idx="9">
                  <c:v>FY 2024-25</c:v>
                </c:pt>
              </c:strCache>
            </c:strRef>
          </c:cat>
          <c:val>
            <c:numRef>
              <c:f>'PROPERTY TAX ANALYSIS'!$F$136:$F$145</c:f>
              <c:numCache>
                <c:formatCode>_("$"* #,##0.00000_);_("$"* \(#,##0.00000\);_("$"* "-"??_);_(@_)</c:formatCode>
                <c:ptCount val="10"/>
                <c:pt idx="0">
                  <c:v>0.45713999999999999</c:v>
                </c:pt>
                <c:pt idx="1">
                  <c:v>0.43938100000000002</c:v>
                </c:pt>
                <c:pt idx="2">
                  <c:v>0.43269400000000002</c:v>
                </c:pt>
                <c:pt idx="3">
                  <c:v>0.413302</c:v>
                </c:pt>
                <c:pt idx="4">
                  <c:v>0.431064</c:v>
                </c:pt>
                <c:pt idx="5">
                  <c:v>0.41627799999999998</c:v>
                </c:pt>
                <c:pt idx="6">
                  <c:v>0.40626200000000001</c:v>
                </c:pt>
                <c:pt idx="7">
                  <c:v>0.37456</c:v>
                </c:pt>
                <c:pt idx="8">
                  <c:v>0.33245000000000002</c:v>
                </c:pt>
                <c:pt idx="9">
                  <c:v>0.33245000000000002</c:v>
                </c:pt>
              </c:numCache>
            </c:numRef>
          </c:val>
          <c:smooth val="0"/>
          <c:extLst>
            <c:ext xmlns:c16="http://schemas.microsoft.com/office/drawing/2014/chart" uri="{C3380CC4-5D6E-409C-BE32-E72D297353CC}">
              <c16:uniqueId val="{00000002-D0CF-418D-A410-F2DFCA48D5BB}"/>
            </c:ext>
          </c:extLst>
        </c:ser>
        <c:dLbls>
          <c:showLegendKey val="0"/>
          <c:showVal val="0"/>
          <c:showCatName val="0"/>
          <c:showSerName val="0"/>
          <c:showPercent val="0"/>
          <c:showBubbleSize val="0"/>
        </c:dLbls>
        <c:smooth val="0"/>
        <c:axId val="590523472"/>
        <c:axId val="590523864"/>
      </c:lineChart>
      <c:catAx>
        <c:axId val="59052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90523864"/>
        <c:crosses val="autoZero"/>
        <c:auto val="1"/>
        <c:lblAlgn val="ctr"/>
        <c:lblOffset val="100"/>
        <c:noMultiLvlLbl val="0"/>
      </c:catAx>
      <c:valAx>
        <c:axId val="590523864"/>
        <c:scaling>
          <c:orientation val="minMax"/>
          <c:max val="0.49000000000000005"/>
          <c:min val="0.30000000000000004"/>
        </c:scaling>
        <c:delete val="0"/>
        <c:axPos val="l"/>
        <c:majorGridlines>
          <c:spPr>
            <a:ln w="9525" cap="flat" cmpd="sng" algn="ctr">
              <a:solidFill>
                <a:schemeClr val="tx1">
                  <a:lumMod val="15000"/>
                  <a:lumOff val="85000"/>
                </a:schemeClr>
              </a:solidFill>
              <a:round/>
            </a:ln>
            <a:effectLst/>
          </c:spPr>
        </c:majorGridlines>
        <c:numFmt formatCode="_(&quot;$&quot;* #,##0.000000_);_(&quot;$&quot;* \(#,##0.000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9052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17</xdr:col>
      <xdr:colOff>180975</xdr:colOff>
      <xdr:row>53</xdr:row>
      <xdr:rowOff>175259</xdr:rowOff>
    </xdr:from>
    <xdr:to>
      <xdr:col>25</xdr:col>
      <xdr:colOff>257175</xdr:colOff>
      <xdr:row>73</xdr:row>
      <xdr:rowOff>99059</xdr:rowOff>
    </xdr:to>
    <xdr:graphicFrame macro="">
      <xdr:nvGraphicFramePr>
        <xdr:cNvPr id="3" name="Chart 2">
          <a:extLst>
            <a:ext uri="{FF2B5EF4-FFF2-40B4-BE49-F238E27FC236}">
              <a16:creationId xmlns:a16="http://schemas.microsoft.com/office/drawing/2014/main" id="{69272DCE-B2DC-0CB0-9E1B-D2491CAE69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154304</xdr:colOff>
      <xdr:row>53</xdr:row>
      <xdr:rowOff>38100</xdr:rowOff>
    </xdr:from>
    <xdr:to>
      <xdr:col>37</xdr:col>
      <xdr:colOff>169544</xdr:colOff>
      <xdr:row>72</xdr:row>
      <xdr:rowOff>152400</xdr:rowOff>
    </xdr:to>
    <xdr:graphicFrame macro="">
      <xdr:nvGraphicFramePr>
        <xdr:cNvPr id="4" name="Chart 3">
          <a:extLst>
            <a:ext uri="{FF2B5EF4-FFF2-40B4-BE49-F238E27FC236}">
              <a16:creationId xmlns:a16="http://schemas.microsoft.com/office/drawing/2014/main" id="{7D393E10-B9A0-4191-8700-2172D11FC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1164</xdr:row>
      <xdr:rowOff>52916</xdr:rowOff>
    </xdr:from>
    <xdr:to>
      <xdr:col>19</xdr:col>
      <xdr:colOff>84666</xdr:colOff>
      <xdr:row>1189</xdr:row>
      <xdr:rowOff>42334</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499524</xdr:colOff>
      <xdr:row>84</xdr:row>
      <xdr:rowOff>2327</xdr:rowOff>
    </xdr:from>
    <xdr:to>
      <xdr:col>8</xdr:col>
      <xdr:colOff>190501</xdr:colOff>
      <xdr:row>99</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904874</xdr:colOff>
      <xdr:row>110</xdr:row>
      <xdr:rowOff>104774</xdr:rowOff>
    </xdr:from>
    <xdr:to>
      <xdr:col>7</xdr:col>
      <xdr:colOff>1188719</xdr:colOff>
      <xdr:row>129</xdr:row>
      <xdr:rowOff>68579</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656627</xdr:colOff>
      <xdr:row>115</xdr:row>
      <xdr:rowOff>158750</xdr:rowOff>
    </xdr:from>
    <xdr:to>
      <xdr:col>15</xdr:col>
      <xdr:colOff>984249</xdr:colOff>
      <xdr:row>137</xdr:row>
      <xdr:rowOff>52917</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FA\JROBERT\CLIENTS\CRRLISD\VAR-RA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ho\public\CIP\Capital%20Improvements%20P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nbulaich\Local%20Settings\Temporary%20Internet%20Files\OLK27\2001\arl.%20isd%2010-18-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FA\DROSEV\CLIENTS\KATYISD\9_4PL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FA\DROSEV\CLIENTS\RICHISD\VTDSA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ata"/>
      <sheetName val="GO Table"/>
      <sheetName val="final debt service"/>
      <sheetName val="PPFCO Table"/>
      <sheetName val="isd Legal Calendar"/>
      <sheetName val="ISD Election Strategy"/>
      <sheetName val="isd Bond Sale"/>
      <sheetName val="DEBT"/>
      <sheetName val="Var Rate Criteria"/>
      <sheetName val="Tax Management"/>
      <sheetName val="Final Breakeven"/>
      <sheetName val="Breakeven 6%"/>
      <sheetName val="Accelerated 5.5%"/>
      <sheetName val="Accelerated 6%"/>
      <sheetName val="Construction Draw"/>
      <sheetName val="FinvsPay-As-You-Go"/>
      <sheetName val="Master Lease"/>
      <sheetName val="A (2)"/>
      <sheetName val="graph"/>
      <sheetName val="Sheet1"/>
      <sheetName val="issuers"/>
      <sheetName val="Breakeven 5.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inks"/>
      <sheetName val="Overview"/>
      <sheetName val="Master by FY"/>
      <sheetName val="Summary"/>
      <sheetName val="General Funds"/>
      <sheetName val="WaterSewer"/>
      <sheetName val="4bPay"/>
      <sheetName val="Airport Fund"/>
      <sheetName val="General Fund Debt"/>
      <sheetName val="Water Sewer Debt"/>
      <sheetName val="4b Debt"/>
      <sheetName val="Grants"/>
      <sheetName val="Dev Part"/>
      <sheetName val="Other"/>
      <sheetName val="Facilities"/>
      <sheetName val="Parks&amp;OpenSpaces"/>
      <sheetName val="Airport"/>
      <sheetName val="Drainage"/>
      <sheetName val="RoadwaySystem"/>
      <sheetName val="StreetRecon"/>
      <sheetName val="Water"/>
      <sheetName val="Wastewater"/>
      <sheetName val="Public Safety"/>
      <sheetName val="Paving&amp;Drainage"/>
      <sheetName val="New Roadw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39">
          <cell r="A239" t="str">
            <v>Project:</v>
          </cell>
          <cell r="B239" t="str">
            <v>Schreiner Golf Course Restrooms</v>
          </cell>
        </row>
        <row r="240">
          <cell r="A240" t="str">
            <v>Owner:</v>
          </cell>
          <cell r="B240" t="str">
            <v>Director of General Services</v>
          </cell>
          <cell r="F240" t="str">
            <v>Manager:</v>
          </cell>
          <cell r="G240" t="str">
            <v>Director of General Services</v>
          </cell>
        </row>
        <row r="241">
          <cell r="A241" t="str">
            <v>Project Scope:</v>
          </cell>
          <cell r="B241" t="str">
            <v>Demolish fairway #2 restrooms and construct small restroom replacement. Construct an additional restroom on back 9.</v>
          </cell>
        </row>
        <row r="242">
          <cell r="A242" t="str">
            <v>Justification:</v>
          </cell>
          <cell r="B242" t="str">
            <v>Restroom #2 is in bad condition.  Need for an additional restroom on back 9.</v>
          </cell>
        </row>
        <row r="243">
          <cell r="A243" t="str">
            <v>Project Need From:</v>
          </cell>
          <cell r="B243" t="str">
            <v>Golf Course Committee</v>
          </cell>
        </row>
        <row r="244">
          <cell r="A244" t="str">
            <v>Operation &amp; Maintenance Impact (5 Years Out):</v>
          </cell>
          <cell r="B244" t="str">
            <v>Basic cleaning and minor upkeep.  $750/year.</v>
          </cell>
        </row>
        <row r="245">
          <cell r="A245" t="str">
            <v>Expenditures and Year</v>
          </cell>
        </row>
        <row r="246">
          <cell r="B246" t="str">
            <v>Prior Spending</v>
          </cell>
          <cell r="C246" t="str">
            <v>FY07</v>
          </cell>
          <cell r="D246" t="str">
            <v>FY08</v>
          </cell>
          <cell r="E246" t="str">
            <v>FY09</v>
          </cell>
          <cell r="F246" t="str">
            <v>FY10</v>
          </cell>
          <cell r="G246" t="str">
            <v>FY11</v>
          </cell>
          <cell r="H246" t="str">
            <v>Schedule</v>
          </cell>
          <cell r="I246" t="str">
            <v>Future Spending</v>
          </cell>
        </row>
        <row r="247">
          <cell r="A247" t="str">
            <v>Preliminary Design</v>
          </cell>
          <cell r="D247">
            <v>10000</v>
          </cell>
        </row>
        <row r="248">
          <cell r="A248" t="str">
            <v>Land Acquisition</v>
          </cell>
        </row>
        <row r="249">
          <cell r="A249" t="str">
            <v>Design/Engineering</v>
          </cell>
          <cell r="E249">
            <v>25000</v>
          </cell>
        </row>
        <row r="250">
          <cell r="A250" t="str">
            <v>Construction</v>
          </cell>
          <cell r="E250">
            <v>165000</v>
          </cell>
        </row>
        <row r="251">
          <cell r="A251" t="str">
            <v>Equipment</v>
          </cell>
        </row>
        <row r="252">
          <cell r="A252" t="str">
            <v>Contingency Costs</v>
          </cell>
        </row>
        <row r="253">
          <cell r="A253" t="str">
            <v>Grant Match</v>
          </cell>
        </row>
        <row r="254">
          <cell r="A254" t="str">
            <v>Total</v>
          </cell>
          <cell r="B254">
            <v>0</v>
          </cell>
          <cell r="C254">
            <v>0</v>
          </cell>
          <cell r="D254">
            <v>10000</v>
          </cell>
          <cell r="E254">
            <v>190000</v>
          </cell>
          <cell r="F254">
            <v>0</v>
          </cell>
          <cell r="G254">
            <v>0</v>
          </cell>
          <cell r="I254">
            <v>0</v>
          </cell>
        </row>
        <row r="255">
          <cell r="A255" t="str">
            <v xml:space="preserve">Total Project Estimate: </v>
          </cell>
          <cell r="D255">
            <v>200000</v>
          </cell>
        </row>
        <row r="256">
          <cell r="A256" t="str">
            <v>Funding Sources and Year</v>
          </cell>
        </row>
        <row r="257">
          <cell r="B257" t="str">
            <v>Prior Funding</v>
          </cell>
          <cell r="C257" t="str">
            <v>FY07</v>
          </cell>
          <cell r="D257" t="str">
            <v>FY08</v>
          </cell>
          <cell r="E257" t="str">
            <v>FY09</v>
          </cell>
          <cell r="F257" t="str">
            <v>FY10</v>
          </cell>
          <cell r="G257" t="str">
            <v>FY11</v>
          </cell>
          <cell r="H257" t="str">
            <v>FY07 - FY11 Total</v>
          </cell>
          <cell r="I257" t="str">
            <v>Future Funding</v>
          </cell>
        </row>
        <row r="258">
          <cell r="A258" t="str">
            <v>General Funds</v>
          </cell>
          <cell r="E258">
            <v>62000</v>
          </cell>
          <cell r="H258">
            <v>0</v>
          </cell>
        </row>
        <row r="259">
          <cell r="A259" t="str">
            <v>Water/Sewer</v>
          </cell>
          <cell r="H259">
            <v>0</v>
          </cell>
        </row>
        <row r="260">
          <cell r="A260" t="str">
            <v>4b Pay as You Go</v>
          </cell>
          <cell r="H260">
            <v>0</v>
          </cell>
        </row>
        <row r="261">
          <cell r="A261" t="str">
            <v>Airport</v>
          </cell>
          <cell r="H261">
            <v>0</v>
          </cell>
        </row>
        <row r="262">
          <cell r="A262" t="str">
            <v>General Fund Debt</v>
          </cell>
          <cell r="H262">
            <v>0</v>
          </cell>
        </row>
        <row r="263">
          <cell r="A263" t="str">
            <v>Water/Sewer Debt</v>
          </cell>
          <cell r="H263">
            <v>0</v>
          </cell>
        </row>
        <row r="264">
          <cell r="A264" t="str">
            <v>4b Debt</v>
          </cell>
          <cell r="H264">
            <v>0</v>
          </cell>
        </row>
        <row r="265">
          <cell r="A265" t="str">
            <v>Grants</v>
          </cell>
          <cell r="H265">
            <v>0</v>
          </cell>
        </row>
        <row r="266">
          <cell r="A266" t="str">
            <v>Developer Participation</v>
          </cell>
          <cell r="H266">
            <v>0</v>
          </cell>
        </row>
        <row r="267">
          <cell r="A267" t="str">
            <v>Other</v>
          </cell>
          <cell r="D267">
            <v>10000</v>
          </cell>
          <cell r="E267">
            <v>190000</v>
          </cell>
          <cell r="H267">
            <v>200000</v>
          </cell>
        </row>
        <row r="268">
          <cell r="A268" t="str">
            <v>Total</v>
          </cell>
          <cell r="B268">
            <v>0</v>
          </cell>
          <cell r="C268">
            <v>0</v>
          </cell>
          <cell r="D268">
            <v>10000</v>
          </cell>
          <cell r="E268">
            <v>190000</v>
          </cell>
          <cell r="F268">
            <v>0</v>
          </cell>
          <cell r="G268">
            <v>0</v>
          </cell>
          <cell r="H268">
            <v>200000</v>
          </cell>
          <cell r="I268">
            <v>0</v>
          </cell>
        </row>
        <row r="269">
          <cell r="A269" t="str">
            <v xml:space="preserve">Total Funding Source: </v>
          </cell>
          <cell r="D269">
            <v>200000</v>
          </cell>
        </row>
        <row r="270">
          <cell r="A270" t="str">
            <v>Schedule (Include Funding and Source):</v>
          </cell>
        </row>
        <row r="271">
          <cell r="A271" t="str">
            <v>Comments:</v>
          </cell>
          <cell r="B271" t="str">
            <v>"Other" funding source is the Parkland Dedication Fund.</v>
          </cell>
        </row>
        <row r="272">
          <cell r="A272" t="str">
            <v>Status:</v>
          </cell>
        </row>
      </sheetData>
      <sheetData sheetId="17" refreshError="1"/>
      <sheetData sheetId="18" refreshError="1"/>
      <sheetData sheetId="19" refreshError="1"/>
      <sheetData sheetId="20" refreshError="1"/>
      <sheetData sheetId="21" refreshError="1"/>
      <sheetData sheetId="22" refreshError="1"/>
      <sheetData sheetId="23" refreshError="1">
        <row r="1">
          <cell r="A1" t="str">
            <v>Project:</v>
          </cell>
          <cell r="B1" t="str">
            <v>Relocate Central Fire Station</v>
          </cell>
        </row>
        <row r="2">
          <cell r="A2" t="str">
            <v>Owner:</v>
          </cell>
          <cell r="B2" t="str">
            <v>Fire Chief Raymond P. Holloway</v>
          </cell>
          <cell r="F2" t="str">
            <v>Manager:</v>
          </cell>
          <cell r="G2" t="str">
            <v>Fire Chief</v>
          </cell>
        </row>
        <row r="3">
          <cell r="A3" t="str">
            <v>Project Scope:</v>
          </cell>
          <cell r="B3" t="str">
            <v xml:space="preserve">Build a new central fire station on Plaza Drive property the City already owns on the South side of the river. </v>
          </cell>
        </row>
        <row r="4">
          <cell r="A4" t="str">
            <v>Justification:</v>
          </cell>
          <cell r="B4" t="str">
            <v>With the city growing more on the South side of the river, it makes sense to relocate central station on that side of the river. The current central is the smallest station housing the most equipment and personnel. This station was too small when it was c</v>
          </cell>
        </row>
        <row r="5">
          <cell r="A5" t="str">
            <v>Project Need From:</v>
          </cell>
        </row>
        <row r="6">
          <cell r="A6" t="str">
            <v>Operation &amp; Maintenance Impact (5 Years Out):</v>
          </cell>
          <cell r="B6" t="str">
            <v>There would be little increase in operation and maintenance over the current impact as we would not have to add personnel or equipment.</v>
          </cell>
        </row>
        <row r="7">
          <cell r="A7" t="str">
            <v>Expenditures and Year</v>
          </cell>
        </row>
        <row r="8">
          <cell r="B8" t="str">
            <v>Prior Spending</v>
          </cell>
          <cell r="C8" t="str">
            <v>FY07</v>
          </cell>
          <cell r="D8" t="str">
            <v>FY08</v>
          </cell>
          <cell r="E8" t="str">
            <v>FY09</v>
          </cell>
          <cell r="F8" t="str">
            <v>FY10</v>
          </cell>
          <cell r="G8" t="str">
            <v>FY11</v>
          </cell>
          <cell r="H8" t="str">
            <v>Schedule</v>
          </cell>
          <cell r="I8" t="str">
            <v>Future Spending</v>
          </cell>
        </row>
        <row r="9">
          <cell r="A9" t="str">
            <v>Preliminary Design</v>
          </cell>
          <cell r="I9">
            <v>50000</v>
          </cell>
        </row>
        <row r="10">
          <cell r="A10" t="str">
            <v>Land Acquisition</v>
          </cell>
          <cell r="I10">
            <v>0</v>
          </cell>
        </row>
        <row r="11">
          <cell r="A11" t="str">
            <v>Design/Engineering</v>
          </cell>
          <cell r="I11">
            <v>70000</v>
          </cell>
        </row>
        <row r="12">
          <cell r="A12" t="str">
            <v>Construction</v>
          </cell>
          <cell r="I12">
            <v>2000000</v>
          </cell>
        </row>
        <row r="13">
          <cell r="A13" t="str">
            <v>Equipment</v>
          </cell>
          <cell r="I13">
            <v>0</v>
          </cell>
        </row>
        <row r="14">
          <cell r="A14" t="str">
            <v>Contingency Costs</v>
          </cell>
          <cell r="I14">
            <v>20000</v>
          </cell>
        </row>
        <row r="15">
          <cell r="A15" t="str">
            <v>Grant Match</v>
          </cell>
        </row>
        <row r="16">
          <cell r="A16" t="str">
            <v>Total</v>
          </cell>
          <cell r="B16">
            <v>0</v>
          </cell>
          <cell r="C16">
            <v>0</v>
          </cell>
          <cell r="D16">
            <v>0</v>
          </cell>
          <cell r="E16">
            <v>0</v>
          </cell>
          <cell r="F16">
            <v>0</v>
          </cell>
          <cell r="G16">
            <v>0</v>
          </cell>
          <cell r="I16">
            <v>2140000</v>
          </cell>
        </row>
        <row r="17">
          <cell r="A17" t="str">
            <v xml:space="preserve">Total Project Estimate: </v>
          </cell>
          <cell r="D17">
            <v>2140000</v>
          </cell>
        </row>
        <row r="18">
          <cell r="A18" t="str">
            <v>Funding Sources and Year</v>
          </cell>
        </row>
        <row r="19">
          <cell r="B19" t="str">
            <v>Prior Funding</v>
          </cell>
          <cell r="C19" t="str">
            <v>FY07</v>
          </cell>
          <cell r="D19" t="str">
            <v>FY08</v>
          </cell>
          <cell r="E19" t="str">
            <v>FY09</v>
          </cell>
          <cell r="F19" t="str">
            <v>FY10</v>
          </cell>
          <cell r="G19" t="str">
            <v>FY11</v>
          </cell>
          <cell r="H19" t="str">
            <v>FY07-FY11 Total</v>
          </cell>
          <cell r="I19" t="str">
            <v>Future Funding</v>
          </cell>
        </row>
        <row r="20">
          <cell r="A20" t="str">
            <v>General Funds</v>
          </cell>
          <cell r="H20">
            <v>0</v>
          </cell>
        </row>
        <row r="21">
          <cell r="A21" t="str">
            <v>Water/Sewer</v>
          </cell>
          <cell r="H21">
            <v>0</v>
          </cell>
        </row>
        <row r="22">
          <cell r="A22" t="str">
            <v>4b Pay as You Go</v>
          </cell>
          <cell r="H22">
            <v>0</v>
          </cell>
        </row>
        <row r="23">
          <cell r="A23" t="str">
            <v>Airport</v>
          </cell>
          <cell r="H23">
            <v>0</v>
          </cell>
        </row>
        <row r="24">
          <cell r="A24" t="str">
            <v>General Fund Debt</v>
          </cell>
          <cell r="H24">
            <v>0</v>
          </cell>
          <cell r="I24">
            <v>2140000</v>
          </cell>
        </row>
        <row r="25">
          <cell r="A25" t="str">
            <v>Water/Sewer Debt</v>
          </cell>
          <cell r="H25">
            <v>0</v>
          </cell>
        </row>
        <row r="26">
          <cell r="A26" t="str">
            <v>4b Debt</v>
          </cell>
          <cell r="H26">
            <v>0</v>
          </cell>
        </row>
        <row r="27">
          <cell r="A27" t="str">
            <v>Grants</v>
          </cell>
          <cell r="H27">
            <v>0</v>
          </cell>
        </row>
        <row r="28">
          <cell r="A28" t="str">
            <v>Developer Participation</v>
          </cell>
          <cell r="H28">
            <v>0</v>
          </cell>
        </row>
        <row r="29">
          <cell r="A29" t="str">
            <v>Other</v>
          </cell>
          <cell r="H29">
            <v>0</v>
          </cell>
        </row>
        <row r="30">
          <cell r="A30" t="str">
            <v>Total</v>
          </cell>
          <cell r="B30">
            <v>0</v>
          </cell>
          <cell r="C30">
            <v>0</v>
          </cell>
          <cell r="D30">
            <v>0</v>
          </cell>
          <cell r="E30">
            <v>0</v>
          </cell>
          <cell r="F30">
            <v>0</v>
          </cell>
          <cell r="G30">
            <v>0</v>
          </cell>
          <cell r="H30">
            <v>0</v>
          </cell>
          <cell r="I30">
            <v>2140000</v>
          </cell>
        </row>
        <row r="31">
          <cell r="A31" t="str">
            <v>Funding Source Estimate:</v>
          </cell>
          <cell r="D31">
            <v>2140000</v>
          </cell>
        </row>
        <row r="32">
          <cell r="A32" t="str">
            <v>Schedule (Include Funding and Source):</v>
          </cell>
        </row>
      </sheetData>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Base Scenario"/>
      <sheetName val="Scen I - Defease Early"/>
      <sheetName val="Scen I - Summary"/>
      <sheetName val="Scen II - Def 01"/>
      <sheetName val="Scen II - Summary"/>
      <sheetName val="Scen III - Cash Pmt"/>
      <sheetName val="Scen III - Summary"/>
      <sheetName val="Scen II - Def 01 11-13-01"/>
      <sheetName val="Scen II - Def 01 12-4-0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chedule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Draw"/>
      <sheetName val="Constrct Draw Updt 11-1-96"/>
      <sheetName val="Constrct Draw Updt 11-1-96 (2)"/>
      <sheetName val="SpenddwnReq 97PPFCO "/>
      <sheetName val="SpenddwnReq 97-AVar"/>
      <sheetName val="SpenddwnReq 97GO"/>
      <sheetName val="Construction Draw - Format"/>
      <sheetName val="Debt"/>
      <sheetName val="Orig. Debt Plan"/>
      <sheetName val="11_1_96 Debt Plan"/>
      <sheetName val="11_15_96 Debt Plan "/>
      <sheetName val="1_7_97 Debt Plan "/>
      <sheetName val="1_21_97 Debt Plan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
          <cell r="E9">
            <v>30000000</v>
          </cell>
        </row>
      </sheetData>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rgb="FF00B050"/>
    <pageSetUpPr fitToPage="1"/>
  </sheetPr>
  <dimension ref="A2:AB207"/>
  <sheetViews>
    <sheetView view="pageBreakPreview" topLeftCell="E28" zoomScaleNormal="100" zoomScaleSheetLayoutView="100" workbookViewId="0">
      <selection activeCell="O48" sqref="O48"/>
    </sheetView>
  </sheetViews>
  <sheetFormatPr defaultColWidth="9.109375" defaultRowHeight="14.4"/>
  <cols>
    <col min="1" max="1" width="14.88671875" style="159" customWidth="1"/>
    <col min="2" max="4" width="9.109375" style="147" customWidth="1"/>
    <col min="5" max="5" width="39.88671875" style="407" customWidth="1"/>
    <col min="6" max="6" width="15.109375" style="2" customWidth="1"/>
    <col min="7" max="8" width="19.88671875" style="2" customWidth="1"/>
    <col min="9" max="9" width="16" style="2" customWidth="1"/>
    <col min="10" max="10" width="6.109375" style="2" customWidth="1"/>
    <col min="11" max="11" width="13.88671875" style="2" customWidth="1"/>
    <col min="12" max="12" width="14.109375" style="2" customWidth="1"/>
    <col min="13" max="13" width="15" style="2" customWidth="1"/>
    <col min="14" max="14" width="3.88671875" style="2" customWidth="1"/>
    <col min="15" max="15" width="9.44140625" style="2" customWidth="1"/>
    <col min="16" max="16" width="4" style="2" customWidth="1"/>
    <col min="17" max="19" width="13.88671875" style="2" customWidth="1"/>
    <col min="20" max="20" width="3.109375" style="2" customWidth="1"/>
    <col min="21" max="25" width="13.88671875" style="2" customWidth="1"/>
    <col min="26" max="26" width="14.44140625" style="2" customWidth="1"/>
    <col min="28" max="28" width="12.44140625" customWidth="1"/>
  </cols>
  <sheetData>
    <row r="2" spans="1:26">
      <c r="B2" s="381"/>
      <c r="C2" s="381"/>
      <c r="D2" s="159"/>
      <c r="E2" s="458"/>
      <c r="F2"/>
      <c r="G2"/>
      <c r="H2"/>
      <c r="I2" s="186"/>
      <c r="J2" s="186"/>
      <c r="K2" s="381" t="s">
        <v>1043</v>
      </c>
      <c r="L2" s="381"/>
      <c r="M2" s="381"/>
      <c r="N2"/>
      <c r="O2"/>
      <c r="P2"/>
      <c r="Q2" s="381" t="s">
        <v>1042</v>
      </c>
      <c r="R2" s="381"/>
      <c r="S2" s="381"/>
      <c r="T2"/>
      <c r="U2"/>
      <c r="V2"/>
      <c r="W2"/>
      <c r="X2"/>
      <c r="Y2"/>
      <c r="Z2" s="5"/>
    </row>
    <row r="3" spans="1:26" ht="28.8">
      <c r="B3" s="404" t="s">
        <v>1064</v>
      </c>
      <c r="C3" s="404" t="s">
        <v>1065</v>
      </c>
      <c r="D3" s="404" t="s">
        <v>1066</v>
      </c>
      <c r="E3" s="459" t="s">
        <v>86</v>
      </c>
      <c r="F3" s="404" t="s">
        <v>59</v>
      </c>
      <c r="G3" s="404" t="s">
        <v>1044</v>
      </c>
      <c r="H3" s="404" t="s">
        <v>85</v>
      </c>
      <c r="I3" s="661" t="s">
        <v>36</v>
      </c>
      <c r="J3" s="661"/>
      <c r="K3" s="405" t="s">
        <v>1039</v>
      </c>
      <c r="L3" s="405" t="s">
        <v>1040</v>
      </c>
      <c r="M3" s="405" t="s">
        <v>35</v>
      </c>
      <c r="N3" s="406"/>
      <c r="O3" s="405" t="s">
        <v>1078</v>
      </c>
      <c r="P3" s="406"/>
      <c r="Q3" s="405" t="s">
        <v>1039</v>
      </c>
      <c r="R3" s="405" t="s">
        <v>1040</v>
      </c>
      <c r="S3" s="405" t="s">
        <v>35</v>
      </c>
      <c r="T3" s="406"/>
      <c r="U3" s="422" t="str">
        <f>'5 Year Forecast'!L3</f>
        <v>FY 2025-26 Projected</v>
      </c>
      <c r="V3" s="422" t="str">
        <f>'5 Year Forecast'!M3</f>
        <v>FY 2026-27 Projected</v>
      </c>
      <c r="W3" s="422" t="str">
        <f>'5 Year Forecast'!N3</f>
        <v>FY 2027-28 Projected</v>
      </c>
      <c r="X3" s="422" t="str">
        <f>'5 Year Forecast'!O3</f>
        <v>FY 2028-29 Projected</v>
      </c>
      <c r="Y3" s="422" t="str">
        <f>'5 Year Forecast'!P3</f>
        <v>FY 2029-30 Projected</v>
      </c>
      <c r="Z3" s="403"/>
    </row>
    <row r="5" spans="1:26" ht="15" customHeight="1">
      <c r="B5" s="1"/>
      <c r="C5" s="1"/>
      <c r="D5" s="159"/>
      <c r="E5" s="458"/>
      <c r="F5"/>
      <c r="G5"/>
      <c r="H5"/>
      <c r="I5" s="186"/>
      <c r="J5" s="186"/>
      <c r="K5" s="658" t="s">
        <v>1043</v>
      </c>
      <c r="L5" s="658"/>
      <c r="M5" s="658"/>
      <c r="N5"/>
      <c r="O5"/>
      <c r="P5"/>
      <c r="Q5" s="658" t="s">
        <v>1042</v>
      </c>
      <c r="R5" s="658"/>
      <c r="S5" s="658"/>
      <c r="T5"/>
      <c r="U5"/>
      <c r="V5"/>
      <c r="W5"/>
      <c r="X5"/>
      <c r="Y5"/>
      <c r="Z5" s="4"/>
    </row>
    <row r="6" spans="1:26" ht="15" customHeight="1">
      <c r="B6" s="660" t="s">
        <v>54</v>
      </c>
      <c r="C6" s="660"/>
      <c r="D6" s="660"/>
      <c r="E6" s="460" t="s">
        <v>86</v>
      </c>
      <c r="F6" s="399" t="s">
        <v>59</v>
      </c>
      <c r="G6" s="399" t="s">
        <v>1044</v>
      </c>
      <c r="H6" s="399" t="s">
        <v>85</v>
      </c>
      <c r="I6" s="659" t="s">
        <v>36</v>
      </c>
      <c r="J6" s="659"/>
      <c r="K6" s="400" t="s">
        <v>1039</v>
      </c>
      <c r="L6" s="400" t="s">
        <v>1040</v>
      </c>
      <c r="M6" s="400" t="s">
        <v>35</v>
      </c>
      <c r="N6" s="401"/>
      <c r="O6" s="401"/>
      <c r="P6" s="401"/>
      <c r="Q6" s="400" t="s">
        <v>1039</v>
      </c>
      <c r="R6" s="400" t="s">
        <v>1040</v>
      </c>
      <c r="S6" s="400" t="s">
        <v>35</v>
      </c>
      <c r="T6" s="401"/>
      <c r="U6" s="401"/>
      <c r="V6" s="401"/>
      <c r="W6" s="401"/>
      <c r="X6" s="401"/>
      <c r="Y6" s="401"/>
      <c r="Z6" s="4"/>
    </row>
    <row r="7" spans="1:26" ht="15" customHeight="1">
      <c r="B7" s="42"/>
      <c r="C7" s="42"/>
      <c r="D7" s="42"/>
      <c r="F7" s="41"/>
      <c r="G7" s="41"/>
      <c r="H7" s="41"/>
      <c r="I7" s="41"/>
      <c r="J7" s="41"/>
      <c r="K7" s="41"/>
      <c r="L7" s="67"/>
      <c r="M7" s="41"/>
      <c r="N7" s="41"/>
      <c r="O7" s="41"/>
      <c r="P7" s="41"/>
      <c r="Q7" s="41"/>
      <c r="R7" s="41"/>
      <c r="S7" s="41"/>
      <c r="T7" s="42"/>
      <c r="U7" s="41"/>
      <c r="V7" s="41"/>
      <c r="W7" s="41"/>
      <c r="X7" s="41"/>
      <c r="Y7" s="41"/>
      <c r="Z7" s="4"/>
    </row>
    <row r="8" spans="1:26" s="419" customFormat="1" ht="15" customHeight="1">
      <c r="A8" s="413" t="str">
        <f>CONCATENATE(B8,"-",C8,"-",D8)</f>
        <v>100-10-103</v>
      </c>
      <c r="B8" s="410">
        <v>100</v>
      </c>
      <c r="C8" s="410">
        <v>10</v>
      </c>
      <c r="D8" s="411">
        <v>103</v>
      </c>
      <c r="E8" s="596" t="s">
        <v>3450</v>
      </c>
      <c r="F8" s="413" t="s">
        <v>3458</v>
      </c>
      <c r="G8" s="413" t="s">
        <v>43</v>
      </c>
      <c r="H8" s="413" t="s">
        <v>1080</v>
      </c>
      <c r="I8" s="413" t="s">
        <v>3406</v>
      </c>
      <c r="J8" s="413">
        <f>HLOOKUP($I8,'5 Year Forecast'!$L$4:$P$5,2,FALSE)</f>
        <v>4</v>
      </c>
      <c r="K8" s="414">
        <v>0</v>
      </c>
      <c r="L8" s="415">
        <v>5000</v>
      </c>
      <c r="M8" s="415">
        <v>0</v>
      </c>
      <c r="N8" s="416"/>
      <c r="O8" s="417" t="s">
        <v>46</v>
      </c>
      <c r="P8" s="416"/>
      <c r="Q8" s="415">
        <f t="shared" ref="Q8:Q34" si="0">IF($O8="Y",K8,IF($O8="N",0,$O8*K8))</f>
        <v>0</v>
      </c>
      <c r="R8" s="415">
        <f t="shared" ref="R8:R34" si="1">IF($O8="Y",L8,IF($O8="N",0,$O8*L8))</f>
        <v>0</v>
      </c>
      <c r="S8" s="415">
        <f t="shared" ref="S8:S34" si="2">SUM(Q8:R8)</f>
        <v>0</v>
      </c>
      <c r="T8" s="418"/>
      <c r="U8" s="421">
        <f>IF($J8='5 Year Forecast'!$L$5,$S8*(1+'5 Year Forecast'!$L$30),IF($J8&gt;'5 Year Forecast'!$L$5,0,IF($J8&lt;'5 Year Forecast'!$L$5,$Q8*(1+'5 Year Forecast'!$L$30),0)))</f>
        <v>0</v>
      </c>
      <c r="V8" s="421">
        <f>IF($J8='5 Year Forecast'!$M$5,$S8*(1+'5 Year Forecast'!$M$30),IF($J8&gt;'5 Year Forecast'!$M$5,0,IF($J8&lt;'5 Year Forecast'!$M$5,$Q8*(1+'5 Year Forecast'!$M$30),0)))</f>
        <v>0</v>
      </c>
      <c r="W8" s="421">
        <f>IF($J8='5 Year Forecast'!$N$5,$S8*(1+'5 Year Forecast'!$N$30),IF($J8&gt;'5 Year Forecast'!$N$5,0,IF($J8&lt;'5 Year Forecast'!$N$5,$Q8*(1+'5 Year Forecast'!$N$30),0)))</f>
        <v>0</v>
      </c>
      <c r="X8" s="421">
        <f>IF($J8='5 Year Forecast'!$O$5,$S8*(1+'5 Year Forecast'!$O$30),IF($J8&gt;'5 Year Forecast'!$O$5,0,IF($J8&lt;'5 Year Forecast'!$O$5,$Q8*(1+'5 Year Forecast'!$O$30),0)))</f>
        <v>0</v>
      </c>
      <c r="Y8" s="421">
        <f>IF($J8='5 Year Forecast'!$P$5,$S8*(1+'5 Year Forecast'!$P$30),IF($J8&gt;'5 Year Forecast'!$P$5,0,IF($J8&lt;'5 Year Forecast'!$P$5,$Q8*(1+'5 Year Forecast'!$P$30),0)))</f>
        <v>0</v>
      </c>
      <c r="Z8" s="409"/>
    </row>
    <row r="9" spans="1:26" s="419" customFormat="1" ht="15" customHeight="1">
      <c r="A9" s="413" t="str">
        <f t="shared" ref="A9:A14" si="3">CONCATENATE(B9,"-",C9,"-",D9)</f>
        <v>100-10-103</v>
      </c>
      <c r="B9" s="410">
        <v>100</v>
      </c>
      <c r="C9" s="410">
        <v>10</v>
      </c>
      <c r="D9" s="411">
        <v>103</v>
      </c>
      <c r="E9" s="596" t="s">
        <v>3451</v>
      </c>
      <c r="F9" s="413" t="s">
        <v>3458</v>
      </c>
      <c r="G9" s="413" t="s">
        <v>43</v>
      </c>
      <c r="H9" s="413" t="s">
        <v>1080</v>
      </c>
      <c r="I9" s="413" t="s">
        <v>3406</v>
      </c>
      <c r="J9" s="413">
        <f>HLOOKUP($I9,'5 Year Forecast'!$L$4:$P$5,2,FALSE)</f>
        <v>4</v>
      </c>
      <c r="K9" s="414">
        <v>15000</v>
      </c>
      <c r="L9" s="415">
        <v>0</v>
      </c>
      <c r="M9" s="415">
        <v>0</v>
      </c>
      <c r="N9" s="416"/>
      <c r="O9" s="417" t="s">
        <v>44</v>
      </c>
      <c r="P9" s="416"/>
      <c r="Q9" s="415">
        <f t="shared" ref="Q9" si="4">IF($O9="Y",K9,IF($O9="N",0,$O9*K9))</f>
        <v>15000</v>
      </c>
      <c r="R9" s="415">
        <f t="shared" ref="R9" si="5">IF($O9="Y",L9,IF($O9="N",0,$O9*L9))</f>
        <v>0</v>
      </c>
      <c r="S9" s="415">
        <f t="shared" ref="S9" si="6">SUM(Q9:R9)</f>
        <v>15000</v>
      </c>
      <c r="T9" s="418"/>
      <c r="U9" s="421">
        <f>IF($J9='5 Year Forecast'!$L$5,$S9*(1+'5 Year Forecast'!$L$30),IF($J9&gt;'5 Year Forecast'!$L$5,0,IF($J9&lt;'5 Year Forecast'!$L$5,$Q9*(1+'5 Year Forecast'!$L$30),0)))</f>
        <v>0</v>
      </c>
      <c r="V9" s="421">
        <f>IF($J9='5 Year Forecast'!$M$5,$S9*(1+'5 Year Forecast'!$M$30),IF($J9&gt;'5 Year Forecast'!$M$5,0,IF($J9&lt;'5 Year Forecast'!$M$5,$Q9*(1+'5 Year Forecast'!$M$30),0)))</f>
        <v>0</v>
      </c>
      <c r="W9" s="421">
        <f>IF($J9='5 Year Forecast'!$N$5,$S9*(1+'5 Year Forecast'!$N$30),IF($J9&gt;'5 Year Forecast'!$N$5,0,IF($J9&lt;'5 Year Forecast'!$N$5,$Q9*(1+'5 Year Forecast'!$N$30),0)))</f>
        <v>0</v>
      </c>
      <c r="X9" s="421">
        <f>IF($J9='5 Year Forecast'!$O$5,$S9*(1+'5 Year Forecast'!$O$30),IF($J9&gt;'5 Year Forecast'!$O$5,0,IF($J9&lt;'5 Year Forecast'!$O$5,$Q9*(1+'5 Year Forecast'!$O$30),0)))</f>
        <v>15000</v>
      </c>
      <c r="Y9" s="421">
        <f>IF($J9='5 Year Forecast'!$P$5,$S9*(1+'5 Year Forecast'!$P$30),IF($J9&gt;'5 Year Forecast'!$P$5,0,IF($J9&lt;'5 Year Forecast'!$P$5,$Q9*(1+'5 Year Forecast'!$P$30),0)))</f>
        <v>15000</v>
      </c>
      <c r="Z9" s="409"/>
    </row>
    <row r="10" spans="1:26" s="419" customFormat="1" ht="15" customHeight="1">
      <c r="A10" s="413" t="str">
        <f t="shared" si="3"/>
        <v>100-10-104</v>
      </c>
      <c r="B10" s="410">
        <v>100</v>
      </c>
      <c r="C10" s="410">
        <v>10</v>
      </c>
      <c r="D10" s="411">
        <v>104</v>
      </c>
      <c r="E10" s="596" t="s">
        <v>3453</v>
      </c>
      <c r="F10" s="413" t="s">
        <v>3458</v>
      </c>
      <c r="G10" s="413" t="s">
        <v>126</v>
      </c>
      <c r="H10" s="413" t="s">
        <v>1080</v>
      </c>
      <c r="I10" s="413" t="s">
        <v>1209</v>
      </c>
      <c r="J10" s="413">
        <f>HLOOKUP($I10,'5 Year Forecast'!$L$4:$P$5,2,FALSE)</f>
        <v>1</v>
      </c>
      <c r="K10" s="414">
        <v>0</v>
      </c>
      <c r="L10" s="415">
        <v>7500</v>
      </c>
      <c r="M10" s="415">
        <v>0</v>
      </c>
      <c r="N10" s="416"/>
      <c r="O10" s="417" t="s">
        <v>44</v>
      </c>
      <c r="P10" s="416"/>
      <c r="Q10" s="415">
        <f t="shared" si="0"/>
        <v>0</v>
      </c>
      <c r="R10" s="415">
        <f t="shared" si="1"/>
        <v>7500</v>
      </c>
      <c r="S10" s="415">
        <f t="shared" si="2"/>
        <v>7500</v>
      </c>
      <c r="T10" s="418"/>
      <c r="U10" s="421">
        <f>IF($J10='5 Year Forecast'!$L$5,$S10*(1+'5 Year Forecast'!$L$30),IF($J10&gt;'5 Year Forecast'!$L$5,0,IF($J10&lt;'5 Year Forecast'!$L$5,$Q10*(1+'5 Year Forecast'!$L$30),0)))</f>
        <v>7500</v>
      </c>
      <c r="V10" s="421">
        <f>IF($J10='5 Year Forecast'!$M$5,$S10*(1+'5 Year Forecast'!$M$30),IF($J10&gt;'5 Year Forecast'!$M$5,0,IF($J10&lt;'5 Year Forecast'!$M$5,$Q10*(1+'5 Year Forecast'!$M$30),0)))</f>
        <v>0</v>
      </c>
      <c r="W10" s="421">
        <f>IF($J10='5 Year Forecast'!$N$5,$S10*(1+'5 Year Forecast'!$N$30),IF($J10&gt;'5 Year Forecast'!$N$5,0,IF($J10&lt;'5 Year Forecast'!$N$5,$Q10*(1+'5 Year Forecast'!$N$30),0)))</f>
        <v>0</v>
      </c>
      <c r="X10" s="421">
        <f>IF($J10='5 Year Forecast'!$O$5,$S10*(1+'5 Year Forecast'!$O$30),IF($J10&gt;'5 Year Forecast'!$O$5,0,IF($J10&lt;'5 Year Forecast'!$O$5,$Q10*(1+'5 Year Forecast'!$O$30),0)))</f>
        <v>0</v>
      </c>
      <c r="Y10" s="421">
        <f>IF($J10='5 Year Forecast'!$P$5,$S10*(1+'5 Year Forecast'!$P$30),IF($J10&gt;'5 Year Forecast'!$P$5,0,IF($J10&lt;'5 Year Forecast'!$P$5,$Q10*(1+'5 Year Forecast'!$P$30),0)))</f>
        <v>0</v>
      </c>
      <c r="Z10" s="409"/>
    </row>
    <row r="11" spans="1:26" s="419" customFormat="1" ht="15" customHeight="1">
      <c r="A11" s="413" t="str">
        <f t="shared" si="3"/>
        <v>100-10-104</v>
      </c>
      <c r="B11" s="410">
        <v>100</v>
      </c>
      <c r="C11" s="410">
        <v>10</v>
      </c>
      <c r="D11" s="411">
        <v>104</v>
      </c>
      <c r="E11" s="596" t="s">
        <v>3452</v>
      </c>
      <c r="F11" s="413" t="s">
        <v>3458</v>
      </c>
      <c r="G11" s="413" t="s">
        <v>126</v>
      </c>
      <c r="H11" s="413" t="s">
        <v>1080</v>
      </c>
      <c r="I11" s="413" t="s">
        <v>3359</v>
      </c>
      <c r="J11" s="413">
        <f>HLOOKUP($I11,'5 Year Forecast'!$L$4:$P$5,2,FALSE)</f>
        <v>3</v>
      </c>
      <c r="K11" s="414">
        <v>0</v>
      </c>
      <c r="L11" s="415">
        <v>0</v>
      </c>
      <c r="M11" s="415">
        <v>0</v>
      </c>
      <c r="N11" s="416"/>
      <c r="O11" s="417" t="s">
        <v>44</v>
      </c>
      <c r="P11" s="416"/>
      <c r="Q11" s="415">
        <f t="shared" ref="Q11" si="7">IF($O11="Y",K11,IF($O11="N",0,$O11*K11))</f>
        <v>0</v>
      </c>
      <c r="R11" s="415">
        <f t="shared" ref="R11" si="8">IF($O11="Y",L11,IF($O11="N",0,$O11*L11))</f>
        <v>0</v>
      </c>
      <c r="S11" s="415">
        <f t="shared" ref="S11" si="9">SUM(Q11:R11)</f>
        <v>0</v>
      </c>
      <c r="T11" s="418"/>
      <c r="U11" s="421">
        <f>IF($J11='5 Year Forecast'!$L$5,$S11*(1+'5 Year Forecast'!$L$30),IF($J11&gt;'5 Year Forecast'!$L$5,0,IF($J11&lt;'5 Year Forecast'!$L$5,$Q11*(1+'5 Year Forecast'!$L$30),0)))</f>
        <v>0</v>
      </c>
      <c r="V11" s="421">
        <f>IF($J11='5 Year Forecast'!$M$5,$S11*(1+'5 Year Forecast'!$M$30),IF($J11&gt;'5 Year Forecast'!$M$5,0,IF($J11&lt;'5 Year Forecast'!$M$5,$Q11*(1+'5 Year Forecast'!$M$30),0)))</f>
        <v>0</v>
      </c>
      <c r="W11" s="421">
        <f>IF($J11='5 Year Forecast'!$N$5,$S11*(1+'5 Year Forecast'!$N$30),IF($J11&gt;'5 Year Forecast'!$N$5,0,IF($J11&lt;'5 Year Forecast'!$N$5,$Q11*(1+'5 Year Forecast'!$N$30),0)))</f>
        <v>0</v>
      </c>
      <c r="X11" s="421">
        <f>IF($J11='5 Year Forecast'!$O$5,$S11*(1+'5 Year Forecast'!$O$30),IF($J11&gt;'5 Year Forecast'!$O$5,0,IF($J11&lt;'5 Year Forecast'!$O$5,$Q11*(1+'5 Year Forecast'!$O$30),0)))</f>
        <v>0</v>
      </c>
      <c r="Y11" s="421">
        <f>IF($J11='5 Year Forecast'!$P$5,$S11*(1+'5 Year Forecast'!$P$30),IF($J11&gt;'5 Year Forecast'!$P$5,0,IF($J11&lt;'5 Year Forecast'!$P$5,$Q11*(1+'5 Year Forecast'!$P$30),0)))</f>
        <v>0</v>
      </c>
      <c r="Z11" s="409"/>
    </row>
    <row r="12" spans="1:26" s="419" customFormat="1" ht="15" customHeight="1">
      <c r="A12" s="413" t="str">
        <f t="shared" si="3"/>
        <v>100-14-141</v>
      </c>
      <c r="B12" s="410">
        <v>100</v>
      </c>
      <c r="C12" s="410">
        <v>14</v>
      </c>
      <c r="D12" s="411">
        <v>141</v>
      </c>
      <c r="E12" s="408" t="s">
        <v>3454</v>
      </c>
      <c r="F12" s="413" t="s">
        <v>3458</v>
      </c>
      <c r="G12" s="413" t="s">
        <v>3455</v>
      </c>
      <c r="H12" s="413" t="s">
        <v>3456</v>
      </c>
      <c r="I12" s="413" t="s">
        <v>3359</v>
      </c>
      <c r="J12" s="413">
        <f>HLOOKUP($I12,'5 Year Forecast'!$L$4:$P$5,2,FALSE)</f>
        <v>3</v>
      </c>
      <c r="K12" s="414"/>
      <c r="L12" s="415">
        <v>0</v>
      </c>
      <c r="M12" s="415">
        <f t="shared" ref="M12:M34" si="10">SUM(K12:L12)</f>
        <v>0</v>
      </c>
      <c r="N12" s="416"/>
      <c r="O12" s="417" t="s">
        <v>46</v>
      </c>
      <c r="P12" s="416"/>
      <c r="Q12" s="415">
        <f t="shared" si="0"/>
        <v>0</v>
      </c>
      <c r="R12" s="415">
        <f t="shared" si="1"/>
        <v>0</v>
      </c>
      <c r="S12" s="415">
        <f t="shared" si="2"/>
        <v>0</v>
      </c>
      <c r="T12" s="418"/>
      <c r="U12" s="421">
        <f>IF($J12='5 Year Forecast'!$L$5,$S12*(1+'5 Year Forecast'!$L$30),IF($J12&gt;'5 Year Forecast'!$L$5,0,IF($J12&lt;'5 Year Forecast'!$L$5,$Q12*(1+'5 Year Forecast'!$L$30),0)))</f>
        <v>0</v>
      </c>
      <c r="V12" s="421">
        <f>IF($J12='5 Year Forecast'!$M$5,$S12*(1+'5 Year Forecast'!$M$30),IF($J12&gt;'5 Year Forecast'!$M$5,0,IF($J12&lt;'5 Year Forecast'!$M$5,$Q12*(1+'5 Year Forecast'!$M$30),0)))</f>
        <v>0</v>
      </c>
      <c r="W12" s="421">
        <f>IF($J12='5 Year Forecast'!$N$5,$S12*(1+'5 Year Forecast'!$N$30),IF($J12&gt;'5 Year Forecast'!$N$5,0,IF($J12&lt;'5 Year Forecast'!$N$5,$Q12*(1+'5 Year Forecast'!$N$30),0)))</f>
        <v>0</v>
      </c>
      <c r="X12" s="421">
        <f>IF($J12='5 Year Forecast'!$O$5,$S12*(1+'5 Year Forecast'!$O$30),IF($J12&gt;'5 Year Forecast'!$O$5,0,IF($J12&lt;'5 Year Forecast'!$O$5,$Q12*(1+'5 Year Forecast'!$O$30),0)))</f>
        <v>0</v>
      </c>
      <c r="Y12" s="421">
        <f>IF($J12='5 Year Forecast'!$P$5,$S12*(1+'5 Year Forecast'!$P$30),IF($J12&gt;'5 Year Forecast'!$P$5,0,IF($J12&lt;'5 Year Forecast'!$P$5,$Q12*(1+'5 Year Forecast'!$P$30),0)))</f>
        <v>0</v>
      </c>
      <c r="Z12" s="409"/>
    </row>
    <row r="13" spans="1:26" s="419" customFormat="1" ht="15" customHeight="1">
      <c r="A13" s="413" t="str">
        <f t="shared" si="3"/>
        <v>100-17-171</v>
      </c>
      <c r="B13" s="410">
        <v>100</v>
      </c>
      <c r="C13" s="410">
        <v>17</v>
      </c>
      <c r="D13" s="411">
        <v>171</v>
      </c>
      <c r="E13" s="412" t="s">
        <v>3457</v>
      </c>
      <c r="F13" s="413" t="s">
        <v>3408</v>
      </c>
      <c r="G13" s="413" t="s">
        <v>3408</v>
      </c>
      <c r="H13" s="413" t="s">
        <v>1079</v>
      </c>
      <c r="I13" s="413" t="s">
        <v>1209</v>
      </c>
      <c r="J13" s="413">
        <f>HLOOKUP($I13,'5 Year Forecast'!$L$4:$P$5,2,FALSE)</f>
        <v>1</v>
      </c>
      <c r="K13" s="414"/>
      <c r="L13" s="415">
        <v>13581</v>
      </c>
      <c r="M13" s="415">
        <f t="shared" ref="M13" si="11">SUM(K13:L13)</f>
        <v>13581</v>
      </c>
      <c r="N13" s="416"/>
      <c r="O13" s="417" t="s">
        <v>3459</v>
      </c>
      <c r="P13" s="416"/>
      <c r="Q13" s="415">
        <f t="shared" ref="Q13" si="12">IF($O13="Y",K13,IF($O13="N",0,$O13*K13))</f>
        <v>0</v>
      </c>
      <c r="R13" s="415">
        <f t="shared" ref="R13" si="13">IF($O13="Y",L13,IF($O13="N",0,$O13*L13))</f>
        <v>13581</v>
      </c>
      <c r="S13" s="415">
        <f t="shared" ref="S13" si="14">SUM(Q13:R13)</f>
        <v>13581</v>
      </c>
      <c r="T13" s="418"/>
      <c r="U13" s="421">
        <f>IF($J13='5 Year Forecast'!$L$5,$S13*(1+'5 Year Forecast'!$L$30),IF($J13&gt;'5 Year Forecast'!$L$5,0,IF($J13&lt;'5 Year Forecast'!$L$5,$Q13*(1+'5 Year Forecast'!$L$30),0)))</f>
        <v>13581</v>
      </c>
      <c r="V13" s="421">
        <f>IF($J13='5 Year Forecast'!$M$5,$S13*(1+'5 Year Forecast'!$M$30),IF($J13&gt;'5 Year Forecast'!$M$5,0,IF($J13&lt;'5 Year Forecast'!$M$5,$Q13*(1+'5 Year Forecast'!$M$30),0)))</f>
        <v>0</v>
      </c>
      <c r="W13" s="421">
        <f>IF($J13='5 Year Forecast'!$N$5,$S13*(1+'5 Year Forecast'!$N$30),IF($J13&gt;'5 Year Forecast'!$N$5,0,IF($J13&lt;'5 Year Forecast'!$N$5,$Q13*(1+'5 Year Forecast'!$N$30),0)))</f>
        <v>0</v>
      </c>
      <c r="X13" s="421">
        <f>IF($J13='5 Year Forecast'!$O$5,$S13*(1+'5 Year Forecast'!$O$30),IF($J13&gt;'5 Year Forecast'!$O$5,0,IF($J13&lt;'5 Year Forecast'!$O$5,$Q13*(1+'5 Year Forecast'!$O$30),0)))</f>
        <v>0</v>
      </c>
      <c r="Y13" s="421">
        <f>IF($J13='5 Year Forecast'!$P$5,$S13*(1+'5 Year Forecast'!$P$30),IF($J13&gt;'5 Year Forecast'!$P$5,0,IF($J13&lt;'5 Year Forecast'!$P$5,$Q13*(1+'5 Year Forecast'!$P$30),0)))</f>
        <v>0</v>
      </c>
      <c r="Z13" s="409"/>
    </row>
    <row r="14" spans="1:26" s="419" customFormat="1" ht="15" customHeight="1">
      <c r="A14" s="413" t="str">
        <f t="shared" si="3"/>
        <v>100-17-171</v>
      </c>
      <c r="B14" s="410">
        <v>100</v>
      </c>
      <c r="C14" s="410">
        <v>17</v>
      </c>
      <c r="D14" s="411">
        <v>171</v>
      </c>
      <c r="E14" s="412" t="s">
        <v>3460</v>
      </c>
      <c r="F14" s="413" t="s">
        <v>3408</v>
      </c>
      <c r="G14" s="413" t="s">
        <v>3408</v>
      </c>
      <c r="H14" s="413" t="s">
        <v>56</v>
      </c>
      <c r="I14" s="413" t="s">
        <v>1209</v>
      </c>
      <c r="J14" s="413">
        <f>HLOOKUP($I14,'5 Year Forecast'!$L$4:$P$5,2,FALSE)</f>
        <v>1</v>
      </c>
      <c r="K14" s="414"/>
      <c r="L14" s="415">
        <v>30000</v>
      </c>
      <c r="M14" s="415">
        <f t="shared" ref="M14" si="15">SUM(K14:L14)</f>
        <v>30000</v>
      </c>
      <c r="N14" s="416"/>
      <c r="O14" s="417" t="s">
        <v>46</v>
      </c>
      <c r="P14" s="416"/>
      <c r="Q14" s="415">
        <f t="shared" ref="Q14" si="16">IF($O14="Y",K14,IF($O14="N",0,$O14*K14))</f>
        <v>0</v>
      </c>
      <c r="R14" s="415">
        <f t="shared" ref="R14" si="17">IF($O14="Y",L14,IF($O14="N",0,$O14*L14))</f>
        <v>0</v>
      </c>
      <c r="S14" s="415">
        <f t="shared" ref="S14" si="18">SUM(Q14:R14)</f>
        <v>0</v>
      </c>
      <c r="T14" s="418"/>
      <c r="U14" s="421">
        <f>IF($J14='5 Year Forecast'!$L$5,$S14*(1+'5 Year Forecast'!$L$30),IF($J14&gt;'5 Year Forecast'!$L$5,0,IF($J14&lt;'5 Year Forecast'!$L$5,$Q14*(1+'5 Year Forecast'!$L$30),0)))</f>
        <v>0</v>
      </c>
      <c r="V14" s="421">
        <f>IF($J14='5 Year Forecast'!$M$5,$S14*(1+'5 Year Forecast'!$M$30),IF($J14&gt;'5 Year Forecast'!$M$5,0,IF($J14&lt;'5 Year Forecast'!$M$5,$Q14*(1+'5 Year Forecast'!$M$30),0)))</f>
        <v>0</v>
      </c>
      <c r="W14" s="421">
        <f>IF($J14='5 Year Forecast'!$N$5,$S14*(1+'5 Year Forecast'!$N$30),IF($J14&gt;'5 Year Forecast'!$N$5,0,IF($J14&lt;'5 Year Forecast'!$N$5,$Q14*(1+'5 Year Forecast'!$N$30),0)))</f>
        <v>0</v>
      </c>
      <c r="X14" s="421">
        <f>IF($J14='5 Year Forecast'!$O$5,$S14*(1+'5 Year Forecast'!$O$30),IF($J14&gt;'5 Year Forecast'!$O$5,0,IF($J14&lt;'5 Year Forecast'!$O$5,$Q14*(1+'5 Year Forecast'!$O$30),0)))</f>
        <v>0</v>
      </c>
      <c r="Y14" s="421">
        <f>IF($J14='5 Year Forecast'!$P$5,$S14*(1+'5 Year Forecast'!$P$30),IF($J14&gt;'5 Year Forecast'!$P$5,0,IF($J14&lt;'5 Year Forecast'!$P$5,$Q14*(1+'5 Year Forecast'!$P$30),0)))</f>
        <v>0</v>
      </c>
      <c r="Z14" s="409"/>
    </row>
    <row r="15" spans="1:26" s="419" customFormat="1" ht="15" customHeight="1">
      <c r="A15" s="413"/>
      <c r="B15" s="410">
        <v>100</v>
      </c>
      <c r="C15" s="410">
        <v>35</v>
      </c>
      <c r="D15" s="411">
        <v>351</v>
      </c>
      <c r="E15" s="412" t="s">
        <v>3461</v>
      </c>
      <c r="F15" s="413" t="s">
        <v>45</v>
      </c>
      <c r="G15" s="413" t="s">
        <v>65</v>
      </c>
      <c r="H15" s="413" t="s">
        <v>87</v>
      </c>
      <c r="I15" s="413" t="s">
        <v>3406</v>
      </c>
      <c r="J15" s="413">
        <f>HLOOKUP($I15,'5 Year Forecast'!$L$4:$P$5,2,FALSE)</f>
        <v>4</v>
      </c>
      <c r="K15" s="414">
        <v>85000</v>
      </c>
      <c r="L15" s="415"/>
      <c r="M15" s="415">
        <f t="shared" si="10"/>
        <v>85000</v>
      </c>
      <c r="N15" s="416"/>
      <c r="O15" s="417" t="s">
        <v>46</v>
      </c>
      <c r="P15" s="416"/>
      <c r="Q15" s="415">
        <f t="shared" si="0"/>
        <v>0</v>
      </c>
      <c r="R15" s="415">
        <f t="shared" si="1"/>
        <v>0</v>
      </c>
      <c r="S15" s="415">
        <f t="shared" si="2"/>
        <v>0</v>
      </c>
      <c r="T15" s="418"/>
      <c r="U15" s="421">
        <f>IF($J15='5 Year Forecast'!$L$5,$S15*(1+'5 Year Forecast'!$L$30),IF($J15&gt;'5 Year Forecast'!$L$5,0,IF($J15&lt;'5 Year Forecast'!$L$5,$Q15*(1+'5 Year Forecast'!$L$30),0)))</f>
        <v>0</v>
      </c>
      <c r="V15" s="421">
        <f>IF($J15='5 Year Forecast'!$M$5,$S15*(1+'5 Year Forecast'!$M$30),IF($J15&gt;'5 Year Forecast'!$M$5,0,IF($J15&lt;'5 Year Forecast'!$M$5,$Q15*(1+'5 Year Forecast'!$M$30),0)))</f>
        <v>0</v>
      </c>
      <c r="W15" s="421">
        <f>IF($J15='5 Year Forecast'!$N$5,$S15*(1+'5 Year Forecast'!$N$30),IF($J15&gt;'5 Year Forecast'!$N$5,0,IF($J15&lt;'5 Year Forecast'!$N$5,$Q15*(1+'5 Year Forecast'!$N$30),0)))</f>
        <v>0</v>
      </c>
      <c r="X15" s="421">
        <f>IF($J15='5 Year Forecast'!$O$5,$S15*(1+'5 Year Forecast'!$O$30),IF($J15&gt;'5 Year Forecast'!$O$5,0,IF($J15&lt;'5 Year Forecast'!$O$5,$Q15*(1+'5 Year Forecast'!$O$30),0)))</f>
        <v>0</v>
      </c>
      <c r="Y15" s="421">
        <f>IF($J15='5 Year Forecast'!$P$5,$S15*(1+'5 Year Forecast'!$P$30),IF($J15&gt;'5 Year Forecast'!$P$5,0,IF($J15&lt;'5 Year Forecast'!$P$5,$Q15*(1+'5 Year Forecast'!$P$30),0)))</f>
        <v>0</v>
      </c>
      <c r="Z15" s="409"/>
    </row>
    <row r="16" spans="1:26" s="419" customFormat="1" ht="15" customHeight="1">
      <c r="A16" s="413"/>
      <c r="B16" s="410">
        <v>100</v>
      </c>
      <c r="C16" s="410">
        <v>35</v>
      </c>
      <c r="D16" s="411">
        <v>351</v>
      </c>
      <c r="E16" s="597" t="s">
        <v>3407</v>
      </c>
      <c r="F16" s="413" t="s">
        <v>45</v>
      </c>
      <c r="G16" s="413" t="s">
        <v>65</v>
      </c>
      <c r="H16" s="413" t="s">
        <v>87</v>
      </c>
      <c r="I16" s="413" t="s">
        <v>3406</v>
      </c>
      <c r="J16" s="413">
        <f>HLOOKUP($I16,'5 Year Forecast'!$L$4:$P$5,2,FALSE)</f>
        <v>4</v>
      </c>
      <c r="K16" s="414">
        <v>110000</v>
      </c>
      <c r="L16" s="415"/>
      <c r="M16" s="415">
        <f t="shared" ref="M16" si="19">SUM(K16:L16)</f>
        <v>110000</v>
      </c>
      <c r="N16" s="416"/>
      <c r="O16" s="417" t="s">
        <v>44</v>
      </c>
      <c r="P16" s="416"/>
      <c r="Q16" s="415">
        <f t="shared" ref="Q16" si="20">IF($O16="Y",K16,IF($O16="N",0,$O16*K16))</f>
        <v>110000</v>
      </c>
      <c r="R16" s="415">
        <f t="shared" ref="R16" si="21">IF($O16="Y",L16,IF($O16="N",0,$O16*L16))</f>
        <v>0</v>
      </c>
      <c r="S16" s="415">
        <f t="shared" ref="S16" si="22">SUM(Q16:R16)</f>
        <v>110000</v>
      </c>
      <c r="T16" s="418"/>
      <c r="U16" s="421">
        <f>IF($J16='5 Year Forecast'!$L$5,$S16*(1+'5 Year Forecast'!$L$30),IF($J16&gt;'5 Year Forecast'!$L$5,0,IF($J16&lt;'5 Year Forecast'!$L$5,$Q16*(1+'5 Year Forecast'!$L$30),0)))</f>
        <v>0</v>
      </c>
      <c r="V16" s="421">
        <f>IF($J16='5 Year Forecast'!$M$5,$S16*(1+'5 Year Forecast'!$M$30),IF($J16&gt;'5 Year Forecast'!$M$5,0,IF($J16&lt;'5 Year Forecast'!$M$5,$Q16*(1+'5 Year Forecast'!$M$30),0)))</f>
        <v>0</v>
      </c>
      <c r="W16" s="421">
        <f>IF($J16='5 Year Forecast'!$N$5,$S16*(1+'5 Year Forecast'!$N$30),IF($J16&gt;'5 Year Forecast'!$N$5,0,IF($J16&lt;'5 Year Forecast'!$N$5,$Q16*(1+'5 Year Forecast'!$N$30),0)))</f>
        <v>0</v>
      </c>
      <c r="X16" s="421">
        <f>IF($J16='5 Year Forecast'!$O$5,$S16*(1+'5 Year Forecast'!$O$30),IF($J16&gt;'5 Year Forecast'!$O$5,0,IF($J16&lt;'5 Year Forecast'!$O$5,$Q16*(1+'5 Year Forecast'!$O$30),0)))</f>
        <v>110000</v>
      </c>
      <c r="Y16" s="421">
        <f>IF($J16='5 Year Forecast'!$P$5,$S16*(1+'5 Year Forecast'!$P$30),IF($J16&gt;'5 Year Forecast'!$P$5,0,IF($J16&lt;'5 Year Forecast'!$P$5,$Q16*(1+'5 Year Forecast'!$P$30),0)))</f>
        <v>110000</v>
      </c>
      <c r="Z16" s="409"/>
    </row>
    <row r="17" spans="1:26" s="419" customFormat="1" ht="15" customHeight="1">
      <c r="A17" s="413"/>
      <c r="B17" s="410">
        <v>100</v>
      </c>
      <c r="C17" s="410">
        <v>35</v>
      </c>
      <c r="D17" s="411">
        <v>352</v>
      </c>
      <c r="E17" s="597" t="s">
        <v>3462</v>
      </c>
      <c r="F17" s="413" t="s">
        <v>45</v>
      </c>
      <c r="G17" s="413" t="s">
        <v>1084</v>
      </c>
      <c r="H17" s="413" t="s">
        <v>87</v>
      </c>
      <c r="I17" s="413" t="s">
        <v>3406</v>
      </c>
      <c r="J17" s="413">
        <f>HLOOKUP($I17,'5 Year Forecast'!$L$4:$P$5,2,FALSE)</f>
        <v>4</v>
      </c>
      <c r="K17" s="414">
        <v>1000000</v>
      </c>
      <c r="L17" s="415"/>
      <c r="M17" s="415">
        <f t="shared" si="10"/>
        <v>1000000</v>
      </c>
      <c r="N17" s="416"/>
      <c r="O17" s="417" t="s">
        <v>44</v>
      </c>
      <c r="P17" s="416"/>
      <c r="Q17" s="415">
        <f t="shared" si="0"/>
        <v>1000000</v>
      </c>
      <c r="R17" s="415">
        <f t="shared" si="1"/>
        <v>0</v>
      </c>
      <c r="S17" s="415">
        <f t="shared" si="2"/>
        <v>1000000</v>
      </c>
      <c r="T17" s="418"/>
      <c r="U17" s="421">
        <f>IF($J17='5 Year Forecast'!$L$5,$S17*(1+'5 Year Forecast'!$L$30),IF($J17&gt;'5 Year Forecast'!$L$5,0,IF($J17&lt;'5 Year Forecast'!$L$5,$Q17*(1+'5 Year Forecast'!$L$30),0)))</f>
        <v>0</v>
      </c>
      <c r="V17" s="421">
        <f>IF($J17='5 Year Forecast'!$M$5,$S17*(1+'5 Year Forecast'!$M$30),IF($J17&gt;'5 Year Forecast'!$M$5,0,IF($J17&lt;'5 Year Forecast'!$M$5,$Q17*(1+'5 Year Forecast'!$M$30),0)))</f>
        <v>0</v>
      </c>
      <c r="W17" s="421">
        <f>IF($J17='5 Year Forecast'!$N$5,$S17*(1+'5 Year Forecast'!$N$30),IF($J17&gt;'5 Year Forecast'!$N$5,0,IF($J17&lt;'5 Year Forecast'!$N$5,$Q17*(1+'5 Year Forecast'!$N$30),0)))</f>
        <v>0</v>
      </c>
      <c r="X17" s="421">
        <f>IF($J17='5 Year Forecast'!$O$5,$S17*(1+'5 Year Forecast'!$O$30),IF($J17&gt;'5 Year Forecast'!$O$5,0,IF($J17&lt;'5 Year Forecast'!$O$5,$Q17*(1+'5 Year Forecast'!$O$30),0)))</f>
        <v>1000000</v>
      </c>
      <c r="Y17" s="421">
        <f>IF($J17='5 Year Forecast'!$P$5,$S17*(1+'5 Year Forecast'!$P$30),IF($J17&gt;'5 Year Forecast'!$P$5,0,IF($J17&lt;'5 Year Forecast'!$P$5,$Q17*(1+'5 Year Forecast'!$P$30),0)))</f>
        <v>1000000</v>
      </c>
      <c r="Z17" s="409"/>
    </row>
    <row r="18" spans="1:26" s="419" customFormat="1" ht="15" customHeight="1">
      <c r="A18" s="413"/>
      <c r="B18" s="410">
        <v>100</v>
      </c>
      <c r="C18" s="410">
        <v>35</v>
      </c>
      <c r="D18" s="411">
        <v>352</v>
      </c>
      <c r="E18" s="597" t="s">
        <v>3463</v>
      </c>
      <c r="F18" s="413" t="s">
        <v>45</v>
      </c>
      <c r="G18" s="413" t="s">
        <v>1084</v>
      </c>
      <c r="H18" s="413" t="s">
        <v>1079</v>
      </c>
      <c r="I18" s="413" t="s">
        <v>3406</v>
      </c>
      <c r="J18" s="413">
        <f>HLOOKUP($I18,'5 Year Forecast'!$L$4:$P$5,2,FALSE)</f>
        <v>4</v>
      </c>
      <c r="K18" s="414"/>
      <c r="L18" s="415">
        <v>750000</v>
      </c>
      <c r="M18" s="415">
        <f t="shared" si="10"/>
        <v>750000</v>
      </c>
      <c r="N18" s="416"/>
      <c r="O18" s="417" t="s">
        <v>44</v>
      </c>
      <c r="P18" s="416"/>
      <c r="Q18" s="415">
        <f t="shared" si="0"/>
        <v>0</v>
      </c>
      <c r="R18" s="415">
        <f t="shared" si="1"/>
        <v>750000</v>
      </c>
      <c r="S18" s="415">
        <f t="shared" si="2"/>
        <v>750000</v>
      </c>
      <c r="T18" s="418"/>
      <c r="U18" s="421">
        <f>IF($J18='5 Year Forecast'!$L$5,$S18*(1+'5 Year Forecast'!$L$30),IF($J18&gt;'5 Year Forecast'!$L$5,0,IF($J18&lt;'5 Year Forecast'!$L$5,$Q18*(1+'5 Year Forecast'!$L$30),0)))</f>
        <v>0</v>
      </c>
      <c r="V18" s="421">
        <f>IF($J18='5 Year Forecast'!$M$5,$S18*(1+'5 Year Forecast'!$M$30),IF($J18&gt;'5 Year Forecast'!$M$5,0,IF($J18&lt;'5 Year Forecast'!$M$5,$Q18*(1+'5 Year Forecast'!$M$30),0)))</f>
        <v>0</v>
      </c>
      <c r="W18" s="421">
        <f>IF($J18='5 Year Forecast'!$N$5,$S18*(1+'5 Year Forecast'!$N$30),IF($J18&gt;'5 Year Forecast'!$N$5,0,IF($J18&lt;'5 Year Forecast'!$N$5,$Q18*(1+'5 Year Forecast'!$N$30),0)))</f>
        <v>0</v>
      </c>
      <c r="X18" s="421">
        <f>IF($J18='5 Year Forecast'!$O$5,$S18*(1+'5 Year Forecast'!$O$30),IF($J18&gt;'5 Year Forecast'!$O$5,0,IF($J18&lt;'5 Year Forecast'!$O$5,$Q18*(1+'5 Year Forecast'!$O$30),0)))</f>
        <v>750000</v>
      </c>
      <c r="Y18" s="421">
        <f>IF($J18='5 Year Forecast'!$P$5,$S18*(1+'5 Year Forecast'!$P$30),IF($J18&gt;'5 Year Forecast'!$P$5,0,IF($J18&lt;'5 Year Forecast'!$P$5,$Q18*(1+'5 Year Forecast'!$P$30),0)))</f>
        <v>0</v>
      </c>
      <c r="Z18" s="409"/>
    </row>
    <row r="19" spans="1:26" s="419" customFormat="1" ht="15" customHeight="1">
      <c r="A19" s="464"/>
      <c r="B19" s="410">
        <v>100</v>
      </c>
      <c r="C19" s="410">
        <v>35</v>
      </c>
      <c r="D19" s="411">
        <v>352</v>
      </c>
      <c r="E19" s="597" t="s">
        <v>3464</v>
      </c>
      <c r="F19" s="413" t="s">
        <v>45</v>
      </c>
      <c r="G19" s="413" t="s">
        <v>1084</v>
      </c>
      <c r="H19" s="413" t="s">
        <v>1079</v>
      </c>
      <c r="I19" s="413" t="s">
        <v>3406</v>
      </c>
      <c r="J19" s="413">
        <f>HLOOKUP($I19,'5 Year Forecast'!$L$4:$P$5,2,FALSE)</f>
        <v>4</v>
      </c>
      <c r="K19" s="414"/>
      <c r="L19" s="415">
        <v>350000</v>
      </c>
      <c r="M19" s="415">
        <f t="shared" si="10"/>
        <v>350000</v>
      </c>
      <c r="N19" s="416"/>
      <c r="O19" s="417" t="s">
        <v>44</v>
      </c>
      <c r="P19" s="416"/>
      <c r="Q19" s="415">
        <f t="shared" si="0"/>
        <v>0</v>
      </c>
      <c r="R19" s="415">
        <f t="shared" si="1"/>
        <v>350000</v>
      </c>
      <c r="S19" s="415">
        <f t="shared" si="2"/>
        <v>350000</v>
      </c>
      <c r="T19" s="418"/>
      <c r="U19" s="421">
        <f>IF($J19='5 Year Forecast'!$L$5,$S19*(1+'5 Year Forecast'!$L$30),IF($J19&gt;'5 Year Forecast'!$L$5,0,IF($J19&lt;'5 Year Forecast'!$L$5,$Q19*(1+'5 Year Forecast'!$L$30),0)))</f>
        <v>0</v>
      </c>
      <c r="V19" s="421">
        <f>IF($J19='5 Year Forecast'!$M$5,$S19*(1+'5 Year Forecast'!$M$30),IF($J19&gt;'5 Year Forecast'!$M$5,0,IF($J19&lt;'5 Year Forecast'!$M$5,$Q19*(1+'5 Year Forecast'!$M$30),0)))</f>
        <v>0</v>
      </c>
      <c r="W19" s="421">
        <f>IF($J19='5 Year Forecast'!$N$5,$S19*(1+'5 Year Forecast'!$N$30),IF($J19&gt;'5 Year Forecast'!$N$5,0,IF($J19&lt;'5 Year Forecast'!$N$5,$Q19*(1+'5 Year Forecast'!$N$30),0)))</f>
        <v>0</v>
      </c>
      <c r="X19" s="421">
        <f>IF($J19='5 Year Forecast'!$O$5,$S19*(1+'5 Year Forecast'!$O$30),IF($J19&gt;'5 Year Forecast'!$O$5,0,IF($J19&lt;'5 Year Forecast'!$O$5,$Q19*(1+'5 Year Forecast'!$O$30),0)))</f>
        <v>350000</v>
      </c>
      <c r="Y19" s="421">
        <f>IF($J19='5 Year Forecast'!$P$5,$S19*(1+'5 Year Forecast'!$P$30),IF($J19&gt;'5 Year Forecast'!$P$5,0,IF($J19&lt;'5 Year Forecast'!$P$5,$Q19*(1+'5 Year Forecast'!$P$30),0)))</f>
        <v>0</v>
      </c>
      <c r="Z19" s="409"/>
    </row>
    <row r="20" spans="1:26" s="419" customFormat="1" ht="15" customHeight="1">
      <c r="A20" s="413"/>
      <c r="B20" s="410">
        <v>100</v>
      </c>
      <c r="C20" s="410">
        <v>35</v>
      </c>
      <c r="D20" s="411">
        <v>353</v>
      </c>
      <c r="E20" s="412" t="s">
        <v>3465</v>
      </c>
      <c r="F20" s="413" t="s">
        <v>45</v>
      </c>
      <c r="G20" s="413" t="s">
        <v>3466</v>
      </c>
      <c r="H20" s="413" t="s">
        <v>56</v>
      </c>
      <c r="I20" s="413" t="s">
        <v>3406</v>
      </c>
      <c r="J20" s="413">
        <f>HLOOKUP($I20,'5 Year Forecast'!$L$4:$P$5,2,FALSE)</f>
        <v>4</v>
      </c>
      <c r="K20" s="414"/>
      <c r="L20" s="415">
        <v>389000</v>
      </c>
      <c r="M20" s="415">
        <f t="shared" si="10"/>
        <v>389000</v>
      </c>
      <c r="N20" s="416"/>
      <c r="O20" s="417" t="s">
        <v>46</v>
      </c>
      <c r="P20" s="416"/>
      <c r="Q20" s="415">
        <f t="shared" si="0"/>
        <v>0</v>
      </c>
      <c r="R20" s="415">
        <f t="shared" si="1"/>
        <v>0</v>
      </c>
      <c r="S20" s="415">
        <f t="shared" si="2"/>
        <v>0</v>
      </c>
      <c r="T20" s="418"/>
      <c r="U20" s="421">
        <f>IF($J20='5 Year Forecast'!$L$5,$S20*(1+'5 Year Forecast'!$L$30),IF($J20&gt;'5 Year Forecast'!$L$5,0,IF($J20&lt;'5 Year Forecast'!$L$5,$Q20*(1+'5 Year Forecast'!$L$30),0)))</f>
        <v>0</v>
      </c>
      <c r="V20" s="421">
        <f>IF($J20='5 Year Forecast'!$M$5,$S20*(1+'5 Year Forecast'!$M$30),IF($J20&gt;'5 Year Forecast'!$M$5,0,IF($J20&lt;'5 Year Forecast'!$M$5,$Q20*(1+'5 Year Forecast'!$M$30),0)))</f>
        <v>0</v>
      </c>
      <c r="W20" s="421">
        <f>IF($J20='5 Year Forecast'!$N$5,$S20*(1+'5 Year Forecast'!$N$30),IF($J20&gt;'5 Year Forecast'!$N$5,0,IF($J20&lt;'5 Year Forecast'!$N$5,$Q20*(1+'5 Year Forecast'!$N$30),0)))</f>
        <v>0</v>
      </c>
      <c r="X20" s="421">
        <f>IF($J20='5 Year Forecast'!$O$5,$S20*(1+'5 Year Forecast'!$O$30),IF($J20&gt;'5 Year Forecast'!$O$5,0,IF($J20&lt;'5 Year Forecast'!$O$5,$Q20*(1+'5 Year Forecast'!$O$30),0)))</f>
        <v>0</v>
      </c>
      <c r="Y20" s="421">
        <f>IF($J20='5 Year Forecast'!$P$5,$S20*(1+'5 Year Forecast'!$P$30),IF($J20&gt;'5 Year Forecast'!$P$5,0,IF($J20&lt;'5 Year Forecast'!$P$5,$Q20*(1+'5 Year Forecast'!$P$30),0)))</f>
        <v>0</v>
      </c>
      <c r="Z20" s="420"/>
    </row>
    <row r="21" spans="1:26" s="419" customFormat="1" ht="15" customHeight="1">
      <c r="A21" s="413"/>
      <c r="B21" s="410">
        <v>100</v>
      </c>
      <c r="C21" s="410">
        <v>35</v>
      </c>
      <c r="D21" s="411">
        <v>352</v>
      </c>
      <c r="E21" s="597" t="s">
        <v>3467</v>
      </c>
      <c r="F21" s="413" t="s">
        <v>45</v>
      </c>
      <c r="G21" s="413" t="s">
        <v>1084</v>
      </c>
      <c r="H21" s="413" t="s">
        <v>56</v>
      </c>
      <c r="I21" s="413" t="s">
        <v>3406</v>
      </c>
      <c r="J21" s="413">
        <f>HLOOKUP($I21,'5 Year Forecast'!$L$4:$P$5,2,FALSE)</f>
        <v>4</v>
      </c>
      <c r="K21" s="414"/>
      <c r="L21" s="415">
        <v>45000</v>
      </c>
      <c r="M21" s="415">
        <f t="shared" si="10"/>
        <v>45000</v>
      </c>
      <c r="N21" s="416"/>
      <c r="O21" s="417" t="s">
        <v>46</v>
      </c>
      <c r="P21" s="416"/>
      <c r="Q21" s="415">
        <f t="shared" si="0"/>
        <v>0</v>
      </c>
      <c r="R21" s="415">
        <f t="shared" si="1"/>
        <v>0</v>
      </c>
      <c r="S21" s="415">
        <f t="shared" si="2"/>
        <v>0</v>
      </c>
      <c r="T21" s="418"/>
      <c r="U21" s="421">
        <f>IF($J21='5 Year Forecast'!$L$5,$S21*(1+'5 Year Forecast'!$L$30),IF($J21&gt;'5 Year Forecast'!$L$5,0,IF($J21&lt;'5 Year Forecast'!$L$5,$Q21*(1+'5 Year Forecast'!$L$30),0)))</f>
        <v>0</v>
      </c>
      <c r="V21" s="421">
        <f>IF($J21='5 Year Forecast'!$M$5,$S21*(1+'5 Year Forecast'!$M$30),IF($J21&gt;'5 Year Forecast'!$M$5,0,IF($J21&lt;'5 Year Forecast'!$M$5,$Q21*(1+'5 Year Forecast'!$M$30),0)))</f>
        <v>0</v>
      </c>
      <c r="W21" s="421">
        <f>IF($J21='5 Year Forecast'!$N$5,$S21*(1+'5 Year Forecast'!$N$30),IF($J21&gt;'5 Year Forecast'!$N$5,0,IF($J21&lt;'5 Year Forecast'!$N$5,$Q21*(1+'5 Year Forecast'!$N$30),0)))</f>
        <v>0</v>
      </c>
      <c r="X21" s="421">
        <f>IF($J21='5 Year Forecast'!$O$5,$S21*(1+'5 Year Forecast'!$O$30),IF($J21&gt;'5 Year Forecast'!$O$5,0,IF($J21&lt;'5 Year Forecast'!$O$5,$Q21*(1+'5 Year Forecast'!$O$30),0)))</f>
        <v>0</v>
      </c>
      <c r="Y21" s="421">
        <f>IF($J21='5 Year Forecast'!$P$5,$S21*(1+'5 Year Forecast'!$P$30),IF($J21&gt;'5 Year Forecast'!$P$5,0,IF($J21&lt;'5 Year Forecast'!$P$5,$Q21*(1+'5 Year Forecast'!$P$30),0)))</f>
        <v>0</v>
      </c>
      <c r="Z21" s="409"/>
    </row>
    <row r="22" spans="1:26" s="419" customFormat="1" ht="15" customHeight="1">
      <c r="A22" s="413"/>
      <c r="B22" s="410">
        <v>100</v>
      </c>
      <c r="C22" s="410">
        <v>60</v>
      </c>
      <c r="D22" s="411">
        <v>601</v>
      </c>
      <c r="E22" s="597" t="s">
        <v>3322</v>
      </c>
      <c r="F22" s="413" t="s">
        <v>41</v>
      </c>
      <c r="G22" s="413" t="s">
        <v>65</v>
      </c>
      <c r="H22" s="413" t="s">
        <v>87</v>
      </c>
      <c r="I22" s="413" t="s">
        <v>1209</v>
      </c>
      <c r="J22" s="413">
        <f>HLOOKUP($I22,'5 Year Forecast'!$L$4:$P$5,2,FALSE)</f>
        <v>1</v>
      </c>
      <c r="K22" s="414">
        <v>40000</v>
      </c>
      <c r="L22" s="415"/>
      <c r="M22" s="415">
        <f t="shared" si="10"/>
        <v>40000</v>
      </c>
      <c r="N22" s="416"/>
      <c r="O22" s="417" t="s">
        <v>46</v>
      </c>
      <c r="P22" s="416"/>
      <c r="Q22" s="415">
        <f t="shared" si="0"/>
        <v>0</v>
      </c>
      <c r="R22" s="415">
        <f t="shared" si="1"/>
        <v>0</v>
      </c>
      <c r="S22" s="415">
        <f t="shared" si="2"/>
        <v>0</v>
      </c>
      <c r="T22" s="418"/>
      <c r="U22" s="421">
        <f>IF($J22='5 Year Forecast'!$L$5,$S22*(1+'5 Year Forecast'!$L$30),IF($J22&gt;'5 Year Forecast'!$L$5,0,IF($J22&lt;'5 Year Forecast'!$L$5,$Q22*(1+'5 Year Forecast'!$L$30),0)))</f>
        <v>0</v>
      </c>
      <c r="V22" s="421">
        <f>IF($J22='5 Year Forecast'!$M$5,$S22*(1+'5 Year Forecast'!$M$30),IF($J22&gt;'5 Year Forecast'!$M$5,0,IF($J22&lt;'5 Year Forecast'!$M$5,$Q22*(1+'5 Year Forecast'!$M$30),0)))</f>
        <v>0</v>
      </c>
      <c r="W22" s="421">
        <f>IF($J22='5 Year Forecast'!$N$5,$S22*(1+'5 Year Forecast'!$N$30),IF($J22&gt;'5 Year Forecast'!$N$5,0,IF($J22&lt;'5 Year Forecast'!$N$5,$Q22*(1+'5 Year Forecast'!$N$30),0)))</f>
        <v>0</v>
      </c>
      <c r="X22" s="421">
        <f>IF($J22='5 Year Forecast'!$O$5,$S22*(1+'5 Year Forecast'!$O$30),IF($J22&gt;'5 Year Forecast'!$O$5,0,IF($J22&lt;'5 Year Forecast'!$O$5,$Q22*(1+'5 Year Forecast'!$O$30),0)))</f>
        <v>0</v>
      </c>
      <c r="Y22" s="421">
        <f>IF($J22='5 Year Forecast'!$P$5,$S22*(1+'5 Year Forecast'!$P$30),IF($J22&gt;'5 Year Forecast'!$P$5,0,IF($J22&lt;'5 Year Forecast'!$P$5,$Q22*(1+'5 Year Forecast'!$P$30),0)))</f>
        <v>0</v>
      </c>
      <c r="Z22" s="409"/>
    </row>
    <row r="23" spans="1:26" s="419" customFormat="1" ht="15" customHeight="1">
      <c r="A23" s="413"/>
      <c r="B23" s="410">
        <v>100</v>
      </c>
      <c r="C23" s="410">
        <v>60</v>
      </c>
      <c r="D23" s="411">
        <v>601</v>
      </c>
      <c r="E23" s="597" t="s">
        <v>3468</v>
      </c>
      <c r="F23" s="413" t="s">
        <v>41</v>
      </c>
      <c r="G23" s="413" t="s">
        <v>65</v>
      </c>
      <c r="H23" s="413" t="s">
        <v>87</v>
      </c>
      <c r="I23" s="413" t="s">
        <v>3323</v>
      </c>
      <c r="J23" s="413">
        <f>HLOOKUP($I23,'5 Year Forecast'!$L$4:$P$5,2,FALSE)</f>
        <v>2</v>
      </c>
      <c r="K23" s="414">
        <v>10000</v>
      </c>
      <c r="L23" s="415"/>
      <c r="M23" s="415">
        <f t="shared" si="10"/>
        <v>10000</v>
      </c>
      <c r="N23" s="416"/>
      <c r="O23" s="417" t="s">
        <v>46</v>
      </c>
      <c r="P23" s="416"/>
      <c r="Q23" s="415">
        <f t="shared" si="0"/>
        <v>0</v>
      </c>
      <c r="R23" s="415">
        <f t="shared" si="1"/>
        <v>0</v>
      </c>
      <c r="S23" s="415">
        <f t="shared" si="2"/>
        <v>0</v>
      </c>
      <c r="T23" s="418"/>
      <c r="U23" s="421">
        <f>IF($J23='5 Year Forecast'!$L$5,$S23*(1+'5 Year Forecast'!$L$30),IF($J23&gt;'5 Year Forecast'!$L$5,0,IF($J23&lt;'5 Year Forecast'!$L$5,$Q23*(1+'5 Year Forecast'!$L$30),0)))</f>
        <v>0</v>
      </c>
      <c r="V23" s="421">
        <f>IF($J23='5 Year Forecast'!$M$5,$S23*(1+'5 Year Forecast'!$M$30),IF($J23&gt;'5 Year Forecast'!$M$5,0,IF($J23&lt;'5 Year Forecast'!$M$5,$Q23*(1+'5 Year Forecast'!$M$30),0)))</f>
        <v>0</v>
      </c>
      <c r="W23" s="421">
        <f>IF($J23='5 Year Forecast'!$N$5,$S23*(1+'5 Year Forecast'!$N$30),IF($J23&gt;'5 Year Forecast'!$N$5,0,IF($J23&lt;'5 Year Forecast'!$N$5,$Q23*(1+'5 Year Forecast'!$N$30),0)))</f>
        <v>0</v>
      </c>
      <c r="X23" s="421">
        <f>IF($J23='5 Year Forecast'!$O$5,$S23*(1+'5 Year Forecast'!$O$30),IF($J23&gt;'5 Year Forecast'!$O$5,0,IF($J23&lt;'5 Year Forecast'!$O$5,$Q23*(1+'5 Year Forecast'!$O$30),0)))</f>
        <v>0</v>
      </c>
      <c r="Y23" s="421">
        <f>IF($J23='5 Year Forecast'!$P$5,$S23*(1+'5 Year Forecast'!$P$30),IF($J23&gt;'5 Year Forecast'!$P$5,0,IF($J23&lt;'5 Year Forecast'!$P$5,$Q23*(1+'5 Year Forecast'!$P$30),0)))</f>
        <v>0</v>
      </c>
      <c r="Z23" s="420"/>
    </row>
    <row r="24" spans="1:26" s="419" customFormat="1" ht="15" customHeight="1">
      <c r="A24" s="464"/>
      <c r="B24" s="410">
        <v>100</v>
      </c>
      <c r="C24" s="410">
        <v>60</v>
      </c>
      <c r="D24" s="411">
        <v>601</v>
      </c>
      <c r="E24" s="597" t="s">
        <v>3469</v>
      </c>
      <c r="F24" s="413" t="s">
        <v>41</v>
      </c>
      <c r="G24" s="413" t="s">
        <v>65</v>
      </c>
      <c r="H24" s="413" t="s">
        <v>1080</v>
      </c>
      <c r="I24" s="413" t="s">
        <v>1209</v>
      </c>
      <c r="J24" s="413">
        <f>HLOOKUP($I24,'5 Year Forecast'!$L$4:$P$5,2,FALSE)</f>
        <v>1</v>
      </c>
      <c r="L24" s="414">
        <v>10000</v>
      </c>
      <c r="M24" s="415">
        <f t="shared" ref="M24:M29" si="23">SUM(L24:L24)</f>
        <v>10000</v>
      </c>
      <c r="N24" s="416"/>
      <c r="O24" s="417" t="s">
        <v>44</v>
      </c>
      <c r="P24" s="416"/>
      <c r="Q24" s="415">
        <f t="shared" ref="Q24:Q28" si="24">IF($O24="Y",K24,IF($O24="N",0,$O24*K24))</f>
        <v>0</v>
      </c>
      <c r="R24" s="415">
        <f t="shared" ref="R24:R28" si="25">IF($O24="Y",L24,IF($O24="N",0,$O24*L24))</f>
        <v>10000</v>
      </c>
      <c r="S24" s="415">
        <f t="shared" ref="S24:S28" si="26">SUM(Q24:R24)</f>
        <v>10000</v>
      </c>
      <c r="T24" s="418"/>
      <c r="U24" s="421">
        <f>IF($J24='5 Year Forecast'!$L$5,$S24*(1+'5 Year Forecast'!$L$30),IF($J24&gt;'5 Year Forecast'!$L$5,0,IF($J24&lt;'5 Year Forecast'!$L$5,$Q24*(1+'5 Year Forecast'!$L$30),0)))</f>
        <v>10000</v>
      </c>
      <c r="V24" s="421">
        <f>IF($J24='5 Year Forecast'!$M$5,$S24*(1+'5 Year Forecast'!$M$30),IF($J24&gt;'5 Year Forecast'!$M$5,0,IF($J24&lt;'5 Year Forecast'!$M$5,$Q24*(1+'5 Year Forecast'!$M$30),0)))</f>
        <v>0</v>
      </c>
      <c r="W24" s="421">
        <f>IF($J24='5 Year Forecast'!$N$5,$S24*(1+'5 Year Forecast'!$N$30),IF($J24&gt;'5 Year Forecast'!$N$5,0,IF($J24&lt;'5 Year Forecast'!$N$5,$Q24*(1+'5 Year Forecast'!$N$30),0)))</f>
        <v>0</v>
      </c>
      <c r="X24" s="421">
        <f>IF($J24='5 Year Forecast'!$O$5,$S24*(1+'5 Year Forecast'!$O$30),IF($J24&gt;'5 Year Forecast'!$O$5,0,IF($J24&lt;'5 Year Forecast'!$O$5,$Q24*(1+'5 Year Forecast'!$O$30),0)))</f>
        <v>0</v>
      </c>
      <c r="Y24" s="421">
        <f>IF($J24='5 Year Forecast'!$P$5,$S24*(1+'5 Year Forecast'!$P$30),IF($J24&gt;'5 Year Forecast'!$P$5,0,IF($J24&lt;'5 Year Forecast'!$P$5,$Q24*(1+'5 Year Forecast'!$P$30),0)))</f>
        <v>0</v>
      </c>
      <c r="Z24" s="420"/>
    </row>
    <row r="25" spans="1:26" s="419" customFormat="1" ht="15" customHeight="1">
      <c r="A25" s="464"/>
      <c r="B25" s="410">
        <v>100</v>
      </c>
      <c r="C25" s="410">
        <v>60</v>
      </c>
      <c r="D25" s="411">
        <v>601</v>
      </c>
      <c r="E25" s="597" t="s">
        <v>3470</v>
      </c>
      <c r="F25" s="413" t="s">
        <v>41</v>
      </c>
      <c r="G25" s="413" t="s">
        <v>65</v>
      </c>
      <c r="H25" s="413" t="s">
        <v>1080</v>
      </c>
      <c r="I25" s="413" t="s">
        <v>1209</v>
      </c>
      <c r="J25" s="413">
        <f>HLOOKUP($I25,'5 Year Forecast'!$L$4:$P$5,2,FALSE)</f>
        <v>1</v>
      </c>
      <c r="L25" s="414">
        <v>10000</v>
      </c>
      <c r="M25" s="415">
        <f t="shared" si="23"/>
        <v>10000</v>
      </c>
      <c r="N25" s="416"/>
      <c r="O25" s="417" t="s">
        <v>46</v>
      </c>
      <c r="P25" s="416"/>
      <c r="Q25" s="415">
        <f t="shared" si="24"/>
        <v>0</v>
      </c>
      <c r="R25" s="415">
        <f t="shared" si="25"/>
        <v>0</v>
      </c>
      <c r="S25" s="415">
        <f t="shared" si="26"/>
        <v>0</v>
      </c>
      <c r="T25" s="418"/>
      <c r="U25" s="421">
        <f>IF($J25='5 Year Forecast'!$L$5,$S25*(1+'5 Year Forecast'!$L$30),IF($J25&gt;'5 Year Forecast'!$L$5,0,IF($J25&lt;'5 Year Forecast'!$L$5,$Q25*(1+'5 Year Forecast'!$L$30),0)))</f>
        <v>0</v>
      </c>
      <c r="V25" s="421">
        <f>IF($J25='5 Year Forecast'!$M$5,$S25*(1+'5 Year Forecast'!$M$30),IF($J25&gt;'5 Year Forecast'!$M$5,0,IF($J25&lt;'5 Year Forecast'!$M$5,$Q25*(1+'5 Year Forecast'!$M$30),0)))</f>
        <v>0</v>
      </c>
      <c r="W25" s="421">
        <f>IF($J25='5 Year Forecast'!$N$5,$S25*(1+'5 Year Forecast'!$N$30),IF($J25&gt;'5 Year Forecast'!$N$5,0,IF($J25&lt;'5 Year Forecast'!$N$5,$Q25*(1+'5 Year Forecast'!$N$30),0)))</f>
        <v>0</v>
      </c>
      <c r="X25" s="421">
        <f>IF($J25='5 Year Forecast'!$O$5,$S25*(1+'5 Year Forecast'!$O$30),IF($J25&gt;'5 Year Forecast'!$O$5,0,IF($J25&lt;'5 Year Forecast'!$O$5,$Q25*(1+'5 Year Forecast'!$O$30),0)))</f>
        <v>0</v>
      </c>
      <c r="Y25" s="421">
        <f>IF($J25='5 Year Forecast'!$P$5,$S25*(1+'5 Year Forecast'!$P$30),IF($J25&gt;'5 Year Forecast'!$P$5,0,IF($J25&lt;'5 Year Forecast'!$P$5,$Q25*(1+'5 Year Forecast'!$P$30),0)))</f>
        <v>0</v>
      </c>
      <c r="Z25" s="420"/>
    </row>
    <row r="26" spans="1:26" s="419" customFormat="1" ht="15" customHeight="1">
      <c r="A26" s="413"/>
      <c r="B26" s="410">
        <v>100</v>
      </c>
      <c r="C26" s="410">
        <v>60</v>
      </c>
      <c r="D26" s="411">
        <v>601</v>
      </c>
      <c r="E26" s="597" t="s">
        <v>3471</v>
      </c>
      <c r="F26" s="413" t="s">
        <v>41</v>
      </c>
      <c r="G26" s="413" t="s">
        <v>65</v>
      </c>
      <c r="H26" s="413" t="s">
        <v>1080</v>
      </c>
      <c r="I26" s="413" t="s">
        <v>1209</v>
      </c>
      <c r="J26" s="413">
        <f>HLOOKUP($I26,'5 Year Forecast'!$L$4:$P$5,2,FALSE)</f>
        <v>1</v>
      </c>
      <c r="L26" s="414">
        <v>15000</v>
      </c>
      <c r="M26" s="415">
        <f t="shared" si="23"/>
        <v>15000</v>
      </c>
      <c r="N26" s="416"/>
      <c r="O26" s="417" t="s">
        <v>46</v>
      </c>
      <c r="P26" s="416"/>
      <c r="Q26" s="415">
        <f t="shared" si="24"/>
        <v>0</v>
      </c>
      <c r="R26" s="415">
        <f t="shared" si="25"/>
        <v>0</v>
      </c>
      <c r="S26" s="415">
        <f t="shared" si="26"/>
        <v>0</v>
      </c>
      <c r="T26" s="418"/>
      <c r="U26" s="421">
        <f>IF($J26='5 Year Forecast'!$L$5,$S26*(1+'5 Year Forecast'!$L$30),IF($J26&gt;'5 Year Forecast'!$L$5,0,IF($J26&lt;'5 Year Forecast'!$L$5,$Q26*(1+'5 Year Forecast'!$L$30),0)))</f>
        <v>0</v>
      </c>
      <c r="V26" s="421">
        <f>IF($J26='5 Year Forecast'!$M$5,$S26*(1+'5 Year Forecast'!$M$30),IF($J26&gt;'5 Year Forecast'!$M$5,0,IF($J26&lt;'5 Year Forecast'!$M$5,$Q26*(1+'5 Year Forecast'!$M$30),0)))</f>
        <v>0</v>
      </c>
      <c r="W26" s="421">
        <f>IF($J26='5 Year Forecast'!$N$5,$S26*(1+'5 Year Forecast'!$N$30),IF($J26&gt;'5 Year Forecast'!$N$5,0,IF($J26&lt;'5 Year Forecast'!$N$5,$Q26*(1+'5 Year Forecast'!$N$30),0)))</f>
        <v>0</v>
      </c>
      <c r="X26" s="421">
        <f>IF($J26='5 Year Forecast'!$O$5,$S26*(1+'5 Year Forecast'!$O$30),IF($J26&gt;'5 Year Forecast'!$O$5,0,IF($J26&lt;'5 Year Forecast'!$O$5,$Q26*(1+'5 Year Forecast'!$O$30),0)))</f>
        <v>0</v>
      </c>
      <c r="Y26" s="421">
        <f>IF($J26='5 Year Forecast'!$P$5,$S26*(1+'5 Year Forecast'!$P$30),IF($J26&gt;'5 Year Forecast'!$P$5,0,IF($J26&lt;'5 Year Forecast'!$P$5,$Q26*(1+'5 Year Forecast'!$P$30),0)))</f>
        <v>0</v>
      </c>
      <c r="Z26" s="420"/>
    </row>
    <row r="27" spans="1:26" s="419" customFormat="1" ht="15" customHeight="1">
      <c r="A27" s="413"/>
      <c r="B27" s="410">
        <v>100</v>
      </c>
      <c r="C27" s="410">
        <v>60</v>
      </c>
      <c r="D27" s="411">
        <v>601</v>
      </c>
      <c r="E27" s="597" t="s">
        <v>3472</v>
      </c>
      <c r="F27" s="413" t="s">
        <v>41</v>
      </c>
      <c r="G27" s="413" t="s">
        <v>65</v>
      </c>
      <c r="H27" s="413" t="s">
        <v>1080</v>
      </c>
      <c r="I27" s="413" t="s">
        <v>1209</v>
      </c>
      <c r="J27" s="413">
        <f>HLOOKUP($I27,'5 Year Forecast'!$L$4:$P$5,2,FALSE)</f>
        <v>1</v>
      </c>
      <c r="L27" s="414">
        <v>5000</v>
      </c>
      <c r="M27" s="415">
        <f t="shared" si="23"/>
        <v>5000</v>
      </c>
      <c r="N27" s="416"/>
      <c r="O27" s="417" t="s">
        <v>46</v>
      </c>
      <c r="P27" s="416"/>
      <c r="Q27" s="415">
        <f t="shared" si="24"/>
        <v>0</v>
      </c>
      <c r="R27" s="415">
        <f t="shared" si="25"/>
        <v>0</v>
      </c>
      <c r="S27" s="415">
        <f t="shared" si="26"/>
        <v>0</v>
      </c>
      <c r="T27" s="418"/>
      <c r="U27" s="421">
        <f>IF($J27='5 Year Forecast'!$L$5,$S27*(1+'5 Year Forecast'!$L$30),IF($J27&gt;'5 Year Forecast'!$L$5,0,IF($J27&lt;'5 Year Forecast'!$L$5,$Q27*(1+'5 Year Forecast'!$L$30),0)))</f>
        <v>0</v>
      </c>
      <c r="V27" s="421">
        <f>IF($J27='5 Year Forecast'!$M$5,$S27*(1+'5 Year Forecast'!$M$30),IF($J27&gt;'5 Year Forecast'!$M$5,0,IF($J27&lt;'5 Year Forecast'!$M$5,$Q27*(1+'5 Year Forecast'!$M$30),0)))</f>
        <v>0</v>
      </c>
      <c r="W27" s="421">
        <f>IF($J27='5 Year Forecast'!$N$5,$S27*(1+'5 Year Forecast'!$N$30),IF($J27&gt;'5 Year Forecast'!$N$5,0,IF($J27&lt;'5 Year Forecast'!$N$5,$Q27*(1+'5 Year Forecast'!$N$30),0)))</f>
        <v>0</v>
      </c>
      <c r="X27" s="421">
        <f>IF($J27='5 Year Forecast'!$O$5,$S27*(1+'5 Year Forecast'!$O$30),IF($J27&gt;'5 Year Forecast'!$O$5,0,IF($J27&lt;'5 Year Forecast'!$O$5,$Q27*(1+'5 Year Forecast'!$O$30),0)))</f>
        <v>0</v>
      </c>
      <c r="Y27" s="421">
        <f>IF($J27='5 Year Forecast'!$P$5,$S27*(1+'5 Year Forecast'!$P$30),IF($J27&gt;'5 Year Forecast'!$P$5,0,IF($J27&lt;'5 Year Forecast'!$P$5,$Q27*(1+'5 Year Forecast'!$P$30),0)))</f>
        <v>0</v>
      </c>
      <c r="Z27" s="420"/>
    </row>
    <row r="28" spans="1:26" s="419" customFormat="1" ht="15" customHeight="1">
      <c r="A28" s="413"/>
      <c r="B28" s="410">
        <v>100</v>
      </c>
      <c r="C28" s="410">
        <v>60</v>
      </c>
      <c r="D28" s="411">
        <v>601</v>
      </c>
      <c r="E28" s="597" t="s">
        <v>3473</v>
      </c>
      <c r="F28" s="413" t="s">
        <v>41</v>
      </c>
      <c r="G28" s="413" t="s">
        <v>65</v>
      </c>
      <c r="H28" s="413" t="s">
        <v>1080</v>
      </c>
      <c r="I28" s="413" t="s">
        <v>3406</v>
      </c>
      <c r="J28" s="413">
        <f>HLOOKUP($I28,'5 Year Forecast'!$L$4:$P$5,2,FALSE)</f>
        <v>4</v>
      </c>
      <c r="L28" s="414">
        <v>25000</v>
      </c>
      <c r="M28" s="415">
        <f t="shared" si="23"/>
        <v>25000</v>
      </c>
      <c r="N28" s="416"/>
      <c r="O28" s="417" t="s">
        <v>44</v>
      </c>
      <c r="P28" s="416"/>
      <c r="Q28" s="415">
        <f t="shared" si="24"/>
        <v>0</v>
      </c>
      <c r="R28" s="415">
        <f t="shared" si="25"/>
        <v>25000</v>
      </c>
      <c r="S28" s="415">
        <f t="shared" si="26"/>
        <v>25000</v>
      </c>
      <c r="T28" s="418"/>
      <c r="U28" s="421">
        <f>IF($J28='5 Year Forecast'!$L$5,$S28*(1+'5 Year Forecast'!$L$30),IF($J28&gt;'5 Year Forecast'!$L$5,0,IF($J28&lt;'5 Year Forecast'!$L$5,$Q28*(1+'5 Year Forecast'!$L$30),0)))</f>
        <v>0</v>
      </c>
      <c r="V28" s="421">
        <f>IF($J28='5 Year Forecast'!$M$5,$S28*(1+'5 Year Forecast'!$M$30),IF($J28&gt;'5 Year Forecast'!$M$5,0,IF($J28&lt;'5 Year Forecast'!$M$5,$Q28*(1+'5 Year Forecast'!$M$30),0)))</f>
        <v>0</v>
      </c>
      <c r="W28" s="421">
        <f>IF($J28='5 Year Forecast'!$N$5,$S28*(1+'5 Year Forecast'!$N$30),IF($J28&gt;'5 Year Forecast'!$N$5,0,IF($J28&lt;'5 Year Forecast'!$N$5,$Q28*(1+'5 Year Forecast'!$N$30),0)))</f>
        <v>0</v>
      </c>
      <c r="X28" s="421">
        <f>IF($J28='5 Year Forecast'!$O$5,$S28*(1+'5 Year Forecast'!$O$30),IF($J28&gt;'5 Year Forecast'!$O$5,0,IF($J28&lt;'5 Year Forecast'!$O$5,$Q28*(1+'5 Year Forecast'!$O$30),0)))</f>
        <v>25000</v>
      </c>
      <c r="Y28" s="421">
        <f>IF($J28='5 Year Forecast'!$P$5,$S28*(1+'5 Year Forecast'!$P$30),IF($J28&gt;'5 Year Forecast'!$P$5,0,IF($J28&lt;'5 Year Forecast'!$P$5,$Q28*(1+'5 Year Forecast'!$P$30),0)))</f>
        <v>0</v>
      </c>
      <c r="Z28" s="420"/>
    </row>
    <row r="29" spans="1:26" s="419" customFormat="1" ht="15" customHeight="1">
      <c r="A29" s="413"/>
      <c r="B29" s="410">
        <v>100</v>
      </c>
      <c r="C29" s="410">
        <v>60</v>
      </c>
      <c r="D29" s="411">
        <v>601</v>
      </c>
      <c r="E29" s="597" t="s">
        <v>3474</v>
      </c>
      <c r="F29" s="413" t="s">
        <v>41</v>
      </c>
      <c r="G29" s="413" t="s">
        <v>65</v>
      </c>
      <c r="H29" s="413" t="s">
        <v>1079</v>
      </c>
      <c r="I29" s="413" t="s">
        <v>1209</v>
      </c>
      <c r="J29" s="413">
        <f>HLOOKUP($I29,'5 Year Forecast'!$L$4:$P$5,2,FALSE)</f>
        <v>1</v>
      </c>
      <c r="L29" s="414">
        <v>15000</v>
      </c>
      <c r="M29" s="415">
        <f t="shared" si="23"/>
        <v>15000</v>
      </c>
      <c r="N29" s="416"/>
      <c r="O29" s="417" t="s">
        <v>46</v>
      </c>
      <c r="P29" s="416"/>
      <c r="Q29" s="415">
        <f t="shared" ref="Q29" si="27">IF($O29="Y",L29,IF($O29="N",0,$O29*L29))</f>
        <v>0</v>
      </c>
      <c r="R29" s="415">
        <f>IF($O29="Y",#REF!,IF($O29="N",0,$O29*#REF!))</f>
        <v>0</v>
      </c>
      <c r="S29" s="415">
        <f t="shared" si="2"/>
        <v>0</v>
      </c>
      <c r="T29" s="418"/>
      <c r="U29" s="421">
        <f>IF($J29='5 Year Forecast'!$L$5,$S29*(1+'5 Year Forecast'!$L$30),IF($J29&gt;'5 Year Forecast'!$L$5,0,IF($J29&lt;'5 Year Forecast'!$L$5,$Q29*(1+'5 Year Forecast'!$L$30),0)))</f>
        <v>0</v>
      </c>
      <c r="V29" s="421">
        <f>IF($J29='5 Year Forecast'!$M$5,$S29*(1+'5 Year Forecast'!$M$30),IF($J29&gt;'5 Year Forecast'!$M$5,0,IF($J29&lt;'5 Year Forecast'!$M$5,$Q29*(1+'5 Year Forecast'!$M$30),0)))</f>
        <v>0</v>
      </c>
      <c r="W29" s="421">
        <f>IF($J29='5 Year Forecast'!$N$5,$S29*(1+'5 Year Forecast'!$N$30),IF($J29&gt;'5 Year Forecast'!$N$5,0,IF($J29&lt;'5 Year Forecast'!$N$5,$Q29*(1+'5 Year Forecast'!$N$30),0)))</f>
        <v>0</v>
      </c>
      <c r="X29" s="421">
        <f>IF($J29='5 Year Forecast'!$O$5,$S29*(1+'5 Year Forecast'!$O$30),IF($J29&gt;'5 Year Forecast'!$O$5,0,IF($J29&lt;'5 Year Forecast'!$O$5,$Q29*(1+'5 Year Forecast'!$O$30),0)))</f>
        <v>0</v>
      </c>
      <c r="Y29" s="421">
        <f>IF($J29='5 Year Forecast'!$P$5,$S29*(1+'5 Year Forecast'!$P$30),IF($J29&gt;'5 Year Forecast'!$P$5,0,IF($J29&lt;'5 Year Forecast'!$P$5,$Q29*(1+'5 Year Forecast'!$P$30),0)))</f>
        <v>0</v>
      </c>
      <c r="Z29" s="420"/>
    </row>
    <row r="30" spans="1:26" s="419" customFormat="1" ht="15" customHeight="1">
      <c r="A30" s="413"/>
      <c r="B30" s="410">
        <v>100</v>
      </c>
      <c r="C30" s="410">
        <v>60</v>
      </c>
      <c r="D30" s="411">
        <v>601</v>
      </c>
      <c r="E30" s="597" t="s">
        <v>3475</v>
      </c>
      <c r="F30" s="413" t="s">
        <v>41</v>
      </c>
      <c r="G30" s="413" t="s">
        <v>65</v>
      </c>
      <c r="H30" s="413" t="s">
        <v>56</v>
      </c>
      <c r="I30" s="413" t="s">
        <v>3406</v>
      </c>
      <c r="J30" s="413">
        <f>HLOOKUP($I30,'5 Year Forecast'!$L$4:$P$5,2,FALSE)</f>
        <v>4</v>
      </c>
      <c r="K30" s="414">
        <v>0</v>
      </c>
      <c r="L30" s="415">
        <v>50000</v>
      </c>
      <c r="M30" s="415">
        <f t="shared" si="10"/>
        <v>50000</v>
      </c>
      <c r="N30" s="416"/>
      <c r="O30" s="417" t="s">
        <v>46</v>
      </c>
      <c r="P30" s="416"/>
      <c r="Q30" s="415">
        <f t="shared" si="0"/>
        <v>0</v>
      </c>
      <c r="R30" s="415">
        <f t="shared" si="1"/>
        <v>0</v>
      </c>
      <c r="S30" s="415">
        <f t="shared" si="2"/>
        <v>0</v>
      </c>
      <c r="T30" s="418"/>
      <c r="U30" s="421">
        <f>IF($J30='5 Year Forecast'!$L$5,$S30*(1+'5 Year Forecast'!$L$30),IF($J30&gt;'5 Year Forecast'!$L$5,0,IF($J30&lt;'5 Year Forecast'!$L$5,$Q30*(1+'5 Year Forecast'!$L$30),0)))</f>
        <v>0</v>
      </c>
      <c r="V30" s="421">
        <f>IF($J30='5 Year Forecast'!$M$5,$S30*(1+'5 Year Forecast'!$M$30),IF($J30&gt;'5 Year Forecast'!$M$5,0,IF($J30&lt;'5 Year Forecast'!$M$5,$Q30*(1+'5 Year Forecast'!$M$30),0)))</f>
        <v>0</v>
      </c>
      <c r="W30" s="421">
        <f>IF($J30='5 Year Forecast'!$N$5,$S30*(1+'5 Year Forecast'!$N$30),IF($J30&gt;'5 Year Forecast'!$N$5,0,IF($J30&lt;'5 Year Forecast'!$N$5,$Q30*(1+'5 Year Forecast'!$N$30),0)))</f>
        <v>0</v>
      </c>
      <c r="X30" s="421">
        <f>IF($J30='5 Year Forecast'!$O$5,$S30*(1+'5 Year Forecast'!$O$30),IF($J30&gt;'5 Year Forecast'!$O$5,0,IF($J30&lt;'5 Year Forecast'!$O$5,$Q30*(1+'5 Year Forecast'!$O$30),0)))</f>
        <v>0</v>
      </c>
      <c r="Y30" s="421">
        <f>IF($J30='5 Year Forecast'!$P$5,$S30*(1+'5 Year Forecast'!$P$30),IF($J30&gt;'5 Year Forecast'!$P$5,0,IF($J30&lt;'5 Year Forecast'!$P$5,$Q30*(1+'5 Year Forecast'!$P$30),0)))</f>
        <v>0</v>
      </c>
      <c r="Z30" s="409"/>
    </row>
    <row r="31" spans="1:26" ht="15" customHeight="1">
      <c r="B31" s="410">
        <v>100</v>
      </c>
      <c r="C31" s="410">
        <v>60</v>
      </c>
      <c r="D31" s="411">
        <v>601</v>
      </c>
      <c r="E31" s="597" t="s">
        <v>3476</v>
      </c>
      <c r="F31" s="413" t="s">
        <v>41</v>
      </c>
      <c r="G31" s="413" t="s">
        <v>65</v>
      </c>
      <c r="H31" s="413" t="s">
        <v>56</v>
      </c>
      <c r="I31" s="413" t="s">
        <v>1209</v>
      </c>
      <c r="J31" s="413">
        <f>HLOOKUP($I31,'5 Year Forecast'!$L$4:$P$5,2,FALSE)</f>
        <v>1</v>
      </c>
      <c r="K31" s="414"/>
      <c r="L31" s="415">
        <v>60000</v>
      </c>
      <c r="M31" s="415">
        <f t="shared" si="10"/>
        <v>60000</v>
      </c>
      <c r="N31" s="416"/>
      <c r="O31" s="417" t="s">
        <v>46</v>
      </c>
      <c r="P31" s="416"/>
      <c r="Q31" s="415">
        <f t="shared" si="0"/>
        <v>0</v>
      </c>
      <c r="R31" s="415">
        <f t="shared" si="1"/>
        <v>0</v>
      </c>
      <c r="S31" s="415">
        <f t="shared" si="2"/>
        <v>0</v>
      </c>
      <c r="T31" s="418"/>
      <c r="U31" s="421">
        <f>IF($J31='5 Year Forecast'!$L$5,$S31*(1+'5 Year Forecast'!$L$30),IF($J31&gt;'5 Year Forecast'!$L$5,0,IF($J31&lt;'5 Year Forecast'!$L$5,$Q31*(1+'5 Year Forecast'!$L$30),0)))</f>
        <v>0</v>
      </c>
      <c r="V31" s="421">
        <f>IF($J31='5 Year Forecast'!$M$5,$S31*(1+'5 Year Forecast'!$M$30),IF($J31&gt;'5 Year Forecast'!$M$5,0,IF($J31&lt;'5 Year Forecast'!$M$5,$Q31*(1+'5 Year Forecast'!$M$30),0)))</f>
        <v>0</v>
      </c>
      <c r="W31" s="421">
        <f>IF($J31='5 Year Forecast'!$N$5,$S31*(1+'5 Year Forecast'!$N$30),IF($J31&gt;'5 Year Forecast'!$N$5,0,IF($J31&lt;'5 Year Forecast'!$N$5,$Q31*(1+'5 Year Forecast'!$N$30),0)))</f>
        <v>0</v>
      </c>
      <c r="X31" s="421">
        <f>IF($J31='5 Year Forecast'!$O$5,$S31*(1+'5 Year Forecast'!$O$30),IF($J31&gt;'5 Year Forecast'!$O$5,0,IF($J31&lt;'5 Year Forecast'!$O$5,$Q31*(1+'5 Year Forecast'!$O$30),0)))</f>
        <v>0</v>
      </c>
      <c r="Y31" s="421">
        <f>IF($J31='5 Year Forecast'!$P$5,$S31*(1+'5 Year Forecast'!$P$30),IF($J31&gt;'5 Year Forecast'!$P$5,0,IF($J31&lt;'5 Year Forecast'!$P$5,$Q31*(1+'5 Year Forecast'!$P$30),0)))</f>
        <v>0</v>
      </c>
      <c r="Z31" s="4"/>
    </row>
    <row r="32" spans="1:26" ht="15" customHeight="1">
      <c r="B32" s="410">
        <v>100</v>
      </c>
      <c r="C32" s="410">
        <v>63</v>
      </c>
      <c r="D32" s="411">
        <v>634</v>
      </c>
      <c r="E32" s="597" t="s">
        <v>3477</v>
      </c>
      <c r="F32" s="413" t="s">
        <v>809</v>
      </c>
      <c r="G32" s="413" t="s">
        <v>391</v>
      </c>
      <c r="H32" s="413" t="s">
        <v>87</v>
      </c>
      <c r="I32" s="413" t="s">
        <v>1209</v>
      </c>
      <c r="J32" s="413">
        <f>HLOOKUP($I32,'5 Year Forecast'!$L$4:$P$5,2,FALSE)</f>
        <v>1</v>
      </c>
      <c r="K32" s="414"/>
      <c r="L32" s="415"/>
      <c r="M32" s="415">
        <f t="shared" si="10"/>
        <v>0</v>
      </c>
      <c r="N32" s="416"/>
      <c r="O32" s="417" t="s">
        <v>46</v>
      </c>
      <c r="P32" s="416"/>
      <c r="Q32" s="415">
        <f t="shared" si="0"/>
        <v>0</v>
      </c>
      <c r="R32" s="415">
        <f t="shared" si="1"/>
        <v>0</v>
      </c>
      <c r="S32" s="415">
        <f t="shared" si="2"/>
        <v>0</v>
      </c>
      <c r="T32" s="418"/>
      <c r="U32" s="421">
        <f>IF($J32='5 Year Forecast'!$L$5,$S32*(1+'5 Year Forecast'!$L$30),IF($J32&gt;'5 Year Forecast'!$L$5,0,IF($J32&lt;'5 Year Forecast'!$L$5,$Q32*(1+'5 Year Forecast'!$L$30),0)))</f>
        <v>0</v>
      </c>
      <c r="V32" s="421">
        <f>IF($J32='5 Year Forecast'!$M$5,$S32*(1+'5 Year Forecast'!$M$30),IF($J32&gt;'5 Year Forecast'!$M$5,0,IF($J32&lt;'5 Year Forecast'!$M$5,$Q32*(1+'5 Year Forecast'!$M$30),0)))</f>
        <v>0</v>
      </c>
      <c r="W32" s="421">
        <f>IF($J32='5 Year Forecast'!$N$5,$S32*(1+'5 Year Forecast'!$N$30),IF($J32&gt;'5 Year Forecast'!$N$5,0,IF($J32&lt;'5 Year Forecast'!$N$5,$Q32*(1+'5 Year Forecast'!$N$30),0)))</f>
        <v>0</v>
      </c>
      <c r="X32" s="421">
        <f>IF($J32='5 Year Forecast'!$O$5,$S32*(1+'5 Year Forecast'!$O$30),IF($J32&gt;'5 Year Forecast'!$O$5,0,IF($J32&lt;'5 Year Forecast'!$O$5,$Q32*(1+'5 Year Forecast'!$O$30),0)))</f>
        <v>0</v>
      </c>
      <c r="Y32" s="421">
        <f>IF($J32='5 Year Forecast'!$P$5,$S32*(1+'5 Year Forecast'!$P$30),IF($J32&gt;'5 Year Forecast'!$P$5,0,IF($J32&lt;'5 Year Forecast'!$P$5,$Q32*(1+'5 Year Forecast'!$P$30),0)))</f>
        <v>0</v>
      </c>
    </row>
    <row r="33" spans="2:26" ht="15" customHeight="1">
      <c r="B33" s="410">
        <v>100</v>
      </c>
      <c r="C33" s="410">
        <v>63</v>
      </c>
      <c r="D33" s="411">
        <v>635</v>
      </c>
      <c r="E33" s="597" t="s">
        <v>3478</v>
      </c>
      <c r="F33" s="413" t="s">
        <v>809</v>
      </c>
      <c r="G33" s="413" t="s">
        <v>3486</v>
      </c>
      <c r="H33" s="413" t="s">
        <v>87</v>
      </c>
      <c r="I33" s="413" t="s">
        <v>1209</v>
      </c>
      <c r="J33" s="413">
        <f>HLOOKUP($I33,'5 Year Forecast'!$L$4:$P$5,2,FALSE)</f>
        <v>1</v>
      </c>
      <c r="K33" s="414"/>
      <c r="L33" s="415"/>
      <c r="M33" s="415">
        <f t="shared" si="10"/>
        <v>0</v>
      </c>
      <c r="N33" s="416"/>
      <c r="O33" s="417" t="s">
        <v>46</v>
      </c>
      <c r="P33" s="416"/>
      <c r="Q33" s="415">
        <f t="shared" si="0"/>
        <v>0</v>
      </c>
      <c r="R33" s="415">
        <f t="shared" si="1"/>
        <v>0</v>
      </c>
      <c r="S33" s="415">
        <f t="shared" si="2"/>
        <v>0</v>
      </c>
      <c r="T33" s="418"/>
      <c r="U33" s="421">
        <f>IF($J33='5 Year Forecast'!$L$5,$S33*(1+'5 Year Forecast'!$L$30),IF($J33&gt;'5 Year Forecast'!$L$5,0,IF($J33&lt;'5 Year Forecast'!$L$5,$Q33*(1+'5 Year Forecast'!$L$30),0)))</f>
        <v>0</v>
      </c>
      <c r="V33" s="421">
        <f>IF($J33='5 Year Forecast'!$M$5,$S33*(1+'5 Year Forecast'!$M$30),IF($J33&gt;'5 Year Forecast'!$M$5,0,IF($J33&lt;'5 Year Forecast'!$M$5,$Q33*(1+'5 Year Forecast'!$M$30),0)))</f>
        <v>0</v>
      </c>
      <c r="W33" s="421">
        <f>IF($J33='5 Year Forecast'!$N$5,$S33*(1+'5 Year Forecast'!$N$30),IF($J33&gt;'5 Year Forecast'!$N$5,0,IF($J33&lt;'5 Year Forecast'!$N$5,$Q33*(1+'5 Year Forecast'!$N$30),0)))</f>
        <v>0</v>
      </c>
      <c r="X33" s="421">
        <f>IF($J33='5 Year Forecast'!$O$5,$S33*(1+'5 Year Forecast'!$O$30),IF($J33&gt;'5 Year Forecast'!$O$5,0,IF($J33&lt;'5 Year Forecast'!$O$5,$Q33*(1+'5 Year Forecast'!$O$30),0)))</f>
        <v>0</v>
      </c>
      <c r="Y33" s="421">
        <f>IF($J33='5 Year Forecast'!$P$5,$S33*(1+'5 Year Forecast'!$P$30),IF($J33&gt;'5 Year Forecast'!$P$5,0,IF($J33&lt;'5 Year Forecast'!$P$5,$Q33*(1+'5 Year Forecast'!$P$30),0)))</f>
        <v>0</v>
      </c>
    </row>
    <row r="34" spans="2:26" ht="15" customHeight="1">
      <c r="B34" s="410">
        <v>100</v>
      </c>
      <c r="C34" s="410">
        <v>63</v>
      </c>
      <c r="D34" s="411">
        <v>635</v>
      </c>
      <c r="E34" s="597" t="s">
        <v>3479</v>
      </c>
      <c r="F34" s="413" t="s">
        <v>809</v>
      </c>
      <c r="G34" s="413" t="s">
        <v>3486</v>
      </c>
      <c r="H34" s="413" t="s">
        <v>1080</v>
      </c>
      <c r="I34" s="413" t="s">
        <v>1209</v>
      </c>
      <c r="J34" s="413">
        <f>HLOOKUP($I34,'5 Year Forecast'!$L$4:$P$5,2,FALSE)</f>
        <v>1</v>
      </c>
      <c r="K34" s="414"/>
      <c r="L34" s="415"/>
      <c r="M34" s="415">
        <f t="shared" si="10"/>
        <v>0</v>
      </c>
      <c r="N34" s="416"/>
      <c r="O34" s="417" t="s">
        <v>46</v>
      </c>
      <c r="P34" s="416"/>
      <c r="Q34" s="415">
        <f t="shared" si="0"/>
        <v>0</v>
      </c>
      <c r="R34" s="415">
        <f t="shared" si="1"/>
        <v>0</v>
      </c>
      <c r="S34" s="415">
        <f t="shared" si="2"/>
        <v>0</v>
      </c>
      <c r="T34" s="418"/>
      <c r="U34" s="421">
        <f>IF($J34='5 Year Forecast'!$L$5,$S34*(1+'5 Year Forecast'!$L$30),IF($J34&gt;'5 Year Forecast'!$L$5,0,IF($J34&lt;'5 Year Forecast'!$L$5,$Q34*(1+'5 Year Forecast'!$L$30),0)))</f>
        <v>0</v>
      </c>
      <c r="V34" s="421">
        <f>IF($J34='5 Year Forecast'!$M$5,$S34*(1+'5 Year Forecast'!$M$30),IF($J34&gt;'5 Year Forecast'!$M$5,0,IF($J34&lt;'5 Year Forecast'!$M$5,$Q34*(1+'5 Year Forecast'!$M$30),0)))</f>
        <v>0</v>
      </c>
      <c r="W34" s="421">
        <f>IF($J34='5 Year Forecast'!$N$5,$S34*(1+'5 Year Forecast'!$N$30),IF($J34&gt;'5 Year Forecast'!$N$5,0,IF($J34&lt;'5 Year Forecast'!$N$5,$Q34*(1+'5 Year Forecast'!$N$30),0)))</f>
        <v>0</v>
      </c>
      <c r="X34" s="421">
        <f>IF($J34='5 Year Forecast'!$O$5,$S34*(1+'5 Year Forecast'!$O$30),IF($J34&gt;'5 Year Forecast'!$O$5,0,IF($J34&lt;'5 Year Forecast'!$O$5,$Q34*(1+'5 Year Forecast'!$O$30),0)))</f>
        <v>0</v>
      </c>
      <c r="Y34" s="421">
        <f>IF($J34='5 Year Forecast'!$P$5,$S34*(1+'5 Year Forecast'!$P$30),IF($J34&gt;'5 Year Forecast'!$P$5,0,IF($J34&lt;'5 Year Forecast'!$P$5,$Q34*(1+'5 Year Forecast'!$P$30),0)))</f>
        <v>0</v>
      </c>
      <c r="Z34" s="4"/>
    </row>
    <row r="35" spans="2:26" ht="15" customHeight="1">
      <c r="B35" s="410">
        <v>100</v>
      </c>
      <c r="C35" s="410">
        <v>63</v>
      </c>
      <c r="D35" s="411">
        <v>634</v>
      </c>
      <c r="E35" s="597" t="s">
        <v>3480</v>
      </c>
      <c r="F35" s="413" t="s">
        <v>809</v>
      </c>
      <c r="G35" s="413" t="s">
        <v>391</v>
      </c>
      <c r="H35" s="413" t="s">
        <v>1079</v>
      </c>
      <c r="I35" s="413" t="s">
        <v>1209</v>
      </c>
      <c r="J35" s="413">
        <f>HLOOKUP($I35,'5 Year Forecast'!$L$4:$P$5,2,FALSE)</f>
        <v>1</v>
      </c>
      <c r="K35" s="414"/>
      <c r="L35" s="415"/>
      <c r="M35" s="415">
        <f t="shared" ref="M35:M37" si="28">SUM(K35:L35)</f>
        <v>0</v>
      </c>
      <c r="N35" s="416"/>
      <c r="O35" s="417" t="s">
        <v>46</v>
      </c>
      <c r="P35" s="416"/>
      <c r="Q35" s="415">
        <f t="shared" ref="Q35:Q37" si="29">IF($O35="Y",K35,IF($O35="N",0,$O35*K35))</f>
        <v>0</v>
      </c>
      <c r="R35" s="415">
        <f t="shared" ref="R35:R37" si="30">IF($O35="Y",L35,IF($O35="N",0,$O35*L35))</f>
        <v>0</v>
      </c>
      <c r="S35" s="415">
        <f t="shared" ref="S35:S37" si="31">SUM(Q35:R35)</f>
        <v>0</v>
      </c>
      <c r="T35" s="418"/>
      <c r="U35" s="421">
        <f>IF($J35='5 Year Forecast'!$L$5,$S35*(1+'5 Year Forecast'!$L$30),IF($J35&gt;'5 Year Forecast'!$L$5,0,IF($J35&lt;'5 Year Forecast'!$L$5,$Q35*(1+'5 Year Forecast'!$L$30),0)))</f>
        <v>0</v>
      </c>
      <c r="V35" s="421">
        <f>IF($J35='5 Year Forecast'!$M$5,$S35*(1+'5 Year Forecast'!$M$30),IF($J35&gt;'5 Year Forecast'!$M$5,0,IF($J35&lt;'5 Year Forecast'!$M$5,$Q35*(1+'5 Year Forecast'!$M$30),0)))</f>
        <v>0</v>
      </c>
      <c r="W35" s="421">
        <f>IF($J35='5 Year Forecast'!$N$5,$S35*(1+'5 Year Forecast'!$N$30),IF($J35&gt;'5 Year Forecast'!$N$5,0,IF($J35&lt;'5 Year Forecast'!$N$5,$Q35*(1+'5 Year Forecast'!$N$30),0)))</f>
        <v>0</v>
      </c>
      <c r="X35" s="421">
        <f>IF($J35='5 Year Forecast'!$O$5,$S35*(1+'5 Year Forecast'!$O$30),IF($J35&gt;'5 Year Forecast'!$O$5,0,IF($J35&lt;'5 Year Forecast'!$O$5,$Q35*(1+'5 Year Forecast'!$O$30),0)))</f>
        <v>0</v>
      </c>
      <c r="Y35" s="421">
        <f>IF($J35='5 Year Forecast'!$P$5,$S35*(1+'5 Year Forecast'!$P$30),IF($J35&gt;'5 Year Forecast'!$P$5,0,IF($J35&lt;'5 Year Forecast'!$P$5,$Q35*(1+'5 Year Forecast'!$P$30),0)))</f>
        <v>0</v>
      </c>
    </row>
    <row r="36" spans="2:26" ht="15" customHeight="1">
      <c r="B36" s="410">
        <v>100</v>
      </c>
      <c r="C36" s="410">
        <v>63</v>
      </c>
      <c r="D36" s="411">
        <v>633</v>
      </c>
      <c r="E36" s="597" t="s">
        <v>3481</v>
      </c>
      <c r="F36" s="413" t="s">
        <v>809</v>
      </c>
      <c r="G36" s="413" t="s">
        <v>3487</v>
      </c>
      <c r="H36" s="413" t="s">
        <v>56</v>
      </c>
      <c r="I36" s="413" t="s">
        <v>3406</v>
      </c>
      <c r="J36" s="413">
        <f>HLOOKUP($I36,'5 Year Forecast'!$L$4:$P$5,2,FALSE)</f>
        <v>4</v>
      </c>
      <c r="K36" s="414"/>
      <c r="L36" s="415"/>
      <c r="M36" s="415">
        <f t="shared" si="28"/>
        <v>0</v>
      </c>
      <c r="N36" s="416"/>
      <c r="O36" s="417" t="s">
        <v>46</v>
      </c>
      <c r="P36" s="416"/>
      <c r="Q36" s="415">
        <f t="shared" si="29"/>
        <v>0</v>
      </c>
      <c r="R36" s="415">
        <f t="shared" si="30"/>
        <v>0</v>
      </c>
      <c r="S36" s="415">
        <f t="shared" si="31"/>
        <v>0</v>
      </c>
      <c r="T36" s="418"/>
      <c r="U36" s="421">
        <f>IF($J36='5 Year Forecast'!$L$5,$S36*(1+'5 Year Forecast'!$L$30),IF($J36&gt;'5 Year Forecast'!$L$5,0,IF($J36&lt;'5 Year Forecast'!$L$5,$Q36*(1+'5 Year Forecast'!$L$30),0)))</f>
        <v>0</v>
      </c>
      <c r="V36" s="421">
        <f>IF($J36='5 Year Forecast'!$M$5,$S36*(1+'5 Year Forecast'!$M$30),IF($J36&gt;'5 Year Forecast'!$M$5,0,IF($J36&lt;'5 Year Forecast'!$M$5,$Q36*(1+'5 Year Forecast'!$M$30),0)))</f>
        <v>0</v>
      </c>
      <c r="W36" s="421">
        <f>IF($J36='5 Year Forecast'!$N$5,$S36*(1+'5 Year Forecast'!$N$30),IF($J36&gt;'5 Year Forecast'!$N$5,0,IF($J36&lt;'5 Year Forecast'!$N$5,$Q36*(1+'5 Year Forecast'!$N$30),0)))</f>
        <v>0</v>
      </c>
      <c r="X36" s="421">
        <f>IF($J36='5 Year Forecast'!$O$5,$S36*(1+'5 Year Forecast'!$O$30),IF($J36&gt;'5 Year Forecast'!$O$5,0,IF($J36&lt;'5 Year Forecast'!$O$5,$Q36*(1+'5 Year Forecast'!$O$30),0)))</f>
        <v>0</v>
      </c>
      <c r="Y36" s="421">
        <f>IF($J36='5 Year Forecast'!$P$5,$S36*(1+'5 Year Forecast'!$P$30),IF($J36&gt;'5 Year Forecast'!$P$5,0,IF($J36&lt;'5 Year Forecast'!$P$5,$Q36*(1+'5 Year Forecast'!$P$30),0)))</f>
        <v>0</v>
      </c>
    </row>
    <row r="37" spans="2:26" ht="15" customHeight="1">
      <c r="B37" s="410">
        <v>100</v>
      </c>
      <c r="C37" s="410">
        <v>63</v>
      </c>
      <c r="D37" s="411">
        <v>634</v>
      </c>
      <c r="E37" s="597" t="s">
        <v>3482</v>
      </c>
      <c r="F37" s="413" t="s">
        <v>809</v>
      </c>
      <c r="G37" s="413" t="s">
        <v>391</v>
      </c>
      <c r="H37" s="413" t="s">
        <v>56</v>
      </c>
      <c r="I37" s="413" t="s">
        <v>3323</v>
      </c>
      <c r="J37" s="413">
        <f>HLOOKUP($I37,'5 Year Forecast'!$L$4:$P$5,2,FALSE)</f>
        <v>2</v>
      </c>
      <c r="K37" s="414"/>
      <c r="L37" s="415"/>
      <c r="M37" s="415">
        <f t="shared" si="28"/>
        <v>0</v>
      </c>
      <c r="N37" s="416"/>
      <c r="O37" s="417" t="s">
        <v>46</v>
      </c>
      <c r="P37" s="416"/>
      <c r="Q37" s="415">
        <f t="shared" si="29"/>
        <v>0</v>
      </c>
      <c r="R37" s="415">
        <f t="shared" si="30"/>
        <v>0</v>
      </c>
      <c r="S37" s="415">
        <f t="shared" si="31"/>
        <v>0</v>
      </c>
      <c r="T37" s="418"/>
      <c r="U37" s="421">
        <f>IF($J37='5 Year Forecast'!$L$5,$S37*(1+'5 Year Forecast'!$L$30),IF($J37&gt;'5 Year Forecast'!$L$5,0,IF($J37&lt;'5 Year Forecast'!$L$5,$Q37*(1+'5 Year Forecast'!$L$30),0)))</f>
        <v>0</v>
      </c>
      <c r="V37" s="421">
        <f>IF($J37='5 Year Forecast'!$M$5,$S37*(1+'5 Year Forecast'!$M$30),IF($J37&gt;'5 Year Forecast'!$M$5,0,IF($J37&lt;'5 Year Forecast'!$M$5,$Q37*(1+'5 Year Forecast'!$M$30),0)))</f>
        <v>0</v>
      </c>
      <c r="W37" s="421">
        <f>IF($J37='5 Year Forecast'!$N$5,$S37*(1+'5 Year Forecast'!$N$30),IF($J37&gt;'5 Year Forecast'!$N$5,0,IF($J37&lt;'5 Year Forecast'!$N$5,$Q37*(1+'5 Year Forecast'!$N$30),0)))</f>
        <v>0</v>
      </c>
      <c r="X37" s="421">
        <f>IF($J37='5 Year Forecast'!$O$5,$S37*(1+'5 Year Forecast'!$O$30),IF($J37&gt;'5 Year Forecast'!$O$5,0,IF($J37&lt;'5 Year Forecast'!$O$5,$Q37*(1+'5 Year Forecast'!$O$30),0)))</f>
        <v>0</v>
      </c>
      <c r="Y37" s="421">
        <f>IF($J37='5 Year Forecast'!$P$5,$S37*(1+'5 Year Forecast'!$P$30),IF($J37&gt;'5 Year Forecast'!$P$5,0,IF($J37&lt;'5 Year Forecast'!$P$5,$Q37*(1+'5 Year Forecast'!$P$30),0)))</f>
        <v>0</v>
      </c>
      <c r="Z37" s="4"/>
    </row>
    <row r="38" spans="2:26" ht="15" customHeight="1">
      <c r="B38" s="410">
        <v>100</v>
      </c>
      <c r="C38" s="410">
        <v>63</v>
      </c>
      <c r="D38" s="411">
        <v>634</v>
      </c>
      <c r="E38" s="597" t="s">
        <v>3483</v>
      </c>
      <c r="F38" s="413" t="s">
        <v>809</v>
      </c>
      <c r="G38" s="413" t="s">
        <v>391</v>
      </c>
      <c r="H38" s="413" t="s">
        <v>56</v>
      </c>
      <c r="I38" s="413" t="s">
        <v>3323</v>
      </c>
      <c r="J38" s="413">
        <f>HLOOKUP($I38,'5 Year Forecast'!$L$4:$P$5,2,FALSE)</f>
        <v>2</v>
      </c>
      <c r="K38" s="414"/>
      <c r="L38" s="415"/>
      <c r="M38" s="415">
        <f t="shared" ref="M38:M55" si="32">SUM(K38:L38)</f>
        <v>0</v>
      </c>
      <c r="N38" s="416"/>
      <c r="O38" s="417" t="s">
        <v>46</v>
      </c>
      <c r="P38" s="416"/>
      <c r="Q38" s="415">
        <f t="shared" ref="Q38:Q40" si="33">IF($O38="Y",K38,IF($O38="N",0,$O38*K38))</f>
        <v>0</v>
      </c>
      <c r="R38" s="415">
        <f t="shared" ref="R38:R40" si="34">IF($O38="Y",L38,IF($O38="N",0,$O38*L38))</f>
        <v>0</v>
      </c>
      <c r="S38" s="415">
        <f t="shared" ref="S38:S40" si="35">SUM(Q38:R38)</f>
        <v>0</v>
      </c>
      <c r="T38" s="418"/>
      <c r="U38" s="421">
        <f>IF($J38='5 Year Forecast'!$L$5,$S38*(1+'5 Year Forecast'!$L$30),IF($J38&gt;'5 Year Forecast'!$L$5,0,IF($J38&lt;'5 Year Forecast'!$L$5,$Q38*(1+'5 Year Forecast'!$L$30),0)))</f>
        <v>0</v>
      </c>
      <c r="V38" s="421">
        <f>IF($J38='5 Year Forecast'!$M$5,$S38*(1+'5 Year Forecast'!$M$30),IF($J38&gt;'5 Year Forecast'!$M$5,0,IF($J38&lt;'5 Year Forecast'!$M$5,$Q38*(1+'5 Year Forecast'!$M$30),0)))</f>
        <v>0</v>
      </c>
      <c r="W38" s="421">
        <f>IF($J38='5 Year Forecast'!$N$5,$S38*(1+'5 Year Forecast'!$N$30),IF($J38&gt;'5 Year Forecast'!$N$5,0,IF($J38&lt;'5 Year Forecast'!$N$5,$Q38*(1+'5 Year Forecast'!$N$30),0)))</f>
        <v>0</v>
      </c>
      <c r="X38" s="421">
        <f>IF($J38='5 Year Forecast'!$O$5,$S38*(1+'5 Year Forecast'!$O$30),IF($J38&gt;'5 Year Forecast'!$O$5,0,IF($J38&lt;'5 Year Forecast'!$O$5,$Q38*(1+'5 Year Forecast'!$O$30),0)))</f>
        <v>0</v>
      </c>
      <c r="Y38" s="421">
        <f>IF($J38='5 Year Forecast'!$P$5,$S38*(1+'5 Year Forecast'!$P$30),IF($J38&gt;'5 Year Forecast'!$P$5,0,IF($J38&lt;'5 Year Forecast'!$P$5,$Q38*(1+'5 Year Forecast'!$P$30),0)))</f>
        <v>0</v>
      </c>
      <c r="Z38" s="4"/>
    </row>
    <row r="39" spans="2:26" ht="15" customHeight="1">
      <c r="B39" s="410">
        <v>100</v>
      </c>
      <c r="C39" s="410">
        <v>63</v>
      </c>
      <c r="D39" s="411">
        <v>634</v>
      </c>
      <c r="E39" s="597" t="s">
        <v>3484</v>
      </c>
      <c r="F39" s="413" t="s">
        <v>809</v>
      </c>
      <c r="G39" s="413" t="s">
        <v>391</v>
      </c>
      <c r="H39" s="413" t="s">
        <v>56</v>
      </c>
      <c r="I39" s="413" t="s">
        <v>3359</v>
      </c>
      <c r="J39" s="413">
        <f>HLOOKUP($I39,'5 Year Forecast'!$L$4:$P$5,2,FALSE)</f>
        <v>3</v>
      </c>
      <c r="K39" s="414"/>
      <c r="L39" s="415"/>
      <c r="M39" s="415">
        <f t="shared" si="32"/>
        <v>0</v>
      </c>
      <c r="N39" s="416"/>
      <c r="O39" s="417" t="s">
        <v>46</v>
      </c>
      <c r="P39" s="416"/>
      <c r="Q39" s="415">
        <f t="shared" si="33"/>
        <v>0</v>
      </c>
      <c r="R39" s="415">
        <f t="shared" si="34"/>
        <v>0</v>
      </c>
      <c r="S39" s="415">
        <f t="shared" si="35"/>
        <v>0</v>
      </c>
      <c r="T39" s="418"/>
      <c r="U39" s="421">
        <f>IF($J39='5 Year Forecast'!$L$5,$S39*(1+'5 Year Forecast'!$L$30),IF($J39&gt;'5 Year Forecast'!$L$5,0,IF($J39&lt;'5 Year Forecast'!$L$5,$Q39*(1+'5 Year Forecast'!$L$30),0)))</f>
        <v>0</v>
      </c>
      <c r="V39" s="421">
        <f>IF($J39='5 Year Forecast'!$M$5,$S39*(1+'5 Year Forecast'!$M$30),IF($J39&gt;'5 Year Forecast'!$M$5,0,IF($J39&lt;'5 Year Forecast'!$M$5,$Q39*(1+'5 Year Forecast'!$M$30),0)))</f>
        <v>0</v>
      </c>
      <c r="W39" s="421">
        <f>IF($J39='5 Year Forecast'!$N$5,$S39*(1+'5 Year Forecast'!$N$30),IF($J39&gt;'5 Year Forecast'!$N$5,0,IF($J39&lt;'5 Year Forecast'!$N$5,$Q39*(1+'5 Year Forecast'!$N$30),0)))</f>
        <v>0</v>
      </c>
      <c r="X39" s="421">
        <f>IF($J39='5 Year Forecast'!$O$5,$S39*(1+'5 Year Forecast'!$O$30),IF($J39&gt;'5 Year Forecast'!$O$5,0,IF($J39&lt;'5 Year Forecast'!$O$5,$Q39*(1+'5 Year Forecast'!$O$30),0)))</f>
        <v>0</v>
      </c>
      <c r="Y39" s="421">
        <f>IF($J39='5 Year Forecast'!$P$5,$S39*(1+'5 Year Forecast'!$P$30),IF($J39&gt;'5 Year Forecast'!$P$5,0,IF($J39&lt;'5 Year Forecast'!$P$5,$Q39*(1+'5 Year Forecast'!$P$30),0)))</f>
        <v>0</v>
      </c>
    </row>
    <row r="40" spans="2:26" ht="15" customHeight="1">
      <c r="B40" s="410">
        <v>100</v>
      </c>
      <c r="C40" s="410">
        <v>63</v>
      </c>
      <c r="D40" s="411">
        <v>634</v>
      </c>
      <c r="E40" s="597" t="s">
        <v>3485</v>
      </c>
      <c r="F40" s="413" t="s">
        <v>809</v>
      </c>
      <c r="G40" s="413" t="s">
        <v>391</v>
      </c>
      <c r="H40" s="413" t="s">
        <v>3456</v>
      </c>
      <c r="I40" s="413" t="s">
        <v>1209</v>
      </c>
      <c r="J40" s="413">
        <f>HLOOKUP($I40,'5 Year Forecast'!$L$4:$P$5,2,FALSE)</f>
        <v>1</v>
      </c>
      <c r="K40" s="414"/>
      <c r="L40" s="415"/>
      <c r="M40" s="415">
        <f t="shared" si="32"/>
        <v>0</v>
      </c>
      <c r="N40" s="416"/>
      <c r="O40" s="417" t="s">
        <v>46</v>
      </c>
      <c r="P40" s="416"/>
      <c r="Q40" s="415">
        <f t="shared" si="33"/>
        <v>0</v>
      </c>
      <c r="R40" s="415">
        <f t="shared" si="34"/>
        <v>0</v>
      </c>
      <c r="S40" s="415">
        <f t="shared" si="35"/>
        <v>0</v>
      </c>
      <c r="T40" s="418"/>
      <c r="U40" s="421">
        <f>IF($J40='5 Year Forecast'!$L$5,$S40*(1+'5 Year Forecast'!$L$30),IF($J40&gt;'5 Year Forecast'!$L$5,0,IF($J40&lt;'5 Year Forecast'!$L$5,$Q40*(1+'5 Year Forecast'!$L$30),0)))</f>
        <v>0</v>
      </c>
      <c r="V40" s="421">
        <f>IF($J40='5 Year Forecast'!$M$5,$S40*(1+'5 Year Forecast'!$M$30),IF($J40&gt;'5 Year Forecast'!$M$5,0,IF($J40&lt;'5 Year Forecast'!$M$5,$Q40*(1+'5 Year Forecast'!$M$30),0)))</f>
        <v>0</v>
      </c>
      <c r="W40" s="421">
        <f>IF($J40='5 Year Forecast'!$N$5,$S40*(1+'5 Year Forecast'!$N$30),IF($J40&gt;'5 Year Forecast'!$N$5,0,IF($J40&lt;'5 Year Forecast'!$N$5,$Q40*(1+'5 Year Forecast'!$N$30),0)))</f>
        <v>0</v>
      </c>
      <c r="X40" s="421">
        <f>IF($J40='5 Year Forecast'!$O$5,$S40*(1+'5 Year Forecast'!$O$30),IF($J40&gt;'5 Year Forecast'!$O$5,0,IF($J40&lt;'5 Year Forecast'!$O$5,$Q40*(1+'5 Year Forecast'!$O$30),0)))</f>
        <v>0</v>
      </c>
      <c r="Y40" s="421">
        <f>IF($J40='5 Year Forecast'!$P$5,$S40*(1+'5 Year Forecast'!$P$30),IF($J40&gt;'5 Year Forecast'!$P$5,0,IF($J40&lt;'5 Year Forecast'!$P$5,$Q40*(1+'5 Year Forecast'!$P$30),0)))</f>
        <v>0</v>
      </c>
    </row>
    <row r="41" spans="2:26" ht="15" customHeight="1">
      <c r="B41" s="410">
        <v>100</v>
      </c>
      <c r="C41" s="410">
        <v>50</v>
      </c>
      <c r="D41" s="411">
        <v>501</v>
      </c>
      <c r="E41" s="597" t="s">
        <v>3488</v>
      </c>
      <c r="F41" s="413" t="s">
        <v>114</v>
      </c>
      <c r="G41" s="413" t="s">
        <v>65</v>
      </c>
      <c r="H41" s="413" t="s">
        <v>87</v>
      </c>
      <c r="I41" s="413" t="s">
        <v>3359</v>
      </c>
      <c r="J41" s="413">
        <f>HLOOKUP($I41,'5 Year Forecast'!$L$4:$P$5,2,FALSE)</f>
        <v>3</v>
      </c>
      <c r="K41" s="414">
        <v>130000</v>
      </c>
      <c r="L41" s="415"/>
      <c r="M41" s="415">
        <f t="shared" si="32"/>
        <v>130000</v>
      </c>
      <c r="N41" s="416"/>
      <c r="O41" s="417"/>
      <c r="P41" s="416"/>
      <c r="Q41" s="415">
        <f t="shared" ref="Q41:Q55" si="36">IF($O41="Y",K41,IF($O41="N",0,$O41*K41))</f>
        <v>0</v>
      </c>
      <c r="R41" s="415">
        <f t="shared" ref="R41:R55" si="37">IF($O41="Y",L41,IF($O41="N",0,$O41*L41))</f>
        <v>0</v>
      </c>
      <c r="S41" s="415">
        <f t="shared" ref="S41:S55" si="38">SUM(Q41:R41)</f>
        <v>0</v>
      </c>
      <c r="T41" s="418"/>
      <c r="U41" s="421">
        <f>IF($J41='5 Year Forecast'!$L$5,$S41*(1+'5 Year Forecast'!$L$30),IF($J41&gt;'5 Year Forecast'!$L$5,0,IF($J41&lt;'5 Year Forecast'!$L$5,$Q41*(1+'5 Year Forecast'!$L$30),0)))</f>
        <v>0</v>
      </c>
      <c r="V41" s="421">
        <f>IF($J41='5 Year Forecast'!$M$5,$S41*(1+'5 Year Forecast'!$M$30),IF($J41&gt;'5 Year Forecast'!$M$5,0,IF($J41&lt;'5 Year Forecast'!$M$5,$Q41*(1+'5 Year Forecast'!$M$30),0)))</f>
        <v>0</v>
      </c>
      <c r="W41" s="421">
        <f>IF($J41='5 Year Forecast'!$N$5,$S41*(1+'5 Year Forecast'!$N$30),IF($J41&gt;'5 Year Forecast'!$N$5,0,IF($J41&lt;'5 Year Forecast'!$N$5,$Q41*(1+'5 Year Forecast'!$N$30),0)))</f>
        <v>0</v>
      </c>
      <c r="X41" s="421">
        <f>IF($J41='5 Year Forecast'!$O$5,$S41*(1+'5 Year Forecast'!$O$30),IF($J41&gt;'5 Year Forecast'!$O$5,0,IF($J41&lt;'5 Year Forecast'!$O$5,$Q41*(1+'5 Year Forecast'!$O$30),0)))</f>
        <v>0</v>
      </c>
      <c r="Y41" s="421">
        <f>IF($J41='5 Year Forecast'!$P$5,$S41*(1+'5 Year Forecast'!$P$30),IF($J41&gt;'5 Year Forecast'!$P$5,0,IF($J41&lt;'5 Year Forecast'!$P$5,$Q41*(1+'5 Year Forecast'!$P$30),0)))</f>
        <v>0</v>
      </c>
    </row>
    <row r="42" spans="2:26" ht="15" customHeight="1">
      <c r="B42" s="410">
        <v>100</v>
      </c>
      <c r="C42" s="410">
        <v>50</v>
      </c>
      <c r="D42" s="411">
        <v>502</v>
      </c>
      <c r="E42" s="597" t="s">
        <v>3489</v>
      </c>
      <c r="F42" s="413" t="s">
        <v>114</v>
      </c>
      <c r="G42" s="413" t="s">
        <v>1062</v>
      </c>
      <c r="H42" s="413" t="s">
        <v>1079</v>
      </c>
      <c r="I42" s="413" t="s">
        <v>3359</v>
      </c>
      <c r="J42" s="413">
        <f>HLOOKUP($I42,'5 Year Forecast'!$L$4:$P$5,2,FALSE)</f>
        <v>3</v>
      </c>
      <c r="K42" s="414">
        <v>15000</v>
      </c>
      <c r="L42" s="415"/>
      <c r="M42" s="415">
        <f t="shared" si="32"/>
        <v>15000</v>
      </c>
      <c r="N42" s="416"/>
      <c r="O42" s="417"/>
      <c r="P42" s="416"/>
      <c r="Q42" s="415">
        <f t="shared" si="36"/>
        <v>0</v>
      </c>
      <c r="R42" s="415">
        <f t="shared" si="37"/>
        <v>0</v>
      </c>
      <c r="S42" s="415">
        <f t="shared" si="38"/>
        <v>0</v>
      </c>
      <c r="T42" s="418"/>
      <c r="U42" s="421">
        <f>IF($J42='5 Year Forecast'!$L$5,$S42*(1+'5 Year Forecast'!$L$30),IF($J42&gt;'5 Year Forecast'!$L$5,0,IF($J42&lt;'5 Year Forecast'!$L$5,$Q42*(1+'5 Year Forecast'!$L$30),0)))</f>
        <v>0</v>
      </c>
      <c r="V42" s="421">
        <f>IF($J42='5 Year Forecast'!$M$5,$S42*(1+'5 Year Forecast'!$M$30),IF($J42&gt;'5 Year Forecast'!$M$5,0,IF($J42&lt;'5 Year Forecast'!$M$5,$Q42*(1+'5 Year Forecast'!$M$30),0)))</f>
        <v>0</v>
      </c>
      <c r="W42" s="421">
        <f>IF($J42='5 Year Forecast'!$N$5,$S42*(1+'5 Year Forecast'!$N$30),IF($J42&gt;'5 Year Forecast'!$N$5,0,IF($J42&lt;'5 Year Forecast'!$N$5,$Q42*(1+'5 Year Forecast'!$N$30),0)))</f>
        <v>0</v>
      </c>
      <c r="X42" s="421">
        <f>IF($J42='5 Year Forecast'!$O$5,$S42*(1+'5 Year Forecast'!$O$30),IF($J42&gt;'5 Year Forecast'!$O$5,0,IF($J42&lt;'5 Year Forecast'!$O$5,$Q42*(1+'5 Year Forecast'!$O$30),0)))</f>
        <v>0</v>
      </c>
      <c r="Y42" s="421">
        <f>IF($J42='5 Year Forecast'!$P$5,$S42*(1+'5 Year Forecast'!$P$30),IF($J42&gt;'5 Year Forecast'!$P$5,0,IF($J42&lt;'5 Year Forecast'!$P$5,$Q42*(1+'5 Year Forecast'!$P$30),0)))</f>
        <v>0</v>
      </c>
    </row>
    <row r="43" spans="2:26" ht="15" customHeight="1">
      <c r="B43" s="410">
        <v>100</v>
      </c>
      <c r="C43" s="410">
        <v>50</v>
      </c>
      <c r="D43" s="411">
        <v>502</v>
      </c>
      <c r="E43" s="597" t="s">
        <v>3490</v>
      </c>
      <c r="F43" s="413" t="s">
        <v>114</v>
      </c>
      <c r="G43" s="413" t="s">
        <v>1062</v>
      </c>
      <c r="H43" s="413" t="s">
        <v>1079</v>
      </c>
      <c r="I43" s="413" t="s">
        <v>3406</v>
      </c>
      <c r="J43" s="413">
        <f>HLOOKUP($I43,'5 Year Forecast'!$L$4:$P$5,2,FALSE)</f>
        <v>4</v>
      </c>
      <c r="K43" s="414"/>
      <c r="L43" s="415">
        <v>25000</v>
      </c>
      <c r="M43" s="415">
        <f t="shared" si="32"/>
        <v>25000</v>
      </c>
      <c r="N43" s="416"/>
      <c r="O43" s="417"/>
      <c r="P43" s="416"/>
      <c r="Q43" s="415">
        <f t="shared" si="36"/>
        <v>0</v>
      </c>
      <c r="R43" s="415">
        <f t="shared" si="37"/>
        <v>0</v>
      </c>
      <c r="S43" s="415">
        <f t="shared" si="38"/>
        <v>0</v>
      </c>
      <c r="T43" s="418"/>
      <c r="U43" s="421">
        <f>IF($J43='5 Year Forecast'!$L$5,$S43*(1+'5 Year Forecast'!$L$30),IF($J43&gt;'5 Year Forecast'!$L$5,0,IF($J43&lt;'5 Year Forecast'!$L$5,$Q43*(1+'5 Year Forecast'!$L$30),0)))</f>
        <v>0</v>
      </c>
      <c r="V43" s="421">
        <f>IF($J43='5 Year Forecast'!$M$5,$S43*(1+'5 Year Forecast'!$M$30),IF($J43&gt;'5 Year Forecast'!$M$5,0,IF($J43&lt;'5 Year Forecast'!$M$5,$Q43*(1+'5 Year Forecast'!$M$30),0)))</f>
        <v>0</v>
      </c>
      <c r="W43" s="421">
        <f>IF($J43='5 Year Forecast'!$N$5,$S43*(1+'5 Year Forecast'!$N$30),IF($J43&gt;'5 Year Forecast'!$N$5,0,IF($J43&lt;'5 Year Forecast'!$N$5,$Q43*(1+'5 Year Forecast'!$N$30),0)))</f>
        <v>0</v>
      </c>
      <c r="X43" s="421">
        <f>IF($J43='5 Year Forecast'!$O$5,$S43*(1+'5 Year Forecast'!$O$30),IF($J43&gt;'5 Year Forecast'!$O$5,0,IF($J43&lt;'5 Year Forecast'!$O$5,$Q43*(1+'5 Year Forecast'!$O$30),0)))</f>
        <v>0</v>
      </c>
      <c r="Y43" s="421">
        <f>IF($J43='5 Year Forecast'!$P$5,$S43*(1+'5 Year Forecast'!$P$30),IF($J43&gt;'5 Year Forecast'!$P$5,0,IF($J43&lt;'5 Year Forecast'!$P$5,$Q43*(1+'5 Year Forecast'!$P$30),0)))</f>
        <v>0</v>
      </c>
    </row>
    <row r="44" spans="2:26" ht="15" customHeight="1">
      <c r="B44" s="410">
        <v>100</v>
      </c>
      <c r="C44" s="410">
        <v>50</v>
      </c>
      <c r="D44" s="411">
        <v>502</v>
      </c>
      <c r="E44" s="597" t="s">
        <v>3491</v>
      </c>
      <c r="F44" s="413" t="s">
        <v>114</v>
      </c>
      <c r="G44" s="413" t="s">
        <v>1062</v>
      </c>
      <c r="H44" s="413" t="s">
        <v>1079</v>
      </c>
      <c r="I44" s="413" t="s">
        <v>1209</v>
      </c>
      <c r="J44" s="413">
        <f>HLOOKUP($I44,'5 Year Forecast'!$L$4:$P$5,2,FALSE)</f>
        <v>1</v>
      </c>
      <c r="K44" s="414"/>
      <c r="L44" s="415">
        <v>125000</v>
      </c>
      <c r="M44" s="415">
        <f t="shared" si="32"/>
        <v>125000</v>
      </c>
      <c r="N44" s="416"/>
      <c r="O44" s="417"/>
      <c r="P44" s="416"/>
      <c r="Q44" s="415">
        <f t="shared" si="36"/>
        <v>0</v>
      </c>
      <c r="R44" s="415">
        <f t="shared" si="37"/>
        <v>0</v>
      </c>
      <c r="S44" s="415">
        <f t="shared" si="38"/>
        <v>0</v>
      </c>
      <c r="T44" s="418"/>
      <c r="U44" s="421">
        <f>IF($J44='5 Year Forecast'!$L$5,$S44*(1+'5 Year Forecast'!$L$30),IF($J44&gt;'5 Year Forecast'!$L$5,0,IF($J44&lt;'5 Year Forecast'!$L$5,$Q44*(1+'5 Year Forecast'!$L$30),0)))</f>
        <v>0</v>
      </c>
      <c r="V44" s="421">
        <f>IF($J44='5 Year Forecast'!$M$5,$S44*(1+'5 Year Forecast'!$M$30),IF($J44&gt;'5 Year Forecast'!$M$5,0,IF($J44&lt;'5 Year Forecast'!$M$5,$Q44*(1+'5 Year Forecast'!$M$30),0)))</f>
        <v>0</v>
      </c>
      <c r="W44" s="421">
        <f>IF($J44='5 Year Forecast'!$N$5,$S44*(1+'5 Year Forecast'!$N$30),IF($J44&gt;'5 Year Forecast'!$N$5,0,IF($J44&lt;'5 Year Forecast'!$N$5,$Q44*(1+'5 Year Forecast'!$N$30),0)))</f>
        <v>0</v>
      </c>
      <c r="X44" s="421">
        <f>IF($J44='5 Year Forecast'!$O$5,$S44*(1+'5 Year Forecast'!$O$30),IF($J44&gt;'5 Year Forecast'!$O$5,0,IF($J44&lt;'5 Year Forecast'!$O$5,$Q44*(1+'5 Year Forecast'!$O$30),0)))</f>
        <v>0</v>
      </c>
      <c r="Y44" s="421">
        <f>IF($J44='5 Year Forecast'!$P$5,$S44*(1+'5 Year Forecast'!$P$30),IF($J44&gt;'5 Year Forecast'!$P$5,0,IF($J44&lt;'5 Year Forecast'!$P$5,$Q44*(1+'5 Year Forecast'!$P$30),0)))</f>
        <v>0</v>
      </c>
    </row>
    <row r="45" spans="2:26" ht="15" customHeight="1">
      <c r="B45" s="410">
        <v>100</v>
      </c>
      <c r="C45" s="410">
        <v>50</v>
      </c>
      <c r="D45" s="411">
        <v>502</v>
      </c>
      <c r="E45" s="597" t="s">
        <v>3492</v>
      </c>
      <c r="F45" s="413" t="s">
        <v>114</v>
      </c>
      <c r="G45" s="413" t="s">
        <v>1062</v>
      </c>
      <c r="H45" s="413" t="s">
        <v>1079</v>
      </c>
      <c r="I45" s="413" t="s">
        <v>1209</v>
      </c>
      <c r="J45" s="413">
        <f>HLOOKUP($I45,'5 Year Forecast'!$L$4:$P$5,2,FALSE)</f>
        <v>1</v>
      </c>
      <c r="K45" s="414"/>
      <c r="L45" s="415">
        <v>250000</v>
      </c>
      <c r="M45" s="415">
        <f t="shared" si="32"/>
        <v>250000</v>
      </c>
      <c r="N45" s="416"/>
      <c r="O45" s="417"/>
      <c r="P45" s="416"/>
      <c r="Q45" s="415">
        <f t="shared" si="36"/>
        <v>0</v>
      </c>
      <c r="R45" s="415">
        <f t="shared" si="37"/>
        <v>0</v>
      </c>
      <c r="S45" s="415">
        <f t="shared" si="38"/>
        <v>0</v>
      </c>
      <c r="T45" s="418"/>
      <c r="U45" s="421">
        <f>IF($J45='5 Year Forecast'!$L$5,$S45*(1+'5 Year Forecast'!$L$30),IF($J45&gt;'5 Year Forecast'!$L$5,0,IF($J45&lt;'5 Year Forecast'!$L$5,$Q45*(1+'5 Year Forecast'!$L$30),0)))</f>
        <v>0</v>
      </c>
      <c r="V45" s="421">
        <f>IF($J45='5 Year Forecast'!$M$5,$S45*(1+'5 Year Forecast'!$M$30),IF($J45&gt;'5 Year Forecast'!$M$5,0,IF($J45&lt;'5 Year Forecast'!$M$5,$Q45*(1+'5 Year Forecast'!$M$30),0)))</f>
        <v>0</v>
      </c>
      <c r="W45" s="421">
        <f>IF($J45='5 Year Forecast'!$N$5,$S45*(1+'5 Year Forecast'!$N$30),IF($J45&gt;'5 Year Forecast'!$N$5,0,IF($J45&lt;'5 Year Forecast'!$N$5,$Q45*(1+'5 Year Forecast'!$N$30),0)))</f>
        <v>0</v>
      </c>
      <c r="X45" s="421">
        <f>IF($J45='5 Year Forecast'!$O$5,$S45*(1+'5 Year Forecast'!$O$30),IF($J45&gt;'5 Year Forecast'!$O$5,0,IF($J45&lt;'5 Year Forecast'!$O$5,$Q45*(1+'5 Year Forecast'!$O$30),0)))</f>
        <v>0</v>
      </c>
      <c r="Y45" s="421">
        <f>IF($J45='5 Year Forecast'!$P$5,$S45*(1+'5 Year Forecast'!$P$30),IF($J45&gt;'5 Year Forecast'!$P$5,0,IF($J45&lt;'5 Year Forecast'!$P$5,$Q45*(1+'5 Year Forecast'!$P$30),0)))</f>
        <v>0</v>
      </c>
    </row>
    <row r="46" spans="2:26" ht="15" customHeight="1">
      <c r="B46" s="410">
        <v>100</v>
      </c>
      <c r="C46" s="410">
        <v>50</v>
      </c>
      <c r="D46" s="411">
        <v>502</v>
      </c>
      <c r="E46" s="597" t="s">
        <v>3493</v>
      </c>
      <c r="F46" s="413" t="s">
        <v>114</v>
      </c>
      <c r="G46" s="413" t="s">
        <v>1062</v>
      </c>
      <c r="H46" s="413" t="s">
        <v>1079</v>
      </c>
      <c r="I46" s="413" t="s">
        <v>1209</v>
      </c>
      <c r="J46" s="413">
        <f>HLOOKUP($I46,'5 Year Forecast'!$L$4:$P$5,2,FALSE)</f>
        <v>1</v>
      </c>
      <c r="K46" s="414"/>
      <c r="L46" s="415">
        <v>125000</v>
      </c>
      <c r="M46" s="415">
        <f t="shared" si="32"/>
        <v>125000</v>
      </c>
      <c r="N46" s="416"/>
      <c r="O46" s="417" t="s">
        <v>44</v>
      </c>
      <c r="P46" s="416"/>
      <c r="Q46" s="415">
        <f t="shared" si="36"/>
        <v>0</v>
      </c>
      <c r="R46" s="415">
        <f t="shared" si="37"/>
        <v>125000</v>
      </c>
      <c r="S46" s="415">
        <f t="shared" si="38"/>
        <v>125000</v>
      </c>
      <c r="T46" s="418"/>
      <c r="U46" s="421">
        <f>IF($J46='5 Year Forecast'!$L$5,$S46*(1+'5 Year Forecast'!$L$30),IF($J46&gt;'5 Year Forecast'!$L$5,0,IF($J46&lt;'5 Year Forecast'!$L$5,$Q46*(1+'5 Year Forecast'!$L$30),0)))</f>
        <v>125000</v>
      </c>
      <c r="V46" s="421">
        <f>IF($J46='5 Year Forecast'!$M$5,$S46*(1+'5 Year Forecast'!$M$30),IF($J46&gt;'5 Year Forecast'!$M$5,0,IF($J46&lt;'5 Year Forecast'!$M$5,$Q46*(1+'5 Year Forecast'!$M$30),0)))</f>
        <v>0</v>
      </c>
      <c r="W46" s="421">
        <f>IF($J46='5 Year Forecast'!$N$5,$S46*(1+'5 Year Forecast'!$N$30),IF($J46&gt;'5 Year Forecast'!$N$5,0,IF($J46&lt;'5 Year Forecast'!$N$5,$Q46*(1+'5 Year Forecast'!$N$30),0)))</f>
        <v>0</v>
      </c>
      <c r="X46" s="421">
        <f>IF($J46='5 Year Forecast'!$O$5,$S46*(1+'5 Year Forecast'!$O$30),IF($J46&gt;'5 Year Forecast'!$O$5,0,IF($J46&lt;'5 Year Forecast'!$O$5,$Q46*(1+'5 Year Forecast'!$O$30),0)))</f>
        <v>0</v>
      </c>
      <c r="Y46" s="421">
        <f>IF($J46='5 Year Forecast'!$P$5,$S46*(1+'5 Year Forecast'!$P$30),IF($J46&gt;'5 Year Forecast'!$P$5,0,IF($J46&lt;'5 Year Forecast'!$P$5,$Q46*(1+'5 Year Forecast'!$P$30),0)))</f>
        <v>0</v>
      </c>
    </row>
    <row r="47" spans="2:26" ht="15" customHeight="1">
      <c r="B47" s="410">
        <v>100</v>
      </c>
      <c r="C47" s="410">
        <v>50</v>
      </c>
      <c r="D47" s="411">
        <v>502</v>
      </c>
      <c r="E47" s="597" t="s">
        <v>3409</v>
      </c>
      <c r="F47" s="413" t="s">
        <v>114</v>
      </c>
      <c r="G47" s="413" t="s">
        <v>1062</v>
      </c>
      <c r="H47" s="413" t="s">
        <v>1079</v>
      </c>
      <c r="I47" s="413" t="s">
        <v>3323</v>
      </c>
      <c r="J47" s="413">
        <f>HLOOKUP($I47,'5 Year Forecast'!$L$4:$P$5,2,FALSE)</f>
        <v>2</v>
      </c>
      <c r="K47" s="414"/>
      <c r="L47" s="414">
        <v>245000</v>
      </c>
      <c r="M47" s="415">
        <f t="shared" si="32"/>
        <v>245000</v>
      </c>
      <c r="N47" s="416"/>
      <c r="O47" s="417"/>
      <c r="P47" s="416"/>
      <c r="Q47" s="415">
        <f t="shared" si="36"/>
        <v>0</v>
      </c>
      <c r="R47" s="415">
        <f t="shared" si="37"/>
        <v>0</v>
      </c>
      <c r="S47" s="415">
        <f t="shared" si="38"/>
        <v>0</v>
      </c>
      <c r="T47" s="418"/>
      <c r="U47" s="421">
        <f>IF($J47='5 Year Forecast'!$L$5,$S47*(1+'5 Year Forecast'!$L$30),IF($J47&gt;'5 Year Forecast'!$L$5,0,IF($J47&lt;'5 Year Forecast'!$L$5,$Q47*(1+'5 Year Forecast'!$L$30),0)))</f>
        <v>0</v>
      </c>
      <c r="V47" s="421">
        <f>IF($J47='5 Year Forecast'!$M$5,$S47*(1+'5 Year Forecast'!$M$30),IF($J47&gt;'5 Year Forecast'!$M$5,0,IF($J47&lt;'5 Year Forecast'!$M$5,$Q47*(1+'5 Year Forecast'!$M$30),0)))</f>
        <v>0</v>
      </c>
      <c r="W47" s="421">
        <f>IF($J47='5 Year Forecast'!$N$5,$S47*(1+'5 Year Forecast'!$N$30),IF($J47&gt;'5 Year Forecast'!$N$5,0,IF($J47&lt;'5 Year Forecast'!$N$5,$Q47*(1+'5 Year Forecast'!$N$30),0)))</f>
        <v>0</v>
      </c>
      <c r="X47" s="421">
        <f>IF($J47='5 Year Forecast'!$O$5,$S47*(1+'5 Year Forecast'!$O$30),IF($J47&gt;'5 Year Forecast'!$O$5,0,IF($J47&lt;'5 Year Forecast'!$O$5,$Q47*(1+'5 Year Forecast'!$O$30),0)))</f>
        <v>0</v>
      </c>
      <c r="Y47" s="421">
        <f>IF($J47='5 Year Forecast'!$P$5,$S47*(1+'5 Year Forecast'!$P$30),IF($J47&gt;'5 Year Forecast'!$P$5,0,IF($J47&lt;'5 Year Forecast'!$P$5,$Q47*(1+'5 Year Forecast'!$P$30),0)))</f>
        <v>0</v>
      </c>
    </row>
    <row r="48" spans="2:26" ht="15" customHeight="1">
      <c r="B48" s="410">
        <v>100</v>
      </c>
      <c r="C48" s="410">
        <v>50</v>
      </c>
      <c r="D48" s="411">
        <v>503</v>
      </c>
      <c r="E48" s="597" t="s">
        <v>3494</v>
      </c>
      <c r="F48" s="413" t="s">
        <v>114</v>
      </c>
      <c r="G48" s="413" t="s">
        <v>1063</v>
      </c>
      <c r="H48" s="413" t="s">
        <v>1079</v>
      </c>
      <c r="I48" s="413" t="s">
        <v>3323</v>
      </c>
      <c r="J48" s="413">
        <f>HLOOKUP($I48,'5 Year Forecast'!$L$4:$P$5,2,FALSE)</f>
        <v>2</v>
      </c>
      <c r="K48" s="414">
        <v>150000</v>
      </c>
      <c r="L48" s="415"/>
      <c r="M48" s="415">
        <f t="shared" si="32"/>
        <v>150000</v>
      </c>
      <c r="N48" s="416"/>
      <c r="O48" s="417">
        <v>0.33</v>
      </c>
      <c r="P48" s="416"/>
      <c r="Q48" s="415">
        <f t="shared" si="36"/>
        <v>49500</v>
      </c>
      <c r="R48" s="415">
        <f t="shared" si="37"/>
        <v>0</v>
      </c>
      <c r="S48" s="415">
        <f t="shared" si="38"/>
        <v>49500</v>
      </c>
      <c r="T48" s="418"/>
      <c r="U48" s="421">
        <f>IF($J48='5 Year Forecast'!$L$5,$S48*(1+'5 Year Forecast'!$L$30),IF($J48&gt;'5 Year Forecast'!$L$5,0,IF($J48&lt;'5 Year Forecast'!$L$5,$Q48*(1+'5 Year Forecast'!$L$30),0)))</f>
        <v>0</v>
      </c>
      <c r="V48" s="421">
        <f>IF($J48='5 Year Forecast'!$M$5,$S48*(1+'5 Year Forecast'!$M$30),IF($J48&gt;'5 Year Forecast'!$M$5,0,IF($J48&lt;'5 Year Forecast'!$M$5,$Q48*(1+'5 Year Forecast'!$M$30),0)))</f>
        <v>49500</v>
      </c>
      <c r="W48" s="421">
        <f>IF($J48='5 Year Forecast'!$N$5,$S48*(1+'5 Year Forecast'!$N$30),IF($J48&gt;'5 Year Forecast'!$N$5,0,IF($J48&lt;'5 Year Forecast'!$N$5,$Q48*(1+'5 Year Forecast'!$N$30),0)))</f>
        <v>49500</v>
      </c>
      <c r="X48" s="421">
        <f>IF($J48='5 Year Forecast'!$O$5,$S48*(1+'5 Year Forecast'!$O$30),IF($J48&gt;'5 Year Forecast'!$O$5,0,IF($J48&lt;'5 Year Forecast'!$O$5,$Q48*(1+'5 Year Forecast'!$O$30),0)))</f>
        <v>49500</v>
      </c>
      <c r="Y48" s="421">
        <f>IF($J48='5 Year Forecast'!$P$5,$S48*(1+'5 Year Forecast'!$P$30),IF($J48&gt;'5 Year Forecast'!$P$5,0,IF($J48&lt;'5 Year Forecast'!$P$5,$Q48*(1+'5 Year Forecast'!$P$30),0)))</f>
        <v>49500</v>
      </c>
    </row>
    <row r="49" spans="2:26" ht="15" customHeight="1">
      <c r="B49" s="410">
        <v>100</v>
      </c>
      <c r="C49" s="410">
        <v>50</v>
      </c>
      <c r="D49" s="411">
        <v>503</v>
      </c>
      <c r="E49" s="597" t="s">
        <v>3495</v>
      </c>
      <c r="F49" s="413" t="s">
        <v>114</v>
      </c>
      <c r="G49" s="413" t="s">
        <v>1063</v>
      </c>
      <c r="H49" s="413" t="s">
        <v>1079</v>
      </c>
      <c r="I49" s="413" t="s">
        <v>3323</v>
      </c>
      <c r="J49" s="413">
        <f>HLOOKUP($I49,'5 Year Forecast'!$L$4:$P$5,2,FALSE)</f>
        <v>2</v>
      </c>
      <c r="K49" s="414">
        <v>75000</v>
      </c>
      <c r="L49" s="415"/>
      <c r="M49" s="415">
        <f t="shared" si="32"/>
        <v>75000</v>
      </c>
      <c r="N49" s="416"/>
      <c r="O49" s="417"/>
      <c r="P49" s="416"/>
      <c r="Q49" s="415">
        <f t="shared" si="36"/>
        <v>0</v>
      </c>
      <c r="R49" s="415">
        <f t="shared" si="37"/>
        <v>0</v>
      </c>
      <c r="S49" s="415">
        <f t="shared" si="38"/>
        <v>0</v>
      </c>
      <c r="T49" s="418"/>
      <c r="U49" s="421">
        <f>IF($J49='5 Year Forecast'!$L$5,$S49*(1+'5 Year Forecast'!$L$30),IF($J49&gt;'5 Year Forecast'!$L$5,0,IF($J49&lt;'5 Year Forecast'!$L$5,$Q49*(1+'5 Year Forecast'!$L$30),0)))</f>
        <v>0</v>
      </c>
      <c r="V49" s="421">
        <f>IF($J49='5 Year Forecast'!$M$5,$S49*(1+'5 Year Forecast'!$M$30),IF($J49&gt;'5 Year Forecast'!$M$5,0,IF($J49&lt;'5 Year Forecast'!$M$5,$Q49*(1+'5 Year Forecast'!$M$30),0)))</f>
        <v>0</v>
      </c>
      <c r="W49" s="421">
        <f>IF($J49='5 Year Forecast'!$N$5,$S49*(1+'5 Year Forecast'!$N$30),IF($J49&gt;'5 Year Forecast'!$N$5,0,IF($J49&lt;'5 Year Forecast'!$N$5,$Q49*(1+'5 Year Forecast'!$N$30),0)))</f>
        <v>0</v>
      </c>
      <c r="X49" s="421">
        <f>IF($J49='5 Year Forecast'!$O$5,$S49*(1+'5 Year Forecast'!$O$30),IF($J49&gt;'5 Year Forecast'!$O$5,0,IF($J49&lt;'5 Year Forecast'!$O$5,$Q49*(1+'5 Year Forecast'!$O$30),0)))</f>
        <v>0</v>
      </c>
      <c r="Y49" s="421">
        <f>IF($J49='5 Year Forecast'!$P$5,$S49*(1+'5 Year Forecast'!$P$30),IF($J49&gt;'5 Year Forecast'!$P$5,0,IF($J49&lt;'5 Year Forecast'!$P$5,$Q49*(1+'5 Year Forecast'!$P$30),0)))</f>
        <v>0</v>
      </c>
    </row>
    <row r="50" spans="2:26" ht="15" customHeight="1">
      <c r="B50" s="410">
        <v>100</v>
      </c>
      <c r="C50" s="410">
        <v>50</v>
      </c>
      <c r="D50" s="411">
        <v>503</v>
      </c>
      <c r="E50" s="597" t="s">
        <v>3496</v>
      </c>
      <c r="F50" s="413" t="s">
        <v>114</v>
      </c>
      <c r="G50" s="413" t="s">
        <v>1063</v>
      </c>
      <c r="H50" s="413" t="s">
        <v>1079</v>
      </c>
      <c r="I50" s="413" t="s">
        <v>1209</v>
      </c>
      <c r="J50" s="413">
        <f>HLOOKUP($I50,'5 Year Forecast'!$L$4:$P$5,2,FALSE)</f>
        <v>1</v>
      </c>
      <c r="K50" s="414">
        <v>25000</v>
      </c>
      <c r="L50" s="415"/>
      <c r="M50" s="415">
        <f t="shared" si="32"/>
        <v>25000</v>
      </c>
      <c r="N50" s="416"/>
      <c r="O50" s="417"/>
      <c r="P50" s="416"/>
      <c r="Q50" s="415">
        <f t="shared" si="36"/>
        <v>0</v>
      </c>
      <c r="R50" s="415">
        <f t="shared" si="37"/>
        <v>0</v>
      </c>
      <c r="S50" s="415">
        <f t="shared" si="38"/>
        <v>0</v>
      </c>
      <c r="T50" s="418"/>
      <c r="U50" s="421">
        <f>IF($J50='5 Year Forecast'!$L$5,$S50*(1+'5 Year Forecast'!$L$30),IF($J50&gt;'5 Year Forecast'!$L$5,0,IF($J50&lt;'5 Year Forecast'!$L$5,$Q50*(1+'5 Year Forecast'!$L$30),0)))</f>
        <v>0</v>
      </c>
      <c r="V50" s="421">
        <f>IF($J50='5 Year Forecast'!$M$5,$S50*(1+'5 Year Forecast'!$M$30),IF($J50&gt;'5 Year Forecast'!$M$5,0,IF($J50&lt;'5 Year Forecast'!$M$5,$Q50*(1+'5 Year Forecast'!$M$30),0)))</f>
        <v>0</v>
      </c>
      <c r="W50" s="421">
        <f>IF($J50='5 Year Forecast'!$N$5,$S50*(1+'5 Year Forecast'!$N$30),IF($J50&gt;'5 Year Forecast'!$N$5,0,IF($J50&lt;'5 Year Forecast'!$N$5,$Q50*(1+'5 Year Forecast'!$N$30),0)))</f>
        <v>0</v>
      </c>
      <c r="X50" s="421">
        <f>IF($J50='5 Year Forecast'!$O$5,$S50*(1+'5 Year Forecast'!$O$30),IF($J50&gt;'5 Year Forecast'!$O$5,0,IF($J50&lt;'5 Year Forecast'!$O$5,$Q50*(1+'5 Year Forecast'!$O$30),0)))</f>
        <v>0</v>
      </c>
      <c r="Y50" s="421">
        <f>IF($J50='5 Year Forecast'!$P$5,$S50*(1+'5 Year Forecast'!$P$30),IF($J50&gt;'5 Year Forecast'!$P$5,0,IF($J50&lt;'5 Year Forecast'!$P$5,$Q50*(1+'5 Year Forecast'!$P$30),0)))</f>
        <v>0</v>
      </c>
    </row>
    <row r="51" spans="2:26" ht="15" customHeight="1">
      <c r="B51" s="410">
        <v>100</v>
      </c>
      <c r="C51" s="410">
        <v>50</v>
      </c>
      <c r="D51" s="411">
        <v>503</v>
      </c>
      <c r="E51" s="597" t="s">
        <v>3497</v>
      </c>
      <c r="F51" s="413" t="s">
        <v>114</v>
      </c>
      <c r="G51" s="413" t="s">
        <v>1063</v>
      </c>
      <c r="H51" s="413" t="s">
        <v>1079</v>
      </c>
      <c r="I51" s="413" t="s">
        <v>3323</v>
      </c>
      <c r="J51" s="413">
        <f>HLOOKUP($I51,'5 Year Forecast'!$L$4:$P$5,2,FALSE)</f>
        <v>2</v>
      </c>
      <c r="K51" s="414">
        <v>80000</v>
      </c>
      <c r="L51" s="415"/>
      <c r="M51" s="415">
        <f t="shared" si="32"/>
        <v>80000</v>
      </c>
      <c r="N51" s="416"/>
      <c r="O51" s="417"/>
      <c r="P51" s="416"/>
      <c r="Q51" s="415">
        <f t="shared" si="36"/>
        <v>0</v>
      </c>
      <c r="R51" s="415">
        <f t="shared" si="37"/>
        <v>0</v>
      </c>
      <c r="S51" s="415">
        <f t="shared" si="38"/>
        <v>0</v>
      </c>
      <c r="T51" s="418"/>
      <c r="U51" s="421">
        <f>IF($J51='5 Year Forecast'!$L$5,$S51*(1+'5 Year Forecast'!$L$30),IF($J51&gt;'5 Year Forecast'!$L$5,0,IF($J51&lt;'5 Year Forecast'!$L$5,$Q51*(1+'5 Year Forecast'!$L$30),0)))</f>
        <v>0</v>
      </c>
      <c r="V51" s="421">
        <f>IF($J51='5 Year Forecast'!$M$5,$S51*(1+'5 Year Forecast'!$M$30),IF($J51&gt;'5 Year Forecast'!$M$5,0,IF($J51&lt;'5 Year Forecast'!$M$5,$Q51*(1+'5 Year Forecast'!$M$30),0)))</f>
        <v>0</v>
      </c>
      <c r="W51" s="421">
        <f>IF($J51='5 Year Forecast'!$N$5,$S51*(1+'5 Year Forecast'!$N$30),IF($J51&gt;'5 Year Forecast'!$N$5,0,IF($J51&lt;'5 Year Forecast'!$N$5,$Q51*(1+'5 Year Forecast'!$N$30),0)))</f>
        <v>0</v>
      </c>
      <c r="X51" s="421">
        <f>IF($J51='5 Year Forecast'!$O$5,$S51*(1+'5 Year Forecast'!$O$30),IF($J51&gt;'5 Year Forecast'!$O$5,0,IF($J51&lt;'5 Year Forecast'!$O$5,$Q51*(1+'5 Year Forecast'!$O$30),0)))</f>
        <v>0</v>
      </c>
      <c r="Y51" s="421">
        <f>IF($J51='5 Year Forecast'!$P$5,$S51*(1+'5 Year Forecast'!$P$30),IF($J51&gt;'5 Year Forecast'!$P$5,0,IF($J51&lt;'5 Year Forecast'!$P$5,$Q51*(1+'5 Year Forecast'!$P$30),0)))</f>
        <v>0</v>
      </c>
    </row>
    <row r="52" spans="2:26" ht="15" customHeight="1">
      <c r="B52" s="410">
        <v>100</v>
      </c>
      <c r="C52" s="410">
        <v>50</v>
      </c>
      <c r="D52" s="411">
        <v>503</v>
      </c>
      <c r="E52" s="597" t="s">
        <v>3498</v>
      </c>
      <c r="F52" s="413" t="s">
        <v>114</v>
      </c>
      <c r="G52" s="413" t="s">
        <v>1063</v>
      </c>
      <c r="H52" s="413" t="s">
        <v>1079</v>
      </c>
      <c r="I52" s="413" t="s">
        <v>3359</v>
      </c>
      <c r="J52" s="413">
        <f>HLOOKUP($I52,'5 Year Forecast'!$L$4:$P$5,2,FALSE)</f>
        <v>3</v>
      </c>
      <c r="K52" s="414">
        <v>80000</v>
      </c>
      <c r="L52" s="415"/>
      <c r="M52" s="415">
        <f t="shared" si="32"/>
        <v>80000</v>
      </c>
      <c r="N52" s="416"/>
      <c r="O52" s="417"/>
      <c r="P52" s="416"/>
      <c r="Q52" s="415">
        <f t="shared" si="36"/>
        <v>0</v>
      </c>
      <c r="R52" s="415">
        <f t="shared" si="37"/>
        <v>0</v>
      </c>
      <c r="S52" s="415">
        <f t="shared" si="38"/>
        <v>0</v>
      </c>
      <c r="T52" s="418"/>
      <c r="U52" s="421">
        <f>IF($J52='5 Year Forecast'!$L$5,$S52*(1+'5 Year Forecast'!$L$30),IF($J52&gt;'5 Year Forecast'!$L$5,0,IF($J52&lt;'5 Year Forecast'!$L$5,$Q52*(1+'5 Year Forecast'!$L$30),0)))</f>
        <v>0</v>
      </c>
      <c r="V52" s="421">
        <f>IF($J52='5 Year Forecast'!$M$5,$S52*(1+'5 Year Forecast'!$M$30),IF($J52&gt;'5 Year Forecast'!$M$5,0,IF($J52&lt;'5 Year Forecast'!$M$5,$Q52*(1+'5 Year Forecast'!$M$30),0)))</f>
        <v>0</v>
      </c>
      <c r="W52" s="421">
        <f>IF($J52='5 Year Forecast'!$N$5,$S52*(1+'5 Year Forecast'!$N$30),IF($J52&gt;'5 Year Forecast'!$N$5,0,IF($J52&lt;'5 Year Forecast'!$N$5,$Q52*(1+'5 Year Forecast'!$N$30),0)))</f>
        <v>0</v>
      </c>
      <c r="X52" s="421">
        <f>IF($J52='5 Year Forecast'!$O$5,$S52*(1+'5 Year Forecast'!$O$30),IF($J52&gt;'5 Year Forecast'!$O$5,0,IF($J52&lt;'5 Year Forecast'!$O$5,$Q52*(1+'5 Year Forecast'!$O$30),0)))</f>
        <v>0</v>
      </c>
      <c r="Y52" s="421">
        <f>IF($J52='5 Year Forecast'!$P$5,$S52*(1+'5 Year Forecast'!$P$30),IF($J52&gt;'5 Year Forecast'!$P$5,0,IF($J52&lt;'5 Year Forecast'!$P$5,$Q52*(1+'5 Year Forecast'!$P$30),0)))</f>
        <v>0</v>
      </c>
    </row>
    <row r="53" spans="2:26" ht="15" customHeight="1">
      <c r="B53" s="410">
        <v>100</v>
      </c>
      <c r="C53" s="410">
        <v>50</v>
      </c>
      <c r="D53" s="411">
        <v>503</v>
      </c>
      <c r="E53" s="597" t="s">
        <v>3499</v>
      </c>
      <c r="F53" s="413" t="s">
        <v>114</v>
      </c>
      <c r="G53" s="413" t="s">
        <v>1063</v>
      </c>
      <c r="H53" s="413" t="s">
        <v>56</v>
      </c>
      <c r="I53" s="413" t="s">
        <v>3323</v>
      </c>
      <c r="J53" s="413">
        <f>HLOOKUP($I53,'5 Year Forecast'!$L$4:$P$5,2,FALSE)</f>
        <v>2</v>
      </c>
      <c r="K53" s="414"/>
      <c r="L53" s="414">
        <v>50000</v>
      </c>
      <c r="M53" s="415">
        <f t="shared" si="32"/>
        <v>50000</v>
      </c>
      <c r="N53" s="416"/>
      <c r="O53" s="417">
        <v>0.1</v>
      </c>
      <c r="P53" s="416"/>
      <c r="Q53" s="415">
        <f t="shared" si="36"/>
        <v>0</v>
      </c>
      <c r="R53" s="415">
        <f t="shared" si="37"/>
        <v>5000</v>
      </c>
      <c r="S53" s="415">
        <f t="shared" si="38"/>
        <v>5000</v>
      </c>
      <c r="T53" s="418"/>
      <c r="U53" s="421">
        <f>IF($J53='5 Year Forecast'!$L$5,$S53*(1+'5 Year Forecast'!$L$30),IF($J53&gt;'5 Year Forecast'!$L$5,0,IF($J53&lt;'5 Year Forecast'!$L$5,$Q53*(1+'5 Year Forecast'!$L$30),0)))</f>
        <v>0</v>
      </c>
      <c r="V53" s="421">
        <f>IF($J53='5 Year Forecast'!$M$5,$S53*(1+'5 Year Forecast'!$M$30),IF($J53&gt;'5 Year Forecast'!$M$5,0,IF($J53&lt;'5 Year Forecast'!$M$5,$Q53*(1+'5 Year Forecast'!$M$30),0)))</f>
        <v>5000</v>
      </c>
      <c r="W53" s="421">
        <f>IF($J53='5 Year Forecast'!$N$5,$S53*(1+'5 Year Forecast'!$N$30),IF($J53&gt;'5 Year Forecast'!$N$5,0,IF($J53&lt;'5 Year Forecast'!$N$5,$Q53*(1+'5 Year Forecast'!$N$30),0)))</f>
        <v>0</v>
      </c>
      <c r="X53" s="421">
        <f>IF($J53='5 Year Forecast'!$O$5,$S53*(1+'5 Year Forecast'!$O$30),IF($J53&gt;'5 Year Forecast'!$O$5,0,IF($J53&lt;'5 Year Forecast'!$O$5,$Q53*(1+'5 Year Forecast'!$O$30),0)))</f>
        <v>0</v>
      </c>
      <c r="Y53" s="421">
        <f>IF($J53='5 Year Forecast'!$P$5,$S53*(1+'5 Year Forecast'!$P$30),IF($J53&gt;'5 Year Forecast'!$P$5,0,IF($J53&lt;'5 Year Forecast'!$P$5,$Q53*(1+'5 Year Forecast'!$P$30),0)))</f>
        <v>0</v>
      </c>
    </row>
    <row r="54" spans="2:26" ht="15" customHeight="1">
      <c r="B54" s="410">
        <v>100</v>
      </c>
      <c r="C54" s="410">
        <v>50</v>
      </c>
      <c r="D54" s="411">
        <v>503</v>
      </c>
      <c r="E54" s="597" t="s">
        <v>3500</v>
      </c>
      <c r="F54" s="413" t="s">
        <v>114</v>
      </c>
      <c r="G54" s="413" t="s">
        <v>1063</v>
      </c>
      <c r="H54" s="413" t="s">
        <v>56</v>
      </c>
      <c r="I54" s="413" t="s">
        <v>3323</v>
      </c>
      <c r="J54" s="413">
        <f>HLOOKUP($I54,'5 Year Forecast'!$L$4:$P$5,2,FALSE)</f>
        <v>2</v>
      </c>
      <c r="K54" s="414"/>
      <c r="L54" s="414">
        <v>20000</v>
      </c>
      <c r="M54" s="415">
        <f t="shared" si="32"/>
        <v>20000</v>
      </c>
      <c r="N54" s="416"/>
      <c r="O54" s="417"/>
      <c r="P54" s="416"/>
      <c r="Q54" s="415">
        <f t="shared" si="36"/>
        <v>0</v>
      </c>
      <c r="R54" s="415">
        <f t="shared" si="37"/>
        <v>0</v>
      </c>
      <c r="S54" s="415">
        <f t="shared" si="38"/>
        <v>0</v>
      </c>
      <c r="T54" s="418"/>
      <c r="U54" s="421">
        <f>IF($J54='5 Year Forecast'!$L$5,$S54*(1+'5 Year Forecast'!$L$30),IF($J54&gt;'5 Year Forecast'!$L$5,0,IF($J54&lt;'5 Year Forecast'!$L$5,$Q54*(1+'5 Year Forecast'!$L$30),0)))</f>
        <v>0</v>
      </c>
      <c r="V54" s="421">
        <f>IF($J54='5 Year Forecast'!$M$5,$S54*(1+'5 Year Forecast'!$M$30),IF($J54&gt;'5 Year Forecast'!$M$5,0,IF($J54&lt;'5 Year Forecast'!$M$5,$Q54*(1+'5 Year Forecast'!$M$30),0)))</f>
        <v>0</v>
      </c>
      <c r="W54" s="421">
        <f>IF($J54='5 Year Forecast'!$N$5,$S54*(1+'5 Year Forecast'!$N$30),IF($J54&gt;'5 Year Forecast'!$N$5,0,IF($J54&lt;'5 Year Forecast'!$N$5,$Q54*(1+'5 Year Forecast'!$N$30),0)))</f>
        <v>0</v>
      </c>
      <c r="X54" s="421">
        <f>IF($J54='5 Year Forecast'!$O$5,$S54*(1+'5 Year Forecast'!$O$30),IF($J54&gt;'5 Year Forecast'!$O$5,0,IF($J54&lt;'5 Year Forecast'!$O$5,$Q54*(1+'5 Year Forecast'!$O$30),0)))</f>
        <v>0</v>
      </c>
      <c r="Y54" s="421">
        <f>IF($J54='5 Year Forecast'!$P$5,$S54*(1+'5 Year Forecast'!$P$30),IF($J54&gt;'5 Year Forecast'!$P$5,0,IF($J54&lt;'5 Year Forecast'!$P$5,$Q54*(1+'5 Year Forecast'!$P$30),0)))</f>
        <v>0</v>
      </c>
    </row>
    <row r="55" spans="2:26" ht="15" customHeight="1">
      <c r="B55" s="410">
        <v>100</v>
      </c>
      <c r="C55" s="410">
        <v>50</v>
      </c>
      <c r="D55" s="411">
        <v>503</v>
      </c>
      <c r="E55" s="597" t="s">
        <v>3501</v>
      </c>
      <c r="F55" s="413" t="s">
        <v>114</v>
      </c>
      <c r="G55" s="413" t="s">
        <v>1063</v>
      </c>
      <c r="H55" s="413" t="s">
        <v>56</v>
      </c>
      <c r="I55" s="413" t="s">
        <v>3323</v>
      </c>
      <c r="J55" s="413">
        <f>HLOOKUP($I55,'5 Year Forecast'!$L$4:$P$5,2,FALSE)</f>
        <v>2</v>
      </c>
      <c r="K55" s="414"/>
      <c r="L55" s="414">
        <v>12000</v>
      </c>
      <c r="M55" s="415">
        <f t="shared" si="32"/>
        <v>12000</v>
      </c>
      <c r="N55" s="416"/>
      <c r="O55" s="417"/>
      <c r="P55" s="416"/>
      <c r="Q55" s="415">
        <f t="shared" si="36"/>
        <v>0</v>
      </c>
      <c r="R55" s="415">
        <f t="shared" si="37"/>
        <v>0</v>
      </c>
      <c r="S55" s="415">
        <f t="shared" si="38"/>
        <v>0</v>
      </c>
      <c r="T55" s="418"/>
      <c r="U55" s="421">
        <f>IF($J55='5 Year Forecast'!$L$5,$S55*(1+'5 Year Forecast'!$L$30),IF($J55&gt;'5 Year Forecast'!$L$5,0,IF($J55&lt;'5 Year Forecast'!$L$5,$Q55*(1+'5 Year Forecast'!$L$30),0)))</f>
        <v>0</v>
      </c>
      <c r="V55" s="421">
        <f>IF($J55='5 Year Forecast'!$M$5,$S55*(1+'5 Year Forecast'!$M$30),IF($J55&gt;'5 Year Forecast'!$M$5,0,IF($J55&lt;'5 Year Forecast'!$M$5,$Q55*(1+'5 Year Forecast'!$M$30),0)))</f>
        <v>0</v>
      </c>
      <c r="W55" s="421">
        <f>IF($J55='5 Year Forecast'!$N$5,$S55*(1+'5 Year Forecast'!$N$30),IF($J55&gt;'5 Year Forecast'!$N$5,0,IF($J55&lt;'5 Year Forecast'!$N$5,$Q55*(1+'5 Year Forecast'!$N$30),0)))</f>
        <v>0</v>
      </c>
      <c r="X55" s="421">
        <f>IF($J55='5 Year Forecast'!$O$5,$S55*(1+'5 Year Forecast'!$O$30),IF($J55&gt;'5 Year Forecast'!$O$5,0,IF($J55&lt;'5 Year Forecast'!$O$5,$Q55*(1+'5 Year Forecast'!$O$30),0)))</f>
        <v>0</v>
      </c>
      <c r="Y55" s="421">
        <f>IF($J55='5 Year Forecast'!$P$5,$S55*(1+'5 Year Forecast'!$P$30),IF($J55&gt;'5 Year Forecast'!$P$5,0,IF($J55&lt;'5 Year Forecast'!$P$5,$Q55*(1+'5 Year Forecast'!$P$30),0)))</f>
        <v>0</v>
      </c>
    </row>
    <row r="56" spans="2:26" ht="15" customHeight="1">
      <c r="B56" s="410"/>
      <c r="C56" s="410"/>
      <c r="D56" s="411"/>
      <c r="E56" s="597"/>
      <c r="F56" s="413"/>
      <c r="G56" s="413"/>
      <c r="H56" s="413"/>
      <c r="I56" s="413"/>
      <c r="J56" s="413"/>
      <c r="K56" s="414"/>
      <c r="L56" s="414"/>
      <c r="M56" s="415"/>
      <c r="N56" s="416"/>
      <c r="O56" s="417"/>
      <c r="P56" s="416"/>
      <c r="Q56" s="415"/>
      <c r="R56" s="415"/>
      <c r="S56" s="415"/>
      <c r="T56" s="418"/>
      <c r="U56" s="421"/>
      <c r="V56" s="421"/>
      <c r="W56" s="421"/>
      <c r="X56" s="421"/>
      <c r="Y56" s="421"/>
    </row>
    <row r="57" spans="2:26" ht="15" customHeight="1">
      <c r="B57" s="410"/>
      <c r="C57" s="410">
        <v>50</v>
      </c>
      <c r="D57" s="411"/>
      <c r="E57" s="412" t="s">
        <v>3592</v>
      </c>
      <c r="F57" s="413" t="s">
        <v>1099</v>
      </c>
      <c r="G57" s="413"/>
      <c r="H57" s="413" t="s">
        <v>56</v>
      </c>
      <c r="I57" s="413" t="s">
        <v>3323</v>
      </c>
      <c r="J57" s="413">
        <f>HLOOKUP($I57,'5 Year Forecast'!$L$4:$P$5,2,FALSE)</f>
        <v>2</v>
      </c>
      <c r="K57" s="414">
        <v>-400000</v>
      </c>
      <c r="L57" s="415">
        <v>0</v>
      </c>
      <c r="M57" s="415">
        <f>SUM(K57:L57)</f>
        <v>-400000</v>
      </c>
      <c r="N57" s="416"/>
      <c r="O57" s="417" t="s">
        <v>46</v>
      </c>
      <c r="P57" s="416"/>
      <c r="Q57" s="415">
        <f t="shared" ref="Q57:Q61" si="39">IF($O57="Y",K57,IF($O57="N",0,$O57*K57))</f>
        <v>0</v>
      </c>
      <c r="R57" s="415">
        <f t="shared" ref="R57:R61" si="40">IF($O57="Y",L57,IF($O57="N",0,$O57*L57))</f>
        <v>0</v>
      </c>
      <c r="S57" s="415">
        <f>SUM(Q57:R57)</f>
        <v>0</v>
      </c>
      <c r="T57" s="418"/>
      <c r="U57" s="421">
        <f>IF($J57='5 Year Forecast'!$L$5,$S57*(1+'5 Year Forecast'!$L$30),IF($J57&gt;'5 Year Forecast'!$L$5,0,IF($J57&lt;'5 Year Forecast'!$L$5,$Q57*(1+'5 Year Forecast'!$L$30),0)))</f>
        <v>0</v>
      </c>
      <c r="V57" s="421">
        <f>IF($J57='5 Year Forecast'!$M$5,$S57*(1+'5 Year Forecast'!$M$30),IF($J57&gt;'5 Year Forecast'!$M$5,0,IF($J57&lt;'5 Year Forecast'!$M$5,$Q57*(1+'5 Year Forecast'!$M$30),0)))</f>
        <v>0</v>
      </c>
      <c r="W57" s="421">
        <f>IF($J57='5 Year Forecast'!$N$5,$S57*(1+'5 Year Forecast'!$N$30),IF($J57&gt;'5 Year Forecast'!$N$5,0,IF($J57&lt;'5 Year Forecast'!$N$5,$Q57*(1+'5 Year Forecast'!$N$30),0)))</f>
        <v>0</v>
      </c>
      <c r="X57" s="421">
        <f>IF($J57='5 Year Forecast'!$O$5,$S57*(1+'5 Year Forecast'!$O$30),IF($J57&gt;'5 Year Forecast'!$O$5,0,IF($J57&lt;'5 Year Forecast'!$O$5,$Q57*(1+'5 Year Forecast'!$O$30),0)))</f>
        <v>0</v>
      </c>
      <c r="Y57" s="421">
        <f>IF($J57='5 Year Forecast'!$P$5,$S57*(1+'5 Year Forecast'!$P$30),IF($J57&gt;'5 Year Forecast'!$P$5,0,IF($J57&lt;'5 Year Forecast'!$P$5,$Q57*(1+'5 Year Forecast'!$P$30),0)))</f>
        <v>0</v>
      </c>
      <c r="Z57" s="4"/>
    </row>
    <row r="58" spans="2:26" ht="15" customHeight="1">
      <c r="B58" s="410"/>
      <c r="C58" s="410">
        <v>50</v>
      </c>
      <c r="D58" s="411"/>
      <c r="E58" s="412" t="s">
        <v>3593</v>
      </c>
      <c r="F58" s="413" t="s">
        <v>1099</v>
      </c>
      <c r="G58" s="413"/>
      <c r="H58" s="413" t="s">
        <v>56</v>
      </c>
      <c r="I58" s="413" t="s">
        <v>3359</v>
      </c>
      <c r="J58" s="413">
        <f>HLOOKUP($I58,'5 Year Forecast'!$L$4:$P$5,2,FALSE)</f>
        <v>3</v>
      </c>
      <c r="K58" s="414">
        <v>0</v>
      </c>
      <c r="L58" s="415">
        <v>0</v>
      </c>
      <c r="M58" s="415">
        <f>SUM(K58:L58)</f>
        <v>0</v>
      </c>
      <c r="N58" s="416"/>
      <c r="O58" s="417" t="s">
        <v>44</v>
      </c>
      <c r="P58" s="416"/>
      <c r="Q58" s="415">
        <f t="shared" si="39"/>
        <v>0</v>
      </c>
      <c r="R58" s="415">
        <f t="shared" si="40"/>
        <v>0</v>
      </c>
      <c r="S58" s="415">
        <f>SUM(Q58:R58)</f>
        <v>0</v>
      </c>
      <c r="T58" s="418"/>
      <c r="U58" s="421">
        <f>IF($J58='5 Year Forecast'!$L$5,$S58*(1+'5 Year Forecast'!$L$30),IF($J58&gt;'5 Year Forecast'!$L$5,0,IF($J58&lt;'5 Year Forecast'!$L$5,$Q58*(1+'5 Year Forecast'!$L$30),0)))</f>
        <v>0</v>
      </c>
      <c r="V58" s="421">
        <f>IF($J58='5 Year Forecast'!$M$5,$S58*(1+'5 Year Forecast'!$M$30),IF($J58&gt;'5 Year Forecast'!$M$5,0,IF($J58&lt;'5 Year Forecast'!$M$5,$Q58*(1+'5 Year Forecast'!$M$30),0)))</f>
        <v>0</v>
      </c>
      <c r="W58" s="421">
        <f>IF($J58='5 Year Forecast'!$N$5,$S58*(1+'5 Year Forecast'!$N$30),IF($J58&gt;'5 Year Forecast'!$N$5,0,IF($J58&lt;'5 Year Forecast'!$N$5,$Q58*(1+'5 Year Forecast'!$N$30),0)))</f>
        <v>0</v>
      </c>
      <c r="X58" s="421">
        <f>IF($J58='5 Year Forecast'!$O$5,$S58*(1+'5 Year Forecast'!$O$30),IF($J58&gt;'5 Year Forecast'!$O$5,0,IF($J58&lt;'5 Year Forecast'!$O$5,$Q58*(1+'5 Year Forecast'!$O$30),0)))</f>
        <v>0</v>
      </c>
      <c r="Y58" s="421">
        <f>IF($J58='5 Year Forecast'!$P$5,$S58*(1+'5 Year Forecast'!$P$30),IF($J58&gt;'5 Year Forecast'!$P$5,0,IF($J58&lt;'5 Year Forecast'!$P$5,$Q58*(1+'5 Year Forecast'!$P$30),0)))</f>
        <v>0</v>
      </c>
      <c r="Z58" s="4"/>
    </row>
    <row r="59" spans="2:26" ht="15" customHeight="1">
      <c r="B59" s="410"/>
      <c r="C59" s="410">
        <v>50</v>
      </c>
      <c r="D59" s="411"/>
      <c r="E59" s="412" t="s">
        <v>3594</v>
      </c>
      <c r="F59" s="413" t="s">
        <v>1099</v>
      </c>
      <c r="G59" s="413"/>
      <c r="H59" s="413" t="s">
        <v>56</v>
      </c>
      <c r="I59" s="413" t="s">
        <v>3449</v>
      </c>
      <c r="J59" s="413">
        <f>HLOOKUP($I59,'5 Year Forecast'!$L$4:$P$5,2,FALSE)</f>
        <v>5</v>
      </c>
      <c r="K59" s="414"/>
      <c r="L59" s="415">
        <v>0</v>
      </c>
      <c r="M59" s="415">
        <f>SUM(K59:L59)</f>
        <v>0</v>
      </c>
      <c r="N59" s="416"/>
      <c r="O59" s="417" t="s">
        <v>46</v>
      </c>
      <c r="P59" s="416"/>
      <c r="Q59" s="415">
        <f t="shared" si="39"/>
        <v>0</v>
      </c>
      <c r="R59" s="415">
        <f t="shared" si="40"/>
        <v>0</v>
      </c>
      <c r="S59" s="415">
        <f>SUM(Q59:R59)</f>
        <v>0</v>
      </c>
      <c r="T59" s="418"/>
      <c r="U59" s="421">
        <f>IF($J59='5 Year Forecast'!$L$5,$S59*(1+'5 Year Forecast'!$L$30),IF($J59&gt;'5 Year Forecast'!$L$5,0,IF($J59&lt;'5 Year Forecast'!$L$5,$Q59*(1+'5 Year Forecast'!$L$30),0)))</f>
        <v>0</v>
      </c>
      <c r="V59" s="421">
        <f>IF($J59='5 Year Forecast'!$M$5,$S59*(1+'5 Year Forecast'!$M$30),IF($J59&gt;'5 Year Forecast'!$M$5,0,IF($J59&lt;'5 Year Forecast'!$M$5,$Q59*(1+'5 Year Forecast'!$M$30),0)))</f>
        <v>0</v>
      </c>
      <c r="W59" s="421">
        <f>IF($J59='5 Year Forecast'!$N$5,$S59*(1+'5 Year Forecast'!$N$30),IF($J59&gt;'5 Year Forecast'!$N$5,0,IF($J59&lt;'5 Year Forecast'!$N$5,$Q59*(1+'5 Year Forecast'!$N$30),0)))</f>
        <v>0</v>
      </c>
      <c r="X59" s="421">
        <f>IF($J59='5 Year Forecast'!$O$5,$S59*(1+'5 Year Forecast'!$O$30),IF($J59&gt;'5 Year Forecast'!$O$5,0,IF($J59&lt;'5 Year Forecast'!$O$5,$Q59*(1+'5 Year Forecast'!$O$30),0)))</f>
        <v>0</v>
      </c>
      <c r="Y59" s="421">
        <f>IF($J59='5 Year Forecast'!$P$5,$S59*(1+'5 Year Forecast'!$P$30),IF($J59&gt;'5 Year Forecast'!$P$5,0,IF($J59&lt;'5 Year Forecast'!$P$5,$Q59*(1+'5 Year Forecast'!$P$30),0)))</f>
        <v>0</v>
      </c>
      <c r="Z59" s="4"/>
    </row>
    <row r="60" spans="2:26" ht="15" customHeight="1">
      <c r="B60" s="410"/>
      <c r="C60" s="410">
        <v>50</v>
      </c>
      <c r="D60" s="411"/>
      <c r="E60" s="412" t="s">
        <v>3595</v>
      </c>
      <c r="F60" s="413" t="s">
        <v>1099</v>
      </c>
      <c r="G60" s="413"/>
      <c r="H60" s="413" t="s">
        <v>56</v>
      </c>
      <c r="I60" s="413" t="s">
        <v>3359</v>
      </c>
      <c r="J60" s="413">
        <f>HLOOKUP($I60,'5 Year Forecast'!$L$4:$P$5,2,FALSE)</f>
        <v>3</v>
      </c>
      <c r="K60" s="414"/>
      <c r="L60" s="415">
        <v>0</v>
      </c>
      <c r="M60" s="415">
        <f>SUM(K60:L60)</f>
        <v>0</v>
      </c>
      <c r="N60" s="416"/>
      <c r="O60" s="417" t="s">
        <v>46</v>
      </c>
      <c r="P60" s="416"/>
      <c r="Q60" s="415">
        <f t="shared" si="39"/>
        <v>0</v>
      </c>
      <c r="R60" s="415">
        <f t="shared" si="40"/>
        <v>0</v>
      </c>
      <c r="S60" s="415">
        <f>SUM(Q60:R60)</f>
        <v>0</v>
      </c>
      <c r="T60" s="418"/>
      <c r="U60" s="421">
        <f>IF($J60='5 Year Forecast'!$L$5,$S60*(1+'5 Year Forecast'!$L$30),IF($J60&gt;'5 Year Forecast'!$L$5,0,IF($J60&lt;'5 Year Forecast'!$L$5,$Q60*(1+'5 Year Forecast'!$L$30),0)))</f>
        <v>0</v>
      </c>
      <c r="V60" s="421">
        <f>IF($J60='5 Year Forecast'!$M$5,$S60*(1+'5 Year Forecast'!$M$30),IF($J60&gt;'5 Year Forecast'!$M$5,0,IF($J60&lt;'5 Year Forecast'!$M$5,$Q60*(1+'5 Year Forecast'!$M$30),0)))</f>
        <v>0</v>
      </c>
      <c r="W60" s="421">
        <f>IF($J60='5 Year Forecast'!$N$5,$S60*(1+'5 Year Forecast'!$N$30),IF($J60&gt;'5 Year Forecast'!$N$5,0,IF($J60&lt;'5 Year Forecast'!$N$5,$Q60*(1+'5 Year Forecast'!$N$30),0)))</f>
        <v>0</v>
      </c>
      <c r="X60" s="421">
        <f>IF($J60='5 Year Forecast'!$O$5,$S60*(1+'5 Year Forecast'!$O$30),IF($J60&gt;'5 Year Forecast'!$O$5,0,IF($J60&lt;'5 Year Forecast'!$O$5,$Q60*(1+'5 Year Forecast'!$O$30),0)))</f>
        <v>0</v>
      </c>
      <c r="Y60" s="421">
        <f>IF($J60='5 Year Forecast'!$P$5,$S60*(1+'5 Year Forecast'!$P$30),IF($J60&gt;'5 Year Forecast'!$P$5,0,IF($J60&lt;'5 Year Forecast'!$P$5,$Q60*(1+'5 Year Forecast'!$P$30),0)))</f>
        <v>0</v>
      </c>
      <c r="Z60" s="4"/>
    </row>
    <row r="61" spans="2:26" ht="15" customHeight="1">
      <c r="B61" s="410"/>
      <c r="C61" s="410">
        <v>50</v>
      </c>
      <c r="D61" s="411"/>
      <c r="E61" s="412" t="s">
        <v>3596</v>
      </c>
      <c r="F61" s="413" t="s">
        <v>1099</v>
      </c>
      <c r="G61" s="413"/>
      <c r="H61" s="413" t="s">
        <v>56</v>
      </c>
      <c r="I61" s="413" t="s">
        <v>3359</v>
      </c>
      <c r="J61" s="413">
        <f>HLOOKUP($I61,'5 Year Forecast'!$L$4:$P$5,2,FALSE)</f>
        <v>3</v>
      </c>
      <c r="K61" s="414"/>
      <c r="L61" s="415">
        <v>-500000</v>
      </c>
      <c r="M61" s="415">
        <f>SUM(K61:L61)</f>
        <v>-500000</v>
      </c>
      <c r="N61" s="416"/>
      <c r="O61" s="417" t="s">
        <v>46</v>
      </c>
      <c r="P61" s="416"/>
      <c r="Q61" s="415">
        <f t="shared" si="39"/>
        <v>0</v>
      </c>
      <c r="R61" s="415">
        <f t="shared" si="40"/>
        <v>0</v>
      </c>
      <c r="S61" s="415">
        <f>SUM(Q61:R61)</f>
        <v>0</v>
      </c>
      <c r="T61" s="418"/>
      <c r="U61" s="421">
        <f>IF($J61='5 Year Forecast'!$L$5,$S61*(1+'5 Year Forecast'!$L$30),IF($J61&gt;'5 Year Forecast'!$L$5,0,IF($J61&lt;'5 Year Forecast'!$L$5,$Q61*(1+'5 Year Forecast'!$L$30),0)))</f>
        <v>0</v>
      </c>
      <c r="V61" s="421">
        <f>IF($J61='5 Year Forecast'!$M$5,$S61*(1+'5 Year Forecast'!$M$30),IF($J61&gt;'5 Year Forecast'!$M$5,0,IF($J61&lt;'5 Year Forecast'!$M$5,$Q61*(1+'5 Year Forecast'!$M$30),0)))</f>
        <v>0</v>
      </c>
      <c r="W61" s="421">
        <f>IF($J61='5 Year Forecast'!$N$5,$S61*(1+'5 Year Forecast'!$N$30),IF($J61&gt;'5 Year Forecast'!$N$5,0,IF($J61&lt;'5 Year Forecast'!$N$5,$Q61*(1+'5 Year Forecast'!$N$30),0)))</f>
        <v>0</v>
      </c>
      <c r="X61" s="421">
        <f>IF($J61='5 Year Forecast'!$O$5,$S61*(1+'5 Year Forecast'!$O$30),IF($J61&gt;'5 Year Forecast'!$O$5,0,IF($J61&lt;'5 Year Forecast'!$O$5,$Q61*(1+'5 Year Forecast'!$O$30),0)))</f>
        <v>0</v>
      </c>
      <c r="Y61" s="421">
        <f>IF($J61='5 Year Forecast'!$P$5,$S61*(1+'5 Year Forecast'!$P$30),IF($J61&gt;'5 Year Forecast'!$P$5,0,IF($J61&lt;'5 Year Forecast'!$P$5,$Q61*(1+'5 Year Forecast'!$P$30),0)))</f>
        <v>0</v>
      </c>
      <c r="Z61" s="4"/>
    </row>
    <row r="62" spans="2:26" ht="15" customHeight="1">
      <c r="B62" s="410"/>
      <c r="C62" s="410"/>
      <c r="D62" s="411"/>
      <c r="E62" s="597"/>
      <c r="F62" s="413"/>
      <c r="G62" s="413"/>
      <c r="H62" s="413"/>
      <c r="I62" s="413"/>
      <c r="J62" s="413"/>
      <c r="K62" s="414"/>
      <c r="L62" s="414"/>
      <c r="M62" s="414"/>
      <c r="N62" s="416"/>
      <c r="O62" s="417"/>
      <c r="P62" s="416"/>
      <c r="Q62" s="415"/>
      <c r="R62" s="415"/>
      <c r="S62" s="415"/>
      <c r="T62" s="418"/>
      <c r="U62" s="421"/>
      <c r="V62" s="421"/>
      <c r="W62" s="421"/>
      <c r="X62" s="421"/>
      <c r="Y62" s="421"/>
    </row>
    <row r="63" spans="2:26" ht="15" customHeight="1">
      <c r="B63" s="410"/>
      <c r="C63" s="410">
        <v>50</v>
      </c>
      <c r="D63" s="411"/>
      <c r="E63" s="412" t="s">
        <v>3586</v>
      </c>
      <c r="F63" s="413" t="s">
        <v>1099</v>
      </c>
      <c r="G63" s="413"/>
      <c r="H63" s="413" t="s">
        <v>56</v>
      </c>
      <c r="I63" s="413" t="s">
        <v>3323</v>
      </c>
      <c r="J63" s="413">
        <f>HLOOKUP($I63,'5 Year Forecast'!$L$4:$P$5,2,FALSE)</f>
        <v>2</v>
      </c>
      <c r="K63" s="414">
        <v>-400000</v>
      </c>
      <c r="L63" s="415">
        <v>0</v>
      </c>
      <c r="M63" s="415">
        <f>SUM(K63:L63)</f>
        <v>-400000</v>
      </c>
      <c r="N63" s="416"/>
      <c r="O63" s="417" t="s">
        <v>46</v>
      </c>
      <c r="P63" s="416"/>
      <c r="Q63" s="415">
        <f t="shared" ref="Q63:Q67" si="41">IF($O63="Y",K63,IF($O63="N",0,$O63*K63))</f>
        <v>0</v>
      </c>
      <c r="R63" s="415">
        <f t="shared" ref="R63:R67" si="42">IF($O63="Y",L63,IF($O63="N",0,$O63*L63))</f>
        <v>0</v>
      </c>
      <c r="S63" s="415">
        <f>SUM(Q63:R63)</f>
        <v>0</v>
      </c>
      <c r="T63" s="418"/>
      <c r="U63" s="421">
        <f>IF($J63='5 Year Forecast'!$L$5,$S63*(1+'5 Year Forecast'!$L$30),IF($J63&gt;'5 Year Forecast'!$L$5,0,IF($J63&lt;'5 Year Forecast'!$L$5,$Q63*(1+'5 Year Forecast'!$L$30),0)))</f>
        <v>0</v>
      </c>
      <c r="V63" s="421">
        <f>IF($J63='5 Year Forecast'!$M$5,$S63*(1+'5 Year Forecast'!$M$30),IF($J63&gt;'5 Year Forecast'!$M$5,0,IF($J63&lt;'5 Year Forecast'!$M$5,$Q63*(1+'5 Year Forecast'!$M$30),0)))</f>
        <v>0</v>
      </c>
      <c r="W63" s="421">
        <f>IF($J63='5 Year Forecast'!$N$5,$S63*(1+'5 Year Forecast'!$N$30),IF($J63&gt;'5 Year Forecast'!$N$5,0,IF($J63&lt;'5 Year Forecast'!$N$5,$Q63*(1+'5 Year Forecast'!$N$30),0)))</f>
        <v>0</v>
      </c>
      <c r="X63" s="421">
        <f>IF($J63='5 Year Forecast'!$O$5,$S63*(1+'5 Year Forecast'!$O$30),IF($J63&gt;'5 Year Forecast'!$O$5,0,IF($J63&lt;'5 Year Forecast'!$O$5,$Q63*(1+'5 Year Forecast'!$O$30),0)))</f>
        <v>0</v>
      </c>
      <c r="Y63" s="421">
        <f>IF($J63='5 Year Forecast'!$P$5,$S63*(1+'5 Year Forecast'!$P$30),IF($J63&gt;'5 Year Forecast'!$P$5,0,IF($J63&lt;'5 Year Forecast'!$P$5,$Q63*(1+'5 Year Forecast'!$P$30),0)))</f>
        <v>0</v>
      </c>
      <c r="Z63" s="4"/>
    </row>
    <row r="64" spans="2:26" ht="15" customHeight="1">
      <c r="B64" s="410"/>
      <c r="C64" s="410">
        <v>50</v>
      </c>
      <c r="D64" s="411"/>
      <c r="E64" s="412" t="s">
        <v>3587</v>
      </c>
      <c r="F64" s="413" t="s">
        <v>1099</v>
      </c>
      <c r="G64" s="413"/>
      <c r="H64" s="413" t="s">
        <v>56</v>
      </c>
      <c r="I64" s="413" t="s">
        <v>3359</v>
      </c>
      <c r="J64" s="413">
        <f>HLOOKUP($I64,'5 Year Forecast'!$L$4:$P$5,2,FALSE)</f>
        <v>3</v>
      </c>
      <c r="K64" s="414">
        <v>0</v>
      </c>
      <c r="L64" s="415">
        <v>0</v>
      </c>
      <c r="M64" s="415">
        <f>SUM(K64:L64)</f>
        <v>0</v>
      </c>
      <c r="N64" s="416"/>
      <c r="O64" s="417" t="s">
        <v>44</v>
      </c>
      <c r="P64" s="416"/>
      <c r="Q64" s="415">
        <f t="shared" si="41"/>
        <v>0</v>
      </c>
      <c r="R64" s="415">
        <f t="shared" si="42"/>
        <v>0</v>
      </c>
      <c r="S64" s="415">
        <f>SUM(Q64:R64)</f>
        <v>0</v>
      </c>
      <c r="T64" s="418"/>
      <c r="U64" s="421">
        <f>IF($J64='5 Year Forecast'!$L$5,$S64*(1+'5 Year Forecast'!$L$30),IF($J64&gt;'5 Year Forecast'!$L$5,0,IF($J64&lt;'5 Year Forecast'!$L$5,$Q64*(1+'5 Year Forecast'!$L$30),0)))</f>
        <v>0</v>
      </c>
      <c r="V64" s="421">
        <f>IF($J64='5 Year Forecast'!$M$5,$S64*(1+'5 Year Forecast'!$M$30),IF($J64&gt;'5 Year Forecast'!$M$5,0,IF($J64&lt;'5 Year Forecast'!$M$5,$Q64*(1+'5 Year Forecast'!$M$30),0)))</f>
        <v>0</v>
      </c>
      <c r="W64" s="421">
        <f>IF($J64='5 Year Forecast'!$N$5,$S64*(1+'5 Year Forecast'!$N$30),IF($J64&gt;'5 Year Forecast'!$N$5,0,IF($J64&lt;'5 Year Forecast'!$N$5,$Q64*(1+'5 Year Forecast'!$N$30),0)))</f>
        <v>0</v>
      </c>
      <c r="X64" s="421">
        <f>IF($J64='5 Year Forecast'!$O$5,$S64*(1+'5 Year Forecast'!$O$30),IF($J64&gt;'5 Year Forecast'!$O$5,0,IF($J64&lt;'5 Year Forecast'!$O$5,$Q64*(1+'5 Year Forecast'!$O$30),0)))</f>
        <v>0</v>
      </c>
      <c r="Y64" s="421">
        <f>IF($J64='5 Year Forecast'!$P$5,$S64*(1+'5 Year Forecast'!$P$30),IF($J64&gt;'5 Year Forecast'!$P$5,0,IF($J64&lt;'5 Year Forecast'!$P$5,$Q64*(1+'5 Year Forecast'!$P$30),0)))</f>
        <v>0</v>
      </c>
      <c r="Z64" s="4"/>
    </row>
    <row r="65" spans="2:26" ht="15" customHeight="1">
      <c r="B65" s="410"/>
      <c r="C65" s="410">
        <v>50</v>
      </c>
      <c r="D65" s="411"/>
      <c r="E65" s="412" t="s">
        <v>3588</v>
      </c>
      <c r="F65" s="413" t="s">
        <v>1099</v>
      </c>
      <c r="G65" s="413"/>
      <c r="H65" s="413" t="s">
        <v>56</v>
      </c>
      <c r="I65" s="413" t="s">
        <v>3449</v>
      </c>
      <c r="J65" s="413">
        <f>HLOOKUP($I65,'5 Year Forecast'!$L$4:$P$5,2,FALSE)</f>
        <v>5</v>
      </c>
      <c r="K65" s="414"/>
      <c r="L65" s="415">
        <v>0</v>
      </c>
      <c r="M65" s="415">
        <f>SUM(K65:L65)</f>
        <v>0</v>
      </c>
      <c r="N65" s="416"/>
      <c r="O65" s="417" t="s">
        <v>46</v>
      </c>
      <c r="P65" s="416"/>
      <c r="Q65" s="415">
        <f t="shared" si="41"/>
        <v>0</v>
      </c>
      <c r="R65" s="415">
        <f t="shared" si="42"/>
        <v>0</v>
      </c>
      <c r="S65" s="415">
        <f>SUM(Q65:R65)</f>
        <v>0</v>
      </c>
      <c r="T65" s="418"/>
      <c r="U65" s="421">
        <f>IF($J65='5 Year Forecast'!$L$5,$S65*(1+'5 Year Forecast'!$L$30),IF($J65&gt;'5 Year Forecast'!$L$5,0,IF($J65&lt;'5 Year Forecast'!$L$5,$Q65*(1+'5 Year Forecast'!$L$30),0)))</f>
        <v>0</v>
      </c>
      <c r="V65" s="421">
        <f>IF($J65='5 Year Forecast'!$M$5,$S65*(1+'5 Year Forecast'!$M$30),IF($J65&gt;'5 Year Forecast'!$M$5,0,IF($J65&lt;'5 Year Forecast'!$M$5,$Q65*(1+'5 Year Forecast'!$M$30),0)))</f>
        <v>0</v>
      </c>
      <c r="W65" s="421">
        <f>IF($J65='5 Year Forecast'!$N$5,$S65*(1+'5 Year Forecast'!$N$30),IF($J65&gt;'5 Year Forecast'!$N$5,0,IF($J65&lt;'5 Year Forecast'!$N$5,$Q65*(1+'5 Year Forecast'!$N$30),0)))</f>
        <v>0</v>
      </c>
      <c r="X65" s="421">
        <f>IF($J65='5 Year Forecast'!$O$5,$S65*(1+'5 Year Forecast'!$O$30),IF($J65&gt;'5 Year Forecast'!$O$5,0,IF($J65&lt;'5 Year Forecast'!$O$5,$Q65*(1+'5 Year Forecast'!$O$30),0)))</f>
        <v>0</v>
      </c>
      <c r="Y65" s="421">
        <f>IF($J65='5 Year Forecast'!$P$5,$S65*(1+'5 Year Forecast'!$P$30),IF($J65&gt;'5 Year Forecast'!$P$5,0,IF($J65&lt;'5 Year Forecast'!$P$5,$Q65*(1+'5 Year Forecast'!$P$30),0)))</f>
        <v>0</v>
      </c>
      <c r="Z65" s="4"/>
    </row>
    <row r="66" spans="2:26" ht="15" customHeight="1">
      <c r="B66" s="410"/>
      <c r="C66" s="410">
        <v>50</v>
      </c>
      <c r="D66" s="411"/>
      <c r="E66" s="412" t="s">
        <v>3589</v>
      </c>
      <c r="F66" s="413" t="s">
        <v>1099</v>
      </c>
      <c r="G66" s="413"/>
      <c r="H66" s="413" t="s">
        <v>56</v>
      </c>
      <c r="I66" s="413" t="s">
        <v>3359</v>
      </c>
      <c r="J66" s="413">
        <f>HLOOKUP($I66,'5 Year Forecast'!$L$4:$P$5,2,FALSE)</f>
        <v>3</v>
      </c>
      <c r="K66" s="414"/>
      <c r="L66" s="415">
        <v>0</v>
      </c>
      <c r="M66" s="415">
        <f>SUM(K66:L66)</f>
        <v>0</v>
      </c>
      <c r="N66" s="416"/>
      <c r="O66" s="417" t="s">
        <v>46</v>
      </c>
      <c r="P66" s="416"/>
      <c r="Q66" s="415">
        <f t="shared" si="41"/>
        <v>0</v>
      </c>
      <c r="R66" s="415">
        <f t="shared" si="42"/>
        <v>0</v>
      </c>
      <c r="S66" s="415">
        <f>SUM(Q66:R66)</f>
        <v>0</v>
      </c>
      <c r="T66" s="418"/>
      <c r="U66" s="421">
        <f>IF($J66='5 Year Forecast'!$L$5,$S66*(1+'5 Year Forecast'!$L$30),IF($J66&gt;'5 Year Forecast'!$L$5,0,IF($J66&lt;'5 Year Forecast'!$L$5,$Q66*(1+'5 Year Forecast'!$L$30),0)))</f>
        <v>0</v>
      </c>
      <c r="V66" s="421">
        <f>IF($J66='5 Year Forecast'!$M$5,$S66*(1+'5 Year Forecast'!$M$30),IF($J66&gt;'5 Year Forecast'!$M$5,0,IF($J66&lt;'5 Year Forecast'!$M$5,$Q66*(1+'5 Year Forecast'!$M$30),0)))</f>
        <v>0</v>
      </c>
      <c r="W66" s="421">
        <f>IF($J66='5 Year Forecast'!$N$5,$S66*(1+'5 Year Forecast'!$N$30),IF($J66&gt;'5 Year Forecast'!$N$5,0,IF($J66&lt;'5 Year Forecast'!$N$5,$Q66*(1+'5 Year Forecast'!$N$30),0)))</f>
        <v>0</v>
      </c>
      <c r="X66" s="421">
        <f>IF($J66='5 Year Forecast'!$O$5,$S66*(1+'5 Year Forecast'!$O$30),IF($J66&gt;'5 Year Forecast'!$O$5,0,IF($J66&lt;'5 Year Forecast'!$O$5,$Q66*(1+'5 Year Forecast'!$O$30),0)))</f>
        <v>0</v>
      </c>
      <c r="Y66" s="421">
        <f>IF($J66='5 Year Forecast'!$P$5,$S66*(1+'5 Year Forecast'!$P$30),IF($J66&gt;'5 Year Forecast'!$P$5,0,IF($J66&lt;'5 Year Forecast'!$P$5,$Q66*(1+'5 Year Forecast'!$P$30),0)))</f>
        <v>0</v>
      </c>
      <c r="Z66" s="4"/>
    </row>
    <row r="67" spans="2:26" ht="15" customHeight="1">
      <c r="B67" s="410"/>
      <c r="C67" s="410">
        <v>50</v>
      </c>
      <c r="D67" s="411"/>
      <c r="E67" s="412" t="s">
        <v>3590</v>
      </c>
      <c r="F67" s="413" t="s">
        <v>1099</v>
      </c>
      <c r="G67" s="413"/>
      <c r="H67" s="413" t="s">
        <v>56</v>
      </c>
      <c r="I67" s="413" t="s">
        <v>3359</v>
      </c>
      <c r="J67" s="413">
        <f>HLOOKUP($I67,'5 Year Forecast'!$L$4:$P$5,2,FALSE)</f>
        <v>3</v>
      </c>
      <c r="K67" s="414"/>
      <c r="L67" s="415">
        <v>-500000</v>
      </c>
      <c r="M67" s="415">
        <f>SUM(K67:L67)</f>
        <v>-500000</v>
      </c>
      <c r="N67" s="416"/>
      <c r="O67" s="417" t="s">
        <v>46</v>
      </c>
      <c r="P67" s="416"/>
      <c r="Q67" s="415">
        <f t="shared" si="41"/>
        <v>0</v>
      </c>
      <c r="R67" s="415">
        <f t="shared" si="42"/>
        <v>0</v>
      </c>
      <c r="S67" s="415">
        <f>SUM(Q67:R67)</f>
        <v>0</v>
      </c>
      <c r="T67" s="418"/>
      <c r="U67" s="421">
        <f>IF($J67='5 Year Forecast'!$L$5,$S67*(1+'5 Year Forecast'!$L$30),IF($J67&gt;'5 Year Forecast'!$L$5,0,IF($J67&lt;'5 Year Forecast'!$L$5,$Q67*(1+'5 Year Forecast'!$L$30),0)))</f>
        <v>0</v>
      </c>
      <c r="V67" s="421">
        <f>IF($J67='5 Year Forecast'!$M$5,$S67*(1+'5 Year Forecast'!$M$30),IF($J67&gt;'5 Year Forecast'!$M$5,0,IF($J67&lt;'5 Year Forecast'!$M$5,$Q67*(1+'5 Year Forecast'!$M$30),0)))</f>
        <v>0</v>
      </c>
      <c r="W67" s="421">
        <f>IF($J67='5 Year Forecast'!$N$5,$S67*(1+'5 Year Forecast'!$N$30),IF($J67&gt;'5 Year Forecast'!$N$5,0,IF($J67&lt;'5 Year Forecast'!$N$5,$Q67*(1+'5 Year Forecast'!$N$30),0)))</f>
        <v>0</v>
      </c>
      <c r="X67" s="421">
        <f>IF($J67='5 Year Forecast'!$O$5,$S67*(1+'5 Year Forecast'!$O$30),IF($J67&gt;'5 Year Forecast'!$O$5,0,IF($J67&lt;'5 Year Forecast'!$O$5,$Q67*(1+'5 Year Forecast'!$O$30),0)))</f>
        <v>0</v>
      </c>
      <c r="Y67" s="421">
        <f>IF($J67='5 Year Forecast'!$P$5,$S67*(1+'5 Year Forecast'!$P$30),IF($J67&gt;'5 Year Forecast'!$P$5,0,IF($J67&lt;'5 Year Forecast'!$P$5,$Q67*(1+'5 Year Forecast'!$P$30),0)))</f>
        <v>0</v>
      </c>
      <c r="Z67" s="4"/>
    </row>
    <row r="68" spans="2:26" ht="15" customHeight="1">
      <c r="B68" s="410"/>
      <c r="C68" s="410"/>
      <c r="D68" s="411"/>
      <c r="E68" s="597"/>
      <c r="F68" s="413"/>
      <c r="G68" s="413"/>
      <c r="H68" s="413"/>
      <c r="I68" s="413"/>
      <c r="J68" s="413"/>
      <c r="K68" s="414"/>
      <c r="L68" s="414"/>
      <c r="M68" s="414"/>
      <c r="N68" s="416"/>
      <c r="O68" s="417"/>
      <c r="P68" s="416"/>
      <c r="Q68" s="415"/>
      <c r="R68" s="415"/>
      <c r="S68" s="415"/>
      <c r="T68" s="418"/>
      <c r="U68" s="421"/>
      <c r="V68" s="421"/>
      <c r="W68" s="421"/>
      <c r="X68" s="421"/>
      <c r="Y68" s="421"/>
    </row>
    <row r="69" spans="2:26" ht="15" customHeight="1">
      <c r="B69" s="410"/>
      <c r="C69" s="410">
        <v>50</v>
      </c>
      <c r="D69" s="411"/>
      <c r="E69" s="412" t="s">
        <v>3571</v>
      </c>
      <c r="F69" s="413" t="s">
        <v>1099</v>
      </c>
      <c r="G69" s="413"/>
      <c r="H69" s="413" t="s">
        <v>56</v>
      </c>
      <c r="I69" s="413" t="s">
        <v>3323</v>
      </c>
      <c r="J69" s="413">
        <f>HLOOKUP($I69,'5 Year Forecast'!$L$4:$P$5,2,FALSE)</f>
        <v>2</v>
      </c>
      <c r="K69" s="414"/>
      <c r="L69" s="415">
        <v>-35000</v>
      </c>
      <c r="M69" s="415">
        <f>SUM(K69:L69)</f>
        <v>-35000</v>
      </c>
      <c r="N69" s="416"/>
      <c r="O69" s="417" t="s">
        <v>46</v>
      </c>
      <c r="P69" s="416"/>
      <c r="Q69" s="415">
        <f t="shared" ref="Q69:R73" si="43">IF($O69="Y",K69,IF($O69="N",0,$O69*K69))</f>
        <v>0</v>
      </c>
      <c r="R69" s="415">
        <f t="shared" si="43"/>
        <v>0</v>
      </c>
      <c r="S69" s="415">
        <f>SUM(Q69:R69)</f>
        <v>0</v>
      </c>
      <c r="T69" s="418"/>
      <c r="U69" s="421">
        <f>IF($J69='5 Year Forecast'!$L$5,$S69*(1+'5 Year Forecast'!$L$30),IF($J69&gt;'5 Year Forecast'!$L$5,0,IF($J69&lt;'5 Year Forecast'!$L$5,$Q69*(1+'5 Year Forecast'!$L$30),0)))</f>
        <v>0</v>
      </c>
      <c r="V69" s="421">
        <f>IF($J69='5 Year Forecast'!$M$5,$S69*(1+'5 Year Forecast'!$M$30),IF($J69&gt;'5 Year Forecast'!$M$5,0,IF($J69&lt;'5 Year Forecast'!$M$5,$Q69*(1+'5 Year Forecast'!$M$30),0)))</f>
        <v>0</v>
      </c>
      <c r="W69" s="421">
        <f>IF($J69='5 Year Forecast'!$N$5,$S69*(1+'5 Year Forecast'!$N$30),IF($J69&gt;'5 Year Forecast'!$N$5,0,IF($J69&lt;'5 Year Forecast'!$N$5,$Q69*(1+'5 Year Forecast'!$N$30),0)))</f>
        <v>0</v>
      </c>
      <c r="X69" s="421">
        <f>IF($J69='5 Year Forecast'!$O$5,$S69*(1+'5 Year Forecast'!$O$30),IF($J69&gt;'5 Year Forecast'!$O$5,0,IF($J69&lt;'5 Year Forecast'!$O$5,$Q69*(1+'5 Year Forecast'!$O$30),0)))</f>
        <v>0</v>
      </c>
      <c r="Y69" s="421">
        <f>IF($J69='5 Year Forecast'!$P$5,$S69*(1+'5 Year Forecast'!$P$30),IF($J69&gt;'5 Year Forecast'!$P$5,0,IF($J69&lt;'5 Year Forecast'!$P$5,$Q69*(1+'5 Year Forecast'!$P$30),0)))</f>
        <v>0</v>
      </c>
      <c r="Z69" s="4"/>
    </row>
    <row r="70" spans="2:26" ht="15" customHeight="1">
      <c r="B70" s="410"/>
      <c r="C70" s="410">
        <v>50</v>
      </c>
      <c r="D70" s="411"/>
      <c r="E70" s="412" t="s">
        <v>3572</v>
      </c>
      <c r="F70" s="413" t="s">
        <v>1099</v>
      </c>
      <c r="G70" s="413"/>
      <c r="H70" s="413" t="s">
        <v>56</v>
      </c>
      <c r="I70" s="413" t="s">
        <v>3359</v>
      </c>
      <c r="J70" s="413">
        <f>HLOOKUP($I70,'5 Year Forecast'!$L$4:$P$5,2,FALSE)</f>
        <v>3</v>
      </c>
      <c r="K70" s="414">
        <v>0</v>
      </c>
      <c r="L70" s="415">
        <v>0</v>
      </c>
      <c r="M70" s="415">
        <f>SUM(K70:L70)</f>
        <v>0</v>
      </c>
      <c r="N70" s="416"/>
      <c r="O70" s="417" t="s">
        <v>44</v>
      </c>
      <c r="P70" s="416"/>
      <c r="Q70" s="415">
        <f t="shared" si="43"/>
        <v>0</v>
      </c>
      <c r="R70" s="415">
        <f t="shared" si="43"/>
        <v>0</v>
      </c>
      <c r="S70" s="415">
        <f>SUM(Q70:R70)</f>
        <v>0</v>
      </c>
      <c r="T70" s="418"/>
      <c r="U70" s="421">
        <f>IF($J70='5 Year Forecast'!$L$5,$S70*(1+'5 Year Forecast'!$L$30),IF($J70&gt;'5 Year Forecast'!$L$5,0,IF($J70&lt;'5 Year Forecast'!$L$5,$Q70*(1+'5 Year Forecast'!$L$30),0)))</f>
        <v>0</v>
      </c>
      <c r="V70" s="421">
        <f>IF($J70='5 Year Forecast'!$M$5,$S70*(1+'5 Year Forecast'!$M$30),IF($J70&gt;'5 Year Forecast'!$M$5,0,IF($J70&lt;'5 Year Forecast'!$M$5,$Q70*(1+'5 Year Forecast'!$M$30),0)))</f>
        <v>0</v>
      </c>
      <c r="W70" s="421">
        <f>IF($J70='5 Year Forecast'!$N$5,$S70*(1+'5 Year Forecast'!$N$30),IF($J70&gt;'5 Year Forecast'!$N$5,0,IF($J70&lt;'5 Year Forecast'!$N$5,$Q70*(1+'5 Year Forecast'!$N$30),0)))</f>
        <v>0</v>
      </c>
      <c r="X70" s="421">
        <f>IF($J70='5 Year Forecast'!$O$5,$S70*(1+'5 Year Forecast'!$O$30),IF($J70&gt;'5 Year Forecast'!$O$5,0,IF($J70&lt;'5 Year Forecast'!$O$5,$Q70*(1+'5 Year Forecast'!$O$30),0)))</f>
        <v>0</v>
      </c>
      <c r="Y70" s="421">
        <f>IF($J70='5 Year Forecast'!$P$5,$S70*(1+'5 Year Forecast'!$P$30),IF($J70&gt;'5 Year Forecast'!$P$5,0,IF($J70&lt;'5 Year Forecast'!$P$5,$Q70*(1+'5 Year Forecast'!$P$30),0)))</f>
        <v>0</v>
      </c>
      <c r="Z70" s="4"/>
    </row>
    <row r="71" spans="2:26" ht="15" customHeight="1">
      <c r="B71" s="410"/>
      <c r="C71" s="410">
        <v>50</v>
      </c>
      <c r="D71" s="411"/>
      <c r="E71" s="412" t="s">
        <v>3573</v>
      </c>
      <c r="F71" s="413" t="s">
        <v>1099</v>
      </c>
      <c r="G71" s="413"/>
      <c r="H71" s="413" t="s">
        <v>56</v>
      </c>
      <c r="I71" s="413" t="s">
        <v>3449</v>
      </c>
      <c r="J71" s="413">
        <f>HLOOKUP($I71,'5 Year Forecast'!$L$4:$P$5,2,FALSE)</f>
        <v>5</v>
      </c>
      <c r="K71" s="414"/>
      <c r="L71" s="415">
        <v>0</v>
      </c>
      <c r="M71" s="415">
        <f>SUM(K71:L71)</f>
        <v>0</v>
      </c>
      <c r="N71" s="416"/>
      <c r="O71" s="417" t="s">
        <v>46</v>
      </c>
      <c r="P71" s="416"/>
      <c r="Q71" s="415">
        <f t="shared" si="43"/>
        <v>0</v>
      </c>
      <c r="R71" s="415">
        <f t="shared" si="43"/>
        <v>0</v>
      </c>
      <c r="S71" s="415">
        <f>SUM(Q71:R71)</f>
        <v>0</v>
      </c>
      <c r="T71" s="418"/>
      <c r="U71" s="421">
        <f>IF($J71='5 Year Forecast'!$L$5,$S71*(1+'5 Year Forecast'!$L$30),IF($J71&gt;'5 Year Forecast'!$L$5,0,IF($J71&lt;'5 Year Forecast'!$L$5,$Q71*(1+'5 Year Forecast'!$L$30),0)))</f>
        <v>0</v>
      </c>
      <c r="V71" s="421">
        <f>IF($J71='5 Year Forecast'!$M$5,$S71*(1+'5 Year Forecast'!$M$30),IF($J71&gt;'5 Year Forecast'!$M$5,0,IF($J71&lt;'5 Year Forecast'!$M$5,$Q71*(1+'5 Year Forecast'!$M$30),0)))</f>
        <v>0</v>
      </c>
      <c r="W71" s="421">
        <f>IF($J71='5 Year Forecast'!$N$5,$S71*(1+'5 Year Forecast'!$N$30),IF($J71&gt;'5 Year Forecast'!$N$5,0,IF($J71&lt;'5 Year Forecast'!$N$5,$Q71*(1+'5 Year Forecast'!$N$30),0)))</f>
        <v>0</v>
      </c>
      <c r="X71" s="421">
        <f>IF($J71='5 Year Forecast'!$O$5,$S71*(1+'5 Year Forecast'!$O$30),IF($J71&gt;'5 Year Forecast'!$O$5,0,IF($J71&lt;'5 Year Forecast'!$O$5,$Q71*(1+'5 Year Forecast'!$O$30),0)))</f>
        <v>0</v>
      </c>
      <c r="Y71" s="421">
        <f>IF($J71='5 Year Forecast'!$P$5,$S71*(1+'5 Year Forecast'!$P$30),IF($J71&gt;'5 Year Forecast'!$P$5,0,IF($J71&lt;'5 Year Forecast'!$P$5,$Q71*(1+'5 Year Forecast'!$P$30),0)))</f>
        <v>0</v>
      </c>
      <c r="Z71" s="4"/>
    </row>
    <row r="72" spans="2:26" ht="15" customHeight="1">
      <c r="B72" s="410"/>
      <c r="C72" s="410">
        <v>50</v>
      </c>
      <c r="D72" s="411"/>
      <c r="E72" s="412" t="s">
        <v>3574</v>
      </c>
      <c r="F72" s="413" t="s">
        <v>1099</v>
      </c>
      <c r="G72" s="413"/>
      <c r="H72" s="413" t="s">
        <v>56</v>
      </c>
      <c r="I72" s="413" t="s">
        <v>3359</v>
      </c>
      <c r="J72" s="413">
        <f>HLOOKUP($I72,'5 Year Forecast'!$L$4:$P$5,2,FALSE)</f>
        <v>3</v>
      </c>
      <c r="K72" s="414"/>
      <c r="L72" s="415">
        <v>0</v>
      </c>
      <c r="M72" s="415">
        <f>SUM(K72:L72)</f>
        <v>0</v>
      </c>
      <c r="N72" s="416"/>
      <c r="O72" s="417" t="s">
        <v>46</v>
      </c>
      <c r="P72" s="416"/>
      <c r="Q72" s="415">
        <f t="shared" si="43"/>
        <v>0</v>
      </c>
      <c r="R72" s="415">
        <f t="shared" si="43"/>
        <v>0</v>
      </c>
      <c r="S72" s="415">
        <f>SUM(Q72:R72)</f>
        <v>0</v>
      </c>
      <c r="T72" s="418"/>
      <c r="U72" s="421">
        <f>IF($J72='5 Year Forecast'!$L$5,$S72*(1+'5 Year Forecast'!$L$30),IF($J72&gt;'5 Year Forecast'!$L$5,0,IF($J72&lt;'5 Year Forecast'!$L$5,$Q72*(1+'5 Year Forecast'!$L$30),0)))</f>
        <v>0</v>
      </c>
      <c r="V72" s="421">
        <f>IF($J72='5 Year Forecast'!$M$5,$S72*(1+'5 Year Forecast'!$M$30),IF($J72&gt;'5 Year Forecast'!$M$5,0,IF($J72&lt;'5 Year Forecast'!$M$5,$Q72*(1+'5 Year Forecast'!$M$30),0)))</f>
        <v>0</v>
      </c>
      <c r="W72" s="421">
        <f>IF($J72='5 Year Forecast'!$N$5,$S72*(1+'5 Year Forecast'!$N$30),IF($J72&gt;'5 Year Forecast'!$N$5,0,IF($J72&lt;'5 Year Forecast'!$N$5,$Q72*(1+'5 Year Forecast'!$N$30),0)))</f>
        <v>0</v>
      </c>
      <c r="X72" s="421">
        <f>IF($J72='5 Year Forecast'!$O$5,$S72*(1+'5 Year Forecast'!$O$30),IF($J72&gt;'5 Year Forecast'!$O$5,0,IF($J72&lt;'5 Year Forecast'!$O$5,$Q72*(1+'5 Year Forecast'!$O$30),0)))</f>
        <v>0</v>
      </c>
      <c r="Y72" s="421">
        <f>IF($J72='5 Year Forecast'!$P$5,$S72*(1+'5 Year Forecast'!$P$30),IF($J72&gt;'5 Year Forecast'!$P$5,0,IF($J72&lt;'5 Year Forecast'!$P$5,$Q72*(1+'5 Year Forecast'!$P$30),0)))</f>
        <v>0</v>
      </c>
      <c r="Z72" s="4"/>
    </row>
    <row r="73" spans="2:26" ht="15" customHeight="1">
      <c r="B73" s="410"/>
      <c r="C73" s="410">
        <v>50</v>
      </c>
      <c r="D73" s="411"/>
      <c r="E73" s="412" t="s">
        <v>3575</v>
      </c>
      <c r="F73" s="413" t="s">
        <v>1099</v>
      </c>
      <c r="G73" s="413"/>
      <c r="H73" s="413" t="s">
        <v>56</v>
      </c>
      <c r="I73" s="413" t="s">
        <v>3359</v>
      </c>
      <c r="J73" s="413">
        <f>HLOOKUP($I73,'5 Year Forecast'!$L$4:$P$5,2,FALSE)</f>
        <v>3</v>
      </c>
      <c r="K73" s="414"/>
      <c r="L73" s="415">
        <v>-500000</v>
      </c>
      <c r="M73" s="415">
        <f>SUM(K73:L73)</f>
        <v>-500000</v>
      </c>
      <c r="N73" s="416"/>
      <c r="O73" s="417" t="s">
        <v>46</v>
      </c>
      <c r="P73" s="416"/>
      <c r="Q73" s="415">
        <f t="shared" si="43"/>
        <v>0</v>
      </c>
      <c r="R73" s="415">
        <f t="shared" si="43"/>
        <v>0</v>
      </c>
      <c r="S73" s="415">
        <f>SUM(Q73:R73)</f>
        <v>0</v>
      </c>
      <c r="T73" s="418"/>
      <c r="U73" s="421">
        <f>IF($J73='5 Year Forecast'!$L$5,$S73*(1+'5 Year Forecast'!$L$30),IF($J73&gt;'5 Year Forecast'!$L$5,0,IF($J73&lt;'5 Year Forecast'!$L$5,$Q73*(1+'5 Year Forecast'!$L$30),0)))</f>
        <v>0</v>
      </c>
      <c r="V73" s="421">
        <f>IF($J73='5 Year Forecast'!$M$5,$S73*(1+'5 Year Forecast'!$M$30),IF($J73&gt;'5 Year Forecast'!$M$5,0,IF($J73&lt;'5 Year Forecast'!$M$5,$Q73*(1+'5 Year Forecast'!$M$30),0)))</f>
        <v>0</v>
      </c>
      <c r="W73" s="421">
        <f>IF($J73='5 Year Forecast'!$N$5,$S73*(1+'5 Year Forecast'!$N$30),IF($J73&gt;'5 Year Forecast'!$N$5,0,IF($J73&lt;'5 Year Forecast'!$N$5,$Q73*(1+'5 Year Forecast'!$N$30),0)))</f>
        <v>0</v>
      </c>
      <c r="X73" s="421">
        <f>IF($J73='5 Year Forecast'!$O$5,$S73*(1+'5 Year Forecast'!$O$30),IF($J73&gt;'5 Year Forecast'!$O$5,0,IF($J73&lt;'5 Year Forecast'!$O$5,$Q73*(1+'5 Year Forecast'!$O$30),0)))</f>
        <v>0</v>
      </c>
      <c r="Y73" s="421">
        <f>IF($J73='5 Year Forecast'!$P$5,$S73*(1+'5 Year Forecast'!$P$30),IF($J73&gt;'5 Year Forecast'!$P$5,0,IF($J73&lt;'5 Year Forecast'!$P$5,$Q73*(1+'5 Year Forecast'!$P$30),0)))</f>
        <v>0</v>
      </c>
      <c r="Z73" s="4"/>
    </row>
    <row r="74" spans="2:26" ht="15" customHeight="1">
      <c r="B74" s="410"/>
      <c r="C74" s="410"/>
      <c r="D74" s="411"/>
      <c r="E74" s="597"/>
      <c r="F74" s="413"/>
      <c r="G74" s="413"/>
      <c r="H74" s="413"/>
      <c r="I74" s="413"/>
      <c r="J74" s="413"/>
      <c r="K74" s="414"/>
      <c r="L74" s="414"/>
      <c r="M74" s="414"/>
      <c r="N74" s="416"/>
      <c r="O74" s="417"/>
      <c r="P74" s="416"/>
      <c r="Q74" s="415"/>
      <c r="R74" s="415"/>
      <c r="S74" s="415"/>
      <c r="T74" s="418"/>
      <c r="U74" s="421"/>
      <c r="V74" s="421"/>
      <c r="W74" s="421"/>
      <c r="X74" s="421"/>
      <c r="Y74" s="421"/>
    </row>
    <row r="75" spans="2:26" ht="15" customHeight="1">
      <c r="B75" s="410"/>
      <c r="C75" s="410"/>
      <c r="D75" s="411"/>
      <c r="E75" s="597"/>
      <c r="F75" s="413"/>
      <c r="G75" s="413"/>
      <c r="H75" s="413"/>
      <c r="I75" s="413"/>
      <c r="J75" s="413"/>
      <c r="K75" s="414"/>
      <c r="L75" s="414"/>
      <c r="M75" s="415"/>
      <c r="N75" s="416"/>
      <c r="O75" s="417"/>
      <c r="P75" s="416"/>
      <c r="Q75" s="415"/>
      <c r="R75" s="415"/>
      <c r="S75" s="415"/>
      <c r="T75" s="418"/>
      <c r="U75" s="421"/>
      <c r="V75" s="421"/>
      <c r="W75" s="421"/>
      <c r="X75" s="421"/>
      <c r="Y75" s="421"/>
    </row>
    <row r="76" spans="2:26" ht="15" customHeight="1">
      <c r="B76" s="410"/>
      <c r="C76" s="410">
        <v>50</v>
      </c>
      <c r="D76" s="411"/>
      <c r="E76" s="412" t="s">
        <v>3566</v>
      </c>
      <c r="F76" s="413" t="s">
        <v>1099</v>
      </c>
      <c r="G76" s="413"/>
      <c r="H76" s="413" t="s">
        <v>56</v>
      </c>
      <c r="I76" s="413" t="s">
        <v>3323</v>
      </c>
      <c r="J76" s="413">
        <f>HLOOKUP($I76,'5 Year Forecast'!$L$4:$P$5,2,FALSE)</f>
        <v>2</v>
      </c>
      <c r="K76" s="414"/>
      <c r="L76" s="415">
        <v>-35000</v>
      </c>
      <c r="M76" s="415">
        <f>SUM(K76:L76)</f>
        <v>-35000</v>
      </c>
      <c r="N76" s="416"/>
      <c r="O76" s="417" t="s">
        <v>46</v>
      </c>
      <c r="P76" s="416"/>
      <c r="Q76" s="415">
        <f t="shared" ref="Q76:R80" si="44">IF($O76="Y",K76,IF($O76="N",0,$O76*K76))</f>
        <v>0</v>
      </c>
      <c r="R76" s="415">
        <f t="shared" si="44"/>
        <v>0</v>
      </c>
      <c r="S76" s="415">
        <f>SUM(Q76:R76)</f>
        <v>0</v>
      </c>
      <c r="T76" s="418"/>
      <c r="U76" s="421">
        <f>IF($J76='5 Year Forecast'!$L$5,$S76*(1+'5 Year Forecast'!$L$30),IF($J76&gt;'5 Year Forecast'!$L$5,0,IF($J76&lt;'5 Year Forecast'!$L$5,$Q76*(1+'5 Year Forecast'!$L$30),0)))</f>
        <v>0</v>
      </c>
      <c r="V76" s="421">
        <f>IF($J76='5 Year Forecast'!$M$5,$S76*(1+'5 Year Forecast'!$M$30),IF($J76&gt;'5 Year Forecast'!$M$5,0,IF($J76&lt;'5 Year Forecast'!$M$5,$Q76*(1+'5 Year Forecast'!$M$30),0)))</f>
        <v>0</v>
      </c>
      <c r="W76" s="421">
        <f>IF($J76='5 Year Forecast'!$N$5,$S76*(1+'5 Year Forecast'!$N$30),IF($J76&gt;'5 Year Forecast'!$N$5,0,IF($J76&lt;'5 Year Forecast'!$N$5,$Q76*(1+'5 Year Forecast'!$N$30),0)))</f>
        <v>0</v>
      </c>
      <c r="X76" s="421">
        <f>IF($J76='5 Year Forecast'!$O$5,$S76*(1+'5 Year Forecast'!$O$30),IF($J76&gt;'5 Year Forecast'!$O$5,0,IF($J76&lt;'5 Year Forecast'!$O$5,$Q76*(1+'5 Year Forecast'!$O$30),0)))</f>
        <v>0</v>
      </c>
      <c r="Y76" s="421">
        <f>IF($J76='5 Year Forecast'!$P$5,$S76*(1+'5 Year Forecast'!$P$30),IF($J76&gt;'5 Year Forecast'!$P$5,0,IF($J76&lt;'5 Year Forecast'!$P$5,$Q76*(1+'5 Year Forecast'!$P$30),0)))</f>
        <v>0</v>
      </c>
      <c r="Z76" s="4"/>
    </row>
    <row r="77" spans="2:26" ht="15" customHeight="1">
      <c r="B77" s="410"/>
      <c r="C77" s="410">
        <v>50</v>
      </c>
      <c r="D77" s="411"/>
      <c r="E77" s="412" t="s">
        <v>3567</v>
      </c>
      <c r="F77" s="413" t="s">
        <v>1099</v>
      </c>
      <c r="G77" s="413"/>
      <c r="H77" s="413" t="s">
        <v>56</v>
      </c>
      <c r="I77" s="413" t="s">
        <v>3359</v>
      </c>
      <c r="J77" s="413">
        <f>HLOOKUP($I77,'5 Year Forecast'!$L$4:$P$5,2,FALSE)</f>
        <v>3</v>
      </c>
      <c r="K77" s="414">
        <v>-350000</v>
      </c>
      <c r="L77" s="415">
        <v>0</v>
      </c>
      <c r="M77" s="415">
        <f>SUM(K77:L77)</f>
        <v>-350000</v>
      </c>
      <c r="N77" s="416"/>
      <c r="O77" s="417" t="s">
        <v>46</v>
      </c>
      <c r="P77" s="416"/>
      <c r="Q77" s="415">
        <f t="shared" si="44"/>
        <v>0</v>
      </c>
      <c r="R77" s="415">
        <f t="shared" si="44"/>
        <v>0</v>
      </c>
      <c r="S77" s="415">
        <f>SUM(Q77:R77)</f>
        <v>0</v>
      </c>
      <c r="T77" s="418"/>
      <c r="U77" s="421">
        <f>IF($J77='5 Year Forecast'!$L$5,$S77*(1+'5 Year Forecast'!$L$30),IF($J77&gt;'5 Year Forecast'!$L$5,0,IF($J77&lt;'5 Year Forecast'!$L$5,$Q77*(1+'5 Year Forecast'!$L$30),0)))</f>
        <v>0</v>
      </c>
      <c r="V77" s="421">
        <f>IF($J77='5 Year Forecast'!$M$5,$S77*(1+'5 Year Forecast'!$M$30),IF($J77&gt;'5 Year Forecast'!$M$5,0,IF($J77&lt;'5 Year Forecast'!$M$5,$Q77*(1+'5 Year Forecast'!$M$30),0)))</f>
        <v>0</v>
      </c>
      <c r="W77" s="421">
        <f>IF($J77='5 Year Forecast'!$N$5,$S77*(1+'5 Year Forecast'!$N$30),IF($J77&gt;'5 Year Forecast'!$N$5,0,IF($J77&lt;'5 Year Forecast'!$N$5,$Q77*(1+'5 Year Forecast'!$N$30),0)))</f>
        <v>0</v>
      </c>
      <c r="X77" s="421">
        <f>IF($J77='5 Year Forecast'!$O$5,$S77*(1+'5 Year Forecast'!$O$30),IF($J77&gt;'5 Year Forecast'!$O$5,0,IF($J77&lt;'5 Year Forecast'!$O$5,$Q77*(1+'5 Year Forecast'!$O$30),0)))</f>
        <v>0</v>
      </c>
      <c r="Y77" s="421">
        <f>IF($J77='5 Year Forecast'!$P$5,$S77*(1+'5 Year Forecast'!$P$30),IF($J77&gt;'5 Year Forecast'!$P$5,0,IF($J77&lt;'5 Year Forecast'!$P$5,$Q77*(1+'5 Year Forecast'!$P$30),0)))</f>
        <v>0</v>
      </c>
      <c r="Z77" s="4"/>
    </row>
    <row r="78" spans="2:26" ht="15" customHeight="1">
      <c r="B78" s="410"/>
      <c r="C78" s="410">
        <v>50</v>
      </c>
      <c r="D78" s="411"/>
      <c r="E78" s="412" t="s">
        <v>3568</v>
      </c>
      <c r="F78" s="413" t="s">
        <v>1099</v>
      </c>
      <c r="G78" s="413"/>
      <c r="H78" s="413" t="s">
        <v>56</v>
      </c>
      <c r="I78" s="413" t="s">
        <v>3449</v>
      </c>
      <c r="J78" s="413">
        <f>HLOOKUP($I78,'5 Year Forecast'!$L$4:$P$5,2,FALSE)</f>
        <v>5</v>
      </c>
      <c r="K78" s="414">
        <v>-350000</v>
      </c>
      <c r="L78" s="415">
        <v>0</v>
      </c>
      <c r="M78" s="415">
        <f>SUM(K78:L78)</f>
        <v>-350000</v>
      </c>
      <c r="N78" s="416"/>
      <c r="O78" s="417" t="s">
        <v>46</v>
      </c>
      <c r="P78" s="416"/>
      <c r="Q78" s="415">
        <f t="shared" si="44"/>
        <v>0</v>
      </c>
      <c r="R78" s="415">
        <f t="shared" si="44"/>
        <v>0</v>
      </c>
      <c r="S78" s="415">
        <f>SUM(Q78:R78)</f>
        <v>0</v>
      </c>
      <c r="T78" s="418"/>
      <c r="U78" s="421">
        <f>IF($J78='5 Year Forecast'!$L$5,$S78*(1+'5 Year Forecast'!$L$30),IF($J78&gt;'5 Year Forecast'!$L$5,0,IF($J78&lt;'5 Year Forecast'!$L$5,$Q78*(1+'5 Year Forecast'!$L$30),0)))</f>
        <v>0</v>
      </c>
      <c r="V78" s="421">
        <f>IF($J78='5 Year Forecast'!$M$5,$S78*(1+'5 Year Forecast'!$M$30),IF($J78&gt;'5 Year Forecast'!$M$5,0,IF($J78&lt;'5 Year Forecast'!$M$5,$Q78*(1+'5 Year Forecast'!$M$30),0)))</f>
        <v>0</v>
      </c>
      <c r="W78" s="421">
        <f>IF($J78='5 Year Forecast'!$N$5,$S78*(1+'5 Year Forecast'!$N$30),IF($J78&gt;'5 Year Forecast'!$N$5,0,IF($J78&lt;'5 Year Forecast'!$N$5,$Q78*(1+'5 Year Forecast'!$N$30),0)))</f>
        <v>0</v>
      </c>
      <c r="X78" s="421">
        <f>IF($J78='5 Year Forecast'!$O$5,$S78*(1+'5 Year Forecast'!$O$30),IF($J78&gt;'5 Year Forecast'!$O$5,0,IF($J78&lt;'5 Year Forecast'!$O$5,$Q78*(1+'5 Year Forecast'!$O$30),0)))</f>
        <v>0</v>
      </c>
      <c r="Y78" s="421">
        <f>IF($J78='5 Year Forecast'!$P$5,$S78*(1+'5 Year Forecast'!$P$30),IF($J78&gt;'5 Year Forecast'!$P$5,0,IF($J78&lt;'5 Year Forecast'!$P$5,$Q78*(1+'5 Year Forecast'!$P$30),0)))</f>
        <v>0</v>
      </c>
      <c r="Z78" s="4"/>
    </row>
    <row r="79" spans="2:26" ht="15" customHeight="1">
      <c r="B79" s="410"/>
      <c r="C79" s="410">
        <v>50</v>
      </c>
      <c r="D79" s="411"/>
      <c r="E79" s="412" t="s">
        <v>3569</v>
      </c>
      <c r="F79" s="413" t="s">
        <v>1099</v>
      </c>
      <c r="G79" s="413"/>
      <c r="H79" s="413" t="s">
        <v>56</v>
      </c>
      <c r="I79" s="413" t="s">
        <v>3359</v>
      </c>
      <c r="J79" s="413">
        <f>HLOOKUP($I79,'5 Year Forecast'!$L$4:$P$5,2,FALSE)</f>
        <v>3</v>
      </c>
      <c r="K79" s="414">
        <v>-350000</v>
      </c>
      <c r="L79" s="415">
        <v>0</v>
      </c>
      <c r="M79" s="415">
        <f>SUM(K79:L79)</f>
        <v>-350000</v>
      </c>
      <c r="N79" s="416"/>
      <c r="O79" s="417" t="s">
        <v>46</v>
      </c>
      <c r="P79" s="416"/>
      <c r="Q79" s="415">
        <f t="shared" si="44"/>
        <v>0</v>
      </c>
      <c r="R79" s="415">
        <f t="shared" si="44"/>
        <v>0</v>
      </c>
      <c r="S79" s="415">
        <f>SUM(Q79:R79)</f>
        <v>0</v>
      </c>
      <c r="T79" s="418"/>
      <c r="U79" s="421">
        <f>IF($J79='5 Year Forecast'!$L$5,$S79*(1+'5 Year Forecast'!$L$30),IF($J79&gt;'5 Year Forecast'!$L$5,0,IF($J79&lt;'5 Year Forecast'!$L$5,$Q79*(1+'5 Year Forecast'!$L$30),0)))</f>
        <v>0</v>
      </c>
      <c r="V79" s="421">
        <f>IF($J79='5 Year Forecast'!$M$5,$S79*(1+'5 Year Forecast'!$M$30),IF($J79&gt;'5 Year Forecast'!$M$5,0,IF($J79&lt;'5 Year Forecast'!$M$5,$Q79*(1+'5 Year Forecast'!$M$30),0)))</f>
        <v>0</v>
      </c>
      <c r="W79" s="421">
        <f>IF($J79='5 Year Forecast'!$N$5,$S79*(1+'5 Year Forecast'!$N$30),IF($J79&gt;'5 Year Forecast'!$N$5,0,IF($J79&lt;'5 Year Forecast'!$N$5,$Q79*(1+'5 Year Forecast'!$N$30),0)))</f>
        <v>0</v>
      </c>
      <c r="X79" s="421">
        <f>IF($J79='5 Year Forecast'!$O$5,$S79*(1+'5 Year Forecast'!$O$30),IF($J79&gt;'5 Year Forecast'!$O$5,0,IF($J79&lt;'5 Year Forecast'!$O$5,$Q79*(1+'5 Year Forecast'!$O$30),0)))</f>
        <v>0</v>
      </c>
      <c r="Y79" s="421">
        <f>IF($J79='5 Year Forecast'!$P$5,$S79*(1+'5 Year Forecast'!$P$30),IF($J79&gt;'5 Year Forecast'!$P$5,0,IF($J79&lt;'5 Year Forecast'!$P$5,$Q79*(1+'5 Year Forecast'!$P$30),0)))</f>
        <v>0</v>
      </c>
      <c r="Z79" s="4"/>
    </row>
    <row r="80" spans="2:26" ht="15" customHeight="1">
      <c r="B80" s="410"/>
      <c r="C80" s="410">
        <v>50</v>
      </c>
      <c r="D80" s="411"/>
      <c r="E80" s="412" t="s">
        <v>3570</v>
      </c>
      <c r="F80" s="413" t="s">
        <v>1099</v>
      </c>
      <c r="G80" s="413"/>
      <c r="H80" s="413" t="s">
        <v>56</v>
      </c>
      <c r="I80" s="413" t="s">
        <v>3449</v>
      </c>
      <c r="J80" s="413">
        <f>HLOOKUP($I80,'5 Year Forecast'!$L$4:$P$5,2,FALSE)</f>
        <v>5</v>
      </c>
      <c r="K80" s="414">
        <v>-350000</v>
      </c>
      <c r="L80" s="415">
        <v>0</v>
      </c>
      <c r="M80" s="415">
        <f>SUM(K80:L80)</f>
        <v>-350000</v>
      </c>
      <c r="N80" s="416"/>
      <c r="O80" s="417" t="s">
        <v>46</v>
      </c>
      <c r="P80" s="416"/>
      <c r="Q80" s="415">
        <f t="shared" si="44"/>
        <v>0</v>
      </c>
      <c r="R80" s="415">
        <f t="shared" si="44"/>
        <v>0</v>
      </c>
      <c r="S80" s="415">
        <f>SUM(Q80:R80)</f>
        <v>0</v>
      </c>
      <c r="T80" s="418"/>
      <c r="U80" s="421">
        <f>IF($J80='5 Year Forecast'!$L$5,$S80*(1+'5 Year Forecast'!$L$30),IF($J80&gt;'5 Year Forecast'!$L$5,0,IF($J80&lt;'5 Year Forecast'!$L$5,$Q80*(1+'5 Year Forecast'!$L$30),0)))</f>
        <v>0</v>
      </c>
      <c r="V80" s="421">
        <f>IF($J80='5 Year Forecast'!$M$5,$S80*(1+'5 Year Forecast'!$M$30),IF($J80&gt;'5 Year Forecast'!$M$5,0,IF($J80&lt;'5 Year Forecast'!$M$5,$Q80*(1+'5 Year Forecast'!$M$30),0)))</f>
        <v>0</v>
      </c>
      <c r="W80" s="421">
        <f>IF($J80='5 Year Forecast'!$N$5,$S80*(1+'5 Year Forecast'!$N$30),IF($J80&gt;'5 Year Forecast'!$N$5,0,IF($J80&lt;'5 Year Forecast'!$N$5,$Q80*(1+'5 Year Forecast'!$N$30),0)))</f>
        <v>0</v>
      </c>
      <c r="X80" s="421">
        <f>IF($J80='5 Year Forecast'!$O$5,$S80*(1+'5 Year Forecast'!$O$30),IF($J80&gt;'5 Year Forecast'!$O$5,0,IF($J80&lt;'5 Year Forecast'!$O$5,$Q80*(1+'5 Year Forecast'!$O$30),0)))</f>
        <v>0</v>
      </c>
      <c r="Y80" s="421">
        <f>IF($J80='5 Year Forecast'!$P$5,$S80*(1+'5 Year Forecast'!$P$30),IF($J80&gt;'5 Year Forecast'!$P$5,0,IF($J80&lt;'5 Year Forecast'!$P$5,$Q80*(1+'5 Year Forecast'!$P$30),0)))</f>
        <v>0</v>
      </c>
      <c r="Z80" s="4"/>
    </row>
    <row r="81" spans="2:28" ht="15" customHeight="1">
      <c r="B81" s="410"/>
      <c r="C81" s="410"/>
      <c r="D81" s="411"/>
      <c r="E81" s="597"/>
      <c r="F81" s="413"/>
      <c r="G81" s="413"/>
      <c r="H81" s="413"/>
      <c r="I81" s="413"/>
      <c r="J81" s="413"/>
      <c r="K81" s="414"/>
      <c r="L81" s="414"/>
      <c r="M81" s="414"/>
      <c r="N81" s="416"/>
      <c r="O81" s="417"/>
      <c r="P81" s="416"/>
      <c r="Q81" s="415"/>
      <c r="R81" s="415"/>
      <c r="S81" s="415"/>
      <c r="T81" s="418"/>
      <c r="U81" s="421"/>
      <c r="V81" s="421"/>
      <c r="W81" s="421"/>
      <c r="X81" s="421"/>
      <c r="Y81" s="421"/>
    </row>
    <row r="82" spans="2:28" ht="15" customHeight="1">
      <c r="B82" s="410"/>
      <c r="C82" s="410"/>
      <c r="D82" s="411"/>
      <c r="E82" s="412"/>
      <c r="F82" s="413"/>
      <c r="G82" s="413"/>
      <c r="H82" s="413"/>
      <c r="I82" s="413"/>
      <c r="J82" s="413"/>
      <c r="K82" s="414">
        <v>0</v>
      </c>
      <c r="L82" s="415">
        <v>0</v>
      </c>
      <c r="M82" s="415">
        <f t="shared" ref="M82:M93" si="45">SUM(K82:L82)</f>
        <v>0</v>
      </c>
      <c r="N82" s="416"/>
      <c r="O82" s="417" t="s">
        <v>44</v>
      </c>
      <c r="P82" s="416"/>
      <c r="Q82" s="415">
        <f t="shared" ref="Q82:Q93" si="46">IF($O82="Y",K82,IF($O82="N",0,$O82*K82))</f>
        <v>0</v>
      </c>
      <c r="R82" s="415">
        <f t="shared" ref="R82:R93" si="47">IF($O82="Y",L82,IF($O82="N",0,$O82*L82))</f>
        <v>0</v>
      </c>
      <c r="S82" s="415">
        <f t="shared" ref="S82:S93" si="48">SUM(Q82:R82)</f>
        <v>0</v>
      </c>
      <c r="T82" s="418"/>
      <c r="U82" s="421">
        <f>IF($J82='5 Year Forecast'!$L$5,$S82*(1+'5 Year Forecast'!$L$30),IF($J82&gt;'5 Year Forecast'!$L$5,0,IF($J82&lt;'5 Year Forecast'!$L$5,$Q82*(1+'5 Year Forecast'!$L$30),0)))</f>
        <v>0</v>
      </c>
      <c r="V82" s="421">
        <f>IF($J82='5 Year Forecast'!$M$5,$S82*(1+'5 Year Forecast'!$M$30),IF($J82&gt;'5 Year Forecast'!$M$5,0,IF($J82&lt;'5 Year Forecast'!$M$5,$Q82*(1+'5 Year Forecast'!$M$30),0)))</f>
        <v>0</v>
      </c>
      <c r="W82" s="421">
        <f>IF($J82='5 Year Forecast'!$N$5,$S82*(1+'5 Year Forecast'!$N$30),IF($J82&gt;'5 Year Forecast'!$N$5,0,IF($J82&lt;'5 Year Forecast'!$N$5,$Q82*(1+'5 Year Forecast'!$N$30),0)))</f>
        <v>0</v>
      </c>
      <c r="X82" s="421">
        <f>IF($J82='5 Year Forecast'!$O$5,$S82*(1+'5 Year Forecast'!$O$30),IF($J82&gt;'5 Year Forecast'!$O$5,0,IF($J82&lt;'5 Year Forecast'!$O$5,$Q82*(1+'5 Year Forecast'!$O$30),0)))</f>
        <v>0</v>
      </c>
      <c r="Y82" s="421">
        <f>IF($J82='5 Year Forecast'!$P$5,$S82*(1+'5 Year Forecast'!$P$30),IF($J82&gt;'5 Year Forecast'!$P$5,0,IF($J82&lt;'5 Year Forecast'!$P$5,$Q82*(1+'5 Year Forecast'!$P$30),0)))</f>
        <v>0</v>
      </c>
      <c r="Z82" s="4"/>
    </row>
    <row r="83" spans="2:28">
      <c r="B83" s="410"/>
      <c r="C83" s="410"/>
      <c r="D83" s="411"/>
      <c r="E83" s="412"/>
      <c r="F83" s="413"/>
      <c r="G83" s="413"/>
      <c r="H83" s="413"/>
      <c r="I83" s="413"/>
      <c r="J83" s="413"/>
      <c r="K83" s="414"/>
      <c r="L83" s="415"/>
      <c r="M83" s="415"/>
      <c r="N83" s="416"/>
      <c r="O83" s="417"/>
      <c r="P83" s="416"/>
      <c r="Q83" s="415"/>
      <c r="R83" s="415"/>
      <c r="S83" s="415"/>
      <c r="T83" s="418"/>
      <c r="U83" s="421">
        <f>IF($J83='5 Year Forecast'!$L$5,$S83*(1+'5 Year Forecast'!$L$30),IF($J83&gt;'5 Year Forecast'!$L$5,0,IF($J83&lt;'5 Year Forecast'!$L$5,$Q83*(1+'5 Year Forecast'!$L$30),0)))</f>
        <v>0</v>
      </c>
      <c r="V83" s="421">
        <f>IF($J83='5 Year Forecast'!$M$5,$S83*(1+'5 Year Forecast'!$M$30),IF($J83&gt;'5 Year Forecast'!$M$5,0,IF($J83&lt;'5 Year Forecast'!$M$5,$Q83*(1+'5 Year Forecast'!$M$30),0)))</f>
        <v>0</v>
      </c>
      <c r="W83" s="421">
        <f>IF($J83='5 Year Forecast'!$N$5,$S83*(1+'5 Year Forecast'!$N$30),IF($J83&gt;'5 Year Forecast'!$N$5,0,IF($J83&lt;'5 Year Forecast'!$N$5,$Q83*(1+'5 Year Forecast'!$N$30),0)))</f>
        <v>0</v>
      </c>
      <c r="X83" s="421">
        <f>IF($J83='5 Year Forecast'!$O$5,$S83*(1+'5 Year Forecast'!$O$30),IF($J83&gt;'5 Year Forecast'!$O$5,0,IF($J83&lt;'5 Year Forecast'!$O$5,$Q83*(1+'5 Year Forecast'!$O$30),0)))</f>
        <v>0</v>
      </c>
      <c r="Y83" s="421">
        <f>IF($J83='5 Year Forecast'!$P$5,$S83*(1+'5 Year Forecast'!$P$30),IF($J83&gt;'5 Year Forecast'!$P$5,0,IF($J83&lt;'5 Year Forecast'!$P$5,$Q83*(1+'5 Year Forecast'!$P$30),0)))</f>
        <v>0</v>
      </c>
    </row>
    <row r="84" spans="2:28" ht="15" customHeight="1">
      <c r="B84" s="410"/>
      <c r="C84" s="410">
        <v>50</v>
      </c>
      <c r="D84" s="411"/>
      <c r="E84" s="412" t="s">
        <v>3560</v>
      </c>
      <c r="F84" s="413" t="s">
        <v>1099</v>
      </c>
      <c r="G84" s="413"/>
      <c r="H84" s="413" t="s">
        <v>56</v>
      </c>
      <c r="I84" s="413" t="s">
        <v>3449</v>
      </c>
      <c r="J84" s="413">
        <f>HLOOKUP($I84,'5 Year Forecast'!$L$4:$P$5,2,FALSE)</f>
        <v>5</v>
      </c>
      <c r="K84" s="414">
        <v>650000</v>
      </c>
      <c r="L84" s="415">
        <v>350000</v>
      </c>
      <c r="M84" s="415">
        <f t="shared" ref="M84" si="49">SUM(K84:L84)</f>
        <v>1000000</v>
      </c>
      <c r="N84" s="416"/>
      <c r="O84" s="417" t="s">
        <v>46</v>
      </c>
      <c r="P84" s="416"/>
      <c r="Q84" s="415">
        <f t="shared" ref="Q84" si="50">IF($O84="Y",K84,IF($O84="N",0,$O84*K84))</f>
        <v>0</v>
      </c>
      <c r="R84" s="415">
        <f t="shared" ref="R84" si="51">IF($O84="Y",L84,IF($O84="N",0,$O84*L84))</f>
        <v>0</v>
      </c>
      <c r="S84" s="415">
        <f t="shared" ref="S84" si="52">SUM(Q84:R84)</f>
        <v>0</v>
      </c>
      <c r="T84" s="418"/>
      <c r="U84" s="421">
        <f>IF($J84='5 Year Forecast'!$L$5,$S84*(1+'5 Year Forecast'!$L$30),IF($J84&gt;'5 Year Forecast'!$L$5,0,IF($J84&lt;'5 Year Forecast'!$L$5,$Q84*(1+'5 Year Forecast'!$L$30),0)))</f>
        <v>0</v>
      </c>
      <c r="V84" s="421">
        <f>IF($J84='5 Year Forecast'!$M$5,$S84*(1+'5 Year Forecast'!$M$30),IF($J84&gt;'5 Year Forecast'!$M$5,0,IF($J84&lt;'5 Year Forecast'!$M$5,$Q84*(1+'5 Year Forecast'!$M$30),0)))</f>
        <v>0</v>
      </c>
      <c r="W84" s="421">
        <f>IF($J84='5 Year Forecast'!$N$5,$S84*(1+'5 Year Forecast'!$N$30),IF($J84&gt;'5 Year Forecast'!$N$5,0,IF($J84&lt;'5 Year Forecast'!$N$5,$Q84*(1+'5 Year Forecast'!$N$30),0)))</f>
        <v>0</v>
      </c>
      <c r="X84" s="421">
        <f>IF($J84='5 Year Forecast'!$O$5,$S84*(1+'5 Year Forecast'!$O$30),IF($J84&gt;'5 Year Forecast'!$O$5,0,IF($J84&lt;'5 Year Forecast'!$O$5,$Q84*(1+'5 Year Forecast'!$O$30),0)))</f>
        <v>0</v>
      </c>
      <c r="Y84" s="421">
        <f>IF($J84='5 Year Forecast'!$P$5,$S84*(1+'5 Year Forecast'!$P$30),IF($J84&gt;'5 Year Forecast'!$P$5,0,IF($J84&lt;'5 Year Forecast'!$P$5,$Q84*(1+'5 Year Forecast'!$P$30),0)))</f>
        <v>0</v>
      </c>
    </row>
    <row r="85" spans="2:28" ht="15" customHeight="1">
      <c r="B85" s="410"/>
      <c r="C85" s="410">
        <v>50</v>
      </c>
      <c r="D85" s="411"/>
      <c r="E85" s="412"/>
      <c r="F85" s="413" t="s">
        <v>1099</v>
      </c>
      <c r="G85" s="413"/>
      <c r="H85" s="413" t="s">
        <v>56</v>
      </c>
      <c r="I85" s="413" t="s">
        <v>3323</v>
      </c>
      <c r="J85" s="413">
        <f>HLOOKUP($I85,'5 Year Forecast'!$L$4:$P$5,2,FALSE)</f>
        <v>2</v>
      </c>
      <c r="K85" s="414">
        <v>0</v>
      </c>
      <c r="L85" s="415">
        <v>0</v>
      </c>
      <c r="M85" s="415">
        <f t="shared" ref="M85" si="53">SUM(K85:L85)</f>
        <v>0</v>
      </c>
      <c r="N85" s="416"/>
      <c r="O85" s="417" t="s">
        <v>44</v>
      </c>
      <c r="P85" s="416"/>
      <c r="Q85" s="415">
        <f t="shared" ref="Q85" si="54">IF($O85="Y",K85,IF($O85="N",0,$O85*K85))</f>
        <v>0</v>
      </c>
      <c r="R85" s="415">
        <f t="shared" ref="R85" si="55">IF($O85="Y",L85,IF($O85="N",0,$O85*L85))</f>
        <v>0</v>
      </c>
      <c r="S85" s="415">
        <f t="shared" ref="S85" si="56">SUM(Q85:R85)</f>
        <v>0</v>
      </c>
      <c r="T85" s="418"/>
      <c r="U85" s="421">
        <f>IF($J85='5 Year Forecast'!$L$5,$S85*(1+'5 Year Forecast'!$L$30),IF($J85&gt;'5 Year Forecast'!$L$5,0,IF($J85&lt;'5 Year Forecast'!$L$5,$Q85*(1+'5 Year Forecast'!$L$30),0)))</f>
        <v>0</v>
      </c>
      <c r="V85" s="421">
        <f>IF($J85='5 Year Forecast'!$M$5,$S85*(1+'5 Year Forecast'!$M$30),IF($J85&gt;'5 Year Forecast'!$M$5,0,IF($J85&lt;'5 Year Forecast'!$M$5,$Q85*(1+'5 Year Forecast'!$M$30),0)))</f>
        <v>0</v>
      </c>
      <c r="W85" s="421">
        <f>IF($J85='5 Year Forecast'!$N$5,$S85*(1+'5 Year Forecast'!$N$30),IF($J85&gt;'5 Year Forecast'!$N$5,0,IF($J85&lt;'5 Year Forecast'!$N$5,$Q85*(1+'5 Year Forecast'!$N$30),0)))</f>
        <v>0</v>
      </c>
      <c r="X85" s="421">
        <f>IF($J85='5 Year Forecast'!$O$5,$S85*(1+'5 Year Forecast'!$O$30),IF($J85&gt;'5 Year Forecast'!$O$5,0,IF($J85&lt;'5 Year Forecast'!$O$5,$Q85*(1+'5 Year Forecast'!$O$30),0)))</f>
        <v>0</v>
      </c>
      <c r="Y85" s="421">
        <f>IF($J85='5 Year Forecast'!$P$5,$S85*(1+'5 Year Forecast'!$P$30),IF($J85&gt;'5 Year Forecast'!$P$5,0,IF($J85&lt;'5 Year Forecast'!$P$5,$Q85*(1+'5 Year Forecast'!$P$30),0)))</f>
        <v>0</v>
      </c>
    </row>
    <row r="86" spans="2:28" ht="15" customHeight="1">
      <c r="B86" s="410"/>
      <c r="C86" s="410">
        <v>50</v>
      </c>
      <c r="D86" s="411"/>
      <c r="E86" s="412" t="s">
        <v>3360</v>
      </c>
      <c r="F86" s="413" t="s">
        <v>1099</v>
      </c>
      <c r="G86" s="413"/>
      <c r="H86" s="413" t="s">
        <v>56</v>
      </c>
      <c r="I86" s="413" t="s">
        <v>3359</v>
      </c>
      <c r="J86" s="413">
        <f>HLOOKUP($I86,'5 Year Forecast'!$L$4:$P$5,2,FALSE)</f>
        <v>3</v>
      </c>
      <c r="K86" s="414">
        <v>0</v>
      </c>
      <c r="L86" s="415">
        <v>0</v>
      </c>
      <c r="M86" s="415">
        <f t="shared" si="45"/>
        <v>0</v>
      </c>
      <c r="N86" s="416"/>
      <c r="O86" s="417" t="s">
        <v>44</v>
      </c>
      <c r="P86" s="416"/>
      <c r="Q86" s="415">
        <f t="shared" si="46"/>
        <v>0</v>
      </c>
      <c r="R86" s="415">
        <f t="shared" si="47"/>
        <v>0</v>
      </c>
      <c r="S86" s="415">
        <f t="shared" si="48"/>
        <v>0</v>
      </c>
      <c r="T86" s="418"/>
      <c r="U86" s="421">
        <f>IF($J86='5 Year Forecast'!$L$5,$S86*(1+'5 Year Forecast'!$L$30),IF($J86&gt;'5 Year Forecast'!$L$5,0,IF($J86&lt;'5 Year Forecast'!$L$5,$Q86*(1+'5 Year Forecast'!$L$30),0)))</f>
        <v>0</v>
      </c>
      <c r="V86" s="421">
        <f>IF($J86='5 Year Forecast'!$M$5,$S86*(1+'5 Year Forecast'!$M$30),IF($J86&gt;'5 Year Forecast'!$M$5,0,IF($J86&lt;'5 Year Forecast'!$M$5,$Q86*(1+'5 Year Forecast'!$M$30),0)))</f>
        <v>0</v>
      </c>
      <c r="W86" s="421">
        <f>IF($J86='5 Year Forecast'!$N$5,$S86*(1+'5 Year Forecast'!$N$30),IF($J86&gt;'5 Year Forecast'!$N$5,0,IF($J86&lt;'5 Year Forecast'!$N$5,$Q86*(1+'5 Year Forecast'!$N$30),0)))</f>
        <v>0</v>
      </c>
      <c r="X86" s="421">
        <f>IF($J86='5 Year Forecast'!$O$5,$S86*(1+'5 Year Forecast'!$O$30),IF($J86&gt;'5 Year Forecast'!$O$5,0,IF($J86&lt;'5 Year Forecast'!$O$5,$Q86*(1+'5 Year Forecast'!$O$30),0)))</f>
        <v>0</v>
      </c>
      <c r="Y86" s="421">
        <f>IF($J86='5 Year Forecast'!$P$5,$S86*(1+'5 Year Forecast'!$P$30),IF($J86&gt;'5 Year Forecast'!$P$5,0,IF($J86&lt;'5 Year Forecast'!$P$5,$Q86*(1+'5 Year Forecast'!$P$30),0)))</f>
        <v>0</v>
      </c>
    </row>
    <row r="87" spans="2:28" ht="15" customHeight="1">
      <c r="B87" s="410"/>
      <c r="C87" s="410">
        <v>50</v>
      </c>
      <c r="D87" s="411"/>
      <c r="E87" s="563" t="s">
        <v>1100</v>
      </c>
      <c r="F87" s="413" t="s">
        <v>1099</v>
      </c>
      <c r="G87" s="413"/>
      <c r="H87" s="413" t="s">
        <v>56</v>
      </c>
      <c r="I87" s="413" t="s">
        <v>1209</v>
      </c>
      <c r="J87" s="413">
        <f>HLOOKUP($I87,'5 Year Forecast'!$L$4:$P$5,2,FALSE)</f>
        <v>1</v>
      </c>
      <c r="K87" s="482">
        <v>332750</v>
      </c>
      <c r="L87" s="415">
        <v>0</v>
      </c>
      <c r="M87" s="415">
        <f t="shared" si="45"/>
        <v>332750</v>
      </c>
      <c r="N87" s="416"/>
      <c r="O87" s="417" t="s">
        <v>44</v>
      </c>
      <c r="P87" s="416"/>
      <c r="Q87" s="415">
        <f t="shared" si="46"/>
        <v>332750</v>
      </c>
      <c r="R87" s="415">
        <f t="shared" si="47"/>
        <v>0</v>
      </c>
      <c r="S87" s="415">
        <f t="shared" si="48"/>
        <v>332750</v>
      </c>
      <c r="T87" s="418"/>
      <c r="U87" s="421">
        <f>IF($J87='5 Year Forecast'!$L$5,$S87*(1+'5 Year Forecast'!$L$30),IF($J87&gt;'5 Year Forecast'!$L$5,0,IF($J87&lt;'5 Year Forecast'!$L$5,$Q87*(1+'5 Year Forecast'!$L$30),0)))-302500</f>
        <v>30250</v>
      </c>
      <c r="V87" s="421">
        <f>U87*1.1</f>
        <v>33275</v>
      </c>
      <c r="W87" s="421">
        <f>V87*1.1+V87</f>
        <v>69877.5</v>
      </c>
      <c r="X87" s="421">
        <f>W87*1.1+V87</f>
        <v>110140.25</v>
      </c>
      <c r="Y87" s="421">
        <f t="shared" ref="Y87" si="57">X87*1.1</f>
        <v>121154.27500000001</v>
      </c>
      <c r="Z87" s="4"/>
      <c r="AB87" s="76"/>
    </row>
    <row r="88" spans="2:28" ht="15" customHeight="1">
      <c r="B88" s="410"/>
      <c r="C88" s="410">
        <v>50</v>
      </c>
      <c r="D88" s="411"/>
      <c r="E88" s="412"/>
      <c r="F88" s="413" t="s">
        <v>1099</v>
      </c>
      <c r="G88" s="413"/>
      <c r="H88" s="413" t="s">
        <v>56</v>
      </c>
      <c r="I88" s="413" t="s">
        <v>3323</v>
      </c>
      <c r="J88" s="413">
        <f>HLOOKUP($I88,'5 Year Forecast'!$L$4:$P$5,2,FALSE)</f>
        <v>2</v>
      </c>
      <c r="K88" s="414">
        <v>0</v>
      </c>
      <c r="L88" s="415">
        <v>0</v>
      </c>
      <c r="M88" s="415">
        <f t="shared" si="45"/>
        <v>0</v>
      </c>
      <c r="N88" s="416"/>
      <c r="O88" s="417" t="s">
        <v>44</v>
      </c>
      <c r="P88" s="416"/>
      <c r="Q88" s="415">
        <f t="shared" si="46"/>
        <v>0</v>
      </c>
      <c r="R88" s="415">
        <f t="shared" si="47"/>
        <v>0</v>
      </c>
      <c r="S88" s="415">
        <f t="shared" si="48"/>
        <v>0</v>
      </c>
      <c r="T88" s="418"/>
      <c r="U88" s="421">
        <f>IF($J88='5 Year Forecast'!$L$5,$S88*(1+'5 Year Forecast'!$L$30),IF($J88&gt;'5 Year Forecast'!$L$5,0,IF($J88&lt;'5 Year Forecast'!$L$5,$Q88*(1+'5 Year Forecast'!$L$30),0)))</f>
        <v>0</v>
      </c>
      <c r="V88" s="421">
        <f>IF($J88='5 Year Forecast'!$M$5,$S88*(1+'5 Year Forecast'!$M$30),IF($J88&gt;'5 Year Forecast'!$M$5,0,IF($J88&lt;'5 Year Forecast'!$M$5,$Q88*(1+'5 Year Forecast'!$M$30),0)))</f>
        <v>0</v>
      </c>
      <c r="W88" s="421">
        <f>IF($J88='5 Year Forecast'!$N$5,$S88*(1+'5 Year Forecast'!$N$30),IF($J88&gt;'5 Year Forecast'!$N$5,0,IF($J88&lt;'5 Year Forecast'!$N$5,$Q88*(1+'5 Year Forecast'!$N$30),0)))</f>
        <v>0</v>
      </c>
      <c r="X88" s="421">
        <f>IF($J88='5 Year Forecast'!$O$5,$S88*(1+'5 Year Forecast'!$O$30),IF($J88&gt;'5 Year Forecast'!$O$5,0,IF($J88&lt;'5 Year Forecast'!$O$5,$Q88*(1+'5 Year Forecast'!$O$30),0)))</f>
        <v>0</v>
      </c>
      <c r="Y88" s="421">
        <f>IF($J88='5 Year Forecast'!$P$5,$S88*(1+'5 Year Forecast'!$P$30),IF($J88&gt;'5 Year Forecast'!$P$5,0,IF($J88&lt;'5 Year Forecast'!$P$5,$Q88*(1+'5 Year Forecast'!$P$30),0)))</f>
        <v>0</v>
      </c>
      <c r="Z88" s="4"/>
    </row>
    <row r="89" spans="2:28" ht="15" customHeight="1">
      <c r="B89" s="410"/>
      <c r="C89" s="410">
        <v>50</v>
      </c>
      <c r="D89" s="411"/>
      <c r="E89" s="412" t="s">
        <v>3518</v>
      </c>
      <c r="F89" s="413" t="s">
        <v>1099</v>
      </c>
      <c r="G89" s="413"/>
      <c r="H89" s="413" t="s">
        <v>56</v>
      </c>
      <c r="I89" s="413" t="s">
        <v>1209</v>
      </c>
      <c r="J89" s="413">
        <f>HLOOKUP($I89,'5 Year Forecast'!$L$4:$P$5,2,FALSE)</f>
        <v>1</v>
      </c>
      <c r="K89" s="414">
        <v>0</v>
      </c>
      <c r="L89" s="415">
        <v>1500000</v>
      </c>
      <c r="M89" s="415">
        <f t="shared" ref="M89" si="58">SUM(K89:L89)</f>
        <v>1500000</v>
      </c>
      <c r="N89" s="416"/>
      <c r="O89" s="417" t="s">
        <v>46</v>
      </c>
      <c r="P89" s="416"/>
      <c r="Q89" s="415">
        <f t="shared" ref="Q89" si="59">IF($O89="Y",K89,IF($O89="N",0,$O89*K89))</f>
        <v>0</v>
      </c>
      <c r="R89" s="415">
        <f t="shared" si="47"/>
        <v>0</v>
      </c>
      <c r="S89" s="415">
        <f t="shared" ref="S89" si="60">SUM(Q89:R89)</f>
        <v>0</v>
      </c>
      <c r="T89" s="418"/>
      <c r="U89" s="421">
        <f>IF($J89='5 Year Forecast'!$L$5,$S89*(1+'5 Year Forecast'!$L$30),IF($J89&gt;'5 Year Forecast'!$L$5,0,IF($J89&lt;'5 Year Forecast'!$L$5,$Q89*(1+'5 Year Forecast'!$L$30),0)))</f>
        <v>0</v>
      </c>
      <c r="V89" s="421">
        <f>IF($J89='5 Year Forecast'!$M$5,$S89*(1+'5 Year Forecast'!$M$30),IF($J89&gt;'5 Year Forecast'!$M$5,0,IF($J89&lt;'5 Year Forecast'!$M$5,$Q89*(1+'5 Year Forecast'!$M$30),0)))</f>
        <v>0</v>
      </c>
      <c r="W89" s="421">
        <f>IF($J89='5 Year Forecast'!$N$5,$S89*(1+'5 Year Forecast'!$N$30),IF($J89&gt;'5 Year Forecast'!$N$5,0,IF($J89&lt;'5 Year Forecast'!$N$5,$Q89*(1+'5 Year Forecast'!$N$30),0)))</f>
        <v>0</v>
      </c>
      <c r="X89" s="421">
        <f>IF($J89='5 Year Forecast'!$O$5,$S89*(1+'5 Year Forecast'!$O$30),IF($J89&gt;'5 Year Forecast'!$O$5,0,IF($J89&lt;'5 Year Forecast'!$O$5,$Q89*(1+'5 Year Forecast'!$O$30),0)))</f>
        <v>0</v>
      </c>
      <c r="Y89" s="421">
        <f>IF($J89='5 Year Forecast'!$P$5,$S89*(1+'5 Year Forecast'!$P$30),IF($J89&gt;'5 Year Forecast'!$P$5,0,IF($J89&lt;'5 Year Forecast'!$P$5,$Q89*(1+'5 Year Forecast'!$P$30),0)))</f>
        <v>0</v>
      </c>
      <c r="Z89" s="4"/>
    </row>
    <row r="90" spans="2:28" ht="15" customHeight="1">
      <c r="B90" s="410"/>
      <c r="C90" s="410">
        <v>50</v>
      </c>
      <c r="D90" s="411"/>
      <c r="E90" s="412"/>
      <c r="F90" s="413" t="s">
        <v>1099</v>
      </c>
      <c r="G90" s="413"/>
      <c r="H90" s="413" t="s">
        <v>56</v>
      </c>
      <c r="I90" s="413" t="s">
        <v>3323</v>
      </c>
      <c r="J90" s="413">
        <f>HLOOKUP($I90,'5 Year Forecast'!$L$4:$P$5,2,FALSE)</f>
        <v>2</v>
      </c>
      <c r="K90" s="414">
        <v>0</v>
      </c>
      <c r="L90" s="415">
        <v>0</v>
      </c>
      <c r="M90" s="415">
        <f t="shared" si="45"/>
        <v>0</v>
      </c>
      <c r="N90" s="416"/>
      <c r="O90" s="417" t="s">
        <v>46</v>
      </c>
      <c r="P90" s="416"/>
      <c r="Q90" s="415">
        <f t="shared" si="46"/>
        <v>0</v>
      </c>
      <c r="R90" s="415">
        <f t="shared" si="47"/>
        <v>0</v>
      </c>
      <c r="S90" s="415">
        <f t="shared" si="48"/>
        <v>0</v>
      </c>
      <c r="T90" s="418"/>
      <c r="U90" s="421">
        <f>IF($J90='5 Year Forecast'!$L$5,$S90*(1+'5 Year Forecast'!$L$30),IF($J90&gt;'5 Year Forecast'!$L$5,0,IF($J90&lt;'5 Year Forecast'!$L$5,$Q90*(1+'5 Year Forecast'!$L$30),0)))</f>
        <v>0</v>
      </c>
      <c r="V90" s="421">
        <f>IF($J90='5 Year Forecast'!$M$5,$S90*(1+'5 Year Forecast'!$M$30),IF($J90&gt;'5 Year Forecast'!$M$5,0,IF($J90&lt;'5 Year Forecast'!$M$5,$Q90*(1+'5 Year Forecast'!$M$30),0)))</f>
        <v>0</v>
      </c>
      <c r="W90" s="421">
        <f>IF($J90='5 Year Forecast'!$N$5,$S90*(1+'5 Year Forecast'!$N$30),IF($J90&gt;'5 Year Forecast'!$N$5,0,IF($J90&lt;'5 Year Forecast'!$N$5,$Q90*(1+'5 Year Forecast'!$N$30),0)))</f>
        <v>0</v>
      </c>
      <c r="X90" s="421">
        <f>IF($J90='5 Year Forecast'!$O$5,$S90*(1+'5 Year Forecast'!$O$30),IF($J90&gt;'5 Year Forecast'!$O$5,0,IF($J90&lt;'5 Year Forecast'!$O$5,$Q90*(1+'5 Year Forecast'!$O$30),0)))</f>
        <v>0</v>
      </c>
      <c r="Y90" s="421">
        <f>IF($J90='5 Year Forecast'!$P$5,$S90*(1+'5 Year Forecast'!$P$30),IF($J90&gt;'5 Year Forecast'!$P$5,0,IF($J90&lt;'5 Year Forecast'!$P$5,$Q90*(1+'5 Year Forecast'!$P$30),0)))</f>
        <v>0</v>
      </c>
      <c r="Z90" s="4"/>
    </row>
    <row r="92" spans="2:28" ht="15" customHeight="1">
      <c r="B92" s="410"/>
      <c r="C92" s="410">
        <v>50</v>
      </c>
      <c r="D92" s="411"/>
      <c r="E92" s="412" t="s">
        <v>3508</v>
      </c>
      <c r="F92" s="413" t="s">
        <v>1099</v>
      </c>
      <c r="G92" s="413"/>
      <c r="H92" s="413" t="s">
        <v>56</v>
      </c>
      <c r="I92" s="413" t="s">
        <v>3359</v>
      </c>
      <c r="J92" s="413">
        <f>HLOOKUP($I92,'5 Year Forecast'!$L$4:$P$5,2,FALSE)</f>
        <v>3</v>
      </c>
      <c r="K92" s="414">
        <v>0</v>
      </c>
      <c r="L92" s="415">
        <v>500000</v>
      </c>
      <c r="M92" s="415">
        <f t="shared" ref="M92" si="61">SUM(K92:L92)</f>
        <v>500000</v>
      </c>
      <c r="N92" s="416"/>
      <c r="O92" s="417" t="s">
        <v>44</v>
      </c>
      <c r="P92" s="416"/>
      <c r="Q92" s="415">
        <f t="shared" ref="Q92" si="62">IF($O92="Y",K92,IF($O92="N",0,$O92*K92))</f>
        <v>0</v>
      </c>
      <c r="R92" s="415">
        <f t="shared" ref="R92" si="63">IF($O92="Y",L92,IF($O92="N",0,$O92*L92))</f>
        <v>500000</v>
      </c>
      <c r="S92" s="415">
        <f t="shared" ref="S92" si="64">SUM(Q92:R92)</f>
        <v>500000</v>
      </c>
      <c r="T92" s="418"/>
      <c r="U92" s="421">
        <f>IF($J92='5 Year Forecast'!$L$5,$S92*(1+'5 Year Forecast'!$L$30),IF($J92&gt;'5 Year Forecast'!$L$5,0,IF($J92&lt;'5 Year Forecast'!$L$5,$Q92*(1+'5 Year Forecast'!$L$30),0)))</f>
        <v>0</v>
      </c>
      <c r="V92" s="421">
        <f>IF($J92='5 Year Forecast'!$M$5,$S92*(1+'5 Year Forecast'!$M$30),IF($J92&gt;'5 Year Forecast'!$M$5,0,IF($J92&lt;'5 Year Forecast'!$M$5,$Q92*(1+'5 Year Forecast'!$M$30),0)))</f>
        <v>0</v>
      </c>
      <c r="W92" s="421">
        <f>IF($J92='5 Year Forecast'!$N$5,$S92*(1+'5 Year Forecast'!$N$30),IF($J92&gt;'5 Year Forecast'!$N$5,0,IF($J92&lt;'5 Year Forecast'!$N$5,$Q92*(1+'5 Year Forecast'!$N$30),0)))</f>
        <v>500000</v>
      </c>
      <c r="X92" s="421">
        <f>IF($J92='5 Year Forecast'!$O$5,$S92*(1+'5 Year Forecast'!$O$30),IF($J92&gt;'5 Year Forecast'!$O$5,0,IF($J92&lt;'5 Year Forecast'!$O$5,$Q92*(1+'5 Year Forecast'!$O$30),0)))</f>
        <v>0</v>
      </c>
      <c r="Y92" s="421">
        <f>IF($J92='5 Year Forecast'!$P$5,$S92*(1+'5 Year Forecast'!$P$30),IF($J92&gt;'5 Year Forecast'!$P$5,0,IF($J92&lt;'5 Year Forecast'!$P$5,$Q92*(1+'5 Year Forecast'!$P$30),0)))</f>
        <v>0</v>
      </c>
      <c r="Z92" s="4"/>
    </row>
    <row r="93" spans="2:28" ht="15" customHeight="1" thickBot="1">
      <c r="B93" s="410"/>
      <c r="C93" s="410">
        <v>50</v>
      </c>
      <c r="D93" s="411"/>
      <c r="E93" s="412" t="s">
        <v>3410</v>
      </c>
      <c r="F93" s="413" t="s">
        <v>1099</v>
      </c>
      <c r="G93" s="413"/>
      <c r="H93" s="413" t="s">
        <v>56</v>
      </c>
      <c r="I93" s="413" t="s">
        <v>1209</v>
      </c>
      <c r="J93" s="413">
        <f>HLOOKUP($I93,'5 Year Forecast'!$L$4:$P$5,2,FALSE)</f>
        <v>1</v>
      </c>
      <c r="K93" s="414">
        <v>0</v>
      </c>
      <c r="L93" s="415">
        <v>550000</v>
      </c>
      <c r="M93" s="415">
        <f t="shared" si="45"/>
        <v>550000</v>
      </c>
      <c r="N93" s="416"/>
      <c r="O93" s="417" t="s">
        <v>44</v>
      </c>
      <c r="P93" s="416"/>
      <c r="Q93" s="415">
        <f t="shared" si="46"/>
        <v>0</v>
      </c>
      <c r="R93" s="415">
        <f t="shared" si="47"/>
        <v>550000</v>
      </c>
      <c r="S93" s="415">
        <f t="shared" si="48"/>
        <v>550000</v>
      </c>
      <c r="T93" s="418"/>
      <c r="U93" s="421">
        <f>IF($J93='5 Year Forecast'!$L$5,$S93*(1+'5 Year Forecast'!$L$30),IF($J93&gt;'5 Year Forecast'!$L$5,0,IF($J93&lt;'5 Year Forecast'!$L$5,$Q93*(1+'5 Year Forecast'!$L$30),0)))</f>
        <v>550000</v>
      </c>
      <c r="V93" s="421">
        <f>IF($J93='5 Year Forecast'!$M$5,$S93*(1+'5 Year Forecast'!$M$30),IF($J93&gt;'5 Year Forecast'!$M$5,0,IF($J93&lt;'5 Year Forecast'!$M$5,$Q93*(1+'5 Year Forecast'!$M$30),0)))</f>
        <v>0</v>
      </c>
      <c r="W93" s="421">
        <f>IF($J93='5 Year Forecast'!$N$5,$S93*(1+'5 Year Forecast'!$N$30),IF($J93&gt;'5 Year Forecast'!$N$5,0,IF($J93&lt;'5 Year Forecast'!$N$5,$Q93*(1+'5 Year Forecast'!$N$30),0)))</f>
        <v>0</v>
      </c>
      <c r="X93" s="421">
        <f>IF($J93='5 Year Forecast'!$O$5,$S93*(1+'5 Year Forecast'!$O$30),IF($J93&gt;'5 Year Forecast'!$O$5,0,IF($J93&lt;'5 Year Forecast'!$O$5,$Q93*(1+'5 Year Forecast'!$O$30),0)))</f>
        <v>0</v>
      </c>
      <c r="Y93" s="421">
        <f>IF($J93='5 Year Forecast'!$P$5,$S93*(1+'5 Year Forecast'!$P$30),IF($J93&gt;'5 Year Forecast'!$P$5,0,IF($J93&lt;'5 Year Forecast'!$P$5,$Q93*(1+'5 Year Forecast'!$P$30),0)))</f>
        <v>0</v>
      </c>
      <c r="Z93" s="4"/>
    </row>
    <row r="94" spans="2:28" ht="15" customHeight="1" thickBot="1">
      <c r="B94" s="394"/>
      <c r="C94" s="410"/>
      <c r="D94" s="395"/>
      <c r="E94" s="461"/>
      <c r="F94" s="396"/>
      <c r="G94" s="396"/>
      <c r="H94" s="396"/>
      <c r="I94" s="396"/>
      <c r="J94" s="394"/>
      <c r="K94" s="394">
        <f>SUBTOTAL(9,K8:K93)</f>
        <v>597750</v>
      </c>
      <c r="L94" s="394">
        <f>SUBTOTAL(9,L8:L93)</f>
        <v>3962081</v>
      </c>
      <c r="M94" s="394">
        <f>SUBTOTAL(9,M8:M93)</f>
        <v>4532331</v>
      </c>
      <c r="N94" s="396"/>
      <c r="O94" s="394"/>
      <c r="P94" s="396"/>
      <c r="Q94" s="394">
        <f>SUBTOTAL(9,Q8:Q93)</f>
        <v>1507250</v>
      </c>
      <c r="R94" s="394">
        <f>SUBTOTAL(9,R8:R93)</f>
        <v>2336081</v>
      </c>
      <c r="S94" s="394">
        <f>SUBTOTAL(9,S8:S93)</f>
        <v>3843331</v>
      </c>
      <c r="T94" s="397"/>
      <c r="U94" s="394">
        <f>SUBTOTAL(9,U8:U93)</f>
        <v>736331</v>
      </c>
      <c r="V94" s="394">
        <f>SUBTOTAL(9,V8:V93)</f>
        <v>87775</v>
      </c>
      <c r="W94" s="394">
        <f>SUBTOTAL(9,W8:W93)</f>
        <v>619377.5</v>
      </c>
      <c r="X94" s="394">
        <f>SUBTOTAL(9,X8:X93)</f>
        <v>2409640.25</v>
      </c>
      <c r="Y94" s="398">
        <f>SUBTOTAL(9,Y8:Y93)</f>
        <v>1295654.2749999999</v>
      </c>
      <c r="Z94" s="4"/>
    </row>
    <row r="95" spans="2:28" ht="15" customHeight="1">
      <c r="U95" s="516"/>
      <c r="V95" s="516"/>
      <c r="W95" s="516"/>
      <c r="X95" s="516"/>
      <c r="Y95" s="516"/>
    </row>
    <row r="96" spans="2:28" ht="15" customHeight="1"/>
    <row r="97" spans="2:25" ht="15" customHeight="1">
      <c r="B97" s="658"/>
      <c r="C97" s="658"/>
      <c r="D97" s="159"/>
      <c r="E97" s="458"/>
      <c r="F97"/>
      <c r="G97"/>
      <c r="H97"/>
      <c r="I97" s="186"/>
      <c r="J97" s="186"/>
      <c r="K97" s="658" t="s">
        <v>1043</v>
      </c>
      <c r="L97" s="658"/>
      <c r="M97" s="658"/>
      <c r="N97"/>
      <c r="O97"/>
      <c r="P97"/>
      <c r="Q97" s="658" t="s">
        <v>1042</v>
      </c>
      <c r="R97" s="658"/>
      <c r="S97" s="658"/>
      <c r="T97"/>
      <c r="U97"/>
      <c r="V97"/>
      <c r="W97"/>
      <c r="X97"/>
      <c r="Y97"/>
    </row>
    <row r="98" spans="2:25" ht="15" customHeight="1">
      <c r="B98" s="659" t="s">
        <v>1067</v>
      </c>
      <c r="C98" s="659"/>
      <c r="D98" s="659"/>
      <c r="E98" s="460" t="s">
        <v>86</v>
      </c>
      <c r="F98" s="399" t="s">
        <v>59</v>
      </c>
      <c r="G98" s="399" t="s">
        <v>1044</v>
      </c>
      <c r="H98" s="399" t="s">
        <v>85</v>
      </c>
      <c r="I98" s="659" t="s">
        <v>36</v>
      </c>
      <c r="J98" s="659"/>
      <c r="K98" s="400" t="s">
        <v>1039</v>
      </c>
      <c r="L98" s="400" t="s">
        <v>1040</v>
      </c>
      <c r="M98" s="400" t="s">
        <v>35</v>
      </c>
      <c r="N98" s="401"/>
      <c r="O98" s="401"/>
      <c r="P98" s="401"/>
      <c r="Q98" s="400" t="s">
        <v>1039</v>
      </c>
      <c r="R98" s="400" t="s">
        <v>1040</v>
      </c>
      <c r="S98" s="400" t="s">
        <v>35</v>
      </c>
      <c r="T98" s="401"/>
      <c r="U98" s="401"/>
      <c r="V98" s="401"/>
      <c r="W98" s="401"/>
      <c r="X98" s="401"/>
      <c r="Y98" s="401"/>
    </row>
    <row r="99" spans="2:25" ht="15" customHeight="1">
      <c r="B99" s="42"/>
      <c r="C99" s="42"/>
      <c r="D99" s="42"/>
      <c r="F99" s="41"/>
      <c r="G99" s="41"/>
      <c r="H99" s="41"/>
      <c r="I99" s="41"/>
      <c r="J99" s="41"/>
      <c r="K99" s="41"/>
      <c r="L99" s="67"/>
      <c r="M99" s="41"/>
      <c r="N99" s="41"/>
      <c r="O99" s="41"/>
      <c r="P99" s="41"/>
      <c r="Q99" s="41"/>
      <c r="R99" s="41"/>
      <c r="S99" s="41"/>
      <c r="T99" s="42"/>
      <c r="U99" s="41"/>
      <c r="V99" s="41"/>
      <c r="W99" s="41"/>
      <c r="X99" s="41"/>
      <c r="Y99" s="41"/>
    </row>
    <row r="100" spans="2:25" ht="15" customHeight="1">
      <c r="B100" s="410">
        <v>110</v>
      </c>
      <c r="C100" s="410">
        <v>990</v>
      </c>
      <c r="D100" s="411">
        <v>91</v>
      </c>
      <c r="E100" s="598" t="s">
        <v>3561</v>
      </c>
      <c r="F100" s="413" t="s">
        <v>793</v>
      </c>
      <c r="G100" s="413"/>
      <c r="H100" s="413" t="s">
        <v>56</v>
      </c>
      <c r="I100" s="413" t="s">
        <v>1209</v>
      </c>
      <c r="J100" s="413">
        <f>HLOOKUP($I100,'5 Year Forecast'!$L$4:$P$5,2,FALSE)</f>
        <v>1</v>
      </c>
      <c r="K100" s="414"/>
      <c r="L100" s="414">
        <v>1620616</v>
      </c>
      <c r="M100" s="415">
        <f t="shared" ref="M100:M108" si="65">SUM(K100:L100)</f>
        <v>1620616</v>
      </c>
      <c r="N100" s="416"/>
      <c r="O100" s="417" t="s">
        <v>44</v>
      </c>
      <c r="P100" s="416"/>
      <c r="Q100" s="415">
        <f t="shared" ref="Q100:Q108" si="66">IF($O100="Y",K100,IF($O100="N",0,$O100*K100))</f>
        <v>0</v>
      </c>
      <c r="R100" s="415">
        <f t="shared" ref="R100:R108" si="67">IF($O100="Y",L100,IF($O100="N",0,$O100*L100))</f>
        <v>1620616</v>
      </c>
      <c r="S100" s="415">
        <f t="shared" ref="S100:S108" si="68">SUM(Q100:R100)</f>
        <v>1620616</v>
      </c>
      <c r="T100" s="418"/>
      <c r="U100" s="421">
        <f>IF($J100='5 Year Forecast'!$L$5,$S100*(1+'5 Year Forecast'!$L$30),IF($J100&gt;'5 Year Forecast'!$L$5,0,IF($J100&lt;'5 Year Forecast'!$L$5,$Q100*(1+'5 Year Forecast'!$L$30),0)))</f>
        <v>1620616</v>
      </c>
      <c r="V100" s="421">
        <f>IF($J100='5 Year Forecast'!$M$5,$S100*(1+'5 Year Forecast'!$M$30),IF($J100&gt;'5 Year Forecast'!$M$5,0,IF($J100&lt;'5 Year Forecast'!$M$5,$Q100*(1+'5 Year Forecast'!$M$30),0)))</f>
        <v>0</v>
      </c>
      <c r="W100" s="421">
        <f>IF($J100='5 Year Forecast'!$N$5,$S100*(1+'5 Year Forecast'!$N$30),IF($J100&gt;'5 Year Forecast'!$N$5,0,IF($J100&lt;'5 Year Forecast'!$N$5,$Q100*(1+'5 Year Forecast'!$N$30),0)))</f>
        <v>0</v>
      </c>
      <c r="X100" s="421">
        <f>IF($J100='5 Year Forecast'!$O$5,$S100*(1+'5 Year Forecast'!$O$30),IF($J100&gt;'5 Year Forecast'!$O$5,0,IF($J100&lt;'5 Year Forecast'!$O$5,$Q100*(1+'5 Year Forecast'!$O$30),0)))</f>
        <v>0</v>
      </c>
      <c r="Y100" s="421">
        <f>IF($J100='5 Year Forecast'!$P$5,$S100*(1+'5 Year Forecast'!$P$30),IF($J100&gt;'5 Year Forecast'!$P$5,0,IF($J100&lt;'5 Year Forecast'!$P$5,$Q100*(1+'5 Year Forecast'!$P$30),0)))</f>
        <v>0</v>
      </c>
    </row>
    <row r="101" spans="2:25" ht="15" customHeight="1">
      <c r="B101" s="410">
        <v>110</v>
      </c>
      <c r="C101" s="410">
        <v>990</v>
      </c>
      <c r="D101" s="411">
        <v>91</v>
      </c>
      <c r="E101" s="598" t="s">
        <v>3562</v>
      </c>
      <c r="F101" s="413" t="s">
        <v>793</v>
      </c>
      <c r="G101" s="413"/>
      <c r="H101" s="413" t="s">
        <v>56</v>
      </c>
      <c r="I101" s="413" t="s">
        <v>1209</v>
      </c>
      <c r="J101" s="413">
        <f>HLOOKUP($I101,'5 Year Forecast'!$L$4:$P$5,2,FALSE)</f>
        <v>1</v>
      </c>
      <c r="K101" s="414"/>
      <c r="L101" s="415">
        <v>650000</v>
      </c>
      <c r="M101" s="415">
        <f t="shared" si="65"/>
        <v>650000</v>
      </c>
      <c r="N101" s="416"/>
      <c r="O101" s="417" t="s">
        <v>44</v>
      </c>
      <c r="P101" s="416"/>
      <c r="Q101" s="415">
        <f t="shared" si="66"/>
        <v>0</v>
      </c>
      <c r="R101" s="415">
        <f t="shared" si="67"/>
        <v>650000</v>
      </c>
      <c r="S101" s="415">
        <f t="shared" si="68"/>
        <v>650000</v>
      </c>
      <c r="T101" s="418"/>
      <c r="U101" s="421">
        <f>IF($J101='5 Year Forecast'!$L$5,$S101*(1+'5 Year Forecast'!$L$30),IF($J101&gt;'5 Year Forecast'!$L$5,0,IF($J101&lt;'5 Year Forecast'!$L$5,$Q101*(1+'5 Year Forecast'!$L$30),0)))</f>
        <v>650000</v>
      </c>
      <c r="V101" s="421">
        <f>IF($J101='5 Year Forecast'!$M$5,$S101*(1+'5 Year Forecast'!$M$30),IF($J101&gt;'5 Year Forecast'!$M$5,0,IF($J101&lt;'5 Year Forecast'!$M$5,$Q101*(1+'5 Year Forecast'!$M$30),0)))</f>
        <v>0</v>
      </c>
      <c r="W101" s="421">
        <f>IF($J101='5 Year Forecast'!$N$5,$S101*(1+'5 Year Forecast'!$N$30),IF($J101&gt;'5 Year Forecast'!$N$5,0,IF($J101&lt;'5 Year Forecast'!$N$5,$Q101*(1+'5 Year Forecast'!$N$30),0)))</f>
        <v>0</v>
      </c>
      <c r="X101" s="421">
        <f>IF($J101='5 Year Forecast'!$O$5,$S101*(1+'5 Year Forecast'!$O$30),IF($J101&gt;'5 Year Forecast'!$O$5,0,IF($J101&lt;'5 Year Forecast'!$O$5,$Q101*(1+'5 Year Forecast'!$O$30),0)))</f>
        <v>0</v>
      </c>
      <c r="Y101" s="421">
        <f>IF($J101='5 Year Forecast'!$P$5,$S101*(1+'5 Year Forecast'!$P$30),IF($J101&gt;'5 Year Forecast'!$P$5,0,IF($J101&lt;'5 Year Forecast'!$P$5,$Q101*(1+'5 Year Forecast'!$P$30),0)))</f>
        <v>0</v>
      </c>
    </row>
    <row r="102" spans="2:25" ht="15" customHeight="1">
      <c r="B102" s="410">
        <v>110</v>
      </c>
      <c r="C102" s="410">
        <v>990</v>
      </c>
      <c r="D102" s="411">
        <v>91</v>
      </c>
      <c r="E102" s="598" t="s">
        <v>3509</v>
      </c>
      <c r="F102" s="413" t="s">
        <v>793</v>
      </c>
      <c r="G102" s="425"/>
      <c r="H102" s="413" t="s">
        <v>56</v>
      </c>
      <c r="I102" s="413" t="s">
        <v>1209</v>
      </c>
      <c r="J102" s="413">
        <f>HLOOKUP($I102,'5 Year Forecast'!$L$4:$P$5,2,FALSE)</f>
        <v>1</v>
      </c>
      <c r="K102" s="414">
        <v>525000</v>
      </c>
      <c r="L102" s="415">
        <f t="shared" ref="L102" si="69">IF(G102=0,0,ROUND(-PMT(G102,H102,F102),0))</f>
        <v>0</v>
      </c>
      <c r="M102" s="415">
        <f t="shared" si="65"/>
        <v>525000</v>
      </c>
      <c r="N102" s="416"/>
      <c r="O102" s="417" t="s">
        <v>44</v>
      </c>
      <c r="P102" s="416"/>
      <c r="Q102" s="415">
        <f t="shared" si="66"/>
        <v>525000</v>
      </c>
      <c r="R102" s="415">
        <f t="shared" si="67"/>
        <v>0</v>
      </c>
      <c r="S102" s="415">
        <f t="shared" si="68"/>
        <v>525000</v>
      </c>
      <c r="T102" s="418"/>
      <c r="U102" s="421">
        <f>IF($J102='5 Year Forecast'!$L$5,$S102*(1+'5 Year Forecast'!$L$30),IF($J102&gt;'5 Year Forecast'!$L$5,0,IF($J102&lt;'5 Year Forecast'!$L$5,$Q102*(1+'5 Year Forecast'!$L$30),0)))</f>
        <v>525000</v>
      </c>
      <c r="V102" s="421">
        <f>IF($J102='5 Year Forecast'!$M$5,$S102*(1+'5 Year Forecast'!$M$30),IF($J102&gt;'5 Year Forecast'!$M$5,0,IF($J102&lt;'5 Year Forecast'!$M$5,$Q102*(1+'5 Year Forecast'!$M$30),0)))</f>
        <v>525000</v>
      </c>
      <c r="W102" s="421">
        <f>IF($J102='5 Year Forecast'!$N$5,$S102*(1+'5 Year Forecast'!$N$30),IF($J102&gt;'5 Year Forecast'!$N$5,0,IF($J102&lt;'5 Year Forecast'!$N$5,$Q102*(1+'5 Year Forecast'!$N$30),0)))</f>
        <v>525000</v>
      </c>
      <c r="X102" s="421">
        <f>IF($J102='5 Year Forecast'!$O$5,$S102*(1+'5 Year Forecast'!$O$30),IF($J102&gt;'5 Year Forecast'!$O$5,0,IF($J102&lt;'5 Year Forecast'!$O$5,$Q102*(1+'5 Year Forecast'!$O$30),0)))</f>
        <v>525000</v>
      </c>
      <c r="Y102" s="421">
        <f>IF($J102='5 Year Forecast'!$P$5,$S102*(1+'5 Year Forecast'!$P$30),IF($J102&gt;'5 Year Forecast'!$P$5,0,IF($J102&lt;'5 Year Forecast'!$P$5,$Q102*(1+'5 Year Forecast'!$P$30),0)))</f>
        <v>525000</v>
      </c>
    </row>
    <row r="103" spans="2:25" ht="15" customHeight="1">
      <c r="B103" s="410">
        <v>110</v>
      </c>
      <c r="C103" s="410">
        <v>990</v>
      </c>
      <c r="D103" s="411">
        <v>91</v>
      </c>
      <c r="E103" s="598" t="s">
        <v>1108</v>
      </c>
      <c r="F103" s="413" t="s">
        <v>793</v>
      </c>
      <c r="G103" s="413"/>
      <c r="H103" s="413" t="s">
        <v>56</v>
      </c>
      <c r="I103" s="413" t="s">
        <v>3359</v>
      </c>
      <c r="J103" s="413">
        <f>HLOOKUP($I103,'5 Year Forecast'!$L$4:$P$5,2,FALSE)</f>
        <v>3</v>
      </c>
      <c r="K103" s="414"/>
      <c r="L103" s="415">
        <v>200000</v>
      </c>
      <c r="M103" s="415">
        <f t="shared" si="65"/>
        <v>200000</v>
      </c>
      <c r="N103" s="416"/>
      <c r="O103" s="417" t="s">
        <v>44</v>
      </c>
      <c r="P103" s="416"/>
      <c r="Q103" s="415">
        <f t="shared" si="66"/>
        <v>0</v>
      </c>
      <c r="R103" s="415">
        <f t="shared" si="67"/>
        <v>200000</v>
      </c>
      <c r="S103" s="415">
        <f t="shared" si="68"/>
        <v>200000</v>
      </c>
      <c r="T103" s="418"/>
      <c r="U103" s="421">
        <f>IF($J103='5 Year Forecast'!$L$5,$S103*(1+'5 Year Forecast'!$L$30),IF($J103&gt;'5 Year Forecast'!$L$5,0,IF($J103&lt;'5 Year Forecast'!$L$5,$Q103*(1+'5 Year Forecast'!$L$30),0)))</f>
        <v>0</v>
      </c>
      <c r="V103" s="421">
        <f>IF($J103='5 Year Forecast'!$M$5,$S103*(1+'5 Year Forecast'!$M$30),IF($J103&gt;'5 Year Forecast'!$M$5,0,IF($J103&lt;'5 Year Forecast'!$M$5,$Q103*(1+'5 Year Forecast'!$M$30),0)))</f>
        <v>0</v>
      </c>
      <c r="W103" s="421">
        <f>IF($J103='5 Year Forecast'!$N$5,$S103*(1+'5 Year Forecast'!$N$30),IF($J103&gt;'5 Year Forecast'!$N$5,0,IF($J103&lt;'5 Year Forecast'!$N$5,$Q103*(1+'5 Year Forecast'!$N$30),0)))</f>
        <v>200000</v>
      </c>
      <c r="X103" s="421">
        <f>IF($J103='5 Year Forecast'!$O$5,$S103*(1+'5 Year Forecast'!$O$30),IF($J103&gt;'5 Year Forecast'!$O$5,0,IF($J103&lt;'5 Year Forecast'!$O$5,$Q103*(1+'5 Year Forecast'!$O$30),0)))</f>
        <v>0</v>
      </c>
      <c r="Y103" s="421">
        <f>IF($J103='5 Year Forecast'!$P$5,$S103*(1+'5 Year Forecast'!$P$30),IF($J103&gt;'5 Year Forecast'!$P$5,0,IF($J103&lt;'5 Year Forecast'!$P$5,$Q103*(1+'5 Year Forecast'!$P$30),0)))</f>
        <v>0</v>
      </c>
    </row>
    <row r="104" spans="2:25" ht="15" customHeight="1">
      <c r="B104" s="410">
        <v>110</v>
      </c>
      <c r="C104" s="410">
        <v>990</v>
      </c>
      <c r="D104" s="411">
        <v>91</v>
      </c>
      <c r="E104" s="598" t="s">
        <v>3563</v>
      </c>
      <c r="F104" s="413" t="s">
        <v>793</v>
      </c>
      <c r="G104" s="413"/>
      <c r="H104" s="413" t="s">
        <v>56</v>
      </c>
      <c r="I104" s="413" t="s">
        <v>3323</v>
      </c>
      <c r="J104" s="413">
        <f>HLOOKUP($I104,'5 Year Forecast'!$L$4:$P$5,2,FALSE)</f>
        <v>2</v>
      </c>
      <c r="K104" s="414"/>
      <c r="L104" s="415">
        <v>100000</v>
      </c>
      <c r="M104" s="415">
        <f t="shared" si="65"/>
        <v>100000</v>
      </c>
      <c r="N104" s="416"/>
      <c r="O104" s="417" t="s">
        <v>44</v>
      </c>
      <c r="P104" s="416"/>
      <c r="Q104" s="415">
        <f t="shared" si="66"/>
        <v>0</v>
      </c>
      <c r="R104" s="415">
        <f t="shared" si="67"/>
        <v>100000</v>
      </c>
      <c r="S104" s="415">
        <f t="shared" si="68"/>
        <v>100000</v>
      </c>
      <c r="T104" s="418"/>
      <c r="U104" s="421">
        <f>IF($J104='5 Year Forecast'!$L$5,$S104*(1+'5 Year Forecast'!$L$30),IF($J104&gt;'5 Year Forecast'!$L$5,0,IF($J104&lt;'5 Year Forecast'!$L$5,$Q104*(1+'5 Year Forecast'!$L$30),0)))</f>
        <v>0</v>
      </c>
      <c r="V104" s="421">
        <f>IF($J104='5 Year Forecast'!$M$5,$S104*(1+'5 Year Forecast'!$M$30),IF($J104&gt;'5 Year Forecast'!$M$5,0,IF($J104&lt;'5 Year Forecast'!$M$5,$Q104*(1+'5 Year Forecast'!$M$30),0)))</f>
        <v>100000</v>
      </c>
      <c r="W104" s="421">
        <f>IF($J104='5 Year Forecast'!$N$5,$S104*(1+'5 Year Forecast'!$N$30),IF($J104&gt;'5 Year Forecast'!$N$5,0,IF($J104&lt;'5 Year Forecast'!$N$5,$Q104*(1+'5 Year Forecast'!$N$30),0)))</f>
        <v>0</v>
      </c>
      <c r="X104" s="421">
        <f>IF($J104='5 Year Forecast'!$O$5,$S104*(1+'5 Year Forecast'!$O$30),IF($J104&gt;'5 Year Forecast'!$O$5,0,IF($J104&lt;'5 Year Forecast'!$O$5,$Q104*(1+'5 Year Forecast'!$O$30),0)))</f>
        <v>0</v>
      </c>
      <c r="Y104" s="421">
        <f>IF($J104='5 Year Forecast'!$P$5,$S104*(1+'5 Year Forecast'!$P$30),IF($J104&gt;'5 Year Forecast'!$P$5,0,IF($J104&lt;'5 Year Forecast'!$P$5,$Q104*(1+'5 Year Forecast'!$P$30),0)))</f>
        <v>0</v>
      </c>
    </row>
    <row r="105" spans="2:25" ht="27.6">
      <c r="B105" s="410">
        <v>110</v>
      </c>
      <c r="C105" s="410">
        <v>990</v>
      </c>
      <c r="D105" s="411">
        <v>91</v>
      </c>
      <c r="E105" s="598" t="s">
        <v>3510</v>
      </c>
      <c r="F105" s="413" t="s">
        <v>793</v>
      </c>
      <c r="G105" s="413"/>
      <c r="H105" s="413" t="s">
        <v>56</v>
      </c>
      <c r="I105" s="413" t="s">
        <v>3323</v>
      </c>
      <c r="J105" s="413">
        <f>HLOOKUP($I105,'5 Year Forecast'!$L$4:$P$5,2,FALSE)</f>
        <v>2</v>
      </c>
      <c r="K105" s="415">
        <v>520000</v>
      </c>
      <c r="L105" s="415"/>
      <c r="M105" s="415">
        <f t="shared" si="65"/>
        <v>520000</v>
      </c>
      <c r="N105" s="416"/>
      <c r="O105" s="417" t="s">
        <v>44</v>
      </c>
      <c r="P105" s="416"/>
      <c r="Q105" s="415">
        <f t="shared" si="66"/>
        <v>520000</v>
      </c>
      <c r="R105" s="415">
        <f t="shared" si="67"/>
        <v>0</v>
      </c>
      <c r="S105" s="415">
        <f t="shared" si="68"/>
        <v>520000</v>
      </c>
      <c r="T105" s="418"/>
      <c r="U105" s="421">
        <f>IF($J105='5 Year Forecast'!$L$5,$S105*(1+'5 Year Forecast'!$L$30),IF($J105&gt;'5 Year Forecast'!$L$5,0,IF($J105&lt;'5 Year Forecast'!$L$5,$Q105*(1+'5 Year Forecast'!$L$30),0)))</f>
        <v>0</v>
      </c>
      <c r="V105" s="421">
        <f>IF($J105='5 Year Forecast'!$M$5,$S105*(1+'5 Year Forecast'!$M$30),IF($J105&gt;'5 Year Forecast'!$M$5,0,IF($J105&lt;'5 Year Forecast'!$M$5,$Q105*(1+'5 Year Forecast'!$M$30),0)))</f>
        <v>520000</v>
      </c>
      <c r="W105" s="421">
        <f>IF($J105='5 Year Forecast'!$N$5,$S105*(1+'5 Year Forecast'!$N$30),IF($J105&gt;'5 Year Forecast'!$N$5,0,IF($J105&lt;'5 Year Forecast'!$N$5,$Q105*(1+'5 Year Forecast'!$N$30),0)))</f>
        <v>520000</v>
      </c>
      <c r="X105" s="421">
        <f>IF($J105='5 Year Forecast'!$O$5,$S105*(1+'5 Year Forecast'!$O$30),IF($J105&gt;'5 Year Forecast'!$O$5,0,IF($J105&lt;'5 Year Forecast'!$O$5,$Q105*(1+'5 Year Forecast'!$O$30),0)))</f>
        <v>520000</v>
      </c>
      <c r="Y105" s="421">
        <f>IF($J105='5 Year Forecast'!$P$5,$S105*(1+'5 Year Forecast'!$P$30),IF($J105&gt;'5 Year Forecast'!$P$5,0,IF($J105&lt;'5 Year Forecast'!$P$5,$Q105*(1+'5 Year Forecast'!$P$30),0)))</f>
        <v>520000</v>
      </c>
    </row>
    <row r="106" spans="2:25" ht="15" customHeight="1">
      <c r="B106" s="410">
        <v>110</v>
      </c>
      <c r="C106" s="410">
        <v>990</v>
      </c>
      <c r="D106" s="411">
        <v>91</v>
      </c>
      <c r="E106" s="598" t="s">
        <v>3511</v>
      </c>
      <c r="F106" s="413" t="s">
        <v>793</v>
      </c>
      <c r="G106" s="413"/>
      <c r="H106" s="413" t="s">
        <v>56</v>
      </c>
      <c r="I106" s="413" t="s">
        <v>1209</v>
      </c>
      <c r="J106" s="413">
        <f>HLOOKUP($I106,'5 Year Forecast'!$L$4:$P$5,2,FALSE)</f>
        <v>1</v>
      </c>
      <c r="K106" s="414"/>
      <c r="L106" s="415">
        <v>36000</v>
      </c>
      <c r="M106" s="415">
        <f t="shared" si="65"/>
        <v>36000</v>
      </c>
      <c r="N106" s="416"/>
      <c r="O106" s="417" t="s">
        <v>46</v>
      </c>
      <c r="P106" s="416"/>
      <c r="Q106" s="415">
        <f t="shared" si="66"/>
        <v>0</v>
      </c>
      <c r="R106" s="415">
        <f t="shared" si="67"/>
        <v>0</v>
      </c>
      <c r="S106" s="415">
        <f t="shared" si="68"/>
        <v>0</v>
      </c>
      <c r="T106" s="418"/>
      <c r="U106" s="421">
        <f>IF($J106='5 Year Forecast'!$L$5,$S106*(1+'5 Year Forecast'!$L$30),IF($J106&gt;'5 Year Forecast'!$L$5,0,IF($J106&lt;'5 Year Forecast'!$L$5,$Q106*(1+'5 Year Forecast'!$L$30),0)))</f>
        <v>0</v>
      </c>
      <c r="V106" s="421">
        <f>IF($J106='5 Year Forecast'!$M$5,$S106*(1+'5 Year Forecast'!$M$30),IF($J106&gt;'5 Year Forecast'!$M$5,0,IF($J106&lt;'5 Year Forecast'!$M$5,$Q106*(1+'5 Year Forecast'!$M$30),0)))</f>
        <v>0</v>
      </c>
      <c r="W106" s="421">
        <f>IF($J106='5 Year Forecast'!$N$5,$S106*(1+'5 Year Forecast'!$N$30),IF($J106&gt;'5 Year Forecast'!$N$5,0,IF($J106&lt;'5 Year Forecast'!$N$5,$Q106*(1+'5 Year Forecast'!$N$30),0)))</f>
        <v>0</v>
      </c>
      <c r="X106" s="421">
        <f>IF($J106='5 Year Forecast'!$O$5,$S106*(1+'5 Year Forecast'!$O$30),IF($J106&gt;'5 Year Forecast'!$O$5,0,IF($J106&lt;'5 Year Forecast'!$O$5,$Q106*(1+'5 Year Forecast'!$O$30),0)))</f>
        <v>0</v>
      </c>
      <c r="Y106" s="421">
        <f>IF($J106='5 Year Forecast'!$P$5,$S106*(1+'5 Year Forecast'!$P$30),IF($J106&gt;'5 Year Forecast'!$P$5,0,IF($J106&lt;'5 Year Forecast'!$P$5,$Q106*(1+'5 Year Forecast'!$P$30),0)))</f>
        <v>0</v>
      </c>
    </row>
    <row r="107" spans="2:25" ht="15" customHeight="1">
      <c r="B107" s="410"/>
      <c r="C107" s="410"/>
      <c r="D107" s="411"/>
      <c r="E107" s="598" t="s">
        <v>1108</v>
      </c>
      <c r="F107" s="413" t="s">
        <v>793</v>
      </c>
      <c r="G107" s="413"/>
      <c r="H107" s="413" t="s">
        <v>56</v>
      </c>
      <c r="I107" s="413" t="s">
        <v>3449</v>
      </c>
      <c r="J107" s="413">
        <f>HLOOKUP($I107,'5 Year Forecast'!$L$4:$P$5,2,FALSE)</f>
        <v>5</v>
      </c>
      <c r="K107" s="414"/>
      <c r="L107" s="415">
        <v>200000</v>
      </c>
      <c r="M107" s="415">
        <f t="shared" ref="M107" si="70">SUM(K107:L107)</f>
        <v>200000</v>
      </c>
      <c r="N107" s="416"/>
      <c r="O107" s="417" t="s">
        <v>44</v>
      </c>
      <c r="P107" s="416"/>
      <c r="Q107" s="415">
        <f t="shared" ref="Q107" si="71">IF($O107="Y",K107,IF($O107="N",0,$O107*K107))</f>
        <v>0</v>
      </c>
      <c r="R107" s="415">
        <f t="shared" ref="R107" si="72">IF($O107="Y",L107,IF($O107="N",0,$O107*L107))</f>
        <v>200000</v>
      </c>
      <c r="S107" s="415">
        <f t="shared" ref="S107" si="73">SUM(Q107:R107)</f>
        <v>200000</v>
      </c>
      <c r="T107" s="418"/>
      <c r="U107" s="421">
        <f>IF($J107='5 Year Forecast'!$L$5,$S107*(1+'5 Year Forecast'!$L$30),IF($J107&gt;'5 Year Forecast'!$L$5,0,IF($J107&lt;'5 Year Forecast'!$L$5,$Q107*(1+'5 Year Forecast'!$L$30),0)))</f>
        <v>0</v>
      </c>
      <c r="V107" s="421">
        <f>IF($J107='5 Year Forecast'!$M$5,$S107*(1+'5 Year Forecast'!$M$30),IF($J107&gt;'5 Year Forecast'!$M$5,0,IF($J107&lt;'5 Year Forecast'!$M$5,$Q107*(1+'5 Year Forecast'!$M$30),0)))</f>
        <v>0</v>
      </c>
      <c r="W107" s="421">
        <f>IF($J107='5 Year Forecast'!$N$5,$S107*(1+'5 Year Forecast'!$N$30),IF($J107&gt;'5 Year Forecast'!$N$5,0,IF($J107&lt;'5 Year Forecast'!$N$5,$Q107*(1+'5 Year Forecast'!$N$30),0)))</f>
        <v>0</v>
      </c>
      <c r="X107" s="421">
        <f>IF($J107='5 Year Forecast'!$O$5,$S107*(1+'5 Year Forecast'!$O$30),IF($J107&gt;'5 Year Forecast'!$O$5,0,IF($J107&lt;'5 Year Forecast'!$O$5,$Q107*(1+'5 Year Forecast'!$O$30),0)))</f>
        <v>0</v>
      </c>
      <c r="Y107" s="421">
        <f>IF($J107='5 Year Forecast'!$P$5,$S107*(1+'5 Year Forecast'!$P$30),IF($J107&gt;'5 Year Forecast'!$P$5,0,IF($J107&lt;'5 Year Forecast'!$P$5,$Q107*(1+'5 Year Forecast'!$P$30),0)))</f>
        <v>200000</v>
      </c>
    </row>
    <row r="108" spans="2:25" ht="15" customHeight="1">
      <c r="B108" s="410">
        <v>110</v>
      </c>
      <c r="C108" s="410">
        <v>990</v>
      </c>
      <c r="D108" s="411">
        <v>91</v>
      </c>
      <c r="E108" s="598" t="s">
        <v>3563</v>
      </c>
      <c r="F108" s="413" t="s">
        <v>793</v>
      </c>
      <c r="G108" s="413"/>
      <c r="H108" s="413" t="s">
        <v>56</v>
      </c>
      <c r="I108" s="413" t="s">
        <v>3406</v>
      </c>
      <c r="J108" s="413">
        <f>HLOOKUP($I108,'5 Year Forecast'!$L$4:$P$5,2,FALSE)</f>
        <v>4</v>
      </c>
      <c r="K108" s="414"/>
      <c r="L108" s="415">
        <v>100000</v>
      </c>
      <c r="M108" s="415">
        <f t="shared" si="65"/>
        <v>100000</v>
      </c>
      <c r="N108" s="416"/>
      <c r="O108" s="417" t="s">
        <v>44</v>
      </c>
      <c r="P108" s="416"/>
      <c r="Q108" s="415">
        <f t="shared" si="66"/>
        <v>0</v>
      </c>
      <c r="R108" s="415">
        <f t="shared" si="67"/>
        <v>100000</v>
      </c>
      <c r="S108" s="415">
        <f t="shared" si="68"/>
        <v>100000</v>
      </c>
      <c r="T108" s="418"/>
      <c r="U108" s="421">
        <f>IF($J108='5 Year Forecast'!$L$5,$S108*(1+'5 Year Forecast'!$L$30),IF($J108&gt;'5 Year Forecast'!$L$5,0,IF($J108&lt;'5 Year Forecast'!$L$5,$Q108*(1+'5 Year Forecast'!$L$30),0)))</f>
        <v>0</v>
      </c>
      <c r="V108" s="421">
        <f>IF($J108='5 Year Forecast'!$M$5,$S108*(1+'5 Year Forecast'!$M$30),IF($J108&gt;'5 Year Forecast'!$M$5,0,IF($J108&lt;'5 Year Forecast'!$M$5,$Q108*(1+'5 Year Forecast'!$M$30),0)))</f>
        <v>0</v>
      </c>
      <c r="W108" s="421">
        <f>IF($J108='5 Year Forecast'!$N$5,$S108*(1+'5 Year Forecast'!$N$30),IF($J108&gt;'5 Year Forecast'!$N$5,0,IF($J108&lt;'5 Year Forecast'!$N$5,$Q108*(1+'5 Year Forecast'!$N$30),0)))</f>
        <v>0</v>
      </c>
      <c r="X108" s="421">
        <f>IF($J108='5 Year Forecast'!$O$5,$S108*(1+'5 Year Forecast'!$O$30),IF($J108&gt;'5 Year Forecast'!$O$5,0,IF($J108&lt;'5 Year Forecast'!$O$5,$Q108*(1+'5 Year Forecast'!$O$30),0)))</f>
        <v>100000</v>
      </c>
      <c r="Y108" s="421">
        <f>IF($J108='5 Year Forecast'!$P$5,$S108*(1+'5 Year Forecast'!$P$30),IF($J108&gt;'5 Year Forecast'!$P$5,0,IF($J108&lt;'5 Year Forecast'!$P$5,$Q108*(1+'5 Year Forecast'!$P$30),0)))</f>
        <v>0</v>
      </c>
    </row>
    <row r="109" spans="2:25" ht="15" customHeight="1" thickBot="1">
      <c r="B109" s="410"/>
      <c r="C109" s="410"/>
      <c r="D109" s="411"/>
      <c r="E109" s="412" t="s">
        <v>3581</v>
      </c>
      <c r="F109" s="640"/>
      <c r="G109" s="640"/>
      <c r="H109" s="640"/>
      <c r="I109" s="640"/>
      <c r="J109" s="640"/>
      <c r="K109" s="641">
        <f t="shared" ref="K109:L109" si="74">-SUM(K57:K61)</f>
        <v>400000</v>
      </c>
      <c r="L109" s="641">
        <f t="shared" si="74"/>
        <v>500000</v>
      </c>
      <c r="M109" s="641">
        <f>-SUM(M57:M61)</f>
        <v>900000</v>
      </c>
      <c r="N109" s="642"/>
      <c r="O109" s="643"/>
      <c r="P109" s="642"/>
      <c r="Q109" s="641">
        <f>-SUM(Q57:Q61)</f>
        <v>0</v>
      </c>
      <c r="R109" s="641">
        <f t="shared" ref="R109:S109" si="75">-SUM(R57:R61)</f>
        <v>0</v>
      </c>
      <c r="S109" s="641">
        <f t="shared" si="75"/>
        <v>0</v>
      </c>
      <c r="T109" s="644"/>
      <c r="U109" s="641">
        <f t="shared" ref="U109:Y109" si="76">-SUM(U57:U61)</f>
        <v>0</v>
      </c>
      <c r="V109" s="641">
        <f t="shared" si="76"/>
        <v>0</v>
      </c>
      <c r="W109" s="641">
        <f t="shared" si="76"/>
        <v>0</v>
      </c>
      <c r="X109" s="641">
        <f t="shared" si="76"/>
        <v>0</v>
      </c>
      <c r="Y109" s="641">
        <f t="shared" si="76"/>
        <v>0</v>
      </c>
    </row>
    <row r="110" spans="2:25" ht="15" customHeight="1" thickBot="1">
      <c r="B110" s="394"/>
      <c r="C110" s="395"/>
      <c r="D110" s="395"/>
      <c r="E110" s="461"/>
      <c r="F110" s="396"/>
      <c r="G110" s="396"/>
      <c r="H110" s="396"/>
      <c r="I110" s="396"/>
      <c r="J110" s="394"/>
      <c r="K110" s="394">
        <f>SUBTOTAL(9,K100:K109)</f>
        <v>1445000</v>
      </c>
      <c r="L110" s="394">
        <f>SUBTOTAL(9,L100:L109)</f>
        <v>3406616</v>
      </c>
      <c r="M110" s="394">
        <f>SUBTOTAL(9,M100:M109)</f>
        <v>4851616</v>
      </c>
      <c r="N110" s="396"/>
      <c r="O110" s="394"/>
      <c r="P110" s="396"/>
      <c r="Q110" s="394">
        <f>SUBTOTAL(9,Q100:Q109)</f>
        <v>1045000</v>
      </c>
      <c r="R110" s="394">
        <f>SUBTOTAL(9,R100:R109)</f>
        <v>2870616</v>
      </c>
      <c r="S110" s="394">
        <f>SUBTOTAL(9,S100:S109)</f>
        <v>3915616</v>
      </c>
      <c r="T110" s="397"/>
      <c r="U110" s="394">
        <f>SUBTOTAL(9,U100:U109)</f>
        <v>2795616</v>
      </c>
      <c r="V110" s="394">
        <f>SUBTOTAL(9,V100:V109)</f>
        <v>1145000</v>
      </c>
      <c r="W110" s="394">
        <f>SUBTOTAL(9,W100:W109)</f>
        <v>1245000</v>
      </c>
      <c r="X110" s="394">
        <f>SUBTOTAL(9,X100:X109)</f>
        <v>1145000</v>
      </c>
      <c r="Y110" s="398">
        <f>SUBTOTAL(9,Y100:Y109)</f>
        <v>1245000</v>
      </c>
    </row>
    <row r="111" spans="2:25" ht="15" customHeight="1"/>
    <row r="112" spans="2:25" ht="15" customHeight="1"/>
    <row r="113" spans="1:25" ht="15" customHeight="1">
      <c r="B113" s="658"/>
      <c r="C113" s="658"/>
      <c r="D113" s="159"/>
      <c r="E113" s="458"/>
      <c r="F113"/>
      <c r="G113"/>
      <c r="H113"/>
      <c r="I113" s="186"/>
      <c r="J113" s="186"/>
      <c r="K113" s="658" t="s">
        <v>1043</v>
      </c>
      <c r="L113" s="658"/>
      <c r="M113" s="658"/>
      <c r="N113"/>
      <c r="O113"/>
      <c r="P113"/>
      <c r="Q113" s="658" t="s">
        <v>1042</v>
      </c>
      <c r="R113" s="658"/>
      <c r="S113" s="658"/>
      <c r="T113"/>
      <c r="U113"/>
      <c r="V113"/>
      <c r="W113"/>
      <c r="X113"/>
      <c r="Y113"/>
    </row>
    <row r="114" spans="1:25" ht="15" customHeight="1">
      <c r="B114" s="659" t="s">
        <v>807</v>
      </c>
      <c r="C114" s="659"/>
      <c r="D114" s="659"/>
      <c r="E114" s="574" t="s">
        <v>86</v>
      </c>
      <c r="F114" s="399" t="s">
        <v>59</v>
      </c>
      <c r="G114" s="399" t="s">
        <v>1044</v>
      </c>
      <c r="H114" s="399" t="s">
        <v>85</v>
      </c>
      <c r="I114" s="659" t="s">
        <v>36</v>
      </c>
      <c r="J114" s="659"/>
      <c r="K114" s="399" t="s">
        <v>1039</v>
      </c>
      <c r="L114" s="399" t="s">
        <v>1040</v>
      </c>
      <c r="M114" s="399" t="s">
        <v>35</v>
      </c>
      <c r="N114" s="574"/>
      <c r="O114" s="574"/>
      <c r="P114" s="574"/>
      <c r="Q114" s="399" t="s">
        <v>1039</v>
      </c>
      <c r="R114" s="399" t="s">
        <v>1040</v>
      </c>
      <c r="S114" s="399" t="s">
        <v>35</v>
      </c>
      <c r="T114" s="401"/>
      <c r="U114" s="401"/>
      <c r="V114" s="401"/>
      <c r="W114" s="401"/>
      <c r="X114" s="401"/>
      <c r="Y114" s="401"/>
    </row>
    <row r="115" spans="1:25" ht="15" customHeight="1">
      <c r="B115" s="42"/>
      <c r="C115" s="42"/>
      <c r="D115" s="42"/>
      <c r="F115" s="41"/>
      <c r="G115" s="41"/>
      <c r="H115" s="41"/>
      <c r="I115" s="41"/>
      <c r="J115" s="41"/>
      <c r="K115" s="41"/>
      <c r="L115" s="67"/>
      <c r="M115" s="41"/>
      <c r="N115" s="41"/>
      <c r="O115" s="41"/>
      <c r="P115" s="41"/>
      <c r="Q115" s="41"/>
      <c r="R115" s="41"/>
      <c r="S115" s="41"/>
      <c r="T115" s="42"/>
      <c r="U115" s="41"/>
      <c r="V115" s="41"/>
      <c r="W115" s="41"/>
      <c r="X115" s="41"/>
      <c r="Y115" s="41"/>
    </row>
    <row r="116" spans="1:25" ht="15" customHeight="1">
      <c r="B116" s="410"/>
      <c r="C116" s="410"/>
      <c r="D116" s="411"/>
      <c r="E116" s="412" t="s">
        <v>3582</v>
      </c>
      <c r="F116" s="413"/>
      <c r="G116" s="413"/>
      <c r="H116" s="413" t="s">
        <v>56</v>
      </c>
      <c r="I116" s="413" t="s">
        <v>1209</v>
      </c>
      <c r="J116" s="413">
        <f>HLOOKUP($I116,'5 Year Forecast'!$L$4:$P$5,2,FALSE)</f>
        <v>1</v>
      </c>
      <c r="K116" s="414">
        <v>700000</v>
      </c>
      <c r="L116" s="415">
        <v>0</v>
      </c>
      <c r="M116" s="415">
        <f t="shared" ref="M116:M120" si="77">SUM(K116:L116)</f>
        <v>700000</v>
      </c>
      <c r="N116" s="416"/>
      <c r="O116" s="417" t="s">
        <v>44</v>
      </c>
      <c r="P116" s="416"/>
      <c r="Q116" s="415">
        <f t="shared" ref="Q116:Q120" si="78">IF($O116="Y",K116,IF($O116="N",0,$O116*K116))</f>
        <v>700000</v>
      </c>
      <c r="R116" s="415">
        <f t="shared" ref="R116:R120" si="79">IF($O116="Y",L116,IF($O116="N",0,$O116*L116))</f>
        <v>0</v>
      </c>
      <c r="S116" s="415">
        <f t="shared" ref="S116:S120" si="80">SUM(Q116:R116)</f>
        <v>700000</v>
      </c>
      <c r="T116" s="418"/>
      <c r="U116" s="421">
        <f>IF($J116='5 Year Forecast'!$L$5,$S116*(1+'5 Year Forecast'!$L$30),IF($J116&gt;'5 Year Forecast'!$L$5,0,IF($J116&lt;'5 Year Forecast'!$L$5,$Q116*(1+'5 Year Forecast'!$L$30),0)))</f>
        <v>700000</v>
      </c>
      <c r="V116" s="421">
        <f>IF($J116='5 Year Forecast'!$M$5,$S116*(1+'5 Year Forecast'!$M$30),IF($J116&gt;'5 Year Forecast'!$M$5,0,IF($J116&lt;'5 Year Forecast'!$M$5,$Q116*(1+'5 Year Forecast'!$M$30),0)))</f>
        <v>700000</v>
      </c>
      <c r="W116" s="421">
        <f>IF($J116='5 Year Forecast'!$N$5,$S116*(1+'5 Year Forecast'!$N$30),IF($J116&gt;'5 Year Forecast'!$N$5,0,IF($J116&lt;'5 Year Forecast'!$N$5,$Q116*(1+'5 Year Forecast'!$N$30),0)))</f>
        <v>700000</v>
      </c>
      <c r="X116" s="421">
        <f>IF($J116='5 Year Forecast'!$O$5,$S116*(1+'5 Year Forecast'!$O$30),IF($J116&gt;'5 Year Forecast'!$O$5,0,IF($J116&lt;'5 Year Forecast'!$O$5,$Q116*(1+'5 Year Forecast'!$O$30),0)))</f>
        <v>700000</v>
      </c>
      <c r="Y116" s="421">
        <f>IF($J116='5 Year Forecast'!$P$5,$S116*(1+'5 Year Forecast'!$P$30),IF($J116&gt;'5 Year Forecast'!$P$5,0,IF($J116&lt;'5 Year Forecast'!$P$5,$Q116*(1+'5 Year Forecast'!$P$30),0)))</f>
        <v>700000</v>
      </c>
    </row>
    <row r="117" spans="1:25" ht="15" customHeight="1">
      <c r="B117" s="410"/>
      <c r="C117" s="410"/>
      <c r="D117" s="411"/>
      <c r="E117" s="412" t="s">
        <v>3583</v>
      </c>
      <c r="F117" s="413"/>
      <c r="G117" s="413"/>
      <c r="H117" s="413" t="s">
        <v>1080</v>
      </c>
      <c r="I117" s="413" t="s">
        <v>3406</v>
      </c>
      <c r="J117" s="413">
        <f>HLOOKUP($I117,'5 Year Forecast'!$L$4:$P$5,2,FALSE)</f>
        <v>4</v>
      </c>
      <c r="K117" s="414"/>
      <c r="L117" s="415">
        <v>2500000</v>
      </c>
      <c r="M117" s="415">
        <f t="shared" si="77"/>
        <v>2500000</v>
      </c>
      <c r="N117" s="416"/>
      <c r="O117" s="417" t="s">
        <v>44</v>
      </c>
      <c r="P117" s="416"/>
      <c r="Q117" s="415">
        <f t="shared" si="78"/>
        <v>0</v>
      </c>
      <c r="R117" s="415">
        <f t="shared" si="79"/>
        <v>2500000</v>
      </c>
      <c r="S117" s="415">
        <f t="shared" si="80"/>
        <v>2500000</v>
      </c>
      <c r="T117" s="418"/>
      <c r="U117" s="421">
        <f>IF($J117='5 Year Forecast'!$L$5,$S117*(1+'5 Year Forecast'!$L$30),IF($J117&gt;'5 Year Forecast'!$L$5,0,IF($J117&lt;'5 Year Forecast'!$L$5,$Q117*(1+'5 Year Forecast'!$L$30),0)))</f>
        <v>0</v>
      </c>
      <c r="V117" s="421">
        <f>IF($J117='5 Year Forecast'!$M$5,$S117*(1+'5 Year Forecast'!$M$30),IF($J117&gt;'5 Year Forecast'!$M$5,0,IF($J117&lt;'5 Year Forecast'!$M$5,$Q117*(1+'5 Year Forecast'!$M$30),0)))</f>
        <v>0</v>
      </c>
      <c r="W117" s="421">
        <f>IF($J117='5 Year Forecast'!$N$5,$S117*(1+'5 Year Forecast'!$N$30),IF($J117&gt;'5 Year Forecast'!$N$5,0,IF($J117&lt;'5 Year Forecast'!$N$5,$Q117*(1+'5 Year Forecast'!$N$30),0)))</f>
        <v>0</v>
      </c>
      <c r="X117" s="421">
        <f>IF($J117='5 Year Forecast'!$O$5,$S117*(1+'5 Year Forecast'!$O$30),IF($J117&gt;'5 Year Forecast'!$O$5,0,IF($J117&lt;'5 Year Forecast'!$O$5,$Q117*(1+'5 Year Forecast'!$O$30),0)))</f>
        <v>2500000</v>
      </c>
      <c r="Y117" s="421">
        <f>IF($J117='5 Year Forecast'!$P$5,$S117*(1+'5 Year Forecast'!$P$30),IF($J117&gt;'5 Year Forecast'!$P$5,0,IF($J117&lt;'5 Year Forecast'!$P$5,$Q117*(1+'5 Year Forecast'!$P$30),0)))</f>
        <v>0</v>
      </c>
    </row>
    <row r="118" spans="1:25" ht="15" customHeight="1">
      <c r="B118" s="410"/>
      <c r="C118" s="410"/>
      <c r="D118" s="411"/>
      <c r="E118" s="412" t="s">
        <v>3584</v>
      </c>
      <c r="F118" s="413"/>
      <c r="G118" s="413"/>
      <c r="H118" s="413" t="s">
        <v>56</v>
      </c>
      <c r="I118" s="413" t="s">
        <v>3406</v>
      </c>
      <c r="J118" s="413">
        <f>HLOOKUP($I118,'5 Year Forecast'!$L$4:$P$5,2,FALSE)</f>
        <v>4</v>
      </c>
      <c r="K118" s="414">
        <v>0</v>
      </c>
      <c r="L118" s="415">
        <v>5000000</v>
      </c>
      <c r="M118" s="415">
        <f t="shared" si="77"/>
        <v>5000000</v>
      </c>
      <c r="N118" s="416"/>
      <c r="O118" s="417" t="s">
        <v>46</v>
      </c>
      <c r="P118" s="416"/>
      <c r="Q118" s="415">
        <f t="shared" si="78"/>
        <v>0</v>
      </c>
      <c r="R118" s="415">
        <f t="shared" si="79"/>
        <v>0</v>
      </c>
      <c r="S118" s="415">
        <f t="shared" si="80"/>
        <v>0</v>
      </c>
      <c r="T118" s="418"/>
      <c r="U118" s="421">
        <f>IF($J118='5 Year Forecast'!$L$5,$S118*(1+'5 Year Forecast'!$L$30),IF($J118&gt;'5 Year Forecast'!$L$5,0,IF($J118&lt;'5 Year Forecast'!$L$5,$Q118*(1+'5 Year Forecast'!$L$30),0)))</f>
        <v>0</v>
      </c>
      <c r="V118" s="421">
        <f>IF($J118='5 Year Forecast'!$M$5,$S118*(1+'5 Year Forecast'!$M$30),IF($J118&gt;'5 Year Forecast'!$M$5,0,IF($J118&lt;'5 Year Forecast'!$M$5,$Q118*(1+'5 Year Forecast'!$M$30),0)))</f>
        <v>0</v>
      </c>
      <c r="W118" s="421">
        <f>IF($J118='5 Year Forecast'!$N$5,$S118*(1+'5 Year Forecast'!$N$30),IF($J118&gt;'5 Year Forecast'!$N$5,0,IF($J118&lt;'5 Year Forecast'!$N$5,$Q118*(1+'5 Year Forecast'!$N$30),0)))</f>
        <v>0</v>
      </c>
      <c r="X118" s="421">
        <f>IF($J118='5 Year Forecast'!$O$5,$S118*(1+'5 Year Forecast'!$O$30),IF($J118&gt;'5 Year Forecast'!$O$5,0,IF($J118&lt;'5 Year Forecast'!$O$5,$Q118*(1+'5 Year Forecast'!$O$30),0)))</f>
        <v>0</v>
      </c>
      <c r="Y118" s="421">
        <f>IF($J118='5 Year Forecast'!$P$5,$S118*(1+'5 Year Forecast'!$P$30),IF($J118&gt;'5 Year Forecast'!$P$5,0,IF($J118&lt;'5 Year Forecast'!$P$5,$Q118*(1+'5 Year Forecast'!$P$30),0)))</f>
        <v>0</v>
      </c>
    </row>
    <row r="119" spans="1:25" ht="15" customHeight="1">
      <c r="A119" s="463"/>
      <c r="B119" s="410"/>
      <c r="C119" s="410"/>
      <c r="D119" s="411"/>
      <c r="E119" s="412" t="s">
        <v>3585</v>
      </c>
      <c r="F119" s="413"/>
      <c r="G119" s="413"/>
      <c r="H119" s="413" t="s">
        <v>1080</v>
      </c>
      <c r="I119" s="413" t="s">
        <v>3449</v>
      </c>
      <c r="J119" s="413">
        <f>HLOOKUP($I119,'5 Year Forecast'!$L$4:$P$5,2,FALSE)</f>
        <v>5</v>
      </c>
      <c r="K119" s="414"/>
      <c r="L119" s="415">
        <v>2500000</v>
      </c>
      <c r="M119" s="415">
        <f t="shared" si="77"/>
        <v>2500000</v>
      </c>
      <c r="N119" s="416"/>
      <c r="O119" s="417" t="s">
        <v>46</v>
      </c>
      <c r="P119" s="416"/>
      <c r="Q119" s="415">
        <f t="shared" si="78"/>
        <v>0</v>
      </c>
      <c r="R119" s="415">
        <f t="shared" si="79"/>
        <v>0</v>
      </c>
      <c r="S119" s="415">
        <f t="shared" si="80"/>
        <v>0</v>
      </c>
      <c r="T119" s="418"/>
      <c r="U119" s="421">
        <f>IF($J119='5 Year Forecast'!$L$5,$S119*(1+'5 Year Forecast'!$L$30),IF($J119&gt;'5 Year Forecast'!$L$5,0,IF($J119&lt;'5 Year Forecast'!$L$5,$Q119*(1+'5 Year Forecast'!$L$30),0)))</f>
        <v>0</v>
      </c>
      <c r="V119" s="421">
        <f>IF($J119='5 Year Forecast'!$M$5,$S119*(1+'5 Year Forecast'!$M$30),IF($J119&gt;'5 Year Forecast'!$M$5,0,IF($J119&lt;'5 Year Forecast'!$M$5,$Q119*(1+'5 Year Forecast'!$M$30),0)))</f>
        <v>0</v>
      </c>
      <c r="W119" s="421">
        <f>IF($J119='5 Year Forecast'!$N$5,$S119*(1+'5 Year Forecast'!$N$30),IF($J119&gt;'5 Year Forecast'!$N$5,0,IF($J119&lt;'5 Year Forecast'!$N$5,$Q119*(1+'5 Year Forecast'!$N$30),0)))</f>
        <v>0</v>
      </c>
      <c r="X119" s="421">
        <f>IF($J119='5 Year Forecast'!$O$5,$S119*(1+'5 Year Forecast'!$O$30),IF($J119&gt;'5 Year Forecast'!$O$5,0,IF($J119&lt;'5 Year Forecast'!$O$5,$Q119*(1+'5 Year Forecast'!$O$30),0)))</f>
        <v>0</v>
      </c>
      <c r="Y119" s="421">
        <f>IF($J119='5 Year Forecast'!$P$5,$S119*(1+'5 Year Forecast'!$P$30),IF($J119&gt;'5 Year Forecast'!$P$5,0,IF($J119&lt;'5 Year Forecast'!$P$5,$Q119*(1+'5 Year Forecast'!$P$30),0)))</f>
        <v>0</v>
      </c>
    </row>
    <row r="120" spans="1:25" ht="15" customHeight="1">
      <c r="B120" s="410"/>
      <c r="C120" s="410"/>
      <c r="D120" s="411"/>
      <c r="E120" s="412" t="s">
        <v>3591</v>
      </c>
      <c r="F120" s="423">
        <f>SUM(L117:L119)-SUM(S117:S119)</f>
        <v>7500000</v>
      </c>
      <c r="G120" s="425">
        <v>4.7500000000000001E-2</v>
      </c>
      <c r="H120" s="413">
        <v>15</v>
      </c>
      <c r="I120" s="413" t="s">
        <v>3449</v>
      </c>
      <c r="J120" s="413">
        <f>HLOOKUP($I120,'5 Year Forecast'!$L$4:$P$5,2,FALSE)</f>
        <v>5</v>
      </c>
      <c r="K120" s="414">
        <f>IF(G120=0,0,ROUND(-PMT(G120,H120,F120),0))</f>
        <v>710409</v>
      </c>
      <c r="L120" s="415">
        <v>0</v>
      </c>
      <c r="M120" s="415">
        <f t="shared" si="77"/>
        <v>710409</v>
      </c>
      <c r="N120" s="416"/>
      <c r="O120" s="417" t="s">
        <v>46</v>
      </c>
      <c r="P120" s="416"/>
      <c r="Q120" s="415">
        <f t="shared" si="78"/>
        <v>0</v>
      </c>
      <c r="R120" s="415">
        <f t="shared" si="79"/>
        <v>0</v>
      </c>
      <c r="S120" s="415">
        <f t="shared" si="80"/>
        <v>0</v>
      </c>
      <c r="T120" s="418"/>
      <c r="U120" s="421">
        <f>IF($J120='5 Year Forecast'!$L$5,$S120*(1+'5 Year Forecast'!$L$30),IF($J120&gt;'5 Year Forecast'!$L$5,0,IF($J120&lt;'5 Year Forecast'!$L$5,$Q120*(1+'5 Year Forecast'!$L$30),0)))</f>
        <v>0</v>
      </c>
      <c r="V120" s="421">
        <f>IF($J120='5 Year Forecast'!$M$5,$S120*(1+'5 Year Forecast'!$M$30),IF($J120&gt;'5 Year Forecast'!$M$5,0,IF($J120&lt;'5 Year Forecast'!$M$5,$Q120*(1+'5 Year Forecast'!$M$30),0)))</f>
        <v>0</v>
      </c>
      <c r="W120" s="421">
        <f>IF($J120='5 Year Forecast'!$N$5,$S120*(1+'5 Year Forecast'!$N$30),IF($J120&gt;'5 Year Forecast'!$N$5,0,IF($J120&lt;'5 Year Forecast'!$N$5,$Q120*(1+'5 Year Forecast'!$N$30),0)))</f>
        <v>0</v>
      </c>
      <c r="X120" s="421">
        <f>IF($J120='5 Year Forecast'!$O$5,$S120*(1+'5 Year Forecast'!$O$30),IF($J120&gt;'5 Year Forecast'!$O$5,0,IF($J120&lt;'5 Year Forecast'!$O$5,$Q120*(1+'5 Year Forecast'!$O$30),0)))</f>
        <v>0</v>
      </c>
      <c r="Y120" s="421">
        <f>IF($J120='5 Year Forecast'!$P$5,$S120*(1+'5 Year Forecast'!$P$30),IF($J120&gt;'5 Year Forecast'!$P$5,0,IF($J120&lt;'5 Year Forecast'!$P$5,$Q120*(1+'5 Year Forecast'!$P$30),0)))</f>
        <v>0</v>
      </c>
    </row>
    <row r="121" spans="1:25" ht="15" customHeight="1" thickBot="1">
      <c r="B121" s="410"/>
      <c r="C121" s="410"/>
      <c r="D121" s="411"/>
      <c r="E121" s="412" t="s">
        <v>3581</v>
      </c>
      <c r="F121" s="640"/>
      <c r="G121" s="640"/>
      <c r="H121" s="640"/>
      <c r="I121" s="640"/>
      <c r="J121" s="640"/>
      <c r="K121" s="641">
        <f>-SUM(K63:K67)</f>
        <v>400000</v>
      </c>
      <c r="L121" s="641">
        <f>-SUM(L63:L67)</f>
        <v>500000</v>
      </c>
      <c r="M121" s="641">
        <f>-SUM(M63:M67)</f>
        <v>900000</v>
      </c>
      <c r="N121" s="642"/>
      <c r="O121" s="643"/>
      <c r="P121" s="642"/>
      <c r="Q121" s="641">
        <f>-SUM(Q63:Q67)</f>
        <v>0</v>
      </c>
      <c r="R121" s="641">
        <f>-SUM(R63:R67)</f>
        <v>0</v>
      </c>
      <c r="S121" s="641">
        <f>-SUM(S63:S67)</f>
        <v>0</v>
      </c>
      <c r="T121" s="644"/>
      <c r="U121" s="641">
        <f>-SUM(U63:U67)</f>
        <v>0</v>
      </c>
      <c r="V121" s="641">
        <f>-SUM(V63:V67)</f>
        <v>0</v>
      </c>
      <c r="W121" s="641">
        <f>-SUM(W63:W67)</f>
        <v>0</v>
      </c>
      <c r="X121" s="641">
        <f>-SUM(X63:X67)</f>
        <v>0</v>
      </c>
      <c r="Y121" s="641">
        <f>-SUM(Y63:Y67)</f>
        <v>0</v>
      </c>
    </row>
    <row r="122" spans="1:25" ht="15" customHeight="1" thickBot="1">
      <c r="B122" s="394"/>
      <c r="C122" s="395"/>
      <c r="D122" s="395"/>
      <c r="E122" s="461"/>
      <c r="F122" s="396"/>
      <c r="G122" s="396"/>
      <c r="H122" s="396"/>
      <c r="I122" s="396"/>
      <c r="J122" s="394"/>
      <c r="K122" s="394">
        <f>SUBTOTAL(9,K116:K121)</f>
        <v>1810409</v>
      </c>
      <c r="L122" s="394">
        <f>SUBTOTAL(9,L116:L121)</f>
        <v>10500000</v>
      </c>
      <c r="M122" s="394">
        <f>SUBTOTAL(9,M116:M121)</f>
        <v>12310409</v>
      </c>
      <c r="N122" s="396"/>
      <c r="O122" s="394"/>
      <c r="P122" s="396"/>
      <c r="Q122" s="394">
        <f>SUBTOTAL(9,Q116:Q121)</f>
        <v>700000</v>
      </c>
      <c r="R122" s="394">
        <f>SUBTOTAL(9,R116:R121)</f>
        <v>2500000</v>
      </c>
      <c r="S122" s="394">
        <f>SUBTOTAL(9,S116:S121)</f>
        <v>3200000</v>
      </c>
      <c r="T122" s="397"/>
      <c r="U122" s="394">
        <f>SUBTOTAL(9,U116:U121)</f>
        <v>700000</v>
      </c>
      <c r="V122" s="394">
        <f>SUBTOTAL(9,V116:V121)</f>
        <v>700000</v>
      </c>
      <c r="W122" s="394">
        <f>SUBTOTAL(9,W116:W121)</f>
        <v>700000</v>
      </c>
      <c r="X122" s="394">
        <f>SUBTOTAL(9,X116:X121)</f>
        <v>3200000</v>
      </c>
      <c r="Y122" s="398">
        <f>SUBTOTAL(9,Y116:Y121)</f>
        <v>700000</v>
      </c>
    </row>
    <row r="123" spans="1:25" ht="15" customHeight="1"/>
    <row r="124" spans="1:25" ht="15" customHeight="1"/>
    <row r="125" spans="1:25" ht="15" customHeight="1">
      <c r="B125" s="658"/>
      <c r="C125" s="658"/>
      <c r="D125" s="159"/>
      <c r="E125" s="458"/>
      <c r="F125"/>
      <c r="G125"/>
      <c r="H125"/>
      <c r="I125" s="186"/>
      <c r="J125" s="186"/>
      <c r="K125" s="658" t="s">
        <v>1043</v>
      </c>
      <c r="L125" s="658"/>
      <c r="M125" s="658"/>
      <c r="N125"/>
      <c r="O125"/>
      <c r="P125"/>
      <c r="Q125" s="658" t="s">
        <v>1042</v>
      </c>
      <c r="R125" s="658"/>
      <c r="S125" s="658"/>
      <c r="T125"/>
      <c r="U125"/>
      <c r="V125"/>
      <c r="W125"/>
      <c r="X125"/>
      <c r="Y125"/>
    </row>
    <row r="126" spans="1:25" ht="15" customHeight="1">
      <c r="B126" s="659" t="s">
        <v>1068</v>
      </c>
      <c r="C126" s="659"/>
      <c r="D126" s="659"/>
      <c r="E126" s="460" t="s">
        <v>86</v>
      </c>
      <c r="F126" s="399" t="s">
        <v>59</v>
      </c>
      <c r="G126" s="399" t="s">
        <v>1044</v>
      </c>
      <c r="H126" s="399" t="s">
        <v>85</v>
      </c>
      <c r="I126" s="659" t="s">
        <v>36</v>
      </c>
      <c r="J126" s="659"/>
      <c r="K126" s="400" t="s">
        <v>1039</v>
      </c>
      <c r="L126" s="400" t="s">
        <v>1040</v>
      </c>
      <c r="M126" s="400" t="s">
        <v>35</v>
      </c>
      <c r="N126" s="401"/>
      <c r="O126" s="401"/>
      <c r="P126" s="401"/>
      <c r="Q126" s="400" t="s">
        <v>1039</v>
      </c>
      <c r="R126" s="400" t="s">
        <v>1040</v>
      </c>
      <c r="S126" s="400" t="s">
        <v>35</v>
      </c>
      <c r="T126" s="401"/>
      <c r="U126" s="401"/>
      <c r="V126" s="401"/>
      <c r="W126" s="401"/>
      <c r="X126" s="401"/>
      <c r="Y126" s="401"/>
    </row>
    <row r="127" spans="1:25" ht="15" customHeight="1">
      <c r="B127" s="42"/>
      <c r="C127" s="42"/>
      <c r="D127" s="42"/>
      <c r="F127" s="41"/>
      <c r="G127" s="41"/>
      <c r="H127" s="41"/>
      <c r="I127" s="41"/>
      <c r="J127" s="41"/>
      <c r="K127" s="41"/>
      <c r="L127" s="67"/>
      <c r="M127" s="41"/>
      <c r="N127" s="41"/>
      <c r="O127" s="41"/>
      <c r="P127" s="41"/>
      <c r="Q127" s="41"/>
      <c r="R127" s="41"/>
      <c r="S127" s="41"/>
      <c r="T127" s="42"/>
      <c r="U127" s="41"/>
      <c r="V127" s="41"/>
      <c r="W127" s="41"/>
      <c r="X127" s="41"/>
      <c r="Y127" s="41"/>
    </row>
    <row r="128" spans="1:25" ht="15" customHeight="1">
      <c r="B128" s="410">
        <v>119</v>
      </c>
      <c r="C128" s="410">
        <v>180</v>
      </c>
      <c r="D128" s="411">
        <v>183</v>
      </c>
      <c r="E128" s="412" t="s">
        <v>3502</v>
      </c>
      <c r="F128" s="413" t="s">
        <v>1060</v>
      </c>
      <c r="G128" s="413" t="s">
        <v>1061</v>
      </c>
      <c r="H128" s="413" t="s">
        <v>87</v>
      </c>
      <c r="I128" s="413" t="s">
        <v>1209</v>
      </c>
      <c r="J128" s="413">
        <f>HLOOKUP($I128,'5 Year Forecast'!$L$4:$P$5,2,FALSE)</f>
        <v>1</v>
      </c>
      <c r="K128" s="414">
        <v>100000</v>
      </c>
      <c r="L128" s="415">
        <v>0</v>
      </c>
      <c r="M128" s="415">
        <f t="shared" ref="M128:M131" si="81">SUM(K128:L128)</f>
        <v>100000</v>
      </c>
      <c r="N128" s="416"/>
      <c r="O128" s="417" t="s">
        <v>46</v>
      </c>
      <c r="P128" s="416"/>
      <c r="Q128" s="415">
        <f t="shared" ref="Q128:Q131" si="82">IF($O128="Y",K128,IF($O128="N",0,$O128*K128))</f>
        <v>0</v>
      </c>
      <c r="R128" s="415">
        <f t="shared" ref="R128:R131" si="83">IF($O128="Y",L128,IF($O128="N",0,$O128*L128))</f>
        <v>0</v>
      </c>
      <c r="S128" s="415">
        <f t="shared" ref="S128:S131" si="84">SUM(Q128:R128)</f>
        <v>0</v>
      </c>
      <c r="T128" s="418"/>
      <c r="U128" s="421">
        <f>IF($J128='5 Year Forecast'!$L$5,$S128*(1+'5 Year Forecast'!$L$30),IF($J128&gt;'5 Year Forecast'!$L$5,0,IF($J128&lt;'5 Year Forecast'!$L$5,$Q128*(1+'5 Year Forecast'!$L$30),0)))</f>
        <v>0</v>
      </c>
      <c r="V128" s="421">
        <f>IF($J128='5 Year Forecast'!$M$5,$S128*(1+'5 Year Forecast'!$M$30),IF($J128&gt;'5 Year Forecast'!$M$5,0,IF($J128&lt;'5 Year Forecast'!$M$5,$Q128*(1+'5 Year Forecast'!$M$30),0)))</f>
        <v>0</v>
      </c>
      <c r="W128" s="421">
        <f>IF($J128='5 Year Forecast'!$N$5,$S128*(1+'5 Year Forecast'!$N$30),IF($J128&gt;'5 Year Forecast'!$N$5,0,IF($J128&lt;'5 Year Forecast'!$N$5,$Q128*(1+'5 Year Forecast'!$N$30),0)))</f>
        <v>0</v>
      </c>
      <c r="X128" s="421">
        <f>IF($J128='5 Year Forecast'!$O$5,$S128*(1+'5 Year Forecast'!$O$30),IF($J128&gt;'5 Year Forecast'!$O$5,0,IF($J128&lt;'5 Year Forecast'!$O$5,$Q128*(1+'5 Year Forecast'!$O$30),0)))</f>
        <v>0</v>
      </c>
      <c r="Y128" s="421">
        <f>IF($J128='5 Year Forecast'!$P$5,$S128*(1+'5 Year Forecast'!$P$30),IF($J128&gt;'5 Year Forecast'!$P$5,0,IF($J128&lt;'5 Year Forecast'!$P$5,$Q128*(1+'5 Year Forecast'!$P$30),0)))</f>
        <v>0</v>
      </c>
    </row>
    <row r="129" spans="2:26" ht="15" customHeight="1">
      <c r="B129" s="410">
        <v>119</v>
      </c>
      <c r="C129" s="410">
        <v>180</v>
      </c>
      <c r="D129" s="411">
        <v>183</v>
      </c>
      <c r="E129" s="412" t="s">
        <v>3564</v>
      </c>
      <c r="F129" s="413" t="s">
        <v>1060</v>
      </c>
      <c r="G129" s="413" t="s">
        <v>1061</v>
      </c>
      <c r="H129" s="413" t="s">
        <v>1079</v>
      </c>
      <c r="I129" s="413" t="s">
        <v>1209</v>
      </c>
      <c r="J129" s="413">
        <f>HLOOKUP($I129,'5 Year Forecast'!$L$4:$P$5,2,FALSE)</f>
        <v>1</v>
      </c>
      <c r="K129" s="414">
        <v>100000</v>
      </c>
      <c r="L129" s="415">
        <v>0</v>
      </c>
      <c r="M129" s="415">
        <f t="shared" ref="M129" si="85">SUM(K129:L129)</f>
        <v>100000</v>
      </c>
      <c r="N129" s="416"/>
      <c r="O129" s="417" t="s">
        <v>46</v>
      </c>
      <c r="P129" s="416"/>
      <c r="Q129" s="415">
        <f t="shared" ref="Q129" si="86">IF($O129="Y",K129,IF($O129="N",0,$O129*K129))</f>
        <v>0</v>
      </c>
      <c r="R129" s="415">
        <f t="shared" ref="R129" si="87">IF($O129="Y",L129,IF($O129="N",0,$O129*L129))</f>
        <v>0</v>
      </c>
      <c r="S129" s="415">
        <f t="shared" ref="S129" si="88">SUM(Q129:R129)</f>
        <v>0</v>
      </c>
      <c r="T129" s="418"/>
      <c r="U129" s="421">
        <f>IF($J129='5 Year Forecast'!$L$5,$S129*(1+'5 Year Forecast'!$L$30),IF($J129&gt;'5 Year Forecast'!$L$5,0,IF($J129&lt;'5 Year Forecast'!$L$5,$Q129*(1+'5 Year Forecast'!$L$30),0)))</f>
        <v>0</v>
      </c>
      <c r="V129" s="421">
        <f>IF($J129='5 Year Forecast'!$M$5,$S129*(1+'5 Year Forecast'!$M$30),IF($J129&gt;'5 Year Forecast'!$M$5,0,IF($J129&lt;'5 Year Forecast'!$M$5,$Q129*(1+'5 Year Forecast'!$M$30),0)))</f>
        <v>0</v>
      </c>
      <c r="W129" s="421">
        <f>IF($J129='5 Year Forecast'!$N$5,$S129*(1+'5 Year Forecast'!$N$30),IF($J129&gt;'5 Year Forecast'!$N$5,0,IF($J129&lt;'5 Year Forecast'!$N$5,$Q129*(1+'5 Year Forecast'!$N$30),0)))</f>
        <v>0</v>
      </c>
      <c r="X129" s="421">
        <f>IF($J129='5 Year Forecast'!$O$5,$S129*(1+'5 Year Forecast'!$O$30),IF($J129&gt;'5 Year Forecast'!$O$5,0,IF($J129&lt;'5 Year Forecast'!$O$5,$Q129*(1+'5 Year Forecast'!$O$30),0)))</f>
        <v>0</v>
      </c>
      <c r="Y129" s="421">
        <f>IF($J129='5 Year Forecast'!$P$5,$S129*(1+'5 Year Forecast'!$P$30),IF($J129&gt;'5 Year Forecast'!$P$5,0,IF($J129&lt;'5 Year Forecast'!$P$5,$Q129*(1+'5 Year Forecast'!$P$30),0)))</f>
        <v>0</v>
      </c>
    </row>
    <row r="130" spans="2:26" ht="15" customHeight="1">
      <c r="B130" s="410"/>
      <c r="C130" s="410"/>
      <c r="D130" s="411"/>
      <c r="E130" s="412"/>
      <c r="F130" s="413"/>
      <c r="G130" s="413"/>
      <c r="H130" s="413" t="s">
        <v>87</v>
      </c>
      <c r="I130" s="413"/>
      <c r="J130" s="413"/>
      <c r="K130" s="414">
        <v>0</v>
      </c>
      <c r="L130" s="415">
        <v>0</v>
      </c>
      <c r="M130" s="415">
        <f t="shared" si="81"/>
        <v>0</v>
      </c>
      <c r="N130" s="416"/>
      <c r="O130" s="417" t="s">
        <v>46</v>
      </c>
      <c r="P130" s="416"/>
      <c r="Q130" s="415">
        <f t="shared" si="82"/>
        <v>0</v>
      </c>
      <c r="R130" s="415">
        <f t="shared" si="83"/>
        <v>0</v>
      </c>
      <c r="S130" s="415">
        <f t="shared" si="84"/>
        <v>0</v>
      </c>
      <c r="T130" s="418"/>
      <c r="U130" s="421">
        <f>IF($J130='5 Year Forecast'!$L$5,$S130*(1+'5 Year Forecast'!$L$30),IF($J130&gt;'5 Year Forecast'!$L$5,0,IF($J130&lt;'5 Year Forecast'!$L$5,$Q130*(1+'5 Year Forecast'!$L$30),0)))</f>
        <v>0</v>
      </c>
      <c r="V130" s="421">
        <f>IF($J130='5 Year Forecast'!$M$5,$S130*(1+'5 Year Forecast'!$M$30),IF($J130&gt;'5 Year Forecast'!$M$5,0,IF($J130&lt;'5 Year Forecast'!$M$5,$Q130*(1+'5 Year Forecast'!$M$30),0)))</f>
        <v>0</v>
      </c>
      <c r="W130" s="421">
        <f>IF($J130='5 Year Forecast'!$N$5,$S130*(1+'5 Year Forecast'!$N$30),IF($J130&gt;'5 Year Forecast'!$N$5,0,IF($J130&lt;'5 Year Forecast'!$N$5,$Q130*(1+'5 Year Forecast'!$N$30),0)))</f>
        <v>0</v>
      </c>
      <c r="X130" s="421">
        <f>IF($J130='5 Year Forecast'!$O$5,$S130*(1+'5 Year Forecast'!$O$30),IF($J130&gt;'5 Year Forecast'!$O$5,0,IF($J130&lt;'5 Year Forecast'!$O$5,$Q130*(1+'5 Year Forecast'!$O$30),0)))</f>
        <v>0</v>
      </c>
      <c r="Y130" s="421">
        <f>IF($J130='5 Year Forecast'!$P$5,$S130*(1+'5 Year Forecast'!$P$30),IF($J130&gt;'5 Year Forecast'!$P$5,0,IF($J130&lt;'5 Year Forecast'!$P$5,$Q130*(1+'5 Year Forecast'!$P$30),0)))</f>
        <v>0</v>
      </c>
    </row>
    <row r="131" spans="2:26" ht="15" customHeight="1" thickBot="1">
      <c r="B131" s="410"/>
      <c r="C131" s="410"/>
      <c r="D131" s="411"/>
      <c r="E131" s="412"/>
      <c r="F131" s="413"/>
      <c r="G131" s="413"/>
      <c r="H131" s="413" t="s">
        <v>87</v>
      </c>
      <c r="I131" s="413"/>
      <c r="J131" s="413"/>
      <c r="K131" s="414">
        <v>0</v>
      </c>
      <c r="L131" s="415">
        <v>0</v>
      </c>
      <c r="M131" s="415">
        <f t="shared" si="81"/>
        <v>0</v>
      </c>
      <c r="N131" s="416"/>
      <c r="O131" s="417" t="s">
        <v>46</v>
      </c>
      <c r="P131" s="416"/>
      <c r="Q131" s="415">
        <f t="shared" si="82"/>
        <v>0</v>
      </c>
      <c r="R131" s="415">
        <f t="shared" si="83"/>
        <v>0</v>
      </c>
      <c r="S131" s="415">
        <f t="shared" si="84"/>
        <v>0</v>
      </c>
      <c r="T131" s="418"/>
      <c r="U131" s="421">
        <f>IF($J131='5 Year Forecast'!$L$5,$S131*(1+'5 Year Forecast'!$L$30),IF($J131&gt;'5 Year Forecast'!$L$5,0,IF($J131&lt;'5 Year Forecast'!$L$5,$Q131*(1+'5 Year Forecast'!$L$30),0)))</f>
        <v>0</v>
      </c>
      <c r="V131" s="421">
        <f>IF($J131='5 Year Forecast'!$M$5,$S131*(1+'5 Year Forecast'!$M$30),IF($J131&gt;'5 Year Forecast'!$M$5,0,IF($J131&lt;'5 Year Forecast'!$M$5,$Q131*(1+'5 Year Forecast'!$M$30),0)))</f>
        <v>0</v>
      </c>
      <c r="W131" s="421">
        <f>IF($J131='5 Year Forecast'!$N$5,$S131*(1+'5 Year Forecast'!$N$30),IF($J131&gt;'5 Year Forecast'!$N$5,0,IF($J131&lt;'5 Year Forecast'!$N$5,$Q131*(1+'5 Year Forecast'!$N$30),0)))</f>
        <v>0</v>
      </c>
      <c r="X131" s="421">
        <f>IF($J131='5 Year Forecast'!$O$5,$S131*(1+'5 Year Forecast'!$O$30),IF($J131&gt;'5 Year Forecast'!$O$5,0,IF($J131&lt;'5 Year Forecast'!$O$5,$Q131*(1+'5 Year Forecast'!$O$30),0)))</f>
        <v>0</v>
      </c>
      <c r="Y131" s="421">
        <f>IF($J131='5 Year Forecast'!$P$5,$S131*(1+'5 Year Forecast'!$P$30),IF($J131&gt;'5 Year Forecast'!$P$5,0,IF($J131&lt;'5 Year Forecast'!$P$5,$Q131*(1+'5 Year Forecast'!$P$30),0)))</f>
        <v>0</v>
      </c>
    </row>
    <row r="132" spans="2:26" ht="15" customHeight="1" thickBot="1">
      <c r="B132" s="394"/>
      <c r="C132" s="395"/>
      <c r="D132" s="395"/>
      <c r="E132" s="461"/>
      <c r="F132" s="396"/>
      <c r="G132" s="396"/>
      <c r="H132" s="396"/>
      <c r="I132" s="396"/>
      <c r="J132" s="394"/>
      <c r="K132" s="394">
        <f>SUBTOTAL(9,K128:K131)</f>
        <v>200000</v>
      </c>
      <c r="L132" s="394">
        <f>SUBTOTAL(9,L128:L131)</f>
        <v>0</v>
      </c>
      <c r="M132" s="394">
        <f>SUBTOTAL(9,M128:M131)</f>
        <v>200000</v>
      </c>
      <c r="N132" s="396"/>
      <c r="O132" s="394"/>
      <c r="P132" s="396"/>
      <c r="Q132" s="394">
        <f>SUBTOTAL(9,Q128:Q131)</f>
        <v>0</v>
      </c>
      <c r="R132" s="394">
        <f>SUBTOTAL(9,R128:R131)</f>
        <v>0</v>
      </c>
      <c r="S132" s="394">
        <f>SUBTOTAL(9,S128:S131)</f>
        <v>0</v>
      </c>
      <c r="T132" s="397"/>
      <c r="U132" s="394">
        <f>SUBTOTAL(9,U128:U131)</f>
        <v>0</v>
      </c>
      <c r="V132" s="394">
        <f>SUBTOTAL(9,V128:V131)</f>
        <v>0</v>
      </c>
      <c r="W132" s="394">
        <f>SUBTOTAL(9,W128:W131)</f>
        <v>0</v>
      </c>
      <c r="X132" s="394">
        <f>SUBTOTAL(9,X128:X131)</f>
        <v>0</v>
      </c>
      <c r="Y132" s="398">
        <f>SUBTOTAL(9,Y128:Y131)</f>
        <v>0</v>
      </c>
    </row>
    <row r="133" spans="2:26" ht="15" customHeight="1">
      <c r="E133" s="462"/>
    </row>
    <row r="134" spans="2:26" ht="15" customHeight="1"/>
    <row r="135" spans="2:26" ht="15" customHeight="1">
      <c r="B135" s="658"/>
      <c r="C135" s="658"/>
      <c r="D135" s="159"/>
      <c r="E135" s="458"/>
      <c r="F135"/>
      <c r="G135"/>
      <c r="H135"/>
      <c r="I135" s="186"/>
      <c r="J135" s="186"/>
      <c r="K135" s="658" t="s">
        <v>1043</v>
      </c>
      <c r="L135" s="658"/>
      <c r="M135" s="658"/>
      <c r="N135"/>
      <c r="O135"/>
      <c r="P135"/>
      <c r="Q135" s="658" t="s">
        <v>1042</v>
      </c>
      <c r="R135" s="658"/>
      <c r="S135" s="658"/>
      <c r="T135"/>
      <c r="U135"/>
      <c r="V135"/>
      <c r="W135"/>
      <c r="X135"/>
      <c r="Y135"/>
    </row>
    <row r="136" spans="2:26" ht="15" customHeight="1">
      <c r="B136" s="659" t="s">
        <v>1072</v>
      </c>
      <c r="C136" s="659"/>
      <c r="D136" s="659"/>
      <c r="E136" s="460" t="s">
        <v>1073</v>
      </c>
      <c r="F136" s="399" t="s">
        <v>808</v>
      </c>
      <c r="G136" s="399" t="s">
        <v>1074</v>
      </c>
      <c r="H136" s="399" t="s">
        <v>1075</v>
      </c>
      <c r="I136" s="659" t="s">
        <v>36</v>
      </c>
      <c r="J136" s="659"/>
      <c r="K136" s="400" t="s">
        <v>1039</v>
      </c>
      <c r="L136" s="400" t="s">
        <v>1040</v>
      </c>
      <c r="M136" s="400" t="s">
        <v>35</v>
      </c>
      <c r="N136" s="401"/>
      <c r="O136" s="401"/>
      <c r="P136" s="401"/>
      <c r="Q136" s="400" t="s">
        <v>1039</v>
      </c>
      <c r="R136" s="400" t="s">
        <v>1040</v>
      </c>
      <c r="S136" s="400" t="s">
        <v>35</v>
      </c>
      <c r="T136" s="401"/>
      <c r="U136" s="401"/>
      <c r="V136" s="401"/>
      <c r="W136" s="401"/>
      <c r="X136" s="401"/>
      <c r="Y136" s="401"/>
    </row>
    <row r="137" spans="2:26" ht="15" customHeight="1">
      <c r="B137" s="42"/>
      <c r="C137" s="42"/>
      <c r="D137" s="42"/>
      <c r="F137" s="41"/>
      <c r="G137" s="41"/>
      <c r="H137" s="41"/>
      <c r="I137" s="41"/>
      <c r="J137" s="41"/>
      <c r="K137" s="41"/>
      <c r="L137" s="67"/>
      <c r="M137" s="41"/>
      <c r="N137" s="41"/>
      <c r="O137" s="41"/>
      <c r="P137" s="41"/>
      <c r="Q137" s="41"/>
      <c r="R137" s="41"/>
      <c r="S137" s="41"/>
      <c r="T137" s="42"/>
      <c r="U137" s="41"/>
      <c r="V137" s="41"/>
      <c r="W137" s="41"/>
      <c r="X137" s="41"/>
      <c r="Y137" s="41"/>
    </row>
    <row r="138" spans="2:26" ht="15" customHeight="1">
      <c r="B138" s="410"/>
      <c r="C138" s="410"/>
      <c r="D138" s="411"/>
      <c r="E138" s="412"/>
      <c r="F138" s="423">
        <v>0</v>
      </c>
      <c r="G138" s="425">
        <v>0</v>
      </c>
      <c r="H138" s="413">
        <v>15</v>
      </c>
      <c r="I138" s="413" t="s">
        <v>3449</v>
      </c>
      <c r="J138" s="413">
        <f>HLOOKUP($I138,'5 Year Forecast'!$L$4:$P$5,2,FALSE)</f>
        <v>5</v>
      </c>
      <c r="K138" s="414">
        <f>IF(G138=0,0,ROUND(-PMT(G138,H138,F138),0))</f>
        <v>0</v>
      </c>
      <c r="L138" s="415">
        <v>0</v>
      </c>
      <c r="M138" s="415">
        <f t="shared" ref="M138:M147" si="89">SUM(K138:L138)</f>
        <v>0</v>
      </c>
      <c r="N138" s="416"/>
      <c r="O138" s="417" t="s">
        <v>46</v>
      </c>
      <c r="P138" s="416"/>
      <c r="Q138" s="415">
        <f t="shared" ref="Q138:Q147" si="90">IF($O138="Y",K138,IF($O138="N",0,$O138*K138))</f>
        <v>0</v>
      </c>
      <c r="R138" s="415">
        <f t="shared" ref="R138:R147" si="91">IF($O138="Y",L138,IF($O138="N",0,$O138*L138))</f>
        <v>0</v>
      </c>
      <c r="S138" s="415">
        <f t="shared" ref="S138:S147" si="92">SUM(Q138:R138)</f>
        <v>0</v>
      </c>
      <c r="T138" s="418"/>
      <c r="U138" s="457"/>
      <c r="V138" s="457"/>
      <c r="W138" s="457"/>
      <c r="X138" s="457"/>
      <c r="Y138" s="457"/>
      <c r="Z138" s="257">
        <f>S138*15</f>
        <v>0</v>
      </c>
    </row>
    <row r="139" spans="2:26" ht="15" customHeight="1">
      <c r="B139" s="410"/>
      <c r="C139" s="410"/>
      <c r="D139" s="411"/>
      <c r="E139" s="412"/>
      <c r="F139" s="423">
        <v>0</v>
      </c>
      <c r="G139" s="425">
        <v>4.7500000000000001E-2</v>
      </c>
      <c r="H139" s="413">
        <v>15</v>
      </c>
      <c r="I139" s="413" t="s">
        <v>3449</v>
      </c>
      <c r="J139" s="413">
        <f>HLOOKUP($I139,'5 Year Forecast'!$L$4:$P$5,2,FALSE)</f>
        <v>5</v>
      </c>
      <c r="K139" s="414">
        <f>IF(G139=0,0,ROUND(-PMT(G139,H139,F139),0))</f>
        <v>0</v>
      </c>
      <c r="L139" s="415">
        <v>0</v>
      </c>
      <c r="M139" s="415">
        <f t="shared" ref="M139" si="93">SUM(K139:L139)</f>
        <v>0</v>
      </c>
      <c r="N139" s="416"/>
      <c r="O139" s="417" t="s">
        <v>44</v>
      </c>
      <c r="P139" s="416"/>
      <c r="Q139" s="415">
        <f t="shared" si="90"/>
        <v>0</v>
      </c>
      <c r="R139" s="415">
        <f t="shared" si="91"/>
        <v>0</v>
      </c>
      <c r="S139" s="415">
        <f t="shared" si="92"/>
        <v>0</v>
      </c>
      <c r="T139" s="418"/>
      <c r="U139" s="457"/>
      <c r="V139" s="457"/>
      <c r="W139" s="457"/>
      <c r="X139" s="457"/>
      <c r="Y139" s="457"/>
    </row>
    <row r="140" spans="2:26" ht="15" customHeight="1">
      <c r="B140" s="410"/>
      <c r="C140" s="410"/>
      <c r="D140" s="411"/>
      <c r="E140" s="412"/>
      <c r="F140" s="423">
        <v>0</v>
      </c>
      <c r="G140" s="425">
        <v>4.7500000000000001E-2</v>
      </c>
      <c r="H140" s="413">
        <v>15</v>
      </c>
      <c r="I140" s="413" t="s">
        <v>3449</v>
      </c>
      <c r="J140" s="413">
        <f>HLOOKUP($I140,'5 Year Forecast'!$L$4:$P$5,2,FALSE)</f>
        <v>5</v>
      </c>
      <c r="K140" s="414">
        <f>IF(G140=0,0,ROUND(-PMT(G140,H140,F140),0))</f>
        <v>0</v>
      </c>
      <c r="L140" s="415">
        <v>0</v>
      </c>
      <c r="M140" s="415">
        <f t="shared" si="89"/>
        <v>0</v>
      </c>
      <c r="N140" s="416"/>
      <c r="O140" s="417" t="s">
        <v>44</v>
      </c>
      <c r="P140" s="416"/>
      <c r="Q140" s="415">
        <f t="shared" si="90"/>
        <v>0</v>
      </c>
      <c r="R140" s="415">
        <f t="shared" si="91"/>
        <v>0</v>
      </c>
      <c r="S140" s="415">
        <f t="shared" si="92"/>
        <v>0</v>
      </c>
      <c r="T140" s="418"/>
      <c r="U140" s="457"/>
      <c r="V140" s="457"/>
      <c r="W140" s="457"/>
      <c r="X140" s="457"/>
      <c r="Y140" s="457"/>
    </row>
    <row r="141" spans="2:26" ht="15" customHeight="1">
      <c r="B141" s="410"/>
      <c r="C141" s="410"/>
      <c r="D141" s="411"/>
      <c r="E141" s="412" t="s">
        <v>3512</v>
      </c>
      <c r="F141" s="423">
        <v>17000000</v>
      </c>
      <c r="G141" s="425">
        <v>4.7500000000000001E-2</v>
      </c>
      <c r="H141" s="413">
        <v>15</v>
      </c>
      <c r="I141" s="413" t="s">
        <v>3406</v>
      </c>
      <c r="J141" s="413">
        <f>HLOOKUP($I141,'5 Year Forecast'!$L$4:$P$5,2,FALSE)</f>
        <v>4</v>
      </c>
      <c r="K141" s="414">
        <f>IF(G141=0,0,ROUND(-PMT(G141,H141,F141),0))</f>
        <v>1610259</v>
      </c>
      <c r="L141" s="415">
        <v>0</v>
      </c>
      <c r="M141" s="415">
        <f t="shared" ref="M141" si="94">SUM(K141:L141)</f>
        <v>1610259</v>
      </c>
      <c r="N141" s="416"/>
      <c r="O141" s="417" t="s">
        <v>44</v>
      </c>
      <c r="P141" s="416"/>
      <c r="Q141" s="415">
        <f t="shared" si="90"/>
        <v>1610259</v>
      </c>
      <c r="R141" s="415">
        <f t="shared" si="91"/>
        <v>0</v>
      </c>
      <c r="S141" s="415">
        <f t="shared" si="92"/>
        <v>1610259</v>
      </c>
      <c r="T141" s="418"/>
      <c r="U141" s="457"/>
      <c r="V141" s="457"/>
      <c r="W141" s="457"/>
      <c r="X141" s="457"/>
      <c r="Y141" s="457"/>
    </row>
    <row r="142" spans="2:26" ht="15" customHeight="1" thickBot="1">
      <c r="B142" s="410"/>
      <c r="C142" s="410"/>
      <c r="D142" s="411"/>
      <c r="E142" s="412"/>
      <c r="F142" s="423"/>
      <c r="G142" s="425"/>
      <c r="H142" s="413"/>
      <c r="I142" s="413" t="s">
        <v>3323</v>
      </c>
      <c r="J142" s="413">
        <f>HLOOKUP($I142,'5 Year Forecast'!$L$4:$P$5,2,FALSE)</f>
        <v>2</v>
      </c>
      <c r="K142" s="414"/>
      <c r="L142" s="415">
        <f t="shared" ref="L142:L147" si="95">IF(G142=0,0,ROUND(-PMT(G142,H142,F142),0))</f>
        <v>0</v>
      </c>
      <c r="M142" s="415">
        <f t="shared" si="89"/>
        <v>0</v>
      </c>
      <c r="N142" s="416"/>
      <c r="O142" s="417" t="s">
        <v>46</v>
      </c>
      <c r="P142" s="416"/>
      <c r="Q142" s="415">
        <f t="shared" si="90"/>
        <v>0</v>
      </c>
      <c r="R142" s="415">
        <f t="shared" si="91"/>
        <v>0</v>
      </c>
      <c r="S142" s="415">
        <f t="shared" si="92"/>
        <v>0</v>
      </c>
      <c r="T142" s="418"/>
      <c r="U142" s="457"/>
      <c r="V142" s="457"/>
      <c r="W142" s="457"/>
      <c r="X142" s="457"/>
      <c r="Y142" s="457"/>
    </row>
    <row r="143" spans="2:26" ht="15" hidden="1" customHeight="1">
      <c r="B143" s="410"/>
      <c r="C143" s="410"/>
      <c r="D143" s="411"/>
      <c r="E143" s="412"/>
      <c r="F143" s="423"/>
      <c r="G143" s="425"/>
      <c r="H143" s="413"/>
      <c r="I143" s="413" t="s">
        <v>1041</v>
      </c>
      <c r="J143" s="413" t="e">
        <f>HLOOKUP($I143,'5 Year Forecast'!$L$4:$P$5,2,FALSE)</f>
        <v>#N/A</v>
      </c>
      <c r="K143" s="414"/>
      <c r="L143" s="415">
        <f t="shared" si="95"/>
        <v>0</v>
      </c>
      <c r="M143" s="415">
        <f t="shared" si="89"/>
        <v>0</v>
      </c>
      <c r="N143" s="416"/>
      <c r="O143" s="417" t="s">
        <v>46</v>
      </c>
      <c r="P143" s="416"/>
      <c r="Q143" s="415">
        <f t="shared" si="90"/>
        <v>0</v>
      </c>
      <c r="R143" s="415">
        <f t="shared" si="91"/>
        <v>0</v>
      </c>
      <c r="S143" s="415">
        <f t="shared" si="92"/>
        <v>0</v>
      </c>
      <c r="T143" s="418"/>
      <c r="U143" s="457"/>
      <c r="V143" s="457"/>
      <c r="W143" s="457"/>
      <c r="X143" s="457"/>
      <c r="Y143" s="457"/>
    </row>
    <row r="144" spans="2:26" ht="15" hidden="1" customHeight="1">
      <c r="B144" s="410"/>
      <c r="C144" s="410"/>
      <c r="D144" s="411"/>
      <c r="E144" s="412"/>
      <c r="F144" s="423"/>
      <c r="G144" s="425"/>
      <c r="H144" s="413"/>
      <c r="I144" s="413" t="s">
        <v>1041</v>
      </c>
      <c r="J144" s="413" t="e">
        <f>HLOOKUP($I144,'5 Year Forecast'!$L$4:$P$5,2,FALSE)</f>
        <v>#N/A</v>
      </c>
      <c r="K144" s="414"/>
      <c r="L144" s="415">
        <f t="shared" si="95"/>
        <v>0</v>
      </c>
      <c r="M144" s="415">
        <f t="shared" si="89"/>
        <v>0</v>
      </c>
      <c r="N144" s="416"/>
      <c r="O144" s="417" t="s">
        <v>46</v>
      </c>
      <c r="P144" s="416"/>
      <c r="Q144" s="415">
        <f t="shared" si="90"/>
        <v>0</v>
      </c>
      <c r="R144" s="415">
        <f t="shared" si="91"/>
        <v>0</v>
      </c>
      <c r="S144" s="415">
        <f t="shared" si="92"/>
        <v>0</v>
      </c>
      <c r="T144" s="418"/>
      <c r="U144" s="457"/>
      <c r="V144" s="457"/>
      <c r="W144" s="457"/>
      <c r="X144" s="457"/>
      <c r="Y144" s="457"/>
    </row>
    <row r="145" spans="2:25" ht="15" hidden="1" customHeight="1">
      <c r="B145" s="410"/>
      <c r="C145" s="410"/>
      <c r="D145" s="411"/>
      <c r="E145" s="412"/>
      <c r="F145" s="423"/>
      <c r="G145" s="425"/>
      <c r="H145" s="413"/>
      <c r="I145" s="413" t="s">
        <v>1041</v>
      </c>
      <c r="J145" s="413" t="e">
        <f>HLOOKUP($I145,'5 Year Forecast'!$L$4:$P$5,2,FALSE)</f>
        <v>#N/A</v>
      </c>
      <c r="K145" s="414"/>
      <c r="L145" s="415">
        <f t="shared" si="95"/>
        <v>0</v>
      </c>
      <c r="M145" s="415">
        <f t="shared" si="89"/>
        <v>0</v>
      </c>
      <c r="N145" s="416"/>
      <c r="O145" s="417" t="s">
        <v>46</v>
      </c>
      <c r="P145" s="416"/>
      <c r="Q145" s="415">
        <f t="shared" si="90"/>
        <v>0</v>
      </c>
      <c r="R145" s="415">
        <f t="shared" si="91"/>
        <v>0</v>
      </c>
      <c r="S145" s="415">
        <f t="shared" si="92"/>
        <v>0</v>
      </c>
      <c r="T145" s="418"/>
      <c r="U145" s="457"/>
      <c r="V145" s="457"/>
      <c r="W145" s="457"/>
      <c r="X145" s="457"/>
      <c r="Y145" s="457"/>
    </row>
    <row r="146" spans="2:25" ht="15" hidden="1" customHeight="1">
      <c r="B146" s="410"/>
      <c r="C146" s="410"/>
      <c r="D146" s="411"/>
      <c r="E146" s="412"/>
      <c r="F146" s="423"/>
      <c r="G146" s="425"/>
      <c r="H146" s="413"/>
      <c r="I146" s="413" t="s">
        <v>1041</v>
      </c>
      <c r="J146" s="413" t="e">
        <f>HLOOKUP($I146,'5 Year Forecast'!$L$4:$P$5,2,FALSE)</f>
        <v>#N/A</v>
      </c>
      <c r="K146" s="414"/>
      <c r="L146" s="415">
        <f t="shared" si="95"/>
        <v>0</v>
      </c>
      <c r="M146" s="415">
        <f t="shared" si="89"/>
        <v>0</v>
      </c>
      <c r="N146" s="416"/>
      <c r="O146" s="417" t="s">
        <v>46</v>
      </c>
      <c r="P146" s="416"/>
      <c r="Q146" s="415">
        <f t="shared" si="90"/>
        <v>0</v>
      </c>
      <c r="R146" s="415">
        <f t="shared" si="91"/>
        <v>0</v>
      </c>
      <c r="S146" s="415">
        <f t="shared" si="92"/>
        <v>0</v>
      </c>
      <c r="T146" s="418"/>
      <c r="U146" s="457"/>
      <c r="V146" s="457"/>
      <c r="W146" s="457"/>
      <c r="X146" s="457"/>
      <c r="Y146" s="457"/>
    </row>
    <row r="147" spans="2:25" ht="15" hidden="1" customHeight="1" thickBot="1">
      <c r="B147" s="410"/>
      <c r="C147" s="410"/>
      <c r="D147" s="411"/>
      <c r="E147" s="412"/>
      <c r="F147" s="423"/>
      <c r="G147" s="425"/>
      <c r="H147" s="413"/>
      <c r="I147" s="413" t="s">
        <v>1041</v>
      </c>
      <c r="J147" s="413" t="e">
        <f>HLOOKUP($I147,'5 Year Forecast'!$L$4:$P$5,2,FALSE)</f>
        <v>#N/A</v>
      </c>
      <c r="K147" s="414"/>
      <c r="L147" s="415">
        <f t="shared" si="95"/>
        <v>0</v>
      </c>
      <c r="M147" s="415">
        <f t="shared" si="89"/>
        <v>0</v>
      </c>
      <c r="N147" s="416"/>
      <c r="O147" s="417" t="s">
        <v>46</v>
      </c>
      <c r="P147" s="416"/>
      <c r="Q147" s="415">
        <f t="shared" si="90"/>
        <v>0</v>
      </c>
      <c r="R147" s="415">
        <f t="shared" si="91"/>
        <v>0</v>
      </c>
      <c r="S147" s="415">
        <f t="shared" si="92"/>
        <v>0</v>
      </c>
      <c r="T147" s="418"/>
      <c r="U147" s="457"/>
      <c r="V147" s="457"/>
      <c r="W147" s="457"/>
      <c r="X147" s="457"/>
      <c r="Y147" s="457"/>
    </row>
    <row r="148" spans="2:25" ht="15" customHeight="1" thickBot="1">
      <c r="B148" s="394"/>
      <c r="C148" s="395"/>
      <c r="D148" s="395"/>
      <c r="E148" s="461"/>
      <c r="F148" s="424"/>
      <c r="G148" s="396"/>
      <c r="H148" s="396"/>
      <c r="I148" s="396"/>
      <c r="J148" s="394"/>
      <c r="K148" s="394">
        <f>SUBTOTAL(9,K138:K147)</f>
        <v>1610259</v>
      </c>
      <c r="L148" s="394">
        <f>SUBTOTAL(9,L138:L147)</f>
        <v>0</v>
      </c>
      <c r="M148" s="394">
        <f>SUBTOTAL(9,M138:M147)</f>
        <v>1610259</v>
      </c>
      <c r="N148" s="396"/>
      <c r="O148" s="394"/>
      <c r="P148" s="396"/>
      <c r="Q148" s="394">
        <f>SUBTOTAL(9,Q138:Q147)</f>
        <v>1610259</v>
      </c>
      <c r="R148" s="394">
        <f>SUBTOTAL(9,R138:R147)</f>
        <v>0</v>
      </c>
      <c r="S148" s="394">
        <f>SUBTOTAL(9,S138:S147)</f>
        <v>1610259</v>
      </c>
      <c r="T148" s="397"/>
      <c r="U148" s="394">
        <f>SUBTOTAL(9,U138:U147)</f>
        <v>0</v>
      </c>
      <c r="V148" s="394">
        <f>SUBTOTAL(9,V138:V147)</f>
        <v>0</v>
      </c>
      <c r="W148" s="394">
        <f>SUBTOTAL(9,W138:W147)</f>
        <v>0</v>
      </c>
      <c r="X148" s="394">
        <f>SUBTOTAL(9,X138:X147)</f>
        <v>0</v>
      </c>
      <c r="Y148" s="398">
        <f>SUBTOTAL(9,Y138:Y147)</f>
        <v>0</v>
      </c>
    </row>
    <row r="149" spans="2:25" ht="15" customHeight="1"/>
    <row r="150" spans="2:25" ht="15" customHeight="1"/>
    <row r="151" spans="2:25" ht="15" customHeight="1">
      <c r="B151" s="658"/>
      <c r="C151" s="658"/>
      <c r="D151" s="159"/>
      <c r="E151" s="458"/>
      <c r="F151"/>
      <c r="G151"/>
      <c r="H151"/>
      <c r="I151" s="186"/>
      <c r="J151" s="186"/>
      <c r="K151" s="658" t="s">
        <v>1043</v>
      </c>
      <c r="L151" s="658"/>
      <c r="M151" s="658"/>
      <c r="N151"/>
      <c r="O151"/>
      <c r="P151"/>
      <c r="Q151" s="658" t="s">
        <v>1042</v>
      </c>
      <c r="R151" s="658"/>
      <c r="S151" s="658"/>
      <c r="T151"/>
      <c r="U151"/>
      <c r="V151"/>
      <c r="W151"/>
      <c r="X151"/>
      <c r="Y151"/>
    </row>
    <row r="152" spans="2:25" ht="15" customHeight="1">
      <c r="B152" s="659" t="s">
        <v>1069</v>
      </c>
      <c r="C152" s="659"/>
      <c r="D152" s="659"/>
      <c r="E152" s="460" t="s">
        <v>86</v>
      </c>
      <c r="F152" s="399" t="s">
        <v>59</v>
      </c>
      <c r="G152" s="399" t="s">
        <v>1044</v>
      </c>
      <c r="H152" s="399" t="s">
        <v>85</v>
      </c>
      <c r="I152" s="659" t="s">
        <v>36</v>
      </c>
      <c r="J152" s="659"/>
      <c r="K152" s="400" t="s">
        <v>1039</v>
      </c>
      <c r="L152" s="400" t="s">
        <v>1040</v>
      </c>
      <c r="M152" s="400" t="s">
        <v>35</v>
      </c>
      <c r="N152" s="401"/>
      <c r="O152" s="401"/>
      <c r="P152" s="401"/>
      <c r="Q152" s="400" t="s">
        <v>1039</v>
      </c>
      <c r="R152" s="400" t="s">
        <v>1040</v>
      </c>
      <c r="S152" s="400" t="s">
        <v>35</v>
      </c>
      <c r="T152" s="401"/>
      <c r="U152" s="401"/>
      <c r="V152" s="401"/>
      <c r="W152" s="401"/>
      <c r="X152" s="401"/>
      <c r="Y152" s="401"/>
    </row>
    <row r="153" spans="2:25" ht="15" customHeight="1">
      <c r="B153" s="42"/>
      <c r="C153" s="42"/>
      <c r="D153" s="42"/>
      <c r="F153" s="41"/>
      <c r="G153" s="41"/>
      <c r="H153" s="41"/>
      <c r="I153" s="41"/>
      <c r="J153" s="41"/>
      <c r="K153" s="41"/>
      <c r="L153" s="67"/>
      <c r="M153" s="41"/>
      <c r="N153" s="41"/>
      <c r="O153" s="41"/>
      <c r="P153" s="41"/>
      <c r="Q153" s="41"/>
      <c r="R153" s="41"/>
      <c r="S153" s="41"/>
      <c r="T153" s="42"/>
      <c r="U153" s="41"/>
      <c r="V153" s="41"/>
      <c r="W153" s="41"/>
      <c r="X153" s="41"/>
      <c r="Y153" s="41"/>
    </row>
    <row r="154" spans="2:25" ht="15" customHeight="1" thickBot="1">
      <c r="B154" s="410"/>
      <c r="C154" s="410"/>
      <c r="D154" s="411"/>
      <c r="E154" s="412" t="s">
        <v>3565</v>
      </c>
      <c r="F154" s="640"/>
      <c r="G154" s="640"/>
      <c r="H154" s="640"/>
      <c r="I154" s="640"/>
      <c r="J154" s="640"/>
      <c r="K154" s="641">
        <f>-SUM(K69:K73)</f>
        <v>0</v>
      </c>
      <c r="L154" s="641">
        <f>-SUM(L69:L73)</f>
        <v>535000</v>
      </c>
      <c r="M154" s="641">
        <f>-SUM(M69:M73)</f>
        <v>535000</v>
      </c>
      <c r="N154" s="642"/>
      <c r="O154" s="643"/>
      <c r="P154" s="642"/>
      <c r="Q154" s="641">
        <f>-SUM(Q69:Q73)</f>
        <v>0</v>
      </c>
      <c r="R154" s="641">
        <f>-SUM(R69:R73)</f>
        <v>0</v>
      </c>
      <c r="S154" s="641">
        <f>-SUM(S69:S73)</f>
        <v>0</v>
      </c>
      <c r="T154" s="644"/>
      <c r="U154" s="641">
        <f>-SUM(U69:U73)</f>
        <v>0</v>
      </c>
      <c r="V154" s="641">
        <f>-SUM(V69:V73)</f>
        <v>0</v>
      </c>
      <c r="W154" s="641">
        <f>-SUM(W69:W73)</f>
        <v>0</v>
      </c>
      <c r="X154" s="641">
        <f>-SUM(X69:X73)</f>
        <v>0</v>
      </c>
      <c r="Y154" s="641">
        <f>-SUM(Y69:Y73)</f>
        <v>0</v>
      </c>
    </row>
    <row r="155" spans="2:25" ht="15" customHeight="1" thickBot="1">
      <c r="B155" s="394"/>
      <c r="C155" s="395"/>
      <c r="D155" s="395"/>
      <c r="E155" s="461"/>
      <c r="F155" s="396"/>
      <c r="G155" s="396"/>
      <c r="H155" s="396"/>
      <c r="I155" s="396"/>
      <c r="J155" s="394"/>
      <c r="K155" s="394">
        <f>SUBTOTAL(9,K154:K154)</f>
        <v>0</v>
      </c>
      <c r="L155" s="394">
        <f>SUBTOTAL(9,L154:L154)</f>
        <v>535000</v>
      </c>
      <c r="M155" s="394">
        <f>SUBTOTAL(9,M154:M154)</f>
        <v>535000</v>
      </c>
      <c r="N155" s="396"/>
      <c r="O155" s="394"/>
      <c r="P155" s="396"/>
      <c r="Q155" s="394">
        <f>SUBTOTAL(9,Q154:Q154)</f>
        <v>0</v>
      </c>
      <c r="R155" s="394">
        <f>SUBTOTAL(9,R154:R154)</f>
        <v>0</v>
      </c>
      <c r="S155" s="394">
        <f>SUBTOTAL(9,S154:S154)</f>
        <v>0</v>
      </c>
      <c r="T155" s="397"/>
      <c r="U155" s="394">
        <f>SUBTOTAL(9,U154:U154)</f>
        <v>0</v>
      </c>
      <c r="V155" s="394">
        <f>SUBTOTAL(9,V154:V154)</f>
        <v>0</v>
      </c>
      <c r="W155" s="394">
        <f>SUBTOTAL(9,W154:W154)</f>
        <v>0</v>
      </c>
      <c r="X155" s="394">
        <f>SUBTOTAL(9,X154:X154)</f>
        <v>0</v>
      </c>
      <c r="Y155" s="398">
        <f>SUBTOTAL(9,Y154:Y154)</f>
        <v>0</v>
      </c>
    </row>
    <row r="156" spans="2:25" ht="15" customHeight="1"/>
    <row r="157" spans="2:25" ht="15" customHeight="1"/>
    <row r="158" spans="2:25" ht="15" customHeight="1">
      <c r="B158" s="658"/>
      <c r="C158" s="658"/>
      <c r="D158" s="159"/>
      <c r="E158" s="458"/>
      <c r="F158"/>
      <c r="G158"/>
      <c r="H158"/>
      <c r="I158" s="186"/>
      <c r="J158" s="186"/>
      <c r="K158" s="658" t="s">
        <v>1043</v>
      </c>
      <c r="L158" s="658"/>
      <c r="M158" s="658"/>
      <c r="N158"/>
      <c r="O158"/>
      <c r="P158"/>
      <c r="Q158" s="658" t="s">
        <v>1042</v>
      </c>
      <c r="R158" s="658"/>
      <c r="S158" s="658"/>
      <c r="T158"/>
      <c r="U158"/>
      <c r="V158"/>
      <c r="W158"/>
      <c r="X158"/>
      <c r="Y158"/>
    </row>
    <row r="159" spans="2:25" ht="15" customHeight="1">
      <c r="B159" s="659" t="s">
        <v>55</v>
      </c>
      <c r="C159" s="659"/>
      <c r="D159" s="659"/>
      <c r="E159" s="460" t="s">
        <v>86</v>
      </c>
      <c r="F159" s="399" t="s">
        <v>59</v>
      </c>
      <c r="G159" s="399" t="s">
        <v>1044</v>
      </c>
      <c r="H159" s="399" t="s">
        <v>85</v>
      </c>
      <c r="I159" s="659" t="s">
        <v>36</v>
      </c>
      <c r="J159" s="659"/>
      <c r="K159" s="400" t="s">
        <v>1039</v>
      </c>
      <c r="L159" s="400" t="s">
        <v>1040</v>
      </c>
      <c r="M159" s="400" t="s">
        <v>35</v>
      </c>
      <c r="N159" s="401"/>
      <c r="O159" s="401"/>
      <c r="P159" s="401"/>
      <c r="Q159" s="400" t="s">
        <v>1039</v>
      </c>
      <c r="R159" s="400" t="s">
        <v>1040</v>
      </c>
      <c r="S159" s="400" t="s">
        <v>35</v>
      </c>
      <c r="T159" s="401"/>
      <c r="U159" s="401"/>
      <c r="V159" s="401"/>
      <c r="W159" s="401"/>
      <c r="X159" s="401"/>
      <c r="Y159" s="401"/>
    </row>
    <row r="160" spans="2:25" ht="15" customHeight="1">
      <c r="B160" s="42"/>
      <c r="C160" s="42"/>
      <c r="D160" s="42"/>
      <c r="F160" s="41"/>
      <c r="G160" s="41"/>
      <c r="H160" s="41"/>
      <c r="I160" s="41"/>
      <c r="J160" s="41"/>
      <c r="K160" s="41"/>
      <c r="L160" s="67"/>
      <c r="M160" s="41"/>
      <c r="N160" s="41"/>
      <c r="O160" s="41"/>
      <c r="P160" s="41"/>
      <c r="Q160" s="41"/>
      <c r="R160" s="41"/>
      <c r="S160" s="41"/>
      <c r="T160" s="42"/>
      <c r="U160" s="41"/>
      <c r="V160" s="41"/>
      <c r="W160" s="41"/>
      <c r="X160" s="41"/>
      <c r="Y160" s="41"/>
    </row>
    <row r="161" spans="2:25" ht="15" customHeight="1">
      <c r="B161" s="410"/>
      <c r="C161" s="410"/>
      <c r="D161" s="411"/>
      <c r="E161" s="412" t="s">
        <v>3411</v>
      </c>
      <c r="F161" s="413" t="s">
        <v>1099</v>
      </c>
      <c r="G161" s="413"/>
      <c r="H161" s="413" t="s">
        <v>56</v>
      </c>
      <c r="I161" s="413" t="s">
        <v>1209</v>
      </c>
      <c r="J161" s="413">
        <f>HLOOKUP($I161,'5 Year Forecast'!$L$4:$P$5,2,FALSE)</f>
        <v>1</v>
      </c>
      <c r="K161" s="415">
        <v>0</v>
      </c>
      <c r="L161" s="415">
        <v>550000</v>
      </c>
      <c r="M161" s="415">
        <f t="shared" ref="M161:M165" si="96">SUM(K161:L161)</f>
        <v>550000</v>
      </c>
      <c r="N161" s="416"/>
      <c r="O161" s="417" t="s">
        <v>44</v>
      </c>
      <c r="P161" s="416"/>
      <c r="Q161" s="415">
        <f t="shared" ref="Q161:Q165" si="97">IF($O161="Y",K161,IF($O161="N",0,$O161*K161))</f>
        <v>0</v>
      </c>
      <c r="R161" s="415">
        <f t="shared" ref="R161:R165" si="98">IF($O161="Y",L161,IF($O161="N",0,$O161*L161))</f>
        <v>550000</v>
      </c>
      <c r="S161" s="415">
        <f t="shared" ref="S161:S165" si="99">SUM(Q161:R161)</f>
        <v>550000</v>
      </c>
      <c r="T161" s="418"/>
      <c r="U161" s="421">
        <f>IF($J161='5 Year Forecast'!$L$5,$S161*(1+'5 Year Forecast'!$L$30),IF($J161&gt;'5 Year Forecast'!$L$5,0,IF($J161&lt;'5 Year Forecast'!$L$5,$Q161*(1+'5 Year Forecast'!$L$30),0)))</f>
        <v>550000</v>
      </c>
      <c r="V161" s="421">
        <f>IF($J161='5 Year Forecast'!$M$5,$S161*(1+'5 Year Forecast'!$M$30),IF($J161&gt;'5 Year Forecast'!$M$5,0,IF($J161&lt;'5 Year Forecast'!$M$5,$Q161*(1+'5 Year Forecast'!$M$30),0)))</f>
        <v>0</v>
      </c>
      <c r="W161" s="421">
        <f>IF($J161='5 Year Forecast'!$N$5,$S161*(1+'5 Year Forecast'!$N$30),IF($J161&gt;'5 Year Forecast'!$N$5,0,IF($J161&lt;'5 Year Forecast'!$N$5,$Q161*(1+'5 Year Forecast'!$N$30),0)))</f>
        <v>0</v>
      </c>
      <c r="X161" s="421">
        <f>IF($J161='5 Year Forecast'!$O$5,$S161*(1+'5 Year Forecast'!$O$30),IF($J161&gt;'5 Year Forecast'!$O$5,0,IF($J161&lt;'5 Year Forecast'!$O$5,$Q161*(1+'5 Year Forecast'!$O$30),0)))</f>
        <v>0</v>
      </c>
      <c r="Y161" s="421">
        <f>IF($J161='5 Year Forecast'!$P$5,$S161*(1+'5 Year Forecast'!$P$30),IF($J161&gt;'5 Year Forecast'!$P$5,0,IF($J161&lt;'5 Year Forecast'!$P$5,$Q161*(1+'5 Year Forecast'!$P$30),0)))</f>
        <v>0</v>
      </c>
    </row>
    <row r="162" spans="2:25" ht="15" customHeight="1">
      <c r="B162" s="410"/>
      <c r="C162" s="410"/>
      <c r="D162" s="411"/>
      <c r="E162" s="412" t="s">
        <v>3565</v>
      </c>
      <c r="F162" s="640"/>
      <c r="G162" s="640"/>
      <c r="H162" s="640"/>
      <c r="I162" s="640"/>
      <c r="J162" s="640"/>
      <c r="K162" s="641">
        <f>-SUM(K76:K80)</f>
        <v>1400000</v>
      </c>
      <c r="L162" s="641">
        <f>-SUM(L76:L80)</f>
        <v>35000</v>
      </c>
      <c r="M162" s="641">
        <f>-SUM(M76:M80)</f>
        <v>1435000</v>
      </c>
      <c r="N162" s="642"/>
      <c r="O162" s="643"/>
      <c r="P162" s="642"/>
      <c r="Q162" s="641">
        <f>-SUM(Q76:Q80)</f>
        <v>0</v>
      </c>
      <c r="R162" s="641">
        <f>-SUM(R76:R80)</f>
        <v>0</v>
      </c>
      <c r="S162" s="641">
        <f>-SUM(S76:S80)</f>
        <v>0</v>
      </c>
      <c r="T162" s="644"/>
      <c r="U162" s="641">
        <f>-SUM(U76:U80)</f>
        <v>0</v>
      </c>
      <c r="V162" s="641">
        <f>-SUM(V76:V80)</f>
        <v>0</v>
      </c>
      <c r="W162" s="641">
        <f>-SUM(W76:W80)</f>
        <v>0</v>
      </c>
      <c r="X162" s="641">
        <f>-SUM(X76:X80)</f>
        <v>0</v>
      </c>
      <c r="Y162" s="641">
        <f>-SUM(Y76:Y80)</f>
        <v>0</v>
      </c>
    </row>
    <row r="163" spans="2:25" ht="15" customHeight="1">
      <c r="B163" s="410"/>
      <c r="C163" s="410"/>
      <c r="D163" s="411"/>
      <c r="E163" s="412"/>
      <c r="F163" s="413"/>
      <c r="G163" s="413"/>
      <c r="H163" s="413" t="s">
        <v>56</v>
      </c>
      <c r="I163" s="413" t="s">
        <v>3449</v>
      </c>
      <c r="J163" s="413">
        <f>HLOOKUP($I163,'5 Year Forecast'!$L$4:$P$5,2,FALSE)</f>
        <v>5</v>
      </c>
      <c r="K163" s="415">
        <v>0</v>
      </c>
      <c r="L163" s="415">
        <v>0</v>
      </c>
      <c r="M163" s="415">
        <f t="shared" si="96"/>
        <v>0</v>
      </c>
      <c r="N163" s="416"/>
      <c r="O163" s="417" t="s">
        <v>44</v>
      </c>
      <c r="P163" s="416"/>
      <c r="Q163" s="415">
        <f t="shared" si="97"/>
        <v>0</v>
      </c>
      <c r="R163" s="415">
        <f t="shared" si="98"/>
        <v>0</v>
      </c>
      <c r="S163" s="415">
        <f t="shared" si="99"/>
        <v>0</v>
      </c>
      <c r="T163" s="418"/>
      <c r="U163" s="421">
        <f>IF($J163='5 Year Forecast'!$L$5,$S163*(1+'5 Year Forecast'!$L$30),IF($J163&gt;'5 Year Forecast'!$L$5,0,IF($J163&lt;'5 Year Forecast'!$L$5,$Q163*(1+'5 Year Forecast'!$L$30),0)))</f>
        <v>0</v>
      </c>
      <c r="V163" s="421">
        <f>IF($J163='5 Year Forecast'!$M$5,$S163*(1+'5 Year Forecast'!$M$30),IF($J163&gt;'5 Year Forecast'!$M$5,0,IF($J163&lt;'5 Year Forecast'!$M$5,$Q163*(1+'5 Year Forecast'!$M$30),0)))</f>
        <v>0</v>
      </c>
      <c r="W163" s="421">
        <f>IF($J163='5 Year Forecast'!$N$5,$S163*(1+'5 Year Forecast'!$N$30),IF($J163&gt;'5 Year Forecast'!$N$5,0,IF($J163&lt;'5 Year Forecast'!$N$5,$Q163*(1+'5 Year Forecast'!$N$30),0)))</f>
        <v>0</v>
      </c>
      <c r="X163" s="421">
        <f>IF($J163='5 Year Forecast'!$O$5,$S163*(1+'5 Year Forecast'!$O$30),IF($J163&gt;'5 Year Forecast'!$O$5,0,IF($J163&lt;'5 Year Forecast'!$O$5,$Q163*(1+'5 Year Forecast'!$O$30),0)))</f>
        <v>0</v>
      </c>
      <c r="Y163" s="421">
        <f>IF($J163='5 Year Forecast'!$P$5,$S163*(1+'5 Year Forecast'!$P$30),IF($J163&gt;'5 Year Forecast'!$P$5,0,IF($J163&lt;'5 Year Forecast'!$P$5,$Q163*(1+'5 Year Forecast'!$P$30),0)))</f>
        <v>0</v>
      </c>
    </row>
    <row r="164" spans="2:25" ht="15" customHeight="1">
      <c r="B164" s="410"/>
      <c r="C164" s="410"/>
      <c r="D164" s="411"/>
      <c r="E164" s="412"/>
      <c r="F164" s="413"/>
      <c r="G164" s="413"/>
      <c r="H164" s="413" t="s">
        <v>56</v>
      </c>
      <c r="I164" s="413" t="s">
        <v>3449</v>
      </c>
      <c r="J164" s="413">
        <f>HLOOKUP($I164,'5 Year Forecast'!$L$4:$P$5,2,FALSE)</f>
        <v>5</v>
      </c>
      <c r="K164" s="415">
        <v>0</v>
      </c>
      <c r="L164" s="415">
        <v>0</v>
      </c>
      <c r="M164" s="415">
        <f t="shared" si="96"/>
        <v>0</v>
      </c>
      <c r="N164" s="416"/>
      <c r="O164" s="417" t="s">
        <v>46</v>
      </c>
      <c r="P164" s="416"/>
      <c r="Q164" s="415">
        <f t="shared" si="97"/>
        <v>0</v>
      </c>
      <c r="R164" s="415">
        <f t="shared" si="98"/>
        <v>0</v>
      </c>
      <c r="S164" s="415">
        <f t="shared" si="99"/>
        <v>0</v>
      </c>
      <c r="T164" s="418"/>
      <c r="U164" s="421">
        <f>IF($J164='5 Year Forecast'!$L$5,$S164*(1+'5 Year Forecast'!$L$30),IF($J164&gt;'5 Year Forecast'!$L$5,0,IF($J164&lt;'5 Year Forecast'!$L$5,$Q164*(1+'5 Year Forecast'!$L$30),0)))</f>
        <v>0</v>
      </c>
      <c r="V164" s="421">
        <f>IF($J164='5 Year Forecast'!$M$5,$S164*(1+'5 Year Forecast'!$M$30),IF($J164&gt;'5 Year Forecast'!$M$5,0,IF($J164&lt;'5 Year Forecast'!$M$5,$Q164*(1+'5 Year Forecast'!$M$30),0)))</f>
        <v>0</v>
      </c>
      <c r="W164" s="421">
        <f>IF($J164='5 Year Forecast'!$N$5,$S164*(1+'5 Year Forecast'!$N$30),IF($J164&gt;'5 Year Forecast'!$N$5,0,IF($J164&lt;'5 Year Forecast'!$N$5,$Q164*(1+'5 Year Forecast'!$N$30),0)))</f>
        <v>0</v>
      </c>
      <c r="X164" s="421">
        <f>IF($J164='5 Year Forecast'!$O$5,$S164*(1+'5 Year Forecast'!$O$30),IF($J164&gt;'5 Year Forecast'!$O$5,0,IF($J164&lt;'5 Year Forecast'!$O$5,$Q164*(1+'5 Year Forecast'!$O$30),0)))</f>
        <v>0</v>
      </c>
      <c r="Y164" s="421">
        <f>IF($J164='5 Year Forecast'!$P$5,$S164*(1+'5 Year Forecast'!$P$30),IF($J164&gt;'5 Year Forecast'!$P$5,0,IF($J164&lt;'5 Year Forecast'!$P$5,$Q164*(1+'5 Year Forecast'!$P$30),0)))</f>
        <v>0</v>
      </c>
    </row>
    <row r="165" spans="2:25" ht="15" customHeight="1" thickBot="1">
      <c r="B165" s="410"/>
      <c r="C165" s="410"/>
      <c r="D165" s="411"/>
      <c r="E165" s="412"/>
      <c r="F165" s="413"/>
      <c r="G165" s="413"/>
      <c r="H165" s="413" t="s">
        <v>56</v>
      </c>
      <c r="I165" s="413" t="s">
        <v>3449</v>
      </c>
      <c r="J165" s="413">
        <f>HLOOKUP($I165,'5 Year Forecast'!$L$4:$P$5,2,FALSE)</f>
        <v>5</v>
      </c>
      <c r="K165" s="415">
        <v>0</v>
      </c>
      <c r="L165" s="415">
        <v>0</v>
      </c>
      <c r="M165" s="415">
        <f t="shared" si="96"/>
        <v>0</v>
      </c>
      <c r="N165" s="416"/>
      <c r="O165" s="417" t="s">
        <v>46</v>
      </c>
      <c r="P165" s="416"/>
      <c r="Q165" s="415">
        <f t="shared" si="97"/>
        <v>0</v>
      </c>
      <c r="R165" s="415">
        <f t="shared" si="98"/>
        <v>0</v>
      </c>
      <c r="S165" s="415">
        <f t="shared" si="99"/>
        <v>0</v>
      </c>
      <c r="T165" s="418"/>
      <c r="U165" s="421">
        <f>IF($J165='5 Year Forecast'!$L$5,$S165*(1+'5 Year Forecast'!$L$30),IF($J165&gt;'5 Year Forecast'!$L$5,0,IF($J165&lt;'5 Year Forecast'!$L$5,$Q165*(1+'5 Year Forecast'!$L$30),0)))</f>
        <v>0</v>
      </c>
      <c r="V165" s="421">
        <f>IF($J165='5 Year Forecast'!$M$5,$S165*(1+'5 Year Forecast'!$M$30),IF($J165&gt;'5 Year Forecast'!$M$5,0,IF($J165&lt;'5 Year Forecast'!$M$5,$Q165*(1+'5 Year Forecast'!$M$30),0)))</f>
        <v>0</v>
      </c>
      <c r="W165" s="421">
        <f>IF($J165='5 Year Forecast'!$N$5,$S165*(1+'5 Year Forecast'!$N$30),IF($J165&gt;'5 Year Forecast'!$N$5,0,IF($J165&lt;'5 Year Forecast'!$N$5,$Q165*(1+'5 Year Forecast'!$N$30),0)))</f>
        <v>0</v>
      </c>
      <c r="X165" s="421">
        <f>IF($J165='5 Year Forecast'!$O$5,$S165*(1+'5 Year Forecast'!$O$30),IF($J165&gt;'5 Year Forecast'!$O$5,0,IF($J165&lt;'5 Year Forecast'!$O$5,$Q165*(1+'5 Year Forecast'!$O$30),0)))</f>
        <v>0</v>
      </c>
      <c r="Y165" s="421">
        <f>IF($J165='5 Year Forecast'!$P$5,$S165*(1+'5 Year Forecast'!$P$30),IF($J165&gt;'5 Year Forecast'!$P$5,0,IF($J165&lt;'5 Year Forecast'!$P$5,$Q165*(1+'5 Year Forecast'!$P$30),0)))</f>
        <v>0</v>
      </c>
    </row>
    <row r="166" spans="2:25" ht="15" customHeight="1" thickBot="1">
      <c r="B166" s="394"/>
      <c r="C166" s="395"/>
      <c r="D166" s="395"/>
      <c r="E166" s="461"/>
      <c r="F166" s="396"/>
      <c r="G166" s="396"/>
      <c r="H166" s="396"/>
      <c r="I166" s="396"/>
      <c r="J166" s="394"/>
      <c r="K166" s="394">
        <f>SUBTOTAL(9,K161:K165)</f>
        <v>1400000</v>
      </c>
      <c r="L166" s="394">
        <f>SUBTOTAL(9,L161:L165)</f>
        <v>585000</v>
      </c>
      <c r="M166" s="394">
        <f>SUBTOTAL(9,M161:M165)</f>
        <v>1985000</v>
      </c>
      <c r="N166" s="396"/>
      <c r="O166" s="394"/>
      <c r="P166" s="396"/>
      <c r="Q166" s="394">
        <f>SUBTOTAL(9,Q161:Q165)</f>
        <v>0</v>
      </c>
      <c r="R166" s="394">
        <f>SUBTOTAL(9,R161:R165)</f>
        <v>550000</v>
      </c>
      <c r="S166" s="394">
        <f>SUBTOTAL(9,S161:S165)</f>
        <v>550000</v>
      </c>
      <c r="T166" s="397"/>
      <c r="U166" s="394">
        <f>SUBTOTAL(9,U161:U165)</f>
        <v>550000</v>
      </c>
      <c r="V166" s="394">
        <f>SUBTOTAL(9,V161:V165)</f>
        <v>0</v>
      </c>
      <c r="W166" s="394">
        <f>SUBTOTAL(9,W161:W165)</f>
        <v>0</v>
      </c>
      <c r="X166" s="394">
        <f>SUBTOTAL(9,X161:X165)</f>
        <v>0</v>
      </c>
      <c r="Y166" s="398">
        <f>SUBTOTAL(9,Y161:Y165)</f>
        <v>0</v>
      </c>
    </row>
    <row r="167" spans="2:25" ht="15" customHeight="1"/>
    <row r="168" spans="2:25" ht="15" customHeight="1"/>
    <row r="169" spans="2:25" ht="15" customHeight="1">
      <c r="B169" s="658"/>
      <c r="C169" s="658"/>
      <c r="D169" s="159"/>
      <c r="E169" s="458"/>
      <c r="F169"/>
      <c r="G169"/>
      <c r="H169"/>
      <c r="I169" s="186"/>
      <c r="J169" s="186"/>
      <c r="K169" s="658" t="s">
        <v>1043</v>
      </c>
      <c r="L169" s="658"/>
      <c r="M169" s="658"/>
      <c r="N169"/>
      <c r="O169"/>
      <c r="P169"/>
      <c r="Q169" s="658" t="s">
        <v>1042</v>
      </c>
      <c r="R169" s="658"/>
      <c r="S169" s="658"/>
      <c r="T169"/>
      <c r="U169"/>
      <c r="V169"/>
      <c r="W169"/>
      <c r="X169"/>
      <c r="Y169"/>
    </row>
    <row r="170" spans="2:25" ht="15" customHeight="1">
      <c r="B170" s="659" t="s">
        <v>1070</v>
      </c>
      <c r="C170" s="659"/>
      <c r="D170" s="659"/>
      <c r="E170" s="460" t="s">
        <v>86</v>
      </c>
      <c r="F170" s="399" t="s">
        <v>59</v>
      </c>
      <c r="G170" s="399" t="s">
        <v>1044</v>
      </c>
      <c r="H170" s="399" t="s">
        <v>85</v>
      </c>
      <c r="I170" s="659" t="s">
        <v>36</v>
      </c>
      <c r="J170" s="659"/>
      <c r="K170" s="400" t="s">
        <v>1039</v>
      </c>
      <c r="L170" s="400" t="s">
        <v>1040</v>
      </c>
      <c r="M170" s="400" t="s">
        <v>35</v>
      </c>
      <c r="N170" s="401"/>
      <c r="O170" s="401"/>
      <c r="P170" s="401"/>
      <c r="Q170" s="400" t="s">
        <v>1039</v>
      </c>
      <c r="R170" s="400" t="s">
        <v>1040</v>
      </c>
      <c r="S170" s="400" t="s">
        <v>35</v>
      </c>
      <c r="T170" s="401"/>
      <c r="U170" s="401"/>
      <c r="V170" s="401"/>
      <c r="W170" s="401"/>
      <c r="X170" s="401"/>
      <c r="Y170" s="401"/>
    </row>
    <row r="171" spans="2:25" ht="15" customHeight="1">
      <c r="B171" s="42"/>
      <c r="C171" s="42"/>
      <c r="D171" s="42"/>
      <c r="F171" s="41"/>
      <c r="G171" s="41"/>
      <c r="H171" s="41"/>
      <c r="I171" s="41"/>
      <c r="J171" s="41"/>
      <c r="K171" s="41"/>
      <c r="L171" s="67"/>
      <c r="M171" s="41"/>
      <c r="N171" s="41"/>
      <c r="O171" s="41"/>
      <c r="P171" s="41"/>
      <c r="Q171" s="41"/>
      <c r="R171" s="41"/>
      <c r="S171" s="41"/>
      <c r="T171" s="42"/>
      <c r="U171" s="41"/>
      <c r="V171" s="41"/>
      <c r="W171" s="41"/>
      <c r="X171" s="41"/>
      <c r="Y171" s="41"/>
    </row>
    <row r="172" spans="2:25" ht="15" customHeight="1">
      <c r="B172" s="410"/>
      <c r="C172" s="410"/>
      <c r="D172" s="411"/>
      <c r="E172" s="412" t="s">
        <v>3576</v>
      </c>
      <c r="F172" s="413"/>
      <c r="G172" s="413"/>
      <c r="H172" s="413" t="s">
        <v>87</v>
      </c>
      <c r="I172" s="413" t="s">
        <v>1209</v>
      </c>
      <c r="J172" s="413">
        <f>HLOOKUP($I172,'5 Year Forecast'!$L$4:$P$5,2,FALSE)</f>
        <v>1</v>
      </c>
      <c r="K172" s="415">
        <v>0</v>
      </c>
      <c r="L172" s="415">
        <f>1646754+21000</f>
        <v>1667754</v>
      </c>
      <c r="M172" s="415">
        <f t="shared" ref="M172:M176" si="100">SUM(K172:L172)</f>
        <v>1667754</v>
      </c>
      <c r="N172" s="416"/>
      <c r="O172" s="417" t="s">
        <v>44</v>
      </c>
      <c r="P172" s="416"/>
      <c r="Q172" s="415">
        <f t="shared" ref="Q172:Q176" si="101">IF($O172="Y",K172,IF($O172="N",0,$O172*K172))</f>
        <v>0</v>
      </c>
      <c r="R172" s="415">
        <f t="shared" ref="R172:R176" si="102">IF($O172="Y",L172,IF($O172="N",0,$O172*L172))</f>
        <v>1667754</v>
      </c>
      <c r="S172" s="415">
        <f t="shared" ref="S172:S176" si="103">SUM(Q172:R172)</f>
        <v>1667754</v>
      </c>
      <c r="T172" s="418"/>
      <c r="U172" s="421">
        <f>IF($J172='5 Year Forecast'!$L$5,$S172*(1+'5 Year Forecast'!$L$30),IF($J172&gt;'5 Year Forecast'!$L$5,0,IF($J172&lt;'5 Year Forecast'!$L$5,$Q172*(1+'5 Year Forecast'!$L$30),0)))</f>
        <v>1667754</v>
      </c>
      <c r="V172" s="421">
        <f>IF($J172='5 Year Forecast'!$M$5,$S172*(1+'5 Year Forecast'!$M$30),IF($J172&gt;'5 Year Forecast'!$M$5,0,IF($J172&lt;'5 Year Forecast'!$M$5,$Q172*(1+'5 Year Forecast'!$M$30),0)))</f>
        <v>0</v>
      </c>
      <c r="W172" s="421">
        <f>IF($J172='5 Year Forecast'!$N$5,$S172*(1+'5 Year Forecast'!$N$30),IF($J172&gt;'5 Year Forecast'!$N$5,0,IF($J172&lt;'5 Year Forecast'!$N$5,$Q172*(1+'5 Year Forecast'!$N$30),0)))</f>
        <v>0</v>
      </c>
      <c r="X172" s="421">
        <f>IF($J172='5 Year Forecast'!$O$5,$S172*(1+'5 Year Forecast'!$O$30),IF($J172&gt;'5 Year Forecast'!$O$5,0,IF($J172&lt;'5 Year Forecast'!$O$5,$Q172*(1+'5 Year Forecast'!$O$30),0)))</f>
        <v>0</v>
      </c>
      <c r="Y172" s="421">
        <f>IF($J172='5 Year Forecast'!$P$5,$S172*(1+'5 Year Forecast'!$P$30),IF($J172&gt;'5 Year Forecast'!$P$5,0,IF($J172&lt;'5 Year Forecast'!$P$5,$Q172*(1+'5 Year Forecast'!$P$30),0)))</f>
        <v>0</v>
      </c>
    </row>
    <row r="173" spans="2:25" ht="15" customHeight="1">
      <c r="B173" s="410"/>
      <c r="C173" s="410"/>
      <c r="D173" s="411"/>
      <c r="E173" s="412" t="s">
        <v>3577</v>
      </c>
      <c r="F173" s="413"/>
      <c r="G173" s="413"/>
      <c r="H173" s="413" t="s">
        <v>87</v>
      </c>
      <c r="I173" s="413" t="s">
        <v>3323</v>
      </c>
      <c r="J173" s="413">
        <f>HLOOKUP($I173,'5 Year Forecast'!$L$4:$P$5,2,FALSE)</f>
        <v>2</v>
      </c>
      <c r="K173" s="415">
        <v>0</v>
      </c>
      <c r="L173" s="415">
        <f>288210+61300</f>
        <v>349510</v>
      </c>
      <c r="M173" s="415">
        <f t="shared" ref="M173" si="104">SUM(K173:L173)</f>
        <v>349510</v>
      </c>
      <c r="N173" s="416"/>
      <c r="O173" s="417" t="s">
        <v>44</v>
      </c>
      <c r="P173" s="416"/>
      <c r="Q173" s="415">
        <f t="shared" ref="Q173" si="105">IF($O173="Y",K173,IF($O173="N",0,$O173*K173))</f>
        <v>0</v>
      </c>
      <c r="R173" s="415">
        <f t="shared" ref="R173" si="106">IF($O173="Y",L173,IF($O173="N",0,$O173*L173))</f>
        <v>349510</v>
      </c>
      <c r="S173" s="415">
        <f t="shared" ref="S173" si="107">SUM(Q173:R173)</f>
        <v>349510</v>
      </c>
      <c r="T173" s="418"/>
      <c r="U173" s="421">
        <f>IF($J173='5 Year Forecast'!$L$5,$S173*(1+'5 Year Forecast'!$L$30),IF($J173&gt;'5 Year Forecast'!$L$5,0,IF($J173&lt;'5 Year Forecast'!$L$5,$Q173*(1+'5 Year Forecast'!$L$30),0)))</f>
        <v>0</v>
      </c>
      <c r="V173" s="421">
        <f>IF($J173='5 Year Forecast'!$M$5,$S173*(1+'5 Year Forecast'!$M$30),IF($J173&gt;'5 Year Forecast'!$M$5,0,IF($J173&lt;'5 Year Forecast'!$M$5,$Q173*(1+'5 Year Forecast'!$M$30),0)))</f>
        <v>349510</v>
      </c>
      <c r="W173" s="421">
        <f>IF($J173='5 Year Forecast'!$N$5,$S173*(1+'5 Year Forecast'!$N$30),IF($J173&gt;'5 Year Forecast'!$N$5,0,IF($J173&lt;'5 Year Forecast'!$N$5,$Q173*(1+'5 Year Forecast'!$N$30),0)))</f>
        <v>0</v>
      </c>
      <c r="X173" s="421">
        <f>IF($J173='5 Year Forecast'!$O$5,$S173*(1+'5 Year Forecast'!$O$30),IF($J173&gt;'5 Year Forecast'!$O$5,0,IF($J173&lt;'5 Year Forecast'!$O$5,$Q173*(1+'5 Year Forecast'!$O$30),0)))</f>
        <v>0</v>
      </c>
      <c r="Y173" s="421">
        <f>IF($J173='5 Year Forecast'!$P$5,$S173*(1+'5 Year Forecast'!$P$30),IF($J173&gt;'5 Year Forecast'!$P$5,0,IF($J173&lt;'5 Year Forecast'!$P$5,$Q173*(1+'5 Year Forecast'!$P$30),0)))</f>
        <v>0</v>
      </c>
    </row>
    <row r="174" spans="2:25" ht="15" customHeight="1">
      <c r="B174" s="410"/>
      <c r="C174" s="410"/>
      <c r="D174" s="411"/>
      <c r="E174" s="412" t="s">
        <v>3578</v>
      </c>
      <c r="F174" s="413"/>
      <c r="G174" s="413"/>
      <c r="H174" s="413" t="s">
        <v>87</v>
      </c>
      <c r="I174" s="413" t="s">
        <v>3359</v>
      </c>
      <c r="J174" s="413">
        <f>HLOOKUP($I174,'5 Year Forecast'!$L$4:$P$5,2,FALSE)</f>
        <v>3</v>
      </c>
      <c r="K174" s="415">
        <v>0</v>
      </c>
      <c r="L174" s="415">
        <f>1172128+0</f>
        <v>1172128</v>
      </c>
      <c r="M174" s="415">
        <f t="shared" si="100"/>
        <v>1172128</v>
      </c>
      <c r="N174" s="416"/>
      <c r="O174" s="417" t="s">
        <v>44</v>
      </c>
      <c r="P174" s="416"/>
      <c r="Q174" s="415">
        <f t="shared" si="101"/>
        <v>0</v>
      </c>
      <c r="R174" s="415">
        <f t="shared" si="102"/>
        <v>1172128</v>
      </c>
      <c r="S174" s="415">
        <f t="shared" si="103"/>
        <v>1172128</v>
      </c>
      <c r="T174" s="418"/>
      <c r="U174" s="421">
        <f>IF($J174='5 Year Forecast'!$L$5,$S174*(1+'5 Year Forecast'!$L$30),IF($J174&gt;'5 Year Forecast'!$L$5,0,IF($J174&lt;'5 Year Forecast'!$L$5,$Q174*(1+'5 Year Forecast'!$L$30),0)))</f>
        <v>0</v>
      </c>
      <c r="V174" s="421">
        <f>IF($J174='5 Year Forecast'!$M$5,$S174*(1+'5 Year Forecast'!$M$30),IF($J174&gt;'5 Year Forecast'!$M$5,0,IF($J174&lt;'5 Year Forecast'!$M$5,$Q174*(1+'5 Year Forecast'!$M$30),0)))</f>
        <v>0</v>
      </c>
      <c r="W174" s="421">
        <f>IF($J174='5 Year Forecast'!$N$5,$S174*(1+'5 Year Forecast'!$N$30),IF($J174&gt;'5 Year Forecast'!$N$5,0,IF($J174&lt;'5 Year Forecast'!$N$5,$Q174*(1+'5 Year Forecast'!$N$30),0)))</f>
        <v>1172128</v>
      </c>
      <c r="X174" s="421">
        <f>IF($J174='5 Year Forecast'!$O$5,$S174*(1+'5 Year Forecast'!$O$30),IF($J174&gt;'5 Year Forecast'!$O$5,0,IF($J174&lt;'5 Year Forecast'!$O$5,$Q174*(1+'5 Year Forecast'!$O$30),0)))</f>
        <v>0</v>
      </c>
      <c r="Y174" s="421">
        <f>IF($J174='5 Year Forecast'!$P$5,$S174*(1+'5 Year Forecast'!$P$30),IF($J174&gt;'5 Year Forecast'!$P$5,0,IF($J174&lt;'5 Year Forecast'!$P$5,$Q174*(1+'5 Year Forecast'!$P$30),0)))</f>
        <v>0</v>
      </c>
    </row>
    <row r="175" spans="2:25" ht="15" customHeight="1">
      <c r="B175" s="410"/>
      <c r="C175" s="410"/>
      <c r="D175" s="411"/>
      <c r="E175" s="412" t="s">
        <v>3579</v>
      </c>
      <c r="F175" s="413"/>
      <c r="G175" s="413"/>
      <c r="H175" s="413" t="s">
        <v>87</v>
      </c>
      <c r="I175" s="413" t="s">
        <v>3406</v>
      </c>
      <c r="J175" s="413">
        <f>HLOOKUP($I175,'5 Year Forecast'!$L$4:$P$5,2,FALSE)</f>
        <v>4</v>
      </c>
      <c r="K175" s="415">
        <v>0</v>
      </c>
      <c r="L175" s="415">
        <f>1578379+10000</f>
        <v>1588379</v>
      </c>
      <c r="M175" s="415">
        <f t="shared" si="100"/>
        <v>1588379</v>
      </c>
      <c r="N175" s="416"/>
      <c r="O175" s="417" t="s">
        <v>44</v>
      </c>
      <c r="P175" s="416"/>
      <c r="Q175" s="415">
        <f t="shared" si="101"/>
        <v>0</v>
      </c>
      <c r="R175" s="415">
        <f t="shared" si="102"/>
        <v>1588379</v>
      </c>
      <c r="S175" s="415">
        <f t="shared" si="103"/>
        <v>1588379</v>
      </c>
      <c r="T175" s="418"/>
      <c r="U175" s="421">
        <f>IF($J175='5 Year Forecast'!$L$5,$S175*(1+'5 Year Forecast'!$L$30),IF($J175&gt;'5 Year Forecast'!$L$5,0,IF($J175&lt;'5 Year Forecast'!$L$5,$Q175*(1+'5 Year Forecast'!$L$30),0)))</f>
        <v>0</v>
      </c>
      <c r="V175" s="421">
        <f>IF($J175='5 Year Forecast'!$M$5,$S175*(1+'5 Year Forecast'!$M$30),IF($J175&gt;'5 Year Forecast'!$M$5,0,IF($J175&lt;'5 Year Forecast'!$M$5,$Q175*(1+'5 Year Forecast'!$M$30),0)))</f>
        <v>0</v>
      </c>
      <c r="W175" s="421">
        <f>IF($J175='5 Year Forecast'!$N$5,$S175*(1+'5 Year Forecast'!$N$30),IF($J175&gt;'5 Year Forecast'!$N$5,0,IF($J175&lt;'5 Year Forecast'!$N$5,$Q175*(1+'5 Year Forecast'!$N$30),0)))</f>
        <v>0</v>
      </c>
      <c r="X175" s="421">
        <f>IF($J175='5 Year Forecast'!$O$5,$S175*(1+'5 Year Forecast'!$O$30),IF($J175&gt;'5 Year Forecast'!$O$5,0,IF($J175&lt;'5 Year Forecast'!$O$5,$Q175*(1+'5 Year Forecast'!$O$30),0)))</f>
        <v>1588379</v>
      </c>
      <c r="Y175" s="421">
        <f>IF($J175='5 Year Forecast'!$P$5,$S175*(1+'5 Year Forecast'!$P$30),IF($J175&gt;'5 Year Forecast'!$P$5,0,IF($J175&lt;'5 Year Forecast'!$P$5,$Q175*(1+'5 Year Forecast'!$P$30),0)))</f>
        <v>0</v>
      </c>
    </row>
    <row r="176" spans="2:25" ht="15" customHeight="1" thickBot="1">
      <c r="B176" s="410"/>
      <c r="C176" s="410"/>
      <c r="D176" s="411"/>
      <c r="E176" s="412" t="s">
        <v>3580</v>
      </c>
      <c r="F176" s="413"/>
      <c r="G176" s="413"/>
      <c r="H176" s="413" t="s">
        <v>87</v>
      </c>
      <c r="I176" s="413" t="s">
        <v>3449</v>
      </c>
      <c r="J176" s="413">
        <f>HLOOKUP($I176,'5 Year Forecast'!$L$4:$P$5,2,FALSE)</f>
        <v>5</v>
      </c>
      <c r="K176" s="415">
        <v>0</v>
      </c>
      <c r="L176" s="415">
        <f>3161729+0</f>
        <v>3161729</v>
      </c>
      <c r="M176" s="415">
        <f t="shared" si="100"/>
        <v>3161729</v>
      </c>
      <c r="N176" s="416"/>
      <c r="O176" s="417" t="s">
        <v>44</v>
      </c>
      <c r="P176" s="416"/>
      <c r="Q176" s="415">
        <f t="shared" si="101"/>
        <v>0</v>
      </c>
      <c r="R176" s="415">
        <f t="shared" si="102"/>
        <v>3161729</v>
      </c>
      <c r="S176" s="415">
        <f t="shared" si="103"/>
        <v>3161729</v>
      </c>
      <c r="T176" s="418"/>
      <c r="U176" s="421">
        <f>IF($J176='5 Year Forecast'!$L$5,$S176*(1+'5 Year Forecast'!$L$30),IF($J176&gt;'5 Year Forecast'!$L$5,0,IF($J176&lt;'5 Year Forecast'!$L$5,$Q176*(1+'5 Year Forecast'!$L$30),0)))</f>
        <v>0</v>
      </c>
      <c r="V176" s="421">
        <f>IF($J176='5 Year Forecast'!$M$5,$S176*(1+'5 Year Forecast'!$M$30),IF($J176&gt;'5 Year Forecast'!$M$5,0,IF($J176&lt;'5 Year Forecast'!$M$5,$Q176*(1+'5 Year Forecast'!$M$30),0)))</f>
        <v>0</v>
      </c>
      <c r="W176" s="421">
        <f>IF($J176='5 Year Forecast'!$N$5,$S176*(1+'5 Year Forecast'!$N$30),IF($J176&gt;'5 Year Forecast'!$N$5,0,IF($J176&lt;'5 Year Forecast'!$N$5,$Q176*(1+'5 Year Forecast'!$N$30),0)))</f>
        <v>0</v>
      </c>
      <c r="X176" s="421">
        <f>IF($J176='5 Year Forecast'!$O$5,$S176*(1+'5 Year Forecast'!$O$30),IF($J176&gt;'5 Year Forecast'!$O$5,0,IF($J176&lt;'5 Year Forecast'!$O$5,$Q176*(1+'5 Year Forecast'!$O$30),0)))</f>
        <v>0</v>
      </c>
      <c r="Y176" s="421">
        <f>IF($J176='5 Year Forecast'!$P$5,$S176*(1+'5 Year Forecast'!$P$30),IF($J176&gt;'5 Year Forecast'!$P$5,0,IF($J176&lt;'5 Year Forecast'!$P$5,$Q176*(1+'5 Year Forecast'!$P$30),0)))</f>
        <v>3161729</v>
      </c>
    </row>
    <row r="177" spans="2:25" ht="15" customHeight="1" thickBot="1">
      <c r="B177" s="394"/>
      <c r="C177" s="395"/>
      <c r="D177" s="395"/>
      <c r="E177" s="461"/>
      <c r="F177" s="396"/>
      <c r="G177" s="396"/>
      <c r="H177" s="396"/>
      <c r="I177" s="396"/>
      <c r="J177" s="394"/>
      <c r="K177" s="394">
        <f>SUBTOTAL(9,K172:K176)</f>
        <v>0</v>
      </c>
      <c r="L177" s="394">
        <f>SUBTOTAL(9,L172:L176)</f>
        <v>7939500</v>
      </c>
      <c r="M177" s="394">
        <f>SUBTOTAL(9,M172:M176)</f>
        <v>7939500</v>
      </c>
      <c r="N177" s="396"/>
      <c r="O177" s="394"/>
      <c r="P177" s="396"/>
      <c r="Q177" s="394">
        <f>SUBTOTAL(9,Q172:Q176)</f>
        <v>0</v>
      </c>
      <c r="R177" s="394">
        <f>SUBTOTAL(9,R172:R176)</f>
        <v>7939500</v>
      </c>
      <c r="S177" s="394">
        <f>SUBTOTAL(9,S172:S176)</f>
        <v>7939500</v>
      </c>
      <c r="T177" s="397"/>
      <c r="U177" s="394">
        <f>SUBTOTAL(9,U172:U176)</f>
        <v>1667754</v>
      </c>
      <c r="V177" s="394">
        <f>SUBTOTAL(9,V172:V176)</f>
        <v>349510</v>
      </c>
      <c r="W177" s="394">
        <f>SUBTOTAL(9,W172:W176)</f>
        <v>1172128</v>
      </c>
      <c r="X177" s="394">
        <f>SUBTOTAL(9,X172:X176)</f>
        <v>1588379</v>
      </c>
      <c r="Y177" s="398">
        <f>SUBTOTAL(9,Y172:Y176)</f>
        <v>3161729</v>
      </c>
    </row>
    <row r="178" spans="2:25" ht="15" customHeight="1"/>
    <row r="179" spans="2:25" ht="15" customHeight="1"/>
    <row r="180" spans="2:25" ht="15" customHeight="1">
      <c r="B180" s="658"/>
      <c r="C180" s="658"/>
      <c r="D180" s="159"/>
      <c r="E180" s="458"/>
      <c r="F180"/>
      <c r="G180"/>
      <c r="H180"/>
      <c r="I180" s="186"/>
      <c r="J180" s="186"/>
      <c r="K180" s="658" t="s">
        <v>1043</v>
      </c>
      <c r="L180" s="658"/>
      <c r="M180" s="658"/>
      <c r="N180"/>
      <c r="O180"/>
      <c r="P180"/>
      <c r="Q180" s="658" t="s">
        <v>1042</v>
      </c>
      <c r="R180" s="658"/>
      <c r="S180" s="658"/>
      <c r="T180"/>
      <c r="U180"/>
      <c r="V180"/>
      <c r="W180"/>
      <c r="X180"/>
      <c r="Y180"/>
    </row>
    <row r="181" spans="2:25" ht="15" customHeight="1">
      <c r="B181" s="659" t="s">
        <v>1071</v>
      </c>
      <c r="C181" s="659"/>
      <c r="D181" s="659"/>
      <c r="E181" s="460" t="s">
        <v>86</v>
      </c>
      <c r="F181" s="399" t="s">
        <v>59</v>
      </c>
      <c r="G181" s="399" t="s">
        <v>1044</v>
      </c>
      <c r="H181" s="399" t="s">
        <v>85</v>
      </c>
      <c r="I181" s="659" t="s">
        <v>36</v>
      </c>
      <c r="J181" s="659"/>
      <c r="K181" s="400" t="s">
        <v>1039</v>
      </c>
      <c r="L181" s="400" t="s">
        <v>1040</v>
      </c>
      <c r="M181" s="400" t="s">
        <v>35</v>
      </c>
      <c r="N181" s="401"/>
      <c r="O181" s="401"/>
      <c r="P181" s="401"/>
      <c r="Q181" s="400" t="s">
        <v>1039</v>
      </c>
      <c r="R181" s="400" t="s">
        <v>1040</v>
      </c>
      <c r="S181" s="400" t="s">
        <v>35</v>
      </c>
      <c r="T181" s="401"/>
      <c r="U181" s="401"/>
      <c r="V181" s="401"/>
      <c r="W181" s="401"/>
      <c r="X181" s="401"/>
      <c r="Y181" s="401"/>
    </row>
    <row r="182" spans="2:25" ht="15" customHeight="1">
      <c r="B182" s="42"/>
      <c r="C182" s="42"/>
      <c r="D182" s="42"/>
      <c r="F182" s="41"/>
      <c r="G182" s="41"/>
      <c r="H182" s="41"/>
      <c r="I182" s="41"/>
      <c r="J182" s="41"/>
      <c r="K182" s="41"/>
      <c r="L182" s="67"/>
      <c r="M182" s="41"/>
      <c r="N182" s="41"/>
      <c r="O182" s="41"/>
      <c r="P182" s="41"/>
      <c r="Q182" s="41"/>
      <c r="R182" s="41"/>
      <c r="S182" s="41"/>
      <c r="T182" s="42"/>
      <c r="U182" s="41"/>
      <c r="V182" s="41"/>
      <c r="W182" s="41"/>
      <c r="X182" s="41"/>
      <c r="Y182" s="41"/>
    </row>
    <row r="183" spans="2:25" ht="15" customHeight="1">
      <c r="B183" s="410"/>
      <c r="C183" s="410"/>
      <c r="D183" s="411"/>
      <c r="E183" s="412" t="s">
        <v>3576</v>
      </c>
      <c r="F183" s="413"/>
      <c r="G183" s="413"/>
      <c r="H183" s="413" t="s">
        <v>87</v>
      </c>
      <c r="I183" s="413" t="s">
        <v>1209</v>
      </c>
      <c r="J183" s="413">
        <f>HLOOKUP($I183,'5 Year Forecast'!$L$4:$P$5,2,FALSE)</f>
        <v>1</v>
      </c>
      <c r="K183" s="414">
        <v>0</v>
      </c>
      <c r="L183" s="415">
        <v>48300</v>
      </c>
      <c r="M183" s="415">
        <f t="shared" ref="M183:M189" si="108">SUM(K183:L183)</f>
        <v>48300</v>
      </c>
      <c r="N183" s="416"/>
      <c r="O183" s="417" t="s">
        <v>44</v>
      </c>
      <c r="P183" s="416"/>
      <c r="Q183" s="415">
        <f t="shared" ref="Q183:Q189" si="109">IF($O183="Y",K183,IF($O183="N",0,$O183*K183))</f>
        <v>0</v>
      </c>
      <c r="R183" s="415">
        <f t="shared" ref="R183:R189" si="110">IF($O183="Y",L183,IF($O183="N",0,$O183*L183))</f>
        <v>48300</v>
      </c>
      <c r="S183" s="415">
        <f t="shared" ref="S183:S189" si="111">SUM(Q183:R183)</f>
        <v>48300</v>
      </c>
      <c r="T183" s="418"/>
      <c r="U183" s="421">
        <f>IF($J183='5 Year Forecast'!$L$5,$S183*(1+'5 Year Forecast'!$L$30),IF($J183&gt;'5 Year Forecast'!$L$5,0,IF($J183&lt;'5 Year Forecast'!$L$5,$Q183*(1+'5 Year Forecast'!$L$30),0)))</f>
        <v>48300</v>
      </c>
      <c r="V183" s="421">
        <f>IF($J183='5 Year Forecast'!$M$5,$S183*(1+'5 Year Forecast'!$M$30),IF($J183&gt;'5 Year Forecast'!$M$5,0,IF($J183&lt;'5 Year Forecast'!$M$5,$Q183*(1+'5 Year Forecast'!$M$30),0)))</f>
        <v>0</v>
      </c>
      <c r="W183" s="421">
        <v>0</v>
      </c>
      <c r="X183" s="421">
        <f>IF($J183='5 Year Forecast'!$O$5,$S183*(1+'5 Year Forecast'!$O$30),IF($J183&gt;'5 Year Forecast'!$O$5,0,IF($J183&lt;'5 Year Forecast'!$O$5,$Q183*(1+'5 Year Forecast'!$O$30),0)))</f>
        <v>0</v>
      </c>
      <c r="Y183" s="421">
        <f>IF($J183='5 Year Forecast'!$P$5,$S183*(1+'5 Year Forecast'!$P$30),IF($J183&gt;'5 Year Forecast'!$P$5,0,IF($J183&lt;'5 Year Forecast'!$P$5,$Q183*(1+'5 Year Forecast'!$P$30),0)))</f>
        <v>0</v>
      </c>
    </row>
    <row r="184" spans="2:25" ht="15" customHeight="1">
      <c r="B184" s="410"/>
      <c r="C184" s="410"/>
      <c r="D184" s="411"/>
      <c r="E184" s="412" t="s">
        <v>3577</v>
      </c>
      <c r="F184" s="413"/>
      <c r="G184" s="413"/>
      <c r="H184" s="413" t="s">
        <v>87</v>
      </c>
      <c r="I184" s="413" t="s">
        <v>3323</v>
      </c>
      <c r="J184" s="413">
        <f>HLOOKUP($I184,'5 Year Forecast'!$L$4:$P$5,2,FALSE)</f>
        <v>2</v>
      </c>
      <c r="K184" s="414">
        <v>0</v>
      </c>
      <c r="L184" s="415">
        <v>61000</v>
      </c>
      <c r="M184" s="415">
        <f t="shared" si="108"/>
        <v>61000</v>
      </c>
      <c r="N184" s="416"/>
      <c r="O184" s="417" t="s">
        <v>44</v>
      </c>
      <c r="P184" s="416"/>
      <c r="Q184" s="415">
        <f t="shared" si="109"/>
        <v>0</v>
      </c>
      <c r="R184" s="415">
        <f t="shared" si="110"/>
        <v>61000</v>
      </c>
      <c r="S184" s="415">
        <f t="shared" si="111"/>
        <v>61000</v>
      </c>
      <c r="T184" s="418"/>
      <c r="U184" s="421">
        <f>IF($J184='5 Year Forecast'!$L$5,$S184*(1+'5 Year Forecast'!$L$30),IF($J184&gt;'5 Year Forecast'!$L$5,0,IF($J184&lt;'5 Year Forecast'!$L$5,$Q184*(1+'5 Year Forecast'!$L$30),0)))</f>
        <v>0</v>
      </c>
      <c r="V184" s="421">
        <f>IF($J184='5 Year Forecast'!$M$5,$S184*(1+'5 Year Forecast'!$M$30),IF($J184&gt;'5 Year Forecast'!$M$5,0,IF($J184&lt;'5 Year Forecast'!$M$5,$Q184*(1+'5 Year Forecast'!$M$30),0)))</f>
        <v>61000</v>
      </c>
      <c r="W184" s="421">
        <v>0</v>
      </c>
      <c r="X184" s="421">
        <f>IF($J184='5 Year Forecast'!$O$5,$S184*(1+'5 Year Forecast'!$O$30),IF($J184&gt;'5 Year Forecast'!$O$5,0,IF($J184&lt;'5 Year Forecast'!$O$5,$Q184*(1+'5 Year Forecast'!$O$30),0)))</f>
        <v>0</v>
      </c>
      <c r="Y184" s="421">
        <f>IF($J184='5 Year Forecast'!$P$5,$S184*(1+'5 Year Forecast'!$P$30),IF($J184&gt;'5 Year Forecast'!$P$5,0,IF($J184&lt;'5 Year Forecast'!$P$5,$Q184*(1+'5 Year Forecast'!$P$30),0)))</f>
        <v>0</v>
      </c>
    </row>
    <row r="185" spans="2:25" ht="15" customHeight="1">
      <c r="B185" s="410"/>
      <c r="C185" s="410"/>
      <c r="D185" s="411"/>
      <c r="E185" s="412" t="s">
        <v>3578</v>
      </c>
      <c r="F185" s="413"/>
      <c r="G185" s="413"/>
      <c r="H185" s="413" t="s">
        <v>87</v>
      </c>
      <c r="I185" s="413" t="s">
        <v>3359</v>
      </c>
      <c r="J185" s="413">
        <f>HLOOKUP($I185,'5 Year Forecast'!$L$4:$P$5,2,FALSE)</f>
        <v>3</v>
      </c>
      <c r="K185" s="414">
        <v>0</v>
      </c>
      <c r="L185" s="415">
        <v>140000</v>
      </c>
      <c r="M185" s="415">
        <f t="shared" si="108"/>
        <v>140000</v>
      </c>
      <c r="N185" s="416"/>
      <c r="O185" s="417" t="s">
        <v>44</v>
      </c>
      <c r="P185" s="416"/>
      <c r="Q185" s="415">
        <f t="shared" si="109"/>
        <v>0</v>
      </c>
      <c r="R185" s="415">
        <f t="shared" si="110"/>
        <v>140000</v>
      </c>
      <c r="S185" s="415">
        <f t="shared" si="111"/>
        <v>140000</v>
      </c>
      <c r="T185" s="418"/>
      <c r="U185" s="421">
        <f>IF($J185='5 Year Forecast'!$L$5,$S185*(1+'5 Year Forecast'!$L$30),IF($J185&gt;'5 Year Forecast'!$L$5,0,IF($J185&lt;'5 Year Forecast'!$L$5,$Q185*(1+'5 Year Forecast'!$L$30),0)))</f>
        <v>0</v>
      </c>
      <c r="V185" s="421">
        <f>IF($J185='5 Year Forecast'!$M$5,$S185*(1+'5 Year Forecast'!$M$30),IF($J185&gt;'5 Year Forecast'!$M$5,0,IF($J185&lt;'5 Year Forecast'!$M$5,$Q185*(1+'5 Year Forecast'!$M$30),0)))</f>
        <v>0</v>
      </c>
      <c r="W185" s="421">
        <v>0</v>
      </c>
      <c r="X185" s="421">
        <f>IF($J185='5 Year Forecast'!$O$5,$S185*(1+'5 Year Forecast'!$O$30),IF($J185&gt;'5 Year Forecast'!$O$5,0,IF($J185&lt;'5 Year Forecast'!$O$5,$Q185*(1+'5 Year Forecast'!$O$30),0)))</f>
        <v>0</v>
      </c>
      <c r="Y185" s="421">
        <f>IF($J185='5 Year Forecast'!$P$5,$S185*(1+'5 Year Forecast'!$P$30),IF($J185&gt;'5 Year Forecast'!$P$5,0,IF($J185&lt;'5 Year Forecast'!$P$5,$Q185*(1+'5 Year Forecast'!$P$30),0)))</f>
        <v>0</v>
      </c>
    </row>
    <row r="186" spans="2:25" ht="15" customHeight="1">
      <c r="B186" s="410"/>
      <c r="C186" s="410"/>
      <c r="D186" s="411"/>
      <c r="E186" s="412" t="s">
        <v>3579</v>
      </c>
      <c r="F186" s="413"/>
      <c r="G186" s="413"/>
      <c r="H186" s="413" t="s">
        <v>87</v>
      </c>
      <c r="I186" s="413" t="s">
        <v>3406</v>
      </c>
      <c r="J186" s="413">
        <f>HLOOKUP($I186,'5 Year Forecast'!$L$4:$P$5,2,FALSE)</f>
        <v>4</v>
      </c>
      <c r="K186" s="414">
        <v>0</v>
      </c>
      <c r="L186" s="415">
        <v>26553</v>
      </c>
      <c r="M186" s="415">
        <f t="shared" si="108"/>
        <v>26553</v>
      </c>
      <c r="N186" s="416"/>
      <c r="O186" s="417" t="s">
        <v>44</v>
      </c>
      <c r="P186" s="416"/>
      <c r="Q186" s="415">
        <f t="shared" si="109"/>
        <v>0</v>
      </c>
      <c r="R186" s="415">
        <f t="shared" si="110"/>
        <v>26553</v>
      </c>
      <c r="S186" s="415">
        <f t="shared" si="111"/>
        <v>26553</v>
      </c>
      <c r="T186" s="418"/>
      <c r="U186" s="421">
        <f>IF($J186='5 Year Forecast'!$L$5,$S186*(1+'5 Year Forecast'!$L$30),IF($J186&gt;'5 Year Forecast'!$L$5,0,IF($J186&lt;'5 Year Forecast'!$L$5,$Q186*(1+'5 Year Forecast'!$L$30),0)))</f>
        <v>0</v>
      </c>
      <c r="V186" s="421">
        <f>IF($J186='5 Year Forecast'!$M$5,$S186*(1+'5 Year Forecast'!$M$30),IF($J186&gt;'5 Year Forecast'!$M$5,0,IF($J186&lt;'5 Year Forecast'!$M$5,$Q186*(1+'5 Year Forecast'!$M$30),0)))</f>
        <v>0</v>
      </c>
      <c r="W186" s="421">
        <v>0</v>
      </c>
      <c r="X186" s="421">
        <f>IF($J186='5 Year Forecast'!$O$5,$S186*(1+'5 Year Forecast'!$O$30),IF($J186&gt;'5 Year Forecast'!$O$5,0,IF($J186&lt;'5 Year Forecast'!$O$5,$Q186*(1+'5 Year Forecast'!$O$30),0)))</f>
        <v>26553</v>
      </c>
      <c r="Y186" s="421">
        <f>IF($J186='5 Year Forecast'!$P$5,$S186*(1+'5 Year Forecast'!$P$30),IF($J186&gt;'5 Year Forecast'!$P$5,0,IF($J186&lt;'5 Year Forecast'!$P$5,$Q186*(1+'5 Year Forecast'!$P$30),0)))</f>
        <v>0</v>
      </c>
    </row>
    <row r="187" spans="2:25" ht="15" customHeight="1">
      <c r="B187" s="410"/>
      <c r="C187" s="410"/>
      <c r="D187" s="411"/>
      <c r="E187" s="412" t="s">
        <v>3580</v>
      </c>
      <c r="F187" s="413"/>
      <c r="G187" s="413"/>
      <c r="H187" s="413" t="s">
        <v>87</v>
      </c>
      <c r="I187" s="413" t="s">
        <v>3449</v>
      </c>
      <c r="J187" s="413">
        <f>HLOOKUP($I187,'5 Year Forecast'!$L$4:$P$5,2,FALSE)</f>
        <v>5</v>
      </c>
      <c r="K187" s="414">
        <v>0</v>
      </c>
      <c r="L187" s="415">
        <v>90000</v>
      </c>
      <c r="M187" s="415">
        <f t="shared" si="108"/>
        <v>90000</v>
      </c>
      <c r="N187" s="416"/>
      <c r="O187" s="417" t="s">
        <v>44</v>
      </c>
      <c r="P187" s="416"/>
      <c r="Q187" s="415">
        <f t="shared" si="109"/>
        <v>0</v>
      </c>
      <c r="R187" s="415">
        <f t="shared" si="110"/>
        <v>90000</v>
      </c>
      <c r="S187" s="415">
        <f t="shared" si="111"/>
        <v>90000</v>
      </c>
      <c r="T187" s="418"/>
      <c r="U187" s="421">
        <f>IF($J187='5 Year Forecast'!$L$5,$S187*(1+'5 Year Forecast'!$L$30),IF($J187&gt;'5 Year Forecast'!$L$5,0,IF($J187&lt;'5 Year Forecast'!$L$5,$Q187*(1+'5 Year Forecast'!$L$30),0)))</f>
        <v>0</v>
      </c>
      <c r="V187" s="421">
        <f>IF($J187='5 Year Forecast'!$M$5,$S187*(1+'5 Year Forecast'!$M$30),IF($J187&gt;'5 Year Forecast'!$M$5,0,IF($J187&lt;'5 Year Forecast'!$M$5,$Q187*(1+'5 Year Forecast'!$M$30),0)))</f>
        <v>0</v>
      </c>
      <c r="W187" s="421">
        <v>0</v>
      </c>
      <c r="X187" s="421">
        <f>IF($J187='5 Year Forecast'!$O$5,$S187*(1+'5 Year Forecast'!$O$30),IF($J187&gt;'5 Year Forecast'!$O$5,0,IF($J187&lt;'5 Year Forecast'!$O$5,$Q187*(1+'5 Year Forecast'!$O$30),0)))</f>
        <v>0</v>
      </c>
      <c r="Y187" s="421">
        <f>IF($J187='5 Year Forecast'!$P$5,$S187*(1+'5 Year Forecast'!$P$30),IF($J187&gt;'5 Year Forecast'!$P$5,0,IF($J187&lt;'5 Year Forecast'!$P$5,$Q187*(1+'5 Year Forecast'!$P$30),0)))</f>
        <v>90000</v>
      </c>
    </row>
    <row r="188" spans="2:25" ht="15" customHeight="1">
      <c r="B188" s="410"/>
      <c r="C188" s="410"/>
      <c r="D188" s="411"/>
      <c r="E188" s="412" t="s">
        <v>3601</v>
      </c>
      <c r="F188" s="413"/>
      <c r="G188" s="413"/>
      <c r="H188" s="413" t="s">
        <v>87</v>
      </c>
      <c r="I188" s="413" t="s">
        <v>3323</v>
      </c>
      <c r="J188" s="413">
        <f>HLOOKUP($I188,'5 Year Forecast'!$L$4:$P$5,2,FALSE)</f>
        <v>2</v>
      </c>
      <c r="K188" s="414">
        <v>0</v>
      </c>
      <c r="L188" s="415">
        <v>450000</v>
      </c>
      <c r="M188" s="415">
        <f t="shared" ref="M188" si="112">SUM(K188:L188)</f>
        <v>450000</v>
      </c>
      <c r="N188" s="416"/>
      <c r="O188" s="417" t="s">
        <v>44</v>
      </c>
      <c r="P188" s="416"/>
      <c r="Q188" s="415">
        <f t="shared" ref="Q188" si="113">IF($O188="Y",K188,IF($O188="N",0,$O188*K188))</f>
        <v>0</v>
      </c>
      <c r="R188" s="415">
        <f t="shared" ref="R188" si="114">IF($O188="Y",L188,IF($O188="N",0,$O188*L188))</f>
        <v>450000</v>
      </c>
      <c r="S188" s="415">
        <f t="shared" ref="S188" si="115">SUM(Q188:R188)</f>
        <v>450000</v>
      </c>
      <c r="T188" s="418"/>
      <c r="U188" s="421">
        <f>IF($J188='5 Year Forecast'!$L$5,$S188*(1+'5 Year Forecast'!$L$30),IF($J188&gt;'5 Year Forecast'!$L$5,0,IF($J188&lt;'5 Year Forecast'!$L$5,$Q188*(1+'5 Year Forecast'!$L$30),0)))</f>
        <v>0</v>
      </c>
      <c r="V188" s="421">
        <f>IF($J188='5 Year Forecast'!$M$5,$S188*(1+'5 Year Forecast'!$M$30),IF($J188&gt;'5 Year Forecast'!$M$5,0,IF($J188&lt;'5 Year Forecast'!$M$5,$Q188*(1+'5 Year Forecast'!$M$30),0)))</f>
        <v>450000</v>
      </c>
      <c r="W188" s="421">
        <v>0</v>
      </c>
      <c r="X188" s="421">
        <f>IF($J188='5 Year Forecast'!$O$5,$S188*(1+'5 Year Forecast'!$O$30),IF($J188&gt;'5 Year Forecast'!$O$5,0,IF($J188&lt;'5 Year Forecast'!$O$5,$Q188*(1+'5 Year Forecast'!$O$30),0)))</f>
        <v>0</v>
      </c>
      <c r="Y188" s="421">
        <f>IF($J188='5 Year Forecast'!$P$5,$S188*(1+'5 Year Forecast'!$P$30),IF($J188&gt;'5 Year Forecast'!$P$5,0,IF($J188&lt;'5 Year Forecast'!$P$5,$Q188*(1+'5 Year Forecast'!$P$30),0)))</f>
        <v>0</v>
      </c>
    </row>
    <row r="189" spans="2:25" ht="15" customHeight="1" thickBot="1">
      <c r="B189" s="410"/>
      <c r="C189" s="410"/>
      <c r="D189" s="411"/>
      <c r="E189" s="412" t="s">
        <v>3581</v>
      </c>
      <c r="F189" s="413"/>
      <c r="G189" s="413"/>
      <c r="H189" s="413"/>
      <c r="I189" s="413"/>
      <c r="J189" s="413"/>
      <c r="K189" s="414">
        <v>0</v>
      </c>
      <c r="L189" s="415">
        <v>0</v>
      </c>
      <c r="M189" s="415">
        <f t="shared" si="108"/>
        <v>0</v>
      </c>
      <c r="N189" s="416"/>
      <c r="O189" s="417" t="s">
        <v>46</v>
      </c>
      <c r="P189" s="416"/>
      <c r="Q189" s="415">
        <f t="shared" si="109"/>
        <v>0</v>
      </c>
      <c r="R189" s="415">
        <f t="shared" si="110"/>
        <v>0</v>
      </c>
      <c r="S189" s="415">
        <f t="shared" si="111"/>
        <v>0</v>
      </c>
      <c r="T189" s="418"/>
      <c r="U189" s="421">
        <f>IF($J189='5 Year Forecast'!$L$5,$S189*(1+'5 Year Forecast'!$L$30),IF($J189&gt;'5 Year Forecast'!$L$5,0,IF($J189&lt;'5 Year Forecast'!$L$5,$Q189*(1+'5 Year Forecast'!$L$30),0)))</f>
        <v>0</v>
      </c>
      <c r="V189" s="421">
        <f>IF($J189='5 Year Forecast'!$M$5,$S189*(1+'5 Year Forecast'!$M$30),IF($J189&gt;'5 Year Forecast'!$M$5,0,IF($J189&lt;'5 Year Forecast'!$M$5,$Q189*(1+'5 Year Forecast'!$M$30),0)))</f>
        <v>0</v>
      </c>
      <c r="W189" s="421">
        <v>0</v>
      </c>
      <c r="X189" s="421">
        <f>IF($J189='5 Year Forecast'!$O$5,$S189*(1+'5 Year Forecast'!$O$30),IF($J189&gt;'5 Year Forecast'!$O$5,0,IF($J189&lt;'5 Year Forecast'!$O$5,$Q189*(1+'5 Year Forecast'!$O$30),0)))</f>
        <v>0</v>
      </c>
      <c r="Y189" s="421">
        <f>IF($J189='5 Year Forecast'!$P$5,$S189*(1+'5 Year Forecast'!$P$30),IF($J189&gt;'5 Year Forecast'!$P$5,0,IF($J189&lt;'5 Year Forecast'!$P$5,$Q189*(1+'5 Year Forecast'!$P$30),0)))</f>
        <v>0</v>
      </c>
    </row>
    <row r="190" spans="2:25" ht="15" customHeight="1" thickBot="1">
      <c r="B190" s="394"/>
      <c r="C190" s="395"/>
      <c r="D190" s="395"/>
      <c r="E190" s="461"/>
      <c r="F190" s="396"/>
      <c r="G190" s="396"/>
      <c r="H190" s="396"/>
      <c r="I190" s="396"/>
      <c r="J190" s="394"/>
      <c r="K190" s="394">
        <f>SUBTOTAL(9,K183:K189)</f>
        <v>0</v>
      </c>
      <c r="L190" s="394">
        <f>SUBTOTAL(9,L183:L189)</f>
        <v>815853</v>
      </c>
      <c r="M190" s="394">
        <f>SUBTOTAL(9,M183:M189)</f>
        <v>815853</v>
      </c>
      <c r="N190" s="396"/>
      <c r="O190" s="394"/>
      <c r="P190" s="396"/>
      <c r="Q190" s="394">
        <f>SUBTOTAL(9,Q183:Q189)</f>
        <v>0</v>
      </c>
      <c r="R190" s="394">
        <f>SUBTOTAL(9,R183:R189)</f>
        <v>815853</v>
      </c>
      <c r="S190" s="394">
        <f>SUBTOTAL(9,S183:S189)</f>
        <v>815853</v>
      </c>
      <c r="T190" s="397"/>
      <c r="U190" s="394">
        <f>SUBTOTAL(9,U183:U189)</f>
        <v>48300</v>
      </c>
      <c r="V190" s="394">
        <f>SUBTOTAL(9,V183:V189)</f>
        <v>511000</v>
      </c>
      <c r="W190" s="394">
        <f>SUBTOTAL(9,W183:W189)</f>
        <v>0</v>
      </c>
      <c r="X190" s="394">
        <f>SUBTOTAL(9,X183:X189)</f>
        <v>26553</v>
      </c>
      <c r="Y190" s="398">
        <f>SUBTOTAL(9,Y183:Y189)</f>
        <v>90000</v>
      </c>
    </row>
    <row r="191" spans="2:25" ht="15" customHeight="1"/>
    <row r="192" spans="2:25" ht="15" customHeight="1"/>
    <row r="193" spans="2:26" ht="15" customHeight="1"/>
    <row r="194" spans="2:26" ht="15" customHeight="1"/>
    <row r="195" spans="2:26" ht="15" customHeight="1"/>
    <row r="196" spans="2:26" ht="15" customHeight="1"/>
    <row r="197" spans="2:26" ht="15" customHeight="1"/>
    <row r="198" spans="2:26" ht="15" customHeight="1"/>
    <row r="199" spans="2:26" ht="15" customHeight="1"/>
    <row r="200" spans="2:26" ht="15" customHeight="1"/>
    <row r="201" spans="2:26" ht="15" customHeight="1"/>
    <row r="202" spans="2:26" ht="15" customHeight="1"/>
    <row r="203" spans="2:26" ht="15" customHeight="1"/>
    <row r="204" spans="2:26" ht="15" customHeight="1">
      <c r="B204" s="159"/>
      <c r="C204" s="159"/>
      <c r="D204" s="159"/>
      <c r="E204" s="458"/>
      <c r="F204"/>
      <c r="G204"/>
      <c r="H204"/>
      <c r="I204"/>
      <c r="J204"/>
      <c r="K204"/>
      <c r="L204"/>
      <c r="M204"/>
      <c r="N204"/>
      <c r="O204"/>
      <c r="P204"/>
      <c r="Q204"/>
      <c r="R204"/>
      <c r="S204"/>
      <c r="T204"/>
      <c r="U204"/>
      <c r="V204"/>
      <c r="W204"/>
      <c r="X204"/>
      <c r="Y204"/>
      <c r="Z204"/>
    </row>
    <row r="205" spans="2:26" ht="15" customHeight="1">
      <c r="B205" s="408"/>
      <c r="C205" s="408"/>
      <c r="D205" s="408"/>
      <c r="E205" s="458"/>
      <c r="F205" s="78"/>
      <c r="G205" s="78"/>
      <c r="H205" s="78"/>
      <c r="I205" s="78"/>
      <c r="J205" s="78"/>
      <c r="K205" s="78"/>
      <c r="L205" s="78"/>
      <c r="M205" s="78"/>
      <c r="N205" s="78"/>
      <c r="O205" s="78"/>
      <c r="P205" s="78"/>
      <c r="Q205" s="78"/>
      <c r="R205" s="78"/>
      <c r="S205" s="78"/>
      <c r="T205" s="78"/>
      <c r="U205" s="78"/>
      <c r="V205" s="78"/>
      <c r="W205" s="78"/>
      <c r="X205" s="78"/>
      <c r="Y205" s="78"/>
      <c r="Z205" s="78"/>
    </row>
    <row r="206" spans="2:26" ht="15" customHeight="1"/>
    <row r="207" spans="2:26" ht="15" customHeight="1"/>
  </sheetData>
  <sortState xmlns:xlrd2="http://schemas.microsoft.com/office/spreadsheetml/2017/richdata2" ref="B8:Z90">
    <sortCondition ref="C8:C90"/>
    <sortCondition ref="D8:D90"/>
  </sortState>
  <mergeCells count="45">
    <mergeCell ref="I3:J3"/>
    <mergeCell ref="B180:C180"/>
    <mergeCell ref="K180:M180"/>
    <mergeCell ref="I181:J181"/>
    <mergeCell ref="B169:C169"/>
    <mergeCell ref="K169:M169"/>
    <mergeCell ref="I170:J170"/>
    <mergeCell ref="B158:C158"/>
    <mergeCell ref="K158:M158"/>
    <mergeCell ref="B151:C151"/>
    <mergeCell ref="K151:M151"/>
    <mergeCell ref="I152:J152"/>
    <mergeCell ref="B170:D170"/>
    <mergeCell ref="B181:D181"/>
    <mergeCell ref="I159:J159"/>
    <mergeCell ref="I98:J98"/>
    <mergeCell ref="Q113:S113"/>
    <mergeCell ref="I114:J114"/>
    <mergeCell ref="B114:D114"/>
    <mergeCell ref="B152:D152"/>
    <mergeCell ref="I136:J136"/>
    <mergeCell ref="B135:C135"/>
    <mergeCell ref="B136:D136"/>
    <mergeCell ref="Q125:S125"/>
    <mergeCell ref="Q135:S135"/>
    <mergeCell ref="K135:M135"/>
    <mergeCell ref="Q180:S180"/>
    <mergeCell ref="Q169:S169"/>
    <mergeCell ref="Q158:S158"/>
    <mergeCell ref="Q151:S151"/>
    <mergeCell ref="B159:D159"/>
    <mergeCell ref="B98:D98"/>
    <mergeCell ref="I126:J126"/>
    <mergeCell ref="B126:D126"/>
    <mergeCell ref="B125:C125"/>
    <mergeCell ref="K125:M125"/>
    <mergeCell ref="B113:C113"/>
    <mergeCell ref="K113:M113"/>
    <mergeCell ref="K5:M5"/>
    <mergeCell ref="Q5:S5"/>
    <mergeCell ref="I6:J6"/>
    <mergeCell ref="B6:D6"/>
    <mergeCell ref="B97:C97"/>
    <mergeCell ref="K97:M97"/>
    <mergeCell ref="Q97:S97"/>
  </mergeCells>
  <dataValidations count="2">
    <dataValidation type="list" allowBlank="1" showInputMessage="1" showErrorMessage="1" sqref="I130:I131" xr:uid="{00000000-0002-0000-0800-000001000000}">
      <formula1>#REF!</formula1>
    </dataValidation>
    <dataValidation type="list" allowBlank="1" showInputMessage="1" showErrorMessage="1" sqref="H121 H154 H161:H165 H172:H176 H100:H109 H8:H90 H128:H131 H92:H93 H116:H119 H183:H189" xr:uid="{00000000-0002-0000-0800-000002000000}">
      <formula1>" Personnel,Repairs &amp; Maint.,Capital Outlay,New Services, Goals &amp; Services"</formula1>
    </dataValidation>
  </dataValidations>
  <pageMargins left="0.7" right="0.7" top="0.75" bottom="0.75" header="0.3" footer="0.3"/>
  <pageSetup paperSize="5" scale="4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4000000}">
          <x14:formula1>
            <xm:f>'5 Year Forecast'!$L$4:$P$4</xm:f>
          </x14:formula1>
          <xm:sqref>I161:I165 I138:I147 I100:I109 I172:I176 I128:I129 I154 I116:I121 I8:I90 I92:I93 I183:I189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AR314"/>
  <sheetViews>
    <sheetView tabSelected="1" topLeftCell="J1" workbookViewId="0">
      <pane ySplit="3" topLeftCell="A34" activePane="bottomLeft" state="frozen"/>
      <selection activeCell="H1" sqref="H1"/>
      <selection pane="bottomLeft" activeCell="M37" sqref="M37"/>
    </sheetView>
  </sheetViews>
  <sheetFormatPr defaultColWidth="8.88671875" defaultRowHeight="14.4"/>
  <cols>
    <col min="1" max="1" width="10.5546875" style="2" customWidth="1"/>
    <col min="2" max="2" width="10.109375" style="2" customWidth="1"/>
    <col min="3" max="3" width="7.44140625" style="2" customWidth="1"/>
    <col min="4" max="4" width="8.109375" style="2" customWidth="1"/>
    <col min="5" max="5" width="14.109375" style="2" customWidth="1"/>
    <col min="6" max="6" width="13.88671875" style="4" customWidth="1"/>
    <col min="7" max="7" width="7.88671875" style="2" customWidth="1"/>
    <col min="8" max="8" width="31.109375" style="2" customWidth="1"/>
    <col min="9" max="9" width="15.88671875" style="41" customWidth="1"/>
    <col min="10" max="10" width="13.88671875" style="41" customWidth="1"/>
    <col min="11" max="11" width="14.88671875" style="41" customWidth="1"/>
    <col min="12" max="12" width="15.109375" style="41" customWidth="1"/>
    <col min="13" max="13" width="15.88671875" style="41" customWidth="1"/>
    <col min="14" max="14" width="15.109375" style="41" customWidth="1"/>
    <col min="15" max="15" width="19.44140625" style="41" customWidth="1"/>
    <col min="16" max="16" width="15.109375" style="41" customWidth="1"/>
    <col min="17" max="17" width="11.88671875" style="2" customWidth="1"/>
    <col min="18" max="18" width="15" customWidth="1"/>
    <col min="19" max="19" width="10.88671875" customWidth="1"/>
    <col min="20" max="20" width="10.6640625" customWidth="1"/>
    <col min="21" max="21" width="13.88671875" customWidth="1"/>
    <col min="22" max="26" width="12.6640625" customWidth="1"/>
    <col min="27" max="27" width="14.109375" customWidth="1"/>
    <col min="45" max="16384" width="8.88671875" style="2"/>
  </cols>
  <sheetData>
    <row r="1" spans="6:44">
      <c r="F1" s="391"/>
      <c r="G1" s="391"/>
      <c r="H1" s="2">
        <v>2</v>
      </c>
    </row>
    <row r="2" spans="6:44" s="5" customFormat="1" ht="12.75" customHeight="1">
      <c r="G2" s="392">
        <v>1</v>
      </c>
      <c r="H2" s="392">
        <v>2</v>
      </c>
      <c r="I2" s="392">
        <v>19</v>
      </c>
      <c r="J2" s="392">
        <v>20</v>
      </c>
      <c r="K2" s="392">
        <v>21</v>
      </c>
      <c r="L2" s="392">
        <v>23</v>
      </c>
      <c r="M2" s="392">
        <v>24</v>
      </c>
      <c r="N2" s="392">
        <v>25</v>
      </c>
      <c r="O2" s="392">
        <v>26</v>
      </c>
      <c r="P2" s="392">
        <v>27</v>
      </c>
    </row>
    <row r="3" spans="6:44" s="403" customFormat="1" ht="39.6">
      <c r="G3" s="402" t="s">
        <v>825</v>
      </c>
      <c r="I3" s="402" t="str">
        <f>'General Fund Line-Item Details'!T5</f>
        <v>FY 2024-25 
Proposed Budget</v>
      </c>
      <c r="J3" s="402" t="str">
        <f>'General Fund Line-Item Details'!$X$9</f>
        <v>FY 2024-25 One-Time Costs</v>
      </c>
      <c r="K3" s="402" t="str">
        <f>'General Fund Line-Item Details'!$A$2&amp;" On-Going Costs"</f>
        <v>FY 2024-25 On-Going Costs</v>
      </c>
      <c r="L3" s="402" t="str">
        <f>"FY "&amp;MID('General Fund Line-Item Details'!$A$2,4,4)+L5&amp;"-"&amp;RIGHT('General Fund Line-Item Details'!$A$2,2)+L5&amp;" Projected"</f>
        <v>FY 2025-26 Projected</v>
      </c>
      <c r="M3" s="402" t="str">
        <f>"FY "&amp;MID('General Fund Line-Item Details'!$A$2,4,4)+M5&amp;"-"&amp;RIGHT('General Fund Line-Item Details'!$A$2,2)+M5&amp;" Projected"</f>
        <v>FY 2026-27 Projected</v>
      </c>
      <c r="N3" s="402" t="str">
        <f>"FY "&amp;MID('General Fund Line-Item Details'!$A$2,4,4)+N5&amp;"-"&amp;RIGHT('General Fund Line-Item Details'!$A$2,2)+N5&amp;" Projected"</f>
        <v>FY 2027-28 Projected</v>
      </c>
      <c r="O3" s="402" t="str">
        <f>"FY "&amp;MID('General Fund Line-Item Details'!$A$2,4,4)+O5&amp;"-"&amp;RIGHT('General Fund Line-Item Details'!$A$2,2)+O5&amp;" Projected"</f>
        <v>FY 2028-29 Projected</v>
      </c>
      <c r="P3" s="402" t="str">
        <f>"FY "&amp;MID('General Fund Line-Item Details'!$A$2,4,4)+P5&amp;"-"&amp;RIGHT('General Fund Line-Item Details'!$A$2,2)+P5&amp;" Projected"</f>
        <v>FY 2029-30 Projected</v>
      </c>
    </row>
    <row r="4" spans="6:44" s="322" customFormat="1" ht="13.2">
      <c r="G4" s="321"/>
      <c r="I4" s="321"/>
      <c r="J4" s="321"/>
      <c r="K4" s="321"/>
      <c r="L4" s="321" t="str">
        <f>"FY "&amp;MID('General Fund Line-Item Details'!$A$2,4,4)+L5&amp;"-"&amp;RIGHT('General Fund Line-Item Details'!$A$2,2)+L5</f>
        <v>FY 2025-26</v>
      </c>
      <c r="M4" s="321" t="str">
        <f>"FY "&amp;MID('General Fund Line-Item Details'!$A$2,4,4)+M5&amp;"-"&amp;RIGHT('General Fund Line-Item Details'!$A$2,2)+M5</f>
        <v>FY 2026-27</v>
      </c>
      <c r="N4" s="321" t="str">
        <f>"FY "&amp;MID('General Fund Line-Item Details'!$A$2,4,4)+N5&amp;"-"&amp;RIGHT('General Fund Line-Item Details'!$A$2,2)+N5</f>
        <v>FY 2027-28</v>
      </c>
      <c r="O4" s="321" t="str">
        <f>"FY "&amp;MID('General Fund Line-Item Details'!$A$2,4,4)+O5&amp;"-"&amp;RIGHT('General Fund Line-Item Details'!$A$2,2)+O5</f>
        <v>FY 2028-29</v>
      </c>
      <c r="P4" s="321" t="str">
        <f>"FY "&amp;MID('General Fund Line-Item Details'!$A$2,4,4)+P5&amp;"-"&amp;RIGHT('General Fund Line-Item Details'!$A$2,2)+P5</f>
        <v>FY 2029-30</v>
      </c>
    </row>
    <row r="5" spans="6:44" ht="13.2">
      <c r="G5" s="3"/>
      <c r="H5" s="147"/>
      <c r="I5" s="145"/>
      <c r="J5" s="145"/>
      <c r="K5" s="145"/>
      <c r="L5" s="145">
        <v>1</v>
      </c>
      <c r="M5" s="145">
        <f>L5+1</f>
        <v>2</v>
      </c>
      <c r="N5" s="145">
        <f>M5+1</f>
        <v>3</v>
      </c>
      <c r="O5" s="145">
        <f>N5+1</f>
        <v>4</v>
      </c>
      <c r="P5" s="145">
        <f>O5+1</f>
        <v>5</v>
      </c>
      <c r="R5" s="2"/>
      <c r="S5" s="2"/>
      <c r="T5" s="2"/>
      <c r="U5" s="2"/>
      <c r="V5" s="2"/>
      <c r="W5" s="2"/>
      <c r="X5" s="2"/>
      <c r="Y5" s="2"/>
      <c r="Z5" s="2"/>
      <c r="AA5" s="2"/>
      <c r="AB5" s="2"/>
      <c r="AC5" s="2"/>
      <c r="AD5" s="2"/>
      <c r="AE5" s="2"/>
      <c r="AF5" s="2"/>
      <c r="AG5" s="2"/>
      <c r="AH5" s="2"/>
      <c r="AI5" s="2"/>
      <c r="AJ5" s="2"/>
      <c r="AK5" s="2"/>
      <c r="AL5" s="2"/>
      <c r="AM5" s="2"/>
      <c r="AN5" s="2"/>
      <c r="AO5" s="2"/>
      <c r="AP5" s="2"/>
      <c r="AQ5" s="2"/>
      <c r="AR5" s="2"/>
    </row>
    <row r="7" spans="6:44">
      <c r="H7" s="4" t="s">
        <v>9</v>
      </c>
    </row>
    <row r="8" spans="6:44">
      <c r="G8" s="147" t="s">
        <v>834</v>
      </c>
      <c r="H8" s="2" t="s">
        <v>802</v>
      </c>
      <c r="L8" s="45">
        <v>0</v>
      </c>
      <c r="M8" s="45">
        <f t="shared" ref="M8:P17" si="0">L8</f>
        <v>0</v>
      </c>
      <c r="N8" s="45">
        <v>0.02</v>
      </c>
      <c r="O8" s="45">
        <f t="shared" si="0"/>
        <v>0.02</v>
      </c>
      <c r="P8" s="45">
        <f t="shared" si="0"/>
        <v>0.02</v>
      </c>
    </row>
    <row r="9" spans="6:44">
      <c r="G9" s="159" t="s">
        <v>811</v>
      </c>
      <c r="H9" s="2" t="s">
        <v>99</v>
      </c>
      <c r="L9" s="45">
        <v>0.02</v>
      </c>
      <c r="M9" s="45">
        <v>2.5000000000000001E-2</v>
      </c>
      <c r="N9" s="45">
        <v>2.5000000000000001E-2</v>
      </c>
      <c r="O9" s="45">
        <f t="shared" si="0"/>
        <v>2.5000000000000001E-2</v>
      </c>
      <c r="P9" s="45">
        <f t="shared" si="0"/>
        <v>2.5000000000000001E-2</v>
      </c>
    </row>
    <row r="10" spans="6:44">
      <c r="G10" s="159" t="s">
        <v>814</v>
      </c>
      <c r="H10" s="2" t="s">
        <v>749</v>
      </c>
      <c r="L10" s="45">
        <v>0.03</v>
      </c>
      <c r="M10" s="45">
        <f t="shared" si="0"/>
        <v>0.03</v>
      </c>
      <c r="N10" s="45">
        <f t="shared" si="0"/>
        <v>0.03</v>
      </c>
      <c r="O10" s="45">
        <f t="shared" si="0"/>
        <v>0.03</v>
      </c>
      <c r="P10" s="45">
        <f t="shared" si="0"/>
        <v>0.03</v>
      </c>
    </row>
    <row r="11" spans="6:44">
      <c r="G11" s="159" t="s">
        <v>815</v>
      </c>
      <c r="H11" s="2" t="s">
        <v>750</v>
      </c>
      <c r="L11" s="45">
        <v>-0.02</v>
      </c>
      <c r="M11" s="45">
        <f t="shared" si="0"/>
        <v>-0.02</v>
      </c>
      <c r="N11" s="45">
        <f t="shared" si="0"/>
        <v>-0.02</v>
      </c>
      <c r="O11" s="45">
        <f t="shared" si="0"/>
        <v>-0.02</v>
      </c>
      <c r="P11" s="45">
        <f t="shared" si="0"/>
        <v>-0.02</v>
      </c>
    </row>
    <row r="12" spans="6:44">
      <c r="G12" s="159" t="s">
        <v>49</v>
      </c>
      <c r="H12" s="2" t="s">
        <v>1058</v>
      </c>
      <c r="L12" s="45">
        <v>0.03</v>
      </c>
      <c r="M12" s="45">
        <f t="shared" si="0"/>
        <v>0.03</v>
      </c>
      <c r="N12" s="45">
        <f t="shared" si="0"/>
        <v>0.03</v>
      </c>
      <c r="O12" s="45">
        <f t="shared" si="0"/>
        <v>0.03</v>
      </c>
      <c r="P12" s="45">
        <f t="shared" si="0"/>
        <v>0.03</v>
      </c>
    </row>
    <row r="13" spans="6:44">
      <c r="G13" s="159" t="s">
        <v>813</v>
      </c>
      <c r="H13" s="2" t="s">
        <v>751</v>
      </c>
      <c r="L13" s="45">
        <v>0</v>
      </c>
      <c r="M13" s="45">
        <f t="shared" si="0"/>
        <v>0</v>
      </c>
      <c r="N13" s="45">
        <f t="shared" si="0"/>
        <v>0</v>
      </c>
      <c r="O13" s="45">
        <f t="shared" si="0"/>
        <v>0</v>
      </c>
      <c r="P13" s="45">
        <f t="shared" si="0"/>
        <v>0</v>
      </c>
    </row>
    <row r="14" spans="6:44">
      <c r="G14" s="159" t="s">
        <v>812</v>
      </c>
      <c r="H14" s="2" t="s">
        <v>754</v>
      </c>
      <c r="L14" s="45">
        <v>-0.02</v>
      </c>
      <c r="M14" s="45">
        <f t="shared" si="0"/>
        <v>-0.02</v>
      </c>
      <c r="N14" s="45">
        <f t="shared" si="0"/>
        <v>-0.02</v>
      </c>
      <c r="O14" s="45">
        <f t="shared" si="0"/>
        <v>-0.02</v>
      </c>
      <c r="P14" s="45">
        <f t="shared" si="0"/>
        <v>-0.02</v>
      </c>
    </row>
    <row r="15" spans="6:44">
      <c r="G15" s="159" t="s">
        <v>816</v>
      </c>
      <c r="H15" s="2" t="s">
        <v>756</v>
      </c>
      <c r="L15" s="45">
        <v>0.03</v>
      </c>
      <c r="M15" s="45">
        <f t="shared" si="0"/>
        <v>0.03</v>
      </c>
      <c r="N15" s="45">
        <f t="shared" si="0"/>
        <v>0.03</v>
      </c>
      <c r="O15" s="45">
        <f t="shared" si="0"/>
        <v>0.03</v>
      </c>
      <c r="P15" s="45">
        <f t="shared" si="0"/>
        <v>0.03</v>
      </c>
    </row>
    <row r="16" spans="6:44">
      <c r="G16" s="159" t="s">
        <v>817</v>
      </c>
      <c r="H16" s="2" t="s">
        <v>752</v>
      </c>
      <c r="L16" s="45">
        <v>0.03</v>
      </c>
      <c r="M16" s="45">
        <f t="shared" si="0"/>
        <v>0.03</v>
      </c>
      <c r="N16" s="45">
        <f t="shared" si="0"/>
        <v>0.03</v>
      </c>
      <c r="O16" s="45">
        <f t="shared" si="0"/>
        <v>0.03</v>
      </c>
      <c r="P16" s="45">
        <f t="shared" si="0"/>
        <v>0.03</v>
      </c>
    </row>
    <row r="17" spans="1:22">
      <c r="G17" s="159" t="s">
        <v>826</v>
      </c>
      <c r="H17" s="2" t="s">
        <v>753</v>
      </c>
      <c r="L17" s="45">
        <v>0</v>
      </c>
      <c r="M17" s="45">
        <v>0</v>
      </c>
      <c r="N17" s="45">
        <v>0</v>
      </c>
      <c r="O17" s="45">
        <f t="shared" si="0"/>
        <v>0</v>
      </c>
      <c r="P17" s="45">
        <f t="shared" si="0"/>
        <v>0</v>
      </c>
    </row>
    <row r="18" spans="1:22">
      <c r="G18" s="159" t="s">
        <v>823</v>
      </c>
      <c r="H18" s="2" t="s">
        <v>1057</v>
      </c>
    </row>
    <row r="19" spans="1:22">
      <c r="H19" s="388" t="s">
        <v>1059</v>
      </c>
    </row>
    <row r="20" spans="1:22">
      <c r="H20" s="4"/>
    </row>
    <row r="21" spans="1:22">
      <c r="G21" s="326" t="s">
        <v>594</v>
      </c>
      <c r="H21" t="s">
        <v>423</v>
      </c>
      <c r="I21" s="201" t="s">
        <v>1047</v>
      </c>
      <c r="L21" s="186">
        <v>-0.25</v>
      </c>
      <c r="M21" s="186">
        <v>-0.5</v>
      </c>
      <c r="N21" s="186">
        <v>0</v>
      </c>
      <c r="O21" s="186">
        <v>0</v>
      </c>
      <c r="P21" s="186">
        <v>0</v>
      </c>
    </row>
    <row r="22" spans="1:22">
      <c r="H22" s="3"/>
    </row>
    <row r="23" spans="1:22">
      <c r="H23" s="5" t="s">
        <v>8</v>
      </c>
    </row>
    <row r="24" spans="1:22">
      <c r="G24" s="159" t="s">
        <v>818</v>
      </c>
      <c r="H24" s="2" t="s">
        <v>120</v>
      </c>
      <c r="L24" s="44">
        <v>3.5000000000000003E-2</v>
      </c>
      <c r="M24" s="44">
        <v>3.5000000000000003E-2</v>
      </c>
      <c r="N24" s="44">
        <f t="shared" ref="M24:P29" si="1">M24</f>
        <v>3.5000000000000003E-2</v>
      </c>
      <c r="O24" s="44">
        <f t="shared" si="1"/>
        <v>3.5000000000000003E-2</v>
      </c>
      <c r="P24" s="44">
        <f t="shared" si="1"/>
        <v>3.5000000000000003E-2</v>
      </c>
    </row>
    <row r="25" spans="1:22">
      <c r="G25" s="159" t="s">
        <v>819</v>
      </c>
      <c r="H25" s="2" t="s">
        <v>121</v>
      </c>
      <c r="L25" s="44">
        <v>0.02</v>
      </c>
      <c r="M25" s="44">
        <f t="shared" si="1"/>
        <v>0.02</v>
      </c>
      <c r="N25" s="44">
        <f t="shared" si="1"/>
        <v>0.02</v>
      </c>
      <c r="O25" s="44">
        <f t="shared" si="1"/>
        <v>0.02</v>
      </c>
      <c r="P25" s="44">
        <f t="shared" si="1"/>
        <v>0.02</v>
      </c>
    </row>
    <row r="26" spans="1:22">
      <c r="G26" s="159" t="s">
        <v>820</v>
      </c>
      <c r="H26" s="2" t="s">
        <v>122</v>
      </c>
      <c r="L26" s="44">
        <v>0.03</v>
      </c>
      <c r="M26" s="44">
        <f t="shared" si="1"/>
        <v>0.03</v>
      </c>
      <c r="N26" s="44">
        <f t="shared" si="1"/>
        <v>0.03</v>
      </c>
      <c r="O26" s="44">
        <f t="shared" si="1"/>
        <v>0.03</v>
      </c>
      <c r="P26" s="44">
        <f t="shared" si="1"/>
        <v>0.03</v>
      </c>
    </row>
    <row r="27" spans="1:22">
      <c r="G27" s="159" t="s">
        <v>821</v>
      </c>
      <c r="H27" s="2" t="s">
        <v>123</v>
      </c>
      <c r="L27" s="44">
        <v>0</v>
      </c>
      <c r="M27" s="44">
        <f t="shared" ref="M27" si="2">L27</f>
        <v>0</v>
      </c>
      <c r="N27" s="44">
        <f t="shared" ref="N27" si="3">M27</f>
        <v>0</v>
      </c>
      <c r="O27" s="44">
        <f t="shared" ref="O27" si="4">N27</f>
        <v>0</v>
      </c>
      <c r="P27" s="44">
        <f t="shared" ref="P27" si="5">O27</f>
        <v>0</v>
      </c>
    </row>
    <row r="28" spans="1:22">
      <c r="G28" s="159" t="s">
        <v>822</v>
      </c>
      <c r="H28" s="2" t="s">
        <v>125</v>
      </c>
      <c r="L28" s="44">
        <v>0</v>
      </c>
      <c r="M28" s="44">
        <f t="shared" si="1"/>
        <v>0</v>
      </c>
      <c r="N28" s="44">
        <f t="shared" si="1"/>
        <v>0</v>
      </c>
      <c r="O28" s="44">
        <f t="shared" si="1"/>
        <v>0</v>
      </c>
      <c r="P28" s="44">
        <f t="shared" si="1"/>
        <v>0</v>
      </c>
    </row>
    <row r="29" spans="1:22">
      <c r="G29" s="159" t="s">
        <v>824</v>
      </c>
      <c r="H29" s="2" t="s">
        <v>124</v>
      </c>
      <c r="L29" s="44">
        <v>0</v>
      </c>
      <c r="M29" s="44">
        <v>0.03</v>
      </c>
      <c r="N29" s="44">
        <f t="shared" si="1"/>
        <v>0.03</v>
      </c>
      <c r="O29" s="44">
        <f t="shared" si="1"/>
        <v>0.03</v>
      </c>
      <c r="P29" s="44">
        <f t="shared" si="1"/>
        <v>0.03</v>
      </c>
    </row>
    <row r="30" spans="1:22">
      <c r="G30" s="390"/>
      <c r="H30" s="382" t="str">
        <f>"Future Anticipated needs"</f>
        <v>Future Anticipated needs</v>
      </c>
      <c r="L30" s="44">
        <v>0</v>
      </c>
      <c r="M30" s="44">
        <f t="shared" ref="M30" si="6">L30</f>
        <v>0</v>
      </c>
      <c r="N30" s="44">
        <f t="shared" ref="N30" si="7">M30</f>
        <v>0</v>
      </c>
      <c r="O30" s="44">
        <f t="shared" ref="O30" si="8">N30</f>
        <v>0</v>
      </c>
      <c r="P30" s="44">
        <f t="shared" ref="P30" si="9">O30</f>
        <v>0</v>
      </c>
    </row>
    <row r="32" spans="1:22">
      <c r="A32" s="724"/>
      <c r="B32" s="724"/>
      <c r="C32" s="724"/>
      <c r="D32" s="724"/>
      <c r="E32" s="724"/>
      <c r="F32" s="725"/>
      <c r="G32" s="726" t="s">
        <v>141</v>
      </c>
      <c r="H32" s="721" t="s">
        <v>142</v>
      </c>
      <c r="I32" s="722" t="s">
        <v>120</v>
      </c>
      <c r="J32" s="67"/>
      <c r="K32" s="67"/>
      <c r="L32" s="723">
        <v>3.5000000000000003E-2</v>
      </c>
      <c r="M32" s="723">
        <v>3.5000000000000003E-2</v>
      </c>
      <c r="N32" s="723">
        <v>3.5000000000000003E-2</v>
      </c>
      <c r="O32" s="723">
        <v>3.5000000000000003E-2</v>
      </c>
      <c r="P32" s="723">
        <v>3.5000000000000003E-2</v>
      </c>
      <c r="R32" s="31"/>
      <c r="S32" s="31"/>
      <c r="T32" s="31"/>
      <c r="U32" s="31"/>
      <c r="V32" s="31"/>
    </row>
    <row r="33" spans="1:34" customFormat="1">
      <c r="A33" s="724"/>
      <c r="B33" s="724"/>
      <c r="C33" s="724"/>
      <c r="D33" s="724"/>
      <c r="E33" s="724"/>
      <c r="F33" s="725"/>
      <c r="G33" s="726" t="s">
        <v>3122</v>
      </c>
      <c r="H33" s="721" t="s">
        <v>221</v>
      </c>
      <c r="I33" s="722" t="s">
        <v>122</v>
      </c>
      <c r="J33" s="41"/>
      <c r="K33" s="41"/>
      <c r="L33" s="723">
        <f>'GL Category'!D260</f>
        <v>0.03</v>
      </c>
      <c r="M33" s="723">
        <v>0.03</v>
      </c>
      <c r="N33" s="723">
        <v>0.03</v>
      </c>
      <c r="O33" s="723">
        <v>0.03</v>
      </c>
      <c r="P33" s="723">
        <v>0.03</v>
      </c>
      <c r="R33" s="31"/>
      <c r="S33" s="31"/>
      <c r="T33" s="31"/>
      <c r="U33" s="31"/>
      <c r="V33" s="31"/>
      <c r="AH33" s="31"/>
    </row>
    <row r="34" spans="1:34" customFormat="1">
      <c r="A34" s="726"/>
      <c r="B34" s="724"/>
      <c r="C34" s="724"/>
      <c r="D34" s="724"/>
      <c r="E34" s="724"/>
      <c r="F34" s="725"/>
      <c r="G34" s="726" t="s">
        <v>3124</v>
      </c>
      <c r="H34" s="721" t="s">
        <v>220</v>
      </c>
      <c r="I34" s="722" t="s">
        <v>122</v>
      </c>
      <c r="J34" s="41"/>
      <c r="K34" s="41"/>
      <c r="L34" s="723">
        <f>'GL Category'!D261</f>
        <v>0.03</v>
      </c>
      <c r="M34" s="723">
        <v>0.03</v>
      </c>
      <c r="N34" s="723">
        <v>0.03</v>
      </c>
      <c r="O34" s="723">
        <v>0.03</v>
      </c>
      <c r="P34" s="723">
        <v>0.03</v>
      </c>
      <c r="R34" s="31"/>
      <c r="S34" s="31"/>
      <c r="T34" s="31"/>
      <c r="U34" s="31"/>
      <c r="V34" s="31"/>
      <c r="AH34" s="31"/>
    </row>
    <row r="35" spans="1:34" customFormat="1">
      <c r="A35" s="2"/>
      <c r="B35" s="2"/>
      <c r="C35" s="2"/>
      <c r="D35" s="2"/>
      <c r="E35" s="2"/>
      <c r="F35" s="4"/>
      <c r="G35" s="326" t="s">
        <v>938</v>
      </c>
      <c r="H35" t="s">
        <v>3154</v>
      </c>
      <c r="I35" s="201" t="s">
        <v>125</v>
      </c>
      <c r="J35" s="41"/>
      <c r="K35" s="41"/>
      <c r="L35" s="186">
        <v>0</v>
      </c>
      <c r="M35" s="186">
        <v>0</v>
      </c>
      <c r="N35" s="186">
        <v>0</v>
      </c>
      <c r="O35" s="186">
        <v>0</v>
      </c>
      <c r="P35" s="186">
        <v>0</v>
      </c>
      <c r="R35" s="31"/>
      <c r="S35" s="31"/>
      <c r="T35" s="31"/>
      <c r="U35" s="31"/>
      <c r="V35" s="31"/>
      <c r="AH35" s="31"/>
    </row>
    <row r="36" spans="1:34" customFormat="1">
      <c r="A36" s="2"/>
      <c r="B36" s="2"/>
      <c r="C36" s="2"/>
      <c r="D36" s="2"/>
      <c r="E36" s="2"/>
      <c r="F36" s="4"/>
      <c r="G36" s="326"/>
      <c r="I36" s="201"/>
      <c r="J36" s="41"/>
      <c r="K36" s="41"/>
      <c r="L36" s="186"/>
      <c r="M36" s="186"/>
      <c r="N36" s="186"/>
      <c r="O36" s="186"/>
      <c r="P36" s="186"/>
      <c r="R36" s="31"/>
      <c r="S36" s="31"/>
      <c r="T36" s="31"/>
      <c r="U36" s="31"/>
      <c r="V36" s="31"/>
      <c r="AH36" s="31"/>
    </row>
    <row r="37" spans="1:34" customFormat="1">
      <c r="A37" s="2"/>
      <c r="B37" s="2"/>
      <c r="C37" s="2"/>
      <c r="D37" s="2"/>
      <c r="E37" s="2"/>
      <c r="F37" s="4"/>
      <c r="G37" s="326"/>
      <c r="I37" s="201"/>
      <c r="J37" s="41"/>
      <c r="K37" s="41"/>
      <c r="L37" s="186"/>
      <c r="M37" s="186"/>
      <c r="N37" s="186"/>
      <c r="O37" s="186"/>
      <c r="P37" s="186"/>
      <c r="R37" s="727"/>
      <c r="AH37" s="31"/>
    </row>
    <row r="38" spans="1:34" ht="15" thickBot="1"/>
    <row r="39" spans="1:34" ht="15" thickBot="1">
      <c r="B39" s="389"/>
      <c r="C39" s="389"/>
      <c r="D39" s="389"/>
      <c r="E39" s="389"/>
      <c r="F39" s="389"/>
      <c r="G39" s="2">
        <v>100</v>
      </c>
      <c r="H39" s="662" t="s">
        <v>54</v>
      </c>
      <c r="I39" s="663"/>
      <c r="J39" s="663"/>
      <c r="K39" s="663"/>
      <c r="L39" s="663"/>
      <c r="M39" s="663"/>
      <c r="N39" s="663"/>
      <c r="O39" s="663"/>
      <c r="P39" s="664"/>
      <c r="U39" s="159"/>
    </row>
    <row r="40" spans="1:34">
      <c r="I40" s="650"/>
      <c r="J40" s="650"/>
      <c r="K40" s="650"/>
      <c r="L40" s="650"/>
      <c r="M40" s="650"/>
      <c r="N40" s="650"/>
      <c r="O40" s="650"/>
      <c r="P40" s="650"/>
      <c r="Q40" s="647"/>
      <c r="R40" s="4"/>
      <c r="U40" s="159"/>
      <c r="V40" s="159" t="s">
        <v>1107</v>
      </c>
      <c r="W40" s="159" t="s">
        <v>1209</v>
      </c>
      <c r="X40" s="159" t="s">
        <v>3323</v>
      </c>
      <c r="Y40" s="159" t="s">
        <v>3359</v>
      </c>
      <c r="Z40" s="159" t="s">
        <v>3406</v>
      </c>
      <c r="AA40" s="159" t="s">
        <v>3449</v>
      </c>
    </row>
    <row r="41" spans="1:34" s="4" customFormat="1" ht="13.2">
      <c r="G41" s="648"/>
      <c r="H41" s="649" t="s">
        <v>1059</v>
      </c>
      <c r="I41" s="650">
        <f>'General Fund Line-Item Details'!T96</f>
        <v>-45805604</v>
      </c>
      <c r="J41" s="650"/>
      <c r="K41" s="650">
        <f t="shared" ref="K41" si="10">I41-J41</f>
        <v>-45805604</v>
      </c>
      <c r="L41" s="650">
        <f>'General Fund Line-Item Details'!AB97</f>
        <v>-46327255.270000018</v>
      </c>
      <c r="M41" s="650">
        <f>'General Fund Line-Item Details'!AE97</f>
        <v>-46715042.469199993</v>
      </c>
      <c r="N41" s="650">
        <f>'General Fund Line-Item Details'!AH97</f>
        <v>-47604774.70899798</v>
      </c>
      <c r="O41" s="650">
        <f>'General Fund Line-Item Details'!AK97</f>
        <v>-48445226.131154492</v>
      </c>
      <c r="P41" s="650">
        <f>'General Fund Line-Item Details'!AN97</f>
        <v>-49737024.730829887</v>
      </c>
      <c r="Q41" s="647"/>
      <c r="T41" s="603"/>
      <c r="U41" s="147" t="s">
        <v>3609</v>
      </c>
      <c r="V41" s="257">
        <f>K44</f>
        <v>28908876.41</v>
      </c>
      <c r="W41" s="257">
        <f>L44</f>
        <v>29927957.620000023</v>
      </c>
      <c r="X41" s="257">
        <f t="shared" ref="X41:AA41" si="11">M44</f>
        <v>30547554.486800041</v>
      </c>
      <c r="Y41" s="257">
        <f t="shared" si="11"/>
        <v>30041705.95788205</v>
      </c>
      <c r="Z41" s="257">
        <f t="shared" si="11"/>
        <v>27053117.62210108</v>
      </c>
      <c r="AA41" s="257">
        <f t="shared" si="11"/>
        <v>24886371.853767511</v>
      </c>
    </row>
    <row r="42" spans="1:34" s="4" customFormat="1" ht="15" customHeight="1">
      <c r="A42"/>
      <c r="G42" s="648"/>
      <c r="H42" s="649" t="s">
        <v>7</v>
      </c>
      <c r="I42" s="650">
        <f>'General Fund Line-Item Details'!T1937</f>
        <v>50075234</v>
      </c>
      <c r="J42" s="650">
        <f>'General Fund Line-Item Details'!X1937</f>
        <v>6893024</v>
      </c>
      <c r="K42" s="650">
        <f t="shared" ref="K42" si="12">I42-J42</f>
        <v>43182210</v>
      </c>
      <c r="L42" s="650">
        <f>'General Fund Line-Item Details'!AB1937+'Anticipated Needs'!U94</f>
        <v>45308174.059999995</v>
      </c>
      <c r="M42" s="650">
        <f>'General Fund Line-Item Details'!AE1937+'Anticipated Needs'!V94</f>
        <v>46095445.602399975</v>
      </c>
      <c r="N42" s="650">
        <f>'General Fund Line-Item Details'!AH1937+'Anticipated Needs'!W94</f>
        <v>48110623.23791597</v>
      </c>
      <c r="O42" s="650">
        <f>'General Fund Line-Item Details'!AK1937+'Anticipated Needs'!X94</f>
        <v>51433814.466935463</v>
      </c>
      <c r="P42" s="650">
        <f>'General Fund Line-Item Details'!AN1937+'Anticipated Needs'!Y94</f>
        <v>51903770.499163456</v>
      </c>
      <c r="Q42" s="2"/>
      <c r="T42" s="603"/>
      <c r="U42" s="147" t="s">
        <v>88</v>
      </c>
      <c r="V42" s="257">
        <v>28908876.41</v>
      </c>
      <c r="W42" s="257">
        <v>29927957.620000023</v>
      </c>
      <c r="X42" s="257">
        <v>30547554.486800041</v>
      </c>
      <c r="Y42" s="257">
        <v>30041705.95788205</v>
      </c>
      <c r="Z42" s="257">
        <v>27053117.62210108</v>
      </c>
      <c r="AA42" s="257">
        <v>24886371.853767511</v>
      </c>
    </row>
    <row r="43" spans="1:34" s="4" customFormat="1" ht="15" thickBot="1">
      <c r="A43"/>
      <c r="G43"/>
      <c r="H43" s="2" t="s">
        <v>105</v>
      </c>
      <c r="I43" s="650">
        <f t="shared" ref="I43" si="13">-(I41+I42)</f>
        <v>-4269630</v>
      </c>
      <c r="J43" s="650"/>
      <c r="K43" s="650">
        <f t="shared" ref="K43:P43" si="14">-(K41+K42)</f>
        <v>2623394</v>
      </c>
      <c r="L43" s="650">
        <f t="shared" si="14"/>
        <v>1019081.2100000232</v>
      </c>
      <c r="M43" s="650">
        <f t="shared" si="14"/>
        <v>619596.86680001765</v>
      </c>
      <c r="N43" s="650">
        <f t="shared" si="14"/>
        <v>-505848.52891799062</v>
      </c>
      <c r="O43" s="650">
        <f t="shared" si="14"/>
        <v>-2988588.3357809708</v>
      </c>
      <c r="P43" s="650">
        <f t="shared" si="14"/>
        <v>-2166745.7683335692</v>
      </c>
      <c r="Q43" s="2"/>
      <c r="R43" s="634"/>
      <c r="T43" s="603"/>
      <c r="U43" s="147" t="s">
        <v>3608</v>
      </c>
      <c r="V43" s="257">
        <f>K50</f>
        <v>17272884</v>
      </c>
      <c r="W43" s="257">
        <f t="shared" ref="W43:AA43" si="15">L50</f>
        <v>17903269.623999998</v>
      </c>
      <c r="X43" s="257">
        <f t="shared" si="15"/>
        <v>18438178.240959991</v>
      </c>
      <c r="Y43" s="257">
        <f t="shared" si="15"/>
        <v>19044249.295166388</v>
      </c>
      <c r="Z43" s="257">
        <f t="shared" si="15"/>
        <v>20133525.786774188</v>
      </c>
      <c r="AA43" s="257">
        <f t="shared" si="15"/>
        <v>20761508.199665383</v>
      </c>
    </row>
    <row r="44" spans="1:34" s="4" customFormat="1" ht="15" thickBot="1">
      <c r="A44"/>
      <c r="E44" s="2"/>
      <c r="G44"/>
      <c r="H44" s="653" t="s">
        <v>765</v>
      </c>
      <c r="I44" s="654"/>
      <c r="J44" s="654"/>
      <c r="K44" s="654">
        <v>28908876.41</v>
      </c>
      <c r="L44" s="654">
        <f>K44+L43</f>
        <v>29927957.620000023</v>
      </c>
      <c r="M44" s="654">
        <f>L44+M43</f>
        <v>30547554.486800041</v>
      </c>
      <c r="N44" s="654">
        <f>M44+N43</f>
        <v>30041705.95788205</v>
      </c>
      <c r="O44" s="654">
        <f>N44+O43</f>
        <v>27053117.62210108</v>
      </c>
      <c r="P44" s="655">
        <f>O44+P43</f>
        <v>24886371.853767511</v>
      </c>
      <c r="Q44" s="2"/>
      <c r="R44" s="480"/>
      <c r="U44" s="147" t="s">
        <v>793</v>
      </c>
      <c r="V44" s="257">
        <f>K59</f>
        <v>2406835</v>
      </c>
      <c r="W44" s="257">
        <f>L59</f>
        <v>1764979.4600000009</v>
      </c>
      <c r="X44" s="257">
        <f t="shared" ref="X44:AA44" si="16">M59</f>
        <v>2813753.7185000009</v>
      </c>
      <c r="Y44" s="257">
        <f t="shared" si="16"/>
        <v>3882953.6026349994</v>
      </c>
      <c r="Z44" s="257">
        <f t="shared" si="16"/>
        <v>5169017.6085897982</v>
      </c>
      <c r="AA44" s="257">
        <f t="shared" si="16"/>
        <v>6399433.3318201331</v>
      </c>
    </row>
    <row r="45" spans="1:34" s="4" customFormat="1">
      <c r="A45"/>
      <c r="E45" s="3"/>
      <c r="G45"/>
      <c r="H45" s="646"/>
      <c r="I45" s="650"/>
      <c r="J45" s="650"/>
      <c r="K45" s="650"/>
      <c r="L45" s="650"/>
      <c r="M45" s="650"/>
      <c r="N45" s="650"/>
      <c r="O45" s="650"/>
      <c r="P45" s="650"/>
      <c r="Q45" s="2"/>
      <c r="R45" s="2"/>
      <c r="U45" s="147" t="s">
        <v>807</v>
      </c>
      <c r="V45" s="257">
        <f>K67</f>
        <v>3139778</v>
      </c>
      <c r="W45" s="257">
        <f>L67</f>
        <v>3267681.415</v>
      </c>
      <c r="X45" s="257">
        <f t="shared" ref="X45:AA45" si="17">M67</f>
        <v>3941482.4046249995</v>
      </c>
      <c r="Y45" s="257">
        <f t="shared" si="17"/>
        <v>4872712.0715518743</v>
      </c>
      <c r="Z45" s="257">
        <f t="shared" si="17"/>
        <v>3340758.0925035644</v>
      </c>
      <c r="AA45" s="257">
        <f t="shared" si="17"/>
        <v>4346476.1130231982</v>
      </c>
      <c r="AB45" s="4" t="str">
        <f>LEFT(R3,10)</f>
        <v/>
      </c>
    </row>
    <row r="46" spans="1:34" s="4" customFormat="1">
      <c r="A46"/>
      <c r="E46" s="2"/>
      <c r="G46"/>
      <c r="H46" s="649" t="s">
        <v>3514</v>
      </c>
      <c r="I46" s="324"/>
      <c r="J46" s="324"/>
      <c r="K46" s="650"/>
      <c r="L46" s="650">
        <f>SUM('Anticipated Needs'!U82:U93)-'Anticipated Needs'!U87</f>
        <v>550000</v>
      </c>
      <c r="M46" s="650">
        <f>SUM('Anticipated Needs'!V82:V93)-'Anticipated Needs'!V87</f>
        <v>0</v>
      </c>
      <c r="N46" s="650">
        <f>SUM('Anticipated Needs'!W82:W93)-'Anticipated Needs'!W87</f>
        <v>500000</v>
      </c>
      <c r="O46" s="650">
        <f>'Anticipated Needs'!X18+'Anticipated Needs'!X19</f>
        <v>1100000</v>
      </c>
      <c r="P46" s="650">
        <f>SUM('Anticipated Needs'!Y82:Y93)-'Anticipated Needs'!Y87</f>
        <v>0</v>
      </c>
      <c r="Q46" s="2"/>
      <c r="R46" s="588"/>
      <c r="U46" s="147" t="s">
        <v>3602</v>
      </c>
      <c r="V46" s="257">
        <f>K75</f>
        <v>1924052</v>
      </c>
      <c r="W46" s="257">
        <f>L75</f>
        <v>1937055.2899999986</v>
      </c>
      <c r="X46" s="257">
        <f t="shared" ref="X46:AA46" si="18">M75</f>
        <v>1933665.9988999986</v>
      </c>
      <c r="Y46" s="257">
        <f t="shared" si="18"/>
        <v>1940575.4602789981</v>
      </c>
      <c r="Z46" s="257">
        <f t="shared" si="18"/>
        <v>1958238.5267048879</v>
      </c>
      <c r="AA46" s="257">
        <f t="shared" si="18"/>
        <v>1987123.8887203899</v>
      </c>
    </row>
    <row r="47" spans="1:34" s="4" customFormat="1">
      <c r="A47"/>
      <c r="E47" s="2"/>
      <c r="G47"/>
      <c r="H47" s="649" t="s">
        <v>3597</v>
      </c>
      <c r="I47" s="324"/>
      <c r="J47" s="324"/>
      <c r="K47" s="650"/>
      <c r="L47" s="650">
        <f>L46+L43</f>
        <v>1569081.2100000232</v>
      </c>
      <c r="M47" s="650">
        <f>M46+M43</f>
        <v>619596.86680001765</v>
      </c>
      <c r="N47" s="650">
        <f>N46+N43</f>
        <v>-5848.5289179906249</v>
      </c>
      <c r="O47" s="650">
        <f>O46+O43</f>
        <v>-1888588.3357809708</v>
      </c>
      <c r="P47" s="650">
        <f>P46+P43</f>
        <v>-2166745.7683335692</v>
      </c>
      <c r="Q47" s="2"/>
      <c r="R47" s="588"/>
      <c r="U47" s="147" t="s">
        <v>3603</v>
      </c>
      <c r="V47" s="257">
        <f>K83</f>
        <v>7461127</v>
      </c>
      <c r="W47" s="257">
        <f>L83</f>
        <v>7622420.9699999997</v>
      </c>
      <c r="X47" s="257">
        <f t="shared" ref="X47:AA47" si="19">M83</f>
        <v>7712974.5988999987</v>
      </c>
      <c r="Y47" s="257">
        <f t="shared" si="19"/>
        <v>7828547.2282974981</v>
      </c>
      <c r="Z47" s="257">
        <f t="shared" si="19"/>
        <v>7970768.9278207393</v>
      </c>
      <c r="AA47" s="257">
        <f t="shared" si="19"/>
        <v>8141349.4516732786</v>
      </c>
    </row>
    <row r="48" spans="1:34" s="4" customFormat="1">
      <c r="A48"/>
      <c r="E48" s="2"/>
      <c r="G48"/>
      <c r="H48" s="649" t="s">
        <v>3513</v>
      </c>
      <c r="I48" s="324"/>
      <c r="J48" s="324"/>
      <c r="K48" s="650">
        <f>K42</f>
        <v>43182210</v>
      </c>
      <c r="L48" s="650">
        <f>L42-L46</f>
        <v>44758174.059999995</v>
      </c>
      <c r="M48" s="650">
        <f>M42-M46</f>
        <v>46095445.602399975</v>
      </c>
      <c r="N48" s="650">
        <f>N42-N46</f>
        <v>47610623.23791597</v>
      </c>
      <c r="O48" s="650">
        <f>O42-O46</f>
        <v>50333814.466935463</v>
      </c>
      <c r="P48" s="650">
        <f>P42-P46</f>
        <v>51903770.499163456</v>
      </c>
      <c r="Q48" s="2"/>
      <c r="R48" s="2"/>
      <c r="U48" s="147" t="s">
        <v>96</v>
      </c>
      <c r="V48" s="257">
        <f>K91</f>
        <v>4997577</v>
      </c>
      <c r="W48" s="257">
        <f>L91</f>
        <v>5200140.3307869891</v>
      </c>
      <c r="X48" s="257">
        <f t="shared" ref="X48:AA48" si="20">M91</f>
        <v>5326890.2726193955</v>
      </c>
      <c r="Y48" s="257">
        <f t="shared" si="20"/>
        <v>5450927.7099775234</v>
      </c>
      <c r="Z48" s="257">
        <f t="shared" si="20"/>
        <v>5631112.3466274571</v>
      </c>
      <c r="AA48" s="257">
        <f t="shared" si="20"/>
        <v>5729885.0197247099</v>
      </c>
    </row>
    <row r="49" spans="1:44" s="4" customFormat="1">
      <c r="A49"/>
      <c r="E49" s="2"/>
      <c r="G49"/>
      <c r="H49" s="649" t="s">
        <v>3600</v>
      </c>
      <c r="I49" s="324"/>
      <c r="J49" s="324"/>
      <c r="K49" s="324"/>
      <c r="L49" s="602">
        <f t="shared" ref="L49:M49" si="21">L47/L41</f>
        <v>-3.3869505129437441E-2</v>
      </c>
      <c r="M49" s="602">
        <f t="shared" si="21"/>
        <v>-1.3263326629929283E-2</v>
      </c>
      <c r="N49" s="602">
        <f>N47/N41</f>
        <v>1.2285593102250665E-4</v>
      </c>
      <c r="O49" s="602">
        <f>O47/O41</f>
        <v>3.8983992574790446E-2</v>
      </c>
      <c r="P49" s="602">
        <f>P47/P41</f>
        <v>4.3564040673114382E-2</v>
      </c>
      <c r="Q49" s="2"/>
      <c r="R49" s="2"/>
      <c r="U49" s="147" t="s">
        <v>3604</v>
      </c>
      <c r="V49" s="257">
        <f>K99</f>
        <v>779775.36552390701</v>
      </c>
      <c r="W49" s="257">
        <f>L99</f>
        <v>1199380.0947030531</v>
      </c>
      <c r="X49" s="257">
        <f t="shared" ref="X49:AA49" si="22">M99</f>
        <v>1622607.1211739907</v>
      </c>
      <c r="Y49" s="257">
        <f t="shared" si="22"/>
        <v>2050060.7929096376</v>
      </c>
      <c r="Z49" s="257">
        <f t="shared" si="22"/>
        <v>2486052.2880799975</v>
      </c>
      <c r="AA49" s="257">
        <f t="shared" si="22"/>
        <v>2930752.3631537645</v>
      </c>
    </row>
    <row r="50" spans="1:44" s="4" customFormat="1">
      <c r="A50"/>
      <c r="E50" s="2"/>
      <c r="G50"/>
      <c r="H50" s="649" t="s">
        <v>3598</v>
      </c>
      <c r="I50" s="324"/>
      <c r="J50" s="324"/>
      <c r="K50" s="650">
        <f t="shared" ref="K50:P50" si="23">K48*0.4</f>
        <v>17272884</v>
      </c>
      <c r="L50" s="650">
        <f t="shared" si="23"/>
        <v>17903269.623999998</v>
      </c>
      <c r="M50" s="650">
        <f t="shared" si="23"/>
        <v>18438178.240959991</v>
      </c>
      <c r="N50" s="650">
        <f t="shared" si="23"/>
        <v>19044249.295166388</v>
      </c>
      <c r="O50" s="650">
        <f t="shared" si="23"/>
        <v>20133525.786774188</v>
      </c>
      <c r="P50" s="650">
        <f t="shared" si="23"/>
        <v>20761508.199665383</v>
      </c>
      <c r="Q50" s="2"/>
      <c r="R50" s="2"/>
      <c r="U50" s="147" t="s">
        <v>3605</v>
      </c>
      <c r="V50" s="257">
        <f>K107</f>
        <v>1460892</v>
      </c>
      <c r="W50" s="257">
        <f>L107</f>
        <v>1043752.5300000003</v>
      </c>
      <c r="X50" s="257">
        <f t="shared" ref="X50:AA50" si="24">M107</f>
        <v>1188140.9920000001</v>
      </c>
      <c r="Y50" s="257">
        <f t="shared" si="24"/>
        <v>1393624.6324249995</v>
      </c>
      <c r="Z50" s="257">
        <f t="shared" si="24"/>
        <v>1661731.8711356237</v>
      </c>
      <c r="AA50" s="257">
        <f t="shared" si="24"/>
        <v>1994029.3592970129</v>
      </c>
    </row>
    <row r="51" spans="1:44" s="4" customFormat="1">
      <c r="A51"/>
      <c r="E51" s="2"/>
      <c r="G51"/>
      <c r="H51" s="649" t="s">
        <v>3599</v>
      </c>
      <c r="I51" s="324"/>
      <c r="J51" s="324"/>
      <c r="K51" s="324"/>
      <c r="L51" s="656">
        <f>L48/K48-1</f>
        <v>3.6495678660263042E-2</v>
      </c>
      <c r="M51" s="656">
        <f>M48/L48-1</f>
        <v>2.9877705480284344E-2</v>
      </c>
      <c r="N51" s="656">
        <f>N48/M48-1</f>
        <v>3.2870441227215386E-2</v>
      </c>
      <c r="O51" s="656">
        <f>O48/N48-1</f>
        <v>5.7197134669113359E-2</v>
      </c>
      <c r="P51" s="656">
        <f>P48/O48-1</f>
        <v>3.1190881296296435E-2</v>
      </c>
      <c r="Q51" s="2"/>
      <c r="R51" s="2"/>
      <c r="U51" s="147" t="s">
        <v>3606</v>
      </c>
      <c r="V51" s="257">
        <f>K115</f>
        <v>2085590</v>
      </c>
      <c r="W51" s="257">
        <f>L115</f>
        <v>2070855.2</v>
      </c>
      <c r="X51" s="257">
        <f t="shared" ref="X51:AA51" si="25">M115</f>
        <v>3363079.5708999997</v>
      </c>
      <c r="Y51" s="257">
        <f t="shared" si="25"/>
        <v>3881069.444325</v>
      </c>
      <c r="Z51" s="257">
        <f t="shared" si="25"/>
        <v>4032660.9002037104</v>
      </c>
      <c r="AA51" s="257">
        <f t="shared" si="25"/>
        <v>2662268.4423597613</v>
      </c>
    </row>
    <row r="52" spans="1:44" s="4" customFormat="1" ht="13.2">
      <c r="E52" s="2"/>
      <c r="G52" s="2"/>
      <c r="H52" s="2"/>
      <c r="I52" s="41"/>
      <c r="J52" s="41"/>
      <c r="K52" s="41"/>
      <c r="L52" s="2"/>
      <c r="M52" s="2"/>
      <c r="N52" s="2"/>
      <c r="O52" s="2"/>
      <c r="P52" s="2"/>
      <c r="Q52" s="2"/>
      <c r="R52" s="2"/>
      <c r="U52" s="147" t="s">
        <v>3607</v>
      </c>
      <c r="V52" s="257">
        <f>K123</f>
        <v>1670615</v>
      </c>
      <c r="W52" s="257">
        <f>L123</f>
        <v>1916071.5</v>
      </c>
      <c r="X52" s="257">
        <f t="shared" ref="X52:AA52" si="26">M123</f>
        <v>1673483.25</v>
      </c>
      <c r="Y52" s="257">
        <f t="shared" si="26"/>
        <v>1941895</v>
      </c>
      <c r="Z52" s="257">
        <f t="shared" si="26"/>
        <v>2183753.75</v>
      </c>
      <c r="AA52" s="257">
        <f t="shared" si="26"/>
        <v>2362165.5</v>
      </c>
    </row>
    <row r="53" spans="1:44" s="4" customFormat="1" ht="13.8" thickBot="1">
      <c r="E53" s="2"/>
      <c r="G53" s="2"/>
      <c r="H53" s="2"/>
      <c r="I53" s="41"/>
      <c r="J53" s="41"/>
      <c r="K53" s="41"/>
      <c r="L53" s="41"/>
      <c r="M53" s="41"/>
      <c r="N53" s="41"/>
      <c r="O53" s="41"/>
      <c r="P53" s="41"/>
      <c r="Q53" s="2"/>
      <c r="R53" s="602"/>
      <c r="U53" s="657"/>
    </row>
    <row r="54" spans="1:44" s="4" customFormat="1" ht="15" customHeight="1" thickBot="1">
      <c r="E54" s="2"/>
      <c r="G54" s="2">
        <v>110</v>
      </c>
      <c r="H54" s="662" t="str">
        <f>'Other Fund Line-Item Details'!H11</f>
        <v>KELLER DEVELOPMENT CORPORATION (KDC) FUND</v>
      </c>
      <c r="I54" s="663"/>
      <c r="J54" s="663"/>
      <c r="K54" s="663"/>
      <c r="L54" s="663"/>
      <c r="M54" s="663"/>
      <c r="N54" s="663"/>
      <c r="O54" s="663"/>
      <c r="P54" s="664"/>
      <c r="Q54" s="2"/>
      <c r="R54" s="602"/>
      <c r="U54" s="657"/>
    </row>
    <row r="55" spans="1:44" ht="15" customHeight="1">
      <c r="I55" s="650"/>
      <c r="J55" s="650"/>
      <c r="K55" s="650"/>
      <c r="L55" s="650"/>
      <c r="M55" s="650"/>
      <c r="N55" s="650"/>
      <c r="O55" s="650"/>
      <c r="P55" s="650"/>
      <c r="S55" s="4"/>
      <c r="T55" s="4"/>
      <c r="U55" s="4"/>
      <c r="V55" s="4"/>
      <c r="W55" s="4"/>
      <c r="X55" s="4"/>
      <c r="Y55" s="4"/>
      <c r="Z55" s="4"/>
      <c r="AA55" s="4"/>
      <c r="AB55" s="4"/>
      <c r="AC55" s="4"/>
      <c r="AD55" s="4"/>
      <c r="AE55" s="4"/>
      <c r="AF55" s="4"/>
      <c r="AG55" s="4"/>
      <c r="AH55" s="4"/>
      <c r="AI55" s="4"/>
      <c r="AJ55" s="4"/>
      <c r="AK55" s="4"/>
      <c r="AL55" s="4"/>
      <c r="AM55" s="4"/>
      <c r="AN55" s="4"/>
      <c r="AO55" s="4"/>
      <c r="AP55" s="2"/>
      <c r="AQ55" s="2"/>
      <c r="AR55" s="2"/>
    </row>
    <row r="56" spans="1:44" ht="15" customHeight="1">
      <c r="G56" s="645"/>
      <c r="H56" s="649" t="s">
        <v>1059</v>
      </c>
      <c r="I56" s="650">
        <f>'Other Fund Line-Item Details'!T22</f>
        <v>-4919483</v>
      </c>
      <c r="J56" s="650"/>
      <c r="K56" s="650">
        <f t="shared" ref="K56:K57" si="27">I56-J56</f>
        <v>-4919483</v>
      </c>
      <c r="L56" s="650">
        <f>'Other Fund Line-Item Details'!AB22</f>
        <v>-4964815.8100000005</v>
      </c>
      <c r="M56" s="650">
        <f>'Other Fund Line-Item Details'!AE22</f>
        <v>-5011269.199</v>
      </c>
      <c r="N56" s="650">
        <f>'Other Fund Line-Item Details'!AH22</f>
        <v>-5134862.3528499985</v>
      </c>
      <c r="O56" s="650">
        <f>'Other Fund Line-Item Details'!AK22</f>
        <v>-5261550.2687312486</v>
      </c>
      <c r="P56" s="650">
        <f>'Other Fund Line-Item Details'!AN22</f>
        <v>-5391410.4636900788</v>
      </c>
      <c r="S56" s="4"/>
      <c r="T56" s="4"/>
      <c r="U56" s="4"/>
      <c r="V56" s="4"/>
      <c r="W56" s="4"/>
      <c r="X56" s="4"/>
      <c r="Y56" s="4"/>
      <c r="Z56" s="4"/>
      <c r="AA56" s="4"/>
      <c r="AB56" s="4"/>
      <c r="AC56" s="4"/>
      <c r="AD56" s="2"/>
      <c r="AE56" s="2"/>
      <c r="AF56" s="2"/>
      <c r="AG56" s="2"/>
      <c r="AH56" s="2"/>
      <c r="AI56" s="2"/>
      <c r="AJ56" s="2"/>
      <c r="AK56" s="2"/>
      <c r="AL56" s="2"/>
      <c r="AM56" s="2"/>
      <c r="AN56" s="2"/>
      <c r="AO56" s="2"/>
      <c r="AP56" s="2"/>
      <c r="AQ56" s="2"/>
      <c r="AR56" s="2"/>
    </row>
    <row r="57" spans="1:44" ht="15" customHeight="1">
      <c r="G57" s="645"/>
      <c r="H57" s="649" t="s">
        <v>7</v>
      </c>
      <c r="I57" s="650">
        <f>'Other Fund Line-Item Details'!T66</f>
        <v>4923180</v>
      </c>
      <c r="J57" s="650">
        <v>0</v>
      </c>
      <c r="K57" s="650">
        <f t="shared" si="27"/>
        <v>4923180</v>
      </c>
      <c r="L57" s="650">
        <f>'Other Fund Line-Item Details'!AB66+'Anticipated Needs'!U110</f>
        <v>5606671.3499999996</v>
      </c>
      <c r="M57" s="650">
        <f>'Other Fund Line-Item Details'!AE66++'Anticipated Needs'!V110</f>
        <v>3962494.9405</v>
      </c>
      <c r="N57" s="650">
        <f>'Other Fund Line-Item Details'!AH66+'Anticipated Needs'!W110</f>
        <v>4065662.468715</v>
      </c>
      <c r="O57" s="650">
        <f>'Other Fund Line-Item Details'!AK66+'Anticipated Needs'!X110</f>
        <v>3975486.2627764498</v>
      </c>
      <c r="P57" s="650">
        <f>'Other Fund Line-Item Details'!AN66+'Anticipated Needs'!Y110</f>
        <v>4160994.7404597439</v>
      </c>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5" customHeight="1" thickBot="1">
      <c r="G58" s="1"/>
      <c r="H58" s="2" t="s">
        <v>105</v>
      </c>
      <c r="I58" s="650">
        <f t="shared" ref="I58" si="28">-(I56+I57)</f>
        <v>-3697</v>
      </c>
      <c r="J58" s="650"/>
      <c r="K58" s="650">
        <f t="shared" ref="K58:P58" si="29">-(K56+K57)</f>
        <v>-3697</v>
      </c>
      <c r="L58" s="650">
        <f t="shared" si="29"/>
        <v>-641855.53999999911</v>
      </c>
      <c r="M58" s="650">
        <f t="shared" si="29"/>
        <v>1048774.2585</v>
      </c>
      <c r="N58" s="650">
        <f t="shared" si="29"/>
        <v>1069199.8841349985</v>
      </c>
      <c r="O58" s="650">
        <f t="shared" si="29"/>
        <v>1286064.0059547988</v>
      </c>
      <c r="P58" s="650">
        <f t="shared" si="29"/>
        <v>1230415.7232303349</v>
      </c>
      <c r="S58" s="2"/>
      <c r="T58" s="2"/>
      <c r="U58" s="604"/>
      <c r="V58" s="605"/>
      <c r="W58" s="605"/>
      <c r="X58" s="605"/>
      <c r="Y58" s="605"/>
      <c r="Z58" s="605"/>
      <c r="AA58" s="2"/>
      <c r="AB58" s="2"/>
      <c r="AC58" s="2"/>
      <c r="AD58" s="2"/>
      <c r="AE58" s="2"/>
      <c r="AF58" s="2"/>
      <c r="AG58" s="2"/>
      <c r="AH58" s="2"/>
      <c r="AI58" s="2"/>
      <c r="AJ58" s="2"/>
      <c r="AK58" s="2"/>
      <c r="AL58" s="2"/>
      <c r="AM58" s="2"/>
      <c r="AN58" s="2"/>
      <c r="AO58" s="2"/>
      <c r="AP58" s="2"/>
      <c r="AQ58" s="2"/>
      <c r="AR58" s="2"/>
    </row>
    <row r="59" spans="1:44" ht="15" customHeight="1" thickBot="1">
      <c r="H59" s="653" t="s">
        <v>765</v>
      </c>
      <c r="I59" s="654"/>
      <c r="J59" s="654"/>
      <c r="K59" s="654">
        <v>2406835</v>
      </c>
      <c r="L59" s="654">
        <f>K59+L58</f>
        <v>1764979.4600000009</v>
      </c>
      <c r="M59" s="654">
        <f>L59+M58</f>
        <v>2813753.7185000009</v>
      </c>
      <c r="N59" s="654">
        <f t="shared" ref="N59:P59" si="30">M59+N58</f>
        <v>3882953.6026349994</v>
      </c>
      <c r="O59" s="654">
        <f t="shared" si="30"/>
        <v>5169017.6085897982</v>
      </c>
      <c r="P59" s="655">
        <f t="shared" si="30"/>
        <v>6399433.3318201331</v>
      </c>
      <c r="S59" s="2"/>
      <c r="T59" s="2"/>
      <c r="U59" s="604"/>
      <c r="V59" s="605"/>
      <c r="W59" s="605"/>
      <c r="X59" s="605"/>
      <c r="Y59" s="605"/>
      <c r="Z59" s="605"/>
      <c r="AA59" s="2"/>
      <c r="AB59" s="2"/>
      <c r="AC59" s="2"/>
      <c r="AD59" s="2"/>
      <c r="AE59" s="2"/>
      <c r="AF59" s="2"/>
      <c r="AG59" s="2"/>
      <c r="AH59" s="2"/>
      <c r="AI59" s="2"/>
      <c r="AJ59" s="2"/>
      <c r="AK59" s="2"/>
      <c r="AL59" s="2"/>
      <c r="AM59" s="2"/>
      <c r="AN59" s="2"/>
      <c r="AO59" s="2"/>
      <c r="AP59" s="2"/>
      <c r="AQ59" s="2"/>
      <c r="AR59" s="2"/>
    </row>
    <row r="60" spans="1:44" ht="15" customHeight="1">
      <c r="H60" s="651"/>
      <c r="I60" s="652"/>
      <c r="J60" s="652"/>
      <c r="K60" s="652"/>
      <c r="L60" s="652"/>
      <c r="M60" s="652"/>
      <c r="N60" s="652"/>
      <c r="O60" s="652"/>
      <c r="P60" s="65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5" customHeight="1" thickBot="1">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5" customHeight="1" thickBot="1">
      <c r="G62" s="2">
        <v>118</v>
      </c>
      <c r="H62" s="662" t="str">
        <f>'Other Fund Line-Item Details'!H314</f>
        <v>KELLER CRIME CONTROL AND PREVENTION DISTRICT (KCCPD) FUND</v>
      </c>
      <c r="I62" s="663"/>
      <c r="J62" s="663"/>
      <c r="K62" s="663"/>
      <c r="L62" s="663"/>
      <c r="M62" s="663"/>
      <c r="N62" s="663"/>
      <c r="O62" s="663"/>
      <c r="P62" s="664"/>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5" customHeight="1">
      <c r="I63" s="650"/>
      <c r="J63" s="650"/>
      <c r="K63" s="650"/>
      <c r="L63" s="650"/>
      <c r="M63" s="650"/>
      <c r="N63" s="650"/>
      <c r="O63" s="650"/>
      <c r="P63" s="650"/>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5" customHeight="1">
      <c r="G64" s="645"/>
      <c r="H64" s="649" t="s">
        <v>1059</v>
      </c>
      <c r="I64" s="650">
        <f>'Other Fund Line-Item Details'!T329</f>
        <v>-2466587</v>
      </c>
      <c r="J64" s="650"/>
      <c r="K64" s="650">
        <f t="shared" ref="K64:K65" si="31">I64-J64</f>
        <v>-2466587</v>
      </c>
      <c r="L64" s="650">
        <f>'Other Fund Line-Item Details'!AB329</f>
        <v>-2510433.7400000002</v>
      </c>
      <c r="M64" s="650">
        <f>'Other Fund Line-Item Details'!AE329</f>
        <v>-2564442.5584999998</v>
      </c>
      <c r="N64" s="650">
        <f>'Other Fund Line-Item Details'!AH329</f>
        <v>-2626547.3179624998</v>
      </c>
      <c r="O64" s="650">
        <f>'Other Fund Line-Item Details'!AK329</f>
        <v>-2690224.429151562</v>
      </c>
      <c r="P64" s="650">
        <f>'Other Fund Line-Item Details'!AN329</f>
        <v>-2755513.7928425511</v>
      </c>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6:44" ht="15" customHeight="1">
      <c r="G65" s="645"/>
      <c r="H65" s="649" t="s">
        <v>7</v>
      </c>
      <c r="I65" s="650">
        <f>'Other Fund Line-Item Details'!T387</f>
        <v>3036281</v>
      </c>
      <c r="J65" s="650">
        <v>0</v>
      </c>
      <c r="K65" s="650">
        <f t="shared" si="31"/>
        <v>3036281</v>
      </c>
      <c r="L65" s="650">
        <f>'Other Fund Line-Item Details'!AB387+'Anticipated Needs'!U122</f>
        <v>2382530.3250000002</v>
      </c>
      <c r="M65" s="650">
        <f>'Other Fund Line-Item Details'!AE387+'Anticipated Needs'!V122</f>
        <v>1890641.5688750001</v>
      </c>
      <c r="N65" s="650">
        <f>'Other Fund Line-Item Details'!AH387+'Anticipated Needs'!W122</f>
        <v>1695317.651035625</v>
      </c>
      <c r="O65" s="650">
        <f>'Other Fund Line-Item Details'!AK387+'Anticipated Needs'!X122</f>
        <v>4222178.4081998719</v>
      </c>
      <c r="P65" s="650">
        <f>'Other Fund Line-Item Details'!AN387+'Anticipated Needs'!Y122</f>
        <v>1749795.7723229176</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6:44" ht="15" customHeight="1" thickBot="1">
      <c r="G66" s="1"/>
      <c r="H66" s="2" t="s">
        <v>105</v>
      </c>
      <c r="I66" s="650">
        <f>-(I64+I65)</f>
        <v>-569694</v>
      </c>
      <c r="J66" s="650"/>
      <c r="K66" s="650">
        <f t="shared" ref="K66:P66" si="32">-(K64+K65)</f>
        <v>-569694</v>
      </c>
      <c r="L66" s="650">
        <f t="shared" si="32"/>
        <v>127903.41500000004</v>
      </c>
      <c r="M66" s="650">
        <f t="shared" si="32"/>
        <v>673800.9896249997</v>
      </c>
      <c r="N66" s="650">
        <f t="shared" si="32"/>
        <v>931229.66692687478</v>
      </c>
      <c r="O66" s="650">
        <f t="shared" si="32"/>
        <v>-1531953.9790483098</v>
      </c>
      <c r="P66" s="650">
        <f t="shared" si="32"/>
        <v>1005718.0205196335</v>
      </c>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6:44" ht="15" customHeight="1" thickBot="1">
      <c r="H67" s="653" t="s">
        <v>765</v>
      </c>
      <c r="I67" s="654"/>
      <c r="J67" s="654"/>
      <c r="K67" s="654">
        <v>3139778</v>
      </c>
      <c r="L67" s="654">
        <f>K67+L66</f>
        <v>3267681.415</v>
      </c>
      <c r="M67" s="654">
        <f>L67+M66</f>
        <v>3941482.4046249995</v>
      </c>
      <c r="N67" s="654">
        <f t="shared" ref="N67" si="33">M67+N66</f>
        <v>4872712.0715518743</v>
      </c>
      <c r="O67" s="654">
        <f t="shared" ref="O67" si="34">N67+O66</f>
        <v>3340758.0925035644</v>
      </c>
      <c r="P67" s="655">
        <f t="shared" ref="P67" si="35">O67+P66</f>
        <v>4346476.1130231982</v>
      </c>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6:44" ht="15" customHeight="1">
      <c r="H68" s="651"/>
      <c r="I68" s="652"/>
      <c r="J68" s="652"/>
      <c r="K68" s="652"/>
      <c r="L68" s="652"/>
      <c r="M68" s="652"/>
      <c r="N68" s="652"/>
      <c r="O68" s="652"/>
      <c r="P68" s="65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6:44" ht="15" customHeight="1" thickBot="1">
      <c r="S69" s="2"/>
      <c r="T69" s="4"/>
      <c r="U69" s="2"/>
      <c r="V69" s="2"/>
      <c r="W69" s="2"/>
      <c r="X69" s="2"/>
      <c r="Y69" s="2"/>
      <c r="Z69" s="2"/>
      <c r="AA69" s="2"/>
      <c r="AB69" s="2"/>
      <c r="AC69" s="2"/>
      <c r="AD69" s="2"/>
      <c r="AE69" s="2"/>
      <c r="AF69" s="2"/>
      <c r="AG69" s="2"/>
      <c r="AH69" s="2"/>
      <c r="AI69" s="2"/>
      <c r="AJ69" s="2"/>
      <c r="AK69" s="2"/>
      <c r="AL69" s="2"/>
      <c r="AM69" s="2"/>
      <c r="AN69" s="2"/>
      <c r="AO69" s="2"/>
      <c r="AP69" s="2"/>
      <c r="AQ69" s="2"/>
      <c r="AR69" s="2"/>
    </row>
    <row r="70" spans="6:44" ht="15" customHeight="1" thickBot="1">
      <c r="G70" s="2">
        <v>119</v>
      </c>
      <c r="H70" s="662" t="str">
        <f>'Other Fund Line-Item Details'!H392</f>
        <v>INFORMATION SERVICES FUND</v>
      </c>
      <c r="I70" s="663"/>
      <c r="J70" s="663"/>
      <c r="K70" s="663"/>
      <c r="L70" s="663"/>
      <c r="M70" s="663"/>
      <c r="N70" s="663"/>
      <c r="O70" s="663"/>
      <c r="P70" s="664"/>
      <c r="Q70"/>
      <c r="S70" s="2"/>
      <c r="T70" s="4"/>
      <c r="U70" s="2"/>
      <c r="V70" s="2"/>
      <c r="W70" s="2"/>
      <c r="X70" s="2"/>
      <c r="Y70" s="2"/>
      <c r="Z70" s="2"/>
      <c r="AA70" s="2"/>
      <c r="AB70" s="2"/>
      <c r="AC70" s="2"/>
      <c r="AD70" s="2"/>
      <c r="AE70" s="2"/>
      <c r="AF70" s="2"/>
      <c r="AG70" s="2"/>
      <c r="AH70" s="2"/>
      <c r="AI70" s="2"/>
      <c r="AJ70" s="2"/>
      <c r="AK70" s="2"/>
      <c r="AL70" s="2"/>
      <c r="AM70" s="2"/>
      <c r="AN70" s="2"/>
      <c r="AO70" s="2"/>
      <c r="AP70" s="2"/>
      <c r="AQ70" s="2"/>
      <c r="AR70" s="2"/>
    </row>
    <row r="71" spans="6:44" ht="15" customHeight="1">
      <c r="F71"/>
      <c r="I71" s="650"/>
      <c r="J71" s="650"/>
      <c r="K71" s="650"/>
      <c r="L71" s="650"/>
      <c r="M71" s="650"/>
      <c r="N71" s="650"/>
      <c r="O71" s="650"/>
      <c r="P71" s="650"/>
      <c r="Q71" s="78"/>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6:44" ht="15" customHeight="1">
      <c r="G72" s="645"/>
      <c r="H72" s="649" t="s">
        <v>1059</v>
      </c>
      <c r="I72" s="650">
        <f>'Other Fund Line-Item Details'!T406</f>
        <v>-3757065</v>
      </c>
      <c r="J72" s="650"/>
      <c r="K72" s="650">
        <f t="shared" ref="K72" si="36">I72-J72</f>
        <v>-3757065</v>
      </c>
      <c r="L72" s="650">
        <f>'Other Fund Line-Item Details'!AB406</f>
        <v>-3062226.9499999993</v>
      </c>
      <c r="M72" s="650">
        <f>'Other Fund Line-Item Details'!AE406</f>
        <v>-3126268.7584999995</v>
      </c>
      <c r="N72" s="650">
        <f>'Other Fund Line-Item Details'!AH406</f>
        <v>-3219269.3212549998</v>
      </c>
      <c r="O72" s="650">
        <f>'Other Fund Line-Item Details'!AK406</f>
        <v>-3315059.9008926502</v>
      </c>
      <c r="P72" s="650">
        <f>'Other Fund Line-Item Details'!AN406</f>
        <v>-3413724.1979194297</v>
      </c>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6:44" ht="15" customHeight="1">
      <c r="G73" s="645"/>
      <c r="H73" s="649" t="s">
        <v>7</v>
      </c>
      <c r="I73" s="650">
        <f>'Other Fund Line-Item Details'!T539</f>
        <v>3785991</v>
      </c>
      <c r="J73" s="650">
        <v>0</v>
      </c>
      <c r="K73" s="650">
        <f t="shared" ref="K73" si="37">I73-J73</f>
        <v>3785991</v>
      </c>
      <c r="L73" s="650">
        <f>'Other Fund Line-Item Details'!AB539+'Anticipated Needs'!U132</f>
        <v>3049223.6600000006</v>
      </c>
      <c r="M73" s="650">
        <f>'Other Fund Line-Item Details'!AE539+'Anticipated Needs'!V132</f>
        <v>3129658.0495999996</v>
      </c>
      <c r="N73" s="650">
        <f>'Other Fund Line-Item Details'!AH539+'Anticipated Needs'!W132</f>
        <v>3212359.8598760003</v>
      </c>
      <c r="O73" s="650">
        <f>'Other Fund Line-Item Details'!AK539+'Anticipated Needs'!X132</f>
        <v>3297396.8344667605</v>
      </c>
      <c r="P73" s="650">
        <f>'Other Fund Line-Item Details'!AN539+'Anticipated Needs'!Y132</f>
        <v>3384838.8359039277</v>
      </c>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6:44" ht="15" customHeight="1" thickBot="1">
      <c r="G74" s="1"/>
      <c r="H74" s="2" t="s">
        <v>105</v>
      </c>
      <c r="I74" s="650">
        <f t="shared" ref="I74" si="38">-(I72+I73)</f>
        <v>-28926</v>
      </c>
      <c r="J74" s="650"/>
      <c r="K74" s="650">
        <f t="shared" ref="K74:P74" si="39">-(K72+K73)</f>
        <v>-28926</v>
      </c>
      <c r="L74" s="650">
        <f t="shared" si="39"/>
        <v>13003.28999999864</v>
      </c>
      <c r="M74" s="650">
        <f t="shared" si="39"/>
        <v>-3389.2911000000313</v>
      </c>
      <c r="N74" s="650">
        <f t="shared" si="39"/>
        <v>6909.4613789995201</v>
      </c>
      <c r="O74" s="650">
        <f t="shared" si="39"/>
        <v>17663.06642588973</v>
      </c>
      <c r="P74" s="650">
        <f t="shared" si="39"/>
        <v>28885.362015502062</v>
      </c>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6:44" ht="15" customHeight="1" thickBot="1">
      <c r="H75" s="653" t="s">
        <v>765</v>
      </c>
      <c r="I75" s="654"/>
      <c r="J75" s="654"/>
      <c r="K75" s="654">
        <v>1924052</v>
      </c>
      <c r="L75" s="654">
        <f>K75+L74</f>
        <v>1937055.2899999986</v>
      </c>
      <c r="M75" s="654">
        <f>L75+M74</f>
        <v>1933665.9988999986</v>
      </c>
      <c r="N75" s="654">
        <f t="shared" ref="N75" si="40">M75+N74</f>
        <v>1940575.4602789981</v>
      </c>
      <c r="O75" s="654">
        <f t="shared" ref="O75" si="41">N75+O74</f>
        <v>1958238.5267048879</v>
      </c>
      <c r="P75" s="655">
        <f t="shared" ref="P75" si="42">O75+P74</f>
        <v>1987123.8887203899</v>
      </c>
      <c r="R75" s="2"/>
      <c r="S75" s="2"/>
      <c r="T75" s="2"/>
      <c r="U75" s="2"/>
      <c r="V75" s="2"/>
      <c r="W75" s="2"/>
      <c r="X75" s="2"/>
      <c r="Y75" s="2"/>
      <c r="Z75" s="2"/>
      <c r="AA75" s="2"/>
      <c r="AB75" s="2"/>
      <c r="AC75" s="2"/>
      <c r="AD75" s="2"/>
      <c r="AE75" s="2"/>
      <c r="AF75" s="2"/>
      <c r="AG75" s="2"/>
      <c r="AH75" s="2"/>
      <c r="AI75" s="2"/>
      <c r="AJ75" s="2"/>
      <c r="AK75" s="2"/>
      <c r="AL75" s="2"/>
      <c r="AM75" s="2"/>
      <c r="AN75" s="2"/>
      <c r="AO75" s="2"/>
    </row>
    <row r="76" spans="6:44" ht="15" customHeight="1">
      <c r="H76" s="651"/>
      <c r="I76" s="652"/>
      <c r="J76" s="652"/>
      <c r="K76" s="652"/>
      <c r="L76" s="652"/>
      <c r="M76" s="652"/>
      <c r="N76" s="652"/>
      <c r="O76" s="652"/>
      <c r="P76" s="652"/>
      <c r="R76" s="2"/>
      <c r="S76" s="2"/>
      <c r="T76" s="2"/>
      <c r="U76" s="2"/>
      <c r="V76" s="2"/>
      <c r="W76" s="2"/>
      <c r="X76" s="2"/>
      <c r="Y76" s="2"/>
      <c r="Z76" s="2"/>
      <c r="AA76" s="2"/>
      <c r="AB76" s="2"/>
      <c r="AC76" s="2"/>
    </row>
    <row r="77" spans="6:44" ht="15" customHeight="1" thickBot="1">
      <c r="H77" s="651"/>
      <c r="I77" s="652"/>
      <c r="J77" s="652"/>
      <c r="K77" s="652"/>
      <c r="L77" s="652"/>
      <c r="M77" s="652"/>
      <c r="N77" s="652"/>
      <c r="O77" s="652"/>
      <c r="P77" s="652"/>
      <c r="R77" s="2"/>
      <c r="S77" s="2"/>
      <c r="T77" s="2"/>
    </row>
    <row r="78" spans="6:44" ht="15" customHeight="1" thickBot="1">
      <c r="G78" s="2">
        <v>129</v>
      </c>
      <c r="H78" s="662" t="str">
        <f>'Other Fund Line-Item Details'!H557</f>
        <v>SELF INSURANCE FUND</v>
      </c>
      <c r="I78" s="663"/>
      <c r="J78" s="663"/>
      <c r="K78" s="663"/>
      <c r="L78" s="663"/>
      <c r="M78" s="663"/>
      <c r="N78" s="663"/>
      <c r="O78" s="663"/>
      <c r="P78" s="664"/>
      <c r="Q78"/>
      <c r="R78" s="2"/>
      <c r="S78" s="2"/>
      <c r="T78" s="2"/>
      <c r="AP78" s="2"/>
      <c r="AQ78" s="2"/>
      <c r="AR78" s="2"/>
    </row>
    <row r="79" spans="6:44" ht="15" customHeight="1">
      <c r="F79"/>
      <c r="I79" s="650"/>
      <c r="J79" s="650"/>
      <c r="K79" s="650"/>
      <c r="L79" s="650"/>
      <c r="M79" s="650"/>
      <c r="N79" s="650"/>
      <c r="O79" s="650"/>
      <c r="P79" s="650"/>
      <c r="Q79" s="78"/>
      <c r="R79" s="2"/>
      <c r="S79" s="2"/>
      <c r="T79" s="2"/>
      <c r="AD79" s="2"/>
      <c r="AE79" s="2"/>
      <c r="AF79" s="2"/>
      <c r="AG79" s="2"/>
      <c r="AH79" s="2"/>
      <c r="AI79" s="2"/>
      <c r="AJ79" s="2"/>
      <c r="AK79" s="2"/>
      <c r="AL79" s="2"/>
      <c r="AM79" s="2"/>
      <c r="AN79" s="2"/>
      <c r="AO79" s="2"/>
      <c r="AP79" s="2"/>
      <c r="AQ79" s="2"/>
      <c r="AR79" s="2"/>
    </row>
    <row r="80" spans="6:44" ht="15" customHeight="1">
      <c r="G80" s="645"/>
      <c r="H80" s="649" t="s">
        <v>1059</v>
      </c>
      <c r="I80" s="650">
        <f>'Other Fund Line-Item Details'!T572</f>
        <v>-4942771</v>
      </c>
      <c r="J80" s="650"/>
      <c r="K80" s="650">
        <f t="shared" ref="K80" si="43">I80-J80</f>
        <v>-4942771</v>
      </c>
      <c r="L80" s="650">
        <f>'Other Fund Line-Item Details'!AB572</f>
        <v>-5044171.71</v>
      </c>
      <c r="M80" s="650">
        <f>'Other Fund Line-Item Details'!AE572</f>
        <v>-5119917.7010999992</v>
      </c>
      <c r="N80" s="650">
        <f>'Other Fund Line-Item Details'!AH572</f>
        <v>-5295817.6237634989</v>
      </c>
      <c r="O80" s="650">
        <f>'Other Fund Line-Item Details'!AK572</f>
        <v>-5477874.0437202211</v>
      </c>
      <c r="P80" s="650">
        <f>'Other Fund Line-Item Details'!AN572</f>
        <v>-5666302.4383754283</v>
      </c>
      <c r="S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7:44" ht="15" customHeight="1">
      <c r="G81" s="645"/>
      <c r="H81" s="649" t="s">
        <v>7</v>
      </c>
      <c r="I81" s="650">
        <f>'Other Fund Line-Item Details'!T577</f>
        <v>4740658</v>
      </c>
      <c r="J81" s="650">
        <v>0</v>
      </c>
      <c r="K81" s="650">
        <f t="shared" ref="K81" si="44">I81-J81</f>
        <v>4740658</v>
      </c>
      <c r="L81" s="650">
        <f>'Other Fund Line-Item Details'!AB577</f>
        <v>4882877.74</v>
      </c>
      <c r="M81" s="650">
        <f>'Other Fund Line-Item Details'!AE577</f>
        <v>5029364.0722000003</v>
      </c>
      <c r="N81" s="650">
        <f>'Other Fund Line-Item Details'!AH577</f>
        <v>5180244.9943659995</v>
      </c>
      <c r="O81" s="650">
        <f>'Other Fund Line-Item Details'!AK577</f>
        <v>5335652.3441969799</v>
      </c>
      <c r="P81" s="650">
        <f>'Other Fund Line-Item Details'!AN577</f>
        <v>5495721.9145228891</v>
      </c>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7:44" ht="15" customHeight="1" thickBot="1">
      <c r="G82" s="1"/>
      <c r="H82" s="2" t="s">
        <v>105</v>
      </c>
      <c r="I82" s="650">
        <f t="shared" ref="I82" si="45">-(I80+I81)</f>
        <v>202113</v>
      </c>
      <c r="J82" s="650"/>
      <c r="K82" s="650">
        <f t="shared" ref="K82:P82" si="46">-(K80+K81)</f>
        <v>202113</v>
      </c>
      <c r="L82" s="650">
        <f t="shared" si="46"/>
        <v>161293.96999999974</v>
      </c>
      <c r="M82" s="650">
        <f t="shared" si="46"/>
        <v>90553.628899998963</v>
      </c>
      <c r="N82" s="650">
        <f t="shared" si="46"/>
        <v>115572.62939749938</v>
      </c>
      <c r="O82" s="650">
        <f t="shared" si="46"/>
        <v>142221.69952324126</v>
      </c>
      <c r="P82" s="650">
        <f t="shared" si="46"/>
        <v>170580.52385253925</v>
      </c>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7:44" ht="15" customHeight="1" thickBot="1">
      <c r="H83" s="653" t="s">
        <v>765</v>
      </c>
      <c r="I83" s="654"/>
      <c r="J83" s="654"/>
      <c r="K83" s="654">
        <v>7461127</v>
      </c>
      <c r="L83" s="654">
        <f>K83+L82</f>
        <v>7622420.9699999997</v>
      </c>
      <c r="M83" s="654">
        <f>L83+M82</f>
        <v>7712974.5988999987</v>
      </c>
      <c r="N83" s="654">
        <f t="shared" ref="N83" si="47">M83+N82</f>
        <v>7828547.2282974981</v>
      </c>
      <c r="O83" s="654">
        <f t="shared" ref="O83" si="48">N83+O82</f>
        <v>7970768.9278207393</v>
      </c>
      <c r="P83" s="655">
        <f t="shared" ref="P83" si="49">O83+P82</f>
        <v>8141349.4516732786</v>
      </c>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7:44" ht="15" customHeight="1">
      <c r="H84" s="651"/>
      <c r="I84" s="652"/>
      <c r="J84" s="652"/>
      <c r="K84" s="652"/>
      <c r="L84" s="652"/>
      <c r="M84" s="652"/>
      <c r="N84" s="652"/>
      <c r="O84" s="652"/>
      <c r="P84" s="652"/>
      <c r="R84" s="2"/>
      <c r="S84" s="2"/>
      <c r="T84" s="2"/>
      <c r="U84" s="4"/>
      <c r="V84" s="4"/>
      <c r="W84" s="4"/>
      <c r="X84" s="4"/>
      <c r="Y84" s="4"/>
      <c r="Z84" s="4"/>
      <c r="AA84" s="2"/>
      <c r="AB84" s="2"/>
      <c r="AC84" s="2"/>
      <c r="AD84" s="2"/>
      <c r="AE84" s="2"/>
      <c r="AF84" s="2"/>
      <c r="AG84" s="2"/>
      <c r="AH84" s="2"/>
      <c r="AI84" s="2"/>
      <c r="AJ84" s="2"/>
      <c r="AK84" s="2"/>
      <c r="AL84" s="2"/>
      <c r="AM84" s="2"/>
      <c r="AN84" s="2"/>
      <c r="AO84" s="2"/>
      <c r="AP84" s="2"/>
      <c r="AQ84" s="2"/>
      <c r="AR84" s="2"/>
    </row>
    <row r="85" spans="7:44" ht="15" customHeight="1" thickBot="1">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7:44" ht="15" customHeight="1" thickBot="1">
      <c r="G86" s="2">
        <v>150</v>
      </c>
      <c r="H86" s="662" t="str">
        <f>'Other Fund Line-Item Details'!H581</f>
        <v>DEBT SERVICE FUND</v>
      </c>
      <c r="I86" s="663"/>
      <c r="J86" s="663"/>
      <c r="K86" s="663"/>
      <c r="L86" s="663"/>
      <c r="M86" s="663"/>
      <c r="N86" s="663"/>
      <c r="O86" s="663"/>
      <c r="P86" s="664"/>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7:44" ht="15" customHeight="1">
      <c r="I87" s="650"/>
      <c r="J87" s="650"/>
      <c r="K87" s="650"/>
      <c r="L87" s="650"/>
      <c r="M87" s="650"/>
      <c r="N87" s="650"/>
      <c r="O87" s="650"/>
      <c r="P87" s="650"/>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7:44" ht="15" customHeight="1">
      <c r="G88" s="645"/>
      <c r="H88" s="649" t="s">
        <v>1059</v>
      </c>
      <c r="I88" s="650">
        <f>'Other Fund Line-Item Details'!T598</f>
        <v>-3857873</v>
      </c>
      <c r="J88" s="650"/>
      <c r="K88" s="650">
        <f t="shared" ref="K88" si="50">I88-J88</f>
        <v>-3857873</v>
      </c>
      <c r="L88" s="650">
        <f>'Other Fund Line-Item Details'!AB598</f>
        <v>-3768913.3307869891</v>
      </c>
      <c r="M88" s="650">
        <f>'Other Fund Line-Item Details'!AE598</f>
        <v>-3696799.9418324064</v>
      </c>
      <c r="N88" s="650">
        <f>'Other Fund Line-Item Details'!AH598</f>
        <v>-3693787.4373581279</v>
      </c>
      <c r="O88" s="650">
        <f>'Other Fund Line-Item Details'!AK598</f>
        <v>-4011618.9216347141</v>
      </c>
      <c r="P88" s="650">
        <f>'Other Fund Line-Item Details'!AN598</f>
        <v>-3904256.9580820333</v>
      </c>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7:44" ht="15" customHeight="1">
      <c r="G89" s="645"/>
      <c r="H89" s="649" t="s">
        <v>7</v>
      </c>
      <c r="I89" s="650">
        <f>'Other Fund Line-Item Details'!T613</f>
        <v>3562746</v>
      </c>
      <c r="J89" s="650">
        <v>0</v>
      </c>
      <c r="K89" s="650">
        <f t="shared" ref="K89" si="51">I89-J89</f>
        <v>3562746</v>
      </c>
      <c r="L89" s="650">
        <f>'Other Fund Line-Item Details'!AB613</f>
        <v>3566350</v>
      </c>
      <c r="M89" s="650">
        <f>'Other Fund Line-Item Details'!AE613</f>
        <v>3570050</v>
      </c>
      <c r="N89" s="650">
        <f>'Other Fund Line-Item Details'!AH613</f>
        <v>3569750</v>
      </c>
      <c r="O89" s="650">
        <f>'Other Fund Line-Item Details'!AK613</f>
        <v>3831434.2849847805</v>
      </c>
      <c r="P89" s="650">
        <f>'Other Fund Line-Item Details'!AN613</f>
        <v>3805484.2849847805</v>
      </c>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7:44" ht="15" customHeight="1" thickBot="1">
      <c r="G90" s="1"/>
      <c r="H90" s="2" t="s">
        <v>105</v>
      </c>
      <c r="I90" s="650">
        <f>-(I88+I89)</f>
        <v>295127</v>
      </c>
      <c r="J90" s="650"/>
      <c r="K90" s="650">
        <f t="shared" ref="K90:P90" si="52">-(K88+K89)</f>
        <v>295127</v>
      </c>
      <c r="L90" s="650">
        <f t="shared" si="52"/>
        <v>202563.33078698907</v>
      </c>
      <c r="M90" s="650">
        <f t="shared" si="52"/>
        <v>126749.94183240645</v>
      </c>
      <c r="N90" s="650">
        <f t="shared" si="52"/>
        <v>124037.43735812791</v>
      </c>
      <c r="O90" s="650">
        <f t="shared" si="52"/>
        <v>180184.63664993364</v>
      </c>
      <c r="P90" s="650">
        <f t="shared" si="52"/>
        <v>98772.673097252846</v>
      </c>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7:44" ht="15" customHeight="1" thickBot="1">
      <c r="G91" s="146"/>
      <c r="H91" s="653" t="s">
        <v>765</v>
      </c>
      <c r="I91" s="654"/>
      <c r="J91" s="654"/>
      <c r="K91" s="654">
        <v>4997577</v>
      </c>
      <c r="L91" s="654">
        <f>K91+L90</f>
        <v>5200140.3307869891</v>
      </c>
      <c r="M91" s="654">
        <f>L91+M90</f>
        <v>5326890.2726193955</v>
      </c>
      <c r="N91" s="654">
        <f>M91+N90</f>
        <v>5450927.7099775234</v>
      </c>
      <c r="O91" s="654">
        <f>N91+O90</f>
        <v>5631112.3466274571</v>
      </c>
      <c r="P91" s="655">
        <f>O91+P90</f>
        <v>5729885.0197247099</v>
      </c>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7:44" ht="15" customHeight="1">
      <c r="G92" s="146"/>
      <c r="H92" s="651"/>
      <c r="I92" s="652"/>
      <c r="J92" s="652"/>
      <c r="K92" s="652"/>
      <c r="L92" s="652"/>
      <c r="M92" s="652"/>
      <c r="N92" s="652"/>
      <c r="O92" s="652"/>
      <c r="P92" s="65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7:44" ht="15" customHeight="1" thickBot="1">
      <c r="G93" s="3"/>
      <c r="I93" s="145"/>
      <c r="J93" s="145"/>
      <c r="K93" s="145"/>
      <c r="L93" s="145"/>
      <c r="M93" s="145"/>
      <c r="N93" s="145"/>
      <c r="O93" s="145"/>
      <c r="P93" s="145"/>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7:44" ht="15" customHeight="1" thickBot="1">
      <c r="G94" s="2">
        <v>152</v>
      </c>
      <c r="H94" s="662" t="str">
        <f>'Other Fund Line-Item Details'!H617:T617</f>
        <v>Keller TIRZ #2</v>
      </c>
      <c r="I94" s="663"/>
      <c r="J94" s="663"/>
      <c r="K94" s="663"/>
      <c r="L94" s="663"/>
      <c r="M94" s="663"/>
      <c r="N94" s="663"/>
      <c r="O94" s="663"/>
      <c r="P94" s="664"/>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7:44" ht="15" customHeight="1">
      <c r="I95" s="650"/>
      <c r="J95" s="650"/>
      <c r="K95" s="650"/>
      <c r="L95" s="650"/>
      <c r="M95" s="650"/>
      <c r="N95" s="650"/>
      <c r="O95" s="650"/>
      <c r="P95" s="650"/>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7:44" ht="15" customHeight="1">
      <c r="G96" s="645"/>
      <c r="H96" s="649" t="s">
        <v>1059</v>
      </c>
      <c r="I96" s="650">
        <f>'Other Fund Line-Item Details'!T627</f>
        <v>-415836.36552390701</v>
      </c>
      <c r="J96" s="650"/>
      <c r="K96" s="650">
        <f t="shared" ref="K96" si="53">I96-J96</f>
        <v>-415836.36552390701</v>
      </c>
      <c r="L96" s="650">
        <f>'Other Fund Line-Item Details'!AB627</f>
        <v>-419604.72917914606</v>
      </c>
      <c r="M96" s="650">
        <f>'Other Fund Line-Item Details'!AE627</f>
        <v>-423227.02647093753</v>
      </c>
      <c r="N96" s="650">
        <f>'Other Fund Line-Item Details'!AH627</f>
        <v>-427453.67173564696</v>
      </c>
      <c r="O96" s="650">
        <f>'Other Fund Line-Item Details'!AK627</f>
        <v>-435991.49517035985</v>
      </c>
      <c r="P96" s="650">
        <f>'Other Fund Line-Item Details'!AN627</f>
        <v>-444700.07507376716</v>
      </c>
      <c r="R96" s="2"/>
      <c r="S96" s="2"/>
      <c r="T96" s="2"/>
      <c r="U96" s="592"/>
      <c r="V96" s="2"/>
      <c r="W96" s="2"/>
      <c r="X96" s="2"/>
      <c r="Y96" s="2"/>
      <c r="Z96" s="2"/>
      <c r="AA96" s="2"/>
      <c r="AB96" s="2"/>
      <c r="AC96" s="2"/>
      <c r="AD96" s="2"/>
      <c r="AE96" s="2"/>
      <c r="AF96" s="2"/>
      <c r="AG96" s="2"/>
      <c r="AH96" s="2"/>
      <c r="AI96" s="2"/>
      <c r="AJ96" s="2"/>
      <c r="AK96" s="2"/>
      <c r="AL96" s="2"/>
      <c r="AM96" s="2"/>
      <c r="AN96" s="2"/>
      <c r="AO96" s="2"/>
    </row>
    <row r="97" spans="5:44" ht="15" customHeight="1">
      <c r="G97" s="645"/>
      <c r="H97" s="649" t="s">
        <v>7</v>
      </c>
      <c r="I97" s="650">
        <f>'Other Fund Line-Item Details'!T643</f>
        <v>0</v>
      </c>
      <c r="J97" s="650">
        <v>0</v>
      </c>
      <c r="K97" s="650">
        <f t="shared" ref="K97" si="54">I97-J97</f>
        <v>0</v>
      </c>
      <c r="L97" s="650">
        <f>'Other Fund Line-Item Details'!AB643+'Anticipated Needs'!U155</f>
        <v>0</v>
      </c>
      <c r="M97" s="650">
        <f>'Other Fund Line-Item Details'!AE643+'Anticipated Needs'!V155</f>
        <v>0</v>
      </c>
      <c r="N97" s="650">
        <f>'Other Fund Line-Item Details'!AH643+'Anticipated Needs'!W155</f>
        <v>0</v>
      </c>
      <c r="O97" s="650">
        <f>'Other Fund Line-Item Details'!AK643+'Anticipated Needs'!X155</f>
        <v>0</v>
      </c>
      <c r="P97" s="650">
        <f>'Other Fund Line-Item Details'!AN643+'Anticipated Needs'!Y155</f>
        <v>0</v>
      </c>
      <c r="R97" s="2"/>
      <c r="S97" s="2"/>
      <c r="T97" s="2"/>
      <c r="U97" s="2"/>
      <c r="V97" s="2"/>
      <c r="W97" s="2"/>
      <c r="X97" s="2"/>
      <c r="Y97" s="2"/>
      <c r="Z97" s="2"/>
      <c r="AA97" s="2"/>
      <c r="AB97" s="2"/>
      <c r="AC97" s="2"/>
    </row>
    <row r="98" spans="5:44" ht="15" customHeight="1" thickBot="1">
      <c r="G98" s="1"/>
      <c r="H98" s="2" t="s">
        <v>105</v>
      </c>
      <c r="I98" s="650">
        <f>-(I96+I97)</f>
        <v>415836.36552390701</v>
      </c>
      <c r="J98" s="650"/>
      <c r="K98" s="650">
        <f t="shared" ref="K98:P98" si="55">-(K96+K97)</f>
        <v>415836.36552390701</v>
      </c>
      <c r="L98" s="650">
        <f t="shared" si="55"/>
        <v>419604.72917914606</v>
      </c>
      <c r="M98" s="650">
        <f t="shared" si="55"/>
        <v>423227.02647093753</v>
      </c>
      <c r="N98" s="650">
        <f t="shared" si="55"/>
        <v>427453.67173564696</v>
      </c>
      <c r="O98" s="650">
        <f t="shared" si="55"/>
        <v>435991.49517035985</v>
      </c>
      <c r="P98" s="650">
        <f t="shared" si="55"/>
        <v>444700.07507376716</v>
      </c>
      <c r="R98" s="2"/>
      <c r="S98" s="2"/>
      <c r="T98" s="2"/>
    </row>
    <row r="99" spans="5:44" ht="15" customHeight="1" thickBot="1">
      <c r="G99" s="146"/>
      <c r="H99" s="653" t="s">
        <v>765</v>
      </c>
      <c r="I99" s="654"/>
      <c r="J99" s="654"/>
      <c r="K99" s="654">
        <v>779775.36552390701</v>
      </c>
      <c r="L99" s="654">
        <f>K99+L98</f>
        <v>1199380.0947030531</v>
      </c>
      <c r="M99" s="654">
        <f>L99+M98</f>
        <v>1622607.1211739907</v>
      </c>
      <c r="N99" s="654">
        <f>M99+N98</f>
        <v>2050060.7929096376</v>
      </c>
      <c r="O99" s="654">
        <f>N99+O98</f>
        <v>2486052.2880799975</v>
      </c>
      <c r="P99" s="655">
        <f>O99+P98</f>
        <v>2930752.3631537645</v>
      </c>
      <c r="R99" s="2"/>
      <c r="S99" s="2"/>
      <c r="T99" s="2"/>
      <c r="AP99" s="2"/>
      <c r="AQ99" s="2"/>
      <c r="AR99" s="2"/>
    </row>
    <row r="100" spans="5:44" ht="15" customHeight="1">
      <c r="G100" s="146"/>
      <c r="H100" s="651"/>
      <c r="I100" s="652"/>
      <c r="J100" s="652"/>
      <c r="K100" s="652"/>
      <c r="L100" s="652"/>
      <c r="M100" s="652"/>
      <c r="N100" s="652"/>
      <c r="O100" s="652"/>
      <c r="P100" s="652"/>
      <c r="R100" s="2"/>
      <c r="S100" s="2"/>
      <c r="T100" s="2"/>
      <c r="AD100" s="2"/>
      <c r="AE100" s="2"/>
      <c r="AF100" s="2"/>
      <c r="AG100" s="2"/>
      <c r="AH100" s="2"/>
      <c r="AI100" s="2"/>
      <c r="AJ100" s="2"/>
      <c r="AK100" s="2"/>
      <c r="AL100" s="2"/>
      <c r="AM100" s="2"/>
      <c r="AN100" s="2"/>
      <c r="AO100" s="2"/>
      <c r="AP100" s="2"/>
      <c r="AQ100" s="2"/>
      <c r="AR100" s="2"/>
    </row>
    <row r="101" spans="5:44" s="4" customFormat="1" ht="15" customHeight="1" thickBot="1">
      <c r="E101" s="2"/>
      <c r="G101" s="146"/>
      <c r="H101" s="146"/>
      <c r="I101" s="145"/>
      <c r="J101" s="145"/>
      <c r="K101" s="145"/>
      <c r="L101" s="145"/>
      <c r="M101" s="145"/>
      <c r="N101" s="145"/>
      <c r="O101" s="145"/>
      <c r="P101" s="145"/>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5:44" s="4" customFormat="1" ht="15" customHeight="1" thickBot="1">
      <c r="E102" s="2"/>
      <c r="G102" s="2">
        <v>174</v>
      </c>
      <c r="H102" s="662" t="str">
        <f>'Other Fund Line-Item Details'!H648:T648</f>
        <v>STREET / SIDEWALK IMPROVEMENTS FUND</v>
      </c>
      <c r="I102" s="663"/>
      <c r="J102" s="663"/>
      <c r="K102" s="663"/>
      <c r="L102" s="663"/>
      <c r="M102" s="663"/>
      <c r="N102" s="663"/>
      <c r="O102" s="663"/>
      <c r="P102" s="664"/>
      <c r="Q102" s="2"/>
      <c r="R102" s="2"/>
      <c r="S102" s="2"/>
      <c r="T102" s="2"/>
      <c r="U102" s="2"/>
      <c r="V102" s="2"/>
      <c r="W102" s="2"/>
      <c r="X102" s="2"/>
      <c r="Y102" s="2"/>
      <c r="Z102" s="2"/>
      <c r="AA102" s="2"/>
      <c r="AB102" s="2"/>
      <c r="AC102" s="2"/>
    </row>
    <row r="103" spans="5:44" ht="15" customHeight="1">
      <c r="I103" s="650"/>
      <c r="J103" s="650"/>
      <c r="K103" s="650"/>
      <c r="L103" s="650"/>
      <c r="M103" s="650"/>
      <c r="N103" s="650"/>
      <c r="O103" s="650"/>
      <c r="P103" s="650"/>
      <c r="R103" s="2"/>
      <c r="S103" s="2"/>
      <c r="T103" s="2"/>
      <c r="U103" s="4"/>
      <c r="V103" s="4"/>
      <c r="W103" s="4"/>
      <c r="X103" s="4"/>
      <c r="Y103" s="4"/>
      <c r="Z103" s="4"/>
      <c r="AA103" s="4"/>
      <c r="AB103" s="4"/>
      <c r="AC103" s="4"/>
      <c r="AD103" s="4"/>
      <c r="AE103" s="4"/>
      <c r="AF103" s="4"/>
      <c r="AG103" s="4"/>
      <c r="AH103" s="4"/>
      <c r="AI103" s="4"/>
      <c r="AJ103" s="4"/>
      <c r="AK103" s="4"/>
      <c r="AL103" s="4"/>
      <c r="AM103" s="4"/>
      <c r="AN103" s="4"/>
      <c r="AO103" s="4"/>
      <c r="AP103" s="2"/>
      <c r="AQ103" s="2"/>
      <c r="AR103" s="2"/>
    </row>
    <row r="104" spans="5:44" ht="15" customHeight="1">
      <c r="G104" s="645"/>
      <c r="H104" s="649" t="s">
        <v>1059</v>
      </c>
      <c r="I104" s="650">
        <f>'Other Fund Line-Item Details'!T659</f>
        <v>-2473617</v>
      </c>
      <c r="J104" s="650"/>
      <c r="K104" s="650">
        <f t="shared" ref="K104" si="56">I104-J104</f>
        <v>-2473617</v>
      </c>
      <c r="L104" s="650">
        <f>'Other Fund Line-Item Details'!AB659</f>
        <v>-2488474.5300000003</v>
      </c>
      <c r="M104" s="650">
        <f>'Other Fund Line-Item Details'!AE659</f>
        <v>-2500206.4619999998</v>
      </c>
      <c r="N104" s="650">
        <f>'Other Fund Line-Item Details'!AH659</f>
        <v>-2561509.7204249995</v>
      </c>
      <c r="O104" s="650">
        <f>'Other Fund Line-Item Details'!AK659</f>
        <v>-2624345.5603106241</v>
      </c>
      <c r="P104" s="650">
        <f>'Other Fund Line-Item Details'!AN659</f>
        <v>-2688752.2961933892</v>
      </c>
      <c r="R104" s="2"/>
      <c r="S104" s="2"/>
      <c r="T104" s="2"/>
      <c r="U104" s="4"/>
      <c r="V104" s="4"/>
      <c r="W104" s="4"/>
      <c r="X104" s="4"/>
      <c r="Y104" s="4"/>
      <c r="Z104" s="4"/>
      <c r="AA104" s="4"/>
      <c r="AB104" s="4"/>
      <c r="AC104" s="4"/>
      <c r="AD104" s="2"/>
      <c r="AE104" s="2"/>
      <c r="AF104" s="2"/>
      <c r="AG104" s="2"/>
      <c r="AH104" s="2"/>
      <c r="AI104" s="2"/>
      <c r="AJ104" s="2"/>
      <c r="AK104" s="2"/>
      <c r="AL104" s="2"/>
      <c r="AM104" s="2"/>
      <c r="AN104" s="2"/>
      <c r="AO104" s="2"/>
      <c r="AP104" s="2"/>
      <c r="AQ104" s="2"/>
      <c r="AR104" s="2"/>
    </row>
    <row r="105" spans="5:44" ht="15" customHeight="1">
      <c r="G105" s="645"/>
      <c r="H105" s="649" t="s">
        <v>7</v>
      </c>
      <c r="I105" s="650">
        <f>'Other Fund Line-Item Details'!T669</f>
        <v>2905414</v>
      </c>
      <c r="J105" s="650">
        <v>0</v>
      </c>
      <c r="K105" s="650">
        <f t="shared" ref="K105" si="57">I105-J105</f>
        <v>2905414</v>
      </c>
      <c r="L105" s="650">
        <f>'Other Fund Line-Item Details'!AB669+'Anticipated Needs'!U166</f>
        <v>2905614</v>
      </c>
      <c r="M105" s="650">
        <f>'Other Fund Line-Item Details'!AE669+'Anticipated Needs'!V166</f>
        <v>2355818</v>
      </c>
      <c r="N105" s="650">
        <f>'Other Fund Line-Item Details'!AH669+'Anticipated Needs'!W166</f>
        <v>2356026.08</v>
      </c>
      <c r="O105" s="650">
        <f>'Other Fund Line-Item Details'!AK669+'Anticipated Needs'!X166</f>
        <v>2356238.3215999999</v>
      </c>
      <c r="P105" s="650">
        <f>'Other Fund Line-Item Details'!AN669+'Anticipated Needs'!Y166</f>
        <v>2356454.808032</v>
      </c>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5:44" ht="15" customHeight="1" thickBot="1">
      <c r="G106" s="1"/>
      <c r="H106" s="2" t="s">
        <v>105</v>
      </c>
      <c r="I106" s="650">
        <f>-(I104+I105)</f>
        <v>-431797</v>
      </c>
      <c r="J106" s="650"/>
      <c r="K106" s="650">
        <f t="shared" ref="K106:P106" si="58">-(K104+K105)</f>
        <v>-431797</v>
      </c>
      <c r="L106" s="650">
        <f t="shared" si="58"/>
        <v>-417139.46999999974</v>
      </c>
      <c r="M106" s="650">
        <f t="shared" si="58"/>
        <v>144388.46199999982</v>
      </c>
      <c r="N106" s="650">
        <f t="shared" si="58"/>
        <v>205483.64042499941</v>
      </c>
      <c r="O106" s="650">
        <f t="shared" si="58"/>
        <v>268107.23871062417</v>
      </c>
      <c r="P106" s="650">
        <f t="shared" si="58"/>
        <v>332297.48816138925</v>
      </c>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5:44" ht="15" customHeight="1" thickBot="1">
      <c r="G107" s="146"/>
      <c r="H107" s="653" t="s">
        <v>765</v>
      </c>
      <c r="I107" s="654"/>
      <c r="J107" s="654"/>
      <c r="K107" s="654">
        <v>1460892</v>
      </c>
      <c r="L107" s="654">
        <f>K107+L106</f>
        <v>1043752.5300000003</v>
      </c>
      <c r="M107" s="654">
        <f>L107+M106</f>
        <v>1188140.9920000001</v>
      </c>
      <c r="N107" s="654">
        <f>M107+N106</f>
        <v>1393624.6324249995</v>
      </c>
      <c r="O107" s="654">
        <f>N107+O106</f>
        <v>1661731.8711356237</v>
      </c>
      <c r="P107" s="655">
        <f>O107+P106</f>
        <v>1994029.3592970129</v>
      </c>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5:44" ht="15" customHeight="1">
      <c r="G108" s="146"/>
      <c r="H108" s="651"/>
      <c r="I108" s="652"/>
      <c r="J108" s="652"/>
      <c r="K108" s="652"/>
      <c r="L108" s="652"/>
      <c r="M108" s="652"/>
      <c r="N108" s="652"/>
      <c r="O108" s="652"/>
      <c r="P108" s="65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5:44" ht="15" customHeight="1" thickBot="1">
      <c r="I109" s="256"/>
      <c r="J109" s="256"/>
      <c r="K109" s="256"/>
      <c r="L109" s="256"/>
      <c r="M109" s="256"/>
      <c r="N109" s="256"/>
      <c r="O109" s="256"/>
      <c r="P109" s="256"/>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5:44" ht="15" customHeight="1" thickBot="1">
      <c r="E110" s="4"/>
      <c r="G110" s="2">
        <v>175</v>
      </c>
      <c r="H110" s="662" t="str">
        <f>'Other Fund Line-Item Details'!H674</f>
        <v>FLEET REPLACEMENT FUND</v>
      </c>
      <c r="I110" s="663"/>
      <c r="J110" s="663"/>
      <c r="K110" s="663"/>
      <c r="L110" s="663"/>
      <c r="M110" s="663"/>
      <c r="N110" s="663"/>
      <c r="O110" s="663"/>
      <c r="P110" s="664"/>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5:44" ht="15" customHeight="1">
      <c r="I111" s="650"/>
      <c r="J111" s="650"/>
      <c r="K111" s="650"/>
      <c r="L111" s="650"/>
      <c r="M111" s="650"/>
      <c r="N111" s="650"/>
      <c r="O111" s="650"/>
      <c r="P111" s="650"/>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5:44" ht="15" customHeight="1">
      <c r="G112" s="645"/>
      <c r="H112" s="649" t="s">
        <v>1059</v>
      </c>
      <c r="I112" s="650">
        <f>'Other Fund Line-Item Details'!T689</f>
        <v>-1896336</v>
      </c>
      <c r="J112" s="650"/>
      <c r="K112" s="650">
        <f t="shared" ref="K112" si="59">I112-J112</f>
        <v>-1896336</v>
      </c>
      <c r="L112" s="650">
        <f>'Other Fund Line-Item Details'!AB689</f>
        <v>-1739170.44</v>
      </c>
      <c r="M112" s="650">
        <f>'Other Fund Line-Item Details'!AE689</f>
        <v>-1729608.6357</v>
      </c>
      <c r="N112" s="650">
        <f>'Other Fund Line-Item Details'!AH689</f>
        <v>-1779749.6235210004</v>
      </c>
      <c r="O112" s="650">
        <f>'Other Fund Line-Item Details'!AK689</f>
        <v>-1831394.8409766303</v>
      </c>
      <c r="P112" s="650">
        <f>'Other Fund Line-Item Details'!AN689</f>
        <v>-1884589.4149559292</v>
      </c>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7:44" ht="15" customHeight="1">
      <c r="G113" s="645"/>
      <c r="H113" s="649" t="s">
        <v>7</v>
      </c>
      <c r="I113" s="650">
        <f>'Other Fund Line-Item Details'!T729</f>
        <v>2837820</v>
      </c>
      <c r="J113" s="650">
        <v>0</v>
      </c>
      <c r="K113" s="650">
        <f t="shared" ref="K113" si="60">I113-J113</f>
        <v>2837820</v>
      </c>
      <c r="L113" s="650">
        <f>'Other Fund Line-Item Details'!AB729+'Anticipated Needs'!U177</f>
        <v>1753905.24</v>
      </c>
      <c r="M113" s="650">
        <f>'Other Fund Line-Item Details'!AE729+'Anticipated Needs'!V177</f>
        <v>437384.2648</v>
      </c>
      <c r="N113" s="650">
        <f>'Other Fund Line-Item Details'!AH729+'Anticipated Needs'!W177</f>
        <v>1261759.750096</v>
      </c>
      <c r="O113" s="650">
        <f>'Other Fund Line-Item Details'!AK729+'Anticipated Needs'!X177</f>
        <v>1679803.38509792</v>
      </c>
      <c r="P113" s="650">
        <f>'Other Fund Line-Item Details'!AN729+'Anticipated Needs'!Y177</f>
        <v>3254981.8727998785</v>
      </c>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7:44" ht="15" customHeight="1" thickBot="1">
      <c r="G114" s="1"/>
      <c r="H114" s="2" t="s">
        <v>105</v>
      </c>
      <c r="I114" s="650">
        <f>-(I112+I113)</f>
        <v>-941484</v>
      </c>
      <c r="J114" s="650"/>
      <c r="K114" s="650">
        <f t="shared" ref="K114:P114" si="61">-(K112+K113)</f>
        <v>-941484</v>
      </c>
      <c r="L114" s="650">
        <f t="shared" si="61"/>
        <v>-14734.800000000047</v>
      </c>
      <c r="M114" s="650">
        <f t="shared" si="61"/>
        <v>1292224.3709</v>
      </c>
      <c r="N114" s="650">
        <f t="shared" si="61"/>
        <v>517989.87342500035</v>
      </c>
      <c r="O114" s="650">
        <f t="shared" si="61"/>
        <v>151591.45587871037</v>
      </c>
      <c r="P114" s="650">
        <f t="shared" si="61"/>
        <v>-1370392.4578439493</v>
      </c>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7:44" ht="15" customHeight="1" thickBot="1">
      <c r="H115" s="653" t="s">
        <v>765</v>
      </c>
      <c r="I115" s="654"/>
      <c r="J115" s="654"/>
      <c r="K115" s="654">
        <v>2085590</v>
      </c>
      <c r="L115" s="654">
        <f>K115+L114</f>
        <v>2070855.2</v>
      </c>
      <c r="M115" s="654">
        <f>L115+M114</f>
        <v>3363079.5708999997</v>
      </c>
      <c r="N115" s="654">
        <f>M115+N114</f>
        <v>3881069.444325</v>
      </c>
      <c r="O115" s="654">
        <f>N115+O114</f>
        <v>4032660.9002037104</v>
      </c>
      <c r="P115" s="655">
        <f>O115+P114</f>
        <v>2662268.4423597613</v>
      </c>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7:44" ht="15" customHeight="1">
      <c r="H116" s="651"/>
      <c r="I116" s="652"/>
      <c r="J116" s="652"/>
      <c r="K116" s="652"/>
      <c r="L116" s="652"/>
      <c r="M116" s="652"/>
      <c r="N116" s="652"/>
      <c r="O116" s="652"/>
      <c r="P116" s="65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7:44" ht="15" customHeight="1" thickBot="1">
      <c r="K117" s="589"/>
      <c r="L117" s="145"/>
      <c r="M117" s="145"/>
      <c r="N117" s="145"/>
      <c r="O117" s="145"/>
      <c r="P117" s="145"/>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7:44" ht="15" customHeight="1" thickBot="1">
      <c r="G118" s="2">
        <v>179</v>
      </c>
      <c r="H118" s="662" t="str">
        <f>'Other Fund Line-Item Details'!H734</f>
        <v>FACILITY EQUIPMENT REPLACEMENT FUND</v>
      </c>
      <c r="I118" s="663"/>
      <c r="J118" s="663"/>
      <c r="K118" s="663"/>
      <c r="L118" s="663"/>
      <c r="M118" s="663"/>
      <c r="N118" s="663"/>
      <c r="O118" s="663"/>
      <c r="P118" s="664"/>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7:44" ht="15" customHeight="1">
      <c r="I119" s="650"/>
      <c r="J119" s="650"/>
      <c r="K119" s="650"/>
      <c r="L119" s="650"/>
      <c r="M119" s="650"/>
      <c r="N119" s="650"/>
      <c r="O119" s="650"/>
      <c r="P119" s="650"/>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7:44" ht="15" customHeight="1">
      <c r="G120" s="645"/>
      <c r="H120" s="649" t="s">
        <v>1059</v>
      </c>
      <c r="I120" s="650">
        <f>'Other Fund Line-Item Details'!T741</f>
        <v>-310653</v>
      </c>
      <c r="J120" s="650"/>
      <c r="K120" s="650">
        <f t="shared" ref="K120" si="62">I120-J120</f>
        <v>-310653</v>
      </c>
      <c r="L120" s="650">
        <f>'Other Fund Line-Item Details'!AB741</f>
        <v>-293756.5</v>
      </c>
      <c r="M120" s="650">
        <f>'Other Fund Line-Item Details'!AE741</f>
        <v>-268411.75</v>
      </c>
      <c r="N120" s="650">
        <f>'Other Fund Line-Item Details'!AH741</f>
        <v>-268411.75</v>
      </c>
      <c r="O120" s="650">
        <f>'Other Fund Line-Item Details'!AK741</f>
        <v>-268411.75</v>
      </c>
      <c r="P120" s="650">
        <f>'Other Fund Line-Item Details'!AN741</f>
        <v>-268411.75</v>
      </c>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7:44" ht="15" customHeight="1">
      <c r="G121" s="645"/>
      <c r="H121" s="649" t="s">
        <v>7</v>
      </c>
      <c r="I121" s="650">
        <f>'Other Fund Line-Item Details'!T752</f>
        <v>187500</v>
      </c>
      <c r="J121" s="650">
        <v>0</v>
      </c>
      <c r="K121" s="650">
        <f t="shared" ref="K121" si="63">I121-J121</f>
        <v>187500</v>
      </c>
      <c r="L121" s="650">
        <f>'Other Fund Line-Item Details'!AB752+'Anticipated Needs'!U190</f>
        <v>48300</v>
      </c>
      <c r="M121" s="650">
        <f>'Other Fund Line-Item Details'!AE752+'Anticipated Needs'!V190</f>
        <v>511000</v>
      </c>
      <c r="N121" s="650">
        <f>'Other Fund Line-Item Details'!AH752+'Anticipated Needs'!W190</f>
        <v>0</v>
      </c>
      <c r="O121" s="650">
        <f>'Other Fund Line-Item Details'!AK752+'Anticipated Needs'!X190</f>
        <v>26553</v>
      </c>
      <c r="P121" s="650">
        <f>'Other Fund Line-Item Details'!AN752+'Anticipated Needs'!Y190</f>
        <v>90000</v>
      </c>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7:44" ht="15" customHeight="1" thickBot="1">
      <c r="G122" s="1"/>
      <c r="H122" s="2" t="s">
        <v>105</v>
      </c>
      <c r="I122" s="650">
        <f t="shared" ref="I122" si="64">-(I120+I121)</f>
        <v>123153</v>
      </c>
      <c r="J122" s="650"/>
      <c r="K122" s="650">
        <f t="shared" ref="K122:P122" si="65">-(K120+K121)</f>
        <v>123153</v>
      </c>
      <c r="L122" s="650">
        <f t="shared" si="65"/>
        <v>245456.5</v>
      </c>
      <c r="M122" s="650">
        <f t="shared" si="65"/>
        <v>-242588.25</v>
      </c>
      <c r="N122" s="650">
        <f t="shared" si="65"/>
        <v>268411.75</v>
      </c>
      <c r="O122" s="650">
        <f t="shared" si="65"/>
        <v>241858.75</v>
      </c>
      <c r="P122" s="650">
        <f t="shared" si="65"/>
        <v>178411.75</v>
      </c>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7:44" ht="15" customHeight="1" thickBot="1">
      <c r="H123" s="653" t="s">
        <v>765</v>
      </c>
      <c r="I123" s="654"/>
      <c r="J123" s="654"/>
      <c r="K123" s="654">
        <v>1670615</v>
      </c>
      <c r="L123" s="654">
        <f>K123+L122</f>
        <v>1916071.5</v>
      </c>
      <c r="M123" s="654">
        <f>L123+M122</f>
        <v>1673483.25</v>
      </c>
      <c r="N123" s="654">
        <f>M123+N122</f>
        <v>1941895</v>
      </c>
      <c r="O123" s="654">
        <f>N123+O122</f>
        <v>2183753.75</v>
      </c>
      <c r="P123" s="655">
        <f>O123+P122</f>
        <v>2362165.5</v>
      </c>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7:44" ht="13.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7:44" ht="13.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7:44" ht="13.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7:44">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7:44">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9:44">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9:44">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9:44">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9:44">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9:44">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9:44">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9:44">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9:44">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9:44">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9:44">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9:44">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9:44">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9:44">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9:44">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9:44">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9:44">
      <c r="S144" s="2"/>
      <c r="T144" s="2"/>
      <c r="U144" s="4"/>
      <c r="V144" s="4"/>
      <c r="W144" s="4"/>
      <c r="X144" s="4"/>
      <c r="Y144" s="4"/>
      <c r="Z144" s="4"/>
      <c r="AA144" s="2"/>
      <c r="AB144" s="2"/>
      <c r="AC144" s="2"/>
      <c r="AD144" s="2"/>
      <c r="AE144" s="2"/>
      <c r="AF144" s="2"/>
      <c r="AG144" s="2"/>
      <c r="AH144" s="2"/>
      <c r="AI144" s="2"/>
      <c r="AJ144" s="2"/>
      <c r="AK144" s="2"/>
      <c r="AL144" s="2"/>
      <c r="AM144" s="2"/>
      <c r="AN144" s="2"/>
      <c r="AO144" s="2"/>
      <c r="AP144" s="2"/>
      <c r="AQ144" s="2"/>
      <c r="AR144" s="2"/>
    </row>
    <row r="145" spans="5:44">
      <c r="S145" s="2"/>
      <c r="T145" s="2"/>
      <c r="U145" s="604"/>
      <c r="V145" s="605"/>
      <c r="W145" s="605"/>
      <c r="X145" s="605"/>
      <c r="Y145" s="605"/>
      <c r="Z145" s="605"/>
      <c r="AA145" s="2"/>
      <c r="AB145" s="2"/>
      <c r="AC145" s="2"/>
      <c r="AD145" s="2"/>
      <c r="AE145" s="2"/>
      <c r="AF145" s="2"/>
      <c r="AG145" s="2"/>
      <c r="AH145" s="2"/>
      <c r="AI145" s="2"/>
      <c r="AJ145" s="2"/>
      <c r="AK145" s="2"/>
      <c r="AL145" s="2"/>
      <c r="AM145" s="2"/>
      <c r="AN145" s="2"/>
      <c r="AO145" s="2"/>
      <c r="AP145" s="2"/>
      <c r="AQ145" s="2"/>
      <c r="AR145" s="2"/>
    </row>
    <row r="146" spans="5:44">
      <c r="S146" s="2"/>
      <c r="T146" s="2"/>
      <c r="U146" s="604"/>
      <c r="V146" s="605"/>
      <c r="W146" s="605"/>
      <c r="X146" s="605"/>
      <c r="Y146" s="605"/>
      <c r="Z146" s="605"/>
      <c r="AA146" s="2"/>
      <c r="AB146" s="2"/>
      <c r="AC146" s="2"/>
      <c r="AD146" s="2"/>
      <c r="AE146" s="2"/>
      <c r="AF146" s="2"/>
      <c r="AG146" s="2"/>
      <c r="AH146" s="2"/>
      <c r="AI146" s="2"/>
      <c r="AJ146" s="2"/>
      <c r="AK146" s="2"/>
      <c r="AL146" s="2"/>
      <c r="AM146" s="2"/>
      <c r="AN146" s="2"/>
      <c r="AO146" s="2"/>
      <c r="AP146" s="2"/>
      <c r="AQ146" s="2"/>
      <c r="AR146" s="2"/>
    </row>
    <row r="147" spans="5:44">
      <c r="S147" s="2"/>
      <c r="T147" s="2"/>
      <c r="U147" s="604"/>
      <c r="V147" s="603"/>
      <c r="W147" s="603"/>
      <c r="X147" s="603"/>
      <c r="Y147" s="603"/>
      <c r="Z147" s="603"/>
      <c r="AA147" s="2"/>
      <c r="AB147" s="2"/>
      <c r="AC147" s="2"/>
      <c r="AD147" s="2"/>
      <c r="AE147" s="2"/>
      <c r="AF147" s="2"/>
      <c r="AG147" s="2"/>
      <c r="AH147" s="2"/>
      <c r="AI147" s="2"/>
      <c r="AJ147" s="2"/>
      <c r="AK147" s="2"/>
      <c r="AL147" s="2"/>
      <c r="AM147" s="2"/>
      <c r="AN147" s="2"/>
      <c r="AO147" s="2"/>
      <c r="AP147" s="2"/>
      <c r="AQ147" s="2"/>
      <c r="AR147" s="2"/>
    </row>
    <row r="148" spans="5:44">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5:44">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5:44">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5:44">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5:44">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5:44">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5:44">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5:44">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5:44">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5:44" s="4" customFormat="1">
      <c r="E157" s="2"/>
      <c r="G157" s="2"/>
      <c r="H157" s="2"/>
      <c r="I157" s="41"/>
      <c r="J157" s="41"/>
      <c r="K157" s="41"/>
      <c r="L157" s="41"/>
      <c r="M157" s="41"/>
      <c r="N157" s="41"/>
      <c r="O157" s="41"/>
      <c r="P157" s="41"/>
      <c r="Q157" s="2"/>
      <c r="R157"/>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5:44">
      <c r="S158" s="2"/>
      <c r="T158" s="2"/>
      <c r="U158" s="2"/>
      <c r="V158" s="2"/>
      <c r="W158" s="2"/>
      <c r="X158" s="2"/>
      <c r="Y158" s="2"/>
      <c r="Z158" s="2"/>
      <c r="AA158" s="2"/>
      <c r="AB158" s="2"/>
      <c r="AC158" s="2"/>
      <c r="AD158" s="4"/>
      <c r="AE158" s="4"/>
      <c r="AF158" s="4"/>
      <c r="AG158" s="4"/>
      <c r="AH158" s="4"/>
      <c r="AI158" s="4"/>
      <c r="AJ158" s="4"/>
      <c r="AK158" s="4"/>
      <c r="AL158" s="4"/>
      <c r="AM158" s="4"/>
      <c r="AN158" s="4"/>
      <c r="AO158" s="4"/>
      <c r="AP158" s="2"/>
      <c r="AQ158" s="2"/>
      <c r="AR158" s="2"/>
    </row>
    <row r="159" spans="5:44">
      <c r="S159" s="2"/>
      <c r="T159" s="2"/>
      <c r="U159" s="4"/>
      <c r="V159" s="4"/>
      <c r="W159" s="4"/>
      <c r="X159" s="4"/>
      <c r="Y159" s="4"/>
      <c r="Z159" s="4"/>
      <c r="AA159" s="4"/>
      <c r="AB159" s="4"/>
      <c r="AC159" s="4"/>
      <c r="AD159" s="2"/>
      <c r="AE159" s="2"/>
      <c r="AF159" s="2"/>
      <c r="AG159" s="2"/>
      <c r="AH159" s="2"/>
      <c r="AI159" s="2"/>
      <c r="AJ159" s="2"/>
      <c r="AK159" s="2"/>
      <c r="AL159" s="2"/>
      <c r="AM159" s="2"/>
      <c r="AN159" s="2"/>
      <c r="AO159" s="2"/>
      <c r="AP159" s="2"/>
      <c r="AQ159" s="2"/>
      <c r="AR159" s="2"/>
    </row>
    <row r="160" spans="5:44">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9:44">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9:44">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9:44">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9:44">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9:44">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9:44">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9:44">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9:44">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9:44">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9:44">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9:44">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9:44">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9:44">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9:44">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9:44">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9:44">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9:44">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9:44">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9:44">
      <c r="T179" s="2"/>
      <c r="U179" s="4"/>
      <c r="V179" s="4"/>
      <c r="W179" s="4"/>
      <c r="X179" s="4"/>
      <c r="Y179" s="4"/>
      <c r="Z179" s="4"/>
      <c r="AA179" s="2"/>
      <c r="AB179" s="2"/>
      <c r="AC179" s="2"/>
      <c r="AD179" s="2"/>
      <c r="AE179" s="2"/>
      <c r="AF179" s="2"/>
      <c r="AG179" s="2"/>
      <c r="AH179" s="2"/>
      <c r="AI179" s="2"/>
      <c r="AJ179" s="2"/>
      <c r="AK179" s="2"/>
      <c r="AL179" s="2"/>
      <c r="AM179" s="2"/>
      <c r="AN179" s="2"/>
      <c r="AO179" s="2"/>
      <c r="AP179" s="2"/>
      <c r="AQ179" s="2"/>
      <c r="AR179" s="2"/>
    </row>
    <row r="180" spans="19:44">
      <c r="S180" s="2"/>
      <c r="T180" s="2"/>
      <c r="U180" s="604"/>
      <c r="V180" s="605"/>
      <c r="W180" s="605"/>
      <c r="X180" s="605"/>
      <c r="Y180" s="605"/>
      <c r="Z180" s="605"/>
      <c r="AA180" s="2"/>
      <c r="AB180" s="2"/>
      <c r="AC180" s="2"/>
      <c r="AD180" s="2"/>
      <c r="AE180" s="2"/>
      <c r="AF180" s="2"/>
      <c r="AG180" s="2"/>
      <c r="AH180" s="2"/>
      <c r="AI180" s="2"/>
      <c r="AJ180" s="2"/>
      <c r="AK180" s="2"/>
      <c r="AL180" s="2"/>
      <c r="AM180" s="2"/>
      <c r="AN180" s="2"/>
      <c r="AO180" s="2"/>
      <c r="AP180" s="2"/>
      <c r="AQ180" s="2"/>
      <c r="AR180" s="2"/>
    </row>
    <row r="181" spans="19:44">
      <c r="S181" s="2"/>
      <c r="T181" s="2"/>
      <c r="U181" s="604"/>
      <c r="V181" s="605"/>
      <c r="W181" s="605"/>
      <c r="X181" s="605"/>
      <c r="Y181" s="605"/>
      <c r="Z181" s="605"/>
      <c r="AA181" s="2"/>
      <c r="AB181" s="2"/>
      <c r="AC181" s="2"/>
      <c r="AD181" s="2"/>
      <c r="AE181" s="2"/>
      <c r="AF181" s="2"/>
      <c r="AG181" s="2"/>
      <c r="AH181" s="2"/>
      <c r="AI181" s="2"/>
      <c r="AJ181" s="2"/>
      <c r="AK181" s="2"/>
      <c r="AL181" s="2"/>
      <c r="AM181" s="2"/>
      <c r="AN181" s="2"/>
      <c r="AO181" s="2"/>
      <c r="AP181" s="2"/>
      <c r="AQ181" s="2"/>
      <c r="AR181" s="2"/>
    </row>
    <row r="182" spans="19:44">
      <c r="S182" s="2"/>
      <c r="T182" s="2"/>
      <c r="U182" s="604"/>
      <c r="V182" s="603"/>
      <c r="W182" s="603"/>
      <c r="X182" s="603"/>
      <c r="Y182" s="603"/>
      <c r="Z182" s="603"/>
      <c r="AA182" s="2"/>
      <c r="AB182" s="2"/>
      <c r="AC182" s="2"/>
      <c r="AD182" s="2"/>
      <c r="AE182" s="2"/>
      <c r="AF182" s="2"/>
      <c r="AG182" s="2"/>
      <c r="AH182" s="2"/>
      <c r="AI182" s="2"/>
      <c r="AJ182" s="2"/>
      <c r="AK182" s="2"/>
      <c r="AL182" s="2"/>
      <c r="AM182" s="2"/>
      <c r="AN182" s="2"/>
      <c r="AO182" s="2"/>
      <c r="AP182" s="2"/>
      <c r="AQ182" s="2"/>
      <c r="AR182" s="2"/>
    </row>
    <row r="183" spans="19:44">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9:44">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9:44">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9:44">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9:44">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9:44">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9:44">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9:44">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9:44">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9:44">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9:44">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9:44">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9:44">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9:44">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9:44">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9:44">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9:44">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9:44">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9:44">
      <c r="S201" s="78"/>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9:44">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9:44">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9:44">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9:44">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9:44">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9:44">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9:44">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5:44">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5:44">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5:44">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5:44">
      <c r="E21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5:44">
      <c r="E213" s="78"/>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5:44">
      <c r="T214" s="2"/>
      <c r="U214" s="4"/>
      <c r="V214" s="4"/>
      <c r="W214" s="4"/>
      <c r="X214" s="4"/>
      <c r="Y214" s="4"/>
      <c r="Z214" s="4"/>
      <c r="AA214" s="2"/>
      <c r="AB214" s="2"/>
      <c r="AC214" s="2"/>
      <c r="AD214" s="2"/>
      <c r="AE214" s="2"/>
      <c r="AF214" s="2"/>
      <c r="AG214" s="2"/>
      <c r="AH214" s="2"/>
      <c r="AI214" s="2"/>
      <c r="AJ214" s="2"/>
      <c r="AK214" s="2"/>
      <c r="AL214" s="2"/>
      <c r="AM214" s="2"/>
      <c r="AN214" s="2"/>
      <c r="AO214" s="2"/>
      <c r="AP214" s="2"/>
      <c r="AQ214" s="2"/>
      <c r="AR214" s="2"/>
    </row>
    <row r="215" spans="5:44">
      <c r="T215" s="2"/>
      <c r="U215" s="604"/>
      <c r="V215" s="605"/>
      <c r="W215" s="605"/>
      <c r="X215" s="605"/>
      <c r="Y215" s="605"/>
      <c r="Z215" s="605"/>
      <c r="AA215" s="2"/>
      <c r="AB215" s="2"/>
      <c r="AC215" s="2"/>
      <c r="AD215" s="2"/>
      <c r="AE215" s="2"/>
      <c r="AF215" s="2"/>
      <c r="AG215" s="2"/>
      <c r="AH215" s="2"/>
      <c r="AI215" s="2"/>
      <c r="AJ215" s="2"/>
      <c r="AK215" s="2"/>
      <c r="AL215" s="2"/>
      <c r="AM215" s="2"/>
      <c r="AN215" s="2"/>
      <c r="AO215" s="2"/>
      <c r="AP215" s="2"/>
      <c r="AQ215" s="2"/>
      <c r="AR215" s="2"/>
    </row>
    <row r="216" spans="5:44">
      <c r="T216" s="2"/>
      <c r="U216" s="604"/>
      <c r="V216" s="605"/>
      <c r="W216" s="605"/>
      <c r="X216" s="605"/>
      <c r="Y216" s="605"/>
      <c r="Z216" s="605"/>
      <c r="AA216" s="2"/>
      <c r="AB216" s="2"/>
      <c r="AC216" s="2"/>
      <c r="AD216" s="2"/>
      <c r="AE216" s="2"/>
      <c r="AF216" s="2"/>
      <c r="AG216" s="2"/>
      <c r="AH216" s="2"/>
      <c r="AI216" s="2"/>
      <c r="AJ216" s="2"/>
      <c r="AK216" s="2"/>
      <c r="AL216" s="2"/>
      <c r="AM216" s="2"/>
      <c r="AN216" s="2"/>
      <c r="AO216" s="2"/>
      <c r="AP216" s="2"/>
      <c r="AQ216" s="2"/>
      <c r="AR216" s="2"/>
    </row>
    <row r="217" spans="5:44">
      <c r="T217" s="2"/>
      <c r="U217" s="604"/>
      <c r="V217" s="603"/>
      <c r="W217" s="603"/>
      <c r="X217" s="603"/>
      <c r="Y217" s="603"/>
      <c r="Z217" s="603"/>
      <c r="AA217" s="2"/>
      <c r="AB217" s="2"/>
      <c r="AC217" s="2"/>
      <c r="AD217" s="2"/>
      <c r="AE217" s="2"/>
      <c r="AF217" s="2"/>
      <c r="AG217" s="2"/>
      <c r="AH217" s="2"/>
      <c r="AI217" s="2"/>
      <c r="AJ217" s="2"/>
      <c r="AK217" s="2"/>
      <c r="AL217" s="2"/>
      <c r="AM217" s="2"/>
      <c r="AN217" s="2"/>
      <c r="AO217" s="2"/>
      <c r="AP217" s="2"/>
      <c r="AQ217" s="2"/>
      <c r="AR217" s="2"/>
    </row>
    <row r="218" spans="5:44">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5:44">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5:44">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5:44">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5:44">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5:44">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5:44">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20:44">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20:44">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20:44">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20:44">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20:44">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20:44">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20:44">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20:44">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20:44">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20:44">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20:44">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20:44">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20:44">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20:44">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20:44">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20:44">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20:44">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20:44">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20:44">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20:44">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20:44">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20:44">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20:44">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20:44">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20:44">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20:44">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20:44">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20:44">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20:44" ht="14.25" customHeight="1">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20:44">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20:44">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20:44">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20:44">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20:44">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20:44">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20:44">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20:44">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20:44">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20:44">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20:44">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20:44">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20:44">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20:44">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20:44">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20:44">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20:44">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20:44">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20:44">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20:44">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20:44">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20:44">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20:44">
      <c r="T276" s="2"/>
      <c r="U276" s="2"/>
      <c r="V276" s="2"/>
      <c r="W276" s="2"/>
      <c r="X276" s="2"/>
      <c r="Y276" s="2"/>
      <c r="Z276" s="2"/>
      <c r="AA276" s="2"/>
      <c r="AB276" s="2"/>
      <c r="AC276" s="2"/>
      <c r="AD276" s="2"/>
      <c r="AE276" s="2"/>
      <c r="AF276" s="2"/>
      <c r="AG276" s="2"/>
      <c r="AH276" s="2"/>
      <c r="AI276" s="2"/>
      <c r="AJ276" s="2"/>
      <c r="AK276" s="2"/>
      <c r="AL276" s="2"/>
      <c r="AM276" s="2"/>
      <c r="AN276" s="2"/>
      <c r="AO276" s="2"/>
    </row>
    <row r="277" spans="20:44">
      <c r="T277" s="2"/>
      <c r="U277" s="2"/>
      <c r="V277" s="2"/>
      <c r="W277" s="2"/>
      <c r="X277" s="2"/>
      <c r="Y277" s="2"/>
      <c r="Z277" s="2"/>
      <c r="AA277" s="2"/>
      <c r="AB277" s="2"/>
      <c r="AC277" s="2"/>
    </row>
    <row r="278" spans="20:44">
      <c r="AP278" s="2"/>
      <c r="AQ278" s="2"/>
      <c r="AR278" s="2"/>
    </row>
    <row r="279" spans="20:44">
      <c r="AD279" s="2"/>
      <c r="AE279" s="2"/>
      <c r="AF279" s="2"/>
      <c r="AG279" s="2"/>
      <c r="AH279" s="2"/>
      <c r="AI279" s="2"/>
      <c r="AJ279" s="2"/>
      <c r="AK279" s="2"/>
      <c r="AL279" s="2"/>
      <c r="AM279" s="2"/>
      <c r="AN279" s="2"/>
      <c r="AO279" s="2"/>
      <c r="AP279" s="2"/>
      <c r="AQ279" s="2"/>
      <c r="AR279" s="2"/>
    </row>
    <row r="280" spans="20:44">
      <c r="T280" s="78"/>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20:44" ht="15" customHeight="1">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20:44" ht="15" customHeight="1">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20:44" ht="15" customHeight="1">
      <c r="U283" s="4"/>
      <c r="V283" s="4"/>
      <c r="W283" s="4"/>
      <c r="X283" s="4"/>
      <c r="Y283" s="4"/>
      <c r="Z283" s="4"/>
      <c r="AA283" s="2"/>
      <c r="AB283" s="2"/>
      <c r="AC283" s="2"/>
      <c r="AD283" s="2"/>
      <c r="AE283" s="2"/>
      <c r="AF283" s="2"/>
      <c r="AG283" s="2"/>
      <c r="AH283" s="2"/>
      <c r="AI283" s="2"/>
      <c r="AJ283" s="2"/>
      <c r="AK283" s="2"/>
      <c r="AL283" s="2"/>
      <c r="AM283" s="2"/>
      <c r="AN283" s="2"/>
      <c r="AO283" s="2"/>
      <c r="AP283" s="2"/>
      <c r="AQ283" s="2"/>
      <c r="AR283" s="2"/>
    </row>
    <row r="284" spans="20:44" ht="15" customHeight="1">
      <c r="U284" s="4"/>
      <c r="V284" s="4"/>
      <c r="W284" s="4"/>
      <c r="X284" s="4"/>
      <c r="Y284" s="4"/>
      <c r="Z284" s="4"/>
      <c r="AA284" s="2"/>
      <c r="AB284" s="2"/>
      <c r="AC284" s="2"/>
      <c r="AD284" s="2"/>
      <c r="AE284" s="2"/>
      <c r="AF284" s="2"/>
      <c r="AG284" s="2"/>
      <c r="AH284" s="2"/>
      <c r="AI284" s="2"/>
      <c r="AJ284" s="2"/>
      <c r="AK284" s="2"/>
      <c r="AL284" s="2"/>
      <c r="AM284" s="2"/>
      <c r="AN284" s="2"/>
      <c r="AO284" s="2"/>
      <c r="AP284" s="2"/>
      <c r="AQ284" s="2"/>
      <c r="AR284" s="2"/>
    </row>
    <row r="285" spans="20:44" ht="15" customHeight="1">
      <c r="U285" s="604"/>
      <c r="V285" s="605"/>
      <c r="W285" s="605"/>
      <c r="X285" s="605"/>
      <c r="Y285" s="605"/>
      <c r="Z285" s="605"/>
      <c r="AA285" s="2"/>
      <c r="AB285" s="2"/>
      <c r="AC285" s="2"/>
      <c r="AD285" s="2"/>
      <c r="AE285" s="2"/>
      <c r="AF285" s="2"/>
      <c r="AG285" s="2"/>
      <c r="AH285" s="2"/>
      <c r="AI285" s="2"/>
      <c r="AJ285" s="2"/>
      <c r="AK285" s="2"/>
      <c r="AL285" s="2"/>
      <c r="AM285" s="2"/>
      <c r="AN285" s="2"/>
      <c r="AO285" s="2"/>
      <c r="AP285" s="2"/>
      <c r="AQ285" s="2"/>
      <c r="AR285" s="2"/>
    </row>
    <row r="286" spans="20:44" ht="15" customHeight="1">
      <c r="U286" s="604"/>
      <c r="V286" s="605"/>
      <c r="W286" s="605"/>
      <c r="X286" s="605"/>
      <c r="Y286" s="605"/>
      <c r="Z286" s="605"/>
      <c r="AA286" s="2"/>
      <c r="AB286" s="2"/>
      <c r="AC286" s="2"/>
      <c r="AD286" s="2"/>
      <c r="AE286" s="2"/>
      <c r="AF286" s="2"/>
      <c r="AG286" s="2"/>
      <c r="AH286" s="2"/>
      <c r="AI286" s="2"/>
      <c r="AJ286" s="2"/>
      <c r="AK286" s="2"/>
      <c r="AL286" s="2"/>
      <c r="AM286" s="2"/>
      <c r="AN286" s="2"/>
      <c r="AO286" s="2"/>
      <c r="AP286" s="2"/>
      <c r="AQ286" s="2"/>
      <c r="AR286" s="2"/>
    </row>
    <row r="287" spans="20:44" ht="15" customHeight="1">
      <c r="U287" s="604"/>
      <c r="V287" s="603"/>
      <c r="W287" s="603"/>
      <c r="X287" s="603"/>
      <c r="Y287" s="603"/>
      <c r="Z287" s="603"/>
      <c r="AA287" s="2"/>
      <c r="AB287" s="2"/>
      <c r="AC287" s="2"/>
      <c r="AD287" s="2"/>
      <c r="AE287" s="2"/>
      <c r="AF287" s="2"/>
      <c r="AG287" s="2"/>
      <c r="AH287" s="2"/>
      <c r="AI287" s="2"/>
      <c r="AJ287" s="2"/>
      <c r="AK287" s="2"/>
      <c r="AL287" s="2"/>
      <c r="AM287" s="2"/>
      <c r="AN287" s="2"/>
      <c r="AO287" s="2"/>
      <c r="AP287" s="2"/>
      <c r="AQ287" s="2"/>
      <c r="AR287" s="2"/>
    </row>
    <row r="288" spans="20:44">
      <c r="U288" s="604"/>
      <c r="V288" s="605"/>
      <c r="W288" s="605"/>
      <c r="X288" s="605"/>
      <c r="Y288" s="605"/>
      <c r="Z288" s="605"/>
      <c r="AA288" s="2"/>
      <c r="AB288" s="2"/>
      <c r="AC288" s="2"/>
      <c r="AD288" s="2"/>
      <c r="AE288" s="2"/>
      <c r="AF288" s="2"/>
      <c r="AG288" s="2"/>
      <c r="AH288" s="2"/>
      <c r="AI288" s="2"/>
      <c r="AJ288" s="2"/>
      <c r="AK288" s="2"/>
      <c r="AL288" s="2"/>
      <c r="AM288" s="2"/>
      <c r="AN288" s="2"/>
      <c r="AO288" s="2"/>
      <c r="AP288" s="2"/>
      <c r="AQ288" s="2"/>
      <c r="AR288" s="2"/>
    </row>
    <row r="289" spans="21:44">
      <c r="U289" s="604"/>
      <c r="V289" s="605"/>
      <c r="W289" s="605"/>
      <c r="X289" s="605"/>
      <c r="Y289" s="605"/>
      <c r="Z289" s="605"/>
      <c r="AA289" s="2"/>
      <c r="AB289" s="2"/>
      <c r="AC289" s="2"/>
      <c r="AD289" s="2"/>
      <c r="AE289" s="2"/>
      <c r="AF289" s="2"/>
      <c r="AG289" s="2"/>
      <c r="AH289" s="2"/>
      <c r="AI289" s="2"/>
      <c r="AJ289" s="2"/>
      <c r="AK289" s="2"/>
      <c r="AL289" s="2"/>
      <c r="AM289" s="2"/>
      <c r="AN289" s="2"/>
      <c r="AO289" s="2"/>
      <c r="AP289" s="2"/>
      <c r="AQ289" s="2"/>
      <c r="AR289" s="2"/>
    </row>
    <row r="290" spans="21:44">
      <c r="U290" s="604"/>
      <c r="V290" s="603"/>
      <c r="W290" s="603"/>
      <c r="X290" s="603"/>
      <c r="Y290" s="603"/>
      <c r="Z290" s="603"/>
      <c r="AA290" s="2"/>
      <c r="AB290" s="2"/>
      <c r="AC290" s="2"/>
      <c r="AD290" s="2"/>
      <c r="AE290" s="2"/>
      <c r="AF290" s="2"/>
      <c r="AG290" s="2"/>
      <c r="AH290" s="2"/>
      <c r="AI290" s="2"/>
      <c r="AJ290" s="2"/>
      <c r="AK290" s="2"/>
      <c r="AL290" s="2"/>
      <c r="AM290" s="2"/>
      <c r="AN290" s="2"/>
      <c r="AO290" s="2"/>
      <c r="AP290" s="2"/>
      <c r="AQ290" s="2"/>
      <c r="AR290" s="2"/>
    </row>
    <row r="291" spans="21:44">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21:44">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21:44">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21:44">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21:44">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21:44">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21:44">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21:44">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21:44">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21:44">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21:44">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21:44">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21:44">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21:44">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2:44">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2:44">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2:44">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2:44">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2:44">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2:44">
      <c r="U310" s="2"/>
      <c r="V310" s="2"/>
      <c r="W310" s="2"/>
      <c r="X310" s="2"/>
      <c r="Y310" s="2"/>
      <c r="Z310" s="2"/>
      <c r="AA310" s="2"/>
      <c r="AB310" s="2"/>
      <c r="AC310" s="2"/>
      <c r="AD310" s="2"/>
      <c r="AE310" s="2"/>
      <c r="AF310" s="2"/>
      <c r="AG310" s="2"/>
      <c r="AH310" s="2"/>
      <c r="AI310" s="2"/>
      <c r="AJ310" s="2"/>
      <c r="AK310" s="2"/>
      <c r="AL310" s="2"/>
      <c r="AM310" s="2"/>
      <c r="AN310" s="2"/>
      <c r="AO310" s="2"/>
    </row>
    <row r="311" spans="2:44" customFormat="1">
      <c r="B311" s="1"/>
      <c r="C311" s="1"/>
      <c r="D311" s="1"/>
      <c r="E311" s="2"/>
      <c r="F311" s="4"/>
      <c r="G311" s="2"/>
      <c r="H311" s="2"/>
      <c r="I311" s="41"/>
      <c r="J311" s="41"/>
      <c r="K311" s="41"/>
      <c r="L311" s="41"/>
      <c r="M311" s="41"/>
      <c r="N311" s="41"/>
      <c r="O311" s="41"/>
      <c r="P311" s="41"/>
      <c r="Q311" s="2"/>
      <c r="U311" s="2"/>
      <c r="V311" s="2"/>
      <c r="W311" s="2"/>
      <c r="X311" s="2"/>
      <c r="Y311" s="2"/>
      <c r="Z311" s="2"/>
      <c r="AA311" s="2"/>
      <c r="AB311" s="2"/>
      <c r="AC311" s="2"/>
    </row>
    <row r="312" spans="2:44" s="78" customFormat="1">
      <c r="E312" s="2"/>
      <c r="F312" s="4"/>
      <c r="G312" s="2"/>
      <c r="H312" s="2"/>
      <c r="I312" s="41"/>
      <c r="J312" s="41"/>
      <c r="K312" s="41"/>
      <c r="L312" s="41"/>
      <c r="M312" s="41"/>
      <c r="N312" s="41"/>
      <c r="O312" s="41"/>
      <c r="P312" s="41"/>
      <c r="Q312" s="2"/>
      <c r="R312"/>
      <c r="S312"/>
      <c r="T312"/>
      <c r="U312"/>
      <c r="V312"/>
      <c r="W312"/>
      <c r="X312"/>
      <c r="Y312"/>
      <c r="Z312"/>
      <c r="AA312"/>
      <c r="AB312"/>
      <c r="AC312"/>
      <c r="AD312"/>
      <c r="AE312"/>
      <c r="AF312"/>
      <c r="AG312"/>
      <c r="AH312"/>
      <c r="AI312"/>
      <c r="AJ312"/>
      <c r="AK312"/>
      <c r="AL312"/>
      <c r="AM312"/>
      <c r="AN312"/>
      <c r="AO312"/>
    </row>
    <row r="313" spans="2:44">
      <c r="AD313" s="78"/>
      <c r="AE313" s="78"/>
      <c r="AF313" s="78"/>
      <c r="AG313" s="78"/>
      <c r="AH313" s="78"/>
      <c r="AI313" s="78"/>
      <c r="AJ313" s="78"/>
      <c r="AK313" s="78"/>
      <c r="AL313" s="78"/>
      <c r="AM313" s="78"/>
      <c r="AN313" s="78"/>
      <c r="AO313" s="78"/>
    </row>
    <row r="314" spans="2:44" ht="15" customHeight="1">
      <c r="U314" s="78"/>
      <c r="V314" s="78"/>
      <c r="W314" s="78"/>
      <c r="X314" s="78"/>
      <c r="Y314" s="78"/>
      <c r="Z314" s="78"/>
      <c r="AA314" s="78"/>
      <c r="AB314" s="78"/>
      <c r="AC314" s="78"/>
    </row>
  </sheetData>
  <mergeCells count="10">
    <mergeCell ref="H94:P94"/>
    <mergeCell ref="H102:P102"/>
    <mergeCell ref="H110:P110"/>
    <mergeCell ref="H118:P118"/>
    <mergeCell ref="H39:P39"/>
    <mergeCell ref="H54:P54"/>
    <mergeCell ref="H62:P62"/>
    <mergeCell ref="H70:P70"/>
    <mergeCell ref="H78:P78"/>
    <mergeCell ref="H86:P8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C00000"/>
  </sheetPr>
  <dimension ref="A2:AA4678"/>
  <sheetViews>
    <sheetView zoomScale="110" zoomScaleNormal="110" workbookViewId="0">
      <pane ySplit="3" topLeftCell="A4" activePane="bottomLeft" state="frozen"/>
      <selection activeCell="B1" sqref="B1"/>
      <selection pane="bottomLeft" activeCell="M15" sqref="M15"/>
    </sheetView>
  </sheetViews>
  <sheetFormatPr defaultColWidth="9.109375" defaultRowHeight="14.4"/>
  <cols>
    <col min="2" max="3" width="22.109375" customWidth="1"/>
    <col min="4" max="4" width="13.109375" customWidth="1"/>
    <col min="5" max="5" width="12.88671875" style="76" customWidth="1"/>
    <col min="6" max="6" width="11.33203125" style="76" bestFit="1" customWidth="1"/>
    <col min="7" max="7" width="12.109375" style="76" bestFit="1" customWidth="1"/>
    <col min="8" max="8" width="12.109375" style="533" bestFit="1" customWidth="1"/>
    <col min="9" max="9" width="13.88671875" style="533" bestFit="1" customWidth="1"/>
    <col min="10" max="10" width="12.109375" style="533" bestFit="1" customWidth="1"/>
    <col min="11" max="11" width="13.44140625" style="76" customWidth="1"/>
    <col min="12" max="12" width="19.109375" style="76" customWidth="1"/>
    <col min="13" max="13" width="16.5546875" style="76" customWidth="1"/>
    <col min="14" max="14" width="15.109375" style="76" bestFit="1" customWidth="1"/>
    <col min="15" max="15" width="11.88671875" bestFit="1" customWidth="1"/>
    <col min="16" max="16" width="12.5546875" style="490" customWidth="1"/>
    <col min="17" max="17" width="12.5546875" customWidth="1"/>
    <col min="18" max="18" width="23.109375" customWidth="1"/>
    <col min="19" max="22" width="11.5546875" customWidth="1"/>
    <col min="23" max="23" width="11.5546875" bestFit="1" customWidth="1"/>
  </cols>
  <sheetData>
    <row r="2" spans="1:23">
      <c r="A2">
        <v>1</v>
      </c>
      <c r="B2">
        <f>A2+1</f>
        <v>2</v>
      </c>
      <c r="C2">
        <f>B2+1</f>
        <v>3</v>
      </c>
      <c r="D2">
        <f t="shared" ref="D2:N2" si="0">C2+1</f>
        <v>4</v>
      </c>
      <c r="E2">
        <f t="shared" si="0"/>
        <v>5</v>
      </c>
      <c r="F2" s="76">
        <f t="shared" si="0"/>
        <v>6</v>
      </c>
      <c r="G2" s="76">
        <f t="shared" si="0"/>
        <v>7</v>
      </c>
      <c r="H2" s="76">
        <f t="shared" si="0"/>
        <v>8</v>
      </c>
      <c r="I2" s="76">
        <f t="shared" si="0"/>
        <v>9</v>
      </c>
      <c r="J2" s="76">
        <f t="shared" si="0"/>
        <v>10</v>
      </c>
      <c r="K2" s="76">
        <f t="shared" si="0"/>
        <v>11</v>
      </c>
      <c r="L2" s="76">
        <f>K2+1</f>
        <v>12</v>
      </c>
      <c r="M2" s="76">
        <f t="shared" si="0"/>
        <v>13</v>
      </c>
      <c r="N2" s="76">
        <f t="shared" si="0"/>
        <v>14</v>
      </c>
    </row>
    <row r="3" spans="1:23" s="124" customFormat="1" ht="45" customHeight="1">
      <c r="A3" s="606" t="s">
        <v>792</v>
      </c>
      <c r="B3" s="606" t="s">
        <v>3136</v>
      </c>
      <c r="C3" s="606" t="s">
        <v>1105</v>
      </c>
      <c r="D3" s="607" t="s">
        <v>3448</v>
      </c>
      <c r="E3" s="607" t="s">
        <v>3328</v>
      </c>
      <c r="F3" s="607" t="s">
        <v>3329</v>
      </c>
      <c r="G3" s="607" t="s">
        <v>3381</v>
      </c>
      <c r="H3" s="607" t="s">
        <v>3419</v>
      </c>
      <c r="I3" s="607" t="s">
        <v>3420</v>
      </c>
      <c r="J3" s="607" t="s">
        <v>3427</v>
      </c>
      <c r="K3" s="607" t="s">
        <v>3428</v>
      </c>
      <c r="L3" s="607" t="s">
        <v>3429</v>
      </c>
      <c r="M3" s="607" t="s">
        <v>3430</v>
      </c>
      <c r="N3" s="564" t="s">
        <v>3515</v>
      </c>
      <c r="O3" s="78"/>
      <c r="P3" s="545"/>
    </row>
    <row r="4" spans="1:23" s="553" customFormat="1" ht="20.399999999999999" customHeight="1">
      <c r="A4" s="608" t="s">
        <v>791</v>
      </c>
      <c r="B4" s="608" t="s">
        <v>2177</v>
      </c>
      <c r="C4" s="608" t="s">
        <v>392</v>
      </c>
      <c r="D4" s="609">
        <v>-19709904.359999999</v>
      </c>
      <c r="E4" s="609">
        <v>-20259418.16</v>
      </c>
      <c r="F4" s="609">
        <v>-20203573.920000002</v>
      </c>
      <c r="G4" s="609">
        <v>-19992159.91</v>
      </c>
      <c r="H4" s="609">
        <v>-19929589</v>
      </c>
      <c r="I4" s="609">
        <v>-19760182.390000001</v>
      </c>
      <c r="J4" s="609">
        <v>-19929589</v>
      </c>
      <c r="K4" s="609">
        <v>-20128009</v>
      </c>
      <c r="L4" s="609">
        <v>0</v>
      </c>
      <c r="M4" s="609">
        <v>0</v>
      </c>
      <c r="N4" s="591">
        <f t="shared" ref="N4:N67" si="1">SUM(K4:M4)</f>
        <v>-20128009</v>
      </c>
      <c r="O4" s="380"/>
      <c r="P4" s="551"/>
      <c r="Q4" s="380" t="str">
        <f t="shared" ref="Q4:Q67" si="2">MID(B4,12,5)</f>
        <v>40010</v>
      </c>
      <c r="R4" s="552" t="str">
        <f t="shared" ref="R4:R67" si="3">C4</f>
        <v>CURRENT TAXES</v>
      </c>
      <c r="S4" s="550" t="str">
        <f t="shared" ref="S4:S67" si="4">LEFT(B4,3)</f>
        <v>100</v>
      </c>
      <c r="T4" s="550" t="str">
        <f t="shared" ref="T4:T67" si="5">MID(B4,5,2)</f>
        <v>00</v>
      </c>
      <c r="U4" s="550" t="str">
        <f t="shared" ref="U4:U67" si="6">MID(B4,8,3)</f>
        <v>000</v>
      </c>
      <c r="V4" s="550" t="str">
        <f>VLOOKUP(Q4,'GL Category'!A:C,3,FALSE)</f>
        <v>PROPERTY TAX</v>
      </c>
      <c r="W4" s="550"/>
    </row>
    <row r="5" spans="1:23" s="83" customFormat="1" ht="14.4" customHeight="1">
      <c r="A5" s="608" t="s">
        <v>791</v>
      </c>
      <c r="B5" s="608" t="s">
        <v>2178</v>
      </c>
      <c r="C5" s="608" t="s">
        <v>393</v>
      </c>
      <c r="D5" s="609">
        <v>-32057</v>
      </c>
      <c r="E5" s="609">
        <v>-64226.92</v>
      </c>
      <c r="F5" s="609">
        <v>-25693.48</v>
      </c>
      <c r="G5" s="609">
        <v>-455.27</v>
      </c>
      <c r="H5" s="609">
        <v>-51354</v>
      </c>
      <c r="I5" s="609">
        <v>103598.04</v>
      </c>
      <c r="J5" s="609">
        <v>-51354</v>
      </c>
      <c r="K5" s="609">
        <v>-23779</v>
      </c>
      <c r="L5" s="609">
        <v>0</v>
      </c>
      <c r="M5" s="609">
        <v>0</v>
      </c>
      <c r="N5" s="587">
        <f t="shared" si="1"/>
        <v>-23779</v>
      </c>
      <c r="O5"/>
      <c r="P5" s="490"/>
      <c r="Q5" t="str">
        <f t="shared" si="2"/>
        <v>40020</v>
      </c>
      <c r="R5" s="126" t="str">
        <f t="shared" si="3"/>
        <v>DELINQUENT TAXES</v>
      </c>
      <c r="S5" s="125" t="str">
        <f t="shared" si="4"/>
        <v>100</v>
      </c>
      <c r="T5" s="125" t="str">
        <f t="shared" si="5"/>
        <v>00</v>
      </c>
      <c r="U5" s="125" t="str">
        <f t="shared" si="6"/>
        <v>000</v>
      </c>
      <c r="V5" s="125" t="str">
        <f>VLOOKUP(Q5,'GL Category'!A:C,3,FALSE)</f>
        <v>PROPERTY TAX</v>
      </c>
      <c r="W5" s="125"/>
    </row>
    <row r="6" spans="1:23" s="83" customFormat="1" ht="20.399999999999999" customHeight="1">
      <c r="A6" s="608" t="s">
        <v>791</v>
      </c>
      <c r="B6" s="608" t="s">
        <v>2179</v>
      </c>
      <c r="C6" s="608" t="s">
        <v>452</v>
      </c>
      <c r="D6" s="609">
        <v>0</v>
      </c>
      <c r="E6" s="609">
        <v>0</v>
      </c>
      <c r="F6" s="609">
        <v>0</v>
      </c>
      <c r="G6" s="609">
        <v>0</v>
      </c>
      <c r="H6" s="609">
        <v>0</v>
      </c>
      <c r="I6" s="609">
        <v>0</v>
      </c>
      <c r="J6" s="609">
        <v>0</v>
      </c>
      <c r="K6" s="609">
        <v>0</v>
      </c>
      <c r="L6" s="609">
        <v>0</v>
      </c>
      <c r="M6" s="609">
        <v>0</v>
      </c>
      <c r="N6" s="587">
        <f t="shared" si="1"/>
        <v>0</v>
      </c>
      <c r="O6"/>
      <c r="P6" s="490"/>
      <c r="Q6" t="str">
        <f t="shared" si="2"/>
        <v>40025</v>
      </c>
      <c r="R6" s="126" t="str">
        <f t="shared" si="3"/>
        <v>ACCRUED PROPERTY TAX REVENUE</v>
      </c>
      <c r="S6" s="125" t="str">
        <f t="shared" si="4"/>
        <v>100</v>
      </c>
      <c r="T6" s="125" t="str">
        <f t="shared" si="5"/>
        <v>00</v>
      </c>
      <c r="U6" s="125" t="str">
        <f t="shared" si="6"/>
        <v>000</v>
      </c>
      <c r="V6" s="125" t="str">
        <f>VLOOKUP(Q6,'GL Category'!A:C,3,FALSE)</f>
        <v>PROPERTY TAX</v>
      </c>
      <c r="W6" s="125"/>
    </row>
    <row r="7" spans="1:23" s="83" customFormat="1" ht="20.399999999999999" customHeight="1">
      <c r="A7" s="608" t="s">
        <v>791</v>
      </c>
      <c r="B7" s="608" t="s">
        <v>2180</v>
      </c>
      <c r="C7" s="608" t="s">
        <v>394</v>
      </c>
      <c r="D7" s="609">
        <v>-69052.97</v>
      </c>
      <c r="E7" s="609">
        <v>-64359.01</v>
      </c>
      <c r="F7" s="609">
        <v>-69705.62</v>
      </c>
      <c r="G7" s="609">
        <v>-69700.08</v>
      </c>
      <c r="H7" s="609">
        <v>-53998</v>
      </c>
      <c r="I7" s="609">
        <v>-63989.45</v>
      </c>
      <c r="J7" s="609">
        <v>-102296</v>
      </c>
      <c r="K7" s="609">
        <v>-53955</v>
      </c>
      <c r="L7" s="609">
        <v>0</v>
      </c>
      <c r="M7" s="609">
        <v>0</v>
      </c>
      <c r="N7" s="587">
        <f t="shared" si="1"/>
        <v>-53955</v>
      </c>
      <c r="O7"/>
      <c r="P7" s="490"/>
      <c r="Q7" t="str">
        <f t="shared" si="2"/>
        <v>40030</v>
      </c>
      <c r="R7" s="126" t="str">
        <f t="shared" si="3"/>
        <v>PENALTY &amp; INTEREST-TAXES</v>
      </c>
      <c r="S7" s="125" t="str">
        <f t="shared" si="4"/>
        <v>100</v>
      </c>
      <c r="T7" s="125" t="str">
        <f t="shared" si="5"/>
        <v>00</v>
      </c>
      <c r="U7" s="125" t="str">
        <f t="shared" si="6"/>
        <v>000</v>
      </c>
      <c r="V7" s="125" t="str">
        <f>VLOOKUP(Q7,'GL Category'!A:C,3,FALSE)</f>
        <v>PROPERTY TAX</v>
      </c>
      <c r="W7" s="125"/>
    </row>
    <row r="8" spans="1:23" s="83" customFormat="1" ht="14.4" customHeight="1">
      <c r="A8" s="608" t="s">
        <v>791</v>
      </c>
      <c r="B8" s="608" t="s">
        <v>3275</v>
      </c>
      <c r="C8" s="608" t="s">
        <v>849</v>
      </c>
      <c r="D8" s="609">
        <v>0</v>
      </c>
      <c r="E8" s="609">
        <v>0</v>
      </c>
      <c r="F8" s="609">
        <v>0</v>
      </c>
      <c r="G8" s="609">
        <v>0</v>
      </c>
      <c r="H8" s="609">
        <v>0</v>
      </c>
      <c r="I8" s="609">
        <v>0</v>
      </c>
      <c r="J8" s="609">
        <v>0</v>
      </c>
      <c r="K8" s="609">
        <v>0</v>
      </c>
      <c r="L8" s="609">
        <v>0</v>
      </c>
      <c r="M8" s="609">
        <v>0</v>
      </c>
      <c r="N8" s="587">
        <f t="shared" si="1"/>
        <v>0</v>
      </c>
      <c r="O8"/>
      <c r="P8" s="490"/>
      <c r="Q8" t="str">
        <f t="shared" si="2"/>
        <v>40160</v>
      </c>
      <c r="R8" s="126" t="str">
        <f t="shared" si="3"/>
        <v>TAX CERTIFICATES</v>
      </c>
      <c r="S8" s="125" t="str">
        <f t="shared" si="4"/>
        <v>100</v>
      </c>
      <c r="T8" s="125" t="str">
        <f t="shared" si="5"/>
        <v>00</v>
      </c>
      <c r="U8" s="125" t="str">
        <f t="shared" si="6"/>
        <v>000</v>
      </c>
      <c r="V8" s="125" t="str">
        <f>VLOOKUP(Q8,'GL Category'!A:C,3,FALSE)</f>
        <v>OTHER REVENUE</v>
      </c>
      <c r="W8" s="125"/>
    </row>
    <row r="9" spans="1:23" s="83" customFormat="1" ht="14.4" customHeight="1">
      <c r="A9" s="608" t="s">
        <v>791</v>
      </c>
      <c r="B9" s="608" t="s">
        <v>2181</v>
      </c>
      <c r="C9" s="608" t="s">
        <v>395</v>
      </c>
      <c r="D9" s="609">
        <v>-7234230.9800000004</v>
      </c>
      <c r="E9" s="609">
        <v>-8072193.6200000001</v>
      </c>
      <c r="F9" s="609">
        <v>-9110290.4900000002</v>
      </c>
      <c r="G9" s="609">
        <v>-9435668.0700000003</v>
      </c>
      <c r="H9" s="609">
        <v>-9381656</v>
      </c>
      <c r="I9" s="609">
        <v>-7828731.4800000004</v>
      </c>
      <c r="J9" s="609">
        <v>-9381656</v>
      </c>
      <c r="K9" s="609">
        <v>-9381656</v>
      </c>
      <c r="L9" s="609">
        <v>0</v>
      </c>
      <c r="M9" s="609">
        <v>0</v>
      </c>
      <c r="N9" s="587">
        <f t="shared" si="1"/>
        <v>-9381656</v>
      </c>
      <c r="O9"/>
      <c r="P9" s="490"/>
      <c r="Q9" t="str">
        <f t="shared" si="2"/>
        <v>40200</v>
      </c>
      <c r="R9" s="126" t="str">
        <f t="shared" si="3"/>
        <v>CITY SALES TAXES</v>
      </c>
      <c r="S9" s="125" t="str">
        <f t="shared" si="4"/>
        <v>100</v>
      </c>
      <c r="T9" s="125" t="str">
        <f t="shared" si="5"/>
        <v>00</v>
      </c>
      <c r="U9" s="125" t="str">
        <f t="shared" si="6"/>
        <v>000</v>
      </c>
      <c r="V9" s="125" t="str">
        <f>VLOOKUP(Q9,'GL Category'!A:C,3,FALSE)</f>
        <v>SALES TAX</v>
      </c>
      <c r="W9" s="125"/>
    </row>
    <row r="10" spans="1:23" s="83" customFormat="1" ht="14.4" customHeight="1">
      <c r="A10" s="608" t="s">
        <v>791</v>
      </c>
      <c r="B10" s="608" t="s">
        <v>2182</v>
      </c>
      <c r="C10" s="608" t="s">
        <v>3137</v>
      </c>
      <c r="D10" s="609">
        <v>-541679.79</v>
      </c>
      <c r="E10" s="609">
        <v>-517869.27</v>
      </c>
      <c r="F10" s="609">
        <v>-575666.06000000006</v>
      </c>
      <c r="G10" s="609">
        <v>-560561.52</v>
      </c>
      <c r="H10" s="609">
        <v>-530239</v>
      </c>
      <c r="I10" s="609">
        <v>-251069.59</v>
      </c>
      <c r="J10" s="609">
        <v>-525886</v>
      </c>
      <c r="K10" s="609">
        <v>-541662</v>
      </c>
      <c r="L10" s="609">
        <v>0</v>
      </c>
      <c r="M10" s="609">
        <v>0</v>
      </c>
      <c r="N10" s="587">
        <f t="shared" si="1"/>
        <v>-541662</v>
      </c>
      <c r="O10"/>
      <c r="P10" s="490"/>
      <c r="Q10" t="str">
        <f t="shared" si="2"/>
        <v>40300</v>
      </c>
      <c r="R10" s="126" t="str">
        <f t="shared" si="3"/>
        <v>FRANCHISE FEES-TXU ELECTRIC</v>
      </c>
      <c r="S10" s="125" t="str">
        <f t="shared" si="4"/>
        <v>100</v>
      </c>
      <c r="T10" s="125" t="str">
        <f t="shared" si="5"/>
        <v>00</v>
      </c>
      <c r="U10" s="125" t="str">
        <f t="shared" si="6"/>
        <v>000</v>
      </c>
      <c r="V10" s="125" t="str">
        <f>VLOOKUP(Q10,'GL Category'!A:C,3,FALSE)</f>
        <v>OTHER TAXES</v>
      </c>
      <c r="W10" s="125"/>
    </row>
    <row r="11" spans="1:23" s="83" customFormat="1" ht="14.4" customHeight="1">
      <c r="A11" s="608" t="s">
        <v>791</v>
      </c>
      <c r="B11" s="608" t="s">
        <v>2183</v>
      </c>
      <c r="C11" s="608" t="s">
        <v>469</v>
      </c>
      <c r="D11" s="609">
        <v>-779966.15</v>
      </c>
      <c r="E11" s="609">
        <v>-763210.28</v>
      </c>
      <c r="F11" s="609">
        <v>-1116921.44</v>
      </c>
      <c r="G11" s="609">
        <v>-1283211.1100000001</v>
      </c>
      <c r="H11" s="609">
        <v>-928910</v>
      </c>
      <c r="I11" s="609">
        <v>-569750.56999999995</v>
      </c>
      <c r="J11" s="609">
        <v>-1351443</v>
      </c>
      <c r="K11" s="609">
        <v>-1008578</v>
      </c>
      <c r="L11" s="609">
        <v>0</v>
      </c>
      <c r="M11" s="609">
        <v>0</v>
      </c>
      <c r="N11" s="587">
        <f t="shared" si="1"/>
        <v>-1008578</v>
      </c>
      <c r="O11"/>
      <c r="P11" s="490"/>
      <c r="Q11" t="str">
        <f t="shared" si="2"/>
        <v>40310</v>
      </c>
      <c r="R11" s="126" t="str">
        <f t="shared" si="3"/>
        <v>FRANCHISE FEES-TRI COUNTY</v>
      </c>
      <c r="S11" s="125" t="str">
        <f t="shared" si="4"/>
        <v>100</v>
      </c>
      <c r="T11" s="125" t="str">
        <f t="shared" si="5"/>
        <v>00</v>
      </c>
      <c r="U11" s="125" t="str">
        <f t="shared" si="6"/>
        <v>000</v>
      </c>
      <c r="V11" s="125" t="str">
        <f>VLOOKUP(Q11,'GL Category'!A:C,3,FALSE)</f>
        <v>OTHER TAXES</v>
      </c>
      <c r="W11" s="125"/>
    </row>
    <row r="12" spans="1:23" s="83" customFormat="1" ht="20.399999999999999" customHeight="1">
      <c r="A12" s="608" t="s">
        <v>791</v>
      </c>
      <c r="B12" s="608" t="s">
        <v>2184</v>
      </c>
      <c r="C12" s="608" t="s">
        <v>447</v>
      </c>
      <c r="D12" s="609">
        <v>-316158.03000000003</v>
      </c>
      <c r="E12" s="609">
        <v>-251394.97</v>
      </c>
      <c r="F12" s="609">
        <v>-214467.33</v>
      </c>
      <c r="G12" s="609">
        <v>-181137.73</v>
      </c>
      <c r="H12" s="609">
        <v>-183891</v>
      </c>
      <c r="I12" s="609">
        <v>-74800.05</v>
      </c>
      <c r="J12" s="609">
        <v>-157416</v>
      </c>
      <c r="K12" s="609">
        <v>-157416</v>
      </c>
      <c r="L12" s="609">
        <v>0</v>
      </c>
      <c r="M12" s="609">
        <v>0</v>
      </c>
      <c r="N12" s="587">
        <f t="shared" si="1"/>
        <v>-157416</v>
      </c>
      <c r="O12"/>
      <c r="P12" s="490"/>
      <c r="Q12" t="str">
        <f t="shared" si="2"/>
        <v>40320</v>
      </c>
      <c r="R12" s="126" t="str">
        <f t="shared" si="3"/>
        <v>FRANCHISE FEES-VERIZON</v>
      </c>
      <c r="S12" s="125" t="str">
        <f t="shared" si="4"/>
        <v>100</v>
      </c>
      <c r="T12" s="125" t="str">
        <f t="shared" si="5"/>
        <v>00</v>
      </c>
      <c r="U12" s="125" t="str">
        <f t="shared" si="6"/>
        <v>000</v>
      </c>
      <c r="V12" s="125" t="str">
        <f>VLOOKUP(Q12,'GL Category'!A:C,3,FALSE)</f>
        <v>OTHER TAXES</v>
      </c>
      <c r="W12" s="125"/>
    </row>
    <row r="13" spans="1:23" s="83" customFormat="1" ht="20.399999999999999" customHeight="1">
      <c r="A13" s="608" t="s">
        <v>791</v>
      </c>
      <c r="B13" s="608" t="s">
        <v>2185</v>
      </c>
      <c r="C13" s="608" t="s">
        <v>470</v>
      </c>
      <c r="D13" s="609">
        <v>-529458.57999999996</v>
      </c>
      <c r="E13" s="609">
        <v>-532458.64</v>
      </c>
      <c r="F13" s="609">
        <v>-713225.69</v>
      </c>
      <c r="G13" s="609">
        <v>-873665.3</v>
      </c>
      <c r="H13" s="609">
        <v>-873665</v>
      </c>
      <c r="I13" s="609">
        <v>-809176.69</v>
      </c>
      <c r="J13" s="609">
        <v>-809177</v>
      </c>
      <c r="K13" s="609">
        <v>-825426</v>
      </c>
      <c r="L13" s="609">
        <v>0</v>
      </c>
      <c r="M13" s="609">
        <v>0</v>
      </c>
      <c r="N13" s="587">
        <f t="shared" si="1"/>
        <v>-825426</v>
      </c>
      <c r="O13"/>
      <c r="P13" s="490"/>
      <c r="Q13" t="str">
        <f t="shared" si="2"/>
        <v>40330</v>
      </c>
      <c r="R13" s="126" t="str">
        <f t="shared" si="3"/>
        <v>FRANCHISE FEES-ATMOS GAS</v>
      </c>
      <c r="S13" s="125" t="str">
        <f t="shared" si="4"/>
        <v>100</v>
      </c>
      <c r="T13" s="125" t="str">
        <f t="shared" si="5"/>
        <v>00</v>
      </c>
      <c r="U13" s="125" t="str">
        <f t="shared" si="6"/>
        <v>000</v>
      </c>
      <c r="V13" s="125" t="str">
        <f>VLOOKUP(Q13,'GL Category'!A:C,3,FALSE)</f>
        <v>OTHER TAXES</v>
      </c>
      <c r="W13" s="125"/>
    </row>
    <row r="14" spans="1:23" s="83" customFormat="1" ht="20.399999999999999" customHeight="1">
      <c r="A14" s="608" t="s">
        <v>791</v>
      </c>
      <c r="B14" s="608" t="s">
        <v>2186</v>
      </c>
      <c r="C14" s="608" t="s">
        <v>3382</v>
      </c>
      <c r="D14" s="609">
        <v>-198763.39</v>
      </c>
      <c r="E14" s="609">
        <v>-202783.16</v>
      </c>
      <c r="F14" s="609">
        <v>-205400.15</v>
      </c>
      <c r="G14" s="609">
        <v>-188338.95</v>
      </c>
      <c r="H14" s="609">
        <v>-182065</v>
      </c>
      <c r="I14" s="609">
        <v>-82146.73</v>
      </c>
      <c r="J14" s="609">
        <v>-163280</v>
      </c>
      <c r="K14" s="609">
        <v>-167663</v>
      </c>
      <c r="L14" s="609">
        <v>0</v>
      </c>
      <c r="M14" s="609">
        <v>0</v>
      </c>
      <c r="N14" s="587">
        <f t="shared" si="1"/>
        <v>-167663</v>
      </c>
      <c r="O14"/>
      <c r="P14" s="490"/>
      <c r="Q14" t="str">
        <f t="shared" si="2"/>
        <v>40340</v>
      </c>
      <c r="R14" s="126" t="str">
        <f t="shared" si="3"/>
        <v>FRANCHISE FEES-CHARTER/SPECTRUM</v>
      </c>
      <c r="S14" s="125" t="str">
        <f t="shared" si="4"/>
        <v>100</v>
      </c>
      <c r="T14" s="125" t="str">
        <f t="shared" si="5"/>
        <v>00</v>
      </c>
      <c r="U14" s="125" t="str">
        <f t="shared" si="6"/>
        <v>000</v>
      </c>
      <c r="V14" s="125" t="str">
        <f>VLOOKUP(Q14,'GL Category'!A:C,3,FALSE)</f>
        <v>OTHER TAXES</v>
      </c>
      <c r="W14" s="125"/>
    </row>
    <row r="15" spans="1:23" s="83" customFormat="1" ht="20.399999999999999" customHeight="1">
      <c r="A15" s="608" t="s">
        <v>791</v>
      </c>
      <c r="B15" s="608" t="s">
        <v>2187</v>
      </c>
      <c r="C15" s="608" t="s">
        <v>449</v>
      </c>
      <c r="D15" s="609">
        <v>-31267.42</v>
      </c>
      <c r="E15" s="609">
        <v>-10398.83</v>
      </c>
      <c r="F15" s="609">
        <v>-8736.69</v>
      </c>
      <c r="G15" s="609">
        <v>-7719.42</v>
      </c>
      <c r="H15" s="609">
        <v>0</v>
      </c>
      <c r="I15" s="609">
        <v>-3639.62</v>
      </c>
      <c r="J15" s="609">
        <v>-6920</v>
      </c>
      <c r="K15" s="609">
        <v>0</v>
      </c>
      <c r="L15" s="609">
        <v>0</v>
      </c>
      <c r="M15" s="609">
        <v>0</v>
      </c>
      <c r="N15" s="587">
        <f t="shared" si="1"/>
        <v>0</v>
      </c>
      <c r="O15"/>
      <c r="P15" s="490"/>
      <c r="Q15" t="str">
        <f t="shared" si="2"/>
        <v>40350</v>
      </c>
      <c r="R15" s="126" t="str">
        <f t="shared" si="3"/>
        <v>FRANCHISE FEES-SBC/AT&amp;T</v>
      </c>
      <c r="S15" s="125" t="str">
        <f t="shared" si="4"/>
        <v>100</v>
      </c>
      <c r="T15" s="125" t="str">
        <f t="shared" si="5"/>
        <v>00</v>
      </c>
      <c r="U15" s="125" t="str">
        <f t="shared" si="6"/>
        <v>000</v>
      </c>
      <c r="V15" s="125" t="str">
        <f>VLOOKUP(Q15,'GL Category'!A:C,3,FALSE)</f>
        <v>OTHER TAXES</v>
      </c>
      <c r="W15" s="125"/>
    </row>
    <row r="16" spans="1:23" s="83" customFormat="1" ht="20.399999999999999" customHeight="1">
      <c r="A16" s="608" t="s">
        <v>791</v>
      </c>
      <c r="B16" s="608" t="s">
        <v>2188</v>
      </c>
      <c r="C16" s="608" t="s">
        <v>396</v>
      </c>
      <c r="D16" s="609">
        <v>-351707.16</v>
      </c>
      <c r="E16" s="609">
        <v>-390129.29</v>
      </c>
      <c r="F16" s="609">
        <v>-383121.05</v>
      </c>
      <c r="G16" s="609">
        <v>-430278.73</v>
      </c>
      <c r="H16" s="609">
        <v>-354067</v>
      </c>
      <c r="I16" s="609">
        <v>-278937.28999999998</v>
      </c>
      <c r="J16" s="609">
        <v>-392892</v>
      </c>
      <c r="K16" s="609">
        <v>-382316</v>
      </c>
      <c r="L16" s="609">
        <v>0</v>
      </c>
      <c r="M16" s="609">
        <v>0</v>
      </c>
      <c r="N16" s="587">
        <f t="shared" si="1"/>
        <v>-382316</v>
      </c>
      <c r="O16"/>
      <c r="P16" s="490"/>
      <c r="Q16" t="str">
        <f t="shared" si="2"/>
        <v>40360</v>
      </c>
      <c r="R16" s="126" t="str">
        <f t="shared" si="3"/>
        <v>FRANCHISE FEES-SOLID WASTE</v>
      </c>
      <c r="S16" s="125" t="str">
        <f t="shared" si="4"/>
        <v>100</v>
      </c>
      <c r="T16" s="125" t="str">
        <f t="shared" si="5"/>
        <v>00</v>
      </c>
      <c r="U16" s="125" t="str">
        <f t="shared" si="6"/>
        <v>000</v>
      </c>
      <c r="V16" s="125" t="str">
        <f>VLOOKUP(Q16,'GL Category'!A:C,3,FALSE)</f>
        <v>OTHER TAXES</v>
      </c>
      <c r="W16" s="125"/>
    </row>
    <row r="17" spans="1:23" s="83" customFormat="1" ht="14.4" customHeight="1">
      <c r="A17" s="608" t="s">
        <v>791</v>
      </c>
      <c r="B17" s="608" t="s">
        <v>2189</v>
      </c>
      <c r="C17" s="608" t="s">
        <v>471</v>
      </c>
      <c r="D17" s="609">
        <v>-1378039</v>
      </c>
      <c r="E17" s="609">
        <v>-1369250</v>
      </c>
      <c r="F17" s="609">
        <v>-1394585</v>
      </c>
      <c r="G17" s="609">
        <v>-1380075</v>
      </c>
      <c r="H17" s="609">
        <v>-1643681</v>
      </c>
      <c r="I17" s="609">
        <v>-1232760.75</v>
      </c>
      <c r="J17" s="609">
        <v>-1643681</v>
      </c>
      <c r="K17" s="609">
        <v>-1647281</v>
      </c>
      <c r="L17" s="609">
        <v>0</v>
      </c>
      <c r="M17" s="609">
        <v>0</v>
      </c>
      <c r="N17" s="587">
        <f t="shared" si="1"/>
        <v>-1647281</v>
      </c>
      <c r="O17"/>
      <c r="P17" s="490"/>
      <c r="Q17" t="str">
        <f t="shared" si="2"/>
        <v>40370</v>
      </c>
      <c r="R17" s="126" t="str">
        <f t="shared" si="3"/>
        <v>FRANCHISE/IN-LIEU OF TAXES-W&amp;S</v>
      </c>
      <c r="S17" s="125" t="str">
        <f t="shared" si="4"/>
        <v>100</v>
      </c>
      <c r="T17" s="125" t="str">
        <f t="shared" si="5"/>
        <v>00</v>
      </c>
      <c r="U17" s="125" t="str">
        <f t="shared" si="6"/>
        <v>000</v>
      </c>
      <c r="V17" s="125" t="str">
        <f>VLOOKUP(Q17,'GL Category'!A:C,3,FALSE)</f>
        <v>OTHER TAXES</v>
      </c>
      <c r="W17" s="125"/>
    </row>
    <row r="18" spans="1:23" s="83" customFormat="1" ht="20.399999999999999" customHeight="1">
      <c r="A18" s="608" t="s">
        <v>791</v>
      </c>
      <c r="B18" s="608" t="s">
        <v>2190</v>
      </c>
      <c r="C18" s="608" t="s">
        <v>472</v>
      </c>
      <c r="D18" s="609">
        <v>-108550</v>
      </c>
      <c r="E18" s="609">
        <v>-107392</v>
      </c>
      <c r="F18" s="609">
        <v>-126430</v>
      </c>
      <c r="G18" s="609">
        <v>-125791</v>
      </c>
      <c r="H18" s="609">
        <v>-125123</v>
      </c>
      <c r="I18" s="609">
        <v>-93842.25</v>
      </c>
      <c r="J18" s="609">
        <v>-125123</v>
      </c>
      <c r="K18" s="609">
        <v>-115442</v>
      </c>
      <c r="L18" s="609">
        <v>0</v>
      </c>
      <c r="M18" s="609">
        <v>0</v>
      </c>
      <c r="N18" s="587">
        <f t="shared" si="1"/>
        <v>-115442</v>
      </c>
      <c r="O18"/>
      <c r="P18" s="490"/>
      <c r="Q18" t="str">
        <f t="shared" si="2"/>
        <v>40380</v>
      </c>
      <c r="R18" s="126" t="str">
        <f t="shared" si="3"/>
        <v>FRANCHISE/IN-LIEU OF TAXES-DRG</v>
      </c>
      <c r="S18" s="125" t="str">
        <f t="shared" si="4"/>
        <v>100</v>
      </c>
      <c r="T18" s="125" t="str">
        <f t="shared" si="5"/>
        <v>00</v>
      </c>
      <c r="U18" s="125" t="str">
        <f t="shared" si="6"/>
        <v>000</v>
      </c>
      <c r="V18" s="125" t="str">
        <f>VLOOKUP(Q18,'GL Category'!A:C,3,FALSE)</f>
        <v>OTHER TAXES</v>
      </c>
      <c r="W18" s="125"/>
    </row>
    <row r="19" spans="1:23" s="83" customFormat="1" ht="20.399999999999999" customHeight="1">
      <c r="A19" s="608" t="s">
        <v>791</v>
      </c>
      <c r="B19" s="608" t="s">
        <v>2191</v>
      </c>
      <c r="C19" s="608" t="s">
        <v>450</v>
      </c>
      <c r="D19" s="609">
        <v>-30881.82</v>
      </c>
      <c r="E19" s="609">
        <v>-25056.13</v>
      </c>
      <c r="F19" s="609">
        <v>-20294.919999999998</v>
      </c>
      <c r="G19" s="609">
        <v>-19331.54</v>
      </c>
      <c r="H19" s="609">
        <v>-18211</v>
      </c>
      <c r="I19" s="609">
        <v>-4393.7700000000004</v>
      </c>
      <c r="J19" s="609">
        <v>-9612</v>
      </c>
      <c r="K19" s="609">
        <v>-15379</v>
      </c>
      <c r="L19" s="609">
        <v>0</v>
      </c>
      <c r="M19" s="609">
        <v>0</v>
      </c>
      <c r="N19" s="587">
        <f t="shared" si="1"/>
        <v>-15379</v>
      </c>
      <c r="O19"/>
      <c r="P19" s="490"/>
      <c r="Q19" t="str">
        <f t="shared" si="2"/>
        <v>40391</v>
      </c>
      <c r="R19" s="126" t="str">
        <f t="shared" si="3"/>
        <v>FRANCHISE FEE-ONE SOURCE COMM</v>
      </c>
      <c r="S19" s="125" t="str">
        <f t="shared" si="4"/>
        <v>100</v>
      </c>
      <c r="T19" s="125" t="str">
        <f t="shared" si="5"/>
        <v>00</v>
      </c>
      <c r="U19" s="125" t="str">
        <f t="shared" si="6"/>
        <v>000</v>
      </c>
      <c r="V19" s="125" t="str">
        <f>VLOOKUP(Q19,'GL Category'!A:C,3,FALSE)</f>
        <v>OTHER TAXES</v>
      </c>
      <c r="W19" s="125"/>
    </row>
    <row r="20" spans="1:23" s="83" customFormat="1" ht="20.399999999999999" customHeight="1">
      <c r="A20" s="608" t="s">
        <v>791</v>
      </c>
      <c r="B20" s="608" t="s">
        <v>2192</v>
      </c>
      <c r="C20" s="608" t="s">
        <v>397</v>
      </c>
      <c r="D20" s="609">
        <v>-11191.24</v>
      </c>
      <c r="E20" s="609">
        <v>-9446.48</v>
      </c>
      <c r="F20" s="609">
        <v>-16341.19</v>
      </c>
      <c r="G20" s="609">
        <v>-9817.0300000000007</v>
      </c>
      <c r="H20" s="609">
        <v>-13372</v>
      </c>
      <c r="I20" s="609">
        <v>-6652.67</v>
      </c>
      <c r="J20" s="609">
        <v>-11716</v>
      </c>
      <c r="K20" s="609">
        <v>-12129</v>
      </c>
      <c r="L20" s="609">
        <v>0</v>
      </c>
      <c r="M20" s="609">
        <v>0</v>
      </c>
      <c r="N20" s="587">
        <f t="shared" si="1"/>
        <v>-12129</v>
      </c>
      <c r="O20"/>
      <c r="P20" s="490"/>
      <c r="Q20" t="str">
        <f t="shared" si="2"/>
        <v>40399</v>
      </c>
      <c r="R20" s="126" t="str">
        <f t="shared" si="3"/>
        <v>FRANCHISE FEES-OTHER MISC</v>
      </c>
      <c r="S20" s="125" t="str">
        <f t="shared" si="4"/>
        <v>100</v>
      </c>
      <c r="T20" s="125" t="str">
        <f t="shared" si="5"/>
        <v>00</v>
      </c>
      <c r="U20" s="125" t="str">
        <f t="shared" si="6"/>
        <v>000</v>
      </c>
      <c r="V20" s="125" t="str">
        <f>VLOOKUP(Q20,'GL Category'!A:C,3,FALSE)</f>
        <v>OTHER TAXES</v>
      </c>
      <c r="W20" s="125"/>
    </row>
    <row r="21" spans="1:23" s="83" customFormat="1" ht="20.399999999999999" customHeight="1">
      <c r="A21" s="608" t="s">
        <v>791</v>
      </c>
      <c r="B21" s="608" t="s">
        <v>2193</v>
      </c>
      <c r="C21" s="608" t="s">
        <v>473</v>
      </c>
      <c r="D21" s="609">
        <v>-115076.69</v>
      </c>
      <c r="E21" s="609">
        <v>-148376.22</v>
      </c>
      <c r="F21" s="609">
        <v>-188556.96</v>
      </c>
      <c r="G21" s="609">
        <v>-217096.76</v>
      </c>
      <c r="H21" s="609">
        <v>-194772</v>
      </c>
      <c r="I21" s="609">
        <v>-160356.21</v>
      </c>
      <c r="J21" s="609">
        <v>-198544</v>
      </c>
      <c r="K21" s="609">
        <v>-198544</v>
      </c>
      <c r="L21" s="609">
        <v>0</v>
      </c>
      <c r="M21" s="609">
        <v>0</v>
      </c>
      <c r="N21" s="587">
        <f t="shared" si="1"/>
        <v>-198544</v>
      </c>
      <c r="O21"/>
      <c r="P21" s="490"/>
      <c r="Q21" t="str">
        <f t="shared" si="2"/>
        <v>40400</v>
      </c>
      <c r="R21" s="126" t="str">
        <f t="shared" si="3"/>
        <v>MIXED BEVERAGE TAXES</v>
      </c>
      <c r="S21" s="125" t="str">
        <f t="shared" si="4"/>
        <v>100</v>
      </c>
      <c r="T21" s="125" t="str">
        <f t="shared" si="5"/>
        <v>00</v>
      </c>
      <c r="U21" s="125" t="str">
        <f t="shared" si="6"/>
        <v>000</v>
      </c>
      <c r="V21" s="125" t="str">
        <f>VLOOKUP(Q21,'GL Category'!A:C,3,FALSE)</f>
        <v>OTHER TAXES</v>
      </c>
      <c r="W21" s="125"/>
    </row>
    <row r="22" spans="1:23" s="83" customFormat="1" ht="20.399999999999999" customHeight="1">
      <c r="A22" s="608" t="s">
        <v>791</v>
      </c>
      <c r="B22" s="608" t="s">
        <v>2194</v>
      </c>
      <c r="C22" s="608" t="s">
        <v>851</v>
      </c>
      <c r="D22" s="609">
        <v>-48480</v>
      </c>
      <c r="E22" s="609">
        <v>-68985.179999999993</v>
      </c>
      <c r="F22" s="609">
        <v>-62794.82</v>
      </c>
      <c r="G22" s="609">
        <v>-49095</v>
      </c>
      <c r="H22" s="609">
        <v>-50977</v>
      </c>
      <c r="I22" s="609">
        <v>-71805</v>
      </c>
      <c r="J22" s="609">
        <v>-93533</v>
      </c>
      <c r="K22" s="609">
        <v>-93533</v>
      </c>
      <c r="L22" s="609">
        <v>0</v>
      </c>
      <c r="M22" s="609">
        <v>0</v>
      </c>
      <c r="N22" s="587">
        <f t="shared" si="1"/>
        <v>-93533</v>
      </c>
      <c r="O22"/>
      <c r="P22" s="490"/>
      <c r="Q22" t="str">
        <f t="shared" si="2"/>
        <v>41010</v>
      </c>
      <c r="R22" s="126" t="str">
        <f t="shared" si="3"/>
        <v>PLUMBING PERMITS</v>
      </c>
      <c r="S22" s="125" t="str">
        <f t="shared" si="4"/>
        <v>100</v>
      </c>
      <c r="T22" s="125" t="str">
        <f t="shared" si="5"/>
        <v>00</v>
      </c>
      <c r="U22" s="125" t="str">
        <f t="shared" si="6"/>
        <v>000</v>
      </c>
      <c r="V22" s="125" t="str">
        <f>VLOOKUP(Q22,'GL Category'!A:C,3,FALSE)</f>
        <v>LICENSES AND PERMITS</v>
      </c>
      <c r="W22" s="125"/>
    </row>
    <row r="23" spans="1:23" s="83" customFormat="1" ht="20.399999999999999" customHeight="1">
      <c r="A23" s="608" t="s">
        <v>791</v>
      </c>
      <c r="B23" s="608" t="s">
        <v>2195</v>
      </c>
      <c r="C23" s="608" t="s">
        <v>852</v>
      </c>
      <c r="D23" s="609">
        <v>-28465</v>
      </c>
      <c r="E23" s="609">
        <v>-43000</v>
      </c>
      <c r="F23" s="609">
        <v>-30024</v>
      </c>
      <c r="G23" s="609">
        <v>-23485</v>
      </c>
      <c r="H23" s="609">
        <v>-30597</v>
      </c>
      <c r="I23" s="609">
        <v>-37095</v>
      </c>
      <c r="J23" s="609">
        <v>-50632</v>
      </c>
      <c r="K23" s="609">
        <v>-34055</v>
      </c>
      <c r="L23" s="609">
        <v>0</v>
      </c>
      <c r="M23" s="609">
        <v>0</v>
      </c>
      <c r="N23" s="587">
        <f t="shared" si="1"/>
        <v>-34055</v>
      </c>
      <c r="O23"/>
      <c r="P23" s="490"/>
      <c r="Q23" t="str">
        <f t="shared" si="2"/>
        <v>41020</v>
      </c>
      <c r="R23" s="126" t="str">
        <f t="shared" si="3"/>
        <v>MECHANICAL PERMITS</v>
      </c>
      <c r="S23" s="125" t="str">
        <f t="shared" si="4"/>
        <v>100</v>
      </c>
      <c r="T23" s="125" t="str">
        <f t="shared" si="5"/>
        <v>00</v>
      </c>
      <c r="U23" s="125" t="str">
        <f t="shared" si="6"/>
        <v>000</v>
      </c>
      <c r="V23" s="125" t="str">
        <f>VLOOKUP(Q23,'GL Category'!A:C,3,FALSE)</f>
        <v>LICENSES AND PERMITS</v>
      </c>
      <c r="W23" s="125"/>
    </row>
    <row r="24" spans="1:23" s="83" customFormat="1" ht="20.399999999999999" customHeight="1">
      <c r="A24" s="608" t="s">
        <v>791</v>
      </c>
      <c r="B24" s="608" t="s">
        <v>2196</v>
      </c>
      <c r="C24" s="608" t="s">
        <v>398</v>
      </c>
      <c r="D24" s="609">
        <v>-664403.49</v>
      </c>
      <c r="E24" s="609">
        <v>-1188500.3899999999</v>
      </c>
      <c r="F24" s="609">
        <v>-835323.89</v>
      </c>
      <c r="G24" s="609">
        <v>-529643.5</v>
      </c>
      <c r="H24" s="609">
        <v>-531207</v>
      </c>
      <c r="I24" s="609">
        <v>-460722.74</v>
      </c>
      <c r="J24" s="609">
        <v>-609123</v>
      </c>
      <c r="K24" s="609">
        <v>-609123</v>
      </c>
      <c r="L24" s="609">
        <v>0</v>
      </c>
      <c r="M24" s="609">
        <v>0</v>
      </c>
      <c r="N24" s="587">
        <f t="shared" si="1"/>
        <v>-609123</v>
      </c>
      <c r="O24"/>
      <c r="P24" s="490"/>
      <c r="Q24" t="str">
        <f t="shared" si="2"/>
        <v>41030</v>
      </c>
      <c r="R24" s="126" t="str">
        <f t="shared" si="3"/>
        <v>BUILDING &amp; C.O. PERMITS</v>
      </c>
      <c r="S24" s="125" t="str">
        <f t="shared" si="4"/>
        <v>100</v>
      </c>
      <c r="T24" s="125" t="str">
        <f t="shared" si="5"/>
        <v>00</v>
      </c>
      <c r="U24" s="125" t="str">
        <f t="shared" si="6"/>
        <v>000</v>
      </c>
      <c r="V24" s="125" t="str">
        <f>VLOOKUP(Q24,'GL Category'!A:C,3,FALSE)</f>
        <v>LICENSES AND PERMITS</v>
      </c>
      <c r="W24" s="125"/>
    </row>
    <row r="25" spans="1:23" s="83" customFormat="1" ht="20.399999999999999" customHeight="1">
      <c r="A25" s="608" t="s">
        <v>791</v>
      </c>
      <c r="B25" s="608" t="s">
        <v>2197</v>
      </c>
      <c r="C25" s="608" t="s">
        <v>399</v>
      </c>
      <c r="D25" s="609">
        <v>-17250</v>
      </c>
      <c r="E25" s="609">
        <v>-16050</v>
      </c>
      <c r="F25" s="609">
        <v>-20675</v>
      </c>
      <c r="G25" s="609">
        <v>-17600</v>
      </c>
      <c r="H25" s="609">
        <v>-18721</v>
      </c>
      <c r="I25" s="609">
        <v>-14317.5</v>
      </c>
      <c r="J25" s="609">
        <v>-18205</v>
      </c>
      <c r="K25" s="609">
        <v>-18672</v>
      </c>
      <c r="L25" s="609">
        <v>0</v>
      </c>
      <c r="M25" s="609">
        <v>0</v>
      </c>
      <c r="N25" s="587">
        <f t="shared" si="1"/>
        <v>-18672</v>
      </c>
      <c r="O25"/>
      <c r="P25" s="490"/>
      <c r="Q25" t="str">
        <f t="shared" si="2"/>
        <v>41040</v>
      </c>
      <c r="R25" s="126" t="str">
        <f t="shared" si="3"/>
        <v>FENCE, SIGN &amp; MISC PERMITS</v>
      </c>
      <c r="S25" s="125" t="str">
        <f t="shared" si="4"/>
        <v>100</v>
      </c>
      <c r="T25" s="125" t="str">
        <f t="shared" si="5"/>
        <v>00</v>
      </c>
      <c r="U25" s="125" t="str">
        <f t="shared" si="6"/>
        <v>000</v>
      </c>
      <c r="V25" s="125" t="str">
        <f>VLOOKUP(Q25,'GL Category'!A:C,3,FALSE)</f>
        <v>LICENSES AND PERMITS</v>
      </c>
      <c r="W25" s="125"/>
    </row>
    <row r="26" spans="1:23" s="83" customFormat="1" ht="20.399999999999999" customHeight="1">
      <c r="A26" s="608" t="s">
        <v>791</v>
      </c>
      <c r="B26" s="608" t="s">
        <v>2198</v>
      </c>
      <c r="C26" s="608" t="s">
        <v>3431</v>
      </c>
      <c r="D26" s="609">
        <v>0</v>
      </c>
      <c r="E26" s="609">
        <v>0</v>
      </c>
      <c r="F26" s="609">
        <v>0</v>
      </c>
      <c r="G26" s="609">
        <v>0</v>
      </c>
      <c r="H26" s="609">
        <v>0</v>
      </c>
      <c r="I26" s="609">
        <v>0</v>
      </c>
      <c r="J26" s="609">
        <v>0</v>
      </c>
      <c r="K26" s="609">
        <v>0</v>
      </c>
      <c r="L26" s="609">
        <v>0</v>
      </c>
      <c r="M26" s="609">
        <v>0</v>
      </c>
      <c r="N26" s="587">
        <f t="shared" si="1"/>
        <v>0</v>
      </c>
      <c r="O26"/>
      <c r="P26" s="490"/>
      <c r="Q26" t="str">
        <f t="shared" si="2"/>
        <v>41050</v>
      </c>
      <c r="R26" s="126" t="str">
        <f t="shared" si="3"/>
        <v>SMALL CELL NODES PERMIT FEES</v>
      </c>
      <c r="S26" s="125" t="str">
        <f t="shared" si="4"/>
        <v>100</v>
      </c>
      <c r="T26" s="125" t="str">
        <f t="shared" si="5"/>
        <v>00</v>
      </c>
      <c r="U26" s="125" t="str">
        <f t="shared" si="6"/>
        <v>000</v>
      </c>
      <c r="V26" s="125" t="str">
        <f>VLOOKUP(Q26,'GL Category'!A:C,3,FALSE)</f>
        <v>LICENSES AND PERMITS</v>
      </c>
      <c r="W26" s="125"/>
    </row>
    <row r="27" spans="1:23" s="83" customFormat="1" ht="20.399999999999999" customHeight="1">
      <c r="A27" s="608" t="s">
        <v>791</v>
      </c>
      <c r="B27" s="608" t="s">
        <v>2199</v>
      </c>
      <c r="C27" s="608" t="s">
        <v>853</v>
      </c>
      <c r="D27" s="609">
        <v>-12325</v>
      </c>
      <c r="E27" s="609">
        <v>-32155</v>
      </c>
      <c r="F27" s="609">
        <v>-25885</v>
      </c>
      <c r="G27" s="609">
        <v>-16615</v>
      </c>
      <c r="H27" s="609">
        <v>-19601</v>
      </c>
      <c r="I27" s="609">
        <v>-25995</v>
      </c>
      <c r="J27" s="609">
        <v>-36726</v>
      </c>
      <c r="K27" s="609">
        <v>-36726</v>
      </c>
      <c r="L27" s="609">
        <v>0</v>
      </c>
      <c r="M27" s="609">
        <v>0</v>
      </c>
      <c r="N27" s="587">
        <f t="shared" si="1"/>
        <v>-36726</v>
      </c>
      <c r="O27"/>
      <c r="P27" s="490"/>
      <c r="Q27" t="str">
        <f t="shared" si="2"/>
        <v>41060</v>
      </c>
      <c r="R27" s="126" t="str">
        <f t="shared" si="3"/>
        <v>ELECTRICAL PERMITS</v>
      </c>
      <c r="S27" s="125" t="str">
        <f t="shared" si="4"/>
        <v>100</v>
      </c>
      <c r="T27" s="125" t="str">
        <f t="shared" si="5"/>
        <v>00</v>
      </c>
      <c r="U27" s="125" t="str">
        <f t="shared" si="6"/>
        <v>000</v>
      </c>
      <c r="V27" s="125" t="str">
        <f>VLOOKUP(Q27,'GL Category'!A:C,3,FALSE)</f>
        <v>LICENSES AND PERMITS</v>
      </c>
      <c r="W27" s="125"/>
    </row>
    <row r="28" spans="1:23" s="83" customFormat="1" ht="20.399999999999999" customHeight="1">
      <c r="A28" s="608" t="s">
        <v>791</v>
      </c>
      <c r="B28" s="608" t="s">
        <v>2200</v>
      </c>
      <c r="C28" s="608" t="s">
        <v>3432</v>
      </c>
      <c r="D28" s="609">
        <v>-25094.92</v>
      </c>
      <c r="E28" s="609">
        <v>-28841.38</v>
      </c>
      <c r="F28" s="609">
        <v>-13845.05</v>
      </c>
      <c r="G28" s="609">
        <v>-83675.039999999994</v>
      </c>
      <c r="H28" s="609">
        <v>-69368</v>
      </c>
      <c r="I28" s="609">
        <v>-25</v>
      </c>
      <c r="J28" s="609">
        <v>-36</v>
      </c>
      <c r="K28" s="609">
        <v>-106</v>
      </c>
      <c r="L28" s="609">
        <v>0</v>
      </c>
      <c r="M28" s="609">
        <v>0</v>
      </c>
      <c r="N28" s="587">
        <f t="shared" si="1"/>
        <v>-106</v>
      </c>
      <c r="O28"/>
      <c r="P28" s="490"/>
      <c r="Q28" t="str">
        <f t="shared" si="2"/>
        <v>41090</v>
      </c>
      <c r="R28" s="126" t="str">
        <f t="shared" si="3"/>
        <v>SIDEWALK INSPECTION FEES</v>
      </c>
      <c r="S28" s="125" t="str">
        <f t="shared" si="4"/>
        <v>100</v>
      </c>
      <c r="T28" s="125" t="str">
        <f t="shared" si="5"/>
        <v>00</v>
      </c>
      <c r="U28" s="125" t="str">
        <f t="shared" si="6"/>
        <v>000</v>
      </c>
      <c r="V28" s="125" t="str">
        <f>VLOOKUP(Q28,'GL Category'!A:C,3,FALSE)</f>
        <v>DEVELOPMENT FEES</v>
      </c>
      <c r="W28" s="125"/>
    </row>
    <row r="29" spans="1:23" s="83" customFormat="1" ht="20.399999999999999" customHeight="1">
      <c r="A29" s="608" t="s">
        <v>791</v>
      </c>
      <c r="B29" s="608" t="s">
        <v>3505</v>
      </c>
      <c r="C29" s="608" t="s">
        <v>3503</v>
      </c>
      <c r="D29" s="609">
        <v>0</v>
      </c>
      <c r="E29" s="609">
        <v>0</v>
      </c>
      <c r="F29" s="609">
        <v>0</v>
      </c>
      <c r="G29" s="609">
        <v>0</v>
      </c>
      <c r="H29" s="609">
        <v>0</v>
      </c>
      <c r="I29" s="609">
        <v>0</v>
      </c>
      <c r="J29" s="609">
        <v>0</v>
      </c>
      <c r="K29" s="609">
        <v>0</v>
      </c>
      <c r="L29" s="609">
        <v>0</v>
      </c>
      <c r="M29" s="609">
        <v>0</v>
      </c>
      <c r="N29" s="587">
        <f t="shared" si="1"/>
        <v>0</v>
      </c>
      <c r="O29"/>
      <c r="P29" s="490"/>
      <c r="Q29" t="str">
        <f t="shared" si="2"/>
        <v>41095</v>
      </c>
      <c r="R29" s="126" t="str">
        <f t="shared" si="3"/>
        <v>STREET INSPECTION FEES</v>
      </c>
      <c r="S29" s="125" t="str">
        <f t="shared" si="4"/>
        <v>100</v>
      </c>
      <c r="T29" s="125" t="str">
        <f t="shared" si="5"/>
        <v>00</v>
      </c>
      <c r="U29" s="125" t="str">
        <f t="shared" si="6"/>
        <v>000</v>
      </c>
      <c r="V29" s="125" t="e">
        <f>VLOOKUP(Q29,'GL Category'!A:C,3,FALSE)</f>
        <v>#N/A</v>
      </c>
      <c r="W29" s="125"/>
    </row>
    <row r="30" spans="1:23" s="83" customFormat="1" ht="20.399999999999999" customHeight="1">
      <c r="A30" s="608" t="s">
        <v>791</v>
      </c>
      <c r="B30" s="608" t="s">
        <v>2201</v>
      </c>
      <c r="C30" s="608" t="s">
        <v>3433</v>
      </c>
      <c r="D30" s="609">
        <v>-115517.25</v>
      </c>
      <c r="E30" s="609">
        <v>-278056.56</v>
      </c>
      <c r="F30" s="609">
        <v>-166551.47</v>
      </c>
      <c r="G30" s="609">
        <v>-100809.82</v>
      </c>
      <c r="H30" s="609">
        <v>-86603</v>
      </c>
      <c r="I30" s="609">
        <v>-68311.960000000006</v>
      </c>
      <c r="J30" s="609">
        <v>-79052</v>
      </c>
      <c r="K30" s="609">
        <v>-85529</v>
      </c>
      <c r="L30" s="609">
        <v>0</v>
      </c>
      <c r="M30" s="609">
        <v>0</v>
      </c>
      <c r="N30" s="587">
        <f t="shared" si="1"/>
        <v>-85529</v>
      </c>
      <c r="O30"/>
      <c r="P30" s="490"/>
      <c r="Q30" t="str">
        <f t="shared" si="2"/>
        <v>41100</v>
      </c>
      <c r="R30" s="126" t="str">
        <f t="shared" si="3"/>
        <v>PLAN REVIEW FEES</v>
      </c>
      <c r="S30" s="125" t="str">
        <f t="shared" si="4"/>
        <v>100</v>
      </c>
      <c r="T30" s="125" t="str">
        <f t="shared" si="5"/>
        <v>00</v>
      </c>
      <c r="U30" s="125" t="str">
        <f t="shared" si="6"/>
        <v>000</v>
      </c>
      <c r="V30" s="125" t="str">
        <f>VLOOKUP(Q30,'GL Category'!A:C,3,FALSE)</f>
        <v>DEVELOPMENT FEES</v>
      </c>
      <c r="W30" s="125"/>
    </row>
    <row r="31" spans="1:23" s="83" customFormat="1" ht="20.399999999999999" customHeight="1">
      <c r="A31" s="608" t="s">
        <v>791</v>
      </c>
      <c r="B31" s="608" t="s">
        <v>2202</v>
      </c>
      <c r="C31" s="608" t="s">
        <v>400</v>
      </c>
      <c r="D31" s="609">
        <v>-24950.61</v>
      </c>
      <c r="E31" s="609">
        <v>-39612.21</v>
      </c>
      <c r="F31" s="609">
        <v>-30908.44</v>
      </c>
      <c r="G31" s="609">
        <v>-32694.76</v>
      </c>
      <c r="H31" s="609">
        <v>-26853</v>
      </c>
      <c r="I31" s="609">
        <v>-38441.1</v>
      </c>
      <c r="J31" s="609">
        <v>-49303</v>
      </c>
      <c r="K31" s="609">
        <v>-49303</v>
      </c>
      <c r="L31" s="609">
        <v>0</v>
      </c>
      <c r="M31" s="609">
        <v>0</v>
      </c>
      <c r="N31" s="587">
        <f t="shared" si="1"/>
        <v>-49303</v>
      </c>
      <c r="O31"/>
      <c r="P31" s="490"/>
      <c r="Q31" t="str">
        <f t="shared" si="2"/>
        <v>41110</v>
      </c>
      <c r="R31" s="126" t="str">
        <f t="shared" si="3"/>
        <v>ZONING &amp; SUBDIVISION FEES</v>
      </c>
      <c r="S31" s="125" t="str">
        <f t="shared" si="4"/>
        <v>100</v>
      </c>
      <c r="T31" s="125" t="str">
        <f t="shared" si="5"/>
        <v>00</v>
      </c>
      <c r="U31" s="125" t="str">
        <f t="shared" si="6"/>
        <v>000</v>
      </c>
      <c r="V31" s="125" t="str">
        <f>VLOOKUP(Q31,'GL Category'!A:C,3,FALSE)</f>
        <v>DEVELOPMENT FEES</v>
      </c>
      <c r="W31" s="125"/>
    </row>
    <row r="32" spans="1:23" s="83" customFormat="1" ht="20.399999999999999" customHeight="1">
      <c r="A32" s="608" t="s">
        <v>791</v>
      </c>
      <c r="B32" s="608" t="s">
        <v>3276</v>
      </c>
      <c r="C32" s="608" t="s">
        <v>854</v>
      </c>
      <c r="D32" s="609">
        <v>0</v>
      </c>
      <c r="E32" s="609">
        <v>0</v>
      </c>
      <c r="F32" s="609">
        <v>0</v>
      </c>
      <c r="G32" s="609">
        <v>0</v>
      </c>
      <c r="H32" s="609">
        <v>0</v>
      </c>
      <c r="I32" s="609">
        <v>0</v>
      </c>
      <c r="J32" s="609">
        <v>0</v>
      </c>
      <c r="K32" s="609">
        <v>0</v>
      </c>
      <c r="L32" s="609">
        <v>0</v>
      </c>
      <c r="M32" s="609">
        <v>0</v>
      </c>
      <c r="N32" s="587">
        <f t="shared" si="1"/>
        <v>0</v>
      </c>
      <c r="O32"/>
      <c r="P32" s="490"/>
      <c r="Q32" t="str">
        <f t="shared" si="2"/>
        <v>41120</v>
      </c>
      <c r="R32" s="126" t="str">
        <f t="shared" si="3"/>
        <v>PLATTING FEES</v>
      </c>
      <c r="S32" s="125" t="str">
        <f t="shared" si="4"/>
        <v>100</v>
      </c>
      <c r="T32" s="125" t="str">
        <f t="shared" si="5"/>
        <v>00</v>
      </c>
      <c r="U32" s="125" t="str">
        <f t="shared" si="6"/>
        <v>000</v>
      </c>
      <c r="V32" s="125" t="str">
        <f>VLOOKUP(Q32,'GL Category'!A:C,3,FALSE)</f>
        <v>DEVELOPMENT FEES</v>
      </c>
      <c r="W32" s="125"/>
    </row>
    <row r="33" spans="1:23" s="83" customFormat="1" ht="20.399999999999999" customHeight="1">
      <c r="A33" s="608" t="s">
        <v>791</v>
      </c>
      <c r="B33" s="608" t="s">
        <v>2203</v>
      </c>
      <c r="C33" s="608" t="s">
        <v>855</v>
      </c>
      <c r="D33" s="609">
        <v>-1728</v>
      </c>
      <c r="E33" s="609">
        <v>-4300</v>
      </c>
      <c r="F33" s="609">
        <v>-5000</v>
      </c>
      <c r="G33" s="609">
        <v>-6718</v>
      </c>
      <c r="H33" s="609">
        <v>-4638</v>
      </c>
      <c r="I33" s="609">
        <v>-3250</v>
      </c>
      <c r="J33" s="609">
        <v>-5140</v>
      </c>
      <c r="K33" s="609">
        <v>-5164</v>
      </c>
      <c r="L33" s="609">
        <v>0</v>
      </c>
      <c r="M33" s="609">
        <v>0</v>
      </c>
      <c r="N33" s="587">
        <f t="shared" si="1"/>
        <v>-5164</v>
      </c>
      <c r="O33"/>
      <c r="P33" s="490"/>
      <c r="Q33" t="str">
        <f t="shared" si="2"/>
        <v>41130</v>
      </c>
      <c r="R33" s="126" t="str">
        <f t="shared" si="3"/>
        <v>STREET LIGHTING DEVELOPER FEES</v>
      </c>
      <c r="S33" s="125" t="str">
        <f t="shared" si="4"/>
        <v>100</v>
      </c>
      <c r="T33" s="125" t="str">
        <f t="shared" si="5"/>
        <v>00</v>
      </c>
      <c r="U33" s="125" t="str">
        <f t="shared" si="6"/>
        <v>000</v>
      </c>
      <c r="V33" s="125" t="str">
        <f>VLOOKUP(Q33,'GL Category'!A:C,3,FALSE)</f>
        <v>DEVELOPMENT FEES</v>
      </c>
      <c r="W33" s="125"/>
    </row>
    <row r="34" spans="1:23" s="83" customFormat="1" ht="20.399999999999999" customHeight="1">
      <c r="A34" s="608" t="s">
        <v>791</v>
      </c>
      <c r="B34" s="608" t="s">
        <v>2204</v>
      </c>
      <c r="C34" s="608" t="s">
        <v>401</v>
      </c>
      <c r="D34" s="609">
        <v>0</v>
      </c>
      <c r="E34" s="609">
        <v>0</v>
      </c>
      <c r="F34" s="609">
        <v>0</v>
      </c>
      <c r="G34" s="609">
        <v>0</v>
      </c>
      <c r="H34" s="609">
        <v>0</v>
      </c>
      <c r="I34" s="609">
        <v>0</v>
      </c>
      <c r="J34" s="609">
        <v>0</v>
      </c>
      <c r="K34" s="609">
        <v>0</v>
      </c>
      <c r="L34" s="609">
        <v>0</v>
      </c>
      <c r="M34" s="609">
        <v>0</v>
      </c>
      <c r="N34" s="587">
        <f t="shared" si="1"/>
        <v>0</v>
      </c>
      <c r="O34"/>
      <c r="P34" s="490"/>
      <c r="Q34" t="str">
        <f t="shared" si="2"/>
        <v>41150</v>
      </c>
      <c r="R34" s="126" t="str">
        <f t="shared" si="3"/>
        <v>STREET SIGN FEES</v>
      </c>
      <c r="S34" s="125" t="str">
        <f t="shared" si="4"/>
        <v>100</v>
      </c>
      <c r="T34" s="125" t="str">
        <f t="shared" si="5"/>
        <v>00</v>
      </c>
      <c r="U34" s="125" t="str">
        <f t="shared" si="6"/>
        <v>000</v>
      </c>
      <c r="V34" s="125" t="str">
        <f>VLOOKUP(Q34,'GL Category'!A:C,3,FALSE)</f>
        <v>DEVELOPMENT FEES</v>
      </c>
      <c r="W34" s="125"/>
    </row>
    <row r="35" spans="1:23" s="83" customFormat="1" ht="20.399999999999999" customHeight="1">
      <c r="A35" s="608" t="s">
        <v>791</v>
      </c>
      <c r="B35" s="608" t="s">
        <v>2205</v>
      </c>
      <c r="C35" s="608" t="s">
        <v>402</v>
      </c>
      <c r="D35" s="609">
        <v>0</v>
      </c>
      <c r="E35" s="609">
        <v>0</v>
      </c>
      <c r="F35" s="609">
        <v>0</v>
      </c>
      <c r="G35" s="609">
        <v>0</v>
      </c>
      <c r="H35" s="609">
        <v>0</v>
      </c>
      <c r="I35" s="609">
        <v>0</v>
      </c>
      <c r="J35" s="609">
        <v>0</v>
      </c>
      <c r="K35" s="609">
        <v>0</v>
      </c>
      <c r="L35" s="609">
        <v>0</v>
      </c>
      <c r="M35" s="609">
        <v>0</v>
      </c>
      <c r="N35" s="587">
        <f t="shared" si="1"/>
        <v>0</v>
      </c>
      <c r="O35"/>
      <c r="P35" s="490"/>
      <c r="Q35" t="str">
        <f t="shared" si="2"/>
        <v>41190</v>
      </c>
      <c r="R35" s="126" t="str">
        <f t="shared" si="3"/>
        <v>OPTICOM SYSTEM FEES</v>
      </c>
      <c r="S35" s="125" t="str">
        <f t="shared" si="4"/>
        <v>100</v>
      </c>
      <c r="T35" s="125" t="str">
        <f t="shared" si="5"/>
        <v>00</v>
      </c>
      <c r="U35" s="125" t="str">
        <f t="shared" si="6"/>
        <v>000</v>
      </c>
      <c r="V35" s="125" t="str">
        <f>VLOOKUP(Q35,'GL Category'!A:C,3,FALSE)</f>
        <v>DEVELOPMENT FEES</v>
      </c>
      <c r="W35" s="125"/>
    </row>
    <row r="36" spans="1:23" s="83" customFormat="1" ht="20.399999999999999" customHeight="1">
      <c r="A36" s="608" t="s">
        <v>791</v>
      </c>
      <c r="B36" s="608" t="s">
        <v>3277</v>
      </c>
      <c r="C36" s="608" t="s">
        <v>858</v>
      </c>
      <c r="D36" s="609">
        <v>0</v>
      </c>
      <c r="E36" s="609">
        <v>0</v>
      </c>
      <c r="F36" s="609">
        <v>0</v>
      </c>
      <c r="G36" s="609">
        <v>0</v>
      </c>
      <c r="H36" s="609">
        <v>0</v>
      </c>
      <c r="I36" s="609">
        <v>0</v>
      </c>
      <c r="J36" s="609">
        <v>0</v>
      </c>
      <c r="K36" s="609">
        <v>0</v>
      </c>
      <c r="L36" s="609">
        <v>0</v>
      </c>
      <c r="M36" s="609">
        <v>0</v>
      </c>
      <c r="N36" s="587">
        <f t="shared" si="1"/>
        <v>0</v>
      </c>
      <c r="O36"/>
      <c r="P36" s="490"/>
      <c r="Q36" t="str">
        <f t="shared" si="2"/>
        <v>41370</v>
      </c>
      <c r="R36" s="126" t="str">
        <f t="shared" si="3"/>
        <v>CONTRIBUTIONS-PROPERTY OWNERS</v>
      </c>
      <c r="S36" s="125" t="str">
        <f t="shared" si="4"/>
        <v>100</v>
      </c>
      <c r="T36" s="125" t="str">
        <f t="shared" si="5"/>
        <v>00</v>
      </c>
      <c r="U36" s="125" t="str">
        <f t="shared" si="6"/>
        <v>000</v>
      </c>
      <c r="V36" s="125" t="str">
        <f>VLOOKUP(Q36,'GL Category'!A:C,3,FALSE)</f>
        <v>DEVELOPMENT FEES</v>
      </c>
      <c r="W36" s="125"/>
    </row>
    <row r="37" spans="1:23" s="83" customFormat="1" ht="20.399999999999999" customHeight="1">
      <c r="A37" s="608" t="s">
        <v>791</v>
      </c>
      <c r="B37" s="608" t="s">
        <v>2206</v>
      </c>
      <c r="C37" s="608" t="s">
        <v>403</v>
      </c>
      <c r="D37" s="609">
        <v>-4696.6499999999996</v>
      </c>
      <c r="E37" s="609">
        <v>0</v>
      </c>
      <c r="F37" s="609">
        <v>0</v>
      </c>
      <c r="G37" s="609">
        <v>0</v>
      </c>
      <c r="H37" s="609">
        <v>0</v>
      </c>
      <c r="I37" s="609">
        <v>0</v>
      </c>
      <c r="J37" s="609">
        <v>0</v>
      </c>
      <c r="K37" s="609">
        <v>0</v>
      </c>
      <c r="L37" s="609">
        <v>0</v>
      </c>
      <c r="M37" s="609">
        <v>0</v>
      </c>
      <c r="N37" s="587">
        <f t="shared" si="1"/>
        <v>0</v>
      </c>
      <c r="O37"/>
      <c r="P37" s="490"/>
      <c r="Q37" t="str">
        <f t="shared" si="2"/>
        <v>41500</v>
      </c>
      <c r="R37" s="126" t="str">
        <f t="shared" si="3"/>
        <v>ANIMAL CONTROL FEES</v>
      </c>
      <c r="S37" s="125" t="str">
        <f t="shared" si="4"/>
        <v>100</v>
      </c>
      <c r="T37" s="125" t="str">
        <f t="shared" si="5"/>
        <v>00</v>
      </c>
      <c r="U37" s="125" t="str">
        <f t="shared" si="6"/>
        <v>000</v>
      </c>
      <c r="V37" s="125" t="str">
        <f>VLOOKUP(Q37,'GL Category'!A:C,3,FALSE)</f>
        <v>FINES AND FEES</v>
      </c>
      <c r="W37" s="125"/>
    </row>
    <row r="38" spans="1:23" s="83" customFormat="1" ht="20.399999999999999" customHeight="1">
      <c r="A38" s="608" t="s">
        <v>791</v>
      </c>
      <c r="B38" s="608" t="s">
        <v>2210</v>
      </c>
      <c r="C38" s="608" t="s">
        <v>860</v>
      </c>
      <c r="D38" s="609">
        <v>-985099.48</v>
      </c>
      <c r="E38" s="609">
        <v>-1111999.76</v>
      </c>
      <c r="F38" s="609">
        <v>-1213008.1599999999</v>
      </c>
      <c r="G38" s="609">
        <v>-1212902.07</v>
      </c>
      <c r="H38" s="609">
        <v>-1085559</v>
      </c>
      <c r="I38" s="609">
        <v>-1170357.19</v>
      </c>
      <c r="J38" s="609">
        <v>-1330627</v>
      </c>
      <c r="K38" s="609">
        <v>-1175682</v>
      </c>
      <c r="L38" s="609">
        <v>0</v>
      </c>
      <c r="M38" s="609">
        <v>0</v>
      </c>
      <c r="N38" s="587">
        <f t="shared" si="1"/>
        <v>-1175682</v>
      </c>
      <c r="O38"/>
      <c r="P38" s="490"/>
      <c r="Q38" t="str">
        <f t="shared" si="2"/>
        <v>41510</v>
      </c>
      <c r="R38" s="126" t="str">
        <f t="shared" si="3"/>
        <v>AMBULANCE SERVICE FEES REVENUE</v>
      </c>
      <c r="S38" s="125" t="str">
        <f t="shared" si="4"/>
        <v>100</v>
      </c>
      <c r="T38" s="125" t="str">
        <f t="shared" si="5"/>
        <v>00</v>
      </c>
      <c r="U38" s="125" t="str">
        <f t="shared" si="6"/>
        <v>000</v>
      </c>
      <c r="V38" s="125" t="str">
        <f>VLOOKUP(Q38,'GL Category'!A:C,3,FALSE)</f>
        <v>CHARGES FOR SERVICE</v>
      </c>
      <c r="W38" s="125"/>
    </row>
    <row r="39" spans="1:23" s="83" customFormat="1" ht="20.399999999999999" customHeight="1">
      <c r="A39" s="608" t="s">
        <v>791</v>
      </c>
      <c r="B39" s="608" t="s">
        <v>2211</v>
      </c>
      <c r="C39" s="608" t="s">
        <v>861</v>
      </c>
      <c r="D39" s="609">
        <v>-2965.5</v>
      </c>
      <c r="E39" s="609">
        <v>-2122.6</v>
      </c>
      <c r="F39" s="609">
        <v>-3827.5</v>
      </c>
      <c r="G39" s="609">
        <v>-3069.6</v>
      </c>
      <c r="H39" s="609">
        <v>-2504</v>
      </c>
      <c r="I39" s="609">
        <v>-2639.3</v>
      </c>
      <c r="J39" s="609">
        <v>-3963</v>
      </c>
      <c r="K39" s="609">
        <v>-4368</v>
      </c>
      <c r="L39" s="609">
        <v>0</v>
      </c>
      <c r="M39" s="609">
        <v>0</v>
      </c>
      <c r="N39" s="587">
        <f t="shared" si="1"/>
        <v>-4368</v>
      </c>
      <c r="O39"/>
      <c r="P39" s="490"/>
      <c r="Q39" t="str">
        <f t="shared" si="2"/>
        <v>41515</v>
      </c>
      <c r="R39" s="126" t="str">
        <f t="shared" si="3"/>
        <v>ALARMS/PERMITS/MISC FEES-PD</v>
      </c>
      <c r="S39" s="125" t="str">
        <f t="shared" si="4"/>
        <v>100</v>
      </c>
      <c r="T39" s="125" t="str">
        <f t="shared" si="5"/>
        <v>00</v>
      </c>
      <c r="U39" s="125" t="str">
        <f t="shared" si="6"/>
        <v>000</v>
      </c>
      <c r="V39" s="125" t="str">
        <f>VLOOKUP(Q39,'GL Category'!A:C,3,FALSE)</f>
        <v>FINES AND FEES</v>
      </c>
      <c r="W39" s="125"/>
    </row>
    <row r="40" spans="1:23" s="83" customFormat="1" ht="20.399999999999999" customHeight="1">
      <c r="A40" s="608" t="s">
        <v>791</v>
      </c>
      <c r="B40" s="608" t="s">
        <v>2212</v>
      </c>
      <c r="C40" s="608" t="s">
        <v>862</v>
      </c>
      <c r="D40" s="609">
        <v>-31955.22</v>
      </c>
      <c r="E40" s="609">
        <v>-53671.79</v>
      </c>
      <c r="F40" s="609">
        <v>-58271.53</v>
      </c>
      <c r="G40" s="609">
        <v>-74697.89</v>
      </c>
      <c r="H40" s="609">
        <v>-50901</v>
      </c>
      <c r="I40" s="609">
        <v>-48475.69</v>
      </c>
      <c r="J40" s="609">
        <v>-58402</v>
      </c>
      <c r="K40" s="609">
        <v>-57618</v>
      </c>
      <c r="L40" s="609">
        <v>0</v>
      </c>
      <c r="M40" s="609">
        <v>0</v>
      </c>
      <c r="N40" s="587">
        <f t="shared" si="1"/>
        <v>-57618</v>
      </c>
      <c r="O40"/>
      <c r="P40" s="490"/>
      <c r="Q40" t="str">
        <f t="shared" si="2"/>
        <v>41530</v>
      </c>
      <c r="R40" s="126" t="str">
        <f t="shared" si="3"/>
        <v>PERMITS &amp; INSPECTION FEES-FIRE</v>
      </c>
      <c r="S40" s="125" t="str">
        <f t="shared" si="4"/>
        <v>100</v>
      </c>
      <c r="T40" s="125" t="str">
        <f t="shared" si="5"/>
        <v>00</v>
      </c>
      <c r="U40" s="125" t="str">
        <f t="shared" si="6"/>
        <v>000</v>
      </c>
      <c r="V40" s="125" t="str">
        <f>VLOOKUP(Q40,'GL Category'!A:C,3,FALSE)</f>
        <v>FINES AND FEES</v>
      </c>
      <c r="W40" s="125"/>
    </row>
    <row r="41" spans="1:23" s="83" customFormat="1" ht="20.399999999999999" customHeight="1">
      <c r="A41" s="608" t="s">
        <v>791</v>
      </c>
      <c r="B41" s="608" t="s">
        <v>3278</v>
      </c>
      <c r="C41" s="608" t="s">
        <v>863</v>
      </c>
      <c r="D41" s="609">
        <v>0</v>
      </c>
      <c r="E41" s="609">
        <v>0</v>
      </c>
      <c r="F41" s="609">
        <v>0</v>
      </c>
      <c r="G41" s="609">
        <v>0</v>
      </c>
      <c r="H41" s="609">
        <v>0</v>
      </c>
      <c r="I41" s="609">
        <v>0</v>
      </c>
      <c r="J41" s="609">
        <v>0</v>
      </c>
      <c r="K41" s="609">
        <v>0</v>
      </c>
      <c r="L41" s="609">
        <v>0</v>
      </c>
      <c r="M41" s="609">
        <v>0</v>
      </c>
      <c r="N41" s="587">
        <f t="shared" si="1"/>
        <v>0</v>
      </c>
      <c r="O41"/>
      <c r="P41" s="490"/>
      <c r="Q41" t="str">
        <f t="shared" si="2"/>
        <v>41535</v>
      </c>
      <c r="R41" s="126" t="str">
        <f t="shared" si="3"/>
        <v>FALSE ALARM FEES-FIRE</v>
      </c>
      <c r="S41" s="125" t="str">
        <f t="shared" si="4"/>
        <v>100</v>
      </c>
      <c r="T41" s="125" t="str">
        <f t="shared" si="5"/>
        <v>00</v>
      </c>
      <c r="U41" s="125" t="str">
        <f t="shared" si="6"/>
        <v>000</v>
      </c>
      <c r="V41" s="125" t="str">
        <f>VLOOKUP(Q41,'GL Category'!A:C,3,FALSE)</f>
        <v>FINES AND FEES</v>
      </c>
      <c r="W41" s="125"/>
    </row>
    <row r="42" spans="1:23" s="83" customFormat="1" ht="20.399999999999999" customHeight="1">
      <c r="A42" s="608" t="s">
        <v>791</v>
      </c>
      <c r="B42" s="608" t="s">
        <v>2213</v>
      </c>
      <c r="C42" s="608" t="s">
        <v>404</v>
      </c>
      <c r="D42" s="609">
        <v>-580</v>
      </c>
      <c r="E42" s="609">
        <v>-560</v>
      </c>
      <c r="F42" s="609">
        <v>-930</v>
      </c>
      <c r="G42" s="609">
        <v>-885</v>
      </c>
      <c r="H42" s="609">
        <v>-1052</v>
      </c>
      <c r="I42" s="609">
        <v>-751</v>
      </c>
      <c r="J42" s="609">
        <v>-1081</v>
      </c>
      <c r="K42" s="609">
        <v>-1081</v>
      </c>
      <c r="L42" s="609">
        <v>0</v>
      </c>
      <c r="M42" s="609">
        <v>0</v>
      </c>
      <c r="N42" s="587">
        <f t="shared" si="1"/>
        <v>-1081</v>
      </c>
      <c r="O42"/>
      <c r="P42" s="490"/>
      <c r="Q42" t="str">
        <f t="shared" si="2"/>
        <v>41540</v>
      </c>
      <c r="R42" s="126" t="str">
        <f t="shared" si="3"/>
        <v>FINGER PRINTING FEES</v>
      </c>
      <c r="S42" s="125" t="str">
        <f t="shared" si="4"/>
        <v>100</v>
      </c>
      <c r="T42" s="125" t="str">
        <f t="shared" si="5"/>
        <v>00</v>
      </c>
      <c r="U42" s="125" t="str">
        <f t="shared" si="6"/>
        <v>000</v>
      </c>
      <c r="V42" s="125" t="str">
        <f>VLOOKUP(Q42,'GL Category'!A:C,3,FALSE)</f>
        <v>FINES AND FEES</v>
      </c>
      <c r="W42" s="125"/>
    </row>
    <row r="43" spans="1:23" s="83" customFormat="1" ht="20.399999999999999" customHeight="1">
      <c r="A43" s="608" t="s">
        <v>791</v>
      </c>
      <c r="B43" s="608" t="s">
        <v>2214</v>
      </c>
      <c r="C43" s="608" t="s">
        <v>864</v>
      </c>
      <c r="D43" s="609">
        <v>-70718.45</v>
      </c>
      <c r="E43" s="609">
        <v>-61517.19</v>
      </c>
      <c r="F43" s="609">
        <v>-57939.6</v>
      </c>
      <c r="G43" s="609">
        <v>-55681.99</v>
      </c>
      <c r="H43" s="609">
        <v>-60253</v>
      </c>
      <c r="I43" s="609">
        <v>-37144.21</v>
      </c>
      <c r="J43" s="609">
        <v>-63036</v>
      </c>
      <c r="K43" s="609">
        <v>-63045</v>
      </c>
      <c r="L43" s="609">
        <v>0</v>
      </c>
      <c r="M43" s="609">
        <v>0</v>
      </c>
      <c r="N43" s="587">
        <f t="shared" si="1"/>
        <v>-63045</v>
      </c>
      <c r="O43"/>
      <c r="P43" s="490"/>
      <c r="Q43" t="str">
        <f t="shared" si="2"/>
        <v>41550</v>
      </c>
      <c r="R43" s="126" t="str">
        <f t="shared" si="3"/>
        <v>ALARM PERMITS-POLICE</v>
      </c>
      <c r="S43" s="125" t="str">
        <f t="shared" si="4"/>
        <v>100</v>
      </c>
      <c r="T43" s="125" t="str">
        <f t="shared" si="5"/>
        <v>00</v>
      </c>
      <c r="U43" s="125" t="str">
        <f t="shared" si="6"/>
        <v>000</v>
      </c>
      <c r="V43" s="125" t="str">
        <f>VLOOKUP(Q43,'GL Category'!A:C,3,FALSE)</f>
        <v>FINES AND FEES</v>
      </c>
      <c r="W43" s="125"/>
    </row>
    <row r="44" spans="1:23" s="83" customFormat="1" ht="20.399999999999999" customHeight="1">
      <c r="A44" s="608" t="s">
        <v>791</v>
      </c>
      <c r="B44" s="608" t="s">
        <v>3279</v>
      </c>
      <c r="C44" s="608" t="s">
        <v>865</v>
      </c>
      <c r="D44" s="609">
        <v>0</v>
      </c>
      <c r="E44" s="609">
        <v>0</v>
      </c>
      <c r="F44" s="609">
        <v>0</v>
      </c>
      <c r="G44" s="609">
        <v>0</v>
      </c>
      <c r="H44" s="609">
        <v>0</v>
      </c>
      <c r="I44" s="609">
        <v>0</v>
      </c>
      <c r="J44" s="609">
        <v>0</v>
      </c>
      <c r="K44" s="609">
        <v>0</v>
      </c>
      <c r="L44" s="609">
        <v>0</v>
      </c>
      <c r="M44" s="609">
        <v>0</v>
      </c>
      <c r="N44" s="587">
        <f t="shared" si="1"/>
        <v>0</v>
      </c>
      <c r="O44"/>
      <c r="P44" s="490"/>
      <c r="Q44" t="str">
        <f t="shared" si="2"/>
        <v>41551</v>
      </c>
      <c r="R44" s="126" t="str">
        <f t="shared" si="3"/>
        <v>FALSE ALARM FEES-PD</v>
      </c>
      <c r="S44" s="125" t="str">
        <f t="shared" si="4"/>
        <v>100</v>
      </c>
      <c r="T44" s="125" t="str">
        <f t="shared" si="5"/>
        <v>00</v>
      </c>
      <c r="U44" s="125" t="str">
        <f t="shared" si="6"/>
        <v>000</v>
      </c>
      <c r="V44" s="125" t="str">
        <f>VLOOKUP(Q44,'GL Category'!A:C,3,FALSE)</f>
        <v>FINES AND FEES</v>
      </c>
      <c r="W44" s="125"/>
    </row>
    <row r="45" spans="1:23" s="83" customFormat="1" ht="20.399999999999999" customHeight="1">
      <c r="A45" s="608" t="s">
        <v>791</v>
      </c>
      <c r="B45" s="608" t="s">
        <v>2215</v>
      </c>
      <c r="C45" s="608" t="s">
        <v>405</v>
      </c>
      <c r="D45" s="609">
        <v>-8515</v>
      </c>
      <c r="E45" s="609">
        <v>-12360</v>
      </c>
      <c r="F45" s="609">
        <v>-4460</v>
      </c>
      <c r="G45" s="609">
        <v>-10085</v>
      </c>
      <c r="H45" s="609">
        <v>-8932</v>
      </c>
      <c r="I45" s="609">
        <v>-6705</v>
      </c>
      <c r="J45" s="609">
        <v>-9519</v>
      </c>
      <c r="K45" s="609">
        <v>-9519</v>
      </c>
      <c r="L45" s="609">
        <v>0</v>
      </c>
      <c r="M45" s="609">
        <v>0</v>
      </c>
      <c r="N45" s="587">
        <f t="shared" si="1"/>
        <v>-9519</v>
      </c>
      <c r="O45"/>
      <c r="P45" s="490"/>
      <c r="Q45" t="str">
        <f t="shared" si="2"/>
        <v>41555</v>
      </c>
      <c r="R45" s="126" t="str">
        <f t="shared" si="3"/>
        <v>SOLICITOR PERMITS</v>
      </c>
      <c r="S45" s="125" t="str">
        <f t="shared" si="4"/>
        <v>100</v>
      </c>
      <c r="T45" s="125" t="str">
        <f t="shared" si="5"/>
        <v>00</v>
      </c>
      <c r="U45" s="125" t="str">
        <f t="shared" si="6"/>
        <v>000</v>
      </c>
      <c r="V45" s="125" t="str">
        <f>VLOOKUP(Q45,'GL Category'!A:C,3,FALSE)</f>
        <v>FINES AND FEES</v>
      </c>
      <c r="W45" s="125"/>
    </row>
    <row r="46" spans="1:23" s="83" customFormat="1" ht="20.399999999999999" customHeight="1">
      <c r="A46" s="608" t="s">
        <v>791</v>
      </c>
      <c r="B46" s="608" t="s">
        <v>2216</v>
      </c>
      <c r="C46" s="608" t="s">
        <v>406</v>
      </c>
      <c r="D46" s="609">
        <v>-25</v>
      </c>
      <c r="E46" s="609">
        <v>-50</v>
      </c>
      <c r="F46" s="609">
        <v>-25</v>
      </c>
      <c r="G46" s="609">
        <v>0</v>
      </c>
      <c r="H46" s="609">
        <v>0</v>
      </c>
      <c r="I46" s="609">
        <v>-50</v>
      </c>
      <c r="J46" s="609">
        <v>0</v>
      </c>
      <c r="K46" s="609">
        <v>0</v>
      </c>
      <c r="L46" s="609">
        <v>0</v>
      </c>
      <c r="M46" s="609">
        <v>0</v>
      </c>
      <c r="N46" s="587">
        <f t="shared" si="1"/>
        <v>0</v>
      </c>
      <c r="O46"/>
      <c r="P46" s="490"/>
      <c r="Q46" t="str">
        <f t="shared" si="2"/>
        <v>41556</v>
      </c>
      <c r="R46" s="126" t="str">
        <f t="shared" si="3"/>
        <v>SPECIAL EVENT FEES/PERMITS</v>
      </c>
      <c r="S46" s="125" t="str">
        <f t="shared" si="4"/>
        <v>100</v>
      </c>
      <c r="T46" s="125" t="str">
        <f t="shared" si="5"/>
        <v>00</v>
      </c>
      <c r="U46" s="125" t="str">
        <f t="shared" si="6"/>
        <v>000</v>
      </c>
      <c r="V46" s="125" t="str">
        <f>VLOOKUP(Q46,'GL Category'!A:C,3,FALSE)</f>
        <v>FINES AND FEES</v>
      </c>
      <c r="W46" s="125"/>
    </row>
    <row r="47" spans="1:23" s="83" customFormat="1" ht="20.399999999999999" customHeight="1">
      <c r="A47" s="608" t="s">
        <v>791</v>
      </c>
      <c r="B47" s="608" t="s">
        <v>2217</v>
      </c>
      <c r="C47" s="608" t="s">
        <v>866</v>
      </c>
      <c r="D47" s="609">
        <v>-2444.9499999999998</v>
      </c>
      <c r="E47" s="609">
        <v>-1304.83</v>
      </c>
      <c r="F47" s="609">
        <v>-24.25</v>
      </c>
      <c r="G47" s="609">
        <v>-34.39</v>
      </c>
      <c r="H47" s="609">
        <v>0</v>
      </c>
      <c r="I47" s="609">
        <v>-106.57</v>
      </c>
      <c r="J47" s="609">
        <v>-109</v>
      </c>
      <c r="K47" s="609">
        <v>0</v>
      </c>
      <c r="L47" s="609">
        <v>0</v>
      </c>
      <c r="M47" s="609">
        <v>0</v>
      </c>
      <c r="N47" s="587">
        <f t="shared" si="1"/>
        <v>0</v>
      </c>
      <c r="O47"/>
      <c r="P47" s="490"/>
      <c r="Q47" t="str">
        <f t="shared" si="2"/>
        <v>41560</v>
      </c>
      <c r="R47" s="126" t="str">
        <f t="shared" si="3"/>
        <v>LIBRARY FINES REVENUE</v>
      </c>
      <c r="S47" s="125" t="str">
        <f t="shared" si="4"/>
        <v>100</v>
      </c>
      <c r="T47" s="125" t="str">
        <f t="shared" si="5"/>
        <v>00</v>
      </c>
      <c r="U47" s="125" t="str">
        <f t="shared" si="6"/>
        <v>000</v>
      </c>
      <c r="V47" s="125" t="str">
        <f>VLOOKUP(Q47,'GL Category'!A:C,3,FALSE)</f>
        <v>FINES AND FEES</v>
      </c>
      <c r="W47" s="125"/>
    </row>
    <row r="48" spans="1:23" s="83" customFormat="1" ht="20.399999999999999" customHeight="1">
      <c r="A48" s="608" t="s">
        <v>791</v>
      </c>
      <c r="B48" s="608" t="s">
        <v>2218</v>
      </c>
      <c r="C48" s="608" t="s">
        <v>407</v>
      </c>
      <c r="D48" s="609">
        <v>-1451.82</v>
      </c>
      <c r="E48" s="609">
        <v>-1740.77</v>
      </c>
      <c r="F48" s="609">
        <v>-1213.18</v>
      </c>
      <c r="G48" s="609">
        <v>-1909.36</v>
      </c>
      <c r="H48" s="609">
        <v>-2087</v>
      </c>
      <c r="I48" s="609">
        <v>-1667.71</v>
      </c>
      <c r="J48" s="609">
        <v>-1740</v>
      </c>
      <c r="K48" s="609">
        <v>-1944</v>
      </c>
      <c r="L48" s="609">
        <v>0</v>
      </c>
      <c r="M48" s="609">
        <v>0</v>
      </c>
      <c r="N48" s="587">
        <f t="shared" si="1"/>
        <v>-1944</v>
      </c>
      <c r="O48"/>
      <c r="P48" s="490"/>
      <c r="Q48" t="str">
        <f t="shared" si="2"/>
        <v>41570</v>
      </c>
      <c r="R48" s="126" t="str">
        <f t="shared" si="3"/>
        <v>LIBRARY LOST BOOKS REVENUE</v>
      </c>
      <c r="S48" s="125" t="str">
        <f t="shared" si="4"/>
        <v>100</v>
      </c>
      <c r="T48" s="125" t="str">
        <f t="shared" si="5"/>
        <v>00</v>
      </c>
      <c r="U48" s="125" t="str">
        <f t="shared" si="6"/>
        <v>000</v>
      </c>
      <c r="V48" s="125" t="str">
        <f>VLOOKUP(Q48,'GL Category'!A:C,3,FALSE)</f>
        <v>FINES AND FEES</v>
      </c>
      <c r="W48" s="125"/>
    </row>
    <row r="49" spans="1:23" s="83" customFormat="1" ht="20.399999999999999" customHeight="1">
      <c r="A49" s="608" t="s">
        <v>791</v>
      </c>
      <c r="B49" s="608" t="s">
        <v>2219</v>
      </c>
      <c r="C49" s="608" t="s">
        <v>408</v>
      </c>
      <c r="D49" s="609">
        <v>-6535.35</v>
      </c>
      <c r="E49" s="609">
        <v>-8140.61</v>
      </c>
      <c r="F49" s="609">
        <v>-6400.5</v>
      </c>
      <c r="G49" s="609">
        <v>-6000.15</v>
      </c>
      <c r="H49" s="609">
        <v>-5690</v>
      </c>
      <c r="I49" s="609">
        <v>-4633.33</v>
      </c>
      <c r="J49" s="609">
        <v>-5276</v>
      </c>
      <c r="K49" s="609">
        <v>-5276</v>
      </c>
      <c r="L49" s="609">
        <v>0</v>
      </c>
      <c r="M49" s="609">
        <v>0</v>
      </c>
      <c r="N49" s="587">
        <f t="shared" si="1"/>
        <v>-5276</v>
      </c>
      <c r="O49"/>
      <c r="P49" s="490"/>
      <c r="Q49" t="str">
        <f t="shared" si="2"/>
        <v>41580</v>
      </c>
      <c r="R49" s="126" t="str">
        <f t="shared" si="3"/>
        <v>LIBRARY SERVICE FEES</v>
      </c>
      <c r="S49" s="125" t="str">
        <f t="shared" si="4"/>
        <v>100</v>
      </c>
      <c r="T49" s="125" t="str">
        <f t="shared" si="5"/>
        <v>00</v>
      </c>
      <c r="U49" s="125" t="str">
        <f t="shared" si="6"/>
        <v>000</v>
      </c>
      <c r="V49" s="125" t="str">
        <f>VLOOKUP(Q49,'GL Category'!A:C,3,FALSE)</f>
        <v>FINES AND FEES</v>
      </c>
      <c r="W49" s="125"/>
    </row>
    <row r="50" spans="1:23" s="83" customFormat="1" ht="20.399999999999999" customHeight="1">
      <c r="A50" s="608" t="s">
        <v>791</v>
      </c>
      <c r="B50" s="608" t="s">
        <v>2220</v>
      </c>
      <c r="C50" s="608" t="s">
        <v>3138</v>
      </c>
      <c r="D50" s="609">
        <v>-600312.24</v>
      </c>
      <c r="E50" s="609">
        <v>-412307.16</v>
      </c>
      <c r="F50" s="609">
        <v>-445081.96</v>
      </c>
      <c r="G50" s="609">
        <v>-465501.49</v>
      </c>
      <c r="H50" s="609">
        <v>-514265</v>
      </c>
      <c r="I50" s="609">
        <v>-499256.04</v>
      </c>
      <c r="J50" s="609">
        <v>-651607</v>
      </c>
      <c r="K50" s="609">
        <v>-548411</v>
      </c>
      <c r="L50" s="609">
        <v>0</v>
      </c>
      <c r="M50" s="609">
        <v>0</v>
      </c>
      <c r="N50" s="587">
        <f t="shared" si="1"/>
        <v>-548411</v>
      </c>
      <c r="O50"/>
      <c r="P50" s="490"/>
      <c r="Q50" t="str">
        <f t="shared" si="2"/>
        <v>41610</v>
      </c>
      <c r="R50" s="126" t="str">
        <f t="shared" si="3"/>
        <v>COURT FINES &amp; FORFEITS</v>
      </c>
      <c r="S50" s="125" t="str">
        <f t="shared" si="4"/>
        <v>100</v>
      </c>
      <c r="T50" s="125" t="str">
        <f t="shared" si="5"/>
        <v>00</v>
      </c>
      <c r="U50" s="125" t="str">
        <f t="shared" si="6"/>
        <v>000</v>
      </c>
      <c r="V50" s="125" t="str">
        <f>VLOOKUP(Q50,'GL Category'!A:C,3,FALSE)</f>
        <v>FINES AND FEES</v>
      </c>
      <c r="W50" s="125"/>
    </row>
    <row r="51" spans="1:23" s="83" customFormat="1" ht="20.399999999999999" customHeight="1">
      <c r="A51" s="608" t="s">
        <v>791</v>
      </c>
      <c r="B51" s="608" t="s">
        <v>2221</v>
      </c>
      <c r="C51" s="608" t="s">
        <v>868</v>
      </c>
      <c r="D51" s="609">
        <v>-8470</v>
      </c>
      <c r="E51" s="609">
        <v>-21890</v>
      </c>
      <c r="F51" s="609">
        <v>-22969.98</v>
      </c>
      <c r="G51" s="609">
        <v>-24430</v>
      </c>
      <c r="H51" s="609">
        <v>-22583</v>
      </c>
      <c r="I51" s="609">
        <v>-20917.5</v>
      </c>
      <c r="J51" s="609">
        <v>-24950</v>
      </c>
      <c r="K51" s="609">
        <v>-24950</v>
      </c>
      <c r="L51" s="609">
        <v>0</v>
      </c>
      <c r="M51" s="609">
        <v>0</v>
      </c>
      <c r="N51" s="587">
        <f t="shared" si="1"/>
        <v>-24950</v>
      </c>
      <c r="O51"/>
      <c r="P51" s="490"/>
      <c r="Q51" t="str">
        <f t="shared" si="2"/>
        <v>42105</v>
      </c>
      <c r="R51" s="126" t="str">
        <f t="shared" si="3"/>
        <v>PARK RENTAL FEES-FACILITIES</v>
      </c>
      <c r="S51" s="125" t="str">
        <f t="shared" si="4"/>
        <v>100</v>
      </c>
      <c r="T51" s="125" t="str">
        <f t="shared" si="5"/>
        <v>00</v>
      </c>
      <c r="U51" s="125" t="str">
        <f t="shared" si="6"/>
        <v>000</v>
      </c>
      <c r="V51" s="125" t="str">
        <f>VLOOKUP(Q51,'GL Category'!A:C,3,FALSE)</f>
        <v>CHARGES FOR SERVICE</v>
      </c>
      <c r="W51" s="125"/>
    </row>
    <row r="52" spans="1:23" s="83" customFormat="1" ht="20.399999999999999" customHeight="1">
      <c r="A52" s="608" t="s">
        <v>791</v>
      </c>
      <c r="B52" s="608" t="s">
        <v>2222</v>
      </c>
      <c r="C52" s="608" t="s">
        <v>869</v>
      </c>
      <c r="D52" s="609">
        <v>-41541.769999999997</v>
      </c>
      <c r="E52" s="609">
        <v>-41766.54</v>
      </c>
      <c r="F52" s="609">
        <v>-97249.78</v>
      </c>
      <c r="G52" s="609">
        <v>-9297.49</v>
      </c>
      <c r="H52" s="609">
        <v>-36684</v>
      </c>
      <c r="I52" s="609">
        <v>-6956.35</v>
      </c>
      <c r="J52" s="609">
        <v>-36684</v>
      </c>
      <c r="K52" s="609">
        <v>-34466</v>
      </c>
      <c r="L52" s="609">
        <v>0</v>
      </c>
      <c r="M52" s="609">
        <v>0</v>
      </c>
      <c r="N52" s="587">
        <f t="shared" si="1"/>
        <v>-34466</v>
      </c>
      <c r="O52"/>
      <c r="P52" s="490"/>
      <c r="Q52" t="str">
        <f t="shared" si="2"/>
        <v>42107</v>
      </c>
      <c r="R52" s="126" t="str">
        <f t="shared" si="3"/>
        <v>PARK RENTAL FEES-SPORTS PARK</v>
      </c>
      <c r="S52" s="125" t="str">
        <f t="shared" si="4"/>
        <v>100</v>
      </c>
      <c r="T52" s="125" t="str">
        <f t="shared" si="5"/>
        <v>00</v>
      </c>
      <c r="U52" s="125" t="str">
        <f t="shared" si="6"/>
        <v>000</v>
      </c>
      <c r="V52" s="125" t="str">
        <f>VLOOKUP(Q52,'GL Category'!A:C,3,FALSE)</f>
        <v>CHARGES FOR SERVICE</v>
      </c>
      <c r="W52" s="125"/>
    </row>
    <row r="53" spans="1:23" s="83" customFormat="1" ht="20.399999999999999" customHeight="1">
      <c r="A53" s="608" t="s">
        <v>791</v>
      </c>
      <c r="B53" s="608" t="s">
        <v>2223</v>
      </c>
      <c r="C53" s="608" t="s">
        <v>474</v>
      </c>
      <c r="D53" s="609">
        <v>-37080</v>
      </c>
      <c r="E53" s="609">
        <v>-104980</v>
      </c>
      <c r="F53" s="609">
        <v>-65690</v>
      </c>
      <c r="G53" s="609">
        <v>-157110</v>
      </c>
      <c r="H53" s="609">
        <v>-153038</v>
      </c>
      <c r="I53" s="609">
        <v>-112260</v>
      </c>
      <c r="J53" s="609">
        <v>-155190</v>
      </c>
      <c r="K53" s="609">
        <v>-155190</v>
      </c>
      <c r="L53" s="609">
        <v>0</v>
      </c>
      <c r="M53" s="609">
        <v>0</v>
      </c>
      <c r="N53" s="587">
        <f t="shared" si="1"/>
        <v>-155190</v>
      </c>
      <c r="O53"/>
      <c r="P53" s="490"/>
      <c r="Q53" t="str">
        <f t="shared" si="2"/>
        <v>42108</v>
      </c>
      <c r="R53" s="126" t="str">
        <f t="shared" si="3"/>
        <v>RENTAL-KSP NON RESIDENT FEE</v>
      </c>
      <c r="S53" s="125" t="str">
        <f t="shared" si="4"/>
        <v>100</v>
      </c>
      <c r="T53" s="125" t="str">
        <f t="shared" si="5"/>
        <v>00</v>
      </c>
      <c r="U53" s="125" t="str">
        <f t="shared" si="6"/>
        <v>000</v>
      </c>
      <c r="V53" s="125" t="str">
        <f>VLOOKUP(Q53,'GL Category'!A:C,3,FALSE)</f>
        <v>CHARGES FOR SERVICE</v>
      </c>
      <c r="W53" s="125"/>
    </row>
    <row r="54" spans="1:23" s="83" customFormat="1" ht="20.399999999999999" customHeight="1">
      <c r="A54" s="608" t="s">
        <v>791</v>
      </c>
      <c r="B54" s="608" t="s">
        <v>2224</v>
      </c>
      <c r="C54" s="608" t="s">
        <v>409</v>
      </c>
      <c r="D54" s="609">
        <v>-3280</v>
      </c>
      <c r="E54" s="609">
        <v>-3005</v>
      </c>
      <c r="F54" s="609">
        <v>-3030</v>
      </c>
      <c r="G54" s="609">
        <v>-4330</v>
      </c>
      <c r="H54" s="609">
        <v>-3862</v>
      </c>
      <c r="I54" s="609">
        <v>-4375</v>
      </c>
      <c r="J54" s="609">
        <v>-5083</v>
      </c>
      <c r="K54" s="609">
        <v>-5375</v>
      </c>
      <c r="L54" s="609">
        <v>0</v>
      </c>
      <c r="M54" s="609">
        <v>0</v>
      </c>
      <c r="N54" s="587">
        <f t="shared" si="1"/>
        <v>-5375</v>
      </c>
      <c r="O54"/>
      <c r="P54" s="490"/>
      <c r="Q54" t="str">
        <f t="shared" si="2"/>
        <v>42125</v>
      </c>
      <c r="R54" s="126" t="str">
        <f t="shared" si="3"/>
        <v>FACILITY RENTAL FEES</v>
      </c>
      <c r="S54" s="125" t="str">
        <f t="shared" si="4"/>
        <v>100</v>
      </c>
      <c r="T54" s="125" t="str">
        <f t="shared" si="5"/>
        <v>00</v>
      </c>
      <c r="U54" s="125" t="str">
        <f t="shared" si="6"/>
        <v>000</v>
      </c>
      <c r="V54" s="125" t="str">
        <f>VLOOKUP(Q54,'GL Category'!A:C,3,FALSE)</f>
        <v>CHARGES FOR SERVICE</v>
      </c>
      <c r="W54" s="125"/>
    </row>
    <row r="55" spans="1:23" s="83" customFormat="1" ht="20.399999999999999" customHeight="1">
      <c r="A55" s="608" t="s">
        <v>791</v>
      </c>
      <c r="B55" s="608" t="s">
        <v>2225</v>
      </c>
      <c r="C55" s="608" t="s">
        <v>870</v>
      </c>
      <c r="D55" s="609">
        <v>-200791.49</v>
      </c>
      <c r="E55" s="609">
        <v>-206567.54</v>
      </c>
      <c r="F55" s="609">
        <v>-211042.64</v>
      </c>
      <c r="G55" s="609">
        <v>-213854.43</v>
      </c>
      <c r="H55" s="609">
        <v>-213534</v>
      </c>
      <c r="I55" s="609">
        <v>-119591.81</v>
      </c>
      <c r="J55" s="609">
        <v>-219231</v>
      </c>
      <c r="K55" s="609">
        <v>-219231</v>
      </c>
      <c r="L55" s="609">
        <v>0</v>
      </c>
      <c r="M55" s="609">
        <v>0</v>
      </c>
      <c r="N55" s="587">
        <f t="shared" si="1"/>
        <v>-219231</v>
      </c>
      <c r="O55"/>
      <c r="P55" s="490"/>
      <c r="Q55" t="str">
        <f t="shared" si="2"/>
        <v>42130</v>
      </c>
      <c r="R55" s="126" t="str">
        <f t="shared" si="3"/>
        <v>COMMUNICATION TOWER RENTAL</v>
      </c>
      <c r="S55" s="125" t="str">
        <f t="shared" si="4"/>
        <v>100</v>
      </c>
      <c r="T55" s="125" t="str">
        <f t="shared" si="5"/>
        <v>00</v>
      </c>
      <c r="U55" s="125" t="str">
        <f t="shared" si="6"/>
        <v>000</v>
      </c>
      <c r="V55" s="125" t="str">
        <f>VLOOKUP(Q55,'GL Category'!A:C,3,FALSE)</f>
        <v>CHARGES FOR SERVICE</v>
      </c>
      <c r="W55" s="125"/>
    </row>
    <row r="56" spans="1:23" s="83" customFormat="1" ht="20.399999999999999" customHeight="1">
      <c r="A56" s="608" t="s">
        <v>791</v>
      </c>
      <c r="B56" s="608" t="s">
        <v>2226</v>
      </c>
      <c r="C56" s="608" t="s">
        <v>410</v>
      </c>
      <c r="D56" s="609">
        <v>-348</v>
      </c>
      <c r="E56" s="609">
        <v>-30</v>
      </c>
      <c r="F56" s="609">
        <v>-3083</v>
      </c>
      <c r="G56" s="609">
        <v>0</v>
      </c>
      <c r="H56" s="609">
        <v>0</v>
      </c>
      <c r="I56" s="609">
        <v>0</v>
      </c>
      <c r="J56" s="609">
        <v>0</v>
      </c>
      <c r="K56" s="609">
        <v>0</v>
      </c>
      <c r="L56" s="609">
        <v>0</v>
      </c>
      <c r="M56" s="609">
        <v>0</v>
      </c>
      <c r="N56" s="587">
        <f t="shared" si="1"/>
        <v>0</v>
      </c>
      <c r="O56"/>
      <c r="P56" s="490"/>
      <c r="Q56" t="str">
        <f t="shared" si="2"/>
        <v>42135</v>
      </c>
      <c r="R56" s="126" t="str">
        <f t="shared" si="3"/>
        <v>PUBLIC ARTS SALES COMMISSIONS</v>
      </c>
      <c r="S56" s="125" t="str">
        <f t="shared" si="4"/>
        <v>100</v>
      </c>
      <c r="T56" s="125" t="str">
        <f t="shared" si="5"/>
        <v>00</v>
      </c>
      <c r="U56" s="125" t="str">
        <f t="shared" si="6"/>
        <v>000</v>
      </c>
      <c r="V56" s="125" t="str">
        <f>VLOOKUP(Q56,'GL Category'!A:C,3,FALSE)</f>
        <v>CHARGES FOR SERVICE</v>
      </c>
      <c r="W56" s="125"/>
    </row>
    <row r="57" spans="1:23" s="83" customFormat="1" ht="20.399999999999999" customHeight="1">
      <c r="A57" s="608" t="s">
        <v>791</v>
      </c>
      <c r="B57" s="608" t="s">
        <v>2227</v>
      </c>
      <c r="C57" s="608" t="s">
        <v>871</v>
      </c>
      <c r="D57" s="609">
        <v>-450</v>
      </c>
      <c r="E57" s="609">
        <v>-450</v>
      </c>
      <c r="F57" s="609">
        <v>-450</v>
      </c>
      <c r="G57" s="609">
        <v>-450</v>
      </c>
      <c r="H57" s="609">
        <v>0</v>
      </c>
      <c r="I57" s="609">
        <v>-450</v>
      </c>
      <c r="J57" s="609">
        <v>0</v>
      </c>
      <c r="K57" s="609">
        <v>0</v>
      </c>
      <c r="L57" s="609">
        <v>0</v>
      </c>
      <c r="M57" s="609">
        <v>0</v>
      </c>
      <c r="N57" s="587">
        <f t="shared" si="1"/>
        <v>0</v>
      </c>
      <c r="O57"/>
      <c r="P57" s="490"/>
      <c r="Q57" t="str">
        <f t="shared" si="2"/>
        <v>42140</v>
      </c>
      <c r="R57" s="126" t="str">
        <f t="shared" si="3"/>
        <v>RIGHT-OF-WAY EASEMENTS</v>
      </c>
      <c r="S57" s="125" t="str">
        <f t="shared" si="4"/>
        <v>100</v>
      </c>
      <c r="T57" s="125" t="str">
        <f t="shared" si="5"/>
        <v>00</v>
      </c>
      <c r="U57" s="125" t="str">
        <f t="shared" si="6"/>
        <v>000</v>
      </c>
      <c r="V57" s="125" t="str">
        <f>VLOOKUP(Q57,'GL Category'!A:C,3,FALSE)</f>
        <v>CHARGES FOR SERVICE</v>
      </c>
      <c r="W57" s="125"/>
    </row>
    <row r="58" spans="1:23" s="83" customFormat="1" ht="20.399999999999999" customHeight="1">
      <c r="A58" s="608" t="s">
        <v>791</v>
      </c>
      <c r="B58" s="608" t="s">
        <v>2228</v>
      </c>
      <c r="C58" s="608" t="s">
        <v>411</v>
      </c>
      <c r="D58" s="609">
        <v>0</v>
      </c>
      <c r="E58" s="609">
        <v>0</v>
      </c>
      <c r="F58" s="609">
        <v>0</v>
      </c>
      <c r="G58" s="609">
        <v>0</v>
      </c>
      <c r="H58" s="609">
        <v>0</v>
      </c>
      <c r="I58" s="609">
        <v>0</v>
      </c>
      <c r="J58" s="609">
        <v>0</v>
      </c>
      <c r="K58" s="609">
        <v>0</v>
      </c>
      <c r="L58" s="609">
        <v>0</v>
      </c>
      <c r="M58" s="609">
        <v>0</v>
      </c>
      <c r="N58" s="587">
        <f t="shared" si="1"/>
        <v>0</v>
      </c>
      <c r="O58"/>
      <c r="P58" s="490"/>
      <c r="Q58" t="str">
        <f t="shared" si="2"/>
        <v>42200</v>
      </c>
      <c r="R58" s="126" t="str">
        <f t="shared" si="3"/>
        <v>OIL &amp; GAS ROYALTY REVENUE</v>
      </c>
      <c r="S58" s="125" t="str">
        <f t="shared" si="4"/>
        <v>100</v>
      </c>
      <c r="T58" s="125" t="str">
        <f t="shared" si="5"/>
        <v>00</v>
      </c>
      <c r="U58" s="125" t="str">
        <f t="shared" si="6"/>
        <v>000</v>
      </c>
      <c r="V58" s="125" t="str">
        <f>VLOOKUP(Q58,'GL Category'!A:C,3,FALSE)</f>
        <v>CHARGES FOR SERVICE</v>
      </c>
      <c r="W58" s="125"/>
    </row>
    <row r="59" spans="1:23" s="83" customFormat="1" ht="20.399999999999999" customHeight="1">
      <c r="A59" s="608" t="s">
        <v>791</v>
      </c>
      <c r="B59" s="608" t="s">
        <v>2229</v>
      </c>
      <c r="C59" s="608" t="s">
        <v>412</v>
      </c>
      <c r="D59" s="609">
        <v>-1967.61</v>
      </c>
      <c r="E59" s="609">
        <v>-3680.5</v>
      </c>
      <c r="F59" s="609">
        <v>-2283.16</v>
      </c>
      <c r="G59" s="609">
        <v>-5711.57</v>
      </c>
      <c r="H59" s="609">
        <v>-3360</v>
      </c>
      <c r="I59" s="609">
        <v>-19805.330000000002</v>
      </c>
      <c r="J59" s="609">
        <v>-6271</v>
      </c>
      <c r="K59" s="609">
        <v>-6271</v>
      </c>
      <c r="L59" s="609">
        <v>0</v>
      </c>
      <c r="M59" s="609">
        <v>0</v>
      </c>
      <c r="N59" s="587">
        <f t="shared" si="1"/>
        <v>-6271</v>
      </c>
      <c r="O59"/>
      <c r="P59" s="490"/>
      <c r="Q59" t="str">
        <f t="shared" si="2"/>
        <v>43010</v>
      </c>
      <c r="R59" s="126" t="str">
        <f t="shared" si="3"/>
        <v>OTHER SERVICES</v>
      </c>
      <c r="S59" s="125" t="str">
        <f t="shared" si="4"/>
        <v>100</v>
      </c>
      <c r="T59" s="125" t="str">
        <f t="shared" si="5"/>
        <v>00</v>
      </c>
      <c r="U59" s="125" t="str">
        <f t="shared" si="6"/>
        <v>000</v>
      </c>
      <c r="V59" s="125" t="str">
        <f>VLOOKUP(Q59,'GL Category'!A:C,3,FALSE)</f>
        <v>CHARGES FOR SERVICE</v>
      </c>
      <c r="W59" s="125"/>
    </row>
    <row r="60" spans="1:23" s="83" customFormat="1" ht="20.399999999999999" customHeight="1">
      <c r="A60" s="608" t="s">
        <v>791</v>
      </c>
      <c r="B60" s="608" t="s">
        <v>2230</v>
      </c>
      <c r="C60" s="608" t="s">
        <v>413</v>
      </c>
      <c r="D60" s="609">
        <v>-92099.28</v>
      </c>
      <c r="E60" s="609">
        <v>-96392.639999999999</v>
      </c>
      <c r="F60" s="609">
        <v>-96392.639999999999</v>
      </c>
      <c r="G60" s="609">
        <v>-110363.67</v>
      </c>
      <c r="H60" s="609">
        <v>-94773</v>
      </c>
      <c r="I60" s="609">
        <v>-68105.72</v>
      </c>
      <c r="J60" s="609">
        <v>-89751</v>
      </c>
      <c r="K60" s="609">
        <v>-89751</v>
      </c>
      <c r="L60" s="609">
        <v>0</v>
      </c>
      <c r="M60" s="609">
        <v>0</v>
      </c>
      <c r="N60" s="587">
        <f t="shared" si="1"/>
        <v>-89751</v>
      </c>
      <c r="O60"/>
      <c r="P60" s="490"/>
      <c r="Q60" t="str">
        <f t="shared" si="2"/>
        <v>43020</v>
      </c>
      <c r="R60" s="126" t="str">
        <f t="shared" si="3"/>
        <v>KTC PROPERTY OWNERS ASSN FEES</v>
      </c>
      <c r="S60" s="125" t="str">
        <f t="shared" si="4"/>
        <v>100</v>
      </c>
      <c r="T60" s="125" t="str">
        <f t="shared" si="5"/>
        <v>00</v>
      </c>
      <c r="U60" s="125" t="str">
        <f t="shared" si="6"/>
        <v>000</v>
      </c>
      <c r="V60" s="125" t="str">
        <f>VLOOKUP(Q60,'GL Category'!A:C,3,FALSE)</f>
        <v>CHARGES FOR SERVICE</v>
      </c>
      <c r="W60" s="125"/>
    </row>
    <row r="61" spans="1:23" s="83" customFormat="1" ht="20.399999999999999" customHeight="1">
      <c r="A61" s="608" t="s">
        <v>791</v>
      </c>
      <c r="B61" s="608" t="s">
        <v>2231</v>
      </c>
      <c r="C61" s="608" t="s">
        <v>475</v>
      </c>
      <c r="D61" s="609">
        <v>-1451100</v>
      </c>
      <c r="E61" s="609">
        <v>-1514010</v>
      </c>
      <c r="F61" s="609">
        <v>-1574950</v>
      </c>
      <c r="G61" s="609">
        <v>-1557180</v>
      </c>
      <c r="H61" s="609">
        <v>-1638770</v>
      </c>
      <c r="I61" s="609">
        <v>-1229077.5</v>
      </c>
      <c r="J61" s="609">
        <v>-1638770</v>
      </c>
      <c r="K61" s="609">
        <v>-1674281</v>
      </c>
      <c r="L61" s="609">
        <v>0</v>
      </c>
      <c r="M61" s="609">
        <v>0</v>
      </c>
      <c r="N61" s="587">
        <f t="shared" si="1"/>
        <v>-1674281</v>
      </c>
      <c r="O61"/>
      <c r="P61" s="490"/>
      <c r="Q61" t="str">
        <f t="shared" si="2"/>
        <v>43030</v>
      </c>
      <c r="R61" s="126" t="str">
        <f t="shared" si="3"/>
        <v>ADMINISTRATIVE SVCS-W&amp;S FUND</v>
      </c>
      <c r="S61" s="125" t="str">
        <f t="shared" si="4"/>
        <v>100</v>
      </c>
      <c r="T61" s="125" t="str">
        <f t="shared" si="5"/>
        <v>00</v>
      </c>
      <c r="U61" s="125" t="str">
        <f t="shared" si="6"/>
        <v>000</v>
      </c>
      <c r="V61" s="125" t="str">
        <f>VLOOKUP(Q61,'GL Category'!A:C,3,FALSE)</f>
        <v>INTRAGOVERNMENTAL</v>
      </c>
      <c r="W61" s="125"/>
    </row>
    <row r="62" spans="1:23" s="83" customFormat="1" ht="20.399999999999999" customHeight="1">
      <c r="A62" s="608" t="s">
        <v>791</v>
      </c>
      <c r="B62" s="608" t="s">
        <v>2232</v>
      </c>
      <c r="C62" s="608" t="s">
        <v>415</v>
      </c>
      <c r="D62" s="609">
        <v>-46836</v>
      </c>
      <c r="E62" s="609">
        <v>-42590</v>
      </c>
      <c r="F62" s="609">
        <v>-42680</v>
      </c>
      <c r="G62" s="609">
        <v>-47149</v>
      </c>
      <c r="H62" s="609">
        <v>-49916</v>
      </c>
      <c r="I62" s="609">
        <v>-37437</v>
      </c>
      <c r="J62" s="609">
        <v>-49916</v>
      </c>
      <c r="K62" s="609">
        <v>-48178</v>
      </c>
      <c r="L62" s="609">
        <v>0</v>
      </c>
      <c r="M62" s="609">
        <v>0</v>
      </c>
      <c r="N62" s="587">
        <f t="shared" si="1"/>
        <v>-48178</v>
      </c>
      <c r="O62"/>
      <c r="P62" s="490"/>
      <c r="Q62" t="str">
        <f t="shared" si="2"/>
        <v>43050</v>
      </c>
      <c r="R62" s="126" t="str">
        <f t="shared" si="3"/>
        <v>ADMINISTRATIVE SVCS-KDC</v>
      </c>
      <c r="S62" s="125" t="str">
        <f t="shared" si="4"/>
        <v>100</v>
      </c>
      <c r="T62" s="125" t="str">
        <f t="shared" si="5"/>
        <v>00</v>
      </c>
      <c r="U62" s="125" t="str">
        <f t="shared" si="6"/>
        <v>000</v>
      </c>
      <c r="V62" s="125" t="str">
        <f>VLOOKUP(Q62,'GL Category'!A:C,3,FALSE)</f>
        <v>INTRAGOVERNMENTAL</v>
      </c>
      <c r="W62" s="125"/>
    </row>
    <row r="63" spans="1:23" s="83" customFormat="1" ht="20.399999999999999" customHeight="1">
      <c r="A63" s="608" t="s">
        <v>791</v>
      </c>
      <c r="B63" s="608" t="s">
        <v>2233</v>
      </c>
      <c r="C63" s="608" t="s">
        <v>872</v>
      </c>
      <c r="D63" s="609">
        <v>-2050</v>
      </c>
      <c r="E63" s="609">
        <v>-12012.5</v>
      </c>
      <c r="F63" s="609">
        <v>-16600</v>
      </c>
      <c r="G63" s="609">
        <v>-15962.5</v>
      </c>
      <c r="H63" s="609">
        <v>-16866</v>
      </c>
      <c r="I63" s="609">
        <v>-12060</v>
      </c>
      <c r="J63" s="609">
        <v>-14467</v>
      </c>
      <c r="K63" s="609">
        <v>-14467</v>
      </c>
      <c r="L63" s="609">
        <v>0</v>
      </c>
      <c r="M63" s="609">
        <v>0</v>
      </c>
      <c r="N63" s="587">
        <f t="shared" si="1"/>
        <v>-14467</v>
      </c>
      <c r="O63"/>
      <c r="P63" s="490"/>
      <c r="Q63" t="str">
        <f t="shared" si="2"/>
        <v>43070</v>
      </c>
      <c r="R63" s="126" t="str">
        <f t="shared" si="3"/>
        <v>LIBRARY NON-RESIDENT FEES</v>
      </c>
      <c r="S63" s="125" t="str">
        <f t="shared" si="4"/>
        <v>100</v>
      </c>
      <c r="T63" s="125" t="str">
        <f t="shared" si="5"/>
        <v>00</v>
      </c>
      <c r="U63" s="125" t="str">
        <f t="shared" si="6"/>
        <v>000</v>
      </c>
      <c r="V63" s="125" t="str">
        <f>VLOOKUP(Q63,'GL Category'!A:C,3,FALSE)</f>
        <v>CHARGES FOR SERVICE</v>
      </c>
      <c r="W63" s="125"/>
    </row>
    <row r="64" spans="1:23" s="83" customFormat="1" ht="20.399999999999999" customHeight="1">
      <c r="A64" s="608" t="s">
        <v>791</v>
      </c>
      <c r="B64" s="608" t="s">
        <v>3384</v>
      </c>
      <c r="C64" s="608" t="s">
        <v>3383</v>
      </c>
      <c r="D64" s="609">
        <v>0</v>
      </c>
      <c r="E64" s="609">
        <v>0</v>
      </c>
      <c r="F64" s="609">
        <v>0</v>
      </c>
      <c r="G64" s="609">
        <v>-24991.98</v>
      </c>
      <c r="H64" s="609">
        <v>0</v>
      </c>
      <c r="I64" s="609">
        <v>-49359.94</v>
      </c>
      <c r="J64" s="609">
        <v>-50000</v>
      </c>
      <c r="K64" s="609">
        <v>-50000</v>
      </c>
      <c r="L64" s="609">
        <v>0</v>
      </c>
      <c r="M64" s="609">
        <v>0</v>
      </c>
      <c r="N64" s="587">
        <f t="shared" si="1"/>
        <v>-50000</v>
      </c>
      <c r="O64"/>
      <c r="P64" s="490"/>
      <c r="Q64" t="str">
        <f t="shared" si="2"/>
        <v>43415</v>
      </c>
      <c r="R64" s="126" t="str">
        <f t="shared" si="3"/>
        <v>MEMBERSHIP FEES</v>
      </c>
      <c r="S64" s="125" t="str">
        <f t="shared" si="4"/>
        <v>100</v>
      </c>
      <c r="T64" s="125" t="str">
        <f t="shared" si="5"/>
        <v>00</v>
      </c>
      <c r="U64" s="125" t="str">
        <f t="shared" si="6"/>
        <v>000</v>
      </c>
      <c r="V64" s="125" t="str">
        <f>VLOOKUP(Q64,'GL Category'!A:C,3,FALSE)</f>
        <v>CHARGES FOR SERVICE</v>
      </c>
      <c r="W64" s="125"/>
    </row>
    <row r="65" spans="1:23" s="83" customFormat="1" ht="20.399999999999999" customHeight="1">
      <c r="A65" s="608" t="s">
        <v>791</v>
      </c>
      <c r="B65" s="608" t="s">
        <v>2235</v>
      </c>
      <c r="C65" s="608" t="s">
        <v>417</v>
      </c>
      <c r="D65" s="609">
        <v>-5355.38</v>
      </c>
      <c r="E65" s="609">
        <v>-19398.240000000002</v>
      </c>
      <c r="F65" s="609">
        <v>-13676.44</v>
      </c>
      <c r="G65" s="609">
        <v>-10287.030000000001</v>
      </c>
      <c r="H65" s="609">
        <v>-14292</v>
      </c>
      <c r="I65" s="609">
        <v>-7251.4</v>
      </c>
      <c r="J65" s="609">
        <v>-6945</v>
      </c>
      <c r="K65" s="609">
        <v>-8096</v>
      </c>
      <c r="L65" s="609">
        <v>0</v>
      </c>
      <c r="M65" s="609">
        <v>0</v>
      </c>
      <c r="N65" s="587">
        <f t="shared" si="1"/>
        <v>-8096</v>
      </c>
      <c r="O65"/>
      <c r="P65" s="490"/>
      <c r="Q65" t="str">
        <f t="shared" si="2"/>
        <v>44790</v>
      </c>
      <c r="R65" s="126" t="str">
        <f t="shared" si="3"/>
        <v>WRITE OFF RECOVERY</v>
      </c>
      <c r="S65" s="125" t="str">
        <f t="shared" si="4"/>
        <v>100</v>
      </c>
      <c r="T65" s="125" t="str">
        <f t="shared" si="5"/>
        <v>00</v>
      </c>
      <c r="U65" s="125" t="str">
        <f t="shared" si="6"/>
        <v>000</v>
      </c>
      <c r="V65" s="125" t="str">
        <f>VLOOKUP(Q65,'GL Category'!A:C,3,FALSE)</f>
        <v>CHARGES FOR SERVICE</v>
      </c>
      <c r="W65" s="125"/>
    </row>
    <row r="66" spans="1:23" s="83" customFormat="1" ht="20.399999999999999" customHeight="1">
      <c r="A66" s="608" t="s">
        <v>791</v>
      </c>
      <c r="B66" s="608" t="s">
        <v>2208</v>
      </c>
      <c r="C66" s="608" t="s">
        <v>418</v>
      </c>
      <c r="D66" s="609">
        <v>-1224928</v>
      </c>
      <c r="E66" s="609">
        <v>-1247377</v>
      </c>
      <c r="F66" s="609">
        <v>-1198360</v>
      </c>
      <c r="G66" s="609">
        <v>-1394828</v>
      </c>
      <c r="H66" s="609">
        <v>-1370988</v>
      </c>
      <c r="I66" s="609">
        <v>-998364</v>
      </c>
      <c r="J66" s="609">
        <v>-1327152</v>
      </c>
      <c r="K66" s="609">
        <v>-1414314</v>
      </c>
      <c r="L66" s="609">
        <v>0</v>
      </c>
      <c r="M66" s="609">
        <v>0</v>
      </c>
      <c r="N66" s="587">
        <f t="shared" si="1"/>
        <v>-1414314</v>
      </c>
      <c r="O66"/>
      <c r="P66" s="490"/>
      <c r="Q66" t="str">
        <f t="shared" si="2"/>
        <v>46160</v>
      </c>
      <c r="R66" s="126" t="str">
        <f t="shared" si="3"/>
        <v>I/G REV-SOUTHLAKE</v>
      </c>
      <c r="S66" s="125" t="str">
        <f t="shared" si="4"/>
        <v>100</v>
      </c>
      <c r="T66" s="125" t="str">
        <f t="shared" si="5"/>
        <v>00</v>
      </c>
      <c r="U66" s="125" t="str">
        <f t="shared" si="6"/>
        <v>000</v>
      </c>
      <c r="V66" s="125" t="str">
        <f>VLOOKUP(Q66,'GL Category'!A:C,3,FALSE)</f>
        <v>INTERGOVERNMENTAL</v>
      </c>
      <c r="W66" s="125"/>
    </row>
    <row r="67" spans="1:23" s="83" customFormat="1" ht="20.399999999999999" customHeight="1">
      <c r="A67" s="608" t="s">
        <v>791</v>
      </c>
      <c r="B67" s="608" t="s">
        <v>2209</v>
      </c>
      <c r="C67" s="608" t="s">
        <v>451</v>
      </c>
      <c r="D67" s="609">
        <v>-16199.05</v>
      </c>
      <c r="E67" s="609">
        <v>-179329</v>
      </c>
      <c r="F67" s="609">
        <v>-189634.32</v>
      </c>
      <c r="G67" s="609">
        <v>-196074</v>
      </c>
      <c r="H67" s="609">
        <v>-238624</v>
      </c>
      <c r="I67" s="609">
        <v>-244364</v>
      </c>
      <c r="J67" s="609">
        <v>-240714</v>
      </c>
      <c r="K67" s="609">
        <v>-248877</v>
      </c>
      <c r="L67" s="609">
        <v>0</v>
      </c>
      <c r="M67" s="609">
        <v>0</v>
      </c>
      <c r="N67" s="587">
        <f t="shared" si="1"/>
        <v>-248877</v>
      </c>
      <c r="O67"/>
      <c r="P67" s="490"/>
      <c r="Q67" t="str">
        <f t="shared" si="2"/>
        <v>46161</v>
      </c>
      <c r="R67" s="126" t="str">
        <f t="shared" si="3"/>
        <v>I/G REV-ROANOKE</v>
      </c>
      <c r="S67" s="125" t="str">
        <f t="shared" si="4"/>
        <v>100</v>
      </c>
      <c r="T67" s="125" t="str">
        <f t="shared" si="5"/>
        <v>00</v>
      </c>
      <c r="U67" s="125" t="str">
        <f t="shared" si="6"/>
        <v>000</v>
      </c>
      <c r="V67" s="125" t="str">
        <f>VLOOKUP(Q67,'GL Category'!A:C,3,FALSE)</f>
        <v>INTERGOVERNMENTAL</v>
      </c>
      <c r="W67" s="125"/>
    </row>
    <row r="68" spans="1:23" s="83" customFormat="1" ht="20.399999999999999" customHeight="1">
      <c r="A68" s="608" t="s">
        <v>791</v>
      </c>
      <c r="B68" s="608" t="s">
        <v>3415</v>
      </c>
      <c r="C68" s="608" t="s">
        <v>1118</v>
      </c>
      <c r="D68" s="609">
        <v>0</v>
      </c>
      <c r="E68" s="609">
        <v>0</v>
      </c>
      <c r="F68" s="609">
        <v>0</v>
      </c>
      <c r="G68" s="609">
        <v>-746.22</v>
      </c>
      <c r="H68" s="609">
        <v>0</v>
      </c>
      <c r="I68" s="609">
        <v>-2218.36</v>
      </c>
      <c r="J68" s="609">
        <v>-2219</v>
      </c>
      <c r="K68" s="609">
        <v>0</v>
      </c>
      <c r="L68" s="609">
        <v>0</v>
      </c>
      <c r="M68" s="609">
        <v>0</v>
      </c>
      <c r="N68" s="587">
        <f t="shared" ref="N68:N131" si="7">SUM(K68:M68)</f>
        <v>0</v>
      </c>
      <c r="O68"/>
      <c r="P68" s="490"/>
      <c r="Q68" t="str">
        <f t="shared" ref="Q68:Q131" si="8">MID(B68,12,5)</f>
        <v>46162</v>
      </c>
      <c r="R68" s="126" t="str">
        <f t="shared" ref="R68:R131" si="9">C68</f>
        <v>I/G REV-GRAPEVINE</v>
      </c>
      <c r="S68" s="125" t="str">
        <f t="shared" ref="S68:S131" si="10">LEFT(B68,3)</f>
        <v>100</v>
      </c>
      <c r="T68" s="125" t="str">
        <f t="shared" ref="T68:T131" si="11">MID(B68,5,2)</f>
        <v>00</v>
      </c>
      <c r="U68" s="125" t="str">
        <f t="shared" ref="U68:U131" si="12">MID(B68,8,3)</f>
        <v>000</v>
      </c>
      <c r="V68" s="125" t="str">
        <f>VLOOKUP(Q68,'GL Category'!A:C,3,FALSE)</f>
        <v>INTERGOVERNMENTAL</v>
      </c>
      <c r="W68" s="125"/>
    </row>
    <row r="69" spans="1:23" s="83" customFormat="1" ht="14.4" customHeight="1">
      <c r="A69" s="608" t="s">
        <v>791</v>
      </c>
      <c r="B69" s="608" t="s">
        <v>2236</v>
      </c>
      <c r="C69" s="608" t="s">
        <v>419</v>
      </c>
      <c r="D69" s="609">
        <v>-978651</v>
      </c>
      <c r="E69" s="609">
        <v>-981026</v>
      </c>
      <c r="F69" s="609">
        <v>-993553.12</v>
      </c>
      <c r="G69" s="609">
        <v>-1177069</v>
      </c>
      <c r="H69" s="609">
        <v>-1208277</v>
      </c>
      <c r="I69" s="609">
        <v>-898398</v>
      </c>
      <c r="J69" s="609">
        <v>-1197864</v>
      </c>
      <c r="K69" s="609">
        <v>-1256846</v>
      </c>
      <c r="L69" s="609">
        <v>0</v>
      </c>
      <c r="M69" s="609">
        <v>0</v>
      </c>
      <c r="N69" s="587">
        <f t="shared" si="7"/>
        <v>-1256846</v>
      </c>
      <c r="O69"/>
      <c r="P69" s="490"/>
      <c r="Q69" t="str">
        <f t="shared" si="8"/>
        <v>46165</v>
      </c>
      <c r="R69" s="126" t="str">
        <f t="shared" si="9"/>
        <v>I/G REV-TOWN OF WESTLAKE</v>
      </c>
      <c r="S69" s="125" t="str">
        <f t="shared" si="10"/>
        <v>100</v>
      </c>
      <c r="T69" s="125" t="str">
        <f t="shared" si="11"/>
        <v>00</v>
      </c>
      <c r="U69" s="125" t="str">
        <f t="shared" si="12"/>
        <v>000</v>
      </c>
      <c r="V69" s="125" t="str">
        <f>VLOOKUP(Q69,'GL Category'!A:C,3,FALSE)</f>
        <v>INTERGOVERNMENTAL</v>
      </c>
      <c r="W69" s="125"/>
    </row>
    <row r="70" spans="1:23" s="83" customFormat="1" ht="14.4" customHeight="1">
      <c r="A70" s="608" t="s">
        <v>791</v>
      </c>
      <c r="B70" s="608" t="s">
        <v>2207</v>
      </c>
      <c r="C70" s="608" t="s">
        <v>420</v>
      </c>
      <c r="D70" s="609">
        <v>-917991.5</v>
      </c>
      <c r="E70" s="609">
        <v>-814300</v>
      </c>
      <c r="F70" s="609">
        <v>-867600.8</v>
      </c>
      <c r="G70" s="609">
        <v>-947001</v>
      </c>
      <c r="H70" s="609">
        <v>-1114539</v>
      </c>
      <c r="I70" s="609">
        <v>-815512.5</v>
      </c>
      <c r="J70" s="609">
        <v>-1087350</v>
      </c>
      <c r="K70" s="609">
        <v>-1160521</v>
      </c>
      <c r="L70" s="609">
        <v>0</v>
      </c>
      <c r="M70" s="609">
        <v>0</v>
      </c>
      <c r="N70" s="587">
        <f t="shared" si="7"/>
        <v>-1160521</v>
      </c>
      <c r="O70"/>
      <c r="P70" s="490"/>
      <c r="Q70" t="str">
        <f t="shared" si="8"/>
        <v>46167</v>
      </c>
      <c r="R70" s="126" t="str">
        <f t="shared" si="9"/>
        <v>I/G REV-COLLEYVILLE</v>
      </c>
      <c r="S70" s="125" t="str">
        <f t="shared" si="10"/>
        <v>100</v>
      </c>
      <c r="T70" s="125" t="str">
        <f t="shared" si="11"/>
        <v>00</v>
      </c>
      <c r="U70" s="125" t="str">
        <f t="shared" si="12"/>
        <v>000</v>
      </c>
      <c r="V70" s="125" t="str">
        <f>VLOOKUP(Q70,'GL Category'!A:C,3,FALSE)</f>
        <v>INTERGOVERNMENTAL</v>
      </c>
      <c r="W70" s="125"/>
    </row>
    <row r="71" spans="1:23" s="83" customFormat="1" ht="20.399999999999999" customHeight="1">
      <c r="A71" s="608" t="s">
        <v>791</v>
      </c>
      <c r="B71" s="608" t="s">
        <v>3280</v>
      </c>
      <c r="C71" s="608" t="s">
        <v>886</v>
      </c>
      <c r="D71" s="609">
        <v>0</v>
      </c>
      <c r="E71" s="609">
        <v>0</v>
      </c>
      <c r="F71" s="609">
        <v>0</v>
      </c>
      <c r="G71" s="609">
        <v>0</v>
      </c>
      <c r="H71" s="609">
        <v>0</v>
      </c>
      <c r="I71" s="609">
        <v>0</v>
      </c>
      <c r="J71" s="609">
        <v>0</v>
      </c>
      <c r="K71" s="609">
        <v>0</v>
      </c>
      <c r="L71" s="609">
        <v>0</v>
      </c>
      <c r="M71" s="609">
        <v>0</v>
      </c>
      <c r="N71" s="587">
        <f t="shared" si="7"/>
        <v>0</v>
      </c>
      <c r="O71"/>
      <c r="P71" s="490"/>
      <c r="Q71" t="str">
        <f t="shared" si="8"/>
        <v>46170</v>
      </c>
      <c r="R71" s="126" t="str">
        <f t="shared" si="9"/>
        <v>I/GOVT REV-KELLER HIGH ED CORP</v>
      </c>
      <c r="S71" s="125" t="str">
        <f t="shared" si="10"/>
        <v>100</v>
      </c>
      <c r="T71" s="125" t="str">
        <f t="shared" si="11"/>
        <v>00</v>
      </c>
      <c r="U71" s="125" t="str">
        <f t="shared" si="12"/>
        <v>000</v>
      </c>
      <c r="V71" s="125" t="str">
        <f>VLOOKUP(Q71,'GL Category'!A:C,3,FALSE)</f>
        <v>INTERGOVERNMENTAL</v>
      </c>
      <c r="W71" s="125"/>
    </row>
    <row r="72" spans="1:23" s="83" customFormat="1" ht="20.399999999999999" customHeight="1">
      <c r="A72" s="608" t="s">
        <v>791</v>
      </c>
      <c r="B72" s="608" t="s">
        <v>2237</v>
      </c>
      <c r="C72" s="608" t="s">
        <v>1103</v>
      </c>
      <c r="D72" s="609">
        <v>-147113.45000000001</v>
      </c>
      <c r="E72" s="609">
        <v>-90494.85</v>
      </c>
      <c r="F72" s="609">
        <v>-232073.98</v>
      </c>
      <c r="G72" s="609">
        <v>-371926.33</v>
      </c>
      <c r="H72" s="609">
        <v>-397497</v>
      </c>
      <c r="I72" s="609">
        <v>-316999.78999999998</v>
      </c>
      <c r="J72" s="609">
        <v>-397497</v>
      </c>
      <c r="K72" s="609">
        <v>-352544</v>
      </c>
      <c r="L72" s="609">
        <v>0</v>
      </c>
      <c r="M72" s="609">
        <v>0</v>
      </c>
      <c r="N72" s="587">
        <f t="shared" si="7"/>
        <v>-352544</v>
      </c>
      <c r="O72"/>
      <c r="P72" s="490"/>
      <c r="Q72" t="str">
        <f t="shared" si="8"/>
        <v>46172</v>
      </c>
      <c r="R72" s="126" t="str">
        <f t="shared" si="9"/>
        <v>I/G REV-KISD RESERVE OFFICER</v>
      </c>
      <c r="S72" s="125" t="str">
        <f t="shared" si="10"/>
        <v>100</v>
      </c>
      <c r="T72" s="125" t="str">
        <f t="shared" si="11"/>
        <v>00</v>
      </c>
      <c r="U72" s="125" t="str">
        <f t="shared" si="12"/>
        <v>000</v>
      </c>
      <c r="V72" s="125" t="str">
        <f>VLOOKUP(Q72,'GL Category'!A:C,3,FALSE)</f>
        <v>INTERGOVERNMENTAL</v>
      </c>
      <c r="W72" s="125"/>
    </row>
    <row r="73" spans="1:23" s="83" customFormat="1" ht="20.399999999999999" customHeight="1">
      <c r="A73" s="608" t="s">
        <v>791</v>
      </c>
      <c r="B73" s="608" t="s">
        <v>2238</v>
      </c>
      <c r="C73" s="608" t="s">
        <v>888</v>
      </c>
      <c r="D73" s="609">
        <v>0</v>
      </c>
      <c r="E73" s="609">
        <v>0</v>
      </c>
      <c r="F73" s="609">
        <v>0</v>
      </c>
      <c r="G73" s="609">
        <v>-24858.78</v>
      </c>
      <c r="H73" s="609">
        <v>0</v>
      </c>
      <c r="I73" s="609">
        <v>0</v>
      </c>
      <c r="J73" s="609">
        <v>0</v>
      </c>
      <c r="K73" s="609">
        <v>0</v>
      </c>
      <c r="L73" s="609">
        <v>0</v>
      </c>
      <c r="M73" s="609">
        <v>0</v>
      </c>
      <c r="N73" s="587">
        <f t="shared" si="7"/>
        <v>0</v>
      </c>
      <c r="O73"/>
      <c r="P73" s="490"/>
      <c r="Q73" t="str">
        <f t="shared" si="8"/>
        <v>46199</v>
      </c>
      <c r="R73" s="126" t="str">
        <f t="shared" si="9"/>
        <v>I/G REV-LOCAL-MISC</v>
      </c>
      <c r="S73" s="125" t="str">
        <f t="shared" si="10"/>
        <v>100</v>
      </c>
      <c r="T73" s="125" t="str">
        <f t="shared" si="11"/>
        <v>00</v>
      </c>
      <c r="U73" s="125" t="str">
        <f t="shared" si="12"/>
        <v>000</v>
      </c>
      <c r="V73" s="125" t="str">
        <f>VLOOKUP(Q73,'GL Category'!A:C,3,FALSE)</f>
        <v>INTERGOVERNMENTAL</v>
      </c>
      <c r="W73" s="125"/>
    </row>
    <row r="74" spans="1:23" s="83" customFormat="1" ht="20.399999999999999" customHeight="1">
      <c r="A74" s="608" t="s">
        <v>791</v>
      </c>
      <c r="B74" s="608" t="s">
        <v>2239</v>
      </c>
      <c r="C74" s="608" t="s">
        <v>476</v>
      </c>
      <c r="D74" s="609">
        <v>0</v>
      </c>
      <c r="E74" s="609">
        <v>0</v>
      </c>
      <c r="F74" s="609">
        <v>0</v>
      </c>
      <c r="G74" s="609">
        <v>0</v>
      </c>
      <c r="H74" s="609">
        <v>0</v>
      </c>
      <c r="I74" s="609">
        <v>0</v>
      </c>
      <c r="J74" s="609">
        <v>0</v>
      </c>
      <c r="K74" s="609">
        <v>0</v>
      </c>
      <c r="L74" s="609">
        <v>0</v>
      </c>
      <c r="M74" s="609">
        <v>0</v>
      </c>
      <c r="N74" s="587">
        <f t="shared" si="7"/>
        <v>0</v>
      </c>
      <c r="O74"/>
      <c r="P74" s="490"/>
      <c r="Q74" t="str">
        <f t="shared" si="8"/>
        <v>46520</v>
      </c>
      <c r="R74" s="126" t="str">
        <f t="shared" si="9"/>
        <v>GRANT-FED UASI HOMELAND SEC</v>
      </c>
      <c r="S74" s="125" t="str">
        <f t="shared" si="10"/>
        <v>100</v>
      </c>
      <c r="T74" s="125" t="str">
        <f t="shared" si="11"/>
        <v>00</v>
      </c>
      <c r="U74" s="125" t="str">
        <f t="shared" si="12"/>
        <v>000</v>
      </c>
      <c r="V74" s="125" t="str">
        <f>VLOOKUP(Q74,'GL Category'!A:C,3,FALSE)</f>
        <v>INTERGOVERNMENTAL</v>
      </c>
      <c r="W74" s="125"/>
    </row>
    <row r="75" spans="1:23" s="83" customFormat="1" ht="20.399999999999999" customHeight="1">
      <c r="A75" s="608" t="s">
        <v>791</v>
      </c>
      <c r="B75" s="608" t="s">
        <v>2240</v>
      </c>
      <c r="C75" s="608" t="s">
        <v>889</v>
      </c>
      <c r="D75" s="609">
        <v>-18513.509999999998</v>
      </c>
      <c r="E75" s="609">
        <v>5.4</v>
      </c>
      <c r="F75" s="609">
        <v>0</v>
      </c>
      <c r="G75" s="609">
        <v>0</v>
      </c>
      <c r="H75" s="609">
        <v>0</v>
      </c>
      <c r="I75" s="609">
        <v>0</v>
      </c>
      <c r="J75" s="609">
        <v>0</v>
      </c>
      <c r="K75" s="609">
        <v>0</v>
      </c>
      <c r="L75" s="609">
        <v>0</v>
      </c>
      <c r="M75" s="609">
        <v>0</v>
      </c>
      <c r="N75" s="587">
        <f t="shared" si="7"/>
        <v>0</v>
      </c>
      <c r="O75"/>
      <c r="P75" s="490"/>
      <c r="Q75" t="str">
        <f t="shared" si="8"/>
        <v>46530</v>
      </c>
      <c r="R75" s="126" t="str">
        <f t="shared" si="9"/>
        <v>GRANT-FED TXDOT</v>
      </c>
      <c r="S75" s="125" t="str">
        <f t="shared" si="10"/>
        <v>100</v>
      </c>
      <c r="T75" s="125" t="str">
        <f t="shared" si="11"/>
        <v>00</v>
      </c>
      <c r="U75" s="125" t="str">
        <f t="shared" si="12"/>
        <v>000</v>
      </c>
      <c r="V75" s="125" t="str">
        <f>VLOOKUP(Q75,'GL Category'!A:C,3,FALSE)</f>
        <v>INTERGOVERNMENTAL</v>
      </c>
      <c r="W75" s="125"/>
    </row>
    <row r="76" spans="1:23" s="83" customFormat="1" ht="20.399999999999999" customHeight="1">
      <c r="A76" s="608" t="s">
        <v>791</v>
      </c>
      <c r="B76" s="608" t="s">
        <v>2241</v>
      </c>
      <c r="C76" s="608" t="s">
        <v>489</v>
      </c>
      <c r="D76" s="609">
        <v>-6849.91</v>
      </c>
      <c r="E76" s="609">
        <v>-9507.06</v>
      </c>
      <c r="F76" s="609">
        <v>-2657.59</v>
      </c>
      <c r="G76" s="609">
        <v>-39589.71</v>
      </c>
      <c r="H76" s="609">
        <v>0</v>
      </c>
      <c r="I76" s="609">
        <v>-11859.42</v>
      </c>
      <c r="J76" s="609">
        <v>-11860</v>
      </c>
      <c r="K76" s="609">
        <v>0</v>
      </c>
      <c r="L76" s="609">
        <v>0</v>
      </c>
      <c r="M76" s="609">
        <v>0</v>
      </c>
      <c r="N76" s="587">
        <f t="shared" si="7"/>
        <v>0</v>
      </c>
      <c r="O76"/>
      <c r="P76" s="490"/>
      <c r="Q76" t="str">
        <f t="shared" si="8"/>
        <v>46535</v>
      </c>
      <c r="R76" s="126" t="str">
        <f t="shared" si="9"/>
        <v>GRANT-FED</v>
      </c>
      <c r="S76" s="125" t="str">
        <f t="shared" si="10"/>
        <v>100</v>
      </c>
      <c r="T76" s="125" t="str">
        <f t="shared" si="11"/>
        <v>00</v>
      </c>
      <c r="U76" s="125" t="str">
        <f t="shared" si="12"/>
        <v>000</v>
      </c>
      <c r="V76" s="125" t="str">
        <f>VLOOKUP(Q76,'GL Category'!A:C,3,FALSE)</f>
        <v>INTERGOVERNMENTAL</v>
      </c>
      <c r="W76" s="125"/>
    </row>
    <row r="77" spans="1:23" s="83" customFormat="1" ht="20.399999999999999" customHeight="1">
      <c r="A77" s="608" t="s">
        <v>791</v>
      </c>
      <c r="B77" s="608" t="s">
        <v>3281</v>
      </c>
      <c r="C77" s="608" t="s">
        <v>477</v>
      </c>
      <c r="D77" s="609">
        <v>0</v>
      </c>
      <c r="E77" s="609">
        <v>0</v>
      </c>
      <c r="F77" s="609">
        <v>0</v>
      </c>
      <c r="G77" s="609">
        <v>0</v>
      </c>
      <c r="H77" s="609">
        <v>0</v>
      </c>
      <c r="I77" s="609">
        <v>0</v>
      </c>
      <c r="J77" s="609">
        <v>0</v>
      </c>
      <c r="K77" s="609">
        <v>0</v>
      </c>
      <c r="L77" s="609">
        <v>0</v>
      </c>
      <c r="M77" s="609">
        <v>0</v>
      </c>
      <c r="N77" s="587">
        <f t="shared" si="7"/>
        <v>0</v>
      </c>
      <c r="O77"/>
      <c r="P77" s="490"/>
      <c r="Q77" t="str">
        <f t="shared" si="8"/>
        <v>46761</v>
      </c>
      <c r="R77" s="126" t="str">
        <f t="shared" si="9"/>
        <v>GRANT-LOCAL</v>
      </c>
      <c r="S77" s="125" t="str">
        <f t="shared" si="10"/>
        <v>100</v>
      </c>
      <c r="T77" s="125" t="str">
        <f t="shared" si="11"/>
        <v>00</v>
      </c>
      <c r="U77" s="125" t="str">
        <f t="shared" si="12"/>
        <v>000</v>
      </c>
      <c r="V77" s="125" t="e">
        <f>VLOOKUP(Q77,'GL Category'!A:C,3,FALSE)</f>
        <v>#N/A</v>
      </c>
      <c r="W77" s="125"/>
    </row>
    <row r="78" spans="1:23" s="83" customFormat="1" ht="20.399999999999999" customHeight="1">
      <c r="A78" s="608" t="s">
        <v>791</v>
      </c>
      <c r="B78" s="608" t="s">
        <v>2247</v>
      </c>
      <c r="C78" s="608" t="s">
        <v>1089</v>
      </c>
      <c r="D78" s="609">
        <v>-23956.26</v>
      </c>
      <c r="E78" s="609">
        <v>0</v>
      </c>
      <c r="F78" s="609">
        <v>0</v>
      </c>
      <c r="G78" s="609">
        <v>0</v>
      </c>
      <c r="H78" s="609">
        <v>0</v>
      </c>
      <c r="I78" s="609">
        <v>0</v>
      </c>
      <c r="J78" s="609">
        <v>0</v>
      </c>
      <c r="K78" s="609">
        <v>0</v>
      </c>
      <c r="L78" s="609">
        <v>0</v>
      </c>
      <c r="M78" s="609">
        <v>0</v>
      </c>
      <c r="N78" s="587">
        <f t="shared" si="7"/>
        <v>0</v>
      </c>
      <c r="O78"/>
      <c r="P78" s="490"/>
      <c r="Q78" t="str">
        <f t="shared" si="8"/>
        <v>47006</v>
      </c>
      <c r="R78" s="126" t="str">
        <f t="shared" si="9"/>
        <v>WELLNESS PROCEEDS</v>
      </c>
      <c r="S78" s="125" t="str">
        <f t="shared" si="10"/>
        <v>100</v>
      </c>
      <c r="T78" s="125" t="str">
        <f t="shared" si="11"/>
        <v>00</v>
      </c>
      <c r="U78" s="125" t="str">
        <f t="shared" si="12"/>
        <v>000</v>
      </c>
      <c r="V78" s="125" t="str">
        <f>VLOOKUP(Q78,'GL Category'!A:C,3,FALSE)</f>
        <v>CHARGES FOR SERVICE</v>
      </c>
      <c r="W78" s="125"/>
    </row>
    <row r="79" spans="1:23" s="83" customFormat="1" ht="20.399999999999999" customHeight="1">
      <c r="A79" s="608" t="s">
        <v>791</v>
      </c>
      <c r="B79" s="608" t="s">
        <v>2234</v>
      </c>
      <c r="C79" s="608" t="s">
        <v>421</v>
      </c>
      <c r="D79" s="609">
        <v>-281701.3</v>
      </c>
      <c r="E79" s="609">
        <v>-49548.61</v>
      </c>
      <c r="F79" s="609">
        <v>-67057.69</v>
      </c>
      <c r="G79" s="609">
        <v>-35331.07</v>
      </c>
      <c r="H79" s="609">
        <v>-57061</v>
      </c>
      <c r="I79" s="609">
        <v>-53338</v>
      </c>
      <c r="J79" s="609">
        <v>-161400</v>
      </c>
      <c r="K79" s="609">
        <v>-71124</v>
      </c>
      <c r="L79" s="609">
        <v>0</v>
      </c>
      <c r="M79" s="609">
        <v>0</v>
      </c>
      <c r="N79" s="587">
        <f t="shared" si="7"/>
        <v>-71124</v>
      </c>
      <c r="O79"/>
      <c r="P79" s="490"/>
      <c r="Q79" t="str">
        <f t="shared" si="8"/>
        <v>47010</v>
      </c>
      <c r="R79" s="126" t="str">
        <f t="shared" si="9"/>
        <v>MISCELLANEOUS REVENUE</v>
      </c>
      <c r="S79" s="125" t="str">
        <f t="shared" si="10"/>
        <v>100</v>
      </c>
      <c r="T79" s="125" t="str">
        <f t="shared" si="11"/>
        <v>00</v>
      </c>
      <c r="U79" s="125" t="str">
        <f t="shared" si="12"/>
        <v>000</v>
      </c>
      <c r="V79" s="125" t="str">
        <f>VLOOKUP(Q79,'GL Category'!A:C,3,FALSE)</f>
        <v>OTHER REVENUE</v>
      </c>
      <c r="W79" s="125"/>
    </row>
    <row r="80" spans="1:23" s="83" customFormat="1" ht="20.399999999999999" customHeight="1">
      <c r="A80" s="608" t="s">
        <v>791</v>
      </c>
      <c r="B80" s="608" t="s">
        <v>2234</v>
      </c>
      <c r="C80" s="608" t="s">
        <v>421</v>
      </c>
      <c r="D80" s="609">
        <v>0</v>
      </c>
      <c r="E80" s="609">
        <v>0</v>
      </c>
      <c r="F80" s="609">
        <v>-77928.62</v>
      </c>
      <c r="G80" s="609">
        <v>0</v>
      </c>
      <c r="H80" s="609">
        <v>0</v>
      </c>
      <c r="I80" s="609">
        <v>0</v>
      </c>
      <c r="J80" s="609">
        <v>0</v>
      </c>
      <c r="K80" s="609">
        <v>0</v>
      </c>
      <c r="L80" s="609">
        <v>0</v>
      </c>
      <c r="M80" s="609">
        <v>0</v>
      </c>
      <c r="N80" s="587">
        <f t="shared" si="7"/>
        <v>0</v>
      </c>
      <c r="O80"/>
      <c r="P80" s="490"/>
      <c r="Q80" t="str">
        <f t="shared" si="8"/>
        <v>47010</v>
      </c>
      <c r="R80" s="126" t="str">
        <f t="shared" si="9"/>
        <v>MISCELLANEOUS REVENUE</v>
      </c>
      <c r="S80" s="125" t="str">
        <f t="shared" si="10"/>
        <v>100</v>
      </c>
      <c r="T80" s="125" t="str">
        <f t="shared" si="11"/>
        <v>00</v>
      </c>
      <c r="U80" s="125" t="str">
        <f t="shared" si="12"/>
        <v>000</v>
      </c>
      <c r="V80" s="125" t="str">
        <f>VLOOKUP(Q80,'GL Category'!A:C,3,FALSE)</f>
        <v>OTHER REVENUE</v>
      </c>
      <c r="W80" s="125"/>
    </row>
    <row r="81" spans="1:23" s="83" customFormat="1" ht="20.399999999999999" customHeight="1">
      <c r="A81" s="608" t="s">
        <v>791</v>
      </c>
      <c r="B81" s="608" t="s">
        <v>2243</v>
      </c>
      <c r="C81" s="608" t="s">
        <v>478</v>
      </c>
      <c r="D81" s="609">
        <v>-31283.119999999999</v>
      </c>
      <c r="E81" s="609">
        <v>-55825.43</v>
      </c>
      <c r="F81" s="609">
        <v>-28808.28</v>
      </c>
      <c r="G81" s="609">
        <v>-37247.589999999997</v>
      </c>
      <c r="H81" s="609">
        <v>-37248</v>
      </c>
      <c r="I81" s="609">
        <v>-28554.44</v>
      </c>
      <c r="J81" s="609">
        <v>-28554</v>
      </c>
      <c r="K81" s="609">
        <v>-28554</v>
      </c>
      <c r="L81" s="609">
        <v>0</v>
      </c>
      <c r="M81" s="609">
        <v>0</v>
      </c>
      <c r="N81" s="587">
        <f t="shared" si="7"/>
        <v>-28554</v>
      </c>
      <c r="O81"/>
      <c r="P81" s="490"/>
      <c r="Q81" t="str">
        <f t="shared" si="8"/>
        <v>47011</v>
      </c>
      <c r="R81" s="126" t="str">
        <f t="shared" si="9"/>
        <v>MISCELLANEOUS REBATES</v>
      </c>
      <c r="S81" s="125" t="str">
        <f t="shared" si="10"/>
        <v>100</v>
      </c>
      <c r="T81" s="125" t="str">
        <f t="shared" si="11"/>
        <v>00</v>
      </c>
      <c r="U81" s="125" t="str">
        <f t="shared" si="12"/>
        <v>000</v>
      </c>
      <c r="V81" s="125" t="str">
        <f>VLOOKUP(Q81,'GL Category'!A:C,3,FALSE)</f>
        <v>OTHER REVENUE</v>
      </c>
      <c r="W81" s="125"/>
    </row>
    <row r="82" spans="1:23" s="83" customFormat="1" ht="20.399999999999999" customHeight="1">
      <c r="A82" s="608" t="s">
        <v>791</v>
      </c>
      <c r="B82" s="608" t="s">
        <v>2244</v>
      </c>
      <c r="C82" s="608" t="s">
        <v>422</v>
      </c>
      <c r="D82" s="609">
        <v>-12925.98</v>
      </c>
      <c r="E82" s="609">
        <v>-836.23</v>
      </c>
      <c r="F82" s="609">
        <v>-45403.32</v>
      </c>
      <c r="G82" s="609">
        <v>0</v>
      </c>
      <c r="H82" s="609">
        <v>0</v>
      </c>
      <c r="I82" s="609">
        <v>-23177.94</v>
      </c>
      <c r="J82" s="609">
        <v>0</v>
      </c>
      <c r="K82" s="609">
        <v>0</v>
      </c>
      <c r="L82" s="609">
        <v>0</v>
      </c>
      <c r="M82" s="609">
        <v>0</v>
      </c>
      <c r="N82" s="587">
        <f t="shared" si="7"/>
        <v>0</v>
      </c>
      <c r="O82"/>
      <c r="P82" s="490"/>
      <c r="Q82" t="str">
        <f t="shared" si="8"/>
        <v>47020</v>
      </c>
      <c r="R82" s="126" t="str">
        <f t="shared" si="9"/>
        <v>AUCTION PROCEEDS</v>
      </c>
      <c r="S82" s="125" t="str">
        <f t="shared" si="10"/>
        <v>100</v>
      </c>
      <c r="T82" s="125" t="str">
        <f t="shared" si="11"/>
        <v>00</v>
      </c>
      <c r="U82" s="125" t="str">
        <f t="shared" si="12"/>
        <v>000</v>
      </c>
      <c r="V82" s="125" t="str">
        <f>VLOOKUP(Q82,'GL Category'!A:C,3,FALSE)</f>
        <v>OTHER REVENUE</v>
      </c>
      <c r="W82" s="125"/>
    </row>
    <row r="83" spans="1:23" s="83" customFormat="1" ht="20.399999999999999" customHeight="1">
      <c r="A83" s="608" t="s">
        <v>791</v>
      </c>
      <c r="B83" s="608" t="s">
        <v>2245</v>
      </c>
      <c r="C83" s="608" t="s">
        <v>835</v>
      </c>
      <c r="D83" s="609">
        <v>0</v>
      </c>
      <c r="E83" s="609">
        <v>0</v>
      </c>
      <c r="F83" s="609">
        <v>0</v>
      </c>
      <c r="G83" s="609">
        <v>-190</v>
      </c>
      <c r="H83" s="609">
        <v>0</v>
      </c>
      <c r="I83" s="609">
        <v>0</v>
      </c>
      <c r="J83" s="609">
        <v>0</v>
      </c>
      <c r="K83" s="609">
        <v>0</v>
      </c>
      <c r="L83" s="609">
        <v>0</v>
      </c>
      <c r="M83" s="609">
        <v>0</v>
      </c>
      <c r="N83" s="587">
        <f t="shared" si="7"/>
        <v>0</v>
      </c>
      <c r="O83"/>
      <c r="P83" s="490"/>
      <c r="Q83" t="str">
        <f t="shared" si="8"/>
        <v>47025</v>
      </c>
      <c r="R83" s="126" t="str">
        <f t="shared" si="9"/>
        <v>PROPERTY PROCEEDS</v>
      </c>
      <c r="S83" s="125" t="str">
        <f t="shared" si="10"/>
        <v>100</v>
      </c>
      <c r="T83" s="125" t="str">
        <f t="shared" si="11"/>
        <v>00</v>
      </c>
      <c r="U83" s="125" t="str">
        <f t="shared" si="12"/>
        <v>000</v>
      </c>
      <c r="V83" s="125" t="str">
        <f>VLOOKUP(Q83,'GL Category'!A:C,3,FALSE)</f>
        <v>OTHER REVENUE</v>
      </c>
      <c r="W83" s="125"/>
    </row>
    <row r="84" spans="1:23" s="83" customFormat="1" ht="20.399999999999999" customHeight="1">
      <c r="A84" s="608" t="s">
        <v>791</v>
      </c>
      <c r="B84" s="608" t="s">
        <v>2246</v>
      </c>
      <c r="C84" s="608" t="s">
        <v>427</v>
      </c>
      <c r="D84" s="609">
        <v>-500</v>
      </c>
      <c r="E84" s="609">
        <v>0</v>
      </c>
      <c r="F84" s="609">
        <v>0</v>
      </c>
      <c r="G84" s="609">
        <v>0</v>
      </c>
      <c r="H84" s="609">
        <v>0</v>
      </c>
      <c r="I84" s="609">
        <v>0</v>
      </c>
      <c r="J84" s="609">
        <v>0</v>
      </c>
      <c r="K84" s="609">
        <v>0</v>
      </c>
      <c r="L84" s="609">
        <v>0</v>
      </c>
      <c r="M84" s="609">
        <v>0</v>
      </c>
      <c r="N84" s="587">
        <f t="shared" si="7"/>
        <v>0</v>
      </c>
      <c r="O84"/>
      <c r="P84" s="490"/>
      <c r="Q84" t="str">
        <f t="shared" si="8"/>
        <v>47030</v>
      </c>
      <c r="R84" s="126" t="str">
        <f t="shared" si="9"/>
        <v>GAIN/LOSS ON DISP OF ASSETS</v>
      </c>
      <c r="S84" s="125" t="str">
        <f t="shared" si="10"/>
        <v>100</v>
      </c>
      <c r="T84" s="125" t="str">
        <f t="shared" si="11"/>
        <v>00</v>
      </c>
      <c r="U84" s="125" t="str">
        <f t="shared" si="12"/>
        <v>000</v>
      </c>
      <c r="V84" s="125" t="str">
        <f>VLOOKUP(Q84,'GL Category'!A:C,3,FALSE)</f>
        <v>OTHER REVENUE</v>
      </c>
      <c r="W84" s="125"/>
    </row>
    <row r="85" spans="1:23" s="83" customFormat="1" ht="20.399999999999999" customHeight="1">
      <c r="A85" s="608" t="s">
        <v>791</v>
      </c>
      <c r="B85" s="608" t="s">
        <v>2248</v>
      </c>
      <c r="C85" s="608" t="s">
        <v>891</v>
      </c>
      <c r="D85" s="609">
        <v>-145.9</v>
      </c>
      <c r="E85" s="609">
        <v>-257.63</v>
      </c>
      <c r="F85" s="609">
        <v>-1811.5</v>
      </c>
      <c r="G85" s="609">
        <v>-4077.22</v>
      </c>
      <c r="H85" s="609">
        <v>0</v>
      </c>
      <c r="I85" s="609">
        <v>1155.9100000000001</v>
      </c>
      <c r="J85" s="609">
        <v>0</v>
      </c>
      <c r="K85" s="609">
        <v>0</v>
      </c>
      <c r="L85" s="609">
        <v>0</v>
      </c>
      <c r="M85" s="609">
        <v>0</v>
      </c>
      <c r="N85" s="587">
        <f t="shared" si="7"/>
        <v>0</v>
      </c>
      <c r="O85"/>
      <c r="P85" s="490"/>
      <c r="Q85" t="str">
        <f t="shared" si="8"/>
        <v>47070</v>
      </c>
      <c r="R85" s="126" t="str">
        <f t="shared" si="9"/>
        <v>CASH OVER/SHORT</v>
      </c>
      <c r="S85" s="125" t="str">
        <f t="shared" si="10"/>
        <v>100</v>
      </c>
      <c r="T85" s="125" t="str">
        <f t="shared" si="11"/>
        <v>00</v>
      </c>
      <c r="U85" s="125" t="str">
        <f t="shared" si="12"/>
        <v>000</v>
      </c>
      <c r="V85" s="125" t="str">
        <f>VLOOKUP(Q85,'GL Category'!A:C,3,FALSE)</f>
        <v>OTHER REVENUE</v>
      </c>
      <c r="W85" s="125"/>
    </row>
    <row r="86" spans="1:23" s="83" customFormat="1" ht="20.399999999999999" customHeight="1">
      <c r="A86" s="608" t="s">
        <v>791</v>
      </c>
      <c r="B86" s="608" t="s">
        <v>2249</v>
      </c>
      <c r="C86" s="608" t="s">
        <v>423</v>
      </c>
      <c r="D86" s="609">
        <v>-297165.81</v>
      </c>
      <c r="E86" s="609">
        <v>-78599.960000000006</v>
      </c>
      <c r="F86" s="609">
        <v>-250342.96</v>
      </c>
      <c r="G86" s="609">
        <v>-1435396.69</v>
      </c>
      <c r="H86" s="609">
        <v>-422154</v>
      </c>
      <c r="I86" s="609">
        <v>-1184105.28</v>
      </c>
      <c r="J86" s="609">
        <v>-1241629</v>
      </c>
      <c r="K86" s="609">
        <v>-1241629</v>
      </c>
      <c r="L86" s="609">
        <v>0</v>
      </c>
      <c r="M86" s="609">
        <v>0</v>
      </c>
      <c r="N86" s="587">
        <f t="shared" si="7"/>
        <v>-1241629</v>
      </c>
      <c r="O86"/>
      <c r="P86" s="490"/>
      <c r="Q86" t="str">
        <f t="shared" si="8"/>
        <v>47090</v>
      </c>
      <c r="R86" s="126" t="str">
        <f t="shared" si="9"/>
        <v>INTEREST REVENUE-INVESTMENTS</v>
      </c>
      <c r="S86" s="125" t="str">
        <f t="shared" si="10"/>
        <v>100</v>
      </c>
      <c r="T86" s="125" t="str">
        <f t="shared" si="11"/>
        <v>00</v>
      </c>
      <c r="U86" s="125" t="str">
        <f t="shared" si="12"/>
        <v>000</v>
      </c>
      <c r="V86" s="125" t="str">
        <f>VLOOKUP(Q86,'GL Category'!A:C,3,FALSE)</f>
        <v>OTHER REVENUE</v>
      </c>
      <c r="W86" s="125"/>
    </row>
    <row r="87" spans="1:23" s="83" customFormat="1" ht="20.399999999999999" customHeight="1">
      <c r="A87" s="608" t="s">
        <v>791</v>
      </c>
      <c r="B87" s="608" t="s">
        <v>2250</v>
      </c>
      <c r="C87" s="608" t="s">
        <v>827</v>
      </c>
      <c r="D87" s="609">
        <v>0</v>
      </c>
      <c r="E87" s="609">
        <v>0</v>
      </c>
      <c r="F87" s="609">
        <v>0</v>
      </c>
      <c r="G87" s="609">
        <v>0</v>
      </c>
      <c r="H87" s="609">
        <v>0</v>
      </c>
      <c r="I87" s="609">
        <v>0</v>
      </c>
      <c r="J87" s="609">
        <v>0</v>
      </c>
      <c r="K87" s="609">
        <v>0</v>
      </c>
      <c r="L87" s="609">
        <v>0</v>
      </c>
      <c r="M87" s="609">
        <v>0</v>
      </c>
      <c r="N87" s="587">
        <f t="shared" si="7"/>
        <v>0</v>
      </c>
      <c r="O87"/>
      <c r="P87" s="490"/>
      <c r="Q87" t="str">
        <f t="shared" si="8"/>
        <v>47099</v>
      </c>
      <c r="R87" s="126" t="str">
        <f t="shared" si="9"/>
        <v>INCR/DECR IN FAIR VALUE OF INV</v>
      </c>
      <c r="S87" s="125" t="str">
        <f t="shared" si="10"/>
        <v>100</v>
      </c>
      <c r="T87" s="125" t="str">
        <f t="shared" si="11"/>
        <v>00</v>
      </c>
      <c r="U87" s="125" t="str">
        <f t="shared" si="12"/>
        <v>000</v>
      </c>
      <c r="V87" s="125" t="str">
        <f>VLOOKUP(Q87,'GL Category'!A:C,3,FALSE)</f>
        <v>OTHER REVENUE</v>
      </c>
      <c r="W87" s="125"/>
    </row>
    <row r="88" spans="1:23" s="83" customFormat="1" ht="20.399999999999999" customHeight="1">
      <c r="A88" s="608" t="s">
        <v>791</v>
      </c>
      <c r="B88" s="608" t="s">
        <v>2251</v>
      </c>
      <c r="C88" s="608" t="s">
        <v>424</v>
      </c>
      <c r="D88" s="609">
        <v>0</v>
      </c>
      <c r="E88" s="609">
        <v>0</v>
      </c>
      <c r="F88" s="609">
        <v>-399.48</v>
      </c>
      <c r="G88" s="609">
        <v>0</v>
      </c>
      <c r="H88" s="609">
        <v>0</v>
      </c>
      <c r="I88" s="609">
        <v>0</v>
      </c>
      <c r="J88" s="609">
        <v>0</v>
      </c>
      <c r="K88" s="609">
        <v>0</v>
      </c>
      <c r="L88" s="609">
        <v>0</v>
      </c>
      <c r="M88" s="609">
        <v>0</v>
      </c>
      <c r="N88" s="587">
        <f t="shared" si="7"/>
        <v>0</v>
      </c>
      <c r="O88"/>
      <c r="P88" s="490"/>
      <c r="Q88" t="str">
        <f t="shared" si="8"/>
        <v>47250</v>
      </c>
      <c r="R88" s="126" t="str">
        <f t="shared" si="9"/>
        <v>REIMB-INSURANCE PROCEEDS</v>
      </c>
      <c r="S88" s="125" t="str">
        <f t="shared" si="10"/>
        <v>100</v>
      </c>
      <c r="T88" s="125" t="str">
        <f t="shared" si="11"/>
        <v>00</v>
      </c>
      <c r="U88" s="125" t="str">
        <f t="shared" si="12"/>
        <v>000</v>
      </c>
      <c r="V88" s="125" t="str">
        <f>VLOOKUP(Q88,'GL Category'!A:C,3,FALSE)</f>
        <v>OTHER REVENUE</v>
      </c>
      <c r="W88" s="125"/>
    </row>
    <row r="89" spans="1:23" s="83" customFormat="1" ht="20.399999999999999" customHeight="1">
      <c r="A89" s="608" t="s">
        <v>791</v>
      </c>
      <c r="B89" s="608" t="s">
        <v>2251</v>
      </c>
      <c r="C89" s="608" t="s">
        <v>424</v>
      </c>
      <c r="D89" s="609">
        <v>0</v>
      </c>
      <c r="E89" s="609">
        <v>-134593.94</v>
      </c>
      <c r="F89" s="609">
        <v>-160741.87</v>
      </c>
      <c r="G89" s="609">
        <v>0</v>
      </c>
      <c r="H89" s="609">
        <v>0</v>
      </c>
      <c r="I89" s="609">
        <v>0</v>
      </c>
      <c r="J89" s="609">
        <v>0</v>
      </c>
      <c r="K89" s="609">
        <v>0</v>
      </c>
      <c r="L89" s="609">
        <v>0</v>
      </c>
      <c r="M89" s="609">
        <v>0</v>
      </c>
      <c r="N89" s="587">
        <f t="shared" si="7"/>
        <v>0</v>
      </c>
      <c r="O89"/>
      <c r="P89" s="490"/>
      <c r="Q89" t="str">
        <f t="shared" si="8"/>
        <v>47250</v>
      </c>
      <c r="R89" s="126" t="str">
        <f t="shared" si="9"/>
        <v>REIMB-INSURANCE PROCEEDS</v>
      </c>
      <c r="S89" s="125" t="str">
        <f t="shared" si="10"/>
        <v>100</v>
      </c>
      <c r="T89" s="125" t="str">
        <f t="shared" si="11"/>
        <v>00</v>
      </c>
      <c r="U89" s="125" t="str">
        <f t="shared" si="12"/>
        <v>000</v>
      </c>
      <c r="V89" s="125" t="str">
        <f>VLOOKUP(Q89,'GL Category'!A:C,3,FALSE)</f>
        <v>OTHER REVENUE</v>
      </c>
      <c r="W89" s="125"/>
    </row>
    <row r="90" spans="1:23" s="83" customFormat="1" ht="20.399999999999999" customHeight="1">
      <c r="A90" s="608" t="s">
        <v>791</v>
      </c>
      <c r="B90" s="608" t="s">
        <v>2251</v>
      </c>
      <c r="C90" s="608" t="s">
        <v>424</v>
      </c>
      <c r="D90" s="609">
        <v>0</v>
      </c>
      <c r="E90" s="609">
        <v>-33267.49</v>
      </c>
      <c r="F90" s="609">
        <v>0</v>
      </c>
      <c r="G90" s="609">
        <v>0</v>
      </c>
      <c r="H90" s="609">
        <v>0</v>
      </c>
      <c r="I90" s="609">
        <v>0</v>
      </c>
      <c r="J90" s="609">
        <v>0</v>
      </c>
      <c r="K90" s="609">
        <v>0</v>
      </c>
      <c r="L90" s="609">
        <v>0</v>
      </c>
      <c r="M90" s="609">
        <v>0</v>
      </c>
      <c r="N90" s="587">
        <f t="shared" si="7"/>
        <v>0</v>
      </c>
      <c r="O90"/>
      <c r="P90" s="490"/>
      <c r="Q90" t="str">
        <f t="shared" si="8"/>
        <v>47250</v>
      </c>
      <c r="R90" s="126" t="str">
        <f t="shared" si="9"/>
        <v>REIMB-INSURANCE PROCEEDS</v>
      </c>
      <c r="S90" s="125" t="str">
        <f t="shared" si="10"/>
        <v>100</v>
      </c>
      <c r="T90" s="125" t="str">
        <f t="shared" si="11"/>
        <v>00</v>
      </c>
      <c r="U90" s="125" t="str">
        <f t="shared" si="12"/>
        <v>000</v>
      </c>
      <c r="V90" s="125" t="str">
        <f>VLOOKUP(Q90,'GL Category'!A:C,3,FALSE)</f>
        <v>OTHER REVENUE</v>
      </c>
      <c r="W90" s="125"/>
    </row>
    <row r="91" spans="1:23" s="83" customFormat="1" ht="20.399999999999999" customHeight="1">
      <c r="A91" s="608" t="s">
        <v>791</v>
      </c>
      <c r="B91" s="608" t="s">
        <v>2252</v>
      </c>
      <c r="C91" s="608" t="s">
        <v>894</v>
      </c>
      <c r="D91" s="609">
        <v>-2123</v>
      </c>
      <c r="E91" s="609">
        <v>0</v>
      </c>
      <c r="F91" s="609">
        <v>-2630</v>
      </c>
      <c r="G91" s="609">
        <v>-2880</v>
      </c>
      <c r="H91" s="609">
        <v>-2581</v>
      </c>
      <c r="I91" s="609">
        <v>-2965</v>
      </c>
      <c r="J91" s="609">
        <v>-2965</v>
      </c>
      <c r="K91" s="609">
        <v>-2581</v>
      </c>
      <c r="L91" s="609">
        <v>0</v>
      </c>
      <c r="M91" s="609">
        <v>0</v>
      </c>
      <c r="N91" s="587">
        <f t="shared" si="7"/>
        <v>-2581</v>
      </c>
      <c r="O91"/>
      <c r="P91" s="490"/>
      <c r="Q91" t="str">
        <f t="shared" si="8"/>
        <v>47350</v>
      </c>
      <c r="R91" s="126" t="str">
        <f t="shared" si="9"/>
        <v>TICKET SALES</v>
      </c>
      <c r="S91" s="125" t="str">
        <f t="shared" si="10"/>
        <v>100</v>
      </c>
      <c r="T91" s="125" t="str">
        <f t="shared" si="11"/>
        <v>00</v>
      </c>
      <c r="U91" s="125" t="str">
        <f t="shared" si="12"/>
        <v>000</v>
      </c>
      <c r="V91" s="125" t="str">
        <f>VLOOKUP(Q91,'GL Category'!A:C,3,FALSE)</f>
        <v>OTHER REVENUE</v>
      </c>
      <c r="W91" s="125"/>
    </row>
    <row r="92" spans="1:23" s="83" customFormat="1" ht="20.399999999999999" customHeight="1">
      <c r="A92" s="608" t="s">
        <v>791</v>
      </c>
      <c r="B92" s="608" t="s">
        <v>2253</v>
      </c>
      <c r="C92" s="608" t="s">
        <v>895</v>
      </c>
      <c r="D92" s="609">
        <v>0</v>
      </c>
      <c r="E92" s="609">
        <v>0</v>
      </c>
      <c r="F92" s="609">
        <v>0</v>
      </c>
      <c r="G92" s="609">
        <v>0</v>
      </c>
      <c r="H92" s="609">
        <v>0</v>
      </c>
      <c r="I92" s="609">
        <v>0</v>
      </c>
      <c r="J92" s="609">
        <v>0</v>
      </c>
      <c r="K92" s="609">
        <v>0</v>
      </c>
      <c r="L92" s="609">
        <v>0</v>
      </c>
      <c r="M92" s="609">
        <v>0</v>
      </c>
      <c r="N92" s="587">
        <f t="shared" si="7"/>
        <v>0</v>
      </c>
      <c r="O92"/>
      <c r="P92" s="490"/>
      <c r="Q92" t="str">
        <f t="shared" si="8"/>
        <v>47355</v>
      </c>
      <c r="R92" s="126" t="str">
        <f t="shared" si="9"/>
        <v>REVENUE-TASTE KELLER</v>
      </c>
      <c r="S92" s="125" t="str">
        <f t="shared" si="10"/>
        <v>100</v>
      </c>
      <c r="T92" s="125" t="str">
        <f t="shared" si="11"/>
        <v>00</v>
      </c>
      <c r="U92" s="125" t="str">
        <f t="shared" si="12"/>
        <v>000</v>
      </c>
      <c r="V92" s="125" t="str">
        <f>VLOOKUP(Q92,'GL Category'!A:C,3,FALSE)</f>
        <v>OTHER REVENUE</v>
      </c>
      <c r="W92" s="125"/>
    </row>
    <row r="93" spans="1:23" s="83" customFormat="1" ht="20.399999999999999" customHeight="1">
      <c r="A93" s="608" t="s">
        <v>791</v>
      </c>
      <c r="B93" s="608" t="s">
        <v>2254</v>
      </c>
      <c r="C93" s="608" t="s">
        <v>896</v>
      </c>
      <c r="D93" s="609">
        <v>0</v>
      </c>
      <c r="E93" s="609">
        <v>0</v>
      </c>
      <c r="F93" s="609">
        <v>0</v>
      </c>
      <c r="G93" s="609">
        <v>0</v>
      </c>
      <c r="H93" s="609">
        <v>0</v>
      </c>
      <c r="I93" s="609">
        <v>0</v>
      </c>
      <c r="J93" s="609">
        <v>0</v>
      </c>
      <c r="K93" s="609">
        <v>0</v>
      </c>
      <c r="L93" s="609">
        <v>0</v>
      </c>
      <c r="M93" s="609">
        <v>0</v>
      </c>
      <c r="N93" s="587">
        <f t="shared" si="7"/>
        <v>0</v>
      </c>
      <c r="O93"/>
      <c r="P93" s="490"/>
      <c r="Q93" t="str">
        <f t="shared" si="8"/>
        <v>47410</v>
      </c>
      <c r="R93" s="126" t="str">
        <f t="shared" si="9"/>
        <v>MISC REVENUE-ART PURCHASE</v>
      </c>
      <c r="S93" s="125" t="str">
        <f t="shared" si="10"/>
        <v>100</v>
      </c>
      <c r="T93" s="125" t="str">
        <f t="shared" si="11"/>
        <v>00</v>
      </c>
      <c r="U93" s="125" t="str">
        <f t="shared" si="12"/>
        <v>000</v>
      </c>
      <c r="V93" s="125" t="str">
        <f>VLOOKUP(Q93,'GL Category'!A:C,3,FALSE)</f>
        <v>OTHER REVENUE</v>
      </c>
      <c r="W93" s="125"/>
    </row>
    <row r="94" spans="1:23" s="83" customFormat="1" ht="20.399999999999999" customHeight="1">
      <c r="A94" s="608" t="s">
        <v>791</v>
      </c>
      <c r="B94" s="608" t="s">
        <v>2255</v>
      </c>
      <c r="C94" s="608" t="s">
        <v>898</v>
      </c>
      <c r="D94" s="609">
        <v>0</v>
      </c>
      <c r="E94" s="609">
        <v>0</v>
      </c>
      <c r="F94" s="609">
        <v>0</v>
      </c>
      <c r="G94" s="609">
        <v>0</v>
      </c>
      <c r="H94" s="609">
        <v>0</v>
      </c>
      <c r="I94" s="609">
        <v>0</v>
      </c>
      <c r="J94" s="609">
        <v>0</v>
      </c>
      <c r="K94" s="609">
        <v>0</v>
      </c>
      <c r="L94" s="609">
        <v>0</v>
      </c>
      <c r="M94" s="609">
        <v>0</v>
      </c>
      <c r="N94" s="587">
        <f t="shared" si="7"/>
        <v>0</v>
      </c>
      <c r="O94"/>
      <c r="P94" s="490"/>
      <c r="Q94" t="str">
        <f t="shared" si="8"/>
        <v>48760</v>
      </c>
      <c r="R94" s="126" t="str">
        <f t="shared" si="9"/>
        <v>DONATIONS-CAPITAL</v>
      </c>
      <c r="S94" s="125" t="str">
        <f t="shared" si="10"/>
        <v>100</v>
      </c>
      <c r="T94" s="125" t="str">
        <f t="shared" si="11"/>
        <v>00</v>
      </c>
      <c r="U94" s="125" t="str">
        <f t="shared" si="12"/>
        <v>000</v>
      </c>
      <c r="V94" s="125" t="str">
        <f>VLOOKUP(Q94,'GL Category'!A:C,3,FALSE)</f>
        <v>OTHER REVENUE</v>
      </c>
      <c r="W94" s="125"/>
    </row>
    <row r="95" spans="1:23" s="83" customFormat="1" ht="12.6" customHeight="1">
      <c r="A95" s="608" t="s">
        <v>791</v>
      </c>
      <c r="B95" s="608" t="s">
        <v>3282</v>
      </c>
      <c r="C95" s="608" t="s">
        <v>479</v>
      </c>
      <c r="D95" s="609">
        <v>0</v>
      </c>
      <c r="E95" s="609">
        <v>0</v>
      </c>
      <c r="F95" s="609">
        <v>0</v>
      </c>
      <c r="G95" s="609">
        <v>0</v>
      </c>
      <c r="H95" s="609">
        <v>0</v>
      </c>
      <c r="I95" s="609">
        <v>0</v>
      </c>
      <c r="J95" s="609">
        <v>0</v>
      </c>
      <c r="K95" s="609">
        <v>0</v>
      </c>
      <c r="L95" s="609">
        <v>0</v>
      </c>
      <c r="M95" s="609">
        <v>0</v>
      </c>
      <c r="N95" s="587">
        <f t="shared" si="7"/>
        <v>0</v>
      </c>
      <c r="O95"/>
      <c r="P95" s="490"/>
      <c r="Q95" t="str">
        <f t="shared" si="8"/>
        <v>48790</v>
      </c>
      <c r="R95" s="126" t="str">
        <f t="shared" si="9"/>
        <v>DONATIONS-OPER</v>
      </c>
      <c r="S95" s="125" t="str">
        <f t="shared" si="10"/>
        <v>100</v>
      </c>
      <c r="T95" s="125" t="str">
        <f t="shared" si="11"/>
        <v>00</v>
      </c>
      <c r="U95" s="125" t="str">
        <f t="shared" si="12"/>
        <v>000</v>
      </c>
      <c r="V95" s="125" t="e">
        <f>VLOOKUP(Q95,'GL Category'!A:C,3,FALSE)</f>
        <v>#N/A</v>
      </c>
      <c r="W95" s="125"/>
    </row>
    <row r="96" spans="1:23" s="83" customFormat="1" ht="12.6" customHeight="1">
      <c r="A96" s="608" t="s">
        <v>791</v>
      </c>
      <c r="B96" s="608" t="s">
        <v>2256</v>
      </c>
      <c r="C96" s="608" t="s">
        <v>3139</v>
      </c>
      <c r="D96" s="609">
        <v>0</v>
      </c>
      <c r="E96" s="609">
        <v>0</v>
      </c>
      <c r="F96" s="609">
        <v>0</v>
      </c>
      <c r="G96" s="609">
        <v>0</v>
      </c>
      <c r="H96" s="609">
        <v>0</v>
      </c>
      <c r="I96" s="609">
        <v>0</v>
      </c>
      <c r="J96" s="609">
        <v>0</v>
      </c>
      <c r="K96" s="609">
        <v>0</v>
      </c>
      <c r="L96" s="609">
        <v>0</v>
      </c>
      <c r="M96" s="609">
        <v>0</v>
      </c>
      <c r="N96" s="587">
        <f t="shared" si="7"/>
        <v>0</v>
      </c>
      <c r="O96"/>
      <c r="P96" s="490"/>
      <c r="Q96" t="str">
        <f t="shared" si="8"/>
        <v>49120</v>
      </c>
      <c r="R96" s="126" t="str">
        <f t="shared" si="9"/>
        <v>TRANSFER FROM COMMUNITY CLEAN-UP</v>
      </c>
      <c r="S96" s="125" t="str">
        <f t="shared" si="10"/>
        <v>100</v>
      </c>
      <c r="T96" s="125" t="str">
        <f t="shared" si="11"/>
        <v>00</v>
      </c>
      <c r="U96" s="125" t="str">
        <f t="shared" si="12"/>
        <v>000</v>
      </c>
      <c r="V96" s="125" t="str">
        <f>VLOOKUP(Q96,'GL Category'!A:C,3,FALSE)</f>
        <v>TRANSFERS IN</v>
      </c>
      <c r="W96" s="125"/>
    </row>
    <row r="97" spans="1:23" s="83" customFormat="1" ht="12.6" customHeight="1">
      <c r="A97" s="608" t="s">
        <v>791</v>
      </c>
      <c r="B97" s="608" t="s">
        <v>2258</v>
      </c>
      <c r="C97" s="608" t="s">
        <v>3140</v>
      </c>
      <c r="D97" s="609">
        <v>0</v>
      </c>
      <c r="E97" s="609">
        <v>0</v>
      </c>
      <c r="F97" s="609">
        <v>0</v>
      </c>
      <c r="G97" s="609">
        <v>0</v>
      </c>
      <c r="H97" s="609">
        <v>0</v>
      </c>
      <c r="I97" s="609">
        <v>0</v>
      </c>
      <c r="J97" s="609">
        <v>0</v>
      </c>
      <c r="K97" s="609">
        <v>0</v>
      </c>
      <c r="L97" s="609">
        <v>0</v>
      </c>
      <c r="M97" s="609">
        <v>0</v>
      </c>
      <c r="N97" s="587">
        <f t="shared" si="7"/>
        <v>0</v>
      </c>
      <c r="O97"/>
      <c r="P97" s="490"/>
      <c r="Q97" t="str">
        <f t="shared" si="8"/>
        <v>49151</v>
      </c>
      <c r="R97" s="126" t="str">
        <f t="shared" si="9"/>
        <v>TRANSFER FROM TC TIF#1 I&amp;S FUN</v>
      </c>
      <c r="S97" s="125" t="str">
        <f t="shared" si="10"/>
        <v>100</v>
      </c>
      <c r="T97" s="125" t="str">
        <f t="shared" si="11"/>
        <v>00</v>
      </c>
      <c r="U97" s="125" t="str">
        <f t="shared" si="12"/>
        <v>000</v>
      </c>
      <c r="V97" s="125" t="str">
        <f>VLOOKUP(Q97,'GL Category'!A:C,3,FALSE)</f>
        <v>REVENUE</v>
      </c>
      <c r="W97" s="125"/>
    </row>
    <row r="98" spans="1:23" s="83" customFormat="1" ht="12.6" customHeight="1">
      <c r="A98" s="608" t="s">
        <v>791</v>
      </c>
      <c r="B98" s="608" t="s">
        <v>2257</v>
      </c>
      <c r="C98" s="608" t="s">
        <v>1101</v>
      </c>
      <c r="D98" s="609">
        <v>0</v>
      </c>
      <c r="E98" s="609">
        <v>0</v>
      </c>
      <c r="F98" s="609">
        <v>0</v>
      </c>
      <c r="G98" s="609">
        <v>0</v>
      </c>
      <c r="H98" s="609">
        <v>0</v>
      </c>
      <c r="I98" s="609">
        <v>0</v>
      </c>
      <c r="J98" s="609">
        <v>0</v>
      </c>
      <c r="K98" s="609">
        <v>0</v>
      </c>
      <c r="L98" s="609">
        <v>0</v>
      </c>
      <c r="M98" s="609">
        <v>0</v>
      </c>
      <c r="N98" s="587">
        <f t="shared" si="7"/>
        <v>0</v>
      </c>
      <c r="O98"/>
      <c r="P98" s="490"/>
      <c r="Q98" t="str">
        <f t="shared" si="8"/>
        <v>49160</v>
      </c>
      <c r="R98" s="126" t="str">
        <f t="shared" si="9"/>
        <v>TRANSFER FROM GRANT FUND</v>
      </c>
      <c r="S98" s="125" t="str">
        <f t="shared" si="10"/>
        <v>100</v>
      </c>
      <c r="T98" s="125" t="str">
        <f t="shared" si="11"/>
        <v>00</v>
      </c>
      <c r="U98" s="125" t="str">
        <f t="shared" si="12"/>
        <v>000</v>
      </c>
      <c r="V98" s="125" t="str">
        <f>VLOOKUP(Q98,'GL Category'!A:C,3,FALSE)</f>
        <v>TRANSFERS IN</v>
      </c>
      <c r="W98" s="125"/>
    </row>
    <row r="99" spans="1:23" s="83" customFormat="1" ht="12.6" customHeight="1">
      <c r="A99" s="608" t="s">
        <v>791</v>
      </c>
      <c r="B99" s="608" t="s">
        <v>2257</v>
      </c>
      <c r="C99" s="608" t="s">
        <v>1101</v>
      </c>
      <c r="D99" s="609">
        <v>-2334.5500000000002</v>
      </c>
      <c r="E99" s="609">
        <v>0</v>
      </c>
      <c r="F99" s="609">
        <v>0</v>
      </c>
      <c r="G99" s="609">
        <v>0</v>
      </c>
      <c r="H99" s="609">
        <v>0</v>
      </c>
      <c r="I99" s="609">
        <v>0</v>
      </c>
      <c r="J99" s="609">
        <v>0</v>
      </c>
      <c r="K99" s="609">
        <v>0</v>
      </c>
      <c r="L99" s="609">
        <v>0</v>
      </c>
      <c r="M99" s="609">
        <v>0</v>
      </c>
      <c r="N99" s="587">
        <f t="shared" si="7"/>
        <v>0</v>
      </c>
      <c r="O99"/>
      <c r="P99" s="490"/>
      <c r="Q99" t="str">
        <f t="shared" si="8"/>
        <v>49160</v>
      </c>
      <c r="R99" s="126" t="str">
        <f t="shared" si="9"/>
        <v>TRANSFER FROM GRANT FUND</v>
      </c>
      <c r="S99" s="125" t="str">
        <f t="shared" si="10"/>
        <v>100</v>
      </c>
      <c r="T99" s="125" t="str">
        <f t="shared" si="11"/>
        <v>00</v>
      </c>
      <c r="U99" s="125" t="str">
        <f t="shared" si="12"/>
        <v>000</v>
      </c>
      <c r="V99" s="125" t="str">
        <f>VLOOKUP(Q99,'GL Category'!A:C,3,FALSE)</f>
        <v>TRANSFERS IN</v>
      </c>
      <c r="W99" s="125"/>
    </row>
    <row r="100" spans="1:23" s="83" customFormat="1" ht="12.6" customHeight="1">
      <c r="A100" s="608" t="s">
        <v>791</v>
      </c>
      <c r="B100" s="608" t="s">
        <v>3421</v>
      </c>
      <c r="C100" s="608" t="s">
        <v>3149</v>
      </c>
      <c r="D100" s="609">
        <v>0</v>
      </c>
      <c r="E100" s="609">
        <v>0</v>
      </c>
      <c r="F100" s="609">
        <v>0</v>
      </c>
      <c r="G100" s="609">
        <v>0</v>
      </c>
      <c r="H100" s="609">
        <v>0</v>
      </c>
      <c r="I100" s="609">
        <v>-230617.5</v>
      </c>
      <c r="J100" s="609">
        <v>0</v>
      </c>
      <c r="K100" s="609">
        <v>0</v>
      </c>
      <c r="L100" s="609">
        <v>0</v>
      </c>
      <c r="M100" s="609">
        <v>0</v>
      </c>
      <c r="N100" s="587">
        <f t="shared" si="7"/>
        <v>0</v>
      </c>
      <c r="O100"/>
      <c r="P100" s="490"/>
      <c r="Q100" t="str">
        <f t="shared" si="8"/>
        <v>49198</v>
      </c>
      <c r="R100" s="126" t="str">
        <f t="shared" si="9"/>
        <v>TRANSFER FROM GENERAL GOVERNME</v>
      </c>
      <c r="S100" s="125" t="str">
        <f t="shared" si="10"/>
        <v>100</v>
      </c>
      <c r="T100" s="125" t="str">
        <f t="shared" si="11"/>
        <v>00</v>
      </c>
      <c r="U100" s="125" t="str">
        <f t="shared" si="12"/>
        <v>000</v>
      </c>
      <c r="V100" s="125" t="str">
        <f>VLOOKUP(Q100,'GL Category'!A:C,3,FALSE)</f>
        <v>TRANSFERS IN</v>
      </c>
      <c r="W100" s="125"/>
    </row>
    <row r="101" spans="1:23" s="83" customFormat="1" ht="12.6" customHeight="1">
      <c r="A101" s="608" t="s">
        <v>791</v>
      </c>
      <c r="B101" s="608" t="s">
        <v>2259</v>
      </c>
      <c r="C101" s="608" t="s">
        <v>480</v>
      </c>
      <c r="D101" s="609">
        <v>0</v>
      </c>
      <c r="E101" s="609">
        <v>0</v>
      </c>
      <c r="F101" s="609">
        <v>0</v>
      </c>
      <c r="G101" s="609">
        <v>0</v>
      </c>
      <c r="H101" s="609">
        <v>0</v>
      </c>
      <c r="I101" s="609">
        <v>0</v>
      </c>
      <c r="J101" s="609">
        <v>0</v>
      </c>
      <c r="K101" s="609">
        <v>0</v>
      </c>
      <c r="L101" s="609">
        <v>0</v>
      </c>
      <c r="M101" s="609">
        <v>0</v>
      </c>
      <c r="N101" s="587">
        <f t="shared" si="7"/>
        <v>0</v>
      </c>
      <c r="O101"/>
      <c r="P101" s="490"/>
      <c r="Q101" t="str">
        <f t="shared" si="8"/>
        <v>49200</v>
      </c>
      <c r="R101" s="126" t="str">
        <f t="shared" si="9"/>
        <v>TRANSFER FROM W&amp;S FUND</v>
      </c>
      <c r="S101" s="125" t="str">
        <f t="shared" si="10"/>
        <v>100</v>
      </c>
      <c r="T101" s="125" t="str">
        <f t="shared" si="11"/>
        <v>00</v>
      </c>
      <c r="U101" s="125" t="str">
        <f t="shared" si="12"/>
        <v>000</v>
      </c>
      <c r="V101" s="125" t="str">
        <f>VLOOKUP(Q101,'GL Category'!A:C,3,FALSE)</f>
        <v>TRANSFERS IN</v>
      </c>
      <c r="W101" s="125"/>
    </row>
    <row r="102" spans="1:23" s="83" customFormat="1" ht="20.399999999999999" customHeight="1">
      <c r="A102" s="608" t="s">
        <v>791</v>
      </c>
      <c r="B102" s="608" t="s">
        <v>2260</v>
      </c>
      <c r="C102" s="608" t="s">
        <v>481</v>
      </c>
      <c r="D102" s="609">
        <v>0</v>
      </c>
      <c r="E102" s="609">
        <v>0</v>
      </c>
      <c r="F102" s="609">
        <v>0</v>
      </c>
      <c r="G102" s="609">
        <v>0</v>
      </c>
      <c r="H102" s="609">
        <v>0</v>
      </c>
      <c r="I102" s="609">
        <v>0</v>
      </c>
      <c r="J102" s="609">
        <v>0</v>
      </c>
      <c r="K102" s="609">
        <v>0</v>
      </c>
      <c r="L102" s="609">
        <v>0</v>
      </c>
      <c r="M102" s="609">
        <v>0</v>
      </c>
      <c r="N102" s="587">
        <f t="shared" si="7"/>
        <v>0</v>
      </c>
      <c r="O102"/>
      <c r="P102" s="490"/>
      <c r="Q102" t="str">
        <f t="shared" si="8"/>
        <v>49400</v>
      </c>
      <c r="R102" s="126" t="str">
        <f t="shared" si="9"/>
        <v>TRANSFER FROM DRAINAGE FUND</v>
      </c>
      <c r="S102" s="125" t="str">
        <f t="shared" si="10"/>
        <v>100</v>
      </c>
      <c r="T102" s="125" t="str">
        <f t="shared" si="11"/>
        <v>00</v>
      </c>
      <c r="U102" s="125" t="str">
        <f t="shared" si="12"/>
        <v>000</v>
      </c>
      <c r="V102" s="125" t="str">
        <f>VLOOKUP(Q102,'GL Category'!A:C,3,FALSE)</f>
        <v>TRANSFERS IN</v>
      </c>
      <c r="W102" s="125"/>
    </row>
    <row r="103" spans="1:23" s="83" customFormat="1" ht="20.399999999999999" customHeight="1">
      <c r="A103" s="608" t="s">
        <v>791</v>
      </c>
      <c r="B103" s="608" t="s">
        <v>2261</v>
      </c>
      <c r="C103" s="608" t="s">
        <v>84</v>
      </c>
      <c r="D103" s="609">
        <v>-11452</v>
      </c>
      <c r="E103" s="609">
        <v>12033.68</v>
      </c>
      <c r="F103" s="609">
        <v>-1400</v>
      </c>
      <c r="G103" s="609">
        <v>-14312.71</v>
      </c>
      <c r="H103" s="609">
        <v>0</v>
      </c>
      <c r="I103" s="609">
        <v>0</v>
      </c>
      <c r="J103" s="609">
        <v>0</v>
      </c>
      <c r="K103" s="609">
        <v>0</v>
      </c>
      <c r="L103" s="609">
        <v>0</v>
      </c>
      <c r="M103" s="609">
        <v>0</v>
      </c>
      <c r="N103" s="587">
        <f t="shared" si="7"/>
        <v>0</v>
      </c>
      <c r="O103"/>
      <c r="P103" s="490"/>
      <c r="Q103" t="str">
        <f t="shared" si="8"/>
        <v>49999</v>
      </c>
      <c r="R103" s="126" t="str">
        <f t="shared" si="9"/>
        <v>USE OF FUND BALANCE</v>
      </c>
      <c r="S103" s="125" t="str">
        <f t="shared" si="10"/>
        <v>100</v>
      </c>
      <c r="T103" s="125" t="str">
        <f t="shared" si="11"/>
        <v>00</v>
      </c>
      <c r="U103" s="125" t="str">
        <f t="shared" si="12"/>
        <v>000</v>
      </c>
      <c r="V103" s="125" t="str">
        <f>VLOOKUP(Q103,'GL Category'!A:C,3,FALSE)</f>
        <v>TRANSFERS IN</v>
      </c>
      <c r="W103" s="125"/>
    </row>
    <row r="104" spans="1:23" s="83" customFormat="1" ht="20.399999999999999" customHeight="1">
      <c r="A104" s="608" t="s">
        <v>1025</v>
      </c>
      <c r="B104" s="608" t="s">
        <v>1740</v>
      </c>
      <c r="C104" s="608" t="s">
        <v>395</v>
      </c>
      <c r="D104" s="609">
        <v>-3617226.71</v>
      </c>
      <c r="E104" s="609">
        <v>-4036096.9</v>
      </c>
      <c r="F104" s="609">
        <v>-4555184.88</v>
      </c>
      <c r="G104" s="609">
        <v>-4717834.04</v>
      </c>
      <c r="H104" s="609">
        <v>-4690828</v>
      </c>
      <c r="I104" s="609">
        <v>-3914365.55</v>
      </c>
      <c r="J104" s="609">
        <v>-4690828</v>
      </c>
      <c r="K104" s="609">
        <v>-4690828</v>
      </c>
      <c r="L104" s="609">
        <v>0</v>
      </c>
      <c r="M104" s="609">
        <v>0</v>
      </c>
      <c r="N104" s="587">
        <f t="shared" si="7"/>
        <v>-4690828</v>
      </c>
      <c r="O104"/>
      <c r="P104" s="490"/>
      <c r="Q104" t="str">
        <f t="shared" si="8"/>
        <v>40200</v>
      </c>
      <c r="R104" s="126" t="str">
        <f t="shared" si="9"/>
        <v>CITY SALES TAXES</v>
      </c>
      <c r="S104" s="125" t="str">
        <f t="shared" si="10"/>
        <v>110</v>
      </c>
      <c r="T104" s="125" t="str">
        <f t="shared" si="11"/>
        <v>00</v>
      </c>
      <c r="U104" s="125" t="str">
        <f t="shared" si="12"/>
        <v>000</v>
      </c>
      <c r="V104" s="125" t="str">
        <f>VLOOKUP(Q104,'GL Category'!A:C,3,FALSE)</f>
        <v>SALES TAX</v>
      </c>
      <c r="W104" s="125"/>
    </row>
    <row r="105" spans="1:23" s="83" customFormat="1" ht="20.399999999999999" customHeight="1">
      <c r="A105" s="608" t="s">
        <v>1025</v>
      </c>
      <c r="B105" s="608" t="s">
        <v>1741</v>
      </c>
      <c r="C105" s="608" t="s">
        <v>3516</v>
      </c>
      <c r="D105" s="609">
        <v>-16000</v>
      </c>
      <c r="E105" s="609">
        <v>-16000</v>
      </c>
      <c r="F105" s="609">
        <v>-16000</v>
      </c>
      <c r="G105" s="609">
        <v>-16000</v>
      </c>
      <c r="H105" s="609">
        <v>-16000</v>
      </c>
      <c r="I105" s="609">
        <v>-27000</v>
      </c>
      <c r="J105" s="609">
        <v>-27000</v>
      </c>
      <c r="K105" s="609">
        <v>-31000</v>
      </c>
      <c r="L105" s="609">
        <v>0</v>
      </c>
      <c r="M105" s="609">
        <v>0</v>
      </c>
      <c r="N105" s="587">
        <f t="shared" si="7"/>
        <v>-31000</v>
      </c>
      <c r="O105"/>
      <c r="P105" s="490"/>
      <c r="Q105" t="str">
        <f t="shared" si="8"/>
        <v>42110</v>
      </c>
      <c r="R105" s="126" t="str">
        <f t="shared" si="9"/>
        <v>GROUNDS LEASE</v>
      </c>
      <c r="S105" s="125" t="str">
        <f t="shared" si="10"/>
        <v>110</v>
      </c>
      <c r="T105" s="125" t="str">
        <f t="shared" si="11"/>
        <v>00</v>
      </c>
      <c r="U105" s="125" t="str">
        <f t="shared" si="12"/>
        <v>000</v>
      </c>
      <c r="V105" s="125" t="str">
        <f>VLOOKUP(Q105,'GL Category'!A:C,3,FALSE)</f>
        <v>CHARGES FOR SERVICE</v>
      </c>
      <c r="W105" s="125"/>
    </row>
    <row r="106" spans="1:23" s="83" customFormat="1" ht="20.399999999999999" customHeight="1">
      <c r="A106" s="608" t="s">
        <v>1025</v>
      </c>
      <c r="B106" s="608" t="s">
        <v>3283</v>
      </c>
      <c r="C106" s="608" t="s">
        <v>883</v>
      </c>
      <c r="D106" s="609">
        <v>0</v>
      </c>
      <c r="E106" s="609">
        <v>0</v>
      </c>
      <c r="F106" s="609">
        <v>0</v>
      </c>
      <c r="G106" s="609">
        <v>0</v>
      </c>
      <c r="H106" s="609">
        <v>0</v>
      </c>
      <c r="I106" s="609">
        <v>0</v>
      </c>
      <c r="J106" s="609">
        <v>0</v>
      </c>
      <c r="K106" s="609">
        <v>0</v>
      </c>
      <c r="L106" s="609">
        <v>0</v>
      </c>
      <c r="M106" s="609">
        <v>0</v>
      </c>
      <c r="N106" s="587">
        <f t="shared" si="7"/>
        <v>0</v>
      </c>
      <c r="O106"/>
      <c r="P106" s="490"/>
      <c r="Q106" t="str">
        <f t="shared" si="8"/>
        <v>45000</v>
      </c>
      <c r="R106" s="126" t="str">
        <f t="shared" si="9"/>
        <v>DEBT ISSUANCE PROCEEDS</v>
      </c>
      <c r="S106" s="125" t="str">
        <f t="shared" si="10"/>
        <v>110</v>
      </c>
      <c r="T106" s="125" t="str">
        <f t="shared" si="11"/>
        <v>00</v>
      </c>
      <c r="U106" s="125" t="str">
        <f t="shared" si="12"/>
        <v>000</v>
      </c>
      <c r="V106" s="125" t="str">
        <f>VLOOKUP(Q106,'GL Category'!A:C,3,FALSE)</f>
        <v>DEBT ISSUANCES</v>
      </c>
      <c r="W106" s="125"/>
    </row>
    <row r="107" spans="1:23" s="83" customFormat="1" ht="20.399999999999999" customHeight="1">
      <c r="A107" s="608" t="s">
        <v>1025</v>
      </c>
      <c r="B107" s="608" t="s">
        <v>3284</v>
      </c>
      <c r="C107" s="608" t="s">
        <v>884</v>
      </c>
      <c r="D107" s="609">
        <v>0</v>
      </c>
      <c r="E107" s="609">
        <v>0</v>
      </c>
      <c r="F107" s="609">
        <v>0</v>
      </c>
      <c r="G107" s="609">
        <v>0</v>
      </c>
      <c r="H107" s="609">
        <v>0</v>
      </c>
      <c r="I107" s="609">
        <v>0</v>
      </c>
      <c r="J107" s="609">
        <v>0</v>
      </c>
      <c r="K107" s="609">
        <v>0</v>
      </c>
      <c r="L107" s="609">
        <v>0</v>
      </c>
      <c r="M107" s="609">
        <v>0</v>
      </c>
      <c r="N107" s="587">
        <f t="shared" si="7"/>
        <v>0</v>
      </c>
      <c r="O107"/>
      <c r="P107" s="490"/>
      <c r="Q107" t="str">
        <f t="shared" si="8"/>
        <v>45010</v>
      </c>
      <c r="R107" s="126" t="str">
        <f t="shared" si="9"/>
        <v>PROCEEDS FROM NOTES PAYABLE</v>
      </c>
      <c r="S107" s="125" t="str">
        <f t="shared" si="10"/>
        <v>110</v>
      </c>
      <c r="T107" s="125" t="str">
        <f t="shared" si="11"/>
        <v>00</v>
      </c>
      <c r="U107" s="125" t="str">
        <f t="shared" si="12"/>
        <v>000</v>
      </c>
      <c r="V107" s="125" t="str">
        <f>VLOOKUP(Q107,'GL Category'!A:C,3,FALSE)</f>
        <v>DEBT ISSUANCES</v>
      </c>
      <c r="W107" s="125"/>
    </row>
    <row r="108" spans="1:23" s="83" customFormat="1" ht="20.399999999999999" customHeight="1">
      <c r="A108" s="608" t="s">
        <v>1025</v>
      </c>
      <c r="B108" s="608" t="s">
        <v>1742</v>
      </c>
      <c r="C108" s="608" t="s">
        <v>425</v>
      </c>
      <c r="D108" s="609">
        <v>0</v>
      </c>
      <c r="E108" s="609">
        <v>0</v>
      </c>
      <c r="F108" s="609">
        <v>0</v>
      </c>
      <c r="G108" s="609">
        <v>0</v>
      </c>
      <c r="H108" s="609">
        <v>0</v>
      </c>
      <c r="I108" s="609">
        <v>0</v>
      </c>
      <c r="J108" s="609">
        <v>0</v>
      </c>
      <c r="K108" s="609">
        <v>0</v>
      </c>
      <c r="L108" s="609">
        <v>0</v>
      </c>
      <c r="M108" s="609">
        <v>0</v>
      </c>
      <c r="N108" s="587">
        <f t="shared" si="7"/>
        <v>0</v>
      </c>
      <c r="O108"/>
      <c r="P108" s="490"/>
      <c r="Q108" t="str">
        <f t="shared" si="8"/>
        <v>45100</v>
      </c>
      <c r="R108" s="126" t="str">
        <f t="shared" si="9"/>
        <v>PREMIUM ON DEBT ISSUANCE</v>
      </c>
      <c r="S108" s="125" t="str">
        <f t="shared" si="10"/>
        <v>110</v>
      </c>
      <c r="T108" s="125" t="str">
        <f t="shared" si="11"/>
        <v>00</v>
      </c>
      <c r="U108" s="125" t="str">
        <f t="shared" si="12"/>
        <v>000</v>
      </c>
      <c r="V108" s="125" t="str">
        <f>VLOOKUP(Q108,'GL Category'!A:C,3,FALSE)</f>
        <v>DEBT ISSUANCES</v>
      </c>
      <c r="W108" s="125"/>
    </row>
    <row r="109" spans="1:23" s="83" customFormat="1" ht="20.399999999999999" customHeight="1">
      <c r="A109" s="608" t="s">
        <v>1025</v>
      </c>
      <c r="B109" s="608" t="s">
        <v>1743</v>
      </c>
      <c r="C109" s="608" t="s">
        <v>426</v>
      </c>
      <c r="D109" s="609">
        <v>0</v>
      </c>
      <c r="E109" s="609">
        <v>0</v>
      </c>
      <c r="F109" s="609">
        <v>0</v>
      </c>
      <c r="G109" s="609">
        <v>0</v>
      </c>
      <c r="H109" s="609">
        <v>0</v>
      </c>
      <c r="I109" s="609">
        <v>0</v>
      </c>
      <c r="J109" s="609">
        <v>0</v>
      </c>
      <c r="K109" s="609">
        <v>0</v>
      </c>
      <c r="L109" s="609">
        <v>0</v>
      </c>
      <c r="M109" s="609">
        <v>0</v>
      </c>
      <c r="N109" s="587">
        <f t="shared" si="7"/>
        <v>0</v>
      </c>
      <c r="O109"/>
      <c r="P109" s="490"/>
      <c r="Q109" t="str">
        <f t="shared" si="8"/>
        <v>45200</v>
      </c>
      <c r="R109" s="126" t="str">
        <f t="shared" si="9"/>
        <v>DEBT ISSUANCE-REFUNDING BONDS</v>
      </c>
      <c r="S109" s="125" t="str">
        <f t="shared" si="10"/>
        <v>110</v>
      </c>
      <c r="T109" s="125" t="str">
        <f t="shared" si="11"/>
        <v>00</v>
      </c>
      <c r="U109" s="125" t="str">
        <f t="shared" si="12"/>
        <v>000</v>
      </c>
      <c r="V109" s="125" t="str">
        <f>VLOOKUP(Q109,'GL Category'!A:C,3,FALSE)</f>
        <v>DEBT ISSUANCES</v>
      </c>
      <c r="W109" s="125"/>
    </row>
    <row r="110" spans="1:23" s="83" customFormat="1" ht="20.399999999999999" customHeight="1">
      <c r="A110" s="608" t="s">
        <v>1025</v>
      </c>
      <c r="B110" s="608" t="s">
        <v>3285</v>
      </c>
      <c r="C110" s="608" t="s">
        <v>477</v>
      </c>
      <c r="D110" s="609">
        <v>0</v>
      </c>
      <c r="E110" s="609">
        <v>0</v>
      </c>
      <c r="F110" s="609">
        <v>0</v>
      </c>
      <c r="G110" s="609">
        <v>0</v>
      </c>
      <c r="H110" s="609">
        <v>0</v>
      </c>
      <c r="I110" s="609">
        <v>0</v>
      </c>
      <c r="J110" s="609">
        <v>0</v>
      </c>
      <c r="K110" s="609">
        <v>0</v>
      </c>
      <c r="L110" s="609">
        <v>0</v>
      </c>
      <c r="M110" s="609">
        <v>0</v>
      </c>
      <c r="N110" s="587">
        <f t="shared" si="7"/>
        <v>0</v>
      </c>
      <c r="O110"/>
      <c r="P110" s="490"/>
      <c r="Q110" t="str">
        <f t="shared" si="8"/>
        <v>46761</v>
      </c>
      <c r="R110" s="126" t="str">
        <f t="shared" si="9"/>
        <v>GRANT-LOCAL</v>
      </c>
      <c r="S110" s="125" t="str">
        <f t="shared" si="10"/>
        <v>110</v>
      </c>
      <c r="T110" s="125" t="str">
        <f t="shared" si="11"/>
        <v>00</v>
      </c>
      <c r="U110" s="125" t="str">
        <f t="shared" si="12"/>
        <v>000</v>
      </c>
      <c r="V110" s="125" t="e">
        <f>VLOOKUP(Q110,'GL Category'!A:C,3,FALSE)</f>
        <v>#N/A</v>
      </c>
      <c r="W110" s="125"/>
    </row>
    <row r="111" spans="1:23" s="83" customFormat="1" ht="20.399999999999999" customHeight="1">
      <c r="A111" s="608" t="s">
        <v>1025</v>
      </c>
      <c r="B111" s="608" t="s">
        <v>1745</v>
      </c>
      <c r="C111" s="608" t="s">
        <v>421</v>
      </c>
      <c r="D111" s="609">
        <v>0</v>
      </c>
      <c r="E111" s="609">
        <v>0</v>
      </c>
      <c r="F111" s="609">
        <v>0</v>
      </c>
      <c r="G111" s="609">
        <v>0</v>
      </c>
      <c r="H111" s="609">
        <v>0</v>
      </c>
      <c r="I111" s="609">
        <v>0</v>
      </c>
      <c r="J111" s="609">
        <v>0</v>
      </c>
      <c r="K111" s="609">
        <v>0</v>
      </c>
      <c r="L111" s="609">
        <v>0</v>
      </c>
      <c r="M111" s="609">
        <v>0</v>
      </c>
      <c r="N111" s="587">
        <f t="shared" si="7"/>
        <v>0</v>
      </c>
      <c r="O111"/>
      <c r="P111" s="490"/>
      <c r="Q111" t="str">
        <f t="shared" si="8"/>
        <v>47010</v>
      </c>
      <c r="R111" s="126" t="str">
        <f t="shared" si="9"/>
        <v>MISCELLANEOUS REVENUE</v>
      </c>
      <c r="S111" s="125" t="str">
        <f t="shared" si="10"/>
        <v>110</v>
      </c>
      <c r="T111" s="125" t="str">
        <f t="shared" si="11"/>
        <v>00</v>
      </c>
      <c r="U111" s="125" t="str">
        <f t="shared" si="12"/>
        <v>000</v>
      </c>
      <c r="V111" s="125" t="str">
        <f>VLOOKUP(Q111,'GL Category'!A:C,3,FALSE)</f>
        <v>OTHER REVENUE</v>
      </c>
      <c r="W111" s="125"/>
    </row>
    <row r="112" spans="1:23" s="83" customFormat="1" ht="20.399999999999999" customHeight="1">
      <c r="A112" s="608" t="s">
        <v>1025</v>
      </c>
      <c r="B112" s="608" t="s">
        <v>3160</v>
      </c>
      <c r="C112" s="608" t="s">
        <v>427</v>
      </c>
      <c r="D112" s="609">
        <v>-53500</v>
      </c>
      <c r="E112" s="609">
        <v>0</v>
      </c>
      <c r="F112" s="609">
        <v>0</v>
      </c>
      <c r="G112" s="609">
        <v>-46500</v>
      </c>
      <c r="H112" s="609">
        <v>0</v>
      </c>
      <c r="I112" s="609">
        <v>0</v>
      </c>
      <c r="J112" s="609">
        <v>0</v>
      </c>
      <c r="K112" s="609">
        <v>0</v>
      </c>
      <c r="L112" s="609">
        <v>0</v>
      </c>
      <c r="M112" s="609">
        <v>0</v>
      </c>
      <c r="N112" s="587">
        <f t="shared" si="7"/>
        <v>0</v>
      </c>
      <c r="O112"/>
      <c r="P112" s="490"/>
      <c r="Q112" t="str">
        <f t="shared" si="8"/>
        <v>47030</v>
      </c>
      <c r="R112" s="126" t="str">
        <f t="shared" si="9"/>
        <v>GAIN/LOSS ON DISP OF ASSETS</v>
      </c>
      <c r="S112" s="125" t="str">
        <f t="shared" si="10"/>
        <v>110</v>
      </c>
      <c r="T112" s="125" t="str">
        <f t="shared" si="11"/>
        <v>00</v>
      </c>
      <c r="U112" s="125" t="str">
        <f t="shared" si="12"/>
        <v>000</v>
      </c>
      <c r="V112" s="125" t="str">
        <f>VLOOKUP(Q112,'GL Category'!A:C,3,FALSE)</f>
        <v>OTHER REVENUE</v>
      </c>
      <c r="W112" s="125"/>
    </row>
    <row r="113" spans="1:23" s="83" customFormat="1" ht="20.399999999999999" customHeight="1">
      <c r="A113" s="608" t="s">
        <v>1025</v>
      </c>
      <c r="B113" s="608" t="s">
        <v>1746</v>
      </c>
      <c r="C113" s="608" t="s">
        <v>423</v>
      </c>
      <c r="D113" s="609">
        <v>-47166.39</v>
      </c>
      <c r="E113" s="609">
        <v>-24896.46</v>
      </c>
      <c r="F113" s="609">
        <v>-16804.919999999998</v>
      </c>
      <c r="G113" s="609">
        <v>-172261.08</v>
      </c>
      <c r="H113" s="609">
        <v>-50614</v>
      </c>
      <c r="I113" s="609">
        <v>-215023.53</v>
      </c>
      <c r="J113" s="609">
        <v>-197655</v>
      </c>
      <c r="K113" s="609">
        <v>-197655</v>
      </c>
      <c r="L113" s="609">
        <v>0</v>
      </c>
      <c r="M113" s="609">
        <v>0</v>
      </c>
      <c r="N113" s="587">
        <f t="shared" si="7"/>
        <v>-197655</v>
      </c>
      <c r="O113"/>
      <c r="P113" s="490"/>
      <c r="Q113" t="str">
        <f t="shared" si="8"/>
        <v>47090</v>
      </c>
      <c r="R113" s="126" t="str">
        <f t="shared" si="9"/>
        <v>INTEREST REVENUE-INVESTMENTS</v>
      </c>
      <c r="S113" s="125" t="str">
        <f t="shared" si="10"/>
        <v>110</v>
      </c>
      <c r="T113" s="125" t="str">
        <f t="shared" si="11"/>
        <v>00</v>
      </c>
      <c r="U113" s="125" t="str">
        <f t="shared" si="12"/>
        <v>000</v>
      </c>
      <c r="V113" s="125" t="str">
        <f>VLOOKUP(Q113,'GL Category'!A:C,3,FALSE)</f>
        <v>OTHER REVENUE</v>
      </c>
      <c r="W113" s="125"/>
    </row>
    <row r="114" spans="1:23" s="83" customFormat="1" ht="20.399999999999999" customHeight="1">
      <c r="A114" s="608" t="s">
        <v>1025</v>
      </c>
      <c r="B114" s="608" t="s">
        <v>1747</v>
      </c>
      <c r="C114" s="608" t="s">
        <v>827</v>
      </c>
      <c r="D114" s="609">
        <v>0</v>
      </c>
      <c r="E114" s="609">
        <v>0</v>
      </c>
      <c r="F114" s="609">
        <v>0</v>
      </c>
      <c r="G114" s="609">
        <v>0</v>
      </c>
      <c r="H114" s="609">
        <v>0</v>
      </c>
      <c r="I114" s="609">
        <v>0</v>
      </c>
      <c r="J114" s="609">
        <v>0</v>
      </c>
      <c r="K114" s="609">
        <v>0</v>
      </c>
      <c r="L114" s="609">
        <v>0</v>
      </c>
      <c r="M114" s="609">
        <v>0</v>
      </c>
      <c r="N114" s="587">
        <f t="shared" si="7"/>
        <v>0</v>
      </c>
      <c r="O114"/>
      <c r="P114" s="490"/>
      <c r="Q114" t="str">
        <f t="shared" si="8"/>
        <v>47099</v>
      </c>
      <c r="R114" s="126" t="str">
        <f t="shared" si="9"/>
        <v>INCR/DECR IN FAIR VALUE OF INV</v>
      </c>
      <c r="S114" s="125" t="str">
        <f t="shared" si="10"/>
        <v>110</v>
      </c>
      <c r="T114" s="125" t="str">
        <f t="shared" si="11"/>
        <v>00</v>
      </c>
      <c r="U114" s="125" t="str">
        <f t="shared" si="12"/>
        <v>000</v>
      </c>
      <c r="V114" s="125" t="str">
        <f>VLOOKUP(Q114,'GL Category'!A:C,3,FALSE)</f>
        <v>OTHER REVENUE</v>
      </c>
      <c r="W114" s="125"/>
    </row>
    <row r="115" spans="1:23" s="83" customFormat="1" ht="20.399999999999999" customHeight="1">
      <c r="A115" s="608" t="s">
        <v>1025</v>
      </c>
      <c r="B115" s="608" t="s">
        <v>1748</v>
      </c>
      <c r="C115" s="608" t="s">
        <v>899</v>
      </c>
      <c r="D115" s="609">
        <v>0</v>
      </c>
      <c r="E115" s="609">
        <v>0</v>
      </c>
      <c r="F115" s="609">
        <v>0</v>
      </c>
      <c r="G115" s="609">
        <v>0</v>
      </c>
      <c r="H115" s="609">
        <v>0</v>
      </c>
      <c r="I115" s="609">
        <v>0</v>
      </c>
      <c r="J115" s="609">
        <v>0</v>
      </c>
      <c r="K115" s="609">
        <v>0</v>
      </c>
      <c r="L115" s="609">
        <v>0</v>
      </c>
      <c r="M115" s="609">
        <v>0</v>
      </c>
      <c r="N115" s="587">
        <f t="shared" si="7"/>
        <v>0</v>
      </c>
      <c r="O115"/>
      <c r="P115" s="490"/>
      <c r="Q115" t="str">
        <f t="shared" si="8"/>
        <v>49125</v>
      </c>
      <c r="R115" s="126" t="str">
        <f t="shared" si="9"/>
        <v>TRANSFER FROM POINTE</v>
      </c>
      <c r="S115" s="125" t="str">
        <f t="shared" si="10"/>
        <v>110</v>
      </c>
      <c r="T115" s="125" t="str">
        <f t="shared" si="11"/>
        <v>00</v>
      </c>
      <c r="U115" s="125" t="str">
        <f t="shared" si="12"/>
        <v>000</v>
      </c>
      <c r="V115" s="125" t="str">
        <f>VLOOKUP(Q115,'GL Category'!A:C,3,FALSE)</f>
        <v>TRANSFERS IN</v>
      </c>
      <c r="W115" s="125"/>
    </row>
    <row r="116" spans="1:23" s="83" customFormat="1" ht="20.399999999999999" customHeight="1">
      <c r="A116" s="608" t="s">
        <v>1025</v>
      </c>
      <c r="B116" s="608" t="s">
        <v>3161</v>
      </c>
      <c r="C116" s="608" t="s">
        <v>84</v>
      </c>
      <c r="D116" s="609">
        <v>895</v>
      </c>
      <c r="E116" s="609">
        <v>0</v>
      </c>
      <c r="F116" s="609">
        <v>0</v>
      </c>
      <c r="G116" s="609">
        <v>0</v>
      </c>
      <c r="H116" s="609">
        <v>0</v>
      </c>
      <c r="I116" s="609">
        <v>0</v>
      </c>
      <c r="J116" s="609">
        <v>0</v>
      </c>
      <c r="K116" s="609">
        <v>0</v>
      </c>
      <c r="L116" s="609">
        <v>0</v>
      </c>
      <c r="M116" s="609">
        <v>0</v>
      </c>
      <c r="N116" s="587">
        <f t="shared" si="7"/>
        <v>0</v>
      </c>
      <c r="O116"/>
      <c r="P116" s="490"/>
      <c r="Q116" t="str">
        <f t="shared" si="8"/>
        <v>49999</v>
      </c>
      <c r="R116" s="126" t="str">
        <f t="shared" si="9"/>
        <v>USE OF FUND BALANCE</v>
      </c>
      <c r="S116" s="125" t="str">
        <f t="shared" si="10"/>
        <v>110</v>
      </c>
      <c r="T116" s="125" t="str">
        <f t="shared" si="11"/>
        <v>00</v>
      </c>
      <c r="U116" s="125" t="str">
        <f t="shared" si="12"/>
        <v>000</v>
      </c>
      <c r="V116" s="125" t="str">
        <f>VLOOKUP(Q116,'GL Category'!A:C,3,FALSE)</f>
        <v>TRANSFERS IN</v>
      </c>
      <c r="W116" s="125"/>
    </row>
    <row r="117" spans="1:23" s="83" customFormat="1" ht="20.399999999999999" customHeight="1">
      <c r="A117" s="608" t="s">
        <v>1026</v>
      </c>
      <c r="B117" s="608" t="s">
        <v>1819</v>
      </c>
      <c r="C117" s="608" t="s">
        <v>3434</v>
      </c>
      <c r="D117" s="609">
        <v>0</v>
      </c>
      <c r="E117" s="609">
        <v>0</v>
      </c>
      <c r="F117" s="609">
        <v>0</v>
      </c>
      <c r="G117" s="609">
        <v>0</v>
      </c>
      <c r="H117" s="609">
        <v>0</v>
      </c>
      <c r="I117" s="609">
        <v>0</v>
      </c>
      <c r="J117" s="609">
        <v>0</v>
      </c>
      <c r="K117" s="609">
        <v>0</v>
      </c>
      <c r="L117" s="609">
        <v>0</v>
      </c>
      <c r="M117" s="609">
        <v>0</v>
      </c>
      <c r="N117" s="587">
        <f t="shared" si="7"/>
        <v>0</v>
      </c>
      <c r="O117"/>
      <c r="P117" s="490"/>
      <c r="Q117" t="str">
        <f t="shared" si="8"/>
        <v>41790</v>
      </c>
      <c r="R117" s="126" t="str">
        <f t="shared" si="9"/>
        <v>TREE RESTORATION</v>
      </c>
      <c r="S117" s="125" t="str">
        <f t="shared" si="10"/>
        <v>112</v>
      </c>
      <c r="T117" s="125" t="str">
        <f t="shared" si="11"/>
        <v>00</v>
      </c>
      <c r="U117" s="125" t="str">
        <f t="shared" si="12"/>
        <v>000</v>
      </c>
      <c r="V117" s="125" t="str">
        <f>VLOOKUP(Q117,'GL Category'!A:C,3,FALSE)</f>
        <v>DEVELOPMENT FEES</v>
      </c>
      <c r="W117" s="125"/>
    </row>
    <row r="118" spans="1:23" s="83" customFormat="1" ht="20.399999999999999" customHeight="1">
      <c r="A118" s="608" t="s">
        <v>1026</v>
      </c>
      <c r="B118" s="608" t="s">
        <v>1821</v>
      </c>
      <c r="C118" s="608" t="s">
        <v>428</v>
      </c>
      <c r="D118" s="609">
        <v>0</v>
      </c>
      <c r="E118" s="609">
        <v>0</v>
      </c>
      <c r="F118" s="609">
        <v>0</v>
      </c>
      <c r="G118" s="609">
        <v>0</v>
      </c>
      <c r="H118" s="609">
        <v>0</v>
      </c>
      <c r="I118" s="609">
        <v>0</v>
      </c>
      <c r="J118" s="609">
        <v>0</v>
      </c>
      <c r="K118" s="609">
        <v>0</v>
      </c>
      <c r="L118" s="609">
        <v>0</v>
      </c>
      <c r="M118" s="609">
        <v>0</v>
      </c>
      <c r="N118" s="587">
        <f t="shared" si="7"/>
        <v>0</v>
      </c>
      <c r="O118"/>
      <c r="P118" s="490"/>
      <c r="Q118" t="str">
        <f t="shared" si="8"/>
        <v>43240</v>
      </c>
      <c r="R118" s="126" t="str">
        <f t="shared" si="9"/>
        <v>DADDY/DAUGHTER SWEETHEART REV</v>
      </c>
      <c r="S118" s="125" t="str">
        <f t="shared" si="10"/>
        <v>112</v>
      </c>
      <c r="T118" s="125" t="str">
        <f t="shared" si="11"/>
        <v>00</v>
      </c>
      <c r="U118" s="125" t="str">
        <f t="shared" si="12"/>
        <v>000</v>
      </c>
      <c r="V118" s="125" t="str">
        <f>VLOOKUP(Q118,'GL Category'!A:C,3,FALSE)</f>
        <v>CHARGES FOR SERVICE</v>
      </c>
      <c r="W118" s="125"/>
    </row>
    <row r="119" spans="1:23" s="83" customFormat="1" ht="20.399999999999999" customHeight="1">
      <c r="A119" s="608" t="s">
        <v>1026</v>
      </c>
      <c r="B119" s="608" t="s">
        <v>1822</v>
      </c>
      <c r="C119" s="608" t="s">
        <v>429</v>
      </c>
      <c r="D119" s="609">
        <v>0</v>
      </c>
      <c r="E119" s="609">
        <v>0</v>
      </c>
      <c r="F119" s="609">
        <v>0</v>
      </c>
      <c r="G119" s="609">
        <v>0</v>
      </c>
      <c r="H119" s="609">
        <v>0</v>
      </c>
      <c r="I119" s="609">
        <v>0</v>
      </c>
      <c r="J119" s="609">
        <v>0</v>
      </c>
      <c r="K119" s="609">
        <v>0</v>
      </c>
      <c r="L119" s="609">
        <v>0</v>
      </c>
      <c r="M119" s="609">
        <v>0</v>
      </c>
      <c r="N119" s="587">
        <f t="shared" si="7"/>
        <v>0</v>
      </c>
      <c r="O119"/>
      <c r="P119" s="490"/>
      <c r="Q119" t="str">
        <f t="shared" si="8"/>
        <v>43245</v>
      </c>
      <c r="R119" s="126" t="str">
        <f t="shared" si="9"/>
        <v>HALLOWEEN HAUNTED TRAIL REV</v>
      </c>
      <c r="S119" s="125" t="str">
        <f t="shared" si="10"/>
        <v>112</v>
      </c>
      <c r="T119" s="125" t="str">
        <f t="shared" si="11"/>
        <v>00</v>
      </c>
      <c r="U119" s="125" t="str">
        <f t="shared" si="12"/>
        <v>000</v>
      </c>
      <c r="V119" s="125" t="str">
        <f>VLOOKUP(Q119,'GL Category'!A:C,3,FALSE)</f>
        <v>CHARGES FOR SERVICE</v>
      </c>
      <c r="W119" s="125"/>
    </row>
    <row r="120" spans="1:23" s="83" customFormat="1" ht="20.399999999999999" customHeight="1">
      <c r="A120" s="608" t="s">
        <v>1026</v>
      </c>
      <c r="B120" s="608" t="s">
        <v>1823</v>
      </c>
      <c r="C120" s="608" t="s">
        <v>443</v>
      </c>
      <c r="D120" s="609">
        <v>0</v>
      </c>
      <c r="E120" s="609">
        <v>0</v>
      </c>
      <c r="F120" s="609">
        <v>0</v>
      </c>
      <c r="G120" s="609">
        <v>0</v>
      </c>
      <c r="H120" s="609">
        <v>0</v>
      </c>
      <c r="I120" s="609">
        <v>0</v>
      </c>
      <c r="J120" s="609">
        <v>0</v>
      </c>
      <c r="K120" s="609">
        <v>0</v>
      </c>
      <c r="L120" s="609">
        <v>0</v>
      </c>
      <c r="M120" s="609">
        <v>0</v>
      </c>
      <c r="N120" s="587">
        <f t="shared" si="7"/>
        <v>0</v>
      </c>
      <c r="O120"/>
      <c r="P120" s="490"/>
      <c r="Q120" t="str">
        <f t="shared" si="8"/>
        <v>43260</v>
      </c>
      <c r="R120" s="126" t="str">
        <f t="shared" si="9"/>
        <v>REVENUE-HOLLYDAYS</v>
      </c>
      <c r="S120" s="125" t="str">
        <f t="shared" si="10"/>
        <v>112</v>
      </c>
      <c r="T120" s="125" t="str">
        <f t="shared" si="11"/>
        <v>00</v>
      </c>
      <c r="U120" s="125" t="str">
        <f t="shared" si="12"/>
        <v>000</v>
      </c>
      <c r="V120" s="125" t="str">
        <f>VLOOKUP(Q120,'GL Category'!A:C,3,FALSE)</f>
        <v>CHARGES FOR SERVICE</v>
      </c>
      <c r="W120" s="125"/>
    </row>
    <row r="121" spans="1:23" s="83" customFormat="1" ht="20.399999999999999" customHeight="1">
      <c r="A121" s="608" t="s">
        <v>1026</v>
      </c>
      <c r="B121" s="608" t="s">
        <v>1824</v>
      </c>
      <c r="C121" s="608" t="s">
        <v>874</v>
      </c>
      <c r="D121" s="609">
        <v>0</v>
      </c>
      <c r="E121" s="609">
        <v>0</v>
      </c>
      <c r="F121" s="609">
        <v>0</v>
      </c>
      <c r="G121" s="609">
        <v>0</v>
      </c>
      <c r="H121" s="609">
        <v>0</v>
      </c>
      <c r="I121" s="609">
        <v>0</v>
      </c>
      <c r="J121" s="609">
        <v>0</v>
      </c>
      <c r="K121" s="609">
        <v>0</v>
      </c>
      <c r="L121" s="609">
        <v>0</v>
      </c>
      <c r="M121" s="609">
        <v>0</v>
      </c>
      <c r="N121" s="587">
        <f t="shared" si="7"/>
        <v>0</v>
      </c>
      <c r="O121"/>
      <c r="P121" s="490"/>
      <c r="Q121" t="str">
        <f t="shared" si="8"/>
        <v>43263</v>
      </c>
      <c r="R121" s="126" t="str">
        <f t="shared" si="9"/>
        <v>REC THE PARK REVENUE</v>
      </c>
      <c r="S121" s="125" t="str">
        <f t="shared" si="10"/>
        <v>112</v>
      </c>
      <c r="T121" s="125" t="str">
        <f t="shared" si="11"/>
        <v>00</v>
      </c>
      <c r="U121" s="125" t="str">
        <f t="shared" si="12"/>
        <v>000</v>
      </c>
      <c r="V121" s="125" t="str">
        <f>VLOOKUP(Q121,'GL Category'!A:C,3,FALSE)</f>
        <v>CHARGES FOR SERVICE</v>
      </c>
      <c r="W121" s="125"/>
    </row>
    <row r="122" spans="1:23" s="83" customFormat="1" ht="20.399999999999999" customHeight="1">
      <c r="A122" s="608" t="s">
        <v>1026</v>
      </c>
      <c r="B122" s="608" t="s">
        <v>1825</v>
      </c>
      <c r="C122" s="608" t="s">
        <v>444</v>
      </c>
      <c r="D122" s="609">
        <v>0</v>
      </c>
      <c r="E122" s="609">
        <v>0</v>
      </c>
      <c r="F122" s="609">
        <v>0</v>
      </c>
      <c r="G122" s="609">
        <v>0</v>
      </c>
      <c r="H122" s="609">
        <v>0</v>
      </c>
      <c r="I122" s="609">
        <v>0</v>
      </c>
      <c r="J122" s="609">
        <v>0</v>
      </c>
      <c r="K122" s="609">
        <v>0</v>
      </c>
      <c r="L122" s="609">
        <v>0</v>
      </c>
      <c r="M122" s="609">
        <v>0</v>
      </c>
      <c r="N122" s="587">
        <f t="shared" si="7"/>
        <v>0</v>
      </c>
      <c r="O122"/>
      <c r="P122" s="490"/>
      <c r="Q122" t="str">
        <f t="shared" si="8"/>
        <v>43264</v>
      </c>
      <c r="R122" s="126" t="str">
        <f t="shared" si="9"/>
        <v>REVENUE-ROCK THE PARK</v>
      </c>
      <c r="S122" s="125" t="str">
        <f t="shared" si="10"/>
        <v>112</v>
      </c>
      <c r="T122" s="125" t="str">
        <f t="shared" si="11"/>
        <v>00</v>
      </c>
      <c r="U122" s="125" t="str">
        <f t="shared" si="12"/>
        <v>000</v>
      </c>
      <c r="V122" s="125" t="str">
        <f>VLOOKUP(Q122,'GL Category'!A:C,3,FALSE)</f>
        <v>CHARGES FOR SERVICE</v>
      </c>
      <c r="W122" s="125"/>
    </row>
    <row r="123" spans="1:23" s="83" customFormat="1" ht="20.399999999999999" customHeight="1">
      <c r="A123" s="608" t="s">
        <v>1026</v>
      </c>
      <c r="B123" s="608" t="s">
        <v>1826</v>
      </c>
      <c r="C123" s="608" t="s">
        <v>431</v>
      </c>
      <c r="D123" s="609">
        <v>0</v>
      </c>
      <c r="E123" s="609">
        <v>0</v>
      </c>
      <c r="F123" s="609">
        <v>0</v>
      </c>
      <c r="G123" s="609">
        <v>0</v>
      </c>
      <c r="H123" s="609">
        <v>0</v>
      </c>
      <c r="I123" s="609">
        <v>0</v>
      </c>
      <c r="J123" s="609">
        <v>0</v>
      </c>
      <c r="K123" s="609">
        <v>0</v>
      </c>
      <c r="L123" s="609">
        <v>0</v>
      </c>
      <c r="M123" s="609">
        <v>0</v>
      </c>
      <c r="N123" s="587">
        <f t="shared" si="7"/>
        <v>0</v>
      </c>
      <c r="O123"/>
      <c r="P123" s="490"/>
      <c r="Q123" t="str">
        <f t="shared" si="8"/>
        <v>43275</v>
      </c>
      <c r="R123" s="126" t="str">
        <f t="shared" si="9"/>
        <v>MOTHER/SON ICE CREAM SOCIAL</v>
      </c>
      <c r="S123" s="125" t="str">
        <f t="shared" si="10"/>
        <v>112</v>
      </c>
      <c r="T123" s="125" t="str">
        <f t="shared" si="11"/>
        <v>00</v>
      </c>
      <c r="U123" s="125" t="str">
        <f t="shared" si="12"/>
        <v>000</v>
      </c>
      <c r="V123" s="125" t="str">
        <f>VLOOKUP(Q123,'GL Category'!A:C,3,FALSE)</f>
        <v>CHARGES FOR SERVICE</v>
      </c>
      <c r="W123" s="125"/>
    </row>
    <row r="124" spans="1:23" s="83" customFormat="1" ht="20.399999999999999" customHeight="1">
      <c r="A124" s="608" t="s">
        <v>1026</v>
      </c>
      <c r="B124" s="608" t="s">
        <v>1827</v>
      </c>
      <c r="C124" s="608" t="s">
        <v>432</v>
      </c>
      <c r="D124" s="609">
        <v>0</v>
      </c>
      <c r="E124" s="609">
        <v>0</v>
      </c>
      <c r="F124" s="609">
        <v>0</v>
      </c>
      <c r="G124" s="609">
        <v>0</v>
      </c>
      <c r="H124" s="609">
        <v>0</v>
      </c>
      <c r="I124" s="609">
        <v>0</v>
      </c>
      <c r="J124" s="609">
        <v>0</v>
      </c>
      <c r="K124" s="609">
        <v>0</v>
      </c>
      <c r="L124" s="609">
        <v>0</v>
      </c>
      <c r="M124" s="609">
        <v>0</v>
      </c>
      <c r="N124" s="587">
        <f t="shared" si="7"/>
        <v>0</v>
      </c>
      <c r="O124"/>
      <c r="P124" s="490"/>
      <c r="Q124" t="str">
        <f t="shared" si="8"/>
        <v>43280</v>
      </c>
      <c r="R124" s="126" t="str">
        <f t="shared" si="9"/>
        <v>KELLER FAMILY CAMPOUT REVENUE</v>
      </c>
      <c r="S124" s="125" t="str">
        <f t="shared" si="10"/>
        <v>112</v>
      </c>
      <c r="T124" s="125" t="str">
        <f t="shared" si="11"/>
        <v>00</v>
      </c>
      <c r="U124" s="125" t="str">
        <f t="shared" si="12"/>
        <v>000</v>
      </c>
      <c r="V124" s="125" t="str">
        <f>VLOOKUP(Q124,'GL Category'!A:C,3,FALSE)</f>
        <v>CHARGES FOR SERVICE</v>
      </c>
      <c r="W124" s="125"/>
    </row>
    <row r="125" spans="1:23" s="83" customFormat="1" ht="20.399999999999999" customHeight="1">
      <c r="A125" s="608" t="s">
        <v>1026</v>
      </c>
      <c r="B125" s="608" t="s">
        <v>1828</v>
      </c>
      <c r="C125" s="608" t="s">
        <v>433</v>
      </c>
      <c r="D125" s="609">
        <v>0</v>
      </c>
      <c r="E125" s="609">
        <v>0</v>
      </c>
      <c r="F125" s="609">
        <v>0</v>
      </c>
      <c r="G125" s="609">
        <v>0</v>
      </c>
      <c r="H125" s="609">
        <v>0</v>
      </c>
      <c r="I125" s="609">
        <v>0</v>
      </c>
      <c r="J125" s="609">
        <v>0</v>
      </c>
      <c r="K125" s="609">
        <v>0</v>
      </c>
      <c r="L125" s="609">
        <v>0</v>
      </c>
      <c r="M125" s="609">
        <v>0</v>
      </c>
      <c r="N125" s="587">
        <f t="shared" si="7"/>
        <v>0</v>
      </c>
      <c r="O125"/>
      <c r="P125" s="490"/>
      <c r="Q125" t="str">
        <f t="shared" si="8"/>
        <v>43285</v>
      </c>
      <c r="R125" s="126" t="str">
        <f t="shared" si="9"/>
        <v>EASTER EVENT REVENUE</v>
      </c>
      <c r="S125" s="125" t="str">
        <f t="shared" si="10"/>
        <v>112</v>
      </c>
      <c r="T125" s="125" t="str">
        <f t="shared" si="11"/>
        <v>00</v>
      </c>
      <c r="U125" s="125" t="str">
        <f t="shared" si="12"/>
        <v>000</v>
      </c>
      <c r="V125" s="125" t="str">
        <f>VLOOKUP(Q125,'GL Category'!A:C,3,FALSE)</f>
        <v>CHARGES FOR SERVICE</v>
      </c>
      <c r="W125" s="125"/>
    </row>
    <row r="126" spans="1:23" s="83" customFormat="1" ht="20.399999999999999" customHeight="1">
      <c r="A126" s="608" t="s">
        <v>1026</v>
      </c>
      <c r="B126" s="608" t="s">
        <v>1829</v>
      </c>
      <c r="C126" s="608" t="s">
        <v>434</v>
      </c>
      <c r="D126" s="609">
        <v>0</v>
      </c>
      <c r="E126" s="609">
        <v>0</v>
      </c>
      <c r="F126" s="609">
        <v>0</v>
      </c>
      <c r="G126" s="609">
        <v>0</v>
      </c>
      <c r="H126" s="609">
        <v>0</v>
      </c>
      <c r="I126" s="609">
        <v>0</v>
      </c>
      <c r="J126" s="609">
        <v>0</v>
      </c>
      <c r="K126" s="609">
        <v>0</v>
      </c>
      <c r="L126" s="609">
        <v>0</v>
      </c>
      <c r="M126" s="609">
        <v>0</v>
      </c>
      <c r="N126" s="587">
        <f t="shared" si="7"/>
        <v>0</v>
      </c>
      <c r="O126"/>
      <c r="P126" s="490"/>
      <c r="Q126" t="str">
        <f t="shared" si="8"/>
        <v>43291</v>
      </c>
      <c r="R126" s="126" t="str">
        <f t="shared" si="9"/>
        <v>SPOOKY KOOKY KELLER KASTLE</v>
      </c>
      <c r="S126" s="125" t="str">
        <f t="shared" si="10"/>
        <v>112</v>
      </c>
      <c r="T126" s="125" t="str">
        <f t="shared" si="11"/>
        <v>00</v>
      </c>
      <c r="U126" s="125" t="str">
        <f t="shared" si="12"/>
        <v>000</v>
      </c>
      <c r="V126" s="125" t="str">
        <f>VLOOKUP(Q126,'GL Category'!A:C,3,FALSE)</f>
        <v>CHARGES FOR SERVICE</v>
      </c>
      <c r="W126" s="125"/>
    </row>
    <row r="127" spans="1:23" s="83" customFormat="1" ht="20.399999999999999" customHeight="1">
      <c r="A127" s="608" t="s">
        <v>1026</v>
      </c>
      <c r="B127" s="608" t="s">
        <v>1830</v>
      </c>
      <c r="C127" s="608" t="s">
        <v>435</v>
      </c>
      <c r="D127" s="609">
        <v>0</v>
      </c>
      <c r="E127" s="609">
        <v>0</v>
      </c>
      <c r="F127" s="609">
        <v>0</v>
      </c>
      <c r="G127" s="609">
        <v>0</v>
      </c>
      <c r="H127" s="609">
        <v>0</v>
      </c>
      <c r="I127" s="609">
        <v>0</v>
      </c>
      <c r="J127" s="609">
        <v>0</v>
      </c>
      <c r="K127" s="609">
        <v>0</v>
      </c>
      <c r="L127" s="609">
        <v>0</v>
      </c>
      <c r="M127" s="609">
        <v>0</v>
      </c>
      <c r="N127" s="587">
        <f t="shared" si="7"/>
        <v>0</v>
      </c>
      <c r="O127"/>
      <c r="P127" s="490"/>
      <c r="Q127" t="str">
        <f t="shared" si="8"/>
        <v>43292</v>
      </c>
      <c r="R127" s="126" t="str">
        <f t="shared" si="9"/>
        <v>FAMILY FUN FILMS REVENUE</v>
      </c>
      <c r="S127" s="125" t="str">
        <f t="shared" si="10"/>
        <v>112</v>
      </c>
      <c r="T127" s="125" t="str">
        <f t="shared" si="11"/>
        <v>00</v>
      </c>
      <c r="U127" s="125" t="str">
        <f t="shared" si="12"/>
        <v>000</v>
      </c>
      <c r="V127" s="125" t="str">
        <f>VLOOKUP(Q127,'GL Category'!A:C,3,FALSE)</f>
        <v>CHARGES FOR SERVICE</v>
      </c>
      <c r="W127" s="125"/>
    </row>
    <row r="128" spans="1:23" s="83" customFormat="1" ht="20.399999999999999" customHeight="1">
      <c r="A128" s="608" t="s">
        <v>1026</v>
      </c>
      <c r="B128" s="608" t="s">
        <v>1831</v>
      </c>
      <c r="C128" s="608" t="s">
        <v>436</v>
      </c>
      <c r="D128" s="609">
        <v>0</v>
      </c>
      <c r="E128" s="609">
        <v>0</v>
      </c>
      <c r="F128" s="609">
        <v>0</v>
      </c>
      <c r="G128" s="609">
        <v>0</v>
      </c>
      <c r="H128" s="609">
        <v>0</v>
      </c>
      <c r="I128" s="609">
        <v>0</v>
      </c>
      <c r="J128" s="609">
        <v>0</v>
      </c>
      <c r="K128" s="609">
        <v>0</v>
      </c>
      <c r="L128" s="609">
        <v>0</v>
      </c>
      <c r="M128" s="609">
        <v>0</v>
      </c>
      <c r="N128" s="587">
        <f t="shared" si="7"/>
        <v>0</v>
      </c>
      <c r="O128"/>
      <c r="P128" s="490"/>
      <c r="Q128" t="str">
        <f t="shared" si="8"/>
        <v>43293</v>
      </c>
      <c r="R128" s="126" t="str">
        <f t="shared" si="9"/>
        <v>FISHING EVENT REVENUE</v>
      </c>
      <c r="S128" s="125" t="str">
        <f t="shared" si="10"/>
        <v>112</v>
      </c>
      <c r="T128" s="125" t="str">
        <f t="shared" si="11"/>
        <v>00</v>
      </c>
      <c r="U128" s="125" t="str">
        <f t="shared" si="12"/>
        <v>000</v>
      </c>
      <c r="V128" s="125" t="str">
        <f>VLOOKUP(Q128,'GL Category'!A:C,3,FALSE)</f>
        <v>CHARGES FOR SERVICE</v>
      </c>
      <c r="W128" s="125"/>
    </row>
    <row r="129" spans="1:24" s="83" customFormat="1" ht="20.399999999999999" customHeight="1">
      <c r="A129" s="608" t="s">
        <v>1026</v>
      </c>
      <c r="B129" s="608" t="s">
        <v>1832</v>
      </c>
      <c r="C129" s="608" t="s">
        <v>499</v>
      </c>
      <c r="D129" s="609">
        <v>0</v>
      </c>
      <c r="E129" s="609">
        <v>0</v>
      </c>
      <c r="F129" s="609">
        <v>0</v>
      </c>
      <c r="G129" s="609">
        <v>0</v>
      </c>
      <c r="H129" s="609">
        <v>0</v>
      </c>
      <c r="I129" s="609">
        <v>0</v>
      </c>
      <c r="J129" s="609">
        <v>0</v>
      </c>
      <c r="K129" s="609">
        <v>0</v>
      </c>
      <c r="L129" s="609">
        <v>0</v>
      </c>
      <c r="M129" s="609">
        <v>0</v>
      </c>
      <c r="N129" s="587">
        <f t="shared" si="7"/>
        <v>0</v>
      </c>
      <c r="O129"/>
      <c r="P129" s="490"/>
      <c r="Q129" t="str">
        <f t="shared" si="8"/>
        <v>43420</v>
      </c>
      <c r="R129" s="126" t="str">
        <f t="shared" si="9"/>
        <v>EMPLOYEE PASS REVENUE</v>
      </c>
      <c r="S129" s="125" t="str">
        <f t="shared" si="10"/>
        <v>112</v>
      </c>
      <c r="T129" s="125" t="str">
        <f t="shared" si="11"/>
        <v>00</v>
      </c>
      <c r="U129" s="125" t="str">
        <f t="shared" si="12"/>
        <v>000</v>
      </c>
      <c r="V129" s="125" t="str">
        <f>VLOOKUP(Q129,'GL Category'!A:C,3,FALSE)</f>
        <v>CHARGES FOR SERVICE</v>
      </c>
      <c r="W129" s="125"/>
    </row>
    <row r="130" spans="1:24" s="83" customFormat="1" ht="20.399999999999999" customHeight="1">
      <c r="A130" s="608" t="s">
        <v>1026</v>
      </c>
      <c r="B130" s="608" t="s">
        <v>1833</v>
      </c>
      <c r="C130" s="608" t="s">
        <v>430</v>
      </c>
      <c r="D130" s="609">
        <v>0</v>
      </c>
      <c r="E130" s="609">
        <v>0</v>
      </c>
      <c r="F130" s="609">
        <v>0</v>
      </c>
      <c r="G130" s="609">
        <v>0</v>
      </c>
      <c r="H130" s="609">
        <v>0</v>
      </c>
      <c r="I130" s="609">
        <v>0</v>
      </c>
      <c r="J130" s="609">
        <v>0</v>
      </c>
      <c r="K130" s="609">
        <v>0</v>
      </c>
      <c r="L130" s="609">
        <v>0</v>
      </c>
      <c r="M130" s="609">
        <v>0</v>
      </c>
      <c r="N130" s="587">
        <f t="shared" si="7"/>
        <v>0</v>
      </c>
      <c r="O130"/>
      <c r="P130" s="490"/>
      <c r="Q130" t="str">
        <f t="shared" si="8"/>
        <v>43485</v>
      </c>
      <c r="R130" s="126" t="str">
        <f t="shared" si="9"/>
        <v>RECREATION PROGRAM REVENUE</v>
      </c>
      <c r="S130" s="125" t="str">
        <f t="shared" si="10"/>
        <v>112</v>
      </c>
      <c r="T130" s="125" t="str">
        <f t="shared" si="11"/>
        <v>00</v>
      </c>
      <c r="U130" s="125" t="str">
        <f t="shared" si="12"/>
        <v>000</v>
      </c>
      <c r="V130" s="125" t="str">
        <f>VLOOKUP(Q130,'GL Category'!A:C,3,FALSE)</f>
        <v>CHARGES FOR SERVICE</v>
      </c>
      <c r="W130" s="125"/>
    </row>
    <row r="131" spans="1:24" s="83" customFormat="1" ht="20.399999999999999" customHeight="1">
      <c r="A131" s="608" t="s">
        <v>1026</v>
      </c>
      <c r="B131" s="608" t="s">
        <v>1834</v>
      </c>
      <c r="C131" s="608" t="s">
        <v>437</v>
      </c>
      <c r="D131" s="609">
        <v>0</v>
      </c>
      <c r="E131" s="609">
        <v>0</v>
      </c>
      <c r="F131" s="609">
        <v>0</v>
      </c>
      <c r="G131" s="609">
        <v>0</v>
      </c>
      <c r="H131" s="609">
        <v>0</v>
      </c>
      <c r="I131" s="609">
        <v>0</v>
      </c>
      <c r="J131" s="609">
        <v>0</v>
      </c>
      <c r="K131" s="609">
        <v>0</v>
      </c>
      <c r="L131" s="609">
        <v>0</v>
      </c>
      <c r="M131" s="609">
        <v>0</v>
      </c>
      <c r="N131" s="587">
        <f t="shared" si="7"/>
        <v>0</v>
      </c>
      <c r="O131"/>
      <c r="P131" s="490"/>
      <c r="Q131" t="str">
        <f t="shared" si="8"/>
        <v>43491</v>
      </c>
      <c r="R131" s="126" t="str">
        <f t="shared" si="9"/>
        <v>SR SERVICES BRTHDY BRKFST</v>
      </c>
      <c r="S131" s="125" t="str">
        <f t="shared" si="10"/>
        <v>112</v>
      </c>
      <c r="T131" s="125" t="str">
        <f t="shared" si="11"/>
        <v>00</v>
      </c>
      <c r="U131" s="125" t="str">
        <f t="shared" si="12"/>
        <v>000</v>
      </c>
      <c r="V131" s="125" t="str">
        <f>VLOOKUP(Q131,'GL Category'!A:C,3,FALSE)</f>
        <v>CHARGES FOR SERVICE</v>
      </c>
      <c r="W131" s="125"/>
    </row>
    <row r="132" spans="1:24" s="83" customFormat="1" ht="20.399999999999999" customHeight="1">
      <c r="A132" s="608" t="s">
        <v>1026</v>
      </c>
      <c r="B132" s="608" t="s">
        <v>1835</v>
      </c>
      <c r="C132" s="608" t="s">
        <v>438</v>
      </c>
      <c r="D132" s="609">
        <v>0</v>
      </c>
      <c r="E132" s="609">
        <v>0</v>
      </c>
      <c r="F132" s="609">
        <v>0</v>
      </c>
      <c r="G132" s="609">
        <v>0</v>
      </c>
      <c r="H132" s="609">
        <v>0</v>
      </c>
      <c r="I132" s="609">
        <v>0</v>
      </c>
      <c r="J132" s="609">
        <v>0</v>
      </c>
      <c r="K132" s="609">
        <v>0</v>
      </c>
      <c r="L132" s="609">
        <v>0</v>
      </c>
      <c r="M132" s="609">
        <v>0</v>
      </c>
      <c r="N132" s="587">
        <f t="shared" ref="N132:N195" si="13">SUM(K132:M132)</f>
        <v>0</v>
      </c>
      <c r="O132"/>
      <c r="P132" s="490"/>
      <c r="Q132" t="str">
        <f t="shared" ref="Q132:Q195" si="14">MID(B132,12,5)</f>
        <v>43492</v>
      </c>
      <c r="R132" s="126" t="str">
        <f t="shared" ref="R132:R195" si="15">C132</f>
        <v>SR SERVICES THURSDAY NIGHTS</v>
      </c>
      <c r="S132" s="125" t="str">
        <f t="shared" ref="S132:S195" si="16">LEFT(B132,3)</f>
        <v>112</v>
      </c>
      <c r="T132" s="125" t="str">
        <f t="shared" ref="T132:T195" si="17">MID(B132,5,2)</f>
        <v>00</v>
      </c>
      <c r="U132" s="125" t="str">
        <f t="shared" ref="U132:U195" si="18">MID(B132,8,3)</f>
        <v>000</v>
      </c>
      <c r="V132" s="125" t="str">
        <f>VLOOKUP(Q132,'GL Category'!A:C,3,FALSE)</f>
        <v>CHARGES FOR SERVICE</v>
      </c>
      <c r="W132" s="125"/>
    </row>
    <row r="133" spans="1:24" s="537" customFormat="1" ht="20.399999999999999" customHeight="1">
      <c r="A133" s="608" t="s">
        <v>1026</v>
      </c>
      <c r="B133" s="608" t="s">
        <v>1836</v>
      </c>
      <c r="C133" s="608" t="s">
        <v>877</v>
      </c>
      <c r="D133" s="609">
        <v>0</v>
      </c>
      <c r="E133" s="609">
        <v>0</v>
      </c>
      <c r="F133" s="609">
        <v>0</v>
      </c>
      <c r="G133" s="609">
        <v>0</v>
      </c>
      <c r="H133" s="609">
        <v>0</v>
      </c>
      <c r="I133" s="609">
        <v>0</v>
      </c>
      <c r="J133" s="609">
        <v>0</v>
      </c>
      <c r="K133" s="609">
        <v>0</v>
      </c>
      <c r="L133" s="609">
        <v>0</v>
      </c>
      <c r="M133" s="609">
        <v>0</v>
      </c>
      <c r="N133" s="587">
        <f t="shared" si="13"/>
        <v>0</v>
      </c>
      <c r="O133"/>
      <c r="P133" s="490"/>
      <c r="Q133" t="str">
        <f t="shared" si="14"/>
        <v>43493</v>
      </c>
      <c r="R133" s="536" t="str">
        <f t="shared" si="15"/>
        <v>REVENUE-SR SVS COFFEE</v>
      </c>
      <c r="S133" s="535" t="str">
        <f t="shared" si="16"/>
        <v>112</v>
      </c>
      <c r="T133" s="125" t="str">
        <f t="shared" si="17"/>
        <v>00</v>
      </c>
      <c r="U133" s="125" t="str">
        <f t="shared" si="18"/>
        <v>000</v>
      </c>
      <c r="V133" s="535" t="str">
        <f>VLOOKUP(Q133,'GL Category'!A:C,3,FALSE)</f>
        <v>CHARGES FOR SERVICE</v>
      </c>
      <c r="W133" s="535"/>
      <c r="X133" s="83"/>
    </row>
    <row r="134" spans="1:24" s="83" customFormat="1" ht="20.399999999999999" customHeight="1">
      <c r="A134" s="608" t="s">
        <v>1026</v>
      </c>
      <c r="B134" s="608" t="s">
        <v>1837</v>
      </c>
      <c r="C134" s="608" t="s">
        <v>439</v>
      </c>
      <c r="D134" s="609">
        <v>0</v>
      </c>
      <c r="E134" s="609">
        <v>0</v>
      </c>
      <c r="F134" s="609">
        <v>0</v>
      </c>
      <c r="G134" s="609">
        <v>0</v>
      </c>
      <c r="H134" s="609">
        <v>0</v>
      </c>
      <c r="I134" s="609">
        <v>0</v>
      </c>
      <c r="J134" s="609">
        <v>0</v>
      </c>
      <c r="K134" s="609">
        <v>0</v>
      </c>
      <c r="L134" s="609">
        <v>0</v>
      </c>
      <c r="M134" s="609">
        <v>0</v>
      </c>
      <c r="N134" s="587">
        <f t="shared" si="13"/>
        <v>0</v>
      </c>
      <c r="O134"/>
      <c r="P134" s="490"/>
      <c r="Q134" t="str">
        <f t="shared" si="14"/>
        <v>43494</v>
      </c>
      <c r="R134" s="126" t="str">
        <f t="shared" si="15"/>
        <v>REVENUE-SR SVS TRIP</v>
      </c>
      <c r="S134" s="125" t="str">
        <f t="shared" si="16"/>
        <v>112</v>
      </c>
      <c r="T134" s="125" t="str">
        <f t="shared" si="17"/>
        <v>00</v>
      </c>
      <c r="U134" s="125" t="str">
        <f t="shared" si="18"/>
        <v>000</v>
      </c>
      <c r="V134" s="125" t="str">
        <f>VLOOKUP(Q134,'GL Category'!A:C,3,FALSE)</f>
        <v>CHARGES FOR SERVICE</v>
      </c>
      <c r="W134" s="125"/>
    </row>
    <row r="135" spans="1:24" s="83" customFormat="1" ht="20.399999999999999" customHeight="1">
      <c r="A135" s="608" t="s">
        <v>1026</v>
      </c>
      <c r="B135" s="608" t="s">
        <v>3286</v>
      </c>
      <c r="C135" s="608" t="s">
        <v>417</v>
      </c>
      <c r="D135" s="609">
        <v>0</v>
      </c>
      <c r="E135" s="609">
        <v>0</v>
      </c>
      <c r="F135" s="609">
        <v>0</v>
      </c>
      <c r="G135" s="609">
        <v>0</v>
      </c>
      <c r="H135" s="609">
        <v>0</v>
      </c>
      <c r="I135" s="609">
        <v>0</v>
      </c>
      <c r="J135" s="609">
        <v>0</v>
      </c>
      <c r="K135" s="609">
        <v>0</v>
      </c>
      <c r="L135" s="609">
        <v>0</v>
      </c>
      <c r="M135" s="609">
        <v>0</v>
      </c>
      <c r="N135" s="587">
        <f t="shared" si="13"/>
        <v>0</v>
      </c>
      <c r="O135"/>
      <c r="P135" s="490"/>
      <c r="Q135" t="str">
        <f t="shared" si="14"/>
        <v>44790</v>
      </c>
      <c r="R135" s="126" t="str">
        <f t="shared" si="15"/>
        <v>WRITE OFF RECOVERY</v>
      </c>
      <c r="S135" s="125" t="str">
        <f t="shared" si="16"/>
        <v>112</v>
      </c>
      <c r="T135" s="125" t="str">
        <f t="shared" si="17"/>
        <v>00</v>
      </c>
      <c r="U135" s="125" t="str">
        <f t="shared" si="18"/>
        <v>000</v>
      </c>
      <c r="V135" s="125" t="str">
        <f>VLOOKUP(Q135,'GL Category'!A:C,3,FALSE)</f>
        <v>CHARGES FOR SERVICE</v>
      </c>
      <c r="W135" s="125"/>
    </row>
    <row r="136" spans="1:24" s="83" customFormat="1" ht="20.399999999999999" customHeight="1">
      <c r="A136" s="608" t="s">
        <v>1026</v>
      </c>
      <c r="B136" s="608" t="s">
        <v>1838</v>
      </c>
      <c r="C136" s="608" t="s">
        <v>440</v>
      </c>
      <c r="D136" s="609">
        <v>0</v>
      </c>
      <c r="E136" s="609">
        <v>0</v>
      </c>
      <c r="F136" s="609">
        <v>0</v>
      </c>
      <c r="G136" s="609">
        <v>0</v>
      </c>
      <c r="H136" s="609">
        <v>0</v>
      </c>
      <c r="I136" s="609">
        <v>0</v>
      </c>
      <c r="J136" s="609">
        <v>0</v>
      </c>
      <c r="K136" s="609">
        <v>0</v>
      </c>
      <c r="L136" s="609">
        <v>0</v>
      </c>
      <c r="M136" s="609">
        <v>0</v>
      </c>
      <c r="N136" s="587">
        <f t="shared" si="13"/>
        <v>0</v>
      </c>
      <c r="O136"/>
      <c r="P136" s="490"/>
      <c r="Q136" t="str">
        <f t="shared" si="14"/>
        <v>46104</v>
      </c>
      <c r="R136" s="126" t="str">
        <f t="shared" si="15"/>
        <v>I/G REV-TARRANT COUNTY</v>
      </c>
      <c r="S136" s="125" t="str">
        <f t="shared" si="16"/>
        <v>112</v>
      </c>
      <c r="T136" s="125" t="str">
        <f t="shared" si="17"/>
        <v>00</v>
      </c>
      <c r="U136" s="125" t="str">
        <f t="shared" si="18"/>
        <v>000</v>
      </c>
      <c r="V136" s="125" t="str">
        <f>VLOOKUP(Q136,'GL Category'!A:C,3,FALSE)</f>
        <v>INTERGOVERNMENTAL</v>
      </c>
      <c r="W136" s="125"/>
    </row>
    <row r="137" spans="1:24" s="537" customFormat="1" ht="20.399999999999999" customHeight="1">
      <c r="A137" s="608" t="s">
        <v>1026</v>
      </c>
      <c r="B137" s="608" t="s">
        <v>3287</v>
      </c>
      <c r="C137" s="608" t="s">
        <v>477</v>
      </c>
      <c r="D137" s="609">
        <v>0</v>
      </c>
      <c r="E137" s="609">
        <v>0</v>
      </c>
      <c r="F137" s="609">
        <v>0</v>
      </c>
      <c r="G137" s="609">
        <v>0</v>
      </c>
      <c r="H137" s="609">
        <v>0</v>
      </c>
      <c r="I137" s="609">
        <v>0</v>
      </c>
      <c r="J137" s="609">
        <v>0</v>
      </c>
      <c r="K137" s="609">
        <v>0</v>
      </c>
      <c r="L137" s="609">
        <v>0</v>
      </c>
      <c r="M137" s="609">
        <v>0</v>
      </c>
      <c r="N137" s="587">
        <f t="shared" si="13"/>
        <v>0</v>
      </c>
      <c r="O137"/>
      <c r="P137" s="490"/>
      <c r="Q137" t="str">
        <f t="shared" si="14"/>
        <v>46761</v>
      </c>
      <c r="R137" s="536" t="str">
        <f t="shared" si="15"/>
        <v>GRANT-LOCAL</v>
      </c>
      <c r="S137" s="535" t="str">
        <f t="shared" si="16"/>
        <v>112</v>
      </c>
      <c r="T137" s="125" t="str">
        <f t="shared" si="17"/>
        <v>00</v>
      </c>
      <c r="U137" s="125" t="str">
        <f t="shared" si="18"/>
        <v>000</v>
      </c>
      <c r="V137" s="535" t="e">
        <f>VLOOKUP(Q137,'GL Category'!A:C,3,FALSE)</f>
        <v>#N/A</v>
      </c>
      <c r="W137" s="535"/>
      <c r="X137" s="83"/>
    </row>
    <row r="138" spans="1:24" s="83" customFormat="1" ht="20.399999999999999" customHeight="1">
      <c r="A138" s="608" t="s">
        <v>1026</v>
      </c>
      <c r="B138" s="608" t="s">
        <v>3194</v>
      </c>
      <c r="C138" s="608" t="s">
        <v>421</v>
      </c>
      <c r="D138" s="609">
        <v>0</v>
      </c>
      <c r="E138" s="609">
        <v>0</v>
      </c>
      <c r="F138" s="609">
        <v>0</v>
      </c>
      <c r="G138" s="609">
        <v>0</v>
      </c>
      <c r="H138" s="609">
        <v>0</v>
      </c>
      <c r="I138" s="609">
        <v>0</v>
      </c>
      <c r="J138" s="609">
        <v>0</v>
      </c>
      <c r="K138" s="609">
        <v>0</v>
      </c>
      <c r="L138" s="609">
        <v>0</v>
      </c>
      <c r="M138" s="609">
        <v>0</v>
      </c>
      <c r="N138" s="587">
        <f t="shared" si="13"/>
        <v>0</v>
      </c>
      <c r="O138"/>
      <c r="P138" s="490"/>
      <c r="Q138" t="str">
        <f t="shared" si="14"/>
        <v>47010</v>
      </c>
      <c r="R138" s="126" t="str">
        <f t="shared" si="15"/>
        <v>MISCELLANEOUS REVENUE</v>
      </c>
      <c r="S138" s="125" t="str">
        <f t="shared" si="16"/>
        <v>112</v>
      </c>
      <c r="T138" s="125" t="str">
        <f t="shared" si="17"/>
        <v>00</v>
      </c>
      <c r="U138" s="125" t="str">
        <f t="shared" si="18"/>
        <v>000</v>
      </c>
      <c r="V138" s="125" t="str">
        <f>VLOOKUP(Q138,'GL Category'!A:C,3,FALSE)</f>
        <v>OTHER REVENUE</v>
      </c>
      <c r="W138" s="125"/>
    </row>
    <row r="139" spans="1:24" s="83" customFormat="1" ht="20.399999999999999" customHeight="1">
      <c r="A139" s="608" t="s">
        <v>1026</v>
      </c>
      <c r="B139" s="608" t="s">
        <v>1840</v>
      </c>
      <c r="C139" s="608" t="s">
        <v>891</v>
      </c>
      <c r="D139" s="609">
        <v>0</v>
      </c>
      <c r="E139" s="609">
        <v>0</v>
      </c>
      <c r="F139" s="609">
        <v>-14.5</v>
      </c>
      <c r="G139" s="609">
        <v>4</v>
      </c>
      <c r="H139" s="609">
        <v>0</v>
      </c>
      <c r="I139" s="609">
        <v>9</v>
      </c>
      <c r="J139" s="609">
        <v>0</v>
      </c>
      <c r="K139" s="609">
        <v>0</v>
      </c>
      <c r="L139" s="609">
        <v>0</v>
      </c>
      <c r="M139" s="609">
        <v>0</v>
      </c>
      <c r="N139" s="587">
        <f t="shared" si="13"/>
        <v>0</v>
      </c>
      <c r="O139"/>
      <c r="P139" s="490"/>
      <c r="Q139" t="str">
        <f t="shared" si="14"/>
        <v>47070</v>
      </c>
      <c r="R139" s="126" t="str">
        <f t="shared" si="15"/>
        <v>CASH OVER/SHORT</v>
      </c>
      <c r="S139" s="125" t="str">
        <f t="shared" si="16"/>
        <v>112</v>
      </c>
      <c r="T139" s="125" t="str">
        <f t="shared" si="17"/>
        <v>00</v>
      </c>
      <c r="U139" s="125" t="str">
        <f t="shared" si="18"/>
        <v>000</v>
      </c>
      <c r="V139" s="125" t="str">
        <f>VLOOKUP(Q139,'GL Category'!A:C,3,FALSE)</f>
        <v>OTHER REVENUE</v>
      </c>
      <c r="W139" s="125"/>
    </row>
    <row r="140" spans="1:24" s="83" customFormat="1" ht="20.399999999999999" customHeight="1">
      <c r="A140" s="608" t="s">
        <v>1026</v>
      </c>
      <c r="B140" s="608" t="s">
        <v>1841</v>
      </c>
      <c r="C140" s="608" t="s">
        <v>423</v>
      </c>
      <c r="D140" s="609">
        <v>-4421.6499999999996</v>
      </c>
      <c r="E140" s="609">
        <v>-1128.45</v>
      </c>
      <c r="F140" s="609">
        <v>-2160.8200000000002</v>
      </c>
      <c r="G140" s="609">
        <v>-17662.79</v>
      </c>
      <c r="H140" s="609">
        <v>-6538</v>
      </c>
      <c r="I140" s="609">
        <v>-16549.400000000001</v>
      </c>
      <c r="J140" s="609">
        <v>-19519</v>
      </c>
      <c r="K140" s="609">
        <v>-19159</v>
      </c>
      <c r="L140" s="609">
        <v>0</v>
      </c>
      <c r="M140" s="609">
        <v>0</v>
      </c>
      <c r="N140" s="587">
        <f t="shared" si="13"/>
        <v>-19159</v>
      </c>
      <c r="O140"/>
      <c r="P140" s="490"/>
      <c r="Q140" t="str">
        <f t="shared" si="14"/>
        <v>47090</v>
      </c>
      <c r="R140" s="126" t="str">
        <f t="shared" si="15"/>
        <v>INTEREST REVENUE-INVESTMENTS</v>
      </c>
      <c r="S140" s="125" t="str">
        <f t="shared" si="16"/>
        <v>112</v>
      </c>
      <c r="T140" s="125" t="str">
        <f t="shared" si="17"/>
        <v>00</v>
      </c>
      <c r="U140" s="125" t="str">
        <f t="shared" si="18"/>
        <v>000</v>
      </c>
      <c r="V140" s="125" t="str">
        <f>VLOOKUP(Q140,'GL Category'!A:C,3,FALSE)</f>
        <v>OTHER REVENUE</v>
      </c>
      <c r="W140" s="125"/>
    </row>
    <row r="141" spans="1:24" s="537" customFormat="1" ht="20.399999999999999" customHeight="1">
      <c r="A141" s="608" t="s">
        <v>1026</v>
      </c>
      <c r="B141" s="608" t="s">
        <v>1842</v>
      </c>
      <c r="C141" s="608" t="s">
        <v>827</v>
      </c>
      <c r="D141" s="609">
        <v>0</v>
      </c>
      <c r="E141" s="609">
        <v>0</v>
      </c>
      <c r="F141" s="609">
        <v>0</v>
      </c>
      <c r="G141" s="609">
        <v>0</v>
      </c>
      <c r="H141" s="609">
        <v>0</v>
      </c>
      <c r="I141" s="609">
        <v>0</v>
      </c>
      <c r="J141" s="609">
        <v>0</v>
      </c>
      <c r="K141" s="609">
        <v>0</v>
      </c>
      <c r="L141" s="609">
        <v>0</v>
      </c>
      <c r="M141" s="609">
        <v>0</v>
      </c>
      <c r="N141" s="587">
        <f t="shared" si="13"/>
        <v>0</v>
      </c>
      <c r="O141"/>
      <c r="P141" s="490"/>
      <c r="Q141" t="str">
        <f t="shared" si="14"/>
        <v>47099</v>
      </c>
      <c r="R141" s="536" t="str">
        <f t="shared" si="15"/>
        <v>INCR/DECR IN FAIR VALUE OF INV</v>
      </c>
      <c r="S141" s="535" t="str">
        <f t="shared" si="16"/>
        <v>112</v>
      </c>
      <c r="T141" s="125" t="str">
        <f t="shared" si="17"/>
        <v>00</v>
      </c>
      <c r="U141" s="125" t="str">
        <f t="shared" si="18"/>
        <v>000</v>
      </c>
      <c r="V141" s="535" t="str">
        <f>VLOOKUP(Q141,'GL Category'!A:C,3,FALSE)</f>
        <v>OTHER REVENUE</v>
      </c>
      <c r="W141" s="535"/>
      <c r="X141" s="83"/>
    </row>
    <row r="142" spans="1:24" s="83" customFormat="1" ht="20.399999999999999" customHeight="1">
      <c r="A142" s="608" t="s">
        <v>1026</v>
      </c>
      <c r="B142" s="608" t="s">
        <v>1843</v>
      </c>
      <c r="C142" s="608" t="s">
        <v>441</v>
      </c>
      <c r="D142" s="609">
        <v>0</v>
      </c>
      <c r="E142" s="609">
        <v>0</v>
      </c>
      <c r="F142" s="609">
        <v>0</v>
      </c>
      <c r="G142" s="609">
        <v>0</v>
      </c>
      <c r="H142" s="609">
        <v>0</v>
      </c>
      <c r="I142" s="609">
        <v>0</v>
      </c>
      <c r="J142" s="609">
        <v>0</v>
      </c>
      <c r="K142" s="609">
        <v>0</v>
      </c>
      <c r="L142" s="609">
        <v>0</v>
      </c>
      <c r="M142" s="609">
        <v>0</v>
      </c>
      <c r="N142" s="587">
        <f t="shared" si="13"/>
        <v>0</v>
      </c>
      <c r="O142"/>
      <c r="P142" s="490"/>
      <c r="Q142" t="str">
        <f t="shared" si="14"/>
        <v>47351</v>
      </c>
      <c r="R142" s="126" t="str">
        <f t="shared" si="15"/>
        <v>REVENUE-TREE RESTORATION</v>
      </c>
      <c r="S142" s="125" t="str">
        <f t="shared" si="16"/>
        <v>112</v>
      </c>
      <c r="T142" s="125" t="str">
        <f t="shared" si="17"/>
        <v>00</v>
      </c>
      <c r="U142" s="125" t="str">
        <f t="shared" si="18"/>
        <v>000</v>
      </c>
      <c r="V142" s="125" t="str">
        <f>VLOOKUP(Q142,'GL Category'!A:C,3,FALSE)</f>
        <v>OTHER REVENUE</v>
      </c>
      <c r="W142" s="125"/>
    </row>
    <row r="143" spans="1:24" s="83" customFormat="1" ht="20.399999999999999" customHeight="1">
      <c r="A143" s="608" t="s">
        <v>1026</v>
      </c>
      <c r="B143" s="608" t="s">
        <v>1844</v>
      </c>
      <c r="C143" s="608" t="s">
        <v>442</v>
      </c>
      <c r="D143" s="609">
        <v>0</v>
      </c>
      <c r="E143" s="609">
        <v>0</v>
      </c>
      <c r="F143" s="609">
        <v>0</v>
      </c>
      <c r="G143" s="609">
        <v>0</v>
      </c>
      <c r="H143" s="609">
        <v>0</v>
      </c>
      <c r="I143" s="609">
        <v>0</v>
      </c>
      <c r="J143" s="609">
        <v>0</v>
      </c>
      <c r="K143" s="609">
        <v>0</v>
      </c>
      <c r="L143" s="609">
        <v>0</v>
      </c>
      <c r="M143" s="609">
        <v>0</v>
      </c>
      <c r="N143" s="587">
        <f t="shared" si="13"/>
        <v>0</v>
      </c>
      <c r="O143"/>
      <c r="P143" s="490"/>
      <c r="Q143" t="str">
        <f t="shared" si="14"/>
        <v>47352</v>
      </c>
      <c r="R143" s="126" t="str">
        <f t="shared" si="15"/>
        <v>REVENUE-TAAF SWIMMING</v>
      </c>
      <c r="S143" s="125" t="str">
        <f t="shared" si="16"/>
        <v>112</v>
      </c>
      <c r="T143" s="125" t="str">
        <f t="shared" si="17"/>
        <v>00</v>
      </c>
      <c r="U143" s="125" t="str">
        <f t="shared" si="18"/>
        <v>000</v>
      </c>
      <c r="V143" s="125" t="str">
        <f>VLOOKUP(Q143,'GL Category'!A:C,3,FALSE)</f>
        <v>OTHER REVENUE</v>
      </c>
      <c r="W143" s="125"/>
    </row>
    <row r="144" spans="1:24" s="83" customFormat="1" ht="20.399999999999999" customHeight="1">
      <c r="A144" s="608" t="s">
        <v>1026</v>
      </c>
      <c r="B144" s="608" t="s">
        <v>1845</v>
      </c>
      <c r="C144" s="608" t="s">
        <v>3141</v>
      </c>
      <c r="D144" s="609">
        <v>-34465.25</v>
      </c>
      <c r="E144" s="609">
        <v>-15998</v>
      </c>
      <c r="F144" s="609">
        <v>-54848.88</v>
      </c>
      <c r="G144" s="609">
        <v>-70309.070000000007</v>
      </c>
      <c r="H144" s="609">
        <v>-61410</v>
      </c>
      <c r="I144" s="609">
        <v>-87605.09</v>
      </c>
      <c r="J144" s="609">
        <v>-87605</v>
      </c>
      <c r="K144" s="609">
        <v>-78957</v>
      </c>
      <c r="L144" s="609">
        <v>0</v>
      </c>
      <c r="M144" s="609">
        <v>0</v>
      </c>
      <c r="N144" s="587">
        <f t="shared" si="13"/>
        <v>-78957</v>
      </c>
      <c r="O144"/>
      <c r="P144" s="490"/>
      <c r="Q144" t="str">
        <f t="shared" si="14"/>
        <v>47353</v>
      </c>
      <c r="R144" s="126" t="str">
        <f t="shared" si="15"/>
        <v>REC SPECIAL EVENTS REVENUE</v>
      </c>
      <c r="S144" s="125" t="str">
        <f t="shared" si="16"/>
        <v>112</v>
      </c>
      <c r="T144" s="125" t="str">
        <f t="shared" si="17"/>
        <v>00</v>
      </c>
      <c r="U144" s="125" t="str">
        <f t="shared" si="18"/>
        <v>000</v>
      </c>
      <c r="V144" s="125" t="str">
        <f>VLOOKUP(Q144,'GL Category'!A:C,3,FALSE)</f>
        <v>OTHER REVENUE</v>
      </c>
      <c r="W144" s="125"/>
    </row>
    <row r="145" spans="1:24" s="83" customFormat="1" ht="20.399999999999999" customHeight="1">
      <c r="A145" s="608" t="s">
        <v>1026</v>
      </c>
      <c r="B145" s="608" t="s">
        <v>1848</v>
      </c>
      <c r="C145" s="608" t="s">
        <v>3523</v>
      </c>
      <c r="D145" s="609">
        <v>-6503</v>
      </c>
      <c r="E145" s="609">
        <v>-4413</v>
      </c>
      <c r="F145" s="609">
        <v>-26452.639999999999</v>
      </c>
      <c r="G145" s="609">
        <v>-48182.29</v>
      </c>
      <c r="H145" s="609">
        <v>-46950</v>
      </c>
      <c r="I145" s="609">
        <v>-29901.96</v>
      </c>
      <c r="J145" s="609">
        <v>-50400</v>
      </c>
      <c r="K145" s="609">
        <v>-46950</v>
      </c>
      <c r="L145" s="609">
        <v>0</v>
      </c>
      <c r="M145" s="609">
        <v>0</v>
      </c>
      <c r="N145" s="587">
        <f t="shared" si="13"/>
        <v>-46950</v>
      </c>
      <c r="O145"/>
      <c r="P145" s="490"/>
      <c r="Q145" t="str">
        <f t="shared" si="14"/>
        <v>47357</v>
      </c>
      <c r="R145" s="126" t="str">
        <f t="shared" si="15"/>
        <v>REVENUE-SR SVS PROGRAMMING</v>
      </c>
      <c r="S145" s="125" t="str">
        <f t="shared" si="16"/>
        <v>112</v>
      </c>
      <c r="T145" s="125" t="str">
        <f t="shared" si="17"/>
        <v>00</v>
      </c>
      <c r="U145" s="125" t="str">
        <f t="shared" si="18"/>
        <v>000</v>
      </c>
      <c r="V145" s="125" t="str">
        <f>VLOOKUP(Q145,'GL Category'!A:C,3,FALSE)</f>
        <v>OTHER REVENUE</v>
      </c>
      <c r="W145" s="125"/>
    </row>
    <row r="146" spans="1:24" s="541" customFormat="1" ht="20.399999999999999" customHeight="1">
      <c r="A146" s="608" t="s">
        <v>1026</v>
      </c>
      <c r="B146" s="608" t="s">
        <v>1849</v>
      </c>
      <c r="C146" s="608" t="s">
        <v>445</v>
      </c>
      <c r="D146" s="609">
        <v>-2081</v>
      </c>
      <c r="E146" s="609">
        <v>-719</v>
      </c>
      <c r="F146" s="609">
        <v>-65600</v>
      </c>
      <c r="G146" s="609">
        <v>-59799</v>
      </c>
      <c r="H146" s="609">
        <v>-58799</v>
      </c>
      <c r="I146" s="609">
        <v>-33883.620000000003</v>
      </c>
      <c r="J146" s="609">
        <v>-38000</v>
      </c>
      <c r="K146" s="609">
        <v>-58799</v>
      </c>
      <c r="L146" s="609">
        <v>0</v>
      </c>
      <c r="M146" s="609">
        <v>0</v>
      </c>
      <c r="N146" s="587">
        <f t="shared" si="13"/>
        <v>-58799</v>
      </c>
      <c r="O146"/>
      <c r="P146" s="490"/>
      <c r="Q146" t="str">
        <f t="shared" si="14"/>
        <v>47358</v>
      </c>
      <c r="R146" s="540" t="str">
        <f t="shared" si="15"/>
        <v>REVENUE-SR SVS TRIPS</v>
      </c>
      <c r="S146" s="538" t="str">
        <f t="shared" si="16"/>
        <v>112</v>
      </c>
      <c r="T146" s="125" t="str">
        <f t="shared" si="17"/>
        <v>00</v>
      </c>
      <c r="U146" s="125" t="str">
        <f t="shared" si="18"/>
        <v>000</v>
      </c>
      <c r="V146" s="538" t="str">
        <f>VLOOKUP(Q146,'GL Category'!A:C,3,FALSE)</f>
        <v>OTHER REVENUE</v>
      </c>
      <c r="W146" s="538"/>
      <c r="X146" s="83"/>
    </row>
    <row r="147" spans="1:24" s="83" customFormat="1" ht="20.399999999999999" customHeight="1">
      <c r="A147" s="608" t="s">
        <v>1026</v>
      </c>
      <c r="B147" s="608" t="s">
        <v>1850</v>
      </c>
      <c r="C147" s="608" t="s">
        <v>446</v>
      </c>
      <c r="D147" s="609">
        <v>0</v>
      </c>
      <c r="E147" s="609">
        <v>0</v>
      </c>
      <c r="F147" s="609">
        <v>0</v>
      </c>
      <c r="G147" s="609">
        <v>0</v>
      </c>
      <c r="H147" s="609">
        <v>0</v>
      </c>
      <c r="I147" s="609">
        <v>0</v>
      </c>
      <c r="J147" s="609">
        <v>0</v>
      </c>
      <c r="K147" s="609">
        <v>0</v>
      </c>
      <c r="L147" s="609">
        <v>0</v>
      </c>
      <c r="M147" s="609">
        <v>0</v>
      </c>
      <c r="N147" s="587">
        <f t="shared" si="13"/>
        <v>0</v>
      </c>
      <c r="O147"/>
      <c r="P147" s="490"/>
      <c r="Q147" t="str">
        <f t="shared" si="14"/>
        <v>47359</v>
      </c>
      <c r="R147" s="126" t="str">
        <f t="shared" si="15"/>
        <v>REVENUE-TICKET SALES</v>
      </c>
      <c r="S147" s="125" t="str">
        <f t="shared" si="16"/>
        <v>112</v>
      </c>
      <c r="T147" s="125" t="str">
        <f t="shared" si="17"/>
        <v>00</v>
      </c>
      <c r="U147" s="125" t="str">
        <f t="shared" si="18"/>
        <v>000</v>
      </c>
      <c r="V147" s="125" t="str">
        <f>VLOOKUP(Q147,'GL Category'!A:C,3,FALSE)</f>
        <v>OTHER REVENUE</v>
      </c>
      <c r="W147" s="125"/>
    </row>
    <row r="148" spans="1:24" s="83" customFormat="1" ht="20.399999999999999" customHeight="1">
      <c r="A148" s="608" t="s">
        <v>1026</v>
      </c>
      <c r="B148" s="608" t="s">
        <v>1851</v>
      </c>
      <c r="C148" s="608" t="s">
        <v>482</v>
      </c>
      <c r="D148" s="609">
        <v>-6535.5</v>
      </c>
      <c r="E148" s="609">
        <v>-6322.02</v>
      </c>
      <c r="F148" s="609">
        <v>-5032.4399999999996</v>
      </c>
      <c r="G148" s="609">
        <v>-4208.97</v>
      </c>
      <c r="H148" s="609">
        <v>-4693</v>
      </c>
      <c r="I148" s="609">
        <v>-2253.62</v>
      </c>
      <c r="J148" s="609">
        <v>-2476</v>
      </c>
      <c r="K148" s="609">
        <v>-3273</v>
      </c>
      <c r="L148" s="609">
        <v>0</v>
      </c>
      <c r="M148" s="609">
        <v>0</v>
      </c>
      <c r="N148" s="587">
        <f t="shared" si="13"/>
        <v>-3273</v>
      </c>
      <c r="O148"/>
      <c r="P148" s="490"/>
      <c r="Q148" t="str">
        <f t="shared" si="14"/>
        <v>48560</v>
      </c>
      <c r="R148" s="126" t="str">
        <f t="shared" si="15"/>
        <v>DONATIONS-UTILITY BILLING</v>
      </c>
      <c r="S148" s="125" t="str">
        <f t="shared" si="16"/>
        <v>112</v>
      </c>
      <c r="T148" s="125" t="str">
        <f t="shared" si="17"/>
        <v>00</v>
      </c>
      <c r="U148" s="125" t="str">
        <f t="shared" si="18"/>
        <v>000</v>
      </c>
      <c r="V148" s="125" t="str">
        <f>VLOOKUP(Q148,'GL Category'!A:C,3,FALSE)</f>
        <v>OTHER REVENUE</v>
      </c>
      <c r="W148" s="125"/>
    </row>
    <row r="149" spans="1:24" s="83" customFormat="1" ht="20.399999999999999" customHeight="1">
      <c r="A149" s="608" t="s">
        <v>1026</v>
      </c>
      <c r="B149" s="608" t="s">
        <v>1852</v>
      </c>
      <c r="C149" s="608" t="s">
        <v>897</v>
      </c>
      <c r="D149" s="609">
        <v>-21061</v>
      </c>
      <c r="E149" s="609">
        <v>-3377</v>
      </c>
      <c r="F149" s="609">
        <v>-28125.11</v>
      </c>
      <c r="G149" s="609">
        <v>-22816.75</v>
      </c>
      <c r="H149" s="609">
        <v>-25816</v>
      </c>
      <c r="I149" s="609">
        <v>-15512.5</v>
      </c>
      <c r="J149" s="609">
        <v>-15777</v>
      </c>
      <c r="K149" s="609">
        <v>-19521</v>
      </c>
      <c r="L149" s="609">
        <v>0</v>
      </c>
      <c r="M149" s="609">
        <v>0</v>
      </c>
      <c r="N149" s="587">
        <f t="shared" si="13"/>
        <v>-19521</v>
      </c>
      <c r="O149"/>
      <c r="P149" s="490"/>
      <c r="Q149" t="str">
        <f t="shared" si="14"/>
        <v>48565</v>
      </c>
      <c r="R149" s="126" t="str">
        <f t="shared" si="15"/>
        <v>DONATIONS-SR SVS</v>
      </c>
      <c r="S149" s="125" t="str">
        <f t="shared" si="16"/>
        <v>112</v>
      </c>
      <c r="T149" s="125" t="str">
        <f t="shared" si="17"/>
        <v>00</v>
      </c>
      <c r="U149" s="125" t="str">
        <f t="shared" si="18"/>
        <v>000</v>
      </c>
      <c r="V149" s="125" t="str">
        <f>VLOOKUP(Q149,'GL Category'!A:C,3,FALSE)</f>
        <v>OTHER REVENUE</v>
      </c>
      <c r="W149" s="125"/>
    </row>
    <row r="150" spans="1:24" s="83" customFormat="1" ht="20.399999999999999" customHeight="1">
      <c r="A150" s="608" t="s">
        <v>1026</v>
      </c>
      <c r="B150" s="608" t="s">
        <v>1853</v>
      </c>
      <c r="C150" s="608" t="s">
        <v>483</v>
      </c>
      <c r="D150" s="609">
        <v>-12645</v>
      </c>
      <c r="E150" s="609">
        <v>-35838.85</v>
      </c>
      <c r="F150" s="609">
        <v>-56550</v>
      </c>
      <c r="G150" s="609">
        <v>-45785</v>
      </c>
      <c r="H150" s="609">
        <v>-43973</v>
      </c>
      <c r="I150" s="609">
        <v>-40685</v>
      </c>
      <c r="J150" s="609">
        <v>-53258</v>
      </c>
      <c r="K150" s="609">
        <v>-44508</v>
      </c>
      <c r="L150" s="609">
        <v>0</v>
      </c>
      <c r="M150" s="609">
        <v>0</v>
      </c>
      <c r="N150" s="587">
        <f t="shared" si="13"/>
        <v>-44508</v>
      </c>
      <c r="O150"/>
      <c r="P150" s="490"/>
      <c r="Q150" t="str">
        <f t="shared" si="14"/>
        <v>48566</v>
      </c>
      <c r="R150" s="126" t="str">
        <f t="shared" si="15"/>
        <v>DONATIONS-MMOW MEALS ON WHEELS</v>
      </c>
      <c r="S150" s="125" t="str">
        <f t="shared" si="16"/>
        <v>112</v>
      </c>
      <c r="T150" s="125" t="str">
        <f t="shared" si="17"/>
        <v>00</v>
      </c>
      <c r="U150" s="125" t="str">
        <f t="shared" si="18"/>
        <v>000</v>
      </c>
      <c r="V150" s="125" t="str">
        <f>VLOOKUP(Q150,'GL Category'!A:C,3,FALSE)</f>
        <v>OTHER REVENUE</v>
      </c>
      <c r="W150" s="125"/>
    </row>
    <row r="151" spans="1:24" s="83" customFormat="1" ht="20.399999999999999" customHeight="1">
      <c r="A151" s="608" t="s">
        <v>1026</v>
      </c>
      <c r="B151" s="608" t="s">
        <v>3330</v>
      </c>
      <c r="C151" s="608" t="s">
        <v>485</v>
      </c>
      <c r="D151" s="609">
        <v>0</v>
      </c>
      <c r="E151" s="609">
        <v>0</v>
      </c>
      <c r="F151" s="609">
        <v>0</v>
      </c>
      <c r="G151" s="609">
        <v>0</v>
      </c>
      <c r="H151" s="609">
        <v>0</v>
      </c>
      <c r="I151" s="609">
        <v>0</v>
      </c>
      <c r="J151" s="609">
        <v>0</v>
      </c>
      <c r="K151" s="609">
        <v>0</v>
      </c>
      <c r="L151" s="609">
        <v>0</v>
      </c>
      <c r="M151" s="609">
        <v>0</v>
      </c>
      <c r="N151" s="587">
        <f t="shared" si="13"/>
        <v>0</v>
      </c>
      <c r="O151"/>
      <c r="P151" s="490"/>
      <c r="Q151" t="str">
        <f t="shared" si="14"/>
        <v>48568</v>
      </c>
      <c r="R151" s="126" t="str">
        <f t="shared" si="15"/>
        <v>DONATIONS-RECREATION</v>
      </c>
      <c r="S151" s="125" t="str">
        <f t="shared" si="16"/>
        <v>112</v>
      </c>
      <c r="T151" s="125" t="str">
        <f t="shared" si="17"/>
        <v>00</v>
      </c>
      <c r="U151" s="125" t="str">
        <f t="shared" si="18"/>
        <v>000</v>
      </c>
      <c r="V151" s="125" t="e">
        <f>VLOOKUP(Q151,'GL Category'!A:C,3,FALSE)</f>
        <v>#N/A</v>
      </c>
      <c r="W151" s="125"/>
    </row>
    <row r="152" spans="1:24" s="83" customFormat="1" ht="20.399999999999999" customHeight="1">
      <c r="A152" s="608" t="s">
        <v>1026</v>
      </c>
      <c r="B152" s="608" t="s">
        <v>1855</v>
      </c>
      <c r="C152" s="608" t="s">
        <v>484</v>
      </c>
      <c r="D152" s="609">
        <v>-5</v>
      </c>
      <c r="E152" s="609">
        <v>0</v>
      </c>
      <c r="F152" s="609">
        <v>0</v>
      </c>
      <c r="G152" s="609">
        <v>-675</v>
      </c>
      <c r="H152" s="609">
        <v>0</v>
      </c>
      <c r="I152" s="609">
        <v>0</v>
      </c>
      <c r="J152" s="609">
        <v>0</v>
      </c>
      <c r="K152" s="609">
        <v>0</v>
      </c>
      <c r="L152" s="609">
        <v>0</v>
      </c>
      <c r="M152" s="609">
        <v>0</v>
      </c>
      <c r="N152" s="587">
        <f t="shared" si="13"/>
        <v>0</v>
      </c>
      <c r="O152"/>
      <c r="P152" s="490"/>
      <c r="Q152" t="str">
        <f t="shared" si="14"/>
        <v>48570</v>
      </c>
      <c r="R152" s="126" t="str">
        <f t="shared" si="15"/>
        <v>DONATIONS-PARKS</v>
      </c>
      <c r="S152" s="125" t="str">
        <f t="shared" si="16"/>
        <v>112</v>
      </c>
      <c r="T152" s="125" t="str">
        <f t="shared" si="17"/>
        <v>00</v>
      </c>
      <c r="U152" s="125" t="str">
        <f t="shared" si="18"/>
        <v>000</v>
      </c>
      <c r="V152" s="125" t="str">
        <f>VLOOKUP(Q152,'GL Category'!A:C,3,FALSE)</f>
        <v>OTHER REVENUE</v>
      </c>
      <c r="W152" s="125"/>
    </row>
    <row r="153" spans="1:24" s="83" customFormat="1" ht="20.399999999999999" customHeight="1">
      <c r="A153" s="608" t="s">
        <v>1026</v>
      </c>
      <c r="B153" s="608" t="s">
        <v>1857</v>
      </c>
      <c r="C153" s="608" t="s">
        <v>486</v>
      </c>
      <c r="D153" s="609">
        <v>0</v>
      </c>
      <c r="E153" s="609">
        <v>0</v>
      </c>
      <c r="F153" s="609">
        <v>0</v>
      </c>
      <c r="G153" s="609">
        <v>0</v>
      </c>
      <c r="H153" s="609">
        <v>0</v>
      </c>
      <c r="I153" s="609">
        <v>0</v>
      </c>
      <c r="J153" s="609">
        <v>0</v>
      </c>
      <c r="K153" s="609">
        <v>0</v>
      </c>
      <c r="L153" s="609">
        <v>0</v>
      </c>
      <c r="M153" s="609">
        <v>0</v>
      </c>
      <c r="N153" s="587">
        <f t="shared" si="13"/>
        <v>0</v>
      </c>
      <c r="O153"/>
      <c r="P153" s="490"/>
      <c r="Q153" t="str">
        <f t="shared" si="14"/>
        <v>48580</v>
      </c>
      <c r="R153" s="126" t="str">
        <f t="shared" si="15"/>
        <v>DONATIONS-CONCERTS IN THE PARK</v>
      </c>
      <c r="S153" s="125" t="str">
        <f t="shared" si="16"/>
        <v>112</v>
      </c>
      <c r="T153" s="125" t="str">
        <f t="shared" si="17"/>
        <v>00</v>
      </c>
      <c r="U153" s="125" t="str">
        <f t="shared" si="18"/>
        <v>000</v>
      </c>
      <c r="V153" s="125" t="str">
        <f>VLOOKUP(Q153,'GL Category'!A:C,3,FALSE)</f>
        <v>OTHER REVENUE</v>
      </c>
      <c r="W153" s="125"/>
    </row>
    <row r="154" spans="1:24" s="83" customFormat="1" ht="20.399999999999999" customHeight="1">
      <c r="A154" s="608" t="s">
        <v>1026</v>
      </c>
      <c r="B154" s="608" t="s">
        <v>1858</v>
      </c>
      <c r="C154" s="608" t="s">
        <v>487</v>
      </c>
      <c r="D154" s="609">
        <v>-975</v>
      </c>
      <c r="E154" s="609">
        <v>-1800</v>
      </c>
      <c r="F154" s="609">
        <v>-1050</v>
      </c>
      <c r="G154" s="609">
        <v>-1500</v>
      </c>
      <c r="H154" s="609">
        <v>0</v>
      </c>
      <c r="I154" s="609">
        <v>-1350</v>
      </c>
      <c r="J154" s="609">
        <v>-1777</v>
      </c>
      <c r="K154" s="609">
        <v>-1000</v>
      </c>
      <c r="L154" s="609">
        <v>0</v>
      </c>
      <c r="M154" s="609">
        <v>0</v>
      </c>
      <c r="N154" s="587">
        <f t="shared" si="13"/>
        <v>-1000</v>
      </c>
      <c r="O154"/>
      <c r="P154" s="490"/>
      <c r="Q154" t="str">
        <f t="shared" si="14"/>
        <v>48585</v>
      </c>
      <c r="R154" s="126" t="str">
        <f t="shared" si="15"/>
        <v>DONATIONS-VETERANS MEMORIAL</v>
      </c>
      <c r="S154" s="125" t="str">
        <f t="shared" si="16"/>
        <v>112</v>
      </c>
      <c r="T154" s="125" t="str">
        <f t="shared" si="17"/>
        <v>00</v>
      </c>
      <c r="U154" s="125" t="str">
        <f t="shared" si="18"/>
        <v>000</v>
      </c>
      <c r="V154" s="125" t="str">
        <f>VLOOKUP(Q154,'GL Category'!A:C,3,FALSE)</f>
        <v>OTHER REVENUE</v>
      </c>
      <c r="W154" s="125"/>
    </row>
    <row r="155" spans="1:24" s="83" customFormat="1" ht="20.399999999999999" customHeight="1">
      <c r="A155" s="608" t="s">
        <v>1026</v>
      </c>
      <c r="B155" s="608" t="s">
        <v>1859</v>
      </c>
      <c r="C155" s="608" t="s">
        <v>512</v>
      </c>
      <c r="D155" s="609">
        <v>-47600</v>
      </c>
      <c r="E155" s="609">
        <v>-47600</v>
      </c>
      <c r="F155" s="609">
        <v>-47600</v>
      </c>
      <c r="G155" s="609">
        <v>-97600</v>
      </c>
      <c r="H155" s="609">
        <v>-127600</v>
      </c>
      <c r="I155" s="609">
        <v>-95700</v>
      </c>
      <c r="J155" s="609">
        <v>-127600</v>
      </c>
      <c r="K155" s="609">
        <v>-127600</v>
      </c>
      <c r="L155" s="609">
        <v>0</v>
      </c>
      <c r="M155" s="609">
        <v>0</v>
      </c>
      <c r="N155" s="587">
        <f t="shared" si="13"/>
        <v>-127600</v>
      </c>
      <c r="O155"/>
      <c r="P155" s="490"/>
      <c r="Q155" t="str">
        <f t="shared" si="14"/>
        <v>49100</v>
      </c>
      <c r="R155" s="126" t="str">
        <f t="shared" si="15"/>
        <v>TRANSFER FROM GENERAL FUND</v>
      </c>
      <c r="S155" s="125" t="str">
        <f t="shared" si="16"/>
        <v>112</v>
      </c>
      <c r="T155" s="125" t="str">
        <f t="shared" si="17"/>
        <v>00</v>
      </c>
      <c r="U155" s="125" t="str">
        <f t="shared" si="18"/>
        <v>000</v>
      </c>
      <c r="V155" s="125" t="str">
        <f>VLOOKUP(Q155,'GL Category'!A:C,3,FALSE)</f>
        <v>TRANSFERS IN</v>
      </c>
      <c r="W155" s="125"/>
    </row>
    <row r="156" spans="1:24" s="83" customFormat="1" ht="20.399999999999999" customHeight="1">
      <c r="A156" s="608" t="s">
        <v>1026</v>
      </c>
      <c r="B156" s="608" t="s">
        <v>3162</v>
      </c>
      <c r="C156" s="608" t="s">
        <v>84</v>
      </c>
      <c r="D156" s="609">
        <v>8881.35</v>
      </c>
      <c r="E156" s="609">
        <v>-20048</v>
      </c>
      <c r="F156" s="609">
        <v>-655</v>
      </c>
      <c r="G156" s="609">
        <v>1146.71</v>
      </c>
      <c r="H156" s="609">
        <v>0</v>
      </c>
      <c r="I156" s="609">
        <v>0</v>
      </c>
      <c r="J156" s="609">
        <v>0</v>
      </c>
      <c r="K156" s="609">
        <v>0</v>
      </c>
      <c r="L156" s="609">
        <v>0</v>
      </c>
      <c r="M156" s="609">
        <v>0</v>
      </c>
      <c r="N156" s="587">
        <f t="shared" si="13"/>
        <v>0</v>
      </c>
      <c r="O156"/>
      <c r="P156" s="490"/>
      <c r="Q156" t="str">
        <f t="shared" si="14"/>
        <v>49999</v>
      </c>
      <c r="R156" s="126" t="str">
        <f t="shared" si="15"/>
        <v>USE OF FUND BALANCE</v>
      </c>
      <c r="S156" s="125" t="str">
        <f t="shared" si="16"/>
        <v>112</v>
      </c>
      <c r="T156" s="125" t="str">
        <f t="shared" si="17"/>
        <v>00</v>
      </c>
      <c r="U156" s="125" t="str">
        <f t="shared" si="18"/>
        <v>000</v>
      </c>
      <c r="V156" s="125" t="str">
        <f>VLOOKUP(Q156,'GL Category'!A:C,3,FALSE)</f>
        <v>TRANSFERS IN</v>
      </c>
      <c r="W156" s="125"/>
    </row>
    <row r="157" spans="1:24" s="83" customFormat="1" ht="20.399999999999999" customHeight="1">
      <c r="A157" s="608" t="s">
        <v>1027</v>
      </c>
      <c r="B157" s="608" t="s">
        <v>1918</v>
      </c>
      <c r="C157" s="608" t="s">
        <v>3142</v>
      </c>
      <c r="D157" s="609">
        <v>-19761.009999999998</v>
      </c>
      <c r="E157" s="609">
        <v>-12462.1</v>
      </c>
      <c r="F157" s="609">
        <v>-13208.11</v>
      </c>
      <c r="G157" s="609">
        <v>-14272.24</v>
      </c>
      <c r="H157" s="609">
        <v>-13153</v>
      </c>
      <c r="I157" s="609">
        <v>-16591.47</v>
      </c>
      <c r="J157" s="609">
        <v>-22473</v>
      </c>
      <c r="K157" s="609">
        <v>-22473</v>
      </c>
      <c r="L157" s="609">
        <v>0</v>
      </c>
      <c r="M157" s="609">
        <v>0</v>
      </c>
      <c r="N157" s="587">
        <f t="shared" si="13"/>
        <v>-22473</v>
      </c>
      <c r="O157"/>
      <c r="P157" s="490"/>
      <c r="Q157" t="str">
        <f t="shared" si="14"/>
        <v>41620</v>
      </c>
      <c r="R157" s="126" t="str">
        <f t="shared" si="15"/>
        <v>MC-TECHNOLOGY FINES/FEES</v>
      </c>
      <c r="S157" s="125" t="str">
        <f t="shared" si="16"/>
        <v>114</v>
      </c>
      <c r="T157" s="125" t="str">
        <f t="shared" si="17"/>
        <v>00</v>
      </c>
      <c r="U157" s="125" t="str">
        <f t="shared" si="18"/>
        <v>000</v>
      </c>
      <c r="V157" s="125" t="str">
        <f>VLOOKUP(Q157,'GL Category'!A:C,3,FALSE)</f>
        <v>FINES AND FEES</v>
      </c>
      <c r="W157" s="125"/>
    </row>
    <row r="158" spans="1:24" s="83" customFormat="1" ht="20.399999999999999" customHeight="1">
      <c r="A158" s="608" t="s">
        <v>1027</v>
      </c>
      <c r="B158" s="608" t="s">
        <v>1919</v>
      </c>
      <c r="C158" s="608" t="s">
        <v>3143</v>
      </c>
      <c r="D158" s="609">
        <v>-18410.919999999998</v>
      </c>
      <c r="E158" s="609">
        <v>-14754.93</v>
      </c>
      <c r="F158" s="609">
        <v>-15902.93</v>
      </c>
      <c r="G158" s="609">
        <v>-17377.830000000002</v>
      </c>
      <c r="H158" s="609">
        <v>-16134</v>
      </c>
      <c r="I158" s="609">
        <v>-20232.64</v>
      </c>
      <c r="J158" s="609">
        <v>-27792</v>
      </c>
      <c r="K158" s="609">
        <v>-27792</v>
      </c>
      <c r="L158" s="609">
        <v>0</v>
      </c>
      <c r="M158" s="609">
        <v>0</v>
      </c>
      <c r="N158" s="587">
        <f t="shared" si="13"/>
        <v>-27792</v>
      </c>
      <c r="O158"/>
      <c r="P158" s="490"/>
      <c r="Q158" t="str">
        <f t="shared" si="14"/>
        <v>41630</v>
      </c>
      <c r="R158" s="126" t="str">
        <f t="shared" si="15"/>
        <v>MC-BLDG SECURITY FINES/FEES</v>
      </c>
      <c r="S158" s="125" t="str">
        <f t="shared" si="16"/>
        <v>114</v>
      </c>
      <c r="T158" s="125" t="str">
        <f t="shared" si="17"/>
        <v>00</v>
      </c>
      <c r="U158" s="125" t="str">
        <f t="shared" si="18"/>
        <v>000</v>
      </c>
      <c r="V158" s="125" t="str">
        <f>VLOOKUP(Q158,'GL Category'!A:C,3,FALSE)</f>
        <v>FINES AND FEES</v>
      </c>
      <c r="W158" s="125"/>
    </row>
    <row r="159" spans="1:24" s="83" customFormat="1" ht="20.399999999999999" customHeight="1">
      <c r="A159" s="608" t="s">
        <v>1027</v>
      </c>
      <c r="B159" s="608" t="s">
        <v>1920</v>
      </c>
      <c r="C159" s="608" t="s">
        <v>3144</v>
      </c>
      <c r="D159" s="609">
        <v>-6320.05</v>
      </c>
      <c r="E159" s="609">
        <v>-3842.14</v>
      </c>
      <c r="F159" s="609">
        <v>-8693.7099999999991</v>
      </c>
      <c r="G159" s="609">
        <v>-7653.5</v>
      </c>
      <c r="H159" s="609">
        <v>-6958</v>
      </c>
      <c r="I159" s="609">
        <v>-7260.54</v>
      </c>
      <c r="J159" s="609">
        <v>-10284</v>
      </c>
      <c r="K159" s="609">
        <v>-10284</v>
      </c>
      <c r="L159" s="609">
        <v>0</v>
      </c>
      <c r="M159" s="609">
        <v>0</v>
      </c>
      <c r="N159" s="587">
        <f t="shared" si="13"/>
        <v>-10284</v>
      </c>
      <c r="O159"/>
      <c r="P159" s="490"/>
      <c r="Q159" t="str">
        <f t="shared" si="14"/>
        <v>41640</v>
      </c>
      <c r="R159" s="126" t="str">
        <f t="shared" si="15"/>
        <v>MC-SCHOOL CROSSING FINES</v>
      </c>
      <c r="S159" s="125" t="str">
        <f t="shared" si="16"/>
        <v>114</v>
      </c>
      <c r="T159" s="125" t="str">
        <f t="shared" si="17"/>
        <v>00</v>
      </c>
      <c r="U159" s="125" t="str">
        <f t="shared" si="18"/>
        <v>000</v>
      </c>
      <c r="V159" s="125" t="str">
        <f>VLOOKUP(Q159,'GL Category'!A:C,3,FALSE)</f>
        <v>FINES AND FEES</v>
      </c>
      <c r="W159" s="125"/>
    </row>
    <row r="160" spans="1:24" s="83" customFormat="1" ht="20.399999999999999" customHeight="1">
      <c r="A160" s="608" t="s">
        <v>1027</v>
      </c>
      <c r="B160" s="608" t="s">
        <v>1921</v>
      </c>
      <c r="C160" s="608" t="s">
        <v>3145</v>
      </c>
      <c r="D160" s="609">
        <v>-1920</v>
      </c>
      <c r="E160" s="609">
        <v>-1300</v>
      </c>
      <c r="F160" s="609">
        <v>-1200</v>
      </c>
      <c r="G160" s="609">
        <v>-1070</v>
      </c>
      <c r="H160" s="609">
        <v>-3041</v>
      </c>
      <c r="I160" s="609">
        <v>1340</v>
      </c>
      <c r="J160" s="609">
        <v>-1430</v>
      </c>
      <c r="K160" s="609">
        <v>-1430</v>
      </c>
      <c r="L160" s="609">
        <v>0</v>
      </c>
      <c r="M160" s="609">
        <v>0</v>
      </c>
      <c r="N160" s="587">
        <f t="shared" si="13"/>
        <v>-1430</v>
      </c>
      <c r="O160"/>
      <c r="P160" s="490"/>
      <c r="Q160" t="str">
        <f t="shared" si="14"/>
        <v>41650</v>
      </c>
      <c r="R160" s="126" t="str">
        <f t="shared" si="15"/>
        <v>MC-TEEN COURT FINES</v>
      </c>
      <c r="S160" s="125" t="str">
        <f t="shared" si="16"/>
        <v>114</v>
      </c>
      <c r="T160" s="125" t="str">
        <f t="shared" si="17"/>
        <v>00</v>
      </c>
      <c r="U160" s="125" t="str">
        <f t="shared" si="18"/>
        <v>000</v>
      </c>
      <c r="V160" s="125" t="str">
        <f>VLOOKUP(Q160,'GL Category'!A:C,3,FALSE)</f>
        <v>FINES AND FEES</v>
      </c>
      <c r="W160" s="125"/>
    </row>
    <row r="161" spans="1:23" s="83" customFormat="1" ht="20.399999999999999" customHeight="1">
      <c r="A161" s="608" t="s">
        <v>1027</v>
      </c>
      <c r="B161" s="608" t="s">
        <v>1922</v>
      </c>
      <c r="C161" s="608" t="s">
        <v>1023</v>
      </c>
      <c r="D161" s="609">
        <v>-14079.59</v>
      </c>
      <c r="E161" s="609">
        <v>-14511.81</v>
      </c>
      <c r="F161" s="609">
        <v>-15926.67</v>
      </c>
      <c r="G161" s="609">
        <v>-17623.05</v>
      </c>
      <c r="H161" s="609">
        <v>-12208</v>
      </c>
      <c r="I161" s="609">
        <v>-20545.59</v>
      </c>
      <c r="J161" s="609">
        <v>-29539</v>
      </c>
      <c r="K161" s="609">
        <v>-21983</v>
      </c>
      <c r="L161" s="609">
        <v>0</v>
      </c>
      <c r="M161" s="609">
        <v>0</v>
      </c>
      <c r="N161" s="587">
        <f t="shared" si="13"/>
        <v>-21983</v>
      </c>
      <c r="O161"/>
      <c r="P161" s="490"/>
      <c r="Q161" t="str">
        <f t="shared" si="14"/>
        <v>41655</v>
      </c>
      <c r="R161" s="126" t="str">
        <f t="shared" si="15"/>
        <v>MC-TRUANCY PREV</v>
      </c>
      <c r="S161" s="125" t="str">
        <f t="shared" si="16"/>
        <v>114</v>
      </c>
      <c r="T161" s="125" t="str">
        <f t="shared" si="17"/>
        <v>00</v>
      </c>
      <c r="U161" s="125" t="str">
        <f t="shared" si="18"/>
        <v>000</v>
      </c>
      <c r="V161" s="125" t="str">
        <f>VLOOKUP(Q161,'GL Category'!A:C,3,FALSE)</f>
        <v>FINES AND FEES</v>
      </c>
      <c r="W161" s="125"/>
    </row>
    <row r="162" spans="1:23" s="83" customFormat="1" ht="20.399999999999999" customHeight="1">
      <c r="A162" s="608" t="s">
        <v>1027</v>
      </c>
      <c r="B162" s="608" t="s">
        <v>1923</v>
      </c>
      <c r="C162" s="608" t="s">
        <v>867</v>
      </c>
      <c r="D162" s="609">
        <v>-11386.43</v>
      </c>
      <c r="E162" s="609">
        <v>-1337.34</v>
      </c>
      <c r="F162" s="609">
        <v>-729.35</v>
      </c>
      <c r="G162" s="609">
        <v>-265.14</v>
      </c>
      <c r="H162" s="609">
        <v>0</v>
      </c>
      <c r="I162" s="609">
        <v>-272.22000000000003</v>
      </c>
      <c r="J162" s="609">
        <v>0</v>
      </c>
      <c r="K162" s="609">
        <v>0</v>
      </c>
      <c r="L162" s="609">
        <v>0</v>
      </c>
      <c r="M162" s="609">
        <v>0</v>
      </c>
      <c r="N162" s="587">
        <f t="shared" si="13"/>
        <v>0</v>
      </c>
      <c r="O162"/>
      <c r="P162" s="490"/>
      <c r="Q162" t="str">
        <f t="shared" si="14"/>
        <v>41675</v>
      </c>
      <c r="R162" s="126" t="str">
        <f t="shared" si="15"/>
        <v>JUVENILE CASE MANAGER FINES</v>
      </c>
      <c r="S162" s="125" t="str">
        <f t="shared" si="16"/>
        <v>114</v>
      </c>
      <c r="T162" s="125" t="str">
        <f t="shared" si="17"/>
        <v>00</v>
      </c>
      <c r="U162" s="125" t="str">
        <f t="shared" si="18"/>
        <v>000</v>
      </c>
      <c r="V162" s="125" t="str">
        <f>VLOOKUP(Q162,'GL Category'!A:C,3,FALSE)</f>
        <v>FINES AND FEES</v>
      </c>
      <c r="W162" s="125"/>
    </row>
    <row r="163" spans="1:23" s="83" customFormat="1" ht="20.399999999999999" customHeight="1">
      <c r="A163" s="608" t="s">
        <v>1027</v>
      </c>
      <c r="B163" s="608" t="s">
        <v>3288</v>
      </c>
      <c r="C163" s="608" t="s">
        <v>3146</v>
      </c>
      <c r="D163" s="609">
        <v>0</v>
      </c>
      <c r="E163" s="609">
        <v>0</v>
      </c>
      <c r="F163" s="609">
        <v>0</v>
      </c>
      <c r="G163" s="609">
        <v>0</v>
      </c>
      <c r="H163" s="609">
        <v>0</v>
      </c>
      <c r="I163" s="609">
        <v>0</v>
      </c>
      <c r="J163" s="609">
        <v>0</v>
      </c>
      <c r="K163" s="609">
        <v>0</v>
      </c>
      <c r="L163" s="609">
        <v>0</v>
      </c>
      <c r="M163" s="609">
        <v>0</v>
      </c>
      <c r="N163" s="587">
        <f t="shared" si="13"/>
        <v>0</v>
      </c>
      <c r="O163"/>
      <c r="P163" s="490"/>
      <c r="Q163" t="str">
        <f t="shared" si="14"/>
        <v>41685</v>
      </c>
      <c r="R163" s="126" t="str">
        <f t="shared" si="15"/>
        <v>MC-JUVENILE SUMMONS FTA</v>
      </c>
      <c r="S163" s="125" t="str">
        <f t="shared" si="16"/>
        <v>114</v>
      </c>
      <c r="T163" s="125" t="str">
        <f t="shared" si="17"/>
        <v>00</v>
      </c>
      <c r="U163" s="125" t="str">
        <f t="shared" si="18"/>
        <v>000</v>
      </c>
      <c r="V163" s="125" t="str">
        <f>VLOOKUP(Q163,'GL Category'!A:C,3,FALSE)</f>
        <v>FINES AND FEES</v>
      </c>
      <c r="W163" s="125"/>
    </row>
    <row r="164" spans="1:23" s="83" customFormat="1" ht="20.399999999999999" customHeight="1">
      <c r="A164" s="608" t="s">
        <v>1027</v>
      </c>
      <c r="B164" s="608" t="s">
        <v>1924</v>
      </c>
      <c r="C164" s="608" t="s">
        <v>1024</v>
      </c>
      <c r="D164" s="609">
        <v>-3</v>
      </c>
      <c r="E164" s="609">
        <v>-5</v>
      </c>
      <c r="F164" s="609">
        <v>-5</v>
      </c>
      <c r="G164" s="609">
        <v>0</v>
      </c>
      <c r="H164" s="609">
        <v>0</v>
      </c>
      <c r="I164" s="609">
        <v>0</v>
      </c>
      <c r="J164" s="609">
        <v>0</v>
      </c>
      <c r="K164" s="609">
        <v>0</v>
      </c>
      <c r="L164" s="609">
        <v>0</v>
      </c>
      <c r="M164" s="609">
        <v>0</v>
      </c>
      <c r="N164" s="587">
        <f t="shared" si="13"/>
        <v>0</v>
      </c>
      <c r="O164"/>
      <c r="P164" s="490"/>
      <c r="Q164" t="str">
        <f t="shared" si="14"/>
        <v>41690</v>
      </c>
      <c r="R164" s="126" t="str">
        <f t="shared" si="15"/>
        <v>MC-JURY FINES</v>
      </c>
      <c r="S164" s="125" t="str">
        <f t="shared" si="16"/>
        <v>114</v>
      </c>
      <c r="T164" s="125" t="str">
        <f t="shared" si="17"/>
        <v>00</v>
      </c>
      <c r="U164" s="125" t="str">
        <f t="shared" si="18"/>
        <v>000</v>
      </c>
      <c r="V164" s="125" t="str">
        <f>VLOOKUP(Q164,'GL Category'!A:C,3,FALSE)</f>
        <v>FINES AND FEES</v>
      </c>
      <c r="W164" s="125"/>
    </row>
    <row r="165" spans="1:23" s="83" customFormat="1" ht="20.399999999999999" customHeight="1">
      <c r="A165" s="608" t="s">
        <v>1027</v>
      </c>
      <c r="B165" s="608" t="s">
        <v>3289</v>
      </c>
      <c r="C165" s="608" t="s">
        <v>417</v>
      </c>
      <c r="D165" s="609">
        <v>0</v>
      </c>
      <c r="E165" s="609">
        <v>0</v>
      </c>
      <c r="F165" s="609">
        <v>0</v>
      </c>
      <c r="G165" s="609">
        <v>0</v>
      </c>
      <c r="H165" s="609">
        <v>0</v>
      </c>
      <c r="I165" s="609">
        <v>0</v>
      </c>
      <c r="J165" s="609">
        <v>0</v>
      </c>
      <c r="K165" s="609">
        <v>0</v>
      </c>
      <c r="L165" s="609">
        <v>0</v>
      </c>
      <c r="M165" s="609">
        <v>0</v>
      </c>
      <c r="N165" s="587">
        <f t="shared" si="13"/>
        <v>0</v>
      </c>
      <c r="O165"/>
      <c r="P165" s="490"/>
      <c r="Q165" t="str">
        <f t="shared" si="14"/>
        <v>44790</v>
      </c>
      <c r="R165" s="126" t="str">
        <f t="shared" si="15"/>
        <v>WRITE OFF RECOVERY</v>
      </c>
      <c r="S165" s="125" t="str">
        <f t="shared" si="16"/>
        <v>114</v>
      </c>
      <c r="T165" s="125" t="str">
        <f t="shared" si="17"/>
        <v>00</v>
      </c>
      <c r="U165" s="125" t="str">
        <f t="shared" si="18"/>
        <v>000</v>
      </c>
      <c r="V165" s="125" t="str">
        <f>VLOOKUP(Q165,'GL Category'!A:C,3,FALSE)</f>
        <v>CHARGES FOR SERVICE</v>
      </c>
      <c r="W165" s="125"/>
    </row>
    <row r="166" spans="1:23" s="83" customFormat="1" ht="20.399999999999999" customHeight="1">
      <c r="A166" s="608" t="s">
        <v>1027</v>
      </c>
      <c r="B166" s="608" t="s">
        <v>3195</v>
      </c>
      <c r="C166" s="608" t="s">
        <v>421</v>
      </c>
      <c r="D166" s="609">
        <v>0</v>
      </c>
      <c r="E166" s="609">
        <v>0</v>
      </c>
      <c r="F166" s="609">
        <v>0</v>
      </c>
      <c r="G166" s="609">
        <v>0</v>
      </c>
      <c r="H166" s="609">
        <v>0</v>
      </c>
      <c r="I166" s="609">
        <v>0</v>
      </c>
      <c r="J166" s="609">
        <v>0</v>
      </c>
      <c r="K166" s="609">
        <v>0</v>
      </c>
      <c r="L166" s="609">
        <v>0</v>
      </c>
      <c r="M166" s="609">
        <v>0</v>
      </c>
      <c r="N166" s="587">
        <f t="shared" si="13"/>
        <v>0</v>
      </c>
      <c r="O166"/>
      <c r="P166" s="490"/>
      <c r="Q166" t="str">
        <f t="shared" si="14"/>
        <v>47010</v>
      </c>
      <c r="R166" s="126" t="str">
        <f t="shared" si="15"/>
        <v>MISCELLANEOUS REVENUE</v>
      </c>
      <c r="S166" s="125" t="str">
        <f t="shared" si="16"/>
        <v>114</v>
      </c>
      <c r="T166" s="125" t="str">
        <f t="shared" si="17"/>
        <v>00</v>
      </c>
      <c r="U166" s="125" t="str">
        <f t="shared" si="18"/>
        <v>000</v>
      </c>
      <c r="V166" s="125" t="str">
        <f>VLOOKUP(Q166,'GL Category'!A:C,3,FALSE)</f>
        <v>OTHER REVENUE</v>
      </c>
      <c r="W166" s="125"/>
    </row>
    <row r="167" spans="1:23" s="83" customFormat="1" ht="20.399999999999999" customHeight="1">
      <c r="A167" s="608" t="s">
        <v>1027</v>
      </c>
      <c r="B167" s="608" t="s">
        <v>1925</v>
      </c>
      <c r="C167" s="608" t="s">
        <v>891</v>
      </c>
      <c r="D167" s="609">
        <v>0</v>
      </c>
      <c r="E167" s="609">
        <v>0</v>
      </c>
      <c r="F167" s="609">
        <v>0</v>
      </c>
      <c r="G167" s="609">
        <v>0</v>
      </c>
      <c r="H167" s="609">
        <v>0</v>
      </c>
      <c r="I167" s="609">
        <v>0</v>
      </c>
      <c r="J167" s="609">
        <v>0</v>
      </c>
      <c r="K167" s="609">
        <v>0</v>
      </c>
      <c r="L167" s="609">
        <v>0</v>
      </c>
      <c r="M167" s="609">
        <v>0</v>
      </c>
      <c r="N167" s="587">
        <f t="shared" si="13"/>
        <v>0</v>
      </c>
      <c r="O167"/>
      <c r="P167" s="490"/>
      <c r="Q167" t="str">
        <f t="shared" si="14"/>
        <v>47070</v>
      </c>
      <c r="R167" s="126" t="str">
        <f t="shared" si="15"/>
        <v>CASH OVER/SHORT</v>
      </c>
      <c r="S167" s="125" t="str">
        <f t="shared" si="16"/>
        <v>114</v>
      </c>
      <c r="T167" s="125" t="str">
        <f t="shared" si="17"/>
        <v>00</v>
      </c>
      <c r="U167" s="125" t="str">
        <f t="shared" si="18"/>
        <v>000</v>
      </c>
      <c r="V167" s="125" t="str">
        <f>VLOOKUP(Q167,'GL Category'!A:C,3,FALSE)</f>
        <v>OTHER REVENUE</v>
      </c>
      <c r="W167" s="125"/>
    </row>
    <row r="168" spans="1:23" s="83" customFormat="1" ht="20.399999999999999" customHeight="1">
      <c r="A168" s="608" t="s">
        <v>1027</v>
      </c>
      <c r="B168" s="608" t="s">
        <v>1926</v>
      </c>
      <c r="C168" s="608" t="s">
        <v>423</v>
      </c>
      <c r="D168" s="609">
        <v>-9860.43</v>
      </c>
      <c r="E168" s="609">
        <v>-1634.64</v>
      </c>
      <c r="F168" s="609">
        <v>-1482.57</v>
      </c>
      <c r="G168" s="609">
        <v>-10254.11</v>
      </c>
      <c r="H168" s="609">
        <v>-4703</v>
      </c>
      <c r="I168" s="609">
        <v>-11177.57</v>
      </c>
      <c r="J168" s="609">
        <v>-13444</v>
      </c>
      <c r="K168" s="609">
        <v>-13444</v>
      </c>
      <c r="L168" s="609">
        <v>0</v>
      </c>
      <c r="M168" s="609">
        <v>0</v>
      </c>
      <c r="N168" s="587">
        <f t="shared" si="13"/>
        <v>-13444</v>
      </c>
      <c r="O168"/>
      <c r="P168" s="490"/>
      <c r="Q168" t="str">
        <f t="shared" si="14"/>
        <v>47090</v>
      </c>
      <c r="R168" s="126" t="str">
        <f t="shared" si="15"/>
        <v>INTEREST REVENUE-INVESTMENTS</v>
      </c>
      <c r="S168" s="125" t="str">
        <f t="shared" si="16"/>
        <v>114</v>
      </c>
      <c r="T168" s="125" t="str">
        <f t="shared" si="17"/>
        <v>00</v>
      </c>
      <c r="U168" s="125" t="str">
        <f t="shared" si="18"/>
        <v>000</v>
      </c>
      <c r="V168" s="125" t="str">
        <f>VLOOKUP(Q168,'GL Category'!A:C,3,FALSE)</f>
        <v>OTHER REVENUE</v>
      </c>
      <c r="W168" s="125"/>
    </row>
    <row r="169" spans="1:23" s="83" customFormat="1" ht="20.399999999999999" customHeight="1">
      <c r="A169" s="608" t="s">
        <v>1027</v>
      </c>
      <c r="B169" s="608" t="s">
        <v>1928</v>
      </c>
      <c r="C169" s="608" t="s">
        <v>827</v>
      </c>
      <c r="D169" s="609">
        <v>0</v>
      </c>
      <c r="E169" s="609">
        <v>0</v>
      </c>
      <c r="F169" s="609">
        <v>0</v>
      </c>
      <c r="G169" s="609">
        <v>0</v>
      </c>
      <c r="H169" s="609">
        <v>0</v>
      </c>
      <c r="I169" s="609">
        <v>0</v>
      </c>
      <c r="J169" s="609">
        <v>0</v>
      </c>
      <c r="K169" s="609">
        <v>0</v>
      </c>
      <c r="L169" s="609">
        <v>0</v>
      </c>
      <c r="M169" s="609">
        <v>0</v>
      </c>
      <c r="N169" s="587">
        <f t="shared" si="13"/>
        <v>0</v>
      </c>
      <c r="O169"/>
      <c r="P169" s="490"/>
      <c r="Q169" t="str">
        <f t="shared" si="14"/>
        <v>47099</v>
      </c>
      <c r="R169" s="126" t="str">
        <f t="shared" si="15"/>
        <v>INCR/DECR IN FAIR VALUE OF INV</v>
      </c>
      <c r="S169" s="125" t="str">
        <f t="shared" si="16"/>
        <v>114</v>
      </c>
      <c r="T169" s="125" t="str">
        <f t="shared" si="17"/>
        <v>00</v>
      </c>
      <c r="U169" s="125" t="str">
        <f t="shared" si="18"/>
        <v>000</v>
      </c>
      <c r="V169" s="125" t="str">
        <f>VLOOKUP(Q169,'GL Category'!A:C,3,FALSE)</f>
        <v>OTHER REVENUE</v>
      </c>
      <c r="W169" s="125"/>
    </row>
    <row r="170" spans="1:23" s="83" customFormat="1" ht="20.399999999999999" customHeight="1">
      <c r="A170" s="608" t="s">
        <v>1027</v>
      </c>
      <c r="B170" s="608" t="s">
        <v>1927</v>
      </c>
      <c r="C170" s="608" t="s">
        <v>512</v>
      </c>
      <c r="D170" s="609">
        <v>0</v>
      </c>
      <c r="E170" s="609">
        <v>0</v>
      </c>
      <c r="F170" s="609">
        <v>0</v>
      </c>
      <c r="G170" s="609">
        <v>0</v>
      </c>
      <c r="H170" s="609">
        <v>0</v>
      </c>
      <c r="I170" s="609">
        <v>0</v>
      </c>
      <c r="J170" s="609">
        <v>0</v>
      </c>
      <c r="K170" s="609">
        <v>0</v>
      </c>
      <c r="L170" s="609">
        <v>0</v>
      </c>
      <c r="M170" s="609">
        <v>0</v>
      </c>
      <c r="N170" s="587">
        <f t="shared" si="13"/>
        <v>0</v>
      </c>
      <c r="O170"/>
      <c r="P170" s="490"/>
      <c r="Q170" t="str">
        <f t="shared" si="14"/>
        <v>49100</v>
      </c>
      <c r="R170" s="126" t="str">
        <f t="shared" si="15"/>
        <v>TRANSFER FROM GENERAL FUND</v>
      </c>
      <c r="S170" s="125" t="str">
        <f t="shared" si="16"/>
        <v>114</v>
      </c>
      <c r="T170" s="125" t="str">
        <f t="shared" si="17"/>
        <v>00</v>
      </c>
      <c r="U170" s="125" t="str">
        <f t="shared" si="18"/>
        <v>000</v>
      </c>
      <c r="V170" s="125" t="str">
        <f>VLOOKUP(Q170,'GL Category'!A:C,3,FALSE)</f>
        <v>TRANSFERS IN</v>
      </c>
      <c r="W170" s="125"/>
    </row>
    <row r="171" spans="1:23" s="83" customFormat="1" ht="20.399999999999999" customHeight="1">
      <c r="A171" s="608" t="s">
        <v>1027</v>
      </c>
      <c r="B171" s="608" t="s">
        <v>3163</v>
      </c>
      <c r="C171" s="608" t="s">
        <v>84</v>
      </c>
      <c r="D171" s="609">
        <v>69</v>
      </c>
      <c r="E171" s="609">
        <v>0</v>
      </c>
      <c r="F171" s="609">
        <v>0</v>
      </c>
      <c r="G171" s="609">
        <v>0</v>
      </c>
      <c r="H171" s="609">
        <v>0</v>
      </c>
      <c r="I171" s="609">
        <v>0</v>
      </c>
      <c r="J171" s="609">
        <v>0</v>
      </c>
      <c r="K171" s="609">
        <v>0</v>
      </c>
      <c r="L171" s="609">
        <v>0</v>
      </c>
      <c r="M171" s="609">
        <v>0</v>
      </c>
      <c r="N171" s="587">
        <f t="shared" si="13"/>
        <v>0</v>
      </c>
      <c r="O171"/>
      <c r="P171" s="490"/>
      <c r="Q171" t="str">
        <f t="shared" si="14"/>
        <v>49999</v>
      </c>
      <c r="R171" s="126" t="str">
        <f t="shared" si="15"/>
        <v>USE OF FUND BALANCE</v>
      </c>
      <c r="S171" s="125" t="str">
        <f t="shared" si="16"/>
        <v>114</v>
      </c>
      <c r="T171" s="125" t="str">
        <f t="shared" si="17"/>
        <v>00</v>
      </c>
      <c r="U171" s="125" t="str">
        <f t="shared" si="18"/>
        <v>000</v>
      </c>
      <c r="V171" s="125" t="str">
        <f>VLOOKUP(Q171,'GL Category'!A:C,3,FALSE)</f>
        <v>TRANSFERS IN</v>
      </c>
      <c r="W171" s="125"/>
    </row>
    <row r="172" spans="1:23" s="83" customFormat="1" ht="20.399999999999999" customHeight="1">
      <c r="A172" s="608" t="s">
        <v>3147</v>
      </c>
      <c r="B172" s="608" t="s">
        <v>1779</v>
      </c>
      <c r="C172" s="608" t="s">
        <v>859</v>
      </c>
      <c r="D172" s="609">
        <v>0</v>
      </c>
      <c r="E172" s="609">
        <v>0</v>
      </c>
      <c r="F172" s="609">
        <v>0</v>
      </c>
      <c r="G172" s="609">
        <v>0</v>
      </c>
      <c r="H172" s="609">
        <v>0</v>
      </c>
      <c r="I172" s="609">
        <v>0</v>
      </c>
      <c r="J172" s="609">
        <v>0</v>
      </c>
      <c r="K172" s="609">
        <v>0</v>
      </c>
      <c r="L172" s="609">
        <v>0</v>
      </c>
      <c r="M172" s="609">
        <v>0</v>
      </c>
      <c r="N172" s="587">
        <f t="shared" si="13"/>
        <v>0</v>
      </c>
      <c r="O172"/>
      <c r="P172" s="490"/>
      <c r="Q172" t="str">
        <f t="shared" si="14"/>
        <v>41505</v>
      </c>
      <c r="R172" s="126" t="str">
        <f t="shared" si="15"/>
        <v>ANIMAL CONTROL MICROCHIP</v>
      </c>
      <c r="S172" s="125" t="str">
        <f t="shared" si="16"/>
        <v>115</v>
      </c>
      <c r="T172" s="125" t="str">
        <f t="shared" si="17"/>
        <v>00</v>
      </c>
      <c r="U172" s="125" t="str">
        <f t="shared" si="18"/>
        <v>000</v>
      </c>
      <c r="V172" s="125" t="str">
        <f>VLOOKUP(Q172,'GL Category'!A:C,3,FALSE)</f>
        <v>FINES AND FEES</v>
      </c>
      <c r="W172" s="125"/>
    </row>
    <row r="173" spans="1:23" s="83" customFormat="1" ht="20.399999999999999" customHeight="1">
      <c r="A173" s="608" t="s">
        <v>3147</v>
      </c>
      <c r="B173" s="608" t="s">
        <v>1780</v>
      </c>
      <c r="C173" s="608" t="s">
        <v>1103</v>
      </c>
      <c r="D173" s="609">
        <v>-61513.88</v>
      </c>
      <c r="E173" s="609">
        <v>-83907.23</v>
      </c>
      <c r="F173" s="609">
        <v>-120303.91</v>
      </c>
      <c r="G173" s="609">
        <v>0</v>
      </c>
      <c r="H173" s="609">
        <v>0</v>
      </c>
      <c r="I173" s="609">
        <v>-102421.99</v>
      </c>
      <c r="J173" s="609">
        <v>0</v>
      </c>
      <c r="K173" s="609">
        <v>0</v>
      </c>
      <c r="L173" s="609">
        <v>0</v>
      </c>
      <c r="M173" s="609">
        <v>0</v>
      </c>
      <c r="N173" s="587">
        <f t="shared" si="13"/>
        <v>0</v>
      </c>
      <c r="O173"/>
      <c r="P173" s="490"/>
      <c r="Q173" t="str">
        <f t="shared" si="14"/>
        <v>46172</v>
      </c>
      <c r="R173" s="126" t="str">
        <f t="shared" si="15"/>
        <v>I/G REV-KISD RESERVE OFFICER</v>
      </c>
      <c r="S173" s="125" t="str">
        <f t="shared" si="16"/>
        <v>115</v>
      </c>
      <c r="T173" s="125" t="str">
        <f t="shared" si="17"/>
        <v>00</v>
      </c>
      <c r="U173" s="125" t="str">
        <f t="shared" si="18"/>
        <v>000</v>
      </c>
      <c r="V173" s="125" t="str">
        <f>VLOOKUP(Q173,'GL Category'!A:C,3,FALSE)</f>
        <v>INTERGOVERNMENTAL</v>
      </c>
      <c r="W173" s="125"/>
    </row>
    <row r="174" spans="1:23" s="83" customFormat="1" ht="20.399999999999999" customHeight="1">
      <c r="A174" s="608" t="s">
        <v>3147</v>
      </c>
      <c r="B174" s="608" t="s">
        <v>1781</v>
      </c>
      <c r="C174" s="608" t="s">
        <v>488</v>
      </c>
      <c r="D174" s="609">
        <v>0</v>
      </c>
      <c r="E174" s="609">
        <v>0</v>
      </c>
      <c r="F174" s="609">
        <v>0</v>
      </c>
      <c r="G174" s="609">
        <v>0</v>
      </c>
      <c r="H174" s="609">
        <v>0</v>
      </c>
      <c r="I174" s="609">
        <v>0</v>
      </c>
      <c r="J174" s="609">
        <v>0</v>
      </c>
      <c r="K174" s="609">
        <v>0</v>
      </c>
      <c r="L174" s="609">
        <v>0</v>
      </c>
      <c r="M174" s="609">
        <v>0</v>
      </c>
      <c r="N174" s="587">
        <f t="shared" si="13"/>
        <v>0</v>
      </c>
      <c r="O174"/>
      <c r="P174" s="490"/>
      <c r="Q174" t="str">
        <f t="shared" si="14"/>
        <v>46515</v>
      </c>
      <c r="R174" s="126" t="str">
        <f t="shared" si="15"/>
        <v>GRANT-FED-BALLISTIC VESTS</v>
      </c>
      <c r="S174" s="125" t="str">
        <f t="shared" si="16"/>
        <v>115</v>
      </c>
      <c r="T174" s="125" t="str">
        <f t="shared" si="17"/>
        <v>00</v>
      </c>
      <c r="U174" s="125" t="str">
        <f t="shared" si="18"/>
        <v>000</v>
      </c>
      <c r="V174" s="125" t="str">
        <f>VLOOKUP(Q174,'GL Category'!A:C,3,FALSE)</f>
        <v>INTERGOVERNMENTAL</v>
      </c>
      <c r="W174" s="125"/>
    </row>
    <row r="175" spans="1:23" s="83" customFormat="1" ht="20.399999999999999" customHeight="1">
      <c r="A175" s="608" t="s">
        <v>3147</v>
      </c>
      <c r="B175" s="608" t="s">
        <v>1782</v>
      </c>
      <c r="C175" s="608" t="s">
        <v>889</v>
      </c>
      <c r="D175" s="609">
        <v>0</v>
      </c>
      <c r="E175" s="609">
        <v>0</v>
      </c>
      <c r="F175" s="609">
        <v>0</v>
      </c>
      <c r="G175" s="609">
        <v>0</v>
      </c>
      <c r="H175" s="609">
        <v>0</v>
      </c>
      <c r="I175" s="609">
        <v>0</v>
      </c>
      <c r="J175" s="609">
        <v>0</v>
      </c>
      <c r="K175" s="609">
        <v>0</v>
      </c>
      <c r="L175" s="609">
        <v>0</v>
      </c>
      <c r="M175" s="609">
        <v>0</v>
      </c>
      <c r="N175" s="587">
        <f t="shared" si="13"/>
        <v>0</v>
      </c>
      <c r="O175"/>
      <c r="P175" s="490"/>
      <c r="Q175" t="str">
        <f t="shared" si="14"/>
        <v>46530</v>
      </c>
      <c r="R175" s="126" t="str">
        <f t="shared" si="15"/>
        <v>GRANT-FED TXDOT</v>
      </c>
      <c r="S175" s="125" t="str">
        <f t="shared" si="16"/>
        <v>115</v>
      </c>
      <c r="T175" s="125" t="str">
        <f t="shared" si="17"/>
        <v>00</v>
      </c>
      <c r="U175" s="125" t="str">
        <f t="shared" si="18"/>
        <v>000</v>
      </c>
      <c r="V175" s="125" t="str">
        <f>VLOOKUP(Q175,'GL Category'!A:C,3,FALSE)</f>
        <v>INTERGOVERNMENTAL</v>
      </c>
      <c r="W175" s="125"/>
    </row>
    <row r="176" spans="1:23" s="83" customFormat="1" ht="20.399999999999999" customHeight="1">
      <c r="A176" s="608" t="s">
        <v>3147</v>
      </c>
      <c r="B176" s="608" t="s">
        <v>1783</v>
      </c>
      <c r="C176" s="608" t="s">
        <v>489</v>
      </c>
      <c r="D176" s="609">
        <v>0</v>
      </c>
      <c r="E176" s="609">
        <v>-30757.31</v>
      </c>
      <c r="F176" s="609">
        <v>-3378.4</v>
      </c>
      <c r="G176" s="609">
        <v>-3321.34</v>
      </c>
      <c r="H176" s="609">
        <v>0</v>
      </c>
      <c r="I176" s="609">
        <v>-8896.98</v>
      </c>
      <c r="J176" s="609">
        <v>0</v>
      </c>
      <c r="K176" s="609">
        <v>0</v>
      </c>
      <c r="L176" s="609">
        <v>0</v>
      </c>
      <c r="M176" s="609">
        <v>0</v>
      </c>
      <c r="N176" s="587">
        <f t="shared" si="13"/>
        <v>0</v>
      </c>
      <c r="O176"/>
      <c r="P176" s="490"/>
      <c r="Q176" t="str">
        <f t="shared" si="14"/>
        <v>46535</v>
      </c>
      <c r="R176" s="126" t="str">
        <f t="shared" si="15"/>
        <v>GRANT-FED</v>
      </c>
      <c r="S176" s="125" t="str">
        <f t="shared" si="16"/>
        <v>115</v>
      </c>
      <c r="T176" s="125" t="str">
        <f t="shared" si="17"/>
        <v>00</v>
      </c>
      <c r="U176" s="125" t="str">
        <f t="shared" si="18"/>
        <v>000</v>
      </c>
      <c r="V176" s="125" t="str">
        <f>VLOOKUP(Q176,'GL Category'!A:C,3,FALSE)</f>
        <v>INTERGOVERNMENTAL</v>
      </c>
      <c r="W176" s="125"/>
    </row>
    <row r="177" spans="1:24" s="83" customFormat="1" ht="20.100000000000001" customHeight="1">
      <c r="A177" s="608" t="s">
        <v>3147</v>
      </c>
      <c r="B177" s="608" t="s">
        <v>1787</v>
      </c>
      <c r="C177" s="608" t="s">
        <v>454</v>
      </c>
      <c r="D177" s="609">
        <v>-16442.990000000002</v>
      </c>
      <c r="E177" s="609">
        <v>0</v>
      </c>
      <c r="F177" s="609">
        <v>0</v>
      </c>
      <c r="G177" s="609">
        <v>0</v>
      </c>
      <c r="H177" s="609">
        <v>0</v>
      </c>
      <c r="I177" s="609">
        <v>0</v>
      </c>
      <c r="J177" s="609">
        <v>0</v>
      </c>
      <c r="K177" s="609">
        <v>0</v>
      </c>
      <c r="L177" s="609">
        <v>0</v>
      </c>
      <c r="M177" s="609">
        <v>0</v>
      </c>
      <c r="N177" s="587">
        <f t="shared" si="13"/>
        <v>0</v>
      </c>
      <c r="O177"/>
      <c r="P177" s="490"/>
      <c r="Q177" t="str">
        <f t="shared" si="14"/>
        <v>46600</v>
      </c>
      <c r="R177" s="126" t="str">
        <f t="shared" si="15"/>
        <v>GRANT-STATE</v>
      </c>
      <c r="S177" s="125" t="str">
        <f t="shared" si="16"/>
        <v>115</v>
      </c>
      <c r="T177" s="125" t="str">
        <f t="shared" si="17"/>
        <v>00</v>
      </c>
      <c r="U177" s="125" t="str">
        <f t="shared" si="18"/>
        <v>000</v>
      </c>
      <c r="V177" s="125" t="str">
        <f>VLOOKUP(Q177,'GL Category'!A:C,3,FALSE)</f>
        <v>INTERGOVERNMENTAL</v>
      </c>
      <c r="W177" s="125"/>
    </row>
    <row r="178" spans="1:24" s="83" customFormat="1" ht="20.100000000000001" customHeight="1">
      <c r="A178" s="608" t="s">
        <v>3147</v>
      </c>
      <c r="B178" s="608" t="s">
        <v>3524</v>
      </c>
      <c r="C178" s="608" t="s">
        <v>885</v>
      </c>
      <c r="D178" s="609">
        <v>-4632.12</v>
      </c>
      <c r="E178" s="609">
        <v>0</v>
      </c>
      <c r="F178" s="609">
        <v>0</v>
      </c>
      <c r="G178" s="609">
        <v>0</v>
      </c>
      <c r="H178" s="609">
        <v>0</v>
      </c>
      <c r="I178" s="609">
        <v>0</v>
      </c>
      <c r="J178" s="609">
        <v>0</v>
      </c>
      <c r="K178" s="609">
        <v>0</v>
      </c>
      <c r="L178" s="609">
        <v>0</v>
      </c>
      <c r="M178" s="609">
        <v>0</v>
      </c>
      <c r="N178" s="587">
        <f t="shared" si="13"/>
        <v>0</v>
      </c>
      <c r="O178"/>
      <c r="P178" s="490"/>
      <c r="Q178" t="str">
        <f t="shared" si="14"/>
        <v>46601</v>
      </c>
      <c r="R178" s="126" t="str">
        <f t="shared" si="15"/>
        <v>GRANT</v>
      </c>
      <c r="S178" s="125" t="str">
        <f t="shared" si="16"/>
        <v>115</v>
      </c>
      <c r="T178" s="125" t="str">
        <f t="shared" si="17"/>
        <v>00</v>
      </c>
      <c r="U178" s="125" t="str">
        <f t="shared" si="18"/>
        <v>000</v>
      </c>
      <c r="V178" s="125" t="e">
        <f>VLOOKUP(Q178,'GL Category'!A:C,3,FALSE)</f>
        <v>#N/A</v>
      </c>
      <c r="W178" s="125"/>
    </row>
    <row r="179" spans="1:24" s="83" customFormat="1" ht="20.100000000000001" customHeight="1">
      <c r="A179" s="608" t="s">
        <v>3147</v>
      </c>
      <c r="B179" s="608" t="s">
        <v>3524</v>
      </c>
      <c r="C179" s="608" t="s">
        <v>885</v>
      </c>
      <c r="D179" s="609">
        <v>-3721.19</v>
      </c>
      <c r="E179" s="609">
        <v>0</v>
      </c>
      <c r="F179" s="609">
        <v>0</v>
      </c>
      <c r="G179" s="609">
        <v>0</v>
      </c>
      <c r="H179" s="609">
        <v>0</v>
      </c>
      <c r="I179" s="609">
        <v>0</v>
      </c>
      <c r="J179" s="609">
        <v>0</v>
      </c>
      <c r="K179" s="609">
        <v>0</v>
      </c>
      <c r="L179" s="609">
        <v>0</v>
      </c>
      <c r="M179" s="609">
        <v>0</v>
      </c>
      <c r="N179" s="587">
        <f t="shared" si="13"/>
        <v>0</v>
      </c>
      <c r="O179"/>
      <c r="P179" s="490"/>
      <c r="Q179" t="str">
        <f t="shared" si="14"/>
        <v>46601</v>
      </c>
      <c r="R179" s="126" t="str">
        <f t="shared" si="15"/>
        <v>GRANT</v>
      </c>
      <c r="S179" s="125" t="str">
        <f t="shared" si="16"/>
        <v>115</v>
      </c>
      <c r="T179" s="125" t="str">
        <f t="shared" si="17"/>
        <v>00</v>
      </c>
      <c r="U179" s="125" t="str">
        <f t="shared" si="18"/>
        <v>000</v>
      </c>
      <c r="V179" s="125" t="e">
        <f>VLOOKUP(Q179,'GL Category'!A:C,3,FALSE)</f>
        <v>#N/A</v>
      </c>
      <c r="W179" s="125"/>
    </row>
    <row r="180" spans="1:24" s="541" customFormat="1" ht="20.100000000000001" customHeight="1">
      <c r="A180" s="608" t="s">
        <v>3147</v>
      </c>
      <c r="B180" s="608" t="s">
        <v>1785</v>
      </c>
      <c r="C180" s="608" t="s">
        <v>477</v>
      </c>
      <c r="D180" s="609">
        <v>0</v>
      </c>
      <c r="E180" s="609">
        <v>0</v>
      </c>
      <c r="F180" s="609">
        <v>0</v>
      </c>
      <c r="G180" s="609">
        <v>0</v>
      </c>
      <c r="H180" s="609">
        <v>0</v>
      </c>
      <c r="I180" s="609">
        <v>0</v>
      </c>
      <c r="J180" s="609">
        <v>0</v>
      </c>
      <c r="K180" s="609">
        <v>0</v>
      </c>
      <c r="L180" s="609">
        <v>0</v>
      </c>
      <c r="M180" s="609">
        <v>0</v>
      </c>
      <c r="N180" s="587">
        <f t="shared" si="13"/>
        <v>0</v>
      </c>
      <c r="O180"/>
      <c r="P180" s="490"/>
      <c r="Q180" t="str">
        <f t="shared" si="14"/>
        <v>46710</v>
      </c>
      <c r="R180" s="540" t="str">
        <f t="shared" si="15"/>
        <v>GRANT-LOCAL</v>
      </c>
      <c r="S180" s="538" t="str">
        <f t="shared" si="16"/>
        <v>115</v>
      </c>
      <c r="T180" s="125" t="str">
        <f t="shared" si="17"/>
        <v>00</v>
      </c>
      <c r="U180" s="125" t="str">
        <f t="shared" si="18"/>
        <v>000</v>
      </c>
      <c r="V180" s="538" t="str">
        <f>VLOOKUP(Q180,'GL Category'!A:C,3,FALSE)</f>
        <v>INTERGOVERNMENTAL</v>
      </c>
      <c r="W180" s="538"/>
      <c r="X180" s="83"/>
    </row>
    <row r="181" spans="1:24" s="541" customFormat="1" ht="20.100000000000001" customHeight="1">
      <c r="A181" s="608" t="s">
        <v>3147</v>
      </c>
      <c r="B181" s="608" t="s">
        <v>1786</v>
      </c>
      <c r="C181" s="608" t="s">
        <v>454</v>
      </c>
      <c r="D181" s="609">
        <v>0</v>
      </c>
      <c r="E181" s="609">
        <v>0</v>
      </c>
      <c r="F181" s="609">
        <v>0</v>
      </c>
      <c r="G181" s="609">
        <v>0</v>
      </c>
      <c r="H181" s="609">
        <v>0</v>
      </c>
      <c r="I181" s="609">
        <v>0</v>
      </c>
      <c r="J181" s="609">
        <v>0</v>
      </c>
      <c r="K181" s="609">
        <v>0</v>
      </c>
      <c r="L181" s="609">
        <v>0</v>
      </c>
      <c r="M181" s="609">
        <v>0</v>
      </c>
      <c r="N181" s="587">
        <f t="shared" si="13"/>
        <v>0</v>
      </c>
      <c r="O181"/>
      <c r="P181" s="490"/>
      <c r="Q181" t="str">
        <f t="shared" si="14"/>
        <v>46730</v>
      </c>
      <c r="R181" s="540" t="str">
        <f t="shared" si="15"/>
        <v>GRANT-STATE</v>
      </c>
      <c r="S181" s="538" t="str">
        <f t="shared" si="16"/>
        <v>115</v>
      </c>
      <c r="T181" s="125" t="str">
        <f t="shared" si="17"/>
        <v>00</v>
      </c>
      <c r="U181" s="125" t="str">
        <f t="shared" si="18"/>
        <v>000</v>
      </c>
      <c r="V181" s="538" t="str">
        <f>VLOOKUP(Q181,'GL Category'!A:C,3,FALSE)</f>
        <v>INTERGOVERNMENTAL</v>
      </c>
      <c r="W181" s="538"/>
      <c r="X181" s="83"/>
    </row>
    <row r="182" spans="1:24" s="83" customFormat="1" ht="20.100000000000001" customHeight="1">
      <c r="A182" s="608" t="s">
        <v>3147</v>
      </c>
      <c r="B182" s="608" t="s">
        <v>1784</v>
      </c>
      <c r="C182" s="608" t="s">
        <v>477</v>
      </c>
      <c r="D182" s="609">
        <v>0</v>
      </c>
      <c r="E182" s="609">
        <v>0</v>
      </c>
      <c r="F182" s="609">
        <v>0</v>
      </c>
      <c r="G182" s="609">
        <v>-3974.65</v>
      </c>
      <c r="H182" s="609">
        <v>0</v>
      </c>
      <c r="I182" s="609">
        <v>-2360.14</v>
      </c>
      <c r="J182" s="609">
        <v>0</v>
      </c>
      <c r="K182" s="609">
        <v>0</v>
      </c>
      <c r="L182" s="609">
        <v>0</v>
      </c>
      <c r="M182" s="609">
        <v>0</v>
      </c>
      <c r="N182" s="587">
        <f t="shared" si="13"/>
        <v>0</v>
      </c>
      <c r="O182"/>
      <c r="P182" s="490"/>
      <c r="Q182" t="str">
        <f t="shared" si="14"/>
        <v>46760</v>
      </c>
      <c r="R182" s="126" t="str">
        <f t="shared" si="15"/>
        <v>GRANT-LOCAL</v>
      </c>
      <c r="S182" s="125" t="str">
        <f t="shared" si="16"/>
        <v>115</v>
      </c>
      <c r="T182" s="125" t="str">
        <f t="shared" si="17"/>
        <v>00</v>
      </c>
      <c r="U182" s="125" t="str">
        <f t="shared" si="18"/>
        <v>000</v>
      </c>
      <c r="V182" s="125" t="str">
        <f>VLOOKUP(Q182,'GL Category'!A:C,3,FALSE)</f>
        <v>INTERGOVERNMENTAL</v>
      </c>
      <c r="W182" s="125"/>
    </row>
    <row r="183" spans="1:24" s="83" customFormat="1" ht="20.100000000000001" customHeight="1">
      <c r="A183" s="608" t="s">
        <v>3147</v>
      </c>
      <c r="B183" s="608" t="s">
        <v>3196</v>
      </c>
      <c r="C183" s="608" t="s">
        <v>421</v>
      </c>
      <c r="D183" s="609">
        <v>0</v>
      </c>
      <c r="E183" s="609">
        <v>0</v>
      </c>
      <c r="F183" s="609">
        <v>0</v>
      </c>
      <c r="G183" s="609">
        <v>0</v>
      </c>
      <c r="H183" s="609">
        <v>0</v>
      </c>
      <c r="I183" s="609">
        <v>-4836.09</v>
      </c>
      <c r="J183" s="609">
        <v>0</v>
      </c>
      <c r="K183" s="609">
        <v>0</v>
      </c>
      <c r="L183" s="609">
        <v>0</v>
      </c>
      <c r="M183" s="609">
        <v>0</v>
      </c>
      <c r="N183" s="587">
        <f t="shared" si="13"/>
        <v>0</v>
      </c>
      <c r="O183"/>
      <c r="P183" s="490"/>
      <c r="Q183" t="str">
        <f t="shared" si="14"/>
        <v>47010</v>
      </c>
      <c r="R183" s="126" t="str">
        <f t="shared" si="15"/>
        <v>MISCELLANEOUS REVENUE</v>
      </c>
      <c r="S183" s="125" t="str">
        <f t="shared" si="16"/>
        <v>115</v>
      </c>
      <c r="T183" s="125" t="str">
        <f t="shared" si="17"/>
        <v>00</v>
      </c>
      <c r="U183" s="125" t="str">
        <f t="shared" si="18"/>
        <v>000</v>
      </c>
      <c r="V183" s="125" t="str">
        <f>VLOOKUP(Q183,'GL Category'!A:C,3,FALSE)</f>
        <v>OTHER REVENUE</v>
      </c>
      <c r="W183" s="125"/>
    </row>
    <row r="184" spans="1:24" s="541" customFormat="1" ht="20.100000000000001" customHeight="1">
      <c r="A184" s="608" t="s">
        <v>3147</v>
      </c>
      <c r="B184" s="608" t="s">
        <v>1788</v>
      </c>
      <c r="C184" s="608" t="s">
        <v>422</v>
      </c>
      <c r="D184" s="609">
        <v>-1254.73</v>
      </c>
      <c r="E184" s="609">
        <v>-5287.9</v>
      </c>
      <c r="F184" s="609">
        <v>0</v>
      </c>
      <c r="G184" s="609">
        <v>0</v>
      </c>
      <c r="H184" s="609">
        <v>0</v>
      </c>
      <c r="I184" s="609">
        <v>0</v>
      </c>
      <c r="J184" s="609">
        <v>0</v>
      </c>
      <c r="K184" s="609">
        <v>0</v>
      </c>
      <c r="L184" s="609">
        <v>0</v>
      </c>
      <c r="M184" s="609">
        <v>0</v>
      </c>
      <c r="N184" s="587">
        <f t="shared" si="13"/>
        <v>0</v>
      </c>
      <c r="O184"/>
      <c r="P184" s="490"/>
      <c r="Q184" t="str">
        <f t="shared" si="14"/>
        <v>47020</v>
      </c>
      <c r="R184" s="540" t="str">
        <f t="shared" si="15"/>
        <v>AUCTION PROCEEDS</v>
      </c>
      <c r="S184" s="538" t="str">
        <f t="shared" si="16"/>
        <v>115</v>
      </c>
      <c r="T184" s="125" t="str">
        <f t="shared" si="17"/>
        <v>00</v>
      </c>
      <c r="U184" s="125" t="str">
        <f t="shared" si="18"/>
        <v>000</v>
      </c>
      <c r="V184" s="538" t="str">
        <f>VLOOKUP(Q184,'GL Category'!A:C,3,FALSE)</f>
        <v>OTHER REVENUE</v>
      </c>
      <c r="W184" s="538"/>
      <c r="X184" s="83"/>
    </row>
    <row r="185" spans="1:24" s="83" customFormat="1" ht="20.100000000000001" customHeight="1">
      <c r="A185" s="608" t="s">
        <v>3147</v>
      </c>
      <c r="B185" s="608" t="s">
        <v>1789</v>
      </c>
      <c r="C185" s="608" t="s">
        <v>423</v>
      </c>
      <c r="D185" s="609">
        <v>-3322.02</v>
      </c>
      <c r="E185" s="609">
        <v>-3969.73</v>
      </c>
      <c r="F185" s="609">
        <v>-449.97</v>
      </c>
      <c r="G185" s="609">
        <v>-6969.74</v>
      </c>
      <c r="H185" s="609">
        <v>0</v>
      </c>
      <c r="I185" s="609">
        <v>-11265.17</v>
      </c>
      <c r="J185" s="609">
        <v>0</v>
      </c>
      <c r="K185" s="609">
        <v>0</v>
      </c>
      <c r="L185" s="609">
        <v>0</v>
      </c>
      <c r="M185" s="609">
        <v>0</v>
      </c>
      <c r="N185" s="587">
        <f t="shared" si="13"/>
        <v>0</v>
      </c>
      <c r="O185"/>
      <c r="P185" s="490"/>
      <c r="Q185" t="str">
        <f t="shared" si="14"/>
        <v>47090</v>
      </c>
      <c r="R185" s="126" t="str">
        <f t="shared" si="15"/>
        <v>INTEREST REVENUE-INVESTMENTS</v>
      </c>
      <c r="S185" s="125" t="str">
        <f t="shared" si="16"/>
        <v>115</v>
      </c>
      <c r="T185" s="125" t="str">
        <f t="shared" si="17"/>
        <v>00</v>
      </c>
      <c r="U185" s="125" t="str">
        <f t="shared" si="18"/>
        <v>000</v>
      </c>
      <c r="V185" s="125" t="str">
        <f>VLOOKUP(Q185,'GL Category'!A:C,3,FALSE)</f>
        <v>OTHER REVENUE</v>
      </c>
      <c r="W185" s="125"/>
    </row>
    <row r="186" spans="1:24" s="83" customFormat="1" ht="20.100000000000001" customHeight="1">
      <c r="A186" s="608" t="s">
        <v>3147</v>
      </c>
      <c r="B186" s="608" t="s">
        <v>1790</v>
      </c>
      <c r="C186" s="608" t="s">
        <v>827</v>
      </c>
      <c r="D186" s="609">
        <v>0</v>
      </c>
      <c r="E186" s="609">
        <v>0</v>
      </c>
      <c r="F186" s="609">
        <v>0</v>
      </c>
      <c r="G186" s="609">
        <v>0</v>
      </c>
      <c r="H186" s="609">
        <v>0</v>
      </c>
      <c r="I186" s="609">
        <v>0</v>
      </c>
      <c r="J186" s="609">
        <v>0</v>
      </c>
      <c r="K186" s="609">
        <v>0</v>
      </c>
      <c r="L186" s="609">
        <v>0</v>
      </c>
      <c r="M186" s="609">
        <v>0</v>
      </c>
      <c r="N186" s="587">
        <f t="shared" si="13"/>
        <v>0</v>
      </c>
      <c r="O186"/>
      <c r="P186" s="490"/>
      <c r="Q186" t="str">
        <f t="shared" si="14"/>
        <v>47099</v>
      </c>
      <c r="R186" s="126" t="str">
        <f t="shared" si="15"/>
        <v>INCR/DECR IN FAIR VALUE OF INV</v>
      </c>
      <c r="S186" s="125" t="str">
        <f t="shared" si="16"/>
        <v>115</v>
      </c>
      <c r="T186" s="125" t="str">
        <f t="shared" si="17"/>
        <v>00</v>
      </c>
      <c r="U186" s="125" t="str">
        <f t="shared" si="18"/>
        <v>000</v>
      </c>
      <c r="V186" s="125" t="str">
        <f>VLOOKUP(Q186,'GL Category'!A:C,3,FALSE)</f>
        <v>OTHER REVENUE</v>
      </c>
      <c r="W186" s="125"/>
    </row>
    <row r="187" spans="1:24" s="541" customFormat="1" ht="20.399999999999999" customHeight="1">
      <c r="A187" s="608" t="s">
        <v>3147</v>
      </c>
      <c r="B187" s="608" t="s">
        <v>1791</v>
      </c>
      <c r="C187" s="608" t="s">
        <v>893</v>
      </c>
      <c r="D187" s="609">
        <v>12105.18</v>
      </c>
      <c r="E187" s="609">
        <v>-67968.42</v>
      </c>
      <c r="F187" s="609">
        <v>-15453.21</v>
      </c>
      <c r="G187" s="609">
        <v>-882.07</v>
      </c>
      <c r="H187" s="609">
        <v>0</v>
      </c>
      <c r="I187" s="609">
        <v>-425.98</v>
      </c>
      <c r="J187" s="609">
        <v>0</v>
      </c>
      <c r="K187" s="609">
        <v>0</v>
      </c>
      <c r="L187" s="609">
        <v>0</v>
      </c>
      <c r="M187" s="609">
        <v>0</v>
      </c>
      <c r="N187" s="587">
        <f t="shared" si="13"/>
        <v>0</v>
      </c>
      <c r="O187"/>
      <c r="P187" s="490"/>
      <c r="Q187" t="str">
        <f t="shared" si="14"/>
        <v>47210</v>
      </c>
      <c r="R187" s="540" t="str">
        <f t="shared" si="15"/>
        <v>PROPERTY FORFEITURE</v>
      </c>
      <c r="S187" s="538" t="str">
        <f t="shared" si="16"/>
        <v>115</v>
      </c>
      <c r="T187" s="125" t="str">
        <f t="shared" si="17"/>
        <v>00</v>
      </c>
      <c r="U187" s="125" t="str">
        <f t="shared" si="18"/>
        <v>000</v>
      </c>
      <c r="V187" s="538" t="str">
        <f>VLOOKUP(Q187,'GL Category'!A:C,3,FALSE)</f>
        <v>OTHER REVENUE</v>
      </c>
      <c r="W187" s="538"/>
      <c r="X187" s="83"/>
    </row>
    <row r="188" spans="1:24" s="83" customFormat="1" ht="20.399999999999999" customHeight="1">
      <c r="A188" s="608" t="s">
        <v>3147</v>
      </c>
      <c r="B188" s="608" t="s">
        <v>3331</v>
      </c>
      <c r="C188" s="608" t="s">
        <v>3148</v>
      </c>
      <c r="D188" s="609">
        <v>0</v>
      </c>
      <c r="E188" s="609">
        <v>-100</v>
      </c>
      <c r="F188" s="609">
        <v>-650</v>
      </c>
      <c r="G188" s="609">
        <v>0</v>
      </c>
      <c r="H188" s="609">
        <v>0</v>
      </c>
      <c r="I188" s="609">
        <v>0</v>
      </c>
      <c r="J188" s="609">
        <v>0</v>
      </c>
      <c r="K188" s="609">
        <v>0</v>
      </c>
      <c r="L188" s="609">
        <v>0</v>
      </c>
      <c r="M188" s="609">
        <v>0</v>
      </c>
      <c r="N188" s="587">
        <f t="shared" si="13"/>
        <v>0</v>
      </c>
      <c r="O188"/>
      <c r="P188" s="490"/>
      <c r="Q188" t="str">
        <f t="shared" si="14"/>
        <v>48561</v>
      </c>
      <c r="R188" s="126" t="str">
        <f t="shared" si="15"/>
        <v>DONATIONS-PD SPECIAL EVENTS</v>
      </c>
      <c r="S188" s="125" t="str">
        <f t="shared" si="16"/>
        <v>115</v>
      </c>
      <c r="T188" s="125" t="str">
        <f t="shared" si="17"/>
        <v>00</v>
      </c>
      <c r="U188" s="125" t="str">
        <f t="shared" si="18"/>
        <v>000</v>
      </c>
      <c r="V188" s="125" t="str">
        <f>VLOOKUP(Q188,'GL Category'!A:C,3,FALSE)</f>
        <v>REVENUE</v>
      </c>
      <c r="W188" s="125"/>
    </row>
    <row r="189" spans="1:24" s="83" customFormat="1" ht="20.399999999999999" customHeight="1">
      <c r="A189" s="608" t="s">
        <v>3147</v>
      </c>
      <c r="B189" s="608" t="s">
        <v>3332</v>
      </c>
      <c r="C189" s="608" t="s">
        <v>490</v>
      </c>
      <c r="D189" s="609">
        <v>-1754.91</v>
      </c>
      <c r="E189" s="609">
        <v>-390</v>
      </c>
      <c r="F189" s="609">
        <v>0</v>
      </c>
      <c r="G189" s="609">
        <v>-250</v>
      </c>
      <c r="H189" s="609">
        <v>0</v>
      </c>
      <c r="I189" s="609">
        <v>0</v>
      </c>
      <c r="J189" s="609">
        <v>0</v>
      </c>
      <c r="K189" s="609">
        <v>0</v>
      </c>
      <c r="L189" s="609">
        <v>0</v>
      </c>
      <c r="M189" s="609">
        <v>0</v>
      </c>
      <c r="N189" s="587">
        <f t="shared" si="13"/>
        <v>0</v>
      </c>
      <c r="O189"/>
      <c r="P189" s="490"/>
      <c r="Q189" t="str">
        <f t="shared" si="14"/>
        <v>48562</v>
      </c>
      <c r="R189" s="126" t="str">
        <f t="shared" si="15"/>
        <v>DONATIONS-ANIMAL CONTROL</v>
      </c>
      <c r="S189" s="125" t="str">
        <f t="shared" si="16"/>
        <v>115</v>
      </c>
      <c r="T189" s="125" t="str">
        <f t="shared" si="17"/>
        <v>00</v>
      </c>
      <c r="U189" s="125" t="str">
        <f t="shared" si="18"/>
        <v>000</v>
      </c>
      <c r="V189" s="125" t="str">
        <f>VLOOKUP(Q189,'GL Category'!A:C,3,FALSE)</f>
        <v>REVENUE</v>
      </c>
      <c r="W189" s="125"/>
    </row>
    <row r="190" spans="1:24" s="83" customFormat="1" ht="20.399999999999999" customHeight="1">
      <c r="A190" s="608" t="s">
        <v>3147</v>
      </c>
      <c r="B190" s="608" t="s">
        <v>3333</v>
      </c>
      <c r="C190" s="608" t="s">
        <v>492</v>
      </c>
      <c r="D190" s="609">
        <v>0</v>
      </c>
      <c r="E190" s="609">
        <v>-1000</v>
      </c>
      <c r="F190" s="609">
        <v>0</v>
      </c>
      <c r="G190" s="609">
        <v>0</v>
      </c>
      <c r="H190" s="609">
        <v>0</v>
      </c>
      <c r="I190" s="609">
        <v>0</v>
      </c>
      <c r="J190" s="609">
        <v>0</v>
      </c>
      <c r="K190" s="609">
        <v>0</v>
      </c>
      <c r="L190" s="609">
        <v>0</v>
      </c>
      <c r="M190" s="609">
        <v>0</v>
      </c>
      <c r="N190" s="587">
        <f t="shared" si="13"/>
        <v>0</v>
      </c>
      <c r="O190"/>
      <c r="P190" s="490"/>
      <c r="Q190" t="str">
        <f t="shared" si="14"/>
        <v>48563</v>
      </c>
      <c r="R190" s="126" t="str">
        <f t="shared" si="15"/>
        <v>DONATIONS-FIRE</v>
      </c>
      <c r="S190" s="125" t="str">
        <f t="shared" si="16"/>
        <v>115</v>
      </c>
      <c r="T190" s="125" t="str">
        <f t="shared" si="17"/>
        <v>00</v>
      </c>
      <c r="U190" s="125" t="str">
        <f t="shared" si="18"/>
        <v>000</v>
      </c>
      <c r="V190" s="125" t="str">
        <f>VLOOKUP(Q190,'GL Category'!A:C,3,FALSE)</f>
        <v>REVENUE</v>
      </c>
      <c r="W190" s="125"/>
    </row>
    <row r="191" spans="1:24" s="83" customFormat="1" ht="20.399999999999999" customHeight="1">
      <c r="A191" s="608" t="s">
        <v>3147</v>
      </c>
      <c r="B191" s="608" t="s">
        <v>3333</v>
      </c>
      <c r="C191" s="608" t="s">
        <v>492</v>
      </c>
      <c r="D191" s="609">
        <v>0</v>
      </c>
      <c r="E191" s="609">
        <v>0</v>
      </c>
      <c r="F191" s="609">
        <v>0</v>
      </c>
      <c r="G191" s="609">
        <v>-7000</v>
      </c>
      <c r="H191" s="609">
        <v>0</v>
      </c>
      <c r="I191" s="609">
        <v>-13420</v>
      </c>
      <c r="J191" s="609">
        <v>0</v>
      </c>
      <c r="K191" s="609">
        <v>0</v>
      </c>
      <c r="L191" s="609">
        <v>0</v>
      </c>
      <c r="M191" s="609">
        <v>0</v>
      </c>
      <c r="N191" s="587">
        <f t="shared" si="13"/>
        <v>0</v>
      </c>
      <c r="O191"/>
      <c r="P191" s="490"/>
      <c r="Q191" t="str">
        <f t="shared" si="14"/>
        <v>48563</v>
      </c>
      <c r="R191" s="126" t="str">
        <f t="shared" si="15"/>
        <v>DONATIONS-FIRE</v>
      </c>
      <c r="S191" s="125" t="str">
        <f t="shared" si="16"/>
        <v>115</v>
      </c>
      <c r="T191" s="125" t="str">
        <f t="shared" si="17"/>
        <v>00</v>
      </c>
      <c r="U191" s="125" t="str">
        <f t="shared" si="18"/>
        <v>000</v>
      </c>
      <c r="V191" s="125" t="str">
        <f>VLOOKUP(Q191,'GL Category'!A:C,3,FALSE)</f>
        <v>REVENUE</v>
      </c>
      <c r="W191" s="125"/>
    </row>
    <row r="192" spans="1:24" s="83" customFormat="1" ht="20.399999999999999" customHeight="1">
      <c r="A192" s="608" t="s">
        <v>3147</v>
      </c>
      <c r="B192" s="608" t="s">
        <v>3334</v>
      </c>
      <c r="C192" s="608" t="s">
        <v>491</v>
      </c>
      <c r="D192" s="609">
        <v>0</v>
      </c>
      <c r="E192" s="609">
        <v>-2818.39</v>
      </c>
      <c r="F192" s="609">
        <v>-1216.96</v>
      </c>
      <c r="G192" s="609">
        <v>-1735.74</v>
      </c>
      <c r="H192" s="609">
        <v>0</v>
      </c>
      <c r="I192" s="609">
        <v>-330.85</v>
      </c>
      <c r="J192" s="609">
        <v>0</v>
      </c>
      <c r="K192" s="609">
        <v>0</v>
      </c>
      <c r="L192" s="609">
        <v>0</v>
      </c>
      <c r="M192" s="609">
        <v>0</v>
      </c>
      <c r="N192" s="587">
        <f t="shared" si="13"/>
        <v>0</v>
      </c>
      <c r="O192"/>
      <c r="P192" s="490"/>
      <c r="Q192" t="str">
        <f t="shared" si="14"/>
        <v>48571</v>
      </c>
      <c r="R192" s="126" t="str">
        <f t="shared" si="15"/>
        <v>DONATIONS-POLICE</v>
      </c>
      <c r="S192" s="125" t="str">
        <f t="shared" si="16"/>
        <v>115</v>
      </c>
      <c r="T192" s="125" t="str">
        <f t="shared" si="17"/>
        <v>00</v>
      </c>
      <c r="U192" s="125" t="str">
        <f t="shared" si="18"/>
        <v>000</v>
      </c>
      <c r="V192" s="125" t="str">
        <f>VLOOKUP(Q192,'GL Category'!A:C,3,FALSE)</f>
        <v>REVENUE</v>
      </c>
      <c r="W192" s="125"/>
    </row>
    <row r="193" spans="1:23" s="83" customFormat="1" ht="20.399999999999999" customHeight="1">
      <c r="A193" s="608" t="s">
        <v>3147</v>
      </c>
      <c r="B193" s="608" t="s">
        <v>1795</v>
      </c>
      <c r="C193" s="608" t="s">
        <v>487</v>
      </c>
      <c r="D193" s="609">
        <v>0</v>
      </c>
      <c r="E193" s="609">
        <v>0</v>
      </c>
      <c r="F193" s="609">
        <v>0</v>
      </c>
      <c r="G193" s="609">
        <v>0</v>
      </c>
      <c r="H193" s="609">
        <v>0</v>
      </c>
      <c r="I193" s="609">
        <v>0</v>
      </c>
      <c r="J193" s="609">
        <v>0</v>
      </c>
      <c r="K193" s="609">
        <v>0</v>
      </c>
      <c r="L193" s="609">
        <v>0</v>
      </c>
      <c r="M193" s="609">
        <v>0</v>
      </c>
      <c r="N193" s="587">
        <f t="shared" si="13"/>
        <v>0</v>
      </c>
      <c r="O193"/>
      <c r="P193" s="490"/>
      <c r="Q193" t="str">
        <f t="shared" si="14"/>
        <v>48585</v>
      </c>
      <c r="R193" s="126" t="str">
        <f t="shared" si="15"/>
        <v>DONATIONS-VETERANS MEMORIAL</v>
      </c>
      <c r="S193" s="125" t="str">
        <f t="shared" si="16"/>
        <v>115</v>
      </c>
      <c r="T193" s="125" t="str">
        <f t="shared" si="17"/>
        <v>00</v>
      </c>
      <c r="U193" s="125" t="str">
        <f t="shared" si="18"/>
        <v>000</v>
      </c>
      <c r="V193" s="125" t="str">
        <f>VLOOKUP(Q193,'GL Category'!A:C,3,FALSE)</f>
        <v>OTHER REVENUE</v>
      </c>
      <c r="W193" s="125"/>
    </row>
    <row r="194" spans="1:23" s="83" customFormat="1" ht="20.399999999999999" customHeight="1">
      <c r="A194" s="608" t="s">
        <v>3147</v>
      </c>
      <c r="B194" s="608" t="s">
        <v>1796</v>
      </c>
      <c r="C194" s="608" t="s">
        <v>512</v>
      </c>
      <c r="D194" s="609">
        <v>0</v>
      </c>
      <c r="E194" s="609">
        <v>0</v>
      </c>
      <c r="F194" s="609">
        <v>0</v>
      </c>
      <c r="G194" s="609">
        <v>0</v>
      </c>
      <c r="H194" s="609">
        <v>0</v>
      </c>
      <c r="I194" s="609">
        <v>0</v>
      </c>
      <c r="J194" s="609">
        <v>0</v>
      </c>
      <c r="K194" s="609">
        <v>0</v>
      </c>
      <c r="L194" s="609">
        <v>0</v>
      </c>
      <c r="M194" s="609">
        <v>0</v>
      </c>
      <c r="N194" s="587">
        <f t="shared" si="13"/>
        <v>0</v>
      </c>
      <c r="O194"/>
      <c r="P194" s="490"/>
      <c r="Q194" t="str">
        <f t="shared" si="14"/>
        <v>49100</v>
      </c>
      <c r="R194" s="126" t="str">
        <f t="shared" si="15"/>
        <v>TRANSFER FROM GENERAL FUND</v>
      </c>
      <c r="S194" s="125" t="str">
        <f t="shared" si="16"/>
        <v>115</v>
      </c>
      <c r="T194" s="125" t="str">
        <f t="shared" si="17"/>
        <v>00</v>
      </c>
      <c r="U194" s="125" t="str">
        <f t="shared" si="18"/>
        <v>000</v>
      </c>
      <c r="V194" s="125" t="str">
        <f>VLOOKUP(Q194,'GL Category'!A:C,3,FALSE)</f>
        <v>TRANSFERS IN</v>
      </c>
      <c r="W194" s="125"/>
    </row>
    <row r="195" spans="1:23" s="83" customFormat="1" ht="20.399999999999999" customHeight="1">
      <c r="A195" s="608" t="s">
        <v>3147</v>
      </c>
      <c r="B195" s="608" t="s">
        <v>1797</v>
      </c>
      <c r="C195" s="608" t="s">
        <v>84</v>
      </c>
      <c r="D195" s="609">
        <v>33</v>
      </c>
      <c r="E195" s="609">
        <v>0</v>
      </c>
      <c r="F195" s="609">
        <v>0</v>
      </c>
      <c r="G195" s="609">
        <v>0</v>
      </c>
      <c r="H195" s="609">
        <v>0</v>
      </c>
      <c r="I195" s="609">
        <v>0</v>
      </c>
      <c r="J195" s="609">
        <v>0</v>
      </c>
      <c r="K195" s="609">
        <v>0</v>
      </c>
      <c r="L195" s="609">
        <v>0</v>
      </c>
      <c r="M195" s="609">
        <v>0</v>
      </c>
      <c r="N195" s="587">
        <f t="shared" si="13"/>
        <v>0</v>
      </c>
      <c r="O195"/>
      <c r="P195" s="490"/>
      <c r="Q195" t="str">
        <f t="shared" si="14"/>
        <v>49999</v>
      </c>
      <c r="R195" s="126" t="str">
        <f t="shared" si="15"/>
        <v>USE OF FUND BALANCE</v>
      </c>
      <c r="S195" s="125" t="str">
        <f t="shared" si="16"/>
        <v>115</v>
      </c>
      <c r="T195" s="125" t="str">
        <f t="shared" si="17"/>
        <v>00</v>
      </c>
      <c r="U195" s="125" t="str">
        <f t="shared" si="18"/>
        <v>000</v>
      </c>
      <c r="V195" s="125" t="str">
        <f>VLOOKUP(Q195,'GL Category'!A:C,3,FALSE)</f>
        <v>TRANSFERS IN</v>
      </c>
      <c r="W195" s="125"/>
    </row>
    <row r="196" spans="1:23" s="83" customFormat="1" ht="20.399999999999999" customHeight="1">
      <c r="A196" s="608" t="s">
        <v>1028</v>
      </c>
      <c r="B196" s="608" t="s">
        <v>1942</v>
      </c>
      <c r="C196" s="608" t="s">
        <v>447</v>
      </c>
      <c r="D196" s="609">
        <v>-61259.57</v>
      </c>
      <c r="E196" s="609">
        <v>-50279</v>
      </c>
      <c r="F196" s="609">
        <v>-42893.48</v>
      </c>
      <c r="G196" s="609">
        <v>-35638.160000000003</v>
      </c>
      <c r="H196" s="609">
        <v>-36503</v>
      </c>
      <c r="I196" s="609">
        <v>-14960.01</v>
      </c>
      <c r="J196" s="609">
        <v>-31548</v>
      </c>
      <c r="K196" s="609">
        <v>-31548</v>
      </c>
      <c r="L196" s="609">
        <v>0</v>
      </c>
      <c r="M196" s="609">
        <v>0</v>
      </c>
      <c r="N196" s="587">
        <f t="shared" ref="N196:N259" si="19">SUM(K196:M196)</f>
        <v>-31548</v>
      </c>
      <c r="O196"/>
      <c r="P196" s="490"/>
      <c r="Q196" t="str">
        <f t="shared" ref="Q196:Q259" si="20">MID(B196,12,5)</f>
        <v>40320</v>
      </c>
      <c r="R196" s="126" t="str">
        <f t="shared" ref="R196:R259" si="21">C196</f>
        <v>FRANCHISE FEES-VERIZON</v>
      </c>
      <c r="S196" s="125" t="str">
        <f t="shared" ref="S196:S259" si="22">LEFT(B196,3)</f>
        <v>116</v>
      </c>
      <c r="T196" s="125" t="str">
        <f t="shared" ref="T196:T259" si="23">MID(B196,5,2)</f>
        <v>00</v>
      </c>
      <c r="U196" s="125" t="str">
        <f t="shared" ref="U196:U259" si="24">MID(B196,8,3)</f>
        <v>000</v>
      </c>
      <c r="V196" s="125" t="str">
        <f>VLOOKUP(Q196,'GL Category'!A:C,3,FALSE)</f>
        <v>OTHER TAXES</v>
      </c>
      <c r="W196" s="125"/>
    </row>
    <row r="197" spans="1:23" s="83" customFormat="1" ht="20.399999999999999" customHeight="1">
      <c r="A197" s="608" t="s">
        <v>1028</v>
      </c>
      <c r="B197" s="608" t="s">
        <v>1943</v>
      </c>
      <c r="C197" s="608" t="s">
        <v>448</v>
      </c>
      <c r="D197" s="609">
        <v>-38019.26</v>
      </c>
      <c r="E197" s="609">
        <v>-40663.26</v>
      </c>
      <c r="F197" s="609">
        <v>-41080.67</v>
      </c>
      <c r="G197" s="609">
        <v>-38258.83</v>
      </c>
      <c r="H197" s="609">
        <v>-39785</v>
      </c>
      <c r="I197" s="609">
        <v>-16429.34</v>
      </c>
      <c r="J197" s="609">
        <v>-32744</v>
      </c>
      <c r="K197" s="609">
        <v>-32744</v>
      </c>
      <c r="L197" s="609">
        <v>0</v>
      </c>
      <c r="M197" s="609">
        <v>0</v>
      </c>
      <c r="N197" s="587">
        <f t="shared" si="19"/>
        <v>-32744</v>
      </c>
      <c r="O197"/>
      <c r="P197" s="490"/>
      <c r="Q197" t="str">
        <f t="shared" si="20"/>
        <v>40340</v>
      </c>
      <c r="R197" s="126" t="str">
        <f t="shared" si="21"/>
        <v>FRANCHISE FEES-TV CABLE</v>
      </c>
      <c r="S197" s="125" t="str">
        <f t="shared" si="22"/>
        <v>116</v>
      </c>
      <c r="T197" s="125" t="str">
        <f t="shared" si="23"/>
        <v>00</v>
      </c>
      <c r="U197" s="125" t="str">
        <f t="shared" si="24"/>
        <v>000</v>
      </c>
      <c r="V197" s="125" t="str">
        <f>VLOOKUP(Q197,'GL Category'!A:C,3,FALSE)</f>
        <v>OTHER TAXES</v>
      </c>
      <c r="W197" s="125"/>
    </row>
    <row r="198" spans="1:23" s="83" customFormat="1" ht="20.399999999999999" customHeight="1">
      <c r="A198" s="608" t="s">
        <v>1028</v>
      </c>
      <c r="B198" s="608" t="s">
        <v>1944</v>
      </c>
      <c r="C198" s="608" t="s">
        <v>850</v>
      </c>
      <c r="D198" s="609">
        <v>-9480.7000000000007</v>
      </c>
      <c r="E198" s="609">
        <v>-8128.35</v>
      </c>
      <c r="F198" s="609">
        <v>0</v>
      </c>
      <c r="G198" s="609">
        <v>-9567.4</v>
      </c>
      <c r="H198" s="609">
        <v>-4208</v>
      </c>
      <c r="I198" s="609">
        <v>-3290.64</v>
      </c>
      <c r="J198" s="609">
        <v>-3291</v>
      </c>
      <c r="K198" s="609">
        <v>-3291</v>
      </c>
      <c r="L198" s="609">
        <v>0</v>
      </c>
      <c r="M198" s="609">
        <v>0</v>
      </c>
      <c r="N198" s="587">
        <f t="shared" si="19"/>
        <v>-3291</v>
      </c>
      <c r="O198"/>
      <c r="P198" s="490"/>
      <c r="Q198" t="str">
        <f t="shared" si="20"/>
        <v>40350</v>
      </c>
      <c r="R198" s="126" t="str">
        <f t="shared" si="21"/>
        <v>FRANCHISE FEES-AT&amp;T</v>
      </c>
      <c r="S198" s="125" t="str">
        <f t="shared" si="22"/>
        <v>116</v>
      </c>
      <c r="T198" s="125" t="str">
        <f t="shared" si="23"/>
        <v>00</v>
      </c>
      <c r="U198" s="125" t="str">
        <f t="shared" si="24"/>
        <v>000</v>
      </c>
      <c r="V198" s="125" t="str">
        <f>VLOOKUP(Q198,'GL Category'!A:C,3,FALSE)</f>
        <v>OTHER TAXES</v>
      </c>
      <c r="W198" s="125"/>
    </row>
    <row r="199" spans="1:23" s="83" customFormat="1" ht="20.399999999999999" customHeight="1">
      <c r="A199" s="608" t="s">
        <v>1028</v>
      </c>
      <c r="B199" s="608" t="s">
        <v>1945</v>
      </c>
      <c r="C199" s="608" t="s">
        <v>450</v>
      </c>
      <c r="D199" s="609">
        <v>-3457.33</v>
      </c>
      <c r="E199" s="609">
        <v>-2864.28</v>
      </c>
      <c r="F199" s="609">
        <v>-2499.67</v>
      </c>
      <c r="G199" s="609">
        <v>-2063.7600000000002</v>
      </c>
      <c r="H199" s="609">
        <v>-622</v>
      </c>
      <c r="I199" s="609">
        <v>-459.19</v>
      </c>
      <c r="J199" s="609">
        <v>-1237</v>
      </c>
      <c r="K199" s="609">
        <v>-900</v>
      </c>
      <c r="L199" s="609">
        <v>0</v>
      </c>
      <c r="M199" s="609">
        <v>0</v>
      </c>
      <c r="N199" s="587">
        <f t="shared" si="19"/>
        <v>-900</v>
      </c>
      <c r="O199"/>
      <c r="P199" s="490"/>
      <c r="Q199" t="str">
        <f t="shared" si="20"/>
        <v>40391</v>
      </c>
      <c r="R199" s="126" t="str">
        <f t="shared" si="21"/>
        <v>FRANCHISE FEE-ONE SOURCE COMM</v>
      </c>
      <c r="S199" s="125" t="str">
        <f t="shared" si="22"/>
        <v>116</v>
      </c>
      <c r="T199" s="125" t="str">
        <f t="shared" si="23"/>
        <v>00</v>
      </c>
      <c r="U199" s="125" t="str">
        <f t="shared" si="24"/>
        <v>000</v>
      </c>
      <c r="V199" s="125" t="str">
        <f>VLOOKUP(Q199,'GL Category'!A:C,3,FALSE)</f>
        <v>OTHER TAXES</v>
      </c>
      <c r="W199" s="125"/>
    </row>
    <row r="200" spans="1:23" s="83" customFormat="1" ht="20.399999999999999" customHeight="1">
      <c r="A200" s="608" t="s">
        <v>1028</v>
      </c>
      <c r="B200" s="608" t="s">
        <v>3335</v>
      </c>
      <c r="C200" s="608" t="s">
        <v>397</v>
      </c>
      <c r="D200" s="609">
        <v>0</v>
      </c>
      <c r="E200" s="609">
        <v>-2496.23</v>
      </c>
      <c r="F200" s="609">
        <v>0</v>
      </c>
      <c r="G200" s="609">
        <v>0</v>
      </c>
      <c r="H200" s="609">
        <v>0</v>
      </c>
      <c r="I200" s="609">
        <v>0</v>
      </c>
      <c r="J200" s="609">
        <v>0</v>
      </c>
      <c r="K200" s="609">
        <v>0</v>
      </c>
      <c r="L200" s="609">
        <v>0</v>
      </c>
      <c r="M200" s="609">
        <v>0</v>
      </c>
      <c r="N200" s="587">
        <f t="shared" si="19"/>
        <v>0</v>
      </c>
      <c r="O200"/>
      <c r="P200" s="490"/>
      <c r="Q200" t="str">
        <f t="shared" si="20"/>
        <v>40399</v>
      </c>
      <c r="R200" s="126" t="str">
        <f t="shared" si="21"/>
        <v>FRANCHISE FEES-OTHER MISC</v>
      </c>
      <c r="S200" s="125" t="str">
        <f t="shared" si="22"/>
        <v>116</v>
      </c>
      <c r="T200" s="125" t="str">
        <f t="shared" si="23"/>
        <v>00</v>
      </c>
      <c r="U200" s="125" t="str">
        <f t="shared" si="24"/>
        <v>000</v>
      </c>
      <c r="V200" s="125" t="str">
        <f>VLOOKUP(Q200,'GL Category'!A:C,3,FALSE)</f>
        <v>OTHER TAXES</v>
      </c>
      <c r="W200" s="125"/>
    </row>
    <row r="201" spans="1:23" s="83" customFormat="1" ht="20.399999999999999" customHeight="1">
      <c r="A201" s="608" t="s">
        <v>1028</v>
      </c>
      <c r="B201" s="608" t="s">
        <v>3290</v>
      </c>
      <c r="C201" s="608" t="s">
        <v>887</v>
      </c>
      <c r="D201" s="609">
        <v>0</v>
      </c>
      <c r="E201" s="609">
        <v>0</v>
      </c>
      <c r="F201" s="609">
        <v>0</v>
      </c>
      <c r="G201" s="609">
        <v>0</v>
      </c>
      <c r="H201" s="609">
        <v>0</v>
      </c>
      <c r="I201" s="609">
        <v>0</v>
      </c>
      <c r="J201" s="609">
        <v>0</v>
      </c>
      <c r="K201" s="609">
        <v>0</v>
      </c>
      <c r="L201" s="609">
        <v>0</v>
      </c>
      <c r="M201" s="609">
        <v>0</v>
      </c>
      <c r="N201" s="587">
        <f t="shared" si="19"/>
        <v>0</v>
      </c>
      <c r="O201"/>
      <c r="P201" s="490"/>
      <c r="Q201" t="str">
        <f t="shared" si="20"/>
        <v>46182</v>
      </c>
      <c r="R201" s="126" t="str">
        <f t="shared" si="21"/>
        <v>I/G REV-CITY OF WATAUGA</v>
      </c>
      <c r="S201" s="125" t="str">
        <f t="shared" si="22"/>
        <v>116</v>
      </c>
      <c r="T201" s="125" t="str">
        <f t="shared" si="23"/>
        <v>00</v>
      </c>
      <c r="U201" s="125" t="str">
        <f t="shared" si="24"/>
        <v>000</v>
      </c>
      <c r="V201" s="125" t="str">
        <f>VLOOKUP(Q201,'GL Category'!A:C,3,FALSE)</f>
        <v>INTERGOVERNMENTAL</v>
      </c>
      <c r="W201" s="125"/>
    </row>
    <row r="202" spans="1:23" s="83" customFormat="1" ht="20.399999999999999" customHeight="1">
      <c r="A202" s="608" t="s">
        <v>1028</v>
      </c>
      <c r="B202" s="608" t="s">
        <v>3197</v>
      </c>
      <c r="C202" s="608" t="s">
        <v>421</v>
      </c>
      <c r="D202" s="609">
        <v>0</v>
      </c>
      <c r="E202" s="609">
        <v>0</v>
      </c>
      <c r="F202" s="609">
        <v>0</v>
      </c>
      <c r="G202" s="609">
        <v>0</v>
      </c>
      <c r="H202" s="609">
        <v>0</v>
      </c>
      <c r="I202" s="609">
        <v>0</v>
      </c>
      <c r="J202" s="609">
        <v>0</v>
      </c>
      <c r="K202" s="609">
        <v>0</v>
      </c>
      <c r="L202" s="609">
        <v>0</v>
      </c>
      <c r="M202" s="609">
        <v>0</v>
      </c>
      <c r="N202" s="587">
        <f t="shared" si="19"/>
        <v>0</v>
      </c>
      <c r="O202"/>
      <c r="P202" s="490"/>
      <c r="Q202" t="str">
        <f t="shared" si="20"/>
        <v>47010</v>
      </c>
      <c r="R202" s="126" t="str">
        <f t="shared" si="21"/>
        <v>MISCELLANEOUS REVENUE</v>
      </c>
      <c r="S202" s="125" t="str">
        <f t="shared" si="22"/>
        <v>116</v>
      </c>
      <c r="T202" s="125" t="str">
        <f t="shared" si="23"/>
        <v>00</v>
      </c>
      <c r="U202" s="125" t="str">
        <f t="shared" si="24"/>
        <v>000</v>
      </c>
      <c r="V202" s="125" t="str">
        <f>VLOOKUP(Q202,'GL Category'!A:C,3,FALSE)</f>
        <v>OTHER REVENUE</v>
      </c>
      <c r="W202" s="125"/>
    </row>
    <row r="203" spans="1:23" s="83" customFormat="1" ht="20.399999999999999" customHeight="1">
      <c r="A203" s="608" t="s">
        <v>1028</v>
      </c>
      <c r="B203" s="608" t="s">
        <v>3440</v>
      </c>
      <c r="C203" s="608" t="s">
        <v>3435</v>
      </c>
      <c r="D203" s="609">
        <v>0</v>
      </c>
      <c r="E203" s="609">
        <v>0</v>
      </c>
      <c r="F203" s="609">
        <v>0</v>
      </c>
      <c r="G203" s="609">
        <v>0</v>
      </c>
      <c r="H203" s="609">
        <v>0</v>
      </c>
      <c r="I203" s="609">
        <v>0</v>
      </c>
      <c r="J203" s="609">
        <v>0</v>
      </c>
      <c r="K203" s="609">
        <v>0</v>
      </c>
      <c r="L203" s="609">
        <v>0</v>
      </c>
      <c r="M203" s="609">
        <v>0</v>
      </c>
      <c r="N203" s="587">
        <f t="shared" si="19"/>
        <v>0</v>
      </c>
      <c r="O203"/>
      <c r="P203" s="490"/>
      <c r="Q203" t="str">
        <f t="shared" si="20"/>
        <v>47040</v>
      </c>
      <c r="R203" s="126" t="str">
        <f t="shared" si="21"/>
        <v>SBITA REVENUE</v>
      </c>
      <c r="S203" s="125" t="str">
        <f t="shared" si="22"/>
        <v>116</v>
      </c>
      <c r="T203" s="125" t="str">
        <f t="shared" si="23"/>
        <v>00</v>
      </c>
      <c r="U203" s="125" t="str">
        <f t="shared" si="24"/>
        <v>000</v>
      </c>
      <c r="V203" s="125" t="str">
        <f>VLOOKUP(Q203,'GL Category'!A:C,3,FALSE)</f>
        <v>OTHER REVENUE</v>
      </c>
      <c r="W203" s="125"/>
    </row>
    <row r="204" spans="1:23" s="83" customFormat="1" ht="20.399999999999999" customHeight="1">
      <c r="A204" s="608" t="s">
        <v>1028</v>
      </c>
      <c r="B204" s="608" t="s">
        <v>1946</v>
      </c>
      <c r="C204" s="608" t="s">
        <v>423</v>
      </c>
      <c r="D204" s="609">
        <v>-10237.76</v>
      </c>
      <c r="E204" s="609">
        <v>-3026.12</v>
      </c>
      <c r="F204" s="609">
        <v>-2680.91</v>
      </c>
      <c r="G204" s="609">
        <v>-18204.54</v>
      </c>
      <c r="H204" s="609">
        <v>-7558</v>
      </c>
      <c r="I204" s="609">
        <v>-22087.67</v>
      </c>
      <c r="J204" s="609">
        <v>-22574</v>
      </c>
      <c r="K204" s="609">
        <v>-22574</v>
      </c>
      <c r="L204" s="609">
        <v>0</v>
      </c>
      <c r="M204" s="609">
        <v>0</v>
      </c>
      <c r="N204" s="587">
        <f t="shared" si="19"/>
        <v>-22574</v>
      </c>
      <c r="O204"/>
      <c r="P204" s="490"/>
      <c r="Q204" t="str">
        <f t="shared" si="20"/>
        <v>47090</v>
      </c>
      <c r="R204" s="126" t="str">
        <f t="shared" si="21"/>
        <v>INTEREST REVENUE-INVESTMENTS</v>
      </c>
      <c r="S204" s="125" t="str">
        <f t="shared" si="22"/>
        <v>116</v>
      </c>
      <c r="T204" s="125" t="str">
        <f t="shared" si="23"/>
        <v>00</v>
      </c>
      <c r="U204" s="125" t="str">
        <f t="shared" si="24"/>
        <v>000</v>
      </c>
      <c r="V204" s="125" t="str">
        <f>VLOOKUP(Q204,'GL Category'!A:C,3,FALSE)</f>
        <v>OTHER REVENUE</v>
      </c>
      <c r="W204" s="125"/>
    </row>
    <row r="205" spans="1:23" s="83" customFormat="1" ht="20.399999999999999" customHeight="1">
      <c r="A205" s="608" t="s">
        <v>1028</v>
      </c>
      <c r="B205" s="608" t="s">
        <v>1947</v>
      </c>
      <c r="C205" s="608" t="s">
        <v>827</v>
      </c>
      <c r="D205" s="609">
        <v>0</v>
      </c>
      <c r="E205" s="609">
        <v>0</v>
      </c>
      <c r="F205" s="609">
        <v>0</v>
      </c>
      <c r="G205" s="609">
        <v>0</v>
      </c>
      <c r="H205" s="609">
        <v>0</v>
      </c>
      <c r="I205" s="609">
        <v>0</v>
      </c>
      <c r="J205" s="609">
        <v>0</v>
      </c>
      <c r="K205" s="609">
        <v>0</v>
      </c>
      <c r="L205" s="609">
        <v>0</v>
      </c>
      <c r="M205" s="609">
        <v>0</v>
      </c>
      <c r="N205" s="587">
        <f t="shared" si="19"/>
        <v>0</v>
      </c>
      <c r="O205"/>
      <c r="P205" s="490"/>
      <c r="Q205" t="str">
        <f t="shared" si="20"/>
        <v>47099</v>
      </c>
      <c r="R205" s="126" t="str">
        <f t="shared" si="21"/>
        <v>INCR/DECR IN FAIR VALUE OF INV</v>
      </c>
      <c r="S205" s="125" t="str">
        <f t="shared" si="22"/>
        <v>116</v>
      </c>
      <c r="T205" s="125" t="str">
        <f t="shared" si="23"/>
        <v>00</v>
      </c>
      <c r="U205" s="125" t="str">
        <f t="shared" si="24"/>
        <v>000</v>
      </c>
      <c r="V205" s="125" t="str">
        <f>VLOOKUP(Q205,'GL Category'!A:C,3,FALSE)</f>
        <v>OTHER REVENUE</v>
      </c>
      <c r="W205" s="125"/>
    </row>
    <row r="206" spans="1:23" s="83" customFormat="1" ht="20.399999999999999" customHeight="1">
      <c r="A206" s="608" t="s">
        <v>1028</v>
      </c>
      <c r="B206" s="608" t="s">
        <v>3164</v>
      </c>
      <c r="C206" s="608" t="s">
        <v>84</v>
      </c>
      <c r="D206" s="609">
        <v>136</v>
      </c>
      <c r="E206" s="609">
        <v>0</v>
      </c>
      <c r="F206" s="609">
        <v>0</v>
      </c>
      <c r="G206" s="609">
        <v>0</v>
      </c>
      <c r="H206" s="609">
        <v>0</v>
      </c>
      <c r="I206" s="609">
        <v>0</v>
      </c>
      <c r="J206" s="609">
        <v>0</v>
      </c>
      <c r="K206" s="609">
        <v>0</v>
      </c>
      <c r="L206" s="609">
        <v>0</v>
      </c>
      <c r="M206" s="609">
        <v>0</v>
      </c>
      <c r="N206" s="587">
        <f t="shared" si="19"/>
        <v>0</v>
      </c>
      <c r="O206"/>
      <c r="P206" s="490"/>
      <c r="Q206" t="str">
        <f t="shared" si="20"/>
        <v>49999</v>
      </c>
      <c r="R206" s="126" t="str">
        <f t="shared" si="21"/>
        <v>USE OF FUND BALANCE</v>
      </c>
      <c r="S206" s="125" t="str">
        <f t="shared" si="22"/>
        <v>116</v>
      </c>
      <c r="T206" s="125" t="str">
        <f t="shared" si="23"/>
        <v>00</v>
      </c>
      <c r="U206" s="125" t="str">
        <f t="shared" si="24"/>
        <v>000</v>
      </c>
      <c r="V206" s="125" t="str">
        <f>VLOOKUP(Q206,'GL Category'!A:C,3,FALSE)</f>
        <v>TRANSFERS IN</v>
      </c>
      <c r="W206" s="125"/>
    </row>
    <row r="207" spans="1:23" s="83" customFormat="1" ht="20.399999999999999" customHeight="1">
      <c r="A207" s="608" t="s">
        <v>1029</v>
      </c>
      <c r="B207" s="608" t="s">
        <v>1957</v>
      </c>
      <c r="C207" s="608" t="s">
        <v>395</v>
      </c>
      <c r="D207" s="609">
        <v>-1698663.6</v>
      </c>
      <c r="E207" s="609">
        <v>-1899536.15</v>
      </c>
      <c r="F207" s="609">
        <v>-2149323.75</v>
      </c>
      <c r="G207" s="609">
        <v>-2212669.9900000002</v>
      </c>
      <c r="H207" s="609">
        <v>-2225087</v>
      </c>
      <c r="I207" s="609">
        <v>-1828428.22</v>
      </c>
      <c r="J207" s="609">
        <v>-2225087</v>
      </c>
      <c r="K207" s="609">
        <v>-2225087</v>
      </c>
      <c r="L207" s="609">
        <v>0</v>
      </c>
      <c r="M207" s="609">
        <v>0</v>
      </c>
      <c r="N207" s="587">
        <f t="shared" si="19"/>
        <v>-2225087</v>
      </c>
      <c r="O207"/>
      <c r="P207" s="490"/>
      <c r="Q207" t="str">
        <f t="shared" si="20"/>
        <v>40200</v>
      </c>
      <c r="R207" s="126" t="str">
        <f t="shared" si="21"/>
        <v>CITY SALES TAXES</v>
      </c>
      <c r="S207" s="125" t="str">
        <f t="shared" si="22"/>
        <v>118</v>
      </c>
      <c r="T207" s="125" t="str">
        <f t="shared" si="23"/>
        <v>00</v>
      </c>
      <c r="U207" s="125" t="str">
        <f t="shared" si="24"/>
        <v>000</v>
      </c>
      <c r="V207" s="125" t="str">
        <f>VLOOKUP(Q207,'GL Category'!A:C,3,FALSE)</f>
        <v>SALES TAX</v>
      </c>
      <c r="W207" s="125"/>
    </row>
    <row r="208" spans="1:23" s="83" customFormat="1" ht="20.399999999999999" customHeight="1">
      <c r="A208" s="608" t="s">
        <v>1029</v>
      </c>
      <c r="B208" s="608" t="s">
        <v>1958</v>
      </c>
      <c r="C208" s="608" t="s">
        <v>883</v>
      </c>
      <c r="D208" s="609">
        <v>0</v>
      </c>
      <c r="E208" s="609">
        <v>0</v>
      </c>
      <c r="F208" s="609">
        <v>0</v>
      </c>
      <c r="G208" s="609">
        <v>0</v>
      </c>
      <c r="H208" s="609">
        <v>0</v>
      </c>
      <c r="I208" s="609">
        <v>0</v>
      </c>
      <c r="J208" s="609">
        <v>0</v>
      </c>
      <c r="K208" s="609">
        <v>0</v>
      </c>
      <c r="L208" s="609">
        <v>0</v>
      </c>
      <c r="M208" s="609">
        <v>0</v>
      </c>
      <c r="N208" s="587">
        <f t="shared" si="19"/>
        <v>0</v>
      </c>
      <c r="O208"/>
      <c r="P208" s="490"/>
      <c r="Q208" t="str">
        <f t="shared" si="20"/>
        <v>45000</v>
      </c>
      <c r="R208" s="126" t="str">
        <f t="shared" si="21"/>
        <v>DEBT ISSUANCE PROCEEDS</v>
      </c>
      <c r="S208" s="125" t="str">
        <f t="shared" si="22"/>
        <v>118</v>
      </c>
      <c r="T208" s="125" t="str">
        <f t="shared" si="23"/>
        <v>00</v>
      </c>
      <c r="U208" s="125" t="str">
        <f t="shared" si="24"/>
        <v>000</v>
      </c>
      <c r="V208" s="125" t="str">
        <f>VLOOKUP(Q208,'GL Category'!A:C,3,FALSE)</f>
        <v>DEBT ISSUANCES</v>
      </c>
      <c r="W208" s="125"/>
    </row>
    <row r="209" spans="1:24" s="83" customFormat="1" ht="20.399999999999999" customHeight="1">
      <c r="A209" s="608" t="s">
        <v>1029</v>
      </c>
      <c r="B209" s="608" t="s">
        <v>1959</v>
      </c>
      <c r="C209" s="608" t="s">
        <v>828</v>
      </c>
      <c r="D209" s="609">
        <v>0</v>
      </c>
      <c r="E209" s="609">
        <v>0</v>
      </c>
      <c r="F209" s="609">
        <v>0</v>
      </c>
      <c r="G209" s="609">
        <v>0</v>
      </c>
      <c r="H209" s="609">
        <v>0</v>
      </c>
      <c r="I209" s="609">
        <v>0</v>
      </c>
      <c r="J209" s="609">
        <v>0</v>
      </c>
      <c r="K209" s="609">
        <v>0</v>
      </c>
      <c r="L209" s="609">
        <v>0</v>
      </c>
      <c r="M209" s="609">
        <v>0</v>
      </c>
      <c r="N209" s="587">
        <f t="shared" si="19"/>
        <v>0</v>
      </c>
      <c r="O209"/>
      <c r="P209" s="490"/>
      <c r="Q209" t="str">
        <f t="shared" si="20"/>
        <v>45095</v>
      </c>
      <c r="R209" s="126" t="str">
        <f t="shared" si="21"/>
        <v>INTEREST-DEBT ISSUANCE</v>
      </c>
      <c r="S209" s="125" t="str">
        <f t="shared" si="22"/>
        <v>118</v>
      </c>
      <c r="T209" s="125" t="str">
        <f t="shared" si="23"/>
        <v>00</v>
      </c>
      <c r="U209" s="125" t="str">
        <f t="shared" si="24"/>
        <v>000</v>
      </c>
      <c r="V209" s="125" t="str">
        <f>VLOOKUP(Q209,'GL Category'!A:C,3,FALSE)</f>
        <v>DEBT ISSUANCES</v>
      </c>
      <c r="W209" s="125"/>
    </row>
    <row r="210" spans="1:24" s="83" customFormat="1" ht="20.399999999999999" customHeight="1">
      <c r="A210" s="608" t="s">
        <v>1029</v>
      </c>
      <c r="B210" s="608" t="s">
        <v>3291</v>
      </c>
      <c r="C210" s="608" t="s">
        <v>425</v>
      </c>
      <c r="D210" s="609">
        <v>0</v>
      </c>
      <c r="E210" s="609">
        <v>0</v>
      </c>
      <c r="F210" s="609">
        <v>0</v>
      </c>
      <c r="G210" s="609">
        <v>0</v>
      </c>
      <c r="H210" s="609">
        <v>0</v>
      </c>
      <c r="I210" s="609">
        <v>0</v>
      </c>
      <c r="J210" s="609">
        <v>0</v>
      </c>
      <c r="K210" s="609">
        <v>0</v>
      </c>
      <c r="L210" s="609">
        <v>0</v>
      </c>
      <c r="M210" s="609">
        <v>0</v>
      </c>
      <c r="N210" s="587">
        <f t="shared" si="19"/>
        <v>0</v>
      </c>
      <c r="O210"/>
      <c r="P210" s="490"/>
      <c r="Q210" t="str">
        <f t="shared" si="20"/>
        <v>45100</v>
      </c>
      <c r="R210" s="126" t="str">
        <f t="shared" si="21"/>
        <v>PREMIUM ON DEBT ISSUANCE</v>
      </c>
      <c r="S210" s="125" t="str">
        <f t="shared" si="22"/>
        <v>118</v>
      </c>
      <c r="T210" s="125" t="str">
        <f t="shared" si="23"/>
        <v>00</v>
      </c>
      <c r="U210" s="125" t="str">
        <f t="shared" si="24"/>
        <v>000</v>
      </c>
      <c r="V210" s="125" t="str">
        <f>VLOOKUP(Q210,'GL Category'!A:C,3,FALSE)</f>
        <v>DEBT ISSUANCES</v>
      </c>
      <c r="W210" s="125"/>
    </row>
    <row r="211" spans="1:24" s="541" customFormat="1" ht="20.399999999999999" customHeight="1">
      <c r="A211" s="608" t="s">
        <v>1029</v>
      </c>
      <c r="B211" s="608" t="s">
        <v>1960</v>
      </c>
      <c r="C211" s="608" t="s">
        <v>418</v>
      </c>
      <c r="D211" s="609">
        <v>-11000</v>
      </c>
      <c r="E211" s="609">
        <v>-143308.69</v>
      </c>
      <c r="F211" s="609">
        <v>-61418.01</v>
      </c>
      <c r="G211" s="609">
        <v>-51541</v>
      </c>
      <c r="H211" s="609">
        <v>-67700</v>
      </c>
      <c r="I211" s="609">
        <v>-50775</v>
      </c>
      <c r="J211" s="609">
        <v>-67700</v>
      </c>
      <c r="K211" s="609">
        <v>-72803</v>
      </c>
      <c r="L211" s="609">
        <v>0</v>
      </c>
      <c r="M211" s="609">
        <v>0</v>
      </c>
      <c r="N211" s="587">
        <f t="shared" si="19"/>
        <v>-72803</v>
      </c>
      <c r="O211"/>
      <c r="P211" s="490"/>
      <c r="Q211" t="str">
        <f t="shared" si="20"/>
        <v>46160</v>
      </c>
      <c r="R211" s="540" t="str">
        <f t="shared" si="21"/>
        <v>I/G REV-SOUTHLAKE</v>
      </c>
      <c r="S211" s="538" t="str">
        <f t="shared" si="22"/>
        <v>118</v>
      </c>
      <c r="T211" s="125" t="str">
        <f t="shared" si="23"/>
        <v>00</v>
      </c>
      <c r="U211" s="125" t="str">
        <f t="shared" si="24"/>
        <v>000</v>
      </c>
      <c r="V211" s="538" t="str">
        <f>VLOOKUP(Q211,'GL Category'!A:C,3,FALSE)</f>
        <v>INTERGOVERNMENTAL</v>
      </c>
      <c r="W211" s="538"/>
      <c r="X211" s="83"/>
    </row>
    <row r="212" spans="1:24" s="83" customFormat="1" ht="20.399999999999999" customHeight="1">
      <c r="A212" s="608" t="s">
        <v>1029</v>
      </c>
      <c r="B212" s="608" t="s">
        <v>1961</v>
      </c>
      <c r="C212" s="608" t="s">
        <v>1118</v>
      </c>
      <c r="D212" s="609">
        <v>0</v>
      </c>
      <c r="E212" s="609">
        <v>0</v>
      </c>
      <c r="F212" s="609">
        <v>0</v>
      </c>
      <c r="G212" s="609">
        <v>0</v>
      </c>
      <c r="H212" s="609">
        <v>0</v>
      </c>
      <c r="I212" s="609">
        <v>0</v>
      </c>
      <c r="J212" s="609">
        <v>0</v>
      </c>
      <c r="K212" s="609">
        <v>0</v>
      </c>
      <c r="L212" s="609">
        <v>0</v>
      </c>
      <c r="M212" s="609">
        <v>0</v>
      </c>
      <c r="N212" s="587">
        <f t="shared" si="19"/>
        <v>0</v>
      </c>
      <c r="O212"/>
      <c r="P212" s="490"/>
      <c r="Q212" t="str">
        <f t="shared" si="20"/>
        <v>46162</v>
      </c>
      <c r="R212" s="126" t="str">
        <f t="shared" si="21"/>
        <v>I/G REV-GRAPEVINE</v>
      </c>
      <c r="S212" s="125" t="str">
        <f t="shared" si="22"/>
        <v>118</v>
      </c>
      <c r="T212" s="125" t="str">
        <f t="shared" si="23"/>
        <v>00</v>
      </c>
      <c r="U212" s="125" t="str">
        <f t="shared" si="24"/>
        <v>000</v>
      </c>
      <c r="V212" s="125" t="str">
        <f>VLOOKUP(Q212,'GL Category'!A:C,3,FALSE)</f>
        <v>INTERGOVERNMENTAL</v>
      </c>
      <c r="W212" s="125"/>
    </row>
    <row r="213" spans="1:24" s="83" customFormat="1" ht="20.399999999999999" customHeight="1">
      <c r="A213" s="608" t="s">
        <v>1029</v>
      </c>
      <c r="B213" s="608" t="s">
        <v>3326</v>
      </c>
      <c r="C213" s="608" t="s">
        <v>419</v>
      </c>
      <c r="D213" s="609">
        <v>0</v>
      </c>
      <c r="E213" s="609">
        <v>-4900</v>
      </c>
      <c r="F213" s="609">
        <v>-2100</v>
      </c>
      <c r="G213" s="609">
        <v>0</v>
      </c>
      <c r="H213" s="609">
        <v>0</v>
      </c>
      <c r="I213" s="609">
        <v>0</v>
      </c>
      <c r="J213" s="609">
        <v>0</v>
      </c>
      <c r="K213" s="609">
        <v>0</v>
      </c>
      <c r="L213" s="609">
        <v>0</v>
      </c>
      <c r="M213" s="609">
        <v>0</v>
      </c>
      <c r="N213" s="587">
        <f t="shared" si="19"/>
        <v>0</v>
      </c>
      <c r="O213"/>
      <c r="P213" s="490"/>
      <c r="Q213" t="str">
        <f t="shared" si="20"/>
        <v>46165</v>
      </c>
      <c r="R213" s="126" t="str">
        <f t="shared" si="21"/>
        <v>I/G REV-TOWN OF WESTLAKE</v>
      </c>
      <c r="S213" s="125" t="str">
        <f t="shared" si="22"/>
        <v>118</v>
      </c>
      <c r="T213" s="125" t="str">
        <f t="shared" si="23"/>
        <v>00</v>
      </c>
      <c r="U213" s="125" t="str">
        <f t="shared" si="24"/>
        <v>000</v>
      </c>
      <c r="V213" s="125" t="str">
        <f>VLOOKUP(Q213,'GL Category'!A:C,3,FALSE)</f>
        <v>INTERGOVERNMENTAL</v>
      </c>
      <c r="W213" s="125"/>
    </row>
    <row r="214" spans="1:24" s="541" customFormat="1" ht="20.399999999999999" customHeight="1">
      <c r="A214" s="608" t="s">
        <v>1029</v>
      </c>
      <c r="B214" s="608" t="s">
        <v>1962</v>
      </c>
      <c r="C214" s="608" t="s">
        <v>420</v>
      </c>
      <c r="D214" s="609">
        <v>-9000</v>
      </c>
      <c r="E214" s="609">
        <v>-87416.11</v>
      </c>
      <c r="F214" s="609">
        <v>-37464.050000000003</v>
      </c>
      <c r="G214" s="609">
        <v>-59372</v>
      </c>
      <c r="H214" s="609">
        <v>-47328</v>
      </c>
      <c r="I214" s="609">
        <v>-35496</v>
      </c>
      <c r="J214" s="609">
        <v>-47328</v>
      </c>
      <c r="K214" s="609">
        <v>-51197</v>
      </c>
      <c r="L214" s="609">
        <v>0</v>
      </c>
      <c r="M214" s="609">
        <v>0</v>
      </c>
      <c r="N214" s="587">
        <f t="shared" si="19"/>
        <v>-51197</v>
      </c>
      <c r="O214"/>
      <c r="P214" s="490"/>
      <c r="Q214" t="str">
        <f t="shared" si="20"/>
        <v>46167</v>
      </c>
      <c r="R214" s="540" t="str">
        <f t="shared" si="21"/>
        <v>I/G REV-COLLEYVILLE</v>
      </c>
      <c r="S214" s="538" t="str">
        <f t="shared" si="22"/>
        <v>118</v>
      </c>
      <c r="T214" s="125" t="str">
        <f t="shared" si="23"/>
        <v>00</v>
      </c>
      <c r="U214" s="125" t="str">
        <f t="shared" si="24"/>
        <v>000</v>
      </c>
      <c r="V214" s="538" t="str">
        <f>VLOOKUP(Q214,'GL Category'!A:C,3,FALSE)</f>
        <v>INTERGOVERNMENTAL</v>
      </c>
      <c r="W214" s="538"/>
      <c r="X214" s="83"/>
    </row>
    <row r="215" spans="1:24" s="83" customFormat="1" ht="20.399999999999999" customHeight="1">
      <c r="A215" s="608" t="s">
        <v>1029</v>
      </c>
      <c r="B215" s="608" t="s">
        <v>1963</v>
      </c>
      <c r="C215" s="608" t="s">
        <v>421</v>
      </c>
      <c r="D215" s="609">
        <v>0</v>
      </c>
      <c r="E215" s="609">
        <v>-351.38</v>
      </c>
      <c r="F215" s="609">
        <v>0</v>
      </c>
      <c r="G215" s="609">
        <v>0</v>
      </c>
      <c r="H215" s="609">
        <v>0</v>
      </c>
      <c r="I215" s="609">
        <v>0</v>
      </c>
      <c r="J215" s="609">
        <v>0</v>
      </c>
      <c r="K215" s="609">
        <v>0</v>
      </c>
      <c r="L215" s="609">
        <v>0</v>
      </c>
      <c r="M215" s="609">
        <v>0</v>
      </c>
      <c r="N215" s="587">
        <f t="shared" si="19"/>
        <v>0</v>
      </c>
      <c r="O215"/>
      <c r="P215" s="490"/>
      <c r="Q215" t="str">
        <f t="shared" si="20"/>
        <v>47010</v>
      </c>
      <c r="R215" s="126" t="str">
        <f t="shared" si="21"/>
        <v>MISCELLANEOUS REVENUE</v>
      </c>
      <c r="S215" s="125" t="str">
        <f t="shared" si="22"/>
        <v>118</v>
      </c>
      <c r="T215" s="125" t="str">
        <f t="shared" si="23"/>
        <v>00</v>
      </c>
      <c r="U215" s="125" t="str">
        <f t="shared" si="24"/>
        <v>000</v>
      </c>
      <c r="V215" s="125" t="str">
        <f>VLOOKUP(Q215,'GL Category'!A:C,3,FALSE)</f>
        <v>OTHER REVENUE</v>
      </c>
      <c r="W215" s="125"/>
    </row>
    <row r="216" spans="1:24" s="83" customFormat="1" ht="20.399999999999999" customHeight="1">
      <c r="A216" s="608" t="s">
        <v>1029</v>
      </c>
      <c r="B216" s="608" t="s">
        <v>1964</v>
      </c>
      <c r="C216" s="608" t="s">
        <v>422</v>
      </c>
      <c r="D216" s="609">
        <v>-7905.36</v>
      </c>
      <c r="E216" s="609">
        <v>-145802.56</v>
      </c>
      <c r="F216" s="609">
        <v>0</v>
      </c>
      <c r="G216" s="609">
        <v>0</v>
      </c>
      <c r="H216" s="609">
        <v>-100000</v>
      </c>
      <c r="I216" s="609">
        <v>-73727.360000000001</v>
      </c>
      <c r="J216" s="609">
        <v>-73728</v>
      </c>
      <c r="K216" s="609">
        <v>-100000</v>
      </c>
      <c r="L216" s="609">
        <v>0</v>
      </c>
      <c r="M216" s="609">
        <v>0</v>
      </c>
      <c r="N216" s="587">
        <f t="shared" si="19"/>
        <v>-100000</v>
      </c>
      <c r="O216"/>
      <c r="P216" s="490"/>
      <c r="Q216" t="str">
        <f t="shared" si="20"/>
        <v>47020</v>
      </c>
      <c r="R216" s="126" t="str">
        <f t="shared" si="21"/>
        <v>AUCTION PROCEEDS</v>
      </c>
      <c r="S216" s="125" t="str">
        <f t="shared" si="22"/>
        <v>118</v>
      </c>
      <c r="T216" s="125" t="str">
        <f t="shared" si="23"/>
        <v>00</v>
      </c>
      <c r="U216" s="125" t="str">
        <f t="shared" si="24"/>
        <v>000</v>
      </c>
      <c r="V216" s="125" t="str">
        <f>VLOOKUP(Q216,'GL Category'!A:C,3,FALSE)</f>
        <v>OTHER REVENUE</v>
      </c>
      <c r="W216" s="125"/>
    </row>
    <row r="217" spans="1:24" s="541" customFormat="1" ht="20.399999999999999" customHeight="1">
      <c r="A217" s="608" t="s">
        <v>1029</v>
      </c>
      <c r="B217" s="608" t="s">
        <v>1965</v>
      </c>
      <c r="C217" s="608" t="s">
        <v>427</v>
      </c>
      <c r="D217" s="609">
        <v>-51811.78</v>
      </c>
      <c r="E217" s="609">
        <v>-109505.08</v>
      </c>
      <c r="F217" s="609">
        <v>0</v>
      </c>
      <c r="G217" s="609">
        <v>-48050</v>
      </c>
      <c r="H217" s="609">
        <v>0</v>
      </c>
      <c r="I217" s="609">
        <v>0</v>
      </c>
      <c r="J217" s="609">
        <v>0</v>
      </c>
      <c r="K217" s="609">
        <v>0</v>
      </c>
      <c r="L217" s="609">
        <v>0</v>
      </c>
      <c r="M217" s="609">
        <v>0</v>
      </c>
      <c r="N217" s="587">
        <f t="shared" si="19"/>
        <v>0</v>
      </c>
      <c r="O217"/>
      <c r="P217" s="490"/>
      <c r="Q217" t="str">
        <f t="shared" si="20"/>
        <v>47030</v>
      </c>
      <c r="R217" s="540" t="str">
        <f t="shared" si="21"/>
        <v>GAIN/LOSS ON DISP OF ASSETS</v>
      </c>
      <c r="S217" s="538" t="str">
        <f t="shared" si="22"/>
        <v>118</v>
      </c>
      <c r="T217" s="125" t="str">
        <f t="shared" si="23"/>
        <v>00</v>
      </c>
      <c r="U217" s="125" t="str">
        <f t="shared" si="24"/>
        <v>000</v>
      </c>
      <c r="V217" s="538" t="str">
        <f>VLOOKUP(Q217,'GL Category'!A:C,3,FALSE)</f>
        <v>OTHER REVENUE</v>
      </c>
      <c r="W217" s="538"/>
      <c r="X217" s="83"/>
    </row>
    <row r="218" spans="1:24" s="83" customFormat="1" ht="20.399999999999999" customHeight="1">
      <c r="A218" s="608" t="s">
        <v>1029</v>
      </c>
      <c r="B218" s="608" t="s">
        <v>1966</v>
      </c>
      <c r="C218" s="608" t="s">
        <v>891</v>
      </c>
      <c r="D218" s="609">
        <v>0</v>
      </c>
      <c r="E218" s="609">
        <v>0</v>
      </c>
      <c r="F218" s="609">
        <v>0</v>
      </c>
      <c r="G218" s="609">
        <v>0</v>
      </c>
      <c r="H218" s="609">
        <v>0</v>
      </c>
      <c r="I218" s="609">
        <v>0</v>
      </c>
      <c r="J218" s="609">
        <v>0</v>
      </c>
      <c r="K218" s="609">
        <v>0</v>
      </c>
      <c r="L218" s="609">
        <v>0</v>
      </c>
      <c r="M218" s="609">
        <v>0</v>
      </c>
      <c r="N218" s="587">
        <f t="shared" si="19"/>
        <v>0</v>
      </c>
      <c r="O218"/>
      <c r="P218" s="490"/>
      <c r="Q218" t="str">
        <f t="shared" si="20"/>
        <v>47070</v>
      </c>
      <c r="R218" s="126" t="str">
        <f t="shared" si="21"/>
        <v>CASH OVER/SHORT</v>
      </c>
      <c r="S218" s="125" t="str">
        <f t="shared" si="22"/>
        <v>118</v>
      </c>
      <c r="T218" s="125" t="str">
        <f t="shared" si="23"/>
        <v>00</v>
      </c>
      <c r="U218" s="125" t="str">
        <f t="shared" si="24"/>
        <v>000</v>
      </c>
      <c r="V218" s="125" t="str">
        <f>VLOOKUP(Q218,'GL Category'!A:C,3,FALSE)</f>
        <v>OTHER REVENUE</v>
      </c>
      <c r="W218" s="125"/>
    </row>
    <row r="219" spans="1:24" s="83" customFormat="1" ht="20.399999999999999" customHeight="1">
      <c r="A219" s="608" t="s">
        <v>1029</v>
      </c>
      <c r="B219" s="608" t="s">
        <v>1967</v>
      </c>
      <c r="C219" s="608" t="s">
        <v>423</v>
      </c>
      <c r="D219" s="609">
        <v>-107687.87</v>
      </c>
      <c r="E219" s="609">
        <v>-2895.41</v>
      </c>
      <c r="F219" s="609">
        <v>-37358.94</v>
      </c>
      <c r="G219" s="609">
        <v>-352382.48</v>
      </c>
      <c r="H219" s="609">
        <v>-5000</v>
      </c>
      <c r="I219" s="609">
        <v>-329699.71000000002</v>
      </c>
      <c r="J219" s="609">
        <v>-300065</v>
      </c>
      <c r="K219" s="609">
        <v>-17500</v>
      </c>
      <c r="L219" s="609">
        <v>0</v>
      </c>
      <c r="M219" s="609">
        <v>0</v>
      </c>
      <c r="N219" s="587">
        <f t="shared" si="19"/>
        <v>-17500</v>
      </c>
      <c r="O219"/>
      <c r="P219" s="490"/>
      <c r="Q219" t="str">
        <f t="shared" si="20"/>
        <v>47090</v>
      </c>
      <c r="R219" s="126" t="str">
        <f t="shared" si="21"/>
        <v>INTEREST REVENUE-INVESTMENTS</v>
      </c>
      <c r="S219" s="125" t="str">
        <f t="shared" si="22"/>
        <v>118</v>
      </c>
      <c r="T219" s="125" t="str">
        <f t="shared" si="23"/>
        <v>00</v>
      </c>
      <c r="U219" s="125" t="str">
        <f t="shared" si="24"/>
        <v>000</v>
      </c>
      <c r="V219" s="125" t="str">
        <f>VLOOKUP(Q219,'GL Category'!A:C,3,FALSE)</f>
        <v>OTHER REVENUE</v>
      </c>
      <c r="W219" s="125"/>
    </row>
    <row r="220" spans="1:24" s="83" customFormat="1" ht="20.399999999999999" customHeight="1">
      <c r="A220" s="608" t="s">
        <v>1029</v>
      </c>
      <c r="B220" s="608" t="s">
        <v>1968</v>
      </c>
      <c r="C220" s="608" t="s">
        <v>827</v>
      </c>
      <c r="D220" s="609">
        <v>0</v>
      </c>
      <c r="E220" s="609">
        <v>0</v>
      </c>
      <c r="F220" s="609">
        <v>0</v>
      </c>
      <c r="G220" s="609">
        <v>0</v>
      </c>
      <c r="H220" s="609">
        <v>0</v>
      </c>
      <c r="I220" s="609">
        <v>0</v>
      </c>
      <c r="J220" s="609">
        <v>0</v>
      </c>
      <c r="K220" s="609">
        <v>0</v>
      </c>
      <c r="L220" s="609">
        <v>0</v>
      </c>
      <c r="M220" s="609">
        <v>0</v>
      </c>
      <c r="N220" s="587">
        <f t="shared" si="19"/>
        <v>0</v>
      </c>
      <c r="O220"/>
      <c r="P220" s="490"/>
      <c r="Q220" t="str">
        <f t="shared" si="20"/>
        <v>47099</v>
      </c>
      <c r="R220" s="126" t="str">
        <f t="shared" si="21"/>
        <v>INCR/DECR IN FAIR VALUE OF INV</v>
      </c>
      <c r="S220" s="125" t="str">
        <f t="shared" si="22"/>
        <v>118</v>
      </c>
      <c r="T220" s="125" t="str">
        <f t="shared" si="23"/>
        <v>00</v>
      </c>
      <c r="U220" s="125" t="str">
        <f t="shared" si="24"/>
        <v>000</v>
      </c>
      <c r="V220" s="125" t="str">
        <f>VLOOKUP(Q220,'GL Category'!A:C,3,FALSE)</f>
        <v>OTHER REVENUE</v>
      </c>
      <c r="W220" s="125"/>
    </row>
    <row r="221" spans="1:24" s="83" customFormat="1" ht="20.399999999999999" customHeight="1">
      <c r="A221" s="608" t="s">
        <v>1029</v>
      </c>
      <c r="B221" s="608" t="s">
        <v>3336</v>
      </c>
      <c r="C221" s="608" t="s">
        <v>1101</v>
      </c>
      <c r="D221" s="609">
        <v>0</v>
      </c>
      <c r="E221" s="609">
        <v>0</v>
      </c>
      <c r="F221" s="609">
        <v>0</v>
      </c>
      <c r="G221" s="609">
        <v>0</v>
      </c>
      <c r="H221" s="609">
        <v>0</v>
      </c>
      <c r="I221" s="609">
        <v>0</v>
      </c>
      <c r="J221" s="609">
        <v>0</v>
      </c>
      <c r="K221" s="609">
        <v>0</v>
      </c>
      <c r="L221" s="609">
        <v>0</v>
      </c>
      <c r="M221" s="609">
        <v>0</v>
      </c>
      <c r="N221" s="587">
        <f t="shared" si="19"/>
        <v>0</v>
      </c>
      <c r="O221"/>
      <c r="P221" s="490"/>
      <c r="Q221" t="str">
        <f t="shared" si="20"/>
        <v>49160</v>
      </c>
      <c r="R221" s="126" t="str">
        <f t="shared" si="21"/>
        <v>TRANSFER FROM GRANT FUND</v>
      </c>
      <c r="S221" s="125" t="str">
        <f t="shared" si="22"/>
        <v>118</v>
      </c>
      <c r="T221" s="125" t="str">
        <f t="shared" si="23"/>
        <v>00</v>
      </c>
      <c r="U221" s="125" t="str">
        <f t="shared" si="24"/>
        <v>000</v>
      </c>
      <c r="V221" s="125" t="str">
        <f>VLOOKUP(Q221,'GL Category'!A:C,3,FALSE)</f>
        <v>TRANSFERS IN</v>
      </c>
      <c r="W221" s="125"/>
    </row>
    <row r="222" spans="1:24" s="83" customFormat="1" ht="20.399999999999999" customHeight="1">
      <c r="A222" s="608" t="s">
        <v>1029</v>
      </c>
      <c r="B222" s="608" t="s">
        <v>3165</v>
      </c>
      <c r="C222" s="608" t="s">
        <v>84</v>
      </c>
      <c r="D222" s="609">
        <v>0</v>
      </c>
      <c r="E222" s="609">
        <v>0</v>
      </c>
      <c r="F222" s="609">
        <v>0</v>
      </c>
      <c r="G222" s="609">
        <v>0</v>
      </c>
      <c r="H222" s="609">
        <v>0</v>
      </c>
      <c r="I222" s="609">
        <v>0</v>
      </c>
      <c r="J222" s="609">
        <v>0</v>
      </c>
      <c r="K222" s="609">
        <v>0</v>
      </c>
      <c r="L222" s="609">
        <v>0</v>
      </c>
      <c r="M222" s="609">
        <v>0</v>
      </c>
      <c r="N222" s="587">
        <f t="shared" si="19"/>
        <v>0</v>
      </c>
      <c r="O222"/>
      <c r="P222" s="490"/>
      <c r="Q222" t="str">
        <f t="shared" si="20"/>
        <v>49999</v>
      </c>
      <c r="R222" s="126" t="str">
        <f t="shared" si="21"/>
        <v>USE OF FUND BALANCE</v>
      </c>
      <c r="S222" s="125" t="str">
        <f t="shared" si="22"/>
        <v>118</v>
      </c>
      <c r="T222" s="125" t="str">
        <f t="shared" si="23"/>
        <v>00</v>
      </c>
      <c r="U222" s="125" t="str">
        <f t="shared" si="24"/>
        <v>000</v>
      </c>
      <c r="V222" s="125" t="str">
        <f>VLOOKUP(Q222,'GL Category'!A:C,3,FALSE)</f>
        <v>TRANSFERS IN</v>
      </c>
      <c r="W222" s="125"/>
    </row>
    <row r="223" spans="1:24" s="83" customFormat="1" ht="20.399999999999999" customHeight="1">
      <c r="A223" s="608" t="s">
        <v>1032</v>
      </c>
      <c r="B223" s="608" t="s">
        <v>2003</v>
      </c>
      <c r="C223" s="608" t="s">
        <v>870</v>
      </c>
      <c r="D223" s="609">
        <v>0</v>
      </c>
      <c r="E223" s="609">
        <v>0</v>
      </c>
      <c r="F223" s="609">
        <v>0</v>
      </c>
      <c r="G223" s="609">
        <v>0</v>
      </c>
      <c r="H223" s="609">
        <v>0</v>
      </c>
      <c r="I223" s="609">
        <v>0</v>
      </c>
      <c r="J223" s="609">
        <v>0</v>
      </c>
      <c r="K223" s="609">
        <v>0</v>
      </c>
      <c r="L223" s="609">
        <v>0</v>
      </c>
      <c r="M223" s="609">
        <v>0</v>
      </c>
      <c r="N223" s="587">
        <f t="shared" si="19"/>
        <v>0</v>
      </c>
      <c r="O223"/>
      <c r="P223" s="490"/>
      <c r="Q223" t="str">
        <f t="shared" si="20"/>
        <v>42130</v>
      </c>
      <c r="R223" s="126" t="str">
        <f t="shared" si="21"/>
        <v>COMMUNICATION TOWER RENTAL</v>
      </c>
      <c r="S223" s="125" t="str">
        <f t="shared" si="22"/>
        <v>119</v>
      </c>
      <c r="T223" s="125" t="str">
        <f t="shared" si="23"/>
        <v>00</v>
      </c>
      <c r="U223" s="125" t="str">
        <f t="shared" si="24"/>
        <v>000</v>
      </c>
      <c r="V223" s="125" t="str">
        <f>VLOOKUP(Q223,'GL Category'!A:C,3,FALSE)</f>
        <v>CHARGES FOR SERVICE</v>
      </c>
      <c r="W223" s="125"/>
    </row>
    <row r="224" spans="1:24" s="83" customFormat="1" ht="20.399999999999999" customHeight="1">
      <c r="A224" s="608" t="s">
        <v>1032</v>
      </c>
      <c r="B224" s="608" t="s">
        <v>2004</v>
      </c>
      <c r="C224" s="608" t="s">
        <v>493</v>
      </c>
      <c r="D224" s="609">
        <v>0</v>
      </c>
      <c r="E224" s="609">
        <v>0</v>
      </c>
      <c r="F224" s="609">
        <v>0</v>
      </c>
      <c r="G224" s="609">
        <v>0</v>
      </c>
      <c r="H224" s="609">
        <v>0</v>
      </c>
      <c r="I224" s="609">
        <v>0</v>
      </c>
      <c r="J224" s="609">
        <v>0</v>
      </c>
      <c r="K224" s="609">
        <v>0</v>
      </c>
      <c r="L224" s="609">
        <v>0</v>
      </c>
      <c r="M224" s="609">
        <v>0</v>
      </c>
      <c r="N224" s="587">
        <f t="shared" si="19"/>
        <v>0</v>
      </c>
      <c r="O224"/>
      <c r="P224" s="490"/>
      <c r="Q224" t="str">
        <f t="shared" si="20"/>
        <v>44900</v>
      </c>
      <c r="R224" s="126" t="str">
        <f t="shared" si="21"/>
        <v>INFORMATION SERVICES FEES-CITY</v>
      </c>
      <c r="S224" s="125" t="str">
        <f t="shared" si="22"/>
        <v>119</v>
      </c>
      <c r="T224" s="125" t="str">
        <f t="shared" si="23"/>
        <v>00</v>
      </c>
      <c r="U224" s="125" t="str">
        <f t="shared" si="24"/>
        <v>000</v>
      </c>
      <c r="V224" s="125" t="str">
        <f>VLOOKUP(Q224,'GL Category'!A:C,3,FALSE)</f>
        <v>CHARGES FOR SERVICE</v>
      </c>
      <c r="W224" s="125"/>
    </row>
    <row r="225" spans="1:23" s="83" customFormat="1" ht="20.399999999999999" customHeight="1">
      <c r="A225" s="608" t="s">
        <v>1032</v>
      </c>
      <c r="B225" s="608" t="s">
        <v>2005</v>
      </c>
      <c r="C225" s="608" t="s">
        <v>494</v>
      </c>
      <c r="D225" s="609">
        <v>-1718673</v>
      </c>
      <c r="E225" s="609">
        <v>-1749080</v>
      </c>
      <c r="F225" s="609">
        <v>-1831808</v>
      </c>
      <c r="G225" s="609">
        <v>-2151328</v>
      </c>
      <c r="H225" s="609">
        <v>-2084454</v>
      </c>
      <c r="I225" s="609">
        <v>-1563340.5</v>
      </c>
      <c r="J225" s="609">
        <v>-2084454</v>
      </c>
      <c r="K225" s="609">
        <v>-2163074</v>
      </c>
      <c r="L225" s="609">
        <v>0</v>
      </c>
      <c r="M225" s="609">
        <v>-456370</v>
      </c>
      <c r="N225" s="587">
        <f t="shared" si="19"/>
        <v>-2619444</v>
      </c>
      <c r="O225"/>
      <c r="P225" s="490"/>
      <c r="Q225" t="str">
        <f t="shared" si="20"/>
        <v>44910</v>
      </c>
      <c r="R225" s="126" t="str">
        <f t="shared" si="21"/>
        <v>OFFICE EQUIP LEASE REV-F 100</v>
      </c>
      <c r="S225" s="125" t="str">
        <f t="shared" si="22"/>
        <v>119</v>
      </c>
      <c r="T225" s="125" t="str">
        <f t="shared" si="23"/>
        <v>00</v>
      </c>
      <c r="U225" s="125" t="str">
        <f t="shared" si="24"/>
        <v>000</v>
      </c>
      <c r="V225" s="125" t="str">
        <f>VLOOKUP(Q225,'GL Category'!A:C,3,FALSE)</f>
        <v>CHARGES FOR SERVICE</v>
      </c>
      <c r="W225" s="125"/>
    </row>
    <row r="226" spans="1:23" s="83" customFormat="1" ht="20.399999999999999" customHeight="1">
      <c r="A226" s="608" t="s">
        <v>1032</v>
      </c>
      <c r="B226" s="608" t="s">
        <v>2006</v>
      </c>
      <c r="C226" s="608" t="s">
        <v>495</v>
      </c>
      <c r="D226" s="609">
        <v>-473423</v>
      </c>
      <c r="E226" s="609">
        <v>-438799</v>
      </c>
      <c r="F226" s="609">
        <v>-442698</v>
      </c>
      <c r="G226" s="609">
        <v>-450317</v>
      </c>
      <c r="H226" s="609">
        <v>-466190</v>
      </c>
      <c r="I226" s="609">
        <v>-349642.5</v>
      </c>
      <c r="J226" s="609">
        <v>-466190</v>
      </c>
      <c r="K226" s="609">
        <v>-488733</v>
      </c>
      <c r="L226" s="609">
        <v>0</v>
      </c>
      <c r="M226" s="609">
        <v>-450000</v>
      </c>
      <c r="N226" s="587">
        <f t="shared" si="19"/>
        <v>-938733</v>
      </c>
      <c r="O226"/>
      <c r="P226" s="490"/>
      <c r="Q226" t="str">
        <f t="shared" si="20"/>
        <v>44920</v>
      </c>
      <c r="R226" s="126" t="str">
        <f t="shared" si="21"/>
        <v>OFFICE EQUIP LEASE REV-F 200</v>
      </c>
      <c r="S226" s="125" t="str">
        <f t="shared" si="22"/>
        <v>119</v>
      </c>
      <c r="T226" s="125" t="str">
        <f t="shared" si="23"/>
        <v>00</v>
      </c>
      <c r="U226" s="125" t="str">
        <f t="shared" si="24"/>
        <v>000</v>
      </c>
      <c r="V226" s="125" t="str">
        <f>VLOOKUP(Q226,'GL Category'!A:C,3,FALSE)</f>
        <v>CHARGES FOR SERVICE</v>
      </c>
      <c r="W226" s="125"/>
    </row>
    <row r="227" spans="1:23" s="83" customFormat="1" ht="20.399999999999999" customHeight="1">
      <c r="A227" s="608" t="s">
        <v>1032</v>
      </c>
      <c r="B227" s="608" t="s">
        <v>2007</v>
      </c>
      <c r="C227" s="608" t="s">
        <v>882</v>
      </c>
      <c r="D227" s="609">
        <v>-9600</v>
      </c>
      <c r="E227" s="609">
        <v>-9600</v>
      </c>
      <c r="F227" s="609">
        <v>-9600</v>
      </c>
      <c r="G227" s="609">
        <v>-9600</v>
      </c>
      <c r="H227" s="609">
        <v>-9600</v>
      </c>
      <c r="I227" s="609">
        <v>-7200</v>
      </c>
      <c r="J227" s="609">
        <v>-9600</v>
      </c>
      <c r="K227" s="609">
        <v>-9600</v>
      </c>
      <c r="L227" s="609">
        <v>0</v>
      </c>
      <c r="M227" s="609">
        <v>0</v>
      </c>
      <c r="N227" s="587">
        <f t="shared" si="19"/>
        <v>-9600</v>
      </c>
      <c r="O227"/>
      <c r="P227" s="490"/>
      <c r="Q227" t="str">
        <f t="shared" si="20"/>
        <v>44925</v>
      </c>
      <c r="R227" s="126" t="str">
        <f t="shared" si="21"/>
        <v>OFFICE EQUIP LEASE REV-F 118</v>
      </c>
      <c r="S227" s="125" t="str">
        <f t="shared" si="22"/>
        <v>119</v>
      </c>
      <c r="T227" s="125" t="str">
        <f t="shared" si="23"/>
        <v>00</v>
      </c>
      <c r="U227" s="125" t="str">
        <f t="shared" si="24"/>
        <v>000</v>
      </c>
      <c r="V227" s="125" t="str">
        <f>VLOOKUP(Q227,'GL Category'!A:C,3,FALSE)</f>
        <v>CHARGES FOR SERVICE</v>
      </c>
      <c r="W227" s="125"/>
    </row>
    <row r="228" spans="1:23" s="83" customFormat="1" ht="20.399999999999999" customHeight="1">
      <c r="A228" s="608" t="s">
        <v>1032</v>
      </c>
      <c r="B228" s="608" t="s">
        <v>2008</v>
      </c>
      <c r="C228" s="608" t="s">
        <v>496</v>
      </c>
      <c r="D228" s="609">
        <v>-20064</v>
      </c>
      <c r="E228" s="609">
        <v>-23356</v>
      </c>
      <c r="F228" s="609">
        <v>-21088</v>
      </c>
      <c r="G228" s="609">
        <v>-22262</v>
      </c>
      <c r="H228" s="609">
        <v>-25510</v>
      </c>
      <c r="I228" s="609">
        <v>-19132.5</v>
      </c>
      <c r="J228" s="609">
        <v>-25510</v>
      </c>
      <c r="K228" s="609">
        <v>-20787</v>
      </c>
      <c r="L228" s="609">
        <v>0</v>
      </c>
      <c r="M228" s="609">
        <v>0</v>
      </c>
      <c r="N228" s="587">
        <f t="shared" si="19"/>
        <v>-20787</v>
      </c>
      <c r="O228"/>
      <c r="P228" s="490"/>
      <c r="Q228" t="str">
        <f t="shared" si="20"/>
        <v>44930</v>
      </c>
      <c r="R228" s="126" t="str">
        <f t="shared" si="21"/>
        <v>OFFICE EQUIP LEASE REV-F 400</v>
      </c>
      <c r="S228" s="125" t="str">
        <f t="shared" si="22"/>
        <v>119</v>
      </c>
      <c r="T228" s="125" t="str">
        <f t="shared" si="23"/>
        <v>00</v>
      </c>
      <c r="U228" s="125" t="str">
        <f t="shared" si="24"/>
        <v>000</v>
      </c>
      <c r="V228" s="125" t="str">
        <f>VLOOKUP(Q228,'GL Category'!A:C,3,FALSE)</f>
        <v>CHARGES FOR SERVICE</v>
      </c>
      <c r="W228" s="125"/>
    </row>
    <row r="229" spans="1:23" s="83" customFormat="1" ht="20.399999999999999" customHeight="1">
      <c r="A229" s="608" t="s">
        <v>1032</v>
      </c>
      <c r="B229" s="608" t="s">
        <v>2009</v>
      </c>
      <c r="C229" s="608" t="s">
        <v>497</v>
      </c>
      <c r="D229" s="609">
        <v>-82625</v>
      </c>
      <c r="E229" s="609">
        <v>-103245</v>
      </c>
      <c r="F229" s="609">
        <v>-76678</v>
      </c>
      <c r="G229" s="609">
        <v>-82145</v>
      </c>
      <c r="H229" s="609">
        <v>-86340</v>
      </c>
      <c r="I229" s="609">
        <v>-64755</v>
      </c>
      <c r="J229" s="609">
        <v>-86340</v>
      </c>
      <c r="K229" s="609">
        <v>-98501</v>
      </c>
      <c r="L229" s="609">
        <v>0</v>
      </c>
      <c r="M229" s="609">
        <v>0</v>
      </c>
      <c r="N229" s="587">
        <f t="shared" si="19"/>
        <v>-98501</v>
      </c>
      <c r="O229"/>
      <c r="P229" s="490"/>
      <c r="Q229" t="str">
        <f t="shared" si="20"/>
        <v>44940</v>
      </c>
      <c r="R229" s="126" t="str">
        <f t="shared" si="21"/>
        <v>OFFICE EQUIP LEASE REV-F 125</v>
      </c>
      <c r="S229" s="125" t="str">
        <f t="shared" si="22"/>
        <v>119</v>
      </c>
      <c r="T229" s="125" t="str">
        <f t="shared" si="23"/>
        <v>00</v>
      </c>
      <c r="U229" s="125" t="str">
        <f t="shared" si="24"/>
        <v>000</v>
      </c>
      <c r="V229" s="125" t="str">
        <f>VLOOKUP(Q229,'GL Category'!A:C,3,FALSE)</f>
        <v>CHARGES FOR SERVICE</v>
      </c>
      <c r="W229" s="125"/>
    </row>
    <row r="230" spans="1:23" s="83" customFormat="1" ht="20.399999999999999" customHeight="1">
      <c r="A230" s="608" t="s">
        <v>1032</v>
      </c>
      <c r="B230" s="608" t="s">
        <v>2010</v>
      </c>
      <c r="C230" s="608" t="s">
        <v>421</v>
      </c>
      <c r="D230" s="609">
        <v>0</v>
      </c>
      <c r="E230" s="609">
        <v>0</v>
      </c>
      <c r="F230" s="609">
        <v>0</v>
      </c>
      <c r="G230" s="609">
        <v>0</v>
      </c>
      <c r="H230" s="609">
        <v>0</v>
      </c>
      <c r="I230" s="609">
        <v>0</v>
      </c>
      <c r="J230" s="609">
        <v>0</v>
      </c>
      <c r="K230" s="609">
        <v>0</v>
      </c>
      <c r="L230" s="609">
        <v>0</v>
      </c>
      <c r="M230" s="609">
        <v>0</v>
      </c>
      <c r="N230" s="587">
        <f t="shared" si="19"/>
        <v>0</v>
      </c>
      <c r="O230"/>
      <c r="P230" s="490"/>
      <c r="Q230" t="str">
        <f t="shared" si="20"/>
        <v>47010</v>
      </c>
      <c r="R230" s="126" t="str">
        <f t="shared" si="21"/>
        <v>MISCELLANEOUS REVENUE</v>
      </c>
      <c r="S230" s="125" t="str">
        <f t="shared" si="22"/>
        <v>119</v>
      </c>
      <c r="T230" s="125" t="str">
        <f t="shared" si="23"/>
        <v>00</v>
      </c>
      <c r="U230" s="125" t="str">
        <f t="shared" si="24"/>
        <v>000</v>
      </c>
      <c r="V230" s="125" t="str">
        <f>VLOOKUP(Q230,'GL Category'!A:C,3,FALSE)</f>
        <v>OTHER REVENUE</v>
      </c>
      <c r="W230" s="125"/>
    </row>
    <row r="231" spans="1:23" s="83" customFormat="1" ht="20.399999999999999" customHeight="1">
      <c r="A231" s="608" t="s">
        <v>1032</v>
      </c>
      <c r="B231" s="608" t="s">
        <v>2011</v>
      </c>
      <c r="C231" s="608" t="s">
        <v>422</v>
      </c>
      <c r="D231" s="609">
        <v>0</v>
      </c>
      <c r="E231" s="609">
        <v>-416.25</v>
      </c>
      <c r="F231" s="609">
        <v>-28683.35</v>
      </c>
      <c r="G231" s="609">
        <v>0</v>
      </c>
      <c r="H231" s="609">
        <v>0</v>
      </c>
      <c r="I231" s="609">
        <v>-4353.05</v>
      </c>
      <c r="J231" s="609">
        <v>0</v>
      </c>
      <c r="K231" s="609">
        <v>0</v>
      </c>
      <c r="L231" s="609">
        <v>0</v>
      </c>
      <c r="M231" s="609">
        <v>0</v>
      </c>
      <c r="N231" s="587">
        <f t="shared" si="19"/>
        <v>0</v>
      </c>
      <c r="O231"/>
      <c r="P231" s="490"/>
      <c r="Q231" t="str">
        <f t="shared" si="20"/>
        <v>47020</v>
      </c>
      <c r="R231" s="126" t="str">
        <f t="shared" si="21"/>
        <v>AUCTION PROCEEDS</v>
      </c>
      <c r="S231" s="125" t="str">
        <f t="shared" si="22"/>
        <v>119</v>
      </c>
      <c r="T231" s="125" t="str">
        <f t="shared" si="23"/>
        <v>00</v>
      </c>
      <c r="U231" s="125" t="str">
        <f t="shared" si="24"/>
        <v>000</v>
      </c>
      <c r="V231" s="125" t="str">
        <f>VLOOKUP(Q231,'GL Category'!A:C,3,FALSE)</f>
        <v>OTHER REVENUE</v>
      </c>
      <c r="W231" s="125"/>
    </row>
    <row r="232" spans="1:23" s="83" customFormat="1" ht="20.399999999999999" customHeight="1">
      <c r="A232" s="608" t="s">
        <v>1032</v>
      </c>
      <c r="B232" s="608" t="s">
        <v>2012</v>
      </c>
      <c r="C232" s="608" t="s">
        <v>427</v>
      </c>
      <c r="D232" s="609">
        <v>0</v>
      </c>
      <c r="E232" s="609">
        <v>0</v>
      </c>
      <c r="F232" s="609">
        <v>0</v>
      </c>
      <c r="G232" s="609">
        <v>0</v>
      </c>
      <c r="H232" s="609">
        <v>0</v>
      </c>
      <c r="I232" s="609">
        <v>0</v>
      </c>
      <c r="J232" s="609">
        <v>0</v>
      </c>
      <c r="K232" s="609">
        <v>0</v>
      </c>
      <c r="L232" s="609">
        <v>0</v>
      </c>
      <c r="M232" s="609">
        <v>0</v>
      </c>
      <c r="N232" s="587">
        <f t="shared" si="19"/>
        <v>0</v>
      </c>
      <c r="O232"/>
      <c r="P232" s="490"/>
      <c r="Q232" t="str">
        <f t="shared" si="20"/>
        <v>47030</v>
      </c>
      <c r="R232" s="126" t="str">
        <f t="shared" si="21"/>
        <v>GAIN/LOSS ON DISP OF ASSETS</v>
      </c>
      <c r="S232" s="125" t="str">
        <f t="shared" si="22"/>
        <v>119</v>
      </c>
      <c r="T232" s="125" t="str">
        <f t="shared" si="23"/>
        <v>00</v>
      </c>
      <c r="U232" s="125" t="str">
        <f t="shared" si="24"/>
        <v>000</v>
      </c>
      <c r="V232" s="125" t="str">
        <f>VLOOKUP(Q232,'GL Category'!A:C,3,FALSE)</f>
        <v>OTHER REVENUE</v>
      </c>
      <c r="W232" s="125"/>
    </row>
    <row r="233" spans="1:23" s="83" customFormat="1" ht="20.399999999999999" customHeight="1">
      <c r="A233" s="608" t="s">
        <v>1032</v>
      </c>
      <c r="B233" s="608" t="s">
        <v>2013</v>
      </c>
      <c r="C233" s="608" t="s">
        <v>423</v>
      </c>
      <c r="D233" s="609">
        <v>-25687.13</v>
      </c>
      <c r="E233" s="609">
        <v>-4872.26</v>
      </c>
      <c r="F233" s="609">
        <v>-11587.63</v>
      </c>
      <c r="G233" s="609">
        <v>-85684.92</v>
      </c>
      <c r="H233" s="609">
        <v>-8092</v>
      </c>
      <c r="I233" s="609">
        <v>-78205.259999999995</v>
      </c>
      <c r="J233" s="609">
        <v>-69981</v>
      </c>
      <c r="K233" s="609">
        <v>-70000</v>
      </c>
      <c r="L233" s="609">
        <v>0</v>
      </c>
      <c r="M233" s="609">
        <v>0</v>
      </c>
      <c r="N233" s="587">
        <f t="shared" si="19"/>
        <v>-70000</v>
      </c>
      <c r="O233"/>
      <c r="P233" s="490"/>
      <c r="Q233" t="str">
        <f t="shared" si="20"/>
        <v>47090</v>
      </c>
      <c r="R233" s="126" t="str">
        <f t="shared" si="21"/>
        <v>INTEREST REVENUE-INVESTMENTS</v>
      </c>
      <c r="S233" s="125" t="str">
        <f t="shared" si="22"/>
        <v>119</v>
      </c>
      <c r="T233" s="125" t="str">
        <f t="shared" si="23"/>
        <v>00</v>
      </c>
      <c r="U233" s="125" t="str">
        <f t="shared" si="24"/>
        <v>000</v>
      </c>
      <c r="V233" s="125" t="str">
        <f>VLOOKUP(Q233,'GL Category'!A:C,3,FALSE)</f>
        <v>OTHER REVENUE</v>
      </c>
      <c r="W233" s="125"/>
    </row>
    <row r="234" spans="1:23" s="83" customFormat="1" ht="20.399999999999999" customHeight="1">
      <c r="A234" s="608" t="s">
        <v>1032</v>
      </c>
      <c r="B234" s="608" t="s">
        <v>3117</v>
      </c>
      <c r="C234" s="608" t="s">
        <v>827</v>
      </c>
      <c r="D234" s="609">
        <v>0</v>
      </c>
      <c r="E234" s="609">
        <v>0</v>
      </c>
      <c r="F234" s="609">
        <v>0</v>
      </c>
      <c r="G234" s="609">
        <v>0</v>
      </c>
      <c r="H234" s="609">
        <v>0</v>
      </c>
      <c r="I234" s="609">
        <v>0</v>
      </c>
      <c r="J234" s="609">
        <v>0</v>
      </c>
      <c r="K234" s="609">
        <v>0</v>
      </c>
      <c r="L234" s="609">
        <v>0</v>
      </c>
      <c r="M234" s="609">
        <v>0</v>
      </c>
      <c r="N234" s="587">
        <f t="shared" si="19"/>
        <v>0</v>
      </c>
      <c r="O234"/>
      <c r="P234" s="490"/>
      <c r="Q234" t="str">
        <f t="shared" si="20"/>
        <v>47099</v>
      </c>
      <c r="R234" s="126" t="str">
        <f t="shared" si="21"/>
        <v>INCR/DECR IN FAIR VALUE OF INV</v>
      </c>
      <c r="S234" s="125" t="str">
        <f t="shared" si="22"/>
        <v>119</v>
      </c>
      <c r="T234" s="125" t="str">
        <f t="shared" si="23"/>
        <v>00</v>
      </c>
      <c r="U234" s="125" t="str">
        <f t="shared" si="24"/>
        <v>000</v>
      </c>
      <c r="V234" s="125" t="str">
        <f>VLOOKUP(Q234,'GL Category'!A:C,3,FALSE)</f>
        <v>OTHER REVENUE</v>
      </c>
      <c r="W234" s="125"/>
    </row>
    <row r="235" spans="1:23" s="83" customFormat="1" ht="20.399999999999999" customHeight="1">
      <c r="A235" s="608" t="s">
        <v>1032</v>
      </c>
      <c r="B235" s="608" t="s">
        <v>3292</v>
      </c>
      <c r="C235" s="608" t="s">
        <v>3149</v>
      </c>
      <c r="D235" s="609">
        <v>0</v>
      </c>
      <c r="E235" s="609">
        <v>0</v>
      </c>
      <c r="F235" s="609">
        <v>0</v>
      </c>
      <c r="G235" s="609">
        <v>0</v>
      </c>
      <c r="H235" s="609">
        <v>0</v>
      </c>
      <c r="I235" s="609">
        <v>0</v>
      </c>
      <c r="J235" s="609">
        <v>0</v>
      </c>
      <c r="K235" s="609">
        <v>0</v>
      </c>
      <c r="L235" s="609">
        <v>0</v>
      </c>
      <c r="M235" s="609">
        <v>0</v>
      </c>
      <c r="N235" s="587">
        <f t="shared" si="19"/>
        <v>0</v>
      </c>
      <c r="O235"/>
      <c r="P235" s="490"/>
      <c r="Q235" t="str">
        <f t="shared" si="20"/>
        <v>49198</v>
      </c>
      <c r="R235" s="126" t="str">
        <f t="shared" si="21"/>
        <v>TRANSFER FROM GENERAL GOVERNME</v>
      </c>
      <c r="S235" s="125" t="str">
        <f t="shared" si="22"/>
        <v>119</v>
      </c>
      <c r="T235" s="125" t="str">
        <f t="shared" si="23"/>
        <v>00</v>
      </c>
      <c r="U235" s="125" t="str">
        <f t="shared" si="24"/>
        <v>000</v>
      </c>
      <c r="V235" s="125" t="str">
        <f>VLOOKUP(Q235,'GL Category'!A:C,3,FALSE)</f>
        <v>TRANSFERS IN</v>
      </c>
      <c r="W235" s="125"/>
    </row>
    <row r="236" spans="1:23" s="83" customFormat="1" ht="20.399999999999999" customHeight="1">
      <c r="A236" s="608" t="s">
        <v>1032</v>
      </c>
      <c r="B236" s="608" t="s">
        <v>2014</v>
      </c>
      <c r="C236" s="608" t="s">
        <v>84</v>
      </c>
      <c r="D236" s="609">
        <v>-64</v>
      </c>
      <c r="E236" s="609">
        <v>0</v>
      </c>
      <c r="F236" s="609">
        <v>-19873</v>
      </c>
      <c r="G236" s="609">
        <v>-262728</v>
      </c>
      <c r="H236" s="609">
        <v>0</v>
      </c>
      <c r="I236" s="609">
        <v>0</v>
      </c>
      <c r="J236" s="609">
        <v>0</v>
      </c>
      <c r="K236" s="609">
        <v>0</v>
      </c>
      <c r="L236" s="609">
        <v>0</v>
      </c>
      <c r="M236" s="609">
        <v>0</v>
      </c>
      <c r="N236" s="587">
        <f t="shared" si="19"/>
        <v>0</v>
      </c>
      <c r="O236"/>
      <c r="P236" s="490"/>
      <c r="Q236" t="str">
        <f t="shared" si="20"/>
        <v>49999</v>
      </c>
      <c r="R236" s="126" t="str">
        <f t="shared" si="21"/>
        <v>USE OF FUND BALANCE</v>
      </c>
      <c r="S236" s="125" t="str">
        <f t="shared" si="22"/>
        <v>119</v>
      </c>
      <c r="T236" s="125" t="str">
        <f t="shared" si="23"/>
        <v>00</v>
      </c>
      <c r="U236" s="125" t="str">
        <f t="shared" si="24"/>
        <v>000</v>
      </c>
      <c r="V236" s="125" t="str">
        <f>VLOOKUP(Q236,'GL Category'!A:C,3,FALSE)</f>
        <v>TRANSFERS IN</v>
      </c>
      <c r="W236" s="125"/>
    </row>
    <row r="237" spans="1:23" s="83" customFormat="1" ht="20.399999999999999" customHeight="1">
      <c r="A237" s="608" t="s">
        <v>1030</v>
      </c>
      <c r="B237" s="608" t="s">
        <v>2070</v>
      </c>
      <c r="C237" s="608" t="s">
        <v>746</v>
      </c>
      <c r="D237" s="609">
        <v>-40532.76</v>
      </c>
      <c r="E237" s="609">
        <v>-40853.51</v>
      </c>
      <c r="F237" s="609">
        <v>-35049.07</v>
      </c>
      <c r="G237" s="609">
        <v>-35218.879999999997</v>
      </c>
      <c r="H237" s="609">
        <v>-37044</v>
      </c>
      <c r="I237" s="609">
        <v>-23547.81</v>
      </c>
      <c r="J237" s="609">
        <v>-33109</v>
      </c>
      <c r="K237" s="609">
        <v>-37044</v>
      </c>
      <c r="L237" s="609">
        <v>0</v>
      </c>
      <c r="M237" s="609">
        <v>0</v>
      </c>
      <c r="N237" s="587">
        <f t="shared" si="19"/>
        <v>-37044</v>
      </c>
      <c r="O237"/>
      <c r="P237" s="490"/>
      <c r="Q237" t="str">
        <f t="shared" si="20"/>
        <v>44870</v>
      </c>
      <c r="R237" s="126" t="str">
        <f t="shared" si="21"/>
        <v>SOLID WASTE/GARBAGE FEES</v>
      </c>
      <c r="S237" s="125" t="str">
        <f t="shared" si="22"/>
        <v>120</v>
      </c>
      <c r="T237" s="125" t="str">
        <f t="shared" si="23"/>
        <v>00</v>
      </c>
      <c r="U237" s="125" t="str">
        <f t="shared" si="24"/>
        <v>000</v>
      </c>
      <c r="V237" s="125" t="str">
        <f>VLOOKUP(Q237,'GL Category'!A:C,3,FALSE)</f>
        <v>CHARGES FOR SERVICE</v>
      </c>
      <c r="W237" s="125"/>
    </row>
    <row r="238" spans="1:23" s="83" customFormat="1" ht="20.399999999999999" customHeight="1">
      <c r="A238" s="608" t="s">
        <v>1030</v>
      </c>
      <c r="B238" s="608" t="s">
        <v>3198</v>
      </c>
      <c r="C238" s="608" t="s">
        <v>421</v>
      </c>
      <c r="D238" s="609">
        <v>0</v>
      </c>
      <c r="E238" s="609">
        <v>0</v>
      </c>
      <c r="F238" s="609">
        <v>0</v>
      </c>
      <c r="G238" s="609">
        <v>0</v>
      </c>
      <c r="H238" s="609">
        <v>0</v>
      </c>
      <c r="I238" s="609">
        <v>0</v>
      </c>
      <c r="J238" s="609">
        <v>0</v>
      </c>
      <c r="K238" s="609">
        <v>0</v>
      </c>
      <c r="L238" s="609">
        <v>0</v>
      </c>
      <c r="M238" s="609">
        <v>0</v>
      </c>
      <c r="N238" s="587">
        <f t="shared" si="19"/>
        <v>0</v>
      </c>
      <c r="O238"/>
      <c r="P238" s="490"/>
      <c r="Q238" t="str">
        <f t="shared" si="20"/>
        <v>47010</v>
      </c>
      <c r="R238" s="126" t="str">
        <f t="shared" si="21"/>
        <v>MISCELLANEOUS REVENUE</v>
      </c>
      <c r="S238" s="125" t="str">
        <f t="shared" si="22"/>
        <v>120</v>
      </c>
      <c r="T238" s="125" t="str">
        <f t="shared" si="23"/>
        <v>00</v>
      </c>
      <c r="U238" s="125" t="str">
        <f t="shared" si="24"/>
        <v>000</v>
      </c>
      <c r="V238" s="125" t="str">
        <f>VLOOKUP(Q238,'GL Category'!A:C,3,FALSE)</f>
        <v>OTHER REVENUE</v>
      </c>
      <c r="W238" s="125"/>
    </row>
    <row r="239" spans="1:23" s="83" customFormat="1" ht="20.399999999999999" customHeight="1">
      <c r="A239" s="608" t="s">
        <v>1030</v>
      </c>
      <c r="B239" s="608" t="s">
        <v>2071</v>
      </c>
      <c r="C239" s="608" t="s">
        <v>423</v>
      </c>
      <c r="D239" s="609">
        <v>-5786.12</v>
      </c>
      <c r="E239" s="609">
        <v>-1643.44</v>
      </c>
      <c r="F239" s="609">
        <v>-2416.85</v>
      </c>
      <c r="G239" s="609">
        <v>-17098.04</v>
      </c>
      <c r="H239" s="609">
        <v>-5138</v>
      </c>
      <c r="I239" s="609">
        <v>-18693.509999999998</v>
      </c>
      <c r="J239" s="609">
        <v>-22574</v>
      </c>
      <c r="K239" s="609">
        <v>-22574</v>
      </c>
      <c r="L239" s="609">
        <v>0</v>
      </c>
      <c r="M239" s="609">
        <v>0</v>
      </c>
      <c r="N239" s="587">
        <f t="shared" si="19"/>
        <v>-22574</v>
      </c>
      <c r="O239"/>
      <c r="P239" s="490"/>
      <c r="Q239" t="str">
        <f t="shared" si="20"/>
        <v>47090</v>
      </c>
      <c r="R239" s="126" t="str">
        <f t="shared" si="21"/>
        <v>INTEREST REVENUE-INVESTMENTS</v>
      </c>
      <c r="S239" s="125" t="str">
        <f t="shared" si="22"/>
        <v>120</v>
      </c>
      <c r="T239" s="125" t="str">
        <f t="shared" si="23"/>
        <v>00</v>
      </c>
      <c r="U239" s="125" t="str">
        <f t="shared" si="24"/>
        <v>000</v>
      </c>
      <c r="V239" s="125" t="str">
        <f>VLOOKUP(Q239,'GL Category'!A:C,3,FALSE)</f>
        <v>OTHER REVENUE</v>
      </c>
      <c r="W239" s="125"/>
    </row>
    <row r="240" spans="1:23" s="83" customFormat="1" ht="20.399999999999999" customHeight="1">
      <c r="A240" s="608" t="s">
        <v>1030</v>
      </c>
      <c r="B240" s="608" t="s">
        <v>3166</v>
      </c>
      <c r="C240" s="608" t="s">
        <v>84</v>
      </c>
      <c r="D240" s="609">
        <v>62</v>
      </c>
      <c r="E240" s="609">
        <v>1950.87</v>
      </c>
      <c r="F240" s="609">
        <v>0</v>
      </c>
      <c r="G240" s="609">
        <v>0</v>
      </c>
      <c r="H240" s="609">
        <v>0</v>
      </c>
      <c r="I240" s="609">
        <v>0</v>
      </c>
      <c r="J240" s="609">
        <v>0</v>
      </c>
      <c r="K240" s="609">
        <v>0</v>
      </c>
      <c r="L240" s="609">
        <v>0</v>
      </c>
      <c r="M240" s="609">
        <v>0</v>
      </c>
      <c r="N240" s="587">
        <f t="shared" si="19"/>
        <v>0</v>
      </c>
      <c r="O240"/>
      <c r="P240" s="490"/>
      <c r="Q240" t="str">
        <f t="shared" si="20"/>
        <v>49999</v>
      </c>
      <c r="R240" s="126" t="str">
        <f t="shared" si="21"/>
        <v>USE OF FUND BALANCE</v>
      </c>
      <c r="S240" s="125" t="str">
        <f t="shared" si="22"/>
        <v>120</v>
      </c>
      <c r="T240" s="125" t="str">
        <f t="shared" si="23"/>
        <v>00</v>
      </c>
      <c r="U240" s="125" t="str">
        <f t="shared" si="24"/>
        <v>000</v>
      </c>
      <c r="V240" s="125" t="str">
        <f>VLOOKUP(Q240,'GL Category'!A:C,3,FALSE)</f>
        <v>TRANSFERS IN</v>
      </c>
      <c r="W240" s="125"/>
    </row>
    <row r="241" spans="1:23" s="83" customFormat="1" ht="20.399999999999999" customHeight="1">
      <c r="A241" s="608" t="s">
        <v>1031</v>
      </c>
      <c r="B241" s="608" t="s">
        <v>3293</v>
      </c>
      <c r="C241" s="608" t="s">
        <v>857</v>
      </c>
      <c r="D241" s="609">
        <v>0</v>
      </c>
      <c r="E241" s="609">
        <v>0</v>
      </c>
      <c r="F241" s="609">
        <v>0</v>
      </c>
      <c r="G241" s="609">
        <v>0</v>
      </c>
      <c r="H241" s="609">
        <v>0</v>
      </c>
      <c r="I241" s="609">
        <v>0</v>
      </c>
      <c r="J241" s="609">
        <v>0</v>
      </c>
      <c r="K241" s="609">
        <v>0</v>
      </c>
      <c r="L241" s="609">
        <v>0</v>
      </c>
      <c r="M241" s="609">
        <v>0</v>
      </c>
      <c r="N241" s="587">
        <f t="shared" si="19"/>
        <v>0</v>
      </c>
      <c r="O241"/>
      <c r="P241" s="490"/>
      <c r="Q241" t="str">
        <f t="shared" si="20"/>
        <v>41355</v>
      </c>
      <c r="R241" s="126" t="str">
        <f t="shared" si="21"/>
        <v>CAPITAL CONTRIBUTIONS-CITY</v>
      </c>
      <c r="S241" s="125" t="str">
        <f t="shared" si="22"/>
        <v>125</v>
      </c>
      <c r="T241" s="125" t="str">
        <f t="shared" si="23"/>
        <v>00</v>
      </c>
      <c r="U241" s="125" t="str">
        <f t="shared" si="24"/>
        <v>000</v>
      </c>
      <c r="V241" s="125" t="str">
        <f>VLOOKUP(Q241,'GL Category'!A:C,3,FALSE)</f>
        <v>DEVELOPMENT FEES</v>
      </c>
      <c r="W241" s="125"/>
    </row>
    <row r="242" spans="1:23" s="83" customFormat="1" ht="20.399999999999999" customHeight="1">
      <c r="A242" s="608" t="s">
        <v>1031</v>
      </c>
      <c r="B242" s="608" t="s">
        <v>3294</v>
      </c>
      <c r="C242" s="608" t="s">
        <v>3150</v>
      </c>
      <c r="D242" s="609">
        <v>0</v>
      </c>
      <c r="E242" s="609">
        <v>0</v>
      </c>
      <c r="F242" s="609">
        <v>0</v>
      </c>
      <c r="G242" s="609">
        <v>0</v>
      </c>
      <c r="H242" s="609">
        <v>0</v>
      </c>
      <c r="I242" s="609">
        <v>0</v>
      </c>
      <c r="J242" s="609">
        <v>0</v>
      </c>
      <c r="K242" s="609">
        <v>0</v>
      </c>
      <c r="L242" s="609">
        <v>0</v>
      </c>
      <c r="M242" s="609">
        <v>0</v>
      </c>
      <c r="N242" s="587">
        <f t="shared" si="19"/>
        <v>0</v>
      </c>
      <c r="O242"/>
      <c r="P242" s="490"/>
      <c r="Q242" t="str">
        <f t="shared" si="20"/>
        <v>41360</v>
      </c>
      <c r="R242" s="126" t="str">
        <f t="shared" si="21"/>
        <v>CITY CONTR OF CAP ASSETS(AUDIT</v>
      </c>
      <c r="S242" s="125" t="str">
        <f t="shared" si="22"/>
        <v>125</v>
      </c>
      <c r="T242" s="125" t="str">
        <f t="shared" si="23"/>
        <v>00</v>
      </c>
      <c r="U242" s="125" t="str">
        <f t="shared" si="24"/>
        <v>000</v>
      </c>
      <c r="V242" s="125" t="str">
        <f>VLOOKUP(Q242,'GL Category'!A:C,3,FALSE)</f>
        <v>DEVELOPMENT FEES</v>
      </c>
      <c r="W242" s="125"/>
    </row>
    <row r="243" spans="1:23" s="83" customFormat="1" ht="20.399999999999999" customHeight="1">
      <c r="A243" s="608" t="s">
        <v>1031</v>
      </c>
      <c r="B243" s="608" t="s">
        <v>1542</v>
      </c>
      <c r="C243" s="608" t="s">
        <v>409</v>
      </c>
      <c r="D243" s="609">
        <v>-28279.5</v>
      </c>
      <c r="E243" s="609">
        <v>-26595.5</v>
      </c>
      <c r="F243" s="609">
        <v>-29052</v>
      </c>
      <c r="G243" s="609">
        <v>-35350</v>
      </c>
      <c r="H243" s="609">
        <v>-37658</v>
      </c>
      <c r="I243" s="609">
        <v>-27965</v>
      </c>
      <c r="J243" s="609">
        <v>-32000</v>
      </c>
      <c r="K243" s="609">
        <v>-35119</v>
      </c>
      <c r="L243" s="609">
        <v>0</v>
      </c>
      <c r="M243" s="609">
        <v>0</v>
      </c>
      <c r="N243" s="587">
        <f t="shared" si="19"/>
        <v>-35119</v>
      </c>
      <c r="O243"/>
      <c r="P243" s="490"/>
      <c r="Q243" t="str">
        <f t="shared" si="20"/>
        <v>42125</v>
      </c>
      <c r="R243" s="126" t="str">
        <f t="shared" si="21"/>
        <v>FACILITY RENTAL FEES</v>
      </c>
      <c r="S243" s="125" t="str">
        <f t="shared" si="22"/>
        <v>125</v>
      </c>
      <c r="T243" s="125" t="str">
        <f t="shared" si="23"/>
        <v>00</v>
      </c>
      <c r="U243" s="125" t="str">
        <f t="shared" si="24"/>
        <v>000</v>
      </c>
      <c r="V243" s="125" t="str">
        <f>VLOOKUP(Q243,'GL Category'!A:C,3,FALSE)</f>
        <v>CHARGES FOR SERVICE</v>
      </c>
      <c r="W243" s="125"/>
    </row>
    <row r="244" spans="1:23" s="83" customFormat="1" ht="20.399999999999999" customHeight="1">
      <c r="A244" s="608" t="s">
        <v>1031</v>
      </c>
      <c r="B244" s="608" t="s">
        <v>1543</v>
      </c>
      <c r="C244" s="608" t="s">
        <v>498</v>
      </c>
      <c r="D244" s="609">
        <v>-63319</v>
      </c>
      <c r="E244" s="609">
        <v>-165433</v>
      </c>
      <c r="F244" s="609">
        <v>-149844</v>
      </c>
      <c r="G244" s="609">
        <v>-216039</v>
      </c>
      <c r="H244" s="609">
        <v>-224718</v>
      </c>
      <c r="I244" s="609">
        <v>-176406</v>
      </c>
      <c r="J244" s="609">
        <v>-200000</v>
      </c>
      <c r="K244" s="609">
        <v>-200000</v>
      </c>
      <c r="L244" s="609">
        <v>0</v>
      </c>
      <c r="M244" s="609">
        <v>0</v>
      </c>
      <c r="N244" s="587">
        <f t="shared" si="19"/>
        <v>-200000</v>
      </c>
      <c r="O244"/>
      <c r="P244" s="490"/>
      <c r="Q244" t="str">
        <f t="shared" si="20"/>
        <v>43410</v>
      </c>
      <c r="R244" s="126" t="str">
        <f t="shared" si="21"/>
        <v>DAILY TICKET SALES</v>
      </c>
      <c r="S244" s="125" t="str">
        <f t="shared" si="22"/>
        <v>125</v>
      </c>
      <c r="T244" s="125" t="str">
        <f t="shared" si="23"/>
        <v>00</v>
      </c>
      <c r="U244" s="125" t="str">
        <f t="shared" si="24"/>
        <v>000</v>
      </c>
      <c r="V244" s="125" t="str">
        <f>VLOOKUP(Q244,'GL Category'!A:C,3,FALSE)</f>
        <v>CHARGES FOR SERVICE</v>
      </c>
      <c r="W244" s="125"/>
    </row>
    <row r="245" spans="1:23" s="83" customFormat="1" ht="20.399999999999999" customHeight="1">
      <c r="A245" s="608" t="s">
        <v>1031</v>
      </c>
      <c r="B245" s="608" t="s">
        <v>1544</v>
      </c>
      <c r="C245" s="608" t="s">
        <v>3383</v>
      </c>
      <c r="D245" s="609">
        <v>-1504797.73</v>
      </c>
      <c r="E245" s="609">
        <v>-1613480.85</v>
      </c>
      <c r="F245" s="609">
        <v>-1668870.02</v>
      </c>
      <c r="G245" s="609">
        <v>-1782024.49</v>
      </c>
      <c r="H245" s="609">
        <v>-1876762</v>
      </c>
      <c r="I245" s="609">
        <v>-1538349.86</v>
      </c>
      <c r="J245" s="609">
        <v>-1825000</v>
      </c>
      <c r="K245" s="609">
        <v>-1850000</v>
      </c>
      <c r="L245" s="609">
        <v>0</v>
      </c>
      <c r="M245" s="609">
        <v>0</v>
      </c>
      <c r="N245" s="587">
        <f t="shared" si="19"/>
        <v>-1850000</v>
      </c>
      <c r="O245"/>
      <c r="P245" s="490"/>
      <c r="Q245" t="str">
        <f t="shared" si="20"/>
        <v>43415</v>
      </c>
      <c r="R245" s="126" t="str">
        <f t="shared" si="21"/>
        <v>MEMBERSHIP FEES</v>
      </c>
      <c r="S245" s="125" t="str">
        <f t="shared" si="22"/>
        <v>125</v>
      </c>
      <c r="T245" s="125" t="str">
        <f t="shared" si="23"/>
        <v>00</v>
      </c>
      <c r="U245" s="125" t="str">
        <f t="shared" si="24"/>
        <v>000</v>
      </c>
      <c r="V245" s="125" t="str">
        <f>VLOOKUP(Q245,'GL Category'!A:C,3,FALSE)</f>
        <v>CHARGES FOR SERVICE</v>
      </c>
      <c r="W245" s="125"/>
    </row>
    <row r="246" spans="1:23" s="83" customFormat="1" ht="20.399999999999999" customHeight="1">
      <c r="A246" s="608" t="s">
        <v>1031</v>
      </c>
      <c r="B246" s="608" t="s">
        <v>1545</v>
      </c>
      <c r="C246" s="608" t="s">
        <v>499</v>
      </c>
      <c r="D246" s="609">
        <v>-96396</v>
      </c>
      <c r="E246" s="609">
        <v>-96396</v>
      </c>
      <c r="F246" s="609">
        <v>-96396</v>
      </c>
      <c r="G246" s="609">
        <v>-100252</v>
      </c>
      <c r="H246" s="609">
        <v>-100252</v>
      </c>
      <c r="I246" s="609">
        <v>-62175.42</v>
      </c>
      <c r="J246" s="609">
        <v>-100252</v>
      </c>
      <c r="K246" s="609">
        <v>-100252</v>
      </c>
      <c r="L246" s="609">
        <v>0</v>
      </c>
      <c r="M246" s="609">
        <v>0</v>
      </c>
      <c r="N246" s="587">
        <f t="shared" si="19"/>
        <v>-100252</v>
      </c>
      <c r="O246"/>
      <c r="P246" s="490"/>
      <c r="Q246" t="str">
        <f t="shared" si="20"/>
        <v>43420</v>
      </c>
      <c r="R246" s="126" t="str">
        <f t="shared" si="21"/>
        <v>EMPLOYEE PASS REVENUE</v>
      </c>
      <c r="S246" s="125" t="str">
        <f t="shared" si="22"/>
        <v>125</v>
      </c>
      <c r="T246" s="125" t="str">
        <f t="shared" si="23"/>
        <v>00</v>
      </c>
      <c r="U246" s="125" t="str">
        <f t="shared" si="24"/>
        <v>000</v>
      </c>
      <c r="V246" s="125" t="str">
        <f>VLOOKUP(Q246,'GL Category'!A:C,3,FALSE)</f>
        <v>CHARGES FOR SERVICE</v>
      </c>
      <c r="W246" s="125"/>
    </row>
    <row r="247" spans="1:23" s="83" customFormat="1" ht="20.399999999999999" customHeight="1">
      <c r="A247" s="608" t="s">
        <v>1031</v>
      </c>
      <c r="B247" s="608" t="s">
        <v>1546</v>
      </c>
      <c r="C247" s="608" t="s">
        <v>500</v>
      </c>
      <c r="D247" s="609">
        <v>-15915.1</v>
      </c>
      <c r="E247" s="609">
        <v>-20308.36</v>
      </c>
      <c r="F247" s="609">
        <v>-19118.939999999999</v>
      </c>
      <c r="G247" s="609">
        <v>-20250.439999999999</v>
      </c>
      <c r="H247" s="609">
        <v>-21158</v>
      </c>
      <c r="I247" s="609">
        <v>-17210.48</v>
      </c>
      <c r="J247" s="609">
        <v>-21158</v>
      </c>
      <c r="K247" s="609">
        <v>-21598</v>
      </c>
      <c r="L247" s="609">
        <v>0</v>
      </c>
      <c r="M247" s="609">
        <v>0</v>
      </c>
      <c r="N247" s="587">
        <f t="shared" si="19"/>
        <v>-21598</v>
      </c>
      <c r="O247"/>
      <c r="P247" s="490"/>
      <c r="Q247" t="str">
        <f t="shared" si="20"/>
        <v>43421</v>
      </c>
      <c r="R247" s="126" t="str">
        <f t="shared" si="21"/>
        <v>EMPL DEPENDENT PASS REVENUE</v>
      </c>
      <c r="S247" s="125" t="str">
        <f t="shared" si="22"/>
        <v>125</v>
      </c>
      <c r="T247" s="125" t="str">
        <f t="shared" si="23"/>
        <v>00</v>
      </c>
      <c r="U247" s="125" t="str">
        <f t="shared" si="24"/>
        <v>000</v>
      </c>
      <c r="V247" s="125" t="str">
        <f>VLOOKUP(Q247,'GL Category'!A:C,3,FALSE)</f>
        <v>CHARGES FOR SERVICE</v>
      </c>
      <c r="W247" s="125"/>
    </row>
    <row r="248" spans="1:23" s="83" customFormat="1" ht="20.399999999999999" customHeight="1">
      <c r="A248" s="608" t="s">
        <v>1031</v>
      </c>
      <c r="B248" s="608" t="s">
        <v>1547</v>
      </c>
      <c r="C248" s="608" t="s">
        <v>501</v>
      </c>
      <c r="D248" s="609">
        <v>-32820</v>
      </c>
      <c r="E248" s="609">
        <v>-63270</v>
      </c>
      <c r="F248" s="609">
        <v>-50159</v>
      </c>
      <c r="G248" s="609">
        <v>-139225</v>
      </c>
      <c r="H248" s="609">
        <v>-85044</v>
      </c>
      <c r="I248" s="609">
        <v>-120886.5</v>
      </c>
      <c r="J248" s="609">
        <v>-160000</v>
      </c>
      <c r="K248" s="609">
        <v>-150000</v>
      </c>
      <c r="L248" s="609">
        <v>-50000</v>
      </c>
      <c r="M248" s="609">
        <v>0</v>
      </c>
      <c r="N248" s="587">
        <f t="shared" si="19"/>
        <v>-200000</v>
      </c>
      <c r="O248"/>
      <c r="P248" s="490"/>
      <c r="Q248" t="str">
        <f t="shared" si="20"/>
        <v>43450</v>
      </c>
      <c r="R248" s="126" t="str">
        <f t="shared" si="21"/>
        <v>PARTY REVENUES</v>
      </c>
      <c r="S248" s="125" t="str">
        <f t="shared" si="22"/>
        <v>125</v>
      </c>
      <c r="T248" s="125" t="str">
        <f t="shared" si="23"/>
        <v>00</v>
      </c>
      <c r="U248" s="125" t="str">
        <f t="shared" si="24"/>
        <v>000</v>
      </c>
      <c r="V248" s="125" t="str">
        <f>VLOOKUP(Q248,'GL Category'!A:C,3,FALSE)</f>
        <v>CHARGES FOR SERVICE</v>
      </c>
      <c r="W248" s="125"/>
    </row>
    <row r="249" spans="1:23" s="83" customFormat="1" ht="20.399999999999999" customHeight="1">
      <c r="A249" s="608" t="s">
        <v>1031</v>
      </c>
      <c r="B249" s="608" t="s">
        <v>1548</v>
      </c>
      <c r="C249" s="608" t="s">
        <v>502</v>
      </c>
      <c r="D249" s="609">
        <v>0</v>
      </c>
      <c r="E249" s="609">
        <v>-6048.4</v>
      </c>
      <c r="F249" s="609">
        <v>0</v>
      </c>
      <c r="G249" s="609">
        <v>0</v>
      </c>
      <c r="H249" s="609">
        <v>0</v>
      </c>
      <c r="I249" s="609">
        <v>0</v>
      </c>
      <c r="J249" s="609">
        <v>0</v>
      </c>
      <c r="K249" s="609">
        <v>0</v>
      </c>
      <c r="L249" s="609">
        <v>0</v>
      </c>
      <c r="M249" s="609">
        <v>0</v>
      </c>
      <c r="N249" s="587">
        <f t="shared" si="19"/>
        <v>0</v>
      </c>
      <c r="O249"/>
      <c r="P249" s="490"/>
      <c r="Q249" t="str">
        <f t="shared" si="20"/>
        <v>43455</v>
      </c>
      <c r="R249" s="126" t="str">
        <f t="shared" si="21"/>
        <v>EXPIRED GIFT CARD REVENUE</v>
      </c>
      <c r="S249" s="125" t="str">
        <f t="shared" si="22"/>
        <v>125</v>
      </c>
      <c r="T249" s="125" t="str">
        <f t="shared" si="23"/>
        <v>00</v>
      </c>
      <c r="U249" s="125" t="str">
        <f t="shared" si="24"/>
        <v>000</v>
      </c>
      <c r="V249" s="125" t="str">
        <f>VLOOKUP(Q249,'GL Category'!A:C,3,FALSE)</f>
        <v>CHARGES FOR SERVICE</v>
      </c>
      <c r="W249" s="125"/>
    </row>
    <row r="250" spans="1:23" s="83" customFormat="1" ht="20.399999999999999" customHeight="1">
      <c r="A250" s="608" t="s">
        <v>1031</v>
      </c>
      <c r="B250" s="608" t="s">
        <v>1549</v>
      </c>
      <c r="C250" s="608" t="s">
        <v>875</v>
      </c>
      <c r="D250" s="609">
        <v>-1281.73</v>
      </c>
      <c r="E250" s="609">
        <v>-588.29</v>
      </c>
      <c r="F250" s="609">
        <v>-1622.15</v>
      </c>
      <c r="G250" s="609">
        <v>-1373.34</v>
      </c>
      <c r="H250" s="609">
        <v>-4414</v>
      </c>
      <c r="I250" s="609">
        <v>-661.53</v>
      </c>
      <c r="J250" s="609">
        <v>-1261</v>
      </c>
      <c r="K250" s="609">
        <v>-1203</v>
      </c>
      <c r="L250" s="609">
        <v>0</v>
      </c>
      <c r="M250" s="609">
        <v>0</v>
      </c>
      <c r="N250" s="587">
        <f t="shared" si="19"/>
        <v>-1203</v>
      </c>
      <c r="O250"/>
      <c r="P250" s="490"/>
      <c r="Q250" t="str">
        <f t="shared" si="20"/>
        <v>43460</v>
      </c>
      <c r="R250" s="126" t="str">
        <f t="shared" si="21"/>
        <v>CONCESSION SALES/PROCEEDS</v>
      </c>
      <c r="S250" s="125" t="str">
        <f t="shared" si="22"/>
        <v>125</v>
      </c>
      <c r="T250" s="125" t="str">
        <f t="shared" si="23"/>
        <v>00</v>
      </c>
      <c r="U250" s="125" t="str">
        <f t="shared" si="24"/>
        <v>000</v>
      </c>
      <c r="V250" s="125" t="str">
        <f>VLOOKUP(Q250,'GL Category'!A:C,3,FALSE)</f>
        <v>CHARGES FOR SERVICE</v>
      </c>
      <c r="W250" s="125"/>
    </row>
    <row r="251" spans="1:23" s="83" customFormat="1" ht="20.399999999999999" customHeight="1">
      <c r="A251" s="608" t="s">
        <v>1031</v>
      </c>
      <c r="B251" s="608" t="s">
        <v>1550</v>
      </c>
      <c r="C251" s="608" t="s">
        <v>416</v>
      </c>
      <c r="D251" s="609">
        <v>-347.41</v>
      </c>
      <c r="E251" s="609">
        <v>-25.87</v>
      </c>
      <c r="F251" s="609">
        <v>0</v>
      </c>
      <c r="G251" s="609">
        <v>-1642.41</v>
      </c>
      <c r="H251" s="609">
        <v>-351</v>
      </c>
      <c r="I251" s="609">
        <v>-2129.91</v>
      </c>
      <c r="J251" s="609">
        <v>-2500</v>
      </c>
      <c r="K251" s="609">
        <v>-355</v>
      </c>
      <c r="L251" s="609">
        <v>0</v>
      </c>
      <c r="M251" s="609">
        <v>0</v>
      </c>
      <c r="N251" s="587">
        <f t="shared" si="19"/>
        <v>-355</v>
      </c>
      <c r="O251"/>
      <c r="P251" s="490"/>
      <c r="Q251" t="str">
        <f t="shared" si="20"/>
        <v>43462</v>
      </c>
      <c r="R251" s="126" t="str">
        <f t="shared" si="21"/>
        <v>MERCHANDISE SALES</v>
      </c>
      <c r="S251" s="125" t="str">
        <f t="shared" si="22"/>
        <v>125</v>
      </c>
      <c r="T251" s="125" t="str">
        <f t="shared" si="23"/>
        <v>00</v>
      </c>
      <c r="U251" s="125" t="str">
        <f t="shared" si="24"/>
        <v>000</v>
      </c>
      <c r="V251" s="125" t="str">
        <f>VLOOKUP(Q251,'GL Category'!A:C,3,FALSE)</f>
        <v>CHARGES FOR SERVICE</v>
      </c>
      <c r="W251" s="125"/>
    </row>
    <row r="252" spans="1:23" s="83" customFormat="1" ht="20.399999999999999" customHeight="1">
      <c r="A252" s="608" t="s">
        <v>1031</v>
      </c>
      <c r="B252" s="608" t="s">
        <v>1551</v>
      </c>
      <c r="C252" s="608" t="s">
        <v>503</v>
      </c>
      <c r="D252" s="609">
        <v>-2706.84</v>
      </c>
      <c r="E252" s="609">
        <v>-3517.22</v>
      </c>
      <c r="F252" s="609">
        <v>-2660.52</v>
      </c>
      <c r="G252" s="609">
        <v>-5105.7</v>
      </c>
      <c r="H252" s="609">
        <v>-3443</v>
      </c>
      <c r="I252" s="609">
        <v>-5635.07</v>
      </c>
      <c r="J252" s="609">
        <v>-6800</v>
      </c>
      <c r="K252" s="609">
        <v>-5291</v>
      </c>
      <c r="L252" s="609">
        <v>0</v>
      </c>
      <c r="M252" s="609">
        <v>0</v>
      </c>
      <c r="N252" s="587">
        <f t="shared" si="19"/>
        <v>-5291</v>
      </c>
      <c r="O252"/>
      <c r="P252" s="490"/>
      <c r="Q252" t="str">
        <f t="shared" si="20"/>
        <v>43463</v>
      </c>
      <c r="R252" s="126" t="str">
        <f t="shared" si="21"/>
        <v>AQUATICS MERCHANDISE SALES</v>
      </c>
      <c r="S252" s="125" t="str">
        <f t="shared" si="22"/>
        <v>125</v>
      </c>
      <c r="T252" s="125" t="str">
        <f t="shared" si="23"/>
        <v>00</v>
      </c>
      <c r="U252" s="125" t="str">
        <f t="shared" si="24"/>
        <v>000</v>
      </c>
      <c r="V252" s="125" t="str">
        <f>VLOOKUP(Q252,'GL Category'!A:C,3,FALSE)</f>
        <v>CHARGES FOR SERVICE</v>
      </c>
      <c r="W252" s="125"/>
    </row>
    <row r="253" spans="1:23" s="83" customFormat="1" ht="20.399999999999999" customHeight="1">
      <c r="A253" s="608" t="s">
        <v>1031</v>
      </c>
      <c r="B253" s="608" t="s">
        <v>1552</v>
      </c>
      <c r="C253" s="608" t="s">
        <v>504</v>
      </c>
      <c r="D253" s="609">
        <v>0</v>
      </c>
      <c r="E253" s="609">
        <v>0</v>
      </c>
      <c r="F253" s="609">
        <v>0</v>
      </c>
      <c r="G253" s="609">
        <v>0</v>
      </c>
      <c r="H253" s="609">
        <v>-197</v>
      </c>
      <c r="I253" s="609">
        <v>0</v>
      </c>
      <c r="J253" s="609">
        <v>0</v>
      </c>
      <c r="K253" s="609">
        <v>0</v>
      </c>
      <c r="L253" s="609">
        <v>0</v>
      </c>
      <c r="M253" s="609">
        <v>0</v>
      </c>
      <c r="N253" s="587">
        <f t="shared" si="19"/>
        <v>0</v>
      </c>
      <c r="O253"/>
      <c r="P253" s="490"/>
      <c r="Q253" t="str">
        <f t="shared" si="20"/>
        <v>43465</v>
      </c>
      <c r="R253" s="126" t="str">
        <f t="shared" si="21"/>
        <v>OUTDOOR CONCESSION SALES</v>
      </c>
      <c r="S253" s="125" t="str">
        <f t="shared" si="22"/>
        <v>125</v>
      </c>
      <c r="T253" s="125" t="str">
        <f t="shared" si="23"/>
        <v>00</v>
      </c>
      <c r="U253" s="125" t="str">
        <f t="shared" si="24"/>
        <v>000</v>
      </c>
      <c r="V253" s="125" t="str">
        <f>VLOOKUP(Q253,'GL Category'!A:C,3,FALSE)</f>
        <v>CHARGES FOR SERVICE</v>
      </c>
      <c r="W253" s="125"/>
    </row>
    <row r="254" spans="1:23" s="83" customFormat="1" ht="20.399999999999999" customHeight="1">
      <c r="A254" s="608" t="s">
        <v>1031</v>
      </c>
      <c r="B254" s="608" t="s">
        <v>1553</v>
      </c>
      <c r="C254" s="608" t="s">
        <v>505</v>
      </c>
      <c r="D254" s="609">
        <v>0</v>
      </c>
      <c r="E254" s="609">
        <v>0</v>
      </c>
      <c r="F254" s="609">
        <v>0</v>
      </c>
      <c r="G254" s="609">
        <v>0</v>
      </c>
      <c r="H254" s="609">
        <v>0</v>
      </c>
      <c r="I254" s="609">
        <v>0</v>
      </c>
      <c r="J254" s="609">
        <v>0</v>
      </c>
      <c r="K254" s="609">
        <v>0</v>
      </c>
      <c r="L254" s="609">
        <v>0</v>
      </c>
      <c r="M254" s="609">
        <v>0</v>
      </c>
      <c r="N254" s="587">
        <f t="shared" si="19"/>
        <v>0</v>
      </c>
      <c r="O254"/>
      <c r="P254" s="490"/>
      <c r="Q254" t="str">
        <f t="shared" si="20"/>
        <v>43466</v>
      </c>
      <c r="R254" s="126" t="str">
        <f t="shared" si="21"/>
        <v>OUTDOOR MERCHANDISE SALES</v>
      </c>
      <c r="S254" s="125" t="str">
        <f t="shared" si="22"/>
        <v>125</v>
      </c>
      <c r="T254" s="125" t="str">
        <f t="shared" si="23"/>
        <v>00</v>
      </c>
      <c r="U254" s="125" t="str">
        <f t="shared" si="24"/>
        <v>000</v>
      </c>
      <c r="V254" s="125" t="str">
        <f>VLOOKUP(Q254,'GL Category'!A:C,3,FALSE)</f>
        <v>CHARGES FOR SERVICE</v>
      </c>
      <c r="W254" s="125"/>
    </row>
    <row r="255" spans="1:23" s="83" customFormat="1" ht="20.399999999999999" customHeight="1">
      <c r="A255" s="608" t="s">
        <v>1031</v>
      </c>
      <c r="B255" s="608" t="s">
        <v>1554</v>
      </c>
      <c r="C255" s="608" t="s">
        <v>506</v>
      </c>
      <c r="D255" s="609">
        <v>-8476</v>
      </c>
      <c r="E255" s="609">
        <v>-8712</v>
      </c>
      <c r="F255" s="609">
        <v>-8354</v>
      </c>
      <c r="G255" s="609">
        <v>-11454</v>
      </c>
      <c r="H255" s="609">
        <v>-10965</v>
      </c>
      <c r="I255" s="609">
        <v>-10796</v>
      </c>
      <c r="J255" s="609">
        <v>-13000</v>
      </c>
      <c r="K255" s="609">
        <v>-11643</v>
      </c>
      <c r="L255" s="609">
        <v>0</v>
      </c>
      <c r="M255" s="609">
        <v>0</v>
      </c>
      <c r="N255" s="587">
        <f t="shared" si="19"/>
        <v>-11643</v>
      </c>
      <c r="O255"/>
      <c r="P255" s="490"/>
      <c r="Q255" t="str">
        <f t="shared" si="20"/>
        <v>43480</v>
      </c>
      <c r="R255" s="126" t="str">
        <f t="shared" si="21"/>
        <v>STAY &amp; PLAY</v>
      </c>
      <c r="S255" s="125" t="str">
        <f t="shared" si="22"/>
        <v>125</v>
      </c>
      <c r="T255" s="125" t="str">
        <f t="shared" si="23"/>
        <v>00</v>
      </c>
      <c r="U255" s="125" t="str">
        <f t="shared" si="24"/>
        <v>000</v>
      </c>
      <c r="V255" s="125" t="str">
        <f>VLOOKUP(Q255,'GL Category'!A:C,3,FALSE)</f>
        <v>CHARGES FOR SERVICE</v>
      </c>
      <c r="W255" s="125"/>
    </row>
    <row r="256" spans="1:23" s="83" customFormat="1" ht="20.399999999999999" customHeight="1">
      <c r="A256" s="608" t="s">
        <v>1031</v>
      </c>
      <c r="B256" s="608" t="s">
        <v>1555</v>
      </c>
      <c r="C256" s="608" t="s">
        <v>876</v>
      </c>
      <c r="D256" s="609">
        <v>-24281.62</v>
      </c>
      <c r="E256" s="609">
        <v>-99196.72</v>
      </c>
      <c r="F256" s="609">
        <v>-47215</v>
      </c>
      <c r="G256" s="609">
        <v>-153221.76999999999</v>
      </c>
      <c r="H256" s="609">
        <v>-134112</v>
      </c>
      <c r="I256" s="609">
        <v>-143220.1</v>
      </c>
      <c r="J256" s="609">
        <v>-150000</v>
      </c>
      <c r="K256" s="609">
        <v>-150000</v>
      </c>
      <c r="L256" s="609">
        <v>-17000</v>
      </c>
      <c r="M256" s="609">
        <v>0</v>
      </c>
      <c r="N256" s="587">
        <f t="shared" si="19"/>
        <v>-167000</v>
      </c>
      <c r="O256"/>
      <c r="P256" s="490"/>
      <c r="Q256" t="str">
        <f t="shared" si="20"/>
        <v>43481</v>
      </c>
      <c r="R256" s="126" t="str">
        <f t="shared" si="21"/>
        <v>AQUATICS PROGRAM REVENUES</v>
      </c>
      <c r="S256" s="125" t="str">
        <f t="shared" si="22"/>
        <v>125</v>
      </c>
      <c r="T256" s="125" t="str">
        <f t="shared" si="23"/>
        <v>00</v>
      </c>
      <c r="U256" s="125" t="str">
        <f t="shared" si="24"/>
        <v>000</v>
      </c>
      <c r="V256" s="125" t="str">
        <f>VLOOKUP(Q256,'GL Category'!A:C,3,FALSE)</f>
        <v>CHARGES FOR SERVICE</v>
      </c>
      <c r="W256" s="125"/>
    </row>
    <row r="257" spans="1:23" s="83" customFormat="1" ht="20.399999999999999" customHeight="1">
      <c r="A257" s="608" t="s">
        <v>1031</v>
      </c>
      <c r="B257" s="608" t="s">
        <v>1556</v>
      </c>
      <c r="C257" s="608" t="s">
        <v>507</v>
      </c>
      <c r="D257" s="609">
        <v>0</v>
      </c>
      <c r="E257" s="609">
        <v>0</v>
      </c>
      <c r="F257" s="609">
        <v>0</v>
      </c>
      <c r="G257" s="609">
        <v>0</v>
      </c>
      <c r="H257" s="609">
        <v>0</v>
      </c>
      <c r="I257" s="609">
        <v>0</v>
      </c>
      <c r="J257" s="609">
        <v>0</v>
      </c>
      <c r="K257" s="609">
        <v>0</v>
      </c>
      <c r="L257" s="609">
        <v>0</v>
      </c>
      <c r="M257" s="609">
        <v>0</v>
      </c>
      <c r="N257" s="587">
        <f t="shared" si="19"/>
        <v>0</v>
      </c>
      <c r="O257"/>
      <c r="P257" s="490"/>
      <c r="Q257" t="str">
        <f t="shared" si="20"/>
        <v>43482</v>
      </c>
      <c r="R257" s="126" t="str">
        <f t="shared" si="21"/>
        <v>FITNESS PROGRAM REVENUES</v>
      </c>
      <c r="S257" s="125" t="str">
        <f t="shared" si="22"/>
        <v>125</v>
      </c>
      <c r="T257" s="125" t="str">
        <f t="shared" si="23"/>
        <v>00</v>
      </c>
      <c r="U257" s="125" t="str">
        <f t="shared" si="24"/>
        <v>000</v>
      </c>
      <c r="V257" s="125" t="str">
        <f>VLOOKUP(Q257,'GL Category'!A:C,3,FALSE)</f>
        <v>CHARGES FOR SERVICE</v>
      </c>
      <c r="W257" s="125"/>
    </row>
    <row r="258" spans="1:23" s="83" customFormat="1" ht="20.399999999999999" customHeight="1">
      <c r="A258" s="608" t="s">
        <v>1031</v>
      </c>
      <c r="B258" s="608" t="s">
        <v>1557</v>
      </c>
      <c r="C258" s="608" t="s">
        <v>508</v>
      </c>
      <c r="D258" s="609">
        <v>-283</v>
      </c>
      <c r="E258" s="609">
        <v>-714</v>
      </c>
      <c r="F258" s="609">
        <v>-258</v>
      </c>
      <c r="G258" s="609">
        <v>-838</v>
      </c>
      <c r="H258" s="609">
        <v>-587</v>
      </c>
      <c r="I258" s="609">
        <v>-557</v>
      </c>
      <c r="J258" s="609">
        <v>-600</v>
      </c>
      <c r="K258" s="609">
        <v>-1044</v>
      </c>
      <c r="L258" s="609">
        <v>0</v>
      </c>
      <c r="M258" s="609">
        <v>0</v>
      </c>
      <c r="N258" s="587">
        <f t="shared" si="19"/>
        <v>-1044</v>
      </c>
      <c r="O258"/>
      <c r="P258" s="490"/>
      <c r="Q258" t="str">
        <f t="shared" si="20"/>
        <v>43483</v>
      </c>
      <c r="R258" s="126" t="str">
        <f t="shared" si="21"/>
        <v>GROUP EXERCISE REVENUE</v>
      </c>
      <c r="S258" s="125" t="str">
        <f t="shared" si="22"/>
        <v>125</v>
      </c>
      <c r="T258" s="125" t="str">
        <f t="shared" si="23"/>
        <v>00</v>
      </c>
      <c r="U258" s="125" t="str">
        <f t="shared" si="24"/>
        <v>000</v>
      </c>
      <c r="V258" s="125" t="str">
        <f>VLOOKUP(Q258,'GL Category'!A:C,3,FALSE)</f>
        <v>CHARGES FOR SERVICE</v>
      </c>
      <c r="W258" s="125"/>
    </row>
    <row r="259" spans="1:23" s="83" customFormat="1" ht="20.399999999999999" customHeight="1">
      <c r="A259" s="608" t="s">
        <v>1031</v>
      </c>
      <c r="B259" s="608" t="s">
        <v>1558</v>
      </c>
      <c r="C259" s="608" t="s">
        <v>509</v>
      </c>
      <c r="D259" s="609">
        <v>-16680.32</v>
      </c>
      <c r="E259" s="609">
        <v>-12720</v>
      </c>
      <c r="F259" s="609">
        <v>-3240</v>
      </c>
      <c r="G259" s="609">
        <v>-43401</v>
      </c>
      <c r="H259" s="609">
        <v>-13500</v>
      </c>
      <c r="I259" s="609">
        <v>-89795</v>
      </c>
      <c r="J259" s="609">
        <v>-100000</v>
      </c>
      <c r="K259" s="609">
        <v>-117115</v>
      </c>
      <c r="L259" s="609">
        <v>-84000</v>
      </c>
      <c r="M259" s="609">
        <v>0</v>
      </c>
      <c r="N259" s="587">
        <f t="shared" si="19"/>
        <v>-201115</v>
      </c>
      <c r="O259"/>
      <c r="P259" s="490"/>
      <c r="Q259" t="str">
        <f t="shared" si="20"/>
        <v>43484</v>
      </c>
      <c r="R259" s="126" t="str">
        <f t="shared" si="21"/>
        <v>PERSONAL TRAINING REVENUE</v>
      </c>
      <c r="S259" s="125" t="str">
        <f t="shared" si="22"/>
        <v>125</v>
      </c>
      <c r="T259" s="125" t="str">
        <f t="shared" si="23"/>
        <v>00</v>
      </c>
      <c r="U259" s="125" t="str">
        <f t="shared" si="24"/>
        <v>000</v>
      </c>
      <c r="V259" s="125" t="str">
        <f>VLOOKUP(Q259,'GL Category'!A:C,3,FALSE)</f>
        <v>CHARGES FOR SERVICE</v>
      </c>
      <c r="W259" s="125"/>
    </row>
    <row r="260" spans="1:23" s="83" customFormat="1" ht="20.399999999999999" customHeight="1">
      <c r="A260" s="608" t="s">
        <v>1031</v>
      </c>
      <c r="B260" s="608" t="s">
        <v>1559</v>
      </c>
      <c r="C260" s="608" t="s">
        <v>430</v>
      </c>
      <c r="D260" s="609">
        <v>-63576.08</v>
      </c>
      <c r="E260" s="609">
        <v>-191821.38</v>
      </c>
      <c r="F260" s="609">
        <v>-252767.25</v>
      </c>
      <c r="G260" s="609">
        <v>-264139.5</v>
      </c>
      <c r="H260" s="609">
        <v>-293000</v>
      </c>
      <c r="I260" s="609">
        <v>-211615.25</v>
      </c>
      <c r="J260" s="609">
        <v>-245000</v>
      </c>
      <c r="K260" s="609">
        <v>-244412</v>
      </c>
      <c r="L260" s="609">
        <v>0</v>
      </c>
      <c r="M260" s="609">
        <v>0</v>
      </c>
      <c r="N260" s="587">
        <f t="shared" ref="N260:N323" si="25">SUM(K260:M260)</f>
        <v>-244412</v>
      </c>
      <c r="O260"/>
      <c r="P260" s="490"/>
      <c r="Q260" t="str">
        <f t="shared" ref="Q260:Q323" si="26">MID(B260,12,5)</f>
        <v>43485</v>
      </c>
      <c r="R260" s="126" t="str">
        <f t="shared" ref="R260:R323" si="27">C260</f>
        <v>RECREATION PROGRAM REVENUE</v>
      </c>
      <c r="S260" s="125" t="str">
        <f t="shared" ref="S260:S323" si="28">LEFT(B260,3)</f>
        <v>125</v>
      </c>
      <c r="T260" s="125" t="str">
        <f t="shared" ref="T260:T323" si="29">MID(B260,5,2)</f>
        <v>00</v>
      </c>
      <c r="U260" s="125" t="str">
        <f t="shared" ref="U260:U323" si="30">MID(B260,8,3)</f>
        <v>000</v>
      </c>
      <c r="V260" s="125" t="str">
        <f>VLOOKUP(Q260,'GL Category'!A:C,3,FALSE)</f>
        <v>CHARGES FOR SERVICE</v>
      </c>
      <c r="W260" s="125"/>
    </row>
    <row r="261" spans="1:23" s="83" customFormat="1" ht="20.399999999999999" customHeight="1">
      <c r="A261" s="608" t="s">
        <v>1031</v>
      </c>
      <c r="B261" s="608" t="s">
        <v>1560</v>
      </c>
      <c r="C261" s="608" t="s">
        <v>1087</v>
      </c>
      <c r="D261" s="609">
        <v>-4704</v>
      </c>
      <c r="E261" s="609">
        <v>-151157.5</v>
      </c>
      <c r="F261" s="609">
        <v>-162233</v>
      </c>
      <c r="G261" s="609">
        <v>-189179</v>
      </c>
      <c r="H261" s="609">
        <v>-166600</v>
      </c>
      <c r="I261" s="609">
        <v>-171222.75</v>
      </c>
      <c r="J261" s="609">
        <v>-175000</v>
      </c>
      <c r="K261" s="609">
        <v>-166600</v>
      </c>
      <c r="L261" s="609">
        <v>0</v>
      </c>
      <c r="M261" s="609">
        <v>0</v>
      </c>
      <c r="N261" s="587">
        <f t="shared" si="25"/>
        <v>-166600</v>
      </c>
      <c r="O261"/>
      <c r="P261" s="490"/>
      <c r="Q261" t="str">
        <f t="shared" si="26"/>
        <v>43487</v>
      </c>
      <c r="R261" s="126" t="str">
        <f t="shared" si="27"/>
        <v>SPRING/SUMMER CAMP</v>
      </c>
      <c r="S261" s="125" t="str">
        <f t="shared" si="28"/>
        <v>125</v>
      </c>
      <c r="T261" s="125" t="str">
        <f t="shared" si="29"/>
        <v>00</v>
      </c>
      <c r="U261" s="125" t="str">
        <f t="shared" si="30"/>
        <v>000</v>
      </c>
      <c r="V261" s="125" t="str">
        <f>VLOOKUP(Q261,'GL Category'!A:C,3,FALSE)</f>
        <v>CHARGES FOR SERVICE</v>
      </c>
      <c r="W261" s="125"/>
    </row>
    <row r="262" spans="1:23" s="83" customFormat="1" ht="20.399999999999999" customHeight="1">
      <c r="A262" s="608" t="s">
        <v>1031</v>
      </c>
      <c r="B262" s="608" t="s">
        <v>1561</v>
      </c>
      <c r="C262" s="608" t="s">
        <v>1088</v>
      </c>
      <c r="D262" s="609">
        <v>-37600</v>
      </c>
      <c r="E262" s="609">
        <v>-30350</v>
      </c>
      <c r="F262" s="609">
        <v>-75050</v>
      </c>
      <c r="G262" s="609">
        <v>-71508</v>
      </c>
      <c r="H262" s="609">
        <v>-83836</v>
      </c>
      <c r="I262" s="609">
        <v>-74783.94</v>
      </c>
      <c r="J262" s="609">
        <v>-85000</v>
      </c>
      <c r="K262" s="609">
        <v>-90000</v>
      </c>
      <c r="L262" s="609">
        <v>0</v>
      </c>
      <c r="M262" s="609">
        <v>0</v>
      </c>
      <c r="N262" s="587">
        <f t="shared" si="25"/>
        <v>-90000</v>
      </c>
      <c r="O262"/>
      <c r="P262" s="490"/>
      <c r="Q262" t="str">
        <f t="shared" si="26"/>
        <v>43488</v>
      </c>
      <c r="R262" s="126" t="str">
        <f t="shared" si="27"/>
        <v>MARTIAL ARTS</v>
      </c>
      <c r="S262" s="125" t="str">
        <f t="shared" si="28"/>
        <v>125</v>
      </c>
      <c r="T262" s="125" t="str">
        <f t="shared" si="29"/>
        <v>00</v>
      </c>
      <c r="U262" s="125" t="str">
        <f t="shared" si="30"/>
        <v>000</v>
      </c>
      <c r="V262" s="125" t="str">
        <f>VLOOKUP(Q262,'GL Category'!A:C,3,FALSE)</f>
        <v>CHARGES FOR SERVICE</v>
      </c>
      <c r="W262" s="125"/>
    </row>
    <row r="263" spans="1:23" s="83" customFormat="1" ht="20.399999999999999" customHeight="1">
      <c r="A263" s="608" t="s">
        <v>1031</v>
      </c>
      <c r="B263" s="608" t="s">
        <v>1562</v>
      </c>
      <c r="C263" s="608" t="s">
        <v>510</v>
      </c>
      <c r="D263" s="609">
        <v>-2447</v>
      </c>
      <c r="E263" s="609">
        <v>-1660</v>
      </c>
      <c r="F263" s="609">
        <v>-1450</v>
      </c>
      <c r="G263" s="609">
        <v>-5550</v>
      </c>
      <c r="H263" s="609">
        <v>-1018</v>
      </c>
      <c r="I263" s="609">
        <v>-4785</v>
      </c>
      <c r="J263" s="609">
        <v>-5500</v>
      </c>
      <c r="K263" s="609">
        <v>-10039</v>
      </c>
      <c r="L263" s="609">
        <v>0</v>
      </c>
      <c r="M263" s="609">
        <v>0</v>
      </c>
      <c r="N263" s="587">
        <f t="shared" si="25"/>
        <v>-10039</v>
      </c>
      <c r="O263"/>
      <c r="P263" s="490"/>
      <c r="Q263" t="str">
        <f t="shared" si="26"/>
        <v>43501</v>
      </c>
      <c r="R263" s="126" t="str">
        <f t="shared" si="27"/>
        <v>GYM RENTAL FEES</v>
      </c>
      <c r="S263" s="125" t="str">
        <f t="shared" si="28"/>
        <v>125</v>
      </c>
      <c r="T263" s="125" t="str">
        <f t="shared" si="29"/>
        <v>00</v>
      </c>
      <c r="U263" s="125" t="str">
        <f t="shared" si="30"/>
        <v>000</v>
      </c>
      <c r="V263" s="125" t="str">
        <f>VLOOKUP(Q263,'GL Category'!A:C,3,FALSE)</f>
        <v>CHARGES FOR SERVICE</v>
      </c>
      <c r="W263" s="125"/>
    </row>
    <row r="264" spans="1:23" s="83" customFormat="1" ht="20.399999999999999" customHeight="1">
      <c r="A264" s="608" t="s">
        <v>1031</v>
      </c>
      <c r="B264" s="608" t="s">
        <v>1563</v>
      </c>
      <c r="C264" s="608" t="s">
        <v>511</v>
      </c>
      <c r="D264" s="609">
        <v>-930</v>
      </c>
      <c r="E264" s="609">
        <v>-23965</v>
      </c>
      <c r="F264" s="609">
        <v>-18775</v>
      </c>
      <c r="G264" s="609">
        <v>-26135</v>
      </c>
      <c r="H264" s="609">
        <v>-18629</v>
      </c>
      <c r="I264" s="609">
        <v>-21465</v>
      </c>
      <c r="J264" s="609">
        <v>-24000</v>
      </c>
      <c r="K264" s="609">
        <v>-16713</v>
      </c>
      <c r="L264" s="609">
        <v>0</v>
      </c>
      <c r="M264" s="609">
        <v>0</v>
      </c>
      <c r="N264" s="587">
        <f t="shared" si="25"/>
        <v>-16713</v>
      </c>
      <c r="O264"/>
      <c r="P264" s="490"/>
      <c r="Q264" t="str">
        <f t="shared" si="26"/>
        <v>43503</v>
      </c>
      <c r="R264" s="126" t="str">
        <f t="shared" si="27"/>
        <v>POOL RENTAL FEES</v>
      </c>
      <c r="S264" s="125" t="str">
        <f t="shared" si="28"/>
        <v>125</v>
      </c>
      <c r="T264" s="125" t="str">
        <f t="shared" si="29"/>
        <v>00</v>
      </c>
      <c r="U264" s="125" t="str">
        <f t="shared" si="30"/>
        <v>000</v>
      </c>
      <c r="V264" s="125" t="str">
        <f>VLOOKUP(Q264,'GL Category'!A:C,3,FALSE)</f>
        <v>CHARGES FOR SERVICE</v>
      </c>
      <c r="W264" s="125"/>
    </row>
    <row r="265" spans="1:23" s="83" customFormat="1" ht="20.399999999999999" customHeight="1">
      <c r="A265" s="608" t="s">
        <v>1031</v>
      </c>
      <c r="B265" s="608" t="s">
        <v>1564</v>
      </c>
      <c r="C265" s="608" t="s">
        <v>417</v>
      </c>
      <c r="D265" s="609">
        <v>-9239.0499999999993</v>
      </c>
      <c r="E265" s="609">
        <v>-6301.45</v>
      </c>
      <c r="F265" s="609">
        <v>-2881</v>
      </c>
      <c r="G265" s="609">
        <v>-3486</v>
      </c>
      <c r="H265" s="609">
        <v>-3788</v>
      </c>
      <c r="I265" s="609">
        <v>-2000</v>
      </c>
      <c r="J265" s="609">
        <v>-3788</v>
      </c>
      <c r="K265" s="609">
        <v>-1796</v>
      </c>
      <c r="L265" s="609">
        <v>0</v>
      </c>
      <c r="M265" s="609">
        <v>0</v>
      </c>
      <c r="N265" s="587">
        <f t="shared" si="25"/>
        <v>-1796</v>
      </c>
      <c r="O265"/>
      <c r="P265" s="490"/>
      <c r="Q265" t="str">
        <f t="shared" si="26"/>
        <v>44790</v>
      </c>
      <c r="R265" s="126" t="str">
        <f t="shared" si="27"/>
        <v>WRITE OFF RECOVERY</v>
      </c>
      <c r="S265" s="125" t="str">
        <f t="shared" si="28"/>
        <v>125</v>
      </c>
      <c r="T265" s="125" t="str">
        <f t="shared" si="29"/>
        <v>00</v>
      </c>
      <c r="U265" s="125" t="str">
        <f t="shared" si="30"/>
        <v>000</v>
      </c>
      <c r="V265" s="125" t="str">
        <f>VLOOKUP(Q265,'GL Category'!A:C,3,FALSE)</f>
        <v>CHARGES FOR SERVICE</v>
      </c>
      <c r="W265" s="125"/>
    </row>
    <row r="266" spans="1:23" s="83" customFormat="1" ht="20.399999999999999" customHeight="1">
      <c r="A266" s="608" t="s">
        <v>1031</v>
      </c>
      <c r="B266" s="608" t="s">
        <v>3295</v>
      </c>
      <c r="C266" s="608" t="s">
        <v>883</v>
      </c>
      <c r="D266" s="609">
        <v>0</v>
      </c>
      <c r="E266" s="609">
        <v>0</v>
      </c>
      <c r="F266" s="609">
        <v>0</v>
      </c>
      <c r="G266" s="609">
        <v>0</v>
      </c>
      <c r="H266" s="609">
        <v>0</v>
      </c>
      <c r="I266" s="609">
        <v>0</v>
      </c>
      <c r="J266" s="609">
        <v>0</v>
      </c>
      <c r="K266" s="609">
        <v>0</v>
      </c>
      <c r="L266" s="609">
        <v>0</v>
      </c>
      <c r="M266" s="609">
        <v>0</v>
      </c>
      <c r="N266" s="587">
        <f t="shared" si="25"/>
        <v>0</v>
      </c>
      <c r="O266"/>
      <c r="P266" s="490"/>
      <c r="Q266" t="str">
        <f t="shared" si="26"/>
        <v>45000</v>
      </c>
      <c r="R266" s="126" t="str">
        <f t="shared" si="27"/>
        <v>DEBT ISSUANCE PROCEEDS</v>
      </c>
      <c r="S266" s="125" t="str">
        <f t="shared" si="28"/>
        <v>125</v>
      </c>
      <c r="T266" s="125" t="str">
        <f t="shared" si="29"/>
        <v>00</v>
      </c>
      <c r="U266" s="125" t="str">
        <f t="shared" si="30"/>
        <v>000</v>
      </c>
      <c r="V266" s="125" t="str">
        <f>VLOOKUP(Q266,'GL Category'!A:C,3,FALSE)</f>
        <v>DEBT ISSUANCES</v>
      </c>
      <c r="W266" s="125"/>
    </row>
    <row r="267" spans="1:23" s="83" customFormat="1" ht="20.399999999999999" customHeight="1">
      <c r="A267" s="608" t="s">
        <v>1031</v>
      </c>
      <c r="B267" s="608" t="s">
        <v>1565</v>
      </c>
      <c r="C267" s="608" t="s">
        <v>421</v>
      </c>
      <c r="D267" s="609">
        <v>-6129.91</v>
      </c>
      <c r="E267" s="609">
        <v>-1444.07</v>
      </c>
      <c r="F267" s="609">
        <v>-2886.94</v>
      </c>
      <c r="G267" s="609">
        <v>-2685.82</v>
      </c>
      <c r="H267" s="609">
        <v>-6881</v>
      </c>
      <c r="I267" s="609">
        <v>-2540</v>
      </c>
      <c r="J267" s="609">
        <v>-3000</v>
      </c>
      <c r="K267" s="609">
        <v>-5264</v>
      </c>
      <c r="L267" s="609">
        <v>0</v>
      </c>
      <c r="M267" s="609">
        <v>0</v>
      </c>
      <c r="N267" s="587">
        <f t="shared" si="25"/>
        <v>-5264</v>
      </c>
      <c r="O267"/>
      <c r="P267" s="490"/>
      <c r="Q267" t="str">
        <f t="shared" si="26"/>
        <v>47010</v>
      </c>
      <c r="R267" s="126" t="str">
        <f t="shared" si="27"/>
        <v>MISCELLANEOUS REVENUE</v>
      </c>
      <c r="S267" s="125" t="str">
        <f t="shared" si="28"/>
        <v>125</v>
      </c>
      <c r="T267" s="125" t="str">
        <f t="shared" si="29"/>
        <v>00</v>
      </c>
      <c r="U267" s="125" t="str">
        <f t="shared" si="30"/>
        <v>000</v>
      </c>
      <c r="V267" s="125" t="str">
        <f>VLOOKUP(Q267,'GL Category'!A:C,3,FALSE)</f>
        <v>OTHER REVENUE</v>
      </c>
      <c r="W267" s="125"/>
    </row>
    <row r="268" spans="1:23" s="83" customFormat="1" ht="20.399999999999999" customHeight="1">
      <c r="A268" s="608" t="s">
        <v>1031</v>
      </c>
      <c r="B268" s="608" t="s">
        <v>1565</v>
      </c>
      <c r="C268" s="608" t="s">
        <v>421</v>
      </c>
      <c r="D268" s="609">
        <v>0</v>
      </c>
      <c r="E268" s="609">
        <v>-51539.16</v>
      </c>
      <c r="F268" s="609">
        <v>0</v>
      </c>
      <c r="G268" s="609">
        <v>0</v>
      </c>
      <c r="H268" s="609">
        <v>0</v>
      </c>
      <c r="I268" s="609">
        <v>0</v>
      </c>
      <c r="J268" s="609">
        <v>0</v>
      </c>
      <c r="K268" s="609">
        <v>0</v>
      </c>
      <c r="L268" s="609">
        <v>0</v>
      </c>
      <c r="M268" s="609">
        <v>0</v>
      </c>
      <c r="N268" s="587">
        <f t="shared" si="25"/>
        <v>0</v>
      </c>
      <c r="O268"/>
      <c r="P268" s="490"/>
      <c r="Q268" t="str">
        <f t="shared" si="26"/>
        <v>47010</v>
      </c>
      <c r="R268" s="126" t="str">
        <f t="shared" si="27"/>
        <v>MISCELLANEOUS REVENUE</v>
      </c>
      <c r="S268" s="125" t="str">
        <f t="shared" si="28"/>
        <v>125</v>
      </c>
      <c r="T268" s="125" t="str">
        <f t="shared" si="29"/>
        <v>00</v>
      </c>
      <c r="U268" s="125" t="str">
        <f t="shared" si="30"/>
        <v>000</v>
      </c>
      <c r="V268" s="125" t="str">
        <f>VLOOKUP(Q268,'GL Category'!A:C,3,FALSE)</f>
        <v>OTHER REVENUE</v>
      </c>
      <c r="W268" s="125"/>
    </row>
    <row r="269" spans="1:23" s="83" customFormat="1" ht="20.399999999999999" customHeight="1">
      <c r="A269" s="608" t="s">
        <v>1031</v>
      </c>
      <c r="B269" s="608" t="s">
        <v>1566</v>
      </c>
      <c r="C269" s="608" t="s">
        <v>422</v>
      </c>
      <c r="D269" s="609">
        <v>-7666.27</v>
      </c>
      <c r="E269" s="609">
        <v>-4091.24</v>
      </c>
      <c r="F269" s="609">
        <v>-629.92999999999995</v>
      </c>
      <c r="G269" s="609">
        <v>0</v>
      </c>
      <c r="H269" s="609">
        <v>-1222</v>
      </c>
      <c r="I269" s="609">
        <v>-1136.96</v>
      </c>
      <c r="J269" s="609">
        <v>-1137</v>
      </c>
      <c r="K269" s="609">
        <v>-1222</v>
      </c>
      <c r="L269" s="609">
        <v>0</v>
      </c>
      <c r="M269" s="609">
        <v>0</v>
      </c>
      <c r="N269" s="587">
        <f t="shared" si="25"/>
        <v>-1222</v>
      </c>
      <c r="O269"/>
      <c r="P269" s="490"/>
      <c r="Q269" t="str">
        <f t="shared" si="26"/>
        <v>47020</v>
      </c>
      <c r="R269" s="126" t="str">
        <f t="shared" si="27"/>
        <v>AUCTION PROCEEDS</v>
      </c>
      <c r="S269" s="125" t="str">
        <f t="shared" si="28"/>
        <v>125</v>
      </c>
      <c r="T269" s="125" t="str">
        <f t="shared" si="29"/>
        <v>00</v>
      </c>
      <c r="U269" s="125" t="str">
        <f t="shared" si="30"/>
        <v>000</v>
      </c>
      <c r="V269" s="125" t="str">
        <f>VLOOKUP(Q269,'GL Category'!A:C,3,FALSE)</f>
        <v>OTHER REVENUE</v>
      </c>
      <c r="W269" s="125"/>
    </row>
    <row r="270" spans="1:23" s="83" customFormat="1" ht="20.399999999999999" customHeight="1">
      <c r="A270" s="608" t="s">
        <v>1031</v>
      </c>
      <c r="B270" s="608" t="s">
        <v>1567</v>
      </c>
      <c r="C270" s="608" t="s">
        <v>427</v>
      </c>
      <c r="D270" s="609">
        <v>0</v>
      </c>
      <c r="E270" s="609">
        <v>-1350</v>
      </c>
      <c r="F270" s="609">
        <v>-7000</v>
      </c>
      <c r="G270" s="609">
        <v>599.88</v>
      </c>
      <c r="H270" s="609">
        <v>0</v>
      </c>
      <c r="I270" s="609">
        <v>0</v>
      </c>
      <c r="J270" s="609">
        <v>0</v>
      </c>
      <c r="K270" s="609">
        <v>0</v>
      </c>
      <c r="L270" s="609">
        <v>0</v>
      </c>
      <c r="M270" s="609">
        <v>0</v>
      </c>
      <c r="N270" s="587">
        <f t="shared" si="25"/>
        <v>0</v>
      </c>
      <c r="O270"/>
      <c r="P270" s="490"/>
      <c r="Q270" t="str">
        <f t="shared" si="26"/>
        <v>47030</v>
      </c>
      <c r="R270" s="126" t="str">
        <f t="shared" si="27"/>
        <v>GAIN/LOSS ON DISP OF ASSETS</v>
      </c>
      <c r="S270" s="125" t="str">
        <f t="shared" si="28"/>
        <v>125</v>
      </c>
      <c r="T270" s="125" t="str">
        <f t="shared" si="29"/>
        <v>00</v>
      </c>
      <c r="U270" s="125" t="str">
        <f t="shared" si="30"/>
        <v>000</v>
      </c>
      <c r="V270" s="125" t="str">
        <f>VLOOKUP(Q270,'GL Category'!A:C,3,FALSE)</f>
        <v>OTHER REVENUE</v>
      </c>
      <c r="W270" s="125"/>
    </row>
    <row r="271" spans="1:23" s="83" customFormat="1" ht="20.399999999999999" customHeight="1">
      <c r="A271" s="608" t="s">
        <v>1031</v>
      </c>
      <c r="B271" s="608" t="s">
        <v>1568</v>
      </c>
      <c r="C271" s="608" t="s">
        <v>891</v>
      </c>
      <c r="D271" s="609">
        <v>14.33</v>
      </c>
      <c r="E271" s="609">
        <v>-94.62</v>
      </c>
      <c r="F271" s="609">
        <v>6.92</v>
      </c>
      <c r="G271" s="609">
        <v>-28.08</v>
      </c>
      <c r="H271" s="609">
        <v>0</v>
      </c>
      <c r="I271" s="609">
        <v>253.28</v>
      </c>
      <c r="J271" s="609">
        <v>0</v>
      </c>
      <c r="K271" s="609">
        <v>0</v>
      </c>
      <c r="L271" s="609">
        <v>0</v>
      </c>
      <c r="M271" s="609">
        <v>0</v>
      </c>
      <c r="N271" s="587">
        <f t="shared" si="25"/>
        <v>0</v>
      </c>
      <c r="O271"/>
      <c r="P271" s="490"/>
      <c r="Q271" t="str">
        <f t="shared" si="26"/>
        <v>47070</v>
      </c>
      <c r="R271" s="126" t="str">
        <f t="shared" si="27"/>
        <v>CASH OVER/SHORT</v>
      </c>
      <c r="S271" s="125" t="str">
        <f t="shared" si="28"/>
        <v>125</v>
      </c>
      <c r="T271" s="125" t="str">
        <f t="shared" si="29"/>
        <v>00</v>
      </c>
      <c r="U271" s="125" t="str">
        <f t="shared" si="30"/>
        <v>000</v>
      </c>
      <c r="V271" s="125" t="str">
        <f>VLOOKUP(Q271,'GL Category'!A:C,3,FALSE)</f>
        <v>OTHER REVENUE</v>
      </c>
      <c r="W271" s="125"/>
    </row>
    <row r="272" spans="1:23" s="83" customFormat="1" ht="20.399999999999999" customHeight="1">
      <c r="A272" s="608" t="s">
        <v>1031</v>
      </c>
      <c r="B272" s="608" t="s">
        <v>1569</v>
      </c>
      <c r="C272" s="608" t="s">
        <v>423</v>
      </c>
      <c r="D272" s="609">
        <v>-32964.959999999999</v>
      </c>
      <c r="E272" s="609">
        <v>-4409.3100000000004</v>
      </c>
      <c r="F272" s="609">
        <v>-6350.13</v>
      </c>
      <c r="G272" s="609">
        <v>-41413.85</v>
      </c>
      <c r="H272" s="609">
        <v>-14671</v>
      </c>
      <c r="I272" s="609">
        <v>-55570.720000000001</v>
      </c>
      <c r="J272" s="609">
        <v>-61000</v>
      </c>
      <c r="K272" s="609">
        <v>-61000</v>
      </c>
      <c r="L272" s="609">
        <v>0</v>
      </c>
      <c r="M272" s="609">
        <v>0</v>
      </c>
      <c r="N272" s="587">
        <f t="shared" si="25"/>
        <v>-61000</v>
      </c>
      <c r="O272"/>
      <c r="P272" s="490"/>
      <c r="Q272" t="str">
        <f t="shared" si="26"/>
        <v>47090</v>
      </c>
      <c r="R272" s="126" t="str">
        <f t="shared" si="27"/>
        <v>INTEREST REVENUE-INVESTMENTS</v>
      </c>
      <c r="S272" s="125" t="str">
        <f t="shared" si="28"/>
        <v>125</v>
      </c>
      <c r="T272" s="125" t="str">
        <f t="shared" si="29"/>
        <v>00</v>
      </c>
      <c r="U272" s="125" t="str">
        <f t="shared" si="30"/>
        <v>000</v>
      </c>
      <c r="V272" s="125" t="str">
        <f>VLOOKUP(Q272,'GL Category'!A:C,3,FALSE)</f>
        <v>OTHER REVENUE</v>
      </c>
      <c r="W272" s="125"/>
    </row>
    <row r="273" spans="1:24" s="83" customFormat="1" ht="20.399999999999999" customHeight="1">
      <c r="A273" s="608" t="s">
        <v>1031</v>
      </c>
      <c r="B273" s="608" t="s">
        <v>1570</v>
      </c>
      <c r="C273" s="608" t="s">
        <v>827</v>
      </c>
      <c r="D273" s="609">
        <v>0</v>
      </c>
      <c r="E273" s="609">
        <v>0</v>
      </c>
      <c r="F273" s="609">
        <v>0</v>
      </c>
      <c r="G273" s="609">
        <v>0</v>
      </c>
      <c r="H273" s="609">
        <v>0</v>
      </c>
      <c r="I273" s="609">
        <v>0</v>
      </c>
      <c r="J273" s="609">
        <v>0</v>
      </c>
      <c r="K273" s="609">
        <v>0</v>
      </c>
      <c r="L273" s="609">
        <v>0</v>
      </c>
      <c r="M273" s="609">
        <v>0</v>
      </c>
      <c r="N273" s="587">
        <f t="shared" si="25"/>
        <v>0</v>
      </c>
      <c r="O273"/>
      <c r="P273" s="490"/>
      <c r="Q273" t="str">
        <f t="shared" si="26"/>
        <v>47099</v>
      </c>
      <c r="R273" s="126" t="str">
        <f t="shared" si="27"/>
        <v>INCR/DECR IN FAIR VALUE OF INV</v>
      </c>
      <c r="S273" s="125" t="str">
        <f t="shared" si="28"/>
        <v>125</v>
      </c>
      <c r="T273" s="125" t="str">
        <f t="shared" si="29"/>
        <v>00</v>
      </c>
      <c r="U273" s="125" t="str">
        <f t="shared" si="30"/>
        <v>000</v>
      </c>
      <c r="V273" s="125" t="str">
        <f>VLOOKUP(Q273,'GL Category'!A:C,3,FALSE)</f>
        <v>OTHER REVENUE</v>
      </c>
      <c r="W273" s="125"/>
    </row>
    <row r="274" spans="1:24" s="83" customFormat="1" ht="14.4" customHeight="1">
      <c r="A274" s="608" t="s">
        <v>1031</v>
      </c>
      <c r="B274" s="608" t="s">
        <v>3324</v>
      </c>
      <c r="C274" s="608" t="s">
        <v>424</v>
      </c>
      <c r="D274" s="609">
        <v>0</v>
      </c>
      <c r="E274" s="609">
        <v>0</v>
      </c>
      <c r="F274" s="609">
        <v>0</v>
      </c>
      <c r="G274" s="609">
        <v>0</v>
      </c>
      <c r="H274" s="609">
        <v>0</v>
      </c>
      <c r="I274" s="609">
        <v>0</v>
      </c>
      <c r="J274" s="609">
        <v>0</v>
      </c>
      <c r="K274" s="609">
        <v>0</v>
      </c>
      <c r="L274" s="609">
        <v>0</v>
      </c>
      <c r="M274" s="609">
        <v>0</v>
      </c>
      <c r="N274" s="587">
        <f t="shared" si="25"/>
        <v>0</v>
      </c>
      <c r="O274"/>
      <c r="P274" s="490"/>
      <c r="Q274" t="str">
        <f t="shared" si="26"/>
        <v>47250</v>
      </c>
      <c r="R274" s="126" t="str">
        <f t="shared" si="27"/>
        <v>REIMB-INSURANCE PROCEEDS</v>
      </c>
      <c r="S274" s="125" t="str">
        <f t="shared" si="28"/>
        <v>125</v>
      </c>
      <c r="T274" s="125" t="str">
        <f t="shared" si="29"/>
        <v>00</v>
      </c>
      <c r="U274" s="125" t="str">
        <f t="shared" si="30"/>
        <v>000</v>
      </c>
      <c r="V274" s="125" t="str">
        <f>VLOOKUP(Q274,'GL Category'!A:C,3,FALSE)</f>
        <v>OTHER REVENUE</v>
      </c>
      <c r="W274" s="125"/>
    </row>
    <row r="275" spans="1:24" s="83" customFormat="1" ht="20.399999999999999" customHeight="1">
      <c r="A275" s="608" t="s">
        <v>1031</v>
      </c>
      <c r="B275" s="608" t="s">
        <v>3337</v>
      </c>
      <c r="C275" s="608" t="s">
        <v>3338</v>
      </c>
      <c r="D275" s="609">
        <v>-4000</v>
      </c>
      <c r="E275" s="609">
        <v>0</v>
      </c>
      <c r="F275" s="609">
        <v>-1000</v>
      </c>
      <c r="G275" s="609">
        <v>-2000</v>
      </c>
      <c r="H275" s="609">
        <v>0</v>
      </c>
      <c r="I275" s="609">
        <v>-17100</v>
      </c>
      <c r="J275" s="609">
        <v>-18000</v>
      </c>
      <c r="K275" s="609">
        <v>0</v>
      </c>
      <c r="L275" s="609">
        <v>0</v>
      </c>
      <c r="M275" s="609">
        <v>0</v>
      </c>
      <c r="N275" s="587">
        <f t="shared" si="25"/>
        <v>0</v>
      </c>
      <c r="O275"/>
      <c r="P275" s="490"/>
      <c r="Q275" t="str">
        <f t="shared" si="26"/>
        <v>48569</v>
      </c>
      <c r="R275" s="126" t="str">
        <f t="shared" si="27"/>
        <v>DONATIONS-MISC</v>
      </c>
      <c r="S275" s="125" t="str">
        <f t="shared" si="28"/>
        <v>125</v>
      </c>
      <c r="T275" s="125" t="str">
        <f t="shared" si="29"/>
        <v>00</v>
      </c>
      <c r="U275" s="125" t="str">
        <f t="shared" si="30"/>
        <v>000</v>
      </c>
      <c r="V275" s="125" t="str">
        <f>VLOOKUP(Q275,'GL Category'!A:C,3,FALSE)</f>
        <v>REVENUE</v>
      </c>
      <c r="W275" s="125"/>
    </row>
    <row r="276" spans="1:24" s="83" customFormat="1" ht="20.399999999999999" customHeight="1">
      <c r="A276" s="608" t="s">
        <v>1031</v>
      </c>
      <c r="B276" s="608" t="s">
        <v>3199</v>
      </c>
      <c r="C276" s="608" t="s">
        <v>3151</v>
      </c>
      <c r="D276" s="609">
        <v>0</v>
      </c>
      <c r="E276" s="609">
        <v>0</v>
      </c>
      <c r="F276" s="609">
        <v>0</v>
      </c>
      <c r="G276" s="609">
        <v>0</v>
      </c>
      <c r="H276" s="609">
        <v>0</v>
      </c>
      <c r="I276" s="609">
        <v>0</v>
      </c>
      <c r="J276" s="609">
        <v>0</v>
      </c>
      <c r="K276" s="609">
        <v>0</v>
      </c>
      <c r="L276" s="609">
        <v>0</v>
      </c>
      <c r="M276" s="609">
        <v>0</v>
      </c>
      <c r="N276" s="587">
        <f t="shared" si="25"/>
        <v>0</v>
      </c>
      <c r="O276"/>
      <c r="P276" s="490"/>
      <c r="Q276" t="str">
        <f t="shared" si="26"/>
        <v>49106</v>
      </c>
      <c r="R276" s="126" t="str">
        <f t="shared" si="27"/>
        <v>TRANSFER FROM CIP-RECREATION/AQUATIC CENTER</v>
      </c>
      <c r="S276" s="125" t="str">
        <f t="shared" si="28"/>
        <v>125</v>
      </c>
      <c r="T276" s="125" t="str">
        <f t="shared" si="29"/>
        <v>00</v>
      </c>
      <c r="U276" s="125" t="str">
        <f t="shared" si="30"/>
        <v>000</v>
      </c>
      <c r="V276" s="125" t="e">
        <f>VLOOKUP(Q276,'GL Category'!A:C,3,FALSE)</f>
        <v>#N/A</v>
      </c>
      <c r="W276" s="125"/>
    </row>
    <row r="277" spans="1:24" s="541" customFormat="1" ht="20.399999999999999" customHeight="1">
      <c r="A277" s="608" t="s">
        <v>1031</v>
      </c>
      <c r="B277" s="608" t="s">
        <v>3522</v>
      </c>
      <c r="C277" s="608" t="s">
        <v>1101</v>
      </c>
      <c r="D277" s="609">
        <v>0</v>
      </c>
      <c r="E277" s="609">
        <v>0</v>
      </c>
      <c r="F277" s="609">
        <v>0</v>
      </c>
      <c r="G277" s="609">
        <v>-698718</v>
      </c>
      <c r="H277" s="609">
        <v>0</v>
      </c>
      <c r="I277" s="609">
        <v>0</v>
      </c>
      <c r="J277" s="609">
        <v>0</v>
      </c>
      <c r="K277" s="609">
        <v>0</v>
      </c>
      <c r="L277" s="609">
        <v>0</v>
      </c>
      <c r="M277" s="609">
        <v>0</v>
      </c>
      <c r="N277" s="587">
        <f t="shared" si="25"/>
        <v>0</v>
      </c>
      <c r="O277"/>
      <c r="P277" s="490"/>
      <c r="Q277" t="str">
        <f t="shared" si="26"/>
        <v>49160</v>
      </c>
      <c r="R277" s="540" t="str">
        <f t="shared" si="27"/>
        <v>TRANSFER FROM GRANT FUND</v>
      </c>
      <c r="S277" s="538" t="str">
        <f t="shared" si="28"/>
        <v>125</v>
      </c>
      <c r="T277" s="125" t="str">
        <f t="shared" si="29"/>
        <v>00</v>
      </c>
      <c r="U277" s="125" t="str">
        <f t="shared" si="30"/>
        <v>000</v>
      </c>
      <c r="V277" s="538" t="str">
        <f>VLOOKUP(Q277,'GL Category'!A:C,3,FALSE)</f>
        <v>TRANSFERS IN</v>
      </c>
      <c r="W277" s="538"/>
      <c r="X277" s="83"/>
    </row>
    <row r="278" spans="1:24" s="83" customFormat="1" ht="20.399999999999999" customHeight="1">
      <c r="A278" s="608" t="s">
        <v>1031</v>
      </c>
      <c r="B278" s="608" t="s">
        <v>3296</v>
      </c>
      <c r="C278" s="608" t="s">
        <v>3149</v>
      </c>
      <c r="D278" s="609">
        <v>0</v>
      </c>
      <c r="E278" s="609">
        <v>0</v>
      </c>
      <c r="F278" s="609">
        <v>0</v>
      </c>
      <c r="G278" s="609">
        <v>0</v>
      </c>
      <c r="H278" s="609">
        <v>0</v>
      </c>
      <c r="I278" s="609">
        <v>0</v>
      </c>
      <c r="J278" s="609">
        <v>0</v>
      </c>
      <c r="K278" s="609">
        <v>0</v>
      </c>
      <c r="L278" s="609">
        <v>0</v>
      </c>
      <c r="M278" s="609">
        <v>0</v>
      </c>
      <c r="N278" s="587">
        <f t="shared" si="25"/>
        <v>0</v>
      </c>
      <c r="O278"/>
      <c r="P278" s="490"/>
      <c r="Q278" t="str">
        <f t="shared" si="26"/>
        <v>49198</v>
      </c>
      <c r="R278" s="126" t="str">
        <f t="shared" si="27"/>
        <v>TRANSFER FROM GENERAL GOVERNME</v>
      </c>
      <c r="S278" s="125" t="str">
        <f t="shared" si="28"/>
        <v>125</v>
      </c>
      <c r="T278" s="125" t="str">
        <f t="shared" si="29"/>
        <v>00</v>
      </c>
      <c r="U278" s="125" t="str">
        <f t="shared" si="30"/>
        <v>000</v>
      </c>
      <c r="V278" s="125" t="str">
        <f>VLOOKUP(Q278,'GL Category'!A:C,3,FALSE)</f>
        <v>TRANSFERS IN</v>
      </c>
      <c r="W278" s="125"/>
    </row>
    <row r="279" spans="1:24" s="83" customFormat="1" ht="20.399999999999999" customHeight="1">
      <c r="A279" s="608" t="s">
        <v>1031</v>
      </c>
      <c r="B279" s="608" t="s">
        <v>1573</v>
      </c>
      <c r="C279" s="608" t="s">
        <v>84</v>
      </c>
      <c r="D279" s="609">
        <v>78350.92</v>
      </c>
      <c r="E279" s="609">
        <v>0</v>
      </c>
      <c r="F279" s="609">
        <v>-1029539.48</v>
      </c>
      <c r="G279" s="609">
        <v>-869057.5</v>
      </c>
      <c r="H279" s="609">
        <v>0</v>
      </c>
      <c r="I279" s="609">
        <v>0</v>
      </c>
      <c r="J279" s="609">
        <v>0</v>
      </c>
      <c r="K279" s="609">
        <v>0</v>
      </c>
      <c r="L279" s="609">
        <v>0</v>
      </c>
      <c r="M279" s="609">
        <v>0</v>
      </c>
      <c r="N279" s="587">
        <f t="shared" si="25"/>
        <v>0</v>
      </c>
      <c r="O279"/>
      <c r="P279" s="490">
        <f t="shared" ref="P279:P285" si="31">N279-H279</f>
        <v>0</v>
      </c>
      <c r="Q279" t="str">
        <f t="shared" si="26"/>
        <v>49999</v>
      </c>
      <c r="R279" s="126" t="str">
        <f t="shared" si="27"/>
        <v>USE OF FUND BALANCE</v>
      </c>
      <c r="S279" s="125" t="str">
        <f t="shared" si="28"/>
        <v>125</v>
      </c>
      <c r="T279" s="125" t="str">
        <f t="shared" si="29"/>
        <v>00</v>
      </c>
      <c r="U279" s="125" t="str">
        <f t="shared" si="30"/>
        <v>000</v>
      </c>
      <c r="V279" s="125" t="str">
        <f>VLOOKUP(Q279,'GL Category'!A:C,3,FALSE)</f>
        <v>TRANSFERS IN</v>
      </c>
      <c r="W279" s="125"/>
    </row>
    <row r="280" spans="1:24" s="83" customFormat="1" ht="20.399999999999999" customHeight="1">
      <c r="A280" s="608" t="s">
        <v>3258</v>
      </c>
      <c r="B280" s="608" t="s">
        <v>3339</v>
      </c>
      <c r="C280" s="608" t="s">
        <v>873</v>
      </c>
      <c r="D280" s="609">
        <v>0</v>
      </c>
      <c r="E280" s="609">
        <v>0</v>
      </c>
      <c r="F280" s="609">
        <v>-4304951.4400000004</v>
      </c>
      <c r="G280" s="609">
        <v>-5006464.43</v>
      </c>
      <c r="H280" s="609">
        <v>-4656086</v>
      </c>
      <c r="I280" s="609">
        <v>-3224256.8</v>
      </c>
      <c r="J280" s="609">
        <v>-4344333</v>
      </c>
      <c r="K280" s="609">
        <v>-4691556</v>
      </c>
      <c r="L280" s="609">
        <v>0</v>
      </c>
      <c r="M280" s="609">
        <v>0</v>
      </c>
      <c r="N280" s="587">
        <f t="shared" si="25"/>
        <v>-4691556</v>
      </c>
      <c r="O280"/>
      <c r="P280" s="490">
        <f t="shared" si="31"/>
        <v>-35470</v>
      </c>
      <c r="Q280" t="str">
        <f t="shared" si="26"/>
        <v>43080</v>
      </c>
      <c r="R280" s="126" t="str">
        <f t="shared" si="27"/>
        <v>INSURANCE PREMIUMS</v>
      </c>
      <c r="S280" s="125" t="str">
        <f t="shared" si="28"/>
        <v>129</v>
      </c>
      <c r="T280" s="125" t="str">
        <f t="shared" si="29"/>
        <v>00</v>
      </c>
      <c r="U280" s="125" t="str">
        <f t="shared" si="30"/>
        <v>000</v>
      </c>
      <c r="V280" s="125" t="str">
        <f>VLOOKUP(Q280,'GL Category'!A:C,3,FALSE)</f>
        <v>CHARGES FOR SERVICE</v>
      </c>
      <c r="W280" s="125"/>
    </row>
    <row r="281" spans="1:24" s="83" customFormat="1" ht="20.399999999999999" customHeight="1">
      <c r="A281" s="608" t="s">
        <v>3258</v>
      </c>
      <c r="B281" s="608" t="s">
        <v>3246</v>
      </c>
      <c r="C281" s="608" t="s">
        <v>3259</v>
      </c>
      <c r="D281" s="609">
        <v>0</v>
      </c>
      <c r="E281" s="609">
        <v>0</v>
      </c>
      <c r="F281" s="609">
        <v>0</v>
      </c>
      <c r="G281" s="609">
        <v>0</v>
      </c>
      <c r="H281" s="609">
        <v>0</v>
      </c>
      <c r="I281" s="609">
        <v>0</v>
      </c>
      <c r="J281" s="609">
        <v>0</v>
      </c>
      <c r="K281" s="609">
        <v>0</v>
      </c>
      <c r="L281" s="609">
        <v>0</v>
      </c>
      <c r="M281" s="609">
        <v>0</v>
      </c>
      <c r="N281" s="587">
        <f t="shared" si="25"/>
        <v>0</v>
      </c>
      <c r="O281"/>
      <c r="P281" s="490">
        <f t="shared" si="31"/>
        <v>0</v>
      </c>
      <c r="Q281" t="str">
        <f t="shared" si="26"/>
        <v>44945</v>
      </c>
      <c r="R281" s="126" t="str">
        <f t="shared" si="27"/>
        <v>SELF-INSURANCE REV-F100</v>
      </c>
      <c r="S281" s="125" t="str">
        <f t="shared" si="28"/>
        <v>129</v>
      </c>
      <c r="T281" s="125" t="str">
        <f t="shared" si="29"/>
        <v>00</v>
      </c>
      <c r="U281" s="125" t="str">
        <f t="shared" si="30"/>
        <v>000</v>
      </c>
      <c r="V281" s="125" t="str">
        <f>VLOOKUP(Q281,'GL Category'!A:C,3,FALSE)</f>
        <v>SERVICES &amp; OTHER</v>
      </c>
      <c r="W281" s="125"/>
    </row>
    <row r="282" spans="1:24" s="83" customFormat="1" ht="20.399999999999999" customHeight="1">
      <c r="A282" s="608" t="s">
        <v>3258</v>
      </c>
      <c r="B282" s="608" t="s">
        <v>3247</v>
      </c>
      <c r="C282" s="608" t="s">
        <v>3260</v>
      </c>
      <c r="D282" s="609">
        <v>0</v>
      </c>
      <c r="E282" s="609">
        <v>0</v>
      </c>
      <c r="F282" s="609">
        <v>0</v>
      </c>
      <c r="G282" s="609">
        <v>0</v>
      </c>
      <c r="H282" s="609">
        <v>0</v>
      </c>
      <c r="I282" s="609">
        <v>0</v>
      </c>
      <c r="J282" s="609">
        <v>0</v>
      </c>
      <c r="K282" s="609">
        <v>0</v>
      </c>
      <c r="L282" s="609">
        <v>0</v>
      </c>
      <c r="M282" s="609">
        <v>0</v>
      </c>
      <c r="N282" s="587">
        <f t="shared" si="25"/>
        <v>0</v>
      </c>
      <c r="O282"/>
      <c r="P282" s="490">
        <f t="shared" si="31"/>
        <v>0</v>
      </c>
      <c r="Q282" t="str">
        <f t="shared" si="26"/>
        <v>44946</v>
      </c>
      <c r="R282" s="126" t="str">
        <f t="shared" si="27"/>
        <v>SELF-INSURANCE REV-F115</v>
      </c>
      <c r="S282" s="125" t="str">
        <f t="shared" si="28"/>
        <v>129</v>
      </c>
      <c r="T282" s="125" t="str">
        <f t="shared" si="29"/>
        <v>00</v>
      </c>
      <c r="U282" s="125" t="str">
        <f t="shared" si="30"/>
        <v>000</v>
      </c>
      <c r="V282" s="125" t="str">
        <f>VLOOKUP(Q282,'GL Category'!A:C,3,FALSE)</f>
        <v>SERVICES &amp; OTHER</v>
      </c>
      <c r="W282" s="125"/>
    </row>
    <row r="283" spans="1:24" s="83" customFormat="1" ht="20.399999999999999" customHeight="1">
      <c r="A283" s="608" t="s">
        <v>3258</v>
      </c>
      <c r="B283" s="608" t="s">
        <v>3248</v>
      </c>
      <c r="C283" s="608" t="s">
        <v>3261</v>
      </c>
      <c r="D283" s="609">
        <v>0</v>
      </c>
      <c r="E283" s="609">
        <v>0</v>
      </c>
      <c r="F283" s="609">
        <v>0</v>
      </c>
      <c r="G283" s="609">
        <v>0</v>
      </c>
      <c r="H283" s="609">
        <v>0</v>
      </c>
      <c r="I283" s="609">
        <v>0</v>
      </c>
      <c r="J283" s="609">
        <v>0</v>
      </c>
      <c r="K283" s="609">
        <v>0</v>
      </c>
      <c r="L283" s="609">
        <v>0</v>
      </c>
      <c r="M283" s="609">
        <v>0</v>
      </c>
      <c r="N283" s="587">
        <f t="shared" si="25"/>
        <v>0</v>
      </c>
      <c r="O283"/>
      <c r="P283" s="490">
        <f t="shared" si="31"/>
        <v>0</v>
      </c>
      <c r="Q283" t="str">
        <f t="shared" si="26"/>
        <v>44947</v>
      </c>
      <c r="R283" s="126" t="str">
        <f t="shared" si="27"/>
        <v>SELF-INSURANCE REV-F118</v>
      </c>
      <c r="S283" s="125" t="str">
        <f t="shared" si="28"/>
        <v>129</v>
      </c>
      <c r="T283" s="125" t="str">
        <f t="shared" si="29"/>
        <v>00</v>
      </c>
      <c r="U283" s="125" t="str">
        <f t="shared" si="30"/>
        <v>000</v>
      </c>
      <c r="V283" s="125" t="str">
        <f>VLOOKUP(Q283,'GL Category'!A:C,3,FALSE)</f>
        <v>SERVICES &amp; OTHER</v>
      </c>
      <c r="W283" s="125"/>
    </row>
    <row r="284" spans="1:24" s="541" customFormat="1" ht="20.399999999999999" customHeight="1">
      <c r="A284" s="608" t="s">
        <v>3258</v>
      </c>
      <c r="B284" s="608" t="s">
        <v>3249</v>
      </c>
      <c r="C284" s="608" t="s">
        <v>3262</v>
      </c>
      <c r="D284" s="609">
        <v>0</v>
      </c>
      <c r="E284" s="609">
        <v>0</v>
      </c>
      <c r="F284" s="609">
        <v>0</v>
      </c>
      <c r="G284" s="609">
        <v>0</v>
      </c>
      <c r="H284" s="609">
        <v>0</v>
      </c>
      <c r="I284" s="609">
        <v>0</v>
      </c>
      <c r="J284" s="609">
        <v>0</v>
      </c>
      <c r="K284" s="609">
        <v>0</v>
      </c>
      <c r="L284" s="609">
        <v>0</v>
      </c>
      <c r="M284" s="609">
        <v>0</v>
      </c>
      <c r="N284" s="587">
        <f t="shared" si="25"/>
        <v>0</v>
      </c>
      <c r="O284"/>
      <c r="P284" s="490">
        <f t="shared" si="31"/>
        <v>0</v>
      </c>
      <c r="Q284" t="str">
        <f t="shared" si="26"/>
        <v>44948</v>
      </c>
      <c r="R284" s="540" t="str">
        <f t="shared" si="27"/>
        <v>SELF-INSURANCE REV-F119</v>
      </c>
      <c r="S284" s="538" t="str">
        <f t="shared" si="28"/>
        <v>129</v>
      </c>
      <c r="T284" s="125" t="str">
        <f t="shared" si="29"/>
        <v>00</v>
      </c>
      <c r="U284" s="125" t="str">
        <f t="shared" si="30"/>
        <v>000</v>
      </c>
      <c r="V284" s="538" t="str">
        <f>VLOOKUP(Q284,'GL Category'!A:C,3,FALSE)</f>
        <v>SERVICES &amp; OTHER</v>
      </c>
      <c r="W284" s="538"/>
      <c r="X284" s="83"/>
    </row>
    <row r="285" spans="1:24" s="83" customFormat="1" ht="20.399999999999999" customHeight="1">
      <c r="A285" s="608" t="s">
        <v>3258</v>
      </c>
      <c r="B285" s="608" t="s">
        <v>3250</v>
      </c>
      <c r="C285" s="608" t="s">
        <v>3263</v>
      </c>
      <c r="D285" s="609">
        <v>0</v>
      </c>
      <c r="E285" s="609">
        <v>0</v>
      </c>
      <c r="F285" s="609">
        <v>0</v>
      </c>
      <c r="G285" s="609">
        <v>0</v>
      </c>
      <c r="H285" s="609">
        <v>0</v>
      </c>
      <c r="I285" s="609">
        <v>0</v>
      </c>
      <c r="J285" s="609">
        <v>0</v>
      </c>
      <c r="K285" s="609">
        <v>0</v>
      </c>
      <c r="L285" s="609">
        <v>0</v>
      </c>
      <c r="M285" s="609">
        <v>0</v>
      </c>
      <c r="N285" s="587">
        <f t="shared" si="25"/>
        <v>0</v>
      </c>
      <c r="O285"/>
      <c r="P285" s="490">
        <f t="shared" si="31"/>
        <v>0</v>
      </c>
      <c r="Q285" t="str">
        <f t="shared" si="26"/>
        <v>44949</v>
      </c>
      <c r="R285" s="126" t="str">
        <f t="shared" si="27"/>
        <v>SELF-INSURANCE REV-F125</v>
      </c>
      <c r="S285" s="125" t="str">
        <f t="shared" si="28"/>
        <v>129</v>
      </c>
      <c r="T285" s="125" t="str">
        <f t="shared" si="29"/>
        <v>00</v>
      </c>
      <c r="U285" s="125" t="str">
        <f t="shared" si="30"/>
        <v>000</v>
      </c>
      <c r="V285" s="125" t="str">
        <f>VLOOKUP(Q285,'GL Category'!A:C,3,FALSE)</f>
        <v>SERVICES &amp; OTHER</v>
      </c>
      <c r="W285" s="125"/>
    </row>
    <row r="286" spans="1:24" s="83" customFormat="1" ht="20.399999999999999" customHeight="1">
      <c r="A286" s="608" t="s">
        <v>3258</v>
      </c>
      <c r="B286" s="608" t="s">
        <v>3251</v>
      </c>
      <c r="C286" s="608" t="s">
        <v>3264</v>
      </c>
      <c r="D286" s="609">
        <v>0</v>
      </c>
      <c r="E286" s="609">
        <v>0</v>
      </c>
      <c r="F286" s="609">
        <v>0</v>
      </c>
      <c r="G286" s="609">
        <v>0</v>
      </c>
      <c r="H286" s="609">
        <v>0</v>
      </c>
      <c r="I286" s="609">
        <v>0</v>
      </c>
      <c r="J286" s="609">
        <v>0</v>
      </c>
      <c r="K286" s="609">
        <v>0</v>
      </c>
      <c r="L286" s="609">
        <v>0</v>
      </c>
      <c r="M286" s="609">
        <v>0</v>
      </c>
      <c r="N286" s="587">
        <f t="shared" si="25"/>
        <v>0</v>
      </c>
      <c r="O286"/>
      <c r="P286" s="490"/>
      <c r="Q286" t="str">
        <f t="shared" si="26"/>
        <v>44950</v>
      </c>
      <c r="R286" s="126" t="str">
        <f t="shared" si="27"/>
        <v>SELF-INSURANCE REV-F200</v>
      </c>
      <c r="S286" s="125" t="str">
        <f t="shared" si="28"/>
        <v>129</v>
      </c>
      <c r="T286" s="125" t="str">
        <f t="shared" si="29"/>
        <v>00</v>
      </c>
      <c r="U286" s="125" t="str">
        <f t="shared" si="30"/>
        <v>000</v>
      </c>
      <c r="V286" s="125" t="str">
        <f>VLOOKUP(Q286,'GL Category'!A:C,3,FALSE)</f>
        <v>SERVICES &amp; OTHER</v>
      </c>
      <c r="W286" s="125"/>
    </row>
    <row r="287" spans="1:24" s="83" customFormat="1" ht="20.399999999999999" customHeight="1">
      <c r="A287" s="608" t="s">
        <v>3258</v>
      </c>
      <c r="B287" s="608" t="s">
        <v>3252</v>
      </c>
      <c r="C287" s="608" t="s">
        <v>3262</v>
      </c>
      <c r="D287" s="609">
        <v>0</v>
      </c>
      <c r="E287" s="609">
        <v>0</v>
      </c>
      <c r="F287" s="609">
        <v>0</v>
      </c>
      <c r="G287" s="609">
        <v>0</v>
      </c>
      <c r="H287" s="609">
        <v>0</v>
      </c>
      <c r="I287" s="609">
        <v>0</v>
      </c>
      <c r="J287" s="609">
        <v>0</v>
      </c>
      <c r="K287" s="609">
        <v>0</v>
      </c>
      <c r="L287" s="609">
        <v>0</v>
      </c>
      <c r="M287" s="609">
        <v>0</v>
      </c>
      <c r="N287" s="587">
        <f t="shared" si="25"/>
        <v>0</v>
      </c>
      <c r="O287"/>
      <c r="P287" s="490"/>
      <c r="Q287" t="str">
        <f t="shared" si="26"/>
        <v>44951</v>
      </c>
      <c r="R287" s="126" t="str">
        <f t="shared" si="27"/>
        <v>SELF-INSURANCE REV-F119</v>
      </c>
      <c r="S287" s="125" t="str">
        <f t="shared" si="28"/>
        <v>129</v>
      </c>
      <c r="T287" s="125" t="str">
        <f t="shared" si="29"/>
        <v>00</v>
      </c>
      <c r="U287" s="125" t="str">
        <f t="shared" si="30"/>
        <v>000</v>
      </c>
      <c r="V287" s="125" t="str">
        <f>VLOOKUP(Q287,'GL Category'!A:C,3,FALSE)</f>
        <v>SERVICES &amp; OTHER</v>
      </c>
      <c r="W287" s="125"/>
    </row>
    <row r="288" spans="1:24" s="83" customFormat="1" ht="20.399999999999999" customHeight="1">
      <c r="A288" s="608" t="s">
        <v>3258</v>
      </c>
      <c r="B288" s="608" t="s">
        <v>3253</v>
      </c>
      <c r="C288" s="608" t="s">
        <v>421</v>
      </c>
      <c r="D288" s="609">
        <v>0</v>
      </c>
      <c r="E288" s="609">
        <v>0</v>
      </c>
      <c r="F288" s="609">
        <v>0</v>
      </c>
      <c r="G288" s="609">
        <v>0</v>
      </c>
      <c r="H288" s="609">
        <v>0</v>
      </c>
      <c r="I288" s="609">
        <v>0</v>
      </c>
      <c r="J288" s="609">
        <v>0</v>
      </c>
      <c r="K288" s="609">
        <v>0</v>
      </c>
      <c r="L288" s="609">
        <v>0</v>
      </c>
      <c r="M288" s="609">
        <v>0</v>
      </c>
      <c r="N288" s="587">
        <f t="shared" si="25"/>
        <v>0</v>
      </c>
      <c r="O288"/>
      <c r="P288" s="490"/>
      <c r="Q288" t="str">
        <f t="shared" si="26"/>
        <v>47010</v>
      </c>
      <c r="R288" s="126" t="str">
        <f t="shared" si="27"/>
        <v>MISCELLANEOUS REVENUE</v>
      </c>
      <c r="S288" s="125" t="str">
        <f t="shared" si="28"/>
        <v>129</v>
      </c>
      <c r="T288" s="125" t="str">
        <f t="shared" si="29"/>
        <v>00</v>
      </c>
      <c r="U288" s="125" t="str">
        <f t="shared" si="30"/>
        <v>000</v>
      </c>
      <c r="V288" s="125" t="str">
        <f>VLOOKUP(Q288,'GL Category'!A:C,3,FALSE)</f>
        <v>OTHER REVENUE</v>
      </c>
      <c r="W288" s="125"/>
    </row>
    <row r="289" spans="1:24" s="83" customFormat="1" ht="20.399999999999999" customHeight="1">
      <c r="A289" s="608" t="s">
        <v>3258</v>
      </c>
      <c r="B289" s="608" t="s">
        <v>3254</v>
      </c>
      <c r="C289" s="608" t="s">
        <v>890</v>
      </c>
      <c r="D289" s="609">
        <v>0</v>
      </c>
      <c r="E289" s="609">
        <v>0</v>
      </c>
      <c r="F289" s="609">
        <v>0</v>
      </c>
      <c r="G289" s="609">
        <v>0</v>
      </c>
      <c r="H289" s="609">
        <v>0</v>
      </c>
      <c r="I289" s="609">
        <v>0</v>
      </c>
      <c r="J289" s="609">
        <v>0</v>
      </c>
      <c r="K289" s="609">
        <v>0</v>
      </c>
      <c r="L289" s="609">
        <v>0</v>
      </c>
      <c r="M289" s="609">
        <v>0</v>
      </c>
      <c r="N289" s="587">
        <f t="shared" si="25"/>
        <v>0</v>
      </c>
      <c r="O289"/>
      <c r="P289" s="490"/>
      <c r="Q289" t="str">
        <f t="shared" si="26"/>
        <v>47060</v>
      </c>
      <c r="R289" s="126" t="str">
        <f t="shared" si="27"/>
        <v>WITHHOLDINGS FROM EMPLOYEES</v>
      </c>
      <c r="S289" s="125" t="str">
        <f t="shared" si="28"/>
        <v>129</v>
      </c>
      <c r="T289" s="125" t="str">
        <f t="shared" si="29"/>
        <v>00</v>
      </c>
      <c r="U289" s="125" t="str">
        <f t="shared" si="30"/>
        <v>000</v>
      </c>
      <c r="V289" s="125" t="str">
        <f>VLOOKUP(Q289,'GL Category'!A:C,3,FALSE)</f>
        <v>OTHER REVENUE</v>
      </c>
      <c r="W289" s="125"/>
    </row>
    <row r="290" spans="1:24" s="83" customFormat="1" ht="20.399999999999999" customHeight="1">
      <c r="A290" s="608" t="s">
        <v>3258</v>
      </c>
      <c r="B290" s="608" t="s">
        <v>3255</v>
      </c>
      <c r="C290" s="608" t="s">
        <v>423</v>
      </c>
      <c r="D290" s="609">
        <v>0</v>
      </c>
      <c r="E290" s="609">
        <v>-5179.1400000000003</v>
      </c>
      <c r="F290" s="609">
        <v>-51260.46</v>
      </c>
      <c r="G290" s="609">
        <v>-262796.03000000003</v>
      </c>
      <c r="H290" s="609">
        <v>-51500</v>
      </c>
      <c r="I290" s="609">
        <v>-283773.52</v>
      </c>
      <c r="J290" s="609">
        <v>-283774</v>
      </c>
      <c r="K290" s="609">
        <v>-251215</v>
      </c>
      <c r="L290" s="609">
        <v>0</v>
      </c>
      <c r="M290" s="609">
        <v>0</v>
      </c>
      <c r="N290" s="587">
        <f t="shared" si="25"/>
        <v>-251215</v>
      </c>
      <c r="O290"/>
      <c r="P290" s="490"/>
      <c r="Q290" t="str">
        <f t="shared" si="26"/>
        <v>47090</v>
      </c>
      <c r="R290" s="126" t="str">
        <f t="shared" si="27"/>
        <v>INTEREST REVENUE-INVESTMENTS</v>
      </c>
      <c r="S290" s="125" t="str">
        <f t="shared" si="28"/>
        <v>129</v>
      </c>
      <c r="T290" s="125" t="str">
        <f t="shared" si="29"/>
        <v>00</v>
      </c>
      <c r="U290" s="125" t="str">
        <f t="shared" si="30"/>
        <v>000</v>
      </c>
      <c r="V290" s="125" t="str">
        <f>VLOOKUP(Q290,'GL Category'!A:C,3,FALSE)</f>
        <v>OTHER REVENUE</v>
      </c>
      <c r="W290" s="125"/>
    </row>
    <row r="291" spans="1:24" s="83" customFormat="1" ht="20.399999999999999" customHeight="1">
      <c r="A291" s="608" t="s">
        <v>3258</v>
      </c>
      <c r="B291" s="608" t="s">
        <v>3256</v>
      </c>
      <c r="C291" s="608" t="s">
        <v>512</v>
      </c>
      <c r="D291" s="609">
        <v>-1242147</v>
      </c>
      <c r="E291" s="609">
        <v>-1000000</v>
      </c>
      <c r="F291" s="609">
        <v>0</v>
      </c>
      <c r="G291" s="609">
        <v>0</v>
      </c>
      <c r="H291" s="609">
        <v>0</v>
      </c>
      <c r="I291" s="609">
        <v>0</v>
      </c>
      <c r="J291" s="609">
        <v>0</v>
      </c>
      <c r="K291" s="609">
        <v>0</v>
      </c>
      <c r="L291" s="609">
        <v>0</v>
      </c>
      <c r="M291" s="609">
        <v>0</v>
      </c>
      <c r="N291" s="587">
        <f t="shared" si="25"/>
        <v>0</v>
      </c>
      <c r="O291"/>
      <c r="P291" s="490"/>
      <c r="Q291" t="str">
        <f t="shared" si="26"/>
        <v>49100</v>
      </c>
      <c r="R291" s="126" t="str">
        <f t="shared" si="27"/>
        <v>TRANSFER FROM GENERAL FUND</v>
      </c>
      <c r="S291" s="125" t="str">
        <f t="shared" si="28"/>
        <v>129</v>
      </c>
      <c r="T291" s="125" t="str">
        <f t="shared" si="29"/>
        <v>00</v>
      </c>
      <c r="U291" s="125" t="str">
        <f t="shared" si="30"/>
        <v>000</v>
      </c>
      <c r="V291" s="125" t="str">
        <f>VLOOKUP(Q291,'GL Category'!A:C,3,FALSE)</f>
        <v>TRANSFERS IN</v>
      </c>
      <c r="W291" s="125"/>
    </row>
    <row r="292" spans="1:24" s="83" customFormat="1" ht="20.399999999999999" customHeight="1">
      <c r="A292" s="608" t="s">
        <v>3258</v>
      </c>
      <c r="B292" s="608" t="s">
        <v>3257</v>
      </c>
      <c r="C292" s="608" t="s">
        <v>480</v>
      </c>
      <c r="D292" s="609">
        <v>-200000</v>
      </c>
      <c r="E292" s="609">
        <v>0</v>
      </c>
      <c r="F292" s="609">
        <v>0</v>
      </c>
      <c r="G292" s="609">
        <v>0</v>
      </c>
      <c r="H292" s="609">
        <v>0</v>
      </c>
      <c r="I292" s="609">
        <v>0</v>
      </c>
      <c r="J292" s="609">
        <v>0</v>
      </c>
      <c r="K292" s="609">
        <v>0</v>
      </c>
      <c r="L292" s="609">
        <v>0</v>
      </c>
      <c r="M292" s="609">
        <v>0</v>
      </c>
      <c r="N292" s="587">
        <f t="shared" si="25"/>
        <v>0</v>
      </c>
      <c r="O292"/>
      <c r="P292" s="490"/>
      <c r="Q292" t="str">
        <f t="shared" si="26"/>
        <v>49200</v>
      </c>
      <c r="R292" s="126" t="str">
        <f t="shared" si="27"/>
        <v>TRANSFER FROM W&amp;S FUND</v>
      </c>
      <c r="S292" s="125" t="str">
        <f t="shared" si="28"/>
        <v>129</v>
      </c>
      <c r="T292" s="125" t="str">
        <f t="shared" si="29"/>
        <v>00</v>
      </c>
      <c r="U292" s="125" t="str">
        <f t="shared" si="30"/>
        <v>000</v>
      </c>
      <c r="V292" s="125" t="str">
        <f>VLOOKUP(Q292,'GL Category'!A:C,3,FALSE)</f>
        <v>TRANSFERS IN</v>
      </c>
      <c r="W292" s="125"/>
    </row>
    <row r="293" spans="1:24" s="83" customFormat="1" ht="20.399999999999999" customHeight="1">
      <c r="A293" s="608" t="s">
        <v>1033</v>
      </c>
      <c r="B293" s="608" t="s">
        <v>2075</v>
      </c>
      <c r="C293" s="608" t="s">
        <v>392</v>
      </c>
      <c r="D293" s="609">
        <v>-4246678.75</v>
      </c>
      <c r="E293" s="609">
        <v>-3703005.92</v>
      </c>
      <c r="F293" s="609">
        <v>-3545530.92</v>
      </c>
      <c r="G293" s="609">
        <v>-3616536.15</v>
      </c>
      <c r="H293" s="609">
        <v>-3978747</v>
      </c>
      <c r="I293" s="609">
        <v>-3915339.47</v>
      </c>
      <c r="J293" s="609">
        <v>-3920747</v>
      </c>
      <c r="K293" s="609">
        <v>-3599621</v>
      </c>
      <c r="L293" s="609">
        <v>0</v>
      </c>
      <c r="M293" s="609">
        <v>0</v>
      </c>
      <c r="N293" s="587">
        <f t="shared" si="25"/>
        <v>-3599621</v>
      </c>
      <c r="O293"/>
      <c r="P293" s="490"/>
      <c r="Q293" t="str">
        <f t="shared" si="26"/>
        <v>40010</v>
      </c>
      <c r="R293" s="126" t="str">
        <f t="shared" si="27"/>
        <v>CURRENT TAXES</v>
      </c>
      <c r="S293" s="125" t="str">
        <f t="shared" si="28"/>
        <v>150</v>
      </c>
      <c r="T293" s="125" t="str">
        <f t="shared" si="29"/>
        <v>00</v>
      </c>
      <c r="U293" s="125" t="str">
        <f t="shared" si="30"/>
        <v>000</v>
      </c>
      <c r="V293" s="125" t="str">
        <f>VLOOKUP(Q293,'GL Category'!A:C,3,FALSE)</f>
        <v>PROPERTY TAX</v>
      </c>
      <c r="W293" s="125"/>
    </row>
    <row r="294" spans="1:24" s="83" customFormat="1" ht="20.399999999999999" customHeight="1">
      <c r="A294" s="608" t="s">
        <v>1033</v>
      </c>
      <c r="B294" s="608" t="s">
        <v>2076</v>
      </c>
      <c r="C294" s="608" t="s">
        <v>393</v>
      </c>
      <c r="D294" s="609">
        <v>-8726.7999999999993</v>
      </c>
      <c r="E294" s="609">
        <v>-17001.63</v>
      </c>
      <c r="F294" s="609">
        <v>-8558.57</v>
      </c>
      <c r="G294" s="609">
        <v>-1260.8499999999999</v>
      </c>
      <c r="H294" s="609">
        <v>-15165</v>
      </c>
      <c r="I294" s="609">
        <v>19133.77</v>
      </c>
      <c r="J294" s="609">
        <v>0</v>
      </c>
      <c r="K294" s="609">
        <v>-6140</v>
      </c>
      <c r="L294" s="609">
        <v>0</v>
      </c>
      <c r="M294" s="609">
        <v>0</v>
      </c>
      <c r="N294" s="587">
        <f t="shared" si="25"/>
        <v>-6140</v>
      </c>
      <c r="O294"/>
      <c r="P294" s="490"/>
      <c r="Q294" t="str">
        <f t="shared" si="26"/>
        <v>40020</v>
      </c>
      <c r="R294" s="126" t="str">
        <f t="shared" si="27"/>
        <v>DELINQUENT TAXES</v>
      </c>
      <c r="S294" s="125" t="str">
        <f t="shared" si="28"/>
        <v>150</v>
      </c>
      <c r="T294" s="125" t="str">
        <f t="shared" si="29"/>
        <v>00</v>
      </c>
      <c r="U294" s="125" t="str">
        <f t="shared" si="30"/>
        <v>000</v>
      </c>
      <c r="V294" s="125" t="str">
        <f>VLOOKUP(Q294,'GL Category'!A:C,3,FALSE)</f>
        <v>PROPERTY TAX</v>
      </c>
      <c r="W294" s="125"/>
    </row>
    <row r="295" spans="1:24" s="83" customFormat="1" ht="20.399999999999999" customHeight="1">
      <c r="A295" s="608" t="s">
        <v>1033</v>
      </c>
      <c r="B295" s="608" t="s">
        <v>2077</v>
      </c>
      <c r="C295" s="608" t="s">
        <v>452</v>
      </c>
      <c r="D295" s="609">
        <v>0</v>
      </c>
      <c r="E295" s="609">
        <v>0</v>
      </c>
      <c r="F295" s="609">
        <v>0</v>
      </c>
      <c r="G295" s="609">
        <v>0</v>
      </c>
      <c r="H295" s="609">
        <v>0</v>
      </c>
      <c r="I295" s="609">
        <v>0</v>
      </c>
      <c r="J295" s="609">
        <v>0</v>
      </c>
      <c r="K295" s="609">
        <v>0</v>
      </c>
      <c r="L295" s="609">
        <v>0</v>
      </c>
      <c r="M295" s="609">
        <v>0</v>
      </c>
      <c r="N295" s="587">
        <f t="shared" si="25"/>
        <v>0</v>
      </c>
      <c r="O295"/>
      <c r="P295" s="490"/>
      <c r="Q295" t="str">
        <f t="shared" si="26"/>
        <v>40025</v>
      </c>
      <c r="R295" s="126" t="str">
        <f t="shared" si="27"/>
        <v>ACCRUED PROPERTY TAX REVENUE</v>
      </c>
      <c r="S295" s="125" t="str">
        <f t="shared" si="28"/>
        <v>150</v>
      </c>
      <c r="T295" s="125" t="str">
        <f t="shared" si="29"/>
        <v>00</v>
      </c>
      <c r="U295" s="125" t="str">
        <f t="shared" si="30"/>
        <v>000</v>
      </c>
      <c r="V295" s="125" t="str">
        <f>VLOOKUP(Q295,'GL Category'!A:C,3,FALSE)</f>
        <v>PROPERTY TAX</v>
      </c>
      <c r="W295" s="125"/>
    </row>
    <row r="296" spans="1:24" s="83" customFormat="1" ht="20.399999999999999" customHeight="1">
      <c r="A296" s="608" t="s">
        <v>1033</v>
      </c>
      <c r="B296" s="608" t="s">
        <v>2078</v>
      </c>
      <c r="C296" s="608" t="s">
        <v>394</v>
      </c>
      <c r="D296" s="609">
        <v>-17944.43</v>
      </c>
      <c r="E296" s="609">
        <v>-14845.22</v>
      </c>
      <c r="F296" s="609">
        <v>-13300.52</v>
      </c>
      <c r="G296" s="609">
        <v>-12697.49</v>
      </c>
      <c r="H296" s="609">
        <v>-12305</v>
      </c>
      <c r="I296" s="609">
        <v>-12540.32</v>
      </c>
      <c r="J296" s="609">
        <v>-20693</v>
      </c>
      <c r="K296" s="609">
        <v>-20693</v>
      </c>
      <c r="L296" s="609">
        <v>0</v>
      </c>
      <c r="M296" s="609">
        <v>0</v>
      </c>
      <c r="N296" s="587">
        <f t="shared" si="25"/>
        <v>-20693</v>
      </c>
      <c r="O296"/>
      <c r="P296" s="490"/>
      <c r="Q296" t="str">
        <f t="shared" si="26"/>
        <v>40030</v>
      </c>
      <c r="R296" s="126" t="str">
        <f t="shared" si="27"/>
        <v>PENALTY &amp; INTEREST-TAXES</v>
      </c>
      <c r="S296" s="125" t="str">
        <f t="shared" si="28"/>
        <v>150</v>
      </c>
      <c r="T296" s="125" t="str">
        <f t="shared" si="29"/>
        <v>00</v>
      </c>
      <c r="U296" s="125" t="str">
        <f t="shared" si="30"/>
        <v>000</v>
      </c>
      <c r="V296" s="125" t="str">
        <f>VLOOKUP(Q296,'GL Category'!A:C,3,FALSE)</f>
        <v>PROPERTY TAX</v>
      </c>
      <c r="W296" s="125"/>
    </row>
    <row r="297" spans="1:24" s="83" customFormat="1" ht="20.399999999999999" customHeight="1">
      <c r="A297" s="608" t="s">
        <v>1033</v>
      </c>
      <c r="B297" s="608" t="s">
        <v>3297</v>
      </c>
      <c r="C297" s="608" t="s">
        <v>846</v>
      </c>
      <c r="D297" s="609">
        <v>0</v>
      </c>
      <c r="E297" s="609">
        <v>0</v>
      </c>
      <c r="F297" s="609">
        <v>0</v>
      </c>
      <c r="G297" s="609">
        <v>0</v>
      </c>
      <c r="H297" s="609">
        <v>0</v>
      </c>
      <c r="I297" s="609">
        <v>0</v>
      </c>
      <c r="J297" s="609">
        <v>0</v>
      </c>
      <c r="K297" s="609">
        <v>0</v>
      </c>
      <c r="L297" s="609">
        <v>0</v>
      </c>
      <c r="M297" s="609">
        <v>0</v>
      </c>
      <c r="N297" s="587">
        <f t="shared" si="25"/>
        <v>0</v>
      </c>
      <c r="O297"/>
      <c r="P297" s="490"/>
      <c r="Q297" t="str">
        <f t="shared" si="26"/>
        <v>40100</v>
      </c>
      <c r="R297" s="126" t="str">
        <f t="shared" si="27"/>
        <v>ASSESSMENT REVENUE-WINDSOR FST</v>
      </c>
      <c r="S297" s="125" t="str">
        <f t="shared" si="28"/>
        <v>150</v>
      </c>
      <c r="T297" s="125" t="str">
        <f t="shared" si="29"/>
        <v>00</v>
      </c>
      <c r="U297" s="125" t="str">
        <f t="shared" si="30"/>
        <v>000</v>
      </c>
      <c r="V297" s="125" t="str">
        <f>VLOOKUP(Q297,'GL Category'!A:C,3,FALSE)</f>
        <v>DEVELOPMENT FEES</v>
      </c>
      <c r="W297" s="125"/>
    </row>
    <row r="298" spans="1:24" s="83" customFormat="1" ht="20.399999999999999" customHeight="1">
      <c r="A298" s="608" t="s">
        <v>1033</v>
      </c>
      <c r="B298" s="608" t="s">
        <v>2079</v>
      </c>
      <c r="C298" s="608" t="s">
        <v>828</v>
      </c>
      <c r="D298" s="609">
        <v>0</v>
      </c>
      <c r="E298" s="609">
        <v>0</v>
      </c>
      <c r="F298" s="609">
        <v>0</v>
      </c>
      <c r="G298" s="609">
        <v>0</v>
      </c>
      <c r="H298" s="609">
        <v>0</v>
      </c>
      <c r="I298" s="609">
        <v>0</v>
      </c>
      <c r="J298" s="609">
        <v>0</v>
      </c>
      <c r="K298" s="609">
        <v>0</v>
      </c>
      <c r="L298" s="609">
        <v>0</v>
      </c>
      <c r="M298" s="609">
        <v>0</v>
      </c>
      <c r="N298" s="587">
        <f t="shared" si="25"/>
        <v>0</v>
      </c>
      <c r="O298"/>
      <c r="P298" s="490"/>
      <c r="Q298" t="str">
        <f t="shared" si="26"/>
        <v>45095</v>
      </c>
      <c r="R298" s="126" t="str">
        <f t="shared" si="27"/>
        <v>INTEREST-DEBT ISSUANCE</v>
      </c>
      <c r="S298" s="125" t="str">
        <f t="shared" si="28"/>
        <v>150</v>
      </c>
      <c r="T298" s="125" t="str">
        <f t="shared" si="29"/>
        <v>00</v>
      </c>
      <c r="U298" s="125" t="str">
        <f t="shared" si="30"/>
        <v>000</v>
      </c>
      <c r="V298" s="125" t="str">
        <f>VLOOKUP(Q298,'GL Category'!A:C,3,FALSE)</f>
        <v>DEBT ISSUANCES</v>
      </c>
      <c r="W298" s="125"/>
    </row>
    <row r="299" spans="1:24" s="83" customFormat="1" ht="20.399999999999999" customHeight="1">
      <c r="A299" s="608" t="s">
        <v>1033</v>
      </c>
      <c r="B299" s="608" t="s">
        <v>2080</v>
      </c>
      <c r="C299" s="608" t="s">
        <v>425</v>
      </c>
      <c r="D299" s="609">
        <v>-677795</v>
      </c>
      <c r="E299" s="609">
        <v>0</v>
      </c>
      <c r="F299" s="609">
        <v>0</v>
      </c>
      <c r="G299" s="609">
        <v>0</v>
      </c>
      <c r="H299" s="609">
        <v>0</v>
      </c>
      <c r="I299" s="609">
        <v>0</v>
      </c>
      <c r="J299" s="609">
        <v>0</v>
      </c>
      <c r="K299" s="609">
        <v>0</v>
      </c>
      <c r="L299" s="609">
        <v>0</v>
      </c>
      <c r="M299" s="609">
        <v>0</v>
      </c>
      <c r="N299" s="587">
        <f t="shared" si="25"/>
        <v>0</v>
      </c>
      <c r="O299"/>
      <c r="P299" s="490"/>
      <c r="Q299" t="str">
        <f t="shared" si="26"/>
        <v>45100</v>
      </c>
      <c r="R299" s="126" t="str">
        <f t="shared" si="27"/>
        <v>PREMIUM ON DEBT ISSUANCE</v>
      </c>
      <c r="S299" s="125" t="str">
        <f t="shared" si="28"/>
        <v>150</v>
      </c>
      <c r="T299" s="125" t="str">
        <f t="shared" si="29"/>
        <v>00</v>
      </c>
      <c r="U299" s="125" t="str">
        <f t="shared" si="30"/>
        <v>000</v>
      </c>
      <c r="V299" s="125" t="str">
        <f>VLOOKUP(Q299,'GL Category'!A:C,3,FALSE)</f>
        <v>DEBT ISSUANCES</v>
      </c>
      <c r="W299" s="125"/>
    </row>
    <row r="300" spans="1:24" s="541" customFormat="1" ht="20.399999999999999" customHeight="1">
      <c r="A300" s="608" t="s">
        <v>1033</v>
      </c>
      <c r="B300" s="608" t="s">
        <v>2081</v>
      </c>
      <c r="C300" s="608" t="s">
        <v>426</v>
      </c>
      <c r="D300" s="609">
        <v>-4170000</v>
      </c>
      <c r="E300" s="609">
        <v>0</v>
      </c>
      <c r="F300" s="609">
        <v>0</v>
      </c>
      <c r="G300" s="609">
        <v>0</v>
      </c>
      <c r="H300" s="609">
        <v>0</v>
      </c>
      <c r="I300" s="609">
        <v>0</v>
      </c>
      <c r="J300" s="609">
        <v>0</v>
      </c>
      <c r="K300" s="609">
        <v>0</v>
      </c>
      <c r="L300" s="609">
        <v>0</v>
      </c>
      <c r="M300" s="609">
        <v>0</v>
      </c>
      <c r="N300" s="587">
        <f t="shared" si="25"/>
        <v>0</v>
      </c>
      <c r="O300"/>
      <c r="P300" s="490"/>
      <c r="Q300" t="str">
        <f t="shared" si="26"/>
        <v>45200</v>
      </c>
      <c r="R300" s="540" t="str">
        <f t="shared" si="27"/>
        <v>DEBT ISSUANCE-REFUNDING BONDS</v>
      </c>
      <c r="S300" s="538" t="str">
        <f t="shared" si="28"/>
        <v>150</v>
      </c>
      <c r="T300" s="125" t="str">
        <f t="shared" si="29"/>
        <v>00</v>
      </c>
      <c r="U300" s="125" t="str">
        <f t="shared" si="30"/>
        <v>000</v>
      </c>
      <c r="V300" s="538" t="str">
        <f>VLOOKUP(Q300,'GL Category'!A:C,3,FALSE)</f>
        <v>DEBT ISSUANCES</v>
      </c>
      <c r="W300" s="538"/>
      <c r="X300" s="83"/>
    </row>
    <row r="301" spans="1:24" s="541" customFormat="1" ht="20.399999999999999" customHeight="1">
      <c r="A301" s="608" t="s">
        <v>1033</v>
      </c>
      <c r="B301" s="608" t="s">
        <v>2082</v>
      </c>
      <c r="C301" s="608" t="s">
        <v>421</v>
      </c>
      <c r="D301" s="609">
        <v>1004.96</v>
      </c>
      <c r="E301" s="609">
        <v>-1695.05</v>
      </c>
      <c r="F301" s="609">
        <v>-3068.36</v>
      </c>
      <c r="G301" s="609">
        <v>0</v>
      </c>
      <c r="H301" s="609">
        <v>0</v>
      </c>
      <c r="I301" s="609">
        <v>0</v>
      </c>
      <c r="J301" s="609">
        <v>0</v>
      </c>
      <c r="K301" s="609">
        <v>0</v>
      </c>
      <c r="L301" s="609">
        <v>0</v>
      </c>
      <c r="M301" s="609">
        <v>0</v>
      </c>
      <c r="N301" s="587">
        <f t="shared" si="25"/>
        <v>0</v>
      </c>
      <c r="O301"/>
      <c r="P301" s="490"/>
      <c r="Q301" t="str">
        <f t="shared" si="26"/>
        <v>47010</v>
      </c>
      <c r="R301" s="540" t="str">
        <f t="shared" si="27"/>
        <v>MISCELLANEOUS REVENUE</v>
      </c>
      <c r="S301" s="538" t="str">
        <f t="shared" si="28"/>
        <v>150</v>
      </c>
      <c r="T301" s="125" t="str">
        <f t="shared" si="29"/>
        <v>00</v>
      </c>
      <c r="U301" s="125" t="str">
        <f t="shared" si="30"/>
        <v>000</v>
      </c>
      <c r="V301" s="538" t="str">
        <f>VLOOKUP(Q301,'GL Category'!A:C,3,FALSE)</f>
        <v>OTHER REVENUE</v>
      </c>
      <c r="W301" s="538"/>
      <c r="X301" s="83"/>
    </row>
    <row r="302" spans="1:24" s="83" customFormat="1" ht="20.399999999999999" customHeight="1">
      <c r="A302" s="608" t="s">
        <v>1033</v>
      </c>
      <c r="B302" s="608" t="s">
        <v>2083</v>
      </c>
      <c r="C302" s="608" t="s">
        <v>423</v>
      </c>
      <c r="D302" s="609">
        <v>-77476.33</v>
      </c>
      <c r="E302" s="609">
        <v>-28682.83</v>
      </c>
      <c r="F302" s="609">
        <v>-16393.400000000001</v>
      </c>
      <c r="G302" s="609">
        <v>-118503.62</v>
      </c>
      <c r="H302" s="609">
        <v>-55379</v>
      </c>
      <c r="I302" s="609">
        <v>-223272.28</v>
      </c>
      <c r="J302" s="609">
        <v>-225910</v>
      </c>
      <c r="K302" s="609">
        <v>-225910</v>
      </c>
      <c r="L302" s="609">
        <v>0</v>
      </c>
      <c r="M302" s="609">
        <v>0</v>
      </c>
      <c r="N302" s="587">
        <f t="shared" si="25"/>
        <v>-225910</v>
      </c>
      <c r="O302"/>
      <c r="P302" s="490"/>
      <c r="Q302" t="str">
        <f t="shared" si="26"/>
        <v>47090</v>
      </c>
      <c r="R302" s="126" t="str">
        <f t="shared" si="27"/>
        <v>INTEREST REVENUE-INVESTMENTS</v>
      </c>
      <c r="S302" s="125" t="str">
        <f t="shared" si="28"/>
        <v>150</v>
      </c>
      <c r="T302" s="125" t="str">
        <f t="shared" si="29"/>
        <v>00</v>
      </c>
      <c r="U302" s="125" t="str">
        <f t="shared" si="30"/>
        <v>000</v>
      </c>
      <c r="V302" s="125" t="str">
        <f>VLOOKUP(Q302,'GL Category'!A:C,3,FALSE)</f>
        <v>OTHER REVENUE</v>
      </c>
      <c r="W302" s="125"/>
    </row>
    <row r="303" spans="1:24" s="541" customFormat="1" ht="20.399999999999999" customHeight="1">
      <c r="A303" s="608" t="s">
        <v>1033</v>
      </c>
      <c r="B303" s="608" t="s">
        <v>3298</v>
      </c>
      <c r="C303" s="608" t="s">
        <v>892</v>
      </c>
      <c r="D303" s="609">
        <v>0</v>
      </c>
      <c r="E303" s="609">
        <v>0</v>
      </c>
      <c r="F303" s="609">
        <v>0</v>
      </c>
      <c r="G303" s="609">
        <v>0</v>
      </c>
      <c r="H303" s="609">
        <v>0</v>
      </c>
      <c r="I303" s="609">
        <v>0</v>
      </c>
      <c r="J303" s="609">
        <v>0</v>
      </c>
      <c r="K303" s="609">
        <v>0</v>
      </c>
      <c r="L303" s="609">
        <v>0</v>
      </c>
      <c r="M303" s="609">
        <v>0</v>
      </c>
      <c r="N303" s="587">
        <f t="shared" si="25"/>
        <v>0</v>
      </c>
      <c r="O303"/>
      <c r="P303" s="490"/>
      <c r="Q303" t="str">
        <f t="shared" si="26"/>
        <v>47095</v>
      </c>
      <c r="R303" s="540" t="str">
        <f t="shared" si="27"/>
        <v>INTEREST REVENUE-DEBT ISSUANCE</v>
      </c>
      <c r="S303" s="538" t="str">
        <f t="shared" si="28"/>
        <v>150</v>
      </c>
      <c r="T303" s="125" t="str">
        <f t="shared" si="29"/>
        <v>00</v>
      </c>
      <c r="U303" s="125" t="str">
        <f t="shared" si="30"/>
        <v>000</v>
      </c>
      <c r="V303" s="538" t="str">
        <f>VLOOKUP(Q303,'GL Category'!A:C,3,FALSE)</f>
        <v>OTHER REVENUE</v>
      </c>
      <c r="W303" s="538"/>
      <c r="X303" s="83"/>
    </row>
    <row r="304" spans="1:24" s="83" customFormat="1" ht="20.399999999999999" customHeight="1">
      <c r="A304" s="608" t="s">
        <v>1033</v>
      </c>
      <c r="B304" s="608" t="s">
        <v>2084</v>
      </c>
      <c r="C304" s="608" t="s">
        <v>827</v>
      </c>
      <c r="D304" s="609">
        <v>0</v>
      </c>
      <c r="E304" s="609">
        <v>0</v>
      </c>
      <c r="F304" s="609">
        <v>0</v>
      </c>
      <c r="G304" s="609">
        <v>0</v>
      </c>
      <c r="H304" s="609">
        <v>0</v>
      </c>
      <c r="I304" s="609">
        <v>0</v>
      </c>
      <c r="J304" s="609">
        <v>0</v>
      </c>
      <c r="K304" s="609">
        <v>0</v>
      </c>
      <c r="L304" s="609">
        <v>0</v>
      </c>
      <c r="M304" s="609">
        <v>0</v>
      </c>
      <c r="N304" s="587">
        <f t="shared" si="25"/>
        <v>0</v>
      </c>
      <c r="O304"/>
      <c r="P304" s="490"/>
      <c r="Q304" t="str">
        <f t="shared" si="26"/>
        <v>47099</v>
      </c>
      <c r="R304" s="126" t="str">
        <f t="shared" si="27"/>
        <v>INCR/DECR IN FAIR VALUE OF INV</v>
      </c>
      <c r="S304" s="125" t="str">
        <f t="shared" si="28"/>
        <v>150</v>
      </c>
      <c r="T304" s="125" t="str">
        <f t="shared" si="29"/>
        <v>00</v>
      </c>
      <c r="U304" s="125" t="str">
        <f t="shared" si="30"/>
        <v>000</v>
      </c>
      <c r="V304" s="125" t="str">
        <f>VLOOKUP(Q304,'GL Category'!A:C,3,FALSE)</f>
        <v>OTHER REVENUE</v>
      </c>
      <c r="W304" s="125"/>
    </row>
    <row r="305" spans="1:24" s="83" customFormat="1" ht="20.399999999999999" customHeight="1">
      <c r="A305" s="608" t="s">
        <v>1033</v>
      </c>
      <c r="B305" s="608" t="s">
        <v>3299</v>
      </c>
      <c r="C305" s="608" t="s">
        <v>453</v>
      </c>
      <c r="D305" s="609">
        <v>0</v>
      </c>
      <c r="E305" s="609">
        <v>0</v>
      </c>
      <c r="F305" s="609">
        <v>0</v>
      </c>
      <c r="G305" s="609">
        <v>0</v>
      </c>
      <c r="H305" s="609">
        <v>0</v>
      </c>
      <c r="I305" s="609">
        <v>0</v>
      </c>
      <c r="J305" s="609">
        <v>0</v>
      </c>
      <c r="K305" s="609">
        <v>0</v>
      </c>
      <c r="L305" s="609">
        <v>0</v>
      </c>
      <c r="M305" s="609">
        <v>0</v>
      </c>
      <c r="N305" s="587">
        <f t="shared" si="25"/>
        <v>0</v>
      </c>
      <c r="O305"/>
      <c r="P305" s="490"/>
      <c r="Q305" t="str">
        <f t="shared" si="26"/>
        <v>47100</v>
      </c>
      <c r="R305" s="126" t="str">
        <f t="shared" si="27"/>
        <v>INTEREST REVENUE-ASSESSMENTS</v>
      </c>
      <c r="S305" s="125" t="str">
        <f t="shared" si="28"/>
        <v>150</v>
      </c>
      <c r="T305" s="125" t="str">
        <f t="shared" si="29"/>
        <v>00</v>
      </c>
      <c r="U305" s="125" t="str">
        <f t="shared" si="30"/>
        <v>000</v>
      </c>
      <c r="V305" s="125" t="str">
        <f>VLOOKUP(Q305,'GL Category'!A:C,3,FALSE)</f>
        <v>OTHER REVENUE</v>
      </c>
      <c r="W305" s="125"/>
    </row>
    <row r="306" spans="1:24" s="541" customFormat="1" ht="20.399999999999999" customHeight="1">
      <c r="A306" s="608" t="s">
        <v>1033</v>
      </c>
      <c r="B306" s="608" t="s">
        <v>2085</v>
      </c>
      <c r="C306" s="608" t="s">
        <v>512</v>
      </c>
      <c r="D306" s="609">
        <v>0</v>
      </c>
      <c r="E306" s="609">
        <v>0</v>
      </c>
      <c r="F306" s="609">
        <v>0</v>
      </c>
      <c r="G306" s="609">
        <v>0</v>
      </c>
      <c r="H306" s="609">
        <v>0</v>
      </c>
      <c r="I306" s="609">
        <v>0</v>
      </c>
      <c r="J306" s="609">
        <v>0</v>
      </c>
      <c r="K306" s="609">
        <v>0</v>
      </c>
      <c r="L306" s="609">
        <v>0</v>
      </c>
      <c r="M306" s="609">
        <v>0</v>
      </c>
      <c r="N306" s="587">
        <f t="shared" si="25"/>
        <v>0</v>
      </c>
      <c r="O306"/>
      <c r="P306" s="490"/>
      <c r="Q306" t="str">
        <f t="shared" si="26"/>
        <v>49100</v>
      </c>
      <c r="R306" s="540" t="str">
        <f t="shared" si="27"/>
        <v>TRANSFER FROM GENERAL FUND</v>
      </c>
      <c r="S306" s="538" t="str">
        <f t="shared" si="28"/>
        <v>150</v>
      </c>
      <c r="T306" s="125" t="str">
        <f t="shared" si="29"/>
        <v>00</v>
      </c>
      <c r="U306" s="125" t="str">
        <f t="shared" si="30"/>
        <v>000</v>
      </c>
      <c r="V306" s="538" t="str">
        <f>VLOOKUP(Q306,'GL Category'!A:C,3,FALSE)</f>
        <v>TRANSFERS IN</v>
      </c>
      <c r="W306" s="538"/>
      <c r="X306" s="83"/>
    </row>
    <row r="307" spans="1:24" s="83" customFormat="1" ht="20.399999999999999" customHeight="1">
      <c r="A307" s="608" t="s">
        <v>1033</v>
      </c>
      <c r="B307" s="608" t="s">
        <v>2086</v>
      </c>
      <c r="C307" s="608" t="s">
        <v>513</v>
      </c>
      <c r="D307" s="609">
        <v>0</v>
      </c>
      <c r="E307" s="609">
        <v>0</v>
      </c>
      <c r="F307" s="609">
        <v>0</v>
      </c>
      <c r="G307" s="609">
        <v>0</v>
      </c>
      <c r="H307" s="609">
        <v>0</v>
      </c>
      <c r="I307" s="609">
        <v>0</v>
      </c>
      <c r="J307" s="609">
        <v>0</v>
      </c>
      <c r="K307" s="609">
        <v>0</v>
      </c>
      <c r="L307" s="609">
        <v>0</v>
      </c>
      <c r="M307" s="609">
        <v>0</v>
      </c>
      <c r="N307" s="587">
        <f t="shared" si="25"/>
        <v>0</v>
      </c>
      <c r="O307"/>
      <c r="P307" s="490"/>
      <c r="Q307" t="str">
        <f t="shared" si="26"/>
        <v>49110</v>
      </c>
      <c r="R307" s="126" t="str">
        <f t="shared" si="27"/>
        <v>TRANSFER FROM KDC</v>
      </c>
      <c r="S307" s="125" t="str">
        <f t="shared" si="28"/>
        <v>150</v>
      </c>
      <c r="T307" s="125" t="str">
        <f t="shared" si="29"/>
        <v>00</v>
      </c>
      <c r="U307" s="125" t="str">
        <f t="shared" si="30"/>
        <v>000</v>
      </c>
      <c r="V307" s="125" t="str">
        <f>VLOOKUP(Q307,'GL Category'!A:C,3,FALSE)</f>
        <v>TRANSFERS IN</v>
      </c>
      <c r="W307" s="125"/>
    </row>
    <row r="308" spans="1:24" s="83" customFormat="1" ht="20.399999999999999" customHeight="1">
      <c r="A308" s="608" t="s">
        <v>1033</v>
      </c>
      <c r="B308" s="608" t="s">
        <v>2087</v>
      </c>
      <c r="C308" s="608" t="s">
        <v>514</v>
      </c>
      <c r="D308" s="609">
        <v>0</v>
      </c>
      <c r="E308" s="609">
        <v>0</v>
      </c>
      <c r="F308" s="609">
        <v>0</v>
      </c>
      <c r="G308" s="609">
        <v>0</v>
      </c>
      <c r="H308" s="609">
        <v>0</v>
      </c>
      <c r="I308" s="609">
        <v>0</v>
      </c>
      <c r="J308" s="609">
        <v>0</v>
      </c>
      <c r="K308" s="609">
        <v>0</v>
      </c>
      <c r="L308" s="609">
        <v>0</v>
      </c>
      <c r="M308" s="609">
        <v>0</v>
      </c>
      <c r="N308" s="587">
        <f t="shared" si="25"/>
        <v>0</v>
      </c>
      <c r="O308"/>
      <c r="P308" s="490"/>
      <c r="Q308" t="str">
        <f t="shared" si="26"/>
        <v>49170</v>
      </c>
      <c r="R308" s="126" t="str">
        <f t="shared" si="27"/>
        <v>TRANSFER FROM CAPITAL PROJECTS</v>
      </c>
      <c r="S308" s="125" t="str">
        <f t="shared" si="28"/>
        <v>150</v>
      </c>
      <c r="T308" s="125" t="str">
        <f t="shared" si="29"/>
        <v>00</v>
      </c>
      <c r="U308" s="125" t="str">
        <f t="shared" si="30"/>
        <v>000</v>
      </c>
      <c r="V308" s="125" t="str">
        <f>VLOOKUP(Q308,'GL Category'!A:C,3,FALSE)</f>
        <v>TRANSFERS IN</v>
      </c>
      <c r="W308" s="125"/>
    </row>
    <row r="309" spans="1:24" s="83" customFormat="1" ht="18.600000000000001" customHeight="1">
      <c r="A309" s="608" t="s">
        <v>1033</v>
      </c>
      <c r="B309" s="608" t="s">
        <v>2088</v>
      </c>
      <c r="C309" s="608" t="s">
        <v>901</v>
      </c>
      <c r="D309" s="609">
        <v>0</v>
      </c>
      <c r="E309" s="609">
        <v>0</v>
      </c>
      <c r="F309" s="609">
        <v>0</v>
      </c>
      <c r="G309" s="609">
        <v>0</v>
      </c>
      <c r="H309" s="609">
        <v>0</v>
      </c>
      <c r="I309" s="609">
        <v>0</v>
      </c>
      <c r="J309" s="609">
        <v>0</v>
      </c>
      <c r="K309" s="609">
        <v>0</v>
      </c>
      <c r="L309" s="609">
        <v>0</v>
      </c>
      <c r="M309" s="609">
        <v>0</v>
      </c>
      <c r="N309" s="587">
        <f t="shared" si="25"/>
        <v>0</v>
      </c>
      <c r="O309"/>
      <c r="P309" s="490"/>
      <c r="Q309" t="str">
        <f t="shared" si="26"/>
        <v>49178</v>
      </c>
      <c r="R309" s="126" t="str">
        <f t="shared" si="27"/>
        <v>TRANSFER FROM PARKS CIP</v>
      </c>
      <c r="S309" s="125" t="str">
        <f t="shared" si="28"/>
        <v>150</v>
      </c>
      <c r="T309" s="125" t="str">
        <f t="shared" si="29"/>
        <v>00</v>
      </c>
      <c r="U309" s="125" t="str">
        <f t="shared" si="30"/>
        <v>000</v>
      </c>
      <c r="V309" s="125" t="str">
        <f>VLOOKUP(Q309,'GL Category'!A:C,3,FALSE)</f>
        <v>TRANSFERS IN</v>
      </c>
      <c r="W309" s="125"/>
    </row>
    <row r="310" spans="1:24" s="83" customFormat="1" ht="20.399999999999999" customHeight="1">
      <c r="A310" s="608" t="s">
        <v>1033</v>
      </c>
      <c r="B310" s="608" t="s">
        <v>2089</v>
      </c>
      <c r="C310" s="608" t="s">
        <v>480</v>
      </c>
      <c r="D310" s="609">
        <v>0</v>
      </c>
      <c r="E310" s="609">
        <v>0</v>
      </c>
      <c r="F310" s="609">
        <v>0</v>
      </c>
      <c r="G310" s="609">
        <v>0</v>
      </c>
      <c r="H310" s="609">
        <v>0</v>
      </c>
      <c r="I310" s="609">
        <v>0</v>
      </c>
      <c r="J310" s="609">
        <v>0</v>
      </c>
      <c r="K310" s="609">
        <v>0</v>
      </c>
      <c r="L310" s="609">
        <v>0</v>
      </c>
      <c r="M310" s="609">
        <v>0</v>
      </c>
      <c r="N310" s="587">
        <f t="shared" si="25"/>
        <v>0</v>
      </c>
      <c r="O310"/>
      <c r="P310" s="490"/>
      <c r="Q310" t="str">
        <f t="shared" si="26"/>
        <v>49200</v>
      </c>
      <c r="R310" s="126" t="str">
        <f t="shared" si="27"/>
        <v>TRANSFER FROM W&amp;S FUND</v>
      </c>
      <c r="S310" s="125" t="str">
        <f t="shared" si="28"/>
        <v>150</v>
      </c>
      <c r="T310" s="125" t="str">
        <f t="shared" si="29"/>
        <v>00</v>
      </c>
      <c r="U310" s="125" t="str">
        <f t="shared" si="30"/>
        <v>000</v>
      </c>
      <c r="V310" s="125" t="str">
        <f>VLOOKUP(Q310,'GL Category'!A:C,3,FALSE)</f>
        <v>TRANSFERS IN</v>
      </c>
      <c r="W310" s="125"/>
    </row>
    <row r="311" spans="1:24" s="83" customFormat="1" ht="20.399999999999999" customHeight="1">
      <c r="A311" s="608" t="s">
        <v>1033</v>
      </c>
      <c r="B311" s="608" t="s">
        <v>3167</v>
      </c>
      <c r="C311" s="608" t="s">
        <v>84</v>
      </c>
      <c r="D311" s="609">
        <v>691</v>
      </c>
      <c r="E311" s="609">
        <v>0</v>
      </c>
      <c r="F311" s="609">
        <v>0</v>
      </c>
      <c r="G311" s="609">
        <v>-80.05</v>
      </c>
      <c r="H311" s="609">
        <v>0</v>
      </c>
      <c r="I311" s="609">
        <v>0</v>
      </c>
      <c r="J311" s="609">
        <v>0</v>
      </c>
      <c r="K311" s="609">
        <v>0</v>
      </c>
      <c r="L311" s="609">
        <v>0</v>
      </c>
      <c r="M311" s="609">
        <v>0</v>
      </c>
      <c r="N311" s="587">
        <f t="shared" si="25"/>
        <v>0</v>
      </c>
      <c r="O311"/>
      <c r="P311" s="490"/>
      <c r="Q311" t="str">
        <f t="shared" si="26"/>
        <v>49999</v>
      </c>
      <c r="R311" s="126" t="str">
        <f t="shared" si="27"/>
        <v>USE OF FUND BALANCE</v>
      </c>
      <c r="S311" s="125" t="str">
        <f t="shared" si="28"/>
        <v>150</v>
      </c>
      <c r="T311" s="125" t="str">
        <f t="shared" si="29"/>
        <v>00</v>
      </c>
      <c r="U311" s="125" t="str">
        <f t="shared" si="30"/>
        <v>000</v>
      </c>
      <c r="V311" s="125" t="str">
        <f>VLOOKUP(Q311,'GL Category'!A:C,3,FALSE)</f>
        <v>TRANSFERS IN</v>
      </c>
      <c r="W311" s="125"/>
    </row>
    <row r="312" spans="1:24" s="83" customFormat="1" ht="20.399999999999999" customHeight="1">
      <c r="A312" s="608" t="s">
        <v>3395</v>
      </c>
      <c r="B312" s="608" t="s">
        <v>3396</v>
      </c>
      <c r="C312" s="608" t="s">
        <v>392</v>
      </c>
      <c r="D312" s="609">
        <v>0</v>
      </c>
      <c r="E312" s="609">
        <v>0</v>
      </c>
      <c r="F312" s="609">
        <v>0</v>
      </c>
      <c r="G312" s="609">
        <v>0</v>
      </c>
      <c r="H312" s="609">
        <v>0</v>
      </c>
      <c r="I312" s="609">
        <v>0</v>
      </c>
      <c r="J312" s="609">
        <v>0</v>
      </c>
      <c r="K312" s="609">
        <v>0</v>
      </c>
      <c r="L312" s="609">
        <v>0</v>
      </c>
      <c r="M312" s="609">
        <v>0</v>
      </c>
      <c r="N312" s="587">
        <f t="shared" si="25"/>
        <v>0</v>
      </c>
      <c r="O312"/>
      <c r="P312" s="490"/>
      <c r="Q312" t="str">
        <f t="shared" si="26"/>
        <v>40010</v>
      </c>
      <c r="R312" s="126" t="str">
        <f t="shared" si="27"/>
        <v>CURRENT TAXES</v>
      </c>
      <c r="S312" s="125" t="str">
        <f t="shared" si="28"/>
        <v>152</v>
      </c>
      <c r="T312" s="125" t="str">
        <f t="shared" si="29"/>
        <v>00</v>
      </c>
      <c r="U312" s="125" t="str">
        <f t="shared" si="30"/>
        <v>000</v>
      </c>
      <c r="V312" s="125" t="str">
        <f>VLOOKUP(Q312,'GL Category'!A:C,3,FALSE)</f>
        <v>PROPERTY TAX</v>
      </c>
      <c r="W312" s="125"/>
    </row>
    <row r="313" spans="1:24" s="83" customFormat="1" ht="20.399999999999999" customHeight="1">
      <c r="A313" s="608" t="s">
        <v>3395</v>
      </c>
      <c r="B313" s="608" t="s">
        <v>3397</v>
      </c>
      <c r="C313" s="608" t="s">
        <v>393</v>
      </c>
      <c r="D313" s="609">
        <v>0</v>
      </c>
      <c r="E313" s="609">
        <v>0</v>
      </c>
      <c r="F313" s="609">
        <v>0</v>
      </c>
      <c r="G313" s="609">
        <v>0</v>
      </c>
      <c r="H313" s="609">
        <v>0</v>
      </c>
      <c r="I313" s="609">
        <v>0</v>
      </c>
      <c r="J313" s="609">
        <v>0</v>
      </c>
      <c r="K313" s="609">
        <v>0</v>
      </c>
      <c r="L313" s="609">
        <v>0</v>
      </c>
      <c r="M313" s="609">
        <v>0</v>
      </c>
      <c r="N313" s="587">
        <f t="shared" si="25"/>
        <v>0</v>
      </c>
      <c r="O313"/>
      <c r="P313" s="490"/>
      <c r="Q313" t="str">
        <f t="shared" si="26"/>
        <v>40020</v>
      </c>
      <c r="R313" s="126" t="str">
        <f t="shared" si="27"/>
        <v>DELINQUENT TAXES</v>
      </c>
      <c r="S313" s="125" t="str">
        <f t="shared" si="28"/>
        <v>152</v>
      </c>
      <c r="T313" s="125" t="str">
        <f t="shared" si="29"/>
        <v>00</v>
      </c>
      <c r="U313" s="125" t="str">
        <f t="shared" si="30"/>
        <v>000</v>
      </c>
      <c r="V313" s="125" t="str">
        <f>VLOOKUP(Q313,'GL Category'!A:C,3,FALSE)</f>
        <v>PROPERTY TAX</v>
      </c>
      <c r="W313" s="125"/>
    </row>
    <row r="314" spans="1:24" s="83" customFormat="1" ht="20.399999999999999" customHeight="1">
      <c r="A314" s="608" t="s">
        <v>3395</v>
      </c>
      <c r="B314" s="608" t="s">
        <v>3398</v>
      </c>
      <c r="C314" s="608" t="s">
        <v>394</v>
      </c>
      <c r="D314" s="609">
        <v>0</v>
      </c>
      <c r="E314" s="609">
        <v>0</v>
      </c>
      <c r="F314" s="609">
        <v>0</v>
      </c>
      <c r="G314" s="609">
        <v>0</v>
      </c>
      <c r="H314" s="609">
        <v>0</v>
      </c>
      <c r="I314" s="609">
        <v>0</v>
      </c>
      <c r="J314" s="609">
        <v>0</v>
      </c>
      <c r="K314" s="609">
        <v>0</v>
      </c>
      <c r="L314" s="609">
        <v>0</v>
      </c>
      <c r="M314" s="609">
        <v>0</v>
      </c>
      <c r="N314" s="587">
        <f t="shared" si="25"/>
        <v>0</v>
      </c>
      <c r="O314"/>
      <c r="P314" s="490"/>
      <c r="Q314" t="str">
        <f t="shared" si="26"/>
        <v>40030</v>
      </c>
      <c r="R314" s="126" t="str">
        <f t="shared" si="27"/>
        <v>PENALTY &amp; INTEREST-TAXES</v>
      </c>
      <c r="S314" s="125" t="str">
        <f t="shared" si="28"/>
        <v>152</v>
      </c>
      <c r="T314" s="125" t="str">
        <f t="shared" si="29"/>
        <v>00</v>
      </c>
      <c r="U314" s="125" t="str">
        <f t="shared" si="30"/>
        <v>000</v>
      </c>
      <c r="V314" s="125" t="str">
        <f>VLOOKUP(Q314,'GL Category'!A:C,3,FALSE)</f>
        <v>PROPERTY TAX</v>
      </c>
      <c r="W314" s="125"/>
    </row>
    <row r="315" spans="1:24" s="83" customFormat="1" ht="20.399999999999999" customHeight="1">
      <c r="A315" s="608" t="s">
        <v>3395</v>
      </c>
      <c r="B315" s="608" t="s">
        <v>3372</v>
      </c>
      <c r="C315" s="608" t="s">
        <v>796</v>
      </c>
      <c r="D315" s="609">
        <v>0</v>
      </c>
      <c r="E315" s="609">
        <v>0</v>
      </c>
      <c r="F315" s="609">
        <v>0</v>
      </c>
      <c r="G315" s="609">
        <v>-27829.14</v>
      </c>
      <c r="H315" s="609">
        <v>-154110</v>
      </c>
      <c r="I315" s="609">
        <v>0</v>
      </c>
      <c r="J315" s="609">
        <v>-154110</v>
      </c>
      <c r="K315" s="609">
        <v>-197283</v>
      </c>
      <c r="L315" s="609">
        <v>0</v>
      </c>
      <c r="M315" s="609">
        <v>0</v>
      </c>
      <c r="N315" s="587">
        <f t="shared" si="25"/>
        <v>-197283</v>
      </c>
      <c r="O315"/>
      <c r="P315" s="490"/>
      <c r="Q315" t="str">
        <f t="shared" si="26"/>
        <v>40040</v>
      </c>
      <c r="R315" s="126" t="str">
        <f t="shared" si="27"/>
        <v>REVENUE-TIF TAXES/CITY</v>
      </c>
      <c r="S315" s="125" t="str">
        <f t="shared" si="28"/>
        <v>152</v>
      </c>
      <c r="T315" s="125" t="str">
        <f t="shared" si="29"/>
        <v>00</v>
      </c>
      <c r="U315" s="125" t="str">
        <f t="shared" si="30"/>
        <v>000</v>
      </c>
      <c r="V315" s="125" t="str">
        <f>VLOOKUP(Q315,'GL Category'!A:C,3,FALSE)</f>
        <v>PROPERTY TAX</v>
      </c>
      <c r="W315" s="125"/>
    </row>
    <row r="316" spans="1:24" s="83" customFormat="1" ht="20.399999999999999" customHeight="1">
      <c r="A316" s="608" t="s">
        <v>3395</v>
      </c>
      <c r="B316" s="608" t="s">
        <v>3373</v>
      </c>
      <c r="C316" s="608" t="s">
        <v>3399</v>
      </c>
      <c r="D316" s="609">
        <v>0</v>
      </c>
      <c r="E316" s="609">
        <v>0</v>
      </c>
      <c r="F316" s="609">
        <v>0</v>
      </c>
      <c r="G316" s="609">
        <v>-17572.16</v>
      </c>
      <c r="H316" s="609">
        <v>-98753</v>
      </c>
      <c r="I316" s="609">
        <v>-95995.38</v>
      </c>
      <c r="J316" s="609">
        <v>-95996</v>
      </c>
      <c r="K316" s="609">
        <v>-138446</v>
      </c>
      <c r="L316" s="609">
        <v>0</v>
      </c>
      <c r="M316" s="609">
        <v>0</v>
      </c>
      <c r="N316" s="587">
        <f t="shared" si="25"/>
        <v>-138446</v>
      </c>
      <c r="O316"/>
      <c r="P316" s="490"/>
      <c r="Q316" t="str">
        <f t="shared" si="26"/>
        <v>40060</v>
      </c>
      <c r="R316" s="126" t="str">
        <f t="shared" si="27"/>
        <v>REVENUE-TIF COUNTY</v>
      </c>
      <c r="S316" s="125" t="str">
        <f t="shared" si="28"/>
        <v>152</v>
      </c>
      <c r="T316" s="125" t="str">
        <f t="shared" si="29"/>
        <v>00</v>
      </c>
      <c r="U316" s="125" t="str">
        <f t="shared" si="30"/>
        <v>000</v>
      </c>
      <c r="V316" s="125" t="str">
        <f>VLOOKUP(Q316,'GL Category'!A:C,3,FALSE)</f>
        <v>PROPERTY TAX</v>
      </c>
      <c r="W316" s="125"/>
    </row>
    <row r="317" spans="1:24" s="83" customFormat="1" ht="20.399999999999999" customHeight="1">
      <c r="A317" s="608" t="s">
        <v>3395</v>
      </c>
      <c r="B317" s="608" t="s">
        <v>3400</v>
      </c>
      <c r="C317" s="608" t="s">
        <v>515</v>
      </c>
      <c r="D317" s="609">
        <v>0</v>
      </c>
      <c r="E317" s="609">
        <v>0</v>
      </c>
      <c r="F317" s="609">
        <v>0</v>
      </c>
      <c r="G317" s="609">
        <v>-10211.469999999999</v>
      </c>
      <c r="H317" s="609">
        <v>-57763</v>
      </c>
      <c r="I317" s="609">
        <v>-55723.55</v>
      </c>
      <c r="J317" s="609">
        <v>-55724</v>
      </c>
      <c r="K317" s="609">
        <v>-80207</v>
      </c>
      <c r="L317" s="609">
        <v>0</v>
      </c>
      <c r="M317" s="609">
        <v>0</v>
      </c>
      <c r="N317" s="587">
        <f t="shared" si="25"/>
        <v>-80207</v>
      </c>
      <c r="O317"/>
      <c r="P317" s="490"/>
      <c r="Q317" t="str">
        <f t="shared" si="26"/>
        <v>40070</v>
      </c>
      <c r="R317" s="126" t="str">
        <f t="shared" si="27"/>
        <v>REVENUE-TIF TAXES/TCCD</v>
      </c>
      <c r="S317" s="125" t="str">
        <f t="shared" si="28"/>
        <v>152</v>
      </c>
      <c r="T317" s="125" t="str">
        <f t="shared" si="29"/>
        <v>00</v>
      </c>
      <c r="U317" s="125" t="str">
        <f t="shared" si="30"/>
        <v>000</v>
      </c>
      <c r="V317" s="125" t="str">
        <f>VLOOKUP(Q317,'GL Category'!A:C,3,FALSE)</f>
        <v>PROPERTY TAX</v>
      </c>
      <c r="W317" s="125"/>
    </row>
    <row r="318" spans="1:24" s="83" customFormat="1" ht="20.399999999999999" customHeight="1">
      <c r="A318" s="608" t="s">
        <v>3395</v>
      </c>
      <c r="B318" s="608" t="s">
        <v>3401</v>
      </c>
      <c r="C318" s="608" t="s">
        <v>516</v>
      </c>
      <c r="D318" s="609">
        <v>0</v>
      </c>
      <c r="E318" s="609">
        <v>0</v>
      </c>
      <c r="F318" s="609">
        <v>0</v>
      </c>
      <c r="G318" s="609">
        <v>0</v>
      </c>
      <c r="H318" s="609">
        <v>0</v>
      </c>
      <c r="I318" s="609">
        <v>0</v>
      </c>
      <c r="J318" s="609">
        <v>0</v>
      </c>
      <c r="K318" s="609">
        <v>0</v>
      </c>
      <c r="L318" s="609">
        <v>0</v>
      </c>
      <c r="M318" s="609">
        <v>0</v>
      </c>
      <c r="N318" s="587">
        <f t="shared" si="25"/>
        <v>0</v>
      </c>
      <c r="O318"/>
      <c r="P318" s="490"/>
      <c r="Q318" t="str">
        <f t="shared" si="26"/>
        <v>40080</v>
      </c>
      <c r="R318" s="126" t="str">
        <f t="shared" si="27"/>
        <v>REVENUE-TIF TAXES/TCHD</v>
      </c>
      <c r="S318" s="125" t="str">
        <f t="shared" si="28"/>
        <v>152</v>
      </c>
      <c r="T318" s="125" t="str">
        <f t="shared" si="29"/>
        <v>00</v>
      </c>
      <c r="U318" s="125" t="str">
        <f t="shared" si="30"/>
        <v>000</v>
      </c>
      <c r="V318" s="125" t="str">
        <f>VLOOKUP(Q318,'GL Category'!A:C,3,FALSE)</f>
        <v>PROPERTY TAX</v>
      </c>
      <c r="W318" s="125"/>
    </row>
    <row r="319" spans="1:24" s="83" customFormat="1" ht="20.399999999999999" customHeight="1">
      <c r="A319" s="608" t="s">
        <v>3395</v>
      </c>
      <c r="B319" s="608" t="s">
        <v>3402</v>
      </c>
      <c r="C319" s="608" t="s">
        <v>423</v>
      </c>
      <c r="D319" s="609">
        <v>0</v>
      </c>
      <c r="E319" s="609">
        <v>0</v>
      </c>
      <c r="F319" s="609">
        <v>0</v>
      </c>
      <c r="G319" s="609">
        <v>0</v>
      </c>
      <c r="H319" s="609">
        <v>0</v>
      </c>
      <c r="I319" s="609">
        <v>-3028.53</v>
      </c>
      <c r="J319" s="609">
        <v>-2496</v>
      </c>
      <c r="K319" s="609">
        <v>-1500</v>
      </c>
      <c r="L319" s="609">
        <v>0</v>
      </c>
      <c r="M319" s="609">
        <v>0</v>
      </c>
      <c r="N319" s="587">
        <f t="shared" si="25"/>
        <v>-1500</v>
      </c>
      <c r="O319"/>
      <c r="P319" s="490"/>
      <c r="Q319" t="str">
        <f t="shared" si="26"/>
        <v>47090</v>
      </c>
      <c r="R319" s="126" t="str">
        <f t="shared" si="27"/>
        <v>INTEREST REVENUE-INVESTMENTS</v>
      </c>
      <c r="S319" s="125" t="str">
        <f t="shared" si="28"/>
        <v>152</v>
      </c>
      <c r="T319" s="125" t="str">
        <f t="shared" si="29"/>
        <v>00</v>
      </c>
      <c r="U319" s="125" t="str">
        <f t="shared" si="30"/>
        <v>000</v>
      </c>
      <c r="V319" s="125" t="str">
        <f>VLOOKUP(Q319,'GL Category'!A:C,3,FALSE)</f>
        <v>OTHER REVENUE</v>
      </c>
      <c r="W319" s="125"/>
    </row>
    <row r="320" spans="1:24" s="83" customFormat="1" ht="20.399999999999999" customHeight="1">
      <c r="A320" s="608" t="s">
        <v>1034</v>
      </c>
      <c r="B320" s="608" t="s">
        <v>3118</v>
      </c>
      <c r="C320" s="608" t="s">
        <v>847</v>
      </c>
      <c r="D320" s="609">
        <v>0</v>
      </c>
      <c r="E320" s="609">
        <v>0</v>
      </c>
      <c r="F320" s="609">
        <v>0</v>
      </c>
      <c r="G320" s="609">
        <v>0</v>
      </c>
      <c r="H320" s="609">
        <v>0</v>
      </c>
      <c r="I320" s="609">
        <v>0</v>
      </c>
      <c r="J320" s="609">
        <v>0</v>
      </c>
      <c r="K320" s="609">
        <v>0</v>
      </c>
      <c r="L320" s="609">
        <v>0</v>
      </c>
      <c r="M320" s="609">
        <v>0</v>
      </c>
      <c r="N320" s="587">
        <f t="shared" si="25"/>
        <v>0</v>
      </c>
      <c r="O320"/>
      <c r="P320" s="490"/>
      <c r="Q320" t="str">
        <f t="shared" si="26"/>
        <v>40110</v>
      </c>
      <c r="R320" s="126" t="str">
        <f t="shared" si="27"/>
        <v>STREET ASSESSMENT REVENUE</v>
      </c>
      <c r="S320" s="125" t="str">
        <f t="shared" si="28"/>
        <v>174</v>
      </c>
      <c r="T320" s="125" t="str">
        <f t="shared" si="29"/>
        <v>00</v>
      </c>
      <c r="U320" s="125" t="str">
        <f t="shared" si="30"/>
        <v>000</v>
      </c>
      <c r="V320" s="125" t="str">
        <f>VLOOKUP(Q320,'GL Category'!A:C,3,FALSE)</f>
        <v>DEVELOPMENT FEES</v>
      </c>
      <c r="W320" s="125"/>
    </row>
    <row r="321" spans="1:23" s="83" customFormat="1" ht="20.399999999999999" customHeight="1">
      <c r="A321" s="608" t="s">
        <v>1034</v>
      </c>
      <c r="B321" s="608" t="s">
        <v>3300</v>
      </c>
      <c r="C321" s="608" t="s">
        <v>848</v>
      </c>
      <c r="D321" s="609">
        <v>0</v>
      </c>
      <c r="E321" s="609">
        <v>0</v>
      </c>
      <c r="F321" s="609">
        <v>0</v>
      </c>
      <c r="G321" s="609">
        <v>0</v>
      </c>
      <c r="H321" s="609">
        <v>0</v>
      </c>
      <c r="I321" s="609">
        <v>0</v>
      </c>
      <c r="J321" s="609">
        <v>0</v>
      </c>
      <c r="K321" s="609">
        <v>0</v>
      </c>
      <c r="L321" s="609">
        <v>0</v>
      </c>
      <c r="M321" s="609">
        <v>0</v>
      </c>
      <c r="N321" s="587">
        <f t="shared" si="25"/>
        <v>0</v>
      </c>
      <c r="O321"/>
      <c r="P321" s="490"/>
      <c r="Q321" t="str">
        <f t="shared" si="26"/>
        <v>40120</v>
      </c>
      <c r="R321" s="126" t="str">
        <f t="shared" si="27"/>
        <v>PENALTY REVENUE-ASSESSMENTS</v>
      </c>
      <c r="S321" s="125" t="str">
        <f t="shared" si="28"/>
        <v>174</v>
      </c>
      <c r="T321" s="125" t="str">
        <f t="shared" si="29"/>
        <v>00</v>
      </c>
      <c r="U321" s="125" t="str">
        <f t="shared" si="30"/>
        <v>000</v>
      </c>
      <c r="V321" s="125" t="str">
        <f>VLOOKUP(Q321,'GL Category'!A:C,3,FALSE)</f>
        <v>DEVELOPMENT FEES</v>
      </c>
      <c r="W321" s="125"/>
    </row>
    <row r="322" spans="1:23" s="83" customFormat="1" ht="20.399999999999999" customHeight="1">
      <c r="A322" s="608" t="s">
        <v>1034</v>
      </c>
      <c r="B322" s="608" t="s">
        <v>2112</v>
      </c>
      <c r="C322" s="608" t="s">
        <v>395</v>
      </c>
      <c r="D322" s="609">
        <v>-1808641.01</v>
      </c>
      <c r="E322" s="609">
        <v>-2018048.48</v>
      </c>
      <c r="F322" s="609">
        <v>-2277592.4700000002</v>
      </c>
      <c r="G322" s="609">
        <v>-2358917.02</v>
      </c>
      <c r="H322" s="609">
        <v>-2345414</v>
      </c>
      <c r="I322" s="609">
        <v>-1957182.76</v>
      </c>
      <c r="J322" s="609">
        <v>-2345414</v>
      </c>
      <c r="K322" s="609">
        <v>-2345414</v>
      </c>
      <c r="L322" s="609">
        <v>0</v>
      </c>
      <c r="M322" s="609">
        <v>0</v>
      </c>
      <c r="N322" s="587">
        <f t="shared" si="25"/>
        <v>-2345414</v>
      </c>
      <c r="O322"/>
      <c r="P322" s="490"/>
      <c r="Q322" t="str">
        <f t="shared" si="26"/>
        <v>40200</v>
      </c>
      <c r="R322" s="126" t="str">
        <f t="shared" si="27"/>
        <v>CITY SALES TAXES</v>
      </c>
      <c r="S322" s="125" t="str">
        <f t="shared" si="28"/>
        <v>174</v>
      </c>
      <c r="T322" s="125" t="str">
        <f t="shared" si="29"/>
        <v>00</v>
      </c>
      <c r="U322" s="125" t="str">
        <f t="shared" si="30"/>
        <v>000</v>
      </c>
      <c r="V322" s="125" t="str">
        <f>VLOOKUP(Q322,'GL Category'!A:C,3,FALSE)</f>
        <v>SALES TAX</v>
      </c>
      <c r="W322" s="125"/>
    </row>
    <row r="323" spans="1:23" s="83" customFormat="1" ht="20.399999999999999" customHeight="1">
      <c r="A323" s="608" t="s">
        <v>1034</v>
      </c>
      <c r="B323" s="608" t="s">
        <v>3441</v>
      </c>
      <c r="C323" s="608" t="s">
        <v>3432</v>
      </c>
      <c r="D323" s="609">
        <v>0</v>
      </c>
      <c r="E323" s="609">
        <v>0</v>
      </c>
      <c r="F323" s="609">
        <v>0</v>
      </c>
      <c r="G323" s="609">
        <v>0</v>
      </c>
      <c r="H323" s="609">
        <v>0</v>
      </c>
      <c r="I323" s="609">
        <v>0</v>
      </c>
      <c r="J323" s="609">
        <v>0</v>
      </c>
      <c r="K323" s="609">
        <v>0</v>
      </c>
      <c r="L323" s="609">
        <v>0</v>
      </c>
      <c r="M323" s="609">
        <v>0</v>
      </c>
      <c r="N323" s="587">
        <f t="shared" si="25"/>
        <v>0</v>
      </c>
      <c r="O323"/>
      <c r="P323" s="490"/>
      <c r="Q323" t="str">
        <f t="shared" si="26"/>
        <v>41090</v>
      </c>
      <c r="R323" s="126" t="str">
        <f t="shared" si="27"/>
        <v>SIDEWALK INSPECTION FEES</v>
      </c>
      <c r="S323" s="125" t="str">
        <f t="shared" si="28"/>
        <v>174</v>
      </c>
      <c r="T323" s="125" t="str">
        <f t="shared" si="29"/>
        <v>00</v>
      </c>
      <c r="U323" s="125" t="str">
        <f t="shared" si="30"/>
        <v>000</v>
      </c>
      <c r="V323" s="125" t="str">
        <f>VLOOKUP(Q323,'GL Category'!A:C,3,FALSE)</f>
        <v>DEVELOPMENT FEES</v>
      </c>
      <c r="W323" s="125"/>
    </row>
    <row r="324" spans="1:23" s="83" customFormat="1" ht="20.399999999999999" customHeight="1">
      <c r="A324" s="608" t="s">
        <v>1034</v>
      </c>
      <c r="B324" s="608" t="s">
        <v>2113</v>
      </c>
      <c r="C324" s="608" t="s">
        <v>3436</v>
      </c>
      <c r="D324" s="609">
        <v>-3864</v>
      </c>
      <c r="E324" s="609">
        <v>-3075</v>
      </c>
      <c r="F324" s="609">
        <v>-19148</v>
      </c>
      <c r="G324" s="609">
        <v>-16500</v>
      </c>
      <c r="H324" s="609">
        <v>0</v>
      </c>
      <c r="I324" s="609">
        <v>-50581.78</v>
      </c>
      <c r="J324" s="609">
        <v>-50582</v>
      </c>
      <c r="K324" s="609">
        <v>0</v>
      </c>
      <c r="L324" s="609">
        <v>0</v>
      </c>
      <c r="M324" s="609">
        <v>0</v>
      </c>
      <c r="N324" s="587">
        <f t="shared" ref="N324:N387" si="32">SUM(K324:M324)</f>
        <v>0</v>
      </c>
      <c r="O324"/>
      <c r="P324" s="490"/>
      <c r="Q324" t="str">
        <f t="shared" ref="Q324:Q387" si="33">MID(B324,12,5)</f>
        <v>41140</v>
      </c>
      <c r="R324" s="126" t="str">
        <f t="shared" ref="R324:R387" si="34">C324</f>
        <v>SIDEWALK DEVELOPMENT FEES</v>
      </c>
      <c r="S324" s="125" t="str">
        <f t="shared" ref="S324:S387" si="35">LEFT(B324,3)</f>
        <v>174</v>
      </c>
      <c r="T324" s="125" t="str">
        <f t="shared" ref="T324:T387" si="36">MID(B324,5,2)</f>
        <v>00</v>
      </c>
      <c r="U324" s="125" t="str">
        <f t="shared" ref="U324:U387" si="37">MID(B324,8,3)</f>
        <v>000</v>
      </c>
      <c r="V324" s="125" t="str">
        <f>VLOOKUP(Q324,'GL Category'!A:C,3,FALSE)</f>
        <v>DEVELOPMENT FEES</v>
      </c>
      <c r="W324" s="125"/>
    </row>
    <row r="325" spans="1:23" s="83" customFormat="1" ht="20.399999999999999" customHeight="1">
      <c r="A325" s="608" t="s">
        <v>1034</v>
      </c>
      <c r="B325" s="608" t="s">
        <v>2114</v>
      </c>
      <c r="C325" s="608" t="s">
        <v>417</v>
      </c>
      <c r="D325" s="609">
        <v>0</v>
      </c>
      <c r="E325" s="609">
        <v>0</v>
      </c>
      <c r="F325" s="609">
        <v>0</v>
      </c>
      <c r="G325" s="609">
        <v>0</v>
      </c>
      <c r="H325" s="609">
        <v>0</v>
      </c>
      <c r="I325" s="609">
        <v>0</v>
      </c>
      <c r="J325" s="609">
        <v>0</v>
      </c>
      <c r="K325" s="609">
        <v>0</v>
      </c>
      <c r="L325" s="609">
        <v>0</v>
      </c>
      <c r="M325" s="609">
        <v>0</v>
      </c>
      <c r="N325" s="587">
        <f t="shared" si="32"/>
        <v>0</v>
      </c>
      <c r="O325"/>
      <c r="P325" s="490"/>
      <c r="Q325" t="str">
        <f t="shared" si="33"/>
        <v>44790</v>
      </c>
      <c r="R325" s="126" t="str">
        <f t="shared" si="34"/>
        <v>WRITE OFF RECOVERY</v>
      </c>
      <c r="S325" s="125" t="str">
        <f t="shared" si="35"/>
        <v>174</v>
      </c>
      <c r="T325" s="125" t="str">
        <f t="shared" si="36"/>
        <v>00</v>
      </c>
      <c r="U325" s="125" t="str">
        <f t="shared" si="37"/>
        <v>000</v>
      </c>
      <c r="V325" s="125" t="str">
        <f>VLOOKUP(Q325,'GL Category'!A:C,3,FALSE)</f>
        <v>CHARGES FOR SERVICE</v>
      </c>
      <c r="W325" s="125"/>
    </row>
    <row r="326" spans="1:23" s="83" customFormat="1" ht="20.399999999999999" customHeight="1">
      <c r="A326" s="608" t="s">
        <v>1034</v>
      </c>
      <c r="B326" s="608" t="s">
        <v>2115</v>
      </c>
      <c r="C326" s="608" t="s">
        <v>477</v>
      </c>
      <c r="D326" s="609">
        <v>0</v>
      </c>
      <c r="E326" s="609">
        <v>0</v>
      </c>
      <c r="F326" s="609">
        <v>0</v>
      </c>
      <c r="G326" s="609">
        <v>0</v>
      </c>
      <c r="H326" s="609">
        <v>0</v>
      </c>
      <c r="I326" s="609">
        <v>0</v>
      </c>
      <c r="J326" s="609">
        <v>0</v>
      </c>
      <c r="K326" s="609">
        <v>0</v>
      </c>
      <c r="L326" s="609">
        <v>0</v>
      </c>
      <c r="M326" s="609">
        <v>0</v>
      </c>
      <c r="N326" s="587">
        <f t="shared" si="32"/>
        <v>0</v>
      </c>
      <c r="O326"/>
      <c r="P326" s="490"/>
      <c r="Q326" t="str">
        <f t="shared" si="33"/>
        <v>46710</v>
      </c>
      <c r="R326" s="126" t="str">
        <f t="shared" si="34"/>
        <v>GRANT-LOCAL</v>
      </c>
      <c r="S326" s="125" t="str">
        <f t="shared" si="35"/>
        <v>174</v>
      </c>
      <c r="T326" s="125" t="str">
        <f t="shared" si="36"/>
        <v>00</v>
      </c>
      <c r="U326" s="125" t="str">
        <f t="shared" si="37"/>
        <v>000</v>
      </c>
      <c r="V326" s="125" t="str">
        <f>VLOOKUP(Q326,'GL Category'!A:C,3,FALSE)</f>
        <v>INTERGOVERNMENTAL</v>
      </c>
      <c r="W326" s="125"/>
    </row>
    <row r="327" spans="1:23" s="83" customFormat="1" ht="20.399999999999999" customHeight="1">
      <c r="A327" s="608" t="s">
        <v>1034</v>
      </c>
      <c r="B327" s="608" t="s">
        <v>2116</v>
      </c>
      <c r="C327" s="608" t="s">
        <v>421</v>
      </c>
      <c r="D327" s="609">
        <v>0</v>
      </c>
      <c r="E327" s="609">
        <v>0</v>
      </c>
      <c r="F327" s="609">
        <v>0</v>
      </c>
      <c r="G327" s="609">
        <v>0</v>
      </c>
      <c r="H327" s="609">
        <v>0</v>
      </c>
      <c r="I327" s="609">
        <v>0</v>
      </c>
      <c r="J327" s="609">
        <v>0</v>
      </c>
      <c r="K327" s="609">
        <v>0</v>
      </c>
      <c r="L327" s="609">
        <v>0</v>
      </c>
      <c r="M327" s="609">
        <v>0</v>
      </c>
      <c r="N327" s="587">
        <f t="shared" si="32"/>
        <v>0</v>
      </c>
      <c r="O327"/>
      <c r="P327" s="490"/>
      <c r="Q327" t="str">
        <f t="shared" si="33"/>
        <v>47010</v>
      </c>
      <c r="R327" s="126" t="str">
        <f t="shared" si="34"/>
        <v>MISCELLANEOUS REVENUE</v>
      </c>
      <c r="S327" s="125" t="str">
        <f t="shared" si="35"/>
        <v>174</v>
      </c>
      <c r="T327" s="125" t="str">
        <f t="shared" si="36"/>
        <v>00</v>
      </c>
      <c r="U327" s="125" t="str">
        <f t="shared" si="37"/>
        <v>000</v>
      </c>
      <c r="V327" s="125" t="str">
        <f>VLOOKUP(Q327,'GL Category'!A:C,3,FALSE)</f>
        <v>OTHER REVENUE</v>
      </c>
      <c r="W327" s="125"/>
    </row>
    <row r="328" spans="1:23" s="83" customFormat="1" ht="12.6" customHeight="1">
      <c r="A328" s="608" t="s">
        <v>1034</v>
      </c>
      <c r="B328" s="608" t="s">
        <v>2117</v>
      </c>
      <c r="C328" s="608" t="s">
        <v>423</v>
      </c>
      <c r="D328" s="609">
        <v>-9086.2000000000007</v>
      </c>
      <c r="E328" s="609">
        <v>-6293</v>
      </c>
      <c r="F328" s="609">
        <v>-3936.84</v>
      </c>
      <c r="G328" s="609">
        <v>-65834.58</v>
      </c>
      <c r="H328" s="609">
        <v>-11483</v>
      </c>
      <c r="I328" s="609">
        <v>-106967.51</v>
      </c>
      <c r="J328" s="609">
        <v>-128203</v>
      </c>
      <c r="K328" s="609">
        <v>-128203</v>
      </c>
      <c r="L328" s="609">
        <v>0</v>
      </c>
      <c r="M328" s="609">
        <v>0</v>
      </c>
      <c r="N328" s="587">
        <f t="shared" si="32"/>
        <v>-128203</v>
      </c>
      <c r="O328"/>
      <c r="P328" s="490"/>
      <c r="Q328" t="str">
        <f t="shared" si="33"/>
        <v>47090</v>
      </c>
      <c r="R328" s="126" t="str">
        <f t="shared" si="34"/>
        <v>INTEREST REVENUE-INVESTMENTS</v>
      </c>
      <c r="S328" s="125" t="str">
        <f t="shared" si="35"/>
        <v>174</v>
      </c>
      <c r="T328" s="125" t="str">
        <f t="shared" si="36"/>
        <v>00</v>
      </c>
      <c r="U328" s="125" t="str">
        <f t="shared" si="37"/>
        <v>000</v>
      </c>
      <c r="V328" s="125" t="str">
        <f>VLOOKUP(Q328,'GL Category'!A:C,3,FALSE)</f>
        <v>OTHER REVENUE</v>
      </c>
      <c r="W328" s="125"/>
    </row>
    <row r="329" spans="1:23" s="83" customFormat="1" ht="12.6" customHeight="1">
      <c r="A329" s="608" t="s">
        <v>1034</v>
      </c>
      <c r="B329" s="608" t="s">
        <v>2118</v>
      </c>
      <c r="C329" s="608" t="s">
        <v>827</v>
      </c>
      <c r="D329" s="609">
        <v>0</v>
      </c>
      <c r="E329" s="609">
        <v>0</v>
      </c>
      <c r="F329" s="609">
        <v>0</v>
      </c>
      <c r="G329" s="609">
        <v>0</v>
      </c>
      <c r="H329" s="609">
        <v>0</v>
      </c>
      <c r="I329" s="609">
        <v>0</v>
      </c>
      <c r="J329" s="609">
        <v>0</v>
      </c>
      <c r="K329" s="609">
        <v>0</v>
      </c>
      <c r="L329" s="609">
        <v>0</v>
      </c>
      <c r="M329" s="609">
        <v>0</v>
      </c>
      <c r="N329" s="587">
        <f t="shared" si="32"/>
        <v>0</v>
      </c>
      <c r="O329"/>
      <c r="P329" s="490"/>
      <c r="Q329" t="str">
        <f t="shared" si="33"/>
        <v>47099</v>
      </c>
      <c r="R329" s="126" t="str">
        <f t="shared" si="34"/>
        <v>INCR/DECR IN FAIR VALUE OF INV</v>
      </c>
      <c r="S329" s="125" t="str">
        <f t="shared" si="35"/>
        <v>174</v>
      </c>
      <c r="T329" s="125" t="str">
        <f t="shared" si="36"/>
        <v>00</v>
      </c>
      <c r="U329" s="125" t="str">
        <f t="shared" si="37"/>
        <v>000</v>
      </c>
      <c r="V329" s="125" t="str">
        <f>VLOOKUP(Q329,'GL Category'!A:C,3,FALSE)</f>
        <v>OTHER REVENUE</v>
      </c>
      <c r="W329" s="125"/>
    </row>
    <row r="330" spans="1:23" s="83" customFormat="1" ht="12.6" customHeight="1">
      <c r="A330" s="608" t="s">
        <v>1034</v>
      </c>
      <c r="B330" s="608" t="s">
        <v>2119</v>
      </c>
      <c r="C330" s="608" t="s">
        <v>453</v>
      </c>
      <c r="D330" s="609">
        <v>0</v>
      </c>
      <c r="E330" s="609">
        <v>0</v>
      </c>
      <c r="F330" s="609">
        <v>0</v>
      </c>
      <c r="G330" s="609">
        <v>0</v>
      </c>
      <c r="H330" s="609">
        <v>0</v>
      </c>
      <c r="I330" s="609">
        <v>0</v>
      </c>
      <c r="J330" s="609">
        <v>0</v>
      </c>
      <c r="K330" s="609">
        <v>0</v>
      </c>
      <c r="L330" s="609">
        <v>0</v>
      </c>
      <c r="M330" s="609">
        <v>0</v>
      </c>
      <c r="N330" s="587">
        <f t="shared" si="32"/>
        <v>0</v>
      </c>
      <c r="O330"/>
      <c r="P330" s="490"/>
      <c r="Q330" t="str">
        <f t="shared" si="33"/>
        <v>47100</v>
      </c>
      <c r="R330" s="126" t="str">
        <f t="shared" si="34"/>
        <v>INTEREST REVENUE-ASSESSMENTS</v>
      </c>
      <c r="S330" s="125" t="str">
        <f t="shared" si="35"/>
        <v>174</v>
      </c>
      <c r="T330" s="125" t="str">
        <f t="shared" si="36"/>
        <v>00</v>
      </c>
      <c r="U330" s="125" t="str">
        <f t="shared" si="37"/>
        <v>000</v>
      </c>
      <c r="V330" s="125" t="str">
        <f>VLOOKUP(Q330,'GL Category'!A:C,3,FALSE)</f>
        <v>OTHER REVENUE</v>
      </c>
      <c r="W330" s="125"/>
    </row>
    <row r="331" spans="1:23" s="83" customFormat="1" ht="12.6" customHeight="1">
      <c r="A331" s="608" t="s">
        <v>1034</v>
      </c>
      <c r="B331" s="608" t="s">
        <v>2120</v>
      </c>
      <c r="C331" s="608" t="s">
        <v>84</v>
      </c>
      <c r="D331" s="609">
        <v>84</v>
      </c>
      <c r="E331" s="609">
        <v>0</v>
      </c>
      <c r="F331" s="609">
        <v>0</v>
      </c>
      <c r="G331" s="609">
        <v>0</v>
      </c>
      <c r="H331" s="609">
        <v>0</v>
      </c>
      <c r="I331" s="609">
        <v>0</v>
      </c>
      <c r="J331" s="609">
        <v>0</v>
      </c>
      <c r="K331" s="609">
        <v>0</v>
      </c>
      <c r="L331" s="609">
        <v>0</v>
      </c>
      <c r="M331" s="609">
        <v>0</v>
      </c>
      <c r="N331" s="587">
        <f t="shared" si="32"/>
        <v>0</v>
      </c>
      <c r="O331"/>
      <c r="P331" s="490"/>
      <c r="Q331" t="str">
        <f t="shared" si="33"/>
        <v>49999</v>
      </c>
      <c r="R331" s="126" t="str">
        <f t="shared" si="34"/>
        <v>USE OF FUND BALANCE</v>
      </c>
      <c r="S331" s="125" t="str">
        <f t="shared" si="35"/>
        <v>174</v>
      </c>
      <c r="T331" s="125" t="str">
        <f t="shared" si="36"/>
        <v>00</v>
      </c>
      <c r="U331" s="125" t="str">
        <f t="shared" si="37"/>
        <v>000</v>
      </c>
      <c r="V331" s="125" t="str">
        <f>VLOOKUP(Q331,'GL Category'!A:C,3,FALSE)</f>
        <v>TRANSFERS IN</v>
      </c>
      <c r="W331" s="125"/>
    </row>
    <row r="332" spans="1:23" s="83" customFormat="1" ht="12.6" customHeight="1">
      <c r="A332" s="608" t="s">
        <v>1035</v>
      </c>
      <c r="B332" s="608" t="s">
        <v>3121</v>
      </c>
      <c r="C332" s="608" t="s">
        <v>1096</v>
      </c>
      <c r="D332" s="609">
        <v>-3465</v>
      </c>
      <c r="E332" s="609">
        <v>-3465</v>
      </c>
      <c r="F332" s="609">
        <v>-4313</v>
      </c>
      <c r="G332" s="609">
        <v>-4313</v>
      </c>
      <c r="H332" s="609">
        <v>-4313</v>
      </c>
      <c r="I332" s="609">
        <v>-3234.75</v>
      </c>
      <c r="J332" s="609">
        <v>-4313</v>
      </c>
      <c r="K332" s="609">
        <v>-3465</v>
      </c>
      <c r="L332" s="609">
        <v>0</v>
      </c>
      <c r="M332" s="609">
        <v>0</v>
      </c>
      <c r="N332" s="587">
        <f t="shared" si="32"/>
        <v>-3465</v>
      </c>
      <c r="O332"/>
      <c r="P332" s="490"/>
      <c r="Q332" t="str">
        <f t="shared" si="33"/>
        <v>44935</v>
      </c>
      <c r="R332" s="126" t="str">
        <f t="shared" si="34"/>
        <v>VEHICLE/EQUIP LEASE REV-F 119</v>
      </c>
      <c r="S332" s="125" t="str">
        <f t="shared" si="35"/>
        <v>175</v>
      </c>
      <c r="T332" s="125" t="str">
        <f t="shared" si="36"/>
        <v>00</v>
      </c>
      <c r="U332" s="125" t="str">
        <f t="shared" si="37"/>
        <v>000</v>
      </c>
      <c r="V332" s="125" t="str">
        <f>VLOOKUP(Q332,'GL Category'!A:C,3,FALSE)</f>
        <v>CHARGES FOR SERVICE</v>
      </c>
      <c r="W332" s="125"/>
    </row>
    <row r="333" spans="1:23" s="83" customFormat="1" ht="12.6" customHeight="1">
      <c r="A333" s="608" t="s">
        <v>1035</v>
      </c>
      <c r="B333" s="608" t="s">
        <v>2128</v>
      </c>
      <c r="C333" s="608" t="s">
        <v>990</v>
      </c>
      <c r="D333" s="609">
        <v>-938268</v>
      </c>
      <c r="E333" s="609">
        <v>-965890</v>
      </c>
      <c r="F333" s="609">
        <v>-893615</v>
      </c>
      <c r="G333" s="609">
        <v>-794560</v>
      </c>
      <c r="H333" s="609">
        <v>-1146763</v>
      </c>
      <c r="I333" s="609">
        <v>-860072.25</v>
      </c>
      <c r="J333" s="609">
        <v>-1146763</v>
      </c>
      <c r="K333" s="609">
        <v>-1038831</v>
      </c>
      <c r="L333" s="609">
        <v>0</v>
      </c>
      <c r="M333" s="609">
        <v>-75000</v>
      </c>
      <c r="N333" s="587">
        <f t="shared" si="32"/>
        <v>-1113831</v>
      </c>
      <c r="O333"/>
      <c r="P333" s="490"/>
      <c r="Q333" t="str">
        <f t="shared" si="33"/>
        <v>44955</v>
      </c>
      <c r="R333" s="126" t="str">
        <f t="shared" si="34"/>
        <v>VEHICLE/EQUIP LEASE REV-F 100</v>
      </c>
      <c r="S333" s="125" t="str">
        <f t="shared" si="35"/>
        <v>175</v>
      </c>
      <c r="T333" s="125" t="str">
        <f t="shared" si="36"/>
        <v>00</v>
      </c>
      <c r="U333" s="125" t="str">
        <f t="shared" si="37"/>
        <v>000</v>
      </c>
      <c r="V333" s="125" t="str">
        <f>VLOOKUP(Q333,'GL Category'!A:C,3,FALSE)</f>
        <v>CHARGES FOR SERVICE</v>
      </c>
      <c r="W333" s="125"/>
    </row>
    <row r="334" spans="1:23" s="83" customFormat="1" ht="12.6" customHeight="1">
      <c r="A334" s="608" t="s">
        <v>1035</v>
      </c>
      <c r="B334" s="608" t="s">
        <v>2130</v>
      </c>
      <c r="C334" s="608" t="s">
        <v>517</v>
      </c>
      <c r="D334" s="609">
        <v>-512249</v>
      </c>
      <c r="E334" s="609">
        <v>-333588</v>
      </c>
      <c r="F334" s="609">
        <v>-418240</v>
      </c>
      <c r="G334" s="609">
        <v>-401706</v>
      </c>
      <c r="H334" s="609">
        <v>-599611</v>
      </c>
      <c r="I334" s="609">
        <v>-449708.25</v>
      </c>
      <c r="J334" s="609">
        <v>-599611</v>
      </c>
      <c r="K334" s="609">
        <v>-416566</v>
      </c>
      <c r="L334" s="609">
        <v>0</v>
      </c>
      <c r="M334" s="609">
        <v>-65000</v>
      </c>
      <c r="N334" s="587">
        <f t="shared" si="32"/>
        <v>-481566</v>
      </c>
      <c r="O334"/>
      <c r="P334" s="490"/>
      <c r="Q334" t="str">
        <f t="shared" si="33"/>
        <v>44960</v>
      </c>
      <c r="R334" s="126" t="str">
        <f t="shared" si="34"/>
        <v>VEHICLE/EQUIP LEASE REV-F 200</v>
      </c>
      <c r="S334" s="125" t="str">
        <f t="shared" si="35"/>
        <v>175</v>
      </c>
      <c r="T334" s="125" t="str">
        <f t="shared" si="36"/>
        <v>00</v>
      </c>
      <c r="U334" s="125" t="str">
        <f t="shared" si="37"/>
        <v>000</v>
      </c>
      <c r="V334" s="125" t="str">
        <f>VLOOKUP(Q334,'GL Category'!A:C,3,FALSE)</f>
        <v>CHARGES FOR SERVICE</v>
      </c>
      <c r="W334" s="125"/>
    </row>
    <row r="335" spans="1:23" s="83" customFormat="1" ht="12.6" customHeight="1">
      <c r="A335" s="608" t="s">
        <v>1035</v>
      </c>
      <c r="B335" s="608" t="s">
        <v>2131</v>
      </c>
      <c r="C335" s="608" t="s">
        <v>1114</v>
      </c>
      <c r="D335" s="609">
        <v>-4733</v>
      </c>
      <c r="E335" s="609">
        <v>-4727</v>
      </c>
      <c r="F335" s="609">
        <v>-5561</v>
      </c>
      <c r="G335" s="609">
        <v>-7840</v>
      </c>
      <c r="H335" s="609">
        <v>-8280</v>
      </c>
      <c r="I335" s="609">
        <v>-6210</v>
      </c>
      <c r="J335" s="609">
        <v>-8280</v>
      </c>
      <c r="K335" s="609">
        <v>-6766</v>
      </c>
      <c r="L335" s="609">
        <v>0</v>
      </c>
      <c r="M335" s="609">
        <v>0</v>
      </c>
      <c r="N335" s="587">
        <f t="shared" si="32"/>
        <v>-6766</v>
      </c>
      <c r="O335"/>
      <c r="P335" s="490"/>
      <c r="Q335" t="str">
        <f t="shared" si="33"/>
        <v>44965</v>
      </c>
      <c r="R335" s="126" t="str">
        <f t="shared" si="34"/>
        <v>VEHICLE/EQUIP LEASE REV-F 125</v>
      </c>
      <c r="S335" s="125" t="str">
        <f t="shared" si="35"/>
        <v>175</v>
      </c>
      <c r="T335" s="125" t="str">
        <f t="shared" si="36"/>
        <v>00</v>
      </c>
      <c r="U335" s="125" t="str">
        <f t="shared" si="37"/>
        <v>000</v>
      </c>
      <c r="V335" s="125" t="str">
        <f>VLOOKUP(Q335,'GL Category'!A:C,3,FALSE)</f>
        <v>CHARGES FOR SERVICE</v>
      </c>
      <c r="W335" s="125"/>
    </row>
    <row r="336" spans="1:23" s="83" customFormat="1" ht="12.6" customHeight="1">
      <c r="A336" s="608" t="s">
        <v>1035</v>
      </c>
      <c r="B336" s="608" t="s">
        <v>2132</v>
      </c>
      <c r="C336" s="608" t="s">
        <v>518</v>
      </c>
      <c r="D336" s="609">
        <v>-227484</v>
      </c>
      <c r="E336" s="609">
        <v>-83243</v>
      </c>
      <c r="F336" s="609">
        <v>-88999</v>
      </c>
      <c r="G336" s="609">
        <v>-91842</v>
      </c>
      <c r="H336" s="609">
        <v>-91842</v>
      </c>
      <c r="I336" s="609">
        <v>-68881.5</v>
      </c>
      <c r="J336" s="609">
        <v>-91842</v>
      </c>
      <c r="K336" s="609">
        <v>-91395</v>
      </c>
      <c r="L336" s="609">
        <v>0</v>
      </c>
      <c r="M336" s="609">
        <v>-44000</v>
      </c>
      <c r="N336" s="587">
        <f t="shared" si="32"/>
        <v>-135395</v>
      </c>
      <c r="O336"/>
      <c r="P336" s="490"/>
      <c r="Q336" t="str">
        <f t="shared" si="33"/>
        <v>44970</v>
      </c>
      <c r="R336" s="126" t="str">
        <f t="shared" si="34"/>
        <v>VEHICLE/EQUIP LEASE REV-F 400</v>
      </c>
      <c r="S336" s="125" t="str">
        <f t="shared" si="35"/>
        <v>175</v>
      </c>
      <c r="T336" s="125" t="str">
        <f t="shared" si="36"/>
        <v>00</v>
      </c>
      <c r="U336" s="125" t="str">
        <f t="shared" si="37"/>
        <v>000</v>
      </c>
      <c r="V336" s="125" t="str">
        <f>VLOOKUP(Q336,'GL Category'!A:C,3,FALSE)</f>
        <v>CHARGES FOR SERVICE</v>
      </c>
      <c r="W336" s="125"/>
    </row>
    <row r="337" spans="1:23" s="83" customFormat="1" ht="12.6" customHeight="1">
      <c r="A337" s="608" t="s">
        <v>1035</v>
      </c>
      <c r="B337" s="608" t="s">
        <v>2133</v>
      </c>
      <c r="C337" s="608" t="s">
        <v>883</v>
      </c>
      <c r="D337" s="609">
        <v>0</v>
      </c>
      <c r="E337" s="609">
        <v>0</v>
      </c>
      <c r="F337" s="609">
        <v>0</v>
      </c>
      <c r="G337" s="609">
        <v>0</v>
      </c>
      <c r="H337" s="609">
        <v>0</v>
      </c>
      <c r="I337" s="609">
        <v>0</v>
      </c>
      <c r="J337" s="609">
        <v>0</v>
      </c>
      <c r="K337" s="609">
        <v>0</v>
      </c>
      <c r="L337" s="609">
        <v>0</v>
      </c>
      <c r="M337" s="609">
        <v>0</v>
      </c>
      <c r="N337" s="587">
        <f t="shared" si="32"/>
        <v>0</v>
      </c>
      <c r="O337"/>
      <c r="P337" s="490"/>
      <c r="Q337" t="str">
        <f t="shared" si="33"/>
        <v>45000</v>
      </c>
      <c r="R337" s="126" t="str">
        <f t="shared" si="34"/>
        <v>DEBT ISSUANCE PROCEEDS</v>
      </c>
      <c r="S337" s="125" t="str">
        <f t="shared" si="35"/>
        <v>175</v>
      </c>
      <c r="T337" s="125" t="str">
        <f t="shared" si="36"/>
        <v>00</v>
      </c>
      <c r="U337" s="125" t="str">
        <f t="shared" si="37"/>
        <v>000</v>
      </c>
      <c r="V337" s="125" t="str">
        <f>VLOOKUP(Q337,'GL Category'!A:C,3,FALSE)</f>
        <v>DEBT ISSUANCES</v>
      </c>
      <c r="W337" s="125"/>
    </row>
    <row r="338" spans="1:23" s="83" customFormat="1" ht="12.6" customHeight="1">
      <c r="A338" s="608" t="s">
        <v>1035</v>
      </c>
      <c r="B338" s="608" t="s">
        <v>3301</v>
      </c>
      <c r="C338" s="608" t="s">
        <v>440</v>
      </c>
      <c r="D338" s="609">
        <v>0</v>
      </c>
      <c r="E338" s="609">
        <v>0</v>
      </c>
      <c r="F338" s="609">
        <v>0</v>
      </c>
      <c r="G338" s="609">
        <v>0</v>
      </c>
      <c r="H338" s="609">
        <v>0</v>
      </c>
      <c r="I338" s="609">
        <v>0</v>
      </c>
      <c r="J338" s="609">
        <v>0</v>
      </c>
      <c r="K338" s="609">
        <v>0</v>
      </c>
      <c r="L338" s="609">
        <v>0</v>
      </c>
      <c r="M338" s="609">
        <v>0</v>
      </c>
      <c r="N338" s="587">
        <f t="shared" si="32"/>
        <v>0</v>
      </c>
      <c r="O338"/>
      <c r="P338" s="490"/>
      <c r="Q338" t="str">
        <f t="shared" si="33"/>
        <v>46180</v>
      </c>
      <c r="R338" s="126" t="str">
        <f t="shared" si="34"/>
        <v>I/G REV-TARRANT COUNTY</v>
      </c>
      <c r="S338" s="125" t="str">
        <f t="shared" si="35"/>
        <v>175</v>
      </c>
      <c r="T338" s="125" t="str">
        <f t="shared" si="36"/>
        <v>00</v>
      </c>
      <c r="U338" s="125" t="str">
        <f t="shared" si="37"/>
        <v>000</v>
      </c>
      <c r="V338" s="125" t="str">
        <f>VLOOKUP(Q338,'GL Category'!A:C,3,FALSE)</f>
        <v>INTERGOVERNMENTAL</v>
      </c>
      <c r="W338" s="125"/>
    </row>
    <row r="339" spans="1:23" s="83" customFormat="1" ht="12.6" customHeight="1">
      <c r="A339" s="608" t="s">
        <v>1035</v>
      </c>
      <c r="B339" s="608" t="s">
        <v>2134</v>
      </c>
      <c r="C339" s="608" t="s">
        <v>421</v>
      </c>
      <c r="D339" s="609">
        <v>0</v>
      </c>
      <c r="E339" s="609">
        <v>0</v>
      </c>
      <c r="F339" s="609">
        <v>0</v>
      </c>
      <c r="G339" s="609">
        <v>0</v>
      </c>
      <c r="H339" s="609">
        <v>0</v>
      </c>
      <c r="I339" s="609">
        <v>0</v>
      </c>
      <c r="J339" s="609">
        <v>0</v>
      </c>
      <c r="K339" s="609">
        <v>0</v>
      </c>
      <c r="L339" s="609">
        <v>0</v>
      </c>
      <c r="M339" s="609">
        <v>0</v>
      </c>
      <c r="N339" s="587">
        <f t="shared" si="32"/>
        <v>0</v>
      </c>
      <c r="O339"/>
      <c r="P339" s="490"/>
      <c r="Q339" t="str">
        <f t="shared" si="33"/>
        <v>47010</v>
      </c>
      <c r="R339" s="126" t="str">
        <f t="shared" si="34"/>
        <v>MISCELLANEOUS REVENUE</v>
      </c>
      <c r="S339" s="125" t="str">
        <f t="shared" si="35"/>
        <v>175</v>
      </c>
      <c r="T339" s="125" t="str">
        <f t="shared" si="36"/>
        <v>00</v>
      </c>
      <c r="U339" s="125" t="str">
        <f t="shared" si="37"/>
        <v>000</v>
      </c>
      <c r="V339" s="125" t="str">
        <f>VLOOKUP(Q339,'GL Category'!A:C,3,FALSE)</f>
        <v>OTHER REVENUE</v>
      </c>
      <c r="W339" s="125"/>
    </row>
    <row r="340" spans="1:23" s="83" customFormat="1" ht="12.6" customHeight="1">
      <c r="A340" s="608" t="s">
        <v>1035</v>
      </c>
      <c r="B340" s="608" t="s">
        <v>2135</v>
      </c>
      <c r="C340" s="608" t="s">
        <v>422</v>
      </c>
      <c r="D340" s="609">
        <v>-2918.98</v>
      </c>
      <c r="E340" s="609">
        <v>11905</v>
      </c>
      <c r="F340" s="609">
        <v>-13450</v>
      </c>
      <c r="G340" s="609">
        <v>-23490</v>
      </c>
      <c r="H340" s="609">
        <v>0</v>
      </c>
      <c r="I340" s="609">
        <v>-123991.2</v>
      </c>
      <c r="J340" s="609">
        <v>-123992</v>
      </c>
      <c r="K340" s="609">
        <v>0</v>
      </c>
      <c r="L340" s="609">
        <v>0</v>
      </c>
      <c r="M340" s="609">
        <v>0</v>
      </c>
      <c r="N340" s="587">
        <f t="shared" si="32"/>
        <v>0</v>
      </c>
      <c r="O340"/>
      <c r="P340" s="490"/>
      <c r="Q340" t="str">
        <f t="shared" si="33"/>
        <v>47020</v>
      </c>
      <c r="R340" s="126" t="str">
        <f t="shared" si="34"/>
        <v>AUCTION PROCEEDS</v>
      </c>
      <c r="S340" s="125" t="str">
        <f t="shared" si="35"/>
        <v>175</v>
      </c>
      <c r="T340" s="125" t="str">
        <f t="shared" si="36"/>
        <v>00</v>
      </c>
      <c r="U340" s="125" t="str">
        <f t="shared" si="37"/>
        <v>000</v>
      </c>
      <c r="V340" s="125" t="str">
        <f>VLOOKUP(Q340,'GL Category'!A:C,3,FALSE)</f>
        <v>OTHER REVENUE</v>
      </c>
      <c r="W340" s="125"/>
    </row>
    <row r="341" spans="1:23" s="83" customFormat="1" ht="12.6" customHeight="1">
      <c r="A341" s="608" t="s">
        <v>1035</v>
      </c>
      <c r="B341" s="608" t="s">
        <v>2136</v>
      </c>
      <c r="C341" s="608" t="s">
        <v>427</v>
      </c>
      <c r="D341" s="609">
        <v>-396245.18</v>
      </c>
      <c r="E341" s="609">
        <v>-79320</v>
      </c>
      <c r="F341" s="609">
        <v>-86880.5</v>
      </c>
      <c r="G341" s="609">
        <v>-147331.10999999999</v>
      </c>
      <c r="H341" s="609">
        <v>0</v>
      </c>
      <c r="I341" s="609">
        <v>-52275</v>
      </c>
      <c r="J341" s="609">
        <v>0</v>
      </c>
      <c r="K341" s="609">
        <v>0</v>
      </c>
      <c r="L341" s="609">
        <v>0</v>
      </c>
      <c r="M341" s="609">
        <v>0</v>
      </c>
      <c r="N341" s="587">
        <f t="shared" si="32"/>
        <v>0</v>
      </c>
      <c r="O341"/>
      <c r="P341" s="490"/>
      <c r="Q341" t="str">
        <f t="shared" si="33"/>
        <v>47030</v>
      </c>
      <c r="R341" s="126" t="str">
        <f t="shared" si="34"/>
        <v>GAIN/LOSS ON DISP OF ASSETS</v>
      </c>
      <c r="S341" s="125" t="str">
        <f t="shared" si="35"/>
        <v>175</v>
      </c>
      <c r="T341" s="125" t="str">
        <f t="shared" si="36"/>
        <v>00</v>
      </c>
      <c r="U341" s="125" t="str">
        <f t="shared" si="37"/>
        <v>000</v>
      </c>
      <c r="V341" s="125" t="str">
        <f>VLOOKUP(Q341,'GL Category'!A:C,3,FALSE)</f>
        <v>OTHER REVENUE</v>
      </c>
      <c r="W341" s="125"/>
    </row>
    <row r="342" spans="1:23" s="83" customFormat="1" ht="12.6" customHeight="1">
      <c r="A342" s="608" t="s">
        <v>1035</v>
      </c>
      <c r="B342" s="608" t="s">
        <v>2137</v>
      </c>
      <c r="C342" s="608" t="s">
        <v>423</v>
      </c>
      <c r="D342" s="609">
        <v>-38270.379999999997</v>
      </c>
      <c r="E342" s="609">
        <v>-11115.16</v>
      </c>
      <c r="F342" s="609">
        <v>-24041.51</v>
      </c>
      <c r="G342" s="609">
        <v>-150292.39000000001</v>
      </c>
      <c r="H342" s="609">
        <v>-44377</v>
      </c>
      <c r="I342" s="609">
        <v>-148353.88</v>
      </c>
      <c r="J342" s="609">
        <v>-155313</v>
      </c>
      <c r="K342" s="609">
        <v>-155313</v>
      </c>
      <c r="L342" s="609">
        <v>0</v>
      </c>
      <c r="M342" s="609">
        <v>0</v>
      </c>
      <c r="N342" s="587">
        <f t="shared" si="32"/>
        <v>-155313</v>
      </c>
      <c r="O342"/>
      <c r="P342" s="490"/>
      <c r="Q342" t="str">
        <f t="shared" si="33"/>
        <v>47090</v>
      </c>
      <c r="R342" s="126" t="str">
        <f t="shared" si="34"/>
        <v>INTEREST REVENUE-INVESTMENTS</v>
      </c>
      <c r="S342" s="125" t="str">
        <f t="shared" si="35"/>
        <v>175</v>
      </c>
      <c r="T342" s="125" t="str">
        <f t="shared" si="36"/>
        <v>00</v>
      </c>
      <c r="U342" s="125" t="str">
        <f t="shared" si="37"/>
        <v>000</v>
      </c>
      <c r="V342" s="125" t="str">
        <f>VLOOKUP(Q342,'GL Category'!A:C,3,FALSE)</f>
        <v>OTHER REVENUE</v>
      </c>
      <c r="W342" s="125"/>
    </row>
    <row r="343" spans="1:23" s="83" customFormat="1" ht="12.6" customHeight="1">
      <c r="A343" s="608" t="s">
        <v>1035</v>
      </c>
      <c r="B343" s="608" t="s">
        <v>2138</v>
      </c>
      <c r="C343" s="608" t="s">
        <v>827</v>
      </c>
      <c r="D343" s="609">
        <v>0</v>
      </c>
      <c r="E343" s="609">
        <v>0</v>
      </c>
      <c r="F343" s="609">
        <v>0</v>
      </c>
      <c r="G343" s="609">
        <v>0</v>
      </c>
      <c r="H343" s="609">
        <v>0</v>
      </c>
      <c r="I343" s="609">
        <v>0</v>
      </c>
      <c r="J343" s="609">
        <v>0</v>
      </c>
      <c r="K343" s="609">
        <v>0</v>
      </c>
      <c r="L343" s="609">
        <v>0</v>
      </c>
      <c r="M343" s="609">
        <v>0</v>
      </c>
      <c r="N343" s="587">
        <f t="shared" si="32"/>
        <v>0</v>
      </c>
      <c r="O343"/>
      <c r="P343" s="490"/>
      <c r="Q343" t="str">
        <f t="shared" si="33"/>
        <v>47099</v>
      </c>
      <c r="R343" s="126" t="str">
        <f t="shared" si="34"/>
        <v>INCR/DECR IN FAIR VALUE OF INV</v>
      </c>
      <c r="S343" s="125" t="str">
        <f t="shared" si="35"/>
        <v>175</v>
      </c>
      <c r="T343" s="125" t="str">
        <f t="shared" si="36"/>
        <v>00</v>
      </c>
      <c r="U343" s="125" t="str">
        <f t="shared" si="37"/>
        <v>000</v>
      </c>
      <c r="V343" s="125" t="str">
        <f>VLOOKUP(Q343,'GL Category'!A:C,3,FALSE)</f>
        <v>OTHER REVENUE</v>
      </c>
      <c r="W343" s="125"/>
    </row>
    <row r="344" spans="1:23" s="83" customFormat="1" ht="12.6" customHeight="1">
      <c r="A344" s="608" t="s">
        <v>1035</v>
      </c>
      <c r="B344" s="608" t="s">
        <v>3325</v>
      </c>
      <c r="C344" s="608" t="s">
        <v>424</v>
      </c>
      <c r="D344" s="609">
        <v>0</v>
      </c>
      <c r="E344" s="609">
        <v>-254572.03</v>
      </c>
      <c r="F344" s="609">
        <v>0</v>
      </c>
      <c r="G344" s="609">
        <v>-5298.02</v>
      </c>
      <c r="H344" s="609">
        <v>0</v>
      </c>
      <c r="I344" s="609">
        <v>-84509.73</v>
      </c>
      <c r="J344" s="609">
        <v>-84510</v>
      </c>
      <c r="K344" s="609">
        <v>0</v>
      </c>
      <c r="L344" s="609">
        <v>0</v>
      </c>
      <c r="M344" s="609">
        <v>0</v>
      </c>
      <c r="N344" s="587">
        <f t="shared" si="32"/>
        <v>0</v>
      </c>
      <c r="O344"/>
      <c r="P344" s="490"/>
      <c r="Q344" t="str">
        <f t="shared" si="33"/>
        <v>47250</v>
      </c>
      <c r="R344" s="126" t="str">
        <f t="shared" si="34"/>
        <v>REIMB-INSURANCE PROCEEDS</v>
      </c>
      <c r="S344" s="125" t="str">
        <f t="shared" si="35"/>
        <v>175</v>
      </c>
      <c r="T344" s="125" t="str">
        <f t="shared" si="36"/>
        <v>00</v>
      </c>
      <c r="U344" s="125" t="str">
        <f t="shared" si="37"/>
        <v>000</v>
      </c>
      <c r="V344" s="125" t="str">
        <f>VLOOKUP(Q344,'GL Category'!A:C,3,FALSE)</f>
        <v>OTHER REVENUE</v>
      </c>
      <c r="W344" s="125"/>
    </row>
    <row r="345" spans="1:23" s="83" customFormat="1" ht="12.6" customHeight="1">
      <c r="A345" s="608" t="s">
        <v>1035</v>
      </c>
      <c r="B345" s="608" t="s">
        <v>2139</v>
      </c>
      <c r="C345" s="608" t="s">
        <v>512</v>
      </c>
      <c r="D345" s="609">
        <v>0</v>
      </c>
      <c r="E345" s="609">
        <v>0</v>
      </c>
      <c r="F345" s="609">
        <v>0</v>
      </c>
      <c r="G345" s="609">
        <v>0</v>
      </c>
      <c r="H345" s="609">
        <v>0</v>
      </c>
      <c r="I345" s="609">
        <v>0</v>
      </c>
      <c r="J345" s="609">
        <v>0</v>
      </c>
      <c r="K345" s="609">
        <v>0</v>
      </c>
      <c r="L345" s="609">
        <v>0</v>
      </c>
      <c r="M345" s="609">
        <v>0</v>
      </c>
      <c r="N345" s="587">
        <f t="shared" si="32"/>
        <v>0</v>
      </c>
      <c r="O345"/>
      <c r="P345" s="490"/>
      <c r="Q345" t="str">
        <f t="shared" si="33"/>
        <v>49100</v>
      </c>
      <c r="R345" s="126" t="str">
        <f t="shared" si="34"/>
        <v>TRANSFER FROM GENERAL FUND</v>
      </c>
      <c r="S345" s="125" t="str">
        <f t="shared" si="35"/>
        <v>175</v>
      </c>
      <c r="T345" s="125" t="str">
        <f t="shared" si="36"/>
        <v>00</v>
      </c>
      <c r="U345" s="125" t="str">
        <f t="shared" si="37"/>
        <v>000</v>
      </c>
      <c r="V345" s="125" t="str">
        <f>VLOOKUP(Q345,'GL Category'!A:C,3,FALSE)</f>
        <v>TRANSFERS IN</v>
      </c>
      <c r="W345" s="125"/>
    </row>
    <row r="346" spans="1:23" s="83" customFormat="1" ht="12.6" customHeight="1">
      <c r="A346" s="608" t="s">
        <v>1035</v>
      </c>
      <c r="B346" s="608" t="s">
        <v>3302</v>
      </c>
      <c r="C346" s="608" t="s">
        <v>3149</v>
      </c>
      <c r="D346" s="609">
        <v>0</v>
      </c>
      <c r="E346" s="609">
        <v>0</v>
      </c>
      <c r="F346" s="609">
        <v>0</v>
      </c>
      <c r="G346" s="609">
        <v>0</v>
      </c>
      <c r="H346" s="609">
        <v>0</v>
      </c>
      <c r="I346" s="609">
        <v>0</v>
      </c>
      <c r="J346" s="609">
        <v>0</v>
      </c>
      <c r="K346" s="609">
        <v>0</v>
      </c>
      <c r="L346" s="609">
        <v>0</v>
      </c>
      <c r="M346" s="609">
        <v>0</v>
      </c>
      <c r="N346" s="587">
        <f t="shared" si="32"/>
        <v>0</v>
      </c>
      <c r="O346"/>
      <c r="P346" s="490"/>
      <c r="Q346" t="str">
        <f t="shared" si="33"/>
        <v>49198</v>
      </c>
      <c r="R346" s="126" t="str">
        <f t="shared" si="34"/>
        <v>TRANSFER FROM GENERAL GOVERNME</v>
      </c>
      <c r="S346" s="125" t="str">
        <f t="shared" si="35"/>
        <v>175</v>
      </c>
      <c r="T346" s="125" t="str">
        <f t="shared" si="36"/>
        <v>00</v>
      </c>
      <c r="U346" s="125" t="str">
        <f t="shared" si="37"/>
        <v>000</v>
      </c>
      <c r="V346" s="125" t="str">
        <f>VLOOKUP(Q346,'GL Category'!A:C,3,FALSE)</f>
        <v>TRANSFERS IN</v>
      </c>
      <c r="W346" s="125"/>
    </row>
    <row r="347" spans="1:23" s="83" customFormat="1" ht="12.6" customHeight="1">
      <c r="A347" s="608" t="s">
        <v>1035</v>
      </c>
      <c r="B347" s="608" t="s">
        <v>3168</v>
      </c>
      <c r="C347" s="608" t="s">
        <v>480</v>
      </c>
      <c r="D347" s="609">
        <v>0</v>
      </c>
      <c r="E347" s="609">
        <v>0</v>
      </c>
      <c r="F347" s="609">
        <v>0</v>
      </c>
      <c r="G347" s="609">
        <v>0</v>
      </c>
      <c r="H347" s="609">
        <v>0</v>
      </c>
      <c r="I347" s="609">
        <v>0</v>
      </c>
      <c r="J347" s="609">
        <v>0</v>
      </c>
      <c r="K347" s="609">
        <v>0</v>
      </c>
      <c r="L347" s="609">
        <v>0</v>
      </c>
      <c r="M347" s="609">
        <v>0</v>
      </c>
      <c r="N347" s="587">
        <f t="shared" si="32"/>
        <v>0</v>
      </c>
      <c r="O347"/>
      <c r="P347" s="490"/>
      <c r="Q347" t="str">
        <f t="shared" si="33"/>
        <v>49200</v>
      </c>
      <c r="R347" s="126" t="str">
        <f t="shared" si="34"/>
        <v>TRANSFER FROM W&amp;S FUND</v>
      </c>
      <c r="S347" s="125" t="str">
        <f t="shared" si="35"/>
        <v>175</v>
      </c>
      <c r="T347" s="125" t="str">
        <f t="shared" si="36"/>
        <v>00</v>
      </c>
      <c r="U347" s="125" t="str">
        <f t="shared" si="37"/>
        <v>000</v>
      </c>
      <c r="V347" s="125" t="str">
        <f>VLOOKUP(Q347,'GL Category'!A:C,3,FALSE)</f>
        <v>TRANSFERS IN</v>
      </c>
      <c r="W347" s="125"/>
    </row>
    <row r="348" spans="1:23" s="83" customFormat="1" ht="12.6" customHeight="1">
      <c r="A348" s="608" t="s">
        <v>1035</v>
      </c>
      <c r="B348" s="608" t="s">
        <v>2140</v>
      </c>
      <c r="C348" s="608" t="s">
        <v>84</v>
      </c>
      <c r="D348" s="609">
        <v>-264648</v>
      </c>
      <c r="E348" s="609">
        <v>0</v>
      </c>
      <c r="F348" s="609">
        <v>-534570.49</v>
      </c>
      <c r="G348" s="609">
        <v>-2099982.27</v>
      </c>
      <c r="H348" s="609">
        <v>0</v>
      </c>
      <c r="I348" s="609">
        <v>0</v>
      </c>
      <c r="J348" s="609">
        <v>0</v>
      </c>
      <c r="K348" s="609">
        <v>0</v>
      </c>
      <c r="L348" s="609">
        <v>0</v>
      </c>
      <c r="M348" s="609">
        <v>0</v>
      </c>
      <c r="N348" s="587">
        <f t="shared" si="32"/>
        <v>0</v>
      </c>
      <c r="O348"/>
      <c r="P348" s="490"/>
      <c r="Q348" t="str">
        <f t="shared" si="33"/>
        <v>49999</v>
      </c>
      <c r="R348" s="126" t="str">
        <f t="shared" si="34"/>
        <v>USE OF FUND BALANCE</v>
      </c>
      <c r="S348" s="125" t="str">
        <f t="shared" si="35"/>
        <v>175</v>
      </c>
      <c r="T348" s="125" t="str">
        <f t="shared" si="36"/>
        <v>00</v>
      </c>
      <c r="U348" s="125" t="str">
        <f t="shared" si="37"/>
        <v>000</v>
      </c>
      <c r="V348" s="125" t="str">
        <f>VLOOKUP(Q348,'GL Category'!A:C,3,FALSE)</f>
        <v>TRANSFERS IN</v>
      </c>
      <c r="W348" s="125"/>
    </row>
    <row r="349" spans="1:23" s="83" customFormat="1" ht="12.6" customHeight="1">
      <c r="A349" s="608" t="s">
        <v>1036</v>
      </c>
      <c r="B349" s="608" t="s">
        <v>3303</v>
      </c>
      <c r="C349" s="608" t="s">
        <v>440</v>
      </c>
      <c r="D349" s="609">
        <v>0</v>
      </c>
      <c r="E349" s="609">
        <v>0</v>
      </c>
      <c r="F349" s="609">
        <v>0</v>
      </c>
      <c r="G349" s="609">
        <v>0</v>
      </c>
      <c r="H349" s="609">
        <v>0</v>
      </c>
      <c r="I349" s="609">
        <v>0</v>
      </c>
      <c r="J349" s="609">
        <v>0</v>
      </c>
      <c r="K349" s="609">
        <v>0</v>
      </c>
      <c r="L349" s="609">
        <v>0</v>
      </c>
      <c r="M349" s="609">
        <v>0</v>
      </c>
      <c r="N349" s="587">
        <f t="shared" si="32"/>
        <v>0</v>
      </c>
      <c r="O349"/>
      <c r="P349" s="490"/>
      <c r="Q349" t="str">
        <f t="shared" si="33"/>
        <v>46180</v>
      </c>
      <c r="R349" s="126" t="str">
        <f t="shared" si="34"/>
        <v>I/G REV-TARRANT COUNTY</v>
      </c>
      <c r="S349" s="125" t="str">
        <f t="shared" si="35"/>
        <v>179</v>
      </c>
      <c r="T349" s="125" t="str">
        <f t="shared" si="36"/>
        <v>00</v>
      </c>
      <c r="U349" s="125" t="str">
        <f t="shared" si="37"/>
        <v>000</v>
      </c>
      <c r="V349" s="125" t="str">
        <f>VLOOKUP(Q349,'GL Category'!A:C,3,FALSE)</f>
        <v>INTERGOVERNMENTAL</v>
      </c>
      <c r="W349" s="125"/>
    </row>
    <row r="350" spans="1:23" s="83" customFormat="1" ht="12.6" customHeight="1">
      <c r="A350" s="608" t="s">
        <v>1036</v>
      </c>
      <c r="B350" s="608" t="s">
        <v>3200</v>
      </c>
      <c r="C350" s="608" t="s">
        <v>421</v>
      </c>
      <c r="D350" s="609">
        <v>-375000</v>
      </c>
      <c r="E350" s="609">
        <v>0</v>
      </c>
      <c r="F350" s="609">
        <v>0</v>
      </c>
      <c r="G350" s="609">
        <v>-21888</v>
      </c>
      <c r="H350" s="609">
        <v>0</v>
      </c>
      <c r="I350" s="609">
        <v>0</v>
      </c>
      <c r="J350" s="609">
        <v>0</v>
      </c>
      <c r="K350" s="609">
        <v>0</v>
      </c>
      <c r="L350" s="609">
        <v>0</v>
      </c>
      <c r="M350" s="609">
        <v>0</v>
      </c>
      <c r="N350" s="587">
        <f t="shared" si="32"/>
        <v>0</v>
      </c>
      <c r="O350"/>
      <c r="P350" s="490"/>
      <c r="Q350" t="str">
        <f t="shared" si="33"/>
        <v>47010</v>
      </c>
      <c r="R350" s="126" t="str">
        <f t="shared" si="34"/>
        <v>MISCELLANEOUS REVENUE</v>
      </c>
      <c r="S350" s="125" t="str">
        <f t="shared" si="35"/>
        <v>179</v>
      </c>
      <c r="T350" s="125" t="str">
        <f t="shared" si="36"/>
        <v>00</v>
      </c>
      <c r="U350" s="125" t="str">
        <f t="shared" si="37"/>
        <v>000</v>
      </c>
      <c r="V350" s="125" t="str">
        <f>VLOOKUP(Q350,'GL Category'!A:C,3,FALSE)</f>
        <v>OTHER REVENUE</v>
      </c>
      <c r="W350" s="125"/>
    </row>
    <row r="351" spans="1:23" s="83" customFormat="1" ht="12.6" customHeight="1">
      <c r="A351" s="608" t="s">
        <v>1036</v>
      </c>
      <c r="B351" s="608" t="s">
        <v>3200</v>
      </c>
      <c r="C351" s="608" t="s">
        <v>421</v>
      </c>
      <c r="D351" s="609">
        <v>0</v>
      </c>
      <c r="E351" s="609">
        <v>-884718.38</v>
      </c>
      <c r="F351" s="609">
        <v>-422723.27</v>
      </c>
      <c r="G351" s="609">
        <v>-428971.99</v>
      </c>
      <c r="H351" s="609">
        <v>0</v>
      </c>
      <c r="I351" s="609">
        <v>0</v>
      </c>
      <c r="J351" s="609">
        <v>0</v>
      </c>
      <c r="K351" s="609">
        <v>0</v>
      </c>
      <c r="L351" s="609">
        <v>0</v>
      </c>
      <c r="M351" s="609">
        <v>0</v>
      </c>
      <c r="N351" s="587">
        <f t="shared" si="32"/>
        <v>0</v>
      </c>
      <c r="O351"/>
      <c r="P351" s="490"/>
      <c r="Q351" t="str">
        <f t="shared" si="33"/>
        <v>47010</v>
      </c>
      <c r="R351" s="126" t="str">
        <f t="shared" si="34"/>
        <v>MISCELLANEOUS REVENUE</v>
      </c>
      <c r="S351" s="125" t="str">
        <f t="shared" si="35"/>
        <v>179</v>
      </c>
      <c r="T351" s="125" t="str">
        <f t="shared" si="36"/>
        <v>00</v>
      </c>
      <c r="U351" s="125" t="str">
        <f t="shared" si="37"/>
        <v>000</v>
      </c>
      <c r="V351" s="125" t="str">
        <f>VLOOKUP(Q351,'GL Category'!A:C,3,FALSE)</f>
        <v>OTHER REVENUE</v>
      </c>
      <c r="W351" s="125"/>
    </row>
    <row r="352" spans="1:23" s="83" customFormat="1" ht="12.6" customHeight="1">
      <c r="A352" s="608" t="s">
        <v>1036</v>
      </c>
      <c r="B352" s="608" t="s">
        <v>3304</v>
      </c>
      <c r="C352" s="608" t="s">
        <v>427</v>
      </c>
      <c r="D352" s="609">
        <v>0</v>
      </c>
      <c r="E352" s="609">
        <v>0</v>
      </c>
      <c r="F352" s="609">
        <v>0</v>
      </c>
      <c r="G352" s="609">
        <v>0</v>
      </c>
      <c r="H352" s="609">
        <v>0</v>
      </c>
      <c r="I352" s="609">
        <v>0</v>
      </c>
      <c r="J352" s="609">
        <v>0</v>
      </c>
      <c r="K352" s="609">
        <v>0</v>
      </c>
      <c r="L352" s="609">
        <v>0</v>
      </c>
      <c r="M352" s="609">
        <v>0</v>
      </c>
      <c r="N352" s="587">
        <f t="shared" si="32"/>
        <v>0</v>
      </c>
      <c r="O352"/>
      <c r="P352" s="490"/>
      <c r="Q352" t="str">
        <f t="shared" si="33"/>
        <v>47030</v>
      </c>
      <c r="R352" s="126" t="str">
        <f t="shared" si="34"/>
        <v>GAIN/LOSS ON DISP OF ASSETS</v>
      </c>
      <c r="S352" s="125" t="str">
        <f t="shared" si="35"/>
        <v>179</v>
      </c>
      <c r="T352" s="125" t="str">
        <f t="shared" si="36"/>
        <v>00</v>
      </c>
      <c r="U352" s="125" t="str">
        <f t="shared" si="37"/>
        <v>000</v>
      </c>
      <c r="V352" s="125" t="str">
        <f>VLOOKUP(Q352,'GL Category'!A:C,3,FALSE)</f>
        <v>OTHER REVENUE</v>
      </c>
      <c r="W352" s="125"/>
    </row>
    <row r="353" spans="1:23" s="83" customFormat="1" ht="12.6" customHeight="1">
      <c r="A353" s="608" t="s">
        <v>1036</v>
      </c>
      <c r="B353" s="608" t="s">
        <v>2171</v>
      </c>
      <c r="C353" s="608" t="s">
        <v>423</v>
      </c>
      <c r="D353" s="609">
        <v>-25605.360000000001</v>
      </c>
      <c r="E353" s="609">
        <v>-6684.43</v>
      </c>
      <c r="F353" s="609">
        <v>-20029.72</v>
      </c>
      <c r="G353" s="609">
        <v>-54113.760000000002</v>
      </c>
      <c r="H353" s="609">
        <v>-20420</v>
      </c>
      <c r="I353" s="609">
        <v>-60280.72</v>
      </c>
      <c r="J353" s="609">
        <v>-67586</v>
      </c>
      <c r="K353" s="609">
        <v>-67586</v>
      </c>
      <c r="L353" s="609">
        <v>0</v>
      </c>
      <c r="M353" s="609">
        <v>0</v>
      </c>
      <c r="N353" s="587">
        <f t="shared" si="32"/>
        <v>-67586</v>
      </c>
      <c r="O353"/>
      <c r="P353" s="490"/>
      <c r="Q353" t="str">
        <f t="shared" si="33"/>
        <v>47090</v>
      </c>
      <c r="R353" s="126" t="str">
        <f t="shared" si="34"/>
        <v>INTEREST REVENUE-INVESTMENTS</v>
      </c>
      <c r="S353" s="125" t="str">
        <f t="shared" si="35"/>
        <v>179</v>
      </c>
      <c r="T353" s="125" t="str">
        <f t="shared" si="36"/>
        <v>00</v>
      </c>
      <c r="U353" s="125" t="str">
        <f t="shared" si="37"/>
        <v>000</v>
      </c>
      <c r="V353" s="125" t="str">
        <f>VLOOKUP(Q353,'GL Category'!A:C,3,FALSE)</f>
        <v>OTHER REVENUE</v>
      </c>
      <c r="W353" s="125"/>
    </row>
    <row r="354" spans="1:23" s="83" customFormat="1" ht="12.6" customHeight="1">
      <c r="A354" s="608" t="s">
        <v>1036</v>
      </c>
      <c r="B354" s="608" t="s">
        <v>3305</v>
      </c>
      <c r="C354" s="608" t="s">
        <v>827</v>
      </c>
      <c r="D354" s="609">
        <v>0</v>
      </c>
      <c r="E354" s="609">
        <v>0</v>
      </c>
      <c r="F354" s="609">
        <v>0</v>
      </c>
      <c r="G354" s="609">
        <v>0</v>
      </c>
      <c r="H354" s="609">
        <v>0</v>
      </c>
      <c r="I354" s="609">
        <v>0</v>
      </c>
      <c r="J354" s="609">
        <v>0</v>
      </c>
      <c r="K354" s="609">
        <v>0</v>
      </c>
      <c r="L354" s="609">
        <v>0</v>
      </c>
      <c r="M354" s="609">
        <v>0</v>
      </c>
      <c r="N354" s="587">
        <f t="shared" si="32"/>
        <v>0</v>
      </c>
      <c r="O354"/>
      <c r="P354" s="490"/>
      <c r="Q354" t="str">
        <f t="shared" si="33"/>
        <v>47099</v>
      </c>
      <c r="R354" s="126" t="str">
        <f t="shared" si="34"/>
        <v>INCR/DECR IN FAIR VALUE OF INV</v>
      </c>
      <c r="S354" s="125" t="str">
        <f t="shared" si="35"/>
        <v>179</v>
      </c>
      <c r="T354" s="125" t="str">
        <f t="shared" si="36"/>
        <v>00</v>
      </c>
      <c r="U354" s="125" t="str">
        <f t="shared" si="37"/>
        <v>000</v>
      </c>
      <c r="V354" s="125" t="str">
        <f>VLOOKUP(Q354,'GL Category'!A:C,3,FALSE)</f>
        <v>OTHER REVENUE</v>
      </c>
      <c r="W354" s="125"/>
    </row>
    <row r="355" spans="1:23" s="83" customFormat="1" ht="12.6" customHeight="1">
      <c r="A355" s="608" t="s">
        <v>1036</v>
      </c>
      <c r="B355" s="608" t="s">
        <v>3414</v>
      </c>
      <c r="C355" s="608" t="s">
        <v>424</v>
      </c>
      <c r="D355" s="609">
        <v>0</v>
      </c>
      <c r="E355" s="609">
        <v>0</v>
      </c>
      <c r="F355" s="609">
        <v>0</v>
      </c>
      <c r="G355" s="609">
        <v>0</v>
      </c>
      <c r="H355" s="609">
        <v>0</v>
      </c>
      <c r="I355" s="609">
        <v>-361405.43</v>
      </c>
      <c r="J355" s="609">
        <v>-361406</v>
      </c>
      <c r="K355" s="609">
        <v>0</v>
      </c>
      <c r="L355" s="609">
        <v>0</v>
      </c>
      <c r="M355" s="609">
        <v>0</v>
      </c>
      <c r="N355" s="587">
        <f t="shared" si="32"/>
        <v>0</v>
      </c>
      <c r="O355"/>
      <c r="P355" s="490"/>
      <c r="Q355" t="str">
        <f t="shared" si="33"/>
        <v>47250</v>
      </c>
      <c r="R355" s="126" t="str">
        <f t="shared" si="34"/>
        <v>REIMB-INSURANCE PROCEEDS</v>
      </c>
      <c r="S355" s="125" t="str">
        <f t="shared" si="35"/>
        <v>179</v>
      </c>
      <c r="T355" s="125" t="str">
        <f t="shared" si="36"/>
        <v>00</v>
      </c>
      <c r="U355" s="125" t="str">
        <f t="shared" si="37"/>
        <v>000</v>
      </c>
      <c r="V355" s="125" t="str">
        <f>VLOOKUP(Q355,'GL Category'!A:C,3,FALSE)</f>
        <v>OTHER REVENUE</v>
      </c>
      <c r="W355" s="125"/>
    </row>
    <row r="356" spans="1:23" s="83" customFormat="1" ht="12.6" customHeight="1">
      <c r="A356" s="608" t="s">
        <v>1036</v>
      </c>
      <c r="B356" s="608" t="s">
        <v>2170</v>
      </c>
      <c r="C356" s="608" t="s">
        <v>512</v>
      </c>
      <c r="D356" s="609">
        <v>0</v>
      </c>
      <c r="E356" s="609">
        <v>-375000</v>
      </c>
      <c r="F356" s="609">
        <v>-243067</v>
      </c>
      <c r="G356" s="609">
        <v>-243067</v>
      </c>
      <c r="H356" s="609">
        <v>-243067</v>
      </c>
      <c r="I356" s="609">
        <v>-182300.25</v>
      </c>
      <c r="J356" s="609">
        <v>-243067</v>
      </c>
      <c r="K356" s="609">
        <v>-243067</v>
      </c>
      <c r="L356" s="609">
        <v>0</v>
      </c>
      <c r="M356" s="609">
        <v>0</v>
      </c>
      <c r="N356" s="587">
        <f t="shared" si="32"/>
        <v>-243067</v>
      </c>
      <c r="O356"/>
      <c r="P356" s="490"/>
      <c r="Q356" t="str">
        <f t="shared" si="33"/>
        <v>49100</v>
      </c>
      <c r="R356" s="126" t="str">
        <f t="shared" si="34"/>
        <v>TRANSFER FROM GENERAL FUND</v>
      </c>
      <c r="S356" s="125" t="str">
        <f t="shared" si="35"/>
        <v>179</v>
      </c>
      <c r="T356" s="125" t="str">
        <f t="shared" si="36"/>
        <v>00</v>
      </c>
      <c r="U356" s="125" t="str">
        <f t="shared" si="37"/>
        <v>000</v>
      </c>
      <c r="V356" s="125" t="str">
        <f>VLOOKUP(Q356,'GL Category'!A:C,3,FALSE)</f>
        <v>TRANSFERS IN</v>
      </c>
      <c r="W356" s="125"/>
    </row>
    <row r="357" spans="1:23" s="83" customFormat="1" ht="12.6" customHeight="1">
      <c r="A357" s="608" t="s">
        <v>1036</v>
      </c>
      <c r="B357" s="608" t="s">
        <v>3520</v>
      </c>
      <c r="C357" s="608" t="s">
        <v>1101</v>
      </c>
      <c r="D357" s="609">
        <v>0</v>
      </c>
      <c r="E357" s="609">
        <v>0</v>
      </c>
      <c r="F357" s="609">
        <v>-88620</v>
      </c>
      <c r="G357" s="609">
        <v>-98605.5</v>
      </c>
      <c r="H357" s="609">
        <v>0</v>
      </c>
      <c r="I357" s="609">
        <v>-50530.5</v>
      </c>
      <c r="J357" s="609">
        <v>-50531</v>
      </c>
      <c r="K357" s="609">
        <v>0</v>
      </c>
      <c r="L357" s="609">
        <v>0</v>
      </c>
      <c r="M357" s="609">
        <v>0</v>
      </c>
      <c r="N357" s="587">
        <f t="shared" si="32"/>
        <v>0</v>
      </c>
      <c r="O357"/>
      <c r="P357" s="490"/>
      <c r="Q357" t="str">
        <f t="shared" si="33"/>
        <v>49160</v>
      </c>
      <c r="R357" s="126" t="str">
        <f t="shared" si="34"/>
        <v>TRANSFER FROM GRANT FUND</v>
      </c>
      <c r="S357" s="125" t="str">
        <f t="shared" si="35"/>
        <v>179</v>
      </c>
      <c r="T357" s="125" t="str">
        <f t="shared" si="36"/>
        <v>00</v>
      </c>
      <c r="U357" s="125" t="str">
        <f t="shared" si="37"/>
        <v>000</v>
      </c>
      <c r="V357" s="125" t="str">
        <f>VLOOKUP(Q357,'GL Category'!A:C,3,FALSE)</f>
        <v>TRANSFERS IN</v>
      </c>
      <c r="W357" s="125"/>
    </row>
    <row r="358" spans="1:23" s="83" customFormat="1" ht="12.6" customHeight="1">
      <c r="A358" s="608" t="s">
        <v>1036</v>
      </c>
      <c r="B358" s="608" t="s">
        <v>3306</v>
      </c>
      <c r="C358" s="608" t="s">
        <v>3149</v>
      </c>
      <c r="D358" s="609">
        <v>0</v>
      </c>
      <c r="E358" s="609">
        <v>0</v>
      </c>
      <c r="F358" s="609">
        <v>0</v>
      </c>
      <c r="G358" s="609">
        <v>0</v>
      </c>
      <c r="H358" s="609">
        <v>0</v>
      </c>
      <c r="I358" s="609">
        <v>0</v>
      </c>
      <c r="J358" s="609">
        <v>0</v>
      </c>
      <c r="K358" s="609">
        <v>0</v>
      </c>
      <c r="L358" s="609">
        <v>0</v>
      </c>
      <c r="M358" s="609">
        <v>0</v>
      </c>
      <c r="N358" s="587">
        <f t="shared" si="32"/>
        <v>0</v>
      </c>
      <c r="O358"/>
      <c r="P358" s="490"/>
      <c r="Q358" t="str">
        <f t="shared" si="33"/>
        <v>49198</v>
      </c>
      <c r="R358" s="126" t="str">
        <f t="shared" si="34"/>
        <v>TRANSFER FROM GENERAL GOVERNME</v>
      </c>
      <c r="S358" s="125" t="str">
        <f t="shared" si="35"/>
        <v>179</v>
      </c>
      <c r="T358" s="125" t="str">
        <f t="shared" si="36"/>
        <v>00</v>
      </c>
      <c r="U358" s="125" t="str">
        <f t="shared" si="37"/>
        <v>000</v>
      </c>
      <c r="V358" s="125" t="str">
        <f>VLOOKUP(Q358,'GL Category'!A:C,3,FALSE)</f>
        <v>TRANSFERS IN</v>
      </c>
      <c r="W358" s="125"/>
    </row>
    <row r="359" spans="1:23" s="83" customFormat="1" ht="12.6" customHeight="1">
      <c r="A359" s="608" t="s">
        <v>1037</v>
      </c>
      <c r="B359" s="608" t="s">
        <v>3169</v>
      </c>
      <c r="C359" s="608" t="s">
        <v>856</v>
      </c>
      <c r="D359" s="609">
        <v>0</v>
      </c>
      <c r="E359" s="609">
        <v>0</v>
      </c>
      <c r="F359" s="609">
        <v>0</v>
      </c>
      <c r="G359" s="609">
        <v>-114311</v>
      </c>
      <c r="H359" s="609">
        <v>0</v>
      </c>
      <c r="I359" s="609">
        <v>0</v>
      </c>
      <c r="J359" s="609">
        <v>0</v>
      </c>
      <c r="K359" s="609">
        <v>0</v>
      </c>
      <c r="L359" s="609">
        <v>0</v>
      </c>
      <c r="M359" s="609">
        <v>0</v>
      </c>
      <c r="N359" s="587">
        <f t="shared" si="32"/>
        <v>0</v>
      </c>
      <c r="O359"/>
      <c r="P359" s="490"/>
      <c r="Q359" t="str">
        <f t="shared" si="33"/>
        <v>41350</v>
      </c>
      <c r="R359" s="126" t="str">
        <f t="shared" si="34"/>
        <v>CONTRIBUTIONS-DEVELOPER</v>
      </c>
      <c r="S359" s="125" t="str">
        <f t="shared" si="35"/>
        <v>200</v>
      </c>
      <c r="T359" s="125" t="str">
        <f t="shared" si="36"/>
        <v>00</v>
      </c>
      <c r="U359" s="125" t="str">
        <f t="shared" si="37"/>
        <v>000</v>
      </c>
      <c r="V359" s="125" t="str">
        <f>VLOOKUP(Q359,'GL Category'!A:C,3,FALSE)</f>
        <v>DEVELOPMENT FEES</v>
      </c>
      <c r="W359" s="125"/>
    </row>
    <row r="360" spans="1:23" s="83" customFormat="1" ht="12.6" customHeight="1">
      <c r="A360" s="608" t="s">
        <v>1037</v>
      </c>
      <c r="B360" s="608" t="s">
        <v>3307</v>
      </c>
      <c r="C360" s="608" t="s">
        <v>857</v>
      </c>
      <c r="D360" s="609">
        <v>0</v>
      </c>
      <c r="E360" s="609">
        <v>0</v>
      </c>
      <c r="F360" s="609">
        <v>0</v>
      </c>
      <c r="G360" s="609">
        <v>0</v>
      </c>
      <c r="H360" s="609">
        <v>0</v>
      </c>
      <c r="I360" s="609">
        <v>0</v>
      </c>
      <c r="J360" s="609">
        <v>0</v>
      </c>
      <c r="K360" s="609">
        <v>0</v>
      </c>
      <c r="L360" s="609">
        <v>0</v>
      </c>
      <c r="M360" s="609">
        <v>0</v>
      </c>
      <c r="N360" s="587">
        <f t="shared" si="32"/>
        <v>0</v>
      </c>
      <c r="O360"/>
      <c r="P360" s="490"/>
      <c r="Q360" t="str">
        <f t="shared" si="33"/>
        <v>41355</v>
      </c>
      <c r="R360" s="126" t="str">
        <f t="shared" si="34"/>
        <v>CAPITAL CONTRIBUTIONS-CITY</v>
      </c>
      <c r="S360" s="125" t="str">
        <f t="shared" si="35"/>
        <v>200</v>
      </c>
      <c r="T360" s="125" t="str">
        <f t="shared" si="36"/>
        <v>00</v>
      </c>
      <c r="U360" s="125" t="str">
        <f t="shared" si="37"/>
        <v>000</v>
      </c>
      <c r="V360" s="125" t="str">
        <f>VLOOKUP(Q360,'GL Category'!A:C,3,FALSE)</f>
        <v>DEVELOPMENT FEES</v>
      </c>
      <c r="W360" s="125"/>
    </row>
    <row r="361" spans="1:23" s="83" customFormat="1" ht="12.6" customHeight="1">
      <c r="A361" s="608" t="s">
        <v>1037</v>
      </c>
      <c r="B361" s="608" t="s">
        <v>1210</v>
      </c>
      <c r="C361" s="608" t="s">
        <v>412</v>
      </c>
      <c r="D361" s="609">
        <v>-9537.5</v>
      </c>
      <c r="E361" s="609">
        <v>-5250</v>
      </c>
      <c r="F361" s="609">
        <v>-4285.8900000000003</v>
      </c>
      <c r="G361" s="609">
        <v>-19101.61</v>
      </c>
      <c r="H361" s="609">
        <v>-8356</v>
      </c>
      <c r="I361" s="609">
        <v>0</v>
      </c>
      <c r="J361" s="609">
        <v>0</v>
      </c>
      <c r="K361" s="609">
        <v>-3877</v>
      </c>
      <c r="L361" s="609">
        <v>0</v>
      </c>
      <c r="M361" s="609">
        <v>0</v>
      </c>
      <c r="N361" s="587">
        <f t="shared" si="32"/>
        <v>-3877</v>
      </c>
      <c r="O361"/>
      <c r="P361" s="490"/>
      <c r="Q361" t="str">
        <f t="shared" si="33"/>
        <v>43010</v>
      </c>
      <c r="R361" s="126" t="str">
        <f t="shared" si="34"/>
        <v>OTHER SERVICES</v>
      </c>
      <c r="S361" s="125" t="str">
        <f t="shared" si="35"/>
        <v>200</v>
      </c>
      <c r="T361" s="125" t="str">
        <f t="shared" si="36"/>
        <v>00</v>
      </c>
      <c r="U361" s="125" t="str">
        <f t="shared" si="37"/>
        <v>000</v>
      </c>
      <c r="V361" s="125" t="str">
        <f>VLOOKUP(Q361,'GL Category'!A:C,3,FALSE)</f>
        <v>CHARGES FOR SERVICE</v>
      </c>
      <c r="W361" s="125"/>
    </row>
    <row r="362" spans="1:23" s="83" customFormat="1" ht="20.399999999999999" customHeight="1">
      <c r="A362" s="608" t="s">
        <v>1037</v>
      </c>
      <c r="B362" s="608" t="s">
        <v>1211</v>
      </c>
      <c r="C362" s="608" t="s">
        <v>414</v>
      </c>
      <c r="D362" s="609">
        <v>-132880</v>
      </c>
      <c r="E362" s="609">
        <v>-105070</v>
      </c>
      <c r="F362" s="609">
        <v>-132880</v>
      </c>
      <c r="G362" s="609">
        <v>-134500</v>
      </c>
      <c r="H362" s="609">
        <v>-123560</v>
      </c>
      <c r="I362" s="609">
        <v>-92670</v>
      </c>
      <c r="J362" s="609">
        <v>-112327</v>
      </c>
      <c r="K362" s="609">
        <v>-113590</v>
      </c>
      <c r="L362" s="609">
        <v>0</v>
      </c>
      <c r="M362" s="609">
        <v>0</v>
      </c>
      <c r="N362" s="587">
        <f t="shared" si="32"/>
        <v>-113590</v>
      </c>
      <c r="O362"/>
      <c r="P362" s="490"/>
      <c r="Q362" t="str">
        <f t="shared" si="33"/>
        <v>43040</v>
      </c>
      <c r="R362" s="126" t="str">
        <f t="shared" si="34"/>
        <v>ADMINISTRATIVE SVCS-DRAINAGE</v>
      </c>
      <c r="S362" s="125" t="str">
        <f t="shared" si="35"/>
        <v>200</v>
      </c>
      <c r="T362" s="125" t="str">
        <f t="shared" si="36"/>
        <v>00</v>
      </c>
      <c r="U362" s="125" t="str">
        <f t="shared" si="37"/>
        <v>000</v>
      </c>
      <c r="V362" s="125" t="str">
        <f>VLOOKUP(Q362,'GL Category'!A:C,3,FALSE)</f>
        <v>INTRAGOVERNMENTAL</v>
      </c>
      <c r="W362" s="125"/>
    </row>
    <row r="363" spans="1:23" s="83" customFormat="1" ht="12.6" customHeight="1">
      <c r="A363" s="608" t="s">
        <v>1037</v>
      </c>
      <c r="B363" s="608" t="s">
        <v>1212</v>
      </c>
      <c r="C363" s="608" t="s">
        <v>455</v>
      </c>
      <c r="D363" s="609">
        <v>0</v>
      </c>
      <c r="E363" s="609">
        <v>0</v>
      </c>
      <c r="F363" s="609">
        <v>0</v>
      </c>
      <c r="G363" s="609">
        <v>0</v>
      </c>
      <c r="H363" s="609">
        <v>0</v>
      </c>
      <c r="I363" s="609">
        <v>0</v>
      </c>
      <c r="J363" s="609">
        <v>0</v>
      </c>
      <c r="K363" s="609">
        <v>0</v>
      </c>
      <c r="L363" s="609">
        <v>0</v>
      </c>
      <c r="M363" s="609">
        <v>0</v>
      </c>
      <c r="N363" s="587">
        <f t="shared" si="32"/>
        <v>0</v>
      </c>
      <c r="O363"/>
      <c r="P363" s="490"/>
      <c r="Q363" t="str">
        <f t="shared" si="33"/>
        <v>43705</v>
      </c>
      <c r="R363" s="126" t="str">
        <f t="shared" si="34"/>
        <v>RECYCLING BINS/LIDS</v>
      </c>
      <c r="S363" s="125" t="str">
        <f t="shared" si="35"/>
        <v>200</v>
      </c>
      <c r="T363" s="125" t="str">
        <f t="shared" si="36"/>
        <v>00</v>
      </c>
      <c r="U363" s="125" t="str">
        <f t="shared" si="37"/>
        <v>000</v>
      </c>
      <c r="V363" s="125" t="str">
        <f>VLOOKUP(Q363,'GL Category'!A:C,3,FALSE)</f>
        <v>CHARGES FOR SERVICE</v>
      </c>
      <c r="W363" s="125"/>
    </row>
    <row r="364" spans="1:23" s="83" customFormat="1" ht="12.6" customHeight="1">
      <c r="A364" s="608" t="s">
        <v>1037</v>
      </c>
      <c r="B364" s="608" t="s">
        <v>1213</v>
      </c>
      <c r="C364" s="608" t="s">
        <v>456</v>
      </c>
      <c r="D364" s="609">
        <v>-18325802.93</v>
      </c>
      <c r="E364" s="609">
        <v>-17578134.690000001</v>
      </c>
      <c r="F364" s="609">
        <v>-23268917.649999999</v>
      </c>
      <c r="G364" s="609">
        <v>-22988260.870000001</v>
      </c>
      <c r="H364" s="609">
        <v>-20012988</v>
      </c>
      <c r="I364" s="609">
        <v>-16018603.220000001</v>
      </c>
      <c r="J364" s="609">
        <v>-19495906</v>
      </c>
      <c r="K364" s="609">
        <v>-20151713</v>
      </c>
      <c r="L364" s="609">
        <v>0</v>
      </c>
      <c r="M364" s="609">
        <v>0</v>
      </c>
      <c r="N364" s="587">
        <f t="shared" si="32"/>
        <v>-20151713</v>
      </c>
      <c r="O364"/>
      <c r="P364" s="490"/>
      <c r="Q364" t="str">
        <f t="shared" si="33"/>
        <v>44010</v>
      </c>
      <c r="R364" s="126" t="str">
        <f t="shared" si="34"/>
        <v>WATER SALES &amp; SERVICE</v>
      </c>
      <c r="S364" s="125" t="str">
        <f t="shared" si="35"/>
        <v>200</v>
      </c>
      <c r="T364" s="125" t="str">
        <f t="shared" si="36"/>
        <v>00</v>
      </c>
      <c r="U364" s="125" t="str">
        <f t="shared" si="37"/>
        <v>000</v>
      </c>
      <c r="V364" s="125" t="e">
        <f>VLOOKUP(Q364,'GL Category'!A:C,3,FALSE)</f>
        <v>#N/A</v>
      </c>
      <c r="W364" s="125"/>
    </row>
    <row r="365" spans="1:23" s="83" customFormat="1" ht="12.6" customHeight="1">
      <c r="A365" s="608" t="s">
        <v>1037</v>
      </c>
      <c r="B365" s="608" t="s">
        <v>1214</v>
      </c>
      <c r="C365" s="608" t="s">
        <v>457</v>
      </c>
      <c r="D365" s="609">
        <v>-44863.25</v>
      </c>
      <c r="E365" s="609">
        <v>-88830</v>
      </c>
      <c r="F365" s="609">
        <v>-69365.19</v>
      </c>
      <c r="G365" s="609">
        <v>-114181.75999999999</v>
      </c>
      <c r="H365" s="609">
        <v>-70278</v>
      </c>
      <c r="I365" s="609">
        <v>-90348.5</v>
      </c>
      <c r="J365" s="609">
        <v>-111308</v>
      </c>
      <c r="K365" s="609">
        <v>-79677</v>
      </c>
      <c r="L365" s="609">
        <v>0</v>
      </c>
      <c r="M365" s="609">
        <v>0</v>
      </c>
      <c r="N365" s="587">
        <f t="shared" si="32"/>
        <v>-79677</v>
      </c>
      <c r="O365"/>
      <c r="P365" s="490"/>
      <c r="Q365" t="str">
        <f t="shared" si="33"/>
        <v>44050</v>
      </c>
      <c r="R365" s="126" t="str">
        <f t="shared" si="34"/>
        <v>WATER TAPS &amp; CONNECT FEES</v>
      </c>
      <c r="S365" s="125" t="str">
        <f t="shared" si="35"/>
        <v>200</v>
      </c>
      <c r="T365" s="125" t="str">
        <f t="shared" si="36"/>
        <v>00</v>
      </c>
      <c r="U365" s="125" t="str">
        <f t="shared" si="37"/>
        <v>000</v>
      </c>
      <c r="V365" s="125" t="str">
        <f>VLOOKUP(Q365,'GL Category'!A:C,3,FALSE)</f>
        <v>CHARGES FOR SERVICE</v>
      </c>
      <c r="W365" s="125"/>
    </row>
    <row r="366" spans="1:23" s="83" customFormat="1" ht="20.399999999999999" customHeight="1">
      <c r="A366" s="608" t="s">
        <v>1037</v>
      </c>
      <c r="B366" s="608" t="s">
        <v>1215</v>
      </c>
      <c r="C366" s="608" t="s">
        <v>458</v>
      </c>
      <c r="D366" s="609">
        <v>-2865.15</v>
      </c>
      <c r="E366" s="609">
        <v>-2831.97</v>
      </c>
      <c r="F366" s="609">
        <v>0</v>
      </c>
      <c r="G366" s="609">
        <v>0</v>
      </c>
      <c r="H366" s="609">
        <v>0</v>
      </c>
      <c r="I366" s="609">
        <v>0</v>
      </c>
      <c r="J366" s="609">
        <v>0</v>
      </c>
      <c r="K366" s="609">
        <v>0</v>
      </c>
      <c r="L366" s="609">
        <v>0</v>
      </c>
      <c r="M366" s="609">
        <v>0</v>
      </c>
      <c r="N366" s="587">
        <f t="shared" si="32"/>
        <v>0</v>
      </c>
      <c r="O366"/>
      <c r="P366" s="490"/>
      <c r="Q366" t="str">
        <f t="shared" si="33"/>
        <v>44100</v>
      </c>
      <c r="R366" s="126" t="str">
        <f t="shared" si="34"/>
        <v>UNCLASSIFIED WATER REVENUE</v>
      </c>
      <c r="S366" s="125" t="str">
        <f t="shared" si="35"/>
        <v>200</v>
      </c>
      <c r="T366" s="125" t="str">
        <f t="shared" si="36"/>
        <v>00</v>
      </c>
      <c r="U366" s="125" t="str">
        <f t="shared" si="37"/>
        <v>000</v>
      </c>
      <c r="V366" s="125" t="str">
        <f>VLOOKUP(Q366,'GL Category'!A:C,3,FALSE)</f>
        <v>CHARGES FOR SERVICE</v>
      </c>
      <c r="W366" s="125"/>
    </row>
    <row r="367" spans="1:23" s="83" customFormat="1" ht="20.399999999999999" customHeight="1">
      <c r="A367" s="608" t="s">
        <v>1037</v>
      </c>
      <c r="B367" s="608" t="s">
        <v>1216</v>
      </c>
      <c r="C367" s="608" t="s">
        <v>878</v>
      </c>
      <c r="D367" s="609">
        <v>-6175</v>
      </c>
      <c r="E367" s="609">
        <v>-8219.7900000000009</v>
      </c>
      <c r="F367" s="609">
        <v>-9025</v>
      </c>
      <c r="G367" s="609">
        <v>-7675</v>
      </c>
      <c r="H367" s="609">
        <v>-8217</v>
      </c>
      <c r="I367" s="609">
        <v>1111683.76</v>
      </c>
      <c r="J367" s="609">
        <v>-6474</v>
      </c>
      <c r="K367" s="609">
        <v>-7779</v>
      </c>
      <c r="L367" s="609">
        <v>0</v>
      </c>
      <c r="M367" s="609">
        <v>0</v>
      </c>
      <c r="N367" s="587">
        <f t="shared" si="32"/>
        <v>-7779</v>
      </c>
      <c r="O367"/>
      <c r="P367" s="490"/>
      <c r="Q367" t="str">
        <f t="shared" si="33"/>
        <v>44200</v>
      </c>
      <c r="R367" s="126" t="str">
        <f t="shared" si="34"/>
        <v>HYDRANT METER RENTAL/PENALTY</v>
      </c>
      <c r="S367" s="125" t="str">
        <f t="shared" si="35"/>
        <v>200</v>
      </c>
      <c r="T367" s="125" t="str">
        <f t="shared" si="36"/>
        <v>00</v>
      </c>
      <c r="U367" s="125" t="str">
        <f t="shared" si="37"/>
        <v>000</v>
      </c>
      <c r="V367" s="125" t="str">
        <f>VLOOKUP(Q367,'GL Category'!A:C,3,FALSE)</f>
        <v>CHARGES FOR SERVICE</v>
      </c>
      <c r="W367" s="125"/>
    </row>
    <row r="368" spans="1:23" s="83" customFormat="1" ht="20.399999999999999" customHeight="1">
      <c r="A368" s="608" t="s">
        <v>1037</v>
      </c>
      <c r="B368" s="608" t="s">
        <v>1217</v>
      </c>
      <c r="C368" s="608" t="s">
        <v>459</v>
      </c>
      <c r="D368" s="609">
        <v>-7439485.5800000001</v>
      </c>
      <c r="E368" s="609">
        <v>-7475580.5899999999</v>
      </c>
      <c r="F368" s="609">
        <v>-8818091.4900000002</v>
      </c>
      <c r="G368" s="609">
        <v>-9466649.8000000007</v>
      </c>
      <c r="H368" s="609">
        <v>-9186535</v>
      </c>
      <c r="I368" s="609">
        <v>-7511383.5</v>
      </c>
      <c r="J368" s="609">
        <v>-9888175</v>
      </c>
      <c r="K368" s="609">
        <v>-9341037</v>
      </c>
      <c r="L368" s="609">
        <v>0</v>
      </c>
      <c r="M368" s="609">
        <v>0</v>
      </c>
      <c r="N368" s="587">
        <f t="shared" si="32"/>
        <v>-9341037</v>
      </c>
      <c r="O368"/>
      <c r="P368" s="490"/>
      <c r="Q368" t="str">
        <f t="shared" si="33"/>
        <v>44510</v>
      </c>
      <c r="R368" s="126" t="str">
        <f t="shared" si="34"/>
        <v>SEWER SALES &amp; SERVICE</v>
      </c>
      <c r="S368" s="125" t="str">
        <f t="shared" si="35"/>
        <v>200</v>
      </c>
      <c r="T368" s="125" t="str">
        <f t="shared" si="36"/>
        <v>00</v>
      </c>
      <c r="U368" s="125" t="str">
        <f t="shared" si="37"/>
        <v>000</v>
      </c>
      <c r="V368" s="125" t="e">
        <f>VLOOKUP(Q368,'GL Category'!A:C,3,FALSE)</f>
        <v>#N/A</v>
      </c>
      <c r="W368" s="125"/>
    </row>
    <row r="369" spans="1:24" s="83" customFormat="1" ht="20.399999999999999" customHeight="1">
      <c r="A369" s="608" t="s">
        <v>1037</v>
      </c>
      <c r="B369" s="608" t="s">
        <v>1218</v>
      </c>
      <c r="C369" s="608" t="s">
        <v>118</v>
      </c>
      <c r="D369" s="609">
        <v>-4813.5</v>
      </c>
      <c r="E369" s="609">
        <v>-18518</v>
      </c>
      <c r="F369" s="609">
        <v>-4068</v>
      </c>
      <c r="G369" s="609">
        <v>-10479</v>
      </c>
      <c r="H369" s="609">
        <v>-9586</v>
      </c>
      <c r="I369" s="609">
        <v>-17365</v>
      </c>
      <c r="J369" s="609">
        <v>-21094</v>
      </c>
      <c r="K369" s="609">
        <v>-11112</v>
      </c>
      <c r="L369" s="609">
        <v>0</v>
      </c>
      <c r="M369" s="609">
        <v>0</v>
      </c>
      <c r="N369" s="587">
        <f t="shared" si="32"/>
        <v>-11112</v>
      </c>
      <c r="O369"/>
      <c r="P369" s="490"/>
      <c r="Q369" t="str">
        <f t="shared" si="33"/>
        <v>44550</v>
      </c>
      <c r="R369" s="126" t="str">
        <f t="shared" si="34"/>
        <v>SEWER TAP FEES</v>
      </c>
      <c r="S369" s="125" t="str">
        <f t="shared" si="35"/>
        <v>200</v>
      </c>
      <c r="T369" s="125" t="str">
        <f t="shared" si="36"/>
        <v>00</v>
      </c>
      <c r="U369" s="125" t="str">
        <f t="shared" si="37"/>
        <v>000</v>
      </c>
      <c r="V369" s="125" t="str">
        <f>VLOOKUP(Q369,'GL Category'!A:C,3,FALSE)</f>
        <v>CHARGES FOR SERVICE</v>
      </c>
      <c r="W369" s="125"/>
    </row>
    <row r="370" spans="1:24" s="83" customFormat="1" ht="20.399999999999999" customHeight="1">
      <c r="A370" s="608" t="s">
        <v>1037</v>
      </c>
      <c r="B370" s="608" t="s">
        <v>3308</v>
      </c>
      <c r="C370" s="608" t="s">
        <v>879</v>
      </c>
      <c r="D370" s="609">
        <v>0</v>
      </c>
      <c r="E370" s="609">
        <v>0</v>
      </c>
      <c r="F370" s="609">
        <v>0</v>
      </c>
      <c r="G370" s="609">
        <v>0</v>
      </c>
      <c r="H370" s="609">
        <v>0</v>
      </c>
      <c r="I370" s="609">
        <v>0</v>
      </c>
      <c r="J370" s="609">
        <v>0</v>
      </c>
      <c r="K370" s="609">
        <v>0</v>
      </c>
      <c r="L370" s="609">
        <v>0</v>
      </c>
      <c r="M370" s="609">
        <v>0</v>
      </c>
      <c r="N370" s="587">
        <f t="shared" si="32"/>
        <v>0</v>
      </c>
      <c r="O370"/>
      <c r="P370" s="490"/>
      <c r="Q370" t="str">
        <f t="shared" si="33"/>
        <v>44560</v>
      </c>
      <c r="R370" s="126" t="str">
        <f t="shared" si="34"/>
        <v>UNCLASSIFIED SEWER REVENUE</v>
      </c>
      <c r="S370" s="125" t="str">
        <f t="shared" si="35"/>
        <v>200</v>
      </c>
      <c r="T370" s="125" t="str">
        <f t="shared" si="36"/>
        <v>00</v>
      </c>
      <c r="U370" s="125" t="str">
        <f t="shared" si="37"/>
        <v>000</v>
      </c>
      <c r="V370" s="125" t="str">
        <f>VLOOKUP(Q370,'GL Category'!A:C,3,FALSE)</f>
        <v>CHARGES FOR SERVICE</v>
      </c>
      <c r="W370" s="125"/>
    </row>
    <row r="371" spans="1:24" s="83" customFormat="1" ht="20.399999999999999" customHeight="1">
      <c r="A371" s="608" t="s">
        <v>1037</v>
      </c>
      <c r="B371" s="608" t="s">
        <v>3309</v>
      </c>
      <c r="C371" s="608" t="s">
        <v>880</v>
      </c>
      <c r="D371" s="609">
        <v>0</v>
      </c>
      <c r="E371" s="609">
        <v>0</v>
      </c>
      <c r="F371" s="609">
        <v>0</v>
      </c>
      <c r="G371" s="609">
        <v>0</v>
      </c>
      <c r="H371" s="609">
        <v>0</v>
      </c>
      <c r="I371" s="609">
        <v>0</v>
      </c>
      <c r="J371" s="609">
        <v>0</v>
      </c>
      <c r="K371" s="609">
        <v>0</v>
      </c>
      <c r="L371" s="609">
        <v>0</v>
      </c>
      <c r="M371" s="609">
        <v>0</v>
      </c>
      <c r="N371" s="587">
        <f t="shared" si="32"/>
        <v>0</v>
      </c>
      <c r="O371"/>
      <c r="P371" s="490"/>
      <c r="Q371" t="str">
        <f t="shared" si="33"/>
        <v>44570</v>
      </c>
      <c r="R371" s="126" t="str">
        <f t="shared" si="34"/>
        <v>INDUSTRIAL WASTE SURCHARGES</v>
      </c>
      <c r="S371" s="125" t="str">
        <f t="shared" si="35"/>
        <v>200</v>
      </c>
      <c r="T371" s="125" t="str">
        <f t="shared" si="36"/>
        <v>00</v>
      </c>
      <c r="U371" s="125" t="str">
        <f t="shared" si="37"/>
        <v>000</v>
      </c>
      <c r="V371" s="125" t="str">
        <f>VLOOKUP(Q371,'GL Category'!A:C,3,FALSE)</f>
        <v>CHARGES FOR SERVICE</v>
      </c>
      <c r="W371" s="125"/>
    </row>
    <row r="372" spans="1:24" s="83" customFormat="1" ht="20.399999999999999" customHeight="1">
      <c r="A372" s="608" t="s">
        <v>1037</v>
      </c>
      <c r="B372" s="608" t="s">
        <v>1219</v>
      </c>
      <c r="C372" s="608" t="s">
        <v>460</v>
      </c>
      <c r="D372" s="609">
        <v>-22950</v>
      </c>
      <c r="E372" s="609">
        <v>-30150</v>
      </c>
      <c r="F372" s="609">
        <v>-16650</v>
      </c>
      <c r="G372" s="609">
        <v>-13500</v>
      </c>
      <c r="H372" s="609">
        <v>-16454</v>
      </c>
      <c r="I372" s="609">
        <v>-9450</v>
      </c>
      <c r="J372" s="609">
        <v>-11392</v>
      </c>
      <c r="K372" s="609">
        <v>-13515</v>
      </c>
      <c r="L372" s="609">
        <v>0</v>
      </c>
      <c r="M372" s="609">
        <v>0</v>
      </c>
      <c r="N372" s="587">
        <f t="shared" si="32"/>
        <v>-13515</v>
      </c>
      <c r="O372"/>
      <c r="P372" s="490"/>
      <c r="Q372" t="str">
        <f t="shared" si="33"/>
        <v>44700</v>
      </c>
      <c r="R372" s="126" t="str">
        <f t="shared" si="34"/>
        <v>SEWER CAMERA SYSTEM SERVICES</v>
      </c>
      <c r="S372" s="125" t="str">
        <f t="shared" si="35"/>
        <v>200</v>
      </c>
      <c r="T372" s="125" t="str">
        <f t="shared" si="36"/>
        <v>00</v>
      </c>
      <c r="U372" s="125" t="str">
        <f t="shared" si="37"/>
        <v>000</v>
      </c>
      <c r="V372" s="125" t="str">
        <f>VLOOKUP(Q372,'GL Category'!A:C,3,FALSE)</f>
        <v>CHARGES FOR SERVICE</v>
      </c>
      <c r="W372" s="125"/>
    </row>
    <row r="373" spans="1:24" s="83" customFormat="1" ht="20.399999999999999" customHeight="1">
      <c r="A373" s="608" t="s">
        <v>1037</v>
      </c>
      <c r="B373" s="608" t="s">
        <v>3310</v>
      </c>
      <c r="C373" s="608" t="s">
        <v>881</v>
      </c>
      <c r="D373" s="609">
        <v>0</v>
      </c>
      <c r="E373" s="609">
        <v>0</v>
      </c>
      <c r="F373" s="609">
        <v>0</v>
      </c>
      <c r="G373" s="609">
        <v>0</v>
      </c>
      <c r="H373" s="609">
        <v>0</v>
      </c>
      <c r="I373" s="609">
        <v>0</v>
      </c>
      <c r="J373" s="609">
        <v>0</v>
      </c>
      <c r="K373" s="609">
        <v>0</v>
      </c>
      <c r="L373" s="609">
        <v>0</v>
      </c>
      <c r="M373" s="609">
        <v>0</v>
      </c>
      <c r="N373" s="587">
        <f t="shared" si="32"/>
        <v>0</v>
      </c>
      <c r="O373"/>
      <c r="P373" s="490"/>
      <c r="Q373" t="str">
        <f t="shared" si="33"/>
        <v>44701</v>
      </c>
      <c r="R373" s="126" t="str">
        <f t="shared" si="34"/>
        <v>METER BOXES/LIDS FEES</v>
      </c>
      <c r="S373" s="125" t="str">
        <f t="shared" si="35"/>
        <v>200</v>
      </c>
      <c r="T373" s="125" t="str">
        <f t="shared" si="36"/>
        <v>00</v>
      </c>
      <c r="U373" s="125" t="str">
        <f t="shared" si="37"/>
        <v>000</v>
      </c>
      <c r="V373" s="125" t="str">
        <f>VLOOKUP(Q373,'GL Category'!A:C,3,FALSE)</f>
        <v>CHARGES FOR SERVICE</v>
      </c>
      <c r="W373" s="125"/>
    </row>
    <row r="374" spans="1:24" s="83" customFormat="1" ht="20.399999999999999" customHeight="1">
      <c r="A374" s="608" t="s">
        <v>1037</v>
      </c>
      <c r="B374" s="608" t="s">
        <v>1220</v>
      </c>
      <c r="C374" s="608" t="s">
        <v>117</v>
      </c>
      <c r="D374" s="609">
        <v>-26650</v>
      </c>
      <c r="E374" s="609">
        <v>-19775</v>
      </c>
      <c r="F374" s="609">
        <v>-35000</v>
      </c>
      <c r="G374" s="609">
        <v>-33200</v>
      </c>
      <c r="H374" s="609">
        <v>-32616</v>
      </c>
      <c r="I374" s="609">
        <v>-31850</v>
      </c>
      <c r="J374" s="609">
        <v>-34517</v>
      </c>
      <c r="K374" s="609">
        <v>-31061</v>
      </c>
      <c r="L374" s="609">
        <v>0</v>
      </c>
      <c r="M374" s="609">
        <v>0</v>
      </c>
      <c r="N374" s="587">
        <f t="shared" si="32"/>
        <v>-31061</v>
      </c>
      <c r="O374"/>
      <c r="P374" s="490"/>
      <c r="Q374" t="str">
        <f t="shared" si="33"/>
        <v>44702</v>
      </c>
      <c r="R374" s="126" t="str">
        <f t="shared" si="34"/>
        <v>RECONNECT FEES</v>
      </c>
      <c r="S374" s="125" t="str">
        <f t="shared" si="35"/>
        <v>200</v>
      </c>
      <c r="T374" s="125" t="str">
        <f t="shared" si="36"/>
        <v>00</v>
      </c>
      <c r="U374" s="125" t="str">
        <f t="shared" si="37"/>
        <v>000</v>
      </c>
      <c r="V374" s="125" t="str">
        <f>VLOOKUP(Q374,'GL Category'!A:C,3,FALSE)</f>
        <v>CHARGES FOR SERVICE</v>
      </c>
      <c r="W374" s="125"/>
    </row>
    <row r="375" spans="1:24" s="83" customFormat="1" ht="20.399999999999999" customHeight="1">
      <c r="A375" s="608" t="s">
        <v>1037</v>
      </c>
      <c r="B375" s="608" t="s">
        <v>1221</v>
      </c>
      <c r="C375" s="608" t="s">
        <v>461</v>
      </c>
      <c r="D375" s="609">
        <v>-26245</v>
      </c>
      <c r="E375" s="609">
        <v>-26655</v>
      </c>
      <c r="F375" s="609">
        <v>-24885</v>
      </c>
      <c r="G375" s="609">
        <v>-21180</v>
      </c>
      <c r="H375" s="609">
        <v>-22130</v>
      </c>
      <c r="I375" s="609">
        <v>-15390</v>
      </c>
      <c r="J375" s="609">
        <v>-19328</v>
      </c>
      <c r="K375" s="609">
        <v>-20027</v>
      </c>
      <c r="L375" s="609">
        <v>0</v>
      </c>
      <c r="M375" s="609">
        <v>0</v>
      </c>
      <c r="N375" s="587">
        <f t="shared" si="32"/>
        <v>-20027</v>
      </c>
      <c r="O375"/>
      <c r="P375" s="490"/>
      <c r="Q375" t="str">
        <f t="shared" si="33"/>
        <v>44705</v>
      </c>
      <c r="R375" s="126" t="str">
        <f t="shared" si="34"/>
        <v>ACCOUNT ACTIVATION FEE</v>
      </c>
      <c r="S375" s="125" t="str">
        <f t="shared" si="35"/>
        <v>200</v>
      </c>
      <c r="T375" s="125" t="str">
        <f t="shared" si="36"/>
        <v>00</v>
      </c>
      <c r="U375" s="125" t="str">
        <f t="shared" si="37"/>
        <v>000</v>
      </c>
      <c r="V375" s="125" t="str">
        <f>VLOOKUP(Q375,'GL Category'!A:C,3,FALSE)</f>
        <v>CHARGES FOR SERVICE</v>
      </c>
      <c r="W375" s="125"/>
    </row>
    <row r="376" spans="1:24" s="83" customFormat="1" ht="20.399999999999999" customHeight="1">
      <c r="A376" s="608" t="s">
        <v>1037</v>
      </c>
      <c r="B376" s="608" t="s">
        <v>1222</v>
      </c>
      <c r="C376" s="608" t="s">
        <v>462</v>
      </c>
      <c r="D376" s="609">
        <v>-1245</v>
      </c>
      <c r="E376" s="609">
        <v>-480</v>
      </c>
      <c r="F376" s="609">
        <v>0</v>
      </c>
      <c r="G376" s="609">
        <v>0</v>
      </c>
      <c r="H376" s="609">
        <v>-663</v>
      </c>
      <c r="I376" s="609">
        <v>0</v>
      </c>
      <c r="J376" s="609">
        <v>0</v>
      </c>
      <c r="K376" s="609">
        <v>0</v>
      </c>
      <c r="L376" s="609">
        <v>0</v>
      </c>
      <c r="M376" s="609">
        <v>0</v>
      </c>
      <c r="N376" s="587">
        <f t="shared" si="32"/>
        <v>0</v>
      </c>
      <c r="O376"/>
      <c r="P376" s="490"/>
      <c r="Q376" t="str">
        <f t="shared" si="33"/>
        <v>44710</v>
      </c>
      <c r="R376" s="126" t="str">
        <f t="shared" si="34"/>
        <v>ACCOUNT TRANSFER FEE</v>
      </c>
      <c r="S376" s="125" t="str">
        <f t="shared" si="35"/>
        <v>200</v>
      </c>
      <c r="T376" s="125" t="str">
        <f t="shared" si="36"/>
        <v>00</v>
      </c>
      <c r="U376" s="125" t="str">
        <f t="shared" si="37"/>
        <v>000</v>
      </c>
      <c r="V376" s="125" t="str">
        <f>VLOOKUP(Q376,'GL Category'!A:C,3,FALSE)</f>
        <v>CHARGES FOR SERVICE</v>
      </c>
      <c r="W376" s="125"/>
    </row>
    <row r="377" spans="1:24" s="541" customFormat="1" ht="20.399999999999999" customHeight="1">
      <c r="A377" s="608" t="s">
        <v>1037</v>
      </c>
      <c r="B377" s="608" t="s">
        <v>1223</v>
      </c>
      <c r="C377" s="608" t="s">
        <v>463</v>
      </c>
      <c r="D377" s="609">
        <v>-26396.400000000001</v>
      </c>
      <c r="E377" s="609">
        <v>-38261.5</v>
      </c>
      <c r="F377" s="609">
        <v>-21475.32</v>
      </c>
      <c r="G377" s="609">
        <v>-65129.120000000003</v>
      </c>
      <c r="H377" s="609">
        <v>-51819</v>
      </c>
      <c r="I377" s="609">
        <v>0</v>
      </c>
      <c r="J377" s="609">
        <v>0</v>
      </c>
      <c r="K377" s="609">
        <v>-38926</v>
      </c>
      <c r="L377" s="609">
        <v>0</v>
      </c>
      <c r="M377" s="609">
        <v>0</v>
      </c>
      <c r="N377" s="587">
        <f t="shared" si="32"/>
        <v>-38926</v>
      </c>
      <c r="O377"/>
      <c r="P377" s="490"/>
      <c r="Q377" t="str">
        <f t="shared" si="33"/>
        <v>44730</v>
      </c>
      <c r="R377" s="540" t="str">
        <f t="shared" si="34"/>
        <v>INSPECTION FEES-W&amp;S</v>
      </c>
      <c r="S377" s="538" t="str">
        <f t="shared" si="35"/>
        <v>200</v>
      </c>
      <c r="T377" s="125" t="str">
        <f t="shared" si="36"/>
        <v>00</v>
      </c>
      <c r="U377" s="125" t="str">
        <f t="shared" si="37"/>
        <v>000</v>
      </c>
      <c r="V377" s="538" t="str">
        <f>VLOOKUP(Q377,'GL Category'!A:C,3,FALSE)</f>
        <v>CHARGES FOR SERVICE</v>
      </c>
      <c r="W377" s="538"/>
      <c r="X377" s="83"/>
    </row>
    <row r="378" spans="1:24" s="541" customFormat="1" ht="20.399999999999999" customHeight="1">
      <c r="A378" s="608" t="s">
        <v>1037</v>
      </c>
      <c r="B378" s="608" t="s">
        <v>1224</v>
      </c>
      <c r="C378" s="608" t="s">
        <v>464</v>
      </c>
      <c r="D378" s="609">
        <v>-129466.47</v>
      </c>
      <c r="E378" s="609">
        <v>-137686.79</v>
      </c>
      <c r="F378" s="609">
        <v>-227544.1</v>
      </c>
      <c r="G378" s="609">
        <v>-249967.63</v>
      </c>
      <c r="H378" s="609">
        <v>-205365</v>
      </c>
      <c r="I378" s="609">
        <v>-169733.55</v>
      </c>
      <c r="J378" s="609">
        <v>-237666</v>
      </c>
      <c r="K378" s="609">
        <v>-205365</v>
      </c>
      <c r="L378" s="609">
        <v>0</v>
      </c>
      <c r="M378" s="609">
        <v>0</v>
      </c>
      <c r="N378" s="587">
        <f t="shared" si="32"/>
        <v>-205365</v>
      </c>
      <c r="O378"/>
      <c r="P378" s="490"/>
      <c r="Q378" t="str">
        <f t="shared" si="33"/>
        <v>44740</v>
      </c>
      <c r="R378" s="540" t="str">
        <f t="shared" si="34"/>
        <v>PENALTY REVENUE</v>
      </c>
      <c r="S378" s="538" t="str">
        <f t="shared" si="35"/>
        <v>200</v>
      </c>
      <c r="T378" s="125" t="str">
        <f t="shared" si="36"/>
        <v>00</v>
      </c>
      <c r="U378" s="125" t="str">
        <f t="shared" si="37"/>
        <v>000</v>
      </c>
      <c r="V378" s="538" t="str">
        <f>VLOOKUP(Q378,'GL Category'!A:C,3,FALSE)</f>
        <v>CHARGES FOR SERVICE</v>
      </c>
      <c r="W378" s="538"/>
      <c r="X378" s="83"/>
    </row>
    <row r="379" spans="1:24" s="83" customFormat="1" ht="20.399999999999999" customHeight="1">
      <c r="A379" s="608" t="s">
        <v>1037</v>
      </c>
      <c r="B379" s="608" t="s">
        <v>1225</v>
      </c>
      <c r="C379" s="608" t="s">
        <v>417</v>
      </c>
      <c r="D379" s="609">
        <v>-5424.68</v>
      </c>
      <c r="E379" s="609">
        <v>-9601.4599999999991</v>
      </c>
      <c r="F379" s="609">
        <v>-1348.32</v>
      </c>
      <c r="G379" s="609">
        <v>38265.43</v>
      </c>
      <c r="H379" s="609">
        <v>-2796</v>
      </c>
      <c r="I379" s="609">
        <v>11646.71</v>
      </c>
      <c r="J379" s="609">
        <v>14156</v>
      </c>
      <c r="K379" s="609">
        <v>-2796</v>
      </c>
      <c r="L379" s="609">
        <v>0</v>
      </c>
      <c r="M379" s="609">
        <v>0</v>
      </c>
      <c r="N379" s="587">
        <f t="shared" si="32"/>
        <v>-2796</v>
      </c>
      <c r="O379"/>
      <c r="P379" s="490"/>
      <c r="Q379" t="str">
        <f t="shared" si="33"/>
        <v>44790</v>
      </c>
      <c r="R379" s="126" t="str">
        <f t="shared" si="34"/>
        <v>WRITE OFF RECOVERY</v>
      </c>
      <c r="S379" s="125" t="str">
        <f t="shared" si="35"/>
        <v>200</v>
      </c>
      <c r="T379" s="125" t="str">
        <f t="shared" si="36"/>
        <v>00</v>
      </c>
      <c r="U379" s="125" t="str">
        <f t="shared" si="37"/>
        <v>000</v>
      </c>
      <c r="V379" s="125" t="str">
        <f>VLOOKUP(Q379,'GL Category'!A:C,3,FALSE)</f>
        <v>CHARGES FOR SERVICE</v>
      </c>
      <c r="W379" s="125"/>
    </row>
    <row r="380" spans="1:24" s="83" customFormat="1" ht="20.399999999999999" customHeight="1">
      <c r="A380" s="608" t="s">
        <v>1037</v>
      </c>
      <c r="B380" s="608" t="s">
        <v>3311</v>
      </c>
      <c r="C380" s="608" t="s">
        <v>883</v>
      </c>
      <c r="D380" s="609">
        <v>0</v>
      </c>
      <c r="E380" s="609">
        <v>0</v>
      </c>
      <c r="F380" s="609">
        <v>0</v>
      </c>
      <c r="G380" s="609">
        <v>0</v>
      </c>
      <c r="H380" s="609">
        <v>0</v>
      </c>
      <c r="I380" s="609">
        <v>0</v>
      </c>
      <c r="J380" s="609">
        <v>0</v>
      </c>
      <c r="K380" s="609">
        <v>0</v>
      </c>
      <c r="L380" s="609">
        <v>0</v>
      </c>
      <c r="M380" s="609">
        <v>0</v>
      </c>
      <c r="N380" s="587">
        <f t="shared" si="32"/>
        <v>0</v>
      </c>
      <c r="O380"/>
      <c r="P380" s="490"/>
      <c r="Q380" t="str">
        <f t="shared" si="33"/>
        <v>45000</v>
      </c>
      <c r="R380" s="126" t="str">
        <f t="shared" si="34"/>
        <v>DEBT ISSUANCE PROCEEDS</v>
      </c>
      <c r="S380" s="125" t="str">
        <f t="shared" si="35"/>
        <v>200</v>
      </c>
      <c r="T380" s="125" t="str">
        <f t="shared" si="36"/>
        <v>00</v>
      </c>
      <c r="U380" s="125" t="str">
        <f t="shared" si="37"/>
        <v>000</v>
      </c>
      <c r="V380" s="125" t="str">
        <f>VLOOKUP(Q380,'GL Category'!A:C,3,FALSE)</f>
        <v>DEBT ISSUANCES</v>
      </c>
      <c r="W380" s="125"/>
    </row>
    <row r="381" spans="1:24" s="541" customFormat="1" ht="20.399999999999999" customHeight="1">
      <c r="A381" s="608" t="s">
        <v>1037</v>
      </c>
      <c r="B381" s="608" t="s">
        <v>3312</v>
      </c>
      <c r="C381" s="608" t="s">
        <v>828</v>
      </c>
      <c r="D381" s="609">
        <v>0</v>
      </c>
      <c r="E381" s="609">
        <v>0</v>
      </c>
      <c r="F381" s="609">
        <v>0</v>
      </c>
      <c r="G381" s="609">
        <v>0</v>
      </c>
      <c r="H381" s="609">
        <v>0</v>
      </c>
      <c r="I381" s="609">
        <v>0</v>
      </c>
      <c r="J381" s="609">
        <v>0</v>
      </c>
      <c r="K381" s="609">
        <v>0</v>
      </c>
      <c r="L381" s="609">
        <v>0</v>
      </c>
      <c r="M381" s="609">
        <v>0</v>
      </c>
      <c r="N381" s="587">
        <f t="shared" si="32"/>
        <v>0</v>
      </c>
      <c r="O381"/>
      <c r="P381" s="490"/>
      <c r="Q381" t="str">
        <f t="shared" si="33"/>
        <v>45095</v>
      </c>
      <c r="R381" s="540" t="str">
        <f t="shared" si="34"/>
        <v>INTEREST-DEBT ISSUANCE</v>
      </c>
      <c r="S381" s="538" t="str">
        <f t="shared" si="35"/>
        <v>200</v>
      </c>
      <c r="T381" s="125" t="str">
        <f t="shared" si="36"/>
        <v>00</v>
      </c>
      <c r="U381" s="125" t="str">
        <f t="shared" si="37"/>
        <v>000</v>
      </c>
      <c r="V381" s="538" t="str">
        <f>VLOOKUP(Q381,'GL Category'!A:C,3,FALSE)</f>
        <v>DEBT ISSUANCES</v>
      </c>
      <c r="W381" s="538"/>
      <c r="X381" s="83"/>
    </row>
    <row r="382" spans="1:24" s="541" customFormat="1" ht="20.399999999999999" customHeight="1">
      <c r="A382" s="608" t="s">
        <v>1037</v>
      </c>
      <c r="B382" s="608" t="s">
        <v>1226</v>
      </c>
      <c r="C382" s="608" t="s">
        <v>425</v>
      </c>
      <c r="D382" s="609">
        <v>0</v>
      </c>
      <c r="E382" s="609">
        <v>1.87</v>
      </c>
      <c r="F382" s="609">
        <v>0</v>
      </c>
      <c r="G382" s="609">
        <v>0</v>
      </c>
      <c r="H382" s="609">
        <v>0</v>
      </c>
      <c r="I382" s="609">
        <v>0</v>
      </c>
      <c r="J382" s="609">
        <v>0</v>
      </c>
      <c r="K382" s="609">
        <v>0</v>
      </c>
      <c r="L382" s="609">
        <v>0</v>
      </c>
      <c r="M382" s="609">
        <v>0</v>
      </c>
      <c r="N382" s="587">
        <f t="shared" si="32"/>
        <v>0</v>
      </c>
      <c r="O382"/>
      <c r="P382" s="490"/>
      <c r="Q382" t="str">
        <f t="shared" si="33"/>
        <v>45100</v>
      </c>
      <c r="R382" s="540" t="str">
        <f t="shared" si="34"/>
        <v>PREMIUM ON DEBT ISSUANCE</v>
      </c>
      <c r="S382" s="538" t="str">
        <f t="shared" si="35"/>
        <v>200</v>
      </c>
      <c r="T382" s="125" t="str">
        <f t="shared" si="36"/>
        <v>00</v>
      </c>
      <c r="U382" s="125" t="str">
        <f t="shared" si="37"/>
        <v>000</v>
      </c>
      <c r="V382" s="538" t="str">
        <f>VLOOKUP(Q382,'GL Category'!A:C,3,FALSE)</f>
        <v>DEBT ISSUANCES</v>
      </c>
      <c r="W382" s="538"/>
      <c r="X382" s="83"/>
    </row>
    <row r="383" spans="1:24" s="83" customFormat="1" ht="20.399999999999999" customHeight="1">
      <c r="A383" s="608" t="s">
        <v>1037</v>
      </c>
      <c r="B383" s="608" t="s">
        <v>3313</v>
      </c>
      <c r="C383" s="608" t="s">
        <v>426</v>
      </c>
      <c r="D383" s="609">
        <v>0</v>
      </c>
      <c r="E383" s="609">
        <v>0</v>
      </c>
      <c r="F383" s="609">
        <v>0</v>
      </c>
      <c r="G383" s="609">
        <v>0</v>
      </c>
      <c r="H383" s="609">
        <v>0</v>
      </c>
      <c r="I383" s="609">
        <v>0</v>
      </c>
      <c r="J383" s="609">
        <v>0</v>
      </c>
      <c r="K383" s="609">
        <v>0</v>
      </c>
      <c r="L383" s="609">
        <v>0</v>
      </c>
      <c r="M383" s="609">
        <v>0</v>
      </c>
      <c r="N383" s="587">
        <f t="shared" si="32"/>
        <v>0</v>
      </c>
      <c r="O383"/>
      <c r="P383" s="490"/>
      <c r="Q383" t="str">
        <f t="shared" si="33"/>
        <v>45200</v>
      </c>
      <c r="R383" s="126" t="str">
        <f t="shared" si="34"/>
        <v>DEBT ISSUANCE-REFUNDING BONDS</v>
      </c>
      <c r="S383" s="125" t="str">
        <f t="shared" si="35"/>
        <v>200</v>
      </c>
      <c r="T383" s="125" t="str">
        <f t="shared" si="36"/>
        <v>00</v>
      </c>
      <c r="U383" s="125" t="str">
        <f t="shared" si="37"/>
        <v>000</v>
      </c>
      <c r="V383" s="125" t="str">
        <f>VLOOKUP(Q383,'GL Category'!A:C,3,FALSE)</f>
        <v>DEBT ISSUANCES</v>
      </c>
      <c r="W383" s="125"/>
    </row>
    <row r="384" spans="1:24" s="541" customFormat="1" ht="20.399999999999999" customHeight="1">
      <c r="A384" s="608" t="s">
        <v>1037</v>
      </c>
      <c r="B384" s="608" t="s">
        <v>1227</v>
      </c>
      <c r="C384" s="608" t="s">
        <v>418</v>
      </c>
      <c r="D384" s="609">
        <v>-50514.26</v>
      </c>
      <c r="E384" s="609">
        <v>-57881.3</v>
      </c>
      <c r="F384" s="609">
        <v>-44076.21</v>
      </c>
      <c r="G384" s="609">
        <v>-54260.14</v>
      </c>
      <c r="H384" s="609">
        <v>-58706</v>
      </c>
      <c r="I384" s="609">
        <v>-44630.85</v>
      </c>
      <c r="J384" s="609">
        <v>-49018</v>
      </c>
      <c r="K384" s="609">
        <v>-49018</v>
      </c>
      <c r="L384" s="609">
        <v>0</v>
      </c>
      <c r="M384" s="609">
        <v>0</v>
      </c>
      <c r="N384" s="587">
        <f t="shared" si="32"/>
        <v>-49018</v>
      </c>
      <c r="O384"/>
      <c r="P384" s="490"/>
      <c r="Q384" t="str">
        <f t="shared" si="33"/>
        <v>46160</v>
      </c>
      <c r="R384" s="540" t="str">
        <f t="shared" si="34"/>
        <v>I/G REV-SOUTHLAKE</v>
      </c>
      <c r="S384" s="538" t="str">
        <f t="shared" si="35"/>
        <v>200</v>
      </c>
      <c r="T384" s="125" t="str">
        <f t="shared" si="36"/>
        <v>00</v>
      </c>
      <c r="U384" s="125" t="str">
        <f t="shared" si="37"/>
        <v>000</v>
      </c>
      <c r="V384" s="538" t="str">
        <f>VLOOKUP(Q384,'GL Category'!A:C,3,FALSE)</f>
        <v>INTERGOVERNMENTAL</v>
      </c>
      <c r="W384" s="538"/>
      <c r="X384" s="83"/>
    </row>
    <row r="385" spans="1:23" s="83" customFormat="1" ht="20.399999999999999" customHeight="1">
      <c r="A385" s="608" t="s">
        <v>1037</v>
      </c>
      <c r="B385" s="608" t="s">
        <v>1228</v>
      </c>
      <c r="C385" s="608" t="s">
        <v>465</v>
      </c>
      <c r="D385" s="609">
        <v>0</v>
      </c>
      <c r="E385" s="609">
        <v>0</v>
      </c>
      <c r="F385" s="609">
        <v>0</v>
      </c>
      <c r="G385" s="609">
        <v>0</v>
      </c>
      <c r="H385" s="609">
        <v>0</v>
      </c>
      <c r="I385" s="609">
        <v>0</v>
      </c>
      <c r="J385" s="609">
        <v>0</v>
      </c>
      <c r="K385" s="609">
        <v>0</v>
      </c>
      <c r="L385" s="609">
        <v>0</v>
      </c>
      <c r="M385" s="609">
        <v>0</v>
      </c>
      <c r="N385" s="587">
        <f t="shared" si="32"/>
        <v>0</v>
      </c>
      <c r="O385"/>
      <c r="P385" s="490"/>
      <c r="Q385" t="str">
        <f t="shared" si="33"/>
        <v>46190</v>
      </c>
      <c r="R385" s="126" t="str">
        <f t="shared" si="34"/>
        <v>I/G REV-LAKE TURNER M.U.D.</v>
      </c>
      <c r="S385" s="125" t="str">
        <f t="shared" si="35"/>
        <v>200</v>
      </c>
      <c r="T385" s="125" t="str">
        <f t="shared" si="36"/>
        <v>00</v>
      </c>
      <c r="U385" s="125" t="str">
        <f t="shared" si="37"/>
        <v>000</v>
      </c>
      <c r="V385" s="125" t="str">
        <f>VLOOKUP(Q385,'GL Category'!A:C,3,FALSE)</f>
        <v>INTERGOVERNMENTAL</v>
      </c>
      <c r="W385" s="125"/>
    </row>
    <row r="386" spans="1:23" s="83" customFormat="1" ht="15" customHeight="1">
      <c r="A386" s="608" t="s">
        <v>1037</v>
      </c>
      <c r="B386" s="608" t="s">
        <v>1229</v>
      </c>
      <c r="C386" s="608" t="s">
        <v>421</v>
      </c>
      <c r="D386" s="609">
        <v>-4572.5200000000004</v>
      </c>
      <c r="E386" s="609">
        <v>-1546.87</v>
      </c>
      <c r="F386" s="609">
        <v>-9547.98</v>
      </c>
      <c r="G386" s="609">
        <v>-593.75</v>
      </c>
      <c r="H386" s="609">
        <v>-2808</v>
      </c>
      <c r="I386" s="609">
        <v>-471592.05</v>
      </c>
      <c r="J386" s="609">
        <v>3872</v>
      </c>
      <c r="K386" s="609">
        <v>-9918</v>
      </c>
      <c r="L386" s="609">
        <v>0</v>
      </c>
      <c r="M386" s="609">
        <v>0</v>
      </c>
      <c r="N386" s="587">
        <f t="shared" si="32"/>
        <v>-9918</v>
      </c>
      <c r="O386"/>
      <c r="P386" s="490"/>
      <c r="Q386" t="str">
        <f t="shared" si="33"/>
        <v>47010</v>
      </c>
      <c r="R386" s="126" t="str">
        <f t="shared" si="34"/>
        <v>MISCELLANEOUS REVENUE</v>
      </c>
      <c r="S386" s="125" t="str">
        <f t="shared" si="35"/>
        <v>200</v>
      </c>
      <c r="T386" s="125" t="str">
        <f t="shared" si="36"/>
        <v>00</v>
      </c>
      <c r="U386" s="125" t="str">
        <f t="shared" si="37"/>
        <v>000</v>
      </c>
      <c r="V386" s="125" t="str">
        <f>VLOOKUP(Q386,'GL Category'!A:C,3,FALSE)</f>
        <v>OTHER REVENUE</v>
      </c>
      <c r="W386" s="125"/>
    </row>
    <row r="387" spans="1:23" s="83" customFormat="1" ht="15" customHeight="1">
      <c r="A387" s="608" t="s">
        <v>1037</v>
      </c>
      <c r="B387" s="608" t="s">
        <v>1230</v>
      </c>
      <c r="C387" s="608" t="s">
        <v>422</v>
      </c>
      <c r="D387" s="609">
        <v>0</v>
      </c>
      <c r="E387" s="609">
        <v>0</v>
      </c>
      <c r="F387" s="609">
        <v>36940</v>
      </c>
      <c r="G387" s="609">
        <v>0</v>
      </c>
      <c r="H387" s="609">
        <v>0</v>
      </c>
      <c r="I387" s="609">
        <v>-740</v>
      </c>
      <c r="J387" s="609">
        <v>0</v>
      </c>
      <c r="K387" s="609">
        <v>0</v>
      </c>
      <c r="L387" s="609">
        <v>0</v>
      </c>
      <c r="M387" s="609">
        <v>0</v>
      </c>
      <c r="N387" s="587">
        <f t="shared" si="32"/>
        <v>0</v>
      </c>
      <c r="O387"/>
      <c r="P387" s="490"/>
      <c r="Q387" t="str">
        <f t="shared" si="33"/>
        <v>47020</v>
      </c>
      <c r="R387" s="126" t="str">
        <f t="shared" si="34"/>
        <v>AUCTION PROCEEDS</v>
      </c>
      <c r="S387" s="125" t="str">
        <f t="shared" si="35"/>
        <v>200</v>
      </c>
      <c r="T387" s="125" t="str">
        <f t="shared" si="36"/>
        <v>00</v>
      </c>
      <c r="U387" s="125" t="str">
        <f t="shared" si="37"/>
        <v>000</v>
      </c>
      <c r="V387" s="125" t="str">
        <f>VLOOKUP(Q387,'GL Category'!A:C,3,FALSE)</f>
        <v>OTHER REVENUE</v>
      </c>
      <c r="W387" s="125"/>
    </row>
    <row r="388" spans="1:23" s="83" customFormat="1" ht="15" customHeight="1">
      <c r="A388" s="608" t="s">
        <v>1037</v>
      </c>
      <c r="B388" s="608" t="s">
        <v>1231</v>
      </c>
      <c r="C388" s="608" t="s">
        <v>427</v>
      </c>
      <c r="D388" s="609">
        <v>-6613.75</v>
      </c>
      <c r="E388" s="609">
        <v>0</v>
      </c>
      <c r="F388" s="609">
        <v>-80506.28</v>
      </c>
      <c r="G388" s="609">
        <v>0</v>
      </c>
      <c r="H388" s="609">
        <v>0</v>
      </c>
      <c r="I388" s="609">
        <v>0</v>
      </c>
      <c r="J388" s="609">
        <v>0</v>
      </c>
      <c r="K388" s="609">
        <v>0</v>
      </c>
      <c r="L388" s="609">
        <v>0</v>
      </c>
      <c r="M388" s="609">
        <v>0</v>
      </c>
      <c r="N388" s="587">
        <f t="shared" ref="N388:N451" si="38">SUM(K388:M388)</f>
        <v>0</v>
      </c>
      <c r="O388"/>
      <c r="P388" s="490"/>
      <c r="Q388" t="str">
        <f t="shared" ref="Q388:Q451" si="39">MID(B388,12,5)</f>
        <v>47030</v>
      </c>
      <c r="R388" s="126" t="str">
        <f t="shared" ref="R388:R451" si="40">C388</f>
        <v>GAIN/LOSS ON DISP OF ASSETS</v>
      </c>
      <c r="S388" s="125" t="str">
        <f t="shared" ref="S388:S451" si="41">LEFT(B388,3)</f>
        <v>200</v>
      </c>
      <c r="T388" s="125" t="str">
        <f t="shared" ref="T388:T451" si="42">MID(B388,5,2)</f>
        <v>00</v>
      </c>
      <c r="U388" s="125" t="str">
        <f t="shared" ref="U388:U451" si="43">MID(B388,8,3)</f>
        <v>000</v>
      </c>
      <c r="V388" s="125" t="str">
        <f>VLOOKUP(Q388,'GL Category'!A:C,3,FALSE)</f>
        <v>OTHER REVENUE</v>
      </c>
      <c r="W388" s="125"/>
    </row>
    <row r="389" spans="1:23" s="83" customFormat="1" ht="15" customHeight="1">
      <c r="A389" s="608" t="s">
        <v>1037</v>
      </c>
      <c r="B389" s="608" t="s">
        <v>1232</v>
      </c>
      <c r="C389" s="608" t="s">
        <v>891</v>
      </c>
      <c r="D389" s="609">
        <v>91.7</v>
      </c>
      <c r="E389" s="609">
        <v>56.08</v>
      </c>
      <c r="F389" s="609">
        <v>-0.2</v>
      </c>
      <c r="G389" s="609">
        <v>0</v>
      </c>
      <c r="H389" s="609">
        <v>0</v>
      </c>
      <c r="I389" s="609">
        <v>0</v>
      </c>
      <c r="J389" s="609">
        <v>0</v>
      </c>
      <c r="K389" s="609">
        <v>0</v>
      </c>
      <c r="L389" s="609">
        <v>0</v>
      </c>
      <c r="M389" s="609">
        <v>0</v>
      </c>
      <c r="N389" s="587">
        <f t="shared" si="38"/>
        <v>0</v>
      </c>
      <c r="O389"/>
      <c r="P389" s="490"/>
      <c r="Q389" t="str">
        <f t="shared" si="39"/>
        <v>47070</v>
      </c>
      <c r="R389" s="126" t="str">
        <f t="shared" si="40"/>
        <v>CASH OVER/SHORT</v>
      </c>
      <c r="S389" s="125" t="str">
        <f t="shared" si="41"/>
        <v>200</v>
      </c>
      <c r="T389" s="125" t="str">
        <f t="shared" si="42"/>
        <v>00</v>
      </c>
      <c r="U389" s="125" t="str">
        <f t="shared" si="43"/>
        <v>000</v>
      </c>
      <c r="V389" s="125" t="str">
        <f>VLOOKUP(Q389,'GL Category'!A:C,3,FALSE)</f>
        <v>OTHER REVENUE</v>
      </c>
      <c r="W389" s="125"/>
    </row>
    <row r="390" spans="1:23" s="83" customFormat="1" ht="15" customHeight="1">
      <c r="A390" s="608" t="s">
        <v>1037</v>
      </c>
      <c r="B390" s="608" t="s">
        <v>1233</v>
      </c>
      <c r="C390" s="608" t="s">
        <v>423</v>
      </c>
      <c r="D390" s="609">
        <v>-123852.45</v>
      </c>
      <c r="E390" s="609">
        <v>-38754.11</v>
      </c>
      <c r="F390" s="609">
        <v>-60484.38</v>
      </c>
      <c r="G390" s="609">
        <v>-515845.84</v>
      </c>
      <c r="H390" s="609">
        <v>-124972</v>
      </c>
      <c r="I390" s="609">
        <v>-520964.56</v>
      </c>
      <c r="J390" s="609">
        <v>-554041</v>
      </c>
      <c r="K390" s="609">
        <v>-554041</v>
      </c>
      <c r="L390" s="609">
        <v>0</v>
      </c>
      <c r="M390" s="609">
        <v>0</v>
      </c>
      <c r="N390" s="587">
        <f t="shared" si="38"/>
        <v>-554041</v>
      </c>
      <c r="O390"/>
      <c r="P390" s="490"/>
      <c r="Q390" t="str">
        <f t="shared" si="39"/>
        <v>47090</v>
      </c>
      <c r="R390" s="126" t="str">
        <f t="shared" si="40"/>
        <v>INTEREST REVENUE-INVESTMENTS</v>
      </c>
      <c r="S390" s="125" t="str">
        <f t="shared" si="41"/>
        <v>200</v>
      </c>
      <c r="T390" s="125" t="str">
        <f t="shared" si="42"/>
        <v>00</v>
      </c>
      <c r="U390" s="125" t="str">
        <f t="shared" si="43"/>
        <v>000</v>
      </c>
      <c r="V390" s="125" t="str">
        <f>VLOOKUP(Q390,'GL Category'!A:C,3,FALSE)</f>
        <v>OTHER REVENUE</v>
      </c>
      <c r="W390" s="125"/>
    </row>
    <row r="391" spans="1:23" s="83" customFormat="1" ht="15" customHeight="1">
      <c r="A391" s="608" t="s">
        <v>1037</v>
      </c>
      <c r="B391" s="608" t="s">
        <v>3314</v>
      </c>
      <c r="C391" s="608" t="s">
        <v>892</v>
      </c>
      <c r="D391" s="609">
        <v>0</v>
      </c>
      <c r="E391" s="609">
        <v>0</v>
      </c>
      <c r="F391" s="609">
        <v>0</v>
      </c>
      <c r="G391" s="609">
        <v>0</v>
      </c>
      <c r="H391" s="609">
        <v>0</v>
      </c>
      <c r="I391" s="609">
        <v>0</v>
      </c>
      <c r="J391" s="609">
        <v>0</v>
      </c>
      <c r="K391" s="609">
        <v>0</v>
      </c>
      <c r="L391" s="609">
        <v>0</v>
      </c>
      <c r="M391" s="609">
        <v>0</v>
      </c>
      <c r="N391" s="587">
        <f t="shared" si="38"/>
        <v>0</v>
      </c>
      <c r="O391"/>
      <c r="P391" s="490"/>
      <c r="Q391" t="str">
        <f t="shared" si="39"/>
        <v>47095</v>
      </c>
      <c r="R391" s="126" t="str">
        <f t="shared" si="40"/>
        <v>INTEREST REVENUE-DEBT ISSUANCE</v>
      </c>
      <c r="S391" s="125" t="str">
        <f t="shared" si="41"/>
        <v>200</v>
      </c>
      <c r="T391" s="125" t="str">
        <f t="shared" si="42"/>
        <v>00</v>
      </c>
      <c r="U391" s="125" t="str">
        <f t="shared" si="43"/>
        <v>000</v>
      </c>
      <c r="V391" s="125" t="str">
        <f>VLOOKUP(Q391,'GL Category'!A:C,3,FALSE)</f>
        <v>OTHER REVENUE</v>
      </c>
      <c r="W391" s="125"/>
    </row>
    <row r="392" spans="1:23" s="83" customFormat="1" ht="15" customHeight="1">
      <c r="A392" s="608" t="s">
        <v>1037</v>
      </c>
      <c r="B392" s="608" t="s">
        <v>1234</v>
      </c>
      <c r="C392" s="608" t="s">
        <v>827</v>
      </c>
      <c r="D392" s="609">
        <v>0</v>
      </c>
      <c r="E392" s="609">
        <v>0</v>
      </c>
      <c r="F392" s="609">
        <v>0</v>
      </c>
      <c r="G392" s="609">
        <v>0</v>
      </c>
      <c r="H392" s="609">
        <v>0</v>
      </c>
      <c r="I392" s="609">
        <v>0</v>
      </c>
      <c r="J392" s="609">
        <v>0</v>
      </c>
      <c r="K392" s="609">
        <v>0</v>
      </c>
      <c r="L392" s="609">
        <v>0</v>
      </c>
      <c r="M392" s="609">
        <v>0</v>
      </c>
      <c r="N392" s="587">
        <f t="shared" si="38"/>
        <v>0</v>
      </c>
      <c r="O392"/>
      <c r="P392" s="490"/>
      <c r="Q392" t="str">
        <f t="shared" si="39"/>
        <v>47099</v>
      </c>
      <c r="R392" s="126" t="str">
        <f t="shared" si="40"/>
        <v>INCR/DECR IN FAIR VALUE OF INV</v>
      </c>
      <c r="S392" s="125" t="str">
        <f t="shared" si="41"/>
        <v>200</v>
      </c>
      <c r="T392" s="125" t="str">
        <f t="shared" si="42"/>
        <v>00</v>
      </c>
      <c r="U392" s="125" t="str">
        <f t="shared" si="43"/>
        <v>000</v>
      </c>
      <c r="V392" s="125" t="str">
        <f>VLOOKUP(Q392,'GL Category'!A:C,3,FALSE)</f>
        <v>OTHER REVENUE</v>
      </c>
      <c r="W392" s="125"/>
    </row>
    <row r="393" spans="1:23" s="83" customFormat="1" ht="15" customHeight="1">
      <c r="A393" s="608" t="s">
        <v>1037</v>
      </c>
      <c r="B393" s="608" t="s">
        <v>3315</v>
      </c>
      <c r="C393" s="608" t="s">
        <v>3152</v>
      </c>
      <c r="D393" s="609">
        <v>0</v>
      </c>
      <c r="E393" s="609">
        <v>0</v>
      </c>
      <c r="F393" s="609">
        <v>0</v>
      </c>
      <c r="G393" s="609">
        <v>0</v>
      </c>
      <c r="H393" s="609">
        <v>0</v>
      </c>
      <c r="I393" s="609">
        <v>0</v>
      </c>
      <c r="J393" s="609">
        <v>0</v>
      </c>
      <c r="K393" s="609">
        <v>0</v>
      </c>
      <c r="L393" s="609">
        <v>0</v>
      </c>
      <c r="M393" s="609">
        <v>0</v>
      </c>
      <c r="N393" s="587">
        <f t="shared" si="38"/>
        <v>0</v>
      </c>
      <c r="O393"/>
      <c r="P393" s="490"/>
      <c r="Q393" t="str">
        <f t="shared" si="39"/>
        <v>49119</v>
      </c>
      <c r="R393" s="126" t="str">
        <f t="shared" si="40"/>
        <v>TRANSFER FROM TECHNOLOGY</v>
      </c>
      <c r="S393" s="125" t="str">
        <f t="shared" si="41"/>
        <v>200</v>
      </c>
      <c r="T393" s="125" t="str">
        <f t="shared" si="42"/>
        <v>00</v>
      </c>
      <c r="U393" s="125" t="str">
        <f t="shared" si="43"/>
        <v>000</v>
      </c>
      <c r="V393" s="125" t="e">
        <f>VLOOKUP(Q393,'GL Category'!A:C,3,FALSE)</f>
        <v>#N/A</v>
      </c>
      <c r="W393" s="125"/>
    </row>
    <row r="394" spans="1:23" s="83" customFormat="1" ht="15" customHeight="1">
      <c r="A394" s="608" t="s">
        <v>1037</v>
      </c>
      <c r="B394" s="608" t="s">
        <v>3170</v>
      </c>
      <c r="C394" s="608" t="s">
        <v>900</v>
      </c>
      <c r="D394" s="609">
        <v>0</v>
      </c>
      <c r="E394" s="609">
        <v>0</v>
      </c>
      <c r="F394" s="609">
        <v>0</v>
      </c>
      <c r="G394" s="609">
        <v>0</v>
      </c>
      <c r="H394" s="609">
        <v>0</v>
      </c>
      <c r="I394" s="609">
        <v>0</v>
      </c>
      <c r="J394" s="609">
        <v>0</v>
      </c>
      <c r="K394" s="609">
        <v>0</v>
      </c>
      <c r="L394" s="609">
        <v>0</v>
      </c>
      <c r="M394" s="609">
        <v>0</v>
      </c>
      <c r="N394" s="587">
        <f t="shared" si="38"/>
        <v>0</v>
      </c>
      <c r="O394"/>
      <c r="P394" s="490"/>
      <c r="Q394" t="str">
        <f t="shared" si="39"/>
        <v>49175</v>
      </c>
      <c r="R394" s="126" t="str">
        <f t="shared" si="40"/>
        <v>TRANSFER FROM EQUIP REPL FUND</v>
      </c>
      <c r="S394" s="125" t="str">
        <f t="shared" si="41"/>
        <v>200</v>
      </c>
      <c r="T394" s="125" t="str">
        <f t="shared" si="42"/>
        <v>00</v>
      </c>
      <c r="U394" s="125" t="str">
        <f t="shared" si="43"/>
        <v>000</v>
      </c>
      <c r="V394" s="125" t="str">
        <f>VLOOKUP(Q394,'GL Category'!A:C,3,FALSE)</f>
        <v>TRANSFERS IN</v>
      </c>
      <c r="W394" s="125"/>
    </row>
    <row r="395" spans="1:23" s="83" customFormat="1" ht="15" customHeight="1">
      <c r="A395" s="608" t="s">
        <v>1037</v>
      </c>
      <c r="B395" s="608" t="s">
        <v>3171</v>
      </c>
      <c r="C395" s="608" t="s">
        <v>3149</v>
      </c>
      <c r="D395" s="609">
        <v>0</v>
      </c>
      <c r="E395" s="609">
        <v>0</v>
      </c>
      <c r="F395" s="609">
        <v>0</v>
      </c>
      <c r="G395" s="609">
        <v>0</v>
      </c>
      <c r="H395" s="609">
        <v>0</v>
      </c>
      <c r="I395" s="609">
        <v>0</v>
      </c>
      <c r="J395" s="609">
        <v>0</v>
      </c>
      <c r="K395" s="609">
        <v>0</v>
      </c>
      <c r="L395" s="609">
        <v>0</v>
      </c>
      <c r="M395" s="609">
        <v>0</v>
      </c>
      <c r="N395" s="587">
        <f t="shared" si="38"/>
        <v>0</v>
      </c>
      <c r="O395"/>
      <c r="P395" s="490"/>
      <c r="Q395" t="str">
        <f t="shared" si="39"/>
        <v>49198</v>
      </c>
      <c r="R395" s="126" t="str">
        <f t="shared" si="40"/>
        <v>TRANSFER FROM GENERAL GOVERNME</v>
      </c>
      <c r="S395" s="125" t="str">
        <f t="shared" si="41"/>
        <v>200</v>
      </c>
      <c r="T395" s="125" t="str">
        <f t="shared" si="42"/>
        <v>00</v>
      </c>
      <c r="U395" s="125" t="str">
        <f t="shared" si="43"/>
        <v>000</v>
      </c>
      <c r="V395" s="125" t="str">
        <f>VLOOKUP(Q395,'GL Category'!A:C,3,FALSE)</f>
        <v>TRANSFERS IN</v>
      </c>
      <c r="W395" s="125"/>
    </row>
    <row r="396" spans="1:23" s="83" customFormat="1" ht="15" customHeight="1">
      <c r="A396" s="608" t="s">
        <v>1037</v>
      </c>
      <c r="B396" s="608" t="s">
        <v>3316</v>
      </c>
      <c r="C396" s="608" t="s">
        <v>830</v>
      </c>
      <c r="D396" s="609">
        <v>0</v>
      </c>
      <c r="E396" s="609">
        <v>0</v>
      </c>
      <c r="F396" s="609">
        <v>0</v>
      </c>
      <c r="G396" s="609">
        <v>0</v>
      </c>
      <c r="H396" s="609">
        <v>0</v>
      </c>
      <c r="I396" s="609">
        <v>0</v>
      </c>
      <c r="J396" s="609">
        <v>0</v>
      </c>
      <c r="K396" s="609">
        <v>0</v>
      </c>
      <c r="L396" s="609">
        <v>0</v>
      </c>
      <c r="M396" s="609">
        <v>0</v>
      </c>
      <c r="N396" s="587">
        <f t="shared" si="38"/>
        <v>0</v>
      </c>
      <c r="O396"/>
      <c r="P396" s="490"/>
      <c r="Q396" t="str">
        <f t="shared" si="39"/>
        <v>49204</v>
      </c>
      <c r="R396" s="126" t="str">
        <f t="shared" si="40"/>
        <v>TRANSFER FROM W&amp;S I&amp;S FUND</v>
      </c>
      <c r="S396" s="125" t="str">
        <f t="shared" si="41"/>
        <v>200</v>
      </c>
      <c r="T396" s="125" t="str">
        <f t="shared" si="42"/>
        <v>00</v>
      </c>
      <c r="U396" s="125" t="str">
        <f t="shared" si="43"/>
        <v>000</v>
      </c>
      <c r="V396" s="125" t="str">
        <f>VLOOKUP(Q396,'GL Category'!A:C,3,FALSE)</f>
        <v>TRANSFERS IN</v>
      </c>
      <c r="W396" s="125"/>
    </row>
    <row r="397" spans="1:23" s="83" customFormat="1" ht="15" customHeight="1">
      <c r="A397" s="608" t="s">
        <v>1037</v>
      </c>
      <c r="B397" s="608" t="s">
        <v>3172</v>
      </c>
      <c r="C397" s="608" t="s">
        <v>902</v>
      </c>
      <c r="D397" s="609">
        <v>0</v>
      </c>
      <c r="E397" s="609">
        <v>0</v>
      </c>
      <c r="F397" s="609">
        <v>0</v>
      </c>
      <c r="G397" s="609">
        <v>0</v>
      </c>
      <c r="H397" s="609">
        <v>0</v>
      </c>
      <c r="I397" s="609">
        <v>0</v>
      </c>
      <c r="J397" s="609">
        <v>0</v>
      </c>
      <c r="K397" s="609">
        <v>0</v>
      </c>
      <c r="L397" s="609">
        <v>0</v>
      </c>
      <c r="M397" s="609">
        <v>0</v>
      </c>
      <c r="N397" s="587">
        <f t="shared" si="38"/>
        <v>0</v>
      </c>
      <c r="O397"/>
      <c r="P397" s="490"/>
      <c r="Q397" t="str">
        <f t="shared" si="39"/>
        <v>49206</v>
      </c>
      <c r="R397" s="126" t="str">
        <f t="shared" si="40"/>
        <v>TRANSFER FROM W&amp;S CIP FUND</v>
      </c>
      <c r="S397" s="125" t="str">
        <f t="shared" si="41"/>
        <v>200</v>
      </c>
      <c r="T397" s="125" t="str">
        <f t="shared" si="42"/>
        <v>00</v>
      </c>
      <c r="U397" s="125" t="str">
        <f t="shared" si="43"/>
        <v>000</v>
      </c>
      <c r="V397" s="125" t="str">
        <f>VLOOKUP(Q397,'GL Category'!A:C,3,FALSE)</f>
        <v>TRANSFERS IN</v>
      </c>
      <c r="W397" s="125"/>
    </row>
    <row r="398" spans="1:23" s="83" customFormat="1" ht="15" customHeight="1">
      <c r="A398" s="608" t="s">
        <v>1037</v>
      </c>
      <c r="B398" s="608" t="s">
        <v>3173</v>
      </c>
      <c r="C398" s="608" t="s">
        <v>831</v>
      </c>
      <c r="D398" s="609">
        <v>0</v>
      </c>
      <c r="E398" s="609">
        <v>0</v>
      </c>
      <c r="F398" s="609">
        <v>0</v>
      </c>
      <c r="G398" s="609">
        <v>0</v>
      </c>
      <c r="H398" s="609">
        <v>0</v>
      </c>
      <c r="I398" s="609">
        <v>0</v>
      </c>
      <c r="J398" s="609">
        <v>0</v>
      </c>
      <c r="K398" s="609">
        <v>0</v>
      </c>
      <c r="L398" s="609">
        <v>0</v>
      </c>
      <c r="M398" s="609">
        <v>0</v>
      </c>
      <c r="N398" s="587">
        <f t="shared" si="38"/>
        <v>0</v>
      </c>
      <c r="O398"/>
      <c r="P398" s="490"/>
      <c r="Q398" t="str">
        <f t="shared" si="39"/>
        <v>49231</v>
      </c>
      <c r="R398" s="126" t="str">
        <f t="shared" si="40"/>
        <v>TRANSFER FROM WATER IMPACT FEE</v>
      </c>
      <c r="S398" s="125" t="str">
        <f t="shared" si="41"/>
        <v>200</v>
      </c>
      <c r="T398" s="125" t="str">
        <f t="shared" si="42"/>
        <v>00</v>
      </c>
      <c r="U398" s="125" t="str">
        <f t="shared" si="43"/>
        <v>000</v>
      </c>
      <c r="V398" s="125" t="str">
        <f>VLOOKUP(Q398,'GL Category'!A:C,3,FALSE)</f>
        <v>TRANSFERS IN</v>
      </c>
      <c r="W398" s="125"/>
    </row>
    <row r="399" spans="1:23" s="83" customFormat="1" ht="15" customHeight="1">
      <c r="A399" s="608" t="s">
        <v>1037</v>
      </c>
      <c r="B399" s="608" t="s">
        <v>3174</v>
      </c>
      <c r="C399" s="608" t="s">
        <v>832</v>
      </c>
      <c r="D399" s="609">
        <v>0</v>
      </c>
      <c r="E399" s="609">
        <v>0</v>
      </c>
      <c r="F399" s="609">
        <v>0</v>
      </c>
      <c r="G399" s="609">
        <v>0</v>
      </c>
      <c r="H399" s="609">
        <v>0</v>
      </c>
      <c r="I399" s="609">
        <v>0</v>
      </c>
      <c r="J399" s="609">
        <v>0</v>
      </c>
      <c r="K399" s="609">
        <v>0</v>
      </c>
      <c r="L399" s="609">
        <v>0</v>
      </c>
      <c r="M399" s="609">
        <v>0</v>
      </c>
      <c r="N399" s="587">
        <f t="shared" si="38"/>
        <v>0</v>
      </c>
      <c r="O399"/>
      <c r="P399" s="490"/>
      <c r="Q399" t="str">
        <f t="shared" si="39"/>
        <v>49232</v>
      </c>
      <c r="R399" s="126" t="str">
        <f t="shared" si="40"/>
        <v>TRANSFER FROM WW IMPACT FEE</v>
      </c>
      <c r="S399" s="125" t="str">
        <f t="shared" si="41"/>
        <v>200</v>
      </c>
      <c r="T399" s="125" t="str">
        <f t="shared" si="42"/>
        <v>00</v>
      </c>
      <c r="U399" s="125" t="str">
        <f t="shared" si="43"/>
        <v>000</v>
      </c>
      <c r="V399" s="125" t="str">
        <f>VLOOKUP(Q399,'GL Category'!A:C,3,FALSE)</f>
        <v>TRANSFERS IN</v>
      </c>
      <c r="W399" s="125"/>
    </row>
    <row r="400" spans="1:23" s="83" customFormat="1" ht="15" customHeight="1">
      <c r="A400" s="608" t="s">
        <v>1037</v>
      </c>
      <c r="B400" s="608" t="s">
        <v>1235</v>
      </c>
      <c r="C400" s="608" t="s">
        <v>84</v>
      </c>
      <c r="D400" s="609">
        <v>2185923</v>
      </c>
      <c r="E400" s="609">
        <v>-47445.13</v>
      </c>
      <c r="F400" s="609">
        <v>-3355474.13</v>
      </c>
      <c r="G400" s="609">
        <v>-5115551.96</v>
      </c>
      <c r="H400" s="609">
        <v>0</v>
      </c>
      <c r="I400" s="609">
        <v>0</v>
      </c>
      <c r="J400" s="609">
        <v>0</v>
      </c>
      <c r="K400" s="609">
        <v>0</v>
      </c>
      <c r="L400" s="609">
        <v>0</v>
      </c>
      <c r="M400" s="609">
        <v>0</v>
      </c>
      <c r="N400" s="587">
        <f t="shared" si="38"/>
        <v>0</v>
      </c>
      <c r="O400"/>
      <c r="P400" s="490"/>
      <c r="Q400" t="str">
        <f t="shared" si="39"/>
        <v>49999</v>
      </c>
      <c r="R400" s="126" t="str">
        <f t="shared" si="40"/>
        <v>USE OF FUND BALANCE</v>
      </c>
      <c r="S400" s="125" t="str">
        <f t="shared" si="41"/>
        <v>200</v>
      </c>
      <c r="T400" s="125" t="str">
        <f t="shared" si="42"/>
        <v>00</v>
      </c>
      <c r="U400" s="125" t="str">
        <f t="shared" si="43"/>
        <v>000</v>
      </c>
      <c r="V400" s="125" t="str">
        <f>VLOOKUP(Q400,'GL Category'!A:C,3,FALSE)</f>
        <v>TRANSFERS IN</v>
      </c>
      <c r="W400" s="125"/>
    </row>
    <row r="401" spans="1:24" s="83" customFormat="1" ht="15" customHeight="1">
      <c r="A401" s="608" t="s">
        <v>1038</v>
      </c>
      <c r="B401" s="608" t="s">
        <v>3506</v>
      </c>
      <c r="C401" s="608" t="s">
        <v>3504</v>
      </c>
      <c r="D401" s="609">
        <v>0</v>
      </c>
      <c r="E401" s="609">
        <v>0</v>
      </c>
      <c r="F401" s="609">
        <v>0</v>
      </c>
      <c r="G401" s="609">
        <v>0</v>
      </c>
      <c r="H401" s="609">
        <v>0</v>
      </c>
      <c r="I401" s="609">
        <v>0</v>
      </c>
      <c r="J401" s="609">
        <v>0</v>
      </c>
      <c r="K401" s="609">
        <v>0</v>
      </c>
      <c r="L401" s="609">
        <v>0</v>
      </c>
      <c r="M401" s="609">
        <v>0</v>
      </c>
      <c r="N401" s="587">
        <f t="shared" si="38"/>
        <v>0</v>
      </c>
      <c r="O401"/>
      <c r="P401" s="490"/>
      <c r="Q401" t="str">
        <f t="shared" si="39"/>
        <v>41094</v>
      </c>
      <c r="R401" s="126" t="str">
        <f t="shared" si="40"/>
        <v>DRAINAGE INSPECTION FEES</v>
      </c>
      <c r="S401" s="125" t="str">
        <f t="shared" si="41"/>
        <v>400</v>
      </c>
      <c r="T401" s="125" t="str">
        <f t="shared" si="42"/>
        <v>00</v>
      </c>
      <c r="U401" s="125" t="str">
        <f t="shared" si="43"/>
        <v>000</v>
      </c>
      <c r="V401" s="125" t="e">
        <f>VLOOKUP(Q401,'GL Category'!A:C,3,FALSE)</f>
        <v>#N/A</v>
      </c>
      <c r="W401" s="125"/>
    </row>
    <row r="402" spans="1:24" s="83" customFormat="1" ht="15" customHeight="1">
      <c r="A402" s="608" t="s">
        <v>1038</v>
      </c>
      <c r="B402" s="608" t="s">
        <v>3175</v>
      </c>
      <c r="C402" s="608" t="s">
        <v>856</v>
      </c>
      <c r="D402" s="609">
        <v>0</v>
      </c>
      <c r="E402" s="609">
        <v>0</v>
      </c>
      <c r="F402" s="609">
        <v>0</v>
      </c>
      <c r="G402" s="609">
        <v>0</v>
      </c>
      <c r="H402" s="609">
        <v>0</v>
      </c>
      <c r="I402" s="609">
        <v>0</v>
      </c>
      <c r="J402" s="609">
        <v>0</v>
      </c>
      <c r="K402" s="609">
        <v>0</v>
      </c>
      <c r="L402" s="609">
        <v>0</v>
      </c>
      <c r="M402" s="609">
        <v>0</v>
      </c>
      <c r="N402" s="587">
        <f t="shared" si="38"/>
        <v>0</v>
      </c>
      <c r="O402"/>
      <c r="P402" s="490"/>
      <c r="Q402" t="str">
        <f t="shared" si="39"/>
        <v>41350</v>
      </c>
      <c r="R402" s="126" t="str">
        <f t="shared" si="40"/>
        <v>CONTRIBUTIONS-DEVELOPER</v>
      </c>
      <c r="S402" s="125" t="str">
        <f t="shared" si="41"/>
        <v>400</v>
      </c>
      <c r="T402" s="125" t="str">
        <f t="shared" si="42"/>
        <v>00</v>
      </c>
      <c r="U402" s="125" t="str">
        <f t="shared" si="43"/>
        <v>000</v>
      </c>
      <c r="V402" s="125" t="str">
        <f>VLOOKUP(Q402,'GL Category'!A:C,3,FALSE)</f>
        <v>DEVELOPMENT FEES</v>
      </c>
      <c r="W402" s="125"/>
    </row>
    <row r="403" spans="1:24" s="83" customFormat="1" ht="15" customHeight="1">
      <c r="A403" s="608" t="s">
        <v>1038</v>
      </c>
      <c r="B403" s="608" t="s">
        <v>3317</v>
      </c>
      <c r="C403" s="608" t="s">
        <v>857</v>
      </c>
      <c r="D403" s="609">
        <v>0</v>
      </c>
      <c r="E403" s="609">
        <v>0</v>
      </c>
      <c r="F403" s="609">
        <v>0</v>
      </c>
      <c r="G403" s="609">
        <v>0</v>
      </c>
      <c r="H403" s="609">
        <v>0</v>
      </c>
      <c r="I403" s="609">
        <v>0</v>
      </c>
      <c r="J403" s="609">
        <v>0</v>
      </c>
      <c r="K403" s="609">
        <v>0</v>
      </c>
      <c r="L403" s="609">
        <v>0</v>
      </c>
      <c r="M403" s="609">
        <v>0</v>
      </c>
      <c r="N403" s="587">
        <f t="shared" si="38"/>
        <v>0</v>
      </c>
      <c r="O403"/>
      <c r="P403" s="490"/>
      <c r="Q403" t="str">
        <f t="shared" si="39"/>
        <v>41355</v>
      </c>
      <c r="R403" s="126" t="str">
        <f t="shared" si="40"/>
        <v>CAPITAL CONTRIBUTIONS-CITY</v>
      </c>
      <c r="S403" s="125" t="str">
        <f t="shared" si="41"/>
        <v>400</v>
      </c>
      <c r="T403" s="125" t="str">
        <f t="shared" si="42"/>
        <v>00</v>
      </c>
      <c r="U403" s="125" t="str">
        <f t="shared" si="43"/>
        <v>000</v>
      </c>
      <c r="V403" s="125" t="str">
        <f>VLOOKUP(Q403,'GL Category'!A:C,3,FALSE)</f>
        <v>DEVELOPMENT FEES</v>
      </c>
      <c r="W403" s="125"/>
    </row>
    <row r="404" spans="1:24" s="83" customFormat="1" ht="15" customHeight="1">
      <c r="A404" s="608" t="s">
        <v>1038</v>
      </c>
      <c r="B404" s="608" t="s">
        <v>3119</v>
      </c>
      <c r="C404" s="608" t="s">
        <v>412</v>
      </c>
      <c r="D404" s="609">
        <v>0</v>
      </c>
      <c r="E404" s="609">
        <v>0</v>
      </c>
      <c r="F404" s="609">
        <v>0</v>
      </c>
      <c r="G404" s="609">
        <v>0</v>
      </c>
      <c r="H404" s="609">
        <v>0</v>
      </c>
      <c r="I404" s="609">
        <v>0</v>
      </c>
      <c r="J404" s="609">
        <v>0</v>
      </c>
      <c r="K404" s="609">
        <v>0</v>
      </c>
      <c r="L404" s="609">
        <v>0</v>
      </c>
      <c r="M404" s="609">
        <v>0</v>
      </c>
      <c r="N404" s="587">
        <f t="shared" si="38"/>
        <v>0</v>
      </c>
      <c r="O404"/>
      <c r="P404" s="490"/>
      <c r="Q404" t="str">
        <f t="shared" si="39"/>
        <v>43010</v>
      </c>
      <c r="R404" s="126" t="str">
        <f t="shared" si="40"/>
        <v>OTHER SERVICES</v>
      </c>
      <c r="S404" s="125" t="str">
        <f t="shared" si="41"/>
        <v>400</v>
      </c>
      <c r="T404" s="125" t="str">
        <f t="shared" si="42"/>
        <v>00</v>
      </c>
      <c r="U404" s="125" t="str">
        <f t="shared" si="43"/>
        <v>000</v>
      </c>
      <c r="V404" s="125" t="str">
        <f>VLOOKUP(Q404,'GL Category'!A:C,3,FALSE)</f>
        <v>CHARGES FOR SERVICE</v>
      </c>
      <c r="W404" s="125"/>
    </row>
    <row r="405" spans="1:24" s="83" customFormat="1" ht="15" customHeight="1">
      <c r="A405" s="608" t="s">
        <v>1038</v>
      </c>
      <c r="B405" s="608" t="s">
        <v>1484</v>
      </c>
      <c r="C405" s="608" t="s">
        <v>417</v>
      </c>
      <c r="D405" s="609">
        <v>-1129.78</v>
      </c>
      <c r="E405" s="609">
        <v>-295.76</v>
      </c>
      <c r="F405" s="609">
        <v>0</v>
      </c>
      <c r="G405" s="609">
        <v>5976.37</v>
      </c>
      <c r="H405" s="609">
        <v>0</v>
      </c>
      <c r="I405" s="609">
        <v>2883.58</v>
      </c>
      <c r="J405" s="609">
        <v>2884</v>
      </c>
      <c r="K405" s="609">
        <v>0</v>
      </c>
      <c r="L405" s="609">
        <v>0</v>
      </c>
      <c r="M405" s="609">
        <v>0</v>
      </c>
      <c r="N405" s="587">
        <f t="shared" si="38"/>
        <v>0</v>
      </c>
      <c r="O405"/>
      <c r="P405" s="490"/>
      <c r="Q405" t="str">
        <f t="shared" si="39"/>
        <v>44790</v>
      </c>
      <c r="R405" s="126" t="str">
        <f t="shared" si="40"/>
        <v>WRITE OFF RECOVERY</v>
      </c>
      <c r="S405" s="125" t="str">
        <f t="shared" si="41"/>
        <v>400</v>
      </c>
      <c r="T405" s="125" t="str">
        <f t="shared" si="42"/>
        <v>00</v>
      </c>
      <c r="U405" s="125" t="str">
        <f t="shared" si="43"/>
        <v>000</v>
      </c>
      <c r="V405" s="125" t="str">
        <f>VLOOKUP(Q405,'GL Category'!A:C,3,FALSE)</f>
        <v>CHARGES FOR SERVICE</v>
      </c>
      <c r="W405" s="125"/>
    </row>
    <row r="406" spans="1:24" s="83" customFormat="1" ht="15" customHeight="1">
      <c r="A406" s="608" t="s">
        <v>1038</v>
      </c>
      <c r="B406" s="608" t="s">
        <v>1485</v>
      </c>
      <c r="C406" s="608" t="s">
        <v>466</v>
      </c>
      <c r="D406" s="609">
        <v>-1480502.73</v>
      </c>
      <c r="E406" s="609">
        <v>-1493566.67</v>
      </c>
      <c r="F406" s="609">
        <v>-1509049.82</v>
      </c>
      <c r="G406" s="609">
        <v>-1520515.2</v>
      </c>
      <c r="H406" s="609">
        <v>-1522825</v>
      </c>
      <c r="I406" s="609">
        <v>-1273355.75</v>
      </c>
      <c r="J406" s="609">
        <v>-1530815</v>
      </c>
      <c r="K406" s="609">
        <v>-1530815</v>
      </c>
      <c r="L406" s="609">
        <v>0</v>
      </c>
      <c r="M406" s="609">
        <v>0</v>
      </c>
      <c r="N406" s="587">
        <f t="shared" si="38"/>
        <v>-1530815</v>
      </c>
      <c r="O406"/>
      <c r="P406" s="490"/>
      <c r="Q406" t="str">
        <f t="shared" si="39"/>
        <v>44810</v>
      </c>
      <c r="R406" s="126" t="str">
        <f t="shared" si="40"/>
        <v>DRAINAGE UTILITY FEES</v>
      </c>
      <c r="S406" s="125" t="str">
        <f t="shared" si="41"/>
        <v>400</v>
      </c>
      <c r="T406" s="125" t="str">
        <f t="shared" si="42"/>
        <v>00</v>
      </c>
      <c r="U406" s="125" t="str">
        <f t="shared" si="43"/>
        <v>000</v>
      </c>
      <c r="V406" s="125" t="e">
        <f>VLOOKUP(Q406,'GL Category'!A:C,3,FALSE)</f>
        <v>#N/A</v>
      </c>
      <c r="W406" s="125"/>
    </row>
    <row r="407" spans="1:24" s="83" customFormat="1" ht="15" customHeight="1">
      <c r="A407" s="608" t="s">
        <v>1038</v>
      </c>
      <c r="B407" s="608" t="s">
        <v>3318</v>
      </c>
      <c r="C407" s="608" t="s">
        <v>833</v>
      </c>
      <c r="D407" s="609">
        <v>0</v>
      </c>
      <c r="E407" s="609">
        <v>0</v>
      </c>
      <c r="F407" s="609">
        <v>0</v>
      </c>
      <c r="G407" s="609">
        <v>0</v>
      </c>
      <c r="H407" s="609">
        <v>0</v>
      </c>
      <c r="I407" s="609">
        <v>0</v>
      </c>
      <c r="J407" s="609">
        <v>0</v>
      </c>
      <c r="K407" s="609">
        <v>0</v>
      </c>
      <c r="L407" s="609">
        <v>0</v>
      </c>
      <c r="M407" s="609">
        <v>0</v>
      </c>
      <c r="N407" s="587">
        <f t="shared" si="38"/>
        <v>0</v>
      </c>
      <c r="O407"/>
      <c r="P407" s="490"/>
      <c r="Q407" t="str">
        <f t="shared" si="39"/>
        <v>46175</v>
      </c>
      <c r="R407" s="126" t="str">
        <f t="shared" si="40"/>
        <v>I/G REV-FT WORTH</v>
      </c>
      <c r="S407" s="125" t="str">
        <f t="shared" si="41"/>
        <v>400</v>
      </c>
      <c r="T407" s="125" t="str">
        <f t="shared" si="42"/>
        <v>00</v>
      </c>
      <c r="U407" s="125" t="str">
        <f t="shared" si="43"/>
        <v>000</v>
      </c>
      <c r="V407" s="125" t="str">
        <f>VLOOKUP(Q407,'GL Category'!A:C,3,FALSE)</f>
        <v>INTERGOVERNMENTAL</v>
      </c>
      <c r="W407" s="125"/>
    </row>
    <row r="408" spans="1:24" s="83" customFormat="1" ht="15" customHeight="1">
      <c r="A408" s="608" t="s">
        <v>1038</v>
      </c>
      <c r="B408" s="608" t="s">
        <v>1486</v>
      </c>
      <c r="C408" s="608" t="s">
        <v>421</v>
      </c>
      <c r="D408" s="609">
        <v>0</v>
      </c>
      <c r="E408" s="609">
        <v>0</v>
      </c>
      <c r="F408" s="609">
        <v>0</v>
      </c>
      <c r="G408" s="609">
        <v>0</v>
      </c>
      <c r="H408" s="609">
        <v>0</v>
      </c>
      <c r="I408" s="609">
        <v>0</v>
      </c>
      <c r="J408" s="609">
        <v>0</v>
      </c>
      <c r="K408" s="609">
        <v>0</v>
      </c>
      <c r="L408" s="609">
        <v>0</v>
      </c>
      <c r="M408" s="609">
        <v>0</v>
      </c>
      <c r="N408" s="587">
        <f t="shared" si="38"/>
        <v>0</v>
      </c>
      <c r="O408"/>
      <c r="P408" s="490"/>
      <c r="Q408" t="str">
        <f t="shared" si="39"/>
        <v>47010</v>
      </c>
      <c r="R408" s="126" t="str">
        <f t="shared" si="40"/>
        <v>MISCELLANEOUS REVENUE</v>
      </c>
      <c r="S408" s="125" t="str">
        <f t="shared" si="41"/>
        <v>400</v>
      </c>
      <c r="T408" s="125" t="str">
        <f t="shared" si="42"/>
        <v>00</v>
      </c>
      <c r="U408" s="125" t="str">
        <f t="shared" si="43"/>
        <v>000</v>
      </c>
      <c r="V408" s="125" t="str">
        <f>VLOOKUP(Q408,'GL Category'!A:C,3,FALSE)</f>
        <v>OTHER REVENUE</v>
      </c>
      <c r="W408" s="125"/>
    </row>
    <row r="409" spans="1:24" s="541" customFormat="1" ht="15" customHeight="1">
      <c r="A409" s="608" t="s">
        <v>1038</v>
      </c>
      <c r="B409" s="608" t="s">
        <v>1487</v>
      </c>
      <c r="C409" s="608" t="s">
        <v>422</v>
      </c>
      <c r="D409" s="609">
        <v>0</v>
      </c>
      <c r="E409" s="609">
        <v>0</v>
      </c>
      <c r="F409" s="609">
        <v>0</v>
      </c>
      <c r="G409" s="609">
        <v>0</v>
      </c>
      <c r="H409" s="609">
        <v>0</v>
      </c>
      <c r="I409" s="609">
        <v>0</v>
      </c>
      <c r="J409" s="609">
        <v>0</v>
      </c>
      <c r="K409" s="609">
        <v>0</v>
      </c>
      <c r="L409" s="609">
        <v>0</v>
      </c>
      <c r="M409" s="609">
        <v>0</v>
      </c>
      <c r="N409" s="587">
        <f t="shared" si="38"/>
        <v>0</v>
      </c>
      <c r="O409"/>
      <c r="P409" s="490"/>
      <c r="Q409" t="str">
        <f t="shared" si="39"/>
        <v>47020</v>
      </c>
      <c r="R409" s="540" t="str">
        <f t="shared" si="40"/>
        <v>AUCTION PROCEEDS</v>
      </c>
      <c r="S409" s="538" t="str">
        <f t="shared" si="41"/>
        <v>400</v>
      </c>
      <c r="T409" s="125" t="str">
        <f t="shared" si="42"/>
        <v>00</v>
      </c>
      <c r="U409" s="125" t="str">
        <f t="shared" si="43"/>
        <v>000</v>
      </c>
      <c r="V409" s="538" t="str">
        <f>VLOOKUP(Q409,'GL Category'!A:C,3,FALSE)</f>
        <v>OTHER REVENUE</v>
      </c>
      <c r="W409" s="538"/>
      <c r="X409" s="83"/>
    </row>
    <row r="410" spans="1:24" s="541" customFormat="1" ht="15" customHeight="1">
      <c r="A410" s="608" t="s">
        <v>1038</v>
      </c>
      <c r="B410" s="608" t="s">
        <v>1488</v>
      </c>
      <c r="C410" s="608" t="s">
        <v>427</v>
      </c>
      <c r="D410" s="609">
        <v>0</v>
      </c>
      <c r="E410" s="609">
        <v>0</v>
      </c>
      <c r="F410" s="609">
        <v>0</v>
      </c>
      <c r="G410" s="609">
        <v>0</v>
      </c>
      <c r="H410" s="609">
        <v>0</v>
      </c>
      <c r="I410" s="609">
        <v>0</v>
      </c>
      <c r="J410" s="609">
        <v>0</v>
      </c>
      <c r="K410" s="609">
        <v>0</v>
      </c>
      <c r="L410" s="609">
        <v>0</v>
      </c>
      <c r="M410" s="609">
        <v>0</v>
      </c>
      <c r="N410" s="587">
        <f t="shared" si="38"/>
        <v>0</v>
      </c>
      <c r="O410"/>
      <c r="P410" s="490"/>
      <c r="Q410" t="str">
        <f t="shared" si="39"/>
        <v>47030</v>
      </c>
      <c r="R410" s="540" t="str">
        <f t="shared" si="40"/>
        <v>GAIN/LOSS ON DISP OF ASSETS</v>
      </c>
      <c r="S410" s="538" t="str">
        <f t="shared" si="41"/>
        <v>400</v>
      </c>
      <c r="T410" s="125" t="str">
        <f t="shared" si="42"/>
        <v>00</v>
      </c>
      <c r="U410" s="125" t="str">
        <f t="shared" si="43"/>
        <v>000</v>
      </c>
      <c r="V410" s="538" t="str">
        <f>VLOOKUP(Q410,'GL Category'!A:C,3,FALSE)</f>
        <v>OTHER REVENUE</v>
      </c>
      <c r="W410" s="538"/>
      <c r="X410" s="83"/>
    </row>
    <row r="411" spans="1:24" s="83" customFormat="1" ht="15" customHeight="1">
      <c r="A411" s="608" t="s">
        <v>1038</v>
      </c>
      <c r="B411" s="608" t="s">
        <v>1489</v>
      </c>
      <c r="C411" s="608" t="s">
        <v>423</v>
      </c>
      <c r="D411" s="609">
        <v>-41402.03</v>
      </c>
      <c r="E411" s="609">
        <v>-12450.1</v>
      </c>
      <c r="F411" s="609">
        <v>-9164.48</v>
      </c>
      <c r="G411" s="609">
        <v>-71611.679999999993</v>
      </c>
      <c r="H411" s="609">
        <v>-31450</v>
      </c>
      <c r="I411" s="609">
        <v>-98682.8</v>
      </c>
      <c r="J411" s="609">
        <v>-103332</v>
      </c>
      <c r="K411" s="609">
        <v>-103332</v>
      </c>
      <c r="L411" s="609">
        <v>0</v>
      </c>
      <c r="M411" s="609">
        <v>0</v>
      </c>
      <c r="N411" s="587">
        <f t="shared" si="38"/>
        <v>-103332</v>
      </c>
      <c r="O411"/>
      <c r="P411" s="490"/>
      <c r="Q411" t="str">
        <f t="shared" si="39"/>
        <v>47090</v>
      </c>
      <c r="R411" s="126" t="str">
        <f t="shared" si="40"/>
        <v>INTEREST REVENUE-INVESTMENTS</v>
      </c>
      <c r="S411" s="125" t="str">
        <f t="shared" si="41"/>
        <v>400</v>
      </c>
      <c r="T411" s="125" t="str">
        <f t="shared" si="42"/>
        <v>00</v>
      </c>
      <c r="U411" s="125" t="str">
        <f t="shared" si="43"/>
        <v>000</v>
      </c>
      <c r="V411" s="125" t="str">
        <f>VLOOKUP(Q411,'GL Category'!A:C,3,FALSE)</f>
        <v>OTHER REVENUE</v>
      </c>
      <c r="W411" s="125"/>
    </row>
    <row r="412" spans="1:24" s="83" customFormat="1" ht="15" customHeight="1">
      <c r="A412" s="608" t="s">
        <v>1038</v>
      </c>
      <c r="B412" s="608" t="s">
        <v>1490</v>
      </c>
      <c r="C412" s="608" t="s">
        <v>827</v>
      </c>
      <c r="D412" s="609">
        <v>0</v>
      </c>
      <c r="E412" s="609">
        <v>0</v>
      </c>
      <c r="F412" s="609">
        <v>0</v>
      </c>
      <c r="G412" s="609">
        <v>0</v>
      </c>
      <c r="H412" s="609">
        <v>0</v>
      </c>
      <c r="I412" s="609">
        <v>0</v>
      </c>
      <c r="J412" s="609">
        <v>0</v>
      </c>
      <c r="K412" s="609">
        <v>0</v>
      </c>
      <c r="L412" s="609">
        <v>0</v>
      </c>
      <c r="M412" s="609">
        <v>0</v>
      </c>
      <c r="N412" s="587">
        <f t="shared" si="38"/>
        <v>0</v>
      </c>
      <c r="O412"/>
      <c r="P412" s="490"/>
      <c r="Q412" t="str">
        <f t="shared" si="39"/>
        <v>47099</v>
      </c>
      <c r="R412" s="126" t="str">
        <f t="shared" si="40"/>
        <v>INCR/DECR IN FAIR VALUE OF INV</v>
      </c>
      <c r="S412" s="125" t="str">
        <f t="shared" si="41"/>
        <v>400</v>
      </c>
      <c r="T412" s="125" t="str">
        <f t="shared" si="42"/>
        <v>00</v>
      </c>
      <c r="U412" s="125" t="str">
        <f t="shared" si="43"/>
        <v>000</v>
      </c>
      <c r="V412" s="125" t="str">
        <f>VLOOKUP(Q412,'GL Category'!A:C,3,FALSE)</f>
        <v>OTHER REVENUE</v>
      </c>
      <c r="W412" s="125"/>
    </row>
    <row r="413" spans="1:24" s="541" customFormat="1" ht="15" customHeight="1">
      <c r="A413" s="608" t="s">
        <v>1038</v>
      </c>
      <c r="B413" s="608" t="s">
        <v>3226</v>
      </c>
      <c r="C413" s="608" t="s">
        <v>899</v>
      </c>
      <c r="D413" s="609">
        <v>0</v>
      </c>
      <c r="E413" s="609">
        <v>0</v>
      </c>
      <c r="F413" s="609">
        <v>0</v>
      </c>
      <c r="G413" s="609">
        <v>0</v>
      </c>
      <c r="H413" s="609">
        <v>0</v>
      </c>
      <c r="I413" s="609">
        <v>0</v>
      </c>
      <c r="J413" s="609">
        <v>0</v>
      </c>
      <c r="K413" s="609">
        <v>0</v>
      </c>
      <c r="L413" s="609">
        <v>0</v>
      </c>
      <c r="M413" s="609">
        <v>0</v>
      </c>
      <c r="N413" s="587">
        <f t="shared" si="38"/>
        <v>0</v>
      </c>
      <c r="O413"/>
      <c r="P413" s="490"/>
      <c r="Q413" t="str">
        <f t="shared" si="39"/>
        <v>49125</v>
      </c>
      <c r="R413" s="540" t="str">
        <f t="shared" si="40"/>
        <v>TRANSFER FROM POINTE</v>
      </c>
      <c r="S413" s="538" t="str">
        <f t="shared" si="41"/>
        <v>400</v>
      </c>
      <c r="T413" s="125" t="str">
        <f t="shared" si="42"/>
        <v>00</v>
      </c>
      <c r="U413" s="125" t="str">
        <f t="shared" si="43"/>
        <v>000</v>
      </c>
      <c r="V413" s="538" t="str">
        <f>VLOOKUP(Q413,'GL Category'!A:C,3,FALSE)</f>
        <v>TRANSFERS IN</v>
      </c>
      <c r="W413" s="538"/>
      <c r="X413" s="83"/>
    </row>
    <row r="414" spans="1:24" s="541" customFormat="1" ht="15" customHeight="1">
      <c r="A414" s="608" t="s">
        <v>1038</v>
      </c>
      <c r="B414" s="608" t="s">
        <v>3176</v>
      </c>
      <c r="C414" s="608" t="s">
        <v>3149</v>
      </c>
      <c r="D414" s="609">
        <v>0</v>
      </c>
      <c r="E414" s="609">
        <v>0</v>
      </c>
      <c r="F414" s="609">
        <v>0</v>
      </c>
      <c r="G414" s="609">
        <v>0</v>
      </c>
      <c r="H414" s="609">
        <v>0</v>
      </c>
      <c r="I414" s="609">
        <v>0</v>
      </c>
      <c r="J414" s="609">
        <v>0</v>
      </c>
      <c r="K414" s="609">
        <v>0</v>
      </c>
      <c r="L414" s="609">
        <v>0</v>
      </c>
      <c r="M414" s="609">
        <v>0</v>
      </c>
      <c r="N414" s="587">
        <f t="shared" si="38"/>
        <v>0</v>
      </c>
      <c r="O414"/>
      <c r="P414" s="490"/>
      <c r="Q414" t="str">
        <f t="shared" si="39"/>
        <v>49198</v>
      </c>
      <c r="R414" s="540" t="str">
        <f t="shared" si="40"/>
        <v>TRANSFER FROM GENERAL GOVERNME</v>
      </c>
      <c r="S414" s="538" t="str">
        <f t="shared" si="41"/>
        <v>400</v>
      </c>
      <c r="T414" s="125" t="str">
        <f t="shared" si="42"/>
        <v>00</v>
      </c>
      <c r="U414" s="125" t="str">
        <f t="shared" si="43"/>
        <v>000</v>
      </c>
      <c r="V414" s="538" t="str">
        <f>VLOOKUP(Q414,'GL Category'!A:C,3,FALSE)</f>
        <v>TRANSFERS IN</v>
      </c>
      <c r="W414" s="538"/>
      <c r="X414" s="83"/>
    </row>
    <row r="415" spans="1:24" s="83" customFormat="1" ht="15" customHeight="1">
      <c r="A415" s="608" t="s">
        <v>1038</v>
      </c>
      <c r="B415" s="608" t="s">
        <v>3177</v>
      </c>
      <c r="C415" s="608" t="s">
        <v>480</v>
      </c>
      <c r="D415" s="609">
        <v>0</v>
      </c>
      <c r="E415" s="609">
        <v>0</v>
      </c>
      <c r="F415" s="609">
        <v>0</v>
      </c>
      <c r="G415" s="609">
        <v>0</v>
      </c>
      <c r="H415" s="609">
        <v>0</v>
      </c>
      <c r="I415" s="609">
        <v>0</v>
      </c>
      <c r="J415" s="609">
        <v>0</v>
      </c>
      <c r="K415" s="609">
        <v>0</v>
      </c>
      <c r="L415" s="609">
        <v>0</v>
      </c>
      <c r="M415" s="609">
        <v>0</v>
      </c>
      <c r="N415" s="587">
        <f t="shared" si="38"/>
        <v>0</v>
      </c>
      <c r="O415"/>
      <c r="P415" s="490"/>
      <c r="Q415" t="str">
        <f t="shared" si="39"/>
        <v>49200</v>
      </c>
      <c r="R415" s="126" t="str">
        <f t="shared" si="40"/>
        <v>TRANSFER FROM W&amp;S FUND</v>
      </c>
      <c r="S415" s="125" t="str">
        <f t="shared" si="41"/>
        <v>400</v>
      </c>
      <c r="T415" s="125" t="str">
        <f t="shared" si="42"/>
        <v>00</v>
      </c>
      <c r="U415" s="125" t="str">
        <f t="shared" si="43"/>
        <v>000</v>
      </c>
      <c r="V415" s="125" t="str">
        <f>VLOOKUP(Q415,'GL Category'!A:C,3,FALSE)</f>
        <v>TRANSFERS IN</v>
      </c>
      <c r="W415" s="125"/>
    </row>
    <row r="416" spans="1:24" s="541" customFormat="1" ht="15" customHeight="1">
      <c r="A416" s="608" t="s">
        <v>1038</v>
      </c>
      <c r="B416" s="608" t="s">
        <v>3178</v>
      </c>
      <c r="C416" s="608" t="s">
        <v>903</v>
      </c>
      <c r="D416" s="609">
        <v>0</v>
      </c>
      <c r="E416" s="609">
        <v>0</v>
      </c>
      <c r="F416" s="609">
        <v>0</v>
      </c>
      <c r="G416" s="609">
        <v>0</v>
      </c>
      <c r="H416" s="609">
        <v>0</v>
      </c>
      <c r="I416" s="609">
        <v>0</v>
      </c>
      <c r="J416" s="609">
        <v>0</v>
      </c>
      <c r="K416" s="609">
        <v>0</v>
      </c>
      <c r="L416" s="609">
        <v>0</v>
      </c>
      <c r="M416" s="609">
        <v>0</v>
      </c>
      <c r="N416" s="587">
        <f t="shared" si="38"/>
        <v>0</v>
      </c>
      <c r="O416"/>
      <c r="P416" s="490"/>
      <c r="Q416" t="str">
        <f t="shared" si="39"/>
        <v>49406</v>
      </c>
      <c r="R416" s="540" t="str">
        <f t="shared" si="40"/>
        <v>TRANSFER FROM DRAINAGE CIP</v>
      </c>
      <c r="S416" s="538" t="str">
        <f t="shared" si="41"/>
        <v>400</v>
      </c>
      <c r="T416" s="125" t="str">
        <f t="shared" si="42"/>
        <v>00</v>
      </c>
      <c r="U416" s="125" t="str">
        <f t="shared" si="43"/>
        <v>000</v>
      </c>
      <c r="V416" s="538" t="str">
        <f>VLOOKUP(Q416,'GL Category'!A:C,3,FALSE)</f>
        <v>TRANSFERS IN</v>
      </c>
      <c r="W416" s="538"/>
      <c r="X416" s="83"/>
    </row>
    <row r="417" spans="1:23" s="83" customFormat="1" ht="15" customHeight="1">
      <c r="A417" s="608" t="s">
        <v>1038</v>
      </c>
      <c r="B417" s="608" t="s">
        <v>1491</v>
      </c>
      <c r="C417" s="608" t="s">
        <v>84</v>
      </c>
      <c r="D417" s="609">
        <v>-966</v>
      </c>
      <c r="E417" s="609">
        <v>11898.44</v>
      </c>
      <c r="F417" s="609">
        <v>-640993.93000000005</v>
      </c>
      <c r="G417" s="609">
        <v>-80900</v>
      </c>
      <c r="H417" s="609">
        <v>0</v>
      </c>
      <c r="I417" s="609">
        <v>0</v>
      </c>
      <c r="J417" s="609">
        <v>0</v>
      </c>
      <c r="K417" s="609">
        <v>0</v>
      </c>
      <c r="L417" s="609">
        <v>0</v>
      </c>
      <c r="M417" s="609">
        <v>0</v>
      </c>
      <c r="N417" s="587">
        <f t="shared" si="38"/>
        <v>0</v>
      </c>
      <c r="O417"/>
      <c r="P417" s="490"/>
      <c r="Q417" t="str">
        <f t="shared" si="39"/>
        <v>49999</v>
      </c>
      <c r="R417" s="126" t="str">
        <f t="shared" si="40"/>
        <v>USE OF FUND BALANCE</v>
      </c>
      <c r="S417" s="125" t="str">
        <f t="shared" si="41"/>
        <v>400</v>
      </c>
      <c r="T417" s="125" t="str">
        <f t="shared" si="42"/>
        <v>00</v>
      </c>
      <c r="U417" s="125" t="str">
        <f t="shared" si="43"/>
        <v>000</v>
      </c>
      <c r="V417" s="125" t="str">
        <f>VLOOKUP(Q417,'GL Category'!A:C,3,FALSE)</f>
        <v>TRANSFERS IN</v>
      </c>
      <c r="W417" s="125"/>
    </row>
    <row r="418" spans="1:23" s="83" customFormat="1" ht="15" customHeight="1">
      <c r="A418" s="606" t="s">
        <v>792</v>
      </c>
      <c r="B418" s="606" t="s">
        <v>3136</v>
      </c>
      <c r="C418" s="606" t="s">
        <v>1105</v>
      </c>
      <c r="D418" s="607" t="s">
        <v>3448</v>
      </c>
      <c r="E418" s="607" t="s">
        <v>3328</v>
      </c>
      <c r="F418" s="607" t="s">
        <v>3329</v>
      </c>
      <c r="G418" s="607" t="s">
        <v>3381</v>
      </c>
      <c r="H418" s="607" t="s">
        <v>3419</v>
      </c>
      <c r="I418" s="607" t="s">
        <v>3420</v>
      </c>
      <c r="J418" s="607" t="s">
        <v>3427</v>
      </c>
      <c r="K418" s="607" t="s">
        <v>3428</v>
      </c>
      <c r="L418" s="607" t="s">
        <v>3429</v>
      </c>
      <c r="M418" s="607" t="s">
        <v>3430</v>
      </c>
      <c r="N418" s="587">
        <f t="shared" si="38"/>
        <v>0</v>
      </c>
      <c r="O418"/>
      <c r="P418" s="490"/>
      <c r="Q418" t="str">
        <f t="shared" si="39"/>
        <v>ber</v>
      </c>
      <c r="R418" s="126" t="str">
        <f t="shared" si="40"/>
        <v>Account Name</v>
      </c>
      <c r="S418" s="125" t="str">
        <f t="shared" si="41"/>
        <v>Acc</v>
      </c>
      <c r="T418" s="125" t="str">
        <f t="shared" si="42"/>
        <v>un</v>
      </c>
      <c r="U418" s="125" t="str">
        <f t="shared" si="43"/>
        <v xml:space="preserve"> Nu</v>
      </c>
      <c r="V418" s="125" t="e">
        <f>VLOOKUP(Q418,'GL Category'!A:C,3,FALSE)</f>
        <v>#N/A</v>
      </c>
      <c r="W418" s="125"/>
    </row>
    <row r="419" spans="1:23" s="83" customFormat="1" ht="15" customHeight="1">
      <c r="A419" s="608" t="s">
        <v>791</v>
      </c>
      <c r="B419" s="608" t="s">
        <v>2262</v>
      </c>
      <c r="C419" s="608" t="s">
        <v>130</v>
      </c>
      <c r="D419" s="609">
        <v>305898.3</v>
      </c>
      <c r="E419" s="609">
        <v>314493.93</v>
      </c>
      <c r="F419" s="609">
        <v>312847.21000000002</v>
      </c>
      <c r="G419" s="609">
        <v>337861.35</v>
      </c>
      <c r="H419" s="609">
        <v>350262</v>
      </c>
      <c r="I419" s="609">
        <v>228743.61</v>
      </c>
      <c r="J419" s="609">
        <v>334903</v>
      </c>
      <c r="K419" s="609">
        <v>338115</v>
      </c>
      <c r="L419" s="609">
        <v>0</v>
      </c>
      <c r="M419" s="609">
        <v>0</v>
      </c>
      <c r="N419" s="587">
        <f t="shared" si="38"/>
        <v>338115</v>
      </c>
      <c r="O419"/>
      <c r="P419" s="490"/>
      <c r="Q419" t="str">
        <f t="shared" si="39"/>
        <v>50101</v>
      </c>
      <c r="R419" s="126" t="str">
        <f t="shared" si="40"/>
        <v>EXEMPT SALARIES</v>
      </c>
      <c r="S419" s="125" t="str">
        <f t="shared" si="41"/>
        <v>100</v>
      </c>
      <c r="T419" s="125" t="str">
        <f t="shared" si="42"/>
        <v>10</v>
      </c>
      <c r="U419" s="125" t="str">
        <f t="shared" si="43"/>
        <v>101</v>
      </c>
      <c r="V419" s="125" t="str">
        <f>VLOOKUP(Q419,'GL Category'!A:C,3,FALSE)</f>
        <v>Personnel services</v>
      </c>
      <c r="W419" s="125"/>
    </row>
    <row r="420" spans="1:23" s="83" customFormat="1" ht="15" customHeight="1">
      <c r="A420" s="608" t="s">
        <v>791</v>
      </c>
      <c r="B420" s="608" t="s">
        <v>2263</v>
      </c>
      <c r="C420" s="608" t="s">
        <v>132</v>
      </c>
      <c r="D420" s="609">
        <v>75360.58</v>
      </c>
      <c r="E420" s="609">
        <v>42657.8</v>
      </c>
      <c r="F420" s="609">
        <v>44842.93</v>
      </c>
      <c r="G420" s="609">
        <v>46656.34</v>
      </c>
      <c r="H420" s="609">
        <v>48650</v>
      </c>
      <c r="I420" s="609">
        <v>37305.839999999997</v>
      </c>
      <c r="J420" s="609">
        <v>48964</v>
      </c>
      <c r="K420" s="609">
        <v>50809</v>
      </c>
      <c r="L420" s="609">
        <v>0</v>
      </c>
      <c r="M420" s="609">
        <v>0</v>
      </c>
      <c r="N420" s="587">
        <f t="shared" si="38"/>
        <v>50809</v>
      </c>
      <c r="O420"/>
      <c r="P420" s="490"/>
      <c r="Q420" t="str">
        <f t="shared" si="39"/>
        <v>50102</v>
      </c>
      <c r="R420" s="126" t="str">
        <f t="shared" si="40"/>
        <v>NON EXEMPT SALARIES</v>
      </c>
      <c r="S420" s="125" t="str">
        <f t="shared" si="41"/>
        <v>100</v>
      </c>
      <c r="T420" s="125" t="str">
        <f t="shared" si="42"/>
        <v>10</v>
      </c>
      <c r="U420" s="125" t="str">
        <f t="shared" si="43"/>
        <v>101</v>
      </c>
      <c r="V420" s="125" t="str">
        <f>VLOOKUP(Q420,'GL Category'!A:C,3,FALSE)</f>
        <v>Personnel services</v>
      </c>
      <c r="W420" s="125"/>
    </row>
    <row r="421" spans="1:23" s="83" customFormat="1" ht="15" customHeight="1">
      <c r="A421" s="608" t="s">
        <v>791</v>
      </c>
      <c r="B421" s="608" t="s">
        <v>2264</v>
      </c>
      <c r="C421" s="608" t="s">
        <v>0</v>
      </c>
      <c r="D421" s="609">
        <v>1172.6300000000001</v>
      </c>
      <c r="E421" s="609">
        <v>1297.97</v>
      </c>
      <c r="F421" s="609">
        <v>1730.87</v>
      </c>
      <c r="G421" s="609">
        <v>2129.38</v>
      </c>
      <c r="H421" s="609">
        <v>3500</v>
      </c>
      <c r="I421" s="609">
        <v>1055.25</v>
      </c>
      <c r="J421" s="609">
        <v>1622</v>
      </c>
      <c r="K421" s="609">
        <v>3500</v>
      </c>
      <c r="L421" s="609">
        <v>0</v>
      </c>
      <c r="M421" s="609">
        <v>0</v>
      </c>
      <c r="N421" s="587">
        <f t="shared" si="38"/>
        <v>3500</v>
      </c>
      <c r="O421"/>
      <c r="P421" s="490"/>
      <c r="Q421" t="str">
        <f t="shared" si="39"/>
        <v>50109</v>
      </c>
      <c r="R421" s="126" t="str">
        <f t="shared" si="40"/>
        <v>OVERTIME</v>
      </c>
      <c r="S421" s="125" t="str">
        <f t="shared" si="41"/>
        <v>100</v>
      </c>
      <c r="T421" s="125" t="str">
        <f t="shared" si="42"/>
        <v>10</v>
      </c>
      <c r="U421" s="125" t="str">
        <f t="shared" si="43"/>
        <v>101</v>
      </c>
      <c r="V421" s="125" t="str">
        <f>VLOOKUP(Q421,'GL Category'!A:C,3,FALSE)</f>
        <v>Personnel services</v>
      </c>
      <c r="W421" s="125"/>
    </row>
    <row r="422" spans="1:23" s="83" customFormat="1" ht="15" customHeight="1">
      <c r="A422" s="608" t="s">
        <v>791</v>
      </c>
      <c r="B422" s="608" t="s">
        <v>2265</v>
      </c>
      <c r="C422" s="608" t="s">
        <v>135</v>
      </c>
      <c r="D422" s="609">
        <v>0</v>
      </c>
      <c r="E422" s="609">
        <v>2671.12</v>
      </c>
      <c r="F422" s="609">
        <v>0</v>
      </c>
      <c r="G422" s="609">
        <v>0</v>
      </c>
      <c r="H422" s="609">
        <v>0</v>
      </c>
      <c r="I422" s="609">
        <v>0</v>
      </c>
      <c r="J422" s="609">
        <v>0</v>
      </c>
      <c r="K422" s="609">
        <v>0</v>
      </c>
      <c r="L422" s="609">
        <v>0</v>
      </c>
      <c r="M422" s="609">
        <v>0</v>
      </c>
      <c r="N422" s="587">
        <f t="shared" si="38"/>
        <v>0</v>
      </c>
      <c r="O422"/>
      <c r="P422" s="490"/>
      <c r="Q422" t="str">
        <f t="shared" si="39"/>
        <v>50110</v>
      </c>
      <c r="R422" s="126" t="str">
        <f t="shared" si="40"/>
        <v>PART-TIME WAGES</v>
      </c>
      <c r="S422" s="125" t="str">
        <f t="shared" si="41"/>
        <v>100</v>
      </c>
      <c r="T422" s="125" t="str">
        <f t="shared" si="42"/>
        <v>10</v>
      </c>
      <c r="U422" s="125" t="str">
        <f t="shared" si="43"/>
        <v>101</v>
      </c>
      <c r="V422" s="125" t="str">
        <f>VLOOKUP(Q422,'GL Category'!A:C,3,FALSE)</f>
        <v>Personnel services</v>
      </c>
      <c r="W422" s="125"/>
    </row>
    <row r="423" spans="1:23" s="83" customFormat="1" ht="15" customHeight="1">
      <c r="A423" s="608" t="s">
        <v>791</v>
      </c>
      <c r="B423" s="608" t="s">
        <v>2266</v>
      </c>
      <c r="C423" s="608" t="s">
        <v>137</v>
      </c>
      <c r="D423" s="609">
        <v>2070</v>
      </c>
      <c r="E423" s="609">
        <v>2350</v>
      </c>
      <c r="F423" s="609">
        <v>2430</v>
      </c>
      <c r="G423" s="609">
        <v>2130</v>
      </c>
      <c r="H423" s="609">
        <v>2439</v>
      </c>
      <c r="I423" s="609">
        <v>2450</v>
      </c>
      <c r="J423" s="609">
        <v>2450</v>
      </c>
      <c r="K423" s="609">
        <v>1461</v>
      </c>
      <c r="L423" s="609">
        <v>0</v>
      </c>
      <c r="M423" s="609">
        <v>0</v>
      </c>
      <c r="N423" s="587">
        <f t="shared" si="38"/>
        <v>1461</v>
      </c>
      <c r="O423"/>
      <c r="P423" s="490"/>
      <c r="Q423" t="str">
        <f t="shared" si="39"/>
        <v>50111</v>
      </c>
      <c r="R423" s="126" t="str">
        <f t="shared" si="40"/>
        <v>LONGEVITY PAY</v>
      </c>
      <c r="S423" s="125" t="str">
        <f t="shared" si="41"/>
        <v>100</v>
      </c>
      <c r="T423" s="125" t="str">
        <f t="shared" si="42"/>
        <v>10</v>
      </c>
      <c r="U423" s="125" t="str">
        <f t="shared" si="43"/>
        <v>101</v>
      </c>
      <c r="V423" s="125" t="str">
        <f>VLOOKUP(Q423,'GL Category'!A:C,3,FALSE)</f>
        <v>Personnel services</v>
      </c>
      <c r="W423" s="125"/>
    </row>
    <row r="424" spans="1:23" s="83" customFormat="1" ht="15" customHeight="1">
      <c r="A424" s="608" t="s">
        <v>791</v>
      </c>
      <c r="B424" s="608" t="s">
        <v>2267</v>
      </c>
      <c r="C424" s="608" t="s">
        <v>3</v>
      </c>
      <c r="D424" s="609">
        <v>7200</v>
      </c>
      <c r="E424" s="609">
        <v>7200</v>
      </c>
      <c r="F424" s="609">
        <v>7200</v>
      </c>
      <c r="G424" s="609">
        <v>7524</v>
      </c>
      <c r="H424" s="609">
        <v>7200</v>
      </c>
      <c r="I424" s="609">
        <v>2976</v>
      </c>
      <c r="J424" s="609">
        <v>2976</v>
      </c>
      <c r="K424" s="609">
        <v>0</v>
      </c>
      <c r="L424" s="609">
        <v>0</v>
      </c>
      <c r="M424" s="609">
        <v>0</v>
      </c>
      <c r="N424" s="587">
        <f t="shared" si="38"/>
        <v>0</v>
      </c>
      <c r="O424"/>
      <c r="P424" s="490"/>
      <c r="Q424" t="str">
        <f t="shared" si="39"/>
        <v>50120</v>
      </c>
      <c r="R424" s="126" t="str">
        <f t="shared" si="40"/>
        <v>AUTO ALLOWANCE</v>
      </c>
      <c r="S424" s="125" t="str">
        <f t="shared" si="41"/>
        <v>100</v>
      </c>
      <c r="T424" s="125" t="str">
        <f t="shared" si="42"/>
        <v>10</v>
      </c>
      <c r="U424" s="125" t="str">
        <f t="shared" si="43"/>
        <v>101</v>
      </c>
      <c r="V424" s="125" t="str">
        <f>VLOOKUP(Q424,'GL Category'!A:C,3,FALSE)</f>
        <v>Personnel services</v>
      </c>
      <c r="W424" s="125"/>
    </row>
    <row r="425" spans="1:23" s="83" customFormat="1" ht="15" customHeight="1">
      <c r="A425" s="608" t="s">
        <v>791</v>
      </c>
      <c r="B425" s="608" t="s">
        <v>2268</v>
      </c>
      <c r="C425" s="608" t="s">
        <v>1</v>
      </c>
      <c r="D425" s="609">
        <v>22116.49</v>
      </c>
      <c r="E425" s="609">
        <v>20419.02</v>
      </c>
      <c r="F425" s="609">
        <v>20328.88</v>
      </c>
      <c r="G425" s="609">
        <v>22872.17</v>
      </c>
      <c r="H425" s="609">
        <v>22380</v>
      </c>
      <c r="I425" s="609">
        <v>16408.32</v>
      </c>
      <c r="J425" s="609">
        <v>22799</v>
      </c>
      <c r="K425" s="609">
        <v>22450</v>
      </c>
      <c r="L425" s="609">
        <v>0</v>
      </c>
      <c r="M425" s="609">
        <v>0</v>
      </c>
      <c r="N425" s="587">
        <f t="shared" si="38"/>
        <v>22450</v>
      </c>
      <c r="O425"/>
      <c r="P425" s="490"/>
      <c r="Q425" t="str">
        <f t="shared" si="39"/>
        <v>50610</v>
      </c>
      <c r="R425" s="126" t="str">
        <f t="shared" si="40"/>
        <v>SOCIAL SECURITY</v>
      </c>
      <c r="S425" s="125" t="str">
        <f t="shared" si="41"/>
        <v>100</v>
      </c>
      <c r="T425" s="125" t="str">
        <f t="shared" si="42"/>
        <v>10</v>
      </c>
      <c r="U425" s="125" t="str">
        <f t="shared" si="43"/>
        <v>101</v>
      </c>
      <c r="V425" s="125" t="str">
        <f>VLOOKUP(Q425,'GL Category'!A:C,3,FALSE)</f>
        <v>Personnel services</v>
      </c>
      <c r="W425" s="125"/>
    </row>
    <row r="426" spans="1:23" s="83" customFormat="1" ht="15" customHeight="1">
      <c r="A426" s="608" t="s">
        <v>791</v>
      </c>
      <c r="B426" s="608" t="s">
        <v>2269</v>
      </c>
      <c r="C426" s="608" t="s">
        <v>142</v>
      </c>
      <c r="D426" s="609">
        <v>73792.179999999993</v>
      </c>
      <c r="E426" s="609">
        <v>58511.13</v>
      </c>
      <c r="F426" s="609">
        <v>48760.87</v>
      </c>
      <c r="G426" s="609">
        <v>42911.25</v>
      </c>
      <c r="H426" s="609">
        <v>41860</v>
      </c>
      <c r="I426" s="609">
        <v>27819.72</v>
      </c>
      <c r="J426" s="609">
        <v>41797</v>
      </c>
      <c r="K426" s="609">
        <v>46353</v>
      </c>
      <c r="L426" s="609">
        <v>0</v>
      </c>
      <c r="M426" s="609">
        <v>0</v>
      </c>
      <c r="N426" s="587">
        <f t="shared" si="38"/>
        <v>46353</v>
      </c>
      <c r="O426"/>
      <c r="P426" s="490"/>
      <c r="Q426" t="str">
        <f t="shared" si="39"/>
        <v>50620</v>
      </c>
      <c r="R426" s="126" t="str">
        <f t="shared" si="40"/>
        <v>HEALTH/LIFE INSURANCE</v>
      </c>
      <c r="S426" s="125" t="str">
        <f t="shared" si="41"/>
        <v>100</v>
      </c>
      <c r="T426" s="125" t="str">
        <f t="shared" si="42"/>
        <v>10</v>
      </c>
      <c r="U426" s="125" t="str">
        <f t="shared" si="43"/>
        <v>101</v>
      </c>
      <c r="V426" s="125" t="str">
        <f>VLOOKUP(Q426,'GL Category'!A:C,3,FALSE)</f>
        <v>Personnel services</v>
      </c>
      <c r="W426" s="125"/>
    </row>
    <row r="427" spans="1:23" s="83" customFormat="1" ht="15" customHeight="1">
      <c r="A427" s="608" t="s">
        <v>791</v>
      </c>
      <c r="B427" s="608" t="s">
        <v>2270</v>
      </c>
      <c r="C427" s="608" t="s">
        <v>144</v>
      </c>
      <c r="D427" s="609">
        <v>261.11</v>
      </c>
      <c r="E427" s="609">
        <v>243.26</v>
      </c>
      <c r="F427" s="609">
        <v>251.14</v>
      </c>
      <c r="G427" s="609">
        <v>450.18</v>
      </c>
      <c r="H427" s="609">
        <v>592</v>
      </c>
      <c r="I427" s="609">
        <v>591.51</v>
      </c>
      <c r="J427" s="609">
        <v>592</v>
      </c>
      <c r="K427" s="609">
        <v>544</v>
      </c>
      <c r="L427" s="609">
        <v>0</v>
      </c>
      <c r="M427" s="609">
        <v>0</v>
      </c>
      <c r="N427" s="587">
        <f t="shared" si="38"/>
        <v>544</v>
      </c>
      <c r="O427"/>
      <c r="P427" s="490"/>
      <c r="Q427" t="str">
        <f t="shared" si="39"/>
        <v>50630</v>
      </c>
      <c r="R427" s="126" t="str">
        <f t="shared" si="40"/>
        <v>WORKER COMPENSATION</v>
      </c>
      <c r="S427" s="125" t="str">
        <f t="shared" si="41"/>
        <v>100</v>
      </c>
      <c r="T427" s="125" t="str">
        <f t="shared" si="42"/>
        <v>10</v>
      </c>
      <c r="U427" s="125" t="str">
        <f t="shared" si="43"/>
        <v>101</v>
      </c>
      <c r="V427" s="125" t="str">
        <f>VLOOKUP(Q427,'GL Category'!A:C,3,FALSE)</f>
        <v>Personnel services</v>
      </c>
      <c r="W427" s="125"/>
    </row>
    <row r="428" spans="1:23" s="83" customFormat="1" ht="15" customHeight="1">
      <c r="A428" s="608" t="s">
        <v>791</v>
      </c>
      <c r="B428" s="608" t="s">
        <v>2271</v>
      </c>
      <c r="C428" s="608" t="s">
        <v>2</v>
      </c>
      <c r="D428" s="609">
        <v>65736.87</v>
      </c>
      <c r="E428" s="609">
        <v>63186.51</v>
      </c>
      <c r="F428" s="609">
        <v>63633.11</v>
      </c>
      <c r="G428" s="609">
        <v>68265.429999999993</v>
      </c>
      <c r="H428" s="609">
        <v>68525</v>
      </c>
      <c r="I428" s="609">
        <v>47711.16</v>
      </c>
      <c r="J428" s="609">
        <v>67524</v>
      </c>
      <c r="K428" s="609">
        <v>66899</v>
      </c>
      <c r="L428" s="609">
        <v>0</v>
      </c>
      <c r="M428" s="609">
        <v>0</v>
      </c>
      <c r="N428" s="587">
        <f t="shared" si="38"/>
        <v>66899</v>
      </c>
      <c r="O428"/>
      <c r="P428" s="490"/>
      <c r="Q428" t="str">
        <f t="shared" si="39"/>
        <v>50650</v>
      </c>
      <c r="R428" s="126" t="str">
        <f t="shared" si="40"/>
        <v>RETIREMENT</v>
      </c>
      <c r="S428" s="125" t="str">
        <f t="shared" si="41"/>
        <v>100</v>
      </c>
      <c r="T428" s="125" t="str">
        <f t="shared" si="42"/>
        <v>10</v>
      </c>
      <c r="U428" s="125" t="str">
        <f t="shared" si="43"/>
        <v>101</v>
      </c>
      <c r="V428" s="125" t="str">
        <f>VLOOKUP(Q428,'GL Category'!A:C,3,FALSE)</f>
        <v>Personnel services</v>
      </c>
      <c r="W428" s="125"/>
    </row>
    <row r="429" spans="1:23" s="83" customFormat="1" ht="15" customHeight="1">
      <c r="A429" s="608" t="s">
        <v>791</v>
      </c>
      <c r="B429" s="608" t="s">
        <v>2272</v>
      </c>
      <c r="C429" s="608" t="s">
        <v>149</v>
      </c>
      <c r="D429" s="609">
        <v>141.82</v>
      </c>
      <c r="E429" s="609">
        <v>596.39</v>
      </c>
      <c r="F429" s="609">
        <v>312.5</v>
      </c>
      <c r="G429" s="609">
        <v>93.29</v>
      </c>
      <c r="H429" s="609">
        <v>1000</v>
      </c>
      <c r="I429" s="609">
        <v>199.44</v>
      </c>
      <c r="J429" s="609">
        <v>100</v>
      </c>
      <c r="K429" s="609">
        <v>1000</v>
      </c>
      <c r="L429" s="609">
        <v>0</v>
      </c>
      <c r="M429" s="609">
        <v>0</v>
      </c>
      <c r="N429" s="587">
        <f t="shared" si="38"/>
        <v>1000</v>
      </c>
      <c r="O429"/>
      <c r="P429" s="490">
        <f>N429-H429</f>
        <v>0</v>
      </c>
      <c r="Q429" t="str">
        <f t="shared" si="39"/>
        <v>51210</v>
      </c>
      <c r="R429" s="126" t="str">
        <f t="shared" si="40"/>
        <v>OFFICE SUPPLIES</v>
      </c>
      <c r="S429" s="125" t="str">
        <f t="shared" si="41"/>
        <v>100</v>
      </c>
      <c r="T429" s="125" t="str">
        <f t="shared" si="42"/>
        <v>10</v>
      </c>
      <c r="U429" s="125" t="str">
        <f t="shared" si="43"/>
        <v>101</v>
      </c>
      <c r="V429" s="125" t="str">
        <f>VLOOKUP(Q429,'GL Category'!A:C,3,FALSE)</f>
        <v>Operations &amp; maintenance</v>
      </c>
      <c r="W429" s="125"/>
    </row>
    <row r="430" spans="1:23" s="83" customFormat="1" ht="15" customHeight="1">
      <c r="A430" s="608" t="s">
        <v>791</v>
      </c>
      <c r="B430" s="608" t="s">
        <v>2273</v>
      </c>
      <c r="C430" s="608" t="s">
        <v>163</v>
      </c>
      <c r="D430" s="609">
        <v>1653.95</v>
      </c>
      <c r="E430" s="609">
        <v>2110</v>
      </c>
      <c r="F430" s="609">
        <v>4938.3900000000003</v>
      </c>
      <c r="G430" s="609">
        <v>6399.61</v>
      </c>
      <c r="H430" s="609">
        <v>5200</v>
      </c>
      <c r="I430" s="609">
        <v>3667</v>
      </c>
      <c r="J430" s="609">
        <v>5200</v>
      </c>
      <c r="K430" s="609">
        <v>5200</v>
      </c>
      <c r="L430" s="609">
        <v>0</v>
      </c>
      <c r="M430" s="609">
        <v>0</v>
      </c>
      <c r="N430" s="587">
        <f t="shared" si="38"/>
        <v>5200</v>
      </c>
      <c r="O430"/>
      <c r="P430" s="490">
        <f>N430-H430</f>
        <v>0</v>
      </c>
      <c r="Q430" t="str">
        <f t="shared" si="39"/>
        <v>51257</v>
      </c>
      <c r="R430" s="126" t="str">
        <f t="shared" si="40"/>
        <v>MEETING SPONSORSHIP/SUPPLIES</v>
      </c>
      <c r="S430" s="125" t="str">
        <f t="shared" si="41"/>
        <v>100</v>
      </c>
      <c r="T430" s="125" t="str">
        <f t="shared" si="42"/>
        <v>10</v>
      </c>
      <c r="U430" s="125" t="str">
        <f t="shared" si="43"/>
        <v>101</v>
      </c>
      <c r="V430" s="125" t="str">
        <f>VLOOKUP(Q430,'GL Category'!A:C,3,FALSE)</f>
        <v>Operations &amp; maintenance</v>
      </c>
      <c r="W430" s="125"/>
    </row>
    <row r="431" spans="1:23" s="83" customFormat="1" ht="15" customHeight="1">
      <c r="A431" s="608" t="s">
        <v>791</v>
      </c>
      <c r="B431" s="608" t="s">
        <v>2274</v>
      </c>
      <c r="C431" s="608" t="s">
        <v>167</v>
      </c>
      <c r="D431" s="609">
        <v>322.20999999999998</v>
      </c>
      <c r="E431" s="609">
        <v>41.53</v>
      </c>
      <c r="F431" s="609">
        <v>119.52</v>
      </c>
      <c r="G431" s="609">
        <v>77.7</v>
      </c>
      <c r="H431" s="609">
        <v>600</v>
      </c>
      <c r="I431" s="609">
        <v>86.4</v>
      </c>
      <c r="J431" s="609">
        <v>100</v>
      </c>
      <c r="K431" s="609">
        <v>600</v>
      </c>
      <c r="L431" s="609">
        <v>0</v>
      </c>
      <c r="M431" s="609">
        <v>0</v>
      </c>
      <c r="N431" s="587">
        <f t="shared" si="38"/>
        <v>600</v>
      </c>
      <c r="O431"/>
      <c r="P431" s="490">
        <f>N431-H431</f>
        <v>0</v>
      </c>
      <c r="Q431" t="str">
        <f t="shared" si="39"/>
        <v>51285</v>
      </c>
      <c r="R431" s="126" t="str">
        <f t="shared" si="40"/>
        <v>WEARING APPAREL</v>
      </c>
      <c r="S431" s="125" t="str">
        <f t="shared" si="41"/>
        <v>100</v>
      </c>
      <c r="T431" s="125" t="str">
        <f t="shared" si="42"/>
        <v>10</v>
      </c>
      <c r="U431" s="125" t="str">
        <f t="shared" si="43"/>
        <v>101</v>
      </c>
      <c r="V431" s="125" t="str">
        <f>VLOOKUP(Q431,'GL Category'!A:C,3,FALSE)</f>
        <v>Operations &amp; maintenance</v>
      </c>
      <c r="W431" s="125"/>
    </row>
    <row r="432" spans="1:23" s="83" customFormat="1" ht="15" customHeight="1">
      <c r="A432" s="608" t="s">
        <v>791</v>
      </c>
      <c r="B432" s="608" t="s">
        <v>2277</v>
      </c>
      <c r="C432" s="608" t="s">
        <v>187</v>
      </c>
      <c r="D432" s="609">
        <v>158823.95000000001</v>
      </c>
      <c r="E432" s="609">
        <v>198615.71</v>
      </c>
      <c r="F432" s="609">
        <v>251841.44</v>
      </c>
      <c r="G432" s="609">
        <v>194554.28</v>
      </c>
      <c r="H432" s="609">
        <v>225000</v>
      </c>
      <c r="I432" s="609">
        <v>172994.24</v>
      </c>
      <c r="J432" s="609">
        <v>195000</v>
      </c>
      <c r="K432" s="609">
        <v>225000</v>
      </c>
      <c r="L432" s="609">
        <v>0</v>
      </c>
      <c r="M432" s="609">
        <v>0</v>
      </c>
      <c r="N432" s="587">
        <f t="shared" si="38"/>
        <v>225000</v>
      </c>
      <c r="O432"/>
      <c r="P432" s="490">
        <f>N432-H432</f>
        <v>0</v>
      </c>
      <c r="Q432" t="str">
        <f t="shared" si="39"/>
        <v>53507</v>
      </c>
      <c r="R432" s="126" t="str">
        <f t="shared" si="40"/>
        <v>ATTORNEY &amp; LEGAL SERVICES</v>
      </c>
      <c r="S432" s="125" t="str">
        <f t="shared" si="41"/>
        <v>100</v>
      </c>
      <c r="T432" s="125" t="str">
        <f t="shared" si="42"/>
        <v>10</v>
      </c>
      <c r="U432" s="125" t="str">
        <f t="shared" si="43"/>
        <v>101</v>
      </c>
      <c r="V432" s="125" t="str">
        <f>VLOOKUP(Q432,'GL Category'!A:C,3,FALSE)</f>
        <v>Services &amp; other</v>
      </c>
      <c r="W432" s="125"/>
    </row>
    <row r="433" spans="1:24" s="83" customFormat="1" ht="20.399999999999999" customHeight="1">
      <c r="A433" s="608" t="s">
        <v>791</v>
      </c>
      <c r="B433" s="608" t="s">
        <v>2279</v>
      </c>
      <c r="C433" s="608" t="s">
        <v>190</v>
      </c>
      <c r="D433" s="609">
        <v>27871.439999999999</v>
      </c>
      <c r="E433" s="609">
        <v>31524.400000000001</v>
      </c>
      <c r="F433" s="609">
        <v>22181.94</v>
      </c>
      <c r="G433" s="609">
        <v>26503.040000000001</v>
      </c>
      <c r="H433" s="609">
        <v>32175</v>
      </c>
      <c r="I433" s="609">
        <v>24173.09</v>
      </c>
      <c r="J433" s="609">
        <v>25000</v>
      </c>
      <c r="K433" s="609">
        <v>32175</v>
      </c>
      <c r="L433" s="609">
        <v>0</v>
      </c>
      <c r="M433" s="609">
        <v>0</v>
      </c>
      <c r="N433" s="587">
        <f t="shared" si="38"/>
        <v>32175</v>
      </c>
      <c r="O433"/>
      <c r="P433" s="490"/>
      <c r="Q433" t="str">
        <f t="shared" si="39"/>
        <v>53510</v>
      </c>
      <c r="R433" s="126" t="str">
        <f t="shared" si="40"/>
        <v>DUES &amp; SUBSCRIPTIONS</v>
      </c>
      <c r="S433" s="125" t="str">
        <f t="shared" si="41"/>
        <v>100</v>
      </c>
      <c r="T433" s="125" t="str">
        <f t="shared" si="42"/>
        <v>10</v>
      </c>
      <c r="U433" s="125" t="str">
        <f t="shared" si="43"/>
        <v>101</v>
      </c>
      <c r="V433" s="125" t="str">
        <f>VLOOKUP(Q433,'GL Category'!A:C,3,FALSE)</f>
        <v>Services &amp; other</v>
      </c>
      <c r="W433" s="125"/>
    </row>
    <row r="434" spans="1:24" s="83" customFormat="1" ht="20.399999999999999" customHeight="1">
      <c r="A434" s="608" t="s">
        <v>791</v>
      </c>
      <c r="B434" s="608" t="s">
        <v>2280</v>
      </c>
      <c r="C434" s="608" t="s">
        <v>191</v>
      </c>
      <c r="D434" s="609">
        <v>3871.52</v>
      </c>
      <c r="E434" s="609">
        <v>83</v>
      </c>
      <c r="F434" s="609">
        <v>4145.07</v>
      </c>
      <c r="G434" s="609">
        <v>7217.48</v>
      </c>
      <c r="H434" s="609">
        <v>8655</v>
      </c>
      <c r="I434" s="609">
        <v>5203.7700000000004</v>
      </c>
      <c r="J434" s="609">
        <v>5000</v>
      </c>
      <c r="K434" s="609">
        <v>8655</v>
      </c>
      <c r="L434" s="609">
        <v>0</v>
      </c>
      <c r="M434" s="609">
        <v>0</v>
      </c>
      <c r="N434" s="587">
        <f t="shared" si="38"/>
        <v>8655</v>
      </c>
      <c r="O434"/>
      <c r="P434" s="490"/>
      <c r="Q434" t="str">
        <f t="shared" si="39"/>
        <v>53515</v>
      </c>
      <c r="R434" s="126" t="str">
        <f t="shared" si="40"/>
        <v>TRAVEL, TRAINING &amp; EDUCATION</v>
      </c>
      <c r="S434" s="125" t="str">
        <f t="shared" si="41"/>
        <v>100</v>
      </c>
      <c r="T434" s="125" t="str">
        <f t="shared" si="42"/>
        <v>10</v>
      </c>
      <c r="U434" s="125" t="str">
        <f t="shared" si="43"/>
        <v>101</v>
      </c>
      <c r="V434" s="125" t="str">
        <f>VLOOKUP(Q434,'GL Category'!A:C,3,FALSE)</f>
        <v>Services &amp; other</v>
      </c>
      <c r="W434" s="125"/>
    </row>
    <row r="435" spans="1:24" s="83" customFormat="1" ht="20.399999999999999" customHeight="1">
      <c r="A435" s="608" t="s">
        <v>791</v>
      </c>
      <c r="B435" s="608" t="s">
        <v>2284</v>
      </c>
      <c r="C435" s="608" t="s">
        <v>221</v>
      </c>
      <c r="D435" s="609">
        <v>46018</v>
      </c>
      <c r="E435" s="609">
        <v>48890</v>
      </c>
      <c r="F435" s="609">
        <v>49752</v>
      </c>
      <c r="G435" s="609">
        <v>49521</v>
      </c>
      <c r="H435" s="609">
        <v>30550</v>
      </c>
      <c r="I435" s="609">
        <v>22912.5</v>
      </c>
      <c r="J435" s="609">
        <v>30550</v>
      </c>
      <c r="K435" s="609">
        <v>32939</v>
      </c>
      <c r="L435" s="609">
        <v>0</v>
      </c>
      <c r="M435" s="609">
        <v>0</v>
      </c>
      <c r="N435" s="587">
        <f t="shared" si="38"/>
        <v>32939</v>
      </c>
      <c r="O435"/>
      <c r="P435" s="490"/>
      <c r="Q435" t="str">
        <f t="shared" si="39"/>
        <v>55119</v>
      </c>
      <c r="R435" s="126" t="str">
        <f t="shared" si="40"/>
        <v>OFFICE EQUIP LEASE EXP-CITY</v>
      </c>
      <c r="S435" s="125" t="str">
        <f t="shared" si="41"/>
        <v>100</v>
      </c>
      <c r="T435" s="125" t="str">
        <f t="shared" si="42"/>
        <v>10</v>
      </c>
      <c r="U435" s="125" t="str">
        <f t="shared" si="43"/>
        <v>101</v>
      </c>
      <c r="V435" s="125" t="str">
        <f>VLOOKUP(Q435,'GL Category'!A:C,3,FALSE)</f>
        <v>Services &amp; other</v>
      </c>
      <c r="W435" s="125"/>
    </row>
    <row r="436" spans="1:24" s="83" customFormat="1" ht="20.399999999999999" customHeight="1">
      <c r="A436" s="608" t="s">
        <v>791</v>
      </c>
      <c r="B436" s="608" t="s">
        <v>3385</v>
      </c>
      <c r="C436" s="608" t="s">
        <v>132</v>
      </c>
      <c r="D436" s="609">
        <v>0</v>
      </c>
      <c r="E436" s="609">
        <v>0</v>
      </c>
      <c r="F436" s="609">
        <v>0</v>
      </c>
      <c r="G436" s="609">
        <v>151.28</v>
      </c>
      <c r="H436" s="609">
        <v>0</v>
      </c>
      <c r="I436" s="609">
        <v>0</v>
      </c>
      <c r="J436" s="609">
        <v>0</v>
      </c>
      <c r="K436" s="609">
        <v>0</v>
      </c>
      <c r="L436" s="609">
        <v>0</v>
      </c>
      <c r="M436" s="609">
        <v>0</v>
      </c>
      <c r="N436" s="587">
        <f t="shared" si="38"/>
        <v>0</v>
      </c>
      <c r="O436"/>
      <c r="P436" s="490"/>
      <c r="Q436" t="str">
        <f t="shared" si="39"/>
        <v>50102</v>
      </c>
      <c r="R436" s="126" t="str">
        <f t="shared" si="40"/>
        <v>NON EXEMPT SALARIES</v>
      </c>
      <c r="S436" s="125" t="str">
        <f t="shared" si="41"/>
        <v>100</v>
      </c>
      <c r="T436" s="125" t="str">
        <f t="shared" si="42"/>
        <v>10</v>
      </c>
      <c r="U436" s="125" t="str">
        <f t="shared" si="43"/>
        <v>102</v>
      </c>
      <c r="V436" s="125" t="str">
        <f>VLOOKUP(Q436,'GL Category'!A:C,3,FALSE)</f>
        <v>Personnel services</v>
      </c>
      <c r="W436" s="125"/>
    </row>
    <row r="437" spans="1:24" s="83" customFormat="1" ht="20.399999999999999" customHeight="1">
      <c r="A437" s="608" t="s">
        <v>791</v>
      </c>
      <c r="B437" s="608" t="s">
        <v>2286</v>
      </c>
      <c r="C437" s="608" t="s">
        <v>0</v>
      </c>
      <c r="D437" s="609">
        <v>1246.8699999999999</v>
      </c>
      <c r="E437" s="609">
        <v>672.56</v>
      </c>
      <c r="F437" s="609">
        <v>412.48</v>
      </c>
      <c r="G437" s="609">
        <v>433.97</v>
      </c>
      <c r="H437" s="609">
        <v>1600</v>
      </c>
      <c r="I437" s="609">
        <v>0</v>
      </c>
      <c r="J437" s="609">
        <v>0</v>
      </c>
      <c r="K437" s="609">
        <v>1600</v>
      </c>
      <c r="L437" s="609">
        <v>0</v>
      </c>
      <c r="M437" s="609">
        <v>0</v>
      </c>
      <c r="N437" s="587">
        <f t="shared" si="38"/>
        <v>1600</v>
      </c>
      <c r="O437"/>
      <c r="P437" s="490"/>
      <c r="Q437" t="str">
        <f t="shared" si="39"/>
        <v>50109</v>
      </c>
      <c r="R437" s="126" t="str">
        <f t="shared" si="40"/>
        <v>OVERTIME</v>
      </c>
      <c r="S437" s="125" t="str">
        <f t="shared" si="41"/>
        <v>100</v>
      </c>
      <c r="T437" s="125" t="str">
        <f t="shared" si="42"/>
        <v>10</v>
      </c>
      <c r="U437" s="125" t="str">
        <f t="shared" si="43"/>
        <v>102</v>
      </c>
      <c r="V437" s="125" t="str">
        <f>VLOOKUP(Q437,'GL Category'!A:C,3,FALSE)</f>
        <v>Personnel services</v>
      </c>
      <c r="W437" s="125"/>
    </row>
    <row r="438" spans="1:24" s="541" customFormat="1" ht="20.399999999999999" customHeight="1">
      <c r="A438" s="608" t="s">
        <v>791</v>
      </c>
      <c r="B438" s="608" t="s">
        <v>2287</v>
      </c>
      <c r="C438" s="608" t="s">
        <v>1</v>
      </c>
      <c r="D438" s="609">
        <v>91.17</v>
      </c>
      <c r="E438" s="609">
        <v>49.33</v>
      </c>
      <c r="F438" s="609">
        <v>31.17</v>
      </c>
      <c r="G438" s="609">
        <v>44.39</v>
      </c>
      <c r="H438" s="609">
        <v>130</v>
      </c>
      <c r="I438" s="609">
        <v>0</v>
      </c>
      <c r="J438" s="609">
        <v>43</v>
      </c>
      <c r="K438" s="609">
        <v>130</v>
      </c>
      <c r="L438" s="609">
        <v>0</v>
      </c>
      <c r="M438" s="609">
        <v>0</v>
      </c>
      <c r="N438" s="587">
        <f t="shared" si="38"/>
        <v>130</v>
      </c>
      <c r="O438"/>
      <c r="P438" s="490"/>
      <c r="Q438" t="str">
        <f t="shared" si="39"/>
        <v>50610</v>
      </c>
      <c r="R438" s="540" t="str">
        <f t="shared" si="40"/>
        <v>SOCIAL SECURITY</v>
      </c>
      <c r="S438" s="538" t="str">
        <f t="shared" si="41"/>
        <v>100</v>
      </c>
      <c r="T438" s="125" t="str">
        <f t="shared" si="42"/>
        <v>10</v>
      </c>
      <c r="U438" s="125" t="str">
        <f t="shared" si="43"/>
        <v>102</v>
      </c>
      <c r="V438" s="538" t="str">
        <f>VLOOKUP(Q438,'GL Category'!A:C,3,FALSE)</f>
        <v>Personnel services</v>
      </c>
      <c r="W438" s="538"/>
      <c r="X438" s="83"/>
    </row>
    <row r="439" spans="1:24" s="83" customFormat="1" ht="20.399999999999999" customHeight="1">
      <c r="A439" s="608" t="s">
        <v>791</v>
      </c>
      <c r="B439" s="608" t="s">
        <v>2288</v>
      </c>
      <c r="C439" s="608" t="s">
        <v>142</v>
      </c>
      <c r="D439" s="609">
        <v>228.97</v>
      </c>
      <c r="E439" s="609">
        <v>107.63</v>
      </c>
      <c r="F439" s="609">
        <v>82.93</v>
      </c>
      <c r="G439" s="609">
        <v>161.52000000000001</v>
      </c>
      <c r="H439" s="609">
        <v>3</v>
      </c>
      <c r="I439" s="609">
        <v>0</v>
      </c>
      <c r="J439" s="609">
        <v>1</v>
      </c>
      <c r="K439" s="609">
        <v>3</v>
      </c>
      <c r="L439" s="609">
        <v>0</v>
      </c>
      <c r="M439" s="609">
        <v>0</v>
      </c>
      <c r="N439" s="587">
        <f t="shared" si="38"/>
        <v>3</v>
      </c>
      <c r="O439"/>
      <c r="P439" s="490"/>
      <c r="Q439" t="str">
        <f t="shared" si="39"/>
        <v>50620</v>
      </c>
      <c r="R439" s="126" t="str">
        <f t="shared" si="40"/>
        <v>HEALTH/LIFE INSURANCE</v>
      </c>
      <c r="S439" s="125" t="str">
        <f t="shared" si="41"/>
        <v>100</v>
      </c>
      <c r="T439" s="125" t="str">
        <f t="shared" si="42"/>
        <v>10</v>
      </c>
      <c r="U439" s="125" t="str">
        <f t="shared" si="43"/>
        <v>102</v>
      </c>
      <c r="V439" s="125" t="str">
        <f>VLOOKUP(Q439,'GL Category'!A:C,3,FALSE)</f>
        <v>Personnel services</v>
      </c>
      <c r="W439" s="125"/>
    </row>
    <row r="440" spans="1:24" s="541" customFormat="1" ht="20.399999999999999" customHeight="1">
      <c r="A440" s="608" t="s">
        <v>791</v>
      </c>
      <c r="B440" s="608" t="s">
        <v>2289</v>
      </c>
      <c r="C440" s="608" t="s">
        <v>144</v>
      </c>
      <c r="D440" s="609">
        <v>10.08</v>
      </c>
      <c r="E440" s="609">
        <v>9.73</v>
      </c>
      <c r="F440" s="609">
        <v>10.5</v>
      </c>
      <c r="G440" s="609">
        <v>19.37</v>
      </c>
      <c r="H440" s="609">
        <v>24</v>
      </c>
      <c r="I440" s="609">
        <v>23.98</v>
      </c>
      <c r="J440" s="609">
        <v>24</v>
      </c>
      <c r="K440" s="609">
        <v>25</v>
      </c>
      <c r="L440" s="609">
        <v>0</v>
      </c>
      <c r="M440" s="609">
        <v>0</v>
      </c>
      <c r="N440" s="587">
        <f t="shared" si="38"/>
        <v>25</v>
      </c>
      <c r="O440"/>
      <c r="P440" s="490"/>
      <c r="Q440" t="str">
        <f t="shared" si="39"/>
        <v>50630</v>
      </c>
      <c r="R440" s="540" t="str">
        <f t="shared" si="40"/>
        <v>WORKER COMPENSATION</v>
      </c>
      <c r="S440" s="538" t="str">
        <f t="shared" si="41"/>
        <v>100</v>
      </c>
      <c r="T440" s="125" t="str">
        <f t="shared" si="42"/>
        <v>10</v>
      </c>
      <c r="U440" s="125" t="str">
        <f t="shared" si="43"/>
        <v>102</v>
      </c>
      <c r="V440" s="538" t="str">
        <f>VLOOKUP(Q440,'GL Category'!A:C,3,FALSE)</f>
        <v>Personnel services</v>
      </c>
      <c r="W440" s="538"/>
      <c r="X440" s="83"/>
    </row>
    <row r="441" spans="1:24" s="83" customFormat="1" ht="20.399999999999999" customHeight="1">
      <c r="A441" s="608" t="s">
        <v>791</v>
      </c>
      <c r="B441" s="608" t="s">
        <v>2290</v>
      </c>
      <c r="C441" s="608" t="s">
        <v>2</v>
      </c>
      <c r="D441" s="609">
        <v>194.38</v>
      </c>
      <c r="E441" s="609">
        <v>109.09</v>
      </c>
      <c r="F441" s="609">
        <v>66.900000000000006</v>
      </c>
      <c r="G441" s="609">
        <v>94.69</v>
      </c>
      <c r="H441" s="609">
        <v>265</v>
      </c>
      <c r="I441" s="609">
        <v>0</v>
      </c>
      <c r="J441" s="609">
        <v>95</v>
      </c>
      <c r="K441" s="609">
        <v>271</v>
      </c>
      <c r="L441" s="609">
        <v>0</v>
      </c>
      <c r="M441" s="609">
        <v>0</v>
      </c>
      <c r="N441" s="587">
        <f t="shared" si="38"/>
        <v>271</v>
      </c>
      <c r="O441"/>
      <c r="P441" s="490"/>
      <c r="Q441" t="str">
        <f t="shared" si="39"/>
        <v>50650</v>
      </c>
      <c r="R441" s="126" t="str">
        <f t="shared" si="40"/>
        <v>RETIREMENT</v>
      </c>
      <c r="S441" s="125" t="str">
        <f t="shared" si="41"/>
        <v>100</v>
      </c>
      <c r="T441" s="125" t="str">
        <f t="shared" si="42"/>
        <v>10</v>
      </c>
      <c r="U441" s="125" t="str">
        <f t="shared" si="43"/>
        <v>102</v>
      </c>
      <c r="V441" s="125" t="str">
        <f>VLOOKUP(Q441,'GL Category'!A:C,3,FALSE)</f>
        <v>Personnel services</v>
      </c>
      <c r="W441" s="125"/>
    </row>
    <row r="442" spans="1:24" s="83" customFormat="1" ht="20.399999999999999" customHeight="1">
      <c r="A442" s="608" t="s">
        <v>791</v>
      </c>
      <c r="B442" s="608" t="s">
        <v>2292</v>
      </c>
      <c r="C442" s="608" t="s">
        <v>149</v>
      </c>
      <c r="D442" s="609">
        <v>1366.77</v>
      </c>
      <c r="E442" s="609">
        <v>482.5</v>
      </c>
      <c r="F442" s="609">
        <v>1964.57</v>
      </c>
      <c r="G442" s="609">
        <v>2238.65</v>
      </c>
      <c r="H442" s="609">
        <v>2000</v>
      </c>
      <c r="I442" s="609">
        <v>315</v>
      </c>
      <c r="J442" s="609">
        <v>1000</v>
      </c>
      <c r="K442" s="609">
        <v>2000</v>
      </c>
      <c r="L442" s="609">
        <v>0</v>
      </c>
      <c r="M442" s="609">
        <v>0</v>
      </c>
      <c r="N442" s="587">
        <f t="shared" si="38"/>
        <v>2000</v>
      </c>
      <c r="O442"/>
      <c r="P442" s="490">
        <f>N442-H442</f>
        <v>0</v>
      </c>
      <c r="Q442" t="str">
        <f t="shared" si="39"/>
        <v>51210</v>
      </c>
      <c r="R442" s="126" t="str">
        <f t="shared" si="40"/>
        <v>OFFICE SUPPLIES</v>
      </c>
      <c r="S442" s="125" t="str">
        <f t="shared" si="41"/>
        <v>100</v>
      </c>
      <c r="T442" s="125" t="str">
        <f t="shared" si="42"/>
        <v>10</v>
      </c>
      <c r="U442" s="125" t="str">
        <f t="shared" si="43"/>
        <v>102</v>
      </c>
      <c r="V442" s="125" t="str">
        <f>VLOOKUP(Q442,'GL Category'!A:C,3,FALSE)</f>
        <v>Operations &amp; maintenance</v>
      </c>
      <c r="W442" s="125"/>
    </row>
    <row r="443" spans="1:24" s="83" customFormat="1" ht="20.399999999999999" customHeight="1">
      <c r="A443" s="608" t="s">
        <v>791</v>
      </c>
      <c r="B443" s="608" t="s">
        <v>2291</v>
      </c>
      <c r="C443" s="608" t="s">
        <v>229</v>
      </c>
      <c r="D443" s="609">
        <v>25314.69</v>
      </c>
      <c r="E443" s="609">
        <v>4485.07</v>
      </c>
      <c r="F443" s="609">
        <v>14088.4</v>
      </c>
      <c r="G443" s="609">
        <v>20117.96</v>
      </c>
      <c r="H443" s="609">
        <v>17950</v>
      </c>
      <c r="I443" s="609">
        <v>15681.2</v>
      </c>
      <c r="J443" s="609">
        <v>17000</v>
      </c>
      <c r="K443" s="609">
        <v>17950</v>
      </c>
      <c r="L443" s="609">
        <v>1050</v>
      </c>
      <c r="M443" s="609">
        <v>0</v>
      </c>
      <c r="N443" s="587">
        <f t="shared" si="38"/>
        <v>19000</v>
      </c>
      <c r="O443"/>
      <c r="P443" s="490">
        <f>N443-H443</f>
        <v>1050</v>
      </c>
      <c r="Q443" t="str">
        <f t="shared" si="39"/>
        <v>51262</v>
      </c>
      <c r="R443" s="126" t="str">
        <f t="shared" si="40"/>
        <v>ART PROGRAM EXPENSES</v>
      </c>
      <c r="S443" s="125" t="str">
        <f t="shared" si="41"/>
        <v>100</v>
      </c>
      <c r="T443" s="125" t="str">
        <f t="shared" si="42"/>
        <v>10</v>
      </c>
      <c r="U443" s="125" t="str">
        <f t="shared" si="43"/>
        <v>102</v>
      </c>
      <c r="V443" s="125" t="str">
        <f>VLOOKUP(Q443,'GL Category'!A:C,3,FALSE)</f>
        <v>Operations &amp; maintenance</v>
      </c>
      <c r="W443" s="125"/>
    </row>
    <row r="444" spans="1:24" s="83" customFormat="1" ht="20.399999999999999" customHeight="1">
      <c r="A444" s="608" t="s">
        <v>791</v>
      </c>
      <c r="B444" s="608" t="s">
        <v>3201</v>
      </c>
      <c r="C444" s="608" t="s">
        <v>169</v>
      </c>
      <c r="D444" s="609">
        <v>0</v>
      </c>
      <c r="E444" s="609">
        <v>70</v>
      </c>
      <c r="F444" s="609">
        <v>0</v>
      </c>
      <c r="G444" s="609">
        <v>0</v>
      </c>
      <c r="H444" s="609">
        <v>0</v>
      </c>
      <c r="I444" s="609">
        <v>0</v>
      </c>
      <c r="J444" s="609">
        <v>0</v>
      </c>
      <c r="K444" s="609">
        <v>0</v>
      </c>
      <c r="L444" s="609">
        <v>0</v>
      </c>
      <c r="M444" s="609">
        <v>0</v>
      </c>
      <c r="N444" s="587">
        <f t="shared" si="38"/>
        <v>0</v>
      </c>
      <c r="O444"/>
      <c r="P444" s="490">
        <f>N444-H444</f>
        <v>0</v>
      </c>
      <c r="Q444" t="str">
        <f t="shared" si="39"/>
        <v>51299</v>
      </c>
      <c r="R444" s="126" t="str">
        <f t="shared" si="40"/>
        <v>MISCELLANEOUS SUPPLIES</v>
      </c>
      <c r="S444" s="125" t="str">
        <f t="shared" si="41"/>
        <v>100</v>
      </c>
      <c r="T444" s="125" t="str">
        <f t="shared" si="42"/>
        <v>10</v>
      </c>
      <c r="U444" s="125" t="str">
        <f t="shared" si="43"/>
        <v>102</v>
      </c>
      <c r="V444" s="125" t="str">
        <f>VLOOKUP(Q444,'GL Category'!A:C,3,FALSE)</f>
        <v>Operations &amp; maintenance</v>
      </c>
      <c r="W444" s="125"/>
    </row>
    <row r="445" spans="1:24" s="83" customFormat="1" ht="20.399999999999999" customHeight="1">
      <c r="A445" s="608" t="s">
        <v>791</v>
      </c>
      <c r="B445" s="608" t="s">
        <v>2294</v>
      </c>
      <c r="C445" s="608" t="s">
        <v>230</v>
      </c>
      <c r="D445" s="609">
        <v>5146.16</v>
      </c>
      <c r="E445" s="609">
        <v>1455.21</v>
      </c>
      <c r="F445" s="609">
        <v>1398.95</v>
      </c>
      <c r="G445" s="609">
        <v>2995.91</v>
      </c>
      <c r="H445" s="609">
        <v>4000</v>
      </c>
      <c r="I445" s="609">
        <v>2202</v>
      </c>
      <c r="J445" s="609">
        <v>1600</v>
      </c>
      <c r="K445" s="609">
        <v>4000</v>
      </c>
      <c r="L445" s="609">
        <v>0</v>
      </c>
      <c r="M445" s="609">
        <v>0</v>
      </c>
      <c r="N445" s="587">
        <f t="shared" si="38"/>
        <v>4000</v>
      </c>
      <c r="O445"/>
      <c r="P445" s="490"/>
      <c r="Q445" t="str">
        <f t="shared" si="39"/>
        <v>53534</v>
      </c>
      <c r="R445" s="126" t="str">
        <f t="shared" si="40"/>
        <v>MARKETING &amp; PROMOTIONAL</v>
      </c>
      <c r="S445" s="125" t="str">
        <f t="shared" si="41"/>
        <v>100</v>
      </c>
      <c r="T445" s="125" t="str">
        <f t="shared" si="42"/>
        <v>10</v>
      </c>
      <c r="U445" s="125" t="str">
        <f t="shared" si="43"/>
        <v>102</v>
      </c>
      <c r="V445" s="125" t="str">
        <f>VLOOKUP(Q445,'GL Category'!A:C,3,FALSE)</f>
        <v>Services &amp; other</v>
      </c>
      <c r="W445" s="125"/>
    </row>
    <row r="446" spans="1:24" s="83" customFormat="1" ht="20.399999999999999" customHeight="1">
      <c r="A446" s="608" t="s">
        <v>791</v>
      </c>
      <c r="B446" s="608" t="s">
        <v>3327</v>
      </c>
      <c r="C446" s="608" t="s">
        <v>219</v>
      </c>
      <c r="D446" s="609">
        <v>0</v>
      </c>
      <c r="E446" s="609">
        <v>3.82</v>
      </c>
      <c r="F446" s="609">
        <v>65.11</v>
      </c>
      <c r="G446" s="609">
        <v>102.85</v>
      </c>
      <c r="H446" s="609">
        <v>0</v>
      </c>
      <c r="I446" s="609">
        <v>104.46</v>
      </c>
      <c r="J446" s="609">
        <v>100</v>
      </c>
      <c r="K446" s="609">
        <v>0</v>
      </c>
      <c r="L446" s="609">
        <v>0</v>
      </c>
      <c r="M446" s="609">
        <v>0</v>
      </c>
      <c r="N446" s="587">
        <f t="shared" si="38"/>
        <v>0</v>
      </c>
      <c r="O446"/>
      <c r="P446" s="490"/>
      <c r="Q446" t="str">
        <f t="shared" si="39"/>
        <v>53585</v>
      </c>
      <c r="R446" s="126" t="str">
        <f t="shared" si="40"/>
        <v>BANKING SERVICES CHARGES</v>
      </c>
      <c r="S446" s="125" t="str">
        <f t="shared" si="41"/>
        <v>100</v>
      </c>
      <c r="T446" s="125" t="str">
        <f t="shared" si="42"/>
        <v>10</v>
      </c>
      <c r="U446" s="125" t="str">
        <f t="shared" si="43"/>
        <v>102</v>
      </c>
      <c r="V446" s="125" t="str">
        <f>VLOOKUP(Q446,'GL Category'!A:C,3,FALSE)</f>
        <v>Services &amp; other</v>
      </c>
      <c r="W446" s="125"/>
    </row>
    <row r="447" spans="1:24" s="83" customFormat="1" ht="20.399999999999999" customHeight="1">
      <c r="A447" s="608" t="s">
        <v>791</v>
      </c>
      <c r="B447" s="608" t="s">
        <v>2293</v>
      </c>
      <c r="C447" s="608" t="s">
        <v>238</v>
      </c>
      <c r="D447" s="609">
        <v>1578.87</v>
      </c>
      <c r="E447" s="609">
        <v>1164.32</v>
      </c>
      <c r="F447" s="609">
        <v>2727.92</v>
      </c>
      <c r="G447" s="609">
        <v>2892.14</v>
      </c>
      <c r="H447" s="609">
        <v>1950</v>
      </c>
      <c r="I447" s="609">
        <v>1642.15</v>
      </c>
      <c r="J447" s="609">
        <v>1950</v>
      </c>
      <c r="K447" s="609">
        <v>1950</v>
      </c>
      <c r="L447" s="609">
        <v>0</v>
      </c>
      <c r="M447" s="609">
        <v>0</v>
      </c>
      <c r="N447" s="587">
        <f t="shared" si="38"/>
        <v>1950</v>
      </c>
      <c r="O447"/>
      <c r="P447" s="490"/>
      <c r="Q447" t="str">
        <f t="shared" si="39"/>
        <v>53599</v>
      </c>
      <c r="R447" s="126" t="str">
        <f t="shared" si="40"/>
        <v>MISCELLANEOUS SERVICES</v>
      </c>
      <c r="S447" s="125" t="str">
        <f t="shared" si="41"/>
        <v>100</v>
      </c>
      <c r="T447" s="125" t="str">
        <f t="shared" si="42"/>
        <v>10</v>
      </c>
      <c r="U447" s="125" t="str">
        <f t="shared" si="43"/>
        <v>102</v>
      </c>
      <c r="V447" s="125" t="str">
        <f>VLOOKUP(Q447,'GL Category'!A:C,3,FALSE)</f>
        <v>Services &amp; other</v>
      </c>
      <c r="W447" s="125"/>
    </row>
    <row r="448" spans="1:24" s="83" customFormat="1" ht="12.6" customHeight="1">
      <c r="A448" s="608" t="s">
        <v>791</v>
      </c>
      <c r="B448" s="608" t="s">
        <v>2295</v>
      </c>
      <c r="C448" s="608" t="s">
        <v>130</v>
      </c>
      <c r="D448" s="609">
        <v>94050.01</v>
      </c>
      <c r="E448" s="609">
        <v>129984.33</v>
      </c>
      <c r="F448" s="609">
        <v>171043.67</v>
      </c>
      <c r="G448" s="609">
        <v>182115.89</v>
      </c>
      <c r="H448" s="609">
        <v>176278</v>
      </c>
      <c r="I448" s="609">
        <v>134710.53</v>
      </c>
      <c r="J448" s="609">
        <v>176934</v>
      </c>
      <c r="K448" s="609">
        <v>183291</v>
      </c>
      <c r="L448" s="609">
        <v>0</v>
      </c>
      <c r="M448" s="609">
        <v>0</v>
      </c>
      <c r="N448" s="587">
        <f t="shared" si="38"/>
        <v>183291</v>
      </c>
      <c r="O448"/>
      <c r="P448" s="490"/>
      <c r="Q448" t="str">
        <f t="shared" si="39"/>
        <v>50101</v>
      </c>
      <c r="R448" s="126" t="str">
        <f t="shared" si="40"/>
        <v>EXEMPT SALARIES</v>
      </c>
      <c r="S448" s="125" t="str">
        <f t="shared" si="41"/>
        <v>100</v>
      </c>
      <c r="T448" s="125" t="str">
        <f t="shared" si="42"/>
        <v>10</v>
      </c>
      <c r="U448" s="125" t="str">
        <f t="shared" si="43"/>
        <v>103</v>
      </c>
      <c r="V448" s="125" t="str">
        <f>VLOOKUP(Q448,'GL Category'!A:C,3,FALSE)</f>
        <v>Personnel services</v>
      </c>
      <c r="W448" s="125"/>
    </row>
    <row r="449" spans="1:23" s="83" customFormat="1" ht="12.6" customHeight="1">
      <c r="A449" s="608" t="s">
        <v>791</v>
      </c>
      <c r="B449" s="608" t="s">
        <v>2296</v>
      </c>
      <c r="C449" s="608" t="s">
        <v>132</v>
      </c>
      <c r="D449" s="609">
        <v>57729.64</v>
      </c>
      <c r="E449" s="609">
        <v>29999.919999999998</v>
      </c>
      <c r="F449" s="609">
        <v>0</v>
      </c>
      <c r="G449" s="609">
        <v>0</v>
      </c>
      <c r="H449" s="609">
        <v>0</v>
      </c>
      <c r="I449" s="609">
        <v>0</v>
      </c>
      <c r="J449" s="609">
        <v>0</v>
      </c>
      <c r="K449" s="609">
        <v>0</v>
      </c>
      <c r="L449" s="609">
        <v>0</v>
      </c>
      <c r="M449" s="609">
        <v>0</v>
      </c>
      <c r="N449" s="587">
        <f t="shared" si="38"/>
        <v>0</v>
      </c>
      <c r="O449"/>
      <c r="P449" s="490"/>
      <c r="Q449" t="str">
        <f t="shared" si="39"/>
        <v>50102</v>
      </c>
      <c r="R449" s="126" t="str">
        <f t="shared" si="40"/>
        <v>NON EXEMPT SALARIES</v>
      </c>
      <c r="S449" s="125" t="str">
        <f t="shared" si="41"/>
        <v>100</v>
      </c>
      <c r="T449" s="125" t="str">
        <f t="shared" si="42"/>
        <v>10</v>
      </c>
      <c r="U449" s="125" t="str">
        <f t="shared" si="43"/>
        <v>103</v>
      </c>
      <c r="V449" s="125" t="str">
        <f>VLOOKUP(Q449,'GL Category'!A:C,3,FALSE)</f>
        <v>Personnel services</v>
      </c>
      <c r="W449" s="125"/>
    </row>
    <row r="450" spans="1:23" s="83" customFormat="1" ht="12.6" customHeight="1">
      <c r="A450" s="608" t="s">
        <v>791</v>
      </c>
      <c r="B450" s="608" t="s">
        <v>2297</v>
      </c>
      <c r="C450" s="608" t="s">
        <v>0</v>
      </c>
      <c r="D450" s="609">
        <v>51.78</v>
      </c>
      <c r="E450" s="609">
        <v>349.03</v>
      </c>
      <c r="F450" s="609">
        <v>0</v>
      </c>
      <c r="G450" s="609">
        <v>0</v>
      </c>
      <c r="H450" s="609">
        <v>0</v>
      </c>
      <c r="I450" s="609">
        <v>0</v>
      </c>
      <c r="J450" s="609">
        <v>0</v>
      </c>
      <c r="K450" s="609">
        <v>0</v>
      </c>
      <c r="L450" s="609">
        <v>0</v>
      </c>
      <c r="M450" s="609">
        <v>0</v>
      </c>
      <c r="N450" s="587">
        <f t="shared" si="38"/>
        <v>0</v>
      </c>
      <c r="O450"/>
      <c r="P450" s="490"/>
      <c r="Q450" t="str">
        <f t="shared" si="39"/>
        <v>50109</v>
      </c>
      <c r="R450" s="126" t="str">
        <f t="shared" si="40"/>
        <v>OVERTIME</v>
      </c>
      <c r="S450" s="125" t="str">
        <f t="shared" si="41"/>
        <v>100</v>
      </c>
      <c r="T450" s="125" t="str">
        <f t="shared" si="42"/>
        <v>10</v>
      </c>
      <c r="U450" s="125" t="str">
        <f t="shared" si="43"/>
        <v>103</v>
      </c>
      <c r="V450" s="125" t="str">
        <f>VLOOKUP(Q450,'GL Category'!A:C,3,FALSE)</f>
        <v>Personnel services</v>
      </c>
      <c r="W450" s="125"/>
    </row>
    <row r="451" spans="1:23" s="83" customFormat="1" ht="12.6" customHeight="1">
      <c r="A451" s="608" t="s">
        <v>791</v>
      </c>
      <c r="B451" s="608" t="s">
        <v>2298</v>
      </c>
      <c r="C451" s="608" t="s">
        <v>137</v>
      </c>
      <c r="D451" s="609">
        <v>570</v>
      </c>
      <c r="E451" s="609">
        <v>690</v>
      </c>
      <c r="F451" s="609">
        <v>810</v>
      </c>
      <c r="G451" s="609">
        <v>930</v>
      </c>
      <c r="H451" s="609">
        <v>1197</v>
      </c>
      <c r="I451" s="609">
        <v>655</v>
      </c>
      <c r="J451" s="609">
        <v>655</v>
      </c>
      <c r="K451" s="609">
        <v>1319</v>
      </c>
      <c r="L451" s="609">
        <v>0</v>
      </c>
      <c r="M451" s="609">
        <v>0</v>
      </c>
      <c r="N451" s="587">
        <f t="shared" si="38"/>
        <v>1319</v>
      </c>
      <c r="O451"/>
      <c r="P451" s="490"/>
      <c r="Q451" t="str">
        <f t="shared" si="39"/>
        <v>50111</v>
      </c>
      <c r="R451" s="126" t="str">
        <f t="shared" si="40"/>
        <v>LONGEVITY PAY</v>
      </c>
      <c r="S451" s="125" t="str">
        <f t="shared" si="41"/>
        <v>100</v>
      </c>
      <c r="T451" s="125" t="str">
        <f t="shared" si="42"/>
        <v>10</v>
      </c>
      <c r="U451" s="125" t="str">
        <f t="shared" si="43"/>
        <v>103</v>
      </c>
      <c r="V451" s="125" t="str">
        <f>VLOOKUP(Q451,'GL Category'!A:C,3,FALSE)</f>
        <v>Personnel services</v>
      </c>
      <c r="W451" s="125"/>
    </row>
    <row r="452" spans="1:23" s="83" customFormat="1" ht="12.6" customHeight="1">
      <c r="A452" s="608" t="s">
        <v>791</v>
      </c>
      <c r="B452" s="608" t="s">
        <v>2299</v>
      </c>
      <c r="C452" s="608" t="s">
        <v>1</v>
      </c>
      <c r="D452" s="609">
        <v>10615.86</v>
      </c>
      <c r="E452" s="609">
        <v>11550.5</v>
      </c>
      <c r="F452" s="609">
        <v>12195.71</v>
      </c>
      <c r="G452" s="609">
        <v>12938.14</v>
      </c>
      <c r="H452" s="609">
        <v>13670</v>
      </c>
      <c r="I452" s="609">
        <v>9707.19</v>
      </c>
      <c r="J452" s="609">
        <v>13041</v>
      </c>
      <c r="K452" s="609">
        <v>14210</v>
      </c>
      <c r="L452" s="609">
        <v>0</v>
      </c>
      <c r="M452" s="609">
        <v>0</v>
      </c>
      <c r="N452" s="587">
        <f t="shared" ref="N452:N515" si="44">SUM(K452:M452)</f>
        <v>14210</v>
      </c>
      <c r="O452"/>
      <c r="P452" s="490"/>
      <c r="Q452" t="str">
        <f t="shared" ref="Q452:Q515" si="45">MID(B452,12,5)</f>
        <v>50610</v>
      </c>
      <c r="R452" s="126" t="str">
        <f t="shared" ref="R452:R515" si="46">C452</f>
        <v>SOCIAL SECURITY</v>
      </c>
      <c r="S452" s="125" t="str">
        <f t="shared" ref="S452:S515" si="47">LEFT(B452,3)</f>
        <v>100</v>
      </c>
      <c r="T452" s="125" t="str">
        <f t="shared" ref="T452:T515" si="48">MID(B452,5,2)</f>
        <v>10</v>
      </c>
      <c r="U452" s="125" t="str">
        <f t="shared" ref="U452:U515" si="49">MID(B452,8,3)</f>
        <v>103</v>
      </c>
      <c r="V452" s="125" t="str">
        <f>VLOOKUP(Q452,'GL Category'!A:C,3,FALSE)</f>
        <v>Personnel services</v>
      </c>
      <c r="W452" s="125"/>
    </row>
    <row r="453" spans="1:23" s="83" customFormat="1" ht="12.6" customHeight="1">
      <c r="A453" s="608" t="s">
        <v>791</v>
      </c>
      <c r="B453" s="608" t="s">
        <v>2300</v>
      </c>
      <c r="C453" s="608" t="s">
        <v>142</v>
      </c>
      <c r="D453" s="609">
        <v>43222.3</v>
      </c>
      <c r="E453" s="609">
        <v>33791.230000000003</v>
      </c>
      <c r="F453" s="609">
        <v>33611.75</v>
      </c>
      <c r="G453" s="609">
        <v>31412.23</v>
      </c>
      <c r="H453" s="609">
        <v>31331</v>
      </c>
      <c r="I453" s="609">
        <v>23782.83</v>
      </c>
      <c r="J453" s="609">
        <v>31988</v>
      </c>
      <c r="K453" s="609">
        <v>31426</v>
      </c>
      <c r="L453" s="609">
        <v>0</v>
      </c>
      <c r="M453" s="609">
        <v>0</v>
      </c>
      <c r="N453" s="587">
        <f t="shared" si="44"/>
        <v>31426</v>
      </c>
      <c r="O453"/>
      <c r="P453" s="490"/>
      <c r="Q453" t="str">
        <f t="shared" si="45"/>
        <v>50620</v>
      </c>
      <c r="R453" s="126" t="str">
        <f t="shared" si="46"/>
        <v>HEALTH/LIFE INSURANCE</v>
      </c>
      <c r="S453" s="125" t="str">
        <f t="shared" si="47"/>
        <v>100</v>
      </c>
      <c r="T453" s="125" t="str">
        <f t="shared" si="48"/>
        <v>10</v>
      </c>
      <c r="U453" s="125" t="str">
        <f t="shared" si="49"/>
        <v>103</v>
      </c>
      <c r="V453" s="125" t="str">
        <f>VLOOKUP(Q453,'GL Category'!A:C,3,FALSE)</f>
        <v>Personnel services</v>
      </c>
      <c r="W453" s="125"/>
    </row>
    <row r="454" spans="1:23" s="83" customFormat="1" ht="12.6" customHeight="1">
      <c r="A454" s="608" t="s">
        <v>791</v>
      </c>
      <c r="B454" s="608" t="s">
        <v>2301</v>
      </c>
      <c r="C454" s="608" t="s">
        <v>144</v>
      </c>
      <c r="D454" s="609">
        <v>104.45</v>
      </c>
      <c r="E454" s="609">
        <v>97.3</v>
      </c>
      <c r="F454" s="609">
        <v>111.73</v>
      </c>
      <c r="G454" s="609">
        <v>202.03</v>
      </c>
      <c r="H454" s="609">
        <v>255</v>
      </c>
      <c r="I454" s="609">
        <v>254.79</v>
      </c>
      <c r="J454" s="609">
        <v>255</v>
      </c>
      <c r="K454" s="609">
        <v>256</v>
      </c>
      <c r="L454" s="609">
        <v>0</v>
      </c>
      <c r="M454" s="609">
        <v>0</v>
      </c>
      <c r="N454" s="587">
        <f t="shared" si="44"/>
        <v>256</v>
      </c>
      <c r="O454"/>
      <c r="P454" s="490"/>
      <c r="Q454" t="str">
        <f t="shared" si="45"/>
        <v>50630</v>
      </c>
      <c r="R454" s="126" t="str">
        <f t="shared" si="46"/>
        <v>WORKER COMPENSATION</v>
      </c>
      <c r="S454" s="125" t="str">
        <f t="shared" si="47"/>
        <v>100</v>
      </c>
      <c r="T454" s="125" t="str">
        <f t="shared" si="48"/>
        <v>10</v>
      </c>
      <c r="U454" s="125" t="str">
        <f t="shared" si="49"/>
        <v>103</v>
      </c>
      <c r="V454" s="125" t="str">
        <f>VLOOKUP(Q454,'GL Category'!A:C,3,FALSE)</f>
        <v>Personnel services</v>
      </c>
      <c r="W454" s="125"/>
    </row>
    <row r="455" spans="1:23" s="83" customFormat="1" ht="12.6" customHeight="1">
      <c r="A455" s="608" t="s">
        <v>791</v>
      </c>
      <c r="B455" s="608" t="s">
        <v>2302</v>
      </c>
      <c r="C455" s="608" t="s">
        <v>2</v>
      </c>
      <c r="D455" s="609">
        <v>24207.62</v>
      </c>
      <c r="E455" s="609">
        <v>26021.58</v>
      </c>
      <c r="F455" s="609">
        <v>27822.23</v>
      </c>
      <c r="G455" s="609">
        <v>29665.040000000001</v>
      </c>
      <c r="H455" s="609">
        <v>29526</v>
      </c>
      <c r="I455" s="609">
        <v>22485.75</v>
      </c>
      <c r="J455" s="609">
        <v>29492</v>
      </c>
      <c r="K455" s="609">
        <v>31448</v>
      </c>
      <c r="L455" s="609">
        <v>0</v>
      </c>
      <c r="M455" s="609">
        <v>0</v>
      </c>
      <c r="N455" s="587">
        <f t="shared" si="44"/>
        <v>31448</v>
      </c>
      <c r="O455"/>
      <c r="P455" s="490">
        <f t="shared" ref="P455:P460" si="50">N455-H455</f>
        <v>1922</v>
      </c>
      <c r="Q455" t="str">
        <f t="shared" si="45"/>
        <v>50650</v>
      </c>
      <c r="R455" s="126" t="str">
        <f t="shared" si="46"/>
        <v>RETIREMENT</v>
      </c>
      <c r="S455" s="125" t="str">
        <f t="shared" si="47"/>
        <v>100</v>
      </c>
      <c r="T455" s="125" t="str">
        <f t="shared" si="48"/>
        <v>10</v>
      </c>
      <c r="U455" s="125" t="str">
        <f t="shared" si="49"/>
        <v>103</v>
      </c>
      <c r="V455" s="125" t="str">
        <f>VLOOKUP(Q455,'GL Category'!A:C,3,FALSE)</f>
        <v>Personnel services</v>
      </c>
      <c r="W455" s="125"/>
    </row>
    <row r="456" spans="1:23" s="83" customFormat="1" ht="12.6" customHeight="1">
      <c r="A456" s="608" t="s">
        <v>791</v>
      </c>
      <c r="B456" s="608" t="s">
        <v>2303</v>
      </c>
      <c r="C456" s="608" t="s">
        <v>149</v>
      </c>
      <c r="D456" s="609">
        <v>737.88</v>
      </c>
      <c r="E456" s="609">
        <v>470.29</v>
      </c>
      <c r="F456" s="609">
        <v>747.65</v>
      </c>
      <c r="G456" s="609">
        <v>817.91</v>
      </c>
      <c r="H456" s="609">
        <v>750</v>
      </c>
      <c r="I456" s="609">
        <v>666.14</v>
      </c>
      <c r="J456" s="609">
        <v>750</v>
      </c>
      <c r="K456" s="609">
        <v>750</v>
      </c>
      <c r="L456" s="609">
        <v>0</v>
      </c>
      <c r="M456" s="609">
        <v>0</v>
      </c>
      <c r="N456" s="587">
        <f t="shared" si="44"/>
        <v>750</v>
      </c>
      <c r="O456"/>
      <c r="P456" s="490">
        <f t="shared" si="50"/>
        <v>0</v>
      </c>
      <c r="Q456" t="str">
        <f t="shared" si="45"/>
        <v>51210</v>
      </c>
      <c r="R456" s="126" t="str">
        <f t="shared" si="46"/>
        <v>OFFICE SUPPLIES</v>
      </c>
      <c r="S456" s="125" t="str">
        <f t="shared" si="47"/>
        <v>100</v>
      </c>
      <c r="T456" s="125" t="str">
        <f t="shared" si="48"/>
        <v>10</v>
      </c>
      <c r="U456" s="125" t="str">
        <f t="shared" si="49"/>
        <v>103</v>
      </c>
      <c r="V456" s="125" t="str">
        <f>VLOOKUP(Q456,'GL Category'!A:C,3,FALSE)</f>
        <v>Operations &amp; maintenance</v>
      </c>
      <c r="W456" s="125"/>
    </row>
    <row r="457" spans="1:23" s="83" customFormat="1" ht="12.6" customHeight="1">
      <c r="A457" s="608" t="s">
        <v>791</v>
      </c>
      <c r="B457" s="608" t="s">
        <v>2304</v>
      </c>
      <c r="C457" s="608" t="s">
        <v>167</v>
      </c>
      <c r="D457" s="609">
        <v>276.76</v>
      </c>
      <c r="E457" s="609">
        <v>214.3</v>
      </c>
      <c r="F457" s="609">
        <v>203.11</v>
      </c>
      <c r="G457" s="609">
        <v>267.88</v>
      </c>
      <c r="H457" s="609">
        <v>250</v>
      </c>
      <c r="I457" s="609">
        <v>0</v>
      </c>
      <c r="J457" s="609">
        <v>200</v>
      </c>
      <c r="K457" s="609">
        <v>250</v>
      </c>
      <c r="L457" s="609">
        <v>0</v>
      </c>
      <c r="M457" s="609">
        <v>0</v>
      </c>
      <c r="N457" s="587">
        <f t="shared" si="44"/>
        <v>250</v>
      </c>
      <c r="O457"/>
      <c r="P457" s="490">
        <f t="shared" si="50"/>
        <v>0</v>
      </c>
      <c r="Q457" t="str">
        <f t="shared" si="45"/>
        <v>51285</v>
      </c>
      <c r="R457" s="126" t="str">
        <f t="shared" si="46"/>
        <v>WEARING APPAREL</v>
      </c>
      <c r="S457" s="125" t="str">
        <f t="shared" si="47"/>
        <v>100</v>
      </c>
      <c r="T457" s="125" t="str">
        <f t="shared" si="48"/>
        <v>10</v>
      </c>
      <c r="U457" s="125" t="str">
        <f t="shared" si="49"/>
        <v>103</v>
      </c>
      <c r="V457" s="125" t="str">
        <f>VLOOKUP(Q457,'GL Category'!A:C,3,FALSE)</f>
        <v>Operations &amp; maintenance</v>
      </c>
      <c r="W457" s="125"/>
    </row>
    <row r="458" spans="1:23" s="83" customFormat="1" ht="12.6" customHeight="1">
      <c r="A458" s="608" t="s">
        <v>791</v>
      </c>
      <c r="B458" s="608" t="s">
        <v>2306</v>
      </c>
      <c r="C458" s="608" t="s">
        <v>183</v>
      </c>
      <c r="D458" s="609">
        <v>825.05</v>
      </c>
      <c r="E458" s="609">
        <v>12235.07</v>
      </c>
      <c r="F458" s="609">
        <v>11225.04</v>
      </c>
      <c r="G458" s="609">
        <v>10794.48</v>
      </c>
      <c r="H458" s="609">
        <v>42000</v>
      </c>
      <c r="I458" s="609">
        <v>33235.42</v>
      </c>
      <c r="J458" s="609">
        <v>58235</v>
      </c>
      <c r="K458" s="609">
        <v>30000</v>
      </c>
      <c r="L458" s="609">
        <v>0</v>
      </c>
      <c r="M458" s="609">
        <v>0</v>
      </c>
      <c r="N458" s="587">
        <f t="shared" si="44"/>
        <v>30000</v>
      </c>
      <c r="O458"/>
      <c r="P458" s="490">
        <f t="shared" si="50"/>
        <v>-12000</v>
      </c>
      <c r="Q458" t="str">
        <f t="shared" si="45"/>
        <v>53501</v>
      </c>
      <c r="R458" s="126" t="str">
        <f t="shared" si="46"/>
        <v>ELECTION SERVICES</v>
      </c>
      <c r="S458" s="125" t="str">
        <f t="shared" si="47"/>
        <v>100</v>
      </c>
      <c r="T458" s="125" t="str">
        <f t="shared" si="48"/>
        <v>10</v>
      </c>
      <c r="U458" s="125" t="str">
        <f t="shared" si="49"/>
        <v>103</v>
      </c>
      <c r="V458" s="125" t="str">
        <f>VLOOKUP(Q458,'GL Category'!A:C,3,FALSE)</f>
        <v>Services &amp; other</v>
      </c>
      <c r="W458" s="125"/>
    </row>
    <row r="459" spans="1:23" s="83" customFormat="1" ht="12.6" customHeight="1">
      <c r="A459" s="608" t="s">
        <v>791</v>
      </c>
      <c r="B459" s="608" t="s">
        <v>2308</v>
      </c>
      <c r="C459" s="608" t="s">
        <v>190</v>
      </c>
      <c r="D459" s="609">
        <v>1009</v>
      </c>
      <c r="E459" s="609">
        <v>884</v>
      </c>
      <c r="F459" s="609">
        <v>1139.8</v>
      </c>
      <c r="G459" s="609">
        <v>1136.8900000000001</v>
      </c>
      <c r="H459" s="609">
        <v>1119</v>
      </c>
      <c r="I459" s="609">
        <v>727</v>
      </c>
      <c r="J459" s="609">
        <v>1119</v>
      </c>
      <c r="K459" s="609">
        <v>1119</v>
      </c>
      <c r="L459" s="609">
        <v>0</v>
      </c>
      <c r="M459" s="609">
        <v>0</v>
      </c>
      <c r="N459" s="587">
        <f t="shared" si="44"/>
        <v>1119</v>
      </c>
      <c r="O459"/>
      <c r="P459" s="490">
        <f t="shared" si="50"/>
        <v>0</v>
      </c>
      <c r="Q459" t="str">
        <f t="shared" si="45"/>
        <v>53510</v>
      </c>
      <c r="R459" s="126" t="str">
        <f t="shared" si="46"/>
        <v>DUES &amp; SUBSCRIPTIONS</v>
      </c>
      <c r="S459" s="125" t="str">
        <f t="shared" si="47"/>
        <v>100</v>
      </c>
      <c r="T459" s="125" t="str">
        <f t="shared" si="48"/>
        <v>10</v>
      </c>
      <c r="U459" s="125" t="str">
        <f t="shared" si="49"/>
        <v>103</v>
      </c>
      <c r="V459" s="125" t="str">
        <f>VLOOKUP(Q459,'GL Category'!A:C,3,FALSE)</f>
        <v>Services &amp; other</v>
      </c>
      <c r="W459" s="125"/>
    </row>
    <row r="460" spans="1:23" s="83" customFormat="1" ht="12.6" customHeight="1">
      <c r="A460" s="608" t="s">
        <v>791</v>
      </c>
      <c r="B460" s="608" t="s">
        <v>2309</v>
      </c>
      <c r="C460" s="608" t="s">
        <v>191</v>
      </c>
      <c r="D460" s="609">
        <v>3277.48</v>
      </c>
      <c r="E460" s="609">
        <v>2355</v>
      </c>
      <c r="F460" s="609">
        <v>5761.45</v>
      </c>
      <c r="G460" s="609">
        <v>4809.3100000000004</v>
      </c>
      <c r="H460" s="609">
        <v>8099</v>
      </c>
      <c r="I460" s="609">
        <v>4529.9799999999996</v>
      </c>
      <c r="J460" s="609">
        <v>4000</v>
      </c>
      <c r="K460" s="609">
        <v>8099</v>
      </c>
      <c r="L460" s="609">
        <v>0</v>
      </c>
      <c r="M460" s="609">
        <v>0</v>
      </c>
      <c r="N460" s="587">
        <f t="shared" si="44"/>
        <v>8099</v>
      </c>
      <c r="O460"/>
      <c r="P460" s="490">
        <f t="shared" si="50"/>
        <v>0</v>
      </c>
      <c r="Q460" t="str">
        <f t="shared" si="45"/>
        <v>53515</v>
      </c>
      <c r="R460" s="126" t="str">
        <f t="shared" si="46"/>
        <v>TRAVEL, TRAINING &amp; EDUCATION</v>
      </c>
      <c r="S460" s="125" t="str">
        <f t="shared" si="47"/>
        <v>100</v>
      </c>
      <c r="T460" s="125" t="str">
        <f t="shared" si="48"/>
        <v>10</v>
      </c>
      <c r="U460" s="125" t="str">
        <f t="shared" si="49"/>
        <v>103</v>
      </c>
      <c r="V460" s="125" t="str">
        <f>VLOOKUP(Q460,'GL Category'!A:C,3,FALSE)</f>
        <v>Services &amp; other</v>
      </c>
      <c r="W460" s="125"/>
    </row>
    <row r="461" spans="1:23" s="83" customFormat="1" ht="12.6" customHeight="1">
      <c r="A461" s="608" t="s">
        <v>791</v>
      </c>
      <c r="B461" s="608" t="s">
        <v>2310</v>
      </c>
      <c r="C461" s="608" t="s">
        <v>197</v>
      </c>
      <c r="D461" s="609">
        <v>12856.6</v>
      </c>
      <c r="E461" s="609">
        <v>12567.79</v>
      </c>
      <c r="F461" s="609">
        <v>15567.44</v>
      </c>
      <c r="G461" s="609">
        <v>10154.4</v>
      </c>
      <c r="H461" s="609">
        <v>14750</v>
      </c>
      <c r="I461" s="609">
        <v>11178.74</v>
      </c>
      <c r="J461" s="609">
        <v>14750</v>
      </c>
      <c r="K461" s="609">
        <v>14750</v>
      </c>
      <c r="L461" s="609">
        <v>0</v>
      </c>
      <c r="M461" s="609">
        <v>0</v>
      </c>
      <c r="N461" s="587">
        <f t="shared" si="44"/>
        <v>14750</v>
      </c>
      <c r="O461"/>
      <c r="P461" s="490"/>
      <c r="Q461" t="str">
        <f t="shared" si="45"/>
        <v>53522</v>
      </c>
      <c r="R461" s="126" t="str">
        <f t="shared" si="46"/>
        <v>ADVERTISING &amp; RECORDING</v>
      </c>
      <c r="S461" s="125" t="str">
        <f t="shared" si="47"/>
        <v>100</v>
      </c>
      <c r="T461" s="125" t="str">
        <f t="shared" si="48"/>
        <v>10</v>
      </c>
      <c r="U461" s="125" t="str">
        <f t="shared" si="49"/>
        <v>103</v>
      </c>
      <c r="V461" s="125" t="str">
        <f>VLOOKUP(Q461,'GL Category'!A:C,3,FALSE)</f>
        <v>Services &amp; other</v>
      </c>
      <c r="W461" s="125"/>
    </row>
    <row r="462" spans="1:23" s="83" customFormat="1" ht="12.6" customHeight="1">
      <c r="A462" s="608" t="s">
        <v>791</v>
      </c>
      <c r="B462" s="608" t="s">
        <v>2311</v>
      </c>
      <c r="C462" s="608" t="s">
        <v>909</v>
      </c>
      <c r="D462" s="609">
        <v>5584</v>
      </c>
      <c r="E462" s="609">
        <v>8070.48</v>
      </c>
      <c r="F462" s="609">
        <v>8925.07</v>
      </c>
      <c r="G462" s="609">
        <v>23839.99</v>
      </c>
      <c r="H462" s="609">
        <v>10000</v>
      </c>
      <c r="I462" s="609">
        <v>11537.51</v>
      </c>
      <c r="J462" s="609">
        <v>12000</v>
      </c>
      <c r="K462" s="609">
        <v>10000</v>
      </c>
      <c r="L462" s="609">
        <v>1100</v>
      </c>
      <c r="M462" s="609">
        <v>10000</v>
      </c>
      <c r="N462" s="587">
        <f t="shared" si="44"/>
        <v>21100</v>
      </c>
      <c r="O462"/>
      <c r="P462" s="490"/>
      <c r="Q462" t="str">
        <f t="shared" si="45"/>
        <v>53541</v>
      </c>
      <c r="R462" s="126" t="str">
        <f t="shared" si="46"/>
        <v>WEBSITE/TECHNOLOGY SERVICES</v>
      </c>
      <c r="S462" s="125" t="str">
        <f t="shared" si="47"/>
        <v>100</v>
      </c>
      <c r="T462" s="125" t="str">
        <f t="shared" si="48"/>
        <v>10</v>
      </c>
      <c r="U462" s="125" t="str">
        <f t="shared" si="49"/>
        <v>103</v>
      </c>
      <c r="V462" s="125" t="str">
        <f>VLOOKUP(Q462,'GL Category'!A:C,3,FALSE)</f>
        <v>Services &amp; other</v>
      </c>
      <c r="W462" s="125"/>
    </row>
    <row r="463" spans="1:23" s="83" customFormat="1" ht="12.6" customHeight="1">
      <c r="A463" s="608" t="s">
        <v>791</v>
      </c>
      <c r="B463" s="608" t="s">
        <v>2312</v>
      </c>
      <c r="C463" s="608" t="s">
        <v>221</v>
      </c>
      <c r="D463" s="609">
        <v>15077</v>
      </c>
      <c r="E463" s="609">
        <v>16998</v>
      </c>
      <c r="F463" s="609">
        <v>16943</v>
      </c>
      <c r="G463" s="609">
        <v>22059</v>
      </c>
      <c r="H463" s="609">
        <v>15570</v>
      </c>
      <c r="I463" s="609">
        <v>11677.5</v>
      </c>
      <c r="J463" s="609">
        <v>15570</v>
      </c>
      <c r="K463" s="609">
        <v>16474</v>
      </c>
      <c r="L463" s="609">
        <v>0</v>
      </c>
      <c r="M463" s="609">
        <v>0</v>
      </c>
      <c r="N463" s="587">
        <f t="shared" si="44"/>
        <v>16474</v>
      </c>
      <c r="O463"/>
      <c r="P463" s="490"/>
      <c r="Q463" t="str">
        <f t="shared" si="45"/>
        <v>55119</v>
      </c>
      <c r="R463" s="126" t="str">
        <f t="shared" si="46"/>
        <v>OFFICE EQUIP LEASE EXP-CITY</v>
      </c>
      <c r="S463" s="125" t="str">
        <f t="shared" si="47"/>
        <v>100</v>
      </c>
      <c r="T463" s="125" t="str">
        <f t="shared" si="48"/>
        <v>10</v>
      </c>
      <c r="U463" s="125" t="str">
        <f t="shared" si="49"/>
        <v>103</v>
      </c>
      <c r="V463" s="125" t="str">
        <f>VLOOKUP(Q463,'GL Category'!A:C,3,FALSE)</f>
        <v>Services &amp; other</v>
      </c>
      <c r="W463" s="125"/>
    </row>
    <row r="464" spans="1:23" s="83" customFormat="1" ht="12.6" customHeight="1">
      <c r="A464" s="608" t="s">
        <v>791</v>
      </c>
      <c r="B464" s="608" t="s">
        <v>2313</v>
      </c>
      <c r="C464" s="608" t="s">
        <v>130</v>
      </c>
      <c r="D464" s="609">
        <v>67311.350000000006</v>
      </c>
      <c r="E464" s="609">
        <v>99974.97</v>
      </c>
      <c r="F464" s="609">
        <v>153573.31</v>
      </c>
      <c r="G464" s="609">
        <v>159850.06</v>
      </c>
      <c r="H464" s="609">
        <v>165724</v>
      </c>
      <c r="I464" s="609">
        <v>102334.89</v>
      </c>
      <c r="J464" s="609">
        <v>149841</v>
      </c>
      <c r="K464" s="609">
        <v>173057</v>
      </c>
      <c r="L464" s="609">
        <v>0</v>
      </c>
      <c r="M464" s="609">
        <v>0</v>
      </c>
      <c r="N464" s="587">
        <f t="shared" si="44"/>
        <v>173057</v>
      </c>
      <c r="O464"/>
      <c r="P464" s="490"/>
      <c r="Q464" t="str">
        <f t="shared" si="45"/>
        <v>50101</v>
      </c>
      <c r="R464" s="126" t="str">
        <f t="shared" si="46"/>
        <v>EXEMPT SALARIES</v>
      </c>
      <c r="S464" s="125" t="str">
        <f t="shared" si="47"/>
        <v>100</v>
      </c>
      <c r="T464" s="125" t="str">
        <f t="shared" si="48"/>
        <v>10</v>
      </c>
      <c r="U464" s="125" t="str">
        <f t="shared" si="49"/>
        <v>104</v>
      </c>
      <c r="V464" s="125" t="str">
        <f>VLOOKUP(Q464,'GL Category'!A:C,3,FALSE)</f>
        <v>Personnel services</v>
      </c>
      <c r="W464" s="125"/>
    </row>
    <row r="465" spans="1:24" s="83" customFormat="1" ht="12.6" customHeight="1">
      <c r="A465" s="608" t="s">
        <v>791</v>
      </c>
      <c r="B465" s="608" t="s">
        <v>2314</v>
      </c>
      <c r="C465" s="608" t="s">
        <v>137</v>
      </c>
      <c r="D465" s="609">
        <v>435</v>
      </c>
      <c r="E465" s="609">
        <v>495</v>
      </c>
      <c r="F465" s="609">
        <v>555</v>
      </c>
      <c r="G465" s="609">
        <v>700</v>
      </c>
      <c r="H465" s="609">
        <v>830</v>
      </c>
      <c r="I465" s="609">
        <v>820</v>
      </c>
      <c r="J465" s="609">
        <v>820</v>
      </c>
      <c r="K465" s="609">
        <v>848</v>
      </c>
      <c r="L465" s="609">
        <v>0</v>
      </c>
      <c r="M465" s="609">
        <v>0</v>
      </c>
      <c r="N465" s="587">
        <f t="shared" si="44"/>
        <v>848</v>
      </c>
      <c r="O465"/>
      <c r="P465" s="490"/>
      <c r="Q465" t="str">
        <f t="shared" si="45"/>
        <v>50111</v>
      </c>
      <c r="R465" s="126" t="str">
        <f t="shared" si="46"/>
        <v>LONGEVITY PAY</v>
      </c>
      <c r="S465" s="125" t="str">
        <f t="shared" si="47"/>
        <v>100</v>
      </c>
      <c r="T465" s="125" t="str">
        <f t="shared" si="48"/>
        <v>10</v>
      </c>
      <c r="U465" s="125" t="str">
        <f t="shared" si="49"/>
        <v>104</v>
      </c>
      <c r="V465" s="125" t="str">
        <f>VLOOKUP(Q465,'GL Category'!A:C,3,FALSE)</f>
        <v>Personnel services</v>
      </c>
      <c r="W465" s="125"/>
    </row>
    <row r="466" spans="1:24" s="83" customFormat="1" ht="12.6" customHeight="1">
      <c r="A466" s="608" t="s">
        <v>791</v>
      </c>
      <c r="B466" s="608" t="s">
        <v>2315</v>
      </c>
      <c r="C466" s="608" t="s">
        <v>1</v>
      </c>
      <c r="D466" s="609">
        <v>4439.92</v>
      </c>
      <c r="E466" s="609">
        <v>6648.96</v>
      </c>
      <c r="F466" s="609">
        <v>10089.11</v>
      </c>
      <c r="G466" s="609">
        <v>11348.12</v>
      </c>
      <c r="H466" s="609">
        <v>12920</v>
      </c>
      <c r="I466" s="609">
        <v>7155.44</v>
      </c>
      <c r="J466" s="609">
        <v>10908</v>
      </c>
      <c r="K466" s="609">
        <v>13420</v>
      </c>
      <c r="L466" s="609">
        <v>0</v>
      </c>
      <c r="M466" s="609">
        <v>0</v>
      </c>
      <c r="N466" s="587">
        <f t="shared" si="44"/>
        <v>13420</v>
      </c>
      <c r="O466"/>
      <c r="P466" s="490"/>
      <c r="Q466" t="str">
        <f t="shared" si="45"/>
        <v>50610</v>
      </c>
      <c r="R466" s="126" t="str">
        <f t="shared" si="46"/>
        <v>SOCIAL SECURITY</v>
      </c>
      <c r="S466" s="125" t="str">
        <f t="shared" si="47"/>
        <v>100</v>
      </c>
      <c r="T466" s="125" t="str">
        <f t="shared" si="48"/>
        <v>10</v>
      </c>
      <c r="U466" s="125" t="str">
        <f t="shared" si="49"/>
        <v>104</v>
      </c>
      <c r="V466" s="125" t="str">
        <f>VLOOKUP(Q466,'GL Category'!A:C,3,FALSE)</f>
        <v>Personnel services</v>
      </c>
      <c r="W466" s="125"/>
    </row>
    <row r="467" spans="1:24" s="83" customFormat="1" ht="12.6" customHeight="1">
      <c r="A467" s="608" t="s">
        <v>791</v>
      </c>
      <c r="B467" s="608" t="s">
        <v>2316</v>
      </c>
      <c r="C467" s="608" t="s">
        <v>142</v>
      </c>
      <c r="D467" s="609">
        <v>16914.990000000002</v>
      </c>
      <c r="E467" s="609">
        <v>23279.07</v>
      </c>
      <c r="F467" s="609">
        <v>32434.880000000001</v>
      </c>
      <c r="G467" s="609">
        <v>33297.29</v>
      </c>
      <c r="H467" s="609">
        <v>32569</v>
      </c>
      <c r="I467" s="609">
        <v>19723.099999999999</v>
      </c>
      <c r="J467" s="609">
        <v>30775</v>
      </c>
      <c r="K467" s="609">
        <v>35242</v>
      </c>
      <c r="L467" s="609">
        <v>0</v>
      </c>
      <c r="M467" s="609">
        <v>0</v>
      </c>
      <c r="N467" s="587">
        <f t="shared" si="44"/>
        <v>35242</v>
      </c>
      <c r="O467"/>
      <c r="P467" s="490"/>
      <c r="Q467" t="str">
        <f t="shared" si="45"/>
        <v>50620</v>
      </c>
      <c r="R467" s="126" t="str">
        <f t="shared" si="46"/>
        <v>HEALTH/LIFE INSURANCE</v>
      </c>
      <c r="S467" s="125" t="str">
        <f t="shared" si="47"/>
        <v>100</v>
      </c>
      <c r="T467" s="125" t="str">
        <f t="shared" si="48"/>
        <v>10</v>
      </c>
      <c r="U467" s="125" t="str">
        <f t="shared" si="49"/>
        <v>104</v>
      </c>
      <c r="V467" s="125" t="str">
        <f>VLOOKUP(Q467,'GL Category'!A:C,3,FALSE)</f>
        <v>Personnel services</v>
      </c>
      <c r="W467" s="125"/>
    </row>
    <row r="468" spans="1:24" s="83" customFormat="1" ht="12.6" customHeight="1">
      <c r="A468" s="608" t="s">
        <v>791</v>
      </c>
      <c r="B468" s="608" t="s">
        <v>2317</v>
      </c>
      <c r="C468" s="608" t="s">
        <v>144</v>
      </c>
      <c r="D468" s="609">
        <v>57.72</v>
      </c>
      <c r="E468" s="609">
        <v>53.96</v>
      </c>
      <c r="F468" s="609">
        <v>96.45</v>
      </c>
      <c r="G468" s="609">
        <v>183.58</v>
      </c>
      <c r="H468" s="609">
        <v>241</v>
      </c>
      <c r="I468" s="609">
        <v>240.81</v>
      </c>
      <c r="J468" s="609">
        <v>241</v>
      </c>
      <c r="K468" s="609">
        <v>242</v>
      </c>
      <c r="L468" s="609">
        <v>0</v>
      </c>
      <c r="M468" s="609">
        <v>0</v>
      </c>
      <c r="N468" s="587">
        <f t="shared" si="44"/>
        <v>242</v>
      </c>
      <c r="O468"/>
      <c r="P468" s="490">
        <f t="shared" ref="P468:P474" si="51">N468-H468</f>
        <v>1</v>
      </c>
      <c r="Q468" t="str">
        <f t="shared" si="45"/>
        <v>50630</v>
      </c>
      <c r="R468" s="126" t="str">
        <f t="shared" si="46"/>
        <v>WORKER COMPENSATION</v>
      </c>
      <c r="S468" s="125" t="str">
        <f t="shared" si="47"/>
        <v>100</v>
      </c>
      <c r="T468" s="125" t="str">
        <f t="shared" si="48"/>
        <v>10</v>
      </c>
      <c r="U468" s="125" t="str">
        <f t="shared" si="49"/>
        <v>104</v>
      </c>
      <c r="V468" s="125" t="str">
        <f>VLOOKUP(Q468,'GL Category'!A:C,3,FALSE)</f>
        <v>Personnel services</v>
      </c>
      <c r="W468" s="125"/>
    </row>
    <row r="469" spans="1:24" s="83" customFormat="1" ht="12.6" customHeight="1">
      <c r="A469" s="608" t="s">
        <v>791</v>
      </c>
      <c r="B469" s="608" t="s">
        <v>2318</v>
      </c>
      <c r="C469" s="608" t="s">
        <v>2</v>
      </c>
      <c r="D469" s="609">
        <v>10995.8</v>
      </c>
      <c r="E469" s="609">
        <v>16241.14</v>
      </c>
      <c r="F469" s="609">
        <v>24952.7</v>
      </c>
      <c r="G469" s="609">
        <v>26135.06</v>
      </c>
      <c r="H469" s="609">
        <v>27920</v>
      </c>
      <c r="I469" s="609">
        <v>17224.560000000001</v>
      </c>
      <c r="J469" s="609">
        <v>25103</v>
      </c>
      <c r="K469" s="609">
        <v>29706</v>
      </c>
      <c r="L469" s="609">
        <v>0</v>
      </c>
      <c r="M469" s="609">
        <v>0</v>
      </c>
      <c r="N469" s="587">
        <f t="shared" si="44"/>
        <v>29706</v>
      </c>
      <c r="O469"/>
      <c r="P469" s="490">
        <f t="shared" si="51"/>
        <v>1786</v>
      </c>
      <c r="Q469" t="str">
        <f t="shared" si="45"/>
        <v>50650</v>
      </c>
      <c r="R469" s="126" t="str">
        <f t="shared" si="46"/>
        <v>RETIREMENT</v>
      </c>
      <c r="S469" s="125" t="str">
        <f t="shared" si="47"/>
        <v>100</v>
      </c>
      <c r="T469" s="125" t="str">
        <f t="shared" si="48"/>
        <v>10</v>
      </c>
      <c r="U469" s="125" t="str">
        <f t="shared" si="49"/>
        <v>104</v>
      </c>
      <c r="V469" s="125" t="str">
        <f>VLOOKUP(Q469,'GL Category'!A:C,3,FALSE)</f>
        <v>Personnel services</v>
      </c>
      <c r="W469" s="125"/>
    </row>
    <row r="470" spans="1:24" s="541" customFormat="1" ht="12.6" customHeight="1">
      <c r="A470" s="608" t="s">
        <v>791</v>
      </c>
      <c r="B470" s="608" t="s">
        <v>2319</v>
      </c>
      <c r="C470" s="608" t="s">
        <v>149</v>
      </c>
      <c r="D470" s="609">
        <v>55.93</v>
      </c>
      <c r="E470" s="609">
        <v>113.44</v>
      </c>
      <c r="F470" s="609">
        <v>120</v>
      </c>
      <c r="G470" s="609">
        <v>0</v>
      </c>
      <c r="H470" s="609">
        <v>300</v>
      </c>
      <c r="I470" s="609">
        <v>0</v>
      </c>
      <c r="J470" s="609">
        <v>300</v>
      </c>
      <c r="K470" s="609">
        <v>300</v>
      </c>
      <c r="L470" s="609">
        <v>0</v>
      </c>
      <c r="M470" s="609">
        <v>0</v>
      </c>
      <c r="N470" s="587">
        <f t="shared" si="44"/>
        <v>300</v>
      </c>
      <c r="O470"/>
      <c r="P470" s="490">
        <f t="shared" si="51"/>
        <v>0</v>
      </c>
      <c r="Q470" t="str">
        <f t="shared" si="45"/>
        <v>51210</v>
      </c>
      <c r="R470" s="540" t="str">
        <f t="shared" si="46"/>
        <v>OFFICE SUPPLIES</v>
      </c>
      <c r="S470" s="538" t="str">
        <f t="shared" si="47"/>
        <v>100</v>
      </c>
      <c r="T470" s="125" t="str">
        <f t="shared" si="48"/>
        <v>10</v>
      </c>
      <c r="U470" s="125" t="str">
        <f t="shared" si="49"/>
        <v>104</v>
      </c>
      <c r="V470" s="538" t="str">
        <f>VLOOKUP(Q470,'GL Category'!A:C,3,FALSE)</f>
        <v>Operations &amp; maintenance</v>
      </c>
      <c r="W470" s="538"/>
      <c r="X470" s="83"/>
    </row>
    <row r="471" spans="1:24" s="541" customFormat="1" ht="12.6" customHeight="1">
      <c r="A471" s="608" t="s">
        <v>791</v>
      </c>
      <c r="B471" s="608" t="s">
        <v>2320</v>
      </c>
      <c r="C471" s="608" t="s">
        <v>185</v>
      </c>
      <c r="D471" s="609">
        <v>0</v>
      </c>
      <c r="E471" s="609">
        <v>2643.05</v>
      </c>
      <c r="F471" s="609">
        <v>9209.3700000000008</v>
      </c>
      <c r="G471" s="609">
        <v>11430.05</v>
      </c>
      <c r="H471" s="609">
        <v>15500</v>
      </c>
      <c r="I471" s="609">
        <v>10234</v>
      </c>
      <c r="J471" s="609">
        <v>15500</v>
      </c>
      <c r="K471" s="609">
        <v>15500</v>
      </c>
      <c r="L471" s="609">
        <v>0</v>
      </c>
      <c r="M471" s="609">
        <v>0</v>
      </c>
      <c r="N471" s="587">
        <f t="shared" si="44"/>
        <v>15500</v>
      </c>
      <c r="O471"/>
      <c r="P471" s="490">
        <f t="shared" si="51"/>
        <v>0</v>
      </c>
      <c r="Q471" t="str">
        <f t="shared" si="45"/>
        <v>53505</v>
      </c>
      <c r="R471" s="540" t="str">
        <f t="shared" si="46"/>
        <v>PUBLIC EDUCATION SERVICES</v>
      </c>
      <c r="S471" s="538" t="str">
        <f t="shared" si="47"/>
        <v>100</v>
      </c>
      <c r="T471" s="125" t="str">
        <f t="shared" si="48"/>
        <v>10</v>
      </c>
      <c r="U471" s="125" t="str">
        <f t="shared" si="49"/>
        <v>104</v>
      </c>
      <c r="V471" s="538" t="str">
        <f>VLOOKUP(Q471,'GL Category'!A:C,3,FALSE)</f>
        <v>Services &amp; other</v>
      </c>
      <c r="W471" s="538"/>
      <c r="X471" s="83"/>
    </row>
    <row r="472" spans="1:24" s="83" customFormat="1" ht="12.6" customHeight="1">
      <c r="A472" s="608" t="s">
        <v>791</v>
      </c>
      <c r="B472" s="608" t="s">
        <v>2322</v>
      </c>
      <c r="C472" s="608" t="s">
        <v>190</v>
      </c>
      <c r="D472" s="609">
        <v>635</v>
      </c>
      <c r="E472" s="609">
        <v>914</v>
      </c>
      <c r="F472" s="609">
        <v>900</v>
      </c>
      <c r="G472" s="609">
        <v>1509.99</v>
      </c>
      <c r="H472" s="609">
        <v>1755</v>
      </c>
      <c r="I472" s="609">
        <v>570</v>
      </c>
      <c r="J472" s="609">
        <v>1355</v>
      </c>
      <c r="K472" s="609">
        <v>1755</v>
      </c>
      <c r="L472" s="609">
        <v>0</v>
      </c>
      <c r="M472" s="609">
        <v>0</v>
      </c>
      <c r="N472" s="587">
        <f t="shared" si="44"/>
        <v>1755</v>
      </c>
      <c r="O472"/>
      <c r="P472" s="490">
        <f t="shared" si="51"/>
        <v>0</v>
      </c>
      <c r="Q472" t="str">
        <f t="shared" si="45"/>
        <v>53510</v>
      </c>
      <c r="R472" s="126" t="str">
        <f t="shared" si="46"/>
        <v>DUES &amp; SUBSCRIPTIONS</v>
      </c>
      <c r="S472" s="125" t="str">
        <f t="shared" si="47"/>
        <v>100</v>
      </c>
      <c r="T472" s="125" t="str">
        <f t="shared" si="48"/>
        <v>10</v>
      </c>
      <c r="U472" s="125" t="str">
        <f t="shared" si="49"/>
        <v>104</v>
      </c>
      <c r="V472" s="125" t="str">
        <f>VLOOKUP(Q472,'GL Category'!A:C,3,FALSE)</f>
        <v>Services &amp; other</v>
      </c>
      <c r="W472" s="125"/>
    </row>
    <row r="473" spans="1:24" s="541" customFormat="1" ht="12.6" customHeight="1">
      <c r="A473" s="608" t="s">
        <v>791</v>
      </c>
      <c r="B473" s="608" t="s">
        <v>2323</v>
      </c>
      <c r="C473" s="608" t="s">
        <v>191</v>
      </c>
      <c r="D473" s="609">
        <v>695</v>
      </c>
      <c r="E473" s="609">
        <v>0</v>
      </c>
      <c r="F473" s="609">
        <v>6675.8</v>
      </c>
      <c r="G473" s="609">
        <v>6662.52</v>
      </c>
      <c r="H473" s="609">
        <v>10625</v>
      </c>
      <c r="I473" s="609">
        <v>1601.93</v>
      </c>
      <c r="J473" s="609">
        <v>7000</v>
      </c>
      <c r="K473" s="609">
        <v>10625</v>
      </c>
      <c r="L473" s="609">
        <v>0</v>
      </c>
      <c r="M473" s="609">
        <v>0</v>
      </c>
      <c r="N473" s="587">
        <f t="shared" si="44"/>
        <v>10625</v>
      </c>
      <c r="O473"/>
      <c r="P473" s="490">
        <f t="shared" si="51"/>
        <v>0</v>
      </c>
      <c r="Q473" t="str">
        <f t="shared" si="45"/>
        <v>53515</v>
      </c>
      <c r="R473" s="540" t="str">
        <f t="shared" si="46"/>
        <v>TRAVEL, TRAINING &amp; EDUCATION</v>
      </c>
      <c r="S473" s="538" t="str">
        <f t="shared" si="47"/>
        <v>100</v>
      </c>
      <c r="T473" s="125" t="str">
        <f t="shared" si="48"/>
        <v>10</v>
      </c>
      <c r="U473" s="125" t="str">
        <f t="shared" si="49"/>
        <v>104</v>
      </c>
      <c r="V473" s="538" t="str">
        <f>VLOOKUP(Q473,'GL Category'!A:C,3,FALSE)</f>
        <v>Services &amp; other</v>
      </c>
      <c r="W473" s="538"/>
      <c r="X473" s="83"/>
    </row>
    <row r="474" spans="1:24" s="83" customFormat="1" ht="12.6" customHeight="1">
      <c r="A474" s="608" t="s">
        <v>791</v>
      </c>
      <c r="B474" s="608" t="s">
        <v>2324</v>
      </c>
      <c r="C474" s="608" t="s">
        <v>230</v>
      </c>
      <c r="D474" s="609">
        <v>2296.2199999999998</v>
      </c>
      <c r="E474" s="609">
        <v>2939.64</v>
      </c>
      <c r="F474" s="609">
        <v>4307.26</v>
      </c>
      <c r="G474" s="609">
        <v>4370.3999999999996</v>
      </c>
      <c r="H474" s="609">
        <v>5000</v>
      </c>
      <c r="I474" s="609">
        <v>3481</v>
      </c>
      <c r="J474" s="609">
        <v>5000</v>
      </c>
      <c r="K474" s="609">
        <v>5000</v>
      </c>
      <c r="L474" s="609">
        <v>80000</v>
      </c>
      <c r="M474" s="609">
        <v>0</v>
      </c>
      <c r="N474" s="587">
        <f t="shared" si="44"/>
        <v>85000</v>
      </c>
      <c r="O474"/>
      <c r="P474" s="490">
        <f t="shared" si="51"/>
        <v>80000</v>
      </c>
      <c r="Q474" t="str">
        <f t="shared" si="45"/>
        <v>53534</v>
      </c>
      <c r="R474" s="126" t="str">
        <f t="shared" si="46"/>
        <v>MARKETING &amp; PROMOTIONAL</v>
      </c>
      <c r="S474" s="125" t="str">
        <f t="shared" si="47"/>
        <v>100</v>
      </c>
      <c r="T474" s="125" t="str">
        <f t="shared" si="48"/>
        <v>10</v>
      </c>
      <c r="U474" s="125" t="str">
        <f t="shared" si="49"/>
        <v>104</v>
      </c>
      <c r="V474" s="125" t="str">
        <f>VLOOKUP(Q474,'GL Category'!A:C,3,FALSE)</f>
        <v>Services &amp; other</v>
      </c>
      <c r="W474" s="125"/>
    </row>
    <row r="475" spans="1:24" s="541" customFormat="1" ht="20.399999999999999" customHeight="1">
      <c r="A475" s="608" t="s">
        <v>791</v>
      </c>
      <c r="B475" s="608" t="s">
        <v>2324</v>
      </c>
      <c r="C475" s="608" t="s">
        <v>230</v>
      </c>
      <c r="D475" s="609">
        <v>0</v>
      </c>
      <c r="E475" s="609">
        <v>0</v>
      </c>
      <c r="F475" s="609">
        <v>0</v>
      </c>
      <c r="G475" s="609">
        <v>0</v>
      </c>
      <c r="H475" s="609">
        <v>0</v>
      </c>
      <c r="I475" s="609">
        <v>0</v>
      </c>
      <c r="J475" s="609">
        <v>0</v>
      </c>
      <c r="K475" s="609">
        <v>0</v>
      </c>
      <c r="L475" s="609">
        <v>0</v>
      </c>
      <c r="M475" s="609">
        <v>0</v>
      </c>
      <c r="N475" s="587">
        <f t="shared" si="44"/>
        <v>0</v>
      </c>
      <c r="O475"/>
      <c r="P475" s="490"/>
      <c r="Q475" t="str">
        <f t="shared" si="45"/>
        <v>53534</v>
      </c>
      <c r="R475" s="540" t="str">
        <f t="shared" si="46"/>
        <v>MARKETING &amp; PROMOTIONAL</v>
      </c>
      <c r="S475" s="538" t="str">
        <f t="shared" si="47"/>
        <v>100</v>
      </c>
      <c r="T475" s="125" t="str">
        <f t="shared" si="48"/>
        <v>10</v>
      </c>
      <c r="U475" s="125" t="str">
        <f t="shared" si="49"/>
        <v>104</v>
      </c>
      <c r="V475" s="538" t="str">
        <f>VLOOKUP(Q475,'GL Category'!A:C,3,FALSE)</f>
        <v>Services &amp; other</v>
      </c>
      <c r="W475" s="538"/>
      <c r="X475" s="83"/>
    </row>
    <row r="476" spans="1:24" s="541" customFormat="1" ht="20.399999999999999" customHeight="1">
      <c r="A476" s="608" t="s">
        <v>791</v>
      </c>
      <c r="B476" s="608" t="s">
        <v>2325</v>
      </c>
      <c r="C476" s="608" t="s">
        <v>909</v>
      </c>
      <c r="D476" s="609">
        <v>42828</v>
      </c>
      <c r="E476" s="609">
        <v>43691.57</v>
      </c>
      <c r="F476" s="609">
        <v>40770.93</v>
      </c>
      <c r="G476" s="609">
        <v>48644.58</v>
      </c>
      <c r="H476" s="609">
        <v>50043</v>
      </c>
      <c r="I476" s="609">
        <v>50642.8</v>
      </c>
      <c r="J476" s="609">
        <v>50043</v>
      </c>
      <c r="K476" s="609">
        <v>50043</v>
      </c>
      <c r="L476" s="609">
        <v>35000</v>
      </c>
      <c r="M476" s="609">
        <v>0</v>
      </c>
      <c r="N476" s="587">
        <f t="shared" si="44"/>
        <v>85043</v>
      </c>
      <c r="O476"/>
      <c r="P476" s="490"/>
      <c r="Q476" t="str">
        <f t="shared" si="45"/>
        <v>53541</v>
      </c>
      <c r="R476" s="540" t="str">
        <f t="shared" si="46"/>
        <v>WEBSITE/TECHNOLOGY SERVICES</v>
      </c>
      <c r="S476" s="538" t="str">
        <f t="shared" si="47"/>
        <v>100</v>
      </c>
      <c r="T476" s="125" t="str">
        <f t="shared" si="48"/>
        <v>10</v>
      </c>
      <c r="U476" s="125" t="str">
        <f t="shared" si="49"/>
        <v>104</v>
      </c>
      <c r="V476" s="538" t="str">
        <f>VLOOKUP(Q476,'GL Category'!A:C,3,FALSE)</f>
        <v>Services &amp; other</v>
      </c>
      <c r="W476" s="538"/>
      <c r="X476" s="83"/>
    </row>
    <row r="477" spans="1:24" s="541" customFormat="1" ht="20.399999999999999" customHeight="1">
      <c r="A477" s="608" t="s">
        <v>791</v>
      </c>
      <c r="B477" s="608" t="s">
        <v>2326</v>
      </c>
      <c r="C477" s="608" t="s">
        <v>221</v>
      </c>
      <c r="D477" s="609">
        <v>7830</v>
      </c>
      <c r="E477" s="609">
        <v>8664</v>
      </c>
      <c r="F477" s="609">
        <v>9361</v>
      </c>
      <c r="G477" s="609">
        <v>9896</v>
      </c>
      <c r="H477" s="609">
        <v>18800</v>
      </c>
      <c r="I477" s="609">
        <v>14100</v>
      </c>
      <c r="J477" s="609">
        <v>18800</v>
      </c>
      <c r="K477" s="609">
        <v>19704</v>
      </c>
      <c r="L477" s="609">
        <v>0</v>
      </c>
      <c r="M477" s="609">
        <v>0</v>
      </c>
      <c r="N477" s="587">
        <f t="shared" si="44"/>
        <v>19704</v>
      </c>
      <c r="O477"/>
      <c r="P477" s="490"/>
      <c r="Q477" t="str">
        <f t="shared" si="45"/>
        <v>55119</v>
      </c>
      <c r="R477" s="540" t="str">
        <f t="shared" si="46"/>
        <v>OFFICE EQUIP LEASE EXP-CITY</v>
      </c>
      <c r="S477" s="538" t="str">
        <f t="shared" si="47"/>
        <v>100</v>
      </c>
      <c r="T477" s="125" t="str">
        <f t="shared" si="48"/>
        <v>10</v>
      </c>
      <c r="U477" s="125" t="str">
        <f t="shared" si="49"/>
        <v>104</v>
      </c>
      <c r="V477" s="538" t="str">
        <f>VLOOKUP(Q477,'GL Category'!A:C,3,FALSE)</f>
        <v>Services &amp; other</v>
      </c>
      <c r="W477" s="538"/>
      <c r="X477" s="83"/>
    </row>
    <row r="478" spans="1:24" s="83" customFormat="1" ht="20.399999999999999" customHeight="1">
      <c r="A478" s="608" t="s">
        <v>791</v>
      </c>
      <c r="B478" s="608" t="s">
        <v>2327</v>
      </c>
      <c r="C478" s="608" t="s">
        <v>0</v>
      </c>
      <c r="D478" s="609">
        <v>729.21</v>
      </c>
      <c r="E478" s="609">
        <v>10670.14</v>
      </c>
      <c r="F478" s="609">
        <v>0</v>
      </c>
      <c r="G478" s="609">
        <v>0</v>
      </c>
      <c r="H478" s="609">
        <v>18340</v>
      </c>
      <c r="I478" s="609">
        <v>0</v>
      </c>
      <c r="J478" s="609">
        <v>0</v>
      </c>
      <c r="K478" s="609">
        <v>18340</v>
      </c>
      <c r="L478" s="609">
        <v>0</v>
      </c>
      <c r="M478" s="609">
        <v>0</v>
      </c>
      <c r="N478" s="587">
        <f t="shared" si="44"/>
        <v>18340</v>
      </c>
      <c r="O478"/>
      <c r="P478" s="490"/>
      <c r="Q478" t="str">
        <f t="shared" si="45"/>
        <v>50109</v>
      </c>
      <c r="R478" s="126" t="str">
        <f t="shared" si="46"/>
        <v>OVERTIME</v>
      </c>
      <c r="S478" s="125" t="str">
        <f t="shared" si="47"/>
        <v>100</v>
      </c>
      <c r="T478" s="125" t="str">
        <f t="shared" si="48"/>
        <v>10</v>
      </c>
      <c r="U478" s="125" t="str">
        <f t="shared" si="49"/>
        <v>105</v>
      </c>
      <c r="V478" s="125" t="str">
        <f>VLOOKUP(Q478,'GL Category'!A:C,3,FALSE)</f>
        <v>Personnel services</v>
      </c>
      <c r="W478" s="125"/>
    </row>
    <row r="479" spans="1:24" s="541" customFormat="1" ht="20.399999999999999" customHeight="1">
      <c r="A479" s="608" t="s">
        <v>791</v>
      </c>
      <c r="B479" s="608" t="s">
        <v>2328</v>
      </c>
      <c r="C479" s="608" t="s">
        <v>1</v>
      </c>
      <c r="D479" s="609">
        <v>53.18</v>
      </c>
      <c r="E479" s="609">
        <v>788.65</v>
      </c>
      <c r="F479" s="609">
        <v>0</v>
      </c>
      <c r="G479" s="609">
        <v>0</v>
      </c>
      <c r="H479" s="609">
        <v>1410</v>
      </c>
      <c r="I479" s="609">
        <v>0</v>
      </c>
      <c r="J479" s="609">
        <v>498</v>
      </c>
      <c r="K479" s="609">
        <v>1410</v>
      </c>
      <c r="L479" s="609">
        <v>0</v>
      </c>
      <c r="M479" s="609">
        <v>0</v>
      </c>
      <c r="N479" s="587">
        <f t="shared" si="44"/>
        <v>1410</v>
      </c>
      <c r="O479"/>
      <c r="P479" s="490"/>
      <c r="Q479" t="str">
        <f t="shared" si="45"/>
        <v>50610</v>
      </c>
      <c r="R479" s="540" t="str">
        <f t="shared" si="46"/>
        <v>SOCIAL SECURITY</v>
      </c>
      <c r="S479" s="538" t="str">
        <f t="shared" si="47"/>
        <v>100</v>
      </c>
      <c r="T479" s="125" t="str">
        <f t="shared" si="48"/>
        <v>10</v>
      </c>
      <c r="U479" s="125" t="str">
        <f t="shared" si="49"/>
        <v>105</v>
      </c>
      <c r="V479" s="538" t="str">
        <f>VLOOKUP(Q479,'GL Category'!A:C,3,FALSE)</f>
        <v>Personnel services</v>
      </c>
      <c r="W479" s="538"/>
      <c r="X479" s="83"/>
    </row>
    <row r="480" spans="1:24" s="83" customFormat="1" ht="20.399999999999999" customHeight="1">
      <c r="A480" s="608" t="s">
        <v>791</v>
      </c>
      <c r="B480" s="608" t="s">
        <v>2329</v>
      </c>
      <c r="C480" s="608" t="s">
        <v>142</v>
      </c>
      <c r="D480" s="609">
        <v>126.43</v>
      </c>
      <c r="E480" s="609">
        <v>1467.12</v>
      </c>
      <c r="F480" s="609">
        <v>0</v>
      </c>
      <c r="G480" s="609">
        <v>0</v>
      </c>
      <c r="H480" s="609">
        <v>33</v>
      </c>
      <c r="I480" s="609">
        <v>0</v>
      </c>
      <c r="J480" s="609">
        <v>13</v>
      </c>
      <c r="K480" s="609">
        <v>33</v>
      </c>
      <c r="L480" s="609">
        <v>0</v>
      </c>
      <c r="M480" s="609">
        <v>0</v>
      </c>
      <c r="N480" s="587">
        <f t="shared" si="44"/>
        <v>33</v>
      </c>
      <c r="O480"/>
      <c r="P480" s="490">
        <f>N480-H480</f>
        <v>0</v>
      </c>
      <c r="Q480" t="str">
        <f t="shared" si="45"/>
        <v>50620</v>
      </c>
      <c r="R480" s="126" t="str">
        <f t="shared" si="46"/>
        <v>HEALTH/LIFE INSURANCE</v>
      </c>
      <c r="S480" s="125" t="str">
        <f t="shared" si="47"/>
        <v>100</v>
      </c>
      <c r="T480" s="125" t="str">
        <f t="shared" si="48"/>
        <v>10</v>
      </c>
      <c r="U480" s="125" t="str">
        <f t="shared" si="49"/>
        <v>105</v>
      </c>
      <c r="V480" s="125" t="str">
        <f>VLOOKUP(Q480,'GL Category'!A:C,3,FALSE)</f>
        <v>Personnel services</v>
      </c>
      <c r="W480" s="125"/>
    </row>
    <row r="481" spans="1:23" s="83" customFormat="1" ht="20.399999999999999" customHeight="1">
      <c r="A481" s="608" t="s">
        <v>791</v>
      </c>
      <c r="B481" s="608" t="s">
        <v>2330</v>
      </c>
      <c r="C481" s="608" t="s">
        <v>144</v>
      </c>
      <c r="D481" s="609">
        <v>117.27</v>
      </c>
      <c r="E481" s="609">
        <v>115.88</v>
      </c>
      <c r="F481" s="609">
        <v>125.09</v>
      </c>
      <c r="G481" s="609">
        <v>219.55</v>
      </c>
      <c r="H481" s="609">
        <v>278</v>
      </c>
      <c r="I481" s="609">
        <v>277.77</v>
      </c>
      <c r="J481" s="609">
        <v>278</v>
      </c>
      <c r="K481" s="609">
        <v>289</v>
      </c>
      <c r="L481" s="609">
        <v>0</v>
      </c>
      <c r="M481" s="609">
        <v>0</v>
      </c>
      <c r="N481" s="587">
        <f t="shared" si="44"/>
        <v>289</v>
      </c>
      <c r="O481"/>
      <c r="P481" s="490"/>
      <c r="Q481" t="str">
        <f t="shared" si="45"/>
        <v>50630</v>
      </c>
      <c r="R481" s="126" t="str">
        <f t="shared" si="46"/>
        <v>WORKER COMPENSATION</v>
      </c>
      <c r="S481" s="125" t="str">
        <f t="shared" si="47"/>
        <v>100</v>
      </c>
      <c r="T481" s="125" t="str">
        <f t="shared" si="48"/>
        <v>10</v>
      </c>
      <c r="U481" s="125" t="str">
        <f t="shared" si="49"/>
        <v>105</v>
      </c>
      <c r="V481" s="125" t="str">
        <f>VLOOKUP(Q481,'GL Category'!A:C,3,FALSE)</f>
        <v>Personnel services</v>
      </c>
      <c r="W481" s="125"/>
    </row>
    <row r="482" spans="1:23" s="83" customFormat="1" ht="20.399999999999999" customHeight="1">
      <c r="A482" s="608" t="s">
        <v>791</v>
      </c>
      <c r="B482" s="608" t="s">
        <v>2331</v>
      </c>
      <c r="C482" s="608" t="s">
        <v>2</v>
      </c>
      <c r="D482" s="609">
        <v>113.69</v>
      </c>
      <c r="E482" s="609">
        <v>1730.69</v>
      </c>
      <c r="F482" s="609">
        <v>0</v>
      </c>
      <c r="G482" s="609">
        <v>0</v>
      </c>
      <c r="H482" s="609">
        <v>3033</v>
      </c>
      <c r="I482" s="609">
        <v>0</v>
      </c>
      <c r="J482" s="609">
        <v>1085</v>
      </c>
      <c r="K482" s="609">
        <v>3107</v>
      </c>
      <c r="L482" s="609">
        <v>0</v>
      </c>
      <c r="M482" s="609">
        <v>0</v>
      </c>
      <c r="N482" s="587">
        <f t="shared" si="44"/>
        <v>3107</v>
      </c>
      <c r="O482"/>
      <c r="P482" s="490"/>
      <c r="Q482" t="str">
        <f t="shared" si="45"/>
        <v>50650</v>
      </c>
      <c r="R482" s="126" t="str">
        <f t="shared" si="46"/>
        <v>RETIREMENT</v>
      </c>
      <c r="S482" s="125" t="str">
        <f t="shared" si="47"/>
        <v>100</v>
      </c>
      <c r="T482" s="125" t="str">
        <f t="shared" si="48"/>
        <v>10</v>
      </c>
      <c r="U482" s="125" t="str">
        <f t="shared" si="49"/>
        <v>105</v>
      </c>
      <c r="V482" s="125" t="str">
        <f>VLOOKUP(Q482,'GL Category'!A:C,3,FALSE)</f>
        <v>Personnel services</v>
      </c>
      <c r="W482" s="125"/>
    </row>
    <row r="483" spans="1:23" s="83" customFormat="1" ht="20.399999999999999" customHeight="1">
      <c r="A483" s="608" t="s">
        <v>791</v>
      </c>
      <c r="B483" s="608" t="s">
        <v>2334</v>
      </c>
      <c r="C483" s="608" t="s">
        <v>238</v>
      </c>
      <c r="D483" s="609">
        <v>106919.06</v>
      </c>
      <c r="E483" s="609">
        <v>109005</v>
      </c>
      <c r="F483" s="609">
        <v>115869</v>
      </c>
      <c r="G483" s="609">
        <v>118253.8</v>
      </c>
      <c r="H483" s="609">
        <v>125745</v>
      </c>
      <c r="I483" s="609">
        <v>110057.5</v>
      </c>
      <c r="J483" s="609">
        <v>125745</v>
      </c>
      <c r="K483" s="609">
        <v>125745</v>
      </c>
      <c r="L483" s="609">
        <v>10471</v>
      </c>
      <c r="M483" s="609">
        <v>0</v>
      </c>
      <c r="N483" s="587">
        <f t="shared" si="44"/>
        <v>136216</v>
      </c>
      <c r="O483"/>
      <c r="P483" s="490"/>
      <c r="Q483" t="str">
        <f t="shared" si="45"/>
        <v>53599</v>
      </c>
      <c r="R483" s="126" t="str">
        <f t="shared" si="46"/>
        <v>MISCELLANEOUS SERVICES</v>
      </c>
      <c r="S483" s="125" t="str">
        <f t="shared" si="47"/>
        <v>100</v>
      </c>
      <c r="T483" s="125" t="str">
        <f t="shared" si="48"/>
        <v>10</v>
      </c>
      <c r="U483" s="125" t="str">
        <f t="shared" si="49"/>
        <v>105</v>
      </c>
      <c r="V483" s="125" t="str">
        <f>VLOOKUP(Q483,'GL Category'!A:C,3,FALSE)</f>
        <v>Services &amp; other</v>
      </c>
      <c r="W483" s="125"/>
    </row>
    <row r="484" spans="1:23" s="83" customFormat="1" ht="20.399999999999999" customHeight="1">
      <c r="A484" s="608" t="s">
        <v>791</v>
      </c>
      <c r="B484" s="608" t="s">
        <v>2337</v>
      </c>
      <c r="C484" s="608" t="s">
        <v>130</v>
      </c>
      <c r="D484" s="609">
        <v>78136</v>
      </c>
      <c r="E484" s="609">
        <v>80328.34</v>
      </c>
      <c r="F484" s="609">
        <v>84258.09</v>
      </c>
      <c r="G484" s="609">
        <v>87702.01</v>
      </c>
      <c r="H484" s="609">
        <v>90928</v>
      </c>
      <c r="I484" s="609">
        <v>69699.740000000005</v>
      </c>
      <c r="J484" s="609">
        <v>91492</v>
      </c>
      <c r="K484" s="609">
        <v>94599</v>
      </c>
      <c r="L484" s="609">
        <v>0</v>
      </c>
      <c r="M484" s="609">
        <v>0</v>
      </c>
      <c r="N484" s="587">
        <f t="shared" si="44"/>
        <v>94599</v>
      </c>
      <c r="O484"/>
      <c r="P484" s="490"/>
      <c r="Q484" t="str">
        <f t="shared" si="45"/>
        <v>50101</v>
      </c>
      <c r="R484" s="126" t="str">
        <f t="shared" si="46"/>
        <v>EXEMPT SALARIES</v>
      </c>
      <c r="S484" s="125" t="str">
        <f t="shared" si="47"/>
        <v>100</v>
      </c>
      <c r="T484" s="125" t="str">
        <f t="shared" si="48"/>
        <v>11</v>
      </c>
      <c r="U484" s="125" t="str">
        <f t="shared" si="49"/>
        <v>111</v>
      </c>
      <c r="V484" s="125" t="str">
        <f>VLOOKUP(Q484,'GL Category'!A:C,3,FALSE)</f>
        <v>Personnel services</v>
      </c>
      <c r="W484" s="125"/>
    </row>
    <row r="485" spans="1:23" s="83" customFormat="1" ht="20.399999999999999" customHeight="1">
      <c r="A485" s="608" t="s">
        <v>791</v>
      </c>
      <c r="B485" s="608" t="s">
        <v>2338</v>
      </c>
      <c r="C485" s="608" t="s">
        <v>132</v>
      </c>
      <c r="D485" s="609">
        <v>79484.12</v>
      </c>
      <c r="E485" s="609">
        <v>81749.22</v>
      </c>
      <c r="F485" s="609">
        <v>82571.22</v>
      </c>
      <c r="G485" s="609">
        <v>83800.56</v>
      </c>
      <c r="H485" s="609">
        <v>85259</v>
      </c>
      <c r="I485" s="609">
        <v>65449.21</v>
      </c>
      <c r="J485" s="609">
        <v>85917</v>
      </c>
      <c r="K485" s="609">
        <v>89490</v>
      </c>
      <c r="L485" s="609">
        <v>0</v>
      </c>
      <c r="M485" s="609">
        <v>0</v>
      </c>
      <c r="N485" s="587">
        <f t="shared" si="44"/>
        <v>89490</v>
      </c>
      <c r="O485"/>
      <c r="P485" s="490"/>
      <c r="Q485" t="str">
        <f t="shared" si="45"/>
        <v>50102</v>
      </c>
      <c r="R485" s="126" t="str">
        <f t="shared" si="46"/>
        <v>NON EXEMPT SALARIES</v>
      </c>
      <c r="S485" s="125" t="str">
        <f t="shared" si="47"/>
        <v>100</v>
      </c>
      <c r="T485" s="125" t="str">
        <f t="shared" si="48"/>
        <v>11</v>
      </c>
      <c r="U485" s="125" t="str">
        <f t="shared" si="49"/>
        <v>111</v>
      </c>
      <c r="V485" s="125" t="str">
        <f>VLOOKUP(Q485,'GL Category'!A:C,3,FALSE)</f>
        <v>Personnel services</v>
      </c>
      <c r="W485" s="125"/>
    </row>
    <row r="486" spans="1:23" s="83" customFormat="1" ht="20.399999999999999" customHeight="1">
      <c r="A486" s="608" t="s">
        <v>791</v>
      </c>
      <c r="B486" s="608" t="s">
        <v>2339</v>
      </c>
      <c r="C486" s="608" t="s">
        <v>0</v>
      </c>
      <c r="D486" s="609">
        <v>1210.3800000000001</v>
      </c>
      <c r="E486" s="609">
        <v>2365.2399999999998</v>
      </c>
      <c r="F486" s="609">
        <v>2747.62</v>
      </c>
      <c r="G486" s="609">
        <v>2847.46</v>
      </c>
      <c r="H486" s="609">
        <v>3000</v>
      </c>
      <c r="I486" s="609">
        <v>569.02</v>
      </c>
      <c r="J486" s="609">
        <v>197</v>
      </c>
      <c r="K486" s="609">
        <v>3000</v>
      </c>
      <c r="L486" s="609">
        <v>0</v>
      </c>
      <c r="M486" s="609">
        <v>0</v>
      </c>
      <c r="N486" s="587">
        <f t="shared" si="44"/>
        <v>3000</v>
      </c>
      <c r="O486"/>
      <c r="P486" s="490"/>
      <c r="Q486" t="str">
        <f t="shared" si="45"/>
        <v>50109</v>
      </c>
      <c r="R486" s="126" t="str">
        <f t="shared" si="46"/>
        <v>OVERTIME</v>
      </c>
      <c r="S486" s="125" t="str">
        <f t="shared" si="47"/>
        <v>100</v>
      </c>
      <c r="T486" s="125" t="str">
        <f t="shared" si="48"/>
        <v>11</v>
      </c>
      <c r="U486" s="125" t="str">
        <f t="shared" si="49"/>
        <v>111</v>
      </c>
      <c r="V486" s="125" t="str">
        <f>VLOOKUP(Q486,'GL Category'!A:C,3,FALSE)</f>
        <v>Personnel services</v>
      </c>
      <c r="W486" s="125"/>
    </row>
    <row r="487" spans="1:23" s="83" customFormat="1" ht="20.399999999999999" customHeight="1">
      <c r="A487" s="608" t="s">
        <v>791</v>
      </c>
      <c r="B487" s="608" t="s">
        <v>2340</v>
      </c>
      <c r="C487" s="608" t="s">
        <v>137</v>
      </c>
      <c r="D487" s="609">
        <v>1630</v>
      </c>
      <c r="E487" s="609">
        <v>1810</v>
      </c>
      <c r="F487" s="609">
        <v>1990</v>
      </c>
      <c r="G487" s="609">
        <v>1895</v>
      </c>
      <c r="H487" s="609">
        <v>2044</v>
      </c>
      <c r="I487" s="609">
        <v>2015</v>
      </c>
      <c r="J487" s="609">
        <v>2015</v>
      </c>
      <c r="K487" s="609">
        <v>2275</v>
      </c>
      <c r="L487" s="609">
        <v>0</v>
      </c>
      <c r="M487" s="609">
        <v>0</v>
      </c>
      <c r="N487" s="587">
        <f t="shared" si="44"/>
        <v>2275</v>
      </c>
      <c r="O487"/>
      <c r="P487" s="490"/>
      <c r="Q487" t="str">
        <f t="shared" si="45"/>
        <v>50111</v>
      </c>
      <c r="R487" s="126" t="str">
        <f t="shared" si="46"/>
        <v>LONGEVITY PAY</v>
      </c>
      <c r="S487" s="125" t="str">
        <f t="shared" si="47"/>
        <v>100</v>
      </c>
      <c r="T487" s="125" t="str">
        <f t="shared" si="48"/>
        <v>11</v>
      </c>
      <c r="U487" s="125" t="str">
        <f t="shared" si="49"/>
        <v>111</v>
      </c>
      <c r="V487" s="125" t="str">
        <f>VLOOKUP(Q487,'GL Category'!A:C,3,FALSE)</f>
        <v>Personnel services</v>
      </c>
      <c r="W487" s="125"/>
    </row>
    <row r="488" spans="1:23" s="83" customFormat="1" ht="20.399999999999999" customHeight="1">
      <c r="A488" s="608" t="s">
        <v>791</v>
      </c>
      <c r="B488" s="608" t="s">
        <v>2341</v>
      </c>
      <c r="C488" s="608" t="s">
        <v>1</v>
      </c>
      <c r="D488" s="609">
        <v>11775.76</v>
      </c>
      <c r="E488" s="609">
        <v>12184.57</v>
      </c>
      <c r="F488" s="609">
        <v>12579.3</v>
      </c>
      <c r="G488" s="609">
        <v>11786.51</v>
      </c>
      <c r="H488" s="609">
        <v>14120</v>
      </c>
      <c r="I488" s="609">
        <v>10302.07</v>
      </c>
      <c r="J488" s="609">
        <v>13607</v>
      </c>
      <c r="K488" s="609">
        <v>14740</v>
      </c>
      <c r="L488" s="609">
        <v>0</v>
      </c>
      <c r="M488" s="609">
        <v>0</v>
      </c>
      <c r="N488" s="587">
        <f t="shared" si="44"/>
        <v>14740</v>
      </c>
      <c r="O488"/>
      <c r="P488" s="490"/>
      <c r="Q488" t="str">
        <f t="shared" si="45"/>
        <v>50610</v>
      </c>
      <c r="R488" s="126" t="str">
        <f t="shared" si="46"/>
        <v>SOCIAL SECURITY</v>
      </c>
      <c r="S488" s="125" t="str">
        <f t="shared" si="47"/>
        <v>100</v>
      </c>
      <c r="T488" s="125" t="str">
        <f t="shared" si="48"/>
        <v>11</v>
      </c>
      <c r="U488" s="125" t="str">
        <f t="shared" si="49"/>
        <v>111</v>
      </c>
      <c r="V488" s="125" t="str">
        <f>VLOOKUP(Q488,'GL Category'!A:C,3,FALSE)</f>
        <v>Personnel services</v>
      </c>
      <c r="W488" s="125"/>
    </row>
    <row r="489" spans="1:23" s="83" customFormat="1" ht="20.399999999999999" customHeight="1">
      <c r="A489" s="608" t="s">
        <v>791</v>
      </c>
      <c r="B489" s="608" t="s">
        <v>2342</v>
      </c>
      <c r="C489" s="608" t="s">
        <v>142</v>
      </c>
      <c r="D489" s="609">
        <v>38763.699999999997</v>
      </c>
      <c r="E489" s="609">
        <v>40723.93</v>
      </c>
      <c r="F489" s="609">
        <v>39390.959999999999</v>
      </c>
      <c r="G489" s="609">
        <v>37729.589999999997</v>
      </c>
      <c r="H489" s="609">
        <v>33003</v>
      </c>
      <c r="I489" s="609">
        <v>25272.04</v>
      </c>
      <c r="J489" s="609">
        <v>34173</v>
      </c>
      <c r="K489" s="609">
        <v>33320</v>
      </c>
      <c r="L489" s="609">
        <v>0</v>
      </c>
      <c r="M489" s="609">
        <v>0</v>
      </c>
      <c r="N489" s="587">
        <f t="shared" si="44"/>
        <v>33320</v>
      </c>
      <c r="O489"/>
      <c r="P489" s="490"/>
      <c r="Q489" t="str">
        <f t="shared" si="45"/>
        <v>50620</v>
      </c>
      <c r="R489" s="126" t="str">
        <f t="shared" si="46"/>
        <v>HEALTH/LIFE INSURANCE</v>
      </c>
      <c r="S489" s="125" t="str">
        <f t="shared" si="47"/>
        <v>100</v>
      </c>
      <c r="T489" s="125" t="str">
        <f t="shared" si="48"/>
        <v>11</v>
      </c>
      <c r="U489" s="125" t="str">
        <f t="shared" si="49"/>
        <v>111</v>
      </c>
      <c r="V489" s="125" t="str">
        <f>VLOOKUP(Q489,'GL Category'!A:C,3,FALSE)</f>
        <v>Personnel services</v>
      </c>
      <c r="W489" s="125"/>
    </row>
    <row r="490" spans="1:23" s="83" customFormat="1" ht="20.399999999999999" customHeight="1">
      <c r="A490" s="608" t="s">
        <v>791</v>
      </c>
      <c r="B490" s="608" t="s">
        <v>2343</v>
      </c>
      <c r="C490" s="608" t="s">
        <v>144</v>
      </c>
      <c r="D490" s="609">
        <v>1329.4</v>
      </c>
      <c r="E490" s="609">
        <v>1361.37</v>
      </c>
      <c r="F490" s="609">
        <v>1542.19</v>
      </c>
      <c r="G490" s="609">
        <v>2809.01</v>
      </c>
      <c r="H490" s="609">
        <v>3545</v>
      </c>
      <c r="I490" s="609">
        <v>3542.11</v>
      </c>
      <c r="J490" s="609">
        <v>3542</v>
      </c>
      <c r="K490" s="609">
        <v>3568</v>
      </c>
      <c r="L490" s="609">
        <v>0</v>
      </c>
      <c r="M490" s="609">
        <v>0</v>
      </c>
      <c r="N490" s="587">
        <f t="shared" si="44"/>
        <v>3568</v>
      </c>
      <c r="O490"/>
      <c r="P490" s="490"/>
      <c r="Q490" t="str">
        <f t="shared" si="45"/>
        <v>50630</v>
      </c>
      <c r="R490" s="126" t="str">
        <f t="shared" si="46"/>
        <v>WORKER COMPENSATION</v>
      </c>
      <c r="S490" s="125" t="str">
        <f t="shared" si="47"/>
        <v>100</v>
      </c>
      <c r="T490" s="125" t="str">
        <f t="shared" si="48"/>
        <v>11</v>
      </c>
      <c r="U490" s="125" t="str">
        <f t="shared" si="49"/>
        <v>111</v>
      </c>
      <c r="V490" s="125" t="str">
        <f>VLOOKUP(Q490,'GL Category'!A:C,3,FALSE)</f>
        <v>Personnel services</v>
      </c>
      <c r="W490" s="125"/>
    </row>
    <row r="491" spans="1:23" s="83" customFormat="1" ht="20.399999999999999" customHeight="1">
      <c r="A491" s="608" t="s">
        <v>791</v>
      </c>
      <c r="B491" s="608" t="s">
        <v>2344</v>
      </c>
      <c r="C491" s="608" t="s">
        <v>2</v>
      </c>
      <c r="D491" s="609">
        <v>25488.47</v>
      </c>
      <c r="E491" s="609">
        <v>26870.35</v>
      </c>
      <c r="F491" s="609">
        <v>27776.3</v>
      </c>
      <c r="G491" s="609">
        <v>28841.98</v>
      </c>
      <c r="H491" s="609">
        <v>30489</v>
      </c>
      <c r="I491" s="609">
        <v>23153.88</v>
      </c>
      <c r="J491" s="609">
        <v>30200</v>
      </c>
      <c r="K491" s="609">
        <v>32604</v>
      </c>
      <c r="L491" s="609">
        <v>0</v>
      </c>
      <c r="M491" s="609">
        <v>0</v>
      </c>
      <c r="N491" s="587">
        <f t="shared" si="44"/>
        <v>32604</v>
      </c>
      <c r="O491"/>
      <c r="P491" s="490"/>
      <c r="Q491" t="str">
        <f t="shared" si="45"/>
        <v>50650</v>
      </c>
      <c r="R491" s="126" t="str">
        <f t="shared" si="46"/>
        <v>RETIREMENT</v>
      </c>
      <c r="S491" s="125" t="str">
        <f t="shared" si="47"/>
        <v>100</v>
      </c>
      <c r="T491" s="125" t="str">
        <f t="shared" si="48"/>
        <v>11</v>
      </c>
      <c r="U491" s="125" t="str">
        <f t="shared" si="49"/>
        <v>111</v>
      </c>
      <c r="V491" s="125" t="str">
        <f>VLOOKUP(Q491,'GL Category'!A:C,3,FALSE)</f>
        <v>Personnel services</v>
      </c>
      <c r="W491" s="125"/>
    </row>
    <row r="492" spans="1:23" s="83" customFormat="1" ht="20.399999999999999" customHeight="1">
      <c r="A492" s="608" t="s">
        <v>791</v>
      </c>
      <c r="B492" s="608" t="s">
        <v>2345</v>
      </c>
      <c r="C492" s="608" t="s">
        <v>149</v>
      </c>
      <c r="D492" s="609">
        <v>16895.7</v>
      </c>
      <c r="E492" s="609">
        <v>3995.15</v>
      </c>
      <c r="F492" s="609">
        <v>2389.44</v>
      </c>
      <c r="G492" s="609">
        <v>2673</v>
      </c>
      <c r="H492" s="609">
        <v>7000</v>
      </c>
      <c r="I492" s="609">
        <v>1161.7</v>
      </c>
      <c r="J492" s="609">
        <v>2501</v>
      </c>
      <c r="K492" s="609">
        <v>7000</v>
      </c>
      <c r="L492" s="609">
        <v>0</v>
      </c>
      <c r="M492" s="609">
        <v>0</v>
      </c>
      <c r="N492" s="587">
        <f t="shared" si="44"/>
        <v>7000</v>
      </c>
      <c r="O492"/>
      <c r="P492" s="490"/>
      <c r="Q492" t="str">
        <f t="shared" si="45"/>
        <v>51210</v>
      </c>
      <c r="R492" s="126" t="str">
        <f t="shared" si="46"/>
        <v>OFFICE SUPPLIES</v>
      </c>
      <c r="S492" s="125" t="str">
        <f t="shared" si="47"/>
        <v>100</v>
      </c>
      <c r="T492" s="125" t="str">
        <f t="shared" si="48"/>
        <v>11</v>
      </c>
      <c r="U492" s="125" t="str">
        <f t="shared" si="49"/>
        <v>111</v>
      </c>
      <c r="V492" s="125" t="str">
        <f>VLOOKUP(Q492,'GL Category'!A:C,3,FALSE)</f>
        <v>Operations &amp; maintenance</v>
      </c>
      <c r="W492" s="125"/>
    </row>
    <row r="493" spans="1:23" s="83" customFormat="1" ht="20.399999999999999" customHeight="1">
      <c r="A493" s="608" t="s">
        <v>791</v>
      </c>
      <c r="B493" s="608" t="s">
        <v>2346</v>
      </c>
      <c r="C493" s="608" t="s">
        <v>155</v>
      </c>
      <c r="D493" s="609">
        <v>8642.34</v>
      </c>
      <c r="E493" s="609">
        <v>6656.59</v>
      </c>
      <c r="F493" s="609">
        <v>6380.67</v>
      </c>
      <c r="G493" s="609">
        <v>7190.24</v>
      </c>
      <c r="H493" s="609">
        <v>11000</v>
      </c>
      <c r="I493" s="609">
        <v>3719.48</v>
      </c>
      <c r="J493" s="609">
        <v>8000</v>
      </c>
      <c r="K493" s="609">
        <v>11000</v>
      </c>
      <c r="L493" s="609">
        <v>0</v>
      </c>
      <c r="M493" s="609">
        <v>0</v>
      </c>
      <c r="N493" s="587">
        <f t="shared" si="44"/>
        <v>11000</v>
      </c>
      <c r="O493"/>
      <c r="P493" s="490"/>
      <c r="Q493" t="str">
        <f t="shared" si="45"/>
        <v>51225</v>
      </c>
      <c r="R493" s="126" t="str">
        <f t="shared" si="46"/>
        <v>JANITORIAL SUPPLIES</v>
      </c>
      <c r="S493" s="125" t="str">
        <f t="shared" si="47"/>
        <v>100</v>
      </c>
      <c r="T493" s="125" t="str">
        <f t="shared" si="48"/>
        <v>11</v>
      </c>
      <c r="U493" s="125" t="str">
        <f t="shared" si="49"/>
        <v>111</v>
      </c>
      <c r="V493" s="125" t="str">
        <f>VLOOKUP(Q493,'GL Category'!A:C,3,FALSE)</f>
        <v>Operations &amp; maintenance</v>
      </c>
      <c r="W493" s="125"/>
    </row>
    <row r="494" spans="1:23" s="83" customFormat="1" ht="20.399999999999999" customHeight="1">
      <c r="A494" s="608" t="s">
        <v>791</v>
      </c>
      <c r="B494" s="608" t="s">
        <v>2347</v>
      </c>
      <c r="C494" s="608" t="s">
        <v>4</v>
      </c>
      <c r="D494" s="609">
        <v>2320.94</v>
      </c>
      <c r="E494" s="609">
        <v>3568.31</v>
      </c>
      <c r="F494" s="609">
        <v>1918.49</v>
      </c>
      <c r="G494" s="609">
        <v>3018.67</v>
      </c>
      <c r="H494" s="609">
        <v>5500</v>
      </c>
      <c r="I494" s="609">
        <v>1673.08</v>
      </c>
      <c r="J494" s="609">
        <v>5500</v>
      </c>
      <c r="K494" s="609">
        <v>5500</v>
      </c>
      <c r="L494" s="609">
        <v>0</v>
      </c>
      <c r="M494" s="609">
        <v>0</v>
      </c>
      <c r="N494" s="587">
        <f t="shared" si="44"/>
        <v>5500</v>
      </c>
      <c r="O494"/>
      <c r="P494" s="490"/>
      <c r="Q494" t="str">
        <f t="shared" si="45"/>
        <v>51245</v>
      </c>
      <c r="R494" s="126" t="str">
        <f t="shared" si="46"/>
        <v>SMALL TOOLS &amp; EQUIPMENT</v>
      </c>
      <c r="S494" s="125" t="str">
        <f t="shared" si="47"/>
        <v>100</v>
      </c>
      <c r="T494" s="125" t="str">
        <f t="shared" si="48"/>
        <v>11</v>
      </c>
      <c r="U494" s="125" t="str">
        <f t="shared" si="49"/>
        <v>111</v>
      </c>
      <c r="V494" s="125" t="str">
        <f>VLOOKUP(Q494,'GL Category'!A:C,3,FALSE)</f>
        <v>Operations &amp; maintenance</v>
      </c>
      <c r="W494" s="125"/>
    </row>
    <row r="495" spans="1:23" s="83" customFormat="1" ht="20.399999999999999" customHeight="1">
      <c r="A495" s="608" t="s">
        <v>791</v>
      </c>
      <c r="B495" s="608" t="s">
        <v>2347</v>
      </c>
      <c r="C495" s="608" t="s">
        <v>4</v>
      </c>
      <c r="D495" s="609">
        <v>0</v>
      </c>
      <c r="E495" s="609">
        <v>0</v>
      </c>
      <c r="F495" s="609">
        <v>0</v>
      </c>
      <c r="G495" s="609">
        <v>0</v>
      </c>
      <c r="H495" s="609">
        <v>0</v>
      </c>
      <c r="I495" s="609">
        <v>0</v>
      </c>
      <c r="J495" s="609">
        <v>0</v>
      </c>
      <c r="K495" s="609">
        <v>0</v>
      </c>
      <c r="L495" s="609">
        <v>0</v>
      </c>
      <c r="M495" s="609">
        <v>0</v>
      </c>
      <c r="N495" s="587">
        <f t="shared" si="44"/>
        <v>0</v>
      </c>
      <c r="O495"/>
      <c r="P495" s="490"/>
      <c r="Q495" t="str">
        <f t="shared" si="45"/>
        <v>51245</v>
      </c>
      <c r="R495" s="126" t="str">
        <f t="shared" si="46"/>
        <v>SMALL TOOLS &amp; EQUIPMENT</v>
      </c>
      <c r="S495" s="125" t="str">
        <f t="shared" si="47"/>
        <v>100</v>
      </c>
      <c r="T495" s="125" t="str">
        <f t="shared" si="48"/>
        <v>11</v>
      </c>
      <c r="U495" s="125" t="str">
        <f t="shared" si="49"/>
        <v>111</v>
      </c>
      <c r="V495" s="125" t="str">
        <f>VLOOKUP(Q495,'GL Category'!A:C,3,FALSE)</f>
        <v>Operations &amp; maintenance</v>
      </c>
      <c r="W495" s="125"/>
    </row>
    <row r="496" spans="1:23" s="83" customFormat="1" ht="20.399999999999999" customHeight="1">
      <c r="A496" s="608" t="s">
        <v>791</v>
      </c>
      <c r="B496" s="608" t="s">
        <v>2348</v>
      </c>
      <c r="C496" s="608" t="s">
        <v>161</v>
      </c>
      <c r="D496" s="609">
        <v>1551.07</v>
      </c>
      <c r="E496" s="609">
        <v>2134.35</v>
      </c>
      <c r="F496" s="609">
        <v>2553.9699999999998</v>
      </c>
      <c r="G496" s="609">
        <v>1626.31</v>
      </c>
      <c r="H496" s="609">
        <v>4000</v>
      </c>
      <c r="I496" s="609">
        <v>1066</v>
      </c>
      <c r="J496" s="609">
        <v>3500</v>
      </c>
      <c r="K496" s="609">
        <v>4000</v>
      </c>
      <c r="L496" s="609">
        <v>0</v>
      </c>
      <c r="M496" s="609">
        <v>0</v>
      </c>
      <c r="N496" s="587">
        <f t="shared" si="44"/>
        <v>4000</v>
      </c>
      <c r="O496"/>
      <c r="P496" s="490"/>
      <c r="Q496" t="str">
        <f t="shared" si="45"/>
        <v>51255</v>
      </c>
      <c r="R496" s="126" t="str">
        <f t="shared" si="46"/>
        <v>FUEL/OILS/LUBRICANTS</v>
      </c>
      <c r="S496" s="125" t="str">
        <f t="shared" si="47"/>
        <v>100</v>
      </c>
      <c r="T496" s="125" t="str">
        <f t="shared" si="48"/>
        <v>11</v>
      </c>
      <c r="U496" s="125" t="str">
        <f t="shared" si="49"/>
        <v>111</v>
      </c>
      <c r="V496" s="125" t="str">
        <f>VLOOKUP(Q496,'GL Category'!A:C,3,FALSE)</f>
        <v>Operations &amp; maintenance</v>
      </c>
      <c r="W496" s="125"/>
    </row>
    <row r="497" spans="1:23" s="83" customFormat="1" ht="20.399999999999999" customHeight="1">
      <c r="A497" s="608" t="s">
        <v>791</v>
      </c>
      <c r="B497" s="608" t="s">
        <v>2349</v>
      </c>
      <c r="C497" s="608" t="s">
        <v>165</v>
      </c>
      <c r="D497" s="609">
        <v>8191.13</v>
      </c>
      <c r="E497" s="609">
        <v>5019.24</v>
      </c>
      <c r="F497" s="609">
        <v>5629.53</v>
      </c>
      <c r="G497" s="609">
        <v>7250.62</v>
      </c>
      <c r="H497" s="609">
        <v>8000</v>
      </c>
      <c r="I497" s="609">
        <v>8092.64</v>
      </c>
      <c r="J497" s="609">
        <v>8000</v>
      </c>
      <c r="K497" s="609">
        <v>8000</v>
      </c>
      <c r="L497" s="609">
        <v>0</v>
      </c>
      <c r="M497" s="609">
        <v>0</v>
      </c>
      <c r="N497" s="587">
        <f t="shared" si="44"/>
        <v>8000</v>
      </c>
      <c r="O497"/>
      <c r="P497" s="490"/>
      <c r="Q497" t="str">
        <f t="shared" si="45"/>
        <v>51271</v>
      </c>
      <c r="R497" s="126" t="str">
        <f t="shared" si="46"/>
        <v>BUILDING MATERIALS &amp; SUPPLIES</v>
      </c>
      <c r="S497" s="125" t="str">
        <f t="shared" si="47"/>
        <v>100</v>
      </c>
      <c r="T497" s="125" t="str">
        <f t="shared" si="48"/>
        <v>11</v>
      </c>
      <c r="U497" s="125" t="str">
        <f t="shared" si="49"/>
        <v>111</v>
      </c>
      <c r="V497" s="125" t="str">
        <f>VLOOKUP(Q497,'GL Category'!A:C,3,FALSE)</f>
        <v>Operations &amp; maintenance</v>
      </c>
      <c r="W497" s="125"/>
    </row>
    <row r="498" spans="1:23" s="83" customFormat="1" ht="20.399999999999999" customHeight="1">
      <c r="A498" s="608" t="s">
        <v>791</v>
      </c>
      <c r="B498" s="608" t="s">
        <v>2350</v>
      </c>
      <c r="C498" s="608" t="s">
        <v>167</v>
      </c>
      <c r="D498" s="609">
        <v>1274.68</v>
      </c>
      <c r="E498" s="609">
        <v>1462.25</v>
      </c>
      <c r="F498" s="609">
        <v>1113.94</v>
      </c>
      <c r="G498" s="609">
        <v>1489.83</v>
      </c>
      <c r="H498" s="609">
        <v>1750</v>
      </c>
      <c r="I498" s="609">
        <v>885.39</v>
      </c>
      <c r="J498" s="609">
        <v>1750</v>
      </c>
      <c r="K498" s="609">
        <v>1750</v>
      </c>
      <c r="L498" s="609">
        <v>0</v>
      </c>
      <c r="M498" s="609">
        <v>0</v>
      </c>
      <c r="N498" s="587">
        <f t="shared" si="44"/>
        <v>1750</v>
      </c>
      <c r="O498"/>
      <c r="P498" s="490"/>
      <c r="Q498" t="str">
        <f t="shared" si="45"/>
        <v>51285</v>
      </c>
      <c r="R498" s="126" t="str">
        <f t="shared" si="46"/>
        <v>WEARING APPAREL</v>
      </c>
      <c r="S498" s="125" t="str">
        <f t="shared" si="47"/>
        <v>100</v>
      </c>
      <c r="T498" s="125" t="str">
        <f t="shared" si="48"/>
        <v>11</v>
      </c>
      <c r="U498" s="125" t="str">
        <f t="shared" si="49"/>
        <v>111</v>
      </c>
      <c r="V498" s="125" t="str">
        <f>VLOOKUP(Q498,'GL Category'!A:C,3,FALSE)</f>
        <v>Operations &amp; maintenance</v>
      </c>
      <c r="W498" s="125"/>
    </row>
    <row r="499" spans="1:23" s="83" customFormat="1" ht="20.399999999999999" customHeight="1">
      <c r="A499" s="608" t="s">
        <v>791</v>
      </c>
      <c r="B499" s="608" t="s">
        <v>2351</v>
      </c>
      <c r="C499" s="608" t="s">
        <v>169</v>
      </c>
      <c r="D499" s="609">
        <v>1466.18</v>
      </c>
      <c r="E499" s="609">
        <v>915.99</v>
      </c>
      <c r="F499" s="609">
        <v>2650.73</v>
      </c>
      <c r="G499" s="609">
        <v>2438.31</v>
      </c>
      <c r="H499" s="609">
        <v>2500</v>
      </c>
      <c r="I499" s="609">
        <v>2209.16</v>
      </c>
      <c r="J499" s="609">
        <v>2500</v>
      </c>
      <c r="K499" s="609">
        <v>2500</v>
      </c>
      <c r="L499" s="609">
        <v>0</v>
      </c>
      <c r="M499" s="609">
        <v>0</v>
      </c>
      <c r="N499" s="587">
        <f t="shared" si="44"/>
        <v>2500</v>
      </c>
      <c r="O499"/>
      <c r="P499" s="490"/>
      <c r="Q499" t="str">
        <f t="shared" si="45"/>
        <v>51299</v>
      </c>
      <c r="R499" s="126" t="str">
        <f t="shared" si="46"/>
        <v>MISCELLANEOUS SUPPLIES</v>
      </c>
      <c r="S499" s="125" t="str">
        <f t="shared" si="47"/>
        <v>100</v>
      </c>
      <c r="T499" s="125" t="str">
        <f t="shared" si="48"/>
        <v>11</v>
      </c>
      <c r="U499" s="125" t="str">
        <f t="shared" si="49"/>
        <v>111</v>
      </c>
      <c r="V499" s="125" t="str">
        <f>VLOOKUP(Q499,'GL Category'!A:C,3,FALSE)</f>
        <v>Operations &amp; maintenance</v>
      </c>
      <c r="W499" s="125"/>
    </row>
    <row r="500" spans="1:23" s="83" customFormat="1" ht="20.399999999999999" customHeight="1">
      <c r="A500" s="608" t="s">
        <v>791</v>
      </c>
      <c r="B500" s="608" t="s">
        <v>2352</v>
      </c>
      <c r="C500" s="608" t="s">
        <v>171</v>
      </c>
      <c r="D500" s="609">
        <v>45015.05</v>
      </c>
      <c r="E500" s="609">
        <v>59087.83</v>
      </c>
      <c r="F500" s="609">
        <v>41449.300000000003</v>
      </c>
      <c r="G500" s="609">
        <v>31814.17</v>
      </c>
      <c r="H500" s="609">
        <v>49750</v>
      </c>
      <c r="I500" s="609">
        <v>47053.15</v>
      </c>
      <c r="J500" s="609">
        <v>47201</v>
      </c>
      <c r="K500" s="609">
        <v>49750</v>
      </c>
      <c r="L500" s="609">
        <v>0</v>
      </c>
      <c r="M500" s="609">
        <v>0</v>
      </c>
      <c r="N500" s="587">
        <f t="shared" si="44"/>
        <v>49750</v>
      </c>
      <c r="O500"/>
      <c r="P500" s="490"/>
      <c r="Q500" t="str">
        <f t="shared" si="45"/>
        <v>52310</v>
      </c>
      <c r="R500" s="126" t="str">
        <f t="shared" si="46"/>
        <v>BUILDING MAINTENANCE</v>
      </c>
      <c r="S500" s="125" t="str">
        <f t="shared" si="47"/>
        <v>100</v>
      </c>
      <c r="T500" s="125" t="str">
        <f t="shared" si="48"/>
        <v>11</v>
      </c>
      <c r="U500" s="125" t="str">
        <f t="shared" si="49"/>
        <v>111</v>
      </c>
      <c r="V500" s="125" t="str">
        <f>VLOOKUP(Q500,'GL Category'!A:C,3,FALSE)</f>
        <v>Operations &amp; maintenance</v>
      </c>
      <c r="W500" s="125"/>
    </row>
    <row r="501" spans="1:23" s="83" customFormat="1" ht="20.399999999999999" customHeight="1">
      <c r="A501" s="608" t="s">
        <v>791</v>
      </c>
      <c r="B501" s="608" t="s">
        <v>2353</v>
      </c>
      <c r="C501" s="608" t="s">
        <v>241</v>
      </c>
      <c r="D501" s="609">
        <v>1076.17</v>
      </c>
      <c r="E501" s="609">
        <v>0</v>
      </c>
      <c r="F501" s="609">
        <v>0</v>
      </c>
      <c r="G501" s="609">
        <v>1154.32</v>
      </c>
      <c r="H501" s="609">
        <v>0</v>
      </c>
      <c r="I501" s="609">
        <v>0</v>
      </c>
      <c r="J501" s="609">
        <v>0</v>
      </c>
      <c r="K501" s="609">
        <v>0</v>
      </c>
      <c r="L501" s="609">
        <v>0</v>
      </c>
      <c r="M501" s="609">
        <v>0</v>
      </c>
      <c r="N501" s="587">
        <f t="shared" si="44"/>
        <v>0</v>
      </c>
      <c r="O501"/>
      <c r="P501" s="490">
        <f t="shared" ref="P501:P509" si="52">N501-H501</f>
        <v>0</v>
      </c>
      <c r="Q501" t="str">
        <f t="shared" si="45"/>
        <v>52460</v>
      </c>
      <c r="R501" s="126" t="str">
        <f t="shared" si="46"/>
        <v>VEHICLE MAINTENANCE</v>
      </c>
      <c r="S501" s="125" t="str">
        <f t="shared" si="47"/>
        <v>100</v>
      </c>
      <c r="T501" s="125" t="str">
        <f t="shared" si="48"/>
        <v>11</v>
      </c>
      <c r="U501" s="125" t="str">
        <f t="shared" si="49"/>
        <v>111</v>
      </c>
      <c r="V501" s="125" t="str">
        <f>VLOOKUP(Q501,'GL Category'!A:C,3,FALSE)</f>
        <v>Operations &amp; maintenance</v>
      </c>
      <c r="W501" s="125"/>
    </row>
    <row r="502" spans="1:23" s="83" customFormat="1" ht="20.399999999999999" customHeight="1">
      <c r="A502" s="608" t="s">
        <v>791</v>
      </c>
      <c r="B502" s="608" t="s">
        <v>2354</v>
      </c>
      <c r="C502" s="608" t="s">
        <v>236</v>
      </c>
      <c r="D502" s="609">
        <v>0</v>
      </c>
      <c r="E502" s="609">
        <v>503</v>
      </c>
      <c r="F502" s="609">
        <v>0</v>
      </c>
      <c r="G502" s="609">
        <v>0</v>
      </c>
      <c r="H502" s="609">
        <v>0</v>
      </c>
      <c r="I502" s="609">
        <v>0</v>
      </c>
      <c r="J502" s="609">
        <v>0</v>
      </c>
      <c r="K502" s="609">
        <v>0</v>
      </c>
      <c r="L502" s="609">
        <v>0</v>
      </c>
      <c r="M502" s="609">
        <v>0</v>
      </c>
      <c r="N502" s="587">
        <f t="shared" si="44"/>
        <v>0</v>
      </c>
      <c r="O502"/>
      <c r="P502" s="490">
        <f t="shared" si="52"/>
        <v>0</v>
      </c>
      <c r="Q502" t="str">
        <f t="shared" si="45"/>
        <v>52470</v>
      </c>
      <c r="R502" s="126" t="str">
        <f t="shared" si="46"/>
        <v>EQUIPMENT MAINTENANCE</v>
      </c>
      <c r="S502" s="125" t="str">
        <f t="shared" si="47"/>
        <v>100</v>
      </c>
      <c r="T502" s="125" t="str">
        <f t="shared" si="48"/>
        <v>11</v>
      </c>
      <c r="U502" s="125" t="str">
        <f t="shared" si="49"/>
        <v>111</v>
      </c>
      <c r="V502" s="125" t="str">
        <f>VLOOKUP(Q502,'GL Category'!A:C,3,FALSE)</f>
        <v>Operations &amp; maintenance</v>
      </c>
      <c r="W502" s="125"/>
    </row>
    <row r="503" spans="1:23" s="83" customFormat="1" ht="20.399999999999999" customHeight="1">
      <c r="A503" s="608" t="s">
        <v>791</v>
      </c>
      <c r="B503" s="608" t="s">
        <v>2355</v>
      </c>
      <c r="C503" s="608" t="s">
        <v>181</v>
      </c>
      <c r="D503" s="609">
        <v>21824.92</v>
      </c>
      <c r="E503" s="609">
        <v>32609.87</v>
      </c>
      <c r="F503" s="609">
        <v>33286.18</v>
      </c>
      <c r="G503" s="609">
        <v>24560.240000000002</v>
      </c>
      <c r="H503" s="609">
        <v>50000</v>
      </c>
      <c r="I503" s="609">
        <v>31716.240000000002</v>
      </c>
      <c r="J503" s="609">
        <v>50000</v>
      </c>
      <c r="K503" s="609">
        <v>50000</v>
      </c>
      <c r="L503" s="609">
        <v>0</v>
      </c>
      <c r="M503" s="609">
        <v>0</v>
      </c>
      <c r="N503" s="587">
        <f t="shared" si="44"/>
        <v>50000</v>
      </c>
      <c r="O503"/>
      <c r="P503" s="490">
        <f t="shared" si="52"/>
        <v>0</v>
      </c>
      <c r="Q503" t="str">
        <f t="shared" si="45"/>
        <v>52490</v>
      </c>
      <c r="R503" s="126" t="str">
        <f t="shared" si="46"/>
        <v>A/C &amp; HEATING MAINTENANCE</v>
      </c>
      <c r="S503" s="125" t="str">
        <f t="shared" si="47"/>
        <v>100</v>
      </c>
      <c r="T503" s="125" t="str">
        <f t="shared" si="48"/>
        <v>11</v>
      </c>
      <c r="U503" s="125" t="str">
        <f t="shared" si="49"/>
        <v>111</v>
      </c>
      <c r="V503" s="125" t="str">
        <f>VLOOKUP(Q503,'GL Category'!A:C,3,FALSE)</f>
        <v>Operations &amp; maintenance</v>
      </c>
      <c r="W503" s="125"/>
    </row>
    <row r="504" spans="1:23" s="83" customFormat="1" ht="20.399999999999999" customHeight="1">
      <c r="A504" s="608" t="s">
        <v>791</v>
      </c>
      <c r="B504" s="608" t="s">
        <v>2357</v>
      </c>
      <c r="C504" s="608" t="s">
        <v>191</v>
      </c>
      <c r="D504" s="609">
        <v>0</v>
      </c>
      <c r="E504" s="609">
        <v>0</v>
      </c>
      <c r="F504" s="609">
        <v>0</v>
      </c>
      <c r="G504" s="609">
        <v>0</v>
      </c>
      <c r="H504" s="609">
        <v>0</v>
      </c>
      <c r="I504" s="609">
        <v>100</v>
      </c>
      <c r="J504" s="609">
        <v>100</v>
      </c>
      <c r="K504" s="609">
        <v>100</v>
      </c>
      <c r="L504" s="609">
        <v>0</v>
      </c>
      <c r="M504" s="609">
        <v>0</v>
      </c>
      <c r="N504" s="587">
        <f t="shared" si="44"/>
        <v>100</v>
      </c>
      <c r="O504"/>
      <c r="P504" s="490">
        <f t="shared" si="52"/>
        <v>100</v>
      </c>
      <c r="Q504" t="str">
        <f t="shared" si="45"/>
        <v>53515</v>
      </c>
      <c r="R504" s="126" t="str">
        <f t="shared" si="46"/>
        <v>TRAVEL, TRAINING &amp; EDUCATION</v>
      </c>
      <c r="S504" s="125" t="str">
        <f t="shared" si="47"/>
        <v>100</v>
      </c>
      <c r="T504" s="125" t="str">
        <f t="shared" si="48"/>
        <v>11</v>
      </c>
      <c r="U504" s="125" t="str">
        <f t="shared" si="49"/>
        <v>111</v>
      </c>
      <c r="V504" s="125" t="str">
        <f>VLOOKUP(Q504,'GL Category'!A:C,3,FALSE)</f>
        <v>Services &amp; other</v>
      </c>
      <c r="W504" s="125"/>
    </row>
    <row r="505" spans="1:23" s="83" customFormat="1" ht="20.399999999999999" customHeight="1">
      <c r="A505" s="608" t="s">
        <v>791</v>
      </c>
      <c r="B505" s="608" t="s">
        <v>2358</v>
      </c>
      <c r="C505" s="608" t="s">
        <v>6</v>
      </c>
      <c r="D505" s="609">
        <v>0</v>
      </c>
      <c r="E505" s="609">
        <v>1346.82</v>
      </c>
      <c r="F505" s="609">
        <v>0</v>
      </c>
      <c r="G505" s="609">
        <v>598.79</v>
      </c>
      <c r="H505" s="609">
        <v>2500</v>
      </c>
      <c r="I505" s="609">
        <v>4361.38</v>
      </c>
      <c r="J505" s="609">
        <v>4000</v>
      </c>
      <c r="K505" s="609">
        <v>2500</v>
      </c>
      <c r="L505" s="609">
        <v>0</v>
      </c>
      <c r="M505" s="609">
        <v>0</v>
      </c>
      <c r="N505" s="587">
        <f t="shared" si="44"/>
        <v>2500</v>
      </c>
      <c r="O505"/>
      <c r="P505" s="490">
        <f t="shared" si="52"/>
        <v>0</v>
      </c>
      <c r="Q505" t="str">
        <f t="shared" si="45"/>
        <v>53524</v>
      </c>
      <c r="R505" s="126" t="str">
        <f t="shared" si="46"/>
        <v>EQUIPMENT RENTAL</v>
      </c>
      <c r="S505" s="125" t="str">
        <f t="shared" si="47"/>
        <v>100</v>
      </c>
      <c r="T505" s="125" t="str">
        <f t="shared" si="48"/>
        <v>11</v>
      </c>
      <c r="U505" s="125" t="str">
        <f t="shared" si="49"/>
        <v>111</v>
      </c>
      <c r="V505" s="125" t="str">
        <f>VLOOKUP(Q505,'GL Category'!A:C,3,FALSE)</f>
        <v>Services &amp; other</v>
      </c>
      <c r="W505" s="125"/>
    </row>
    <row r="506" spans="1:23" s="83" customFormat="1" ht="20.399999999999999" customHeight="1">
      <c r="A506" s="608" t="s">
        <v>791</v>
      </c>
      <c r="B506" s="608" t="s">
        <v>2359</v>
      </c>
      <c r="C506" s="608" t="s">
        <v>906</v>
      </c>
      <c r="D506" s="609">
        <v>16707.599999999999</v>
      </c>
      <c r="E506" s="609">
        <v>19413.45</v>
      </c>
      <c r="F506" s="609">
        <v>19800</v>
      </c>
      <c r="G506" s="609">
        <v>21960</v>
      </c>
      <c r="H506" s="609">
        <v>25800</v>
      </c>
      <c r="I506" s="609">
        <v>14850</v>
      </c>
      <c r="J506" s="609">
        <v>24000</v>
      </c>
      <c r="K506" s="609">
        <v>25800</v>
      </c>
      <c r="L506" s="609">
        <v>0</v>
      </c>
      <c r="M506" s="609">
        <v>0</v>
      </c>
      <c r="N506" s="587">
        <f t="shared" si="44"/>
        <v>25800</v>
      </c>
      <c r="O506"/>
      <c r="P506" s="490">
        <f t="shared" si="52"/>
        <v>0</v>
      </c>
      <c r="Q506" t="str">
        <f t="shared" si="45"/>
        <v>53529</v>
      </c>
      <c r="R506" s="126" t="str">
        <f t="shared" si="46"/>
        <v>JANITORIAL SERVICES</v>
      </c>
      <c r="S506" s="125" t="str">
        <f t="shared" si="47"/>
        <v>100</v>
      </c>
      <c r="T506" s="125" t="str">
        <f t="shared" si="48"/>
        <v>11</v>
      </c>
      <c r="U506" s="125" t="str">
        <f t="shared" si="49"/>
        <v>111</v>
      </c>
      <c r="V506" s="125" t="str">
        <f>VLOOKUP(Q506,'GL Category'!A:C,3,FALSE)</f>
        <v>Services &amp; other</v>
      </c>
      <c r="W506" s="125"/>
    </row>
    <row r="507" spans="1:23" s="83" customFormat="1" ht="20.399999999999999" customHeight="1">
      <c r="A507" s="608" t="s">
        <v>791</v>
      </c>
      <c r="B507" s="608" t="s">
        <v>2361</v>
      </c>
      <c r="C507" s="608" t="s">
        <v>215</v>
      </c>
      <c r="D507" s="609">
        <v>81955.039999999994</v>
      </c>
      <c r="E507" s="609">
        <v>94040.78</v>
      </c>
      <c r="F507" s="609">
        <v>88856.76</v>
      </c>
      <c r="G507" s="609">
        <v>98446.91</v>
      </c>
      <c r="H507" s="609">
        <v>99760</v>
      </c>
      <c r="I507" s="609">
        <v>58672.18</v>
      </c>
      <c r="J507" s="609">
        <v>99760</v>
      </c>
      <c r="K507" s="609">
        <v>99760</v>
      </c>
      <c r="L507" s="609">
        <v>0</v>
      </c>
      <c r="M507" s="609">
        <v>0</v>
      </c>
      <c r="N507" s="587">
        <f t="shared" si="44"/>
        <v>99760</v>
      </c>
      <c r="O507"/>
      <c r="P507" s="490">
        <f t="shared" si="52"/>
        <v>0</v>
      </c>
      <c r="Q507" t="str">
        <f t="shared" si="45"/>
        <v>53572</v>
      </c>
      <c r="R507" s="126" t="str">
        <f t="shared" si="46"/>
        <v>ELECTRICAL UTILITY SERVICE</v>
      </c>
      <c r="S507" s="125" t="str">
        <f t="shared" si="47"/>
        <v>100</v>
      </c>
      <c r="T507" s="125" t="str">
        <f t="shared" si="48"/>
        <v>11</v>
      </c>
      <c r="U507" s="125" t="str">
        <f t="shared" si="49"/>
        <v>111</v>
      </c>
      <c r="V507" s="125" t="str">
        <f>VLOOKUP(Q507,'GL Category'!A:C,3,FALSE)</f>
        <v>Services &amp; other</v>
      </c>
      <c r="W507" s="125"/>
    </row>
    <row r="508" spans="1:23" s="83" customFormat="1" ht="20.399999999999999" customHeight="1">
      <c r="A508" s="608" t="s">
        <v>791</v>
      </c>
      <c r="B508" s="608" t="s">
        <v>2361</v>
      </c>
      <c r="C508" s="608" t="s">
        <v>215</v>
      </c>
      <c r="D508" s="609">
        <v>0</v>
      </c>
      <c r="E508" s="609">
        <v>20574.2</v>
      </c>
      <c r="F508" s="609">
        <v>0</v>
      </c>
      <c r="G508" s="609">
        <v>0</v>
      </c>
      <c r="H508" s="609">
        <v>0</v>
      </c>
      <c r="I508" s="609">
        <v>0</v>
      </c>
      <c r="J508" s="609">
        <v>0</v>
      </c>
      <c r="K508" s="609">
        <v>0</v>
      </c>
      <c r="L508" s="609">
        <v>0</v>
      </c>
      <c r="M508" s="609">
        <v>0</v>
      </c>
      <c r="N508" s="587">
        <f t="shared" si="44"/>
        <v>0</v>
      </c>
      <c r="O508"/>
      <c r="P508" s="490">
        <f t="shared" si="52"/>
        <v>0</v>
      </c>
      <c r="Q508" t="str">
        <f t="shared" si="45"/>
        <v>53572</v>
      </c>
      <c r="R508" s="126" t="str">
        <f t="shared" si="46"/>
        <v>ELECTRICAL UTILITY SERVICE</v>
      </c>
      <c r="S508" s="125" t="str">
        <f t="shared" si="47"/>
        <v>100</v>
      </c>
      <c r="T508" s="125" t="str">
        <f t="shared" si="48"/>
        <v>11</v>
      </c>
      <c r="U508" s="125" t="str">
        <f t="shared" si="49"/>
        <v>111</v>
      </c>
      <c r="V508" s="125" t="str">
        <f>VLOOKUP(Q508,'GL Category'!A:C,3,FALSE)</f>
        <v>Services &amp; other</v>
      </c>
      <c r="W508" s="125"/>
    </row>
    <row r="509" spans="1:23" s="83" customFormat="1" ht="20.399999999999999" customHeight="1">
      <c r="A509" s="608" t="s">
        <v>791</v>
      </c>
      <c r="B509" s="608" t="s">
        <v>2362</v>
      </c>
      <c r="C509" s="608" t="s">
        <v>217</v>
      </c>
      <c r="D509" s="609">
        <v>3059.66</v>
      </c>
      <c r="E509" s="609">
        <v>2995.83</v>
      </c>
      <c r="F509" s="609">
        <v>2509.4</v>
      </c>
      <c r="G509" s="609">
        <v>2790.72</v>
      </c>
      <c r="H509" s="609">
        <v>3750</v>
      </c>
      <c r="I509" s="609">
        <v>2473.15</v>
      </c>
      <c r="J509" s="609">
        <v>3000</v>
      </c>
      <c r="K509" s="609">
        <v>3750</v>
      </c>
      <c r="L509" s="609">
        <v>0</v>
      </c>
      <c r="M509" s="609">
        <v>0</v>
      </c>
      <c r="N509" s="587">
        <f t="shared" si="44"/>
        <v>3750</v>
      </c>
      <c r="O509"/>
      <c r="P509" s="490">
        <f t="shared" si="52"/>
        <v>0</v>
      </c>
      <c r="Q509" t="str">
        <f t="shared" si="45"/>
        <v>53574</v>
      </c>
      <c r="R509" s="126" t="str">
        <f t="shared" si="46"/>
        <v>WATER/SEWER UTILITY SERVICE</v>
      </c>
      <c r="S509" s="125" t="str">
        <f t="shared" si="47"/>
        <v>100</v>
      </c>
      <c r="T509" s="125" t="str">
        <f t="shared" si="48"/>
        <v>11</v>
      </c>
      <c r="U509" s="125" t="str">
        <f t="shared" si="49"/>
        <v>111</v>
      </c>
      <c r="V509" s="125" t="str">
        <f>VLOOKUP(Q509,'GL Category'!A:C,3,FALSE)</f>
        <v>Services &amp; other</v>
      </c>
      <c r="W509" s="125"/>
    </row>
    <row r="510" spans="1:23" s="83" customFormat="1" ht="20.399999999999999" customHeight="1">
      <c r="A510" s="608" t="s">
        <v>791</v>
      </c>
      <c r="B510" s="608" t="s">
        <v>2356</v>
      </c>
      <c r="C510" s="608" t="s">
        <v>238</v>
      </c>
      <c r="D510" s="609">
        <v>45514.7</v>
      </c>
      <c r="E510" s="609">
        <v>21891.75</v>
      </c>
      <c r="F510" s="609">
        <v>21535.21</v>
      </c>
      <c r="G510" s="609">
        <v>42982.67</v>
      </c>
      <c r="H510" s="609">
        <v>38500</v>
      </c>
      <c r="I510" s="609">
        <v>37598.85</v>
      </c>
      <c r="J510" s="609">
        <v>38500</v>
      </c>
      <c r="K510" s="609">
        <v>38500</v>
      </c>
      <c r="L510" s="609">
        <v>0</v>
      </c>
      <c r="M510" s="609">
        <v>0</v>
      </c>
      <c r="N510" s="587">
        <f t="shared" si="44"/>
        <v>38500</v>
      </c>
      <c r="O510"/>
      <c r="P510" s="490"/>
      <c r="Q510" t="str">
        <f t="shared" si="45"/>
        <v>53599</v>
      </c>
      <c r="R510" s="126" t="str">
        <f t="shared" si="46"/>
        <v>MISCELLANEOUS SERVICES</v>
      </c>
      <c r="S510" s="125" t="str">
        <f t="shared" si="47"/>
        <v>100</v>
      </c>
      <c r="T510" s="125" t="str">
        <f t="shared" si="48"/>
        <v>11</v>
      </c>
      <c r="U510" s="125" t="str">
        <f t="shared" si="49"/>
        <v>111</v>
      </c>
      <c r="V510" s="125" t="str">
        <f>VLOOKUP(Q510,'GL Category'!A:C,3,FALSE)</f>
        <v>Services &amp; other</v>
      </c>
      <c r="W510" s="125"/>
    </row>
    <row r="511" spans="1:23" s="83" customFormat="1" ht="20.399999999999999" customHeight="1">
      <c r="A511" s="608" t="s">
        <v>791</v>
      </c>
      <c r="B511" s="608" t="s">
        <v>2364</v>
      </c>
      <c r="C511" s="608" t="s">
        <v>221</v>
      </c>
      <c r="D511" s="609">
        <v>24474</v>
      </c>
      <c r="E511" s="609">
        <v>26650</v>
      </c>
      <c r="F511" s="609">
        <v>26478</v>
      </c>
      <c r="G511" s="609">
        <v>26835</v>
      </c>
      <c r="H511" s="609">
        <v>23060</v>
      </c>
      <c r="I511" s="609">
        <v>17295</v>
      </c>
      <c r="J511" s="609">
        <v>23060</v>
      </c>
      <c r="K511" s="609">
        <v>23766</v>
      </c>
      <c r="L511" s="609">
        <v>0</v>
      </c>
      <c r="M511" s="609">
        <v>0</v>
      </c>
      <c r="N511" s="587">
        <f t="shared" si="44"/>
        <v>23766</v>
      </c>
      <c r="O511"/>
      <c r="P511" s="490"/>
      <c r="Q511" t="str">
        <f t="shared" si="45"/>
        <v>55119</v>
      </c>
      <c r="R511" s="126" t="str">
        <f t="shared" si="46"/>
        <v>OFFICE EQUIP LEASE EXP-CITY</v>
      </c>
      <c r="S511" s="125" t="str">
        <f t="shared" si="47"/>
        <v>100</v>
      </c>
      <c r="T511" s="125" t="str">
        <f t="shared" si="48"/>
        <v>11</v>
      </c>
      <c r="U511" s="125" t="str">
        <f t="shared" si="49"/>
        <v>111</v>
      </c>
      <c r="V511" s="125" t="str">
        <f>VLOOKUP(Q511,'GL Category'!A:C,3,FALSE)</f>
        <v>Services &amp; other</v>
      </c>
      <c r="W511" s="125"/>
    </row>
    <row r="512" spans="1:23" s="83" customFormat="1" ht="20.399999999999999" customHeight="1">
      <c r="A512" s="608" t="s">
        <v>791</v>
      </c>
      <c r="B512" s="608" t="s">
        <v>2363</v>
      </c>
      <c r="C512" s="608" t="s">
        <v>220</v>
      </c>
      <c r="D512" s="609">
        <v>10254</v>
      </c>
      <c r="E512" s="609">
        <v>9543</v>
      </c>
      <c r="F512" s="609">
        <v>9265</v>
      </c>
      <c r="G512" s="609">
        <v>12841</v>
      </c>
      <c r="H512" s="609">
        <v>13545</v>
      </c>
      <c r="I512" s="609">
        <v>10158.75</v>
      </c>
      <c r="J512" s="609">
        <v>13545</v>
      </c>
      <c r="K512" s="609">
        <v>14130</v>
      </c>
      <c r="L512" s="609">
        <v>0</v>
      </c>
      <c r="M512" s="609">
        <v>0</v>
      </c>
      <c r="N512" s="587">
        <f t="shared" si="44"/>
        <v>14130</v>
      </c>
      <c r="O512"/>
      <c r="P512" s="490"/>
      <c r="Q512" t="str">
        <f t="shared" si="45"/>
        <v>55175</v>
      </c>
      <c r="R512" s="126" t="str">
        <f t="shared" si="46"/>
        <v>VEHICLE/EQUIP LEASE EXP-CITY</v>
      </c>
      <c r="S512" s="125" t="str">
        <f t="shared" si="47"/>
        <v>100</v>
      </c>
      <c r="T512" s="125" t="str">
        <f t="shared" si="48"/>
        <v>11</v>
      </c>
      <c r="U512" s="125" t="str">
        <f t="shared" si="49"/>
        <v>111</v>
      </c>
      <c r="V512" s="125" t="str">
        <f>VLOOKUP(Q512,'GL Category'!A:C,3,FALSE)</f>
        <v>Services &amp; other</v>
      </c>
      <c r="W512" s="125"/>
    </row>
    <row r="513" spans="1:24" s="83" customFormat="1" ht="20.399999999999999" customHeight="1">
      <c r="A513" s="608" t="s">
        <v>791</v>
      </c>
      <c r="B513" s="608" t="s">
        <v>2365</v>
      </c>
      <c r="C513" s="608" t="s">
        <v>223</v>
      </c>
      <c r="D513" s="609">
        <v>0</v>
      </c>
      <c r="E513" s="609">
        <v>0</v>
      </c>
      <c r="F513" s="609">
        <v>0</v>
      </c>
      <c r="G513" s="609">
        <v>0</v>
      </c>
      <c r="H513" s="609">
        <v>0</v>
      </c>
      <c r="I513" s="609">
        <v>0</v>
      </c>
      <c r="J513" s="609">
        <v>0</v>
      </c>
      <c r="K513" s="609">
        <v>0</v>
      </c>
      <c r="L513" s="609">
        <v>0</v>
      </c>
      <c r="M513" s="609">
        <v>0</v>
      </c>
      <c r="N513" s="587">
        <f t="shared" si="44"/>
        <v>0</v>
      </c>
      <c r="O513"/>
      <c r="P513" s="490"/>
      <c r="Q513" t="str">
        <f t="shared" si="45"/>
        <v>58835</v>
      </c>
      <c r="R513" s="126" t="str">
        <f t="shared" si="46"/>
        <v>OFFICE MACHINERY &amp; EQUIPMENT</v>
      </c>
      <c r="S513" s="125" t="str">
        <f t="shared" si="47"/>
        <v>100</v>
      </c>
      <c r="T513" s="125" t="str">
        <f t="shared" si="48"/>
        <v>11</v>
      </c>
      <c r="U513" s="125" t="str">
        <f t="shared" si="49"/>
        <v>111</v>
      </c>
      <c r="V513" s="125" t="str">
        <f>VLOOKUP(Q513,'GL Category'!A:C,3,FALSE)</f>
        <v>Capital Outlay</v>
      </c>
      <c r="W513" s="125"/>
    </row>
    <row r="514" spans="1:24" s="83" customFormat="1" ht="20.399999999999999" customHeight="1">
      <c r="A514" s="608" t="s">
        <v>791</v>
      </c>
      <c r="B514" s="608" t="s">
        <v>2366</v>
      </c>
      <c r="C514" s="608" t="s">
        <v>149</v>
      </c>
      <c r="D514" s="609">
        <v>585.70000000000005</v>
      </c>
      <c r="E514" s="609">
        <v>1124.45</v>
      </c>
      <c r="F514" s="609">
        <v>1067.74</v>
      </c>
      <c r="G514" s="609">
        <v>377.11</v>
      </c>
      <c r="H514" s="609">
        <v>1500</v>
      </c>
      <c r="I514" s="609">
        <v>1102.19</v>
      </c>
      <c r="J514" s="609">
        <v>150</v>
      </c>
      <c r="K514" s="609">
        <v>1500</v>
      </c>
      <c r="L514" s="609">
        <v>0</v>
      </c>
      <c r="M514" s="609">
        <v>0</v>
      </c>
      <c r="N514" s="587">
        <f t="shared" si="44"/>
        <v>1500</v>
      </c>
      <c r="O514"/>
      <c r="P514" s="490"/>
      <c r="Q514" t="str">
        <f t="shared" si="45"/>
        <v>51210</v>
      </c>
      <c r="R514" s="126" t="str">
        <f t="shared" si="46"/>
        <v>OFFICE SUPPLIES</v>
      </c>
      <c r="S514" s="125" t="str">
        <f t="shared" si="47"/>
        <v>100</v>
      </c>
      <c r="T514" s="125" t="str">
        <f t="shared" si="48"/>
        <v>12</v>
      </c>
      <c r="U514" s="125" t="str">
        <f t="shared" si="49"/>
        <v>121</v>
      </c>
      <c r="V514" s="125" t="str">
        <f>VLOOKUP(Q514,'GL Category'!A:C,3,FALSE)</f>
        <v>Operations &amp; maintenance</v>
      </c>
      <c r="W514" s="125"/>
    </row>
    <row r="515" spans="1:24" s="83" customFormat="1" ht="20.399999999999999" customHeight="1">
      <c r="A515" s="608" t="s">
        <v>791</v>
      </c>
      <c r="B515" s="608" t="s">
        <v>2367</v>
      </c>
      <c r="C515" s="608" t="s">
        <v>163</v>
      </c>
      <c r="D515" s="609">
        <v>8483.8700000000008</v>
      </c>
      <c r="E515" s="609">
        <v>10347.36</v>
      </c>
      <c r="F515" s="609">
        <v>10245.26</v>
      </c>
      <c r="G515" s="609">
        <v>15447.78</v>
      </c>
      <c r="H515" s="609">
        <v>18200</v>
      </c>
      <c r="I515" s="609">
        <v>8231.74</v>
      </c>
      <c r="J515" s="609">
        <v>11000</v>
      </c>
      <c r="K515" s="609">
        <v>18200</v>
      </c>
      <c r="L515" s="609">
        <v>0</v>
      </c>
      <c r="M515" s="609">
        <v>0</v>
      </c>
      <c r="N515" s="587">
        <f t="shared" si="44"/>
        <v>18200</v>
      </c>
      <c r="O515"/>
      <c r="P515" s="490">
        <f>N515-H515</f>
        <v>0</v>
      </c>
      <c r="Q515" t="str">
        <f t="shared" si="45"/>
        <v>51257</v>
      </c>
      <c r="R515" s="126" t="str">
        <f t="shared" si="46"/>
        <v>MEETING SPONSORSHIP/SUPPLIES</v>
      </c>
      <c r="S515" s="125" t="str">
        <f t="shared" si="47"/>
        <v>100</v>
      </c>
      <c r="T515" s="125" t="str">
        <f t="shared" si="48"/>
        <v>12</v>
      </c>
      <c r="U515" s="125" t="str">
        <f t="shared" si="49"/>
        <v>121</v>
      </c>
      <c r="V515" s="125" t="str">
        <f>VLOOKUP(Q515,'GL Category'!A:C,3,FALSE)</f>
        <v>Operations &amp; maintenance</v>
      </c>
      <c r="W515" s="125"/>
    </row>
    <row r="516" spans="1:24" s="83" customFormat="1" ht="20.399999999999999" customHeight="1">
      <c r="A516" s="608" t="s">
        <v>791</v>
      </c>
      <c r="B516" s="608" t="s">
        <v>2368</v>
      </c>
      <c r="C516" s="608" t="s">
        <v>167</v>
      </c>
      <c r="D516" s="609">
        <v>438.9</v>
      </c>
      <c r="E516" s="609">
        <v>945.76</v>
      </c>
      <c r="F516" s="609">
        <v>1088.3900000000001</v>
      </c>
      <c r="G516" s="609">
        <v>2842.57</v>
      </c>
      <c r="H516" s="609">
        <v>1000</v>
      </c>
      <c r="I516" s="609">
        <v>231.78</v>
      </c>
      <c r="J516" s="609">
        <v>600</v>
      </c>
      <c r="K516" s="609">
        <v>1000</v>
      </c>
      <c r="L516" s="609">
        <v>0</v>
      </c>
      <c r="M516" s="609">
        <v>0</v>
      </c>
      <c r="N516" s="587">
        <f t="shared" ref="N516:N579" si="53">SUM(K516:M516)</f>
        <v>1000</v>
      </c>
      <c r="O516"/>
      <c r="P516" s="490">
        <f>N516-H516</f>
        <v>0</v>
      </c>
      <c r="Q516" t="str">
        <f t="shared" ref="Q516:Q579" si="54">MID(B516,12,5)</f>
        <v>51285</v>
      </c>
      <c r="R516" s="126" t="str">
        <f t="shared" ref="R516:R579" si="55">C516</f>
        <v>WEARING APPAREL</v>
      </c>
      <c r="S516" s="125" t="str">
        <f t="shared" ref="S516:S579" si="56">LEFT(B516,3)</f>
        <v>100</v>
      </c>
      <c r="T516" s="125" t="str">
        <f t="shared" ref="T516:T579" si="57">MID(B516,5,2)</f>
        <v>12</v>
      </c>
      <c r="U516" s="125" t="str">
        <f t="shared" ref="U516:U579" si="58">MID(B516,8,3)</f>
        <v>121</v>
      </c>
      <c r="V516" s="125" t="str">
        <f>VLOOKUP(Q516,'GL Category'!A:C,3,FALSE)</f>
        <v>Operations &amp; maintenance</v>
      </c>
      <c r="W516" s="125"/>
    </row>
    <row r="517" spans="1:24" s="83" customFormat="1" ht="20.399999999999999" customHeight="1">
      <c r="A517" s="608" t="s">
        <v>791</v>
      </c>
      <c r="B517" s="608" t="s">
        <v>2369</v>
      </c>
      <c r="C517" s="608" t="s">
        <v>169</v>
      </c>
      <c r="D517" s="609">
        <v>389.32</v>
      </c>
      <c r="E517" s="609">
        <v>458.87</v>
      </c>
      <c r="F517" s="609">
        <v>196.39</v>
      </c>
      <c r="G517" s="609">
        <v>0</v>
      </c>
      <c r="H517" s="609">
        <v>0</v>
      </c>
      <c r="I517" s="609">
        <v>0</v>
      </c>
      <c r="J517" s="609">
        <v>0</v>
      </c>
      <c r="K517" s="609">
        <v>0</v>
      </c>
      <c r="L517" s="609">
        <v>0</v>
      </c>
      <c r="M517" s="609">
        <v>0</v>
      </c>
      <c r="N517" s="587">
        <f t="shared" si="53"/>
        <v>0</v>
      </c>
      <c r="O517"/>
      <c r="P517" s="490">
        <f>N517-H517</f>
        <v>0</v>
      </c>
      <c r="Q517" t="str">
        <f t="shared" si="54"/>
        <v>51299</v>
      </c>
      <c r="R517" s="126" t="str">
        <f t="shared" si="55"/>
        <v>MISCELLANEOUS SUPPLIES</v>
      </c>
      <c r="S517" s="125" t="str">
        <f t="shared" si="56"/>
        <v>100</v>
      </c>
      <c r="T517" s="125" t="str">
        <f t="shared" si="57"/>
        <v>12</v>
      </c>
      <c r="U517" s="125" t="str">
        <f t="shared" si="58"/>
        <v>121</v>
      </c>
      <c r="V517" s="125" t="str">
        <f>VLOOKUP(Q517,'GL Category'!A:C,3,FALSE)</f>
        <v>Operations &amp; maintenance</v>
      </c>
      <c r="W517" s="125"/>
    </row>
    <row r="518" spans="1:24" s="83" customFormat="1" ht="20.399999999999999" customHeight="1">
      <c r="A518" s="608" t="s">
        <v>791</v>
      </c>
      <c r="B518" s="608" t="s">
        <v>2370</v>
      </c>
      <c r="C518" s="608" t="s">
        <v>190</v>
      </c>
      <c r="D518" s="609">
        <v>940</v>
      </c>
      <c r="E518" s="609">
        <v>525</v>
      </c>
      <c r="F518" s="609">
        <v>1600</v>
      </c>
      <c r="G518" s="609">
        <v>3690</v>
      </c>
      <c r="H518" s="609">
        <v>1570</v>
      </c>
      <c r="I518" s="609">
        <v>1350</v>
      </c>
      <c r="J518" s="609">
        <v>1570</v>
      </c>
      <c r="K518" s="609">
        <v>3020</v>
      </c>
      <c r="L518" s="609">
        <v>0</v>
      </c>
      <c r="M518" s="609">
        <v>0</v>
      </c>
      <c r="N518" s="587">
        <f t="shared" si="53"/>
        <v>3020</v>
      </c>
      <c r="O518"/>
      <c r="P518" s="490"/>
      <c r="Q518" t="str">
        <f t="shared" si="54"/>
        <v>53510</v>
      </c>
      <c r="R518" s="126" t="str">
        <f t="shared" si="55"/>
        <v>DUES &amp; SUBSCRIPTIONS</v>
      </c>
      <c r="S518" s="125" t="str">
        <f t="shared" si="56"/>
        <v>100</v>
      </c>
      <c r="T518" s="125" t="str">
        <f t="shared" si="57"/>
        <v>12</v>
      </c>
      <c r="U518" s="125" t="str">
        <f t="shared" si="58"/>
        <v>121</v>
      </c>
      <c r="V518" s="125" t="str">
        <f>VLOOKUP(Q518,'GL Category'!A:C,3,FALSE)</f>
        <v>Services &amp; other</v>
      </c>
      <c r="W518" s="125"/>
    </row>
    <row r="519" spans="1:24" s="83" customFormat="1" ht="20.399999999999999" customHeight="1">
      <c r="A519" s="608" t="s">
        <v>791</v>
      </c>
      <c r="B519" s="608" t="s">
        <v>2371</v>
      </c>
      <c r="C519" s="608" t="s">
        <v>191</v>
      </c>
      <c r="D519" s="609">
        <v>10519.38</v>
      </c>
      <c r="E519" s="609">
        <v>18180.990000000002</v>
      </c>
      <c r="F519" s="609">
        <v>6389.04</v>
      </c>
      <c r="G519" s="609">
        <v>7455.84</v>
      </c>
      <c r="H519" s="609">
        <v>18400</v>
      </c>
      <c r="I519" s="609">
        <v>1105</v>
      </c>
      <c r="J519" s="609">
        <v>2000</v>
      </c>
      <c r="K519" s="609">
        <v>16900</v>
      </c>
      <c r="L519" s="609">
        <v>0</v>
      </c>
      <c r="M519" s="609">
        <v>0</v>
      </c>
      <c r="N519" s="587">
        <f t="shared" si="53"/>
        <v>16900</v>
      </c>
      <c r="O519"/>
      <c r="P519" s="490"/>
      <c r="Q519" t="str">
        <f t="shared" si="54"/>
        <v>53515</v>
      </c>
      <c r="R519" s="126" t="str">
        <f t="shared" si="55"/>
        <v>TRAVEL, TRAINING &amp; EDUCATION</v>
      </c>
      <c r="S519" s="125" t="str">
        <f t="shared" si="56"/>
        <v>100</v>
      </c>
      <c r="T519" s="125" t="str">
        <f t="shared" si="57"/>
        <v>12</v>
      </c>
      <c r="U519" s="125" t="str">
        <f t="shared" si="58"/>
        <v>121</v>
      </c>
      <c r="V519" s="125" t="str">
        <f>VLOOKUP(Q519,'GL Category'!A:C,3,FALSE)</f>
        <v>Services &amp; other</v>
      </c>
      <c r="W519" s="125"/>
    </row>
    <row r="520" spans="1:24" s="83" customFormat="1" ht="20.399999999999999" customHeight="1">
      <c r="A520" s="608" t="s">
        <v>791</v>
      </c>
      <c r="B520" s="608" t="s">
        <v>2372</v>
      </c>
      <c r="C520" s="608" t="s">
        <v>221</v>
      </c>
      <c r="D520" s="609">
        <v>14340</v>
      </c>
      <c r="E520" s="609">
        <v>15114</v>
      </c>
      <c r="F520" s="609">
        <v>15979</v>
      </c>
      <c r="G520" s="609">
        <v>15938</v>
      </c>
      <c r="H520" s="609">
        <v>17420</v>
      </c>
      <c r="I520" s="609">
        <v>13065</v>
      </c>
      <c r="J520" s="609">
        <v>17420</v>
      </c>
      <c r="K520" s="609">
        <v>17906</v>
      </c>
      <c r="L520" s="609">
        <v>0</v>
      </c>
      <c r="M520" s="609">
        <v>0</v>
      </c>
      <c r="N520" s="587">
        <f t="shared" si="53"/>
        <v>17906</v>
      </c>
      <c r="O520"/>
      <c r="P520" s="490"/>
      <c r="Q520" t="str">
        <f t="shared" si="54"/>
        <v>55119</v>
      </c>
      <c r="R520" s="126" t="str">
        <f t="shared" si="55"/>
        <v>OFFICE EQUIP LEASE EXP-CITY</v>
      </c>
      <c r="S520" s="125" t="str">
        <f t="shared" si="56"/>
        <v>100</v>
      </c>
      <c r="T520" s="125" t="str">
        <f t="shared" si="57"/>
        <v>12</v>
      </c>
      <c r="U520" s="125" t="str">
        <f t="shared" si="58"/>
        <v>121</v>
      </c>
      <c r="V520" s="125" t="str">
        <f>VLOOKUP(Q520,'GL Category'!A:C,3,FALSE)</f>
        <v>Services &amp; other</v>
      </c>
      <c r="W520" s="125"/>
    </row>
    <row r="521" spans="1:24" s="83" customFormat="1" ht="20.399999999999999" customHeight="1">
      <c r="A521" s="608" t="s">
        <v>791</v>
      </c>
      <c r="B521" s="608" t="s">
        <v>2373</v>
      </c>
      <c r="C521" s="608" t="s">
        <v>130</v>
      </c>
      <c r="D521" s="609">
        <v>346634.6</v>
      </c>
      <c r="E521" s="609">
        <v>354357.1</v>
      </c>
      <c r="F521" s="609">
        <v>481850.25</v>
      </c>
      <c r="G521" s="609">
        <v>574075.67000000004</v>
      </c>
      <c r="H521" s="609">
        <v>570486</v>
      </c>
      <c r="I521" s="609">
        <v>450875.58</v>
      </c>
      <c r="J521" s="609">
        <v>583088</v>
      </c>
      <c r="K521" s="609">
        <v>593513</v>
      </c>
      <c r="L521" s="609">
        <v>0</v>
      </c>
      <c r="M521" s="609">
        <v>0</v>
      </c>
      <c r="N521" s="587">
        <f t="shared" si="53"/>
        <v>593513</v>
      </c>
      <c r="O521"/>
      <c r="P521" s="490"/>
      <c r="Q521" t="str">
        <f t="shared" si="54"/>
        <v>50101</v>
      </c>
      <c r="R521" s="126" t="str">
        <f t="shared" si="55"/>
        <v>EXEMPT SALARIES</v>
      </c>
      <c r="S521" s="125" t="str">
        <f t="shared" si="56"/>
        <v>100</v>
      </c>
      <c r="T521" s="125" t="str">
        <f t="shared" si="57"/>
        <v>13</v>
      </c>
      <c r="U521" s="125" t="str">
        <f t="shared" si="58"/>
        <v>131</v>
      </c>
      <c r="V521" s="125" t="str">
        <f>VLOOKUP(Q521,'GL Category'!A:C,3,FALSE)</f>
        <v>Personnel services</v>
      </c>
      <c r="W521" s="125"/>
    </row>
    <row r="522" spans="1:24" s="541" customFormat="1" ht="20.399999999999999" customHeight="1">
      <c r="A522" s="608" t="s">
        <v>791</v>
      </c>
      <c r="B522" s="608" t="s">
        <v>2374</v>
      </c>
      <c r="C522" s="608" t="s">
        <v>132</v>
      </c>
      <c r="D522" s="609">
        <v>203096.88</v>
      </c>
      <c r="E522" s="609">
        <v>151207.07999999999</v>
      </c>
      <c r="F522" s="609">
        <v>94234.58</v>
      </c>
      <c r="G522" s="609">
        <v>36488.559999999998</v>
      </c>
      <c r="H522" s="609">
        <v>47487</v>
      </c>
      <c r="I522" s="609">
        <v>36381.94</v>
      </c>
      <c r="J522" s="609">
        <v>47760</v>
      </c>
      <c r="K522" s="609">
        <v>49615</v>
      </c>
      <c r="L522" s="609">
        <v>0</v>
      </c>
      <c r="M522" s="609">
        <v>0</v>
      </c>
      <c r="N522" s="587">
        <f t="shared" si="53"/>
        <v>49615</v>
      </c>
      <c r="O522"/>
      <c r="P522" s="490"/>
      <c r="Q522" t="str">
        <f t="shared" si="54"/>
        <v>50102</v>
      </c>
      <c r="R522" s="540" t="str">
        <f t="shared" si="55"/>
        <v>NON EXEMPT SALARIES</v>
      </c>
      <c r="S522" s="538" t="str">
        <f t="shared" si="56"/>
        <v>100</v>
      </c>
      <c r="T522" s="125" t="str">
        <f t="shared" si="57"/>
        <v>13</v>
      </c>
      <c r="U522" s="125" t="str">
        <f t="shared" si="58"/>
        <v>131</v>
      </c>
      <c r="V522" s="538" t="str">
        <f>VLOOKUP(Q522,'GL Category'!A:C,3,FALSE)</f>
        <v>Personnel services</v>
      </c>
      <c r="W522" s="538"/>
      <c r="X522" s="83"/>
    </row>
    <row r="523" spans="1:24" s="541" customFormat="1" ht="20.399999999999999" customHeight="1">
      <c r="A523" s="608" t="s">
        <v>791</v>
      </c>
      <c r="B523" s="608" t="s">
        <v>2375</v>
      </c>
      <c r="C523" s="608" t="s">
        <v>0</v>
      </c>
      <c r="D523" s="609">
        <v>1642.36</v>
      </c>
      <c r="E523" s="609">
        <v>11264.28</v>
      </c>
      <c r="F523" s="609">
        <v>1826.14</v>
      </c>
      <c r="G523" s="609">
        <v>279.36</v>
      </c>
      <c r="H523" s="609">
        <v>3500</v>
      </c>
      <c r="I523" s="609">
        <v>255</v>
      </c>
      <c r="J523" s="609">
        <v>197</v>
      </c>
      <c r="K523" s="609">
        <v>3500</v>
      </c>
      <c r="L523" s="609">
        <v>0</v>
      </c>
      <c r="M523" s="609">
        <v>0</v>
      </c>
      <c r="N523" s="587">
        <f t="shared" si="53"/>
        <v>3500</v>
      </c>
      <c r="O523"/>
      <c r="P523" s="490"/>
      <c r="Q523" t="str">
        <f t="shared" si="54"/>
        <v>50109</v>
      </c>
      <c r="R523" s="540" t="str">
        <f t="shared" si="55"/>
        <v>OVERTIME</v>
      </c>
      <c r="S523" s="538" t="str">
        <f t="shared" si="56"/>
        <v>100</v>
      </c>
      <c r="T523" s="125" t="str">
        <f t="shared" si="57"/>
        <v>13</v>
      </c>
      <c r="U523" s="125" t="str">
        <f t="shared" si="58"/>
        <v>131</v>
      </c>
      <c r="V523" s="538" t="str">
        <f>VLOOKUP(Q523,'GL Category'!A:C,3,FALSE)</f>
        <v>Personnel services</v>
      </c>
      <c r="W523" s="538"/>
      <c r="X523" s="83"/>
    </row>
    <row r="524" spans="1:24" s="83" customFormat="1" ht="20.399999999999999" customHeight="1">
      <c r="A524" s="608" t="s">
        <v>791</v>
      </c>
      <c r="B524" s="608" t="s">
        <v>2377</v>
      </c>
      <c r="C524" s="608" t="s">
        <v>137</v>
      </c>
      <c r="D524" s="609">
        <v>4955</v>
      </c>
      <c r="E524" s="609">
        <v>5110</v>
      </c>
      <c r="F524" s="609">
        <v>5350</v>
      </c>
      <c r="G524" s="609">
        <v>4425</v>
      </c>
      <c r="H524" s="609">
        <v>4124</v>
      </c>
      <c r="I524" s="609">
        <v>3800</v>
      </c>
      <c r="J524" s="609">
        <v>3800</v>
      </c>
      <c r="K524" s="609">
        <v>4551</v>
      </c>
      <c r="L524" s="609">
        <v>0</v>
      </c>
      <c r="M524" s="609">
        <v>0</v>
      </c>
      <c r="N524" s="587">
        <f t="shared" si="53"/>
        <v>4551</v>
      </c>
      <c r="O524"/>
      <c r="P524" s="490"/>
      <c r="Q524" t="str">
        <f t="shared" si="54"/>
        <v>50111</v>
      </c>
      <c r="R524" s="126" t="str">
        <f t="shared" si="55"/>
        <v>LONGEVITY PAY</v>
      </c>
      <c r="S524" s="125" t="str">
        <f t="shared" si="56"/>
        <v>100</v>
      </c>
      <c r="T524" s="125" t="str">
        <f t="shared" si="57"/>
        <v>13</v>
      </c>
      <c r="U524" s="125" t="str">
        <f t="shared" si="58"/>
        <v>131</v>
      </c>
      <c r="V524" s="125" t="str">
        <f>VLOOKUP(Q524,'GL Category'!A:C,3,FALSE)</f>
        <v>Personnel services</v>
      </c>
      <c r="W524" s="125"/>
    </row>
    <row r="525" spans="1:24" s="83" customFormat="1" ht="20.399999999999999" customHeight="1">
      <c r="A525" s="608" t="s">
        <v>791</v>
      </c>
      <c r="B525" s="608" t="s">
        <v>3442</v>
      </c>
      <c r="C525" s="608" t="s">
        <v>3</v>
      </c>
      <c r="D525" s="609">
        <v>0</v>
      </c>
      <c r="E525" s="609">
        <v>0</v>
      </c>
      <c r="F525" s="609">
        <v>0</v>
      </c>
      <c r="G525" s="609">
        <v>0</v>
      </c>
      <c r="H525" s="609">
        <v>0</v>
      </c>
      <c r="I525" s="609">
        <v>2400</v>
      </c>
      <c r="J525" s="609">
        <v>2730</v>
      </c>
      <c r="K525" s="609">
        <v>0</v>
      </c>
      <c r="L525" s="609">
        <v>0</v>
      </c>
      <c r="M525" s="609">
        <v>0</v>
      </c>
      <c r="N525" s="587">
        <f t="shared" si="53"/>
        <v>0</v>
      </c>
      <c r="O525"/>
      <c r="P525" s="490"/>
      <c r="Q525" t="str">
        <f t="shared" si="54"/>
        <v>50120</v>
      </c>
      <c r="R525" s="126" t="str">
        <f t="shared" si="55"/>
        <v>AUTO ALLOWANCE</v>
      </c>
      <c r="S525" s="125" t="str">
        <f t="shared" si="56"/>
        <v>100</v>
      </c>
      <c r="T525" s="125" t="str">
        <f t="shared" si="57"/>
        <v>13</v>
      </c>
      <c r="U525" s="125" t="str">
        <f t="shared" si="58"/>
        <v>131</v>
      </c>
      <c r="V525" s="125" t="str">
        <f>VLOOKUP(Q525,'GL Category'!A:C,3,FALSE)</f>
        <v>Personnel services</v>
      </c>
      <c r="W525" s="125"/>
    </row>
    <row r="526" spans="1:24" s="83" customFormat="1" ht="20.399999999999999" customHeight="1">
      <c r="A526" s="608" t="s">
        <v>791</v>
      </c>
      <c r="B526" s="608" t="s">
        <v>2379</v>
      </c>
      <c r="C526" s="608" t="s">
        <v>1</v>
      </c>
      <c r="D526" s="609">
        <v>41014.54</v>
      </c>
      <c r="E526" s="609">
        <v>39841.01</v>
      </c>
      <c r="F526" s="609">
        <v>40424.47</v>
      </c>
      <c r="G526" s="609">
        <v>44690.37</v>
      </c>
      <c r="H526" s="609">
        <v>46520</v>
      </c>
      <c r="I526" s="609">
        <v>36342.089999999997</v>
      </c>
      <c r="J526" s="609">
        <v>46882</v>
      </c>
      <c r="K526" s="609">
        <v>48200</v>
      </c>
      <c r="L526" s="609">
        <v>0</v>
      </c>
      <c r="M526" s="609">
        <v>0</v>
      </c>
      <c r="N526" s="587">
        <f t="shared" si="53"/>
        <v>48200</v>
      </c>
      <c r="O526"/>
      <c r="P526" s="490"/>
      <c r="Q526" t="str">
        <f t="shared" si="54"/>
        <v>50610</v>
      </c>
      <c r="R526" s="126" t="str">
        <f t="shared" si="55"/>
        <v>SOCIAL SECURITY</v>
      </c>
      <c r="S526" s="125" t="str">
        <f t="shared" si="56"/>
        <v>100</v>
      </c>
      <c r="T526" s="125" t="str">
        <f t="shared" si="57"/>
        <v>13</v>
      </c>
      <c r="U526" s="125" t="str">
        <f t="shared" si="58"/>
        <v>131</v>
      </c>
      <c r="V526" s="125" t="str">
        <f>VLOOKUP(Q526,'GL Category'!A:C,3,FALSE)</f>
        <v>Personnel services</v>
      </c>
      <c r="W526" s="125"/>
    </row>
    <row r="527" spans="1:24" s="541" customFormat="1" ht="20.399999999999999" customHeight="1">
      <c r="A527" s="608" t="s">
        <v>791</v>
      </c>
      <c r="B527" s="608" t="s">
        <v>2380</v>
      </c>
      <c r="C527" s="608" t="s">
        <v>142</v>
      </c>
      <c r="D527" s="609">
        <v>83716.539999999994</v>
      </c>
      <c r="E527" s="609">
        <v>84189.6</v>
      </c>
      <c r="F527" s="609">
        <v>101689.97</v>
      </c>
      <c r="G527" s="609">
        <v>112953.14</v>
      </c>
      <c r="H527" s="609">
        <v>112611</v>
      </c>
      <c r="I527" s="609">
        <v>85907.24</v>
      </c>
      <c r="J527" s="609">
        <v>115506</v>
      </c>
      <c r="K527" s="609">
        <v>112996</v>
      </c>
      <c r="L527" s="609">
        <v>0</v>
      </c>
      <c r="M527" s="609">
        <v>0</v>
      </c>
      <c r="N527" s="587">
        <f t="shared" si="53"/>
        <v>112996</v>
      </c>
      <c r="O527"/>
      <c r="P527" s="490"/>
      <c r="Q527" t="str">
        <f t="shared" si="54"/>
        <v>50620</v>
      </c>
      <c r="R527" s="540" t="str">
        <f t="shared" si="55"/>
        <v>HEALTH/LIFE INSURANCE</v>
      </c>
      <c r="S527" s="538" t="str">
        <f t="shared" si="56"/>
        <v>100</v>
      </c>
      <c r="T527" s="125" t="str">
        <f t="shared" si="57"/>
        <v>13</v>
      </c>
      <c r="U527" s="125" t="str">
        <f t="shared" si="58"/>
        <v>131</v>
      </c>
      <c r="V527" s="538" t="str">
        <f>VLOOKUP(Q527,'GL Category'!A:C,3,FALSE)</f>
        <v>Personnel services</v>
      </c>
      <c r="W527" s="538"/>
      <c r="X527" s="83"/>
    </row>
    <row r="528" spans="1:24" s="83" customFormat="1" ht="20.399999999999999" customHeight="1">
      <c r="A528" s="608" t="s">
        <v>791</v>
      </c>
      <c r="B528" s="608" t="s">
        <v>2381</v>
      </c>
      <c r="C528" s="608" t="s">
        <v>144</v>
      </c>
      <c r="D528" s="609">
        <v>373.81</v>
      </c>
      <c r="E528" s="609">
        <v>343.22</v>
      </c>
      <c r="F528" s="609">
        <v>264.81</v>
      </c>
      <c r="G528" s="609">
        <v>691.87</v>
      </c>
      <c r="H528" s="609">
        <v>897</v>
      </c>
      <c r="I528" s="609">
        <v>896.26</v>
      </c>
      <c r="J528" s="609">
        <v>896</v>
      </c>
      <c r="K528" s="609">
        <v>910</v>
      </c>
      <c r="L528" s="609">
        <v>0</v>
      </c>
      <c r="M528" s="609">
        <v>0</v>
      </c>
      <c r="N528" s="587">
        <f t="shared" si="53"/>
        <v>910</v>
      </c>
      <c r="O528"/>
      <c r="P528" s="490">
        <f t="shared" ref="P528:P537" si="59">N528-H528</f>
        <v>13</v>
      </c>
      <c r="Q528" t="str">
        <f t="shared" si="54"/>
        <v>50630</v>
      </c>
      <c r="R528" s="126" t="str">
        <f t="shared" si="55"/>
        <v>WORKER COMPENSATION</v>
      </c>
      <c r="S528" s="125" t="str">
        <f t="shared" si="56"/>
        <v>100</v>
      </c>
      <c r="T528" s="125" t="str">
        <f t="shared" si="57"/>
        <v>13</v>
      </c>
      <c r="U528" s="125" t="str">
        <f t="shared" si="58"/>
        <v>131</v>
      </c>
      <c r="V528" s="125" t="str">
        <f>VLOOKUP(Q528,'GL Category'!A:C,3,FALSE)</f>
        <v>Personnel services</v>
      </c>
      <c r="W528" s="125"/>
    </row>
    <row r="529" spans="1:24" s="541" customFormat="1" ht="20.399999999999999" customHeight="1">
      <c r="A529" s="608" t="s">
        <v>791</v>
      </c>
      <c r="B529" s="608" t="s">
        <v>2382</v>
      </c>
      <c r="C529" s="608" t="s">
        <v>2</v>
      </c>
      <c r="D529" s="609">
        <v>87583.51</v>
      </c>
      <c r="E529" s="609">
        <v>88131.99</v>
      </c>
      <c r="F529" s="609">
        <v>90638.56</v>
      </c>
      <c r="G529" s="609">
        <v>99686.13</v>
      </c>
      <c r="H529" s="609">
        <v>103816</v>
      </c>
      <c r="I529" s="609">
        <v>81852.710000000006</v>
      </c>
      <c r="J529" s="609">
        <v>106236</v>
      </c>
      <c r="K529" s="609">
        <v>111880</v>
      </c>
      <c r="L529" s="609">
        <v>0</v>
      </c>
      <c r="M529" s="609">
        <v>0</v>
      </c>
      <c r="N529" s="587">
        <f t="shared" si="53"/>
        <v>111880</v>
      </c>
      <c r="O529"/>
      <c r="P529" s="490">
        <f t="shared" si="59"/>
        <v>8064</v>
      </c>
      <c r="Q529" t="str">
        <f t="shared" si="54"/>
        <v>50650</v>
      </c>
      <c r="R529" s="540" t="str">
        <f t="shared" si="55"/>
        <v>RETIREMENT</v>
      </c>
      <c r="S529" s="538" t="str">
        <f t="shared" si="56"/>
        <v>100</v>
      </c>
      <c r="T529" s="125" t="str">
        <f t="shared" si="57"/>
        <v>13</v>
      </c>
      <c r="U529" s="125" t="str">
        <f t="shared" si="58"/>
        <v>131</v>
      </c>
      <c r="V529" s="538" t="str">
        <f>VLOOKUP(Q529,'GL Category'!A:C,3,FALSE)</f>
        <v>Personnel services</v>
      </c>
      <c r="W529" s="538"/>
      <c r="X529" s="83"/>
    </row>
    <row r="530" spans="1:24" s="83" customFormat="1" ht="20.399999999999999" customHeight="1">
      <c r="A530" s="608" t="s">
        <v>791</v>
      </c>
      <c r="B530" s="608" t="s">
        <v>2383</v>
      </c>
      <c r="C530" s="608" t="s">
        <v>149</v>
      </c>
      <c r="D530" s="609">
        <v>1363.94</v>
      </c>
      <c r="E530" s="609">
        <v>1845.95</v>
      </c>
      <c r="F530" s="609">
        <v>1921.11</v>
      </c>
      <c r="G530" s="609">
        <v>1810.79</v>
      </c>
      <c r="H530" s="609">
        <v>2200</v>
      </c>
      <c r="I530" s="609">
        <v>1039.04</v>
      </c>
      <c r="J530" s="609">
        <v>2100</v>
      </c>
      <c r="K530" s="609">
        <v>2100</v>
      </c>
      <c r="L530" s="609">
        <v>0</v>
      </c>
      <c r="M530" s="609">
        <v>0</v>
      </c>
      <c r="N530" s="587">
        <f t="shared" si="53"/>
        <v>2100</v>
      </c>
      <c r="O530"/>
      <c r="P530" s="490">
        <f t="shared" si="59"/>
        <v>-100</v>
      </c>
      <c r="Q530" t="str">
        <f t="shared" si="54"/>
        <v>51210</v>
      </c>
      <c r="R530" s="126" t="str">
        <f t="shared" si="55"/>
        <v>OFFICE SUPPLIES</v>
      </c>
      <c r="S530" s="125" t="str">
        <f t="shared" si="56"/>
        <v>100</v>
      </c>
      <c r="T530" s="125" t="str">
        <f t="shared" si="57"/>
        <v>13</v>
      </c>
      <c r="U530" s="125" t="str">
        <f t="shared" si="58"/>
        <v>131</v>
      </c>
      <c r="V530" s="125" t="str">
        <f>VLOOKUP(Q530,'GL Category'!A:C,3,FALSE)</f>
        <v>Operations &amp; maintenance</v>
      </c>
      <c r="W530" s="125"/>
    </row>
    <row r="531" spans="1:24" s="83" customFormat="1" ht="20.399999999999999" customHeight="1">
      <c r="A531" s="608" t="s">
        <v>791</v>
      </c>
      <c r="B531" s="608" t="s">
        <v>2384</v>
      </c>
      <c r="C531" s="608" t="s">
        <v>167</v>
      </c>
      <c r="D531" s="609">
        <v>404.21</v>
      </c>
      <c r="E531" s="609">
        <v>613.53</v>
      </c>
      <c r="F531" s="609">
        <v>333.21</v>
      </c>
      <c r="G531" s="609">
        <v>638.67999999999995</v>
      </c>
      <c r="H531" s="609">
        <v>600</v>
      </c>
      <c r="I531" s="609">
        <v>0</v>
      </c>
      <c r="J531" s="609">
        <v>700</v>
      </c>
      <c r="K531" s="609">
        <v>700</v>
      </c>
      <c r="L531" s="609">
        <v>0</v>
      </c>
      <c r="M531" s="609">
        <v>0</v>
      </c>
      <c r="N531" s="587">
        <f t="shared" si="53"/>
        <v>700</v>
      </c>
      <c r="O531"/>
      <c r="P531" s="490">
        <f t="shared" si="59"/>
        <v>100</v>
      </c>
      <c r="Q531" t="str">
        <f t="shared" si="54"/>
        <v>51285</v>
      </c>
      <c r="R531" s="126" t="str">
        <f t="shared" si="55"/>
        <v>WEARING APPAREL</v>
      </c>
      <c r="S531" s="125" t="str">
        <f t="shared" si="56"/>
        <v>100</v>
      </c>
      <c r="T531" s="125" t="str">
        <f t="shared" si="57"/>
        <v>13</v>
      </c>
      <c r="U531" s="125" t="str">
        <f t="shared" si="58"/>
        <v>131</v>
      </c>
      <c r="V531" s="125" t="str">
        <f>VLOOKUP(Q531,'GL Category'!A:C,3,FALSE)</f>
        <v>Operations &amp; maintenance</v>
      </c>
      <c r="W531" s="125"/>
    </row>
    <row r="532" spans="1:24" s="83" customFormat="1" ht="20.399999999999999" customHeight="1">
      <c r="A532" s="608" t="s">
        <v>791</v>
      </c>
      <c r="B532" s="608" t="s">
        <v>2386</v>
      </c>
      <c r="C532" s="608" t="s">
        <v>190</v>
      </c>
      <c r="D532" s="609">
        <v>2728</v>
      </c>
      <c r="E532" s="609">
        <v>2224</v>
      </c>
      <c r="F532" s="609">
        <v>2379</v>
      </c>
      <c r="G532" s="609">
        <v>1700</v>
      </c>
      <c r="H532" s="609">
        <v>3000</v>
      </c>
      <c r="I532" s="609">
        <v>2808.71</v>
      </c>
      <c r="J532" s="609">
        <v>2920</v>
      </c>
      <c r="K532" s="609">
        <v>2920</v>
      </c>
      <c r="L532" s="609">
        <v>0</v>
      </c>
      <c r="M532" s="609">
        <v>0</v>
      </c>
      <c r="N532" s="587">
        <f t="shared" si="53"/>
        <v>2920</v>
      </c>
      <c r="O532"/>
      <c r="P532" s="490">
        <f t="shared" si="59"/>
        <v>-80</v>
      </c>
      <c r="Q532" t="str">
        <f t="shared" si="54"/>
        <v>53510</v>
      </c>
      <c r="R532" s="126" t="str">
        <f t="shared" si="55"/>
        <v>DUES &amp; SUBSCRIPTIONS</v>
      </c>
      <c r="S532" s="125" t="str">
        <f t="shared" si="56"/>
        <v>100</v>
      </c>
      <c r="T532" s="125" t="str">
        <f t="shared" si="57"/>
        <v>13</v>
      </c>
      <c r="U532" s="125" t="str">
        <f t="shared" si="58"/>
        <v>131</v>
      </c>
      <c r="V532" s="125" t="str">
        <f>VLOOKUP(Q532,'GL Category'!A:C,3,FALSE)</f>
        <v>Services &amp; other</v>
      </c>
      <c r="W532" s="125"/>
    </row>
    <row r="533" spans="1:24" s="83" customFormat="1" ht="20.399999999999999" customHeight="1">
      <c r="A533" s="608" t="s">
        <v>791</v>
      </c>
      <c r="B533" s="608" t="s">
        <v>2388</v>
      </c>
      <c r="C533" s="608" t="s">
        <v>193</v>
      </c>
      <c r="D533" s="609">
        <v>2465</v>
      </c>
      <c r="E533" s="609">
        <v>33588.75</v>
      </c>
      <c r="F533" s="609">
        <v>54933.2</v>
      </c>
      <c r="G533" s="609">
        <v>50538.65</v>
      </c>
      <c r="H533" s="609">
        <v>56000</v>
      </c>
      <c r="I533" s="609">
        <v>12553.12</v>
      </c>
      <c r="J533" s="609">
        <v>56000</v>
      </c>
      <c r="K533" s="609">
        <v>56000</v>
      </c>
      <c r="L533" s="609">
        <v>0</v>
      </c>
      <c r="M533" s="609">
        <v>0</v>
      </c>
      <c r="N533" s="587">
        <f t="shared" si="53"/>
        <v>56000</v>
      </c>
      <c r="O533"/>
      <c r="P533" s="490">
        <f t="shared" si="59"/>
        <v>0</v>
      </c>
      <c r="Q533" t="str">
        <f t="shared" si="54"/>
        <v>53513</v>
      </c>
      <c r="R533" s="126" t="str">
        <f t="shared" si="55"/>
        <v>CONSULTING SERVICES</v>
      </c>
      <c r="S533" s="125" t="str">
        <f t="shared" si="56"/>
        <v>100</v>
      </c>
      <c r="T533" s="125" t="str">
        <f t="shared" si="57"/>
        <v>13</v>
      </c>
      <c r="U533" s="125" t="str">
        <f t="shared" si="58"/>
        <v>131</v>
      </c>
      <c r="V533" s="125" t="str">
        <f>VLOOKUP(Q533,'GL Category'!A:C,3,FALSE)</f>
        <v>Services &amp; other</v>
      </c>
      <c r="W533" s="125"/>
    </row>
    <row r="534" spans="1:24" s="83" customFormat="1" ht="20.399999999999999" customHeight="1">
      <c r="A534" s="608" t="s">
        <v>791</v>
      </c>
      <c r="B534" s="608" t="s">
        <v>2387</v>
      </c>
      <c r="C534" s="608" t="s">
        <v>191</v>
      </c>
      <c r="D534" s="609">
        <v>5473.21</v>
      </c>
      <c r="E534" s="609">
        <v>1343.26</v>
      </c>
      <c r="F534" s="609">
        <v>11361.51</v>
      </c>
      <c r="G534" s="609">
        <v>16635.419999999998</v>
      </c>
      <c r="H534" s="609">
        <v>13105</v>
      </c>
      <c r="I534" s="609">
        <v>14154.98</v>
      </c>
      <c r="J534" s="609">
        <v>13105</v>
      </c>
      <c r="K534" s="609">
        <v>13105</v>
      </c>
      <c r="L534" s="609">
        <v>0</v>
      </c>
      <c r="M534" s="609">
        <v>0</v>
      </c>
      <c r="N534" s="587">
        <f t="shared" si="53"/>
        <v>13105</v>
      </c>
      <c r="O534"/>
      <c r="P534" s="490">
        <f t="shared" si="59"/>
        <v>0</v>
      </c>
      <c r="Q534" t="str">
        <f t="shared" si="54"/>
        <v>53515</v>
      </c>
      <c r="R534" s="126" t="str">
        <f t="shared" si="55"/>
        <v>TRAVEL, TRAINING &amp; EDUCATION</v>
      </c>
      <c r="S534" s="125" t="str">
        <f t="shared" si="56"/>
        <v>100</v>
      </c>
      <c r="T534" s="125" t="str">
        <f t="shared" si="57"/>
        <v>13</v>
      </c>
      <c r="U534" s="125" t="str">
        <f t="shared" si="58"/>
        <v>131</v>
      </c>
      <c r="V534" s="125" t="str">
        <f>VLOOKUP(Q534,'GL Category'!A:C,3,FALSE)</f>
        <v>Services &amp; other</v>
      </c>
      <c r="W534" s="125"/>
    </row>
    <row r="535" spans="1:24" s="83" customFormat="1" ht="20.399999999999999" customHeight="1">
      <c r="A535" s="608" t="s">
        <v>791</v>
      </c>
      <c r="B535" s="608" t="s">
        <v>2389</v>
      </c>
      <c r="C535" s="608" t="s">
        <v>246</v>
      </c>
      <c r="D535" s="609">
        <v>107012.88</v>
      </c>
      <c r="E535" s="609">
        <v>112686.3</v>
      </c>
      <c r="F535" s="609">
        <v>137009.64000000001</v>
      </c>
      <c r="G535" s="609">
        <v>106274.45</v>
      </c>
      <c r="H535" s="609">
        <v>85000</v>
      </c>
      <c r="I535" s="609">
        <v>93047.99</v>
      </c>
      <c r="J535" s="609">
        <v>95000</v>
      </c>
      <c r="K535" s="609">
        <v>90000</v>
      </c>
      <c r="L535" s="609">
        <v>0</v>
      </c>
      <c r="M535" s="609">
        <v>0</v>
      </c>
      <c r="N535" s="587">
        <f t="shared" si="53"/>
        <v>90000</v>
      </c>
      <c r="O535"/>
      <c r="P535" s="490">
        <f t="shared" si="59"/>
        <v>5000</v>
      </c>
      <c r="Q535" t="str">
        <f t="shared" si="54"/>
        <v>53516</v>
      </c>
      <c r="R535" s="126" t="str">
        <f t="shared" si="55"/>
        <v>AUDIT &amp; ACCOUNTING SERVICES</v>
      </c>
      <c r="S535" s="125" t="str">
        <f t="shared" si="56"/>
        <v>100</v>
      </c>
      <c r="T535" s="125" t="str">
        <f t="shared" si="57"/>
        <v>13</v>
      </c>
      <c r="U535" s="125" t="str">
        <f t="shared" si="58"/>
        <v>131</v>
      </c>
      <c r="V535" s="125" t="str">
        <f>VLOOKUP(Q535,'GL Category'!A:C,3,FALSE)</f>
        <v>Services &amp; other</v>
      </c>
      <c r="W535" s="125"/>
    </row>
    <row r="536" spans="1:24" s="83" customFormat="1" ht="20.399999999999999" customHeight="1">
      <c r="A536" s="608" t="s">
        <v>791</v>
      </c>
      <c r="B536" s="608" t="s">
        <v>2390</v>
      </c>
      <c r="C536" s="608" t="s">
        <v>203</v>
      </c>
      <c r="D536" s="609">
        <v>1062.1500000000001</v>
      </c>
      <c r="E536" s="609">
        <v>1451.9</v>
      </c>
      <c r="F536" s="609">
        <v>1782.12</v>
      </c>
      <c r="G536" s="609">
        <v>1290.8699999999999</v>
      </c>
      <c r="H536" s="609">
        <v>1400</v>
      </c>
      <c r="I536" s="609">
        <v>606.97</v>
      </c>
      <c r="J536" s="609">
        <v>1400</v>
      </c>
      <c r="K536" s="609">
        <v>1400</v>
      </c>
      <c r="L536" s="609">
        <v>0</v>
      </c>
      <c r="M536" s="609">
        <v>0</v>
      </c>
      <c r="N536" s="587">
        <f t="shared" si="53"/>
        <v>1400</v>
      </c>
      <c r="O536"/>
      <c r="P536" s="490">
        <f t="shared" si="59"/>
        <v>0</v>
      </c>
      <c r="Q536" t="str">
        <f t="shared" si="54"/>
        <v>53540</v>
      </c>
      <c r="R536" s="126" t="str">
        <f t="shared" si="55"/>
        <v>PRINTING &amp; BINDING SERVICES</v>
      </c>
      <c r="S536" s="125" t="str">
        <f t="shared" si="56"/>
        <v>100</v>
      </c>
      <c r="T536" s="125" t="str">
        <f t="shared" si="57"/>
        <v>13</v>
      </c>
      <c r="U536" s="125" t="str">
        <f t="shared" si="58"/>
        <v>131</v>
      </c>
      <c r="V536" s="125" t="str">
        <f>VLOOKUP(Q536,'GL Category'!A:C,3,FALSE)</f>
        <v>Services &amp; other</v>
      </c>
      <c r="W536" s="125"/>
    </row>
    <row r="537" spans="1:24" s="83" customFormat="1" ht="20.399999999999999" customHeight="1">
      <c r="A537" s="608" t="s">
        <v>791</v>
      </c>
      <c r="B537" s="608" t="s">
        <v>2391</v>
      </c>
      <c r="C537" s="608" t="s">
        <v>219</v>
      </c>
      <c r="D537" s="609">
        <v>12588.43</v>
      </c>
      <c r="E537" s="609">
        <v>23858.95</v>
      </c>
      <c r="F537" s="609">
        <v>22372.81</v>
      </c>
      <c r="G537" s="609">
        <v>1685.95</v>
      </c>
      <c r="H537" s="609">
        <v>16000</v>
      </c>
      <c r="I537" s="609">
        <v>3673.13</v>
      </c>
      <c r="J537" s="609">
        <v>11000</v>
      </c>
      <c r="K537" s="609">
        <v>11000</v>
      </c>
      <c r="L537" s="609">
        <v>0</v>
      </c>
      <c r="M537" s="609">
        <v>0</v>
      </c>
      <c r="N537" s="587">
        <f t="shared" si="53"/>
        <v>11000</v>
      </c>
      <c r="O537"/>
      <c r="P537" s="490">
        <f t="shared" si="59"/>
        <v>-5000</v>
      </c>
      <c r="Q537" t="str">
        <f t="shared" si="54"/>
        <v>53585</v>
      </c>
      <c r="R537" s="126" t="str">
        <f t="shared" si="55"/>
        <v>BANKING SERVICES CHARGES</v>
      </c>
      <c r="S537" s="125" t="str">
        <f t="shared" si="56"/>
        <v>100</v>
      </c>
      <c r="T537" s="125" t="str">
        <f t="shared" si="57"/>
        <v>13</v>
      </c>
      <c r="U537" s="125" t="str">
        <f t="shared" si="58"/>
        <v>131</v>
      </c>
      <c r="V537" s="125" t="str">
        <f>VLOOKUP(Q537,'GL Category'!A:C,3,FALSE)</f>
        <v>Services &amp; other</v>
      </c>
      <c r="W537" s="125"/>
    </row>
    <row r="538" spans="1:24" s="83" customFormat="1" ht="20.399999999999999" customHeight="1">
      <c r="A538" s="608" t="s">
        <v>791</v>
      </c>
      <c r="B538" s="608" t="s">
        <v>2385</v>
      </c>
      <c r="C538" s="608" t="s">
        <v>238</v>
      </c>
      <c r="D538" s="609">
        <v>42443.34</v>
      </c>
      <c r="E538" s="609">
        <v>44085</v>
      </c>
      <c r="F538" s="609">
        <v>0</v>
      </c>
      <c r="G538" s="609">
        <v>0</v>
      </c>
      <c r="H538" s="609">
        <v>0</v>
      </c>
      <c r="I538" s="609">
        <v>0</v>
      </c>
      <c r="J538" s="609">
        <v>0</v>
      </c>
      <c r="K538" s="609">
        <v>0</v>
      </c>
      <c r="L538" s="609">
        <v>0</v>
      </c>
      <c r="M538" s="609">
        <v>0</v>
      </c>
      <c r="N538" s="587">
        <f t="shared" si="53"/>
        <v>0</v>
      </c>
      <c r="O538"/>
      <c r="P538" s="490"/>
      <c r="Q538" t="str">
        <f t="shared" si="54"/>
        <v>53599</v>
      </c>
      <c r="R538" s="126" t="str">
        <f t="shared" si="55"/>
        <v>MISCELLANEOUS SERVICES</v>
      </c>
      <c r="S538" s="125" t="str">
        <f t="shared" si="56"/>
        <v>100</v>
      </c>
      <c r="T538" s="125" t="str">
        <f t="shared" si="57"/>
        <v>13</v>
      </c>
      <c r="U538" s="125" t="str">
        <f t="shared" si="58"/>
        <v>131</v>
      </c>
      <c r="V538" s="125" t="str">
        <f>VLOOKUP(Q538,'GL Category'!A:C,3,FALSE)</f>
        <v>Services &amp; other</v>
      </c>
      <c r="W538" s="125"/>
    </row>
    <row r="539" spans="1:24" s="83" customFormat="1" ht="20.399999999999999" customHeight="1">
      <c r="A539" s="608" t="s">
        <v>791</v>
      </c>
      <c r="B539" s="608" t="s">
        <v>2392</v>
      </c>
      <c r="C539" s="608" t="s">
        <v>221</v>
      </c>
      <c r="D539" s="609">
        <v>198510</v>
      </c>
      <c r="E539" s="609">
        <v>96879</v>
      </c>
      <c r="F539" s="609">
        <v>92025</v>
      </c>
      <c r="G539" s="609">
        <v>94183</v>
      </c>
      <c r="H539" s="609">
        <v>95980</v>
      </c>
      <c r="I539" s="609">
        <v>71985</v>
      </c>
      <c r="J539" s="609">
        <v>95980</v>
      </c>
      <c r="K539" s="609">
        <v>119161</v>
      </c>
      <c r="L539" s="609">
        <v>0</v>
      </c>
      <c r="M539" s="609">
        <v>0</v>
      </c>
      <c r="N539" s="587">
        <f t="shared" si="53"/>
        <v>119161</v>
      </c>
      <c r="O539"/>
      <c r="P539" s="490"/>
      <c r="Q539" t="str">
        <f t="shared" si="54"/>
        <v>55119</v>
      </c>
      <c r="R539" s="126" t="str">
        <f t="shared" si="55"/>
        <v>OFFICE EQUIP LEASE EXP-CITY</v>
      </c>
      <c r="S539" s="125" t="str">
        <f t="shared" si="56"/>
        <v>100</v>
      </c>
      <c r="T539" s="125" t="str">
        <f t="shared" si="57"/>
        <v>13</v>
      </c>
      <c r="U539" s="125" t="str">
        <f t="shared" si="58"/>
        <v>131</v>
      </c>
      <c r="V539" s="125" t="str">
        <f>VLOOKUP(Q539,'GL Category'!A:C,3,FALSE)</f>
        <v>Services &amp; other</v>
      </c>
      <c r="W539" s="125"/>
    </row>
    <row r="540" spans="1:24" s="83" customFormat="1" ht="20.399999999999999" customHeight="1">
      <c r="A540" s="608" t="s">
        <v>791</v>
      </c>
      <c r="B540" s="608" t="s">
        <v>2397</v>
      </c>
      <c r="C540" s="608" t="s">
        <v>256</v>
      </c>
      <c r="D540" s="609">
        <v>115007.26</v>
      </c>
      <c r="E540" s="609">
        <v>112864.34</v>
      </c>
      <c r="F540" s="609">
        <v>113098.16</v>
      </c>
      <c r="G540" s="609">
        <v>111807.99</v>
      </c>
      <c r="H540" s="609">
        <v>120000</v>
      </c>
      <c r="I540" s="609">
        <v>118043.37</v>
      </c>
      <c r="J540" s="609">
        <v>120000</v>
      </c>
      <c r="K540" s="609">
        <v>137601</v>
      </c>
      <c r="L540" s="609">
        <v>0</v>
      </c>
      <c r="M540" s="609">
        <v>0</v>
      </c>
      <c r="N540" s="587">
        <f t="shared" si="53"/>
        <v>137601</v>
      </c>
      <c r="O540"/>
      <c r="P540" s="490"/>
      <c r="Q540" t="str">
        <f t="shared" si="54"/>
        <v>53518</v>
      </c>
      <c r="R540" s="126" t="str">
        <f t="shared" si="55"/>
        <v>TAX APPRAISAL SERVICES</v>
      </c>
      <c r="S540" s="125" t="str">
        <f t="shared" si="56"/>
        <v>100</v>
      </c>
      <c r="T540" s="125" t="str">
        <f t="shared" si="57"/>
        <v>13</v>
      </c>
      <c r="U540" s="125" t="str">
        <f t="shared" si="58"/>
        <v>139</v>
      </c>
      <c r="V540" s="125" t="str">
        <f>VLOOKUP(Q540,'GL Category'!A:C,3,FALSE)</f>
        <v>Services &amp; other</v>
      </c>
      <c r="W540" s="125"/>
    </row>
    <row r="541" spans="1:24" s="83" customFormat="1" ht="20.399999999999999" customHeight="1">
      <c r="A541" s="608" t="s">
        <v>791</v>
      </c>
      <c r="B541" s="608" t="s">
        <v>2394</v>
      </c>
      <c r="C541" s="608" t="s">
        <v>238</v>
      </c>
      <c r="D541" s="609">
        <v>17325.419999999998</v>
      </c>
      <c r="E541" s="609">
        <v>17409.7</v>
      </c>
      <c r="F541" s="609">
        <v>16837.38</v>
      </c>
      <c r="G541" s="609">
        <v>17648.900000000001</v>
      </c>
      <c r="H541" s="609">
        <v>19160</v>
      </c>
      <c r="I541" s="609">
        <v>17692.919999999998</v>
      </c>
      <c r="J541" s="609">
        <v>19160</v>
      </c>
      <c r="K541" s="609">
        <v>19160</v>
      </c>
      <c r="L541" s="609">
        <v>0</v>
      </c>
      <c r="M541" s="609">
        <v>0</v>
      </c>
      <c r="N541" s="587">
        <f t="shared" si="53"/>
        <v>19160</v>
      </c>
      <c r="O541"/>
      <c r="P541" s="490"/>
      <c r="Q541" t="str">
        <f t="shared" si="54"/>
        <v>53599</v>
      </c>
      <c r="R541" s="126" t="str">
        <f t="shared" si="55"/>
        <v>MISCELLANEOUS SERVICES</v>
      </c>
      <c r="S541" s="125" t="str">
        <f t="shared" si="56"/>
        <v>100</v>
      </c>
      <c r="T541" s="125" t="str">
        <f t="shared" si="57"/>
        <v>13</v>
      </c>
      <c r="U541" s="125" t="str">
        <f t="shared" si="58"/>
        <v>139</v>
      </c>
      <c r="V541" s="125" t="str">
        <f>VLOOKUP(Q541,'GL Category'!A:C,3,FALSE)</f>
        <v>Services &amp; other</v>
      </c>
      <c r="W541" s="125"/>
    </row>
    <row r="542" spans="1:24" s="83" customFormat="1" ht="20.399999999999999" customHeight="1">
      <c r="A542" s="608" t="s">
        <v>791</v>
      </c>
      <c r="B542" s="608" t="s">
        <v>2469</v>
      </c>
      <c r="C542" s="608" t="s">
        <v>130</v>
      </c>
      <c r="D542" s="609">
        <v>205894.68</v>
      </c>
      <c r="E542" s="609">
        <v>114152.15</v>
      </c>
      <c r="F542" s="609">
        <v>171470.94</v>
      </c>
      <c r="G542" s="609">
        <v>177061.91</v>
      </c>
      <c r="H542" s="609">
        <v>184445</v>
      </c>
      <c r="I542" s="609">
        <v>132955.84</v>
      </c>
      <c r="J542" s="609">
        <v>178207</v>
      </c>
      <c r="K542" s="609">
        <v>191902</v>
      </c>
      <c r="L542" s="609">
        <v>0</v>
      </c>
      <c r="M542" s="609">
        <v>0</v>
      </c>
      <c r="N542" s="587">
        <f t="shared" si="53"/>
        <v>191902</v>
      </c>
      <c r="O542"/>
      <c r="P542" s="490"/>
      <c r="Q542" t="str">
        <f t="shared" si="54"/>
        <v>50101</v>
      </c>
      <c r="R542" s="126" t="str">
        <f t="shared" si="55"/>
        <v>EXEMPT SALARIES</v>
      </c>
      <c r="S542" s="125" t="str">
        <f t="shared" si="56"/>
        <v>100</v>
      </c>
      <c r="T542" s="125" t="str">
        <f t="shared" si="57"/>
        <v>14</v>
      </c>
      <c r="U542" s="125" t="str">
        <f t="shared" si="58"/>
        <v>141</v>
      </c>
      <c r="V542" s="125" t="str">
        <f>VLOOKUP(Q542,'GL Category'!A:C,3,FALSE)</f>
        <v>Personnel services</v>
      </c>
      <c r="W542" s="125"/>
    </row>
    <row r="543" spans="1:24" s="83" customFormat="1" ht="20.399999999999999" customHeight="1">
      <c r="A543" s="608" t="s">
        <v>791</v>
      </c>
      <c r="B543" s="608" t="s">
        <v>3365</v>
      </c>
      <c r="C543" s="608" t="s">
        <v>135</v>
      </c>
      <c r="D543" s="609">
        <v>8371.7800000000007</v>
      </c>
      <c r="E543" s="609">
        <v>8182.75</v>
      </c>
      <c r="F543" s="609">
        <v>5583.76</v>
      </c>
      <c r="G543" s="609">
        <v>8553.75</v>
      </c>
      <c r="H543" s="609">
        <v>15580</v>
      </c>
      <c r="I543" s="609">
        <v>6506.04</v>
      </c>
      <c r="J543" s="609">
        <v>9355</v>
      </c>
      <c r="K543" s="609">
        <v>12127</v>
      </c>
      <c r="L543" s="609">
        <v>0</v>
      </c>
      <c r="M543" s="609">
        <v>0</v>
      </c>
      <c r="N543" s="587">
        <f t="shared" si="53"/>
        <v>12127</v>
      </c>
      <c r="O543"/>
      <c r="P543" s="490"/>
      <c r="Q543" t="str">
        <f t="shared" si="54"/>
        <v>50110</v>
      </c>
      <c r="R543" s="126" t="str">
        <f t="shared" si="55"/>
        <v>PART-TIME WAGES</v>
      </c>
      <c r="S543" s="125" t="str">
        <f t="shared" si="56"/>
        <v>100</v>
      </c>
      <c r="T543" s="125" t="str">
        <f t="shared" si="57"/>
        <v>14</v>
      </c>
      <c r="U543" s="125" t="str">
        <f t="shared" si="58"/>
        <v>141</v>
      </c>
      <c r="V543" s="125" t="str">
        <f>VLOOKUP(Q543,'GL Category'!A:C,3,FALSE)</f>
        <v>Personnel services</v>
      </c>
      <c r="W543" s="125"/>
    </row>
    <row r="544" spans="1:24" s="83" customFormat="1" ht="20.399999999999999" customHeight="1">
      <c r="A544" s="608" t="s">
        <v>791</v>
      </c>
      <c r="B544" s="608" t="s">
        <v>2470</v>
      </c>
      <c r="C544" s="608" t="s">
        <v>137</v>
      </c>
      <c r="D544" s="609">
        <v>430</v>
      </c>
      <c r="E544" s="609">
        <v>220</v>
      </c>
      <c r="F544" s="609">
        <v>280</v>
      </c>
      <c r="G544" s="609">
        <v>435</v>
      </c>
      <c r="H544" s="609">
        <v>564</v>
      </c>
      <c r="I544" s="609">
        <v>555</v>
      </c>
      <c r="J544" s="609">
        <v>555</v>
      </c>
      <c r="K544" s="609">
        <v>686</v>
      </c>
      <c r="L544" s="609">
        <v>0</v>
      </c>
      <c r="M544" s="609">
        <v>0</v>
      </c>
      <c r="N544" s="587">
        <f t="shared" si="53"/>
        <v>686</v>
      </c>
      <c r="O544"/>
      <c r="P544" s="490"/>
      <c r="Q544" t="str">
        <f t="shared" si="54"/>
        <v>50111</v>
      </c>
      <c r="R544" s="126" t="str">
        <f t="shared" si="55"/>
        <v>LONGEVITY PAY</v>
      </c>
      <c r="S544" s="125" t="str">
        <f t="shared" si="56"/>
        <v>100</v>
      </c>
      <c r="T544" s="125" t="str">
        <f t="shared" si="57"/>
        <v>14</v>
      </c>
      <c r="U544" s="125" t="str">
        <f t="shared" si="58"/>
        <v>141</v>
      </c>
      <c r="V544" s="125" t="str">
        <f>VLOOKUP(Q544,'GL Category'!A:C,3,FALSE)</f>
        <v>Personnel services</v>
      </c>
      <c r="W544" s="125"/>
    </row>
    <row r="545" spans="1:23" s="83" customFormat="1" ht="20.399999999999999" customHeight="1">
      <c r="A545" s="608" t="s">
        <v>791</v>
      </c>
      <c r="B545" s="608" t="s">
        <v>2472</v>
      </c>
      <c r="C545" s="608" t="s">
        <v>3</v>
      </c>
      <c r="D545" s="609">
        <v>4742.8599999999997</v>
      </c>
      <c r="E545" s="609">
        <v>4857.1400000000003</v>
      </c>
      <c r="F545" s="609">
        <v>4800</v>
      </c>
      <c r="G545" s="609">
        <v>5016</v>
      </c>
      <c r="H545" s="609">
        <v>4800</v>
      </c>
      <c r="I545" s="609">
        <v>3584</v>
      </c>
      <c r="J545" s="609">
        <v>4804</v>
      </c>
      <c r="K545" s="609">
        <v>4800</v>
      </c>
      <c r="L545" s="609">
        <v>0</v>
      </c>
      <c r="M545" s="609">
        <v>0</v>
      </c>
      <c r="N545" s="587">
        <f t="shared" si="53"/>
        <v>4800</v>
      </c>
      <c r="O545"/>
      <c r="P545" s="490"/>
      <c r="Q545" t="str">
        <f t="shared" si="54"/>
        <v>50120</v>
      </c>
      <c r="R545" s="126" t="str">
        <f t="shared" si="55"/>
        <v>AUTO ALLOWANCE</v>
      </c>
      <c r="S545" s="125" t="str">
        <f t="shared" si="56"/>
        <v>100</v>
      </c>
      <c r="T545" s="125" t="str">
        <f t="shared" si="57"/>
        <v>14</v>
      </c>
      <c r="U545" s="125" t="str">
        <f t="shared" si="58"/>
        <v>141</v>
      </c>
      <c r="V545" s="125" t="str">
        <f>VLOOKUP(Q545,'GL Category'!A:C,3,FALSE)</f>
        <v>Personnel services</v>
      </c>
      <c r="W545" s="125"/>
    </row>
    <row r="546" spans="1:23" s="83" customFormat="1" ht="20.399999999999999" customHeight="1">
      <c r="A546" s="608" t="s">
        <v>791</v>
      </c>
      <c r="B546" s="608" t="s">
        <v>2473</v>
      </c>
      <c r="C546" s="608" t="s">
        <v>1</v>
      </c>
      <c r="D546" s="609">
        <v>15859.1</v>
      </c>
      <c r="E546" s="609">
        <v>8816.57</v>
      </c>
      <c r="F546" s="609">
        <v>12364.5</v>
      </c>
      <c r="G546" s="609">
        <v>11981.36</v>
      </c>
      <c r="H546" s="609">
        <v>15900</v>
      </c>
      <c r="I546" s="609">
        <v>9625.1200000000008</v>
      </c>
      <c r="J546" s="609">
        <v>13434</v>
      </c>
      <c r="K546" s="609">
        <v>16090</v>
      </c>
      <c r="L546" s="609">
        <v>0</v>
      </c>
      <c r="M546" s="609">
        <v>0</v>
      </c>
      <c r="N546" s="587">
        <f t="shared" si="53"/>
        <v>16090</v>
      </c>
      <c r="O546"/>
      <c r="P546" s="490"/>
      <c r="Q546" t="str">
        <f t="shared" si="54"/>
        <v>50610</v>
      </c>
      <c r="R546" s="126" t="str">
        <f t="shared" si="55"/>
        <v>SOCIAL SECURITY</v>
      </c>
      <c r="S546" s="125" t="str">
        <f t="shared" si="56"/>
        <v>100</v>
      </c>
      <c r="T546" s="125" t="str">
        <f t="shared" si="57"/>
        <v>14</v>
      </c>
      <c r="U546" s="125" t="str">
        <f t="shared" si="58"/>
        <v>141</v>
      </c>
      <c r="V546" s="125" t="str">
        <f>VLOOKUP(Q546,'GL Category'!A:C,3,FALSE)</f>
        <v>Personnel services</v>
      </c>
      <c r="W546" s="125"/>
    </row>
    <row r="547" spans="1:23" s="83" customFormat="1" ht="20.399999999999999" customHeight="1">
      <c r="A547" s="608" t="s">
        <v>791</v>
      </c>
      <c r="B547" s="608" t="s">
        <v>2474</v>
      </c>
      <c r="C547" s="608" t="s">
        <v>142</v>
      </c>
      <c r="D547" s="609">
        <v>29738.32</v>
      </c>
      <c r="E547" s="609">
        <v>25894.62</v>
      </c>
      <c r="F547" s="609">
        <v>43211.96</v>
      </c>
      <c r="G547" s="609">
        <v>43751.5</v>
      </c>
      <c r="H547" s="609">
        <v>42798</v>
      </c>
      <c r="I547" s="609">
        <v>28477.49</v>
      </c>
      <c r="J547" s="609">
        <v>40451</v>
      </c>
      <c r="K547" s="609">
        <v>40726</v>
      </c>
      <c r="L547" s="609">
        <v>0</v>
      </c>
      <c r="M547" s="609">
        <v>0</v>
      </c>
      <c r="N547" s="587">
        <f t="shared" si="53"/>
        <v>40726</v>
      </c>
      <c r="O547"/>
      <c r="P547" s="490"/>
      <c r="Q547" t="str">
        <f t="shared" si="54"/>
        <v>50620</v>
      </c>
      <c r="R547" s="126" t="str">
        <f t="shared" si="55"/>
        <v>HEALTH/LIFE INSURANCE</v>
      </c>
      <c r="S547" s="125" t="str">
        <f t="shared" si="56"/>
        <v>100</v>
      </c>
      <c r="T547" s="125" t="str">
        <f t="shared" si="57"/>
        <v>14</v>
      </c>
      <c r="U547" s="125" t="str">
        <f t="shared" si="58"/>
        <v>141</v>
      </c>
      <c r="V547" s="125" t="str">
        <f>VLOOKUP(Q547,'GL Category'!A:C,3,FALSE)</f>
        <v>Personnel services</v>
      </c>
      <c r="W547" s="125"/>
    </row>
    <row r="548" spans="1:23" s="83" customFormat="1" ht="20.399999999999999" customHeight="1">
      <c r="A548" s="608" t="s">
        <v>791</v>
      </c>
      <c r="B548" s="608" t="s">
        <v>2475</v>
      </c>
      <c r="C548" s="608" t="s">
        <v>144</v>
      </c>
      <c r="D548" s="609">
        <v>134.68</v>
      </c>
      <c r="E548" s="609">
        <v>125.61</v>
      </c>
      <c r="F548" s="609">
        <v>122.23</v>
      </c>
      <c r="G548" s="609">
        <v>222.32</v>
      </c>
      <c r="H548" s="609">
        <v>297</v>
      </c>
      <c r="I548" s="609">
        <v>296.76</v>
      </c>
      <c r="J548" s="609">
        <v>297</v>
      </c>
      <c r="K548" s="609">
        <v>290</v>
      </c>
      <c r="L548" s="609">
        <v>0</v>
      </c>
      <c r="M548" s="609">
        <v>0</v>
      </c>
      <c r="N548" s="587">
        <f t="shared" si="53"/>
        <v>290</v>
      </c>
      <c r="O548"/>
      <c r="P548" s="490"/>
      <c r="Q548" t="str">
        <f t="shared" si="54"/>
        <v>50630</v>
      </c>
      <c r="R548" s="126" t="str">
        <f t="shared" si="55"/>
        <v>WORKER COMPENSATION</v>
      </c>
      <c r="S548" s="125" t="str">
        <f t="shared" si="56"/>
        <v>100</v>
      </c>
      <c r="T548" s="125" t="str">
        <f t="shared" si="57"/>
        <v>14</v>
      </c>
      <c r="U548" s="125" t="str">
        <f t="shared" si="58"/>
        <v>141</v>
      </c>
      <c r="V548" s="125" t="str">
        <f>VLOOKUP(Q548,'GL Category'!A:C,3,FALSE)</f>
        <v>Personnel services</v>
      </c>
      <c r="W548" s="125"/>
    </row>
    <row r="549" spans="1:23" s="83" customFormat="1" ht="20.399999999999999" customHeight="1">
      <c r="A549" s="608" t="s">
        <v>791</v>
      </c>
      <c r="B549" s="608" t="s">
        <v>2476</v>
      </c>
      <c r="C549" s="608" t="s">
        <v>2</v>
      </c>
      <c r="D549" s="609">
        <v>33536.81</v>
      </c>
      <c r="E549" s="609">
        <v>19283.98</v>
      </c>
      <c r="F549" s="609">
        <v>28597.9</v>
      </c>
      <c r="G549" s="609">
        <v>29683.34</v>
      </c>
      <c r="H549" s="609">
        <v>31767</v>
      </c>
      <c r="I549" s="609">
        <v>22899.759999999998</v>
      </c>
      <c r="J549" s="609">
        <v>30578</v>
      </c>
      <c r="K549" s="609">
        <v>33643</v>
      </c>
      <c r="L549" s="609">
        <v>0</v>
      </c>
      <c r="M549" s="609">
        <v>0</v>
      </c>
      <c r="N549" s="587">
        <f t="shared" si="53"/>
        <v>33643</v>
      </c>
      <c r="O549"/>
      <c r="P549" s="490"/>
      <c r="Q549" t="str">
        <f t="shared" si="54"/>
        <v>50650</v>
      </c>
      <c r="R549" s="126" t="str">
        <f t="shared" si="55"/>
        <v>RETIREMENT</v>
      </c>
      <c r="S549" s="125" t="str">
        <f t="shared" si="56"/>
        <v>100</v>
      </c>
      <c r="T549" s="125" t="str">
        <f t="shared" si="57"/>
        <v>14</v>
      </c>
      <c r="U549" s="125" t="str">
        <f t="shared" si="58"/>
        <v>141</v>
      </c>
      <c r="V549" s="125" t="str">
        <f>VLOOKUP(Q549,'GL Category'!A:C,3,FALSE)</f>
        <v>Personnel services</v>
      </c>
      <c r="W549" s="125"/>
    </row>
    <row r="550" spans="1:23" s="83" customFormat="1" ht="20.399999999999999" customHeight="1">
      <c r="A550" s="608" t="s">
        <v>791</v>
      </c>
      <c r="B550" s="608" t="s">
        <v>2477</v>
      </c>
      <c r="C550" s="608" t="s">
        <v>149</v>
      </c>
      <c r="D550" s="609">
        <v>1098.0999999999999</v>
      </c>
      <c r="E550" s="609">
        <v>1044.3699999999999</v>
      </c>
      <c r="F550" s="609">
        <v>230.73</v>
      </c>
      <c r="G550" s="609">
        <v>433.06</v>
      </c>
      <c r="H550" s="609">
        <v>1100</v>
      </c>
      <c r="I550" s="609">
        <v>442.47</v>
      </c>
      <c r="J550" s="609">
        <v>800</v>
      </c>
      <c r="K550" s="609">
        <v>1100</v>
      </c>
      <c r="L550" s="609">
        <v>0</v>
      </c>
      <c r="M550" s="609">
        <v>0</v>
      </c>
      <c r="N550" s="587">
        <f t="shared" si="53"/>
        <v>1100</v>
      </c>
      <c r="O550"/>
      <c r="P550" s="490">
        <f t="shared" ref="P550:P557" si="60">N550-H550</f>
        <v>0</v>
      </c>
      <c r="Q550" t="str">
        <f t="shared" si="54"/>
        <v>51210</v>
      </c>
      <c r="R550" s="126" t="str">
        <f t="shared" si="55"/>
        <v>OFFICE SUPPLIES</v>
      </c>
      <c r="S550" s="125" t="str">
        <f t="shared" si="56"/>
        <v>100</v>
      </c>
      <c r="T550" s="125" t="str">
        <f t="shared" si="57"/>
        <v>14</v>
      </c>
      <c r="U550" s="125" t="str">
        <f t="shared" si="58"/>
        <v>141</v>
      </c>
      <c r="V550" s="125" t="str">
        <f>VLOOKUP(Q550,'GL Category'!A:C,3,FALSE)</f>
        <v>Operations &amp; maintenance</v>
      </c>
      <c r="W550" s="125"/>
    </row>
    <row r="551" spans="1:23" s="83" customFormat="1" ht="20.399999999999999" customHeight="1">
      <c r="A551" s="608" t="s">
        <v>791</v>
      </c>
      <c r="B551" s="608" t="s">
        <v>2477</v>
      </c>
      <c r="C551" s="608" t="s">
        <v>149</v>
      </c>
      <c r="D551" s="609">
        <v>0</v>
      </c>
      <c r="E551" s="609">
        <v>0</v>
      </c>
      <c r="F551" s="609">
        <v>0</v>
      </c>
      <c r="G551" s="609">
        <v>0</v>
      </c>
      <c r="H551" s="609">
        <v>0</v>
      </c>
      <c r="I551" s="609">
        <v>0</v>
      </c>
      <c r="J551" s="609">
        <v>0</v>
      </c>
      <c r="K551" s="609">
        <v>0</v>
      </c>
      <c r="L551" s="609">
        <v>0</v>
      </c>
      <c r="M551" s="609">
        <v>0</v>
      </c>
      <c r="N551" s="587">
        <f t="shared" si="53"/>
        <v>0</v>
      </c>
      <c r="O551"/>
      <c r="P551" s="490">
        <f t="shared" si="60"/>
        <v>0</v>
      </c>
      <c r="Q551" t="str">
        <f t="shared" si="54"/>
        <v>51210</v>
      </c>
      <c r="R551" s="126" t="str">
        <f t="shared" si="55"/>
        <v>OFFICE SUPPLIES</v>
      </c>
      <c r="S551" s="125" t="str">
        <f t="shared" si="56"/>
        <v>100</v>
      </c>
      <c r="T551" s="125" t="str">
        <f t="shared" si="57"/>
        <v>14</v>
      </c>
      <c r="U551" s="125" t="str">
        <f t="shared" si="58"/>
        <v>141</v>
      </c>
      <c r="V551" s="125" t="str">
        <f>VLOOKUP(Q551,'GL Category'!A:C,3,FALSE)</f>
        <v>Operations &amp; maintenance</v>
      </c>
      <c r="W551" s="125"/>
    </row>
    <row r="552" spans="1:23" s="83" customFormat="1" ht="20.399999999999999" customHeight="1">
      <c r="A552" s="608" t="s">
        <v>791</v>
      </c>
      <c r="B552" s="608" t="s">
        <v>2478</v>
      </c>
      <c r="C552" s="608" t="s">
        <v>234</v>
      </c>
      <c r="D552" s="609">
        <v>1820</v>
      </c>
      <c r="E552" s="609">
        <v>0</v>
      </c>
      <c r="F552" s="609">
        <v>30777</v>
      </c>
      <c r="G552" s="609">
        <v>0</v>
      </c>
      <c r="H552" s="609">
        <v>2000</v>
      </c>
      <c r="I552" s="609">
        <v>0</v>
      </c>
      <c r="J552" s="609">
        <v>2000</v>
      </c>
      <c r="K552" s="609">
        <v>2000</v>
      </c>
      <c r="L552" s="609">
        <v>0</v>
      </c>
      <c r="M552" s="609">
        <v>0</v>
      </c>
      <c r="N552" s="587">
        <f t="shared" si="53"/>
        <v>2000</v>
      </c>
      <c r="O552"/>
      <c r="P552" s="490">
        <f t="shared" si="60"/>
        <v>0</v>
      </c>
      <c r="Q552" t="str">
        <f t="shared" si="54"/>
        <v>51265</v>
      </c>
      <c r="R552" s="126" t="str">
        <f t="shared" si="55"/>
        <v>STREET SIGN/SIGNAL SUPPLIES</v>
      </c>
      <c r="S552" s="125" t="str">
        <f t="shared" si="56"/>
        <v>100</v>
      </c>
      <c r="T552" s="125" t="str">
        <f t="shared" si="57"/>
        <v>14</v>
      </c>
      <c r="U552" s="125" t="str">
        <f t="shared" si="58"/>
        <v>141</v>
      </c>
      <c r="V552" s="125" t="str">
        <f>VLOOKUP(Q552,'GL Category'!A:C,3,FALSE)</f>
        <v>Operations &amp; maintenance</v>
      </c>
      <c r="W552" s="125"/>
    </row>
    <row r="553" spans="1:23" s="83" customFormat="1" ht="20.399999999999999" customHeight="1">
      <c r="A553" s="608" t="s">
        <v>791</v>
      </c>
      <c r="B553" s="608" t="s">
        <v>2479</v>
      </c>
      <c r="C553" s="608" t="s">
        <v>167</v>
      </c>
      <c r="D553" s="609">
        <v>89.77</v>
      </c>
      <c r="E553" s="609">
        <v>108.96</v>
      </c>
      <c r="F553" s="609">
        <v>95.63</v>
      </c>
      <c r="G553" s="609">
        <v>165.14</v>
      </c>
      <c r="H553" s="609">
        <v>200</v>
      </c>
      <c r="I553" s="609">
        <v>0</v>
      </c>
      <c r="J553" s="609">
        <v>200</v>
      </c>
      <c r="K553" s="609">
        <v>200</v>
      </c>
      <c r="L553" s="609">
        <v>0</v>
      </c>
      <c r="M553" s="609">
        <v>0</v>
      </c>
      <c r="N553" s="587">
        <f t="shared" si="53"/>
        <v>200</v>
      </c>
      <c r="O553"/>
      <c r="P553" s="490">
        <f t="shared" si="60"/>
        <v>0</v>
      </c>
      <c r="Q553" t="str">
        <f t="shared" si="54"/>
        <v>51285</v>
      </c>
      <c r="R553" s="126" t="str">
        <f t="shared" si="55"/>
        <v>WEARING APPAREL</v>
      </c>
      <c r="S553" s="125" t="str">
        <f t="shared" si="56"/>
        <v>100</v>
      </c>
      <c r="T553" s="125" t="str">
        <f t="shared" si="57"/>
        <v>14</v>
      </c>
      <c r="U553" s="125" t="str">
        <f t="shared" si="58"/>
        <v>141</v>
      </c>
      <c r="V553" s="125" t="str">
        <f>VLOOKUP(Q553,'GL Category'!A:C,3,FALSE)</f>
        <v>Operations &amp; maintenance</v>
      </c>
      <c r="W553" s="125"/>
    </row>
    <row r="554" spans="1:23" s="83" customFormat="1" ht="20.399999999999999" customHeight="1">
      <c r="A554" s="608" t="s">
        <v>791</v>
      </c>
      <c r="B554" s="608" t="s">
        <v>2481</v>
      </c>
      <c r="C554" s="608" t="s">
        <v>762</v>
      </c>
      <c r="D554" s="609">
        <v>9150</v>
      </c>
      <c r="E554" s="609">
        <v>0</v>
      </c>
      <c r="F554" s="609">
        <v>14985.5</v>
      </c>
      <c r="G554" s="609">
        <v>20000</v>
      </c>
      <c r="H554" s="609">
        <v>79844</v>
      </c>
      <c r="I554" s="609">
        <v>50963.49</v>
      </c>
      <c r="J554" s="609">
        <v>79844</v>
      </c>
      <c r="K554" s="609">
        <v>35000</v>
      </c>
      <c r="L554" s="609">
        <v>0</v>
      </c>
      <c r="M554" s="609">
        <v>0</v>
      </c>
      <c r="N554" s="587">
        <f t="shared" si="53"/>
        <v>35000</v>
      </c>
      <c r="O554"/>
      <c r="P554" s="490">
        <f t="shared" si="60"/>
        <v>-44844</v>
      </c>
      <c r="Q554" t="str">
        <f t="shared" si="54"/>
        <v>53508</v>
      </c>
      <c r="R554" s="126" t="str">
        <f t="shared" si="55"/>
        <v>DEVELOPMENT GRANT</v>
      </c>
      <c r="S554" s="125" t="str">
        <f t="shared" si="56"/>
        <v>100</v>
      </c>
      <c r="T554" s="125" t="str">
        <f t="shared" si="57"/>
        <v>14</v>
      </c>
      <c r="U554" s="125" t="str">
        <f t="shared" si="58"/>
        <v>141</v>
      </c>
      <c r="V554" s="125" t="str">
        <f>VLOOKUP(Q554,'GL Category'!A:C,3,FALSE)</f>
        <v>Services &amp; other</v>
      </c>
      <c r="W554" s="125"/>
    </row>
    <row r="555" spans="1:23" s="83" customFormat="1" ht="14.4" customHeight="1">
      <c r="A555" s="608" t="s">
        <v>791</v>
      </c>
      <c r="B555" s="608" t="s">
        <v>2483</v>
      </c>
      <c r="C555" s="608" t="s">
        <v>190</v>
      </c>
      <c r="D555" s="609">
        <v>2638.96</v>
      </c>
      <c r="E555" s="609">
        <v>1634.26</v>
      </c>
      <c r="F555" s="609">
        <v>1755</v>
      </c>
      <c r="G555" s="609">
        <v>4349.99</v>
      </c>
      <c r="H555" s="609">
        <v>6570</v>
      </c>
      <c r="I555" s="609">
        <v>1494</v>
      </c>
      <c r="J555" s="609">
        <v>5070</v>
      </c>
      <c r="K555" s="609">
        <v>6570</v>
      </c>
      <c r="L555" s="609">
        <v>0</v>
      </c>
      <c r="M555" s="609">
        <v>0</v>
      </c>
      <c r="N555" s="587">
        <f t="shared" si="53"/>
        <v>6570</v>
      </c>
      <c r="O555"/>
      <c r="P555" s="490">
        <f t="shared" si="60"/>
        <v>0</v>
      </c>
      <c r="Q555" t="str">
        <f t="shared" si="54"/>
        <v>53510</v>
      </c>
      <c r="R555" s="126" t="str">
        <f t="shared" si="55"/>
        <v>DUES &amp; SUBSCRIPTIONS</v>
      </c>
      <c r="S555" s="125" t="str">
        <f t="shared" si="56"/>
        <v>100</v>
      </c>
      <c r="T555" s="125" t="str">
        <f t="shared" si="57"/>
        <v>14</v>
      </c>
      <c r="U555" s="125" t="str">
        <f t="shared" si="58"/>
        <v>141</v>
      </c>
      <c r="V555" s="125" t="str">
        <f>VLOOKUP(Q555,'GL Category'!A:C,3,FALSE)</f>
        <v>Services &amp; other</v>
      </c>
      <c r="W555" s="125"/>
    </row>
    <row r="556" spans="1:23" s="83" customFormat="1" ht="20.399999999999999" customHeight="1">
      <c r="A556" s="608" t="s">
        <v>791</v>
      </c>
      <c r="B556" s="608" t="s">
        <v>2485</v>
      </c>
      <c r="C556" s="608" t="s">
        <v>193</v>
      </c>
      <c r="D556" s="609">
        <v>15966.66</v>
      </c>
      <c r="E556" s="609">
        <v>41516.620000000003</v>
      </c>
      <c r="F556" s="609">
        <v>14872.48</v>
      </c>
      <c r="G556" s="609">
        <v>12015.41</v>
      </c>
      <c r="H556" s="609">
        <v>40000</v>
      </c>
      <c r="I556" s="609">
        <v>12000</v>
      </c>
      <c r="J556" s="609">
        <v>25000</v>
      </c>
      <c r="K556" s="609">
        <v>30000</v>
      </c>
      <c r="L556" s="609">
        <v>0</v>
      </c>
      <c r="M556" s="609">
        <v>0</v>
      </c>
      <c r="N556" s="587">
        <f t="shared" si="53"/>
        <v>30000</v>
      </c>
      <c r="O556"/>
      <c r="P556" s="490">
        <f t="shared" si="60"/>
        <v>-10000</v>
      </c>
      <c r="Q556" t="str">
        <f t="shared" si="54"/>
        <v>53513</v>
      </c>
      <c r="R556" s="126" t="str">
        <f t="shared" si="55"/>
        <v>CONSULTING SERVICES</v>
      </c>
      <c r="S556" s="125" t="str">
        <f t="shared" si="56"/>
        <v>100</v>
      </c>
      <c r="T556" s="125" t="str">
        <f t="shared" si="57"/>
        <v>14</v>
      </c>
      <c r="U556" s="125" t="str">
        <f t="shared" si="58"/>
        <v>141</v>
      </c>
      <c r="V556" s="125" t="str">
        <f>VLOOKUP(Q556,'GL Category'!A:C,3,FALSE)</f>
        <v>Services &amp; other</v>
      </c>
      <c r="W556" s="125"/>
    </row>
    <row r="557" spans="1:23" s="83" customFormat="1" ht="20.399999999999999" customHeight="1">
      <c r="A557" s="608" t="s">
        <v>791</v>
      </c>
      <c r="B557" s="608" t="s">
        <v>2484</v>
      </c>
      <c r="C557" s="608" t="s">
        <v>191</v>
      </c>
      <c r="D557" s="609">
        <v>13394.15</v>
      </c>
      <c r="E557" s="609">
        <v>6328.81</v>
      </c>
      <c r="F557" s="609">
        <v>17913.509999999998</v>
      </c>
      <c r="G557" s="609">
        <v>13363.45</v>
      </c>
      <c r="H557" s="609">
        <v>23020</v>
      </c>
      <c r="I557" s="609">
        <v>4841.08</v>
      </c>
      <c r="J557" s="609">
        <v>12900</v>
      </c>
      <c r="K557" s="609">
        <v>23020</v>
      </c>
      <c r="L557" s="609">
        <v>0</v>
      </c>
      <c r="M557" s="609">
        <v>0</v>
      </c>
      <c r="N557" s="587">
        <f t="shared" si="53"/>
        <v>23020</v>
      </c>
      <c r="O557"/>
      <c r="P557" s="490">
        <f t="shared" si="60"/>
        <v>0</v>
      </c>
      <c r="Q557" t="str">
        <f t="shared" si="54"/>
        <v>53515</v>
      </c>
      <c r="R557" s="126" t="str">
        <f t="shared" si="55"/>
        <v>TRAVEL, TRAINING &amp; EDUCATION</v>
      </c>
      <c r="S557" s="125" t="str">
        <f t="shared" si="56"/>
        <v>100</v>
      </c>
      <c r="T557" s="125" t="str">
        <f t="shared" si="57"/>
        <v>14</v>
      </c>
      <c r="U557" s="125" t="str">
        <f t="shared" si="58"/>
        <v>141</v>
      </c>
      <c r="V557" s="125" t="str">
        <f>VLOOKUP(Q557,'GL Category'!A:C,3,FALSE)</f>
        <v>Services &amp; other</v>
      </c>
      <c r="W557" s="125"/>
    </row>
    <row r="558" spans="1:23" s="83" customFormat="1" ht="20.399999999999999" customHeight="1">
      <c r="A558" s="608" t="s">
        <v>791</v>
      </c>
      <c r="B558" s="608" t="s">
        <v>2487</v>
      </c>
      <c r="C558" s="608" t="s">
        <v>230</v>
      </c>
      <c r="D558" s="609">
        <v>63755.56</v>
      </c>
      <c r="E558" s="609">
        <v>28375.33</v>
      </c>
      <c r="F558" s="609">
        <v>33115.199999999997</v>
      </c>
      <c r="G558" s="609">
        <v>35656.269999999997</v>
      </c>
      <c r="H558" s="609">
        <v>48050</v>
      </c>
      <c r="I558" s="609">
        <v>9185</v>
      </c>
      <c r="J558" s="609">
        <v>37550</v>
      </c>
      <c r="K558" s="609">
        <v>48050</v>
      </c>
      <c r="L558" s="609">
        <v>0</v>
      </c>
      <c r="M558" s="609">
        <v>0</v>
      </c>
      <c r="N558" s="587">
        <f t="shared" si="53"/>
        <v>48050</v>
      </c>
      <c r="O558"/>
      <c r="P558" s="490"/>
      <c r="Q558" t="str">
        <f t="shared" si="54"/>
        <v>53534</v>
      </c>
      <c r="R558" s="126" t="str">
        <f t="shared" si="55"/>
        <v>MARKETING &amp; PROMOTIONAL</v>
      </c>
      <c r="S558" s="125" t="str">
        <f t="shared" si="56"/>
        <v>100</v>
      </c>
      <c r="T558" s="125" t="str">
        <f t="shared" si="57"/>
        <v>14</v>
      </c>
      <c r="U558" s="125" t="str">
        <f t="shared" si="58"/>
        <v>141</v>
      </c>
      <c r="V558" s="125" t="str">
        <f>VLOOKUP(Q558,'GL Category'!A:C,3,FALSE)</f>
        <v>Services &amp; other</v>
      </c>
      <c r="W558" s="125"/>
    </row>
    <row r="559" spans="1:23" s="83" customFormat="1" ht="20.399999999999999" customHeight="1">
      <c r="A559" s="608" t="s">
        <v>791</v>
      </c>
      <c r="B559" s="608" t="s">
        <v>2482</v>
      </c>
      <c r="C559" s="608" t="s">
        <v>238</v>
      </c>
      <c r="D559" s="609">
        <v>15700</v>
      </c>
      <c r="E559" s="609">
        <v>19683.59</v>
      </c>
      <c r="F559" s="609">
        <v>18690</v>
      </c>
      <c r="G559" s="609">
        <v>21048.29</v>
      </c>
      <c r="H559" s="609">
        <v>55000</v>
      </c>
      <c r="I559" s="609">
        <v>2950</v>
      </c>
      <c r="J559" s="609">
        <v>45000</v>
      </c>
      <c r="K559" s="609">
        <v>45500</v>
      </c>
      <c r="L559" s="609">
        <v>0</v>
      </c>
      <c r="M559" s="609">
        <v>0</v>
      </c>
      <c r="N559" s="587">
        <f t="shared" si="53"/>
        <v>45500</v>
      </c>
      <c r="O559"/>
      <c r="P559" s="490"/>
      <c r="Q559" t="str">
        <f t="shared" si="54"/>
        <v>53599</v>
      </c>
      <c r="R559" s="126" t="str">
        <f t="shared" si="55"/>
        <v>MISCELLANEOUS SERVICES</v>
      </c>
      <c r="S559" s="125" t="str">
        <f t="shared" si="56"/>
        <v>100</v>
      </c>
      <c r="T559" s="125" t="str">
        <f t="shared" si="57"/>
        <v>14</v>
      </c>
      <c r="U559" s="125" t="str">
        <f t="shared" si="58"/>
        <v>141</v>
      </c>
      <c r="V559" s="125" t="str">
        <f>VLOOKUP(Q559,'GL Category'!A:C,3,FALSE)</f>
        <v>Services &amp; other</v>
      </c>
      <c r="W559" s="125"/>
    </row>
    <row r="560" spans="1:23" s="83" customFormat="1" ht="20.399999999999999" customHeight="1">
      <c r="A560" s="608" t="s">
        <v>791</v>
      </c>
      <c r="B560" s="608" t="s">
        <v>2490</v>
      </c>
      <c r="C560" s="608" t="s">
        <v>221</v>
      </c>
      <c r="D560" s="609">
        <v>19055</v>
      </c>
      <c r="E560" s="609">
        <v>21208</v>
      </c>
      <c r="F560" s="609">
        <v>21819</v>
      </c>
      <c r="G560" s="609">
        <v>22081</v>
      </c>
      <c r="H560" s="609">
        <v>24350</v>
      </c>
      <c r="I560" s="609">
        <v>18262.5</v>
      </c>
      <c r="J560" s="609">
        <v>24350</v>
      </c>
      <c r="K560" s="609">
        <v>25387</v>
      </c>
      <c r="L560" s="609">
        <v>0</v>
      </c>
      <c r="M560" s="609">
        <v>0</v>
      </c>
      <c r="N560" s="587">
        <f t="shared" si="53"/>
        <v>25387</v>
      </c>
      <c r="O560"/>
      <c r="P560" s="490"/>
      <c r="Q560" t="str">
        <f t="shared" si="54"/>
        <v>55119</v>
      </c>
      <c r="R560" s="126" t="str">
        <f t="shared" si="55"/>
        <v>OFFICE EQUIP LEASE EXP-CITY</v>
      </c>
      <c r="S560" s="125" t="str">
        <f t="shared" si="56"/>
        <v>100</v>
      </c>
      <c r="T560" s="125" t="str">
        <f t="shared" si="57"/>
        <v>14</v>
      </c>
      <c r="U560" s="125" t="str">
        <f t="shared" si="58"/>
        <v>141</v>
      </c>
      <c r="V560" s="125" t="str">
        <f>VLOOKUP(Q560,'GL Category'!A:C,3,FALSE)</f>
        <v>Services &amp; other</v>
      </c>
      <c r="W560" s="125"/>
    </row>
    <row r="561" spans="1:23" s="83" customFormat="1" ht="20.399999999999999" customHeight="1">
      <c r="A561" s="608" t="s">
        <v>791</v>
      </c>
      <c r="B561" s="608" t="s">
        <v>2500</v>
      </c>
      <c r="C561" s="608" t="s">
        <v>272</v>
      </c>
      <c r="D561" s="609">
        <v>563694.96</v>
      </c>
      <c r="E561" s="609">
        <v>82215.570000000007</v>
      </c>
      <c r="F561" s="609">
        <v>47544.36</v>
      </c>
      <c r="G561" s="609">
        <v>26242.36</v>
      </c>
      <c r="H561" s="609">
        <v>408963</v>
      </c>
      <c r="I561" s="609">
        <v>19540.53</v>
      </c>
      <c r="J561" s="609">
        <v>33661</v>
      </c>
      <c r="K561" s="609">
        <v>451272</v>
      </c>
      <c r="L561" s="609">
        <v>0</v>
      </c>
      <c r="M561" s="609">
        <v>0</v>
      </c>
      <c r="N561" s="587">
        <f t="shared" si="53"/>
        <v>451272</v>
      </c>
      <c r="O561"/>
      <c r="P561" s="490">
        <f>N561-H561</f>
        <v>42309</v>
      </c>
      <c r="Q561" t="str">
        <f t="shared" si="54"/>
        <v>53545</v>
      </c>
      <c r="R561" s="126" t="str">
        <f t="shared" si="55"/>
        <v>ECONOMIC DEVEL INCENTIVES</v>
      </c>
      <c r="S561" s="125" t="str">
        <f t="shared" si="56"/>
        <v>100</v>
      </c>
      <c r="T561" s="125" t="str">
        <f t="shared" si="57"/>
        <v>14</v>
      </c>
      <c r="U561" s="125" t="str">
        <f t="shared" si="58"/>
        <v>148</v>
      </c>
      <c r="V561" s="125" t="str">
        <f>VLOOKUP(Q561,'GL Category'!A:C,3,FALSE)</f>
        <v>Services &amp; other</v>
      </c>
      <c r="W561" s="125"/>
    </row>
    <row r="562" spans="1:23" s="83" customFormat="1" ht="20.399999999999999" customHeight="1">
      <c r="A562" s="608" t="s">
        <v>791</v>
      </c>
      <c r="B562" s="608" t="s">
        <v>3202</v>
      </c>
      <c r="C562" s="608" t="s">
        <v>297</v>
      </c>
      <c r="D562" s="609">
        <v>0</v>
      </c>
      <c r="E562" s="609">
        <v>0</v>
      </c>
      <c r="F562" s="609">
        <v>0</v>
      </c>
      <c r="G562" s="609">
        <v>0</v>
      </c>
      <c r="H562" s="609">
        <v>0</v>
      </c>
      <c r="I562" s="609">
        <v>0</v>
      </c>
      <c r="J562" s="609">
        <v>0</v>
      </c>
      <c r="K562" s="609">
        <v>0</v>
      </c>
      <c r="L562" s="609">
        <v>0</v>
      </c>
      <c r="M562" s="609">
        <v>0</v>
      </c>
      <c r="N562" s="587">
        <f t="shared" si="53"/>
        <v>0</v>
      </c>
      <c r="O562"/>
      <c r="P562" s="490">
        <f>N562-H562</f>
        <v>0</v>
      </c>
      <c r="Q562" t="str">
        <f t="shared" si="54"/>
        <v>58801</v>
      </c>
      <c r="R562" s="126" t="str">
        <f t="shared" si="55"/>
        <v>LAND &amp; LAND RIGHTS</v>
      </c>
      <c r="S562" s="125" t="str">
        <f t="shared" si="56"/>
        <v>100</v>
      </c>
      <c r="T562" s="125" t="str">
        <f t="shared" si="57"/>
        <v>14</v>
      </c>
      <c r="U562" s="125" t="str">
        <f t="shared" si="58"/>
        <v>148</v>
      </c>
      <c r="V562" s="125" t="str">
        <f>VLOOKUP(Q562,'GL Category'!A:C,3,FALSE)</f>
        <v>Capital Outlay</v>
      </c>
      <c r="W562" s="125"/>
    </row>
    <row r="563" spans="1:23" s="83" customFormat="1" ht="20.399999999999999" customHeight="1">
      <c r="A563" s="608" t="s">
        <v>791</v>
      </c>
      <c r="B563" s="608" t="s">
        <v>3203</v>
      </c>
      <c r="C563" s="608" t="s">
        <v>179</v>
      </c>
      <c r="D563" s="609">
        <v>0</v>
      </c>
      <c r="E563" s="609">
        <v>0</v>
      </c>
      <c r="F563" s="609">
        <v>0</v>
      </c>
      <c r="G563" s="609">
        <v>0</v>
      </c>
      <c r="H563" s="609">
        <v>0</v>
      </c>
      <c r="I563" s="609">
        <v>0</v>
      </c>
      <c r="J563" s="609">
        <v>0</v>
      </c>
      <c r="K563" s="609">
        <v>0</v>
      </c>
      <c r="L563" s="609">
        <v>0</v>
      </c>
      <c r="M563" s="609">
        <v>0</v>
      </c>
      <c r="N563" s="587">
        <f t="shared" si="53"/>
        <v>0</v>
      </c>
      <c r="O563"/>
      <c r="P563" s="490">
        <f>N563-H563</f>
        <v>0</v>
      </c>
      <c r="Q563" t="str">
        <f t="shared" si="54"/>
        <v>52485</v>
      </c>
      <c r="R563" s="126" t="str">
        <f t="shared" si="55"/>
        <v>SOFTWARE LICENSE &amp; MAINTENANCE</v>
      </c>
      <c r="S563" s="125" t="str">
        <f t="shared" si="56"/>
        <v>100</v>
      </c>
      <c r="T563" s="125" t="str">
        <f t="shared" si="57"/>
        <v>16</v>
      </c>
      <c r="U563" s="125" t="str">
        <f t="shared" si="58"/>
        <v>161</v>
      </c>
      <c r="V563" s="125" t="str">
        <f>VLOOKUP(Q563,'GL Category'!A:C,3,FALSE)</f>
        <v>Operations &amp; maintenance</v>
      </c>
      <c r="W563" s="125"/>
    </row>
    <row r="564" spans="1:23" s="83" customFormat="1" ht="20.399999999999999" customHeight="1">
      <c r="A564" s="608" t="s">
        <v>791</v>
      </c>
      <c r="B564" s="608" t="s">
        <v>2411</v>
      </c>
      <c r="C564" s="608" t="s">
        <v>181</v>
      </c>
      <c r="D564" s="609">
        <v>0</v>
      </c>
      <c r="E564" s="609">
        <v>0</v>
      </c>
      <c r="F564" s="609">
        <v>0</v>
      </c>
      <c r="G564" s="609">
        <v>0</v>
      </c>
      <c r="H564" s="609">
        <v>0</v>
      </c>
      <c r="I564" s="609">
        <v>0</v>
      </c>
      <c r="J564" s="609">
        <v>0</v>
      </c>
      <c r="K564" s="609">
        <v>0</v>
      </c>
      <c r="L564" s="609">
        <v>0</v>
      </c>
      <c r="M564" s="609">
        <v>0</v>
      </c>
      <c r="N564" s="587">
        <f t="shared" si="53"/>
        <v>0</v>
      </c>
      <c r="O564"/>
      <c r="P564" s="490"/>
      <c r="Q564" t="str">
        <f t="shared" si="54"/>
        <v>52490</v>
      </c>
      <c r="R564" s="126" t="str">
        <f t="shared" si="55"/>
        <v>A/C &amp; HEATING MAINTENANCE</v>
      </c>
      <c r="S564" s="125" t="str">
        <f t="shared" si="56"/>
        <v>100</v>
      </c>
      <c r="T564" s="125" t="str">
        <f t="shared" si="57"/>
        <v>16</v>
      </c>
      <c r="U564" s="125" t="str">
        <f t="shared" si="58"/>
        <v>161</v>
      </c>
      <c r="V564" s="125" t="str">
        <f>VLOOKUP(Q564,'GL Category'!A:C,3,FALSE)</f>
        <v>Operations &amp; maintenance</v>
      </c>
      <c r="W564" s="125"/>
    </row>
    <row r="565" spans="1:23" s="83" customFormat="1" ht="20.399999999999999" customHeight="1">
      <c r="A565" s="608" t="s">
        <v>791</v>
      </c>
      <c r="B565" s="608" t="s">
        <v>2412</v>
      </c>
      <c r="C565" s="608" t="s">
        <v>187</v>
      </c>
      <c r="D565" s="609">
        <v>23842.5</v>
      </c>
      <c r="E565" s="609">
        <v>30483.75</v>
      </c>
      <c r="F565" s="609">
        <v>65806</v>
      </c>
      <c r="G565" s="609">
        <v>52382.5</v>
      </c>
      <c r="H565" s="609">
        <v>55000</v>
      </c>
      <c r="I565" s="609">
        <v>55150</v>
      </c>
      <c r="J565" s="609">
        <v>55000</v>
      </c>
      <c r="K565" s="609">
        <v>55000</v>
      </c>
      <c r="L565" s="609">
        <v>0</v>
      </c>
      <c r="M565" s="609">
        <v>0</v>
      </c>
      <c r="N565" s="587">
        <f t="shared" si="53"/>
        <v>55000</v>
      </c>
      <c r="O565"/>
      <c r="P565" s="490"/>
      <c r="Q565" t="str">
        <f t="shared" si="54"/>
        <v>53507</v>
      </c>
      <c r="R565" s="126" t="str">
        <f t="shared" si="55"/>
        <v>ATTORNEY &amp; LEGAL SERVICES</v>
      </c>
      <c r="S565" s="125" t="str">
        <f t="shared" si="56"/>
        <v>100</v>
      </c>
      <c r="T565" s="125" t="str">
        <f t="shared" si="57"/>
        <v>16</v>
      </c>
      <c r="U565" s="125" t="str">
        <f t="shared" si="58"/>
        <v>161</v>
      </c>
      <c r="V565" s="125" t="str">
        <f>VLOOKUP(Q565,'GL Category'!A:C,3,FALSE)</f>
        <v>Services &amp; other</v>
      </c>
      <c r="W565" s="125"/>
    </row>
    <row r="566" spans="1:23" s="83" customFormat="1" ht="20.399999999999999" customHeight="1">
      <c r="A566" s="608" t="s">
        <v>791</v>
      </c>
      <c r="B566" s="608" t="s">
        <v>2413</v>
      </c>
      <c r="C566" s="608" t="s">
        <v>238</v>
      </c>
      <c r="D566" s="609">
        <v>386180</v>
      </c>
      <c r="E566" s="609">
        <v>448661</v>
      </c>
      <c r="F566" s="609">
        <v>474260</v>
      </c>
      <c r="G566" s="609">
        <v>447616</v>
      </c>
      <c r="H566" s="609">
        <v>524463</v>
      </c>
      <c r="I566" s="609">
        <v>399326</v>
      </c>
      <c r="J566" s="609">
        <v>524463</v>
      </c>
      <c r="K566" s="609">
        <v>480148</v>
      </c>
      <c r="L566" s="609">
        <v>0</v>
      </c>
      <c r="M566" s="609">
        <v>0</v>
      </c>
      <c r="N566" s="587">
        <f t="shared" si="53"/>
        <v>480148</v>
      </c>
      <c r="O566"/>
      <c r="P566" s="490"/>
      <c r="Q566" t="str">
        <f t="shared" si="54"/>
        <v>53599</v>
      </c>
      <c r="R566" s="126" t="str">
        <f t="shared" si="55"/>
        <v>MISCELLANEOUS SERVICES</v>
      </c>
      <c r="S566" s="125" t="str">
        <f t="shared" si="56"/>
        <v>100</v>
      </c>
      <c r="T566" s="125" t="str">
        <f t="shared" si="57"/>
        <v>16</v>
      </c>
      <c r="U566" s="125" t="str">
        <f t="shared" si="58"/>
        <v>161</v>
      </c>
      <c r="V566" s="125" t="str">
        <f>VLOOKUP(Q566,'GL Category'!A:C,3,FALSE)</f>
        <v>Services &amp; other</v>
      </c>
      <c r="W566" s="125"/>
    </row>
    <row r="567" spans="1:23" s="83" customFormat="1" ht="20.399999999999999" customHeight="1">
      <c r="A567" s="608" t="s">
        <v>791</v>
      </c>
      <c r="B567" s="608" t="s">
        <v>2418</v>
      </c>
      <c r="C567" s="608" t="s">
        <v>221</v>
      </c>
      <c r="D567" s="609">
        <v>7300</v>
      </c>
      <c r="E567" s="609">
        <v>7300</v>
      </c>
      <c r="F567" s="609">
        <v>7300</v>
      </c>
      <c r="G567" s="609">
        <v>7300</v>
      </c>
      <c r="H567" s="609">
        <v>7300</v>
      </c>
      <c r="I567" s="609">
        <v>5475</v>
      </c>
      <c r="J567" s="609">
        <v>7300</v>
      </c>
      <c r="K567" s="609">
        <v>7300</v>
      </c>
      <c r="L567" s="609">
        <v>0</v>
      </c>
      <c r="M567" s="609">
        <v>0</v>
      </c>
      <c r="N567" s="587">
        <f t="shared" si="53"/>
        <v>7300</v>
      </c>
      <c r="O567"/>
      <c r="P567" s="490"/>
      <c r="Q567" t="str">
        <f t="shared" si="54"/>
        <v>55119</v>
      </c>
      <c r="R567" s="126" t="str">
        <f t="shared" si="55"/>
        <v>OFFICE EQUIP LEASE EXP-CITY</v>
      </c>
      <c r="S567" s="125" t="str">
        <f t="shared" si="56"/>
        <v>100</v>
      </c>
      <c r="T567" s="125" t="str">
        <f t="shared" si="57"/>
        <v>16</v>
      </c>
      <c r="U567" s="125" t="str">
        <f t="shared" si="58"/>
        <v>161</v>
      </c>
      <c r="V567" s="125" t="str">
        <f>VLOOKUP(Q567,'GL Category'!A:C,3,FALSE)</f>
        <v>Services &amp; other</v>
      </c>
      <c r="W567" s="125"/>
    </row>
    <row r="568" spans="1:23" s="83" customFormat="1" ht="20.399999999999999" customHeight="1">
      <c r="A568" s="608" t="s">
        <v>791</v>
      </c>
      <c r="B568" s="608" t="s">
        <v>2419</v>
      </c>
      <c r="C568" s="608" t="s">
        <v>1117</v>
      </c>
      <c r="D568" s="609">
        <v>0</v>
      </c>
      <c r="E568" s="609">
        <v>0</v>
      </c>
      <c r="F568" s="609">
        <v>0</v>
      </c>
      <c r="G568" s="609">
        <v>0</v>
      </c>
      <c r="H568" s="609">
        <v>0</v>
      </c>
      <c r="I568" s="609">
        <v>0</v>
      </c>
      <c r="J568" s="609">
        <v>0</v>
      </c>
      <c r="K568" s="609">
        <v>0</v>
      </c>
      <c r="L568" s="609">
        <v>0</v>
      </c>
      <c r="M568" s="609">
        <v>0</v>
      </c>
      <c r="N568" s="587">
        <f t="shared" si="53"/>
        <v>0</v>
      </c>
      <c r="O568"/>
      <c r="P568" s="490"/>
      <c r="Q568" t="str">
        <f t="shared" si="54"/>
        <v>59114</v>
      </c>
      <c r="R568" s="126" t="str">
        <f t="shared" si="55"/>
        <v>TRANSFER TO MC SPEC REV</v>
      </c>
      <c r="S568" s="125" t="str">
        <f t="shared" si="56"/>
        <v>100</v>
      </c>
      <c r="T568" s="125" t="str">
        <f t="shared" si="57"/>
        <v>16</v>
      </c>
      <c r="U568" s="125" t="str">
        <f t="shared" si="58"/>
        <v>165</v>
      </c>
      <c r="V568" s="125" t="str">
        <f>VLOOKUP(Q568,'GL Category'!A:C,3,FALSE)</f>
        <v>Transfers to other funds</v>
      </c>
      <c r="W568" s="125"/>
    </row>
    <row r="569" spans="1:23" s="83" customFormat="1" ht="20.399999999999999" customHeight="1">
      <c r="A569" s="608" t="s">
        <v>791</v>
      </c>
      <c r="B569" s="608" t="s">
        <v>2420</v>
      </c>
      <c r="C569" s="608" t="s">
        <v>130</v>
      </c>
      <c r="D569" s="609">
        <v>276237.42</v>
      </c>
      <c r="E569" s="609">
        <v>248840.41</v>
      </c>
      <c r="F569" s="609">
        <v>242160.95</v>
      </c>
      <c r="G569" s="609">
        <v>343216.07</v>
      </c>
      <c r="H569" s="609">
        <v>307483</v>
      </c>
      <c r="I569" s="609">
        <v>235604.2</v>
      </c>
      <c r="J569" s="609">
        <v>309283</v>
      </c>
      <c r="K569" s="609">
        <v>319837</v>
      </c>
      <c r="L569" s="609">
        <v>0</v>
      </c>
      <c r="M569" s="609">
        <v>0</v>
      </c>
      <c r="N569" s="587">
        <f t="shared" si="53"/>
        <v>319837</v>
      </c>
      <c r="O569"/>
      <c r="P569" s="490"/>
      <c r="Q569" t="str">
        <f t="shared" si="54"/>
        <v>50101</v>
      </c>
      <c r="R569" s="126" t="str">
        <f t="shared" si="55"/>
        <v>EXEMPT SALARIES</v>
      </c>
      <c r="S569" s="125" t="str">
        <f t="shared" si="56"/>
        <v>100</v>
      </c>
      <c r="T569" s="125" t="str">
        <f t="shared" si="57"/>
        <v>17</v>
      </c>
      <c r="U569" s="125" t="str">
        <f t="shared" si="58"/>
        <v>171</v>
      </c>
      <c r="V569" s="125" t="str">
        <f>VLOOKUP(Q569,'GL Category'!A:C,3,FALSE)</f>
        <v>Personnel services</v>
      </c>
      <c r="W569" s="125"/>
    </row>
    <row r="570" spans="1:23" s="83" customFormat="1" ht="20.399999999999999" customHeight="1">
      <c r="A570" s="608" t="s">
        <v>791</v>
      </c>
      <c r="B570" s="608" t="s">
        <v>2421</v>
      </c>
      <c r="C570" s="608" t="s">
        <v>132</v>
      </c>
      <c r="D570" s="609">
        <v>45596.98</v>
      </c>
      <c r="E570" s="609">
        <v>47663.9</v>
      </c>
      <c r="F570" s="609">
        <v>24746.06</v>
      </c>
      <c r="G570" s="609">
        <v>11200.29</v>
      </c>
      <c r="H570" s="609">
        <v>43203</v>
      </c>
      <c r="I570" s="609">
        <v>32142.959999999999</v>
      </c>
      <c r="J570" s="609">
        <v>42196</v>
      </c>
      <c r="K570" s="609">
        <v>43975</v>
      </c>
      <c r="L570" s="609">
        <v>0</v>
      </c>
      <c r="M570" s="609">
        <v>0</v>
      </c>
      <c r="N570" s="587">
        <f t="shared" si="53"/>
        <v>43975</v>
      </c>
      <c r="O570"/>
      <c r="P570" s="490"/>
      <c r="Q570" t="str">
        <f t="shared" si="54"/>
        <v>50102</v>
      </c>
      <c r="R570" s="126" t="str">
        <f t="shared" si="55"/>
        <v>NON EXEMPT SALARIES</v>
      </c>
      <c r="S570" s="125" t="str">
        <f t="shared" si="56"/>
        <v>100</v>
      </c>
      <c r="T570" s="125" t="str">
        <f t="shared" si="57"/>
        <v>17</v>
      </c>
      <c r="U570" s="125" t="str">
        <f t="shared" si="58"/>
        <v>171</v>
      </c>
      <c r="V570" s="125" t="str">
        <f>VLOOKUP(Q570,'GL Category'!A:C,3,FALSE)</f>
        <v>Personnel services</v>
      </c>
      <c r="W570" s="125"/>
    </row>
    <row r="571" spans="1:23" s="83" customFormat="1" ht="14.4" customHeight="1">
      <c r="A571" s="608" t="s">
        <v>791</v>
      </c>
      <c r="B571" s="608" t="s">
        <v>2422</v>
      </c>
      <c r="C571" s="608" t="s">
        <v>0</v>
      </c>
      <c r="D571" s="609">
        <v>492.18</v>
      </c>
      <c r="E571" s="609">
        <v>2171.0100000000002</v>
      </c>
      <c r="F571" s="609">
        <v>3626.64</v>
      </c>
      <c r="G571" s="609">
        <v>0</v>
      </c>
      <c r="H571" s="609">
        <v>500</v>
      </c>
      <c r="I571" s="609">
        <v>0</v>
      </c>
      <c r="J571" s="609">
        <v>0</v>
      </c>
      <c r="K571" s="609">
        <v>500</v>
      </c>
      <c r="L571" s="609">
        <v>0</v>
      </c>
      <c r="M571" s="609">
        <v>0</v>
      </c>
      <c r="N571" s="587">
        <f t="shared" si="53"/>
        <v>500</v>
      </c>
      <c r="O571"/>
      <c r="P571" s="490"/>
      <c r="Q571" t="str">
        <f t="shared" si="54"/>
        <v>50109</v>
      </c>
      <c r="R571" s="126" t="str">
        <f t="shared" si="55"/>
        <v>OVERTIME</v>
      </c>
      <c r="S571" s="125" t="str">
        <f t="shared" si="56"/>
        <v>100</v>
      </c>
      <c r="T571" s="125" t="str">
        <f t="shared" si="57"/>
        <v>17</v>
      </c>
      <c r="U571" s="125" t="str">
        <f t="shared" si="58"/>
        <v>171</v>
      </c>
      <c r="V571" s="125" t="str">
        <f>VLOOKUP(Q571,'GL Category'!A:C,3,FALSE)</f>
        <v>Personnel services</v>
      </c>
      <c r="W571" s="125"/>
    </row>
    <row r="572" spans="1:23" s="83" customFormat="1" ht="20.399999999999999" customHeight="1">
      <c r="A572" s="608" t="s">
        <v>791</v>
      </c>
      <c r="B572" s="608" t="s">
        <v>2423</v>
      </c>
      <c r="C572" s="608" t="s">
        <v>135</v>
      </c>
      <c r="D572" s="609">
        <v>8270.86</v>
      </c>
      <c r="E572" s="609">
        <v>9270.19</v>
      </c>
      <c r="F572" s="609">
        <v>20360.88</v>
      </c>
      <c r="G572" s="609">
        <v>22192.94</v>
      </c>
      <c r="H572" s="609">
        <v>28091</v>
      </c>
      <c r="I572" s="609">
        <v>19507.240000000002</v>
      </c>
      <c r="J572" s="609">
        <v>26850</v>
      </c>
      <c r="K572" s="609">
        <v>29276</v>
      </c>
      <c r="L572" s="609">
        <v>0</v>
      </c>
      <c r="M572" s="609">
        <v>0</v>
      </c>
      <c r="N572" s="587">
        <f t="shared" si="53"/>
        <v>29276</v>
      </c>
      <c r="O572"/>
      <c r="P572" s="490"/>
      <c r="Q572" t="str">
        <f t="shared" si="54"/>
        <v>50110</v>
      </c>
      <c r="R572" s="126" t="str">
        <f t="shared" si="55"/>
        <v>PART-TIME WAGES</v>
      </c>
      <c r="S572" s="125" t="str">
        <f t="shared" si="56"/>
        <v>100</v>
      </c>
      <c r="T572" s="125" t="str">
        <f t="shared" si="57"/>
        <v>17</v>
      </c>
      <c r="U572" s="125" t="str">
        <f t="shared" si="58"/>
        <v>171</v>
      </c>
      <c r="V572" s="125" t="str">
        <f>VLOOKUP(Q572,'GL Category'!A:C,3,FALSE)</f>
        <v>Personnel services</v>
      </c>
      <c r="W572" s="125"/>
    </row>
    <row r="573" spans="1:23" s="83" customFormat="1" ht="20.399999999999999" customHeight="1">
      <c r="A573" s="608" t="s">
        <v>791</v>
      </c>
      <c r="B573" s="608" t="s">
        <v>2424</v>
      </c>
      <c r="C573" s="608" t="s">
        <v>137</v>
      </c>
      <c r="D573" s="609">
        <v>2645</v>
      </c>
      <c r="E573" s="609">
        <v>2885</v>
      </c>
      <c r="F573" s="609">
        <v>2005</v>
      </c>
      <c r="G573" s="609">
        <v>2195</v>
      </c>
      <c r="H573" s="609">
        <v>1511</v>
      </c>
      <c r="I573" s="609">
        <v>1425</v>
      </c>
      <c r="J573" s="609">
        <v>1425</v>
      </c>
      <c r="K573" s="609">
        <v>2144</v>
      </c>
      <c r="L573" s="609">
        <v>0</v>
      </c>
      <c r="M573" s="609">
        <v>0</v>
      </c>
      <c r="N573" s="587">
        <f t="shared" si="53"/>
        <v>2144</v>
      </c>
      <c r="O573"/>
      <c r="P573" s="490"/>
      <c r="Q573" t="str">
        <f t="shared" si="54"/>
        <v>50111</v>
      </c>
      <c r="R573" s="126" t="str">
        <f t="shared" si="55"/>
        <v>LONGEVITY PAY</v>
      </c>
      <c r="S573" s="125" t="str">
        <f t="shared" si="56"/>
        <v>100</v>
      </c>
      <c r="T573" s="125" t="str">
        <f t="shared" si="57"/>
        <v>17</v>
      </c>
      <c r="U573" s="125" t="str">
        <f t="shared" si="58"/>
        <v>171</v>
      </c>
      <c r="V573" s="125" t="str">
        <f>VLOOKUP(Q573,'GL Category'!A:C,3,FALSE)</f>
        <v>Personnel services</v>
      </c>
      <c r="W573" s="125"/>
    </row>
    <row r="574" spans="1:23" s="83" customFormat="1" ht="20.399999999999999" customHeight="1">
      <c r="A574" s="608" t="s">
        <v>791</v>
      </c>
      <c r="B574" s="608" t="s">
        <v>2426</v>
      </c>
      <c r="C574" s="608" t="s">
        <v>1</v>
      </c>
      <c r="D574" s="609">
        <v>23593.26</v>
      </c>
      <c r="E574" s="609">
        <v>22106.16</v>
      </c>
      <c r="F574" s="609">
        <v>20415.18</v>
      </c>
      <c r="G574" s="609">
        <v>26527.56</v>
      </c>
      <c r="H574" s="609">
        <v>29290</v>
      </c>
      <c r="I574" s="609">
        <v>21135.62</v>
      </c>
      <c r="J574" s="609">
        <v>28028</v>
      </c>
      <c r="K574" s="609">
        <v>30100</v>
      </c>
      <c r="L574" s="609">
        <v>0</v>
      </c>
      <c r="M574" s="609">
        <v>0</v>
      </c>
      <c r="N574" s="587">
        <f t="shared" si="53"/>
        <v>30100</v>
      </c>
      <c r="O574"/>
      <c r="P574" s="490"/>
      <c r="Q574" t="str">
        <f t="shared" si="54"/>
        <v>50610</v>
      </c>
      <c r="R574" s="126" t="str">
        <f t="shared" si="55"/>
        <v>SOCIAL SECURITY</v>
      </c>
      <c r="S574" s="125" t="str">
        <f t="shared" si="56"/>
        <v>100</v>
      </c>
      <c r="T574" s="125" t="str">
        <f t="shared" si="57"/>
        <v>17</v>
      </c>
      <c r="U574" s="125" t="str">
        <f t="shared" si="58"/>
        <v>171</v>
      </c>
      <c r="V574" s="125" t="str">
        <f>VLOOKUP(Q574,'GL Category'!A:C,3,FALSE)</f>
        <v>Personnel services</v>
      </c>
      <c r="W574" s="125"/>
    </row>
    <row r="575" spans="1:23" s="83" customFormat="1" ht="20.399999999999999" customHeight="1">
      <c r="A575" s="608" t="s">
        <v>791</v>
      </c>
      <c r="B575" s="608" t="s">
        <v>2427</v>
      </c>
      <c r="C575" s="608" t="s">
        <v>142</v>
      </c>
      <c r="D575" s="609">
        <v>63840.98</v>
      </c>
      <c r="E575" s="609">
        <v>62100.29</v>
      </c>
      <c r="F575" s="609">
        <v>70814.58</v>
      </c>
      <c r="G575" s="609">
        <v>81364.28</v>
      </c>
      <c r="H575" s="609">
        <v>79672</v>
      </c>
      <c r="I575" s="609">
        <v>64206.46</v>
      </c>
      <c r="J575" s="609">
        <v>86392</v>
      </c>
      <c r="K575" s="609">
        <v>84224</v>
      </c>
      <c r="L575" s="609">
        <v>0</v>
      </c>
      <c r="M575" s="609">
        <v>0</v>
      </c>
      <c r="N575" s="587">
        <f t="shared" si="53"/>
        <v>84224</v>
      </c>
      <c r="O575"/>
      <c r="P575" s="490"/>
      <c r="Q575" t="str">
        <f t="shared" si="54"/>
        <v>50620</v>
      </c>
      <c r="R575" s="126" t="str">
        <f t="shared" si="55"/>
        <v>HEALTH/LIFE INSURANCE</v>
      </c>
      <c r="S575" s="125" t="str">
        <f t="shared" si="56"/>
        <v>100</v>
      </c>
      <c r="T575" s="125" t="str">
        <f t="shared" si="57"/>
        <v>17</v>
      </c>
      <c r="U575" s="125" t="str">
        <f t="shared" si="58"/>
        <v>171</v>
      </c>
      <c r="V575" s="125" t="str">
        <f>VLOOKUP(Q575,'GL Category'!A:C,3,FALSE)</f>
        <v>Personnel services</v>
      </c>
      <c r="W575" s="125"/>
    </row>
    <row r="576" spans="1:23" s="83" customFormat="1" ht="20.100000000000001" customHeight="1">
      <c r="A576" s="608" t="s">
        <v>791</v>
      </c>
      <c r="B576" s="608" t="s">
        <v>2428</v>
      </c>
      <c r="C576" s="608" t="s">
        <v>144</v>
      </c>
      <c r="D576" s="609">
        <v>239.13</v>
      </c>
      <c r="E576" s="609">
        <v>217.61</v>
      </c>
      <c r="F576" s="609">
        <v>238.73</v>
      </c>
      <c r="G576" s="609">
        <v>431.73</v>
      </c>
      <c r="H576" s="609">
        <v>548</v>
      </c>
      <c r="I576" s="609">
        <v>547.54999999999995</v>
      </c>
      <c r="J576" s="609">
        <v>548</v>
      </c>
      <c r="K576" s="609">
        <v>549</v>
      </c>
      <c r="L576" s="609">
        <v>0</v>
      </c>
      <c r="M576" s="609">
        <v>0</v>
      </c>
      <c r="N576" s="587">
        <f t="shared" si="53"/>
        <v>549</v>
      </c>
      <c r="O576"/>
      <c r="P576" s="490"/>
      <c r="Q576" t="str">
        <f t="shared" si="54"/>
        <v>50630</v>
      </c>
      <c r="R576" s="126" t="str">
        <f t="shared" si="55"/>
        <v>WORKER COMPENSATION</v>
      </c>
      <c r="S576" s="125" t="str">
        <f t="shared" si="56"/>
        <v>100</v>
      </c>
      <c r="T576" s="125" t="str">
        <f t="shared" si="57"/>
        <v>17</v>
      </c>
      <c r="U576" s="125" t="str">
        <f t="shared" si="58"/>
        <v>171</v>
      </c>
      <c r="V576" s="125" t="str">
        <f>VLOOKUP(Q576,'GL Category'!A:C,3,FALSE)</f>
        <v>Personnel services</v>
      </c>
      <c r="W576" s="125"/>
    </row>
    <row r="577" spans="1:23" s="83" customFormat="1" ht="20.100000000000001" customHeight="1">
      <c r="A577" s="608" t="s">
        <v>791</v>
      </c>
      <c r="B577" s="608" t="s">
        <v>2429</v>
      </c>
      <c r="C577" s="608" t="s">
        <v>2</v>
      </c>
      <c r="D577" s="609">
        <v>51624.82</v>
      </c>
      <c r="E577" s="609">
        <v>48592.56</v>
      </c>
      <c r="F577" s="609">
        <v>44116.29</v>
      </c>
      <c r="G577" s="609">
        <v>56933.32</v>
      </c>
      <c r="H577" s="609">
        <v>58741</v>
      </c>
      <c r="I577" s="609">
        <v>44792.29</v>
      </c>
      <c r="J577" s="609">
        <v>58696</v>
      </c>
      <c r="K577" s="609">
        <v>62492</v>
      </c>
      <c r="L577" s="609">
        <v>0</v>
      </c>
      <c r="M577" s="609">
        <v>0</v>
      </c>
      <c r="N577" s="587">
        <f t="shared" si="53"/>
        <v>62492</v>
      </c>
      <c r="O577"/>
      <c r="P577" s="490"/>
      <c r="Q577" t="str">
        <f t="shared" si="54"/>
        <v>50650</v>
      </c>
      <c r="R577" s="126" t="str">
        <f t="shared" si="55"/>
        <v>RETIREMENT</v>
      </c>
      <c r="S577" s="125" t="str">
        <f t="shared" si="56"/>
        <v>100</v>
      </c>
      <c r="T577" s="125" t="str">
        <f t="shared" si="57"/>
        <v>17</v>
      </c>
      <c r="U577" s="125" t="str">
        <f t="shared" si="58"/>
        <v>171</v>
      </c>
      <c r="V577" s="125" t="str">
        <f>VLOOKUP(Q577,'GL Category'!A:C,3,FALSE)</f>
        <v>Personnel services</v>
      </c>
      <c r="W577" s="125"/>
    </row>
    <row r="578" spans="1:23" s="83" customFormat="1" ht="20.399999999999999" customHeight="1">
      <c r="A578" s="608" t="s">
        <v>791</v>
      </c>
      <c r="B578" s="608" t="s">
        <v>2430</v>
      </c>
      <c r="C578" s="608" t="s">
        <v>149</v>
      </c>
      <c r="D578" s="609">
        <v>2525.71</v>
      </c>
      <c r="E578" s="609">
        <v>1338.34</v>
      </c>
      <c r="F578" s="609">
        <v>2341.16</v>
      </c>
      <c r="G578" s="609">
        <v>3494.79</v>
      </c>
      <c r="H578" s="609">
        <v>2520</v>
      </c>
      <c r="I578" s="609">
        <v>1124.24</v>
      </c>
      <c r="J578" s="609">
        <v>2270</v>
      </c>
      <c r="K578" s="609">
        <v>2520</v>
      </c>
      <c r="L578" s="609">
        <v>0</v>
      </c>
      <c r="M578" s="609">
        <v>0</v>
      </c>
      <c r="N578" s="587">
        <f t="shared" si="53"/>
        <v>2520</v>
      </c>
      <c r="O578"/>
      <c r="P578" s="490">
        <f t="shared" ref="P578:P588" si="61">N578-H578</f>
        <v>0</v>
      </c>
      <c r="Q578" t="str">
        <f t="shared" si="54"/>
        <v>51210</v>
      </c>
      <c r="R578" s="126" t="str">
        <f t="shared" si="55"/>
        <v>OFFICE SUPPLIES</v>
      </c>
      <c r="S578" s="125" t="str">
        <f t="shared" si="56"/>
        <v>100</v>
      </c>
      <c r="T578" s="125" t="str">
        <f t="shared" si="57"/>
        <v>17</v>
      </c>
      <c r="U578" s="125" t="str">
        <f t="shared" si="58"/>
        <v>171</v>
      </c>
      <c r="V578" s="125" t="str">
        <f>VLOOKUP(Q578,'GL Category'!A:C,3,FALSE)</f>
        <v>Operations &amp; maintenance</v>
      </c>
      <c r="W578" s="125"/>
    </row>
    <row r="579" spans="1:23" s="83" customFormat="1" ht="20.399999999999999" customHeight="1">
      <c r="A579" s="608" t="s">
        <v>791</v>
      </c>
      <c r="B579" s="608" t="s">
        <v>2430</v>
      </c>
      <c r="C579" s="608" t="s">
        <v>149</v>
      </c>
      <c r="D579" s="609">
        <v>0</v>
      </c>
      <c r="E579" s="609">
        <v>443.06</v>
      </c>
      <c r="F579" s="609">
        <v>0</v>
      </c>
      <c r="G579" s="609">
        <v>0</v>
      </c>
      <c r="H579" s="609">
        <v>0</v>
      </c>
      <c r="I579" s="609">
        <v>0</v>
      </c>
      <c r="J579" s="609">
        <v>0</v>
      </c>
      <c r="K579" s="609">
        <v>0</v>
      </c>
      <c r="L579" s="609">
        <v>0</v>
      </c>
      <c r="M579" s="609">
        <v>0</v>
      </c>
      <c r="N579" s="587">
        <f t="shared" si="53"/>
        <v>0</v>
      </c>
      <c r="O579"/>
      <c r="P579" s="490">
        <f t="shared" si="61"/>
        <v>0</v>
      </c>
      <c r="Q579" t="str">
        <f t="shared" si="54"/>
        <v>51210</v>
      </c>
      <c r="R579" s="126" t="str">
        <f t="shared" si="55"/>
        <v>OFFICE SUPPLIES</v>
      </c>
      <c r="S579" s="125" t="str">
        <f t="shared" si="56"/>
        <v>100</v>
      </c>
      <c r="T579" s="125" t="str">
        <f t="shared" si="57"/>
        <v>17</v>
      </c>
      <c r="U579" s="125" t="str">
        <f t="shared" si="58"/>
        <v>171</v>
      </c>
      <c r="V579" s="125" t="str">
        <f>VLOOKUP(Q579,'GL Category'!A:C,3,FALSE)</f>
        <v>Operations &amp; maintenance</v>
      </c>
      <c r="W579" s="125"/>
    </row>
    <row r="580" spans="1:23" s="83" customFormat="1" ht="20.100000000000001" customHeight="1">
      <c r="A580" s="608" t="s">
        <v>791</v>
      </c>
      <c r="B580" s="608" t="s">
        <v>2431</v>
      </c>
      <c r="C580" s="608" t="s">
        <v>163</v>
      </c>
      <c r="D580" s="609">
        <v>4128.84</v>
      </c>
      <c r="E580" s="609">
        <v>3937.33</v>
      </c>
      <c r="F580" s="609">
        <v>4056.64</v>
      </c>
      <c r="G580" s="609">
        <v>2960.99</v>
      </c>
      <c r="H580" s="609">
        <v>6200</v>
      </c>
      <c r="I580" s="609">
        <v>1696.2</v>
      </c>
      <c r="J580" s="609">
        <v>6200</v>
      </c>
      <c r="K580" s="609">
        <v>6200</v>
      </c>
      <c r="L580" s="609">
        <v>0</v>
      </c>
      <c r="M580" s="609">
        <v>0</v>
      </c>
      <c r="N580" s="587">
        <f t="shared" ref="N580:N643" si="62">SUM(K580:M580)</f>
        <v>6200</v>
      </c>
      <c r="O580"/>
      <c r="P580" s="490">
        <f t="shared" si="61"/>
        <v>0</v>
      </c>
      <c r="Q580" t="str">
        <f t="shared" ref="Q580:Q643" si="63">MID(B580,12,5)</f>
        <v>51257</v>
      </c>
      <c r="R580" s="126" t="str">
        <f t="shared" ref="R580:R643" si="64">C580</f>
        <v>MEETING SPONSORSHIP/SUPPLIES</v>
      </c>
      <c r="S580" s="125" t="str">
        <f t="shared" ref="S580:S643" si="65">LEFT(B580,3)</f>
        <v>100</v>
      </c>
      <c r="T580" s="125" t="str">
        <f t="shared" ref="T580:T643" si="66">MID(B580,5,2)</f>
        <v>17</v>
      </c>
      <c r="U580" s="125" t="str">
        <f t="shared" ref="U580:U643" si="67">MID(B580,8,3)</f>
        <v>171</v>
      </c>
      <c r="V580" s="125" t="str">
        <f>VLOOKUP(Q580,'GL Category'!A:C,3,FALSE)</f>
        <v>Operations &amp; maintenance</v>
      </c>
      <c r="W580" s="125"/>
    </row>
    <row r="581" spans="1:23" s="83" customFormat="1" ht="20.100000000000001" customHeight="1">
      <c r="A581" s="608" t="s">
        <v>791</v>
      </c>
      <c r="B581" s="608" t="s">
        <v>2432</v>
      </c>
      <c r="C581" s="608" t="s">
        <v>167</v>
      </c>
      <c r="D581" s="609">
        <v>184.81</v>
      </c>
      <c r="E581" s="609">
        <v>193.52</v>
      </c>
      <c r="F581" s="609">
        <v>188.43</v>
      </c>
      <c r="G581" s="609">
        <v>299.8</v>
      </c>
      <c r="H581" s="609">
        <v>600</v>
      </c>
      <c r="I581" s="609">
        <v>247.84</v>
      </c>
      <c r="J581" s="609">
        <v>600</v>
      </c>
      <c r="K581" s="609">
        <v>600</v>
      </c>
      <c r="L581" s="609">
        <v>0</v>
      </c>
      <c r="M581" s="609">
        <v>0</v>
      </c>
      <c r="N581" s="587">
        <f t="shared" si="62"/>
        <v>600</v>
      </c>
      <c r="O581"/>
      <c r="P581" s="490">
        <f t="shared" si="61"/>
        <v>0</v>
      </c>
      <c r="Q581" t="str">
        <f t="shared" si="63"/>
        <v>51285</v>
      </c>
      <c r="R581" s="126" t="str">
        <f t="shared" si="64"/>
        <v>WEARING APPAREL</v>
      </c>
      <c r="S581" s="125" t="str">
        <f t="shared" si="65"/>
        <v>100</v>
      </c>
      <c r="T581" s="125" t="str">
        <f t="shared" si="66"/>
        <v>17</v>
      </c>
      <c r="U581" s="125" t="str">
        <f t="shared" si="67"/>
        <v>171</v>
      </c>
      <c r="V581" s="125" t="str">
        <f>VLOOKUP(Q581,'GL Category'!A:C,3,FALSE)</f>
        <v>Operations &amp; maintenance</v>
      </c>
      <c r="W581" s="125"/>
    </row>
    <row r="582" spans="1:23" s="83" customFormat="1" ht="14.4" customHeight="1">
      <c r="A582" s="608" t="s">
        <v>791</v>
      </c>
      <c r="B582" s="608" t="s">
        <v>2434</v>
      </c>
      <c r="C582" s="608" t="s">
        <v>190</v>
      </c>
      <c r="D582" s="609">
        <v>2095.9899999999998</v>
      </c>
      <c r="E582" s="609">
        <v>1522.99</v>
      </c>
      <c r="F582" s="609">
        <v>3661.6</v>
      </c>
      <c r="G582" s="609">
        <v>4071.95</v>
      </c>
      <c r="H582" s="609">
        <v>3945</v>
      </c>
      <c r="I582" s="609">
        <v>2893.15</v>
      </c>
      <c r="J582" s="609">
        <v>3945</v>
      </c>
      <c r="K582" s="609">
        <v>3945</v>
      </c>
      <c r="L582" s="609">
        <v>0</v>
      </c>
      <c r="M582" s="609">
        <v>0</v>
      </c>
      <c r="N582" s="587">
        <f t="shared" si="62"/>
        <v>3945</v>
      </c>
      <c r="O582"/>
      <c r="P582" s="490">
        <f t="shared" si="61"/>
        <v>0</v>
      </c>
      <c r="Q582" t="str">
        <f t="shared" si="63"/>
        <v>53510</v>
      </c>
      <c r="R582" s="126" t="str">
        <f t="shared" si="64"/>
        <v>DUES &amp; SUBSCRIPTIONS</v>
      </c>
      <c r="S582" s="125" t="str">
        <f t="shared" si="65"/>
        <v>100</v>
      </c>
      <c r="T582" s="125" t="str">
        <f t="shared" si="66"/>
        <v>17</v>
      </c>
      <c r="U582" s="125" t="str">
        <f t="shared" si="67"/>
        <v>171</v>
      </c>
      <c r="V582" s="125" t="str">
        <f>VLOOKUP(Q582,'GL Category'!A:C,3,FALSE)</f>
        <v>Services &amp; other</v>
      </c>
      <c r="W582" s="125"/>
    </row>
    <row r="583" spans="1:23" s="83" customFormat="1" ht="20.100000000000001" customHeight="1">
      <c r="A583" s="608" t="s">
        <v>791</v>
      </c>
      <c r="B583" s="608" t="s">
        <v>2436</v>
      </c>
      <c r="C583" s="608" t="s">
        <v>836</v>
      </c>
      <c r="D583" s="609">
        <v>22956.86</v>
      </c>
      <c r="E583" s="609">
        <v>27443.49</v>
      </c>
      <c r="F583" s="609">
        <v>6359.46</v>
      </c>
      <c r="G583" s="609">
        <v>7194.42</v>
      </c>
      <c r="H583" s="609">
        <v>20000</v>
      </c>
      <c r="I583" s="609">
        <v>4668.54</v>
      </c>
      <c r="J583" s="609">
        <v>9000</v>
      </c>
      <c r="K583" s="609">
        <v>20000</v>
      </c>
      <c r="L583" s="609">
        <v>0</v>
      </c>
      <c r="M583" s="609">
        <v>0</v>
      </c>
      <c r="N583" s="587">
        <f t="shared" si="62"/>
        <v>20000</v>
      </c>
      <c r="O583"/>
      <c r="P583" s="490">
        <f t="shared" si="61"/>
        <v>0</v>
      </c>
      <c r="Q583" t="str">
        <f t="shared" si="63"/>
        <v>53512</v>
      </c>
      <c r="R583" s="126" t="str">
        <f t="shared" si="64"/>
        <v>TUITION REIMBURSEMENT</v>
      </c>
      <c r="S583" s="125" t="str">
        <f t="shared" si="65"/>
        <v>100</v>
      </c>
      <c r="T583" s="125" t="str">
        <f t="shared" si="66"/>
        <v>17</v>
      </c>
      <c r="U583" s="125" t="str">
        <f t="shared" si="67"/>
        <v>171</v>
      </c>
      <c r="V583" s="125" t="str">
        <f>VLOOKUP(Q583,'GL Category'!A:C,3,FALSE)</f>
        <v>Services &amp; other</v>
      </c>
      <c r="W583" s="125"/>
    </row>
    <row r="584" spans="1:23" s="83" customFormat="1" ht="20.100000000000001" customHeight="1">
      <c r="A584" s="608" t="s">
        <v>791</v>
      </c>
      <c r="B584" s="608" t="s">
        <v>2435</v>
      </c>
      <c r="C584" s="608" t="s">
        <v>191</v>
      </c>
      <c r="D584" s="609">
        <v>8640.86</v>
      </c>
      <c r="E584" s="609">
        <v>1570</v>
      </c>
      <c r="F584" s="609">
        <v>1649.36</v>
      </c>
      <c r="G584" s="609">
        <v>7333.68</v>
      </c>
      <c r="H584" s="609">
        <v>9186</v>
      </c>
      <c r="I584" s="609">
        <v>7695.08</v>
      </c>
      <c r="J584" s="609">
        <v>9186</v>
      </c>
      <c r="K584" s="609">
        <v>9186</v>
      </c>
      <c r="L584" s="609">
        <v>0</v>
      </c>
      <c r="M584" s="609">
        <v>0</v>
      </c>
      <c r="N584" s="587">
        <f t="shared" si="62"/>
        <v>9186</v>
      </c>
      <c r="O584"/>
      <c r="P584" s="490">
        <f t="shared" si="61"/>
        <v>0</v>
      </c>
      <c r="Q584" t="str">
        <f t="shared" si="63"/>
        <v>53515</v>
      </c>
      <c r="R584" s="126" t="str">
        <f t="shared" si="64"/>
        <v>TRAVEL, TRAINING &amp; EDUCATION</v>
      </c>
      <c r="S584" s="125" t="str">
        <f t="shared" si="65"/>
        <v>100</v>
      </c>
      <c r="T584" s="125" t="str">
        <f t="shared" si="66"/>
        <v>17</v>
      </c>
      <c r="U584" s="125" t="str">
        <f t="shared" si="67"/>
        <v>171</v>
      </c>
      <c r="V584" s="125" t="str">
        <f>VLOOKUP(Q584,'GL Category'!A:C,3,FALSE)</f>
        <v>Services &amp; other</v>
      </c>
      <c r="W584" s="125"/>
    </row>
    <row r="585" spans="1:23" s="83" customFormat="1" ht="20.100000000000001" customHeight="1">
      <c r="A585" s="608" t="s">
        <v>791</v>
      </c>
      <c r="B585" s="608" t="s">
        <v>2437</v>
      </c>
      <c r="C585" s="608" t="s">
        <v>195</v>
      </c>
      <c r="D585" s="609">
        <v>29896.41</v>
      </c>
      <c r="E585" s="609">
        <v>21061.33</v>
      </c>
      <c r="F585" s="609">
        <v>28655.42</v>
      </c>
      <c r="G585" s="609">
        <v>32827</v>
      </c>
      <c r="H585" s="609">
        <v>31263</v>
      </c>
      <c r="I585" s="609">
        <v>32200.240000000002</v>
      </c>
      <c r="J585" s="609">
        <v>31263</v>
      </c>
      <c r="K585" s="609">
        <v>31263</v>
      </c>
      <c r="L585" s="609">
        <v>0</v>
      </c>
      <c r="M585" s="609">
        <v>0</v>
      </c>
      <c r="N585" s="587">
        <f t="shared" si="62"/>
        <v>31263</v>
      </c>
      <c r="O585"/>
      <c r="P585" s="490">
        <f t="shared" si="61"/>
        <v>0</v>
      </c>
      <c r="Q585" t="str">
        <f t="shared" si="63"/>
        <v>53517</v>
      </c>
      <c r="R585" s="126" t="str">
        <f t="shared" si="64"/>
        <v>MEDICAL SERVICES</v>
      </c>
      <c r="S585" s="125" t="str">
        <f t="shared" si="65"/>
        <v>100</v>
      </c>
      <c r="T585" s="125" t="str">
        <f t="shared" si="66"/>
        <v>17</v>
      </c>
      <c r="U585" s="125" t="str">
        <f t="shared" si="67"/>
        <v>171</v>
      </c>
      <c r="V585" s="125" t="str">
        <f>VLOOKUP(Q585,'GL Category'!A:C,3,FALSE)</f>
        <v>Services &amp; other</v>
      </c>
      <c r="W585" s="125"/>
    </row>
    <row r="586" spans="1:23" s="83" customFormat="1" ht="20.100000000000001" customHeight="1">
      <c r="A586" s="608" t="s">
        <v>791</v>
      </c>
      <c r="B586" s="608" t="s">
        <v>2438</v>
      </c>
      <c r="C586" s="608" t="s">
        <v>197</v>
      </c>
      <c r="D586" s="609">
        <v>994</v>
      </c>
      <c r="E586" s="609">
        <v>1502.62</v>
      </c>
      <c r="F586" s="609">
        <v>1600.86</v>
      </c>
      <c r="G586" s="609">
        <v>1872.2</v>
      </c>
      <c r="H586" s="609">
        <v>2200</v>
      </c>
      <c r="I586" s="609">
        <v>0</v>
      </c>
      <c r="J586" s="609">
        <v>2200</v>
      </c>
      <c r="K586" s="609">
        <v>2200</v>
      </c>
      <c r="L586" s="609">
        <v>0</v>
      </c>
      <c r="M586" s="609">
        <v>0</v>
      </c>
      <c r="N586" s="587">
        <f t="shared" si="62"/>
        <v>2200</v>
      </c>
      <c r="O586"/>
      <c r="P586" s="490">
        <f t="shared" si="61"/>
        <v>0</v>
      </c>
      <c r="Q586" t="str">
        <f t="shared" si="63"/>
        <v>53522</v>
      </c>
      <c r="R586" s="126" t="str">
        <f t="shared" si="64"/>
        <v>ADVERTISING &amp; RECORDING</v>
      </c>
      <c r="S586" s="125" t="str">
        <f t="shared" si="65"/>
        <v>100</v>
      </c>
      <c r="T586" s="125" t="str">
        <f t="shared" si="66"/>
        <v>17</v>
      </c>
      <c r="U586" s="125" t="str">
        <f t="shared" si="67"/>
        <v>171</v>
      </c>
      <c r="V586" s="125" t="str">
        <f>VLOOKUP(Q586,'GL Category'!A:C,3,FALSE)</f>
        <v>Services &amp; other</v>
      </c>
      <c r="W586" s="125"/>
    </row>
    <row r="587" spans="1:23" s="83" customFormat="1" ht="20.100000000000001" customHeight="1">
      <c r="A587" s="608" t="s">
        <v>791</v>
      </c>
      <c r="B587" s="608" t="s">
        <v>2439</v>
      </c>
      <c r="C587" s="608" t="s">
        <v>258</v>
      </c>
      <c r="D587" s="609">
        <v>113124.42</v>
      </c>
      <c r="E587" s="609">
        <v>117875.54</v>
      </c>
      <c r="F587" s="609">
        <v>126190.55</v>
      </c>
      <c r="G587" s="609">
        <v>126126.47</v>
      </c>
      <c r="H587" s="609">
        <v>125021</v>
      </c>
      <c r="I587" s="609">
        <v>82443.3</v>
      </c>
      <c r="J587" s="609">
        <v>125021</v>
      </c>
      <c r="K587" s="609">
        <v>135021</v>
      </c>
      <c r="L587" s="609">
        <v>0</v>
      </c>
      <c r="M587" s="609">
        <v>0</v>
      </c>
      <c r="N587" s="587">
        <f t="shared" si="62"/>
        <v>135021</v>
      </c>
      <c r="O587"/>
      <c r="P587" s="490">
        <f t="shared" si="61"/>
        <v>10000</v>
      </c>
      <c r="Q587" t="str">
        <f t="shared" si="63"/>
        <v>53527</v>
      </c>
      <c r="R587" s="126" t="str">
        <f t="shared" si="64"/>
        <v>EMPLOYEE ACTIVITIES</v>
      </c>
      <c r="S587" s="125" t="str">
        <f t="shared" si="65"/>
        <v>100</v>
      </c>
      <c r="T587" s="125" t="str">
        <f t="shared" si="66"/>
        <v>17</v>
      </c>
      <c r="U587" s="125" t="str">
        <f t="shared" si="67"/>
        <v>171</v>
      </c>
      <c r="V587" s="125" t="str">
        <f>VLOOKUP(Q587,'GL Category'!A:C,3,FALSE)</f>
        <v>Services &amp; other</v>
      </c>
      <c r="W587" s="125"/>
    </row>
    <row r="588" spans="1:23" s="83" customFormat="1" ht="20.100000000000001" customHeight="1">
      <c r="A588" s="608" t="s">
        <v>791</v>
      </c>
      <c r="B588" s="608" t="s">
        <v>2440</v>
      </c>
      <c r="C588" s="608" t="s">
        <v>200</v>
      </c>
      <c r="D588" s="609">
        <v>604</v>
      </c>
      <c r="E588" s="609">
        <v>1713.3</v>
      </c>
      <c r="F588" s="609">
        <v>6656.58</v>
      </c>
      <c r="G588" s="609">
        <v>12026.95</v>
      </c>
      <c r="H588" s="609">
        <v>5500</v>
      </c>
      <c r="I588" s="609">
        <v>17378.29</v>
      </c>
      <c r="J588" s="609">
        <v>18800</v>
      </c>
      <c r="K588" s="609">
        <v>5500</v>
      </c>
      <c r="L588" s="609">
        <v>0</v>
      </c>
      <c r="M588" s="609">
        <v>0</v>
      </c>
      <c r="N588" s="587">
        <f t="shared" si="62"/>
        <v>5500</v>
      </c>
      <c r="O588"/>
      <c r="P588" s="490">
        <f t="shared" si="61"/>
        <v>0</v>
      </c>
      <c r="Q588" t="str">
        <f t="shared" si="63"/>
        <v>53533</v>
      </c>
      <c r="R588" s="126" t="str">
        <f t="shared" si="64"/>
        <v>EMPLOYEE RECRUITING/TESTING</v>
      </c>
      <c r="S588" s="125" t="str">
        <f t="shared" si="65"/>
        <v>100</v>
      </c>
      <c r="T588" s="125" t="str">
        <f t="shared" si="66"/>
        <v>17</v>
      </c>
      <c r="U588" s="125" t="str">
        <f t="shared" si="67"/>
        <v>171</v>
      </c>
      <c r="V588" s="125" t="str">
        <f>VLOOKUP(Q588,'GL Category'!A:C,3,FALSE)</f>
        <v>Services &amp; other</v>
      </c>
      <c r="W588" s="125"/>
    </row>
    <row r="589" spans="1:23" s="83" customFormat="1" ht="20.100000000000001" customHeight="1">
      <c r="A589" s="608" t="s">
        <v>791</v>
      </c>
      <c r="B589" s="608" t="s">
        <v>2441</v>
      </c>
      <c r="C589" s="608" t="s">
        <v>1086</v>
      </c>
      <c r="D589" s="609">
        <v>19791.62</v>
      </c>
      <c r="E589" s="609">
        <v>0</v>
      </c>
      <c r="F589" s="609">
        <v>0</v>
      </c>
      <c r="G589" s="609">
        <v>0</v>
      </c>
      <c r="H589" s="609">
        <v>0</v>
      </c>
      <c r="I589" s="609">
        <v>0</v>
      </c>
      <c r="J589" s="609">
        <v>0</v>
      </c>
      <c r="K589" s="609">
        <v>0</v>
      </c>
      <c r="L589" s="609">
        <v>0</v>
      </c>
      <c r="M589" s="609">
        <v>0</v>
      </c>
      <c r="N589" s="587">
        <f t="shared" si="62"/>
        <v>0</v>
      </c>
      <c r="O589"/>
      <c r="P589" s="490"/>
      <c r="Q589" t="str">
        <f t="shared" si="63"/>
        <v>53546</v>
      </c>
      <c r="R589" s="126" t="str">
        <f t="shared" si="64"/>
        <v>WELLNESS ACTIVITIES</v>
      </c>
      <c r="S589" s="125" t="str">
        <f t="shared" si="65"/>
        <v>100</v>
      </c>
      <c r="T589" s="125" t="str">
        <f t="shared" si="66"/>
        <v>17</v>
      </c>
      <c r="U589" s="125" t="str">
        <f t="shared" si="67"/>
        <v>171</v>
      </c>
      <c r="V589" s="125" t="str">
        <f>VLOOKUP(Q589,'GL Category'!A:C,3,FALSE)</f>
        <v>Services &amp; other</v>
      </c>
      <c r="W589" s="125"/>
    </row>
    <row r="590" spans="1:23" s="83" customFormat="1" ht="20.100000000000001" customHeight="1">
      <c r="A590" s="608" t="s">
        <v>791</v>
      </c>
      <c r="B590" s="608" t="s">
        <v>2442</v>
      </c>
      <c r="C590" s="608" t="s">
        <v>261</v>
      </c>
      <c r="D590" s="609">
        <v>2685.75</v>
      </c>
      <c r="E590" s="609">
        <v>3693.65</v>
      </c>
      <c r="F590" s="609">
        <v>5479.81</v>
      </c>
      <c r="G590" s="609">
        <v>8384.2999999999993</v>
      </c>
      <c r="H590" s="609">
        <v>8500</v>
      </c>
      <c r="I590" s="609">
        <v>2320</v>
      </c>
      <c r="J590" s="609">
        <v>8500</v>
      </c>
      <c r="K590" s="609">
        <v>8500</v>
      </c>
      <c r="L590" s="609">
        <v>0</v>
      </c>
      <c r="M590" s="609">
        <v>0</v>
      </c>
      <c r="N590" s="587">
        <f t="shared" si="62"/>
        <v>8500</v>
      </c>
      <c r="O590"/>
      <c r="P590" s="490"/>
      <c r="Q590" t="str">
        <f t="shared" si="63"/>
        <v>53552</v>
      </c>
      <c r="R590" s="126" t="str">
        <f t="shared" si="64"/>
        <v>INVESTIGATIVE SERVICES</v>
      </c>
      <c r="S590" s="125" t="str">
        <f t="shared" si="65"/>
        <v>100</v>
      </c>
      <c r="T590" s="125" t="str">
        <f t="shared" si="66"/>
        <v>17</v>
      </c>
      <c r="U590" s="125" t="str">
        <f t="shared" si="67"/>
        <v>171</v>
      </c>
      <c r="V590" s="125" t="str">
        <f>VLOOKUP(Q590,'GL Category'!A:C,3,FALSE)</f>
        <v>Services &amp; other</v>
      </c>
      <c r="W590" s="125"/>
    </row>
    <row r="591" spans="1:23" s="83" customFormat="1" ht="20.100000000000001" customHeight="1">
      <c r="A591" s="608" t="s">
        <v>791</v>
      </c>
      <c r="B591" s="608" t="s">
        <v>2433</v>
      </c>
      <c r="C591" s="608" t="s">
        <v>238</v>
      </c>
      <c r="D591" s="609">
        <v>67159.75</v>
      </c>
      <c r="E591" s="609">
        <v>75603.8</v>
      </c>
      <c r="F591" s="609">
        <v>3472.1</v>
      </c>
      <c r="G591" s="609">
        <v>3149.25</v>
      </c>
      <c r="H591" s="609">
        <v>11780</v>
      </c>
      <c r="I591" s="609">
        <v>485.1</v>
      </c>
      <c r="J591" s="609">
        <v>11780</v>
      </c>
      <c r="K591" s="609">
        <v>11780</v>
      </c>
      <c r="L591" s="609">
        <v>0</v>
      </c>
      <c r="M591" s="609">
        <v>0</v>
      </c>
      <c r="N591" s="587">
        <f t="shared" si="62"/>
        <v>11780</v>
      </c>
      <c r="O591"/>
      <c r="P591" s="490"/>
      <c r="Q591" t="str">
        <f t="shared" si="63"/>
        <v>53599</v>
      </c>
      <c r="R591" s="126" t="str">
        <f t="shared" si="64"/>
        <v>MISCELLANEOUS SERVICES</v>
      </c>
      <c r="S591" s="125" t="str">
        <f t="shared" si="65"/>
        <v>100</v>
      </c>
      <c r="T591" s="125" t="str">
        <f t="shared" si="66"/>
        <v>17</v>
      </c>
      <c r="U591" s="125" t="str">
        <f t="shared" si="67"/>
        <v>171</v>
      </c>
      <c r="V591" s="125" t="str">
        <f>VLOOKUP(Q591,'GL Category'!A:C,3,FALSE)</f>
        <v>Services &amp; other</v>
      </c>
      <c r="W591" s="125"/>
    </row>
    <row r="592" spans="1:23" s="83" customFormat="1" ht="20.100000000000001" customHeight="1">
      <c r="A592" s="608" t="s">
        <v>791</v>
      </c>
      <c r="B592" s="608" t="s">
        <v>2443</v>
      </c>
      <c r="C592" s="608" t="s">
        <v>221</v>
      </c>
      <c r="D592" s="609">
        <v>65295</v>
      </c>
      <c r="E592" s="609">
        <v>71647</v>
      </c>
      <c r="F592" s="609">
        <v>72603</v>
      </c>
      <c r="G592" s="609">
        <v>68942</v>
      </c>
      <c r="H592" s="609">
        <v>70030</v>
      </c>
      <c r="I592" s="609">
        <v>52522.5</v>
      </c>
      <c r="J592" s="609">
        <v>70030</v>
      </c>
      <c r="K592" s="609">
        <v>80225</v>
      </c>
      <c r="L592" s="609">
        <v>0</v>
      </c>
      <c r="M592" s="609">
        <v>0</v>
      </c>
      <c r="N592" s="587">
        <f t="shared" si="62"/>
        <v>80225</v>
      </c>
      <c r="O592"/>
      <c r="P592" s="490"/>
      <c r="Q592" t="str">
        <f t="shared" si="63"/>
        <v>55119</v>
      </c>
      <c r="R592" s="126" t="str">
        <f t="shared" si="64"/>
        <v>OFFICE EQUIP LEASE EXP-CITY</v>
      </c>
      <c r="S592" s="125" t="str">
        <f t="shared" si="65"/>
        <v>100</v>
      </c>
      <c r="T592" s="125" t="str">
        <f t="shared" si="66"/>
        <v>17</v>
      </c>
      <c r="U592" s="125" t="str">
        <f t="shared" si="67"/>
        <v>171</v>
      </c>
      <c r="V592" s="125" t="str">
        <f>VLOOKUP(Q592,'GL Category'!A:C,3,FALSE)</f>
        <v>Services &amp; other</v>
      </c>
      <c r="W592" s="125"/>
    </row>
    <row r="593" spans="1:23" s="83" customFormat="1" ht="20.100000000000001" customHeight="1">
      <c r="A593" s="608" t="s">
        <v>791</v>
      </c>
      <c r="B593" s="608" t="s">
        <v>2501</v>
      </c>
      <c r="C593" s="608" t="s">
        <v>130</v>
      </c>
      <c r="D593" s="609">
        <v>246637.28</v>
      </c>
      <c r="E593" s="609">
        <v>244536.81</v>
      </c>
      <c r="F593" s="609">
        <v>286756.74</v>
      </c>
      <c r="G593" s="609">
        <v>311206.2</v>
      </c>
      <c r="H593" s="609">
        <v>333214</v>
      </c>
      <c r="I593" s="609">
        <v>182969.98</v>
      </c>
      <c r="J593" s="609">
        <v>266031</v>
      </c>
      <c r="K593" s="609">
        <v>324142</v>
      </c>
      <c r="L593" s="609">
        <v>0</v>
      </c>
      <c r="M593" s="609">
        <v>0</v>
      </c>
      <c r="N593" s="587">
        <f t="shared" si="62"/>
        <v>324142</v>
      </c>
      <c r="O593"/>
      <c r="P593" s="490"/>
      <c r="Q593" t="str">
        <f t="shared" si="63"/>
        <v>50101</v>
      </c>
      <c r="R593" s="126" t="str">
        <f t="shared" si="64"/>
        <v>EXEMPT SALARIES</v>
      </c>
      <c r="S593" s="125" t="str">
        <f t="shared" si="65"/>
        <v>100</v>
      </c>
      <c r="T593" s="125" t="str">
        <f t="shared" si="66"/>
        <v>20</v>
      </c>
      <c r="U593" s="125" t="str">
        <f t="shared" si="67"/>
        <v>201</v>
      </c>
      <c r="V593" s="125" t="str">
        <f>VLOOKUP(Q593,'GL Category'!A:C,3,FALSE)</f>
        <v>Personnel services</v>
      </c>
      <c r="W593" s="125"/>
    </row>
    <row r="594" spans="1:23" s="83" customFormat="1" ht="20.100000000000001" customHeight="1">
      <c r="A594" s="608" t="s">
        <v>791</v>
      </c>
      <c r="B594" s="608" t="s">
        <v>2502</v>
      </c>
      <c r="C594" s="608" t="s">
        <v>132</v>
      </c>
      <c r="D594" s="609">
        <v>17424.37</v>
      </c>
      <c r="E594" s="609">
        <v>34348.660000000003</v>
      </c>
      <c r="F594" s="609">
        <v>33350.81</v>
      </c>
      <c r="G594" s="609">
        <v>33971</v>
      </c>
      <c r="H594" s="609">
        <v>43203</v>
      </c>
      <c r="I594" s="609">
        <v>28203.84</v>
      </c>
      <c r="J594" s="609">
        <v>38253</v>
      </c>
      <c r="K594" s="609">
        <v>43954</v>
      </c>
      <c r="L594" s="609">
        <v>0</v>
      </c>
      <c r="M594" s="609">
        <v>0</v>
      </c>
      <c r="N594" s="587">
        <f t="shared" si="62"/>
        <v>43954</v>
      </c>
      <c r="O594"/>
      <c r="P594" s="490"/>
      <c r="Q594" t="str">
        <f t="shared" si="63"/>
        <v>50102</v>
      </c>
      <c r="R594" s="126" t="str">
        <f t="shared" si="64"/>
        <v>NON EXEMPT SALARIES</v>
      </c>
      <c r="S594" s="125" t="str">
        <f t="shared" si="65"/>
        <v>100</v>
      </c>
      <c r="T594" s="125" t="str">
        <f t="shared" si="66"/>
        <v>20</v>
      </c>
      <c r="U594" s="125" t="str">
        <f t="shared" si="67"/>
        <v>201</v>
      </c>
      <c r="V594" s="125" t="str">
        <f>VLOOKUP(Q594,'GL Category'!A:C,3,FALSE)</f>
        <v>Personnel services</v>
      </c>
      <c r="W594" s="125"/>
    </row>
    <row r="595" spans="1:23" s="83" customFormat="1" ht="20.100000000000001" customHeight="1">
      <c r="A595" s="608" t="s">
        <v>791</v>
      </c>
      <c r="B595" s="608" t="s">
        <v>2503</v>
      </c>
      <c r="C595" s="608" t="s">
        <v>0</v>
      </c>
      <c r="D595" s="609">
        <v>300.26</v>
      </c>
      <c r="E595" s="609">
        <v>346.38</v>
      </c>
      <c r="F595" s="609">
        <v>39.119999999999997</v>
      </c>
      <c r="G595" s="609">
        <v>751.48</v>
      </c>
      <c r="H595" s="609">
        <v>0</v>
      </c>
      <c r="I595" s="609">
        <v>173.88</v>
      </c>
      <c r="J595" s="609">
        <v>246</v>
      </c>
      <c r="K595" s="609">
        <v>0</v>
      </c>
      <c r="L595" s="609">
        <v>0</v>
      </c>
      <c r="M595" s="609">
        <v>0</v>
      </c>
      <c r="N595" s="587">
        <f t="shared" si="62"/>
        <v>0</v>
      </c>
      <c r="O595"/>
      <c r="P595" s="490"/>
      <c r="Q595" t="str">
        <f t="shared" si="63"/>
        <v>50109</v>
      </c>
      <c r="R595" s="126" t="str">
        <f t="shared" si="64"/>
        <v>OVERTIME</v>
      </c>
      <c r="S595" s="125" t="str">
        <f t="shared" si="65"/>
        <v>100</v>
      </c>
      <c r="T595" s="125" t="str">
        <f t="shared" si="66"/>
        <v>20</v>
      </c>
      <c r="U595" s="125" t="str">
        <f t="shared" si="67"/>
        <v>201</v>
      </c>
      <c r="V595" s="125" t="str">
        <f>VLOOKUP(Q595,'GL Category'!A:C,3,FALSE)</f>
        <v>Personnel services</v>
      </c>
      <c r="W595" s="125"/>
    </row>
    <row r="596" spans="1:23" s="83" customFormat="1" ht="20.100000000000001" customHeight="1">
      <c r="A596" s="608" t="s">
        <v>791</v>
      </c>
      <c r="B596" s="608" t="s">
        <v>2505</v>
      </c>
      <c r="C596" s="608" t="s">
        <v>137</v>
      </c>
      <c r="D596" s="609">
        <v>380</v>
      </c>
      <c r="E596" s="609">
        <v>700</v>
      </c>
      <c r="F596" s="609">
        <v>670</v>
      </c>
      <c r="G596" s="609">
        <v>1170</v>
      </c>
      <c r="H596" s="609">
        <v>740</v>
      </c>
      <c r="I596" s="609">
        <v>660</v>
      </c>
      <c r="J596" s="609">
        <v>660</v>
      </c>
      <c r="K596" s="609">
        <v>1098</v>
      </c>
      <c r="L596" s="609">
        <v>0</v>
      </c>
      <c r="M596" s="609">
        <v>0</v>
      </c>
      <c r="N596" s="587">
        <f t="shared" si="62"/>
        <v>1098</v>
      </c>
      <c r="O596"/>
      <c r="P596" s="490"/>
      <c r="Q596" t="str">
        <f t="shared" si="63"/>
        <v>50111</v>
      </c>
      <c r="R596" s="126" t="str">
        <f t="shared" si="64"/>
        <v>LONGEVITY PAY</v>
      </c>
      <c r="S596" s="125" t="str">
        <f t="shared" si="65"/>
        <v>100</v>
      </c>
      <c r="T596" s="125" t="str">
        <f t="shared" si="66"/>
        <v>20</v>
      </c>
      <c r="U596" s="125" t="str">
        <f t="shared" si="67"/>
        <v>201</v>
      </c>
      <c r="V596" s="125" t="str">
        <f>VLOOKUP(Q596,'GL Category'!A:C,3,FALSE)</f>
        <v>Personnel services</v>
      </c>
      <c r="W596" s="125"/>
    </row>
    <row r="597" spans="1:23" s="83" customFormat="1" ht="20.100000000000001" customHeight="1">
      <c r="A597" s="608" t="s">
        <v>791</v>
      </c>
      <c r="B597" s="608" t="s">
        <v>2507</v>
      </c>
      <c r="C597" s="608" t="s">
        <v>3</v>
      </c>
      <c r="D597" s="609">
        <v>4800</v>
      </c>
      <c r="E597" s="609">
        <v>4800</v>
      </c>
      <c r="F597" s="609">
        <v>4800</v>
      </c>
      <c r="G597" s="609">
        <v>5016</v>
      </c>
      <c r="H597" s="609">
        <v>4800</v>
      </c>
      <c r="I597" s="609">
        <v>3584</v>
      </c>
      <c r="J597" s="609">
        <v>4804</v>
      </c>
      <c r="K597" s="609">
        <v>4800</v>
      </c>
      <c r="L597" s="609">
        <v>0</v>
      </c>
      <c r="M597" s="609">
        <v>0</v>
      </c>
      <c r="N597" s="587">
        <f t="shared" si="62"/>
        <v>4800</v>
      </c>
      <c r="O597"/>
      <c r="P597" s="490"/>
      <c r="Q597" t="str">
        <f t="shared" si="63"/>
        <v>50120</v>
      </c>
      <c r="R597" s="126" t="str">
        <f t="shared" si="64"/>
        <v>AUTO ALLOWANCE</v>
      </c>
      <c r="S597" s="125" t="str">
        <f t="shared" si="65"/>
        <v>100</v>
      </c>
      <c r="T597" s="125" t="str">
        <f t="shared" si="66"/>
        <v>20</v>
      </c>
      <c r="U597" s="125" t="str">
        <f t="shared" si="67"/>
        <v>201</v>
      </c>
      <c r="V597" s="125" t="str">
        <f>VLOOKUP(Q597,'GL Category'!A:C,3,FALSE)</f>
        <v>Personnel services</v>
      </c>
      <c r="W597" s="125"/>
    </row>
    <row r="598" spans="1:23" s="83" customFormat="1" ht="20.100000000000001" customHeight="1">
      <c r="A598" s="608" t="s">
        <v>791</v>
      </c>
      <c r="B598" s="608" t="s">
        <v>2508</v>
      </c>
      <c r="C598" s="608" t="s">
        <v>1</v>
      </c>
      <c r="D598" s="609">
        <v>19986.900000000001</v>
      </c>
      <c r="E598" s="609">
        <v>20671.32</v>
      </c>
      <c r="F598" s="609">
        <v>23259.41</v>
      </c>
      <c r="G598" s="609">
        <v>25538.78</v>
      </c>
      <c r="H598" s="609">
        <v>29340</v>
      </c>
      <c r="I598" s="609">
        <v>16112.3</v>
      </c>
      <c r="J598" s="609">
        <v>23181</v>
      </c>
      <c r="K598" s="609">
        <v>28420</v>
      </c>
      <c r="L598" s="609">
        <v>0</v>
      </c>
      <c r="M598" s="609">
        <v>0</v>
      </c>
      <c r="N598" s="587">
        <f t="shared" si="62"/>
        <v>28420</v>
      </c>
      <c r="O598"/>
      <c r="P598" s="490"/>
      <c r="Q598" t="str">
        <f t="shared" si="63"/>
        <v>50610</v>
      </c>
      <c r="R598" s="126" t="str">
        <f t="shared" si="64"/>
        <v>SOCIAL SECURITY</v>
      </c>
      <c r="S598" s="125" t="str">
        <f t="shared" si="65"/>
        <v>100</v>
      </c>
      <c r="T598" s="125" t="str">
        <f t="shared" si="66"/>
        <v>20</v>
      </c>
      <c r="U598" s="125" t="str">
        <f t="shared" si="67"/>
        <v>201</v>
      </c>
      <c r="V598" s="125" t="str">
        <f>VLOOKUP(Q598,'GL Category'!A:C,3,FALSE)</f>
        <v>Personnel services</v>
      </c>
      <c r="W598" s="125"/>
    </row>
    <row r="599" spans="1:23" s="83" customFormat="1" ht="20.100000000000001" customHeight="1">
      <c r="A599" s="608" t="s">
        <v>791</v>
      </c>
      <c r="B599" s="608" t="s">
        <v>2509</v>
      </c>
      <c r="C599" s="608" t="s">
        <v>142</v>
      </c>
      <c r="D599" s="609">
        <v>39692.720000000001</v>
      </c>
      <c r="E599" s="609">
        <v>59210.01</v>
      </c>
      <c r="F599" s="609">
        <v>70485.649999999994</v>
      </c>
      <c r="G599" s="609">
        <v>50010.400000000001</v>
      </c>
      <c r="H599" s="609">
        <v>57301</v>
      </c>
      <c r="I599" s="609">
        <v>28291.11</v>
      </c>
      <c r="J599" s="609">
        <v>44490</v>
      </c>
      <c r="K599" s="609">
        <v>53889</v>
      </c>
      <c r="L599" s="609">
        <v>0</v>
      </c>
      <c r="M599" s="609">
        <v>0</v>
      </c>
      <c r="N599" s="587">
        <f t="shared" si="62"/>
        <v>53889</v>
      </c>
      <c r="O599"/>
      <c r="P599" s="490"/>
      <c r="Q599" t="str">
        <f t="shared" si="63"/>
        <v>50620</v>
      </c>
      <c r="R599" s="126" t="str">
        <f t="shared" si="64"/>
        <v>HEALTH/LIFE INSURANCE</v>
      </c>
      <c r="S599" s="125" t="str">
        <f t="shared" si="65"/>
        <v>100</v>
      </c>
      <c r="T599" s="125" t="str">
        <f t="shared" si="66"/>
        <v>20</v>
      </c>
      <c r="U599" s="125" t="str">
        <f t="shared" si="67"/>
        <v>201</v>
      </c>
      <c r="V599" s="125" t="str">
        <f>VLOOKUP(Q599,'GL Category'!A:C,3,FALSE)</f>
        <v>Personnel services</v>
      </c>
      <c r="W599" s="125"/>
    </row>
    <row r="600" spans="1:23" s="83" customFormat="1" ht="20.100000000000001" customHeight="1">
      <c r="A600" s="608" t="s">
        <v>791</v>
      </c>
      <c r="B600" s="608" t="s">
        <v>2510</v>
      </c>
      <c r="C600" s="608" t="s">
        <v>144</v>
      </c>
      <c r="D600" s="609">
        <v>196.07</v>
      </c>
      <c r="E600" s="609">
        <v>183.99</v>
      </c>
      <c r="F600" s="609">
        <v>225.36</v>
      </c>
      <c r="G600" s="609">
        <v>428.96</v>
      </c>
      <c r="H600" s="609">
        <v>547</v>
      </c>
      <c r="I600" s="609">
        <v>546.54999999999995</v>
      </c>
      <c r="J600" s="609">
        <v>547</v>
      </c>
      <c r="K600" s="609">
        <v>517</v>
      </c>
      <c r="L600" s="609">
        <v>0</v>
      </c>
      <c r="M600" s="609">
        <v>0</v>
      </c>
      <c r="N600" s="587">
        <f t="shared" si="62"/>
        <v>517</v>
      </c>
      <c r="O600"/>
      <c r="P600" s="490"/>
      <c r="Q600" t="str">
        <f t="shared" si="63"/>
        <v>50630</v>
      </c>
      <c r="R600" s="126" t="str">
        <f t="shared" si="64"/>
        <v>WORKER COMPENSATION</v>
      </c>
      <c r="S600" s="125" t="str">
        <f t="shared" si="65"/>
        <v>100</v>
      </c>
      <c r="T600" s="125" t="str">
        <f t="shared" si="66"/>
        <v>20</v>
      </c>
      <c r="U600" s="125" t="str">
        <f t="shared" si="67"/>
        <v>201</v>
      </c>
      <c r="V600" s="125" t="str">
        <f>VLOOKUP(Q600,'GL Category'!A:C,3,FALSE)</f>
        <v>Personnel services</v>
      </c>
      <c r="W600" s="125"/>
    </row>
    <row r="601" spans="1:23" s="83" customFormat="1" ht="20.100000000000001" customHeight="1">
      <c r="A601" s="608" t="s">
        <v>791</v>
      </c>
      <c r="B601" s="608" t="s">
        <v>2511</v>
      </c>
      <c r="C601" s="608" t="s">
        <v>2</v>
      </c>
      <c r="D601" s="609">
        <v>42829.85</v>
      </c>
      <c r="E601" s="609">
        <v>45995.41</v>
      </c>
      <c r="F601" s="609">
        <v>52708.639999999999</v>
      </c>
      <c r="G601" s="609">
        <v>56992.39</v>
      </c>
      <c r="H601" s="609">
        <v>63347</v>
      </c>
      <c r="I601" s="609">
        <v>35756.97</v>
      </c>
      <c r="J601" s="609">
        <v>51447</v>
      </c>
      <c r="K601" s="609">
        <v>63530</v>
      </c>
      <c r="L601" s="609">
        <v>0</v>
      </c>
      <c r="M601" s="609">
        <v>0</v>
      </c>
      <c r="N601" s="587">
        <f t="shared" si="62"/>
        <v>63530</v>
      </c>
      <c r="O601"/>
      <c r="P601" s="490"/>
      <c r="Q601" t="str">
        <f t="shared" si="63"/>
        <v>50650</v>
      </c>
      <c r="R601" s="126" t="str">
        <f t="shared" si="64"/>
        <v>RETIREMENT</v>
      </c>
      <c r="S601" s="125" t="str">
        <f t="shared" si="65"/>
        <v>100</v>
      </c>
      <c r="T601" s="125" t="str">
        <f t="shared" si="66"/>
        <v>20</v>
      </c>
      <c r="U601" s="125" t="str">
        <f t="shared" si="67"/>
        <v>201</v>
      </c>
      <c r="V601" s="125" t="str">
        <f>VLOOKUP(Q601,'GL Category'!A:C,3,FALSE)</f>
        <v>Personnel services</v>
      </c>
      <c r="W601" s="125"/>
    </row>
    <row r="602" spans="1:23" s="83" customFormat="1" ht="20.100000000000001" customHeight="1">
      <c r="A602" s="608" t="s">
        <v>791</v>
      </c>
      <c r="B602" s="608" t="s">
        <v>2512</v>
      </c>
      <c r="C602" s="608" t="s">
        <v>149</v>
      </c>
      <c r="D602" s="609">
        <v>1356.6</v>
      </c>
      <c r="E602" s="609">
        <v>1790.94</v>
      </c>
      <c r="F602" s="609">
        <v>1549.97</v>
      </c>
      <c r="G602" s="609">
        <v>2330.1999999999998</v>
      </c>
      <c r="H602" s="609">
        <v>1700</v>
      </c>
      <c r="I602" s="609">
        <v>674.35</v>
      </c>
      <c r="J602" s="609">
        <v>1000</v>
      </c>
      <c r="K602" s="609">
        <v>1700</v>
      </c>
      <c r="L602" s="609">
        <v>0</v>
      </c>
      <c r="M602" s="609">
        <v>0</v>
      </c>
      <c r="N602" s="587">
        <f t="shared" si="62"/>
        <v>1700</v>
      </c>
      <c r="O602"/>
      <c r="P602" s="490">
        <f>N602-H602</f>
        <v>0</v>
      </c>
      <c r="Q602" t="str">
        <f t="shared" si="63"/>
        <v>51210</v>
      </c>
      <c r="R602" s="126" t="str">
        <f t="shared" si="64"/>
        <v>OFFICE SUPPLIES</v>
      </c>
      <c r="S602" s="125" t="str">
        <f t="shared" si="65"/>
        <v>100</v>
      </c>
      <c r="T602" s="125" t="str">
        <f t="shared" si="66"/>
        <v>20</v>
      </c>
      <c r="U602" s="125" t="str">
        <f t="shared" si="67"/>
        <v>201</v>
      </c>
      <c r="V602" s="125" t="str">
        <f>VLOOKUP(Q602,'GL Category'!A:C,3,FALSE)</f>
        <v>Operations &amp; maintenance</v>
      </c>
      <c r="W602" s="125"/>
    </row>
    <row r="603" spans="1:23" s="83" customFormat="1" ht="20.100000000000001" customHeight="1">
      <c r="A603" s="608" t="s">
        <v>791</v>
      </c>
      <c r="B603" s="608" t="s">
        <v>2512</v>
      </c>
      <c r="C603" s="608" t="s">
        <v>149</v>
      </c>
      <c r="D603" s="609">
        <v>0</v>
      </c>
      <c r="E603" s="609">
        <v>0</v>
      </c>
      <c r="F603" s="609">
        <v>0</v>
      </c>
      <c r="G603" s="609">
        <v>0</v>
      </c>
      <c r="H603" s="609">
        <v>0</v>
      </c>
      <c r="I603" s="609">
        <v>0</v>
      </c>
      <c r="J603" s="609">
        <v>0</v>
      </c>
      <c r="K603" s="609">
        <v>0</v>
      </c>
      <c r="L603" s="609">
        <v>0</v>
      </c>
      <c r="M603" s="609">
        <v>0</v>
      </c>
      <c r="N603" s="587">
        <f t="shared" si="62"/>
        <v>0</v>
      </c>
      <c r="O603"/>
      <c r="P603" s="490">
        <f>N603-H603</f>
        <v>0</v>
      </c>
      <c r="Q603" t="str">
        <f t="shared" si="63"/>
        <v>51210</v>
      </c>
      <c r="R603" s="126" t="str">
        <f t="shared" si="64"/>
        <v>OFFICE SUPPLIES</v>
      </c>
      <c r="S603" s="125" t="str">
        <f t="shared" si="65"/>
        <v>100</v>
      </c>
      <c r="T603" s="125" t="str">
        <f t="shared" si="66"/>
        <v>20</v>
      </c>
      <c r="U603" s="125" t="str">
        <f t="shared" si="67"/>
        <v>201</v>
      </c>
      <c r="V603" s="125" t="str">
        <f>VLOOKUP(Q603,'GL Category'!A:C,3,FALSE)</f>
        <v>Operations &amp; maintenance</v>
      </c>
      <c r="W603" s="125"/>
    </row>
    <row r="604" spans="1:23" s="83" customFormat="1" ht="20.100000000000001" customHeight="1">
      <c r="A604" s="608" t="s">
        <v>791</v>
      </c>
      <c r="B604" s="608" t="s">
        <v>2513</v>
      </c>
      <c r="C604" s="608" t="s">
        <v>234</v>
      </c>
      <c r="D604" s="609">
        <v>0</v>
      </c>
      <c r="E604" s="609">
        <v>0</v>
      </c>
      <c r="F604" s="609">
        <v>0</v>
      </c>
      <c r="G604" s="609">
        <v>0</v>
      </c>
      <c r="H604" s="609">
        <v>0</v>
      </c>
      <c r="I604" s="609">
        <v>0</v>
      </c>
      <c r="J604" s="609">
        <v>0</v>
      </c>
      <c r="K604" s="609">
        <v>0</v>
      </c>
      <c r="L604" s="609">
        <v>0</v>
      </c>
      <c r="M604" s="609">
        <v>0</v>
      </c>
      <c r="N604" s="587">
        <f t="shared" si="62"/>
        <v>0</v>
      </c>
      <c r="O604"/>
      <c r="P604" s="490">
        <f>N604-H604</f>
        <v>0</v>
      </c>
      <c r="Q604" t="str">
        <f t="shared" si="63"/>
        <v>51265</v>
      </c>
      <c r="R604" s="126" t="str">
        <f t="shared" si="64"/>
        <v>STREET SIGN/SIGNAL SUPPLIES</v>
      </c>
      <c r="S604" s="125" t="str">
        <f t="shared" si="65"/>
        <v>100</v>
      </c>
      <c r="T604" s="125" t="str">
        <f t="shared" si="66"/>
        <v>20</v>
      </c>
      <c r="U604" s="125" t="str">
        <f t="shared" si="67"/>
        <v>201</v>
      </c>
      <c r="V604" s="125" t="str">
        <f>VLOOKUP(Q604,'GL Category'!A:C,3,FALSE)</f>
        <v>Operations &amp; maintenance</v>
      </c>
      <c r="W604" s="125"/>
    </row>
    <row r="605" spans="1:23" s="83" customFormat="1" ht="20.100000000000001" customHeight="1">
      <c r="A605" s="608" t="s">
        <v>791</v>
      </c>
      <c r="B605" s="608" t="s">
        <v>2514</v>
      </c>
      <c r="C605" s="608" t="s">
        <v>167</v>
      </c>
      <c r="D605" s="609">
        <v>315.98</v>
      </c>
      <c r="E605" s="609">
        <v>392.73</v>
      </c>
      <c r="F605" s="609">
        <v>435.18</v>
      </c>
      <c r="G605" s="609">
        <v>389.26</v>
      </c>
      <c r="H605" s="609">
        <v>460</v>
      </c>
      <c r="I605" s="609">
        <v>334.11</v>
      </c>
      <c r="J605" s="609">
        <v>460</v>
      </c>
      <c r="K605" s="609">
        <v>460</v>
      </c>
      <c r="L605" s="609">
        <v>0</v>
      </c>
      <c r="M605" s="609">
        <v>0</v>
      </c>
      <c r="N605" s="587">
        <f t="shared" si="62"/>
        <v>460</v>
      </c>
      <c r="O605"/>
      <c r="P605" s="490">
        <f>N605-H605</f>
        <v>0</v>
      </c>
      <c r="Q605" t="str">
        <f t="shared" si="63"/>
        <v>51285</v>
      </c>
      <c r="R605" s="126" t="str">
        <f t="shared" si="64"/>
        <v>WEARING APPAREL</v>
      </c>
      <c r="S605" s="125" t="str">
        <f t="shared" si="65"/>
        <v>100</v>
      </c>
      <c r="T605" s="125" t="str">
        <f t="shared" si="66"/>
        <v>20</v>
      </c>
      <c r="U605" s="125" t="str">
        <f t="shared" si="67"/>
        <v>201</v>
      </c>
      <c r="V605" s="125" t="str">
        <f>VLOOKUP(Q605,'GL Category'!A:C,3,FALSE)</f>
        <v>Operations &amp; maintenance</v>
      </c>
      <c r="W605" s="125"/>
    </row>
    <row r="606" spans="1:23" s="83" customFormat="1" ht="20.100000000000001" customHeight="1">
      <c r="A606" s="608" t="s">
        <v>791</v>
      </c>
      <c r="B606" s="608" t="s">
        <v>2516</v>
      </c>
      <c r="C606" s="608" t="s">
        <v>190</v>
      </c>
      <c r="D606" s="609">
        <v>0</v>
      </c>
      <c r="E606" s="609">
        <v>788.91</v>
      </c>
      <c r="F606" s="609">
        <v>347</v>
      </c>
      <c r="G606" s="609">
        <v>749</v>
      </c>
      <c r="H606" s="609">
        <v>1695</v>
      </c>
      <c r="I606" s="609">
        <v>0</v>
      </c>
      <c r="J606" s="609">
        <v>1000</v>
      </c>
      <c r="K606" s="609">
        <v>1695</v>
      </c>
      <c r="L606" s="609">
        <v>0</v>
      </c>
      <c r="M606" s="609">
        <v>0</v>
      </c>
      <c r="N606" s="587">
        <f t="shared" si="62"/>
        <v>1695</v>
      </c>
      <c r="O606"/>
      <c r="P606" s="490">
        <f>N606-H606</f>
        <v>0</v>
      </c>
      <c r="Q606" t="str">
        <f t="shared" si="63"/>
        <v>53510</v>
      </c>
      <c r="R606" s="126" t="str">
        <f t="shared" si="64"/>
        <v>DUES &amp; SUBSCRIPTIONS</v>
      </c>
      <c r="S606" s="125" t="str">
        <f t="shared" si="65"/>
        <v>100</v>
      </c>
      <c r="T606" s="125" t="str">
        <f t="shared" si="66"/>
        <v>20</v>
      </c>
      <c r="U606" s="125" t="str">
        <f t="shared" si="67"/>
        <v>201</v>
      </c>
      <c r="V606" s="125" t="str">
        <f>VLOOKUP(Q606,'GL Category'!A:C,3,FALSE)</f>
        <v>Services &amp; other</v>
      </c>
      <c r="W606" s="125"/>
    </row>
    <row r="607" spans="1:23" s="83" customFormat="1" ht="20.100000000000001" customHeight="1">
      <c r="A607" s="608" t="s">
        <v>791</v>
      </c>
      <c r="B607" s="608" t="s">
        <v>2518</v>
      </c>
      <c r="C607" s="608" t="s">
        <v>193</v>
      </c>
      <c r="D607" s="609">
        <v>12910</v>
      </c>
      <c r="E607" s="609">
        <v>0</v>
      </c>
      <c r="F607" s="609">
        <v>0</v>
      </c>
      <c r="G607" s="609">
        <v>57500</v>
      </c>
      <c r="H607" s="609">
        <v>15000</v>
      </c>
      <c r="I607" s="609">
        <v>85027.42</v>
      </c>
      <c r="J607" s="609">
        <v>97000</v>
      </c>
      <c r="K607" s="609">
        <v>15000</v>
      </c>
      <c r="L607" s="609">
        <v>0</v>
      </c>
      <c r="M607" s="609">
        <v>0</v>
      </c>
      <c r="N607" s="587">
        <f t="shared" si="62"/>
        <v>15000</v>
      </c>
      <c r="O607"/>
      <c r="P607" s="490"/>
      <c r="Q607" t="str">
        <f t="shared" si="63"/>
        <v>53513</v>
      </c>
      <c r="R607" s="126" t="str">
        <f t="shared" si="64"/>
        <v>CONSULTING SERVICES</v>
      </c>
      <c r="S607" s="125" t="str">
        <f t="shared" si="65"/>
        <v>100</v>
      </c>
      <c r="T607" s="125" t="str">
        <f t="shared" si="66"/>
        <v>20</v>
      </c>
      <c r="U607" s="125" t="str">
        <f t="shared" si="67"/>
        <v>201</v>
      </c>
      <c r="V607" s="125" t="str">
        <f>VLOOKUP(Q607,'GL Category'!A:C,3,FALSE)</f>
        <v>Services &amp; other</v>
      </c>
      <c r="W607" s="125"/>
    </row>
    <row r="608" spans="1:23" s="83" customFormat="1" ht="20.100000000000001" customHeight="1">
      <c r="A608" s="608" t="s">
        <v>791</v>
      </c>
      <c r="B608" s="608" t="s">
        <v>2517</v>
      </c>
      <c r="C608" s="608" t="s">
        <v>191</v>
      </c>
      <c r="D608" s="609">
        <v>4038.61</v>
      </c>
      <c r="E608" s="609">
        <v>1296.05</v>
      </c>
      <c r="F608" s="609">
        <v>5193.2</v>
      </c>
      <c r="G608" s="609">
        <v>9035.99</v>
      </c>
      <c r="H608" s="609">
        <v>15500</v>
      </c>
      <c r="I608" s="609">
        <v>1125.73</v>
      </c>
      <c r="J608" s="609">
        <v>6500</v>
      </c>
      <c r="K608" s="609">
        <v>15500</v>
      </c>
      <c r="L608" s="609">
        <v>0</v>
      </c>
      <c r="M608" s="609">
        <v>0</v>
      </c>
      <c r="N608" s="587">
        <f t="shared" si="62"/>
        <v>15500</v>
      </c>
      <c r="O608"/>
      <c r="P608" s="490"/>
      <c r="Q608" t="str">
        <f t="shared" si="63"/>
        <v>53515</v>
      </c>
      <c r="R608" s="126" t="str">
        <f t="shared" si="64"/>
        <v>TRAVEL, TRAINING &amp; EDUCATION</v>
      </c>
      <c r="S608" s="125" t="str">
        <f t="shared" si="65"/>
        <v>100</v>
      </c>
      <c r="T608" s="125" t="str">
        <f t="shared" si="66"/>
        <v>20</v>
      </c>
      <c r="U608" s="125" t="str">
        <f t="shared" si="67"/>
        <v>201</v>
      </c>
      <c r="V608" s="125" t="str">
        <f>VLOOKUP(Q608,'GL Category'!A:C,3,FALSE)</f>
        <v>Services &amp; other</v>
      </c>
      <c r="W608" s="125"/>
    </row>
    <row r="609" spans="1:23" s="83" customFormat="1" ht="20.100000000000001" customHeight="1">
      <c r="A609" s="608" t="s">
        <v>791</v>
      </c>
      <c r="B609" s="608" t="s">
        <v>2515</v>
      </c>
      <c r="C609" s="608" t="s">
        <v>238</v>
      </c>
      <c r="D609" s="609">
        <v>15282.87</v>
      </c>
      <c r="E609" s="609">
        <v>18492.25</v>
      </c>
      <c r="F609" s="609">
        <v>2.5</v>
      </c>
      <c r="G609" s="609">
        <v>302.44</v>
      </c>
      <c r="H609" s="609">
        <v>0</v>
      </c>
      <c r="I609" s="609">
        <v>0</v>
      </c>
      <c r="J609" s="609">
        <v>0</v>
      </c>
      <c r="K609" s="609">
        <v>0</v>
      </c>
      <c r="L609" s="609">
        <v>0</v>
      </c>
      <c r="M609" s="609">
        <v>0</v>
      </c>
      <c r="N609" s="587">
        <f t="shared" si="62"/>
        <v>0</v>
      </c>
      <c r="O609"/>
      <c r="P609" s="490"/>
      <c r="Q609" t="str">
        <f t="shared" si="63"/>
        <v>53599</v>
      </c>
      <c r="R609" s="126" t="str">
        <f t="shared" si="64"/>
        <v>MISCELLANEOUS SERVICES</v>
      </c>
      <c r="S609" s="125" t="str">
        <f t="shared" si="65"/>
        <v>100</v>
      </c>
      <c r="T609" s="125" t="str">
        <f t="shared" si="66"/>
        <v>20</v>
      </c>
      <c r="U609" s="125" t="str">
        <f t="shared" si="67"/>
        <v>201</v>
      </c>
      <c r="V609" s="125" t="str">
        <f>VLOOKUP(Q609,'GL Category'!A:C,3,FALSE)</f>
        <v>Services &amp; other</v>
      </c>
      <c r="W609" s="125"/>
    </row>
    <row r="610" spans="1:23" s="83" customFormat="1" ht="20.100000000000001" customHeight="1">
      <c r="A610" s="608" t="s">
        <v>791</v>
      </c>
      <c r="B610" s="608" t="s">
        <v>2520</v>
      </c>
      <c r="C610" s="608" t="s">
        <v>221</v>
      </c>
      <c r="D610" s="609">
        <v>55889</v>
      </c>
      <c r="E610" s="609">
        <v>61997</v>
      </c>
      <c r="F610" s="609">
        <v>129759</v>
      </c>
      <c r="G610" s="609">
        <v>315820</v>
      </c>
      <c r="H610" s="609">
        <v>139630</v>
      </c>
      <c r="I610" s="609">
        <v>104722.5</v>
      </c>
      <c r="J610" s="609">
        <v>139630</v>
      </c>
      <c r="K610" s="609">
        <v>137612</v>
      </c>
      <c r="L610" s="609">
        <v>0</v>
      </c>
      <c r="M610" s="609">
        <v>0</v>
      </c>
      <c r="N610" s="587">
        <f t="shared" si="62"/>
        <v>137612</v>
      </c>
      <c r="O610"/>
      <c r="P610" s="490"/>
      <c r="Q610" t="str">
        <f t="shared" si="63"/>
        <v>55119</v>
      </c>
      <c r="R610" s="126" t="str">
        <f t="shared" si="64"/>
        <v>OFFICE EQUIP LEASE EXP-CITY</v>
      </c>
      <c r="S610" s="125" t="str">
        <f t="shared" si="65"/>
        <v>100</v>
      </c>
      <c r="T610" s="125" t="str">
        <f t="shared" si="66"/>
        <v>20</v>
      </c>
      <c r="U610" s="125" t="str">
        <f t="shared" si="67"/>
        <v>201</v>
      </c>
      <c r="V610" s="125" t="str">
        <f>VLOOKUP(Q610,'GL Category'!A:C,3,FALSE)</f>
        <v>Services &amp; other</v>
      </c>
      <c r="W610" s="125"/>
    </row>
    <row r="611" spans="1:23" s="83" customFormat="1" ht="20.100000000000001" customHeight="1">
      <c r="A611" s="608" t="s">
        <v>791</v>
      </c>
      <c r="B611" s="608" t="s">
        <v>2521</v>
      </c>
      <c r="C611" s="608" t="s">
        <v>130</v>
      </c>
      <c r="D611" s="609">
        <v>148506.17000000001</v>
      </c>
      <c r="E611" s="609">
        <v>77384.679999999993</v>
      </c>
      <c r="F611" s="609">
        <v>83689</v>
      </c>
      <c r="G611" s="609">
        <v>82337.84</v>
      </c>
      <c r="H611" s="609">
        <v>59829</v>
      </c>
      <c r="I611" s="609">
        <v>45836.92</v>
      </c>
      <c r="J611" s="609">
        <v>60171</v>
      </c>
      <c r="K611" s="609">
        <v>62224</v>
      </c>
      <c r="L611" s="609">
        <v>0</v>
      </c>
      <c r="M611" s="609">
        <v>0</v>
      </c>
      <c r="N611" s="587">
        <f t="shared" si="62"/>
        <v>62224</v>
      </c>
      <c r="O611"/>
      <c r="P611" s="490"/>
      <c r="Q611" t="str">
        <f t="shared" si="63"/>
        <v>50101</v>
      </c>
      <c r="R611" s="126" t="str">
        <f t="shared" si="64"/>
        <v>EXEMPT SALARIES</v>
      </c>
      <c r="S611" s="125" t="str">
        <f t="shared" si="65"/>
        <v>100</v>
      </c>
      <c r="T611" s="125" t="str">
        <f t="shared" si="66"/>
        <v>20</v>
      </c>
      <c r="U611" s="125" t="str">
        <f t="shared" si="67"/>
        <v>204</v>
      </c>
      <c r="V611" s="125" t="str">
        <f>VLOOKUP(Q611,'GL Category'!A:C,3,FALSE)</f>
        <v>Personnel services</v>
      </c>
      <c r="W611" s="125"/>
    </row>
    <row r="612" spans="1:23" s="83" customFormat="1" ht="20.100000000000001" customHeight="1">
      <c r="A612" s="608" t="s">
        <v>791</v>
      </c>
      <c r="B612" s="608" t="s">
        <v>2522</v>
      </c>
      <c r="C612" s="608" t="s">
        <v>132</v>
      </c>
      <c r="D612" s="609">
        <v>216448.2</v>
      </c>
      <c r="E612" s="609">
        <v>151747.97</v>
      </c>
      <c r="F612" s="609">
        <v>145798.29999999999</v>
      </c>
      <c r="G612" s="609">
        <v>165558.01999999999</v>
      </c>
      <c r="H612" s="609">
        <v>178279</v>
      </c>
      <c r="I612" s="609">
        <v>136742.44</v>
      </c>
      <c r="J612" s="609">
        <v>179107</v>
      </c>
      <c r="K612" s="609">
        <v>185273</v>
      </c>
      <c r="L612" s="609">
        <v>0</v>
      </c>
      <c r="M612" s="609">
        <v>0</v>
      </c>
      <c r="N612" s="587">
        <f t="shared" si="62"/>
        <v>185273</v>
      </c>
      <c r="O612"/>
      <c r="P612" s="490"/>
      <c r="Q612" t="str">
        <f t="shared" si="63"/>
        <v>50102</v>
      </c>
      <c r="R612" s="126" t="str">
        <f t="shared" si="64"/>
        <v>NON EXEMPT SALARIES</v>
      </c>
      <c r="S612" s="125" t="str">
        <f t="shared" si="65"/>
        <v>100</v>
      </c>
      <c r="T612" s="125" t="str">
        <f t="shared" si="66"/>
        <v>20</v>
      </c>
      <c r="U612" s="125" t="str">
        <f t="shared" si="67"/>
        <v>204</v>
      </c>
      <c r="V612" s="125" t="str">
        <f>VLOOKUP(Q612,'GL Category'!A:C,3,FALSE)</f>
        <v>Personnel services</v>
      </c>
      <c r="W612" s="125"/>
    </row>
    <row r="613" spans="1:23" s="83" customFormat="1" ht="20.100000000000001" customHeight="1">
      <c r="A613" s="608" t="s">
        <v>791</v>
      </c>
      <c r="B613" s="608" t="s">
        <v>2523</v>
      </c>
      <c r="C613" s="608" t="s">
        <v>0</v>
      </c>
      <c r="D613" s="609">
        <v>6752.33</v>
      </c>
      <c r="E613" s="609">
        <v>2544.1999999999998</v>
      </c>
      <c r="F613" s="609">
        <v>2370.5700000000002</v>
      </c>
      <c r="G613" s="609">
        <v>2606.85</v>
      </c>
      <c r="H613" s="609">
        <v>2782</v>
      </c>
      <c r="I613" s="609">
        <v>979.82</v>
      </c>
      <c r="J613" s="609">
        <v>1372</v>
      </c>
      <c r="K613" s="609">
        <v>2782</v>
      </c>
      <c r="L613" s="609">
        <v>0</v>
      </c>
      <c r="M613" s="609">
        <v>0</v>
      </c>
      <c r="N613" s="587">
        <f t="shared" si="62"/>
        <v>2782</v>
      </c>
      <c r="O613"/>
      <c r="P613" s="490"/>
      <c r="Q613" t="str">
        <f t="shared" si="63"/>
        <v>50109</v>
      </c>
      <c r="R613" s="126" t="str">
        <f t="shared" si="64"/>
        <v>OVERTIME</v>
      </c>
      <c r="S613" s="125" t="str">
        <f t="shared" si="65"/>
        <v>100</v>
      </c>
      <c r="T613" s="125" t="str">
        <f t="shared" si="66"/>
        <v>20</v>
      </c>
      <c r="U613" s="125" t="str">
        <f t="shared" si="67"/>
        <v>204</v>
      </c>
      <c r="V613" s="125" t="str">
        <f>VLOOKUP(Q613,'GL Category'!A:C,3,FALSE)</f>
        <v>Personnel services</v>
      </c>
      <c r="W613" s="125"/>
    </row>
    <row r="614" spans="1:23" s="83" customFormat="1" ht="20.100000000000001" customHeight="1">
      <c r="A614" s="608" t="s">
        <v>791</v>
      </c>
      <c r="B614" s="608" t="s">
        <v>2525</v>
      </c>
      <c r="C614" s="608" t="s">
        <v>137</v>
      </c>
      <c r="D614" s="609">
        <v>2870</v>
      </c>
      <c r="E614" s="609">
        <v>660</v>
      </c>
      <c r="F614" s="609">
        <v>925</v>
      </c>
      <c r="G614" s="609">
        <v>1165</v>
      </c>
      <c r="H614" s="609">
        <v>1068</v>
      </c>
      <c r="I614" s="609">
        <v>1050</v>
      </c>
      <c r="J614" s="609">
        <v>1050</v>
      </c>
      <c r="K614" s="609">
        <v>1402</v>
      </c>
      <c r="L614" s="609">
        <v>0</v>
      </c>
      <c r="M614" s="609">
        <v>0</v>
      </c>
      <c r="N614" s="587">
        <f t="shared" si="62"/>
        <v>1402</v>
      </c>
      <c r="O614"/>
      <c r="P614" s="490"/>
      <c r="Q614" t="str">
        <f t="shared" si="63"/>
        <v>50111</v>
      </c>
      <c r="R614" s="126" t="str">
        <f t="shared" si="64"/>
        <v>LONGEVITY PAY</v>
      </c>
      <c r="S614" s="125" t="str">
        <f t="shared" si="65"/>
        <v>100</v>
      </c>
      <c r="T614" s="125" t="str">
        <f t="shared" si="66"/>
        <v>20</v>
      </c>
      <c r="U614" s="125" t="str">
        <f t="shared" si="67"/>
        <v>204</v>
      </c>
      <c r="V614" s="125" t="str">
        <f>VLOOKUP(Q614,'GL Category'!A:C,3,FALSE)</f>
        <v>Personnel services</v>
      </c>
      <c r="W614" s="125"/>
    </row>
    <row r="615" spans="1:23" s="83" customFormat="1" ht="20.100000000000001" customHeight="1">
      <c r="A615" s="608" t="s">
        <v>791</v>
      </c>
      <c r="B615" s="608" t="s">
        <v>2527</v>
      </c>
      <c r="C615" s="608" t="s">
        <v>1</v>
      </c>
      <c r="D615" s="609">
        <v>26544.53</v>
      </c>
      <c r="E615" s="609">
        <v>16400.509999999998</v>
      </c>
      <c r="F615" s="609">
        <v>16673.95</v>
      </c>
      <c r="G615" s="609">
        <v>16893.810000000001</v>
      </c>
      <c r="H615" s="609">
        <v>18600</v>
      </c>
      <c r="I615" s="609">
        <v>13769.29</v>
      </c>
      <c r="J615" s="609">
        <v>18230</v>
      </c>
      <c r="K615" s="609">
        <v>19330</v>
      </c>
      <c r="L615" s="609">
        <v>0</v>
      </c>
      <c r="M615" s="609">
        <v>0</v>
      </c>
      <c r="N615" s="587">
        <f t="shared" si="62"/>
        <v>19330</v>
      </c>
      <c r="O615"/>
      <c r="P615" s="490"/>
      <c r="Q615" t="str">
        <f t="shared" si="63"/>
        <v>50610</v>
      </c>
      <c r="R615" s="126" t="str">
        <f t="shared" si="64"/>
        <v>SOCIAL SECURITY</v>
      </c>
      <c r="S615" s="125" t="str">
        <f t="shared" si="65"/>
        <v>100</v>
      </c>
      <c r="T615" s="125" t="str">
        <f t="shared" si="66"/>
        <v>20</v>
      </c>
      <c r="U615" s="125" t="str">
        <f t="shared" si="67"/>
        <v>204</v>
      </c>
      <c r="V615" s="125" t="str">
        <f>VLOOKUP(Q615,'GL Category'!A:C,3,FALSE)</f>
        <v>Personnel services</v>
      </c>
      <c r="W615" s="125"/>
    </row>
    <row r="616" spans="1:23" s="83" customFormat="1" ht="20.100000000000001" customHeight="1">
      <c r="A616" s="608" t="s">
        <v>791</v>
      </c>
      <c r="B616" s="608" t="s">
        <v>2528</v>
      </c>
      <c r="C616" s="608" t="s">
        <v>142</v>
      </c>
      <c r="D616" s="609">
        <v>106465.06</v>
      </c>
      <c r="E616" s="609">
        <v>76242.320000000007</v>
      </c>
      <c r="F616" s="609">
        <v>64089.9</v>
      </c>
      <c r="G616" s="609">
        <v>65547.62</v>
      </c>
      <c r="H616" s="609">
        <v>62837</v>
      </c>
      <c r="I616" s="609">
        <v>40519.629999999997</v>
      </c>
      <c r="J616" s="609">
        <v>54655</v>
      </c>
      <c r="K616" s="609">
        <v>52779</v>
      </c>
      <c r="L616" s="609">
        <v>0</v>
      </c>
      <c r="M616" s="609">
        <v>0</v>
      </c>
      <c r="N616" s="587">
        <f t="shared" si="62"/>
        <v>52779</v>
      </c>
      <c r="O616"/>
      <c r="P616" s="490"/>
      <c r="Q616" t="str">
        <f t="shared" si="63"/>
        <v>50620</v>
      </c>
      <c r="R616" s="126" t="str">
        <f t="shared" si="64"/>
        <v>HEALTH/LIFE INSURANCE</v>
      </c>
      <c r="S616" s="125" t="str">
        <f t="shared" si="65"/>
        <v>100</v>
      </c>
      <c r="T616" s="125" t="str">
        <f t="shared" si="66"/>
        <v>20</v>
      </c>
      <c r="U616" s="125" t="str">
        <f t="shared" si="67"/>
        <v>204</v>
      </c>
      <c r="V616" s="125" t="str">
        <f>VLOOKUP(Q616,'GL Category'!A:C,3,FALSE)</f>
        <v>Personnel services</v>
      </c>
      <c r="W616" s="125"/>
    </row>
    <row r="617" spans="1:23" s="83" customFormat="1" ht="20.100000000000001" customHeight="1">
      <c r="A617" s="608" t="s">
        <v>791</v>
      </c>
      <c r="B617" s="608" t="s">
        <v>2529</v>
      </c>
      <c r="C617" s="608" t="s">
        <v>144</v>
      </c>
      <c r="D617" s="609">
        <v>467.26</v>
      </c>
      <c r="E617" s="609">
        <v>178.69</v>
      </c>
      <c r="F617" s="609">
        <v>253.05</v>
      </c>
      <c r="G617" s="609">
        <v>464.02</v>
      </c>
      <c r="H617" s="609">
        <v>427</v>
      </c>
      <c r="I617" s="609">
        <v>426.65</v>
      </c>
      <c r="J617" s="609">
        <v>427</v>
      </c>
      <c r="K617" s="609">
        <v>429</v>
      </c>
      <c r="L617" s="609">
        <v>0</v>
      </c>
      <c r="M617" s="609">
        <v>0</v>
      </c>
      <c r="N617" s="587">
        <f t="shared" si="62"/>
        <v>429</v>
      </c>
      <c r="O617"/>
      <c r="P617" s="490"/>
      <c r="Q617" t="str">
        <f t="shared" si="63"/>
        <v>50630</v>
      </c>
      <c r="R617" s="126" t="str">
        <f t="shared" si="64"/>
        <v>WORKER COMPENSATION</v>
      </c>
      <c r="S617" s="125" t="str">
        <f t="shared" si="65"/>
        <v>100</v>
      </c>
      <c r="T617" s="125" t="str">
        <f t="shared" si="66"/>
        <v>20</v>
      </c>
      <c r="U617" s="125" t="str">
        <f t="shared" si="67"/>
        <v>204</v>
      </c>
      <c r="V617" s="125" t="str">
        <f>VLOOKUP(Q617,'GL Category'!A:C,3,FALSE)</f>
        <v>Personnel services</v>
      </c>
      <c r="W617" s="125"/>
    </row>
    <row r="618" spans="1:23" s="83" customFormat="1" ht="20.100000000000001" customHeight="1">
      <c r="A618" s="608" t="s">
        <v>791</v>
      </c>
      <c r="B618" s="608" t="s">
        <v>2530</v>
      </c>
      <c r="C618" s="608" t="s">
        <v>2</v>
      </c>
      <c r="D618" s="609">
        <v>59800.5</v>
      </c>
      <c r="E618" s="609">
        <v>37249.769999999997</v>
      </c>
      <c r="F618" s="609">
        <v>37687.51</v>
      </c>
      <c r="G618" s="609">
        <v>37062.629999999997</v>
      </c>
      <c r="H618" s="609">
        <v>40122</v>
      </c>
      <c r="I618" s="609">
        <v>30568.07</v>
      </c>
      <c r="J618" s="609">
        <v>40145</v>
      </c>
      <c r="K618" s="609">
        <v>42739</v>
      </c>
      <c r="L618" s="609">
        <v>0</v>
      </c>
      <c r="M618" s="609">
        <v>0</v>
      </c>
      <c r="N618" s="587">
        <f t="shared" si="62"/>
        <v>42739</v>
      </c>
      <c r="O618"/>
      <c r="P618" s="490"/>
      <c r="Q618" t="str">
        <f t="shared" si="63"/>
        <v>50650</v>
      </c>
      <c r="R618" s="126" t="str">
        <f t="shared" si="64"/>
        <v>RETIREMENT</v>
      </c>
      <c r="S618" s="125" t="str">
        <f t="shared" si="65"/>
        <v>100</v>
      </c>
      <c r="T618" s="125" t="str">
        <f t="shared" si="66"/>
        <v>20</v>
      </c>
      <c r="U618" s="125" t="str">
        <f t="shared" si="67"/>
        <v>204</v>
      </c>
      <c r="V618" s="125" t="str">
        <f>VLOOKUP(Q618,'GL Category'!A:C,3,FALSE)</f>
        <v>Personnel services</v>
      </c>
      <c r="W618" s="125"/>
    </row>
    <row r="619" spans="1:23" s="83" customFormat="1" ht="20.100000000000001" customHeight="1">
      <c r="A619" s="608" t="s">
        <v>791</v>
      </c>
      <c r="B619" s="608" t="s">
        <v>2531</v>
      </c>
      <c r="C619" s="608" t="s">
        <v>149</v>
      </c>
      <c r="D619" s="609">
        <v>3743.73</v>
      </c>
      <c r="E619" s="609">
        <v>2211.46</v>
      </c>
      <c r="F619" s="609">
        <v>1403.43</v>
      </c>
      <c r="G619" s="609">
        <v>2012.3</v>
      </c>
      <c r="H619" s="609">
        <v>2500</v>
      </c>
      <c r="I619" s="609">
        <v>725.88</v>
      </c>
      <c r="J619" s="609">
        <v>1500</v>
      </c>
      <c r="K619" s="609">
        <v>2500</v>
      </c>
      <c r="L619" s="609">
        <v>0</v>
      </c>
      <c r="M619" s="609">
        <v>0</v>
      </c>
      <c r="N619" s="587">
        <f t="shared" si="62"/>
        <v>2500</v>
      </c>
      <c r="O619"/>
      <c r="P619" s="490"/>
      <c r="Q619" t="str">
        <f t="shared" si="63"/>
        <v>51210</v>
      </c>
      <c r="R619" s="126" t="str">
        <f t="shared" si="64"/>
        <v>OFFICE SUPPLIES</v>
      </c>
      <c r="S619" s="125" t="str">
        <f t="shared" si="65"/>
        <v>100</v>
      </c>
      <c r="T619" s="125" t="str">
        <f t="shared" si="66"/>
        <v>20</v>
      </c>
      <c r="U619" s="125" t="str">
        <f t="shared" si="67"/>
        <v>204</v>
      </c>
      <c r="V619" s="125" t="str">
        <f>VLOOKUP(Q619,'GL Category'!A:C,3,FALSE)</f>
        <v>Operations &amp; maintenance</v>
      </c>
      <c r="W619" s="125"/>
    </row>
    <row r="620" spans="1:23" s="83" customFormat="1" ht="20.100000000000001" customHeight="1">
      <c r="A620" s="608" t="s">
        <v>791</v>
      </c>
      <c r="B620" s="608" t="s">
        <v>2531</v>
      </c>
      <c r="C620" s="608" t="s">
        <v>149</v>
      </c>
      <c r="D620" s="609">
        <v>0</v>
      </c>
      <c r="E620" s="609">
        <v>0</v>
      </c>
      <c r="F620" s="609">
        <v>0</v>
      </c>
      <c r="G620" s="609">
        <v>0</v>
      </c>
      <c r="H620" s="609">
        <v>0</v>
      </c>
      <c r="I620" s="609">
        <v>0</v>
      </c>
      <c r="J620" s="609">
        <v>0</v>
      </c>
      <c r="K620" s="609">
        <v>0</v>
      </c>
      <c r="L620" s="609">
        <v>0</v>
      </c>
      <c r="M620" s="609">
        <v>0</v>
      </c>
      <c r="N620" s="587">
        <f t="shared" si="62"/>
        <v>0</v>
      </c>
      <c r="O620"/>
      <c r="P620" s="490"/>
      <c r="Q620" t="str">
        <f t="shared" si="63"/>
        <v>51210</v>
      </c>
      <c r="R620" s="126" t="str">
        <f t="shared" si="64"/>
        <v>OFFICE SUPPLIES</v>
      </c>
      <c r="S620" s="125" t="str">
        <f t="shared" si="65"/>
        <v>100</v>
      </c>
      <c r="T620" s="125" t="str">
        <f t="shared" si="66"/>
        <v>20</v>
      </c>
      <c r="U620" s="125" t="str">
        <f t="shared" si="67"/>
        <v>204</v>
      </c>
      <c r="V620" s="125" t="str">
        <f>VLOOKUP(Q620,'GL Category'!A:C,3,FALSE)</f>
        <v>Operations &amp; maintenance</v>
      </c>
      <c r="W620" s="125"/>
    </row>
    <row r="621" spans="1:23" s="83" customFormat="1" ht="20.399999999999999" customHeight="1">
      <c r="A621" s="608" t="s">
        <v>791</v>
      </c>
      <c r="B621" s="608" t="s">
        <v>2532</v>
      </c>
      <c r="C621" s="608" t="s">
        <v>4</v>
      </c>
      <c r="D621" s="609">
        <v>12.99</v>
      </c>
      <c r="E621" s="609">
        <v>0</v>
      </c>
      <c r="F621" s="609">
        <v>0</v>
      </c>
      <c r="G621" s="609">
        <v>0</v>
      </c>
      <c r="H621" s="609">
        <v>0</v>
      </c>
      <c r="I621" s="609">
        <v>0</v>
      </c>
      <c r="J621" s="609">
        <v>0</v>
      </c>
      <c r="K621" s="609">
        <v>0</v>
      </c>
      <c r="L621" s="609">
        <v>0</v>
      </c>
      <c r="M621" s="609">
        <v>0</v>
      </c>
      <c r="N621" s="587">
        <f t="shared" si="62"/>
        <v>0</v>
      </c>
      <c r="O621"/>
      <c r="P621" s="490">
        <f t="shared" ref="P621:P627" si="68">N621-H621</f>
        <v>0</v>
      </c>
      <c r="Q621" t="str">
        <f t="shared" si="63"/>
        <v>51245</v>
      </c>
      <c r="R621" s="126" t="str">
        <f t="shared" si="64"/>
        <v>SMALL TOOLS &amp; EQUIPMENT</v>
      </c>
      <c r="S621" s="125" t="str">
        <f t="shared" si="65"/>
        <v>100</v>
      </c>
      <c r="T621" s="125" t="str">
        <f t="shared" si="66"/>
        <v>20</v>
      </c>
      <c r="U621" s="125" t="str">
        <f t="shared" si="67"/>
        <v>204</v>
      </c>
      <c r="V621" s="125" t="str">
        <f>VLOOKUP(Q621,'GL Category'!A:C,3,FALSE)</f>
        <v>Operations &amp; maintenance</v>
      </c>
      <c r="W621" s="125"/>
    </row>
    <row r="622" spans="1:23" s="83" customFormat="1" ht="20.399999999999999" customHeight="1">
      <c r="A622" s="608" t="s">
        <v>791</v>
      </c>
      <c r="B622" s="608" t="s">
        <v>2533</v>
      </c>
      <c r="C622" s="608" t="s">
        <v>161</v>
      </c>
      <c r="D622" s="609">
        <v>1140.6400000000001</v>
      </c>
      <c r="E622" s="609">
        <v>-1.8</v>
      </c>
      <c r="F622" s="609">
        <v>87.99</v>
      </c>
      <c r="G622" s="609">
        <v>138.55000000000001</v>
      </c>
      <c r="H622" s="609">
        <v>800</v>
      </c>
      <c r="I622" s="609">
        <v>0</v>
      </c>
      <c r="J622" s="609">
        <v>1600</v>
      </c>
      <c r="K622" s="609">
        <v>800</v>
      </c>
      <c r="L622" s="609">
        <v>0</v>
      </c>
      <c r="M622" s="609">
        <v>0</v>
      </c>
      <c r="N622" s="587">
        <f t="shared" si="62"/>
        <v>800</v>
      </c>
      <c r="O622"/>
      <c r="P622" s="490">
        <f t="shared" si="68"/>
        <v>0</v>
      </c>
      <c r="Q622" t="str">
        <f t="shared" si="63"/>
        <v>51255</v>
      </c>
      <c r="R622" s="126" t="str">
        <f t="shared" si="64"/>
        <v>FUEL/OILS/LUBRICANTS</v>
      </c>
      <c r="S622" s="125" t="str">
        <f t="shared" si="65"/>
        <v>100</v>
      </c>
      <c r="T622" s="125" t="str">
        <f t="shared" si="66"/>
        <v>20</v>
      </c>
      <c r="U622" s="125" t="str">
        <f t="shared" si="67"/>
        <v>204</v>
      </c>
      <c r="V622" s="125" t="str">
        <f>VLOOKUP(Q622,'GL Category'!A:C,3,FALSE)</f>
        <v>Operations &amp; maintenance</v>
      </c>
      <c r="W622" s="125"/>
    </row>
    <row r="623" spans="1:23" s="83" customFormat="1" ht="20.399999999999999" customHeight="1">
      <c r="A623" s="608" t="s">
        <v>791</v>
      </c>
      <c r="B623" s="608" t="s">
        <v>2534</v>
      </c>
      <c r="C623" s="608" t="s">
        <v>167</v>
      </c>
      <c r="D623" s="609">
        <v>761.81</v>
      </c>
      <c r="E623" s="609">
        <v>387.53</v>
      </c>
      <c r="F623" s="609">
        <v>366.6</v>
      </c>
      <c r="G623" s="609">
        <v>364.28</v>
      </c>
      <c r="H623" s="609">
        <v>395</v>
      </c>
      <c r="I623" s="609">
        <v>310.51</v>
      </c>
      <c r="J623" s="609">
        <v>395</v>
      </c>
      <c r="K623" s="609">
        <v>395</v>
      </c>
      <c r="L623" s="609">
        <v>0</v>
      </c>
      <c r="M623" s="609">
        <v>0</v>
      </c>
      <c r="N623" s="587">
        <f t="shared" si="62"/>
        <v>395</v>
      </c>
      <c r="O623"/>
      <c r="P623" s="490">
        <f t="shared" si="68"/>
        <v>0</v>
      </c>
      <c r="Q623" t="str">
        <f t="shared" si="63"/>
        <v>51285</v>
      </c>
      <c r="R623" s="126" t="str">
        <f t="shared" si="64"/>
        <v>WEARING APPAREL</v>
      </c>
      <c r="S623" s="125" t="str">
        <f t="shared" si="65"/>
        <v>100</v>
      </c>
      <c r="T623" s="125" t="str">
        <f t="shared" si="66"/>
        <v>20</v>
      </c>
      <c r="U623" s="125" t="str">
        <f t="shared" si="67"/>
        <v>204</v>
      </c>
      <c r="V623" s="125" t="str">
        <f>VLOOKUP(Q623,'GL Category'!A:C,3,FALSE)</f>
        <v>Operations &amp; maintenance</v>
      </c>
      <c r="W623" s="125"/>
    </row>
    <row r="624" spans="1:23" s="83" customFormat="1" ht="20.399999999999999" customHeight="1">
      <c r="A624" s="608" t="s">
        <v>791</v>
      </c>
      <c r="B624" s="608" t="s">
        <v>2535</v>
      </c>
      <c r="C624" s="608" t="s">
        <v>241</v>
      </c>
      <c r="D624" s="609">
        <v>43.68</v>
      </c>
      <c r="E624" s="609">
        <v>94.04</v>
      </c>
      <c r="F624" s="609">
        <v>14</v>
      </c>
      <c r="G624" s="609">
        <v>0</v>
      </c>
      <c r="H624" s="609">
        <v>250</v>
      </c>
      <c r="I624" s="609">
        <v>0</v>
      </c>
      <c r="J624" s="609">
        <v>250</v>
      </c>
      <c r="K624" s="609">
        <v>250</v>
      </c>
      <c r="L624" s="609">
        <v>0</v>
      </c>
      <c r="M624" s="609">
        <v>0</v>
      </c>
      <c r="N624" s="587">
        <f t="shared" si="62"/>
        <v>250</v>
      </c>
      <c r="O624"/>
      <c r="P624" s="490">
        <f t="shared" si="68"/>
        <v>0</v>
      </c>
      <c r="Q624" t="str">
        <f t="shared" si="63"/>
        <v>52460</v>
      </c>
      <c r="R624" s="126" t="str">
        <f t="shared" si="64"/>
        <v>VEHICLE MAINTENANCE</v>
      </c>
      <c r="S624" s="125" t="str">
        <f t="shared" si="65"/>
        <v>100</v>
      </c>
      <c r="T624" s="125" t="str">
        <f t="shared" si="66"/>
        <v>20</v>
      </c>
      <c r="U624" s="125" t="str">
        <f t="shared" si="67"/>
        <v>204</v>
      </c>
      <c r="V624" s="125" t="str">
        <f>VLOOKUP(Q624,'GL Category'!A:C,3,FALSE)</f>
        <v>Operations &amp; maintenance</v>
      </c>
      <c r="W624" s="125"/>
    </row>
    <row r="625" spans="1:24" s="526" customFormat="1" ht="20.399999999999999" customHeight="1">
      <c r="A625" s="608" t="s">
        <v>791</v>
      </c>
      <c r="B625" s="608" t="s">
        <v>2537</v>
      </c>
      <c r="C625" s="608" t="s">
        <v>190</v>
      </c>
      <c r="D625" s="609">
        <v>454</v>
      </c>
      <c r="E625" s="609">
        <v>574.01</v>
      </c>
      <c r="F625" s="609">
        <v>197.9</v>
      </c>
      <c r="G625" s="609">
        <v>245</v>
      </c>
      <c r="H625" s="609">
        <v>485</v>
      </c>
      <c r="I625" s="609">
        <v>0</v>
      </c>
      <c r="J625" s="609">
        <v>485</v>
      </c>
      <c r="K625" s="609">
        <v>485</v>
      </c>
      <c r="L625" s="609">
        <v>0</v>
      </c>
      <c r="M625" s="609">
        <v>0</v>
      </c>
      <c r="N625" s="587">
        <f t="shared" si="62"/>
        <v>485</v>
      </c>
      <c r="O625"/>
      <c r="P625" s="490">
        <f t="shared" si="68"/>
        <v>0</v>
      </c>
      <c r="Q625" t="str">
        <f t="shared" si="63"/>
        <v>53510</v>
      </c>
      <c r="R625" s="525" t="str">
        <f t="shared" si="64"/>
        <v>DUES &amp; SUBSCRIPTIONS</v>
      </c>
      <c r="S625" s="523" t="str">
        <f t="shared" si="65"/>
        <v>100</v>
      </c>
      <c r="T625" s="125" t="str">
        <f t="shared" si="66"/>
        <v>20</v>
      </c>
      <c r="U625" s="125" t="str">
        <f t="shared" si="67"/>
        <v>204</v>
      </c>
      <c r="V625" s="523" t="str">
        <f>VLOOKUP(Q625,'GL Category'!A:C,3,FALSE)</f>
        <v>Services &amp; other</v>
      </c>
      <c r="W625" s="523"/>
      <c r="X625" s="83"/>
    </row>
    <row r="626" spans="1:24" s="83" customFormat="1" ht="20.399999999999999" customHeight="1">
      <c r="A626" s="608" t="s">
        <v>791</v>
      </c>
      <c r="B626" s="608" t="s">
        <v>2539</v>
      </c>
      <c r="C626" s="608" t="s">
        <v>193</v>
      </c>
      <c r="D626" s="609">
        <v>178045.42</v>
      </c>
      <c r="E626" s="609">
        <v>239517.31</v>
      </c>
      <c r="F626" s="609">
        <v>218271.35</v>
      </c>
      <c r="G626" s="609">
        <v>182748.08</v>
      </c>
      <c r="H626" s="609">
        <v>250000</v>
      </c>
      <c r="I626" s="609">
        <v>134133.53</v>
      </c>
      <c r="J626" s="609">
        <v>190000</v>
      </c>
      <c r="K626" s="609">
        <v>250000</v>
      </c>
      <c r="L626" s="609">
        <v>0</v>
      </c>
      <c r="M626" s="609">
        <v>0</v>
      </c>
      <c r="N626" s="587">
        <f t="shared" si="62"/>
        <v>250000</v>
      </c>
      <c r="O626"/>
      <c r="P626" s="490">
        <f t="shared" si="68"/>
        <v>0</v>
      </c>
      <c r="Q626" t="str">
        <f t="shared" si="63"/>
        <v>53513</v>
      </c>
      <c r="R626" s="126" t="str">
        <f t="shared" si="64"/>
        <v>CONSULTING SERVICES</v>
      </c>
      <c r="S626" s="125" t="str">
        <f t="shared" si="65"/>
        <v>100</v>
      </c>
      <c r="T626" s="125" t="str">
        <f t="shared" si="66"/>
        <v>20</v>
      </c>
      <c r="U626" s="125" t="str">
        <f t="shared" si="67"/>
        <v>204</v>
      </c>
      <c r="V626" s="125" t="str">
        <f>VLOOKUP(Q626,'GL Category'!A:C,3,FALSE)</f>
        <v>Services &amp; other</v>
      </c>
      <c r="W626" s="125"/>
    </row>
    <row r="627" spans="1:24" s="83" customFormat="1" ht="20.399999999999999" customHeight="1">
      <c r="A627" s="608" t="s">
        <v>791</v>
      </c>
      <c r="B627" s="608" t="s">
        <v>2538</v>
      </c>
      <c r="C627" s="608" t="s">
        <v>191</v>
      </c>
      <c r="D627" s="609">
        <v>7132.79</v>
      </c>
      <c r="E627" s="609">
        <v>5446.82</v>
      </c>
      <c r="F627" s="609">
        <v>6697.51</v>
      </c>
      <c r="G627" s="609">
        <v>2084.17</v>
      </c>
      <c r="H627" s="609">
        <v>7500</v>
      </c>
      <c r="I627" s="609">
        <v>3732.59</v>
      </c>
      <c r="J627" s="609">
        <v>2500</v>
      </c>
      <c r="K627" s="609">
        <v>7500</v>
      </c>
      <c r="L627" s="609">
        <v>0</v>
      </c>
      <c r="M627" s="609">
        <v>0</v>
      </c>
      <c r="N627" s="587">
        <f t="shared" si="62"/>
        <v>7500</v>
      </c>
      <c r="O627"/>
      <c r="P627" s="490">
        <f t="shared" si="68"/>
        <v>0</v>
      </c>
      <c r="Q627" t="str">
        <f t="shared" si="63"/>
        <v>53515</v>
      </c>
      <c r="R627" s="126" t="str">
        <f t="shared" si="64"/>
        <v>TRAVEL, TRAINING &amp; EDUCATION</v>
      </c>
      <c r="S627" s="125" t="str">
        <f t="shared" si="65"/>
        <v>100</v>
      </c>
      <c r="T627" s="125" t="str">
        <f t="shared" si="66"/>
        <v>20</v>
      </c>
      <c r="U627" s="125" t="str">
        <f t="shared" si="67"/>
        <v>204</v>
      </c>
      <c r="V627" s="125" t="str">
        <f>VLOOKUP(Q627,'GL Category'!A:C,3,FALSE)</f>
        <v>Services &amp; other</v>
      </c>
      <c r="W627" s="125"/>
    </row>
    <row r="628" spans="1:24" s="541" customFormat="1" ht="20.399999999999999" customHeight="1">
      <c r="A628" s="608" t="s">
        <v>791</v>
      </c>
      <c r="B628" s="608" t="s">
        <v>2540</v>
      </c>
      <c r="C628" s="608" t="s">
        <v>219</v>
      </c>
      <c r="D628" s="609">
        <v>12815.63</v>
      </c>
      <c r="E628" s="609">
        <v>28429.64</v>
      </c>
      <c r="F628" s="609">
        <v>32859.31</v>
      </c>
      <c r="G628" s="609">
        <v>30348.81</v>
      </c>
      <c r="H628" s="609">
        <v>35000</v>
      </c>
      <c r="I628" s="609">
        <v>33203.43</v>
      </c>
      <c r="J628" s="609">
        <v>35000</v>
      </c>
      <c r="K628" s="609">
        <v>35000</v>
      </c>
      <c r="L628" s="609">
        <v>0</v>
      </c>
      <c r="M628" s="609">
        <v>0</v>
      </c>
      <c r="N628" s="587">
        <f t="shared" si="62"/>
        <v>35000</v>
      </c>
      <c r="O628"/>
      <c r="P628" s="490"/>
      <c r="Q628" t="str">
        <f t="shared" si="63"/>
        <v>53585</v>
      </c>
      <c r="R628" s="540" t="str">
        <f t="shared" si="64"/>
        <v>BANKING SERVICES CHARGES</v>
      </c>
      <c r="S628" s="538" t="str">
        <f t="shared" si="65"/>
        <v>100</v>
      </c>
      <c r="T628" s="125" t="str">
        <f t="shared" si="66"/>
        <v>20</v>
      </c>
      <c r="U628" s="125" t="str">
        <f t="shared" si="67"/>
        <v>204</v>
      </c>
      <c r="V628" s="538" t="str">
        <f>VLOOKUP(Q628,'GL Category'!A:C,3,FALSE)</f>
        <v>Services &amp; other</v>
      </c>
      <c r="W628" s="538"/>
      <c r="X628" s="83"/>
    </row>
    <row r="629" spans="1:24" s="83" customFormat="1" ht="20.399999999999999" customHeight="1">
      <c r="A629" s="608" t="s">
        <v>791</v>
      </c>
      <c r="B629" s="608" t="s">
        <v>2536</v>
      </c>
      <c r="C629" s="608" t="s">
        <v>238</v>
      </c>
      <c r="D629" s="609">
        <v>5909.64</v>
      </c>
      <c r="E629" s="609">
        <v>0</v>
      </c>
      <c r="F629" s="609">
        <v>0</v>
      </c>
      <c r="G629" s="609">
        <v>0</v>
      </c>
      <c r="H629" s="609">
        <v>0</v>
      </c>
      <c r="I629" s="609">
        <v>0</v>
      </c>
      <c r="J629" s="609">
        <v>0</v>
      </c>
      <c r="K629" s="609">
        <v>0</v>
      </c>
      <c r="L629" s="609">
        <v>0</v>
      </c>
      <c r="M629" s="609">
        <v>0</v>
      </c>
      <c r="N629" s="587">
        <f t="shared" si="62"/>
        <v>0</v>
      </c>
      <c r="O629"/>
      <c r="P629" s="490"/>
      <c r="Q629" t="str">
        <f t="shared" si="63"/>
        <v>53599</v>
      </c>
      <c r="R629" s="126" t="str">
        <f t="shared" si="64"/>
        <v>MISCELLANEOUS SERVICES</v>
      </c>
      <c r="S629" s="125" t="str">
        <f t="shared" si="65"/>
        <v>100</v>
      </c>
      <c r="T629" s="125" t="str">
        <f t="shared" si="66"/>
        <v>20</v>
      </c>
      <c r="U629" s="125" t="str">
        <f t="shared" si="67"/>
        <v>204</v>
      </c>
      <c r="V629" s="125" t="str">
        <f>VLOOKUP(Q629,'GL Category'!A:C,3,FALSE)</f>
        <v>Services &amp; other</v>
      </c>
      <c r="W629" s="125"/>
    </row>
    <row r="630" spans="1:24" s="83" customFormat="1" ht="20.399999999999999" customHeight="1">
      <c r="A630" s="608" t="s">
        <v>791</v>
      </c>
      <c r="B630" s="608" t="s">
        <v>2542</v>
      </c>
      <c r="C630" s="608" t="s">
        <v>221</v>
      </c>
      <c r="D630" s="609">
        <v>53864</v>
      </c>
      <c r="E630" s="609">
        <v>60712</v>
      </c>
      <c r="F630" s="609">
        <v>60618</v>
      </c>
      <c r="G630" s="609">
        <v>61767</v>
      </c>
      <c r="H630" s="609">
        <v>105550</v>
      </c>
      <c r="I630" s="609">
        <v>79162.5</v>
      </c>
      <c r="J630" s="609">
        <v>105550</v>
      </c>
      <c r="K630" s="609">
        <v>110762</v>
      </c>
      <c r="L630" s="609">
        <v>0</v>
      </c>
      <c r="M630" s="609">
        <v>0</v>
      </c>
      <c r="N630" s="587">
        <f t="shared" si="62"/>
        <v>110762</v>
      </c>
      <c r="O630"/>
      <c r="P630" s="490"/>
      <c r="Q630" t="str">
        <f t="shared" si="63"/>
        <v>55119</v>
      </c>
      <c r="R630" s="126" t="str">
        <f t="shared" si="64"/>
        <v>OFFICE EQUIP LEASE EXP-CITY</v>
      </c>
      <c r="S630" s="125" t="str">
        <f t="shared" si="65"/>
        <v>100</v>
      </c>
      <c r="T630" s="125" t="str">
        <f t="shared" si="66"/>
        <v>20</v>
      </c>
      <c r="U630" s="125" t="str">
        <f t="shared" si="67"/>
        <v>204</v>
      </c>
      <c r="V630" s="125" t="str">
        <f>VLOOKUP(Q630,'GL Category'!A:C,3,FALSE)</f>
        <v>Services &amp; other</v>
      </c>
      <c r="W630" s="125"/>
    </row>
    <row r="631" spans="1:24" s="83" customFormat="1" ht="20.399999999999999" customHeight="1">
      <c r="A631" s="608" t="s">
        <v>791</v>
      </c>
      <c r="B631" s="608" t="s">
        <v>2541</v>
      </c>
      <c r="C631" s="608" t="s">
        <v>220</v>
      </c>
      <c r="D631" s="609">
        <v>11062</v>
      </c>
      <c r="E631" s="609">
        <v>15650</v>
      </c>
      <c r="F631" s="609">
        <v>3277</v>
      </c>
      <c r="G631" s="609">
        <v>3277</v>
      </c>
      <c r="H631" s="609">
        <v>3277</v>
      </c>
      <c r="I631" s="609">
        <v>2457.75</v>
      </c>
      <c r="J631" s="609">
        <v>3277</v>
      </c>
      <c r="K631" s="609">
        <v>8104</v>
      </c>
      <c r="L631" s="609">
        <v>0</v>
      </c>
      <c r="M631" s="609">
        <v>0</v>
      </c>
      <c r="N631" s="587">
        <f t="shared" si="62"/>
        <v>8104</v>
      </c>
      <c r="O631"/>
      <c r="P631" s="490"/>
      <c r="Q631" t="str">
        <f t="shared" si="63"/>
        <v>55175</v>
      </c>
      <c r="R631" s="126" t="str">
        <f t="shared" si="64"/>
        <v>VEHICLE/EQUIP LEASE EXP-CITY</v>
      </c>
      <c r="S631" s="125" t="str">
        <f t="shared" si="65"/>
        <v>100</v>
      </c>
      <c r="T631" s="125" t="str">
        <f t="shared" si="66"/>
        <v>20</v>
      </c>
      <c r="U631" s="125" t="str">
        <f t="shared" si="67"/>
        <v>204</v>
      </c>
      <c r="V631" s="125" t="str">
        <f>VLOOKUP(Q631,'GL Category'!A:C,3,FALSE)</f>
        <v>Services &amp; other</v>
      </c>
      <c r="W631" s="125"/>
    </row>
    <row r="632" spans="1:24" s="541" customFormat="1" ht="20.399999999999999" customHeight="1">
      <c r="A632" s="608" t="s">
        <v>791</v>
      </c>
      <c r="B632" s="608" t="s">
        <v>2543</v>
      </c>
      <c r="C632" s="608" t="s">
        <v>130</v>
      </c>
      <c r="D632" s="609">
        <v>0</v>
      </c>
      <c r="E632" s="609">
        <v>77194.44</v>
      </c>
      <c r="F632" s="609">
        <v>76656</v>
      </c>
      <c r="G632" s="609">
        <v>79712.62</v>
      </c>
      <c r="H632" s="609">
        <v>81016</v>
      </c>
      <c r="I632" s="609">
        <v>62091.44</v>
      </c>
      <c r="J632" s="609">
        <v>81510</v>
      </c>
      <c r="K632" s="609">
        <v>84292</v>
      </c>
      <c r="L632" s="609">
        <v>0</v>
      </c>
      <c r="M632" s="609">
        <v>0</v>
      </c>
      <c r="N632" s="587">
        <f t="shared" si="62"/>
        <v>84292</v>
      </c>
      <c r="O632"/>
      <c r="P632" s="490"/>
      <c r="Q632" t="str">
        <f t="shared" si="63"/>
        <v>50101</v>
      </c>
      <c r="R632" s="540" t="str">
        <f t="shared" si="64"/>
        <v>EXEMPT SALARIES</v>
      </c>
      <c r="S632" s="538" t="str">
        <f t="shared" si="65"/>
        <v>100</v>
      </c>
      <c r="T632" s="125" t="str">
        <f t="shared" si="66"/>
        <v>20</v>
      </c>
      <c r="U632" s="125" t="str">
        <f t="shared" si="67"/>
        <v>208</v>
      </c>
      <c r="V632" s="538" t="str">
        <f>VLOOKUP(Q632,'GL Category'!A:C,3,FALSE)</f>
        <v>Personnel services</v>
      </c>
      <c r="W632" s="538"/>
      <c r="X632" s="83"/>
    </row>
    <row r="633" spans="1:24" s="83" customFormat="1" ht="20.399999999999999" customHeight="1">
      <c r="A633" s="608" t="s">
        <v>791</v>
      </c>
      <c r="B633" s="608" t="s">
        <v>2544</v>
      </c>
      <c r="C633" s="608" t="s">
        <v>132</v>
      </c>
      <c r="D633" s="609">
        <v>0</v>
      </c>
      <c r="E633" s="609">
        <v>99564.67</v>
      </c>
      <c r="F633" s="609">
        <v>102099.46</v>
      </c>
      <c r="G633" s="609">
        <v>106204.41</v>
      </c>
      <c r="H633" s="609">
        <v>110335</v>
      </c>
      <c r="I633" s="609">
        <v>84665.32</v>
      </c>
      <c r="J633" s="609">
        <v>111073</v>
      </c>
      <c r="K633" s="609">
        <v>114870</v>
      </c>
      <c r="L633" s="609">
        <v>0</v>
      </c>
      <c r="M633" s="609">
        <v>0</v>
      </c>
      <c r="N633" s="587">
        <f t="shared" si="62"/>
        <v>114870</v>
      </c>
      <c r="O633"/>
      <c r="P633" s="490"/>
      <c r="Q633" t="str">
        <f t="shared" si="63"/>
        <v>50102</v>
      </c>
      <c r="R633" s="126" t="str">
        <f t="shared" si="64"/>
        <v>NON EXEMPT SALARIES</v>
      </c>
      <c r="S633" s="125" t="str">
        <f t="shared" si="65"/>
        <v>100</v>
      </c>
      <c r="T633" s="125" t="str">
        <f t="shared" si="66"/>
        <v>20</v>
      </c>
      <c r="U633" s="125" t="str">
        <f t="shared" si="67"/>
        <v>208</v>
      </c>
      <c r="V633" s="125" t="str">
        <f>VLOOKUP(Q633,'GL Category'!A:C,3,FALSE)</f>
        <v>Personnel services</v>
      </c>
      <c r="W633" s="125"/>
    </row>
    <row r="634" spans="1:24" s="83" customFormat="1" ht="20.399999999999999" customHeight="1">
      <c r="A634" s="608" t="s">
        <v>791</v>
      </c>
      <c r="B634" s="608" t="s">
        <v>2545</v>
      </c>
      <c r="C634" s="608" t="s">
        <v>0</v>
      </c>
      <c r="D634" s="609">
        <v>0</v>
      </c>
      <c r="E634" s="609">
        <v>2750.12</v>
      </c>
      <c r="F634" s="609">
        <v>1631.6</v>
      </c>
      <c r="G634" s="609">
        <v>5329.99</v>
      </c>
      <c r="H634" s="609">
        <v>8344</v>
      </c>
      <c r="I634" s="609">
        <v>952.27</v>
      </c>
      <c r="J634" s="609">
        <v>1403</v>
      </c>
      <c r="K634" s="609">
        <v>8344</v>
      </c>
      <c r="L634" s="609">
        <v>0</v>
      </c>
      <c r="M634" s="609">
        <v>0</v>
      </c>
      <c r="N634" s="587">
        <f t="shared" si="62"/>
        <v>8344</v>
      </c>
      <c r="O634"/>
      <c r="P634" s="490"/>
      <c r="Q634" t="str">
        <f t="shared" si="63"/>
        <v>50109</v>
      </c>
      <c r="R634" s="126" t="str">
        <f t="shared" si="64"/>
        <v>OVERTIME</v>
      </c>
      <c r="S634" s="125" t="str">
        <f t="shared" si="65"/>
        <v>100</v>
      </c>
      <c r="T634" s="125" t="str">
        <f t="shared" si="66"/>
        <v>20</v>
      </c>
      <c r="U634" s="125" t="str">
        <f t="shared" si="67"/>
        <v>208</v>
      </c>
      <c r="V634" s="125" t="str">
        <f>VLOOKUP(Q634,'GL Category'!A:C,3,FALSE)</f>
        <v>Personnel services</v>
      </c>
      <c r="W634" s="125"/>
    </row>
    <row r="635" spans="1:24" s="83" customFormat="1" ht="20.399999999999999" customHeight="1">
      <c r="A635" s="608" t="s">
        <v>791</v>
      </c>
      <c r="B635" s="608" t="s">
        <v>2546</v>
      </c>
      <c r="C635" s="608" t="s">
        <v>137</v>
      </c>
      <c r="D635" s="609">
        <v>0</v>
      </c>
      <c r="E635" s="609">
        <v>2480</v>
      </c>
      <c r="F635" s="609">
        <v>2660</v>
      </c>
      <c r="G635" s="609">
        <v>2840</v>
      </c>
      <c r="H635" s="609">
        <v>3064</v>
      </c>
      <c r="I635" s="609">
        <v>3020</v>
      </c>
      <c r="J635" s="609">
        <v>3020</v>
      </c>
      <c r="K635" s="609">
        <v>3247</v>
      </c>
      <c r="L635" s="609">
        <v>0</v>
      </c>
      <c r="M635" s="609">
        <v>0</v>
      </c>
      <c r="N635" s="587">
        <f t="shared" si="62"/>
        <v>3247</v>
      </c>
      <c r="O635"/>
      <c r="P635" s="490"/>
      <c r="Q635" t="str">
        <f t="shared" si="63"/>
        <v>50111</v>
      </c>
      <c r="R635" s="126" t="str">
        <f t="shared" si="64"/>
        <v>LONGEVITY PAY</v>
      </c>
      <c r="S635" s="125" t="str">
        <f t="shared" si="65"/>
        <v>100</v>
      </c>
      <c r="T635" s="125" t="str">
        <f t="shared" si="66"/>
        <v>20</v>
      </c>
      <c r="U635" s="125" t="str">
        <f t="shared" si="67"/>
        <v>208</v>
      </c>
      <c r="V635" s="125" t="str">
        <f>VLOOKUP(Q635,'GL Category'!A:C,3,FALSE)</f>
        <v>Personnel services</v>
      </c>
      <c r="W635" s="125"/>
    </row>
    <row r="636" spans="1:24" s="83" customFormat="1" ht="20.399999999999999" customHeight="1">
      <c r="A636" s="608" t="s">
        <v>791</v>
      </c>
      <c r="B636" s="608" t="s">
        <v>2547</v>
      </c>
      <c r="C636" s="608" t="s">
        <v>1</v>
      </c>
      <c r="D636" s="609">
        <v>0</v>
      </c>
      <c r="E636" s="609">
        <v>12524.16</v>
      </c>
      <c r="F636" s="609">
        <v>12594.17</v>
      </c>
      <c r="G636" s="609">
        <v>13169.92</v>
      </c>
      <c r="H636" s="609">
        <v>15670</v>
      </c>
      <c r="I636" s="609">
        <v>10550.48</v>
      </c>
      <c r="J636" s="609">
        <v>14429</v>
      </c>
      <c r="K636" s="609">
        <v>16280</v>
      </c>
      <c r="L636" s="609">
        <v>0</v>
      </c>
      <c r="M636" s="609">
        <v>0</v>
      </c>
      <c r="N636" s="587">
        <f t="shared" si="62"/>
        <v>16280</v>
      </c>
      <c r="O636"/>
      <c r="P636" s="490"/>
      <c r="Q636" t="str">
        <f t="shared" si="63"/>
        <v>50610</v>
      </c>
      <c r="R636" s="126" t="str">
        <f t="shared" si="64"/>
        <v>SOCIAL SECURITY</v>
      </c>
      <c r="S636" s="125" t="str">
        <f t="shared" si="65"/>
        <v>100</v>
      </c>
      <c r="T636" s="125" t="str">
        <f t="shared" si="66"/>
        <v>20</v>
      </c>
      <c r="U636" s="125" t="str">
        <f t="shared" si="67"/>
        <v>208</v>
      </c>
      <c r="V636" s="125" t="str">
        <f>VLOOKUP(Q636,'GL Category'!A:C,3,FALSE)</f>
        <v>Personnel services</v>
      </c>
      <c r="W636" s="125"/>
    </row>
    <row r="637" spans="1:24" s="83" customFormat="1" ht="20.399999999999999" customHeight="1">
      <c r="A637" s="608" t="s">
        <v>791</v>
      </c>
      <c r="B637" s="608" t="s">
        <v>2548</v>
      </c>
      <c r="C637" s="608" t="s">
        <v>142</v>
      </c>
      <c r="D637" s="609">
        <v>0</v>
      </c>
      <c r="E637" s="609">
        <v>53980.19</v>
      </c>
      <c r="F637" s="609">
        <v>51729.919999999998</v>
      </c>
      <c r="G637" s="609">
        <v>45436.5</v>
      </c>
      <c r="H637" s="609">
        <v>44238</v>
      </c>
      <c r="I637" s="609">
        <v>34120.400000000001</v>
      </c>
      <c r="J637" s="609">
        <v>45901</v>
      </c>
      <c r="K637" s="609">
        <v>44769</v>
      </c>
      <c r="L637" s="609">
        <v>0</v>
      </c>
      <c r="M637" s="609">
        <v>0</v>
      </c>
      <c r="N637" s="587">
        <f t="shared" si="62"/>
        <v>44769</v>
      </c>
      <c r="O637"/>
      <c r="P637" s="490"/>
      <c r="Q637" t="str">
        <f t="shared" si="63"/>
        <v>50620</v>
      </c>
      <c r="R637" s="126" t="str">
        <f t="shared" si="64"/>
        <v>HEALTH/LIFE INSURANCE</v>
      </c>
      <c r="S637" s="125" t="str">
        <f t="shared" si="65"/>
        <v>100</v>
      </c>
      <c r="T637" s="125" t="str">
        <f t="shared" si="66"/>
        <v>20</v>
      </c>
      <c r="U637" s="125" t="str">
        <f t="shared" si="67"/>
        <v>208</v>
      </c>
      <c r="V637" s="125" t="str">
        <f>VLOOKUP(Q637,'GL Category'!A:C,3,FALSE)</f>
        <v>Personnel services</v>
      </c>
      <c r="W637" s="125"/>
    </row>
    <row r="638" spans="1:24" s="83" customFormat="1" ht="20.100000000000001" customHeight="1">
      <c r="A638" s="608" t="s">
        <v>791</v>
      </c>
      <c r="B638" s="608" t="s">
        <v>2549</v>
      </c>
      <c r="C638" s="608" t="s">
        <v>144</v>
      </c>
      <c r="D638" s="609">
        <v>0</v>
      </c>
      <c r="E638" s="609">
        <v>220.26</v>
      </c>
      <c r="F638" s="609">
        <v>262.60000000000002</v>
      </c>
      <c r="G638" s="609">
        <v>475.09</v>
      </c>
      <c r="H638" s="609">
        <v>621</v>
      </c>
      <c r="I638" s="609">
        <v>620.5</v>
      </c>
      <c r="J638" s="609">
        <v>621</v>
      </c>
      <c r="K638" s="609">
        <v>621</v>
      </c>
      <c r="L638" s="609">
        <v>0</v>
      </c>
      <c r="M638" s="609">
        <v>0</v>
      </c>
      <c r="N638" s="587">
        <f t="shared" si="62"/>
        <v>621</v>
      </c>
      <c r="O638"/>
      <c r="P638" s="490"/>
      <c r="Q638" t="str">
        <f t="shared" si="63"/>
        <v>50630</v>
      </c>
      <c r="R638" s="126" t="str">
        <f t="shared" si="64"/>
        <v>WORKER COMPENSATION</v>
      </c>
      <c r="S638" s="125" t="str">
        <f t="shared" si="65"/>
        <v>100</v>
      </c>
      <c r="T638" s="125" t="str">
        <f t="shared" si="66"/>
        <v>20</v>
      </c>
      <c r="U638" s="125" t="str">
        <f t="shared" si="67"/>
        <v>208</v>
      </c>
      <c r="V638" s="125" t="str">
        <f>VLOOKUP(Q638,'GL Category'!A:C,3,FALSE)</f>
        <v>Personnel services</v>
      </c>
      <c r="W638" s="125"/>
    </row>
    <row r="639" spans="1:24" s="83" customFormat="1" ht="20.100000000000001" customHeight="1">
      <c r="A639" s="608" t="s">
        <v>791</v>
      </c>
      <c r="B639" s="608" t="s">
        <v>2550</v>
      </c>
      <c r="C639" s="608" t="s">
        <v>2</v>
      </c>
      <c r="D639" s="609">
        <v>0</v>
      </c>
      <c r="E639" s="609">
        <v>29392.05</v>
      </c>
      <c r="F639" s="609">
        <v>29634.39</v>
      </c>
      <c r="G639" s="609">
        <v>30886.17</v>
      </c>
      <c r="H639" s="609">
        <v>33842</v>
      </c>
      <c r="I639" s="609">
        <v>25119.82</v>
      </c>
      <c r="J639" s="609">
        <v>33174</v>
      </c>
      <c r="K639" s="609">
        <v>36014</v>
      </c>
      <c r="L639" s="609">
        <v>0</v>
      </c>
      <c r="M639" s="609">
        <v>0</v>
      </c>
      <c r="N639" s="587">
        <f t="shared" si="62"/>
        <v>36014</v>
      </c>
      <c r="O639"/>
      <c r="P639" s="490"/>
      <c r="Q639" t="str">
        <f t="shared" si="63"/>
        <v>50650</v>
      </c>
      <c r="R639" s="126" t="str">
        <f t="shared" si="64"/>
        <v>RETIREMENT</v>
      </c>
      <c r="S639" s="125" t="str">
        <f t="shared" si="65"/>
        <v>100</v>
      </c>
      <c r="T639" s="125" t="str">
        <f t="shared" si="66"/>
        <v>20</v>
      </c>
      <c r="U639" s="125" t="str">
        <f t="shared" si="67"/>
        <v>208</v>
      </c>
      <c r="V639" s="125" t="str">
        <f>VLOOKUP(Q639,'GL Category'!A:C,3,FALSE)</f>
        <v>Personnel services</v>
      </c>
      <c r="W639" s="125"/>
    </row>
    <row r="640" spans="1:24" s="83" customFormat="1" ht="20.100000000000001" customHeight="1">
      <c r="A640" s="608" t="s">
        <v>791</v>
      </c>
      <c r="B640" s="608" t="s">
        <v>2551</v>
      </c>
      <c r="C640" s="608" t="s">
        <v>149</v>
      </c>
      <c r="D640" s="609">
        <v>0</v>
      </c>
      <c r="E640" s="609">
        <v>1357.08</v>
      </c>
      <c r="F640" s="609">
        <v>710.75</v>
      </c>
      <c r="G640" s="609">
        <v>1457.95</v>
      </c>
      <c r="H640" s="609">
        <v>1500</v>
      </c>
      <c r="I640" s="609">
        <v>1054.6400000000001</v>
      </c>
      <c r="J640" s="609">
        <v>1000</v>
      </c>
      <c r="K640" s="609">
        <v>1500</v>
      </c>
      <c r="L640" s="609">
        <v>0</v>
      </c>
      <c r="M640" s="609">
        <v>0</v>
      </c>
      <c r="N640" s="587">
        <f t="shared" si="62"/>
        <v>1500</v>
      </c>
      <c r="O640"/>
      <c r="P640" s="490"/>
      <c r="Q640" t="str">
        <f t="shared" si="63"/>
        <v>51210</v>
      </c>
      <c r="R640" s="126" t="str">
        <f t="shared" si="64"/>
        <v>OFFICE SUPPLIES</v>
      </c>
      <c r="S640" s="125" t="str">
        <f t="shared" si="65"/>
        <v>100</v>
      </c>
      <c r="T640" s="125" t="str">
        <f t="shared" si="66"/>
        <v>20</v>
      </c>
      <c r="U640" s="125" t="str">
        <f t="shared" si="67"/>
        <v>208</v>
      </c>
      <c r="V640" s="125" t="str">
        <f>VLOOKUP(Q640,'GL Category'!A:C,3,FALSE)</f>
        <v>Operations &amp; maintenance</v>
      </c>
      <c r="W640" s="125"/>
    </row>
    <row r="641" spans="1:24" s="83" customFormat="1" ht="20.100000000000001" customHeight="1">
      <c r="A641" s="608" t="s">
        <v>791</v>
      </c>
      <c r="B641" s="608" t="s">
        <v>2552</v>
      </c>
      <c r="C641" s="608" t="s">
        <v>4</v>
      </c>
      <c r="D641" s="609">
        <v>0</v>
      </c>
      <c r="E641" s="609">
        <v>0</v>
      </c>
      <c r="F641" s="609">
        <v>5800</v>
      </c>
      <c r="G641" s="609">
        <v>0</v>
      </c>
      <c r="H641" s="609">
        <v>0</v>
      </c>
      <c r="I641" s="609">
        <v>0</v>
      </c>
      <c r="J641" s="609">
        <v>0</v>
      </c>
      <c r="K641" s="609">
        <v>0</v>
      </c>
      <c r="L641" s="609">
        <v>0</v>
      </c>
      <c r="M641" s="609">
        <v>0</v>
      </c>
      <c r="N641" s="587">
        <f t="shared" si="62"/>
        <v>0</v>
      </c>
      <c r="O641"/>
      <c r="P641" s="490">
        <f>N641-H641</f>
        <v>0</v>
      </c>
      <c r="Q641" t="str">
        <f t="shared" si="63"/>
        <v>51245</v>
      </c>
      <c r="R641" s="126" t="str">
        <f t="shared" si="64"/>
        <v>SMALL TOOLS &amp; EQUIPMENT</v>
      </c>
      <c r="S641" s="125" t="str">
        <f t="shared" si="65"/>
        <v>100</v>
      </c>
      <c r="T641" s="125" t="str">
        <f t="shared" si="66"/>
        <v>20</v>
      </c>
      <c r="U641" s="125" t="str">
        <f t="shared" si="67"/>
        <v>208</v>
      </c>
      <c r="V641" s="125" t="str">
        <f>VLOOKUP(Q641,'GL Category'!A:C,3,FALSE)</f>
        <v>Operations &amp; maintenance</v>
      </c>
      <c r="W641" s="125"/>
    </row>
    <row r="642" spans="1:24" s="83" customFormat="1" ht="20.100000000000001" customHeight="1">
      <c r="A642" s="608" t="s">
        <v>791</v>
      </c>
      <c r="B642" s="608" t="s">
        <v>2553</v>
      </c>
      <c r="C642" s="608" t="s">
        <v>161</v>
      </c>
      <c r="D642" s="609">
        <v>0</v>
      </c>
      <c r="E642" s="609">
        <v>1142.5</v>
      </c>
      <c r="F642" s="609">
        <v>1485.59</v>
      </c>
      <c r="G642" s="609">
        <v>1359.38</v>
      </c>
      <c r="H642" s="609">
        <v>1800</v>
      </c>
      <c r="I642" s="609">
        <v>999.02</v>
      </c>
      <c r="J642" s="609">
        <v>1200</v>
      </c>
      <c r="K642" s="609">
        <v>1800</v>
      </c>
      <c r="L642" s="609">
        <v>0</v>
      </c>
      <c r="M642" s="609">
        <v>0</v>
      </c>
      <c r="N642" s="587">
        <f t="shared" si="62"/>
        <v>1800</v>
      </c>
      <c r="O642"/>
      <c r="P642" s="490">
        <f>N642-H642</f>
        <v>0</v>
      </c>
      <c r="Q642" t="str">
        <f t="shared" si="63"/>
        <v>51255</v>
      </c>
      <c r="R642" s="126" t="str">
        <f t="shared" si="64"/>
        <v>FUEL/OILS/LUBRICANTS</v>
      </c>
      <c r="S642" s="125" t="str">
        <f t="shared" si="65"/>
        <v>100</v>
      </c>
      <c r="T642" s="125" t="str">
        <f t="shared" si="66"/>
        <v>20</v>
      </c>
      <c r="U642" s="125" t="str">
        <f t="shared" si="67"/>
        <v>208</v>
      </c>
      <c r="V642" s="125" t="str">
        <f>VLOOKUP(Q642,'GL Category'!A:C,3,FALSE)</f>
        <v>Operations &amp; maintenance</v>
      </c>
      <c r="W642" s="125"/>
    </row>
    <row r="643" spans="1:24" s="83" customFormat="1" ht="20.100000000000001" customHeight="1">
      <c r="A643" s="608" t="s">
        <v>791</v>
      </c>
      <c r="B643" s="608" t="s">
        <v>2554</v>
      </c>
      <c r="C643" s="608" t="s">
        <v>167</v>
      </c>
      <c r="D643" s="609">
        <v>0</v>
      </c>
      <c r="E643" s="609">
        <v>353.29</v>
      </c>
      <c r="F643" s="609">
        <v>481.4</v>
      </c>
      <c r="G643" s="609">
        <v>403.62</v>
      </c>
      <c r="H643" s="609">
        <v>500</v>
      </c>
      <c r="I643" s="609">
        <v>325.11</v>
      </c>
      <c r="J643" s="609">
        <v>500</v>
      </c>
      <c r="K643" s="609">
        <v>500</v>
      </c>
      <c r="L643" s="609">
        <v>0</v>
      </c>
      <c r="M643" s="609">
        <v>0</v>
      </c>
      <c r="N643" s="587">
        <f t="shared" si="62"/>
        <v>500</v>
      </c>
      <c r="O643"/>
      <c r="P643" s="490">
        <f>N643-H643</f>
        <v>0</v>
      </c>
      <c r="Q643" t="str">
        <f t="shared" si="63"/>
        <v>51285</v>
      </c>
      <c r="R643" s="126" t="str">
        <f t="shared" si="64"/>
        <v>WEARING APPAREL</v>
      </c>
      <c r="S643" s="125" t="str">
        <f t="shared" si="65"/>
        <v>100</v>
      </c>
      <c r="T643" s="125" t="str">
        <f t="shared" si="66"/>
        <v>20</v>
      </c>
      <c r="U643" s="125" t="str">
        <f t="shared" si="67"/>
        <v>208</v>
      </c>
      <c r="V643" s="125" t="str">
        <f>VLOOKUP(Q643,'GL Category'!A:C,3,FALSE)</f>
        <v>Operations &amp; maintenance</v>
      </c>
      <c r="W643" s="125"/>
    </row>
    <row r="644" spans="1:24" s="83" customFormat="1" ht="20.100000000000001" customHeight="1">
      <c r="A644" s="608" t="s">
        <v>791</v>
      </c>
      <c r="B644" s="608" t="s">
        <v>2555</v>
      </c>
      <c r="C644" s="608" t="s">
        <v>241</v>
      </c>
      <c r="D644" s="609">
        <v>0</v>
      </c>
      <c r="E644" s="609">
        <v>36.24</v>
      </c>
      <c r="F644" s="609">
        <v>218.87</v>
      </c>
      <c r="G644" s="609">
        <v>257.88</v>
      </c>
      <c r="H644" s="609">
        <v>750</v>
      </c>
      <c r="I644" s="609">
        <v>270.52</v>
      </c>
      <c r="J644" s="609">
        <v>750</v>
      </c>
      <c r="K644" s="609">
        <v>750</v>
      </c>
      <c r="L644" s="609">
        <v>0</v>
      </c>
      <c r="M644" s="609">
        <v>0</v>
      </c>
      <c r="N644" s="587">
        <f t="shared" ref="N644:N707" si="69">SUM(K644:M644)</f>
        <v>750</v>
      </c>
      <c r="O644"/>
      <c r="P644" s="490">
        <f>N644-H644</f>
        <v>0</v>
      </c>
      <c r="Q644" t="str">
        <f t="shared" ref="Q644:Q707" si="70">MID(B644,12,5)</f>
        <v>52460</v>
      </c>
      <c r="R644" s="126" t="str">
        <f t="shared" ref="R644:R707" si="71">C644</f>
        <v>VEHICLE MAINTENANCE</v>
      </c>
      <c r="S644" s="125" t="str">
        <f t="shared" ref="S644:S707" si="72">LEFT(B644,3)</f>
        <v>100</v>
      </c>
      <c r="T644" s="125" t="str">
        <f t="shared" ref="T644:T707" si="73">MID(B644,5,2)</f>
        <v>20</v>
      </c>
      <c r="U644" s="125" t="str">
        <f t="shared" ref="U644:U707" si="74">MID(B644,8,3)</f>
        <v>208</v>
      </c>
      <c r="V644" s="125" t="str">
        <f>VLOOKUP(Q644,'GL Category'!A:C,3,FALSE)</f>
        <v>Operations &amp; maintenance</v>
      </c>
      <c r="W644" s="125"/>
    </row>
    <row r="645" spans="1:24" s="83" customFormat="1" ht="20.100000000000001" customHeight="1">
      <c r="A645" s="608" t="s">
        <v>791</v>
      </c>
      <c r="B645" s="608" t="s">
        <v>2556</v>
      </c>
      <c r="C645" s="608" t="s">
        <v>190</v>
      </c>
      <c r="D645" s="609">
        <v>0</v>
      </c>
      <c r="E645" s="609">
        <v>200</v>
      </c>
      <c r="F645" s="609">
        <v>175</v>
      </c>
      <c r="G645" s="609">
        <v>275</v>
      </c>
      <c r="H645" s="609">
        <v>300</v>
      </c>
      <c r="I645" s="609">
        <v>128.4</v>
      </c>
      <c r="J645" s="609">
        <v>300</v>
      </c>
      <c r="K645" s="609">
        <v>300</v>
      </c>
      <c r="L645" s="609">
        <v>0</v>
      </c>
      <c r="M645" s="609">
        <v>0</v>
      </c>
      <c r="N645" s="587">
        <f t="shared" si="69"/>
        <v>300</v>
      </c>
      <c r="O645"/>
      <c r="P645" s="490">
        <f>N645-H645</f>
        <v>0</v>
      </c>
      <c r="Q645" t="str">
        <f t="shared" si="70"/>
        <v>53510</v>
      </c>
      <c r="R645" s="126" t="str">
        <f t="shared" si="71"/>
        <v>DUES &amp; SUBSCRIPTIONS</v>
      </c>
      <c r="S645" s="125" t="str">
        <f t="shared" si="72"/>
        <v>100</v>
      </c>
      <c r="T645" s="125" t="str">
        <f t="shared" si="73"/>
        <v>20</v>
      </c>
      <c r="U645" s="125" t="str">
        <f t="shared" si="74"/>
        <v>208</v>
      </c>
      <c r="V645" s="125" t="str">
        <f>VLOOKUP(Q645,'GL Category'!A:C,3,FALSE)</f>
        <v>Services &amp; other</v>
      </c>
      <c r="W645" s="125"/>
    </row>
    <row r="646" spans="1:24" s="83" customFormat="1" ht="20.100000000000001" customHeight="1">
      <c r="A646" s="608" t="s">
        <v>791</v>
      </c>
      <c r="B646" s="608" t="s">
        <v>2557</v>
      </c>
      <c r="C646" s="608" t="s">
        <v>191</v>
      </c>
      <c r="D646" s="609">
        <v>0</v>
      </c>
      <c r="E646" s="609">
        <v>2777.81</v>
      </c>
      <c r="F646" s="609">
        <v>2438.42</v>
      </c>
      <c r="G646" s="609">
        <v>3258.5</v>
      </c>
      <c r="H646" s="609">
        <v>3500</v>
      </c>
      <c r="I646" s="609">
        <v>3706.01</v>
      </c>
      <c r="J646" s="609">
        <v>3500</v>
      </c>
      <c r="K646" s="609">
        <v>3500</v>
      </c>
      <c r="L646" s="609">
        <v>0</v>
      </c>
      <c r="M646" s="609">
        <v>0</v>
      </c>
      <c r="N646" s="587">
        <f t="shared" si="69"/>
        <v>3500</v>
      </c>
      <c r="O646"/>
      <c r="P646" s="490"/>
      <c r="Q646" t="str">
        <f t="shared" si="70"/>
        <v>53515</v>
      </c>
      <c r="R646" s="126" t="str">
        <f t="shared" si="71"/>
        <v>TRAVEL, TRAINING &amp; EDUCATION</v>
      </c>
      <c r="S646" s="125" t="str">
        <f t="shared" si="72"/>
        <v>100</v>
      </c>
      <c r="T646" s="125" t="str">
        <f t="shared" si="73"/>
        <v>20</v>
      </c>
      <c r="U646" s="125" t="str">
        <f t="shared" si="74"/>
        <v>208</v>
      </c>
      <c r="V646" s="125" t="str">
        <f>VLOOKUP(Q646,'GL Category'!A:C,3,FALSE)</f>
        <v>Services &amp; other</v>
      </c>
      <c r="W646" s="125"/>
    </row>
    <row r="647" spans="1:24" s="526" customFormat="1" ht="20.100000000000001" customHeight="1">
      <c r="A647" s="608" t="s">
        <v>791</v>
      </c>
      <c r="B647" s="608" t="s">
        <v>3130</v>
      </c>
      <c r="C647" s="608" t="s">
        <v>238</v>
      </c>
      <c r="D647" s="609">
        <v>0</v>
      </c>
      <c r="E647" s="609">
        <v>7832.74</v>
      </c>
      <c r="F647" s="609">
        <v>10452.549999999999</v>
      </c>
      <c r="G647" s="609">
        <v>13421.95</v>
      </c>
      <c r="H647" s="609">
        <v>12500</v>
      </c>
      <c r="I647" s="609">
        <v>13337.5</v>
      </c>
      <c r="J647" s="609">
        <v>12500</v>
      </c>
      <c r="K647" s="609">
        <v>12500</v>
      </c>
      <c r="L647" s="609">
        <v>0</v>
      </c>
      <c r="M647" s="609">
        <v>0</v>
      </c>
      <c r="N647" s="587">
        <f t="shared" si="69"/>
        <v>12500</v>
      </c>
      <c r="O647"/>
      <c r="P647" s="524"/>
      <c r="Q647" t="str">
        <f t="shared" si="70"/>
        <v>53599</v>
      </c>
      <c r="R647" s="525" t="str">
        <f t="shared" si="71"/>
        <v>MISCELLANEOUS SERVICES</v>
      </c>
      <c r="S647" s="523" t="str">
        <f t="shared" si="72"/>
        <v>100</v>
      </c>
      <c r="T647" s="125" t="str">
        <f t="shared" si="73"/>
        <v>20</v>
      </c>
      <c r="U647" s="125" t="str">
        <f t="shared" si="74"/>
        <v>208</v>
      </c>
      <c r="V647" s="523" t="str">
        <f>VLOOKUP(Q647,'GL Category'!A:C,3,FALSE)</f>
        <v>Services &amp; other</v>
      </c>
      <c r="W647" s="523"/>
      <c r="X647" s="83"/>
    </row>
    <row r="648" spans="1:24" s="83" customFormat="1" ht="20.100000000000001" customHeight="1">
      <c r="A648" s="608" t="s">
        <v>791</v>
      </c>
      <c r="B648" s="608" t="s">
        <v>2559</v>
      </c>
      <c r="C648" s="608" t="s">
        <v>221</v>
      </c>
      <c r="D648" s="609">
        <v>0</v>
      </c>
      <c r="E648" s="609">
        <v>0</v>
      </c>
      <c r="F648" s="609">
        <v>0</v>
      </c>
      <c r="G648" s="609">
        <v>0</v>
      </c>
      <c r="H648" s="609">
        <v>68610</v>
      </c>
      <c r="I648" s="609">
        <v>51457.5</v>
      </c>
      <c r="J648" s="609">
        <v>68610</v>
      </c>
      <c r="K648" s="609">
        <v>70066</v>
      </c>
      <c r="L648" s="609">
        <v>0</v>
      </c>
      <c r="M648" s="609">
        <v>0</v>
      </c>
      <c r="N648" s="587">
        <f t="shared" si="69"/>
        <v>70066</v>
      </c>
      <c r="O648"/>
      <c r="P648" s="490"/>
      <c r="Q648" t="str">
        <f t="shared" si="70"/>
        <v>55119</v>
      </c>
      <c r="R648" s="126" t="str">
        <f t="shared" si="71"/>
        <v>OFFICE EQUIP LEASE EXP-CITY</v>
      </c>
      <c r="S648" s="125" t="str">
        <f t="shared" si="72"/>
        <v>100</v>
      </c>
      <c r="T648" s="125" t="str">
        <f t="shared" si="73"/>
        <v>20</v>
      </c>
      <c r="U648" s="125" t="str">
        <f t="shared" si="74"/>
        <v>208</v>
      </c>
      <c r="V648" s="125" t="str">
        <f>VLOOKUP(Q648,'GL Category'!A:C,3,FALSE)</f>
        <v>Services &amp; other</v>
      </c>
      <c r="W648" s="125"/>
    </row>
    <row r="649" spans="1:24" s="83" customFormat="1" ht="20.100000000000001" customHeight="1">
      <c r="A649" s="608" t="s">
        <v>791</v>
      </c>
      <c r="B649" s="608" t="s">
        <v>2558</v>
      </c>
      <c r="C649" s="608" t="s">
        <v>220</v>
      </c>
      <c r="D649" s="609">
        <v>0</v>
      </c>
      <c r="E649" s="609">
        <v>0</v>
      </c>
      <c r="F649" s="609">
        <v>12153</v>
      </c>
      <c r="G649" s="609">
        <v>15793</v>
      </c>
      <c r="H649" s="609">
        <v>19213</v>
      </c>
      <c r="I649" s="609">
        <v>14409.75</v>
      </c>
      <c r="J649" s="609">
        <v>19213</v>
      </c>
      <c r="K649" s="609">
        <v>15194</v>
      </c>
      <c r="L649" s="609">
        <v>0</v>
      </c>
      <c r="M649" s="609">
        <v>0</v>
      </c>
      <c r="N649" s="587">
        <f t="shared" si="69"/>
        <v>15194</v>
      </c>
      <c r="O649"/>
      <c r="P649" s="490"/>
      <c r="Q649" t="str">
        <f t="shared" si="70"/>
        <v>55175</v>
      </c>
      <c r="R649" s="126" t="str">
        <f t="shared" si="71"/>
        <v>VEHICLE/EQUIP LEASE EXP-CITY</v>
      </c>
      <c r="S649" s="125" t="str">
        <f t="shared" si="72"/>
        <v>100</v>
      </c>
      <c r="T649" s="125" t="str">
        <f t="shared" si="73"/>
        <v>20</v>
      </c>
      <c r="U649" s="125" t="str">
        <f t="shared" si="74"/>
        <v>208</v>
      </c>
      <c r="V649" s="125" t="str">
        <f>VLOOKUP(Q649,'GL Category'!A:C,3,FALSE)</f>
        <v>Services &amp; other</v>
      </c>
      <c r="W649" s="125"/>
    </row>
    <row r="650" spans="1:24" s="83" customFormat="1" ht="20.399999999999999" customHeight="1">
      <c r="A650" s="608" t="s">
        <v>791</v>
      </c>
      <c r="B650" s="608" t="s">
        <v>2560</v>
      </c>
      <c r="C650" s="608" t="s">
        <v>130</v>
      </c>
      <c r="D650" s="609">
        <v>343753.14</v>
      </c>
      <c r="E650" s="609">
        <v>299715.92</v>
      </c>
      <c r="F650" s="609">
        <v>310798.84999999998</v>
      </c>
      <c r="G650" s="609">
        <v>284240.32</v>
      </c>
      <c r="H650" s="609">
        <v>291275</v>
      </c>
      <c r="I650" s="609">
        <v>225765.02</v>
      </c>
      <c r="J650" s="609">
        <v>296887</v>
      </c>
      <c r="K650" s="609">
        <v>308735</v>
      </c>
      <c r="L650" s="609">
        <v>0</v>
      </c>
      <c r="M650" s="609">
        <v>0</v>
      </c>
      <c r="N650" s="587">
        <f t="shared" si="69"/>
        <v>308735</v>
      </c>
      <c r="O650"/>
      <c r="P650" s="490"/>
      <c r="Q650" t="str">
        <f t="shared" si="70"/>
        <v>50101</v>
      </c>
      <c r="R650" s="126" t="str">
        <f t="shared" si="71"/>
        <v>EXEMPT SALARIES</v>
      </c>
      <c r="S650" s="125" t="str">
        <f t="shared" si="72"/>
        <v>100</v>
      </c>
      <c r="T650" s="125" t="str">
        <f t="shared" si="73"/>
        <v>30</v>
      </c>
      <c r="U650" s="125" t="str">
        <f t="shared" si="74"/>
        <v>301</v>
      </c>
      <c r="V650" s="125" t="str">
        <f>VLOOKUP(Q650,'GL Category'!A:C,3,FALSE)</f>
        <v>Personnel services</v>
      </c>
      <c r="W650" s="125"/>
    </row>
    <row r="651" spans="1:24" s="83" customFormat="1" ht="20.399999999999999" customHeight="1">
      <c r="A651" s="608" t="s">
        <v>791</v>
      </c>
      <c r="B651" s="608" t="s">
        <v>2561</v>
      </c>
      <c r="C651" s="608" t="s">
        <v>132</v>
      </c>
      <c r="D651" s="609">
        <v>91889.21</v>
      </c>
      <c r="E651" s="609">
        <v>97830.1</v>
      </c>
      <c r="F651" s="609">
        <v>97147.61</v>
      </c>
      <c r="G651" s="609">
        <v>98081.53</v>
      </c>
      <c r="H651" s="609">
        <v>98412</v>
      </c>
      <c r="I651" s="609">
        <v>71554.89</v>
      </c>
      <c r="J651" s="609">
        <v>99245</v>
      </c>
      <c r="K651" s="609">
        <v>102771</v>
      </c>
      <c r="L651" s="609">
        <v>0</v>
      </c>
      <c r="M651" s="609">
        <v>0</v>
      </c>
      <c r="N651" s="587">
        <f t="shared" si="69"/>
        <v>102771</v>
      </c>
      <c r="O651"/>
      <c r="P651" s="490"/>
      <c r="Q651" t="str">
        <f t="shared" si="70"/>
        <v>50102</v>
      </c>
      <c r="R651" s="126" t="str">
        <f t="shared" si="71"/>
        <v>NON EXEMPT SALARIES</v>
      </c>
      <c r="S651" s="125" t="str">
        <f t="shared" si="72"/>
        <v>100</v>
      </c>
      <c r="T651" s="125" t="str">
        <f t="shared" si="73"/>
        <v>30</v>
      </c>
      <c r="U651" s="125" t="str">
        <f t="shared" si="74"/>
        <v>301</v>
      </c>
      <c r="V651" s="125" t="str">
        <f>VLOOKUP(Q651,'GL Category'!A:C,3,FALSE)</f>
        <v>Personnel services</v>
      </c>
      <c r="W651" s="125"/>
    </row>
    <row r="652" spans="1:24" s="83" customFormat="1" ht="20.399999999999999" customHeight="1">
      <c r="A652" s="608" t="s">
        <v>791</v>
      </c>
      <c r="B652" s="608" t="s">
        <v>2562</v>
      </c>
      <c r="C652" s="608" t="s">
        <v>0</v>
      </c>
      <c r="D652" s="609">
        <v>1748.4</v>
      </c>
      <c r="E652" s="609">
        <v>3066.3</v>
      </c>
      <c r="F652" s="609">
        <v>1695.99</v>
      </c>
      <c r="G652" s="609">
        <v>784.04</v>
      </c>
      <c r="H652" s="609">
        <v>2500</v>
      </c>
      <c r="I652" s="609">
        <v>1454.46</v>
      </c>
      <c r="J652" s="609">
        <v>2199</v>
      </c>
      <c r="K652" s="609">
        <v>2500</v>
      </c>
      <c r="L652" s="609">
        <v>0</v>
      </c>
      <c r="M652" s="609">
        <v>0</v>
      </c>
      <c r="N652" s="587">
        <f t="shared" si="69"/>
        <v>2500</v>
      </c>
      <c r="O652"/>
      <c r="P652" s="490"/>
      <c r="Q652" t="str">
        <f t="shared" si="70"/>
        <v>50109</v>
      </c>
      <c r="R652" s="126" t="str">
        <f t="shared" si="71"/>
        <v>OVERTIME</v>
      </c>
      <c r="S652" s="125" t="str">
        <f t="shared" si="72"/>
        <v>100</v>
      </c>
      <c r="T652" s="125" t="str">
        <f t="shared" si="73"/>
        <v>30</v>
      </c>
      <c r="U652" s="125" t="str">
        <f t="shared" si="74"/>
        <v>301</v>
      </c>
      <c r="V652" s="125" t="str">
        <f>VLOOKUP(Q652,'GL Category'!A:C,3,FALSE)</f>
        <v>Personnel services</v>
      </c>
      <c r="W652" s="125"/>
    </row>
    <row r="653" spans="1:24" s="83" customFormat="1" ht="20.399999999999999" customHeight="1">
      <c r="A653" s="608" t="s">
        <v>791</v>
      </c>
      <c r="B653" s="608" t="s">
        <v>2563</v>
      </c>
      <c r="C653" s="608" t="s">
        <v>137</v>
      </c>
      <c r="D653" s="609">
        <v>2695</v>
      </c>
      <c r="E653" s="609">
        <v>2875</v>
      </c>
      <c r="F653" s="609">
        <v>3715</v>
      </c>
      <c r="G653" s="609">
        <v>2810</v>
      </c>
      <c r="H653" s="609">
        <v>2968</v>
      </c>
      <c r="I653" s="609">
        <v>2926.5</v>
      </c>
      <c r="J653" s="609">
        <v>2927</v>
      </c>
      <c r="K653" s="609">
        <v>3201</v>
      </c>
      <c r="L653" s="609">
        <v>0</v>
      </c>
      <c r="M653" s="609">
        <v>0</v>
      </c>
      <c r="N653" s="587">
        <f t="shared" si="69"/>
        <v>3201</v>
      </c>
      <c r="O653"/>
      <c r="P653" s="490"/>
      <c r="Q653" t="str">
        <f t="shared" si="70"/>
        <v>50111</v>
      </c>
      <c r="R653" s="126" t="str">
        <f t="shared" si="71"/>
        <v>LONGEVITY PAY</v>
      </c>
      <c r="S653" s="125" t="str">
        <f t="shared" si="72"/>
        <v>100</v>
      </c>
      <c r="T653" s="125" t="str">
        <f t="shared" si="73"/>
        <v>30</v>
      </c>
      <c r="U653" s="125" t="str">
        <f t="shared" si="74"/>
        <v>301</v>
      </c>
      <c r="V653" s="125" t="str">
        <f>VLOOKUP(Q653,'GL Category'!A:C,3,FALSE)</f>
        <v>Personnel services</v>
      </c>
      <c r="W653" s="125"/>
    </row>
    <row r="654" spans="1:24" s="83" customFormat="1" ht="20.399999999999999" customHeight="1">
      <c r="A654" s="608" t="s">
        <v>791</v>
      </c>
      <c r="B654" s="608" t="s">
        <v>2564</v>
      </c>
      <c r="C654" s="608" t="s">
        <v>283</v>
      </c>
      <c r="D654" s="609">
        <v>3121.43</v>
      </c>
      <c r="E654" s="609">
        <v>4061.14</v>
      </c>
      <c r="F654" s="609">
        <v>4878.5</v>
      </c>
      <c r="G654" s="609">
        <v>2858</v>
      </c>
      <c r="H654" s="609">
        <v>3280</v>
      </c>
      <c r="I654" s="609">
        <v>1792</v>
      </c>
      <c r="J654" s="609">
        <v>3979</v>
      </c>
      <c r="K654" s="609">
        <v>3280</v>
      </c>
      <c r="L654" s="609">
        <v>0</v>
      </c>
      <c r="M654" s="609">
        <v>0</v>
      </c>
      <c r="N654" s="587">
        <f t="shared" si="69"/>
        <v>3280</v>
      </c>
      <c r="O654"/>
      <c r="P654" s="490"/>
      <c r="Q654" t="str">
        <f t="shared" si="70"/>
        <v>50115</v>
      </c>
      <c r="R654" s="126" t="str">
        <f t="shared" si="71"/>
        <v>INCENTIVE/CERTIFICATION PAY</v>
      </c>
      <c r="S654" s="125" t="str">
        <f t="shared" si="72"/>
        <v>100</v>
      </c>
      <c r="T654" s="125" t="str">
        <f t="shared" si="73"/>
        <v>30</v>
      </c>
      <c r="U654" s="125" t="str">
        <f t="shared" si="74"/>
        <v>301</v>
      </c>
      <c r="V654" s="125" t="str">
        <f>VLOOKUP(Q654,'GL Category'!A:C,3,FALSE)</f>
        <v>Personnel services</v>
      </c>
      <c r="W654" s="125"/>
    </row>
    <row r="655" spans="1:24" s="83" customFormat="1" ht="20.399999999999999" customHeight="1">
      <c r="A655" s="608" t="s">
        <v>791</v>
      </c>
      <c r="B655" s="608" t="s">
        <v>3204</v>
      </c>
      <c r="C655" s="608" t="s">
        <v>3</v>
      </c>
      <c r="D655" s="609">
        <v>0</v>
      </c>
      <c r="E655" s="609">
        <v>0</v>
      </c>
      <c r="F655" s="609">
        <v>0</v>
      </c>
      <c r="G655" s="609">
        <v>0</v>
      </c>
      <c r="H655" s="609">
        <v>0</v>
      </c>
      <c r="I655" s="609">
        <v>0</v>
      </c>
      <c r="J655" s="609">
        <v>0</v>
      </c>
      <c r="K655" s="609">
        <v>0</v>
      </c>
      <c r="L655" s="609">
        <v>0</v>
      </c>
      <c r="M655" s="609">
        <v>0</v>
      </c>
      <c r="N655" s="587">
        <f t="shared" si="69"/>
        <v>0</v>
      </c>
      <c r="O655"/>
      <c r="P655" s="490"/>
      <c r="Q655" t="str">
        <f t="shared" si="70"/>
        <v>50120</v>
      </c>
      <c r="R655" s="126" t="str">
        <f t="shared" si="71"/>
        <v>AUTO ALLOWANCE</v>
      </c>
      <c r="S655" s="125" t="str">
        <f t="shared" si="72"/>
        <v>100</v>
      </c>
      <c r="T655" s="125" t="str">
        <f t="shared" si="73"/>
        <v>30</v>
      </c>
      <c r="U655" s="125" t="str">
        <f t="shared" si="74"/>
        <v>301</v>
      </c>
      <c r="V655" s="125" t="str">
        <f>VLOOKUP(Q655,'GL Category'!A:C,3,FALSE)</f>
        <v>Personnel services</v>
      </c>
      <c r="W655" s="125"/>
    </row>
    <row r="656" spans="1:24" s="83" customFormat="1" ht="20.399999999999999" customHeight="1">
      <c r="A656" s="608" t="s">
        <v>791</v>
      </c>
      <c r="B656" s="608" t="s">
        <v>2565</v>
      </c>
      <c r="C656" s="608" t="s">
        <v>1</v>
      </c>
      <c r="D656" s="609">
        <v>30239.200000000001</v>
      </c>
      <c r="E656" s="609">
        <v>28681.86</v>
      </c>
      <c r="F656" s="609">
        <v>29663.11</v>
      </c>
      <c r="G656" s="609">
        <v>26911.82</v>
      </c>
      <c r="H656" s="609">
        <v>27558</v>
      </c>
      <c r="I656" s="609">
        <v>21705.65</v>
      </c>
      <c r="J656" s="609">
        <v>28074</v>
      </c>
      <c r="K656" s="609">
        <v>28171</v>
      </c>
      <c r="L656" s="609">
        <v>0</v>
      </c>
      <c r="M656" s="609">
        <v>0</v>
      </c>
      <c r="N656" s="587">
        <f t="shared" si="69"/>
        <v>28171</v>
      </c>
      <c r="O656"/>
      <c r="P656" s="490"/>
      <c r="Q656" t="str">
        <f t="shared" si="70"/>
        <v>50610</v>
      </c>
      <c r="R656" s="126" t="str">
        <f t="shared" si="71"/>
        <v>SOCIAL SECURITY</v>
      </c>
      <c r="S656" s="125" t="str">
        <f t="shared" si="72"/>
        <v>100</v>
      </c>
      <c r="T656" s="125" t="str">
        <f t="shared" si="73"/>
        <v>30</v>
      </c>
      <c r="U656" s="125" t="str">
        <f t="shared" si="74"/>
        <v>301</v>
      </c>
      <c r="V656" s="125" t="str">
        <f>VLOOKUP(Q656,'GL Category'!A:C,3,FALSE)</f>
        <v>Personnel services</v>
      </c>
      <c r="W656" s="125"/>
    </row>
    <row r="657" spans="1:24" s="83" customFormat="1" ht="20.399999999999999" customHeight="1">
      <c r="A657" s="608" t="s">
        <v>791</v>
      </c>
      <c r="B657" s="608" t="s">
        <v>2566</v>
      </c>
      <c r="C657" s="608" t="s">
        <v>142</v>
      </c>
      <c r="D657" s="609">
        <v>78499.39</v>
      </c>
      <c r="E657" s="609">
        <v>81102.25</v>
      </c>
      <c r="F657" s="609">
        <v>65713.62</v>
      </c>
      <c r="G657" s="609">
        <v>68794.259999999995</v>
      </c>
      <c r="H657" s="609">
        <v>58614</v>
      </c>
      <c r="I657" s="609">
        <v>44760.36</v>
      </c>
      <c r="J657" s="609">
        <v>60077</v>
      </c>
      <c r="K657" s="609">
        <v>58562</v>
      </c>
      <c r="L657" s="609">
        <v>0</v>
      </c>
      <c r="M657" s="609">
        <v>0</v>
      </c>
      <c r="N657" s="587">
        <f t="shared" si="69"/>
        <v>58562</v>
      </c>
      <c r="O657"/>
      <c r="P657" s="490"/>
      <c r="Q657" t="str">
        <f t="shared" si="70"/>
        <v>50620</v>
      </c>
      <c r="R657" s="126" t="str">
        <f t="shared" si="71"/>
        <v>HEALTH/LIFE INSURANCE</v>
      </c>
      <c r="S657" s="125" t="str">
        <f t="shared" si="72"/>
        <v>100</v>
      </c>
      <c r="T657" s="125" t="str">
        <f t="shared" si="73"/>
        <v>30</v>
      </c>
      <c r="U657" s="125" t="str">
        <f t="shared" si="74"/>
        <v>301</v>
      </c>
      <c r="V657" s="125" t="str">
        <f>VLOOKUP(Q657,'GL Category'!A:C,3,FALSE)</f>
        <v>Personnel services</v>
      </c>
      <c r="W657" s="125"/>
    </row>
    <row r="658" spans="1:24" s="83" customFormat="1" ht="20.399999999999999" customHeight="1">
      <c r="A658" s="608" t="s">
        <v>791</v>
      </c>
      <c r="B658" s="608" t="s">
        <v>2567</v>
      </c>
      <c r="C658" s="608" t="s">
        <v>144</v>
      </c>
      <c r="D658" s="609">
        <v>1984.47</v>
      </c>
      <c r="E658" s="609">
        <v>2004.46</v>
      </c>
      <c r="F658" s="609">
        <v>2261.25</v>
      </c>
      <c r="G658" s="609">
        <v>4094.05</v>
      </c>
      <c r="H658" s="609">
        <v>5287</v>
      </c>
      <c r="I658" s="609">
        <v>5282.68</v>
      </c>
      <c r="J658" s="609">
        <v>5283</v>
      </c>
      <c r="K658" s="609">
        <v>5751</v>
      </c>
      <c r="L658" s="609">
        <v>0</v>
      </c>
      <c r="M658" s="609">
        <v>0</v>
      </c>
      <c r="N658" s="587">
        <f t="shared" si="69"/>
        <v>5751</v>
      </c>
      <c r="O658"/>
      <c r="P658" s="490"/>
      <c r="Q658" t="str">
        <f t="shared" si="70"/>
        <v>50630</v>
      </c>
      <c r="R658" s="126" t="str">
        <f t="shared" si="71"/>
        <v>WORKER COMPENSATION</v>
      </c>
      <c r="S658" s="125" t="str">
        <f t="shared" si="72"/>
        <v>100</v>
      </c>
      <c r="T658" s="125" t="str">
        <f t="shared" si="73"/>
        <v>30</v>
      </c>
      <c r="U658" s="125" t="str">
        <f t="shared" si="74"/>
        <v>301</v>
      </c>
      <c r="V658" s="125" t="str">
        <f>VLOOKUP(Q658,'GL Category'!A:C,3,FALSE)</f>
        <v>Personnel services</v>
      </c>
      <c r="W658" s="125"/>
    </row>
    <row r="659" spans="1:24" s="83" customFormat="1" ht="14.4" customHeight="1">
      <c r="A659" s="608" t="s">
        <v>791</v>
      </c>
      <c r="B659" s="608" t="s">
        <v>2568</v>
      </c>
      <c r="C659" s="608" t="s">
        <v>2</v>
      </c>
      <c r="D659" s="609">
        <v>70474.14</v>
      </c>
      <c r="E659" s="609">
        <v>65619.62</v>
      </c>
      <c r="F659" s="609">
        <v>67709.38</v>
      </c>
      <c r="G659" s="609">
        <v>62389.41</v>
      </c>
      <c r="H659" s="609">
        <v>66283</v>
      </c>
      <c r="I659" s="609">
        <v>50410.97</v>
      </c>
      <c r="J659" s="609">
        <v>67317</v>
      </c>
      <c r="K659" s="609">
        <v>71621</v>
      </c>
      <c r="L659" s="609">
        <v>0</v>
      </c>
      <c r="M659" s="609">
        <v>0</v>
      </c>
      <c r="N659" s="587">
        <f t="shared" si="69"/>
        <v>71621</v>
      </c>
      <c r="O659"/>
      <c r="P659" s="490"/>
      <c r="Q659" t="str">
        <f t="shared" si="70"/>
        <v>50650</v>
      </c>
      <c r="R659" s="126" t="str">
        <f t="shared" si="71"/>
        <v>RETIREMENT</v>
      </c>
      <c r="S659" s="125" t="str">
        <f t="shared" si="72"/>
        <v>100</v>
      </c>
      <c r="T659" s="125" t="str">
        <f t="shared" si="73"/>
        <v>30</v>
      </c>
      <c r="U659" s="125" t="str">
        <f t="shared" si="74"/>
        <v>301</v>
      </c>
      <c r="V659" s="125" t="str">
        <f>VLOOKUP(Q659,'GL Category'!A:C,3,FALSE)</f>
        <v>Personnel services</v>
      </c>
      <c r="W659" s="125"/>
    </row>
    <row r="660" spans="1:24" s="83" customFormat="1" ht="20.399999999999999" customHeight="1">
      <c r="A660" s="608" t="s">
        <v>791</v>
      </c>
      <c r="B660" s="608" t="s">
        <v>2569</v>
      </c>
      <c r="C660" s="608" t="s">
        <v>149</v>
      </c>
      <c r="D660" s="609">
        <v>8182.79</v>
      </c>
      <c r="E660" s="609">
        <v>11276.41</v>
      </c>
      <c r="F660" s="609">
        <v>9677.4500000000007</v>
      </c>
      <c r="G660" s="609">
        <v>12137.67</v>
      </c>
      <c r="H660" s="609">
        <v>9000</v>
      </c>
      <c r="I660" s="609">
        <v>9349.1299999999992</v>
      </c>
      <c r="J660" s="609">
        <v>9000</v>
      </c>
      <c r="K660" s="609">
        <v>9000</v>
      </c>
      <c r="L660" s="609">
        <v>0</v>
      </c>
      <c r="M660" s="609">
        <v>0</v>
      </c>
      <c r="N660" s="587">
        <f t="shared" si="69"/>
        <v>9000</v>
      </c>
      <c r="O660"/>
      <c r="P660" s="490"/>
      <c r="Q660" t="str">
        <f t="shared" si="70"/>
        <v>51210</v>
      </c>
      <c r="R660" s="126" t="str">
        <f t="shared" si="71"/>
        <v>OFFICE SUPPLIES</v>
      </c>
      <c r="S660" s="125" t="str">
        <f t="shared" si="72"/>
        <v>100</v>
      </c>
      <c r="T660" s="125" t="str">
        <f t="shared" si="73"/>
        <v>30</v>
      </c>
      <c r="U660" s="125" t="str">
        <f t="shared" si="74"/>
        <v>301</v>
      </c>
      <c r="V660" s="125" t="str">
        <f>VLOOKUP(Q660,'GL Category'!A:C,3,FALSE)</f>
        <v>Operations &amp; maintenance</v>
      </c>
      <c r="W660" s="125"/>
    </row>
    <row r="661" spans="1:24" s="83" customFormat="1" ht="20.399999999999999" customHeight="1">
      <c r="A661" s="608" t="s">
        <v>791</v>
      </c>
      <c r="B661" s="608" t="s">
        <v>2570</v>
      </c>
      <c r="C661" s="608" t="s">
        <v>155</v>
      </c>
      <c r="D661" s="609">
        <v>6156.15</v>
      </c>
      <c r="E661" s="609">
        <v>3573.38</v>
      </c>
      <c r="F661" s="609">
        <v>5120.5</v>
      </c>
      <c r="G661" s="609">
        <v>3022.74</v>
      </c>
      <c r="H661" s="609">
        <v>5000</v>
      </c>
      <c r="I661" s="609">
        <v>3527.56</v>
      </c>
      <c r="J661" s="609">
        <v>5000</v>
      </c>
      <c r="K661" s="609">
        <v>5000</v>
      </c>
      <c r="L661" s="609">
        <v>0</v>
      </c>
      <c r="M661" s="609">
        <v>0</v>
      </c>
      <c r="N661" s="587">
        <f t="shared" si="69"/>
        <v>5000</v>
      </c>
      <c r="O661"/>
      <c r="P661" s="490"/>
      <c r="Q661" t="str">
        <f t="shared" si="70"/>
        <v>51225</v>
      </c>
      <c r="R661" s="126" t="str">
        <f t="shared" si="71"/>
        <v>JANITORIAL SUPPLIES</v>
      </c>
      <c r="S661" s="125" t="str">
        <f t="shared" si="72"/>
        <v>100</v>
      </c>
      <c r="T661" s="125" t="str">
        <f t="shared" si="73"/>
        <v>30</v>
      </c>
      <c r="U661" s="125" t="str">
        <f t="shared" si="74"/>
        <v>301</v>
      </c>
      <c r="V661" s="125" t="str">
        <f>VLOOKUP(Q661,'GL Category'!A:C,3,FALSE)</f>
        <v>Operations &amp; maintenance</v>
      </c>
      <c r="W661" s="125"/>
    </row>
    <row r="662" spans="1:24" s="83" customFormat="1" ht="20.399999999999999" customHeight="1">
      <c r="A662" s="608" t="s">
        <v>791</v>
      </c>
      <c r="B662" s="608" t="s">
        <v>2570</v>
      </c>
      <c r="C662" s="608" t="s">
        <v>155</v>
      </c>
      <c r="D662" s="609">
        <v>0</v>
      </c>
      <c r="E662" s="609">
        <v>641.88</v>
      </c>
      <c r="F662" s="609">
        <v>0</v>
      </c>
      <c r="G662" s="609">
        <v>0</v>
      </c>
      <c r="H662" s="609">
        <v>0</v>
      </c>
      <c r="I662" s="609">
        <v>0</v>
      </c>
      <c r="J662" s="609">
        <v>0</v>
      </c>
      <c r="K662" s="609">
        <v>0</v>
      </c>
      <c r="L662" s="609">
        <v>0</v>
      </c>
      <c r="M662" s="609">
        <v>0</v>
      </c>
      <c r="N662" s="587">
        <f t="shared" si="69"/>
        <v>0</v>
      </c>
      <c r="O662"/>
      <c r="P662" s="490"/>
      <c r="Q662" t="str">
        <f t="shared" si="70"/>
        <v>51225</v>
      </c>
      <c r="R662" s="126" t="str">
        <f t="shared" si="71"/>
        <v>JANITORIAL SUPPLIES</v>
      </c>
      <c r="S662" s="125" t="str">
        <f t="shared" si="72"/>
        <v>100</v>
      </c>
      <c r="T662" s="125" t="str">
        <f t="shared" si="73"/>
        <v>30</v>
      </c>
      <c r="U662" s="125" t="str">
        <f t="shared" si="74"/>
        <v>301</v>
      </c>
      <c r="V662" s="125" t="str">
        <f>VLOOKUP(Q662,'GL Category'!A:C,3,FALSE)</f>
        <v>Operations &amp; maintenance</v>
      </c>
      <c r="W662" s="125"/>
    </row>
    <row r="663" spans="1:24" s="83" customFormat="1" ht="20.399999999999999" customHeight="1">
      <c r="A663" s="608" t="s">
        <v>791</v>
      </c>
      <c r="B663" s="608" t="s">
        <v>2571</v>
      </c>
      <c r="C663" s="608" t="s">
        <v>161</v>
      </c>
      <c r="D663" s="609">
        <v>777.16</v>
      </c>
      <c r="E663" s="609">
        <v>1095.71</v>
      </c>
      <c r="F663" s="609">
        <v>1441.25</v>
      </c>
      <c r="G663" s="609">
        <v>1126.8699999999999</v>
      </c>
      <c r="H663" s="609">
        <v>2000</v>
      </c>
      <c r="I663" s="609">
        <v>1918.75</v>
      </c>
      <c r="J663" s="609">
        <v>2000</v>
      </c>
      <c r="K663" s="609">
        <v>2000</v>
      </c>
      <c r="L663" s="609">
        <v>0</v>
      </c>
      <c r="M663" s="609">
        <v>0</v>
      </c>
      <c r="N663" s="587">
        <f t="shared" si="69"/>
        <v>2000</v>
      </c>
      <c r="O663"/>
      <c r="P663" s="490"/>
      <c r="Q663" t="str">
        <f t="shared" si="70"/>
        <v>51255</v>
      </c>
      <c r="R663" s="126" t="str">
        <f t="shared" si="71"/>
        <v>FUEL/OILS/LUBRICANTS</v>
      </c>
      <c r="S663" s="125" t="str">
        <f t="shared" si="72"/>
        <v>100</v>
      </c>
      <c r="T663" s="125" t="str">
        <f t="shared" si="73"/>
        <v>30</v>
      </c>
      <c r="U663" s="125" t="str">
        <f t="shared" si="74"/>
        <v>301</v>
      </c>
      <c r="V663" s="125" t="str">
        <f>VLOOKUP(Q663,'GL Category'!A:C,3,FALSE)</f>
        <v>Operations &amp; maintenance</v>
      </c>
      <c r="W663" s="125"/>
    </row>
    <row r="664" spans="1:24" s="83" customFormat="1" ht="20.399999999999999" customHeight="1">
      <c r="A664" s="608" t="s">
        <v>791</v>
      </c>
      <c r="B664" s="608" t="s">
        <v>2572</v>
      </c>
      <c r="C664" s="608" t="s">
        <v>167</v>
      </c>
      <c r="D664" s="609">
        <v>2725.05</v>
      </c>
      <c r="E664" s="609">
        <v>2659.6</v>
      </c>
      <c r="F664" s="609">
        <v>781.42</v>
      </c>
      <c r="G664" s="609">
        <v>368.43</v>
      </c>
      <c r="H664" s="609">
        <v>1000</v>
      </c>
      <c r="I664" s="609">
        <v>1883.98</v>
      </c>
      <c r="J664" s="609">
        <v>2000</v>
      </c>
      <c r="K664" s="609">
        <v>1000</v>
      </c>
      <c r="L664" s="609">
        <v>0</v>
      </c>
      <c r="M664" s="609">
        <v>0</v>
      </c>
      <c r="N664" s="587">
        <f t="shared" si="69"/>
        <v>1000</v>
      </c>
      <c r="O664"/>
      <c r="P664" s="490"/>
      <c r="Q664" t="str">
        <f t="shared" si="70"/>
        <v>51285</v>
      </c>
      <c r="R664" s="126" t="str">
        <f t="shared" si="71"/>
        <v>WEARING APPAREL</v>
      </c>
      <c r="S664" s="125" t="str">
        <f t="shared" si="72"/>
        <v>100</v>
      </c>
      <c r="T664" s="125" t="str">
        <f t="shared" si="73"/>
        <v>30</v>
      </c>
      <c r="U664" s="125" t="str">
        <f t="shared" si="74"/>
        <v>301</v>
      </c>
      <c r="V664" s="125" t="str">
        <f>VLOOKUP(Q664,'GL Category'!A:C,3,FALSE)</f>
        <v>Operations &amp; maintenance</v>
      </c>
      <c r="W664" s="125"/>
    </row>
    <row r="665" spans="1:24" s="541" customFormat="1" ht="20.399999999999999" customHeight="1">
      <c r="A665" s="608" t="s">
        <v>791</v>
      </c>
      <c r="B665" s="608" t="s">
        <v>2573</v>
      </c>
      <c r="C665" s="608" t="s">
        <v>169</v>
      </c>
      <c r="D665" s="609">
        <v>1801.87</v>
      </c>
      <c r="E665" s="609">
        <v>1746.11</v>
      </c>
      <c r="F665" s="609">
        <v>2028.19</v>
      </c>
      <c r="G665" s="609">
        <v>839.54</v>
      </c>
      <c r="H665" s="609">
        <v>2500</v>
      </c>
      <c r="I665" s="609">
        <v>2261.56</v>
      </c>
      <c r="J665" s="609">
        <v>2500</v>
      </c>
      <c r="K665" s="609">
        <v>1500</v>
      </c>
      <c r="L665" s="609">
        <v>0</v>
      </c>
      <c r="M665" s="609">
        <v>0</v>
      </c>
      <c r="N665" s="587">
        <f t="shared" si="69"/>
        <v>1500</v>
      </c>
      <c r="O665"/>
      <c r="P665" s="490"/>
      <c r="Q665" t="str">
        <f t="shared" si="70"/>
        <v>51299</v>
      </c>
      <c r="R665" s="540" t="str">
        <f t="shared" si="71"/>
        <v>MISCELLANEOUS SUPPLIES</v>
      </c>
      <c r="S665" s="538" t="str">
        <f t="shared" si="72"/>
        <v>100</v>
      </c>
      <c r="T665" s="125" t="str">
        <f t="shared" si="73"/>
        <v>30</v>
      </c>
      <c r="U665" s="125" t="str">
        <f t="shared" si="74"/>
        <v>301</v>
      </c>
      <c r="V665" s="538" t="str">
        <f>VLOOKUP(Q665,'GL Category'!A:C,3,FALSE)</f>
        <v>Operations &amp; maintenance</v>
      </c>
      <c r="W665" s="538"/>
      <c r="X665" s="83"/>
    </row>
    <row r="666" spans="1:24" s="83" customFormat="1" ht="20.399999999999999" customHeight="1">
      <c r="A666" s="608" t="s">
        <v>791</v>
      </c>
      <c r="B666" s="608" t="s">
        <v>2574</v>
      </c>
      <c r="C666" s="608" t="s">
        <v>171</v>
      </c>
      <c r="D666" s="609">
        <v>19256.28</v>
      </c>
      <c r="E666" s="609">
        <v>15206.09</v>
      </c>
      <c r="F666" s="609">
        <v>14157.37</v>
      </c>
      <c r="G666" s="609">
        <v>15088.86</v>
      </c>
      <c r="H666" s="609">
        <v>15000</v>
      </c>
      <c r="I666" s="609">
        <v>14122.9</v>
      </c>
      <c r="J666" s="609">
        <v>15000</v>
      </c>
      <c r="K666" s="609">
        <v>15000</v>
      </c>
      <c r="L666" s="609">
        <v>0</v>
      </c>
      <c r="M666" s="609">
        <v>0</v>
      </c>
      <c r="N666" s="587">
        <f t="shared" si="69"/>
        <v>15000</v>
      </c>
      <c r="O666"/>
      <c r="P666" s="490"/>
      <c r="Q666" t="str">
        <f t="shared" si="70"/>
        <v>52310</v>
      </c>
      <c r="R666" s="126" t="str">
        <f t="shared" si="71"/>
        <v>BUILDING MAINTENANCE</v>
      </c>
      <c r="S666" s="125" t="str">
        <f t="shared" si="72"/>
        <v>100</v>
      </c>
      <c r="T666" s="125" t="str">
        <f t="shared" si="73"/>
        <v>30</v>
      </c>
      <c r="U666" s="125" t="str">
        <f t="shared" si="74"/>
        <v>301</v>
      </c>
      <c r="V666" s="125" t="str">
        <f>VLOOKUP(Q666,'GL Category'!A:C,3,FALSE)</f>
        <v>Operations &amp; maintenance</v>
      </c>
      <c r="W666" s="125"/>
    </row>
    <row r="667" spans="1:24" s="541" customFormat="1" ht="20.399999999999999" customHeight="1">
      <c r="A667" s="608" t="s">
        <v>791</v>
      </c>
      <c r="B667" s="608" t="s">
        <v>2575</v>
      </c>
      <c r="C667" s="608" t="s">
        <v>175</v>
      </c>
      <c r="D667" s="609">
        <v>193.46</v>
      </c>
      <c r="E667" s="609">
        <v>89.15</v>
      </c>
      <c r="F667" s="609">
        <v>154.13</v>
      </c>
      <c r="G667" s="609">
        <v>156.41</v>
      </c>
      <c r="H667" s="609">
        <v>500</v>
      </c>
      <c r="I667" s="609">
        <v>158.69</v>
      </c>
      <c r="J667" s="609">
        <v>500</v>
      </c>
      <c r="K667" s="609">
        <v>500</v>
      </c>
      <c r="L667" s="609">
        <v>0</v>
      </c>
      <c r="M667" s="609">
        <v>0</v>
      </c>
      <c r="N667" s="587">
        <f t="shared" si="69"/>
        <v>500</v>
      </c>
      <c r="O667"/>
      <c r="P667" s="490"/>
      <c r="Q667" t="str">
        <f t="shared" si="70"/>
        <v>52440</v>
      </c>
      <c r="R667" s="540" t="str">
        <f t="shared" si="71"/>
        <v>RADIO MAINTENANCE</v>
      </c>
      <c r="S667" s="538" t="str">
        <f t="shared" si="72"/>
        <v>100</v>
      </c>
      <c r="T667" s="125" t="str">
        <f t="shared" si="73"/>
        <v>30</v>
      </c>
      <c r="U667" s="125" t="str">
        <f t="shared" si="74"/>
        <v>301</v>
      </c>
      <c r="V667" s="538" t="str">
        <f>VLOOKUP(Q667,'GL Category'!A:C,3,FALSE)</f>
        <v>Operations &amp; maintenance</v>
      </c>
      <c r="W667" s="538"/>
      <c r="X667" s="83"/>
    </row>
    <row r="668" spans="1:24" s="83" customFormat="1" ht="20.399999999999999" customHeight="1">
      <c r="A668" s="608" t="s">
        <v>791</v>
      </c>
      <c r="B668" s="608" t="s">
        <v>2576</v>
      </c>
      <c r="C668" s="608" t="s">
        <v>241</v>
      </c>
      <c r="D668" s="609">
        <v>583.17999999999995</v>
      </c>
      <c r="E668" s="609">
        <v>182.14</v>
      </c>
      <c r="F668" s="609">
        <v>79.84</v>
      </c>
      <c r="G668" s="609">
        <v>1221.23</v>
      </c>
      <c r="H668" s="609">
        <v>800</v>
      </c>
      <c r="I668" s="609">
        <v>460.59</v>
      </c>
      <c r="J668" s="609">
        <v>800</v>
      </c>
      <c r="K668" s="609">
        <v>800</v>
      </c>
      <c r="L668" s="609">
        <v>0</v>
      </c>
      <c r="M668" s="609">
        <v>0</v>
      </c>
      <c r="N668" s="587">
        <f t="shared" si="69"/>
        <v>800</v>
      </c>
      <c r="O668"/>
      <c r="P668" s="490"/>
      <c r="Q668" t="str">
        <f t="shared" si="70"/>
        <v>52460</v>
      </c>
      <c r="R668" s="126" t="str">
        <f t="shared" si="71"/>
        <v>VEHICLE MAINTENANCE</v>
      </c>
      <c r="S668" s="125" t="str">
        <f t="shared" si="72"/>
        <v>100</v>
      </c>
      <c r="T668" s="125" t="str">
        <f t="shared" si="73"/>
        <v>30</v>
      </c>
      <c r="U668" s="125" t="str">
        <f t="shared" si="74"/>
        <v>301</v>
      </c>
      <c r="V668" s="125" t="str">
        <f>VLOOKUP(Q668,'GL Category'!A:C,3,FALSE)</f>
        <v>Operations &amp; maintenance</v>
      </c>
      <c r="W668" s="125"/>
    </row>
    <row r="669" spans="1:24" s="83" customFormat="1" ht="20.399999999999999" customHeight="1">
      <c r="A669" s="608" t="s">
        <v>791</v>
      </c>
      <c r="B669" s="608" t="s">
        <v>2577</v>
      </c>
      <c r="C669" s="608" t="s">
        <v>236</v>
      </c>
      <c r="D669" s="609">
        <v>-18.18</v>
      </c>
      <c r="E669" s="609">
        <v>0</v>
      </c>
      <c r="F669" s="609">
        <v>102.67</v>
      </c>
      <c r="G669" s="609">
        <v>98.98</v>
      </c>
      <c r="H669" s="609">
        <v>500</v>
      </c>
      <c r="I669" s="609">
        <v>99.98</v>
      </c>
      <c r="J669" s="609">
        <v>500</v>
      </c>
      <c r="K669" s="609">
        <v>500</v>
      </c>
      <c r="L669" s="609">
        <v>0</v>
      </c>
      <c r="M669" s="609">
        <v>0</v>
      </c>
      <c r="N669" s="587">
        <f t="shared" si="69"/>
        <v>500</v>
      </c>
      <c r="O669"/>
      <c r="P669" s="490">
        <f t="shared" ref="P669:P681" si="75">N669-H669</f>
        <v>0</v>
      </c>
      <c r="Q669" t="str">
        <f t="shared" si="70"/>
        <v>52470</v>
      </c>
      <c r="R669" s="126" t="str">
        <f t="shared" si="71"/>
        <v>EQUIPMENT MAINTENANCE</v>
      </c>
      <c r="S669" s="125" t="str">
        <f t="shared" si="72"/>
        <v>100</v>
      </c>
      <c r="T669" s="125" t="str">
        <f t="shared" si="73"/>
        <v>30</v>
      </c>
      <c r="U669" s="125" t="str">
        <f t="shared" si="74"/>
        <v>301</v>
      </c>
      <c r="V669" s="125" t="str">
        <f>VLOOKUP(Q669,'GL Category'!A:C,3,FALSE)</f>
        <v>Operations &amp; maintenance</v>
      </c>
      <c r="W669" s="125"/>
    </row>
    <row r="670" spans="1:24" s="83" customFormat="1" ht="20.399999999999999" customHeight="1">
      <c r="A670" s="608" t="s">
        <v>791</v>
      </c>
      <c r="B670" s="608" t="s">
        <v>2578</v>
      </c>
      <c r="C670" s="608" t="s">
        <v>177</v>
      </c>
      <c r="D670" s="609">
        <v>0</v>
      </c>
      <c r="E670" s="609">
        <v>0</v>
      </c>
      <c r="F670" s="609">
        <v>0</v>
      </c>
      <c r="G670" s="609">
        <v>0</v>
      </c>
      <c r="H670" s="609">
        <v>0</v>
      </c>
      <c r="I670" s="609">
        <v>0</v>
      </c>
      <c r="J670" s="609">
        <v>0</v>
      </c>
      <c r="K670" s="609">
        <v>0</v>
      </c>
      <c r="L670" s="609">
        <v>0</v>
      </c>
      <c r="M670" s="609">
        <v>0</v>
      </c>
      <c r="N670" s="587">
        <f t="shared" si="69"/>
        <v>0</v>
      </c>
      <c r="O670"/>
      <c r="P670" s="490">
        <f t="shared" si="75"/>
        <v>0</v>
      </c>
      <c r="Q670" t="str">
        <f t="shared" si="70"/>
        <v>52480</v>
      </c>
      <c r="R670" s="126" t="str">
        <f t="shared" si="71"/>
        <v>OFFICE EQUIPMENT MAINTENANCE</v>
      </c>
      <c r="S670" s="125" t="str">
        <f t="shared" si="72"/>
        <v>100</v>
      </c>
      <c r="T670" s="125" t="str">
        <f t="shared" si="73"/>
        <v>30</v>
      </c>
      <c r="U670" s="125" t="str">
        <f t="shared" si="74"/>
        <v>301</v>
      </c>
      <c r="V670" s="125" t="str">
        <f>VLOOKUP(Q670,'GL Category'!A:C,3,FALSE)</f>
        <v>Operations &amp; maintenance</v>
      </c>
      <c r="W670" s="125"/>
    </row>
    <row r="671" spans="1:24" s="83" customFormat="1" ht="20.399999999999999" customHeight="1">
      <c r="A671" s="608" t="s">
        <v>791</v>
      </c>
      <c r="B671" s="608" t="s">
        <v>2579</v>
      </c>
      <c r="C671" s="608" t="s">
        <v>181</v>
      </c>
      <c r="D671" s="609">
        <v>12742.79</v>
      </c>
      <c r="E671" s="609">
        <v>10363.84</v>
      </c>
      <c r="F671" s="609">
        <v>26383.01</v>
      </c>
      <c r="G671" s="609">
        <v>31288.63</v>
      </c>
      <c r="H671" s="609">
        <v>20000</v>
      </c>
      <c r="I671" s="609">
        <v>11247.5</v>
      </c>
      <c r="J671" s="609">
        <v>20000</v>
      </c>
      <c r="K671" s="609">
        <v>20000</v>
      </c>
      <c r="L671" s="609">
        <v>0</v>
      </c>
      <c r="M671" s="609">
        <v>0</v>
      </c>
      <c r="N671" s="587">
        <f t="shared" si="69"/>
        <v>20000</v>
      </c>
      <c r="O671"/>
      <c r="P671" s="490">
        <f t="shared" si="75"/>
        <v>0</v>
      </c>
      <c r="Q671" t="str">
        <f t="shared" si="70"/>
        <v>52490</v>
      </c>
      <c r="R671" s="126" t="str">
        <f t="shared" si="71"/>
        <v>A/C &amp; HEATING MAINTENANCE</v>
      </c>
      <c r="S671" s="125" t="str">
        <f t="shared" si="72"/>
        <v>100</v>
      </c>
      <c r="T671" s="125" t="str">
        <f t="shared" si="73"/>
        <v>30</v>
      </c>
      <c r="U671" s="125" t="str">
        <f t="shared" si="74"/>
        <v>301</v>
      </c>
      <c r="V671" s="125" t="str">
        <f>VLOOKUP(Q671,'GL Category'!A:C,3,FALSE)</f>
        <v>Operations &amp; maintenance</v>
      </c>
      <c r="W671" s="125"/>
    </row>
    <row r="672" spans="1:24" s="83" customFormat="1" ht="20.399999999999999" customHeight="1">
      <c r="A672" s="608" t="s">
        <v>791</v>
      </c>
      <c r="B672" s="608" t="s">
        <v>2579</v>
      </c>
      <c r="C672" s="608" t="s">
        <v>181</v>
      </c>
      <c r="D672" s="609">
        <v>0</v>
      </c>
      <c r="E672" s="609">
        <v>18187.439999999999</v>
      </c>
      <c r="F672" s="609">
        <v>0</v>
      </c>
      <c r="G672" s="609">
        <v>0</v>
      </c>
      <c r="H672" s="609">
        <v>0</v>
      </c>
      <c r="I672" s="609">
        <v>0</v>
      </c>
      <c r="J672" s="609">
        <v>0</v>
      </c>
      <c r="K672" s="609">
        <v>0</v>
      </c>
      <c r="L672" s="609">
        <v>0</v>
      </c>
      <c r="M672" s="609">
        <v>0</v>
      </c>
      <c r="N672" s="587">
        <f t="shared" si="69"/>
        <v>0</v>
      </c>
      <c r="O672"/>
      <c r="P672" s="490">
        <f t="shared" si="75"/>
        <v>0</v>
      </c>
      <c r="Q672" t="str">
        <f t="shared" si="70"/>
        <v>52490</v>
      </c>
      <c r="R672" s="126" t="str">
        <f t="shared" si="71"/>
        <v>A/C &amp; HEATING MAINTENANCE</v>
      </c>
      <c r="S672" s="125" t="str">
        <f t="shared" si="72"/>
        <v>100</v>
      </c>
      <c r="T672" s="125" t="str">
        <f t="shared" si="73"/>
        <v>30</v>
      </c>
      <c r="U672" s="125" t="str">
        <f t="shared" si="74"/>
        <v>301</v>
      </c>
      <c r="V672" s="125" t="str">
        <f>VLOOKUP(Q672,'GL Category'!A:C,3,FALSE)</f>
        <v>Operations &amp; maintenance</v>
      </c>
      <c r="W672" s="125"/>
    </row>
    <row r="673" spans="1:23" s="83" customFormat="1" ht="20.399999999999999" customHeight="1">
      <c r="A673" s="608" t="s">
        <v>791</v>
      </c>
      <c r="B673" s="608" t="s">
        <v>2580</v>
      </c>
      <c r="C673" s="608" t="s">
        <v>187</v>
      </c>
      <c r="D673" s="609">
        <v>3900</v>
      </c>
      <c r="E673" s="609">
        <v>0</v>
      </c>
      <c r="F673" s="609">
        <v>0</v>
      </c>
      <c r="G673" s="609">
        <v>0</v>
      </c>
      <c r="H673" s="609">
        <v>0</v>
      </c>
      <c r="I673" s="609">
        <v>0</v>
      </c>
      <c r="J673" s="609">
        <v>0</v>
      </c>
      <c r="K673" s="609">
        <v>0</v>
      </c>
      <c r="L673" s="609">
        <v>0</v>
      </c>
      <c r="M673" s="609">
        <v>0</v>
      </c>
      <c r="N673" s="587">
        <f t="shared" si="69"/>
        <v>0</v>
      </c>
      <c r="O673"/>
      <c r="P673" s="490">
        <f t="shared" si="75"/>
        <v>0</v>
      </c>
      <c r="Q673" t="str">
        <f t="shared" si="70"/>
        <v>53507</v>
      </c>
      <c r="R673" s="126" t="str">
        <f t="shared" si="71"/>
        <v>ATTORNEY &amp; LEGAL SERVICES</v>
      </c>
      <c r="S673" s="125" t="str">
        <f t="shared" si="72"/>
        <v>100</v>
      </c>
      <c r="T673" s="125" t="str">
        <f t="shared" si="73"/>
        <v>30</v>
      </c>
      <c r="U673" s="125" t="str">
        <f t="shared" si="74"/>
        <v>301</v>
      </c>
      <c r="V673" s="125" t="str">
        <f>VLOOKUP(Q673,'GL Category'!A:C,3,FALSE)</f>
        <v>Services &amp; other</v>
      </c>
      <c r="W673" s="125"/>
    </row>
    <row r="674" spans="1:23" s="83" customFormat="1" ht="20.399999999999999" customHeight="1">
      <c r="A674" s="608" t="s">
        <v>791</v>
      </c>
      <c r="B674" s="608" t="s">
        <v>2582</v>
      </c>
      <c r="C674" s="608" t="s">
        <v>190</v>
      </c>
      <c r="D674" s="609">
        <v>1027.17</v>
      </c>
      <c r="E674" s="609">
        <v>1703</v>
      </c>
      <c r="F674" s="609">
        <v>1719</v>
      </c>
      <c r="G674" s="609">
        <v>2312</v>
      </c>
      <c r="H674" s="609">
        <v>1900</v>
      </c>
      <c r="I674" s="609">
        <v>1229.95</v>
      </c>
      <c r="J674" s="609">
        <v>1900</v>
      </c>
      <c r="K674" s="609">
        <v>1900</v>
      </c>
      <c r="L674" s="609">
        <v>0</v>
      </c>
      <c r="M674" s="609">
        <v>0</v>
      </c>
      <c r="N674" s="587">
        <f t="shared" si="69"/>
        <v>1900</v>
      </c>
      <c r="O674"/>
      <c r="P674" s="490">
        <f t="shared" si="75"/>
        <v>0</v>
      </c>
      <c r="Q674" t="str">
        <f t="shared" si="70"/>
        <v>53510</v>
      </c>
      <c r="R674" s="126" t="str">
        <f t="shared" si="71"/>
        <v>DUES &amp; SUBSCRIPTIONS</v>
      </c>
      <c r="S674" s="125" t="str">
        <f t="shared" si="72"/>
        <v>100</v>
      </c>
      <c r="T674" s="125" t="str">
        <f t="shared" si="73"/>
        <v>30</v>
      </c>
      <c r="U674" s="125" t="str">
        <f t="shared" si="74"/>
        <v>301</v>
      </c>
      <c r="V674" s="125" t="str">
        <f>VLOOKUP(Q674,'GL Category'!A:C,3,FALSE)</f>
        <v>Services &amp; other</v>
      </c>
      <c r="W674" s="125"/>
    </row>
    <row r="675" spans="1:23" s="83" customFormat="1" ht="20.399999999999999" customHeight="1">
      <c r="A675" s="608" t="s">
        <v>791</v>
      </c>
      <c r="B675" s="608" t="s">
        <v>2584</v>
      </c>
      <c r="C675" s="608" t="s">
        <v>193</v>
      </c>
      <c r="D675" s="609">
        <v>8500</v>
      </c>
      <c r="E675" s="609">
        <v>8500</v>
      </c>
      <c r="F675" s="609">
        <v>8500</v>
      </c>
      <c r="G675" s="609">
        <v>8500</v>
      </c>
      <c r="H675" s="609">
        <v>8500</v>
      </c>
      <c r="I675" s="609">
        <v>8500</v>
      </c>
      <c r="J675" s="609">
        <v>8500</v>
      </c>
      <c r="K675" s="609">
        <v>8500</v>
      </c>
      <c r="L675" s="609">
        <v>0</v>
      </c>
      <c r="M675" s="609">
        <v>0</v>
      </c>
      <c r="N675" s="587">
        <f t="shared" si="69"/>
        <v>8500</v>
      </c>
      <c r="O675"/>
      <c r="P675" s="490">
        <f t="shared" si="75"/>
        <v>0</v>
      </c>
      <c r="Q675" t="str">
        <f t="shared" si="70"/>
        <v>53513</v>
      </c>
      <c r="R675" s="126" t="str">
        <f t="shared" si="71"/>
        <v>CONSULTING SERVICES</v>
      </c>
      <c r="S675" s="125" t="str">
        <f t="shared" si="72"/>
        <v>100</v>
      </c>
      <c r="T675" s="125" t="str">
        <f t="shared" si="73"/>
        <v>30</v>
      </c>
      <c r="U675" s="125" t="str">
        <f t="shared" si="74"/>
        <v>301</v>
      </c>
      <c r="V675" s="125" t="str">
        <f>VLOOKUP(Q675,'GL Category'!A:C,3,FALSE)</f>
        <v>Services &amp; other</v>
      </c>
      <c r="W675" s="125"/>
    </row>
    <row r="676" spans="1:23" s="83" customFormat="1" ht="20.399999999999999" customHeight="1">
      <c r="A676" s="608" t="s">
        <v>791</v>
      </c>
      <c r="B676" s="608" t="s">
        <v>2583</v>
      </c>
      <c r="C676" s="608" t="s">
        <v>191</v>
      </c>
      <c r="D676" s="609">
        <v>175</v>
      </c>
      <c r="E676" s="609">
        <v>4320</v>
      </c>
      <c r="F676" s="609">
        <v>5296.38</v>
      </c>
      <c r="G676" s="609">
        <v>2317.04</v>
      </c>
      <c r="H676" s="609">
        <v>6000</v>
      </c>
      <c r="I676" s="609">
        <v>5089.53</v>
      </c>
      <c r="J676" s="609">
        <v>6000</v>
      </c>
      <c r="K676" s="609">
        <v>6000</v>
      </c>
      <c r="L676" s="609">
        <v>0</v>
      </c>
      <c r="M676" s="609">
        <v>0</v>
      </c>
      <c r="N676" s="587">
        <f t="shared" si="69"/>
        <v>6000</v>
      </c>
      <c r="O676"/>
      <c r="P676" s="490">
        <f t="shared" si="75"/>
        <v>0</v>
      </c>
      <c r="Q676" t="str">
        <f t="shared" si="70"/>
        <v>53515</v>
      </c>
      <c r="R676" s="126" t="str">
        <f t="shared" si="71"/>
        <v>TRAVEL, TRAINING &amp; EDUCATION</v>
      </c>
      <c r="S676" s="125" t="str">
        <f t="shared" si="72"/>
        <v>100</v>
      </c>
      <c r="T676" s="125" t="str">
        <f t="shared" si="73"/>
        <v>30</v>
      </c>
      <c r="U676" s="125" t="str">
        <f t="shared" si="74"/>
        <v>301</v>
      </c>
      <c r="V676" s="125" t="str">
        <f>VLOOKUP(Q676,'GL Category'!A:C,3,FALSE)</f>
        <v>Services &amp; other</v>
      </c>
      <c r="W676" s="125"/>
    </row>
    <row r="677" spans="1:23" s="83" customFormat="1" ht="20.399999999999999" customHeight="1">
      <c r="A677" s="608" t="s">
        <v>791</v>
      </c>
      <c r="B677" s="608" t="s">
        <v>2586</v>
      </c>
      <c r="C677" s="608" t="s">
        <v>258</v>
      </c>
      <c r="D677" s="609">
        <v>204</v>
      </c>
      <c r="E677" s="609">
        <v>1472.25</v>
      </c>
      <c r="F677" s="609">
        <v>1639.87</v>
      </c>
      <c r="G677" s="609">
        <v>1498.67</v>
      </c>
      <c r="H677" s="609">
        <v>1200</v>
      </c>
      <c r="I677" s="609">
        <v>1640.81</v>
      </c>
      <c r="J677" s="609">
        <v>1200</v>
      </c>
      <c r="K677" s="609">
        <v>1200</v>
      </c>
      <c r="L677" s="609">
        <v>0</v>
      </c>
      <c r="M677" s="609">
        <v>0</v>
      </c>
      <c r="N677" s="587">
        <f t="shared" si="69"/>
        <v>1200</v>
      </c>
      <c r="O677"/>
      <c r="P677" s="490">
        <f t="shared" si="75"/>
        <v>0</v>
      </c>
      <c r="Q677" t="str">
        <f t="shared" si="70"/>
        <v>53527</v>
      </c>
      <c r="R677" s="126" t="str">
        <f t="shared" si="71"/>
        <v>EMPLOYEE ACTIVITIES</v>
      </c>
      <c r="S677" s="125" t="str">
        <f t="shared" si="72"/>
        <v>100</v>
      </c>
      <c r="T677" s="125" t="str">
        <f t="shared" si="73"/>
        <v>30</v>
      </c>
      <c r="U677" s="125" t="str">
        <f t="shared" si="74"/>
        <v>301</v>
      </c>
      <c r="V677" s="125" t="str">
        <f>VLOOKUP(Q677,'GL Category'!A:C,3,FALSE)</f>
        <v>Services &amp; other</v>
      </c>
      <c r="W677" s="125"/>
    </row>
    <row r="678" spans="1:23" s="83" customFormat="1" ht="20.399999999999999" customHeight="1">
      <c r="A678" s="608" t="s">
        <v>791</v>
      </c>
      <c r="B678" s="608" t="s">
        <v>2588</v>
      </c>
      <c r="C678" s="608" t="s">
        <v>278</v>
      </c>
      <c r="D678" s="609">
        <v>12271.18</v>
      </c>
      <c r="E678" s="609">
        <v>14030.94</v>
      </c>
      <c r="F678" s="609">
        <v>27330.01</v>
      </c>
      <c r="G678" s="609">
        <v>26709.03</v>
      </c>
      <c r="H678" s="609">
        <v>29480</v>
      </c>
      <c r="I678" s="609">
        <v>29358.7</v>
      </c>
      <c r="J678" s="609">
        <v>29480</v>
      </c>
      <c r="K678" s="609">
        <v>29480</v>
      </c>
      <c r="L678" s="609">
        <v>0</v>
      </c>
      <c r="M678" s="609">
        <v>0</v>
      </c>
      <c r="N678" s="587">
        <f t="shared" si="69"/>
        <v>29480</v>
      </c>
      <c r="O678"/>
      <c r="P678" s="490">
        <f t="shared" si="75"/>
        <v>0</v>
      </c>
      <c r="Q678" t="str">
        <f t="shared" si="70"/>
        <v>53568</v>
      </c>
      <c r="R678" s="126" t="str">
        <f t="shared" si="71"/>
        <v>LAW ENFORCEMENT LIAB PREMIUMS</v>
      </c>
      <c r="S678" s="125" t="str">
        <f t="shared" si="72"/>
        <v>100</v>
      </c>
      <c r="T678" s="125" t="str">
        <f t="shared" si="73"/>
        <v>30</v>
      </c>
      <c r="U678" s="125" t="str">
        <f t="shared" si="74"/>
        <v>301</v>
      </c>
      <c r="V678" s="125" t="str">
        <f>VLOOKUP(Q678,'GL Category'!A:C,3,FALSE)</f>
        <v>Services &amp; other</v>
      </c>
      <c r="W678" s="125"/>
    </row>
    <row r="679" spans="1:23" s="83" customFormat="1" ht="20.399999999999999" customHeight="1">
      <c r="A679" s="608" t="s">
        <v>791</v>
      </c>
      <c r="B679" s="608" t="s">
        <v>2589</v>
      </c>
      <c r="C679" s="608" t="s">
        <v>211</v>
      </c>
      <c r="D679" s="609">
        <v>3672.8</v>
      </c>
      <c r="E679" s="609">
        <v>6319.3</v>
      </c>
      <c r="F679" s="609">
        <v>6159.2</v>
      </c>
      <c r="G679" s="609">
        <v>2666.8</v>
      </c>
      <c r="H679" s="609">
        <v>4000</v>
      </c>
      <c r="I679" s="609">
        <v>2055.6</v>
      </c>
      <c r="J679" s="609">
        <v>4000</v>
      </c>
      <c r="K679" s="609">
        <v>2000</v>
      </c>
      <c r="L679" s="609">
        <v>0</v>
      </c>
      <c r="M679" s="609">
        <v>0</v>
      </c>
      <c r="N679" s="587">
        <f t="shared" si="69"/>
        <v>2000</v>
      </c>
      <c r="O679"/>
      <c r="P679" s="490">
        <f t="shared" si="75"/>
        <v>-2000</v>
      </c>
      <c r="Q679" t="str">
        <f t="shared" si="70"/>
        <v>53570</v>
      </c>
      <c r="R679" s="126" t="str">
        <f t="shared" si="71"/>
        <v>TELEPHONE/COMMUNICATIONS</v>
      </c>
      <c r="S679" s="125" t="str">
        <f t="shared" si="72"/>
        <v>100</v>
      </c>
      <c r="T679" s="125" t="str">
        <f t="shared" si="73"/>
        <v>30</v>
      </c>
      <c r="U679" s="125" t="str">
        <f t="shared" si="74"/>
        <v>301</v>
      </c>
      <c r="V679" s="125" t="str">
        <f>VLOOKUP(Q679,'GL Category'!A:C,3,FALSE)</f>
        <v>Services &amp; other</v>
      </c>
      <c r="W679" s="125"/>
    </row>
    <row r="680" spans="1:23" s="83" customFormat="1" ht="20.399999999999999" customHeight="1">
      <c r="A680" s="608" t="s">
        <v>791</v>
      </c>
      <c r="B680" s="608" t="s">
        <v>2590</v>
      </c>
      <c r="C680" s="608" t="s">
        <v>213</v>
      </c>
      <c r="D680" s="609">
        <v>2853.12</v>
      </c>
      <c r="E680" s="609">
        <v>4713.03</v>
      </c>
      <c r="F680" s="609">
        <v>4972.4399999999996</v>
      </c>
      <c r="G680" s="609">
        <v>5507.68</v>
      </c>
      <c r="H680" s="609">
        <v>6340</v>
      </c>
      <c r="I680" s="609">
        <v>5446.88</v>
      </c>
      <c r="J680" s="609">
        <v>6340</v>
      </c>
      <c r="K680" s="609">
        <v>6340</v>
      </c>
      <c r="L680" s="609">
        <v>0</v>
      </c>
      <c r="M680" s="609">
        <v>0</v>
      </c>
      <c r="N680" s="587">
        <f t="shared" si="69"/>
        <v>6340</v>
      </c>
      <c r="O680"/>
      <c r="P680" s="490">
        <f t="shared" si="75"/>
        <v>0</v>
      </c>
      <c r="Q680" t="str">
        <f t="shared" si="70"/>
        <v>53571</v>
      </c>
      <c r="R680" s="126" t="str">
        <f t="shared" si="71"/>
        <v>NATURAL GAS UTILITY SERVICE</v>
      </c>
      <c r="S680" s="125" t="str">
        <f t="shared" si="72"/>
        <v>100</v>
      </c>
      <c r="T680" s="125" t="str">
        <f t="shared" si="73"/>
        <v>30</v>
      </c>
      <c r="U680" s="125" t="str">
        <f t="shared" si="74"/>
        <v>301</v>
      </c>
      <c r="V680" s="125" t="str">
        <f>VLOOKUP(Q680,'GL Category'!A:C,3,FALSE)</f>
        <v>Services &amp; other</v>
      </c>
      <c r="W680" s="125"/>
    </row>
    <row r="681" spans="1:23" s="83" customFormat="1" ht="20.399999999999999" customHeight="1">
      <c r="A681" s="608" t="s">
        <v>791</v>
      </c>
      <c r="B681" s="608" t="s">
        <v>2591</v>
      </c>
      <c r="C681" s="608" t="s">
        <v>215</v>
      </c>
      <c r="D681" s="609">
        <v>39572.300000000003</v>
      </c>
      <c r="E681" s="609">
        <v>39029.33</v>
      </c>
      <c r="F681" s="609">
        <v>57709.41</v>
      </c>
      <c r="G681" s="609">
        <v>69080.740000000005</v>
      </c>
      <c r="H681" s="609">
        <v>81570</v>
      </c>
      <c r="I681" s="609">
        <v>35130.410000000003</v>
      </c>
      <c r="J681" s="609">
        <v>59000</v>
      </c>
      <c r="K681" s="609">
        <v>81570</v>
      </c>
      <c r="L681" s="609">
        <v>0</v>
      </c>
      <c r="M681" s="609">
        <v>0</v>
      </c>
      <c r="N681" s="587">
        <f t="shared" si="69"/>
        <v>81570</v>
      </c>
      <c r="O681"/>
      <c r="P681" s="490">
        <f t="shared" si="75"/>
        <v>0</v>
      </c>
      <c r="Q681" t="str">
        <f t="shared" si="70"/>
        <v>53572</v>
      </c>
      <c r="R681" s="126" t="str">
        <f t="shared" si="71"/>
        <v>ELECTRICAL UTILITY SERVICE</v>
      </c>
      <c r="S681" s="125" t="str">
        <f t="shared" si="72"/>
        <v>100</v>
      </c>
      <c r="T681" s="125" t="str">
        <f t="shared" si="73"/>
        <v>30</v>
      </c>
      <c r="U681" s="125" t="str">
        <f t="shared" si="74"/>
        <v>301</v>
      </c>
      <c r="V681" s="125" t="str">
        <f>VLOOKUP(Q681,'GL Category'!A:C,3,FALSE)</f>
        <v>Services &amp; other</v>
      </c>
      <c r="W681" s="125"/>
    </row>
    <row r="682" spans="1:23" s="83" customFormat="1" ht="20.399999999999999" customHeight="1">
      <c r="A682" s="608" t="s">
        <v>791</v>
      </c>
      <c r="B682" s="608" t="s">
        <v>2592</v>
      </c>
      <c r="C682" s="608" t="s">
        <v>217</v>
      </c>
      <c r="D682" s="609">
        <v>7232.85</v>
      </c>
      <c r="E682" s="609">
        <v>8928.32</v>
      </c>
      <c r="F682" s="609">
        <v>13176.38</v>
      </c>
      <c r="G682" s="609">
        <v>11447.48</v>
      </c>
      <c r="H682" s="609">
        <v>8300</v>
      </c>
      <c r="I682" s="609">
        <v>16011.76</v>
      </c>
      <c r="J682" s="609">
        <v>17000</v>
      </c>
      <c r="K682" s="609">
        <v>8300</v>
      </c>
      <c r="L682" s="609">
        <v>0</v>
      </c>
      <c r="M682" s="609">
        <v>0</v>
      </c>
      <c r="N682" s="587">
        <f t="shared" si="69"/>
        <v>8300</v>
      </c>
      <c r="O682"/>
      <c r="P682" s="490"/>
      <c r="Q682" t="str">
        <f t="shared" si="70"/>
        <v>53574</v>
      </c>
      <c r="R682" s="126" t="str">
        <f t="shared" si="71"/>
        <v>WATER/SEWER UTILITY SERVICE</v>
      </c>
      <c r="S682" s="125" t="str">
        <f t="shared" si="72"/>
        <v>100</v>
      </c>
      <c r="T682" s="125" t="str">
        <f t="shared" si="73"/>
        <v>30</v>
      </c>
      <c r="U682" s="125" t="str">
        <f t="shared" si="74"/>
        <v>301</v>
      </c>
      <c r="V682" s="125" t="str">
        <f>VLOOKUP(Q682,'GL Category'!A:C,3,FALSE)</f>
        <v>Services &amp; other</v>
      </c>
      <c r="W682" s="125"/>
    </row>
    <row r="683" spans="1:23" s="83" customFormat="1" ht="20.399999999999999" customHeight="1">
      <c r="A683" s="608" t="s">
        <v>791</v>
      </c>
      <c r="B683" s="608" t="s">
        <v>2593</v>
      </c>
      <c r="C683" s="608" t="s">
        <v>248</v>
      </c>
      <c r="D683" s="609">
        <v>6183</v>
      </c>
      <c r="E683" s="609">
        <v>6183</v>
      </c>
      <c r="F683" s="609">
        <v>5983</v>
      </c>
      <c r="G683" s="609">
        <v>6483</v>
      </c>
      <c r="H683" s="609">
        <v>9210</v>
      </c>
      <c r="I683" s="609">
        <v>9712</v>
      </c>
      <c r="J683" s="609">
        <v>9210</v>
      </c>
      <c r="K683" s="609">
        <v>9210</v>
      </c>
      <c r="L683" s="609">
        <v>0</v>
      </c>
      <c r="M683" s="609">
        <v>0</v>
      </c>
      <c r="N683" s="587">
        <f t="shared" si="69"/>
        <v>9210</v>
      </c>
      <c r="O683"/>
      <c r="P683" s="490"/>
      <c r="Q683" t="str">
        <f t="shared" si="70"/>
        <v>53580</v>
      </c>
      <c r="R683" s="126" t="str">
        <f t="shared" si="71"/>
        <v>CONTRIBUTION TO OTHER ENTITY</v>
      </c>
      <c r="S683" s="125" t="str">
        <f t="shared" si="72"/>
        <v>100</v>
      </c>
      <c r="T683" s="125" t="str">
        <f t="shared" si="73"/>
        <v>30</v>
      </c>
      <c r="U683" s="125" t="str">
        <f t="shared" si="74"/>
        <v>301</v>
      </c>
      <c r="V683" s="125" t="str">
        <f>VLOOKUP(Q683,'GL Category'!A:C,3,FALSE)</f>
        <v>Services &amp; other</v>
      </c>
      <c r="W683" s="125"/>
    </row>
    <row r="684" spans="1:23" s="83" customFormat="1" ht="20.399999999999999" customHeight="1">
      <c r="A684" s="608" t="s">
        <v>791</v>
      </c>
      <c r="B684" s="608" t="s">
        <v>2581</v>
      </c>
      <c r="C684" s="608" t="s">
        <v>238</v>
      </c>
      <c r="D684" s="609">
        <v>0</v>
      </c>
      <c r="E684" s="609">
        <v>0</v>
      </c>
      <c r="F684" s="609">
        <v>3404.32</v>
      </c>
      <c r="G684" s="609">
        <v>1573.45</v>
      </c>
      <c r="H684" s="609">
        <v>0</v>
      </c>
      <c r="I684" s="609">
        <v>6509.8</v>
      </c>
      <c r="J684" s="609">
        <v>8000</v>
      </c>
      <c r="K684" s="609">
        <v>0</v>
      </c>
      <c r="L684" s="609">
        <v>0</v>
      </c>
      <c r="M684" s="609">
        <v>0</v>
      </c>
      <c r="N684" s="587">
        <f t="shared" si="69"/>
        <v>0</v>
      </c>
      <c r="O684"/>
      <c r="P684" s="490"/>
      <c r="Q684" t="str">
        <f t="shared" si="70"/>
        <v>53599</v>
      </c>
      <c r="R684" s="126" t="str">
        <f t="shared" si="71"/>
        <v>MISCELLANEOUS SERVICES</v>
      </c>
      <c r="S684" s="125" t="str">
        <f t="shared" si="72"/>
        <v>100</v>
      </c>
      <c r="T684" s="125" t="str">
        <f t="shared" si="73"/>
        <v>30</v>
      </c>
      <c r="U684" s="125" t="str">
        <f t="shared" si="74"/>
        <v>301</v>
      </c>
      <c r="V684" s="125" t="str">
        <f>VLOOKUP(Q684,'GL Category'!A:C,3,FALSE)</f>
        <v>Services &amp; other</v>
      </c>
      <c r="W684" s="125"/>
    </row>
    <row r="685" spans="1:23" s="83" customFormat="1" ht="20.399999999999999" customHeight="1">
      <c r="A685" s="608" t="s">
        <v>791</v>
      </c>
      <c r="B685" s="608" t="s">
        <v>2594</v>
      </c>
      <c r="C685" s="608" t="s">
        <v>221</v>
      </c>
      <c r="D685" s="609">
        <v>21121</v>
      </c>
      <c r="E685" s="609">
        <v>22179</v>
      </c>
      <c r="F685" s="609">
        <v>20760</v>
      </c>
      <c r="G685" s="609">
        <v>21491</v>
      </c>
      <c r="H685" s="609">
        <v>23300</v>
      </c>
      <c r="I685" s="609">
        <v>17475</v>
      </c>
      <c r="J685" s="609">
        <v>23300</v>
      </c>
      <c r="K685" s="609">
        <v>24272</v>
      </c>
      <c r="L685" s="609">
        <v>0</v>
      </c>
      <c r="M685" s="609">
        <v>0</v>
      </c>
      <c r="N685" s="587">
        <f t="shared" si="69"/>
        <v>24272</v>
      </c>
      <c r="O685"/>
      <c r="P685" s="490"/>
      <c r="Q685" t="str">
        <f t="shared" si="70"/>
        <v>55119</v>
      </c>
      <c r="R685" s="126" t="str">
        <f t="shared" si="71"/>
        <v>OFFICE EQUIP LEASE EXP-CITY</v>
      </c>
      <c r="S685" s="125" t="str">
        <f t="shared" si="72"/>
        <v>100</v>
      </c>
      <c r="T685" s="125" t="str">
        <f t="shared" si="73"/>
        <v>30</v>
      </c>
      <c r="U685" s="125" t="str">
        <f t="shared" si="74"/>
        <v>301</v>
      </c>
      <c r="V685" s="125" t="str">
        <f>VLOOKUP(Q685,'GL Category'!A:C,3,FALSE)</f>
        <v>Services &amp; other</v>
      </c>
      <c r="W685" s="125"/>
    </row>
    <row r="686" spans="1:23" s="83" customFormat="1" ht="20.399999999999999" customHeight="1">
      <c r="A686" s="608" t="s">
        <v>791</v>
      </c>
      <c r="B686" s="608" t="s">
        <v>2595</v>
      </c>
      <c r="C686" s="608" t="s">
        <v>130</v>
      </c>
      <c r="D686" s="609">
        <v>9658.5300000000007</v>
      </c>
      <c r="E686" s="609">
        <v>77838.66</v>
      </c>
      <c r="F686" s="609">
        <v>104298.25</v>
      </c>
      <c r="G686" s="609">
        <v>121649.84</v>
      </c>
      <c r="H686" s="609">
        <v>128378</v>
      </c>
      <c r="I686" s="609">
        <v>79380.38</v>
      </c>
      <c r="J686" s="609">
        <v>108265</v>
      </c>
      <c r="K686" s="609">
        <v>136240</v>
      </c>
      <c r="L686" s="609">
        <v>0</v>
      </c>
      <c r="M686" s="609">
        <v>0</v>
      </c>
      <c r="N686" s="587">
        <f t="shared" si="69"/>
        <v>136240</v>
      </c>
      <c r="O686"/>
      <c r="P686" s="490"/>
      <c r="Q686" t="str">
        <f t="shared" si="70"/>
        <v>50101</v>
      </c>
      <c r="R686" s="126" t="str">
        <f t="shared" si="71"/>
        <v>EXEMPT SALARIES</v>
      </c>
      <c r="S686" s="125" t="str">
        <f t="shared" si="72"/>
        <v>100</v>
      </c>
      <c r="T686" s="125" t="str">
        <f t="shared" si="73"/>
        <v>30</v>
      </c>
      <c r="U686" s="125" t="str">
        <f t="shared" si="74"/>
        <v>302</v>
      </c>
      <c r="V686" s="125" t="str">
        <f>VLOOKUP(Q686,'GL Category'!A:C,3,FALSE)</f>
        <v>Personnel services</v>
      </c>
      <c r="W686" s="125"/>
    </row>
    <row r="687" spans="1:23" s="83" customFormat="1" ht="20.399999999999999" customHeight="1">
      <c r="A687" s="608" t="s">
        <v>791</v>
      </c>
      <c r="B687" s="608" t="s">
        <v>2596</v>
      </c>
      <c r="C687" s="608" t="s">
        <v>132</v>
      </c>
      <c r="D687" s="609">
        <v>3270770.66</v>
      </c>
      <c r="E687" s="609">
        <v>3325585.51</v>
      </c>
      <c r="F687" s="609">
        <v>3624101.78</v>
      </c>
      <c r="G687" s="609">
        <v>3886415.03</v>
      </c>
      <c r="H687" s="609">
        <v>4316767</v>
      </c>
      <c r="I687" s="609">
        <v>3297642.34</v>
      </c>
      <c r="J687" s="609">
        <v>4350959</v>
      </c>
      <c r="K687" s="609">
        <v>4633321</v>
      </c>
      <c r="L687" s="609">
        <v>0</v>
      </c>
      <c r="M687" s="609">
        <v>0</v>
      </c>
      <c r="N687" s="587">
        <f t="shared" si="69"/>
        <v>4633321</v>
      </c>
      <c r="O687"/>
      <c r="P687" s="490"/>
      <c r="Q687" t="str">
        <f t="shared" si="70"/>
        <v>50102</v>
      </c>
      <c r="R687" s="126" t="str">
        <f t="shared" si="71"/>
        <v>NON EXEMPT SALARIES</v>
      </c>
      <c r="S687" s="125" t="str">
        <f t="shared" si="72"/>
        <v>100</v>
      </c>
      <c r="T687" s="125" t="str">
        <f t="shared" si="73"/>
        <v>30</v>
      </c>
      <c r="U687" s="125" t="str">
        <f t="shared" si="74"/>
        <v>302</v>
      </c>
      <c r="V687" s="125" t="str">
        <f>VLOOKUP(Q687,'GL Category'!A:C,3,FALSE)</f>
        <v>Personnel services</v>
      </c>
      <c r="W687" s="125"/>
    </row>
    <row r="688" spans="1:23" s="83" customFormat="1" ht="20.399999999999999" customHeight="1">
      <c r="A688" s="608" t="s">
        <v>791</v>
      </c>
      <c r="B688" s="608" t="s">
        <v>2597</v>
      </c>
      <c r="C688" s="608" t="s">
        <v>0</v>
      </c>
      <c r="D688" s="609">
        <v>146306.09</v>
      </c>
      <c r="E688" s="609">
        <v>163101.85999999999</v>
      </c>
      <c r="F688" s="609">
        <v>234675.56</v>
      </c>
      <c r="G688" s="609">
        <v>336932.56</v>
      </c>
      <c r="H688" s="609">
        <v>198518</v>
      </c>
      <c r="I688" s="609">
        <v>271215.88</v>
      </c>
      <c r="J688" s="609">
        <v>343479</v>
      </c>
      <c r="K688" s="609">
        <v>197082</v>
      </c>
      <c r="L688" s="609">
        <v>0</v>
      </c>
      <c r="M688" s="609">
        <v>0</v>
      </c>
      <c r="N688" s="587">
        <f t="shared" si="69"/>
        <v>197082</v>
      </c>
      <c r="O688"/>
      <c r="P688" s="490"/>
      <c r="Q688" t="str">
        <f t="shared" si="70"/>
        <v>50109</v>
      </c>
      <c r="R688" s="126" t="str">
        <f t="shared" si="71"/>
        <v>OVERTIME</v>
      </c>
      <c r="S688" s="125" t="str">
        <f t="shared" si="72"/>
        <v>100</v>
      </c>
      <c r="T688" s="125" t="str">
        <f t="shared" si="73"/>
        <v>30</v>
      </c>
      <c r="U688" s="125" t="str">
        <f t="shared" si="74"/>
        <v>302</v>
      </c>
      <c r="V688" s="125" t="str">
        <f>VLOOKUP(Q688,'GL Category'!A:C,3,FALSE)</f>
        <v>Personnel services</v>
      </c>
      <c r="W688" s="125"/>
    </row>
    <row r="689" spans="1:23" s="83" customFormat="1" ht="20.399999999999999" customHeight="1">
      <c r="A689" s="608" t="s">
        <v>791</v>
      </c>
      <c r="B689" s="608" t="s">
        <v>2598</v>
      </c>
      <c r="C689" s="608" t="s">
        <v>137</v>
      </c>
      <c r="D689" s="609">
        <v>24785</v>
      </c>
      <c r="E689" s="609">
        <v>26910</v>
      </c>
      <c r="F689" s="609">
        <v>25410</v>
      </c>
      <c r="G689" s="609">
        <v>26059</v>
      </c>
      <c r="H689" s="609">
        <v>28591</v>
      </c>
      <c r="I689" s="609">
        <v>27000</v>
      </c>
      <c r="J689" s="609">
        <v>27000</v>
      </c>
      <c r="K689" s="609">
        <v>28212</v>
      </c>
      <c r="L689" s="609">
        <v>0</v>
      </c>
      <c r="M689" s="609">
        <v>0</v>
      </c>
      <c r="N689" s="587">
        <f t="shared" si="69"/>
        <v>28212</v>
      </c>
      <c r="O689"/>
      <c r="P689" s="490"/>
      <c r="Q689" t="str">
        <f t="shared" si="70"/>
        <v>50111</v>
      </c>
      <c r="R689" s="126" t="str">
        <f t="shared" si="71"/>
        <v>LONGEVITY PAY</v>
      </c>
      <c r="S689" s="125" t="str">
        <f t="shared" si="72"/>
        <v>100</v>
      </c>
      <c r="T689" s="125" t="str">
        <f t="shared" si="73"/>
        <v>30</v>
      </c>
      <c r="U689" s="125" t="str">
        <f t="shared" si="74"/>
        <v>302</v>
      </c>
      <c r="V689" s="125" t="str">
        <f>VLOOKUP(Q689,'GL Category'!A:C,3,FALSE)</f>
        <v>Personnel services</v>
      </c>
      <c r="W689" s="125"/>
    </row>
    <row r="690" spans="1:23" s="83" customFormat="1" ht="20.399999999999999" customHeight="1">
      <c r="A690" s="608" t="s">
        <v>791</v>
      </c>
      <c r="B690" s="608" t="s">
        <v>2599</v>
      </c>
      <c r="C690" s="608" t="s">
        <v>283</v>
      </c>
      <c r="D690" s="609">
        <v>28594.65</v>
      </c>
      <c r="E690" s="609">
        <v>27347.14</v>
      </c>
      <c r="F690" s="609">
        <v>31933.53</v>
      </c>
      <c r="G690" s="609">
        <v>34173.54</v>
      </c>
      <c r="H690" s="609">
        <v>34200</v>
      </c>
      <c r="I690" s="609">
        <v>23701.5</v>
      </c>
      <c r="J690" s="609">
        <v>45774</v>
      </c>
      <c r="K690" s="609">
        <v>38200</v>
      </c>
      <c r="L690" s="609">
        <v>0</v>
      </c>
      <c r="M690" s="609">
        <v>0</v>
      </c>
      <c r="N690" s="587">
        <f t="shared" si="69"/>
        <v>38200</v>
      </c>
      <c r="O690"/>
      <c r="P690" s="490"/>
      <c r="Q690" t="str">
        <f t="shared" si="70"/>
        <v>50115</v>
      </c>
      <c r="R690" s="126" t="str">
        <f t="shared" si="71"/>
        <v>INCENTIVE/CERTIFICATION PAY</v>
      </c>
      <c r="S690" s="125" t="str">
        <f t="shared" si="72"/>
        <v>100</v>
      </c>
      <c r="T690" s="125" t="str">
        <f t="shared" si="73"/>
        <v>30</v>
      </c>
      <c r="U690" s="125" t="str">
        <f t="shared" si="74"/>
        <v>302</v>
      </c>
      <c r="V690" s="125" t="str">
        <f>VLOOKUP(Q690,'GL Category'!A:C,3,FALSE)</f>
        <v>Personnel services</v>
      </c>
      <c r="W690" s="125"/>
    </row>
    <row r="691" spans="1:23" s="83" customFormat="1" ht="20.399999999999999" customHeight="1">
      <c r="A691" s="608" t="s">
        <v>791</v>
      </c>
      <c r="B691" s="608" t="s">
        <v>2600</v>
      </c>
      <c r="C691" s="608" t="s">
        <v>1</v>
      </c>
      <c r="D691" s="609">
        <v>252953.16</v>
      </c>
      <c r="E691" s="609">
        <v>261808.3</v>
      </c>
      <c r="F691" s="609">
        <v>293851.46999999997</v>
      </c>
      <c r="G691" s="609">
        <v>319533.34999999998</v>
      </c>
      <c r="H691" s="609">
        <v>348570</v>
      </c>
      <c r="I691" s="609">
        <v>271242.71000000002</v>
      </c>
      <c r="J691" s="609">
        <v>356914</v>
      </c>
      <c r="K691" s="609">
        <v>372670</v>
      </c>
      <c r="L691" s="609">
        <v>0</v>
      </c>
      <c r="M691" s="609">
        <v>0</v>
      </c>
      <c r="N691" s="587">
        <f t="shared" si="69"/>
        <v>372670</v>
      </c>
      <c r="O691"/>
      <c r="P691" s="490"/>
      <c r="Q691" t="str">
        <f t="shared" si="70"/>
        <v>50610</v>
      </c>
      <c r="R691" s="126" t="str">
        <f t="shared" si="71"/>
        <v>SOCIAL SECURITY</v>
      </c>
      <c r="S691" s="125" t="str">
        <f t="shared" si="72"/>
        <v>100</v>
      </c>
      <c r="T691" s="125" t="str">
        <f t="shared" si="73"/>
        <v>30</v>
      </c>
      <c r="U691" s="125" t="str">
        <f t="shared" si="74"/>
        <v>302</v>
      </c>
      <c r="V691" s="125" t="str">
        <f>VLOOKUP(Q691,'GL Category'!A:C,3,FALSE)</f>
        <v>Personnel services</v>
      </c>
      <c r="W691" s="125"/>
    </row>
    <row r="692" spans="1:23" s="83" customFormat="1" ht="20.399999999999999" customHeight="1">
      <c r="A692" s="608" t="s">
        <v>791</v>
      </c>
      <c r="B692" s="608" t="s">
        <v>2601</v>
      </c>
      <c r="C692" s="608" t="s">
        <v>142</v>
      </c>
      <c r="D692" s="609">
        <v>636429.54</v>
      </c>
      <c r="E692" s="609">
        <v>685873.39</v>
      </c>
      <c r="F692" s="609">
        <v>721338.58</v>
      </c>
      <c r="G692" s="609">
        <v>723466.27</v>
      </c>
      <c r="H692" s="609">
        <v>738721</v>
      </c>
      <c r="I692" s="609">
        <v>547697.73</v>
      </c>
      <c r="J692" s="609">
        <v>758885</v>
      </c>
      <c r="K692" s="609">
        <v>774269</v>
      </c>
      <c r="L692" s="609">
        <v>0</v>
      </c>
      <c r="M692" s="609">
        <v>0</v>
      </c>
      <c r="N692" s="587">
        <f t="shared" si="69"/>
        <v>774269</v>
      </c>
      <c r="O692"/>
      <c r="P692" s="490"/>
      <c r="Q692" t="str">
        <f t="shared" si="70"/>
        <v>50620</v>
      </c>
      <c r="R692" s="126" t="str">
        <f t="shared" si="71"/>
        <v>HEALTH/LIFE INSURANCE</v>
      </c>
      <c r="S692" s="125" t="str">
        <f t="shared" si="72"/>
        <v>100</v>
      </c>
      <c r="T692" s="125" t="str">
        <f t="shared" si="73"/>
        <v>30</v>
      </c>
      <c r="U692" s="125" t="str">
        <f t="shared" si="74"/>
        <v>302</v>
      </c>
      <c r="V692" s="125" t="str">
        <f>VLOOKUP(Q692,'GL Category'!A:C,3,FALSE)</f>
        <v>Personnel services</v>
      </c>
      <c r="W692" s="125"/>
    </row>
    <row r="693" spans="1:23" s="83" customFormat="1" ht="20.399999999999999" customHeight="1">
      <c r="A693" s="608" t="s">
        <v>791</v>
      </c>
      <c r="B693" s="608" t="s">
        <v>2602</v>
      </c>
      <c r="C693" s="608" t="s">
        <v>144</v>
      </c>
      <c r="D693" s="609">
        <v>24374.37</v>
      </c>
      <c r="E693" s="609">
        <v>24029.57</v>
      </c>
      <c r="F693" s="609">
        <v>26139.119999999999</v>
      </c>
      <c r="G693" s="609">
        <v>52360.12</v>
      </c>
      <c r="H693" s="609">
        <v>73460</v>
      </c>
      <c r="I693" s="609">
        <v>73399.98</v>
      </c>
      <c r="J693" s="609">
        <v>73400</v>
      </c>
      <c r="K693" s="609">
        <v>81514</v>
      </c>
      <c r="L693" s="609">
        <v>0</v>
      </c>
      <c r="M693" s="609">
        <v>0</v>
      </c>
      <c r="N693" s="587">
        <f t="shared" si="69"/>
        <v>81514</v>
      </c>
      <c r="O693"/>
      <c r="P693" s="490"/>
      <c r="Q693" t="str">
        <f t="shared" si="70"/>
        <v>50630</v>
      </c>
      <c r="R693" s="126" t="str">
        <f t="shared" si="71"/>
        <v>WORKER COMPENSATION</v>
      </c>
      <c r="S693" s="125" t="str">
        <f t="shared" si="72"/>
        <v>100</v>
      </c>
      <c r="T693" s="125" t="str">
        <f t="shared" si="73"/>
        <v>30</v>
      </c>
      <c r="U693" s="125" t="str">
        <f t="shared" si="74"/>
        <v>302</v>
      </c>
      <c r="V693" s="125" t="str">
        <f>VLOOKUP(Q693,'GL Category'!A:C,3,FALSE)</f>
        <v>Personnel services</v>
      </c>
      <c r="W693" s="125"/>
    </row>
    <row r="694" spans="1:23" s="83" customFormat="1" ht="20.399999999999999" customHeight="1">
      <c r="A694" s="608" t="s">
        <v>791</v>
      </c>
      <c r="B694" s="608" t="s">
        <v>2603</v>
      </c>
      <c r="C694" s="608" t="s">
        <v>2</v>
      </c>
      <c r="D694" s="609">
        <v>554024.81999999995</v>
      </c>
      <c r="E694" s="609">
        <v>585949.23</v>
      </c>
      <c r="F694" s="609">
        <v>653449.56000000006</v>
      </c>
      <c r="G694" s="609">
        <v>713036.52</v>
      </c>
      <c r="H694" s="609">
        <v>779847</v>
      </c>
      <c r="I694" s="609">
        <v>612126.4</v>
      </c>
      <c r="J694" s="609">
        <v>798664</v>
      </c>
      <c r="K694" s="609">
        <v>853857</v>
      </c>
      <c r="L694" s="609">
        <v>0</v>
      </c>
      <c r="M694" s="609">
        <v>0</v>
      </c>
      <c r="N694" s="587">
        <f t="shared" si="69"/>
        <v>853857</v>
      </c>
      <c r="O694"/>
      <c r="P694" s="490"/>
      <c r="Q694" t="str">
        <f t="shared" si="70"/>
        <v>50650</v>
      </c>
      <c r="R694" s="126" t="str">
        <f t="shared" si="71"/>
        <v>RETIREMENT</v>
      </c>
      <c r="S694" s="125" t="str">
        <f t="shared" si="72"/>
        <v>100</v>
      </c>
      <c r="T694" s="125" t="str">
        <f t="shared" si="73"/>
        <v>30</v>
      </c>
      <c r="U694" s="125" t="str">
        <f t="shared" si="74"/>
        <v>302</v>
      </c>
      <c r="V694" s="125" t="str">
        <f>VLOOKUP(Q694,'GL Category'!A:C,3,FALSE)</f>
        <v>Personnel services</v>
      </c>
      <c r="W694" s="125"/>
    </row>
    <row r="695" spans="1:23" s="83" customFormat="1" ht="20.399999999999999" customHeight="1">
      <c r="A695" s="608" t="s">
        <v>791</v>
      </c>
      <c r="B695" s="608" t="s">
        <v>2604</v>
      </c>
      <c r="C695" s="608" t="s">
        <v>149</v>
      </c>
      <c r="D695" s="609">
        <v>0</v>
      </c>
      <c r="E695" s="609">
        <v>59</v>
      </c>
      <c r="F695" s="609">
        <v>547.75</v>
      </c>
      <c r="G695" s="609">
        <v>0</v>
      </c>
      <c r="H695" s="609">
        <v>0</v>
      </c>
      <c r="I695" s="609">
        <v>0</v>
      </c>
      <c r="J695" s="609">
        <v>0</v>
      </c>
      <c r="K695" s="609">
        <v>0</v>
      </c>
      <c r="L695" s="609">
        <v>0</v>
      </c>
      <c r="M695" s="609">
        <v>0</v>
      </c>
      <c r="N695" s="587">
        <f t="shared" si="69"/>
        <v>0</v>
      </c>
      <c r="O695"/>
      <c r="P695" s="490"/>
      <c r="Q695" t="str">
        <f t="shared" si="70"/>
        <v>51210</v>
      </c>
      <c r="R695" s="126" t="str">
        <f t="shared" si="71"/>
        <v>OFFICE SUPPLIES</v>
      </c>
      <c r="S695" s="125" t="str">
        <f t="shared" si="72"/>
        <v>100</v>
      </c>
      <c r="T695" s="125" t="str">
        <f t="shared" si="73"/>
        <v>30</v>
      </c>
      <c r="U695" s="125" t="str">
        <f t="shared" si="74"/>
        <v>302</v>
      </c>
      <c r="V695" s="125" t="str">
        <f>VLOOKUP(Q695,'GL Category'!A:C,3,FALSE)</f>
        <v>Operations &amp; maintenance</v>
      </c>
      <c r="W695" s="125"/>
    </row>
    <row r="696" spans="1:23" s="83" customFormat="1" ht="20.399999999999999" customHeight="1">
      <c r="A696" s="608" t="s">
        <v>791</v>
      </c>
      <c r="B696" s="608" t="s">
        <v>2605</v>
      </c>
      <c r="C696" s="608" t="s">
        <v>4</v>
      </c>
      <c r="D696" s="609">
        <v>7676.68</v>
      </c>
      <c r="E696" s="609">
        <v>10712.91</v>
      </c>
      <c r="F696" s="609">
        <v>13943.86</v>
      </c>
      <c r="G696" s="609">
        <v>14339.59</v>
      </c>
      <c r="H696" s="609">
        <v>10000</v>
      </c>
      <c r="I696" s="609">
        <v>7417.87</v>
      </c>
      <c r="J696" s="609">
        <v>10000</v>
      </c>
      <c r="K696" s="609">
        <v>10000</v>
      </c>
      <c r="L696" s="609">
        <v>0</v>
      </c>
      <c r="M696" s="609">
        <v>0</v>
      </c>
      <c r="N696" s="587">
        <f t="shared" si="69"/>
        <v>10000</v>
      </c>
      <c r="O696"/>
      <c r="P696" s="490"/>
      <c r="Q696" t="str">
        <f t="shared" si="70"/>
        <v>51245</v>
      </c>
      <c r="R696" s="126" t="str">
        <f t="shared" si="71"/>
        <v>SMALL TOOLS &amp; EQUIPMENT</v>
      </c>
      <c r="S696" s="125" t="str">
        <f t="shared" si="72"/>
        <v>100</v>
      </c>
      <c r="T696" s="125" t="str">
        <f t="shared" si="73"/>
        <v>30</v>
      </c>
      <c r="U696" s="125" t="str">
        <f t="shared" si="74"/>
        <v>302</v>
      </c>
      <c r="V696" s="125" t="str">
        <f>VLOOKUP(Q696,'GL Category'!A:C,3,FALSE)</f>
        <v>Operations &amp; maintenance</v>
      </c>
      <c r="W696" s="125"/>
    </row>
    <row r="697" spans="1:23" s="83" customFormat="1" ht="20.399999999999999" customHeight="1">
      <c r="A697" s="608" t="s">
        <v>791</v>
      </c>
      <c r="B697" s="608" t="s">
        <v>2605</v>
      </c>
      <c r="C697" s="608" t="s">
        <v>4</v>
      </c>
      <c r="D697" s="609">
        <v>0</v>
      </c>
      <c r="E697" s="609">
        <v>0</v>
      </c>
      <c r="F697" s="609">
        <v>0</v>
      </c>
      <c r="G697" s="609">
        <v>0</v>
      </c>
      <c r="H697" s="609">
        <v>0</v>
      </c>
      <c r="I697" s="609">
        <v>0</v>
      </c>
      <c r="J697" s="609">
        <v>0</v>
      </c>
      <c r="K697" s="609">
        <v>0</v>
      </c>
      <c r="L697" s="609">
        <v>0</v>
      </c>
      <c r="M697" s="609">
        <v>0</v>
      </c>
      <c r="N697" s="587">
        <f t="shared" si="69"/>
        <v>0</v>
      </c>
      <c r="O697"/>
      <c r="P697" s="490"/>
      <c r="Q697" t="str">
        <f t="shared" si="70"/>
        <v>51245</v>
      </c>
      <c r="R697" s="126" t="str">
        <f t="shared" si="71"/>
        <v>SMALL TOOLS &amp; EQUIPMENT</v>
      </c>
      <c r="S697" s="125" t="str">
        <f t="shared" si="72"/>
        <v>100</v>
      </c>
      <c r="T697" s="125" t="str">
        <f t="shared" si="73"/>
        <v>30</v>
      </c>
      <c r="U697" s="125" t="str">
        <f t="shared" si="74"/>
        <v>302</v>
      </c>
      <c r="V697" s="125" t="str">
        <f>VLOOKUP(Q697,'GL Category'!A:C,3,FALSE)</f>
        <v>Operations &amp; maintenance</v>
      </c>
      <c r="W697" s="125"/>
    </row>
    <row r="698" spans="1:23" s="83" customFormat="1" ht="20.399999999999999" customHeight="1">
      <c r="A698" s="608" t="s">
        <v>791</v>
      </c>
      <c r="B698" s="608" t="s">
        <v>2606</v>
      </c>
      <c r="C698" s="608" t="s">
        <v>161</v>
      </c>
      <c r="D698" s="609">
        <v>56288.15</v>
      </c>
      <c r="E698" s="609">
        <v>74297.759999999995</v>
      </c>
      <c r="F698" s="609">
        <v>106072.04</v>
      </c>
      <c r="G698" s="609">
        <v>91012.12</v>
      </c>
      <c r="H698" s="609">
        <v>122000</v>
      </c>
      <c r="I698" s="609">
        <v>66963.25</v>
      </c>
      <c r="J698" s="609">
        <v>120000</v>
      </c>
      <c r="K698" s="609">
        <v>122000</v>
      </c>
      <c r="L698" s="609">
        <v>0</v>
      </c>
      <c r="M698" s="609">
        <v>0</v>
      </c>
      <c r="N698" s="587">
        <f t="shared" si="69"/>
        <v>122000</v>
      </c>
      <c r="O698"/>
      <c r="P698" s="490"/>
      <c r="Q698" t="str">
        <f t="shared" si="70"/>
        <v>51255</v>
      </c>
      <c r="R698" s="126" t="str">
        <f t="shared" si="71"/>
        <v>FUEL/OILS/LUBRICANTS</v>
      </c>
      <c r="S698" s="125" t="str">
        <f t="shared" si="72"/>
        <v>100</v>
      </c>
      <c r="T698" s="125" t="str">
        <f t="shared" si="73"/>
        <v>30</v>
      </c>
      <c r="U698" s="125" t="str">
        <f t="shared" si="74"/>
        <v>302</v>
      </c>
      <c r="V698" s="125" t="str">
        <f>VLOOKUP(Q698,'GL Category'!A:C,3,FALSE)</f>
        <v>Operations &amp; maintenance</v>
      </c>
      <c r="W698" s="125"/>
    </row>
    <row r="699" spans="1:23" s="83" customFormat="1" ht="20.399999999999999" customHeight="1">
      <c r="A699" s="608" t="s">
        <v>791</v>
      </c>
      <c r="B699" s="608" t="s">
        <v>2607</v>
      </c>
      <c r="C699" s="608" t="s">
        <v>167</v>
      </c>
      <c r="D699" s="609">
        <v>41946.55</v>
      </c>
      <c r="E699" s="609">
        <v>47075.64</v>
      </c>
      <c r="F699" s="609">
        <v>54518</v>
      </c>
      <c r="G699" s="609">
        <v>50032.02</v>
      </c>
      <c r="H699" s="609">
        <v>48000</v>
      </c>
      <c r="I699" s="609">
        <v>44937.83</v>
      </c>
      <c r="J699" s="609">
        <v>48000</v>
      </c>
      <c r="K699" s="609">
        <v>48000</v>
      </c>
      <c r="L699" s="609">
        <v>0</v>
      </c>
      <c r="M699" s="609">
        <v>0</v>
      </c>
      <c r="N699" s="587">
        <f t="shared" si="69"/>
        <v>48000</v>
      </c>
      <c r="O699"/>
      <c r="P699" s="490"/>
      <c r="Q699" t="str">
        <f t="shared" si="70"/>
        <v>51285</v>
      </c>
      <c r="R699" s="126" t="str">
        <f t="shared" si="71"/>
        <v>WEARING APPAREL</v>
      </c>
      <c r="S699" s="125" t="str">
        <f t="shared" si="72"/>
        <v>100</v>
      </c>
      <c r="T699" s="125" t="str">
        <f t="shared" si="73"/>
        <v>30</v>
      </c>
      <c r="U699" s="125" t="str">
        <f t="shared" si="74"/>
        <v>302</v>
      </c>
      <c r="V699" s="125" t="str">
        <f>VLOOKUP(Q699,'GL Category'!A:C,3,FALSE)</f>
        <v>Operations &amp; maintenance</v>
      </c>
      <c r="W699" s="125"/>
    </row>
    <row r="700" spans="1:23" s="83" customFormat="1" ht="20.399999999999999" customHeight="1">
      <c r="A700" s="608" t="s">
        <v>791</v>
      </c>
      <c r="B700" s="608" t="s">
        <v>2608</v>
      </c>
      <c r="C700" s="608" t="s">
        <v>334</v>
      </c>
      <c r="D700" s="609">
        <v>0</v>
      </c>
      <c r="E700" s="609">
        <v>0</v>
      </c>
      <c r="F700" s="609">
        <v>8835.3700000000008</v>
      </c>
      <c r="G700" s="609">
        <v>3827.5</v>
      </c>
      <c r="H700" s="609">
        <v>10000</v>
      </c>
      <c r="I700" s="609">
        <v>6727.5</v>
      </c>
      <c r="J700" s="609">
        <v>10000</v>
      </c>
      <c r="K700" s="609">
        <v>10000</v>
      </c>
      <c r="L700" s="609">
        <v>0</v>
      </c>
      <c r="M700" s="609">
        <v>0</v>
      </c>
      <c r="N700" s="587">
        <f t="shared" si="69"/>
        <v>10000</v>
      </c>
      <c r="O700"/>
      <c r="P700" s="490"/>
      <c r="Q700" t="str">
        <f t="shared" si="70"/>
        <v>51291</v>
      </c>
      <c r="R700" s="126" t="str">
        <f t="shared" si="71"/>
        <v>BULLET PROOF VEST SUPPLIES</v>
      </c>
      <c r="S700" s="125" t="str">
        <f t="shared" si="72"/>
        <v>100</v>
      </c>
      <c r="T700" s="125" t="str">
        <f t="shared" si="73"/>
        <v>30</v>
      </c>
      <c r="U700" s="125" t="str">
        <f t="shared" si="74"/>
        <v>302</v>
      </c>
      <c r="V700" s="125" t="str">
        <f>VLOOKUP(Q700,'GL Category'!A:C,3,FALSE)</f>
        <v>Operations &amp; maintenance</v>
      </c>
      <c r="W700" s="125"/>
    </row>
    <row r="701" spans="1:23" s="83" customFormat="1" ht="20.399999999999999" customHeight="1">
      <c r="A701" s="608" t="s">
        <v>791</v>
      </c>
      <c r="B701" s="608" t="s">
        <v>2609</v>
      </c>
      <c r="C701" s="608" t="s">
        <v>254</v>
      </c>
      <c r="D701" s="609">
        <v>12699.67</v>
      </c>
      <c r="E701" s="609">
        <v>2620.08</v>
      </c>
      <c r="F701" s="609">
        <v>760.72</v>
      </c>
      <c r="G701" s="609">
        <v>3339.62</v>
      </c>
      <c r="H701" s="609">
        <v>2200</v>
      </c>
      <c r="I701" s="609">
        <v>2112.2600000000002</v>
      </c>
      <c r="J701" s="609">
        <v>2200</v>
      </c>
      <c r="K701" s="609">
        <v>2200</v>
      </c>
      <c r="L701" s="609">
        <v>0</v>
      </c>
      <c r="M701" s="609">
        <v>0</v>
      </c>
      <c r="N701" s="587">
        <f t="shared" si="69"/>
        <v>2200</v>
      </c>
      <c r="O701"/>
      <c r="P701" s="490"/>
      <c r="Q701" t="str">
        <f t="shared" si="70"/>
        <v>51292</v>
      </c>
      <c r="R701" s="126" t="str">
        <f t="shared" si="71"/>
        <v>TRAINING SUPPLIES</v>
      </c>
      <c r="S701" s="125" t="str">
        <f t="shared" si="72"/>
        <v>100</v>
      </c>
      <c r="T701" s="125" t="str">
        <f t="shared" si="73"/>
        <v>30</v>
      </c>
      <c r="U701" s="125" t="str">
        <f t="shared" si="74"/>
        <v>302</v>
      </c>
      <c r="V701" s="125" t="str">
        <f>VLOOKUP(Q701,'GL Category'!A:C,3,FALSE)</f>
        <v>Operations &amp; maintenance</v>
      </c>
      <c r="W701" s="125"/>
    </row>
    <row r="702" spans="1:23" s="83" customFormat="1" ht="20.399999999999999" customHeight="1">
      <c r="A702" s="608" t="s">
        <v>791</v>
      </c>
      <c r="B702" s="608" t="s">
        <v>2610</v>
      </c>
      <c r="C702" s="608" t="s">
        <v>1120</v>
      </c>
      <c r="D702" s="609">
        <v>0</v>
      </c>
      <c r="E702" s="609">
        <v>6627.12</v>
      </c>
      <c r="F702" s="609">
        <v>14967.45</v>
      </c>
      <c r="G702" s="609">
        <v>66760.570000000007</v>
      </c>
      <c r="H702" s="609">
        <v>22800</v>
      </c>
      <c r="I702" s="609">
        <v>6491.6</v>
      </c>
      <c r="J702" s="609">
        <v>22800</v>
      </c>
      <c r="K702" s="609">
        <v>22800</v>
      </c>
      <c r="L702" s="609">
        <v>0</v>
      </c>
      <c r="M702" s="609">
        <v>0</v>
      </c>
      <c r="N702" s="587">
        <f t="shared" si="69"/>
        <v>22800</v>
      </c>
      <c r="O702"/>
      <c r="P702" s="490"/>
      <c r="Q702" t="str">
        <f t="shared" si="70"/>
        <v>51295</v>
      </c>
      <c r="R702" s="126" t="str">
        <f t="shared" si="71"/>
        <v>AMMUNITION</v>
      </c>
      <c r="S702" s="125" t="str">
        <f t="shared" si="72"/>
        <v>100</v>
      </c>
      <c r="T702" s="125" t="str">
        <f t="shared" si="73"/>
        <v>30</v>
      </c>
      <c r="U702" s="125" t="str">
        <f t="shared" si="74"/>
        <v>302</v>
      </c>
      <c r="V702" s="125" t="str">
        <f>VLOOKUP(Q702,'GL Category'!A:C,3,FALSE)</f>
        <v>Operations &amp; maintenance</v>
      </c>
      <c r="W702" s="125"/>
    </row>
    <row r="703" spans="1:23" s="83" customFormat="1" ht="20.399999999999999" customHeight="1">
      <c r="A703" s="608" t="s">
        <v>791</v>
      </c>
      <c r="B703" s="608" t="s">
        <v>2611</v>
      </c>
      <c r="C703" s="608" t="s">
        <v>169</v>
      </c>
      <c r="D703" s="609">
        <v>0</v>
      </c>
      <c r="E703" s="609">
        <v>0</v>
      </c>
      <c r="F703" s="609">
        <v>0</v>
      </c>
      <c r="G703" s="609">
        <v>0</v>
      </c>
      <c r="H703" s="609">
        <v>0</v>
      </c>
      <c r="I703" s="609">
        <v>0</v>
      </c>
      <c r="J703" s="609">
        <v>0</v>
      </c>
      <c r="K703" s="609">
        <v>0</v>
      </c>
      <c r="L703" s="609">
        <v>0</v>
      </c>
      <c r="M703" s="609">
        <v>0</v>
      </c>
      <c r="N703" s="587">
        <f t="shared" si="69"/>
        <v>0</v>
      </c>
      <c r="O703"/>
      <c r="P703" s="490"/>
      <c r="Q703" t="str">
        <f t="shared" si="70"/>
        <v>51299</v>
      </c>
      <c r="R703" s="126" t="str">
        <f t="shared" si="71"/>
        <v>MISCELLANEOUS SUPPLIES</v>
      </c>
      <c r="S703" s="125" t="str">
        <f t="shared" si="72"/>
        <v>100</v>
      </c>
      <c r="T703" s="125" t="str">
        <f t="shared" si="73"/>
        <v>30</v>
      </c>
      <c r="U703" s="125" t="str">
        <f t="shared" si="74"/>
        <v>302</v>
      </c>
      <c r="V703" s="125" t="str">
        <f>VLOOKUP(Q703,'GL Category'!A:C,3,FALSE)</f>
        <v>Operations &amp; maintenance</v>
      </c>
      <c r="W703" s="125"/>
    </row>
    <row r="704" spans="1:23" s="83" customFormat="1" ht="20.399999999999999" customHeight="1">
      <c r="A704" s="608" t="s">
        <v>791</v>
      </c>
      <c r="B704" s="608" t="s">
        <v>2613</v>
      </c>
      <c r="C704" s="608" t="s">
        <v>175</v>
      </c>
      <c r="D704" s="609">
        <v>8064.93</v>
      </c>
      <c r="E704" s="609">
        <v>8630.83</v>
      </c>
      <c r="F704" s="609">
        <v>10175.34</v>
      </c>
      <c r="G704" s="609">
        <v>8158.58</v>
      </c>
      <c r="H704" s="609">
        <v>7200</v>
      </c>
      <c r="I704" s="609">
        <v>10041.76</v>
      </c>
      <c r="J704" s="609">
        <v>10100</v>
      </c>
      <c r="K704" s="609">
        <v>7200</v>
      </c>
      <c r="L704" s="609">
        <v>0</v>
      </c>
      <c r="M704" s="609">
        <v>0</v>
      </c>
      <c r="N704" s="587">
        <f t="shared" si="69"/>
        <v>7200</v>
      </c>
      <c r="O704"/>
      <c r="P704" s="490">
        <f t="shared" ref="P704:P712" si="76">N704-H704</f>
        <v>0</v>
      </c>
      <c r="Q704" t="str">
        <f t="shared" si="70"/>
        <v>52440</v>
      </c>
      <c r="R704" s="126" t="str">
        <f t="shared" si="71"/>
        <v>RADIO MAINTENANCE</v>
      </c>
      <c r="S704" s="125" t="str">
        <f t="shared" si="72"/>
        <v>100</v>
      </c>
      <c r="T704" s="125" t="str">
        <f t="shared" si="73"/>
        <v>30</v>
      </c>
      <c r="U704" s="125" t="str">
        <f t="shared" si="74"/>
        <v>302</v>
      </c>
      <c r="V704" s="125" t="str">
        <f>VLOOKUP(Q704,'GL Category'!A:C,3,FALSE)</f>
        <v>Operations &amp; maintenance</v>
      </c>
      <c r="W704" s="125"/>
    </row>
    <row r="705" spans="1:23" s="83" customFormat="1" ht="20.399999999999999" customHeight="1">
      <c r="A705" s="608" t="s">
        <v>791</v>
      </c>
      <c r="B705" s="608" t="s">
        <v>2614</v>
      </c>
      <c r="C705" s="608" t="s">
        <v>241</v>
      </c>
      <c r="D705" s="609">
        <v>73051.87</v>
      </c>
      <c r="E705" s="609">
        <v>52855.14</v>
      </c>
      <c r="F705" s="609">
        <v>92682.17</v>
      </c>
      <c r="G705" s="609">
        <v>101714.83</v>
      </c>
      <c r="H705" s="609">
        <v>66500</v>
      </c>
      <c r="I705" s="609">
        <v>61889.79</v>
      </c>
      <c r="J705" s="609">
        <v>66500</v>
      </c>
      <c r="K705" s="609">
        <v>66500</v>
      </c>
      <c r="L705" s="609">
        <v>0</v>
      </c>
      <c r="M705" s="609">
        <v>0</v>
      </c>
      <c r="N705" s="587">
        <f t="shared" si="69"/>
        <v>66500</v>
      </c>
      <c r="O705"/>
      <c r="P705" s="490">
        <f t="shared" si="76"/>
        <v>0</v>
      </c>
      <c r="Q705" t="str">
        <f t="shared" si="70"/>
        <v>52460</v>
      </c>
      <c r="R705" s="126" t="str">
        <f t="shared" si="71"/>
        <v>VEHICLE MAINTENANCE</v>
      </c>
      <c r="S705" s="125" t="str">
        <f t="shared" si="72"/>
        <v>100</v>
      </c>
      <c r="T705" s="125" t="str">
        <f t="shared" si="73"/>
        <v>30</v>
      </c>
      <c r="U705" s="125" t="str">
        <f t="shared" si="74"/>
        <v>302</v>
      </c>
      <c r="V705" s="125" t="str">
        <f>VLOOKUP(Q705,'GL Category'!A:C,3,FALSE)</f>
        <v>Operations &amp; maintenance</v>
      </c>
      <c r="W705" s="125"/>
    </row>
    <row r="706" spans="1:23" s="83" customFormat="1" ht="20.399999999999999" customHeight="1">
      <c r="A706" s="608" t="s">
        <v>791</v>
      </c>
      <c r="B706" s="608" t="s">
        <v>2614</v>
      </c>
      <c r="C706" s="608" t="s">
        <v>241</v>
      </c>
      <c r="D706" s="609">
        <v>0</v>
      </c>
      <c r="E706" s="609">
        <v>34769</v>
      </c>
      <c r="F706" s="609">
        <v>23588</v>
      </c>
      <c r="G706" s="609">
        <v>0</v>
      </c>
      <c r="H706" s="609">
        <v>0</v>
      </c>
      <c r="I706" s="609">
        <v>0</v>
      </c>
      <c r="J706" s="609">
        <v>0</v>
      </c>
      <c r="K706" s="609">
        <v>0</v>
      </c>
      <c r="L706" s="609">
        <v>0</v>
      </c>
      <c r="M706" s="609">
        <v>0</v>
      </c>
      <c r="N706" s="587">
        <f t="shared" si="69"/>
        <v>0</v>
      </c>
      <c r="O706"/>
      <c r="P706" s="490">
        <f t="shared" si="76"/>
        <v>0</v>
      </c>
      <c r="Q706" t="str">
        <f t="shared" si="70"/>
        <v>52460</v>
      </c>
      <c r="R706" s="126" t="str">
        <f t="shared" si="71"/>
        <v>VEHICLE MAINTENANCE</v>
      </c>
      <c r="S706" s="125" t="str">
        <f t="shared" si="72"/>
        <v>100</v>
      </c>
      <c r="T706" s="125" t="str">
        <f t="shared" si="73"/>
        <v>30</v>
      </c>
      <c r="U706" s="125" t="str">
        <f t="shared" si="74"/>
        <v>302</v>
      </c>
      <c r="V706" s="125" t="str">
        <f>VLOOKUP(Q706,'GL Category'!A:C,3,FALSE)</f>
        <v>Operations &amp; maintenance</v>
      </c>
      <c r="W706" s="125"/>
    </row>
    <row r="707" spans="1:23" s="83" customFormat="1" ht="20.399999999999999" customHeight="1">
      <c r="A707" s="608" t="s">
        <v>791</v>
      </c>
      <c r="B707" s="608" t="s">
        <v>2615</v>
      </c>
      <c r="C707" s="608" t="s">
        <v>236</v>
      </c>
      <c r="D707" s="609">
        <v>2585.2800000000002</v>
      </c>
      <c r="E707" s="609">
        <v>2432.0500000000002</v>
      </c>
      <c r="F707" s="609">
        <v>2114.9699999999998</v>
      </c>
      <c r="G707" s="609">
        <v>2494.65</v>
      </c>
      <c r="H707" s="609">
        <v>2500</v>
      </c>
      <c r="I707" s="609">
        <v>1350.5</v>
      </c>
      <c r="J707" s="609">
        <v>2500</v>
      </c>
      <c r="K707" s="609">
        <v>2500</v>
      </c>
      <c r="L707" s="609">
        <v>0</v>
      </c>
      <c r="M707" s="609">
        <v>0</v>
      </c>
      <c r="N707" s="587">
        <f t="shared" si="69"/>
        <v>2500</v>
      </c>
      <c r="O707"/>
      <c r="P707" s="490">
        <f t="shared" si="76"/>
        <v>0</v>
      </c>
      <c r="Q707" t="str">
        <f t="shared" si="70"/>
        <v>52470</v>
      </c>
      <c r="R707" s="126" t="str">
        <f t="shared" si="71"/>
        <v>EQUIPMENT MAINTENANCE</v>
      </c>
      <c r="S707" s="125" t="str">
        <f t="shared" si="72"/>
        <v>100</v>
      </c>
      <c r="T707" s="125" t="str">
        <f t="shared" si="73"/>
        <v>30</v>
      </c>
      <c r="U707" s="125" t="str">
        <f t="shared" si="74"/>
        <v>302</v>
      </c>
      <c r="V707" s="125" t="str">
        <f>VLOOKUP(Q707,'GL Category'!A:C,3,FALSE)</f>
        <v>Operations &amp; maintenance</v>
      </c>
      <c r="W707" s="125"/>
    </row>
    <row r="708" spans="1:23" s="83" customFormat="1" ht="20.399999999999999" customHeight="1">
      <c r="A708" s="608" t="s">
        <v>791</v>
      </c>
      <c r="B708" s="608" t="s">
        <v>2617</v>
      </c>
      <c r="C708" s="608" t="s">
        <v>190</v>
      </c>
      <c r="D708" s="609">
        <v>2200.98</v>
      </c>
      <c r="E708" s="609">
        <v>2098.88</v>
      </c>
      <c r="F708" s="609">
        <v>2197.0700000000002</v>
      </c>
      <c r="G708" s="609">
        <v>2350.81</v>
      </c>
      <c r="H708" s="609">
        <v>2500</v>
      </c>
      <c r="I708" s="609">
        <v>503</v>
      </c>
      <c r="J708" s="609">
        <v>2500</v>
      </c>
      <c r="K708" s="609">
        <v>2500</v>
      </c>
      <c r="L708" s="609">
        <v>0</v>
      </c>
      <c r="M708" s="609">
        <v>0</v>
      </c>
      <c r="N708" s="587">
        <f t="shared" ref="N708:N771" si="77">SUM(K708:M708)</f>
        <v>2500</v>
      </c>
      <c r="O708"/>
      <c r="P708" s="490">
        <f t="shared" si="76"/>
        <v>0</v>
      </c>
      <c r="Q708" t="str">
        <f t="shared" ref="Q708:Q771" si="78">MID(B708,12,5)</f>
        <v>53510</v>
      </c>
      <c r="R708" s="126" t="str">
        <f t="shared" ref="R708:R771" si="79">C708</f>
        <v>DUES &amp; SUBSCRIPTIONS</v>
      </c>
      <c r="S708" s="125" t="str">
        <f t="shared" ref="S708:S771" si="80">LEFT(B708,3)</f>
        <v>100</v>
      </c>
      <c r="T708" s="125" t="str">
        <f t="shared" ref="T708:T771" si="81">MID(B708,5,2)</f>
        <v>30</v>
      </c>
      <c r="U708" s="125" t="str">
        <f t="shared" ref="U708:U771" si="82">MID(B708,8,3)</f>
        <v>302</v>
      </c>
      <c r="V708" s="125" t="str">
        <f>VLOOKUP(Q708,'GL Category'!A:C,3,FALSE)</f>
        <v>Services &amp; other</v>
      </c>
      <c r="W708" s="125"/>
    </row>
    <row r="709" spans="1:23" s="83" customFormat="1" ht="20.399999999999999" customHeight="1">
      <c r="A709" s="608" t="s">
        <v>791</v>
      </c>
      <c r="B709" s="608" t="s">
        <v>2618</v>
      </c>
      <c r="C709" s="608" t="s">
        <v>191</v>
      </c>
      <c r="D709" s="609">
        <v>22206.85</v>
      </c>
      <c r="E709" s="609">
        <v>32299.61</v>
      </c>
      <c r="F709" s="609">
        <v>28641.64</v>
      </c>
      <c r="G709" s="609">
        <v>38752.85</v>
      </c>
      <c r="H709" s="609">
        <v>40000</v>
      </c>
      <c r="I709" s="609">
        <v>23713.9</v>
      </c>
      <c r="J709" s="609">
        <v>40000</v>
      </c>
      <c r="K709" s="609">
        <v>40000</v>
      </c>
      <c r="L709" s="609">
        <v>0</v>
      </c>
      <c r="M709" s="609">
        <v>0</v>
      </c>
      <c r="N709" s="587">
        <f t="shared" si="77"/>
        <v>40000</v>
      </c>
      <c r="O709"/>
      <c r="P709" s="490">
        <f t="shared" si="76"/>
        <v>0</v>
      </c>
      <c r="Q709" t="str">
        <f t="shared" si="78"/>
        <v>53515</v>
      </c>
      <c r="R709" s="126" t="str">
        <f t="shared" si="79"/>
        <v>TRAVEL, TRAINING &amp; EDUCATION</v>
      </c>
      <c r="S709" s="125" t="str">
        <f t="shared" si="80"/>
        <v>100</v>
      </c>
      <c r="T709" s="125" t="str">
        <f t="shared" si="81"/>
        <v>30</v>
      </c>
      <c r="U709" s="125" t="str">
        <f t="shared" si="82"/>
        <v>302</v>
      </c>
      <c r="V709" s="125" t="str">
        <f>VLOOKUP(Q709,'GL Category'!A:C,3,FALSE)</f>
        <v>Services &amp; other</v>
      </c>
      <c r="W709" s="125"/>
    </row>
    <row r="710" spans="1:23" s="83" customFormat="1" ht="20.399999999999999" customHeight="1">
      <c r="A710" s="608" t="s">
        <v>791</v>
      </c>
      <c r="B710" s="608" t="s">
        <v>2619</v>
      </c>
      <c r="C710" s="608" t="s">
        <v>195</v>
      </c>
      <c r="D710" s="609">
        <v>0</v>
      </c>
      <c r="E710" s="609">
        <v>0</v>
      </c>
      <c r="F710" s="609">
        <v>0</v>
      </c>
      <c r="G710" s="609">
        <v>0</v>
      </c>
      <c r="H710" s="609">
        <v>500</v>
      </c>
      <c r="I710" s="609">
        <v>0</v>
      </c>
      <c r="J710" s="609">
        <v>500</v>
      </c>
      <c r="K710" s="609">
        <v>500</v>
      </c>
      <c r="L710" s="609">
        <v>0</v>
      </c>
      <c r="M710" s="609">
        <v>0</v>
      </c>
      <c r="N710" s="587">
        <f t="shared" si="77"/>
        <v>500</v>
      </c>
      <c r="O710"/>
      <c r="P710" s="490">
        <f t="shared" si="76"/>
        <v>0</v>
      </c>
      <c r="Q710" t="str">
        <f t="shared" si="78"/>
        <v>53517</v>
      </c>
      <c r="R710" s="126" t="str">
        <f t="shared" si="79"/>
        <v>MEDICAL SERVICES</v>
      </c>
      <c r="S710" s="125" t="str">
        <f t="shared" si="80"/>
        <v>100</v>
      </c>
      <c r="T710" s="125" t="str">
        <f t="shared" si="81"/>
        <v>30</v>
      </c>
      <c r="U710" s="125" t="str">
        <f t="shared" si="82"/>
        <v>302</v>
      </c>
      <c r="V710" s="125" t="str">
        <f>VLOOKUP(Q710,'GL Category'!A:C,3,FALSE)</f>
        <v>Services &amp; other</v>
      </c>
      <c r="W710" s="125"/>
    </row>
    <row r="711" spans="1:23" s="83" customFormat="1" ht="20.399999999999999" customHeight="1">
      <c r="A711" s="608" t="s">
        <v>791</v>
      </c>
      <c r="B711" s="608" t="s">
        <v>2620</v>
      </c>
      <c r="C711" s="608" t="s">
        <v>282</v>
      </c>
      <c r="D711" s="609">
        <v>41693.49</v>
      </c>
      <c r="E711" s="609">
        <v>53887</v>
      </c>
      <c r="F711" s="609">
        <v>54258</v>
      </c>
      <c r="G711" s="609">
        <v>59043.67</v>
      </c>
      <c r="H711" s="609">
        <v>55000</v>
      </c>
      <c r="I711" s="609">
        <v>46490.61</v>
      </c>
      <c r="J711" s="609">
        <v>55000</v>
      </c>
      <c r="K711" s="609">
        <v>55000</v>
      </c>
      <c r="L711" s="609">
        <v>0</v>
      </c>
      <c r="M711" s="609">
        <v>0</v>
      </c>
      <c r="N711" s="587">
        <f t="shared" si="77"/>
        <v>55000</v>
      </c>
      <c r="O711"/>
      <c r="P711" s="490">
        <f t="shared" si="76"/>
        <v>0</v>
      </c>
      <c r="Q711" t="str">
        <f t="shared" si="78"/>
        <v>53526</v>
      </c>
      <c r="R711" s="126" t="str">
        <f t="shared" si="79"/>
        <v>LABORATORY SERVICES</v>
      </c>
      <c r="S711" s="125" t="str">
        <f t="shared" si="80"/>
        <v>100</v>
      </c>
      <c r="T711" s="125" t="str">
        <f t="shared" si="81"/>
        <v>30</v>
      </c>
      <c r="U711" s="125" t="str">
        <f t="shared" si="82"/>
        <v>302</v>
      </c>
      <c r="V711" s="125" t="str">
        <f>VLOOKUP(Q711,'GL Category'!A:C,3,FALSE)</f>
        <v>Services &amp; other</v>
      </c>
      <c r="W711" s="125"/>
    </row>
    <row r="712" spans="1:23" s="83" customFormat="1" ht="20.399999999999999" customHeight="1">
      <c r="A712" s="608" t="s">
        <v>791</v>
      </c>
      <c r="B712" s="608" t="s">
        <v>2621</v>
      </c>
      <c r="C712" s="608" t="s">
        <v>200</v>
      </c>
      <c r="D712" s="609">
        <v>4078.73</v>
      </c>
      <c r="E712" s="609">
        <v>1089.82</v>
      </c>
      <c r="F712" s="609">
        <v>529.75</v>
      </c>
      <c r="G712" s="609">
        <v>9960.7099999999991</v>
      </c>
      <c r="H712" s="609">
        <v>4000</v>
      </c>
      <c r="I712" s="609">
        <v>8499</v>
      </c>
      <c r="J712" s="609">
        <v>8500</v>
      </c>
      <c r="K712" s="609">
        <v>4000</v>
      </c>
      <c r="L712" s="609">
        <v>0</v>
      </c>
      <c r="M712" s="609">
        <v>0</v>
      </c>
      <c r="N712" s="587">
        <f t="shared" si="77"/>
        <v>4000</v>
      </c>
      <c r="O712"/>
      <c r="P712" s="490">
        <f t="shared" si="76"/>
        <v>0</v>
      </c>
      <c r="Q712" t="str">
        <f t="shared" si="78"/>
        <v>53533</v>
      </c>
      <c r="R712" s="126" t="str">
        <f t="shared" si="79"/>
        <v>EMPLOYEE RECRUITING/TESTING</v>
      </c>
      <c r="S712" s="125" t="str">
        <f t="shared" si="80"/>
        <v>100</v>
      </c>
      <c r="T712" s="125" t="str">
        <f t="shared" si="81"/>
        <v>30</v>
      </c>
      <c r="U712" s="125" t="str">
        <f t="shared" si="82"/>
        <v>302</v>
      </c>
      <c r="V712" s="125" t="str">
        <f>VLOOKUP(Q712,'GL Category'!A:C,3,FALSE)</f>
        <v>Services &amp; other</v>
      </c>
      <c r="W712" s="125"/>
    </row>
    <row r="713" spans="1:23" s="83" customFormat="1" ht="20.399999999999999" customHeight="1">
      <c r="A713" s="608" t="s">
        <v>791</v>
      </c>
      <c r="B713" s="608" t="s">
        <v>2622</v>
      </c>
      <c r="C713" s="608" t="s">
        <v>203</v>
      </c>
      <c r="D713" s="609">
        <v>605</v>
      </c>
      <c r="E713" s="609">
        <v>1941.4</v>
      </c>
      <c r="F713" s="609">
        <v>380</v>
      </c>
      <c r="G713" s="609">
        <v>1699.95</v>
      </c>
      <c r="H713" s="609">
        <v>1500</v>
      </c>
      <c r="I713" s="609">
        <v>770</v>
      </c>
      <c r="J713" s="609">
        <v>1500</v>
      </c>
      <c r="K713" s="609">
        <v>3000</v>
      </c>
      <c r="L713" s="609">
        <v>0</v>
      </c>
      <c r="M713" s="609">
        <v>0</v>
      </c>
      <c r="N713" s="587">
        <f t="shared" si="77"/>
        <v>3000</v>
      </c>
      <c r="O713"/>
      <c r="P713" s="490"/>
      <c r="Q713" t="str">
        <f t="shared" si="78"/>
        <v>53540</v>
      </c>
      <c r="R713" s="126" t="str">
        <f t="shared" si="79"/>
        <v>PRINTING &amp; BINDING SERVICES</v>
      </c>
      <c r="S713" s="125" t="str">
        <f t="shared" si="80"/>
        <v>100</v>
      </c>
      <c r="T713" s="125" t="str">
        <f t="shared" si="81"/>
        <v>30</v>
      </c>
      <c r="U713" s="125" t="str">
        <f t="shared" si="82"/>
        <v>302</v>
      </c>
      <c r="V713" s="125" t="str">
        <f>VLOOKUP(Q713,'GL Category'!A:C,3,FALSE)</f>
        <v>Services &amp; other</v>
      </c>
      <c r="W713" s="125"/>
    </row>
    <row r="714" spans="1:23" s="83" customFormat="1" ht="20.399999999999999" customHeight="1">
      <c r="A714" s="608" t="s">
        <v>791</v>
      </c>
      <c r="B714" s="608" t="s">
        <v>2624</v>
      </c>
      <c r="C714" s="608" t="s">
        <v>211</v>
      </c>
      <c r="D714" s="609">
        <v>169.3</v>
      </c>
      <c r="E714" s="609">
        <v>0</v>
      </c>
      <c r="F714" s="609">
        <v>217.9</v>
      </c>
      <c r="G714" s="609">
        <v>0</v>
      </c>
      <c r="H714" s="609">
        <v>0</v>
      </c>
      <c r="I714" s="609">
        <v>0</v>
      </c>
      <c r="J714" s="609">
        <v>0</v>
      </c>
      <c r="K714" s="609">
        <v>0</v>
      </c>
      <c r="L714" s="609">
        <v>0</v>
      </c>
      <c r="M714" s="609">
        <v>0</v>
      </c>
      <c r="N714" s="587">
        <f t="shared" si="77"/>
        <v>0</v>
      </c>
      <c r="O714"/>
      <c r="P714" s="490"/>
      <c r="Q714" t="str">
        <f t="shared" si="78"/>
        <v>53570</v>
      </c>
      <c r="R714" s="126" t="str">
        <f t="shared" si="79"/>
        <v>TELEPHONE/COMMUNICATIONS</v>
      </c>
      <c r="S714" s="125" t="str">
        <f t="shared" si="80"/>
        <v>100</v>
      </c>
      <c r="T714" s="125" t="str">
        <f t="shared" si="81"/>
        <v>30</v>
      </c>
      <c r="U714" s="125" t="str">
        <f t="shared" si="82"/>
        <v>302</v>
      </c>
      <c r="V714" s="125" t="str">
        <f>VLOOKUP(Q714,'GL Category'!A:C,3,FALSE)</f>
        <v>Services &amp; other</v>
      </c>
      <c r="W714" s="125"/>
    </row>
    <row r="715" spans="1:23" s="83" customFormat="1" ht="20.399999999999999" customHeight="1">
      <c r="A715" s="608" t="s">
        <v>791</v>
      </c>
      <c r="B715" s="608" t="s">
        <v>2616</v>
      </c>
      <c r="C715" s="608" t="s">
        <v>238</v>
      </c>
      <c r="D715" s="609">
        <v>2847.81</v>
      </c>
      <c r="E715" s="609">
        <v>3463</v>
      </c>
      <c r="F715" s="609">
        <v>3085.37</v>
      </c>
      <c r="G715" s="609">
        <v>2180.31</v>
      </c>
      <c r="H715" s="609">
        <v>2500</v>
      </c>
      <c r="I715" s="609">
        <v>2202.38</v>
      </c>
      <c r="J715" s="609">
        <v>2500</v>
      </c>
      <c r="K715" s="609">
        <v>2500</v>
      </c>
      <c r="L715" s="609">
        <v>0</v>
      </c>
      <c r="M715" s="609">
        <v>0</v>
      </c>
      <c r="N715" s="587">
        <f t="shared" si="77"/>
        <v>2500</v>
      </c>
      <c r="O715"/>
      <c r="P715" s="490"/>
      <c r="Q715" t="str">
        <f t="shared" si="78"/>
        <v>53599</v>
      </c>
      <c r="R715" s="126" t="str">
        <f t="shared" si="79"/>
        <v>MISCELLANEOUS SERVICES</v>
      </c>
      <c r="S715" s="125" t="str">
        <f t="shared" si="80"/>
        <v>100</v>
      </c>
      <c r="T715" s="125" t="str">
        <f t="shared" si="81"/>
        <v>30</v>
      </c>
      <c r="U715" s="125" t="str">
        <f t="shared" si="82"/>
        <v>302</v>
      </c>
      <c r="V715" s="125" t="str">
        <f>VLOOKUP(Q715,'GL Category'!A:C,3,FALSE)</f>
        <v>Services &amp; other</v>
      </c>
      <c r="W715" s="125"/>
    </row>
    <row r="716" spans="1:23" s="83" customFormat="1" ht="20.399999999999999" customHeight="1">
      <c r="A716" s="608" t="s">
        <v>791</v>
      </c>
      <c r="B716" s="608" t="s">
        <v>2625</v>
      </c>
      <c r="C716" s="608" t="s">
        <v>221</v>
      </c>
      <c r="D716" s="609">
        <v>70256</v>
      </c>
      <c r="E716" s="609">
        <v>83191</v>
      </c>
      <c r="F716" s="609">
        <v>80817</v>
      </c>
      <c r="G716" s="609">
        <v>83965</v>
      </c>
      <c r="H716" s="609">
        <v>114940</v>
      </c>
      <c r="I716" s="609">
        <v>86205</v>
      </c>
      <c r="J716" s="609">
        <v>114940</v>
      </c>
      <c r="K716" s="609">
        <v>125575</v>
      </c>
      <c r="L716" s="609">
        <v>0</v>
      </c>
      <c r="M716" s="609">
        <v>0</v>
      </c>
      <c r="N716" s="587">
        <f t="shared" si="77"/>
        <v>125575</v>
      </c>
      <c r="O716"/>
      <c r="P716" s="490"/>
      <c r="Q716" t="str">
        <f t="shared" si="78"/>
        <v>55119</v>
      </c>
      <c r="R716" s="126" t="str">
        <f t="shared" si="79"/>
        <v>OFFICE EQUIP LEASE EXP-CITY</v>
      </c>
      <c r="S716" s="125" t="str">
        <f t="shared" si="80"/>
        <v>100</v>
      </c>
      <c r="T716" s="125" t="str">
        <f t="shared" si="81"/>
        <v>30</v>
      </c>
      <c r="U716" s="125" t="str">
        <f t="shared" si="82"/>
        <v>302</v>
      </c>
      <c r="V716" s="125" t="str">
        <f>VLOOKUP(Q716,'GL Category'!A:C,3,FALSE)</f>
        <v>Services &amp; other</v>
      </c>
      <c r="W716" s="125"/>
    </row>
    <row r="717" spans="1:23" s="83" customFormat="1" ht="20.399999999999999" customHeight="1">
      <c r="A717" s="608" t="s">
        <v>791</v>
      </c>
      <c r="B717" s="608" t="s">
        <v>2626</v>
      </c>
      <c r="C717" s="608" t="s">
        <v>914</v>
      </c>
      <c r="D717" s="609">
        <v>0</v>
      </c>
      <c r="E717" s="609">
        <v>0</v>
      </c>
      <c r="F717" s="609">
        <v>0</v>
      </c>
      <c r="G717" s="609">
        <v>0</v>
      </c>
      <c r="H717" s="609">
        <v>0</v>
      </c>
      <c r="I717" s="609">
        <v>0</v>
      </c>
      <c r="J717" s="609">
        <v>0</v>
      </c>
      <c r="K717" s="609">
        <v>0</v>
      </c>
      <c r="L717" s="609">
        <v>0</v>
      </c>
      <c r="M717" s="609">
        <v>0</v>
      </c>
      <c r="N717" s="587">
        <f t="shared" si="77"/>
        <v>0</v>
      </c>
      <c r="O717"/>
      <c r="P717" s="490"/>
      <c r="Q717" t="str">
        <f t="shared" si="78"/>
        <v>59115</v>
      </c>
      <c r="R717" s="126" t="str">
        <f t="shared" si="79"/>
        <v>TRANSFER TO PUB SAFTY SPEC REV</v>
      </c>
      <c r="S717" s="125" t="str">
        <f t="shared" si="80"/>
        <v>100</v>
      </c>
      <c r="T717" s="125" t="str">
        <f t="shared" si="81"/>
        <v>30</v>
      </c>
      <c r="U717" s="125" t="str">
        <f t="shared" si="82"/>
        <v>302</v>
      </c>
      <c r="V717" s="125" t="str">
        <f>VLOOKUP(Q717,'GL Category'!A:C,3,FALSE)</f>
        <v>Transfers to other funds</v>
      </c>
      <c r="W717" s="125"/>
    </row>
    <row r="718" spans="1:23" s="83" customFormat="1" ht="20.399999999999999" customHeight="1">
      <c r="A718" s="608" t="s">
        <v>791</v>
      </c>
      <c r="B718" s="608" t="s">
        <v>3525</v>
      </c>
      <c r="C718" s="608" t="s">
        <v>3153</v>
      </c>
      <c r="D718" s="609">
        <v>781.41</v>
      </c>
      <c r="E718" s="609">
        <v>0</v>
      </c>
      <c r="F718" s="609">
        <v>0</v>
      </c>
      <c r="G718" s="609">
        <v>0</v>
      </c>
      <c r="H718" s="609">
        <v>0</v>
      </c>
      <c r="I718" s="609">
        <v>0</v>
      </c>
      <c r="J718" s="609">
        <v>0</v>
      </c>
      <c r="K718" s="609">
        <v>0</v>
      </c>
      <c r="L718" s="609">
        <v>0</v>
      </c>
      <c r="M718" s="609">
        <v>0</v>
      </c>
      <c r="N718" s="587">
        <f t="shared" si="77"/>
        <v>0</v>
      </c>
      <c r="O718"/>
      <c r="P718" s="490"/>
      <c r="Q718" t="str">
        <f t="shared" si="78"/>
        <v>59160</v>
      </c>
      <c r="R718" s="126" t="str">
        <f t="shared" si="79"/>
        <v>TRANSFER TO GRANT FUND</v>
      </c>
      <c r="S718" s="125" t="str">
        <f t="shared" si="80"/>
        <v>100</v>
      </c>
      <c r="T718" s="125" t="str">
        <f t="shared" si="81"/>
        <v>30</v>
      </c>
      <c r="U718" s="125" t="str">
        <f t="shared" si="82"/>
        <v>302</v>
      </c>
      <c r="V718" s="125" t="e">
        <f>VLOOKUP(Q718,'GL Category'!A:C,3,FALSE)</f>
        <v>#N/A</v>
      </c>
      <c r="W718" s="125"/>
    </row>
    <row r="719" spans="1:23" s="83" customFormat="1" ht="20.399999999999999" customHeight="1">
      <c r="A719" s="608" t="s">
        <v>791</v>
      </c>
      <c r="B719" s="608" t="s">
        <v>2627</v>
      </c>
      <c r="C719" s="608" t="s">
        <v>130</v>
      </c>
      <c r="D719" s="609">
        <v>95007.11</v>
      </c>
      <c r="E719" s="609">
        <v>97676.28</v>
      </c>
      <c r="F719" s="609">
        <v>150400.04</v>
      </c>
      <c r="G719" s="609">
        <v>190659.37</v>
      </c>
      <c r="H719" s="609">
        <v>171476</v>
      </c>
      <c r="I719" s="609">
        <v>124385.7</v>
      </c>
      <c r="J719" s="609">
        <v>147849</v>
      </c>
      <c r="K719" s="609">
        <v>101848</v>
      </c>
      <c r="L719" s="609">
        <v>0</v>
      </c>
      <c r="M719" s="609">
        <v>0</v>
      </c>
      <c r="N719" s="587">
        <f t="shared" si="77"/>
        <v>101848</v>
      </c>
      <c r="O719"/>
      <c r="P719" s="490"/>
      <c r="Q719" t="str">
        <f t="shared" si="78"/>
        <v>50101</v>
      </c>
      <c r="R719" s="126" t="str">
        <f t="shared" si="79"/>
        <v>EXEMPT SALARIES</v>
      </c>
      <c r="S719" s="125" t="str">
        <f t="shared" si="80"/>
        <v>100</v>
      </c>
      <c r="T719" s="125" t="str">
        <f t="shared" si="81"/>
        <v>30</v>
      </c>
      <c r="U719" s="125" t="str">
        <f t="shared" si="82"/>
        <v>303</v>
      </c>
      <c r="V719" s="125" t="str">
        <f>VLOOKUP(Q719,'GL Category'!A:C,3,FALSE)</f>
        <v>Personnel services</v>
      </c>
      <c r="W719" s="125"/>
    </row>
    <row r="720" spans="1:23" s="83" customFormat="1" ht="20.399999999999999" customHeight="1">
      <c r="A720" s="608" t="s">
        <v>791</v>
      </c>
      <c r="B720" s="608" t="s">
        <v>2628</v>
      </c>
      <c r="C720" s="608" t="s">
        <v>132</v>
      </c>
      <c r="D720" s="609">
        <v>842856.26</v>
      </c>
      <c r="E720" s="609">
        <v>1098625.3600000001</v>
      </c>
      <c r="F720" s="609">
        <v>1139998.28</v>
      </c>
      <c r="G720" s="609">
        <v>1153214.78</v>
      </c>
      <c r="H720" s="609">
        <v>1343714</v>
      </c>
      <c r="I720" s="609">
        <v>878431.65</v>
      </c>
      <c r="J720" s="609">
        <v>1269932</v>
      </c>
      <c r="K720" s="609">
        <v>1586130</v>
      </c>
      <c r="L720" s="609">
        <v>0</v>
      </c>
      <c r="M720" s="609">
        <v>0</v>
      </c>
      <c r="N720" s="587">
        <f t="shared" si="77"/>
        <v>1586130</v>
      </c>
      <c r="O720"/>
      <c r="P720" s="490"/>
      <c r="Q720" t="str">
        <f t="shared" si="78"/>
        <v>50102</v>
      </c>
      <c r="R720" s="126" t="str">
        <f t="shared" si="79"/>
        <v>NON EXEMPT SALARIES</v>
      </c>
      <c r="S720" s="125" t="str">
        <f t="shared" si="80"/>
        <v>100</v>
      </c>
      <c r="T720" s="125" t="str">
        <f t="shared" si="81"/>
        <v>30</v>
      </c>
      <c r="U720" s="125" t="str">
        <f t="shared" si="82"/>
        <v>303</v>
      </c>
      <c r="V720" s="125" t="str">
        <f>VLOOKUP(Q720,'GL Category'!A:C,3,FALSE)</f>
        <v>Personnel services</v>
      </c>
      <c r="W720" s="125"/>
    </row>
    <row r="721" spans="1:24" s="83" customFormat="1" ht="20.399999999999999" customHeight="1">
      <c r="A721" s="608" t="s">
        <v>791</v>
      </c>
      <c r="B721" s="608" t="s">
        <v>2629</v>
      </c>
      <c r="C721" s="608" t="s">
        <v>0</v>
      </c>
      <c r="D721" s="609">
        <v>53971</v>
      </c>
      <c r="E721" s="609">
        <v>118780.37</v>
      </c>
      <c r="F721" s="609">
        <v>74263.81</v>
      </c>
      <c r="G721" s="609">
        <v>242839.83</v>
      </c>
      <c r="H721" s="609">
        <v>101942</v>
      </c>
      <c r="I721" s="609">
        <v>244226.14</v>
      </c>
      <c r="J721" s="609">
        <v>329194</v>
      </c>
      <c r="K721" s="609">
        <v>101072</v>
      </c>
      <c r="L721" s="609">
        <v>0</v>
      </c>
      <c r="M721" s="609">
        <v>0</v>
      </c>
      <c r="N721" s="587">
        <f t="shared" si="77"/>
        <v>101072</v>
      </c>
      <c r="O721"/>
      <c r="P721" s="490"/>
      <c r="Q721" t="str">
        <f t="shared" si="78"/>
        <v>50109</v>
      </c>
      <c r="R721" s="126" t="str">
        <f t="shared" si="79"/>
        <v>OVERTIME</v>
      </c>
      <c r="S721" s="125" t="str">
        <f t="shared" si="80"/>
        <v>100</v>
      </c>
      <c r="T721" s="125" t="str">
        <f t="shared" si="81"/>
        <v>30</v>
      </c>
      <c r="U721" s="125" t="str">
        <f t="shared" si="82"/>
        <v>303</v>
      </c>
      <c r="V721" s="125" t="str">
        <f>VLOOKUP(Q721,'GL Category'!A:C,3,FALSE)</f>
        <v>Personnel services</v>
      </c>
      <c r="W721" s="125"/>
    </row>
    <row r="722" spans="1:24" s="83" customFormat="1" ht="20.399999999999999" customHeight="1">
      <c r="A722" s="608" t="s">
        <v>791</v>
      </c>
      <c r="B722" s="608" t="s">
        <v>2630</v>
      </c>
      <c r="C722" s="608" t="s">
        <v>137</v>
      </c>
      <c r="D722" s="609">
        <v>15370</v>
      </c>
      <c r="E722" s="609">
        <v>15525</v>
      </c>
      <c r="F722" s="609">
        <v>16725</v>
      </c>
      <c r="G722" s="609">
        <v>15875</v>
      </c>
      <c r="H722" s="609">
        <v>12621</v>
      </c>
      <c r="I722" s="609">
        <v>12540</v>
      </c>
      <c r="J722" s="609">
        <v>12540</v>
      </c>
      <c r="K722" s="609">
        <v>13974</v>
      </c>
      <c r="L722" s="609">
        <v>0</v>
      </c>
      <c r="M722" s="609">
        <v>0</v>
      </c>
      <c r="N722" s="587">
        <f t="shared" si="77"/>
        <v>13974</v>
      </c>
      <c r="O722"/>
      <c r="P722" s="490"/>
      <c r="Q722" t="str">
        <f t="shared" si="78"/>
        <v>50111</v>
      </c>
      <c r="R722" s="126" t="str">
        <f t="shared" si="79"/>
        <v>LONGEVITY PAY</v>
      </c>
      <c r="S722" s="125" t="str">
        <f t="shared" si="80"/>
        <v>100</v>
      </c>
      <c r="T722" s="125" t="str">
        <f t="shared" si="81"/>
        <v>30</v>
      </c>
      <c r="U722" s="125" t="str">
        <f t="shared" si="82"/>
        <v>303</v>
      </c>
      <c r="V722" s="125" t="str">
        <f>VLOOKUP(Q722,'GL Category'!A:C,3,FALSE)</f>
        <v>Personnel services</v>
      </c>
      <c r="W722" s="125"/>
    </row>
    <row r="723" spans="1:24" s="83" customFormat="1" ht="20.399999999999999" customHeight="1">
      <c r="A723" s="608" t="s">
        <v>791</v>
      </c>
      <c r="B723" s="608" t="s">
        <v>2631</v>
      </c>
      <c r="C723" s="608" t="s">
        <v>283</v>
      </c>
      <c r="D723" s="609">
        <v>73128.2</v>
      </c>
      <c r="E723" s="609">
        <v>89810.73</v>
      </c>
      <c r="F723" s="609">
        <v>96918.63</v>
      </c>
      <c r="G723" s="609">
        <v>95171.69</v>
      </c>
      <c r="H723" s="609">
        <v>97602</v>
      </c>
      <c r="I723" s="609">
        <v>62627.03</v>
      </c>
      <c r="J723" s="609">
        <v>124380</v>
      </c>
      <c r="K723" s="609">
        <v>95202</v>
      </c>
      <c r="L723" s="609">
        <v>0</v>
      </c>
      <c r="M723" s="609">
        <v>0</v>
      </c>
      <c r="N723" s="587">
        <f t="shared" si="77"/>
        <v>95202</v>
      </c>
      <c r="O723"/>
      <c r="P723" s="490"/>
      <c r="Q723" t="str">
        <f t="shared" si="78"/>
        <v>50115</v>
      </c>
      <c r="R723" s="126" t="str">
        <f t="shared" si="79"/>
        <v>INCENTIVE/CERTIFICATION PAY</v>
      </c>
      <c r="S723" s="125" t="str">
        <f t="shared" si="80"/>
        <v>100</v>
      </c>
      <c r="T723" s="125" t="str">
        <f t="shared" si="81"/>
        <v>30</v>
      </c>
      <c r="U723" s="125" t="str">
        <f t="shared" si="82"/>
        <v>303</v>
      </c>
      <c r="V723" s="125" t="str">
        <f>VLOOKUP(Q723,'GL Category'!A:C,3,FALSE)</f>
        <v>Personnel services</v>
      </c>
      <c r="W723" s="125"/>
    </row>
    <row r="724" spans="1:24" s="83" customFormat="1" ht="20.399999999999999" customHeight="1">
      <c r="A724" s="608" t="s">
        <v>791</v>
      </c>
      <c r="B724" s="608" t="s">
        <v>2632</v>
      </c>
      <c r="C724" s="608" t="s">
        <v>1</v>
      </c>
      <c r="D724" s="609">
        <v>77723.789999999994</v>
      </c>
      <c r="E724" s="609">
        <v>103868.2</v>
      </c>
      <c r="F724" s="609">
        <v>108762.92</v>
      </c>
      <c r="G724" s="609">
        <v>123426.77</v>
      </c>
      <c r="H724" s="609">
        <v>132360</v>
      </c>
      <c r="I724" s="609">
        <v>98171.39</v>
      </c>
      <c r="J724" s="609">
        <v>135186</v>
      </c>
      <c r="K724" s="609">
        <v>145460</v>
      </c>
      <c r="L724" s="609">
        <v>0</v>
      </c>
      <c r="M724" s="609">
        <v>0</v>
      </c>
      <c r="N724" s="587">
        <f t="shared" si="77"/>
        <v>145460</v>
      </c>
      <c r="O724"/>
      <c r="P724" s="490"/>
      <c r="Q724" t="str">
        <f t="shared" si="78"/>
        <v>50610</v>
      </c>
      <c r="R724" s="126" t="str">
        <f t="shared" si="79"/>
        <v>SOCIAL SECURITY</v>
      </c>
      <c r="S724" s="125" t="str">
        <f t="shared" si="80"/>
        <v>100</v>
      </c>
      <c r="T724" s="125" t="str">
        <f t="shared" si="81"/>
        <v>30</v>
      </c>
      <c r="U724" s="125" t="str">
        <f t="shared" si="82"/>
        <v>303</v>
      </c>
      <c r="V724" s="125" t="str">
        <f>VLOOKUP(Q724,'GL Category'!A:C,3,FALSE)</f>
        <v>Personnel services</v>
      </c>
      <c r="W724" s="125"/>
    </row>
    <row r="725" spans="1:24" s="83" customFormat="1" ht="20.399999999999999" customHeight="1">
      <c r="A725" s="608" t="s">
        <v>791</v>
      </c>
      <c r="B725" s="608" t="s">
        <v>2633</v>
      </c>
      <c r="C725" s="608" t="s">
        <v>142</v>
      </c>
      <c r="D725" s="609">
        <v>222180.7</v>
      </c>
      <c r="E725" s="609">
        <v>278655.78999999998</v>
      </c>
      <c r="F725" s="609">
        <v>297656.65999999997</v>
      </c>
      <c r="G725" s="609">
        <v>308979.77</v>
      </c>
      <c r="H725" s="609">
        <v>285654</v>
      </c>
      <c r="I725" s="609">
        <v>168252.05</v>
      </c>
      <c r="J725" s="609">
        <v>254053</v>
      </c>
      <c r="K725" s="609">
        <v>288715</v>
      </c>
      <c r="L725" s="609">
        <v>0</v>
      </c>
      <c r="M725" s="609">
        <v>0</v>
      </c>
      <c r="N725" s="587">
        <f t="shared" si="77"/>
        <v>288715</v>
      </c>
      <c r="O725"/>
      <c r="P725" s="490"/>
      <c r="Q725" t="str">
        <f t="shared" si="78"/>
        <v>50620</v>
      </c>
      <c r="R725" s="126" t="str">
        <f t="shared" si="79"/>
        <v>HEALTH/LIFE INSURANCE</v>
      </c>
      <c r="S725" s="125" t="str">
        <f t="shared" si="80"/>
        <v>100</v>
      </c>
      <c r="T725" s="125" t="str">
        <f t="shared" si="81"/>
        <v>30</v>
      </c>
      <c r="U725" s="125" t="str">
        <f t="shared" si="82"/>
        <v>303</v>
      </c>
      <c r="V725" s="125" t="str">
        <f>VLOOKUP(Q725,'GL Category'!A:C,3,FALSE)</f>
        <v>Personnel services</v>
      </c>
      <c r="W725" s="125"/>
    </row>
    <row r="726" spans="1:24" s="83" customFormat="1" ht="20.399999999999999" customHeight="1">
      <c r="A726" s="608" t="s">
        <v>791</v>
      </c>
      <c r="B726" s="608" t="s">
        <v>2634</v>
      </c>
      <c r="C726" s="608" t="s">
        <v>144</v>
      </c>
      <c r="D726" s="609">
        <v>2134.73</v>
      </c>
      <c r="E726" s="609">
        <v>1493.17</v>
      </c>
      <c r="F726" s="609">
        <v>1730.31</v>
      </c>
      <c r="G726" s="609">
        <v>4072.83</v>
      </c>
      <c r="H726" s="609">
        <v>6256</v>
      </c>
      <c r="I726" s="609">
        <v>6250.89</v>
      </c>
      <c r="J726" s="609">
        <v>6251</v>
      </c>
      <c r="K726" s="609">
        <v>2659</v>
      </c>
      <c r="L726" s="609">
        <v>0</v>
      </c>
      <c r="M726" s="609">
        <v>0</v>
      </c>
      <c r="N726" s="587">
        <f t="shared" si="77"/>
        <v>2659</v>
      </c>
      <c r="O726"/>
      <c r="P726" s="490"/>
      <c r="Q726" t="str">
        <f t="shared" si="78"/>
        <v>50630</v>
      </c>
      <c r="R726" s="126" t="str">
        <f t="shared" si="79"/>
        <v>WORKER COMPENSATION</v>
      </c>
      <c r="S726" s="125" t="str">
        <f t="shared" si="80"/>
        <v>100</v>
      </c>
      <c r="T726" s="125" t="str">
        <f t="shared" si="81"/>
        <v>30</v>
      </c>
      <c r="U726" s="125" t="str">
        <f t="shared" si="82"/>
        <v>303</v>
      </c>
      <c r="V726" s="125" t="str">
        <f>VLOOKUP(Q726,'GL Category'!A:C,3,FALSE)</f>
        <v>Personnel services</v>
      </c>
      <c r="W726" s="125"/>
    </row>
    <row r="727" spans="1:24" s="83" customFormat="1" ht="20.399999999999999" customHeight="1">
      <c r="A727" s="608" t="s">
        <v>791</v>
      </c>
      <c r="B727" s="608" t="s">
        <v>2635</v>
      </c>
      <c r="C727" s="608" t="s">
        <v>2</v>
      </c>
      <c r="D727" s="609">
        <v>170167.23</v>
      </c>
      <c r="E727" s="609">
        <v>230066.16</v>
      </c>
      <c r="F727" s="609">
        <v>240842.32</v>
      </c>
      <c r="G727" s="609">
        <v>274951.71999999997</v>
      </c>
      <c r="H727" s="609">
        <v>285876</v>
      </c>
      <c r="I727" s="609">
        <v>217623.35</v>
      </c>
      <c r="J727" s="609">
        <v>297355</v>
      </c>
      <c r="K727" s="609">
        <v>321735</v>
      </c>
      <c r="L727" s="609">
        <v>0</v>
      </c>
      <c r="M727" s="609">
        <v>0</v>
      </c>
      <c r="N727" s="587">
        <f t="shared" si="77"/>
        <v>321735</v>
      </c>
      <c r="O727"/>
      <c r="P727" s="490"/>
      <c r="Q727" t="str">
        <f t="shared" si="78"/>
        <v>50650</v>
      </c>
      <c r="R727" s="126" t="str">
        <f t="shared" si="79"/>
        <v>RETIREMENT</v>
      </c>
      <c r="S727" s="125" t="str">
        <f t="shared" si="80"/>
        <v>100</v>
      </c>
      <c r="T727" s="125" t="str">
        <f t="shared" si="81"/>
        <v>30</v>
      </c>
      <c r="U727" s="125" t="str">
        <f t="shared" si="82"/>
        <v>303</v>
      </c>
      <c r="V727" s="125" t="str">
        <f>VLOOKUP(Q727,'GL Category'!A:C,3,FALSE)</f>
        <v>Personnel services</v>
      </c>
      <c r="W727" s="125"/>
    </row>
    <row r="728" spans="1:24" s="541" customFormat="1" ht="20.399999999999999" customHeight="1">
      <c r="A728" s="608" t="s">
        <v>791</v>
      </c>
      <c r="B728" s="608" t="s">
        <v>2636</v>
      </c>
      <c r="C728" s="608" t="s">
        <v>149</v>
      </c>
      <c r="D728" s="609">
        <v>1391.38</v>
      </c>
      <c r="E728" s="609">
        <v>2081.0500000000002</v>
      </c>
      <c r="F728" s="609">
        <v>2698.47</v>
      </c>
      <c r="G728" s="609">
        <v>3305.64</v>
      </c>
      <c r="H728" s="609">
        <v>2000</v>
      </c>
      <c r="I728" s="609">
        <v>737.08</v>
      </c>
      <c r="J728" s="609">
        <v>2000</v>
      </c>
      <c r="K728" s="609">
        <v>2000</v>
      </c>
      <c r="L728" s="609">
        <v>0</v>
      </c>
      <c r="M728" s="609">
        <v>0</v>
      </c>
      <c r="N728" s="587">
        <f t="shared" si="77"/>
        <v>2000</v>
      </c>
      <c r="O728"/>
      <c r="P728" s="490"/>
      <c r="Q728" t="str">
        <f t="shared" si="78"/>
        <v>51210</v>
      </c>
      <c r="R728" s="540" t="str">
        <f t="shared" si="79"/>
        <v>OFFICE SUPPLIES</v>
      </c>
      <c r="S728" s="538" t="str">
        <f t="shared" si="80"/>
        <v>100</v>
      </c>
      <c r="T728" s="125" t="str">
        <f t="shared" si="81"/>
        <v>30</v>
      </c>
      <c r="U728" s="125" t="str">
        <f t="shared" si="82"/>
        <v>303</v>
      </c>
      <c r="V728" s="538" t="str">
        <f>VLOOKUP(Q728,'GL Category'!A:C,3,FALSE)</f>
        <v>Operations &amp; maintenance</v>
      </c>
      <c r="W728" s="538"/>
      <c r="X728" s="83"/>
    </row>
    <row r="729" spans="1:24" s="541" customFormat="1" ht="20.399999999999999" customHeight="1">
      <c r="A729" s="608" t="s">
        <v>791</v>
      </c>
      <c r="B729" s="608" t="s">
        <v>3231</v>
      </c>
      <c r="C729" s="608" t="s">
        <v>155</v>
      </c>
      <c r="D729" s="609">
        <v>0</v>
      </c>
      <c r="E729" s="609">
        <v>0</v>
      </c>
      <c r="F729" s="609">
        <v>0</v>
      </c>
      <c r="G729" s="609">
        <v>0</v>
      </c>
      <c r="H729" s="609">
        <v>0</v>
      </c>
      <c r="I729" s="609">
        <v>0</v>
      </c>
      <c r="J729" s="609">
        <v>0</v>
      </c>
      <c r="K729" s="609">
        <v>0</v>
      </c>
      <c r="L729" s="609">
        <v>0</v>
      </c>
      <c r="M729" s="609">
        <v>0</v>
      </c>
      <c r="N729" s="587">
        <f t="shared" si="77"/>
        <v>0</v>
      </c>
      <c r="O729"/>
      <c r="P729" s="490"/>
      <c r="Q729" t="str">
        <f t="shared" si="78"/>
        <v>51225</v>
      </c>
      <c r="R729" s="540" t="str">
        <f t="shared" si="79"/>
        <v>JANITORIAL SUPPLIES</v>
      </c>
      <c r="S729" s="538" t="str">
        <f t="shared" si="80"/>
        <v>100</v>
      </c>
      <c r="T729" s="125" t="str">
        <f t="shared" si="81"/>
        <v>30</v>
      </c>
      <c r="U729" s="125" t="str">
        <f t="shared" si="82"/>
        <v>303</v>
      </c>
      <c r="V729" s="538" t="str">
        <f>VLOOKUP(Q729,'GL Category'!A:C,3,FALSE)</f>
        <v>Operations &amp; maintenance</v>
      </c>
      <c r="W729" s="538"/>
      <c r="X729" s="83"/>
    </row>
    <row r="730" spans="1:24" s="83" customFormat="1" ht="20.399999999999999" customHeight="1">
      <c r="A730" s="608" t="s">
        <v>791</v>
      </c>
      <c r="B730" s="608" t="s">
        <v>2637</v>
      </c>
      <c r="C730" s="608" t="s">
        <v>4</v>
      </c>
      <c r="D730" s="609">
        <v>1416.38</v>
      </c>
      <c r="E730" s="609">
        <v>672.32</v>
      </c>
      <c r="F730" s="609">
        <v>1257.71</v>
      </c>
      <c r="G730" s="609">
        <v>1592.02</v>
      </c>
      <c r="H730" s="609">
        <v>1500</v>
      </c>
      <c r="I730" s="609">
        <v>2459.02</v>
      </c>
      <c r="J730" s="609">
        <v>3500</v>
      </c>
      <c r="K730" s="609">
        <v>1500</v>
      </c>
      <c r="L730" s="609">
        <v>0</v>
      </c>
      <c r="M730" s="609">
        <v>0</v>
      </c>
      <c r="N730" s="587">
        <f t="shared" si="77"/>
        <v>1500</v>
      </c>
      <c r="O730"/>
      <c r="P730" s="490"/>
      <c r="Q730" t="str">
        <f t="shared" si="78"/>
        <v>51245</v>
      </c>
      <c r="R730" s="126" t="str">
        <f t="shared" si="79"/>
        <v>SMALL TOOLS &amp; EQUIPMENT</v>
      </c>
      <c r="S730" s="125" t="str">
        <f t="shared" si="80"/>
        <v>100</v>
      </c>
      <c r="T730" s="125" t="str">
        <f t="shared" si="81"/>
        <v>30</v>
      </c>
      <c r="U730" s="125" t="str">
        <f t="shared" si="82"/>
        <v>303</v>
      </c>
      <c r="V730" s="125" t="str">
        <f>VLOOKUP(Q730,'GL Category'!A:C,3,FALSE)</f>
        <v>Operations &amp; maintenance</v>
      </c>
      <c r="W730" s="125"/>
    </row>
    <row r="731" spans="1:24" s="83" customFormat="1" ht="20.399999999999999" customHeight="1">
      <c r="A731" s="608" t="s">
        <v>791</v>
      </c>
      <c r="B731" s="608" t="s">
        <v>2638</v>
      </c>
      <c r="C731" s="608" t="s">
        <v>167</v>
      </c>
      <c r="D731" s="609">
        <v>1112.42</v>
      </c>
      <c r="E731" s="609">
        <v>409.48</v>
      </c>
      <c r="F731" s="609">
        <v>1474.46</v>
      </c>
      <c r="G731" s="609">
        <v>55</v>
      </c>
      <c r="H731" s="609">
        <v>1000</v>
      </c>
      <c r="I731" s="609">
        <v>574.36</v>
      </c>
      <c r="J731" s="609">
        <v>1000</v>
      </c>
      <c r="K731" s="609">
        <v>1000</v>
      </c>
      <c r="L731" s="609">
        <v>0</v>
      </c>
      <c r="M731" s="609">
        <v>0</v>
      </c>
      <c r="N731" s="587">
        <f t="shared" si="77"/>
        <v>1000</v>
      </c>
      <c r="O731"/>
      <c r="P731" s="490"/>
      <c r="Q731" t="str">
        <f t="shared" si="78"/>
        <v>51285</v>
      </c>
      <c r="R731" s="126" t="str">
        <f t="shared" si="79"/>
        <v>WEARING APPAREL</v>
      </c>
      <c r="S731" s="125" t="str">
        <f t="shared" si="80"/>
        <v>100</v>
      </c>
      <c r="T731" s="125" t="str">
        <f t="shared" si="81"/>
        <v>30</v>
      </c>
      <c r="U731" s="125" t="str">
        <f t="shared" si="82"/>
        <v>303</v>
      </c>
      <c r="V731" s="125" t="str">
        <f>VLOOKUP(Q731,'GL Category'!A:C,3,FALSE)</f>
        <v>Operations &amp; maintenance</v>
      </c>
      <c r="W731" s="125"/>
    </row>
    <row r="732" spans="1:24" s="83" customFormat="1" ht="20.399999999999999" customHeight="1">
      <c r="A732" s="608" t="s">
        <v>791</v>
      </c>
      <c r="B732" s="608" t="s">
        <v>2639</v>
      </c>
      <c r="C732" s="608" t="s">
        <v>169</v>
      </c>
      <c r="D732" s="609">
        <v>457.99</v>
      </c>
      <c r="E732" s="609">
        <v>0</v>
      </c>
      <c r="F732" s="609">
        <v>0</v>
      </c>
      <c r="G732" s="609">
        <v>0</v>
      </c>
      <c r="H732" s="609">
        <v>0</v>
      </c>
      <c r="I732" s="609">
        <v>0</v>
      </c>
      <c r="J732" s="609">
        <v>0</v>
      </c>
      <c r="K732" s="609">
        <v>0</v>
      </c>
      <c r="L732" s="609">
        <v>0</v>
      </c>
      <c r="M732" s="609">
        <v>0</v>
      </c>
      <c r="N732" s="587">
        <f t="shared" si="77"/>
        <v>0</v>
      </c>
      <c r="O732"/>
      <c r="P732" s="490"/>
      <c r="Q732" t="str">
        <f t="shared" si="78"/>
        <v>51299</v>
      </c>
      <c r="R732" s="126" t="str">
        <f t="shared" si="79"/>
        <v>MISCELLANEOUS SUPPLIES</v>
      </c>
      <c r="S732" s="125" t="str">
        <f t="shared" si="80"/>
        <v>100</v>
      </c>
      <c r="T732" s="125" t="str">
        <f t="shared" si="81"/>
        <v>30</v>
      </c>
      <c r="U732" s="125" t="str">
        <f t="shared" si="82"/>
        <v>303</v>
      </c>
      <c r="V732" s="125" t="str">
        <f>VLOOKUP(Q732,'GL Category'!A:C,3,FALSE)</f>
        <v>Operations &amp; maintenance</v>
      </c>
      <c r="W732" s="125"/>
    </row>
    <row r="733" spans="1:24" s="541" customFormat="1" ht="20.399999999999999" customHeight="1">
      <c r="A733" s="608" t="s">
        <v>791</v>
      </c>
      <c r="B733" s="608" t="s">
        <v>2640</v>
      </c>
      <c r="C733" s="608" t="s">
        <v>175</v>
      </c>
      <c r="D733" s="609">
        <v>6267.11</v>
      </c>
      <c r="E733" s="609">
        <v>4036.67</v>
      </c>
      <c r="F733" s="609">
        <v>6184.91</v>
      </c>
      <c r="G733" s="609">
        <v>2326.5700000000002</v>
      </c>
      <c r="H733" s="609">
        <v>6000</v>
      </c>
      <c r="I733" s="609">
        <v>2480.7800000000002</v>
      </c>
      <c r="J733" s="609">
        <v>4000</v>
      </c>
      <c r="K733" s="609">
        <v>6000</v>
      </c>
      <c r="L733" s="609">
        <v>0</v>
      </c>
      <c r="M733" s="609">
        <v>0</v>
      </c>
      <c r="N733" s="587">
        <f t="shared" si="77"/>
        <v>6000</v>
      </c>
      <c r="O733"/>
      <c r="P733" s="490">
        <f t="shared" ref="P733:P742" si="83">N733-H733</f>
        <v>0</v>
      </c>
      <c r="Q733" t="str">
        <f t="shared" si="78"/>
        <v>52440</v>
      </c>
      <c r="R733" s="540" t="str">
        <f t="shared" si="79"/>
        <v>RADIO MAINTENANCE</v>
      </c>
      <c r="S733" s="538" t="str">
        <f t="shared" si="80"/>
        <v>100</v>
      </c>
      <c r="T733" s="125" t="str">
        <f t="shared" si="81"/>
        <v>30</v>
      </c>
      <c r="U733" s="125" t="str">
        <f t="shared" si="82"/>
        <v>303</v>
      </c>
      <c r="V733" s="538" t="str">
        <f>VLOOKUP(Q733,'GL Category'!A:C,3,FALSE)</f>
        <v>Operations &amp; maintenance</v>
      </c>
      <c r="W733" s="538"/>
      <c r="X733" s="83"/>
    </row>
    <row r="734" spans="1:24" s="541" customFormat="1" ht="20.399999999999999" customHeight="1">
      <c r="A734" s="608" t="s">
        <v>791</v>
      </c>
      <c r="B734" s="608" t="s">
        <v>2641</v>
      </c>
      <c r="C734" s="608" t="s">
        <v>236</v>
      </c>
      <c r="D734" s="609">
        <v>4558.59</v>
      </c>
      <c r="E734" s="609">
        <v>71.239999999999995</v>
      </c>
      <c r="F734" s="609">
        <v>-1147.8399999999999</v>
      </c>
      <c r="G734" s="609">
        <v>6234.65</v>
      </c>
      <c r="H734" s="609">
        <v>4750</v>
      </c>
      <c r="I734" s="609">
        <v>9368.16</v>
      </c>
      <c r="J734" s="609">
        <v>11000</v>
      </c>
      <c r="K734" s="609">
        <v>4750</v>
      </c>
      <c r="L734" s="609">
        <v>0</v>
      </c>
      <c r="M734" s="609">
        <v>0</v>
      </c>
      <c r="N734" s="587">
        <f t="shared" si="77"/>
        <v>4750</v>
      </c>
      <c r="O734"/>
      <c r="P734" s="490">
        <f t="shared" si="83"/>
        <v>0</v>
      </c>
      <c r="Q734" t="str">
        <f t="shared" si="78"/>
        <v>52470</v>
      </c>
      <c r="R734" s="540" t="str">
        <f t="shared" si="79"/>
        <v>EQUIPMENT MAINTENANCE</v>
      </c>
      <c r="S734" s="538" t="str">
        <f t="shared" si="80"/>
        <v>100</v>
      </c>
      <c r="T734" s="125" t="str">
        <f t="shared" si="81"/>
        <v>30</v>
      </c>
      <c r="U734" s="125" t="str">
        <f t="shared" si="82"/>
        <v>303</v>
      </c>
      <c r="V734" s="538" t="str">
        <f>VLOOKUP(Q734,'GL Category'!A:C,3,FALSE)</f>
        <v>Operations &amp; maintenance</v>
      </c>
      <c r="W734" s="538"/>
      <c r="X734" s="83"/>
    </row>
    <row r="735" spans="1:24" s="83" customFormat="1" ht="20.399999999999999" customHeight="1">
      <c r="A735" s="608" t="s">
        <v>791</v>
      </c>
      <c r="B735" s="608" t="s">
        <v>2642</v>
      </c>
      <c r="C735" s="608" t="s">
        <v>177</v>
      </c>
      <c r="D735" s="609">
        <v>568.79</v>
      </c>
      <c r="E735" s="609">
        <v>0</v>
      </c>
      <c r="F735" s="609">
        <v>0</v>
      </c>
      <c r="G735" s="609">
        <v>0</v>
      </c>
      <c r="H735" s="609">
        <v>0</v>
      </c>
      <c r="I735" s="609">
        <v>0</v>
      </c>
      <c r="J735" s="609">
        <v>0</v>
      </c>
      <c r="K735" s="609">
        <v>0</v>
      </c>
      <c r="L735" s="609">
        <v>0</v>
      </c>
      <c r="M735" s="609">
        <v>0</v>
      </c>
      <c r="N735" s="587">
        <f t="shared" si="77"/>
        <v>0</v>
      </c>
      <c r="O735"/>
      <c r="P735" s="490">
        <f t="shared" si="83"/>
        <v>0</v>
      </c>
      <c r="Q735" t="str">
        <f t="shared" si="78"/>
        <v>52480</v>
      </c>
      <c r="R735" s="126" t="str">
        <f t="shared" si="79"/>
        <v>OFFICE EQUIPMENT MAINTENANCE</v>
      </c>
      <c r="S735" s="125" t="str">
        <f t="shared" si="80"/>
        <v>100</v>
      </c>
      <c r="T735" s="125" t="str">
        <f t="shared" si="81"/>
        <v>30</v>
      </c>
      <c r="U735" s="125" t="str">
        <f t="shared" si="82"/>
        <v>303</v>
      </c>
      <c r="V735" s="125" t="str">
        <f>VLOOKUP(Q735,'GL Category'!A:C,3,FALSE)</f>
        <v>Operations &amp; maintenance</v>
      </c>
      <c r="W735" s="125"/>
    </row>
    <row r="736" spans="1:24" s="549" customFormat="1" ht="20.399999999999999" customHeight="1">
      <c r="A736" s="608" t="s">
        <v>791</v>
      </c>
      <c r="B736" s="608" t="s">
        <v>2643</v>
      </c>
      <c r="C736" s="608" t="s">
        <v>181</v>
      </c>
      <c r="D736" s="609">
        <v>542.32000000000005</v>
      </c>
      <c r="E736" s="609">
        <v>559.20000000000005</v>
      </c>
      <c r="F736" s="609">
        <v>1118</v>
      </c>
      <c r="G736" s="609">
        <v>610.6</v>
      </c>
      <c r="H736" s="609">
        <v>3000</v>
      </c>
      <c r="I736" s="609">
        <v>638</v>
      </c>
      <c r="J736" s="609">
        <v>2000</v>
      </c>
      <c r="K736" s="609">
        <v>3000</v>
      </c>
      <c r="L736" s="609">
        <v>0</v>
      </c>
      <c r="M736" s="609">
        <v>0</v>
      </c>
      <c r="N736" s="587">
        <f t="shared" si="77"/>
        <v>3000</v>
      </c>
      <c r="O736"/>
      <c r="P736" s="490">
        <f t="shared" si="83"/>
        <v>0</v>
      </c>
      <c r="Q736" t="str">
        <f t="shared" si="78"/>
        <v>52490</v>
      </c>
      <c r="R736" s="548" t="str">
        <f t="shared" si="79"/>
        <v>A/C &amp; HEATING MAINTENANCE</v>
      </c>
      <c r="S736" s="547" t="str">
        <f t="shared" si="80"/>
        <v>100</v>
      </c>
      <c r="T736" s="125" t="str">
        <f t="shared" si="81"/>
        <v>30</v>
      </c>
      <c r="U736" s="125" t="str">
        <f t="shared" si="82"/>
        <v>303</v>
      </c>
      <c r="V736" s="547" t="str">
        <f>VLOOKUP(Q736,'GL Category'!A:C,3,FALSE)</f>
        <v>Operations &amp; maintenance</v>
      </c>
      <c r="W736" s="547"/>
      <c r="X736" s="83"/>
    </row>
    <row r="737" spans="1:23" s="83" customFormat="1" ht="20.399999999999999" customHeight="1">
      <c r="A737" s="608" t="s">
        <v>791</v>
      </c>
      <c r="B737" s="608" t="s">
        <v>2645</v>
      </c>
      <c r="C737" s="608" t="s">
        <v>190</v>
      </c>
      <c r="D737" s="609">
        <v>461.76</v>
      </c>
      <c r="E737" s="609">
        <v>635.28</v>
      </c>
      <c r="F737" s="609">
        <v>901.76</v>
      </c>
      <c r="G737" s="609">
        <v>1565</v>
      </c>
      <c r="H737" s="609">
        <v>1500</v>
      </c>
      <c r="I737" s="609">
        <v>1293</v>
      </c>
      <c r="J737" s="609">
        <v>1500</v>
      </c>
      <c r="K737" s="609">
        <v>1500</v>
      </c>
      <c r="L737" s="609">
        <v>0</v>
      </c>
      <c r="M737" s="609">
        <v>0</v>
      </c>
      <c r="N737" s="587">
        <f t="shared" si="77"/>
        <v>1500</v>
      </c>
      <c r="O737"/>
      <c r="P737" s="490">
        <f t="shared" si="83"/>
        <v>0</v>
      </c>
      <c r="Q737" t="str">
        <f t="shared" si="78"/>
        <v>53510</v>
      </c>
      <c r="R737" s="126" t="str">
        <f t="shared" si="79"/>
        <v>DUES &amp; SUBSCRIPTIONS</v>
      </c>
      <c r="S737" s="125" t="str">
        <f t="shared" si="80"/>
        <v>100</v>
      </c>
      <c r="T737" s="125" t="str">
        <f t="shared" si="81"/>
        <v>30</v>
      </c>
      <c r="U737" s="125" t="str">
        <f t="shared" si="82"/>
        <v>303</v>
      </c>
      <c r="V737" s="125" t="str">
        <f>VLOOKUP(Q737,'GL Category'!A:C,3,FALSE)</f>
        <v>Services &amp; other</v>
      </c>
      <c r="W737" s="125"/>
    </row>
    <row r="738" spans="1:23" s="83" customFormat="1" ht="20.399999999999999" customHeight="1">
      <c r="A738" s="608" t="s">
        <v>791</v>
      </c>
      <c r="B738" s="608" t="s">
        <v>2646</v>
      </c>
      <c r="C738" s="608" t="s">
        <v>191</v>
      </c>
      <c r="D738" s="609">
        <v>70</v>
      </c>
      <c r="E738" s="609">
        <v>297.55</v>
      </c>
      <c r="F738" s="609">
        <v>-123.2</v>
      </c>
      <c r="G738" s="609">
        <v>5174.54</v>
      </c>
      <c r="H738" s="609">
        <v>4000</v>
      </c>
      <c r="I738" s="609">
        <v>3667.71</v>
      </c>
      <c r="J738" s="609">
        <v>4000</v>
      </c>
      <c r="K738" s="609">
        <v>5000</v>
      </c>
      <c r="L738" s="609">
        <v>0</v>
      </c>
      <c r="M738" s="609">
        <v>0</v>
      </c>
      <c r="N738" s="587">
        <f t="shared" si="77"/>
        <v>5000</v>
      </c>
      <c r="O738"/>
      <c r="P738" s="490">
        <f t="shared" si="83"/>
        <v>1000</v>
      </c>
      <c r="Q738" t="str">
        <f t="shared" si="78"/>
        <v>53515</v>
      </c>
      <c r="R738" s="126" t="str">
        <f t="shared" si="79"/>
        <v>TRAVEL, TRAINING &amp; EDUCATION</v>
      </c>
      <c r="S738" s="125" t="str">
        <f t="shared" si="80"/>
        <v>100</v>
      </c>
      <c r="T738" s="125" t="str">
        <f t="shared" si="81"/>
        <v>30</v>
      </c>
      <c r="U738" s="125" t="str">
        <f t="shared" si="82"/>
        <v>303</v>
      </c>
      <c r="V738" s="125" t="str">
        <f>VLOOKUP(Q738,'GL Category'!A:C,3,FALSE)</f>
        <v>Services &amp; other</v>
      </c>
      <c r="W738" s="125"/>
    </row>
    <row r="739" spans="1:23" s="83" customFormat="1" ht="20.399999999999999" customHeight="1">
      <c r="A739" s="608" t="s">
        <v>791</v>
      </c>
      <c r="B739" s="608" t="s">
        <v>2647</v>
      </c>
      <c r="C739" s="608" t="s">
        <v>258</v>
      </c>
      <c r="D739" s="609">
        <v>450.86</v>
      </c>
      <c r="E739" s="609">
        <v>447.38</v>
      </c>
      <c r="F739" s="609">
        <v>391.62</v>
      </c>
      <c r="G739" s="609">
        <v>1478.12</v>
      </c>
      <c r="H739" s="609">
        <v>500</v>
      </c>
      <c r="I739" s="609">
        <v>415.47</v>
      </c>
      <c r="J739" s="609">
        <v>500</v>
      </c>
      <c r="K739" s="609">
        <v>500</v>
      </c>
      <c r="L739" s="609">
        <v>0</v>
      </c>
      <c r="M739" s="609">
        <v>0</v>
      </c>
      <c r="N739" s="587">
        <f t="shared" si="77"/>
        <v>500</v>
      </c>
      <c r="O739"/>
      <c r="P739" s="490">
        <f t="shared" si="83"/>
        <v>0</v>
      </c>
      <c r="Q739" t="str">
        <f t="shared" si="78"/>
        <v>53527</v>
      </c>
      <c r="R739" s="126" t="str">
        <f t="shared" si="79"/>
        <v>EMPLOYEE ACTIVITIES</v>
      </c>
      <c r="S739" s="125" t="str">
        <f t="shared" si="80"/>
        <v>100</v>
      </c>
      <c r="T739" s="125" t="str">
        <f t="shared" si="81"/>
        <v>30</v>
      </c>
      <c r="U739" s="125" t="str">
        <f t="shared" si="82"/>
        <v>303</v>
      </c>
      <c r="V739" s="125" t="str">
        <f>VLOOKUP(Q739,'GL Category'!A:C,3,FALSE)</f>
        <v>Services &amp; other</v>
      </c>
      <c r="W739" s="125"/>
    </row>
    <row r="740" spans="1:23" s="83" customFormat="1" ht="20.399999999999999" customHeight="1">
      <c r="A740" s="608" t="s">
        <v>791</v>
      </c>
      <c r="B740" s="608" t="s">
        <v>2649</v>
      </c>
      <c r="C740" s="608" t="s">
        <v>278</v>
      </c>
      <c r="D740" s="609">
        <v>3155</v>
      </c>
      <c r="E740" s="609">
        <v>3607.45</v>
      </c>
      <c r="F740" s="609">
        <v>6195.27</v>
      </c>
      <c r="G740" s="609">
        <v>6427.62</v>
      </c>
      <c r="H740" s="609">
        <v>7071</v>
      </c>
      <c r="I740" s="609">
        <v>7041.9</v>
      </c>
      <c r="J740" s="609">
        <v>7071</v>
      </c>
      <c r="K740" s="609">
        <v>7071</v>
      </c>
      <c r="L740" s="609">
        <v>0</v>
      </c>
      <c r="M740" s="609">
        <v>0</v>
      </c>
      <c r="N740" s="587">
        <f t="shared" si="77"/>
        <v>7071</v>
      </c>
      <c r="O740"/>
      <c r="P740" s="490">
        <f t="shared" si="83"/>
        <v>0</v>
      </c>
      <c r="Q740" t="str">
        <f t="shared" si="78"/>
        <v>53568</v>
      </c>
      <c r="R740" s="126" t="str">
        <f t="shared" si="79"/>
        <v>LAW ENFORCEMENT LIAB PREMIUMS</v>
      </c>
      <c r="S740" s="125" t="str">
        <f t="shared" si="80"/>
        <v>100</v>
      </c>
      <c r="T740" s="125" t="str">
        <f t="shared" si="81"/>
        <v>30</v>
      </c>
      <c r="U740" s="125" t="str">
        <f t="shared" si="82"/>
        <v>303</v>
      </c>
      <c r="V740" s="125" t="str">
        <f>VLOOKUP(Q740,'GL Category'!A:C,3,FALSE)</f>
        <v>Services &amp; other</v>
      </c>
      <c r="W740" s="125"/>
    </row>
    <row r="741" spans="1:23" s="83" customFormat="1" ht="20.399999999999999" customHeight="1">
      <c r="A741" s="608" t="s">
        <v>791</v>
      </c>
      <c r="B741" s="608" t="s">
        <v>2651</v>
      </c>
      <c r="C741" s="608" t="s">
        <v>213</v>
      </c>
      <c r="D741" s="609">
        <v>570.58000000000004</v>
      </c>
      <c r="E741" s="609">
        <v>942.58</v>
      </c>
      <c r="F741" s="609">
        <v>994.43</v>
      </c>
      <c r="G741" s="609">
        <v>1101.55</v>
      </c>
      <c r="H741" s="609">
        <v>1310</v>
      </c>
      <c r="I741" s="609">
        <v>1260.28</v>
      </c>
      <c r="J741" s="609">
        <v>1000</v>
      </c>
      <c r="K741" s="609">
        <v>1310</v>
      </c>
      <c r="L741" s="609">
        <v>0</v>
      </c>
      <c r="M741" s="609">
        <v>0</v>
      </c>
      <c r="N741" s="587">
        <f t="shared" si="77"/>
        <v>1310</v>
      </c>
      <c r="O741"/>
      <c r="P741" s="490">
        <f t="shared" si="83"/>
        <v>0</v>
      </c>
      <c r="Q741" t="str">
        <f t="shared" si="78"/>
        <v>53571</v>
      </c>
      <c r="R741" s="126" t="str">
        <f t="shared" si="79"/>
        <v>NATURAL GAS UTILITY SERVICE</v>
      </c>
      <c r="S741" s="125" t="str">
        <f t="shared" si="80"/>
        <v>100</v>
      </c>
      <c r="T741" s="125" t="str">
        <f t="shared" si="81"/>
        <v>30</v>
      </c>
      <c r="U741" s="125" t="str">
        <f t="shared" si="82"/>
        <v>303</v>
      </c>
      <c r="V741" s="125" t="str">
        <f>VLOOKUP(Q741,'GL Category'!A:C,3,FALSE)</f>
        <v>Services &amp; other</v>
      </c>
      <c r="W741" s="125"/>
    </row>
    <row r="742" spans="1:23" s="83" customFormat="1" ht="20.399999999999999" customHeight="1">
      <c r="A742" s="608" t="s">
        <v>791</v>
      </c>
      <c r="B742" s="608" t="s">
        <v>2652</v>
      </c>
      <c r="C742" s="608" t="s">
        <v>215</v>
      </c>
      <c r="D742" s="609">
        <v>6088.05</v>
      </c>
      <c r="E742" s="609">
        <v>6004.49</v>
      </c>
      <c r="F742" s="609">
        <v>8878.3700000000008</v>
      </c>
      <c r="G742" s="609">
        <v>10627.82</v>
      </c>
      <c r="H742" s="609">
        <v>12550</v>
      </c>
      <c r="I742" s="609">
        <v>5404.68</v>
      </c>
      <c r="J742" s="609">
        <v>8000</v>
      </c>
      <c r="K742" s="609">
        <v>12550</v>
      </c>
      <c r="L742" s="609">
        <v>0</v>
      </c>
      <c r="M742" s="609">
        <v>0</v>
      </c>
      <c r="N742" s="587">
        <f t="shared" si="77"/>
        <v>12550</v>
      </c>
      <c r="O742"/>
      <c r="P742" s="490">
        <f t="shared" si="83"/>
        <v>0</v>
      </c>
      <c r="Q742" t="str">
        <f t="shared" si="78"/>
        <v>53572</v>
      </c>
      <c r="R742" s="126" t="str">
        <f t="shared" si="79"/>
        <v>ELECTRICAL UTILITY SERVICE</v>
      </c>
      <c r="S742" s="125" t="str">
        <f t="shared" si="80"/>
        <v>100</v>
      </c>
      <c r="T742" s="125" t="str">
        <f t="shared" si="81"/>
        <v>30</v>
      </c>
      <c r="U742" s="125" t="str">
        <f t="shared" si="82"/>
        <v>303</v>
      </c>
      <c r="V742" s="125" t="str">
        <f>VLOOKUP(Q742,'GL Category'!A:C,3,FALSE)</f>
        <v>Services &amp; other</v>
      </c>
      <c r="W742" s="125"/>
    </row>
    <row r="743" spans="1:23" s="83" customFormat="1" ht="20.399999999999999" customHeight="1">
      <c r="A743" s="608" t="s">
        <v>791</v>
      </c>
      <c r="B743" s="608" t="s">
        <v>2653</v>
      </c>
      <c r="C743" s="608" t="s">
        <v>217</v>
      </c>
      <c r="D743" s="609">
        <v>675.85</v>
      </c>
      <c r="E743" s="609">
        <v>257.10000000000002</v>
      </c>
      <c r="F743" s="609">
        <v>0</v>
      </c>
      <c r="G743" s="609">
        <v>1073.52</v>
      </c>
      <c r="H743" s="609">
        <v>500</v>
      </c>
      <c r="I743" s="609">
        <v>536.13</v>
      </c>
      <c r="J743" s="609">
        <v>500</v>
      </c>
      <c r="K743" s="609">
        <v>500</v>
      </c>
      <c r="L743" s="609">
        <v>0</v>
      </c>
      <c r="M743" s="609">
        <v>0</v>
      </c>
      <c r="N743" s="587">
        <f t="shared" si="77"/>
        <v>500</v>
      </c>
      <c r="O743"/>
      <c r="P743" s="490"/>
      <c r="Q743" t="str">
        <f t="shared" si="78"/>
        <v>53574</v>
      </c>
      <c r="R743" s="126" t="str">
        <f t="shared" si="79"/>
        <v>WATER/SEWER UTILITY SERVICE</v>
      </c>
      <c r="S743" s="125" t="str">
        <f t="shared" si="80"/>
        <v>100</v>
      </c>
      <c r="T743" s="125" t="str">
        <f t="shared" si="81"/>
        <v>30</v>
      </c>
      <c r="U743" s="125" t="str">
        <f t="shared" si="82"/>
        <v>303</v>
      </c>
      <c r="V743" s="125" t="str">
        <f>VLOOKUP(Q743,'GL Category'!A:C,3,FALSE)</f>
        <v>Services &amp; other</v>
      </c>
      <c r="W743" s="125"/>
    </row>
    <row r="744" spans="1:23" s="83" customFormat="1" ht="20.399999999999999" customHeight="1">
      <c r="A744" s="608" t="s">
        <v>791</v>
      </c>
      <c r="B744" s="608" t="s">
        <v>2654</v>
      </c>
      <c r="C744" s="608" t="s">
        <v>219</v>
      </c>
      <c r="D744" s="609">
        <v>1075.23</v>
      </c>
      <c r="E744" s="609">
        <v>1308.2</v>
      </c>
      <c r="F744" s="609">
        <v>1223.2</v>
      </c>
      <c r="G744" s="609">
        <v>1841.08</v>
      </c>
      <c r="H744" s="609">
        <v>1460</v>
      </c>
      <c r="I744" s="609">
        <v>1615.58</v>
      </c>
      <c r="J744" s="609">
        <v>2000</v>
      </c>
      <c r="K744" s="609">
        <v>1460</v>
      </c>
      <c r="L744" s="609">
        <v>0</v>
      </c>
      <c r="M744" s="609">
        <v>0</v>
      </c>
      <c r="N744" s="587">
        <f t="shared" si="77"/>
        <v>1460</v>
      </c>
      <c r="O744"/>
      <c r="P744" s="490"/>
      <c r="Q744" t="str">
        <f t="shared" si="78"/>
        <v>53585</v>
      </c>
      <c r="R744" s="126" t="str">
        <f t="shared" si="79"/>
        <v>BANKING SERVICES CHARGES</v>
      </c>
      <c r="S744" s="125" t="str">
        <f t="shared" si="80"/>
        <v>100</v>
      </c>
      <c r="T744" s="125" t="str">
        <f t="shared" si="81"/>
        <v>30</v>
      </c>
      <c r="U744" s="125" t="str">
        <f t="shared" si="82"/>
        <v>303</v>
      </c>
      <c r="V744" s="125" t="str">
        <f>VLOOKUP(Q744,'GL Category'!A:C,3,FALSE)</f>
        <v>Services &amp; other</v>
      </c>
      <c r="W744" s="125"/>
    </row>
    <row r="745" spans="1:23" s="83" customFormat="1" ht="20.399999999999999" customHeight="1">
      <c r="A745" s="608" t="s">
        <v>791</v>
      </c>
      <c r="B745" s="608" t="s">
        <v>2644</v>
      </c>
      <c r="C745" s="608" t="s">
        <v>238</v>
      </c>
      <c r="D745" s="609">
        <v>0</v>
      </c>
      <c r="E745" s="609">
        <v>0</v>
      </c>
      <c r="F745" s="609">
        <v>0</v>
      </c>
      <c r="G745" s="609">
        <v>0</v>
      </c>
      <c r="H745" s="609">
        <v>0</v>
      </c>
      <c r="I745" s="609">
        <v>0</v>
      </c>
      <c r="J745" s="609">
        <v>0</v>
      </c>
      <c r="K745" s="609">
        <v>0</v>
      </c>
      <c r="L745" s="609">
        <v>0</v>
      </c>
      <c r="M745" s="609">
        <v>0</v>
      </c>
      <c r="N745" s="587">
        <f t="shared" si="77"/>
        <v>0</v>
      </c>
      <c r="O745"/>
      <c r="P745" s="490"/>
      <c r="Q745" t="str">
        <f t="shared" si="78"/>
        <v>53599</v>
      </c>
      <c r="R745" s="126" t="str">
        <f t="shared" si="79"/>
        <v>MISCELLANEOUS SERVICES</v>
      </c>
      <c r="S745" s="125" t="str">
        <f t="shared" si="80"/>
        <v>100</v>
      </c>
      <c r="T745" s="125" t="str">
        <f t="shared" si="81"/>
        <v>30</v>
      </c>
      <c r="U745" s="125" t="str">
        <f t="shared" si="82"/>
        <v>303</v>
      </c>
      <c r="V745" s="125" t="str">
        <f>VLOOKUP(Q745,'GL Category'!A:C,3,FALSE)</f>
        <v>Services &amp; other</v>
      </c>
      <c r="W745" s="125"/>
    </row>
    <row r="746" spans="1:23" s="83" customFormat="1" ht="20.399999999999999" customHeight="1">
      <c r="A746" s="608" t="s">
        <v>791</v>
      </c>
      <c r="B746" s="608" t="s">
        <v>2655</v>
      </c>
      <c r="C746" s="608" t="s">
        <v>221</v>
      </c>
      <c r="D746" s="609">
        <v>65051</v>
      </c>
      <c r="E746" s="609">
        <v>77944</v>
      </c>
      <c r="F746" s="609">
        <v>72674</v>
      </c>
      <c r="G746" s="609">
        <v>74782</v>
      </c>
      <c r="H746" s="609">
        <v>91340</v>
      </c>
      <c r="I746" s="609">
        <v>68505</v>
      </c>
      <c r="J746" s="609">
        <v>91340</v>
      </c>
      <c r="K746" s="609">
        <v>87076</v>
      </c>
      <c r="L746" s="609">
        <v>0</v>
      </c>
      <c r="M746" s="609">
        <v>0</v>
      </c>
      <c r="N746" s="587">
        <f t="shared" si="77"/>
        <v>87076</v>
      </c>
      <c r="O746"/>
      <c r="P746" s="490"/>
      <c r="Q746" t="str">
        <f t="shared" si="78"/>
        <v>55119</v>
      </c>
      <c r="R746" s="126" t="str">
        <f t="shared" si="79"/>
        <v>OFFICE EQUIP LEASE EXP-CITY</v>
      </c>
      <c r="S746" s="125" t="str">
        <f t="shared" si="80"/>
        <v>100</v>
      </c>
      <c r="T746" s="125" t="str">
        <f t="shared" si="81"/>
        <v>30</v>
      </c>
      <c r="U746" s="125" t="str">
        <f t="shared" si="82"/>
        <v>303</v>
      </c>
      <c r="V746" s="125" t="str">
        <f>VLOOKUP(Q746,'GL Category'!A:C,3,FALSE)</f>
        <v>Services &amp; other</v>
      </c>
      <c r="W746" s="125"/>
    </row>
    <row r="747" spans="1:23" s="83" customFormat="1" ht="20.399999999999999" customHeight="1">
      <c r="A747" s="608" t="s">
        <v>791</v>
      </c>
      <c r="B747" s="608" t="s">
        <v>3526</v>
      </c>
      <c r="C747" s="608" t="s">
        <v>3153</v>
      </c>
      <c r="D747" s="609">
        <v>731.45</v>
      </c>
      <c r="E747" s="609">
        <v>0</v>
      </c>
      <c r="F747" s="609">
        <v>0</v>
      </c>
      <c r="G747" s="609">
        <v>0</v>
      </c>
      <c r="H747" s="609">
        <v>0</v>
      </c>
      <c r="I747" s="609">
        <v>0</v>
      </c>
      <c r="J747" s="609">
        <v>0</v>
      </c>
      <c r="K747" s="609">
        <v>0</v>
      </c>
      <c r="L747" s="609">
        <v>0</v>
      </c>
      <c r="M747" s="609">
        <v>0</v>
      </c>
      <c r="N747" s="587">
        <f t="shared" si="77"/>
        <v>0</v>
      </c>
      <c r="O747"/>
      <c r="P747" s="490"/>
      <c r="Q747" t="str">
        <f t="shared" si="78"/>
        <v>59160</v>
      </c>
      <c r="R747" s="126" t="str">
        <f t="shared" si="79"/>
        <v>TRANSFER TO GRANT FUND</v>
      </c>
      <c r="S747" s="125" t="str">
        <f t="shared" si="80"/>
        <v>100</v>
      </c>
      <c r="T747" s="125" t="str">
        <f t="shared" si="81"/>
        <v>30</v>
      </c>
      <c r="U747" s="125" t="str">
        <f t="shared" si="82"/>
        <v>303</v>
      </c>
      <c r="V747" s="125" t="e">
        <f>VLOOKUP(Q747,'GL Category'!A:C,3,FALSE)</f>
        <v>#N/A</v>
      </c>
      <c r="W747" s="125"/>
    </row>
    <row r="748" spans="1:23" s="83" customFormat="1" ht="20.399999999999999" customHeight="1">
      <c r="A748" s="608" t="s">
        <v>791</v>
      </c>
      <c r="B748" s="608" t="s">
        <v>2656</v>
      </c>
      <c r="C748" s="608" t="s">
        <v>132</v>
      </c>
      <c r="D748" s="609">
        <v>128606.58</v>
      </c>
      <c r="E748" s="609">
        <v>133446.85</v>
      </c>
      <c r="F748" s="609">
        <v>175264.69</v>
      </c>
      <c r="G748" s="609">
        <v>176204.02</v>
      </c>
      <c r="H748" s="609">
        <v>171638</v>
      </c>
      <c r="I748" s="609">
        <v>123740.01</v>
      </c>
      <c r="J748" s="609">
        <v>164560</v>
      </c>
      <c r="K748" s="609">
        <v>187365</v>
      </c>
      <c r="L748" s="609">
        <v>0</v>
      </c>
      <c r="M748" s="609">
        <v>0</v>
      </c>
      <c r="N748" s="587">
        <f t="shared" si="77"/>
        <v>187365</v>
      </c>
      <c r="O748"/>
      <c r="P748" s="490"/>
      <c r="Q748" t="str">
        <f t="shared" si="78"/>
        <v>50102</v>
      </c>
      <c r="R748" s="126" t="str">
        <f t="shared" si="79"/>
        <v>NON EXEMPT SALARIES</v>
      </c>
      <c r="S748" s="125" t="str">
        <f t="shared" si="80"/>
        <v>100</v>
      </c>
      <c r="T748" s="125" t="str">
        <f t="shared" si="81"/>
        <v>30</v>
      </c>
      <c r="U748" s="125" t="str">
        <f t="shared" si="82"/>
        <v>304</v>
      </c>
      <c r="V748" s="125" t="str">
        <f>VLOOKUP(Q748,'GL Category'!A:C,3,FALSE)</f>
        <v>Personnel services</v>
      </c>
      <c r="W748" s="125"/>
    </row>
    <row r="749" spans="1:23" s="83" customFormat="1" ht="20.399999999999999" customHeight="1">
      <c r="A749" s="608" t="s">
        <v>791</v>
      </c>
      <c r="B749" s="608" t="s">
        <v>2657</v>
      </c>
      <c r="C749" s="608" t="s">
        <v>0</v>
      </c>
      <c r="D749" s="609">
        <v>13005.75</v>
      </c>
      <c r="E749" s="609">
        <v>8458.25</v>
      </c>
      <c r="F749" s="609">
        <v>12827.88</v>
      </c>
      <c r="G749" s="609">
        <v>8286.19</v>
      </c>
      <c r="H749" s="609">
        <v>10511</v>
      </c>
      <c r="I749" s="609">
        <v>11882.74</v>
      </c>
      <c r="J749" s="609">
        <v>17312</v>
      </c>
      <c r="K749" s="609">
        <v>11244</v>
      </c>
      <c r="L749" s="609">
        <v>0</v>
      </c>
      <c r="M749" s="609">
        <v>0</v>
      </c>
      <c r="N749" s="587">
        <f t="shared" si="77"/>
        <v>11244</v>
      </c>
      <c r="O749"/>
      <c r="P749" s="490"/>
      <c r="Q749" t="str">
        <f t="shared" si="78"/>
        <v>50109</v>
      </c>
      <c r="R749" s="126" t="str">
        <f t="shared" si="79"/>
        <v>OVERTIME</v>
      </c>
      <c r="S749" s="125" t="str">
        <f t="shared" si="80"/>
        <v>100</v>
      </c>
      <c r="T749" s="125" t="str">
        <f t="shared" si="81"/>
        <v>30</v>
      </c>
      <c r="U749" s="125" t="str">
        <f t="shared" si="82"/>
        <v>304</v>
      </c>
      <c r="V749" s="125" t="str">
        <f>VLOOKUP(Q749,'GL Category'!A:C,3,FALSE)</f>
        <v>Personnel services</v>
      </c>
      <c r="W749" s="125"/>
    </row>
    <row r="750" spans="1:23" s="83" customFormat="1" ht="20.399999999999999" customHeight="1">
      <c r="A750" s="608" t="s">
        <v>791</v>
      </c>
      <c r="B750" s="608" t="s">
        <v>2658</v>
      </c>
      <c r="C750" s="608" t="s">
        <v>135</v>
      </c>
      <c r="D750" s="609">
        <v>10622.56</v>
      </c>
      <c r="E750" s="609">
        <v>0</v>
      </c>
      <c r="F750" s="609">
        <v>0</v>
      </c>
      <c r="G750" s="609">
        <v>0</v>
      </c>
      <c r="H750" s="609">
        <v>0</v>
      </c>
      <c r="I750" s="609">
        <v>0</v>
      </c>
      <c r="J750" s="609">
        <v>0</v>
      </c>
      <c r="K750" s="609">
        <v>0</v>
      </c>
      <c r="L750" s="609">
        <v>0</v>
      </c>
      <c r="M750" s="609">
        <v>0</v>
      </c>
      <c r="N750" s="587">
        <f t="shared" si="77"/>
        <v>0</v>
      </c>
      <c r="O750"/>
      <c r="P750" s="490"/>
      <c r="Q750" t="str">
        <f t="shared" si="78"/>
        <v>50110</v>
      </c>
      <c r="R750" s="126" t="str">
        <f t="shared" si="79"/>
        <v>PART-TIME WAGES</v>
      </c>
      <c r="S750" s="125" t="str">
        <f t="shared" si="80"/>
        <v>100</v>
      </c>
      <c r="T750" s="125" t="str">
        <f t="shared" si="81"/>
        <v>30</v>
      </c>
      <c r="U750" s="125" t="str">
        <f t="shared" si="82"/>
        <v>304</v>
      </c>
      <c r="V750" s="125" t="str">
        <f>VLOOKUP(Q750,'GL Category'!A:C,3,FALSE)</f>
        <v>Personnel services</v>
      </c>
      <c r="W750" s="125"/>
    </row>
    <row r="751" spans="1:23" s="83" customFormat="1" ht="20.399999999999999" customHeight="1">
      <c r="A751" s="608" t="s">
        <v>791</v>
      </c>
      <c r="B751" s="608" t="s">
        <v>2659</v>
      </c>
      <c r="C751" s="608" t="s">
        <v>137</v>
      </c>
      <c r="D751" s="609">
        <v>1865</v>
      </c>
      <c r="E751" s="609">
        <v>1110</v>
      </c>
      <c r="F751" s="609">
        <v>1230</v>
      </c>
      <c r="G751" s="609">
        <v>1560</v>
      </c>
      <c r="H751" s="609">
        <v>475</v>
      </c>
      <c r="I751" s="609">
        <v>465</v>
      </c>
      <c r="J751" s="609">
        <v>465</v>
      </c>
      <c r="K751" s="609">
        <v>756</v>
      </c>
      <c r="L751" s="609">
        <v>0</v>
      </c>
      <c r="M751" s="609">
        <v>0</v>
      </c>
      <c r="N751" s="587">
        <f t="shared" si="77"/>
        <v>756</v>
      </c>
      <c r="O751"/>
      <c r="P751" s="490"/>
      <c r="Q751" t="str">
        <f t="shared" si="78"/>
        <v>50111</v>
      </c>
      <c r="R751" s="126" t="str">
        <f t="shared" si="79"/>
        <v>LONGEVITY PAY</v>
      </c>
      <c r="S751" s="125" t="str">
        <f t="shared" si="80"/>
        <v>100</v>
      </c>
      <c r="T751" s="125" t="str">
        <f t="shared" si="81"/>
        <v>30</v>
      </c>
      <c r="U751" s="125" t="str">
        <f t="shared" si="82"/>
        <v>304</v>
      </c>
      <c r="V751" s="125" t="str">
        <f>VLOOKUP(Q751,'GL Category'!A:C,3,FALSE)</f>
        <v>Personnel services</v>
      </c>
      <c r="W751" s="125"/>
    </row>
    <row r="752" spans="1:23" s="83" customFormat="1" ht="20.399999999999999" customHeight="1">
      <c r="A752" s="608" t="s">
        <v>791</v>
      </c>
      <c r="B752" s="608" t="s">
        <v>2661</v>
      </c>
      <c r="C752" s="608" t="s">
        <v>283</v>
      </c>
      <c r="D752" s="609">
        <v>10171.43</v>
      </c>
      <c r="E752" s="609">
        <v>12879.23</v>
      </c>
      <c r="F752" s="609">
        <v>16950.5</v>
      </c>
      <c r="G752" s="609">
        <v>16109.81</v>
      </c>
      <c r="H752" s="609">
        <v>21200</v>
      </c>
      <c r="I752" s="609">
        <v>12331.23</v>
      </c>
      <c r="J752" s="609">
        <v>23416</v>
      </c>
      <c r="K752" s="609">
        <v>17200</v>
      </c>
      <c r="L752" s="609">
        <v>0</v>
      </c>
      <c r="M752" s="609">
        <v>0</v>
      </c>
      <c r="N752" s="587">
        <f t="shared" si="77"/>
        <v>17200</v>
      </c>
      <c r="O752"/>
      <c r="P752" s="490"/>
      <c r="Q752" t="str">
        <f t="shared" si="78"/>
        <v>50115</v>
      </c>
      <c r="R752" s="126" t="str">
        <f t="shared" si="79"/>
        <v>INCENTIVE/CERTIFICATION PAY</v>
      </c>
      <c r="S752" s="125" t="str">
        <f t="shared" si="80"/>
        <v>100</v>
      </c>
      <c r="T752" s="125" t="str">
        <f t="shared" si="81"/>
        <v>30</v>
      </c>
      <c r="U752" s="125" t="str">
        <f t="shared" si="82"/>
        <v>304</v>
      </c>
      <c r="V752" s="125" t="str">
        <f>VLOOKUP(Q752,'GL Category'!A:C,3,FALSE)</f>
        <v>Personnel services</v>
      </c>
      <c r="W752" s="125"/>
    </row>
    <row r="753" spans="1:23" s="83" customFormat="1" ht="20.399999999999999" customHeight="1">
      <c r="A753" s="608" t="s">
        <v>791</v>
      </c>
      <c r="B753" s="608" t="s">
        <v>2662</v>
      </c>
      <c r="C753" s="608" t="s">
        <v>1</v>
      </c>
      <c r="D753" s="609">
        <v>11518.23</v>
      </c>
      <c r="E753" s="609">
        <v>10904.04</v>
      </c>
      <c r="F753" s="609">
        <v>14673.15</v>
      </c>
      <c r="G753" s="609">
        <v>16778.05</v>
      </c>
      <c r="H753" s="609">
        <v>15610</v>
      </c>
      <c r="I753" s="609">
        <v>11120.15</v>
      </c>
      <c r="J753" s="609">
        <v>15369</v>
      </c>
      <c r="K753" s="609">
        <v>16600</v>
      </c>
      <c r="L753" s="609">
        <v>0</v>
      </c>
      <c r="M753" s="609">
        <v>0</v>
      </c>
      <c r="N753" s="587">
        <f t="shared" si="77"/>
        <v>16600</v>
      </c>
      <c r="O753"/>
      <c r="P753" s="490"/>
      <c r="Q753" t="str">
        <f t="shared" si="78"/>
        <v>50610</v>
      </c>
      <c r="R753" s="126" t="str">
        <f t="shared" si="79"/>
        <v>SOCIAL SECURITY</v>
      </c>
      <c r="S753" s="125" t="str">
        <f t="shared" si="80"/>
        <v>100</v>
      </c>
      <c r="T753" s="125" t="str">
        <f t="shared" si="81"/>
        <v>30</v>
      </c>
      <c r="U753" s="125" t="str">
        <f t="shared" si="82"/>
        <v>304</v>
      </c>
      <c r="V753" s="125" t="str">
        <f>VLOOKUP(Q753,'GL Category'!A:C,3,FALSE)</f>
        <v>Personnel services</v>
      </c>
      <c r="W753" s="125"/>
    </row>
    <row r="754" spans="1:23" s="83" customFormat="1" ht="20.399999999999999" customHeight="1">
      <c r="A754" s="608" t="s">
        <v>791</v>
      </c>
      <c r="B754" s="608" t="s">
        <v>2663</v>
      </c>
      <c r="C754" s="608" t="s">
        <v>142</v>
      </c>
      <c r="D754" s="609">
        <v>60314.559999999998</v>
      </c>
      <c r="E754" s="609">
        <v>56611.48</v>
      </c>
      <c r="F754" s="609">
        <v>62941.62</v>
      </c>
      <c r="G754" s="609">
        <v>63600.160000000003</v>
      </c>
      <c r="H754" s="609">
        <v>54959</v>
      </c>
      <c r="I754" s="609">
        <v>37349.279999999999</v>
      </c>
      <c r="J754" s="609">
        <v>51577</v>
      </c>
      <c r="K754" s="609">
        <v>51524</v>
      </c>
      <c r="L754" s="609">
        <v>0</v>
      </c>
      <c r="M754" s="609">
        <v>0</v>
      </c>
      <c r="N754" s="587">
        <f t="shared" si="77"/>
        <v>51524</v>
      </c>
      <c r="O754"/>
      <c r="P754" s="490"/>
      <c r="Q754" t="str">
        <f t="shared" si="78"/>
        <v>50620</v>
      </c>
      <c r="R754" s="126" t="str">
        <f t="shared" si="79"/>
        <v>HEALTH/LIFE INSURANCE</v>
      </c>
      <c r="S754" s="125" t="str">
        <f t="shared" si="80"/>
        <v>100</v>
      </c>
      <c r="T754" s="125" t="str">
        <f t="shared" si="81"/>
        <v>30</v>
      </c>
      <c r="U754" s="125" t="str">
        <f t="shared" si="82"/>
        <v>304</v>
      </c>
      <c r="V754" s="125" t="str">
        <f>VLOOKUP(Q754,'GL Category'!A:C,3,FALSE)</f>
        <v>Personnel services</v>
      </c>
      <c r="W754" s="125"/>
    </row>
    <row r="755" spans="1:23" s="83" customFormat="1" ht="20.399999999999999" customHeight="1">
      <c r="A755" s="608" t="s">
        <v>791</v>
      </c>
      <c r="B755" s="608" t="s">
        <v>2664</v>
      </c>
      <c r="C755" s="608" t="s">
        <v>144</v>
      </c>
      <c r="D755" s="609">
        <v>1881.86</v>
      </c>
      <c r="E755" s="609">
        <v>1867.35</v>
      </c>
      <c r="F755" s="609">
        <v>1307.83</v>
      </c>
      <c r="G755" s="609">
        <v>3606.05</v>
      </c>
      <c r="H755" s="609">
        <v>4441</v>
      </c>
      <c r="I755" s="609">
        <v>4437.37</v>
      </c>
      <c r="J755" s="609">
        <v>4437</v>
      </c>
      <c r="K755" s="609">
        <v>4642</v>
      </c>
      <c r="L755" s="609">
        <v>0</v>
      </c>
      <c r="M755" s="609">
        <v>0</v>
      </c>
      <c r="N755" s="587">
        <f t="shared" si="77"/>
        <v>4642</v>
      </c>
      <c r="O755"/>
      <c r="P755" s="490"/>
      <c r="Q755" t="str">
        <f t="shared" si="78"/>
        <v>50630</v>
      </c>
      <c r="R755" s="126" t="str">
        <f t="shared" si="79"/>
        <v>WORKER COMPENSATION</v>
      </c>
      <c r="S755" s="125" t="str">
        <f t="shared" si="80"/>
        <v>100</v>
      </c>
      <c r="T755" s="125" t="str">
        <f t="shared" si="81"/>
        <v>30</v>
      </c>
      <c r="U755" s="125" t="str">
        <f t="shared" si="82"/>
        <v>304</v>
      </c>
      <c r="V755" s="125" t="str">
        <f>VLOOKUP(Q755,'GL Category'!A:C,3,FALSE)</f>
        <v>Personnel services</v>
      </c>
      <c r="W755" s="125"/>
    </row>
    <row r="756" spans="1:23" s="83" customFormat="1" ht="20.399999999999999" customHeight="1">
      <c r="A756" s="608" t="s">
        <v>791</v>
      </c>
      <c r="B756" s="608" t="s">
        <v>2665</v>
      </c>
      <c r="C756" s="608" t="s">
        <v>2</v>
      </c>
      <c r="D756" s="609">
        <v>24393.87</v>
      </c>
      <c r="E756" s="609">
        <v>25214.57</v>
      </c>
      <c r="F756" s="609">
        <v>33394.5</v>
      </c>
      <c r="G756" s="609">
        <v>31204.59</v>
      </c>
      <c r="H756" s="609">
        <v>33712</v>
      </c>
      <c r="I756" s="609">
        <v>24845.21</v>
      </c>
      <c r="J756" s="609">
        <v>33970</v>
      </c>
      <c r="K756" s="609">
        <v>36686</v>
      </c>
      <c r="L756" s="609">
        <v>0</v>
      </c>
      <c r="M756" s="609">
        <v>0</v>
      </c>
      <c r="N756" s="587">
        <f t="shared" si="77"/>
        <v>36686</v>
      </c>
      <c r="O756"/>
      <c r="P756" s="490"/>
      <c r="Q756" t="str">
        <f t="shared" si="78"/>
        <v>50650</v>
      </c>
      <c r="R756" s="126" t="str">
        <f t="shared" si="79"/>
        <v>RETIREMENT</v>
      </c>
      <c r="S756" s="125" t="str">
        <f t="shared" si="80"/>
        <v>100</v>
      </c>
      <c r="T756" s="125" t="str">
        <f t="shared" si="81"/>
        <v>30</v>
      </c>
      <c r="U756" s="125" t="str">
        <f t="shared" si="82"/>
        <v>304</v>
      </c>
      <c r="V756" s="125" t="str">
        <f>VLOOKUP(Q756,'GL Category'!A:C,3,FALSE)</f>
        <v>Personnel services</v>
      </c>
      <c r="W756" s="125"/>
    </row>
    <row r="757" spans="1:23" s="83" customFormat="1" ht="20.399999999999999" customHeight="1">
      <c r="A757" s="608" t="s">
        <v>791</v>
      </c>
      <c r="B757" s="608" t="s">
        <v>2667</v>
      </c>
      <c r="C757" s="608" t="s">
        <v>149</v>
      </c>
      <c r="D757" s="609">
        <v>109</v>
      </c>
      <c r="E757" s="609">
        <v>104</v>
      </c>
      <c r="F757" s="609">
        <v>0</v>
      </c>
      <c r="G757" s="609">
        <v>0</v>
      </c>
      <c r="H757" s="609">
        <v>0</v>
      </c>
      <c r="I757" s="609">
        <v>0</v>
      </c>
      <c r="J757" s="609">
        <v>0</v>
      </c>
      <c r="K757" s="609">
        <v>0</v>
      </c>
      <c r="L757" s="609">
        <v>0</v>
      </c>
      <c r="M757" s="609">
        <v>0</v>
      </c>
      <c r="N757" s="587">
        <f t="shared" si="77"/>
        <v>0</v>
      </c>
      <c r="O757"/>
      <c r="P757" s="490"/>
      <c r="Q757" t="str">
        <f t="shared" si="78"/>
        <v>51210</v>
      </c>
      <c r="R757" s="126" t="str">
        <f t="shared" si="79"/>
        <v>OFFICE SUPPLIES</v>
      </c>
      <c r="S757" s="125" t="str">
        <f t="shared" si="80"/>
        <v>100</v>
      </c>
      <c r="T757" s="125" t="str">
        <f t="shared" si="81"/>
        <v>30</v>
      </c>
      <c r="U757" s="125" t="str">
        <f t="shared" si="82"/>
        <v>304</v>
      </c>
      <c r="V757" s="125" t="str">
        <f>VLOOKUP(Q757,'GL Category'!A:C,3,FALSE)</f>
        <v>Operations &amp; maintenance</v>
      </c>
      <c r="W757" s="125"/>
    </row>
    <row r="758" spans="1:23" s="83" customFormat="1" ht="20.399999999999999" customHeight="1">
      <c r="A758" s="608" t="s">
        <v>791</v>
      </c>
      <c r="B758" s="608" t="s">
        <v>2666</v>
      </c>
      <c r="C758" s="608" t="s">
        <v>155</v>
      </c>
      <c r="D758" s="609">
        <v>2987.57</v>
      </c>
      <c r="E758" s="609">
        <v>3955.99</v>
      </c>
      <c r="F758" s="609">
        <v>4497.5</v>
      </c>
      <c r="G758" s="609">
        <v>3524.71</v>
      </c>
      <c r="H758" s="609">
        <v>3800</v>
      </c>
      <c r="I758" s="609">
        <v>2911.91</v>
      </c>
      <c r="J758" s="609">
        <v>3800</v>
      </c>
      <c r="K758" s="609">
        <v>3800</v>
      </c>
      <c r="L758" s="609">
        <v>0</v>
      </c>
      <c r="M758" s="609">
        <v>0</v>
      </c>
      <c r="N758" s="587">
        <f t="shared" si="77"/>
        <v>3800</v>
      </c>
      <c r="O758"/>
      <c r="P758" s="490"/>
      <c r="Q758" t="str">
        <f t="shared" si="78"/>
        <v>51225</v>
      </c>
      <c r="R758" s="126" t="str">
        <f t="shared" si="79"/>
        <v>JANITORIAL SUPPLIES</v>
      </c>
      <c r="S758" s="125" t="str">
        <f t="shared" si="80"/>
        <v>100</v>
      </c>
      <c r="T758" s="125" t="str">
        <f t="shared" si="81"/>
        <v>30</v>
      </c>
      <c r="U758" s="125" t="str">
        <f t="shared" si="82"/>
        <v>304</v>
      </c>
      <c r="V758" s="125" t="str">
        <f>VLOOKUP(Q758,'GL Category'!A:C,3,FALSE)</f>
        <v>Operations &amp; maintenance</v>
      </c>
      <c r="W758" s="125"/>
    </row>
    <row r="759" spans="1:23" s="83" customFormat="1" ht="20.399999999999999" customHeight="1">
      <c r="A759" s="608" t="s">
        <v>791</v>
      </c>
      <c r="B759" s="608" t="s">
        <v>2668</v>
      </c>
      <c r="C759" s="608" t="s">
        <v>4</v>
      </c>
      <c r="D759" s="609">
        <v>1913.42</v>
      </c>
      <c r="E759" s="609">
        <v>2211.8200000000002</v>
      </c>
      <c r="F759" s="609">
        <v>2804.36</v>
      </c>
      <c r="G759" s="609">
        <v>6414.25</v>
      </c>
      <c r="H759" s="609">
        <v>3000</v>
      </c>
      <c r="I759" s="609">
        <v>523.91</v>
      </c>
      <c r="J759" s="609">
        <v>3000</v>
      </c>
      <c r="K759" s="609">
        <v>3000</v>
      </c>
      <c r="L759" s="609">
        <v>0</v>
      </c>
      <c r="M759" s="609">
        <v>0</v>
      </c>
      <c r="N759" s="587">
        <f t="shared" si="77"/>
        <v>3000</v>
      </c>
      <c r="O759"/>
      <c r="P759" s="490"/>
      <c r="Q759" t="str">
        <f t="shared" si="78"/>
        <v>51245</v>
      </c>
      <c r="R759" s="126" t="str">
        <f t="shared" si="79"/>
        <v>SMALL TOOLS &amp; EQUIPMENT</v>
      </c>
      <c r="S759" s="125" t="str">
        <f t="shared" si="80"/>
        <v>100</v>
      </c>
      <c r="T759" s="125" t="str">
        <f t="shared" si="81"/>
        <v>30</v>
      </c>
      <c r="U759" s="125" t="str">
        <f t="shared" si="82"/>
        <v>304</v>
      </c>
      <c r="V759" s="125" t="str">
        <f>VLOOKUP(Q759,'GL Category'!A:C,3,FALSE)</f>
        <v>Operations &amp; maintenance</v>
      </c>
      <c r="W759" s="125"/>
    </row>
    <row r="760" spans="1:23" s="83" customFormat="1" ht="20.399999999999999" customHeight="1">
      <c r="A760" s="608" t="s">
        <v>791</v>
      </c>
      <c r="B760" s="608" t="s">
        <v>2669</v>
      </c>
      <c r="C760" s="608" t="s">
        <v>161</v>
      </c>
      <c r="D760" s="609">
        <v>4455.2700000000004</v>
      </c>
      <c r="E760" s="609">
        <v>7741.59</v>
      </c>
      <c r="F760" s="609">
        <v>12558.31</v>
      </c>
      <c r="G760" s="609">
        <v>8317.7099999999991</v>
      </c>
      <c r="H760" s="609">
        <v>13000</v>
      </c>
      <c r="I760" s="609">
        <v>6835.26</v>
      </c>
      <c r="J760" s="609">
        <v>8000</v>
      </c>
      <c r="K760" s="609">
        <v>13000</v>
      </c>
      <c r="L760" s="609">
        <v>0</v>
      </c>
      <c r="M760" s="609">
        <v>0</v>
      </c>
      <c r="N760" s="587">
        <f t="shared" si="77"/>
        <v>13000</v>
      </c>
      <c r="O760"/>
      <c r="P760" s="490"/>
      <c r="Q760" t="str">
        <f t="shared" si="78"/>
        <v>51255</v>
      </c>
      <c r="R760" s="126" t="str">
        <f t="shared" si="79"/>
        <v>FUEL/OILS/LUBRICANTS</v>
      </c>
      <c r="S760" s="125" t="str">
        <f t="shared" si="80"/>
        <v>100</v>
      </c>
      <c r="T760" s="125" t="str">
        <f t="shared" si="81"/>
        <v>30</v>
      </c>
      <c r="U760" s="125" t="str">
        <f t="shared" si="82"/>
        <v>304</v>
      </c>
      <c r="V760" s="125" t="str">
        <f>VLOOKUP(Q760,'GL Category'!A:C,3,FALSE)</f>
        <v>Operations &amp; maintenance</v>
      </c>
      <c r="W760" s="125"/>
    </row>
    <row r="761" spans="1:23" s="83" customFormat="1" ht="20.399999999999999" customHeight="1">
      <c r="A761" s="608" t="s">
        <v>791</v>
      </c>
      <c r="B761" s="608" t="s">
        <v>2670</v>
      </c>
      <c r="C761" s="608" t="s">
        <v>905</v>
      </c>
      <c r="D761" s="609">
        <v>4098.13</v>
      </c>
      <c r="E761" s="609">
        <v>2303.4899999999998</v>
      </c>
      <c r="F761" s="609">
        <v>7185.8</v>
      </c>
      <c r="G761" s="609">
        <v>8128.62</v>
      </c>
      <c r="H761" s="609">
        <v>4300</v>
      </c>
      <c r="I761" s="609">
        <v>9000.14</v>
      </c>
      <c r="J761" s="609">
        <v>10000</v>
      </c>
      <c r="K761" s="609">
        <v>4300</v>
      </c>
      <c r="L761" s="609">
        <v>0</v>
      </c>
      <c r="M761" s="609">
        <v>0</v>
      </c>
      <c r="N761" s="587">
        <f t="shared" si="77"/>
        <v>4300</v>
      </c>
      <c r="O761"/>
      <c r="P761" s="490"/>
      <c r="Q761" t="str">
        <f t="shared" si="78"/>
        <v>51275</v>
      </c>
      <c r="R761" s="126" t="str">
        <f t="shared" si="79"/>
        <v>ANIMAL CONTROL SUPPLIES</v>
      </c>
      <c r="S761" s="125" t="str">
        <f t="shared" si="80"/>
        <v>100</v>
      </c>
      <c r="T761" s="125" t="str">
        <f t="shared" si="81"/>
        <v>30</v>
      </c>
      <c r="U761" s="125" t="str">
        <f t="shared" si="82"/>
        <v>304</v>
      </c>
      <c r="V761" s="125" t="str">
        <f>VLOOKUP(Q761,'GL Category'!A:C,3,FALSE)</f>
        <v>Operations &amp; maintenance</v>
      </c>
      <c r="W761" s="125"/>
    </row>
    <row r="762" spans="1:23" s="83" customFormat="1" ht="20.399999999999999" customHeight="1">
      <c r="A762" s="608" t="s">
        <v>791</v>
      </c>
      <c r="B762" s="608" t="s">
        <v>2671</v>
      </c>
      <c r="C762" s="608" t="s">
        <v>167</v>
      </c>
      <c r="D762" s="609">
        <v>475.86</v>
      </c>
      <c r="E762" s="609">
        <v>3819.03</v>
      </c>
      <c r="F762" s="609">
        <v>875.41</v>
      </c>
      <c r="G762" s="609">
        <v>2478.9899999999998</v>
      </c>
      <c r="H762" s="609">
        <v>2000</v>
      </c>
      <c r="I762" s="609">
        <v>2939.35</v>
      </c>
      <c r="J762" s="609">
        <v>3000</v>
      </c>
      <c r="K762" s="609">
        <v>2000</v>
      </c>
      <c r="L762" s="609">
        <v>0</v>
      </c>
      <c r="M762" s="609">
        <v>0</v>
      </c>
      <c r="N762" s="587">
        <f t="shared" si="77"/>
        <v>2000</v>
      </c>
      <c r="O762"/>
      <c r="P762" s="490"/>
      <c r="Q762" t="str">
        <f t="shared" si="78"/>
        <v>51285</v>
      </c>
      <c r="R762" s="126" t="str">
        <f t="shared" si="79"/>
        <v>WEARING APPAREL</v>
      </c>
      <c r="S762" s="125" t="str">
        <f t="shared" si="80"/>
        <v>100</v>
      </c>
      <c r="T762" s="125" t="str">
        <f t="shared" si="81"/>
        <v>30</v>
      </c>
      <c r="U762" s="125" t="str">
        <f t="shared" si="82"/>
        <v>304</v>
      </c>
      <c r="V762" s="125" t="str">
        <f>VLOOKUP(Q762,'GL Category'!A:C,3,FALSE)</f>
        <v>Operations &amp; maintenance</v>
      </c>
      <c r="W762" s="125"/>
    </row>
    <row r="763" spans="1:23" s="83" customFormat="1" ht="20.399999999999999" customHeight="1">
      <c r="A763" s="608" t="s">
        <v>791</v>
      </c>
      <c r="B763" s="608" t="s">
        <v>2673</v>
      </c>
      <c r="C763" s="608" t="s">
        <v>171</v>
      </c>
      <c r="D763" s="609">
        <v>2965.87</v>
      </c>
      <c r="E763" s="609">
        <v>4658.04</v>
      </c>
      <c r="F763" s="609">
        <v>1464.02</v>
      </c>
      <c r="G763" s="609">
        <v>2552.9499999999998</v>
      </c>
      <c r="H763" s="609">
        <v>2500</v>
      </c>
      <c r="I763" s="609">
        <v>8128.65</v>
      </c>
      <c r="J763" s="609">
        <v>9000</v>
      </c>
      <c r="K763" s="609">
        <v>5000</v>
      </c>
      <c r="L763" s="609">
        <v>0</v>
      </c>
      <c r="M763" s="609">
        <v>0</v>
      </c>
      <c r="N763" s="587">
        <f t="shared" si="77"/>
        <v>5000</v>
      </c>
      <c r="O763"/>
      <c r="P763" s="490"/>
      <c r="Q763" t="str">
        <f t="shared" si="78"/>
        <v>52310</v>
      </c>
      <c r="R763" s="126" t="str">
        <f t="shared" si="79"/>
        <v>BUILDING MAINTENANCE</v>
      </c>
      <c r="S763" s="125" t="str">
        <f t="shared" si="80"/>
        <v>100</v>
      </c>
      <c r="T763" s="125" t="str">
        <f t="shared" si="81"/>
        <v>30</v>
      </c>
      <c r="U763" s="125" t="str">
        <f t="shared" si="82"/>
        <v>304</v>
      </c>
      <c r="V763" s="125" t="str">
        <f>VLOOKUP(Q763,'GL Category'!A:C,3,FALSE)</f>
        <v>Operations &amp; maintenance</v>
      </c>
      <c r="W763" s="125"/>
    </row>
    <row r="764" spans="1:23" s="83" customFormat="1" ht="20.399999999999999" customHeight="1">
      <c r="A764" s="608" t="s">
        <v>791</v>
      </c>
      <c r="B764" s="608" t="s">
        <v>2674</v>
      </c>
      <c r="C764" s="608" t="s">
        <v>175</v>
      </c>
      <c r="D764" s="609">
        <v>593.37</v>
      </c>
      <c r="E764" s="609">
        <v>303.7</v>
      </c>
      <c r="F764" s="609">
        <v>308.26</v>
      </c>
      <c r="G764" s="609">
        <v>312.82</v>
      </c>
      <c r="H764" s="609">
        <v>550</v>
      </c>
      <c r="I764" s="609">
        <v>317.38</v>
      </c>
      <c r="J764" s="609">
        <v>550</v>
      </c>
      <c r="K764" s="609">
        <v>550</v>
      </c>
      <c r="L764" s="609">
        <v>0</v>
      </c>
      <c r="M764" s="609">
        <v>0</v>
      </c>
      <c r="N764" s="587">
        <f t="shared" si="77"/>
        <v>550</v>
      </c>
      <c r="O764"/>
      <c r="P764" s="490"/>
      <c r="Q764" t="str">
        <f t="shared" si="78"/>
        <v>52440</v>
      </c>
      <c r="R764" s="126" t="str">
        <f t="shared" si="79"/>
        <v>RADIO MAINTENANCE</v>
      </c>
      <c r="S764" s="125" t="str">
        <f t="shared" si="80"/>
        <v>100</v>
      </c>
      <c r="T764" s="125" t="str">
        <f t="shared" si="81"/>
        <v>30</v>
      </c>
      <c r="U764" s="125" t="str">
        <f t="shared" si="82"/>
        <v>304</v>
      </c>
      <c r="V764" s="125" t="str">
        <f>VLOOKUP(Q764,'GL Category'!A:C,3,FALSE)</f>
        <v>Operations &amp; maintenance</v>
      </c>
      <c r="W764" s="125"/>
    </row>
    <row r="765" spans="1:23" s="83" customFormat="1" ht="20.399999999999999" customHeight="1">
      <c r="A765" s="608" t="s">
        <v>791</v>
      </c>
      <c r="B765" s="608" t="s">
        <v>2675</v>
      </c>
      <c r="C765" s="608" t="s">
        <v>241</v>
      </c>
      <c r="D765" s="609">
        <v>2758.88</v>
      </c>
      <c r="E765" s="609">
        <v>1151.9100000000001</v>
      </c>
      <c r="F765" s="609">
        <v>2327.56</v>
      </c>
      <c r="G765" s="609">
        <v>4532.8599999999997</v>
      </c>
      <c r="H765" s="609">
        <v>3000</v>
      </c>
      <c r="I765" s="609">
        <v>6117.21</v>
      </c>
      <c r="J765" s="609">
        <v>8000</v>
      </c>
      <c r="K765" s="609">
        <v>3000</v>
      </c>
      <c r="L765" s="609">
        <v>0</v>
      </c>
      <c r="M765" s="609">
        <v>0</v>
      </c>
      <c r="N765" s="587">
        <f t="shared" si="77"/>
        <v>3000</v>
      </c>
      <c r="O765"/>
      <c r="P765" s="490">
        <f t="shared" ref="P765:P774" si="84">N765-H765</f>
        <v>0</v>
      </c>
      <c r="Q765" t="str">
        <f t="shared" si="78"/>
        <v>52460</v>
      </c>
      <c r="R765" s="126" t="str">
        <f t="shared" si="79"/>
        <v>VEHICLE MAINTENANCE</v>
      </c>
      <c r="S765" s="125" t="str">
        <f t="shared" si="80"/>
        <v>100</v>
      </c>
      <c r="T765" s="125" t="str">
        <f t="shared" si="81"/>
        <v>30</v>
      </c>
      <c r="U765" s="125" t="str">
        <f t="shared" si="82"/>
        <v>304</v>
      </c>
      <c r="V765" s="125" t="str">
        <f>VLOOKUP(Q765,'GL Category'!A:C,3,FALSE)</f>
        <v>Operations &amp; maintenance</v>
      </c>
      <c r="W765" s="125"/>
    </row>
    <row r="766" spans="1:23" s="83" customFormat="1" ht="20.399999999999999" customHeight="1">
      <c r="A766" s="608" t="s">
        <v>791</v>
      </c>
      <c r="B766" s="608" t="s">
        <v>2675</v>
      </c>
      <c r="C766" s="608" t="s">
        <v>241</v>
      </c>
      <c r="D766" s="609">
        <v>0</v>
      </c>
      <c r="E766" s="609">
        <v>0</v>
      </c>
      <c r="F766" s="609">
        <v>7361.77</v>
      </c>
      <c r="G766" s="609">
        <v>0</v>
      </c>
      <c r="H766" s="609">
        <v>0</v>
      </c>
      <c r="I766" s="609">
        <v>0</v>
      </c>
      <c r="J766" s="609">
        <v>0</v>
      </c>
      <c r="K766" s="609">
        <v>0</v>
      </c>
      <c r="L766" s="609">
        <v>0</v>
      </c>
      <c r="M766" s="609">
        <v>0</v>
      </c>
      <c r="N766" s="587">
        <f t="shared" si="77"/>
        <v>0</v>
      </c>
      <c r="O766"/>
      <c r="P766" s="490">
        <f t="shared" si="84"/>
        <v>0</v>
      </c>
      <c r="Q766" t="str">
        <f t="shared" si="78"/>
        <v>52460</v>
      </c>
      <c r="R766" s="126" t="str">
        <f t="shared" si="79"/>
        <v>VEHICLE MAINTENANCE</v>
      </c>
      <c r="S766" s="125" t="str">
        <f t="shared" si="80"/>
        <v>100</v>
      </c>
      <c r="T766" s="125" t="str">
        <f t="shared" si="81"/>
        <v>30</v>
      </c>
      <c r="U766" s="125" t="str">
        <f t="shared" si="82"/>
        <v>304</v>
      </c>
      <c r="V766" s="125" t="str">
        <f>VLOOKUP(Q766,'GL Category'!A:C,3,FALSE)</f>
        <v>Operations &amp; maintenance</v>
      </c>
      <c r="W766" s="125"/>
    </row>
    <row r="767" spans="1:23" s="83" customFormat="1" ht="20.399999999999999" customHeight="1">
      <c r="A767" s="608" t="s">
        <v>791</v>
      </c>
      <c r="B767" s="608" t="s">
        <v>2676</v>
      </c>
      <c r="C767" s="608" t="s">
        <v>236</v>
      </c>
      <c r="D767" s="609">
        <v>625</v>
      </c>
      <c r="E767" s="609">
        <v>190</v>
      </c>
      <c r="F767" s="609">
        <v>766.15</v>
      </c>
      <c r="G767" s="609">
        <v>0</v>
      </c>
      <c r="H767" s="609">
        <v>0</v>
      </c>
      <c r="I767" s="609">
        <v>485</v>
      </c>
      <c r="J767" s="609">
        <v>0</v>
      </c>
      <c r="K767" s="609">
        <v>0</v>
      </c>
      <c r="L767" s="609">
        <v>0</v>
      </c>
      <c r="M767" s="609">
        <v>0</v>
      </c>
      <c r="N767" s="587">
        <f t="shared" si="77"/>
        <v>0</v>
      </c>
      <c r="O767"/>
      <c r="P767" s="490">
        <f t="shared" si="84"/>
        <v>0</v>
      </c>
      <c r="Q767" t="str">
        <f t="shared" si="78"/>
        <v>52470</v>
      </c>
      <c r="R767" s="126" t="str">
        <f t="shared" si="79"/>
        <v>EQUIPMENT MAINTENANCE</v>
      </c>
      <c r="S767" s="125" t="str">
        <f t="shared" si="80"/>
        <v>100</v>
      </c>
      <c r="T767" s="125" t="str">
        <f t="shared" si="81"/>
        <v>30</v>
      </c>
      <c r="U767" s="125" t="str">
        <f t="shared" si="82"/>
        <v>304</v>
      </c>
      <c r="V767" s="125" t="str">
        <f>VLOOKUP(Q767,'GL Category'!A:C,3,FALSE)</f>
        <v>Operations &amp; maintenance</v>
      </c>
      <c r="W767" s="125"/>
    </row>
    <row r="768" spans="1:23" s="83" customFormat="1" ht="20.399999999999999" customHeight="1">
      <c r="A768" s="608" t="s">
        <v>791</v>
      </c>
      <c r="B768" s="608" t="s">
        <v>2677</v>
      </c>
      <c r="C768" s="608" t="s">
        <v>181</v>
      </c>
      <c r="D768" s="609">
        <v>6724.81</v>
      </c>
      <c r="E768" s="609">
        <v>5249.55</v>
      </c>
      <c r="F768" s="609">
        <v>9953.1</v>
      </c>
      <c r="G768" s="609">
        <v>13514.94</v>
      </c>
      <c r="H768" s="609">
        <v>6800</v>
      </c>
      <c r="I768" s="609">
        <v>19028.61</v>
      </c>
      <c r="J768" s="609">
        <v>20000</v>
      </c>
      <c r="K768" s="609">
        <v>6800</v>
      </c>
      <c r="L768" s="609">
        <v>0</v>
      </c>
      <c r="M768" s="609">
        <v>0</v>
      </c>
      <c r="N768" s="587">
        <f t="shared" si="77"/>
        <v>6800</v>
      </c>
      <c r="O768"/>
      <c r="P768" s="490">
        <f t="shared" si="84"/>
        <v>0</v>
      </c>
      <c r="Q768" t="str">
        <f t="shared" si="78"/>
        <v>52490</v>
      </c>
      <c r="R768" s="126" t="str">
        <f t="shared" si="79"/>
        <v>A/C &amp; HEATING MAINTENANCE</v>
      </c>
      <c r="S768" s="125" t="str">
        <f t="shared" si="80"/>
        <v>100</v>
      </c>
      <c r="T768" s="125" t="str">
        <f t="shared" si="81"/>
        <v>30</v>
      </c>
      <c r="U768" s="125" t="str">
        <f t="shared" si="82"/>
        <v>304</v>
      </c>
      <c r="V768" s="125" t="str">
        <f>VLOOKUP(Q768,'GL Category'!A:C,3,FALSE)</f>
        <v>Operations &amp; maintenance</v>
      </c>
      <c r="W768" s="125"/>
    </row>
    <row r="769" spans="1:23" s="83" customFormat="1" ht="20.399999999999999" customHeight="1">
      <c r="A769" s="608" t="s">
        <v>791</v>
      </c>
      <c r="B769" s="608" t="s">
        <v>2679</v>
      </c>
      <c r="C769" s="608" t="s">
        <v>190</v>
      </c>
      <c r="D769" s="609">
        <v>0</v>
      </c>
      <c r="E769" s="609">
        <v>0</v>
      </c>
      <c r="F769" s="609">
        <v>0</v>
      </c>
      <c r="G769" s="609">
        <v>0</v>
      </c>
      <c r="H769" s="609">
        <v>0</v>
      </c>
      <c r="I769" s="609">
        <v>0</v>
      </c>
      <c r="J769" s="609">
        <v>0</v>
      </c>
      <c r="K769" s="609">
        <v>0</v>
      </c>
      <c r="L769" s="609">
        <v>0</v>
      </c>
      <c r="M769" s="609">
        <v>0</v>
      </c>
      <c r="N769" s="587">
        <f t="shared" si="77"/>
        <v>0</v>
      </c>
      <c r="O769"/>
      <c r="P769" s="490">
        <f t="shared" si="84"/>
        <v>0</v>
      </c>
      <c r="Q769" t="str">
        <f t="shared" si="78"/>
        <v>53510</v>
      </c>
      <c r="R769" s="126" t="str">
        <f t="shared" si="79"/>
        <v>DUES &amp; SUBSCRIPTIONS</v>
      </c>
      <c r="S769" s="125" t="str">
        <f t="shared" si="80"/>
        <v>100</v>
      </c>
      <c r="T769" s="125" t="str">
        <f t="shared" si="81"/>
        <v>30</v>
      </c>
      <c r="U769" s="125" t="str">
        <f t="shared" si="82"/>
        <v>304</v>
      </c>
      <c r="V769" s="125" t="str">
        <f>VLOOKUP(Q769,'GL Category'!A:C,3,FALSE)</f>
        <v>Services &amp; other</v>
      </c>
      <c r="W769" s="125"/>
    </row>
    <row r="770" spans="1:23" s="83" customFormat="1" ht="20.399999999999999" customHeight="1">
      <c r="A770" s="608" t="s">
        <v>791</v>
      </c>
      <c r="B770" s="608" t="s">
        <v>2680</v>
      </c>
      <c r="C770" s="608" t="s">
        <v>191</v>
      </c>
      <c r="D770" s="609">
        <v>393.91</v>
      </c>
      <c r="E770" s="609">
        <v>1050</v>
      </c>
      <c r="F770" s="609">
        <v>500</v>
      </c>
      <c r="G770" s="609">
        <v>1537.79</v>
      </c>
      <c r="H770" s="609">
        <v>1000</v>
      </c>
      <c r="I770" s="609">
        <v>2781.7</v>
      </c>
      <c r="J770" s="609">
        <v>2500</v>
      </c>
      <c r="K770" s="609">
        <v>1000</v>
      </c>
      <c r="L770" s="609">
        <v>0</v>
      </c>
      <c r="M770" s="609">
        <v>0</v>
      </c>
      <c r="N770" s="587">
        <f t="shared" si="77"/>
        <v>1000</v>
      </c>
      <c r="O770"/>
      <c r="P770" s="490">
        <f t="shared" si="84"/>
        <v>0</v>
      </c>
      <c r="Q770" t="str">
        <f t="shared" si="78"/>
        <v>53515</v>
      </c>
      <c r="R770" s="126" t="str">
        <f t="shared" si="79"/>
        <v>TRAVEL, TRAINING &amp; EDUCATION</v>
      </c>
      <c r="S770" s="125" t="str">
        <f t="shared" si="80"/>
        <v>100</v>
      </c>
      <c r="T770" s="125" t="str">
        <f t="shared" si="81"/>
        <v>30</v>
      </c>
      <c r="U770" s="125" t="str">
        <f t="shared" si="82"/>
        <v>304</v>
      </c>
      <c r="V770" s="125" t="str">
        <f>VLOOKUP(Q770,'GL Category'!A:C,3,FALSE)</f>
        <v>Services &amp; other</v>
      </c>
      <c r="W770" s="125"/>
    </row>
    <row r="771" spans="1:23" s="83" customFormat="1" ht="20.399999999999999" customHeight="1">
      <c r="A771" s="608" t="s">
        <v>791</v>
      </c>
      <c r="B771" s="608" t="s">
        <v>2681</v>
      </c>
      <c r="C771" s="608" t="s">
        <v>195</v>
      </c>
      <c r="D771" s="609">
        <v>1276</v>
      </c>
      <c r="E771" s="609">
        <v>2552</v>
      </c>
      <c r="F771" s="609">
        <v>0</v>
      </c>
      <c r="G771" s="609">
        <v>0</v>
      </c>
      <c r="H771" s="609">
        <v>2000</v>
      </c>
      <c r="I771" s="609">
        <v>0</v>
      </c>
      <c r="J771" s="609">
        <v>500</v>
      </c>
      <c r="K771" s="609">
        <v>2000</v>
      </c>
      <c r="L771" s="609">
        <v>0</v>
      </c>
      <c r="M771" s="609">
        <v>0</v>
      </c>
      <c r="N771" s="587">
        <f t="shared" si="77"/>
        <v>2000</v>
      </c>
      <c r="O771"/>
      <c r="P771" s="490">
        <f t="shared" si="84"/>
        <v>0</v>
      </c>
      <c r="Q771" t="str">
        <f t="shared" si="78"/>
        <v>53517</v>
      </c>
      <c r="R771" s="126" t="str">
        <f t="shared" si="79"/>
        <v>MEDICAL SERVICES</v>
      </c>
      <c r="S771" s="125" t="str">
        <f t="shared" si="80"/>
        <v>100</v>
      </c>
      <c r="T771" s="125" t="str">
        <f t="shared" si="81"/>
        <v>30</v>
      </c>
      <c r="U771" s="125" t="str">
        <f t="shared" si="82"/>
        <v>304</v>
      </c>
      <c r="V771" s="125" t="str">
        <f>VLOOKUP(Q771,'GL Category'!A:C,3,FALSE)</f>
        <v>Services &amp; other</v>
      </c>
      <c r="W771" s="125"/>
    </row>
    <row r="772" spans="1:23" s="83" customFormat="1" ht="20.399999999999999" customHeight="1">
      <c r="A772" s="608" t="s">
        <v>791</v>
      </c>
      <c r="B772" s="608" t="s">
        <v>2684</v>
      </c>
      <c r="C772" s="608" t="s">
        <v>278</v>
      </c>
      <c r="D772" s="609">
        <v>2103.5700000000002</v>
      </c>
      <c r="E772" s="609">
        <v>2405.2399999999998</v>
      </c>
      <c r="F772" s="609">
        <v>4131.6400000000003</v>
      </c>
      <c r="G772" s="609">
        <v>4276.75</v>
      </c>
      <c r="H772" s="609">
        <v>4705</v>
      </c>
      <c r="I772" s="609">
        <v>4685.6400000000003</v>
      </c>
      <c r="J772" s="609">
        <v>4705</v>
      </c>
      <c r="K772" s="609">
        <v>4705</v>
      </c>
      <c r="L772" s="609">
        <v>0</v>
      </c>
      <c r="M772" s="609">
        <v>0</v>
      </c>
      <c r="N772" s="587">
        <f t="shared" ref="N772:N835" si="85">SUM(K772:M772)</f>
        <v>4705</v>
      </c>
      <c r="O772"/>
      <c r="P772" s="490">
        <f t="shared" si="84"/>
        <v>0</v>
      </c>
      <c r="Q772" t="str">
        <f t="shared" ref="Q772:Q835" si="86">MID(B772,12,5)</f>
        <v>53568</v>
      </c>
      <c r="R772" s="126" t="str">
        <f t="shared" ref="R772:R835" si="87">C772</f>
        <v>LAW ENFORCEMENT LIAB PREMIUMS</v>
      </c>
      <c r="S772" s="125" t="str">
        <f t="shared" ref="S772:S835" si="88">LEFT(B772,3)</f>
        <v>100</v>
      </c>
      <c r="T772" s="125" t="str">
        <f t="shared" ref="T772:T835" si="89">MID(B772,5,2)</f>
        <v>30</v>
      </c>
      <c r="U772" s="125" t="str">
        <f t="shared" ref="U772:U835" si="90">MID(B772,8,3)</f>
        <v>304</v>
      </c>
      <c r="V772" s="125" t="str">
        <f>VLOOKUP(Q772,'GL Category'!A:C,3,FALSE)</f>
        <v>Services &amp; other</v>
      </c>
      <c r="W772" s="125"/>
    </row>
    <row r="773" spans="1:23" s="83" customFormat="1" ht="20.399999999999999" customHeight="1">
      <c r="A773" s="608" t="s">
        <v>791</v>
      </c>
      <c r="B773" s="608" t="s">
        <v>2686</v>
      </c>
      <c r="C773" s="608" t="s">
        <v>213</v>
      </c>
      <c r="D773" s="609">
        <v>2282.48</v>
      </c>
      <c r="E773" s="609">
        <v>3770.42</v>
      </c>
      <c r="F773" s="609">
        <v>3977.96</v>
      </c>
      <c r="G773" s="609">
        <v>4406.16</v>
      </c>
      <c r="H773" s="609">
        <v>5060</v>
      </c>
      <c r="I773" s="609">
        <v>4186.5600000000004</v>
      </c>
      <c r="J773" s="609">
        <v>5060</v>
      </c>
      <c r="K773" s="609">
        <v>5060</v>
      </c>
      <c r="L773" s="609">
        <v>0</v>
      </c>
      <c r="M773" s="609">
        <v>0</v>
      </c>
      <c r="N773" s="587">
        <f t="shared" si="85"/>
        <v>5060</v>
      </c>
      <c r="O773"/>
      <c r="P773" s="490">
        <f t="shared" si="84"/>
        <v>0</v>
      </c>
      <c r="Q773" t="str">
        <f t="shared" si="86"/>
        <v>53571</v>
      </c>
      <c r="R773" s="126" t="str">
        <f t="shared" si="87"/>
        <v>NATURAL GAS UTILITY SERVICE</v>
      </c>
      <c r="S773" s="125" t="str">
        <f t="shared" si="88"/>
        <v>100</v>
      </c>
      <c r="T773" s="125" t="str">
        <f t="shared" si="89"/>
        <v>30</v>
      </c>
      <c r="U773" s="125" t="str">
        <f t="shared" si="90"/>
        <v>304</v>
      </c>
      <c r="V773" s="125" t="str">
        <f>VLOOKUP(Q773,'GL Category'!A:C,3,FALSE)</f>
        <v>Services &amp; other</v>
      </c>
      <c r="W773" s="125"/>
    </row>
    <row r="774" spans="1:23" s="83" customFormat="1" ht="20.399999999999999" customHeight="1">
      <c r="A774" s="608" t="s">
        <v>791</v>
      </c>
      <c r="B774" s="608" t="s">
        <v>2687</v>
      </c>
      <c r="C774" s="608" t="s">
        <v>215</v>
      </c>
      <c r="D774" s="609">
        <v>15220.12</v>
      </c>
      <c r="E774" s="609">
        <v>15011.28</v>
      </c>
      <c r="F774" s="609">
        <v>22195.93</v>
      </c>
      <c r="G774" s="609">
        <v>26569.52</v>
      </c>
      <c r="H774" s="609">
        <v>31370</v>
      </c>
      <c r="I774" s="609">
        <v>13511.72</v>
      </c>
      <c r="J774" s="609">
        <v>15000</v>
      </c>
      <c r="K774" s="609">
        <v>31370</v>
      </c>
      <c r="L774" s="609">
        <v>0</v>
      </c>
      <c r="M774" s="609">
        <v>0</v>
      </c>
      <c r="N774" s="587">
        <f t="shared" si="85"/>
        <v>31370</v>
      </c>
      <c r="O774"/>
      <c r="P774" s="490">
        <f t="shared" si="84"/>
        <v>0</v>
      </c>
      <c r="Q774" t="str">
        <f t="shared" si="86"/>
        <v>53572</v>
      </c>
      <c r="R774" s="126" t="str">
        <f t="shared" si="87"/>
        <v>ELECTRICAL UTILITY SERVICE</v>
      </c>
      <c r="S774" s="125" t="str">
        <f t="shared" si="88"/>
        <v>100</v>
      </c>
      <c r="T774" s="125" t="str">
        <f t="shared" si="89"/>
        <v>30</v>
      </c>
      <c r="U774" s="125" t="str">
        <f t="shared" si="90"/>
        <v>304</v>
      </c>
      <c r="V774" s="125" t="str">
        <f>VLOOKUP(Q774,'GL Category'!A:C,3,FALSE)</f>
        <v>Services &amp; other</v>
      </c>
      <c r="W774" s="125"/>
    </row>
    <row r="775" spans="1:23" s="83" customFormat="1" ht="20.399999999999999" customHeight="1">
      <c r="A775" s="608" t="s">
        <v>791</v>
      </c>
      <c r="B775" s="608" t="s">
        <v>2688</v>
      </c>
      <c r="C775" s="608" t="s">
        <v>217</v>
      </c>
      <c r="D775" s="609">
        <v>7786.45</v>
      </c>
      <c r="E775" s="609">
        <v>5081.17</v>
      </c>
      <c r="F775" s="609">
        <v>3808.54</v>
      </c>
      <c r="G775" s="609">
        <v>4250.6899999999996</v>
      </c>
      <c r="H775" s="609">
        <v>8000</v>
      </c>
      <c r="I775" s="609">
        <v>3659.78</v>
      </c>
      <c r="J775" s="609">
        <v>8000</v>
      </c>
      <c r="K775" s="609">
        <v>8000</v>
      </c>
      <c r="L775" s="609">
        <v>0</v>
      </c>
      <c r="M775" s="609">
        <v>0</v>
      </c>
      <c r="N775" s="587">
        <f t="shared" si="85"/>
        <v>8000</v>
      </c>
      <c r="O775"/>
      <c r="P775" s="490"/>
      <c r="Q775" t="str">
        <f t="shared" si="86"/>
        <v>53574</v>
      </c>
      <c r="R775" s="126" t="str">
        <f t="shared" si="87"/>
        <v>WATER/SEWER UTILITY SERVICE</v>
      </c>
      <c r="S775" s="125" t="str">
        <f t="shared" si="88"/>
        <v>100</v>
      </c>
      <c r="T775" s="125" t="str">
        <f t="shared" si="89"/>
        <v>30</v>
      </c>
      <c r="U775" s="125" t="str">
        <f t="shared" si="90"/>
        <v>304</v>
      </c>
      <c r="V775" s="125" t="str">
        <f>VLOOKUP(Q775,'GL Category'!A:C,3,FALSE)</f>
        <v>Services &amp; other</v>
      </c>
      <c r="W775" s="125"/>
    </row>
    <row r="776" spans="1:23" s="83" customFormat="1" ht="20.399999999999999" customHeight="1">
      <c r="A776" s="608" t="s">
        <v>791</v>
      </c>
      <c r="B776" s="608" t="s">
        <v>2689</v>
      </c>
      <c r="C776" s="608" t="s">
        <v>219</v>
      </c>
      <c r="D776" s="609">
        <v>992.21</v>
      </c>
      <c r="E776" s="609">
        <v>1218.98</v>
      </c>
      <c r="F776" s="609">
        <v>1455.04</v>
      </c>
      <c r="G776" s="609">
        <v>1964.97</v>
      </c>
      <c r="H776" s="609">
        <v>1500</v>
      </c>
      <c r="I776" s="609">
        <v>1744.48</v>
      </c>
      <c r="J776" s="609">
        <v>1500</v>
      </c>
      <c r="K776" s="609">
        <v>1500</v>
      </c>
      <c r="L776" s="609">
        <v>0</v>
      </c>
      <c r="M776" s="609">
        <v>0</v>
      </c>
      <c r="N776" s="587">
        <f t="shared" si="85"/>
        <v>1500</v>
      </c>
      <c r="O776"/>
      <c r="P776" s="490"/>
      <c r="Q776" t="str">
        <f t="shared" si="86"/>
        <v>53585</v>
      </c>
      <c r="R776" s="126" t="str">
        <f t="shared" si="87"/>
        <v>BANKING SERVICES CHARGES</v>
      </c>
      <c r="S776" s="125" t="str">
        <f t="shared" si="88"/>
        <v>100</v>
      </c>
      <c r="T776" s="125" t="str">
        <f t="shared" si="89"/>
        <v>30</v>
      </c>
      <c r="U776" s="125" t="str">
        <f t="shared" si="90"/>
        <v>304</v>
      </c>
      <c r="V776" s="125" t="str">
        <f>VLOOKUP(Q776,'GL Category'!A:C,3,FALSE)</f>
        <v>Services &amp; other</v>
      </c>
      <c r="W776" s="125"/>
    </row>
    <row r="777" spans="1:23" s="83" customFormat="1" ht="20.399999999999999" customHeight="1">
      <c r="A777" s="608" t="s">
        <v>791</v>
      </c>
      <c r="B777" s="608" t="s">
        <v>2678</v>
      </c>
      <c r="C777" s="608" t="s">
        <v>238</v>
      </c>
      <c r="D777" s="609">
        <v>21181.87</v>
      </c>
      <c r="E777" s="609">
        <v>38773.81</v>
      </c>
      <c r="F777" s="609">
        <v>49075.86</v>
      </c>
      <c r="G777" s="609">
        <v>73746.320000000007</v>
      </c>
      <c r="H777" s="609">
        <v>60000</v>
      </c>
      <c r="I777" s="609">
        <v>34118.92</v>
      </c>
      <c r="J777" s="609">
        <v>70000</v>
      </c>
      <c r="K777" s="609">
        <v>79084</v>
      </c>
      <c r="L777" s="609">
        <v>0</v>
      </c>
      <c r="M777" s="609">
        <v>0</v>
      </c>
      <c r="N777" s="587">
        <f t="shared" si="85"/>
        <v>79084</v>
      </c>
      <c r="O777"/>
      <c r="P777" s="490"/>
      <c r="Q777" t="str">
        <f t="shared" si="86"/>
        <v>53599</v>
      </c>
      <c r="R777" s="126" t="str">
        <f t="shared" si="87"/>
        <v>MISCELLANEOUS SERVICES</v>
      </c>
      <c r="S777" s="125" t="str">
        <f t="shared" si="88"/>
        <v>100</v>
      </c>
      <c r="T777" s="125" t="str">
        <f t="shared" si="89"/>
        <v>30</v>
      </c>
      <c r="U777" s="125" t="str">
        <f t="shared" si="90"/>
        <v>304</v>
      </c>
      <c r="V777" s="125" t="str">
        <f>VLOOKUP(Q777,'GL Category'!A:C,3,FALSE)</f>
        <v>Services &amp; other</v>
      </c>
      <c r="W777" s="125"/>
    </row>
    <row r="778" spans="1:23" s="83" customFormat="1" ht="20.399999999999999" customHeight="1">
      <c r="A778" s="608" t="s">
        <v>791</v>
      </c>
      <c r="B778" s="608" t="s">
        <v>2690</v>
      </c>
      <c r="C778" s="608" t="s">
        <v>221</v>
      </c>
      <c r="D778" s="609">
        <v>19512</v>
      </c>
      <c r="E778" s="609">
        <v>19850</v>
      </c>
      <c r="F778" s="609">
        <v>22869</v>
      </c>
      <c r="G778" s="609">
        <v>22542</v>
      </c>
      <c r="H778" s="609">
        <v>27460</v>
      </c>
      <c r="I778" s="609">
        <v>20595</v>
      </c>
      <c r="J778" s="609">
        <v>27460</v>
      </c>
      <c r="K778" s="609">
        <v>27856</v>
      </c>
      <c r="L778" s="609">
        <v>0</v>
      </c>
      <c r="M778" s="609">
        <v>0</v>
      </c>
      <c r="N778" s="587">
        <f t="shared" si="85"/>
        <v>27856</v>
      </c>
      <c r="O778"/>
      <c r="P778" s="490"/>
      <c r="Q778" t="str">
        <f t="shared" si="86"/>
        <v>55119</v>
      </c>
      <c r="R778" s="126" t="str">
        <f t="shared" si="87"/>
        <v>OFFICE EQUIP LEASE EXP-CITY</v>
      </c>
      <c r="S778" s="125" t="str">
        <f t="shared" si="88"/>
        <v>100</v>
      </c>
      <c r="T778" s="125" t="str">
        <f t="shared" si="89"/>
        <v>30</v>
      </c>
      <c r="U778" s="125" t="str">
        <f t="shared" si="90"/>
        <v>304</v>
      </c>
      <c r="V778" s="125" t="str">
        <f>VLOOKUP(Q778,'GL Category'!A:C,3,FALSE)</f>
        <v>Services &amp; other</v>
      </c>
      <c r="W778" s="125"/>
    </row>
    <row r="779" spans="1:23" s="83" customFormat="1" ht="20.399999999999999" customHeight="1">
      <c r="A779" s="608" t="s">
        <v>791</v>
      </c>
      <c r="B779" s="608" t="s">
        <v>2691</v>
      </c>
      <c r="C779" s="608" t="s">
        <v>130</v>
      </c>
      <c r="D779" s="609">
        <v>0</v>
      </c>
      <c r="E779" s="609">
        <v>9020.44</v>
      </c>
      <c r="F779" s="609">
        <v>11588.5</v>
      </c>
      <c r="G779" s="609">
        <v>12264.5</v>
      </c>
      <c r="H779" s="609">
        <v>12687</v>
      </c>
      <c r="I779" s="609">
        <v>10004.51</v>
      </c>
      <c r="J779" s="609">
        <v>13191</v>
      </c>
      <c r="K779" s="609">
        <v>13832</v>
      </c>
      <c r="L779" s="609">
        <v>0</v>
      </c>
      <c r="M779" s="609">
        <v>0</v>
      </c>
      <c r="N779" s="587">
        <f t="shared" si="85"/>
        <v>13832</v>
      </c>
      <c r="O779"/>
      <c r="P779" s="490"/>
      <c r="Q779" t="str">
        <f t="shared" si="86"/>
        <v>50101</v>
      </c>
      <c r="R779" s="126" t="str">
        <f t="shared" si="87"/>
        <v>EXEMPT SALARIES</v>
      </c>
      <c r="S779" s="125" t="str">
        <f t="shared" si="88"/>
        <v>100</v>
      </c>
      <c r="T779" s="125" t="str">
        <f t="shared" si="89"/>
        <v>30</v>
      </c>
      <c r="U779" s="125" t="str">
        <f t="shared" si="90"/>
        <v>305</v>
      </c>
      <c r="V779" s="125" t="str">
        <f>VLOOKUP(Q779,'GL Category'!A:C,3,FALSE)</f>
        <v>Personnel services</v>
      </c>
      <c r="W779" s="125"/>
    </row>
    <row r="780" spans="1:23" s="83" customFormat="1" ht="20.399999999999999" customHeight="1">
      <c r="A780" s="608" t="s">
        <v>791</v>
      </c>
      <c r="B780" s="608" t="s">
        <v>2692</v>
      </c>
      <c r="C780" s="608" t="s">
        <v>132</v>
      </c>
      <c r="D780" s="609">
        <v>296282.99</v>
      </c>
      <c r="E780" s="609">
        <v>319168.21000000002</v>
      </c>
      <c r="F780" s="609">
        <v>370186.89</v>
      </c>
      <c r="G780" s="609">
        <v>380216.11</v>
      </c>
      <c r="H780" s="609">
        <v>496028</v>
      </c>
      <c r="I780" s="609">
        <v>365627.04</v>
      </c>
      <c r="J780" s="609">
        <v>456405</v>
      </c>
      <c r="K780" s="609">
        <v>491054</v>
      </c>
      <c r="L780" s="609">
        <v>0</v>
      </c>
      <c r="M780" s="609">
        <v>0</v>
      </c>
      <c r="N780" s="587">
        <f t="shared" si="85"/>
        <v>491054</v>
      </c>
      <c r="O780"/>
      <c r="P780" s="490"/>
      <c r="Q780" t="str">
        <f t="shared" si="86"/>
        <v>50102</v>
      </c>
      <c r="R780" s="126" t="str">
        <f t="shared" si="87"/>
        <v>NON EXEMPT SALARIES</v>
      </c>
      <c r="S780" s="125" t="str">
        <f t="shared" si="88"/>
        <v>100</v>
      </c>
      <c r="T780" s="125" t="str">
        <f t="shared" si="89"/>
        <v>30</v>
      </c>
      <c r="U780" s="125" t="str">
        <f t="shared" si="90"/>
        <v>305</v>
      </c>
      <c r="V780" s="125" t="str">
        <f>VLOOKUP(Q780,'GL Category'!A:C,3,FALSE)</f>
        <v>Personnel services</v>
      </c>
      <c r="W780" s="125"/>
    </row>
    <row r="781" spans="1:23" s="83" customFormat="1" ht="20.399999999999999" customHeight="1">
      <c r="A781" s="608" t="s">
        <v>791</v>
      </c>
      <c r="B781" s="608" t="s">
        <v>2693</v>
      </c>
      <c r="C781" s="608" t="s">
        <v>0</v>
      </c>
      <c r="D781" s="609">
        <v>18920.73</v>
      </c>
      <c r="E781" s="609">
        <v>16933.099999999999</v>
      </c>
      <c r="F781" s="609">
        <v>27683.71</v>
      </c>
      <c r="G781" s="609">
        <v>32310.71</v>
      </c>
      <c r="H781" s="609">
        <v>12214</v>
      </c>
      <c r="I781" s="609">
        <v>23035.05</v>
      </c>
      <c r="J781" s="609">
        <v>28653</v>
      </c>
      <c r="K781" s="609">
        <v>12456</v>
      </c>
      <c r="L781" s="609">
        <v>0</v>
      </c>
      <c r="M781" s="609">
        <v>0</v>
      </c>
      <c r="N781" s="587">
        <f t="shared" si="85"/>
        <v>12456</v>
      </c>
      <c r="O781"/>
      <c r="P781" s="490"/>
      <c r="Q781" t="str">
        <f t="shared" si="86"/>
        <v>50109</v>
      </c>
      <c r="R781" s="126" t="str">
        <f t="shared" si="87"/>
        <v>OVERTIME</v>
      </c>
      <c r="S781" s="125" t="str">
        <f t="shared" si="88"/>
        <v>100</v>
      </c>
      <c r="T781" s="125" t="str">
        <f t="shared" si="89"/>
        <v>30</v>
      </c>
      <c r="U781" s="125" t="str">
        <f t="shared" si="90"/>
        <v>305</v>
      </c>
      <c r="V781" s="125" t="str">
        <f>VLOOKUP(Q781,'GL Category'!A:C,3,FALSE)</f>
        <v>Personnel services</v>
      </c>
      <c r="W781" s="125"/>
    </row>
    <row r="782" spans="1:23" s="83" customFormat="1" ht="20.399999999999999" customHeight="1">
      <c r="A782" s="608" t="s">
        <v>791</v>
      </c>
      <c r="B782" s="608" t="s">
        <v>2694</v>
      </c>
      <c r="C782" s="608" t="s">
        <v>135</v>
      </c>
      <c r="D782" s="609">
        <v>0</v>
      </c>
      <c r="E782" s="609">
        <v>0</v>
      </c>
      <c r="F782" s="609">
        <v>0</v>
      </c>
      <c r="G782" s="609">
        <v>0</v>
      </c>
      <c r="H782" s="609">
        <v>0</v>
      </c>
      <c r="I782" s="609">
        <v>0</v>
      </c>
      <c r="J782" s="609">
        <v>0</v>
      </c>
      <c r="K782" s="609">
        <v>0</v>
      </c>
      <c r="L782" s="609">
        <v>0</v>
      </c>
      <c r="M782" s="609">
        <v>0</v>
      </c>
      <c r="N782" s="587">
        <f t="shared" si="85"/>
        <v>0</v>
      </c>
      <c r="O782"/>
      <c r="P782" s="490"/>
      <c r="Q782" t="str">
        <f t="shared" si="86"/>
        <v>50110</v>
      </c>
      <c r="R782" s="126" t="str">
        <f t="shared" si="87"/>
        <v>PART-TIME WAGES</v>
      </c>
      <c r="S782" s="125" t="str">
        <f t="shared" si="88"/>
        <v>100</v>
      </c>
      <c r="T782" s="125" t="str">
        <f t="shared" si="89"/>
        <v>30</v>
      </c>
      <c r="U782" s="125" t="str">
        <f t="shared" si="90"/>
        <v>305</v>
      </c>
      <c r="V782" s="125" t="str">
        <f>VLOOKUP(Q782,'GL Category'!A:C,3,FALSE)</f>
        <v>Personnel services</v>
      </c>
      <c r="W782" s="125"/>
    </row>
    <row r="783" spans="1:23" s="83" customFormat="1" ht="20.399999999999999" customHeight="1">
      <c r="A783" s="608" t="s">
        <v>791</v>
      </c>
      <c r="B783" s="608" t="s">
        <v>2695</v>
      </c>
      <c r="C783" s="608" t="s">
        <v>137</v>
      </c>
      <c r="D783" s="609">
        <v>1400</v>
      </c>
      <c r="E783" s="609">
        <v>1485</v>
      </c>
      <c r="F783" s="609">
        <v>1770</v>
      </c>
      <c r="G783" s="609">
        <v>591</v>
      </c>
      <c r="H783" s="609">
        <v>1520</v>
      </c>
      <c r="I783" s="609">
        <v>1083.5</v>
      </c>
      <c r="J783" s="609">
        <v>1084</v>
      </c>
      <c r="K783" s="609">
        <v>1729</v>
      </c>
      <c r="L783" s="609">
        <v>0</v>
      </c>
      <c r="M783" s="609">
        <v>0</v>
      </c>
      <c r="N783" s="587">
        <f t="shared" si="85"/>
        <v>1729</v>
      </c>
      <c r="O783"/>
      <c r="P783" s="490"/>
      <c r="Q783" t="str">
        <f t="shared" si="86"/>
        <v>50111</v>
      </c>
      <c r="R783" s="126" t="str">
        <f t="shared" si="87"/>
        <v>LONGEVITY PAY</v>
      </c>
      <c r="S783" s="125" t="str">
        <f t="shared" si="88"/>
        <v>100</v>
      </c>
      <c r="T783" s="125" t="str">
        <f t="shared" si="89"/>
        <v>30</v>
      </c>
      <c r="U783" s="125" t="str">
        <f t="shared" si="90"/>
        <v>305</v>
      </c>
      <c r="V783" s="125" t="str">
        <f>VLOOKUP(Q783,'GL Category'!A:C,3,FALSE)</f>
        <v>Personnel services</v>
      </c>
      <c r="W783" s="125"/>
    </row>
    <row r="784" spans="1:23" s="83" customFormat="1" ht="20.399999999999999" customHeight="1">
      <c r="A784" s="608" t="s">
        <v>791</v>
      </c>
      <c r="B784" s="608" t="s">
        <v>2696</v>
      </c>
      <c r="C784" s="608" t="s">
        <v>283</v>
      </c>
      <c r="D784" s="609">
        <v>23200.58</v>
      </c>
      <c r="E784" s="609">
        <v>30151.91</v>
      </c>
      <c r="F784" s="609">
        <v>32012.67</v>
      </c>
      <c r="G784" s="609">
        <v>34821.01</v>
      </c>
      <c r="H784" s="609">
        <v>49321</v>
      </c>
      <c r="I784" s="609">
        <v>31721.96</v>
      </c>
      <c r="J784" s="609">
        <v>57527</v>
      </c>
      <c r="K784" s="609">
        <v>44721</v>
      </c>
      <c r="L784" s="609">
        <v>0</v>
      </c>
      <c r="M784" s="609">
        <v>0</v>
      </c>
      <c r="N784" s="587">
        <f t="shared" si="85"/>
        <v>44721</v>
      </c>
      <c r="O784"/>
      <c r="P784" s="490"/>
      <c r="Q784" t="str">
        <f t="shared" si="86"/>
        <v>50115</v>
      </c>
      <c r="R784" s="126" t="str">
        <f t="shared" si="87"/>
        <v>INCENTIVE/CERTIFICATION PAY</v>
      </c>
      <c r="S784" s="125" t="str">
        <f t="shared" si="88"/>
        <v>100</v>
      </c>
      <c r="T784" s="125" t="str">
        <f t="shared" si="89"/>
        <v>30</v>
      </c>
      <c r="U784" s="125" t="str">
        <f t="shared" si="90"/>
        <v>305</v>
      </c>
      <c r="V784" s="125" t="str">
        <f>VLOOKUP(Q784,'GL Category'!A:C,3,FALSE)</f>
        <v>Personnel services</v>
      </c>
      <c r="W784" s="125"/>
    </row>
    <row r="785" spans="1:23" s="83" customFormat="1" ht="20.399999999999999" customHeight="1">
      <c r="A785" s="608" t="s">
        <v>791</v>
      </c>
      <c r="B785" s="608" t="s">
        <v>2697</v>
      </c>
      <c r="C785" s="608" t="s">
        <v>1</v>
      </c>
      <c r="D785" s="609">
        <v>24890.42</v>
      </c>
      <c r="E785" s="609">
        <v>28095.86</v>
      </c>
      <c r="F785" s="609">
        <v>33163.1</v>
      </c>
      <c r="G785" s="609">
        <v>34050.07</v>
      </c>
      <c r="H785" s="609">
        <v>43892</v>
      </c>
      <c r="I785" s="609">
        <v>32060.05</v>
      </c>
      <c r="J785" s="609">
        <v>41354</v>
      </c>
      <c r="K785" s="609">
        <v>43209</v>
      </c>
      <c r="L785" s="609">
        <v>0</v>
      </c>
      <c r="M785" s="609">
        <v>0</v>
      </c>
      <c r="N785" s="587">
        <f t="shared" si="85"/>
        <v>43209</v>
      </c>
      <c r="O785"/>
      <c r="P785" s="490"/>
      <c r="Q785" t="str">
        <f t="shared" si="86"/>
        <v>50610</v>
      </c>
      <c r="R785" s="126" t="str">
        <f t="shared" si="87"/>
        <v>SOCIAL SECURITY</v>
      </c>
      <c r="S785" s="125" t="str">
        <f t="shared" si="88"/>
        <v>100</v>
      </c>
      <c r="T785" s="125" t="str">
        <f t="shared" si="89"/>
        <v>30</v>
      </c>
      <c r="U785" s="125" t="str">
        <f t="shared" si="90"/>
        <v>305</v>
      </c>
      <c r="V785" s="125" t="str">
        <f>VLOOKUP(Q785,'GL Category'!A:C,3,FALSE)</f>
        <v>Personnel services</v>
      </c>
      <c r="W785" s="125"/>
    </row>
    <row r="786" spans="1:23" s="83" customFormat="1" ht="20.399999999999999" customHeight="1">
      <c r="A786" s="608" t="s">
        <v>791</v>
      </c>
      <c r="B786" s="608" t="s">
        <v>2698</v>
      </c>
      <c r="C786" s="608" t="s">
        <v>142</v>
      </c>
      <c r="D786" s="609">
        <v>79945.75</v>
      </c>
      <c r="E786" s="609">
        <v>75078.3</v>
      </c>
      <c r="F786" s="609">
        <v>103714.68</v>
      </c>
      <c r="G786" s="609">
        <v>116009.12</v>
      </c>
      <c r="H786" s="609">
        <v>141602</v>
      </c>
      <c r="I786" s="609">
        <v>93993.03</v>
      </c>
      <c r="J786" s="609">
        <v>126069</v>
      </c>
      <c r="K786" s="609">
        <v>136897</v>
      </c>
      <c r="L786" s="609">
        <v>0</v>
      </c>
      <c r="M786" s="609">
        <v>0</v>
      </c>
      <c r="N786" s="587">
        <f t="shared" si="85"/>
        <v>136897</v>
      </c>
      <c r="O786"/>
      <c r="P786" s="490"/>
      <c r="Q786" t="str">
        <f t="shared" si="86"/>
        <v>50620</v>
      </c>
      <c r="R786" s="126" t="str">
        <f t="shared" si="87"/>
        <v>HEALTH/LIFE INSURANCE</v>
      </c>
      <c r="S786" s="125" t="str">
        <f t="shared" si="88"/>
        <v>100</v>
      </c>
      <c r="T786" s="125" t="str">
        <f t="shared" si="89"/>
        <v>30</v>
      </c>
      <c r="U786" s="125" t="str">
        <f t="shared" si="90"/>
        <v>305</v>
      </c>
      <c r="V786" s="125" t="str">
        <f>VLOOKUP(Q786,'GL Category'!A:C,3,FALSE)</f>
        <v>Personnel services</v>
      </c>
      <c r="W786" s="125"/>
    </row>
    <row r="787" spans="1:23" s="83" customFormat="1" ht="20.399999999999999" customHeight="1">
      <c r="A787" s="608" t="s">
        <v>791</v>
      </c>
      <c r="B787" s="608" t="s">
        <v>2699</v>
      </c>
      <c r="C787" s="608" t="s">
        <v>144</v>
      </c>
      <c r="D787" s="609">
        <v>2704.6</v>
      </c>
      <c r="E787" s="609">
        <v>2584.7399999999998</v>
      </c>
      <c r="F787" s="609">
        <v>3143.59</v>
      </c>
      <c r="G787" s="609">
        <v>5546.98</v>
      </c>
      <c r="H787" s="609">
        <v>8688</v>
      </c>
      <c r="I787" s="609">
        <v>8680.9</v>
      </c>
      <c r="J787" s="609">
        <v>8681</v>
      </c>
      <c r="K787" s="609">
        <v>8903</v>
      </c>
      <c r="L787" s="609">
        <v>0</v>
      </c>
      <c r="M787" s="609">
        <v>0</v>
      </c>
      <c r="N787" s="587">
        <f t="shared" si="85"/>
        <v>8903</v>
      </c>
      <c r="O787"/>
      <c r="P787" s="490"/>
      <c r="Q787" t="str">
        <f t="shared" si="86"/>
        <v>50630</v>
      </c>
      <c r="R787" s="126" t="str">
        <f t="shared" si="87"/>
        <v>WORKER COMPENSATION</v>
      </c>
      <c r="S787" s="125" t="str">
        <f t="shared" si="88"/>
        <v>100</v>
      </c>
      <c r="T787" s="125" t="str">
        <f t="shared" si="89"/>
        <v>30</v>
      </c>
      <c r="U787" s="125" t="str">
        <f t="shared" si="90"/>
        <v>305</v>
      </c>
      <c r="V787" s="125" t="str">
        <f>VLOOKUP(Q787,'GL Category'!A:C,3,FALSE)</f>
        <v>Personnel services</v>
      </c>
      <c r="W787" s="125"/>
    </row>
    <row r="788" spans="1:23" s="83" customFormat="1" ht="20.399999999999999" customHeight="1">
      <c r="A788" s="608" t="s">
        <v>791</v>
      </c>
      <c r="B788" s="608" t="s">
        <v>2700</v>
      </c>
      <c r="C788" s="608" t="s">
        <v>2</v>
      </c>
      <c r="D788" s="609">
        <v>54211.06</v>
      </c>
      <c r="E788" s="609">
        <v>60709.58</v>
      </c>
      <c r="F788" s="609">
        <v>72258.83</v>
      </c>
      <c r="G788" s="609">
        <v>74090.649999999994</v>
      </c>
      <c r="H788" s="609">
        <v>94762</v>
      </c>
      <c r="I788" s="609">
        <v>71401.66</v>
      </c>
      <c r="J788" s="609">
        <v>91256</v>
      </c>
      <c r="K788" s="609">
        <v>95702</v>
      </c>
      <c r="L788" s="609">
        <v>0</v>
      </c>
      <c r="M788" s="609">
        <v>0</v>
      </c>
      <c r="N788" s="587">
        <f t="shared" si="85"/>
        <v>95702</v>
      </c>
      <c r="O788"/>
      <c r="P788" s="490"/>
      <c r="Q788" t="str">
        <f t="shared" si="86"/>
        <v>50650</v>
      </c>
      <c r="R788" s="126" t="str">
        <f t="shared" si="87"/>
        <v>RETIREMENT</v>
      </c>
      <c r="S788" s="125" t="str">
        <f t="shared" si="88"/>
        <v>100</v>
      </c>
      <c r="T788" s="125" t="str">
        <f t="shared" si="89"/>
        <v>30</v>
      </c>
      <c r="U788" s="125" t="str">
        <f t="shared" si="90"/>
        <v>305</v>
      </c>
      <c r="V788" s="125" t="str">
        <f>VLOOKUP(Q788,'GL Category'!A:C,3,FALSE)</f>
        <v>Personnel services</v>
      </c>
      <c r="W788" s="125"/>
    </row>
    <row r="789" spans="1:23" s="83" customFormat="1" ht="20.399999999999999" customHeight="1">
      <c r="A789" s="608" t="s">
        <v>791</v>
      </c>
      <c r="B789" s="608" t="s">
        <v>2702</v>
      </c>
      <c r="C789" s="608" t="s">
        <v>155</v>
      </c>
      <c r="D789" s="609">
        <v>1688.77</v>
      </c>
      <c r="E789" s="609">
        <v>2496.06</v>
      </c>
      <c r="F789" s="609">
        <v>3160.89</v>
      </c>
      <c r="G789" s="609">
        <v>3537.6</v>
      </c>
      <c r="H789" s="609">
        <v>2500</v>
      </c>
      <c r="I789" s="609">
        <v>2894.46</v>
      </c>
      <c r="J789" s="609">
        <v>2500</v>
      </c>
      <c r="K789" s="609">
        <v>2500</v>
      </c>
      <c r="L789" s="609">
        <v>0</v>
      </c>
      <c r="M789" s="609">
        <v>0</v>
      </c>
      <c r="N789" s="587">
        <f t="shared" si="85"/>
        <v>2500</v>
      </c>
      <c r="O789"/>
      <c r="P789" s="490"/>
      <c r="Q789" t="str">
        <f t="shared" si="86"/>
        <v>51225</v>
      </c>
      <c r="R789" s="126" t="str">
        <f t="shared" si="87"/>
        <v>JANITORIAL SUPPLIES</v>
      </c>
      <c r="S789" s="125" t="str">
        <f t="shared" si="88"/>
        <v>100</v>
      </c>
      <c r="T789" s="125" t="str">
        <f t="shared" si="89"/>
        <v>30</v>
      </c>
      <c r="U789" s="125" t="str">
        <f t="shared" si="90"/>
        <v>305</v>
      </c>
      <c r="V789" s="125" t="str">
        <f>VLOOKUP(Q789,'GL Category'!A:C,3,FALSE)</f>
        <v>Operations &amp; maintenance</v>
      </c>
      <c r="W789" s="125"/>
    </row>
    <row r="790" spans="1:23" s="83" customFormat="1" ht="20.399999999999999" customHeight="1">
      <c r="A790" s="608" t="s">
        <v>791</v>
      </c>
      <c r="B790" s="608" t="s">
        <v>2702</v>
      </c>
      <c r="C790" s="608" t="s">
        <v>155</v>
      </c>
      <c r="D790" s="609">
        <v>0</v>
      </c>
      <c r="E790" s="609">
        <v>436.93</v>
      </c>
      <c r="F790" s="609">
        <v>0</v>
      </c>
      <c r="G790" s="609">
        <v>0</v>
      </c>
      <c r="H790" s="609">
        <v>0</v>
      </c>
      <c r="I790" s="609">
        <v>0</v>
      </c>
      <c r="J790" s="609">
        <v>0</v>
      </c>
      <c r="K790" s="609">
        <v>0</v>
      </c>
      <c r="L790" s="609">
        <v>0</v>
      </c>
      <c r="M790" s="609">
        <v>0</v>
      </c>
      <c r="N790" s="587">
        <f t="shared" si="85"/>
        <v>0</v>
      </c>
      <c r="O790"/>
      <c r="P790" s="490"/>
      <c r="Q790" t="str">
        <f t="shared" si="86"/>
        <v>51225</v>
      </c>
      <c r="R790" s="126" t="str">
        <f t="shared" si="87"/>
        <v>JANITORIAL SUPPLIES</v>
      </c>
      <c r="S790" s="125" t="str">
        <f t="shared" si="88"/>
        <v>100</v>
      </c>
      <c r="T790" s="125" t="str">
        <f t="shared" si="89"/>
        <v>30</v>
      </c>
      <c r="U790" s="125" t="str">
        <f t="shared" si="90"/>
        <v>305</v>
      </c>
      <c r="V790" s="125" t="str">
        <f>VLOOKUP(Q790,'GL Category'!A:C,3,FALSE)</f>
        <v>Operations &amp; maintenance</v>
      </c>
      <c r="W790" s="125"/>
    </row>
    <row r="791" spans="1:23" s="83" customFormat="1" ht="20.399999999999999" customHeight="1">
      <c r="A791" s="608" t="s">
        <v>791</v>
      </c>
      <c r="B791" s="608" t="s">
        <v>3205</v>
      </c>
      <c r="C791" s="608" t="s">
        <v>4</v>
      </c>
      <c r="D791" s="609">
        <v>153.21</v>
      </c>
      <c r="E791" s="609">
        <v>0</v>
      </c>
      <c r="F791" s="609">
        <v>0</v>
      </c>
      <c r="G791" s="609">
        <v>199.98</v>
      </c>
      <c r="H791" s="609">
        <v>0</v>
      </c>
      <c r="I791" s="609">
        <v>907.67</v>
      </c>
      <c r="J791" s="609">
        <v>0</v>
      </c>
      <c r="K791" s="609">
        <v>0</v>
      </c>
      <c r="L791" s="609">
        <v>0</v>
      </c>
      <c r="M791" s="609">
        <v>0</v>
      </c>
      <c r="N791" s="587">
        <f t="shared" si="85"/>
        <v>0</v>
      </c>
      <c r="O791"/>
      <c r="P791" s="490"/>
      <c r="Q791" t="str">
        <f t="shared" si="86"/>
        <v>51245</v>
      </c>
      <c r="R791" s="126" t="str">
        <f t="shared" si="87"/>
        <v>SMALL TOOLS &amp; EQUIPMENT</v>
      </c>
      <c r="S791" s="125" t="str">
        <f t="shared" si="88"/>
        <v>100</v>
      </c>
      <c r="T791" s="125" t="str">
        <f t="shared" si="89"/>
        <v>30</v>
      </c>
      <c r="U791" s="125" t="str">
        <f t="shared" si="90"/>
        <v>305</v>
      </c>
      <c r="V791" s="125" t="str">
        <f>VLOOKUP(Q791,'GL Category'!A:C,3,FALSE)</f>
        <v>Operations &amp; maintenance</v>
      </c>
      <c r="W791" s="125"/>
    </row>
    <row r="792" spans="1:23" s="83" customFormat="1" ht="20.399999999999999" customHeight="1">
      <c r="A792" s="608" t="s">
        <v>791</v>
      </c>
      <c r="B792" s="608" t="s">
        <v>3205</v>
      </c>
      <c r="C792" s="608" t="s">
        <v>4</v>
      </c>
      <c r="D792" s="609">
        <v>0</v>
      </c>
      <c r="E792" s="609">
        <v>0</v>
      </c>
      <c r="F792" s="609">
        <v>0</v>
      </c>
      <c r="G792" s="609">
        <v>0</v>
      </c>
      <c r="H792" s="609">
        <v>0</v>
      </c>
      <c r="I792" s="609">
        <v>0</v>
      </c>
      <c r="J792" s="609">
        <v>0</v>
      </c>
      <c r="K792" s="609">
        <v>0</v>
      </c>
      <c r="L792" s="609">
        <v>0</v>
      </c>
      <c r="M792" s="609">
        <v>0</v>
      </c>
      <c r="N792" s="587">
        <f t="shared" si="85"/>
        <v>0</v>
      </c>
      <c r="O792"/>
      <c r="P792" s="490"/>
      <c r="Q792" t="str">
        <f t="shared" si="86"/>
        <v>51245</v>
      </c>
      <c r="R792" s="126" t="str">
        <f t="shared" si="87"/>
        <v>SMALL TOOLS &amp; EQUIPMENT</v>
      </c>
      <c r="S792" s="125" t="str">
        <f t="shared" si="88"/>
        <v>100</v>
      </c>
      <c r="T792" s="125" t="str">
        <f t="shared" si="89"/>
        <v>30</v>
      </c>
      <c r="U792" s="125" t="str">
        <f t="shared" si="90"/>
        <v>305</v>
      </c>
      <c r="V792" s="125" t="str">
        <f>VLOOKUP(Q792,'GL Category'!A:C,3,FALSE)</f>
        <v>Operations &amp; maintenance</v>
      </c>
      <c r="W792" s="125"/>
    </row>
    <row r="793" spans="1:23" s="83" customFormat="1" ht="20.399999999999999" customHeight="1">
      <c r="A793" s="608" t="s">
        <v>791</v>
      </c>
      <c r="B793" s="608" t="s">
        <v>2703</v>
      </c>
      <c r="C793" s="608" t="s">
        <v>167</v>
      </c>
      <c r="D793" s="609">
        <v>5628.52</v>
      </c>
      <c r="E793" s="609">
        <v>5286.21</v>
      </c>
      <c r="F793" s="609">
        <v>13517.23</v>
      </c>
      <c r="G793" s="609">
        <v>8519.07</v>
      </c>
      <c r="H793" s="609">
        <v>7000</v>
      </c>
      <c r="I793" s="609">
        <v>4502.6099999999997</v>
      </c>
      <c r="J793" s="609">
        <v>7000</v>
      </c>
      <c r="K793" s="609">
        <v>7000</v>
      </c>
      <c r="L793" s="609">
        <v>0</v>
      </c>
      <c r="M793" s="609">
        <v>0</v>
      </c>
      <c r="N793" s="587">
        <f t="shared" si="85"/>
        <v>7000</v>
      </c>
      <c r="O793"/>
      <c r="P793" s="490"/>
      <c r="Q793" t="str">
        <f t="shared" si="86"/>
        <v>51285</v>
      </c>
      <c r="R793" s="126" t="str">
        <f t="shared" si="87"/>
        <v>WEARING APPAREL</v>
      </c>
      <c r="S793" s="125" t="str">
        <f t="shared" si="88"/>
        <v>100</v>
      </c>
      <c r="T793" s="125" t="str">
        <f t="shared" si="89"/>
        <v>30</v>
      </c>
      <c r="U793" s="125" t="str">
        <f t="shared" si="90"/>
        <v>305</v>
      </c>
      <c r="V793" s="125" t="str">
        <f>VLOOKUP(Q793,'GL Category'!A:C,3,FALSE)</f>
        <v>Operations &amp; maintenance</v>
      </c>
      <c r="W793" s="125"/>
    </row>
    <row r="794" spans="1:23" s="83" customFormat="1" ht="20.399999999999999" customHeight="1">
      <c r="A794" s="608" t="s">
        <v>791</v>
      </c>
      <c r="B794" s="608" t="s">
        <v>2705</v>
      </c>
      <c r="C794" s="608" t="s">
        <v>171</v>
      </c>
      <c r="D794" s="609">
        <v>5873.57</v>
      </c>
      <c r="E794" s="609">
        <v>3574.72</v>
      </c>
      <c r="F794" s="609">
        <v>6057.15</v>
      </c>
      <c r="G794" s="609">
        <v>1499.51</v>
      </c>
      <c r="H794" s="609">
        <v>12100</v>
      </c>
      <c r="I794" s="609">
        <v>5353.49</v>
      </c>
      <c r="J794" s="609">
        <v>12100</v>
      </c>
      <c r="K794" s="609">
        <v>9000</v>
      </c>
      <c r="L794" s="609">
        <v>0</v>
      </c>
      <c r="M794" s="609">
        <v>0</v>
      </c>
      <c r="N794" s="587">
        <f t="shared" si="85"/>
        <v>9000</v>
      </c>
      <c r="O794"/>
      <c r="P794" s="490"/>
      <c r="Q794" t="str">
        <f t="shared" si="86"/>
        <v>52310</v>
      </c>
      <c r="R794" s="126" t="str">
        <f t="shared" si="87"/>
        <v>BUILDING MAINTENANCE</v>
      </c>
      <c r="S794" s="125" t="str">
        <f t="shared" si="88"/>
        <v>100</v>
      </c>
      <c r="T794" s="125" t="str">
        <f t="shared" si="89"/>
        <v>30</v>
      </c>
      <c r="U794" s="125" t="str">
        <f t="shared" si="90"/>
        <v>305</v>
      </c>
      <c r="V794" s="125" t="str">
        <f>VLOOKUP(Q794,'GL Category'!A:C,3,FALSE)</f>
        <v>Operations &amp; maintenance</v>
      </c>
      <c r="W794" s="125"/>
    </row>
    <row r="795" spans="1:23" s="83" customFormat="1" ht="20.399999999999999" customHeight="1">
      <c r="A795" s="608" t="s">
        <v>791</v>
      </c>
      <c r="B795" s="608" t="s">
        <v>2706</v>
      </c>
      <c r="C795" s="608" t="s">
        <v>175</v>
      </c>
      <c r="D795" s="609">
        <v>1292.42</v>
      </c>
      <c r="E795" s="609">
        <v>1089.1600000000001</v>
      </c>
      <c r="F795" s="609">
        <v>1105.46</v>
      </c>
      <c r="G795" s="609">
        <v>1122</v>
      </c>
      <c r="H795" s="609">
        <v>1200</v>
      </c>
      <c r="I795" s="609">
        <v>1138.6300000000001</v>
      </c>
      <c r="J795" s="609">
        <v>1200</v>
      </c>
      <c r="K795" s="609">
        <v>1200</v>
      </c>
      <c r="L795" s="609">
        <v>0</v>
      </c>
      <c r="M795" s="609">
        <v>0</v>
      </c>
      <c r="N795" s="587">
        <f t="shared" si="85"/>
        <v>1200</v>
      </c>
      <c r="O795"/>
      <c r="P795" s="490">
        <f t="shared" ref="P795:P803" si="91">N795-H795</f>
        <v>0</v>
      </c>
      <c r="Q795" t="str">
        <f t="shared" si="86"/>
        <v>52440</v>
      </c>
      <c r="R795" s="126" t="str">
        <f t="shared" si="87"/>
        <v>RADIO MAINTENANCE</v>
      </c>
      <c r="S795" s="125" t="str">
        <f t="shared" si="88"/>
        <v>100</v>
      </c>
      <c r="T795" s="125" t="str">
        <f t="shared" si="89"/>
        <v>30</v>
      </c>
      <c r="U795" s="125" t="str">
        <f t="shared" si="90"/>
        <v>305</v>
      </c>
      <c r="V795" s="125" t="str">
        <f>VLOOKUP(Q795,'GL Category'!A:C,3,FALSE)</f>
        <v>Operations &amp; maintenance</v>
      </c>
      <c r="W795" s="125"/>
    </row>
    <row r="796" spans="1:23" s="83" customFormat="1" ht="20.399999999999999" customHeight="1">
      <c r="A796" s="608" t="s">
        <v>791</v>
      </c>
      <c r="B796" s="608" t="s">
        <v>2707</v>
      </c>
      <c r="C796" s="608" t="s">
        <v>236</v>
      </c>
      <c r="D796" s="609">
        <v>1507.47</v>
      </c>
      <c r="E796" s="609">
        <v>827.96</v>
      </c>
      <c r="F796" s="609">
        <v>1860</v>
      </c>
      <c r="G796" s="609">
        <v>5187.7700000000004</v>
      </c>
      <c r="H796" s="609">
        <v>5000</v>
      </c>
      <c r="I796" s="609">
        <v>1118.6199999999999</v>
      </c>
      <c r="J796" s="609">
        <v>2000</v>
      </c>
      <c r="K796" s="609">
        <v>5000</v>
      </c>
      <c r="L796" s="609">
        <v>0</v>
      </c>
      <c r="M796" s="609">
        <v>0</v>
      </c>
      <c r="N796" s="587">
        <f t="shared" si="85"/>
        <v>5000</v>
      </c>
      <c r="O796"/>
      <c r="P796" s="490">
        <f t="shared" si="91"/>
        <v>0</v>
      </c>
      <c r="Q796" t="str">
        <f t="shared" si="86"/>
        <v>52470</v>
      </c>
      <c r="R796" s="126" t="str">
        <f t="shared" si="87"/>
        <v>EQUIPMENT MAINTENANCE</v>
      </c>
      <c r="S796" s="125" t="str">
        <f t="shared" si="88"/>
        <v>100</v>
      </c>
      <c r="T796" s="125" t="str">
        <f t="shared" si="89"/>
        <v>30</v>
      </c>
      <c r="U796" s="125" t="str">
        <f t="shared" si="90"/>
        <v>305</v>
      </c>
      <c r="V796" s="125" t="str">
        <f>VLOOKUP(Q796,'GL Category'!A:C,3,FALSE)</f>
        <v>Operations &amp; maintenance</v>
      </c>
      <c r="W796" s="125"/>
    </row>
    <row r="797" spans="1:23" s="83" customFormat="1" ht="20.399999999999999" customHeight="1">
      <c r="A797" s="608" t="s">
        <v>791</v>
      </c>
      <c r="B797" s="608" t="s">
        <v>2708</v>
      </c>
      <c r="C797" s="608" t="s">
        <v>177</v>
      </c>
      <c r="D797" s="609">
        <v>514.79999999999995</v>
      </c>
      <c r="E797" s="609">
        <v>1796</v>
      </c>
      <c r="F797" s="609">
        <v>0</v>
      </c>
      <c r="G797" s="609">
        <v>0</v>
      </c>
      <c r="H797" s="609">
        <v>2400</v>
      </c>
      <c r="I797" s="609">
        <v>1789.88</v>
      </c>
      <c r="J797" s="609">
        <v>2400</v>
      </c>
      <c r="K797" s="609">
        <v>2400</v>
      </c>
      <c r="L797" s="609">
        <v>0</v>
      </c>
      <c r="M797" s="609">
        <v>0</v>
      </c>
      <c r="N797" s="587">
        <f t="shared" si="85"/>
        <v>2400</v>
      </c>
      <c r="O797"/>
      <c r="P797" s="490">
        <f t="shared" si="91"/>
        <v>0</v>
      </c>
      <c r="Q797" t="str">
        <f t="shared" si="86"/>
        <v>52480</v>
      </c>
      <c r="R797" s="126" t="str">
        <f t="shared" si="87"/>
        <v>OFFICE EQUIPMENT MAINTENANCE</v>
      </c>
      <c r="S797" s="125" t="str">
        <f t="shared" si="88"/>
        <v>100</v>
      </c>
      <c r="T797" s="125" t="str">
        <f t="shared" si="89"/>
        <v>30</v>
      </c>
      <c r="U797" s="125" t="str">
        <f t="shared" si="90"/>
        <v>305</v>
      </c>
      <c r="V797" s="125" t="str">
        <f>VLOOKUP(Q797,'GL Category'!A:C,3,FALSE)</f>
        <v>Operations &amp; maintenance</v>
      </c>
      <c r="W797" s="125"/>
    </row>
    <row r="798" spans="1:23" s="83" customFormat="1" ht="20.399999999999999" customHeight="1">
      <c r="A798" s="608" t="s">
        <v>791</v>
      </c>
      <c r="B798" s="608" t="s">
        <v>2709</v>
      </c>
      <c r="C798" s="608" t="s">
        <v>181</v>
      </c>
      <c r="D798" s="609">
        <v>15258.83</v>
      </c>
      <c r="E798" s="609">
        <v>19303.439999999999</v>
      </c>
      <c r="F798" s="609">
        <v>41587.31</v>
      </c>
      <c r="G798" s="609">
        <v>12459.07</v>
      </c>
      <c r="H798" s="609">
        <v>36500</v>
      </c>
      <c r="I798" s="609">
        <v>10923.93</v>
      </c>
      <c r="J798" s="609">
        <v>30000</v>
      </c>
      <c r="K798" s="609">
        <v>36500</v>
      </c>
      <c r="L798" s="609">
        <v>0</v>
      </c>
      <c r="M798" s="609">
        <v>0</v>
      </c>
      <c r="N798" s="587">
        <f t="shared" si="85"/>
        <v>36500</v>
      </c>
      <c r="O798"/>
      <c r="P798" s="490">
        <f t="shared" si="91"/>
        <v>0</v>
      </c>
      <c r="Q798" t="str">
        <f t="shared" si="86"/>
        <v>52490</v>
      </c>
      <c r="R798" s="126" t="str">
        <f t="shared" si="87"/>
        <v>A/C &amp; HEATING MAINTENANCE</v>
      </c>
      <c r="S798" s="125" t="str">
        <f t="shared" si="88"/>
        <v>100</v>
      </c>
      <c r="T798" s="125" t="str">
        <f t="shared" si="89"/>
        <v>30</v>
      </c>
      <c r="U798" s="125" t="str">
        <f t="shared" si="90"/>
        <v>305</v>
      </c>
      <c r="V798" s="125" t="str">
        <f>VLOOKUP(Q798,'GL Category'!A:C,3,FALSE)</f>
        <v>Operations &amp; maintenance</v>
      </c>
      <c r="W798" s="125"/>
    </row>
    <row r="799" spans="1:23" s="83" customFormat="1" ht="20.399999999999999" customHeight="1">
      <c r="A799" s="608" t="s">
        <v>791</v>
      </c>
      <c r="B799" s="608" t="s">
        <v>2711</v>
      </c>
      <c r="C799" s="608" t="s">
        <v>190</v>
      </c>
      <c r="D799" s="609">
        <v>0</v>
      </c>
      <c r="E799" s="609">
        <v>300</v>
      </c>
      <c r="F799" s="609">
        <v>0</v>
      </c>
      <c r="G799" s="609">
        <v>550</v>
      </c>
      <c r="H799" s="609">
        <v>0</v>
      </c>
      <c r="I799" s="609">
        <v>0</v>
      </c>
      <c r="J799" s="609">
        <v>0</v>
      </c>
      <c r="K799" s="609">
        <v>0</v>
      </c>
      <c r="L799" s="609">
        <v>0</v>
      </c>
      <c r="M799" s="609">
        <v>0</v>
      </c>
      <c r="N799" s="587">
        <f t="shared" si="85"/>
        <v>0</v>
      </c>
      <c r="O799"/>
      <c r="P799" s="490">
        <f t="shared" si="91"/>
        <v>0</v>
      </c>
      <c r="Q799" t="str">
        <f t="shared" si="86"/>
        <v>53510</v>
      </c>
      <c r="R799" s="126" t="str">
        <f t="shared" si="87"/>
        <v>DUES &amp; SUBSCRIPTIONS</v>
      </c>
      <c r="S799" s="125" t="str">
        <f t="shared" si="88"/>
        <v>100</v>
      </c>
      <c r="T799" s="125" t="str">
        <f t="shared" si="89"/>
        <v>30</v>
      </c>
      <c r="U799" s="125" t="str">
        <f t="shared" si="90"/>
        <v>305</v>
      </c>
      <c r="V799" s="125" t="str">
        <f>VLOOKUP(Q799,'GL Category'!A:C,3,FALSE)</f>
        <v>Services &amp; other</v>
      </c>
      <c r="W799" s="125"/>
    </row>
    <row r="800" spans="1:23" s="83" customFormat="1" ht="20.399999999999999" customHeight="1">
      <c r="A800" s="608" t="s">
        <v>791</v>
      </c>
      <c r="B800" s="608" t="s">
        <v>2712</v>
      </c>
      <c r="C800" s="608" t="s">
        <v>191</v>
      </c>
      <c r="D800" s="609">
        <v>3487</v>
      </c>
      <c r="E800" s="609">
        <v>2152.6999999999998</v>
      </c>
      <c r="F800" s="609">
        <v>3474</v>
      </c>
      <c r="G800" s="609">
        <v>2445</v>
      </c>
      <c r="H800" s="609">
        <v>4000</v>
      </c>
      <c r="I800" s="609">
        <v>2610</v>
      </c>
      <c r="J800" s="609">
        <v>4000</v>
      </c>
      <c r="K800" s="609">
        <v>4000</v>
      </c>
      <c r="L800" s="609">
        <v>0</v>
      </c>
      <c r="M800" s="609">
        <v>0</v>
      </c>
      <c r="N800" s="587">
        <f t="shared" si="85"/>
        <v>4000</v>
      </c>
      <c r="O800"/>
      <c r="P800" s="490">
        <f t="shared" si="91"/>
        <v>0</v>
      </c>
      <c r="Q800" t="str">
        <f t="shared" si="86"/>
        <v>53515</v>
      </c>
      <c r="R800" s="126" t="str">
        <f t="shared" si="87"/>
        <v>TRAVEL, TRAINING &amp; EDUCATION</v>
      </c>
      <c r="S800" s="125" t="str">
        <f t="shared" si="88"/>
        <v>100</v>
      </c>
      <c r="T800" s="125" t="str">
        <f t="shared" si="89"/>
        <v>30</v>
      </c>
      <c r="U800" s="125" t="str">
        <f t="shared" si="90"/>
        <v>305</v>
      </c>
      <c r="V800" s="125" t="str">
        <f>VLOOKUP(Q800,'GL Category'!A:C,3,FALSE)</f>
        <v>Services &amp; other</v>
      </c>
      <c r="W800" s="125"/>
    </row>
    <row r="801" spans="1:24" s="83" customFormat="1" ht="20.399999999999999" customHeight="1">
      <c r="A801" s="608" t="s">
        <v>791</v>
      </c>
      <c r="B801" s="608" t="s">
        <v>2714</v>
      </c>
      <c r="C801" s="608" t="s">
        <v>280</v>
      </c>
      <c r="D801" s="609">
        <v>3644.24</v>
      </c>
      <c r="E801" s="609">
        <v>9001.99</v>
      </c>
      <c r="F801" s="609">
        <v>6336.02</v>
      </c>
      <c r="G801" s="609">
        <v>8052.77</v>
      </c>
      <c r="H801" s="609">
        <v>7000</v>
      </c>
      <c r="I801" s="609">
        <v>3890.55</v>
      </c>
      <c r="J801" s="609">
        <v>7000</v>
      </c>
      <c r="K801" s="609">
        <v>7000</v>
      </c>
      <c r="L801" s="609">
        <v>0</v>
      </c>
      <c r="M801" s="609">
        <v>0</v>
      </c>
      <c r="N801" s="587">
        <f t="shared" si="85"/>
        <v>7000</v>
      </c>
      <c r="O801"/>
      <c r="P801" s="490">
        <f t="shared" si="91"/>
        <v>0</v>
      </c>
      <c r="Q801" t="str">
        <f t="shared" si="86"/>
        <v>53519</v>
      </c>
      <c r="R801" s="126" t="str">
        <f t="shared" si="87"/>
        <v>JAIL SERVICES</v>
      </c>
      <c r="S801" s="125" t="str">
        <f t="shared" si="88"/>
        <v>100</v>
      </c>
      <c r="T801" s="125" t="str">
        <f t="shared" si="89"/>
        <v>30</v>
      </c>
      <c r="U801" s="125" t="str">
        <f t="shared" si="90"/>
        <v>305</v>
      </c>
      <c r="V801" s="125" t="str">
        <f>VLOOKUP(Q801,'GL Category'!A:C,3,FALSE)</f>
        <v>Services &amp; other</v>
      </c>
      <c r="W801" s="125"/>
    </row>
    <row r="802" spans="1:24" s="83" customFormat="1" ht="20.399999999999999" customHeight="1">
      <c r="A802" s="608" t="s">
        <v>791</v>
      </c>
      <c r="B802" s="608" t="s">
        <v>2714</v>
      </c>
      <c r="C802" s="608" t="s">
        <v>280</v>
      </c>
      <c r="D802" s="609">
        <v>0</v>
      </c>
      <c r="E802" s="609">
        <v>0</v>
      </c>
      <c r="F802" s="609">
        <v>0</v>
      </c>
      <c r="G802" s="609">
        <v>0</v>
      </c>
      <c r="H802" s="609">
        <v>0</v>
      </c>
      <c r="I802" s="609">
        <v>0</v>
      </c>
      <c r="J802" s="609">
        <v>0</v>
      </c>
      <c r="K802" s="609">
        <v>0</v>
      </c>
      <c r="L802" s="609">
        <v>0</v>
      </c>
      <c r="M802" s="609">
        <v>0</v>
      </c>
      <c r="N802" s="587">
        <f t="shared" si="85"/>
        <v>0</v>
      </c>
      <c r="O802"/>
      <c r="P802" s="490">
        <f t="shared" si="91"/>
        <v>0</v>
      </c>
      <c r="Q802" t="str">
        <f t="shared" si="86"/>
        <v>53519</v>
      </c>
      <c r="R802" s="126" t="str">
        <f t="shared" si="87"/>
        <v>JAIL SERVICES</v>
      </c>
      <c r="S802" s="125" t="str">
        <f t="shared" si="88"/>
        <v>100</v>
      </c>
      <c r="T802" s="125" t="str">
        <f t="shared" si="89"/>
        <v>30</v>
      </c>
      <c r="U802" s="125" t="str">
        <f t="shared" si="90"/>
        <v>305</v>
      </c>
      <c r="V802" s="125" t="str">
        <f>VLOOKUP(Q802,'GL Category'!A:C,3,FALSE)</f>
        <v>Services &amp; other</v>
      </c>
      <c r="W802" s="125"/>
    </row>
    <row r="803" spans="1:24" s="83" customFormat="1" ht="20.399999999999999" customHeight="1">
      <c r="A803" s="608" t="s">
        <v>791</v>
      </c>
      <c r="B803" s="608" t="s">
        <v>2717</v>
      </c>
      <c r="C803" s="608" t="s">
        <v>278</v>
      </c>
      <c r="D803" s="609">
        <v>2103.5700000000002</v>
      </c>
      <c r="E803" s="609">
        <v>2405.2399999999998</v>
      </c>
      <c r="F803" s="609">
        <v>4131.6400000000003</v>
      </c>
      <c r="G803" s="609">
        <v>4276.75</v>
      </c>
      <c r="H803" s="609">
        <v>4705</v>
      </c>
      <c r="I803" s="609">
        <v>4685.6400000000003</v>
      </c>
      <c r="J803" s="609">
        <v>4705</v>
      </c>
      <c r="K803" s="609">
        <v>4705</v>
      </c>
      <c r="L803" s="609">
        <v>0</v>
      </c>
      <c r="M803" s="609">
        <v>0</v>
      </c>
      <c r="N803" s="587">
        <f t="shared" si="85"/>
        <v>4705</v>
      </c>
      <c r="O803"/>
      <c r="P803" s="490">
        <f t="shared" si="91"/>
        <v>0</v>
      </c>
      <c r="Q803" t="str">
        <f t="shared" si="86"/>
        <v>53568</v>
      </c>
      <c r="R803" s="126" t="str">
        <f t="shared" si="87"/>
        <v>LAW ENFORCEMENT LIAB PREMIUMS</v>
      </c>
      <c r="S803" s="125" t="str">
        <f t="shared" si="88"/>
        <v>100</v>
      </c>
      <c r="T803" s="125" t="str">
        <f t="shared" si="89"/>
        <v>30</v>
      </c>
      <c r="U803" s="125" t="str">
        <f t="shared" si="90"/>
        <v>305</v>
      </c>
      <c r="V803" s="125" t="str">
        <f>VLOOKUP(Q803,'GL Category'!A:C,3,FALSE)</f>
        <v>Services &amp; other</v>
      </c>
      <c r="W803" s="125"/>
    </row>
    <row r="804" spans="1:24" s="83" customFormat="1" ht="20.399999999999999" customHeight="1">
      <c r="A804" s="608" t="s">
        <v>791</v>
      </c>
      <c r="B804" s="608" t="s">
        <v>2719</v>
      </c>
      <c r="C804" s="608" t="s">
        <v>213</v>
      </c>
      <c r="D804" s="609">
        <v>4343.05</v>
      </c>
      <c r="E804" s="609">
        <v>6140.28</v>
      </c>
      <c r="F804" s="609">
        <v>8388</v>
      </c>
      <c r="G804" s="609">
        <v>7600.38</v>
      </c>
      <c r="H804" s="609">
        <v>5450</v>
      </c>
      <c r="I804" s="609">
        <v>5016.9799999999996</v>
      </c>
      <c r="J804" s="609">
        <v>5450</v>
      </c>
      <c r="K804" s="609">
        <v>5450</v>
      </c>
      <c r="L804" s="609">
        <v>0</v>
      </c>
      <c r="M804" s="609">
        <v>0</v>
      </c>
      <c r="N804" s="587">
        <f t="shared" si="85"/>
        <v>5450</v>
      </c>
      <c r="O804"/>
      <c r="P804" s="490"/>
      <c r="Q804" t="str">
        <f t="shared" si="86"/>
        <v>53571</v>
      </c>
      <c r="R804" s="126" t="str">
        <f t="shared" si="87"/>
        <v>NATURAL GAS UTILITY SERVICE</v>
      </c>
      <c r="S804" s="125" t="str">
        <f t="shared" si="88"/>
        <v>100</v>
      </c>
      <c r="T804" s="125" t="str">
        <f t="shared" si="89"/>
        <v>30</v>
      </c>
      <c r="U804" s="125" t="str">
        <f t="shared" si="90"/>
        <v>305</v>
      </c>
      <c r="V804" s="125" t="str">
        <f>VLOOKUP(Q804,'GL Category'!A:C,3,FALSE)</f>
        <v>Services &amp; other</v>
      </c>
      <c r="W804" s="125"/>
    </row>
    <row r="805" spans="1:24" s="83" customFormat="1" ht="20.399999999999999" customHeight="1">
      <c r="A805" s="608" t="s">
        <v>791</v>
      </c>
      <c r="B805" s="608" t="s">
        <v>2720</v>
      </c>
      <c r="C805" s="608" t="s">
        <v>215</v>
      </c>
      <c r="D805" s="609">
        <v>22693.78</v>
      </c>
      <c r="E805" s="609">
        <v>23945.439999999999</v>
      </c>
      <c r="F805" s="609">
        <v>39145.11</v>
      </c>
      <c r="G805" s="609">
        <v>42252.13</v>
      </c>
      <c r="H805" s="609">
        <v>50830</v>
      </c>
      <c r="I805" s="609">
        <v>21458.98</v>
      </c>
      <c r="J805" s="609">
        <v>38830</v>
      </c>
      <c r="K805" s="609">
        <v>50830</v>
      </c>
      <c r="L805" s="609">
        <v>0</v>
      </c>
      <c r="M805" s="609">
        <v>0</v>
      </c>
      <c r="N805" s="587">
        <f t="shared" si="85"/>
        <v>50830</v>
      </c>
      <c r="O805"/>
      <c r="P805" s="490"/>
      <c r="Q805" t="str">
        <f t="shared" si="86"/>
        <v>53572</v>
      </c>
      <c r="R805" s="126" t="str">
        <f t="shared" si="87"/>
        <v>ELECTRICAL UTILITY SERVICE</v>
      </c>
      <c r="S805" s="125" t="str">
        <f t="shared" si="88"/>
        <v>100</v>
      </c>
      <c r="T805" s="125" t="str">
        <f t="shared" si="89"/>
        <v>30</v>
      </c>
      <c r="U805" s="125" t="str">
        <f t="shared" si="90"/>
        <v>305</v>
      </c>
      <c r="V805" s="125" t="str">
        <f>VLOOKUP(Q805,'GL Category'!A:C,3,FALSE)</f>
        <v>Services &amp; other</v>
      </c>
      <c r="W805" s="125"/>
    </row>
    <row r="806" spans="1:24" s="83" customFormat="1" ht="20.399999999999999" customHeight="1">
      <c r="A806" s="608" t="s">
        <v>791</v>
      </c>
      <c r="B806" s="608" t="s">
        <v>2721</v>
      </c>
      <c r="C806" s="608" t="s">
        <v>217</v>
      </c>
      <c r="D806" s="609">
        <v>473.08</v>
      </c>
      <c r="E806" s="609">
        <v>179.96</v>
      </c>
      <c r="F806" s="609">
        <v>0</v>
      </c>
      <c r="G806" s="609">
        <v>751.47</v>
      </c>
      <c r="H806" s="609">
        <v>600</v>
      </c>
      <c r="I806" s="609">
        <v>375.29</v>
      </c>
      <c r="J806" s="609">
        <v>600</v>
      </c>
      <c r="K806" s="609">
        <v>600</v>
      </c>
      <c r="L806" s="609">
        <v>0</v>
      </c>
      <c r="M806" s="609">
        <v>0</v>
      </c>
      <c r="N806" s="587">
        <f t="shared" si="85"/>
        <v>600</v>
      </c>
      <c r="O806"/>
      <c r="P806" s="490"/>
      <c r="Q806" t="str">
        <f t="shared" si="86"/>
        <v>53574</v>
      </c>
      <c r="R806" s="126" t="str">
        <f t="shared" si="87"/>
        <v>WATER/SEWER UTILITY SERVICE</v>
      </c>
      <c r="S806" s="125" t="str">
        <f t="shared" si="88"/>
        <v>100</v>
      </c>
      <c r="T806" s="125" t="str">
        <f t="shared" si="89"/>
        <v>30</v>
      </c>
      <c r="U806" s="125" t="str">
        <f t="shared" si="90"/>
        <v>305</v>
      </c>
      <c r="V806" s="125" t="str">
        <f>VLOOKUP(Q806,'GL Category'!A:C,3,FALSE)</f>
        <v>Services &amp; other</v>
      </c>
      <c r="W806" s="125"/>
    </row>
    <row r="807" spans="1:24" s="83" customFormat="1" ht="20.399999999999999" customHeight="1">
      <c r="A807" s="608" t="s">
        <v>791</v>
      </c>
      <c r="B807" s="608" t="s">
        <v>2722</v>
      </c>
      <c r="C807" s="608" t="s">
        <v>221</v>
      </c>
      <c r="D807" s="609">
        <v>27623</v>
      </c>
      <c r="E807" s="609">
        <v>29322</v>
      </c>
      <c r="F807" s="609">
        <v>29276</v>
      </c>
      <c r="G807" s="609">
        <v>29435</v>
      </c>
      <c r="H807" s="609">
        <v>29158</v>
      </c>
      <c r="I807" s="609">
        <v>21868.5</v>
      </c>
      <c r="J807" s="609">
        <v>29158</v>
      </c>
      <c r="K807" s="609">
        <v>32604</v>
      </c>
      <c r="L807" s="609">
        <v>0</v>
      </c>
      <c r="M807" s="609">
        <v>0</v>
      </c>
      <c r="N807" s="587">
        <f t="shared" si="85"/>
        <v>32604</v>
      </c>
      <c r="O807"/>
      <c r="P807" s="490"/>
      <c r="Q807" t="str">
        <f t="shared" si="86"/>
        <v>55119</v>
      </c>
      <c r="R807" s="126" t="str">
        <f t="shared" si="87"/>
        <v>OFFICE EQUIP LEASE EXP-CITY</v>
      </c>
      <c r="S807" s="125" t="str">
        <f t="shared" si="88"/>
        <v>100</v>
      </c>
      <c r="T807" s="125" t="str">
        <f t="shared" si="89"/>
        <v>30</v>
      </c>
      <c r="U807" s="125" t="str">
        <f t="shared" si="90"/>
        <v>305</v>
      </c>
      <c r="V807" s="125" t="str">
        <f>VLOOKUP(Q807,'GL Category'!A:C,3,FALSE)</f>
        <v>Services &amp; other</v>
      </c>
      <c r="W807" s="125"/>
    </row>
    <row r="808" spans="1:24" s="83" customFormat="1" ht="20.399999999999999" customHeight="1">
      <c r="A808" s="608" t="s">
        <v>791</v>
      </c>
      <c r="B808" s="608" t="s">
        <v>2723</v>
      </c>
      <c r="C808" s="608" t="s">
        <v>130</v>
      </c>
      <c r="D808" s="609">
        <v>271573.03999999998</v>
      </c>
      <c r="E808" s="609">
        <v>210823.67</v>
      </c>
      <c r="F808" s="609">
        <v>159018.99</v>
      </c>
      <c r="G808" s="609">
        <v>300319.71000000002</v>
      </c>
      <c r="H808" s="609">
        <v>304846</v>
      </c>
      <c r="I808" s="609">
        <v>233639.09</v>
      </c>
      <c r="J808" s="609">
        <v>306702</v>
      </c>
      <c r="K808" s="609">
        <v>317159</v>
      </c>
      <c r="L808" s="609">
        <v>0</v>
      </c>
      <c r="M808" s="609">
        <v>0</v>
      </c>
      <c r="N808" s="587">
        <f t="shared" si="85"/>
        <v>317159</v>
      </c>
      <c r="O808"/>
      <c r="P808" s="490"/>
      <c r="Q808" t="str">
        <f t="shared" si="86"/>
        <v>50101</v>
      </c>
      <c r="R808" s="126" t="str">
        <f t="shared" si="87"/>
        <v>EXEMPT SALARIES</v>
      </c>
      <c r="S808" s="125" t="str">
        <f t="shared" si="88"/>
        <v>100</v>
      </c>
      <c r="T808" s="125" t="str">
        <f t="shared" si="89"/>
        <v>35</v>
      </c>
      <c r="U808" s="125" t="str">
        <f t="shared" si="90"/>
        <v>351</v>
      </c>
      <c r="V808" s="125" t="str">
        <f>VLOOKUP(Q808,'GL Category'!A:C,3,FALSE)</f>
        <v>Personnel services</v>
      </c>
      <c r="W808" s="125"/>
    </row>
    <row r="809" spans="1:24" s="83" customFormat="1" ht="20.399999999999999" customHeight="1">
      <c r="A809" s="608" t="s">
        <v>791</v>
      </c>
      <c r="B809" s="608" t="s">
        <v>2724</v>
      </c>
      <c r="C809" s="608" t="s">
        <v>132</v>
      </c>
      <c r="D809" s="609">
        <v>330615.12</v>
      </c>
      <c r="E809" s="609">
        <v>344169.21</v>
      </c>
      <c r="F809" s="609">
        <v>343288.83</v>
      </c>
      <c r="G809" s="609">
        <v>375030.45</v>
      </c>
      <c r="H809" s="609">
        <v>414741</v>
      </c>
      <c r="I809" s="609">
        <v>300949.68</v>
      </c>
      <c r="J809" s="609">
        <v>397134</v>
      </c>
      <c r="K809" s="609">
        <v>412029</v>
      </c>
      <c r="L809" s="609">
        <v>0</v>
      </c>
      <c r="M809" s="609">
        <v>0</v>
      </c>
      <c r="N809" s="587">
        <f t="shared" si="85"/>
        <v>412029</v>
      </c>
      <c r="O809"/>
      <c r="P809" s="490"/>
      <c r="Q809" t="str">
        <f t="shared" si="86"/>
        <v>50102</v>
      </c>
      <c r="R809" s="126" t="str">
        <f t="shared" si="87"/>
        <v>NON EXEMPT SALARIES</v>
      </c>
      <c r="S809" s="125" t="str">
        <f t="shared" si="88"/>
        <v>100</v>
      </c>
      <c r="T809" s="125" t="str">
        <f t="shared" si="89"/>
        <v>35</v>
      </c>
      <c r="U809" s="125" t="str">
        <f t="shared" si="90"/>
        <v>351</v>
      </c>
      <c r="V809" s="125" t="str">
        <f>VLOOKUP(Q809,'GL Category'!A:C,3,FALSE)</f>
        <v>Personnel services</v>
      </c>
      <c r="W809" s="125"/>
    </row>
    <row r="810" spans="1:24" s="83" customFormat="1" ht="20.399999999999999" customHeight="1">
      <c r="A810" s="608" t="s">
        <v>791</v>
      </c>
      <c r="B810" s="608" t="s">
        <v>2725</v>
      </c>
      <c r="C810" s="608" t="s">
        <v>0</v>
      </c>
      <c r="D810" s="609">
        <v>2928.22</v>
      </c>
      <c r="E810" s="609">
        <v>6106.33</v>
      </c>
      <c r="F810" s="609">
        <v>5279.19</v>
      </c>
      <c r="G810" s="609">
        <v>9319.5</v>
      </c>
      <c r="H810" s="609">
        <v>9000</v>
      </c>
      <c r="I810" s="609">
        <v>9604.2999999999993</v>
      </c>
      <c r="J810" s="609">
        <v>9327</v>
      </c>
      <c r="K810" s="609">
        <v>9000</v>
      </c>
      <c r="L810" s="609">
        <v>0</v>
      </c>
      <c r="M810" s="609">
        <v>0</v>
      </c>
      <c r="N810" s="587">
        <f t="shared" si="85"/>
        <v>9000</v>
      </c>
      <c r="O810"/>
      <c r="P810" s="490"/>
      <c r="Q810" t="str">
        <f t="shared" si="86"/>
        <v>50109</v>
      </c>
      <c r="R810" s="126" t="str">
        <f t="shared" si="87"/>
        <v>OVERTIME</v>
      </c>
      <c r="S810" s="125" t="str">
        <f t="shared" si="88"/>
        <v>100</v>
      </c>
      <c r="T810" s="125" t="str">
        <f t="shared" si="89"/>
        <v>35</v>
      </c>
      <c r="U810" s="125" t="str">
        <f t="shared" si="90"/>
        <v>351</v>
      </c>
      <c r="V810" s="125" t="str">
        <f>VLOOKUP(Q810,'GL Category'!A:C,3,FALSE)</f>
        <v>Personnel services</v>
      </c>
      <c r="W810" s="125"/>
    </row>
    <row r="811" spans="1:24" s="83" customFormat="1" ht="20.399999999999999" customHeight="1">
      <c r="A811" s="608" t="s">
        <v>791</v>
      </c>
      <c r="B811" s="608" t="s">
        <v>2726</v>
      </c>
      <c r="C811" s="608" t="s">
        <v>137</v>
      </c>
      <c r="D811" s="609">
        <v>5320</v>
      </c>
      <c r="E811" s="609">
        <v>5560</v>
      </c>
      <c r="F811" s="609">
        <v>4300</v>
      </c>
      <c r="G811" s="609">
        <v>4540</v>
      </c>
      <c r="H811" s="609">
        <v>4899</v>
      </c>
      <c r="I811" s="609">
        <v>4850</v>
      </c>
      <c r="J811" s="609">
        <v>4850</v>
      </c>
      <c r="K811" s="609">
        <v>4627</v>
      </c>
      <c r="L811" s="609">
        <v>0</v>
      </c>
      <c r="M811" s="609">
        <v>0</v>
      </c>
      <c r="N811" s="587">
        <f t="shared" si="85"/>
        <v>4627</v>
      </c>
      <c r="O811"/>
      <c r="P811" s="490"/>
      <c r="Q811" t="str">
        <f t="shared" si="86"/>
        <v>50111</v>
      </c>
      <c r="R811" s="126" t="str">
        <f t="shared" si="87"/>
        <v>LONGEVITY PAY</v>
      </c>
      <c r="S811" s="125" t="str">
        <f t="shared" si="88"/>
        <v>100</v>
      </c>
      <c r="T811" s="125" t="str">
        <f t="shared" si="89"/>
        <v>35</v>
      </c>
      <c r="U811" s="125" t="str">
        <f t="shared" si="90"/>
        <v>351</v>
      </c>
      <c r="V811" s="125" t="str">
        <f>VLOOKUP(Q811,'GL Category'!A:C,3,FALSE)</f>
        <v>Personnel services</v>
      </c>
      <c r="W811" s="125"/>
    </row>
    <row r="812" spans="1:24" s="83" customFormat="1" ht="20.399999999999999" customHeight="1">
      <c r="A812" s="608" t="s">
        <v>791</v>
      </c>
      <c r="B812" s="608" t="s">
        <v>2727</v>
      </c>
      <c r="C812" s="608" t="s">
        <v>283</v>
      </c>
      <c r="D812" s="609">
        <v>4828.57</v>
      </c>
      <c r="E812" s="609">
        <v>3947.21</v>
      </c>
      <c r="F812" s="609">
        <v>3611</v>
      </c>
      <c r="G812" s="609">
        <v>4716</v>
      </c>
      <c r="H812" s="609">
        <v>4800</v>
      </c>
      <c r="I812" s="609">
        <v>3584</v>
      </c>
      <c r="J812" s="609">
        <v>6624</v>
      </c>
      <c r="K812" s="609">
        <v>4800</v>
      </c>
      <c r="L812" s="609">
        <v>0</v>
      </c>
      <c r="M812" s="609">
        <v>0</v>
      </c>
      <c r="N812" s="587">
        <f t="shared" si="85"/>
        <v>4800</v>
      </c>
      <c r="O812"/>
      <c r="P812" s="490"/>
      <c r="Q812" t="str">
        <f t="shared" si="86"/>
        <v>50115</v>
      </c>
      <c r="R812" s="126" t="str">
        <f t="shared" si="87"/>
        <v>INCENTIVE/CERTIFICATION PAY</v>
      </c>
      <c r="S812" s="125" t="str">
        <f t="shared" si="88"/>
        <v>100</v>
      </c>
      <c r="T812" s="125" t="str">
        <f t="shared" si="89"/>
        <v>35</v>
      </c>
      <c r="U812" s="125" t="str">
        <f t="shared" si="90"/>
        <v>351</v>
      </c>
      <c r="V812" s="125" t="str">
        <f>VLOOKUP(Q812,'GL Category'!A:C,3,FALSE)</f>
        <v>Personnel services</v>
      </c>
      <c r="W812" s="125"/>
    </row>
    <row r="813" spans="1:24" s="83" customFormat="1" ht="20.399999999999999" customHeight="1">
      <c r="A813" s="608" t="s">
        <v>791</v>
      </c>
      <c r="B813" s="608" t="s">
        <v>2728</v>
      </c>
      <c r="C813" s="608" t="s">
        <v>1</v>
      </c>
      <c r="D813" s="609">
        <v>44778.47</v>
      </c>
      <c r="E813" s="609">
        <v>41369.29</v>
      </c>
      <c r="F813" s="609">
        <v>38490.379999999997</v>
      </c>
      <c r="G813" s="609">
        <v>51906.71</v>
      </c>
      <c r="H813" s="609">
        <v>53070</v>
      </c>
      <c r="I813" s="609">
        <v>41514.33</v>
      </c>
      <c r="J813" s="609">
        <v>52669</v>
      </c>
      <c r="K813" s="609">
        <v>52700</v>
      </c>
      <c r="L813" s="609">
        <v>0</v>
      </c>
      <c r="M813" s="609">
        <v>0</v>
      </c>
      <c r="N813" s="587">
        <f t="shared" si="85"/>
        <v>52700</v>
      </c>
      <c r="O813"/>
      <c r="P813" s="490"/>
      <c r="Q813" t="str">
        <f t="shared" si="86"/>
        <v>50610</v>
      </c>
      <c r="R813" s="126" t="str">
        <f t="shared" si="87"/>
        <v>SOCIAL SECURITY</v>
      </c>
      <c r="S813" s="125" t="str">
        <f t="shared" si="88"/>
        <v>100</v>
      </c>
      <c r="T813" s="125" t="str">
        <f t="shared" si="89"/>
        <v>35</v>
      </c>
      <c r="U813" s="125" t="str">
        <f t="shared" si="90"/>
        <v>351</v>
      </c>
      <c r="V813" s="125" t="str">
        <f>VLOOKUP(Q813,'GL Category'!A:C,3,FALSE)</f>
        <v>Personnel services</v>
      </c>
      <c r="W813" s="125"/>
    </row>
    <row r="814" spans="1:24" ht="20.399999999999999" customHeight="1">
      <c r="A814" s="608" t="s">
        <v>791</v>
      </c>
      <c r="B814" s="608" t="s">
        <v>2729</v>
      </c>
      <c r="C814" s="608" t="s">
        <v>142</v>
      </c>
      <c r="D814" s="609">
        <v>70079.56</v>
      </c>
      <c r="E814" s="609">
        <v>57229.63</v>
      </c>
      <c r="F814" s="609">
        <v>62231.79</v>
      </c>
      <c r="G814" s="609">
        <v>66662.080000000002</v>
      </c>
      <c r="H814" s="609">
        <v>57581</v>
      </c>
      <c r="I814" s="609">
        <v>35874.79</v>
      </c>
      <c r="J814" s="609">
        <v>48517</v>
      </c>
      <c r="K814" s="609">
        <v>45360</v>
      </c>
      <c r="L814" s="609">
        <v>0</v>
      </c>
      <c r="M814" s="609">
        <v>0</v>
      </c>
      <c r="N814" s="587">
        <f t="shared" si="85"/>
        <v>45360</v>
      </c>
      <c r="Q814" t="str">
        <f t="shared" si="86"/>
        <v>50620</v>
      </c>
      <c r="R814" s="126" t="str">
        <f t="shared" si="87"/>
        <v>HEALTH/LIFE INSURANCE</v>
      </c>
      <c r="S814" s="125" t="str">
        <f t="shared" si="88"/>
        <v>100</v>
      </c>
      <c r="T814" s="125" t="str">
        <f t="shared" si="89"/>
        <v>35</v>
      </c>
      <c r="U814" s="125" t="str">
        <f t="shared" si="90"/>
        <v>351</v>
      </c>
      <c r="V814" s="125" t="str">
        <f>VLOOKUP(Q814,'GL Category'!A:C,3,FALSE)</f>
        <v>Personnel services</v>
      </c>
      <c r="X814" s="83"/>
    </row>
    <row r="815" spans="1:24" ht="20.399999999999999" customHeight="1">
      <c r="A815" s="608" t="s">
        <v>791</v>
      </c>
      <c r="B815" s="608" t="s">
        <v>2730</v>
      </c>
      <c r="C815" s="608" t="s">
        <v>144</v>
      </c>
      <c r="D815" s="609">
        <v>4004.68</v>
      </c>
      <c r="E815" s="609">
        <v>4329.13</v>
      </c>
      <c r="F815" s="609">
        <v>4895.87</v>
      </c>
      <c r="G815" s="609">
        <v>8824.6200000000008</v>
      </c>
      <c r="H815" s="609">
        <v>11937</v>
      </c>
      <c r="I815" s="609">
        <v>11927.25</v>
      </c>
      <c r="J815" s="609">
        <v>11927</v>
      </c>
      <c r="K815" s="609">
        <v>12653</v>
      </c>
      <c r="L815" s="609">
        <v>0</v>
      </c>
      <c r="M815" s="609">
        <v>0</v>
      </c>
      <c r="N815" s="587">
        <f t="shared" si="85"/>
        <v>12653</v>
      </c>
      <c r="Q815" t="str">
        <f t="shared" si="86"/>
        <v>50630</v>
      </c>
      <c r="R815" s="126" t="str">
        <f t="shared" si="87"/>
        <v>WORKER COMPENSATION</v>
      </c>
      <c r="S815" s="125" t="str">
        <f t="shared" si="88"/>
        <v>100</v>
      </c>
      <c r="T815" s="125" t="str">
        <f t="shared" si="89"/>
        <v>35</v>
      </c>
      <c r="U815" s="125" t="str">
        <f t="shared" si="90"/>
        <v>351</v>
      </c>
      <c r="V815" s="125" t="str">
        <f>VLOOKUP(Q815,'GL Category'!A:C,3,FALSE)</f>
        <v>Personnel services</v>
      </c>
      <c r="X815" s="83"/>
    </row>
    <row r="816" spans="1:24" ht="20.399999999999999" customHeight="1">
      <c r="A816" s="608" t="s">
        <v>791</v>
      </c>
      <c r="B816" s="608" t="s">
        <v>2731</v>
      </c>
      <c r="C816" s="608" t="s">
        <v>2</v>
      </c>
      <c r="D816" s="609">
        <v>97842.16</v>
      </c>
      <c r="E816" s="609">
        <v>91398.93</v>
      </c>
      <c r="F816" s="609">
        <v>83519.31</v>
      </c>
      <c r="G816" s="609">
        <v>112562.61</v>
      </c>
      <c r="H816" s="609">
        <v>122959</v>
      </c>
      <c r="I816" s="609">
        <v>91886.9</v>
      </c>
      <c r="J816" s="609">
        <v>120379</v>
      </c>
      <c r="K816" s="609">
        <v>127513</v>
      </c>
      <c r="L816" s="609">
        <v>0</v>
      </c>
      <c r="M816" s="609">
        <v>0</v>
      </c>
      <c r="N816" s="587">
        <f t="shared" si="85"/>
        <v>127513</v>
      </c>
      <c r="Q816" t="str">
        <f t="shared" si="86"/>
        <v>50650</v>
      </c>
      <c r="R816" s="126" t="str">
        <f t="shared" si="87"/>
        <v>RETIREMENT</v>
      </c>
      <c r="S816" s="125" t="str">
        <f t="shared" si="88"/>
        <v>100</v>
      </c>
      <c r="T816" s="125" t="str">
        <f t="shared" si="89"/>
        <v>35</v>
      </c>
      <c r="U816" s="125" t="str">
        <f t="shared" si="90"/>
        <v>351</v>
      </c>
      <c r="V816" s="125" t="str">
        <f>VLOOKUP(Q816,'GL Category'!A:C,3,FALSE)</f>
        <v>Personnel services</v>
      </c>
      <c r="X816" s="83"/>
    </row>
    <row r="817" spans="1:24" ht="20.399999999999999" customHeight="1">
      <c r="A817" s="608" t="s">
        <v>791</v>
      </c>
      <c r="B817" s="608" t="s">
        <v>2732</v>
      </c>
      <c r="C817" s="608" t="s">
        <v>149</v>
      </c>
      <c r="D817" s="609">
        <v>1303.46</v>
      </c>
      <c r="E817" s="609">
        <v>2292.67</v>
      </c>
      <c r="F817" s="609">
        <v>2726.98</v>
      </c>
      <c r="G817" s="609">
        <v>5083.26</v>
      </c>
      <c r="H817" s="609">
        <v>3700</v>
      </c>
      <c r="I817" s="609">
        <v>3080.72</v>
      </c>
      <c r="J817" s="609">
        <v>3700</v>
      </c>
      <c r="K817" s="609">
        <v>3700</v>
      </c>
      <c r="L817" s="609">
        <v>0</v>
      </c>
      <c r="M817" s="609">
        <v>0</v>
      </c>
      <c r="N817" s="587">
        <f t="shared" si="85"/>
        <v>3700</v>
      </c>
      <c r="Q817" t="str">
        <f t="shared" si="86"/>
        <v>51210</v>
      </c>
      <c r="R817" s="126" t="str">
        <f t="shared" si="87"/>
        <v>OFFICE SUPPLIES</v>
      </c>
      <c r="S817" s="125" t="str">
        <f t="shared" si="88"/>
        <v>100</v>
      </c>
      <c r="T817" s="125" t="str">
        <f t="shared" si="89"/>
        <v>35</v>
      </c>
      <c r="U817" s="125" t="str">
        <f t="shared" si="90"/>
        <v>351</v>
      </c>
      <c r="V817" s="125" t="str">
        <f>VLOOKUP(Q817,'GL Category'!A:C,3,FALSE)</f>
        <v>Operations &amp; maintenance</v>
      </c>
      <c r="X817" s="83"/>
    </row>
    <row r="818" spans="1:24" ht="20.399999999999999" customHeight="1">
      <c r="A818" s="608" t="s">
        <v>791</v>
      </c>
      <c r="B818" s="608" t="s">
        <v>2733</v>
      </c>
      <c r="C818" s="608" t="s">
        <v>4</v>
      </c>
      <c r="D818" s="609">
        <v>2143.4</v>
      </c>
      <c r="E818" s="609">
        <v>297.48</v>
      </c>
      <c r="F818" s="609">
        <v>3694.35</v>
      </c>
      <c r="G818" s="609">
        <v>562.52</v>
      </c>
      <c r="H818" s="609">
        <v>2500</v>
      </c>
      <c r="I818" s="609">
        <v>242.99</v>
      </c>
      <c r="J818" s="609">
        <v>500</v>
      </c>
      <c r="K818" s="609">
        <v>2500</v>
      </c>
      <c r="L818" s="609">
        <v>0</v>
      </c>
      <c r="M818" s="609">
        <v>0</v>
      </c>
      <c r="N818" s="587">
        <f t="shared" si="85"/>
        <v>2500</v>
      </c>
      <c r="Q818" t="str">
        <f t="shared" si="86"/>
        <v>51245</v>
      </c>
      <c r="R818" s="126" t="str">
        <f t="shared" si="87"/>
        <v>SMALL TOOLS &amp; EQUIPMENT</v>
      </c>
      <c r="S818" s="125" t="str">
        <f t="shared" si="88"/>
        <v>100</v>
      </c>
      <c r="T818" s="125" t="str">
        <f t="shared" si="89"/>
        <v>35</v>
      </c>
      <c r="U818" s="125" t="str">
        <f t="shared" si="90"/>
        <v>351</v>
      </c>
      <c r="V818" s="125" t="str">
        <f>VLOOKUP(Q818,'GL Category'!A:C,3,FALSE)</f>
        <v>Operations &amp; maintenance</v>
      </c>
      <c r="X818" s="83"/>
    </row>
    <row r="819" spans="1:24" ht="20.399999999999999" customHeight="1">
      <c r="A819" s="608" t="s">
        <v>791</v>
      </c>
      <c r="B819" s="608" t="s">
        <v>2734</v>
      </c>
      <c r="C819" s="608" t="s">
        <v>161</v>
      </c>
      <c r="D819" s="609">
        <v>3084.04</v>
      </c>
      <c r="E819" s="609">
        <v>3828.59</v>
      </c>
      <c r="F819" s="609">
        <v>5686.02</v>
      </c>
      <c r="G819" s="609">
        <v>5544.68</v>
      </c>
      <c r="H819" s="609">
        <v>7000</v>
      </c>
      <c r="I819" s="609">
        <v>2819.6</v>
      </c>
      <c r="J819" s="609">
        <v>4600</v>
      </c>
      <c r="K819" s="609">
        <v>7000</v>
      </c>
      <c r="L819" s="609">
        <v>0</v>
      </c>
      <c r="M819" s="609">
        <v>0</v>
      </c>
      <c r="N819" s="587">
        <f t="shared" si="85"/>
        <v>7000</v>
      </c>
      <c r="Q819" t="str">
        <f t="shared" si="86"/>
        <v>51255</v>
      </c>
      <c r="R819" s="126" t="str">
        <f t="shared" si="87"/>
        <v>FUEL/OILS/LUBRICANTS</v>
      </c>
      <c r="S819" s="125" t="str">
        <f t="shared" si="88"/>
        <v>100</v>
      </c>
      <c r="T819" s="125" t="str">
        <f t="shared" si="89"/>
        <v>35</v>
      </c>
      <c r="U819" s="125" t="str">
        <f t="shared" si="90"/>
        <v>351</v>
      </c>
      <c r="V819" s="125" t="str">
        <f>VLOOKUP(Q819,'GL Category'!A:C,3,FALSE)</f>
        <v>Operations &amp; maintenance</v>
      </c>
      <c r="X819" s="83"/>
    </row>
    <row r="820" spans="1:24" ht="20.399999999999999" customHeight="1">
      <c r="A820" s="608" t="s">
        <v>791</v>
      </c>
      <c r="B820" s="608" t="s">
        <v>2736</v>
      </c>
      <c r="C820" s="608" t="s">
        <v>169</v>
      </c>
      <c r="D820" s="609">
        <v>318.31</v>
      </c>
      <c r="E820" s="609">
        <v>41.53</v>
      </c>
      <c r="F820" s="609">
        <v>602.11</v>
      </c>
      <c r="G820" s="609">
        <v>636.1</v>
      </c>
      <c r="H820" s="609">
        <v>750</v>
      </c>
      <c r="I820" s="609">
        <v>960.94</v>
      </c>
      <c r="J820" s="609">
        <v>750</v>
      </c>
      <c r="K820" s="609">
        <v>750</v>
      </c>
      <c r="L820" s="609">
        <v>0</v>
      </c>
      <c r="M820" s="609">
        <v>0</v>
      </c>
      <c r="N820" s="587">
        <f t="shared" si="85"/>
        <v>750</v>
      </c>
      <c r="P820" s="490">
        <f t="shared" ref="P820:P827" si="92">N820-H820</f>
        <v>0</v>
      </c>
      <c r="Q820" t="str">
        <f t="shared" si="86"/>
        <v>51299</v>
      </c>
      <c r="R820" s="126" t="str">
        <f t="shared" si="87"/>
        <v>MISCELLANEOUS SUPPLIES</v>
      </c>
      <c r="S820" s="125" t="str">
        <f t="shared" si="88"/>
        <v>100</v>
      </c>
      <c r="T820" s="125" t="str">
        <f t="shared" si="89"/>
        <v>35</v>
      </c>
      <c r="U820" s="125" t="str">
        <f t="shared" si="90"/>
        <v>351</v>
      </c>
      <c r="V820" s="125" t="str">
        <f>VLOOKUP(Q820,'GL Category'!A:C,3,FALSE)</f>
        <v>Operations &amp; maintenance</v>
      </c>
      <c r="X820" s="83"/>
    </row>
    <row r="821" spans="1:24" ht="20.399999999999999" customHeight="1">
      <c r="A821" s="608" t="s">
        <v>791</v>
      </c>
      <c r="B821" s="608" t="s">
        <v>2738</v>
      </c>
      <c r="C821" s="608" t="s">
        <v>241</v>
      </c>
      <c r="D821" s="609">
        <v>1350.99</v>
      </c>
      <c r="E821" s="609">
        <v>-10235.58</v>
      </c>
      <c r="F821" s="609">
        <v>661.21</v>
      </c>
      <c r="G821" s="609">
        <v>409.25</v>
      </c>
      <c r="H821" s="609">
        <v>3000</v>
      </c>
      <c r="I821" s="609">
        <v>208.33</v>
      </c>
      <c r="J821" s="609">
        <v>3000</v>
      </c>
      <c r="K821" s="609">
        <v>3000</v>
      </c>
      <c r="L821" s="609">
        <v>0</v>
      </c>
      <c r="M821" s="609">
        <v>0</v>
      </c>
      <c r="N821" s="587">
        <f t="shared" si="85"/>
        <v>3000</v>
      </c>
      <c r="P821" s="490">
        <f t="shared" si="92"/>
        <v>0</v>
      </c>
      <c r="Q821" t="str">
        <f t="shared" si="86"/>
        <v>52460</v>
      </c>
      <c r="R821" s="126" t="str">
        <f t="shared" si="87"/>
        <v>VEHICLE MAINTENANCE</v>
      </c>
      <c r="S821" s="125" t="str">
        <f t="shared" si="88"/>
        <v>100</v>
      </c>
      <c r="T821" s="125" t="str">
        <f t="shared" si="89"/>
        <v>35</v>
      </c>
      <c r="U821" s="125" t="str">
        <f t="shared" si="90"/>
        <v>351</v>
      </c>
      <c r="V821" s="125" t="str">
        <f>VLOOKUP(Q821,'GL Category'!A:C,3,FALSE)</f>
        <v>Operations &amp; maintenance</v>
      </c>
      <c r="X821" s="83"/>
    </row>
    <row r="822" spans="1:24" ht="20.399999999999999" customHeight="1">
      <c r="A822" s="608" t="s">
        <v>791</v>
      </c>
      <c r="B822" s="608" t="s">
        <v>2738</v>
      </c>
      <c r="C822" s="608" t="s">
        <v>241</v>
      </c>
      <c r="D822" s="609">
        <v>0</v>
      </c>
      <c r="E822" s="609">
        <v>98.06</v>
      </c>
      <c r="F822" s="609">
        <v>167.12</v>
      </c>
      <c r="G822" s="609">
        <v>0</v>
      </c>
      <c r="H822" s="609">
        <v>0</v>
      </c>
      <c r="I822" s="609">
        <v>0</v>
      </c>
      <c r="J822" s="609">
        <v>0</v>
      </c>
      <c r="K822" s="609">
        <v>0</v>
      </c>
      <c r="L822" s="609">
        <v>0</v>
      </c>
      <c r="M822" s="609">
        <v>0</v>
      </c>
      <c r="N822" s="587">
        <f t="shared" si="85"/>
        <v>0</v>
      </c>
      <c r="P822" s="490">
        <f t="shared" si="92"/>
        <v>0</v>
      </c>
      <c r="Q822" t="str">
        <f t="shared" si="86"/>
        <v>52460</v>
      </c>
      <c r="R822" s="126" t="str">
        <f t="shared" si="87"/>
        <v>VEHICLE MAINTENANCE</v>
      </c>
      <c r="S822" s="125" t="str">
        <f t="shared" si="88"/>
        <v>100</v>
      </c>
      <c r="T822" s="125" t="str">
        <f t="shared" si="89"/>
        <v>35</v>
      </c>
      <c r="U822" s="125" t="str">
        <f t="shared" si="90"/>
        <v>351</v>
      </c>
      <c r="V822" s="125" t="str">
        <f>VLOOKUP(Q822,'GL Category'!A:C,3,FALSE)</f>
        <v>Operations &amp; maintenance</v>
      </c>
      <c r="X822" s="83"/>
    </row>
    <row r="823" spans="1:24" ht="20.399999999999999" customHeight="1">
      <c r="A823" s="608" t="s">
        <v>791</v>
      </c>
      <c r="B823" s="608" t="s">
        <v>2740</v>
      </c>
      <c r="C823" s="608" t="s">
        <v>181</v>
      </c>
      <c r="D823" s="609">
        <v>0</v>
      </c>
      <c r="E823" s="609">
        <v>0</v>
      </c>
      <c r="F823" s="609">
        <v>0</v>
      </c>
      <c r="G823" s="609">
        <v>0</v>
      </c>
      <c r="H823" s="609">
        <v>0</v>
      </c>
      <c r="I823" s="609">
        <v>0</v>
      </c>
      <c r="J823" s="609">
        <v>0</v>
      </c>
      <c r="K823" s="609">
        <v>0</v>
      </c>
      <c r="L823" s="609">
        <v>0</v>
      </c>
      <c r="M823" s="609">
        <v>0</v>
      </c>
      <c r="N823" s="587">
        <f t="shared" si="85"/>
        <v>0</v>
      </c>
      <c r="P823" s="490">
        <f t="shared" si="92"/>
        <v>0</v>
      </c>
      <c r="Q823" t="str">
        <f t="shared" si="86"/>
        <v>52490</v>
      </c>
      <c r="R823" s="126" t="str">
        <f t="shared" si="87"/>
        <v>A/C &amp; HEATING MAINTENANCE</v>
      </c>
      <c r="S823" s="125" t="str">
        <f t="shared" si="88"/>
        <v>100</v>
      </c>
      <c r="T823" s="125" t="str">
        <f t="shared" si="89"/>
        <v>35</v>
      </c>
      <c r="U823" s="125" t="str">
        <f t="shared" si="90"/>
        <v>351</v>
      </c>
      <c r="V823" s="125" t="str">
        <f>VLOOKUP(Q823,'GL Category'!A:C,3,FALSE)</f>
        <v>Operations &amp; maintenance</v>
      </c>
      <c r="X823" s="83"/>
    </row>
    <row r="824" spans="1:24" ht="20.399999999999999" customHeight="1">
      <c r="A824" s="608" t="s">
        <v>791</v>
      </c>
      <c r="B824" s="608" t="s">
        <v>2741</v>
      </c>
      <c r="C824" s="608" t="s">
        <v>185</v>
      </c>
      <c r="D824" s="609">
        <v>2021.23</v>
      </c>
      <c r="E824" s="609">
        <v>4469.5</v>
      </c>
      <c r="F824" s="609">
        <v>4599.8999999999996</v>
      </c>
      <c r="G824" s="609">
        <v>5798.26</v>
      </c>
      <c r="H824" s="609">
        <v>23000</v>
      </c>
      <c r="I824" s="609">
        <v>17496.78</v>
      </c>
      <c r="J824" s="609">
        <v>23000</v>
      </c>
      <c r="K824" s="609">
        <v>6650</v>
      </c>
      <c r="L824" s="609">
        <v>0</v>
      </c>
      <c r="M824" s="609">
        <v>0</v>
      </c>
      <c r="N824" s="587">
        <f t="shared" si="85"/>
        <v>6650</v>
      </c>
      <c r="P824" s="490">
        <f t="shared" si="92"/>
        <v>-16350</v>
      </c>
      <c r="Q824" t="str">
        <f t="shared" si="86"/>
        <v>53505</v>
      </c>
      <c r="R824" s="126" t="str">
        <f t="shared" si="87"/>
        <v>PUBLIC EDUCATION SERVICES</v>
      </c>
      <c r="S824" s="125" t="str">
        <f t="shared" si="88"/>
        <v>100</v>
      </c>
      <c r="T824" s="125" t="str">
        <f t="shared" si="89"/>
        <v>35</v>
      </c>
      <c r="U824" s="125" t="str">
        <f t="shared" si="90"/>
        <v>351</v>
      </c>
      <c r="V824" s="125" t="str">
        <f>VLOOKUP(Q824,'GL Category'!A:C,3,FALSE)</f>
        <v>Services &amp; other</v>
      </c>
      <c r="X824" s="83"/>
    </row>
    <row r="825" spans="1:24" ht="20.399999999999999" customHeight="1">
      <c r="A825" s="608" t="s">
        <v>791</v>
      </c>
      <c r="B825" s="608" t="s">
        <v>2743</v>
      </c>
      <c r="C825" s="608" t="s">
        <v>190</v>
      </c>
      <c r="D825" s="609">
        <v>32504.35</v>
      </c>
      <c r="E825" s="609">
        <v>40195.07</v>
      </c>
      <c r="F825" s="609">
        <v>45383.06</v>
      </c>
      <c r="G825" s="609">
        <v>44315.7</v>
      </c>
      <c r="H825" s="609">
        <v>53445</v>
      </c>
      <c r="I825" s="609">
        <v>47734.01</v>
      </c>
      <c r="J825" s="609">
        <v>53445</v>
      </c>
      <c r="K825" s="609">
        <v>43809</v>
      </c>
      <c r="L825" s="609">
        <v>0</v>
      </c>
      <c r="M825" s="609">
        <v>0</v>
      </c>
      <c r="N825" s="587">
        <f t="shared" si="85"/>
        <v>43809</v>
      </c>
      <c r="P825" s="490">
        <f t="shared" si="92"/>
        <v>-9636</v>
      </c>
      <c r="Q825" t="str">
        <f t="shared" si="86"/>
        <v>53510</v>
      </c>
      <c r="R825" s="126" t="str">
        <f t="shared" si="87"/>
        <v>DUES &amp; SUBSCRIPTIONS</v>
      </c>
      <c r="S825" s="125" t="str">
        <f t="shared" si="88"/>
        <v>100</v>
      </c>
      <c r="T825" s="125" t="str">
        <f t="shared" si="89"/>
        <v>35</v>
      </c>
      <c r="U825" s="125" t="str">
        <f t="shared" si="90"/>
        <v>351</v>
      </c>
      <c r="V825" s="125" t="str">
        <f>VLOOKUP(Q825,'GL Category'!A:C,3,FALSE)</f>
        <v>Services &amp; other</v>
      </c>
      <c r="X825" s="83"/>
    </row>
    <row r="826" spans="1:24" ht="20.399999999999999" customHeight="1">
      <c r="A826" s="608" t="s">
        <v>791</v>
      </c>
      <c r="B826" s="608" t="s">
        <v>2744</v>
      </c>
      <c r="C826" s="608" t="s">
        <v>191</v>
      </c>
      <c r="D826" s="609">
        <v>7135.92</v>
      </c>
      <c r="E826" s="609">
        <v>4267</v>
      </c>
      <c r="F826" s="609">
        <v>7604.25</v>
      </c>
      <c r="G826" s="609">
        <v>13554.9</v>
      </c>
      <c r="H826" s="609">
        <v>15170</v>
      </c>
      <c r="I826" s="609">
        <v>13324.13</v>
      </c>
      <c r="J826" s="609">
        <v>15170</v>
      </c>
      <c r="K826" s="609">
        <v>15170</v>
      </c>
      <c r="L826" s="609">
        <v>0</v>
      </c>
      <c r="M826" s="609">
        <v>0</v>
      </c>
      <c r="N826" s="587">
        <f t="shared" si="85"/>
        <v>15170</v>
      </c>
      <c r="P826" s="490">
        <f t="shared" si="92"/>
        <v>0</v>
      </c>
      <c r="Q826" t="str">
        <f t="shared" si="86"/>
        <v>53515</v>
      </c>
      <c r="R826" s="126" t="str">
        <f t="shared" si="87"/>
        <v>TRAVEL, TRAINING &amp; EDUCATION</v>
      </c>
      <c r="S826" s="125" t="str">
        <f t="shared" si="88"/>
        <v>100</v>
      </c>
      <c r="T826" s="125" t="str">
        <f t="shared" si="89"/>
        <v>35</v>
      </c>
      <c r="U826" s="125" t="str">
        <f t="shared" si="90"/>
        <v>351</v>
      </c>
      <c r="V826" s="125" t="str">
        <f>VLOOKUP(Q826,'GL Category'!A:C,3,FALSE)</f>
        <v>Services &amp; other</v>
      </c>
      <c r="X826" s="83"/>
    </row>
    <row r="827" spans="1:24" ht="20.399999999999999" customHeight="1">
      <c r="A827" s="608" t="s">
        <v>791</v>
      </c>
      <c r="B827" s="608" t="s">
        <v>2746</v>
      </c>
      <c r="C827" s="608" t="s">
        <v>258</v>
      </c>
      <c r="D827" s="609">
        <v>1211.04</v>
      </c>
      <c r="E827" s="609">
        <v>2058.46</v>
      </c>
      <c r="F827" s="609">
        <v>433</v>
      </c>
      <c r="G827" s="609">
        <v>1844.71</v>
      </c>
      <c r="H827" s="609">
        <v>2000</v>
      </c>
      <c r="I827" s="609">
        <v>2342.88</v>
      </c>
      <c r="J827" s="609">
        <v>2000</v>
      </c>
      <c r="K827" s="609">
        <v>2000</v>
      </c>
      <c r="L827" s="609">
        <v>0</v>
      </c>
      <c r="M827" s="609">
        <v>0</v>
      </c>
      <c r="N827" s="587">
        <f t="shared" si="85"/>
        <v>2000</v>
      </c>
      <c r="P827" s="490">
        <f t="shared" si="92"/>
        <v>0</v>
      </c>
      <c r="Q827" t="str">
        <f t="shared" si="86"/>
        <v>53527</v>
      </c>
      <c r="R827" s="126" t="str">
        <f t="shared" si="87"/>
        <v>EMPLOYEE ACTIVITIES</v>
      </c>
      <c r="S827" s="125" t="str">
        <f t="shared" si="88"/>
        <v>100</v>
      </c>
      <c r="T827" s="125" t="str">
        <f t="shared" si="89"/>
        <v>35</v>
      </c>
      <c r="U827" s="125" t="str">
        <f t="shared" si="90"/>
        <v>351</v>
      </c>
      <c r="V827" s="125" t="str">
        <f>VLOOKUP(Q827,'GL Category'!A:C,3,FALSE)</f>
        <v>Services &amp; other</v>
      </c>
      <c r="X827" s="83"/>
    </row>
    <row r="828" spans="1:24" ht="20.399999999999999" customHeight="1">
      <c r="A828" s="608" t="s">
        <v>791</v>
      </c>
      <c r="B828" s="608" t="s">
        <v>2747</v>
      </c>
      <c r="C828" s="608" t="s">
        <v>261</v>
      </c>
      <c r="D828" s="609">
        <v>99</v>
      </c>
      <c r="E828" s="609">
        <v>323.92</v>
      </c>
      <c r="F828" s="609">
        <v>627.04</v>
      </c>
      <c r="G828" s="609">
        <v>59.76</v>
      </c>
      <c r="H828" s="609">
        <v>700</v>
      </c>
      <c r="I828" s="609">
        <v>808.23</v>
      </c>
      <c r="J828" s="609">
        <v>700</v>
      </c>
      <c r="K828" s="609">
        <v>700</v>
      </c>
      <c r="L828" s="609">
        <v>0</v>
      </c>
      <c r="M828" s="609">
        <v>0</v>
      </c>
      <c r="N828" s="587">
        <f t="shared" si="85"/>
        <v>700</v>
      </c>
      <c r="Q828" t="str">
        <f t="shared" si="86"/>
        <v>53552</v>
      </c>
      <c r="R828" s="126" t="str">
        <f t="shared" si="87"/>
        <v>INVESTIGATIVE SERVICES</v>
      </c>
      <c r="S828" s="125" t="str">
        <f t="shared" si="88"/>
        <v>100</v>
      </c>
      <c r="T828" s="125" t="str">
        <f t="shared" si="89"/>
        <v>35</v>
      </c>
      <c r="U828" s="125" t="str">
        <f t="shared" si="90"/>
        <v>351</v>
      </c>
      <c r="V828" s="125" t="str">
        <f>VLOOKUP(Q828,'GL Category'!A:C,3,FALSE)</f>
        <v>Services &amp; other</v>
      </c>
      <c r="X828" s="83"/>
    </row>
    <row r="829" spans="1:24" ht="20.399999999999999" customHeight="1">
      <c r="A829" s="608" t="s">
        <v>791</v>
      </c>
      <c r="B829" s="608" t="s">
        <v>2748</v>
      </c>
      <c r="C829" s="608" t="s">
        <v>211</v>
      </c>
      <c r="D829" s="609">
        <v>98</v>
      </c>
      <c r="E829" s="609">
        <v>98</v>
      </c>
      <c r="F829" s="609">
        <v>84</v>
      </c>
      <c r="G829" s="609">
        <v>5.84</v>
      </c>
      <c r="H829" s="609">
        <v>900</v>
      </c>
      <c r="I829" s="609">
        <v>879.16</v>
      </c>
      <c r="J829" s="609">
        <v>900</v>
      </c>
      <c r="K829" s="609">
        <v>900</v>
      </c>
      <c r="L829" s="609">
        <v>0</v>
      </c>
      <c r="M829" s="609">
        <v>0</v>
      </c>
      <c r="N829" s="587">
        <f t="shared" si="85"/>
        <v>900</v>
      </c>
      <c r="Q829" t="str">
        <f t="shared" si="86"/>
        <v>53570</v>
      </c>
      <c r="R829" s="126" t="str">
        <f t="shared" si="87"/>
        <v>TELEPHONE/COMMUNICATIONS</v>
      </c>
      <c r="S829" s="125" t="str">
        <f t="shared" si="88"/>
        <v>100</v>
      </c>
      <c r="T829" s="125" t="str">
        <f t="shared" si="89"/>
        <v>35</v>
      </c>
      <c r="U829" s="125" t="str">
        <f t="shared" si="90"/>
        <v>351</v>
      </c>
      <c r="V829" s="125" t="str">
        <f>VLOOKUP(Q829,'GL Category'!A:C,3,FALSE)</f>
        <v>Services &amp; other</v>
      </c>
      <c r="X829" s="83"/>
    </row>
    <row r="830" spans="1:24" ht="20.399999999999999" customHeight="1">
      <c r="A830" s="608" t="s">
        <v>791</v>
      </c>
      <c r="B830" s="608" t="s">
        <v>2753</v>
      </c>
      <c r="C830" s="608" t="s">
        <v>221</v>
      </c>
      <c r="D830" s="609">
        <v>66011</v>
      </c>
      <c r="E830" s="609">
        <v>72334</v>
      </c>
      <c r="F830" s="609">
        <v>74370</v>
      </c>
      <c r="G830" s="609">
        <v>74982</v>
      </c>
      <c r="H830" s="609">
        <v>89114</v>
      </c>
      <c r="I830" s="609">
        <v>67869.48</v>
      </c>
      <c r="J830" s="609">
        <v>89114</v>
      </c>
      <c r="K830" s="609">
        <v>55915</v>
      </c>
      <c r="L830" s="609">
        <v>0</v>
      </c>
      <c r="M830" s="609">
        <v>0</v>
      </c>
      <c r="N830" s="587">
        <f t="shared" si="85"/>
        <v>55915</v>
      </c>
      <c r="Q830" t="str">
        <f t="shared" si="86"/>
        <v>55119</v>
      </c>
      <c r="R830" s="126" t="str">
        <f t="shared" si="87"/>
        <v>OFFICE EQUIP LEASE EXP-CITY</v>
      </c>
      <c r="S830" s="125" t="str">
        <f t="shared" si="88"/>
        <v>100</v>
      </c>
      <c r="T830" s="125" t="str">
        <f t="shared" si="89"/>
        <v>35</v>
      </c>
      <c r="U830" s="125" t="str">
        <f t="shared" si="90"/>
        <v>351</v>
      </c>
      <c r="V830" s="125" t="str">
        <f>VLOOKUP(Q830,'GL Category'!A:C,3,FALSE)</f>
        <v>Services &amp; other</v>
      </c>
      <c r="X830" s="83"/>
    </row>
    <row r="831" spans="1:24" ht="20.399999999999999" customHeight="1">
      <c r="A831" s="608" t="s">
        <v>791</v>
      </c>
      <c r="B831" s="608" t="s">
        <v>2752</v>
      </c>
      <c r="C831" s="608" t="s">
        <v>220</v>
      </c>
      <c r="D831" s="609">
        <v>30857</v>
      </c>
      <c r="E831" s="609">
        <v>37478</v>
      </c>
      <c r="F831" s="609">
        <v>37380</v>
      </c>
      <c r="G831" s="609">
        <v>37380</v>
      </c>
      <c r="H831" s="609">
        <v>41024</v>
      </c>
      <c r="I831" s="609">
        <v>30768</v>
      </c>
      <c r="J831" s="609">
        <v>41024</v>
      </c>
      <c r="K831" s="609">
        <v>53021</v>
      </c>
      <c r="L831" s="609">
        <v>0</v>
      </c>
      <c r="M831" s="609">
        <v>0</v>
      </c>
      <c r="N831" s="587">
        <f t="shared" si="85"/>
        <v>53021</v>
      </c>
      <c r="Q831" t="str">
        <f t="shared" si="86"/>
        <v>55175</v>
      </c>
      <c r="R831" s="126" t="str">
        <f t="shared" si="87"/>
        <v>VEHICLE/EQUIP LEASE EXP-CITY</v>
      </c>
      <c r="S831" s="125" t="str">
        <f t="shared" si="88"/>
        <v>100</v>
      </c>
      <c r="T831" s="125" t="str">
        <f t="shared" si="89"/>
        <v>35</v>
      </c>
      <c r="U831" s="125" t="str">
        <f t="shared" si="90"/>
        <v>351</v>
      </c>
      <c r="V831" s="125" t="str">
        <f>VLOOKUP(Q831,'GL Category'!A:C,3,FALSE)</f>
        <v>Services &amp; other</v>
      </c>
      <c r="X831" s="83"/>
    </row>
    <row r="832" spans="1:24" ht="20.399999999999999" customHeight="1">
      <c r="A832" s="608" t="s">
        <v>791</v>
      </c>
      <c r="B832" s="608" t="s">
        <v>2754</v>
      </c>
      <c r="C832" s="608" t="s">
        <v>132</v>
      </c>
      <c r="D832" s="609">
        <v>2701738.67</v>
      </c>
      <c r="E832" s="609">
        <v>3812629.07</v>
      </c>
      <c r="F832" s="609">
        <v>4080685.04</v>
      </c>
      <c r="G832" s="609">
        <v>4231327.32</v>
      </c>
      <c r="H832" s="609">
        <v>4706591</v>
      </c>
      <c r="I832" s="609">
        <v>3434888.07</v>
      </c>
      <c r="J832" s="609">
        <v>4553837</v>
      </c>
      <c r="K832" s="609">
        <v>4890671</v>
      </c>
      <c r="L832" s="609">
        <v>0</v>
      </c>
      <c r="M832" s="609">
        <v>0</v>
      </c>
      <c r="N832" s="587">
        <f t="shared" si="85"/>
        <v>4890671</v>
      </c>
      <c r="Q832" t="str">
        <f t="shared" si="86"/>
        <v>50102</v>
      </c>
      <c r="R832" s="126" t="str">
        <f t="shared" si="87"/>
        <v>NON EXEMPT SALARIES</v>
      </c>
      <c r="S832" s="125" t="str">
        <f t="shared" si="88"/>
        <v>100</v>
      </c>
      <c r="T832" s="125" t="str">
        <f t="shared" si="89"/>
        <v>35</v>
      </c>
      <c r="U832" s="125" t="str">
        <f t="shared" si="90"/>
        <v>352</v>
      </c>
      <c r="V832" s="125" t="str">
        <f>VLOOKUP(Q832,'GL Category'!A:C,3,FALSE)</f>
        <v>Personnel services</v>
      </c>
      <c r="X832" s="83"/>
    </row>
    <row r="833" spans="1:24" ht="20.399999999999999" customHeight="1">
      <c r="A833" s="608" t="s">
        <v>791</v>
      </c>
      <c r="B833" s="608" t="s">
        <v>2755</v>
      </c>
      <c r="C833" s="608" t="s">
        <v>0</v>
      </c>
      <c r="D833" s="609">
        <v>248508.57</v>
      </c>
      <c r="E833" s="609">
        <v>537269.62</v>
      </c>
      <c r="F833" s="609">
        <v>768448.19</v>
      </c>
      <c r="G833" s="609">
        <v>941106.73</v>
      </c>
      <c r="H833" s="609">
        <v>595020</v>
      </c>
      <c r="I833" s="609">
        <v>527978.14</v>
      </c>
      <c r="J833" s="609">
        <v>698757</v>
      </c>
      <c r="K833" s="609">
        <v>587556</v>
      </c>
      <c r="L833" s="609">
        <v>0</v>
      </c>
      <c r="M833" s="609">
        <v>0</v>
      </c>
      <c r="N833" s="587">
        <f t="shared" si="85"/>
        <v>587556</v>
      </c>
      <c r="Q833" t="str">
        <f t="shared" si="86"/>
        <v>50109</v>
      </c>
      <c r="R833" s="126" t="str">
        <f t="shared" si="87"/>
        <v>OVERTIME</v>
      </c>
      <c r="S833" s="125" t="str">
        <f t="shared" si="88"/>
        <v>100</v>
      </c>
      <c r="T833" s="125" t="str">
        <f t="shared" si="89"/>
        <v>35</v>
      </c>
      <c r="U833" s="125" t="str">
        <f t="shared" si="90"/>
        <v>352</v>
      </c>
      <c r="V833" s="125" t="str">
        <f>VLOOKUP(Q833,'GL Category'!A:C,3,FALSE)</f>
        <v>Personnel services</v>
      </c>
      <c r="X833" s="83"/>
    </row>
    <row r="834" spans="1:24" ht="20.399999999999999" customHeight="1">
      <c r="A834" s="608" t="s">
        <v>791</v>
      </c>
      <c r="B834" s="608" t="s">
        <v>2756</v>
      </c>
      <c r="C834" s="608" t="s">
        <v>137</v>
      </c>
      <c r="D834" s="609">
        <v>29665</v>
      </c>
      <c r="E834" s="609">
        <v>30690</v>
      </c>
      <c r="F834" s="609">
        <v>32980</v>
      </c>
      <c r="G834" s="609">
        <v>32525</v>
      </c>
      <c r="H834" s="609">
        <v>33647</v>
      </c>
      <c r="I834" s="609">
        <v>33340</v>
      </c>
      <c r="J834" s="609">
        <v>33340</v>
      </c>
      <c r="K834" s="609">
        <v>35206</v>
      </c>
      <c r="L834" s="609">
        <v>0</v>
      </c>
      <c r="M834" s="609">
        <v>0</v>
      </c>
      <c r="N834" s="587">
        <f t="shared" si="85"/>
        <v>35206</v>
      </c>
      <c r="Q834" t="str">
        <f t="shared" si="86"/>
        <v>50111</v>
      </c>
      <c r="R834" s="126" t="str">
        <f t="shared" si="87"/>
        <v>LONGEVITY PAY</v>
      </c>
      <c r="S834" s="125" t="str">
        <f t="shared" si="88"/>
        <v>100</v>
      </c>
      <c r="T834" s="125" t="str">
        <f t="shared" si="89"/>
        <v>35</v>
      </c>
      <c r="U834" s="125" t="str">
        <f t="shared" si="90"/>
        <v>352</v>
      </c>
      <c r="V834" s="125" t="str">
        <f>VLOOKUP(Q834,'GL Category'!A:C,3,FALSE)</f>
        <v>Personnel services</v>
      </c>
      <c r="X834" s="83"/>
    </row>
    <row r="835" spans="1:24" ht="20.399999999999999" customHeight="1">
      <c r="A835" s="608" t="s">
        <v>791</v>
      </c>
      <c r="B835" s="608" t="s">
        <v>2757</v>
      </c>
      <c r="C835" s="608" t="s">
        <v>283</v>
      </c>
      <c r="D835" s="609">
        <v>21177.51</v>
      </c>
      <c r="E835" s="609">
        <v>32069.54</v>
      </c>
      <c r="F835" s="609">
        <v>32198</v>
      </c>
      <c r="G835" s="609">
        <v>33425.5</v>
      </c>
      <c r="H835" s="609">
        <v>32700</v>
      </c>
      <c r="I835" s="609">
        <v>25249.5</v>
      </c>
      <c r="J835" s="609">
        <v>46227</v>
      </c>
      <c r="K835" s="609">
        <v>33300</v>
      </c>
      <c r="L835" s="609">
        <v>0</v>
      </c>
      <c r="M835" s="609">
        <v>0</v>
      </c>
      <c r="N835" s="587">
        <f t="shared" si="85"/>
        <v>33300</v>
      </c>
      <c r="Q835" t="str">
        <f t="shared" si="86"/>
        <v>50115</v>
      </c>
      <c r="R835" s="126" t="str">
        <f t="shared" si="87"/>
        <v>INCENTIVE/CERTIFICATION PAY</v>
      </c>
      <c r="S835" s="125" t="str">
        <f t="shared" si="88"/>
        <v>100</v>
      </c>
      <c r="T835" s="125" t="str">
        <f t="shared" si="89"/>
        <v>35</v>
      </c>
      <c r="U835" s="125" t="str">
        <f t="shared" si="90"/>
        <v>352</v>
      </c>
      <c r="V835" s="125" t="str">
        <f>VLOOKUP(Q835,'GL Category'!A:C,3,FALSE)</f>
        <v>Personnel services</v>
      </c>
      <c r="X835" s="83"/>
    </row>
    <row r="836" spans="1:24" ht="20.399999999999999" customHeight="1">
      <c r="A836" s="608" t="s">
        <v>791</v>
      </c>
      <c r="B836" s="608" t="s">
        <v>2758</v>
      </c>
      <c r="C836" s="608" t="s">
        <v>1</v>
      </c>
      <c r="D836" s="609">
        <v>216985.23</v>
      </c>
      <c r="E836" s="609">
        <v>318940.45</v>
      </c>
      <c r="F836" s="609">
        <v>357363.73</v>
      </c>
      <c r="G836" s="609">
        <v>377786.44</v>
      </c>
      <c r="H836" s="609">
        <v>373810</v>
      </c>
      <c r="I836" s="609">
        <v>289171.76</v>
      </c>
      <c r="J836" s="609">
        <v>378027</v>
      </c>
      <c r="K836" s="609">
        <v>387570</v>
      </c>
      <c r="L836" s="609">
        <v>0</v>
      </c>
      <c r="M836" s="609">
        <v>0</v>
      </c>
      <c r="N836" s="587">
        <f t="shared" ref="N836:N899" si="93">SUM(K836:M836)</f>
        <v>387570</v>
      </c>
      <c r="Q836" t="str">
        <f t="shared" ref="Q836:Q899" si="94">MID(B836,12,5)</f>
        <v>50610</v>
      </c>
      <c r="R836" s="126" t="str">
        <f t="shared" ref="R836:R899" si="95">C836</f>
        <v>SOCIAL SECURITY</v>
      </c>
      <c r="S836" s="125" t="str">
        <f t="shared" ref="S836:S899" si="96">LEFT(B836,3)</f>
        <v>100</v>
      </c>
      <c r="T836" s="125" t="str">
        <f t="shared" ref="T836:T899" si="97">MID(B836,5,2)</f>
        <v>35</v>
      </c>
      <c r="U836" s="125" t="str">
        <f t="shared" ref="U836:U899" si="98">MID(B836,8,3)</f>
        <v>352</v>
      </c>
      <c r="V836" s="125" t="str">
        <f>VLOOKUP(Q836,'GL Category'!A:C,3,FALSE)</f>
        <v>Personnel services</v>
      </c>
      <c r="X836" s="83"/>
    </row>
    <row r="837" spans="1:24" ht="20.399999999999999" customHeight="1">
      <c r="A837" s="608" t="s">
        <v>791</v>
      </c>
      <c r="B837" s="608" t="s">
        <v>2759</v>
      </c>
      <c r="C837" s="608" t="s">
        <v>142</v>
      </c>
      <c r="D837" s="609">
        <v>503500.62</v>
      </c>
      <c r="E837" s="609">
        <v>742791.7</v>
      </c>
      <c r="F837" s="609">
        <v>784290.3</v>
      </c>
      <c r="G837" s="609">
        <v>781234.56</v>
      </c>
      <c r="H837" s="609">
        <v>784832</v>
      </c>
      <c r="I837" s="609">
        <v>577421.68999999994</v>
      </c>
      <c r="J837" s="609">
        <v>785056</v>
      </c>
      <c r="K837" s="609">
        <v>775264</v>
      </c>
      <c r="L837" s="609">
        <v>0</v>
      </c>
      <c r="M837" s="609">
        <v>0</v>
      </c>
      <c r="N837" s="587">
        <f t="shared" si="93"/>
        <v>775264</v>
      </c>
      <c r="Q837" t="str">
        <f t="shared" si="94"/>
        <v>50620</v>
      </c>
      <c r="R837" s="126" t="str">
        <f t="shared" si="95"/>
        <v>HEALTH/LIFE INSURANCE</v>
      </c>
      <c r="S837" s="125" t="str">
        <f t="shared" si="96"/>
        <v>100</v>
      </c>
      <c r="T837" s="125" t="str">
        <f t="shared" si="97"/>
        <v>35</v>
      </c>
      <c r="U837" s="125" t="str">
        <f t="shared" si="98"/>
        <v>352</v>
      </c>
      <c r="V837" s="125" t="str">
        <f>VLOOKUP(Q837,'GL Category'!A:C,3,FALSE)</f>
        <v>Personnel services</v>
      </c>
      <c r="X837" s="83"/>
    </row>
    <row r="838" spans="1:24" s="83" customFormat="1" ht="20.399999999999999" customHeight="1">
      <c r="A838" s="608" t="s">
        <v>791</v>
      </c>
      <c r="B838" s="608" t="s">
        <v>2760</v>
      </c>
      <c r="C838" s="608" t="s">
        <v>144</v>
      </c>
      <c r="D838" s="609">
        <v>30967.32</v>
      </c>
      <c r="E838" s="609">
        <v>33380.49</v>
      </c>
      <c r="F838" s="609">
        <v>37280.959999999999</v>
      </c>
      <c r="G838" s="609">
        <v>68088.710000000006</v>
      </c>
      <c r="H838" s="609">
        <v>91097</v>
      </c>
      <c r="I838" s="609">
        <v>91022.6</v>
      </c>
      <c r="J838" s="609">
        <v>91023</v>
      </c>
      <c r="K838" s="609">
        <v>97792</v>
      </c>
      <c r="L838" s="609">
        <v>0</v>
      </c>
      <c r="M838" s="609">
        <v>0</v>
      </c>
      <c r="N838" s="587">
        <f t="shared" si="93"/>
        <v>97792</v>
      </c>
      <c r="O838"/>
      <c r="P838" s="490"/>
      <c r="Q838" t="str">
        <f t="shared" si="94"/>
        <v>50630</v>
      </c>
      <c r="R838" s="126" t="str">
        <f t="shared" si="95"/>
        <v>WORKER COMPENSATION</v>
      </c>
      <c r="S838" s="125" t="str">
        <f t="shared" si="96"/>
        <v>100</v>
      </c>
      <c r="T838" s="125" t="str">
        <f t="shared" si="97"/>
        <v>35</v>
      </c>
      <c r="U838" s="125" t="str">
        <f t="shared" si="98"/>
        <v>352</v>
      </c>
      <c r="V838" s="125" t="str">
        <f>VLOOKUP(Q838,'GL Category'!A:C,3,FALSE)</f>
        <v>Personnel services</v>
      </c>
      <c r="W838" s="125"/>
    </row>
    <row r="839" spans="1:24" s="83" customFormat="1" ht="20.399999999999999" customHeight="1">
      <c r="A839" s="608" t="s">
        <v>791</v>
      </c>
      <c r="B839" s="608" t="s">
        <v>2761</v>
      </c>
      <c r="C839" s="608" t="s">
        <v>2</v>
      </c>
      <c r="D839" s="609">
        <v>476147.89</v>
      </c>
      <c r="E839" s="609">
        <v>713517.41</v>
      </c>
      <c r="F839" s="609">
        <v>800168.43</v>
      </c>
      <c r="G839" s="609">
        <v>846812.16000000003</v>
      </c>
      <c r="H839" s="609">
        <v>888218</v>
      </c>
      <c r="I839" s="609">
        <v>664354.1</v>
      </c>
      <c r="J839" s="609">
        <v>874308</v>
      </c>
      <c r="K839" s="609">
        <v>940087</v>
      </c>
      <c r="L839" s="609">
        <v>0</v>
      </c>
      <c r="M839" s="609">
        <v>0</v>
      </c>
      <c r="N839" s="587">
        <f t="shared" si="93"/>
        <v>940087</v>
      </c>
      <c r="O839"/>
      <c r="P839" s="490"/>
      <c r="Q839" t="str">
        <f t="shared" si="94"/>
        <v>50650</v>
      </c>
      <c r="R839" s="126" t="str">
        <f t="shared" si="95"/>
        <v>RETIREMENT</v>
      </c>
      <c r="S839" s="125" t="str">
        <f t="shared" si="96"/>
        <v>100</v>
      </c>
      <c r="T839" s="125" t="str">
        <f t="shared" si="97"/>
        <v>35</v>
      </c>
      <c r="U839" s="125" t="str">
        <f t="shared" si="98"/>
        <v>352</v>
      </c>
      <c r="V839" s="125" t="str">
        <f>VLOOKUP(Q839,'GL Category'!A:C,3,FALSE)</f>
        <v>Personnel services</v>
      </c>
      <c r="W839" s="125"/>
    </row>
    <row r="840" spans="1:24" s="83" customFormat="1" ht="20.399999999999999" customHeight="1">
      <c r="A840" s="608" t="s">
        <v>791</v>
      </c>
      <c r="B840" s="608" t="s">
        <v>2763</v>
      </c>
      <c r="C840" s="608" t="s">
        <v>155</v>
      </c>
      <c r="D840" s="609">
        <v>10381.81</v>
      </c>
      <c r="E840" s="609">
        <v>10339.57</v>
      </c>
      <c r="F840" s="609">
        <v>8149.21</v>
      </c>
      <c r="G840" s="609">
        <v>9293.4</v>
      </c>
      <c r="H840" s="609">
        <v>9500</v>
      </c>
      <c r="I840" s="609">
        <v>6853.86</v>
      </c>
      <c r="J840" s="609">
        <v>9500</v>
      </c>
      <c r="K840" s="609">
        <v>9500</v>
      </c>
      <c r="L840" s="609">
        <v>0</v>
      </c>
      <c r="M840" s="609">
        <v>0</v>
      </c>
      <c r="N840" s="587">
        <f t="shared" si="93"/>
        <v>9500</v>
      </c>
      <c r="O840"/>
      <c r="P840" s="490"/>
      <c r="Q840" t="str">
        <f t="shared" si="94"/>
        <v>51225</v>
      </c>
      <c r="R840" s="126" t="str">
        <f t="shared" si="95"/>
        <v>JANITORIAL SUPPLIES</v>
      </c>
      <c r="S840" s="125" t="str">
        <f t="shared" si="96"/>
        <v>100</v>
      </c>
      <c r="T840" s="125" t="str">
        <f t="shared" si="97"/>
        <v>35</v>
      </c>
      <c r="U840" s="125" t="str">
        <f t="shared" si="98"/>
        <v>352</v>
      </c>
      <c r="V840" s="125" t="str">
        <f>VLOOKUP(Q840,'GL Category'!A:C,3,FALSE)</f>
        <v>Operations &amp; maintenance</v>
      </c>
      <c r="W840" s="125"/>
    </row>
    <row r="841" spans="1:24" s="83" customFormat="1" ht="20.399999999999999" customHeight="1">
      <c r="A841" s="608" t="s">
        <v>791</v>
      </c>
      <c r="B841" s="608" t="s">
        <v>2764</v>
      </c>
      <c r="C841" s="608" t="s">
        <v>4</v>
      </c>
      <c r="D841" s="609">
        <v>28345.41</v>
      </c>
      <c r="E841" s="609">
        <v>19210.25</v>
      </c>
      <c r="F841" s="609">
        <v>27923.33</v>
      </c>
      <c r="G841" s="609">
        <v>32695.48</v>
      </c>
      <c r="H841" s="609">
        <v>29996</v>
      </c>
      <c r="I841" s="609">
        <v>12353.81</v>
      </c>
      <c r="J841" s="609">
        <v>37996</v>
      </c>
      <c r="K841" s="609">
        <v>33267</v>
      </c>
      <c r="L841" s="609">
        <v>0</v>
      </c>
      <c r="M841" s="609">
        <v>0</v>
      </c>
      <c r="N841" s="587">
        <f t="shared" si="93"/>
        <v>33267</v>
      </c>
      <c r="O841"/>
      <c r="P841" s="490"/>
      <c r="Q841" t="str">
        <f t="shared" si="94"/>
        <v>51245</v>
      </c>
      <c r="R841" s="126" t="str">
        <f t="shared" si="95"/>
        <v>SMALL TOOLS &amp; EQUIPMENT</v>
      </c>
      <c r="S841" s="125" t="str">
        <f t="shared" si="96"/>
        <v>100</v>
      </c>
      <c r="T841" s="125" t="str">
        <f t="shared" si="97"/>
        <v>35</v>
      </c>
      <c r="U841" s="125" t="str">
        <f t="shared" si="98"/>
        <v>352</v>
      </c>
      <c r="V841" s="125" t="str">
        <f>VLOOKUP(Q841,'GL Category'!A:C,3,FALSE)</f>
        <v>Operations &amp; maintenance</v>
      </c>
      <c r="W841" s="125"/>
    </row>
    <row r="842" spans="1:24" s="83" customFormat="1" ht="20.399999999999999" customHeight="1">
      <c r="A842" s="608" t="s">
        <v>791</v>
      </c>
      <c r="B842" s="608" t="s">
        <v>2765</v>
      </c>
      <c r="C842" s="608" t="s">
        <v>161</v>
      </c>
      <c r="D842" s="609">
        <v>20380.259999999998</v>
      </c>
      <c r="E842" s="609">
        <v>26867.13</v>
      </c>
      <c r="F842" s="609">
        <v>44858.74</v>
      </c>
      <c r="G842" s="609">
        <v>38692.54</v>
      </c>
      <c r="H842" s="609">
        <v>42330</v>
      </c>
      <c r="I842" s="609">
        <v>30522.76</v>
      </c>
      <c r="J842" s="609">
        <v>42330</v>
      </c>
      <c r="K842" s="609">
        <v>42330</v>
      </c>
      <c r="L842" s="609">
        <v>0</v>
      </c>
      <c r="M842" s="609">
        <v>0</v>
      </c>
      <c r="N842" s="587">
        <f t="shared" si="93"/>
        <v>42330</v>
      </c>
      <c r="O842"/>
      <c r="P842" s="490"/>
      <c r="Q842" t="str">
        <f t="shared" si="94"/>
        <v>51255</v>
      </c>
      <c r="R842" s="126" t="str">
        <f t="shared" si="95"/>
        <v>FUEL/OILS/LUBRICANTS</v>
      </c>
      <c r="S842" s="125" t="str">
        <f t="shared" si="96"/>
        <v>100</v>
      </c>
      <c r="T842" s="125" t="str">
        <f t="shared" si="97"/>
        <v>35</v>
      </c>
      <c r="U842" s="125" t="str">
        <f t="shared" si="98"/>
        <v>352</v>
      </c>
      <c r="V842" s="125" t="str">
        <f>VLOOKUP(Q842,'GL Category'!A:C,3,FALSE)</f>
        <v>Operations &amp; maintenance</v>
      </c>
      <c r="W842" s="125"/>
    </row>
    <row r="843" spans="1:24" s="83" customFormat="1" ht="20.399999999999999" customHeight="1">
      <c r="A843" s="608" t="s">
        <v>791</v>
      </c>
      <c r="B843" s="608" t="s">
        <v>2767</v>
      </c>
      <c r="C843" s="608" t="s">
        <v>276</v>
      </c>
      <c r="D843" s="609">
        <v>5680.08</v>
      </c>
      <c r="E843" s="609">
        <v>4474.8999999999996</v>
      </c>
      <c r="F843" s="609">
        <v>5435.8</v>
      </c>
      <c r="G843" s="609">
        <v>7142.87</v>
      </c>
      <c r="H843" s="609">
        <v>6000</v>
      </c>
      <c r="I843" s="609">
        <v>567.36</v>
      </c>
      <c r="J843" s="609">
        <v>6000</v>
      </c>
      <c r="K843" s="609">
        <v>6000</v>
      </c>
      <c r="L843" s="609">
        <v>0</v>
      </c>
      <c r="M843" s="609">
        <v>0</v>
      </c>
      <c r="N843" s="587">
        <f t="shared" si="93"/>
        <v>6000</v>
      </c>
      <c r="O843"/>
      <c r="P843" s="490"/>
      <c r="Q843" t="str">
        <f t="shared" si="94"/>
        <v>51270</v>
      </c>
      <c r="R843" s="126" t="str">
        <f t="shared" si="95"/>
        <v>CHEMICAL SUPPLIES</v>
      </c>
      <c r="S843" s="125" t="str">
        <f t="shared" si="96"/>
        <v>100</v>
      </c>
      <c r="T843" s="125" t="str">
        <f t="shared" si="97"/>
        <v>35</v>
      </c>
      <c r="U843" s="125" t="str">
        <f t="shared" si="98"/>
        <v>352</v>
      </c>
      <c r="V843" s="125" t="str">
        <f>VLOOKUP(Q843,'GL Category'!A:C,3,FALSE)</f>
        <v>Operations &amp; maintenance</v>
      </c>
      <c r="W843" s="125"/>
    </row>
    <row r="844" spans="1:24" s="83" customFormat="1" ht="20.399999999999999" customHeight="1">
      <c r="A844" s="608" t="s">
        <v>791</v>
      </c>
      <c r="B844" s="608" t="s">
        <v>2768</v>
      </c>
      <c r="C844" s="608" t="s">
        <v>167</v>
      </c>
      <c r="D844" s="609">
        <v>32400.34</v>
      </c>
      <c r="E844" s="609">
        <v>12152.87</v>
      </c>
      <c r="F844" s="609">
        <v>22256.6</v>
      </c>
      <c r="G844" s="609">
        <v>38381.629999999997</v>
      </c>
      <c r="H844" s="609">
        <v>31310</v>
      </c>
      <c r="I844" s="609">
        <v>15093.95</v>
      </c>
      <c r="J844" s="609">
        <v>31310</v>
      </c>
      <c r="K844" s="609">
        <v>31310</v>
      </c>
      <c r="L844" s="609">
        <v>0</v>
      </c>
      <c r="M844" s="609">
        <v>0</v>
      </c>
      <c r="N844" s="587">
        <f t="shared" si="93"/>
        <v>31310</v>
      </c>
      <c r="O844"/>
      <c r="P844" s="490"/>
      <c r="Q844" t="str">
        <f t="shared" si="94"/>
        <v>51285</v>
      </c>
      <c r="R844" s="126" t="str">
        <f t="shared" si="95"/>
        <v>WEARING APPAREL</v>
      </c>
      <c r="S844" s="125" t="str">
        <f t="shared" si="96"/>
        <v>100</v>
      </c>
      <c r="T844" s="125" t="str">
        <f t="shared" si="97"/>
        <v>35</v>
      </c>
      <c r="U844" s="125" t="str">
        <f t="shared" si="98"/>
        <v>352</v>
      </c>
      <c r="V844" s="125" t="str">
        <f>VLOOKUP(Q844,'GL Category'!A:C,3,FALSE)</f>
        <v>Operations &amp; maintenance</v>
      </c>
      <c r="W844" s="125"/>
    </row>
    <row r="845" spans="1:24" s="83" customFormat="1" ht="20.399999999999999" customHeight="1">
      <c r="A845" s="608" t="s">
        <v>791</v>
      </c>
      <c r="B845" s="608" t="s">
        <v>2769</v>
      </c>
      <c r="C845" s="608" t="s">
        <v>286</v>
      </c>
      <c r="D845" s="609">
        <v>65772.210000000006</v>
      </c>
      <c r="E845" s="609">
        <v>-11499.29</v>
      </c>
      <c r="F845" s="609">
        <v>70833.460000000006</v>
      </c>
      <c r="G845" s="609">
        <v>67500.89</v>
      </c>
      <c r="H845" s="609">
        <v>112197</v>
      </c>
      <c r="I845" s="609">
        <v>91942.69</v>
      </c>
      <c r="J845" s="609">
        <v>112197</v>
      </c>
      <c r="K845" s="609">
        <v>78485</v>
      </c>
      <c r="L845" s="609">
        <v>0</v>
      </c>
      <c r="M845" s="609">
        <v>0</v>
      </c>
      <c r="N845" s="587">
        <f t="shared" si="93"/>
        <v>78485</v>
      </c>
      <c r="O845"/>
      <c r="P845" s="490"/>
      <c r="Q845" t="str">
        <f t="shared" si="94"/>
        <v>51290</v>
      </c>
      <c r="R845" s="126" t="str">
        <f t="shared" si="95"/>
        <v>FIRE PROTECTIVE CLOTHING</v>
      </c>
      <c r="S845" s="125" t="str">
        <f t="shared" si="96"/>
        <v>100</v>
      </c>
      <c r="T845" s="125" t="str">
        <f t="shared" si="97"/>
        <v>35</v>
      </c>
      <c r="U845" s="125" t="str">
        <f t="shared" si="98"/>
        <v>352</v>
      </c>
      <c r="V845" s="125" t="str">
        <f>VLOOKUP(Q845,'GL Category'!A:C,3,FALSE)</f>
        <v>Operations &amp; maintenance</v>
      </c>
      <c r="W845" s="125"/>
    </row>
    <row r="846" spans="1:24" s="83" customFormat="1" ht="20.399999999999999" customHeight="1">
      <c r="A846" s="608" t="s">
        <v>791</v>
      </c>
      <c r="B846" s="608" t="s">
        <v>2770</v>
      </c>
      <c r="C846" s="608" t="s">
        <v>254</v>
      </c>
      <c r="D846" s="609">
        <v>2692.39</v>
      </c>
      <c r="E846" s="609">
        <v>2768.99</v>
      </c>
      <c r="F846" s="609">
        <v>2991.97</v>
      </c>
      <c r="G846" s="609">
        <v>7361.49</v>
      </c>
      <c r="H846" s="609">
        <v>3100</v>
      </c>
      <c r="I846" s="609">
        <v>714.32</v>
      </c>
      <c r="J846" s="609">
        <v>3100</v>
      </c>
      <c r="K846" s="609">
        <v>3100</v>
      </c>
      <c r="L846" s="609">
        <v>0</v>
      </c>
      <c r="M846" s="609">
        <v>0</v>
      </c>
      <c r="N846" s="587">
        <f t="shared" si="93"/>
        <v>3100</v>
      </c>
      <c r="O846"/>
      <c r="P846" s="490"/>
      <c r="Q846" t="str">
        <f t="shared" si="94"/>
        <v>51292</v>
      </c>
      <c r="R846" s="126" t="str">
        <f t="shared" si="95"/>
        <v>TRAINING SUPPLIES</v>
      </c>
      <c r="S846" s="125" t="str">
        <f t="shared" si="96"/>
        <v>100</v>
      </c>
      <c r="T846" s="125" t="str">
        <f t="shared" si="97"/>
        <v>35</v>
      </c>
      <c r="U846" s="125" t="str">
        <f t="shared" si="98"/>
        <v>352</v>
      </c>
      <c r="V846" s="125" t="str">
        <f>VLOOKUP(Q846,'GL Category'!A:C,3,FALSE)</f>
        <v>Operations &amp; maintenance</v>
      </c>
      <c r="W846" s="125"/>
    </row>
    <row r="847" spans="1:24" s="83" customFormat="1" ht="20.399999999999999" customHeight="1">
      <c r="A847" s="608" t="s">
        <v>791</v>
      </c>
      <c r="B847" s="608" t="s">
        <v>2771</v>
      </c>
      <c r="C847" s="608" t="s">
        <v>169</v>
      </c>
      <c r="D847" s="609">
        <v>4092.63</v>
      </c>
      <c r="E847" s="609">
        <v>2899.92</v>
      </c>
      <c r="F847" s="609">
        <v>4933.3500000000004</v>
      </c>
      <c r="G847" s="609">
        <v>5204.41</v>
      </c>
      <c r="H847" s="609">
        <v>4500</v>
      </c>
      <c r="I847" s="609">
        <v>4612.07</v>
      </c>
      <c r="J847" s="609">
        <v>4500</v>
      </c>
      <c r="K847" s="609">
        <v>4500</v>
      </c>
      <c r="L847" s="609">
        <v>0</v>
      </c>
      <c r="M847" s="609">
        <v>0</v>
      </c>
      <c r="N847" s="587">
        <f t="shared" si="93"/>
        <v>4500</v>
      </c>
      <c r="O847"/>
      <c r="P847" s="490"/>
      <c r="Q847" t="str">
        <f t="shared" si="94"/>
        <v>51299</v>
      </c>
      <c r="R847" s="126" t="str">
        <f t="shared" si="95"/>
        <v>MISCELLANEOUS SUPPLIES</v>
      </c>
      <c r="S847" s="125" t="str">
        <f t="shared" si="96"/>
        <v>100</v>
      </c>
      <c r="T847" s="125" t="str">
        <f t="shared" si="97"/>
        <v>35</v>
      </c>
      <c r="U847" s="125" t="str">
        <f t="shared" si="98"/>
        <v>352</v>
      </c>
      <c r="V847" s="125" t="str">
        <f>VLOOKUP(Q847,'GL Category'!A:C,3,FALSE)</f>
        <v>Operations &amp; maintenance</v>
      </c>
      <c r="W847" s="125"/>
    </row>
    <row r="848" spans="1:24" s="83" customFormat="1" ht="20.399999999999999" customHeight="1">
      <c r="A848" s="608" t="s">
        <v>791</v>
      </c>
      <c r="B848" s="608" t="s">
        <v>2772</v>
      </c>
      <c r="C848" s="608" t="s">
        <v>171</v>
      </c>
      <c r="D848" s="609">
        <v>28618.880000000001</v>
      </c>
      <c r="E848" s="609">
        <v>39541</v>
      </c>
      <c r="F848" s="609">
        <v>38908.870000000003</v>
      </c>
      <c r="G848" s="609">
        <v>145365.47</v>
      </c>
      <c r="H848" s="609">
        <v>37500</v>
      </c>
      <c r="I848" s="609">
        <v>51400.89</v>
      </c>
      <c r="J848" s="609">
        <v>55000</v>
      </c>
      <c r="K848" s="609">
        <v>37500</v>
      </c>
      <c r="L848" s="609">
        <v>0</v>
      </c>
      <c r="M848" s="609">
        <v>0</v>
      </c>
      <c r="N848" s="587">
        <f t="shared" si="93"/>
        <v>37500</v>
      </c>
      <c r="O848"/>
      <c r="P848" s="490"/>
      <c r="Q848" t="str">
        <f t="shared" si="94"/>
        <v>52310</v>
      </c>
      <c r="R848" s="126" t="str">
        <f t="shared" si="95"/>
        <v>BUILDING MAINTENANCE</v>
      </c>
      <c r="S848" s="125" t="str">
        <f t="shared" si="96"/>
        <v>100</v>
      </c>
      <c r="T848" s="125" t="str">
        <f t="shared" si="97"/>
        <v>35</v>
      </c>
      <c r="U848" s="125" t="str">
        <f t="shared" si="98"/>
        <v>352</v>
      </c>
      <c r="V848" s="125" t="str">
        <f>VLOOKUP(Q848,'GL Category'!A:C,3,FALSE)</f>
        <v>Operations &amp; maintenance</v>
      </c>
      <c r="W848" s="125"/>
    </row>
    <row r="849" spans="1:24" s="83" customFormat="1" ht="20.399999999999999" customHeight="1">
      <c r="A849" s="608" t="s">
        <v>791</v>
      </c>
      <c r="B849" s="608" t="s">
        <v>2772</v>
      </c>
      <c r="C849" s="608" t="s">
        <v>171</v>
      </c>
      <c r="D849" s="609">
        <v>0</v>
      </c>
      <c r="E849" s="609">
        <v>183654.9</v>
      </c>
      <c r="F849" s="609">
        <v>0</v>
      </c>
      <c r="G849" s="609">
        <v>0</v>
      </c>
      <c r="H849" s="609">
        <v>0</v>
      </c>
      <c r="I849" s="609">
        <v>0</v>
      </c>
      <c r="J849" s="609">
        <v>0</v>
      </c>
      <c r="K849" s="609">
        <v>0</v>
      </c>
      <c r="L849" s="609">
        <v>0</v>
      </c>
      <c r="M849" s="609">
        <v>0</v>
      </c>
      <c r="N849" s="587">
        <f t="shared" si="93"/>
        <v>0</v>
      </c>
      <c r="O849"/>
      <c r="P849" s="490"/>
      <c r="Q849" t="str">
        <f t="shared" si="94"/>
        <v>52310</v>
      </c>
      <c r="R849" s="126" t="str">
        <f t="shared" si="95"/>
        <v>BUILDING MAINTENANCE</v>
      </c>
      <c r="S849" s="125" t="str">
        <f t="shared" si="96"/>
        <v>100</v>
      </c>
      <c r="T849" s="125" t="str">
        <f t="shared" si="97"/>
        <v>35</v>
      </c>
      <c r="U849" s="125" t="str">
        <f t="shared" si="98"/>
        <v>352</v>
      </c>
      <c r="V849" s="125" t="str">
        <f>VLOOKUP(Q849,'GL Category'!A:C,3,FALSE)</f>
        <v>Operations &amp; maintenance</v>
      </c>
      <c r="W849" s="125"/>
    </row>
    <row r="850" spans="1:24" s="83" customFormat="1" ht="20.399999999999999" customHeight="1">
      <c r="A850" s="608" t="s">
        <v>791</v>
      </c>
      <c r="B850" s="608" t="s">
        <v>2773</v>
      </c>
      <c r="C850" s="608" t="s">
        <v>290</v>
      </c>
      <c r="D850" s="609">
        <v>39566.480000000003</v>
      </c>
      <c r="E850" s="609">
        <v>1808.95</v>
      </c>
      <c r="F850" s="609">
        <v>15202.77</v>
      </c>
      <c r="G850" s="609">
        <v>45770.7</v>
      </c>
      <c r="H850" s="609">
        <v>13500</v>
      </c>
      <c r="I850" s="609">
        <v>5695.4</v>
      </c>
      <c r="J850" s="609">
        <v>13500</v>
      </c>
      <c r="K850" s="609">
        <v>13500</v>
      </c>
      <c r="L850" s="609">
        <v>0</v>
      </c>
      <c r="M850" s="609">
        <v>0</v>
      </c>
      <c r="N850" s="587">
        <f t="shared" si="93"/>
        <v>13500</v>
      </c>
      <c r="O850"/>
      <c r="P850" s="490"/>
      <c r="Q850" t="str">
        <f t="shared" si="94"/>
        <v>52435</v>
      </c>
      <c r="R850" s="126" t="str">
        <f t="shared" si="95"/>
        <v>SCBA MAINTENANCE</v>
      </c>
      <c r="S850" s="125" t="str">
        <f t="shared" si="96"/>
        <v>100</v>
      </c>
      <c r="T850" s="125" t="str">
        <f t="shared" si="97"/>
        <v>35</v>
      </c>
      <c r="U850" s="125" t="str">
        <f t="shared" si="98"/>
        <v>352</v>
      </c>
      <c r="V850" s="125" t="str">
        <f>VLOOKUP(Q850,'GL Category'!A:C,3,FALSE)</f>
        <v>Operations &amp; maintenance</v>
      </c>
      <c r="W850" s="125"/>
    </row>
    <row r="851" spans="1:24" s="580" customFormat="1" ht="20.399999999999999" customHeight="1">
      <c r="A851" s="608" t="s">
        <v>791</v>
      </c>
      <c r="B851" s="608" t="s">
        <v>2775</v>
      </c>
      <c r="C851" s="608" t="s">
        <v>175</v>
      </c>
      <c r="D851" s="609">
        <v>9191.0300000000007</v>
      </c>
      <c r="E851" s="609">
        <v>9003.93</v>
      </c>
      <c r="F851" s="609">
        <v>8530.0300000000007</v>
      </c>
      <c r="G851" s="609">
        <v>8700.67</v>
      </c>
      <c r="H851" s="609">
        <v>22000</v>
      </c>
      <c r="I851" s="609">
        <v>27090.2</v>
      </c>
      <c r="J851" s="609">
        <v>27650</v>
      </c>
      <c r="K851" s="609">
        <v>7000</v>
      </c>
      <c r="L851" s="609">
        <v>16602</v>
      </c>
      <c r="M851" s="609">
        <v>0</v>
      </c>
      <c r="N851" s="587">
        <f t="shared" si="93"/>
        <v>23602</v>
      </c>
      <c r="O851" s="577"/>
      <c r="P851" s="490">
        <f t="shared" ref="P851:P860" si="99">N851-H851</f>
        <v>1602</v>
      </c>
      <c r="Q851" s="577" t="str">
        <f t="shared" si="94"/>
        <v>52440</v>
      </c>
      <c r="R851" s="578" t="str">
        <f t="shared" si="95"/>
        <v>RADIO MAINTENANCE</v>
      </c>
      <c r="S851" s="579" t="str">
        <f t="shared" si="96"/>
        <v>100</v>
      </c>
      <c r="T851" s="579" t="str">
        <f t="shared" si="97"/>
        <v>35</v>
      </c>
      <c r="U851" s="579" t="str">
        <f t="shared" si="98"/>
        <v>352</v>
      </c>
      <c r="V851" s="579" t="str">
        <f>VLOOKUP(Q851,'GL Category'!A:C,3,FALSE)</f>
        <v>Operations &amp; maintenance</v>
      </c>
      <c r="W851" s="579"/>
    </row>
    <row r="852" spans="1:24" s="83" customFormat="1" ht="20.399999999999999" customHeight="1">
      <c r="A852" s="608" t="s">
        <v>791</v>
      </c>
      <c r="B852" s="608" t="s">
        <v>2776</v>
      </c>
      <c r="C852" s="608" t="s">
        <v>241</v>
      </c>
      <c r="D852" s="609">
        <v>179155.08</v>
      </c>
      <c r="E852" s="609">
        <v>176214.79</v>
      </c>
      <c r="F852" s="609">
        <v>199376.62</v>
      </c>
      <c r="G852" s="609">
        <v>154829.31</v>
      </c>
      <c r="H852" s="609">
        <v>284138</v>
      </c>
      <c r="I852" s="609">
        <v>221987.78</v>
      </c>
      <c r="J852" s="609">
        <v>292138</v>
      </c>
      <c r="K852" s="609">
        <v>159138</v>
      </c>
      <c r="L852" s="609">
        <v>0</v>
      </c>
      <c r="M852" s="609">
        <v>0</v>
      </c>
      <c r="N852" s="587">
        <f t="shared" si="93"/>
        <v>159138</v>
      </c>
      <c r="O852"/>
      <c r="P852" s="490">
        <f t="shared" si="99"/>
        <v>-125000</v>
      </c>
      <c r="Q852" t="str">
        <f t="shared" si="94"/>
        <v>52460</v>
      </c>
      <c r="R852" s="126" t="str">
        <f t="shared" si="95"/>
        <v>VEHICLE MAINTENANCE</v>
      </c>
      <c r="S852" s="125" t="str">
        <f t="shared" si="96"/>
        <v>100</v>
      </c>
      <c r="T852" s="125" t="str">
        <f t="shared" si="97"/>
        <v>35</v>
      </c>
      <c r="U852" s="125" t="str">
        <f t="shared" si="98"/>
        <v>352</v>
      </c>
      <c r="V852" s="125" t="str">
        <f>VLOOKUP(Q852,'GL Category'!A:C,3,FALSE)</f>
        <v>Operations &amp; maintenance</v>
      </c>
      <c r="W852" s="125"/>
    </row>
    <row r="853" spans="1:24" s="580" customFormat="1" ht="20.399999999999999" customHeight="1">
      <c r="A853" s="608" t="s">
        <v>791</v>
      </c>
      <c r="B853" s="608" t="s">
        <v>2777</v>
      </c>
      <c r="C853" s="608" t="s">
        <v>236</v>
      </c>
      <c r="D853" s="609">
        <v>19820.55</v>
      </c>
      <c r="E853" s="609">
        <v>16533.259999999998</v>
      </c>
      <c r="F853" s="609">
        <v>16231.49</v>
      </c>
      <c r="G853" s="609">
        <v>18946.29</v>
      </c>
      <c r="H853" s="609">
        <v>21225</v>
      </c>
      <c r="I853" s="609">
        <v>5957.26</v>
      </c>
      <c r="J853" s="609">
        <v>21225</v>
      </c>
      <c r="K853" s="609">
        <v>21225</v>
      </c>
      <c r="L853" s="609">
        <v>11000</v>
      </c>
      <c r="M853" s="609">
        <v>0</v>
      </c>
      <c r="N853" s="587">
        <f t="shared" si="93"/>
        <v>32225</v>
      </c>
      <c r="O853" s="577"/>
      <c r="P853" s="490">
        <f t="shared" si="99"/>
        <v>11000</v>
      </c>
      <c r="Q853" s="577" t="str">
        <f t="shared" si="94"/>
        <v>52470</v>
      </c>
      <c r="R853" s="578" t="str">
        <f t="shared" si="95"/>
        <v>EQUIPMENT MAINTENANCE</v>
      </c>
      <c r="S853" s="579" t="str">
        <f t="shared" si="96"/>
        <v>100</v>
      </c>
      <c r="T853" s="579" t="str">
        <f t="shared" si="97"/>
        <v>35</v>
      </c>
      <c r="U853" s="579" t="str">
        <f t="shared" si="98"/>
        <v>352</v>
      </c>
      <c r="V853" s="579" t="str">
        <f>VLOOKUP(Q853,'GL Category'!A:C,3,FALSE)</f>
        <v>Operations &amp; maintenance</v>
      </c>
      <c r="W853" s="579"/>
    </row>
    <row r="854" spans="1:24" s="83" customFormat="1" ht="20.399999999999999" customHeight="1">
      <c r="A854" s="608" t="s">
        <v>791</v>
      </c>
      <c r="B854" s="608" t="s">
        <v>2778</v>
      </c>
      <c r="C854" s="608" t="s">
        <v>181</v>
      </c>
      <c r="D854" s="609">
        <v>6374.63</v>
      </c>
      <c r="E854" s="609">
        <v>6782.5</v>
      </c>
      <c r="F854" s="609">
        <v>14027.06</v>
      </c>
      <c r="G854" s="609">
        <v>16558.61</v>
      </c>
      <c r="H854" s="609">
        <v>10005</v>
      </c>
      <c r="I854" s="609">
        <v>8963.01</v>
      </c>
      <c r="J854" s="609">
        <v>10005</v>
      </c>
      <c r="K854" s="609">
        <v>10005</v>
      </c>
      <c r="L854" s="609">
        <v>0</v>
      </c>
      <c r="M854" s="609">
        <v>0</v>
      </c>
      <c r="N854" s="587">
        <f t="shared" si="93"/>
        <v>10005</v>
      </c>
      <c r="O854"/>
      <c r="P854" s="490">
        <f t="shared" si="99"/>
        <v>0</v>
      </c>
      <c r="Q854" t="str">
        <f t="shared" si="94"/>
        <v>52490</v>
      </c>
      <c r="R854" s="126" t="str">
        <f t="shared" si="95"/>
        <v>A/C &amp; HEATING MAINTENANCE</v>
      </c>
      <c r="S854" s="125" t="str">
        <f t="shared" si="96"/>
        <v>100</v>
      </c>
      <c r="T854" s="125" t="str">
        <f t="shared" si="97"/>
        <v>35</v>
      </c>
      <c r="U854" s="125" t="str">
        <f t="shared" si="98"/>
        <v>352</v>
      </c>
      <c r="V854" s="125" t="str">
        <f>VLOOKUP(Q854,'GL Category'!A:C,3,FALSE)</f>
        <v>Operations &amp; maintenance</v>
      </c>
      <c r="W854" s="125"/>
    </row>
    <row r="855" spans="1:24" s="83" customFormat="1" ht="20.399999999999999" customHeight="1">
      <c r="A855" s="608" t="s">
        <v>791</v>
      </c>
      <c r="B855" s="608" t="s">
        <v>2780</v>
      </c>
      <c r="C855" s="608" t="s">
        <v>190</v>
      </c>
      <c r="D855" s="609">
        <v>5601.47</v>
      </c>
      <c r="E855" s="609">
        <v>5969.31</v>
      </c>
      <c r="F855" s="609">
        <v>5929.39</v>
      </c>
      <c r="G855" s="609">
        <v>7513.04</v>
      </c>
      <c r="H855" s="609">
        <v>8090</v>
      </c>
      <c r="I855" s="609">
        <v>9622.59</v>
      </c>
      <c r="J855" s="609">
        <v>9700</v>
      </c>
      <c r="K855" s="609">
        <v>8090</v>
      </c>
      <c r="L855" s="609">
        <v>0</v>
      </c>
      <c r="M855" s="609">
        <v>0</v>
      </c>
      <c r="N855" s="587">
        <f t="shared" si="93"/>
        <v>8090</v>
      </c>
      <c r="O855"/>
      <c r="P855" s="490">
        <f t="shared" si="99"/>
        <v>0</v>
      </c>
      <c r="Q855" t="str">
        <f t="shared" si="94"/>
        <v>53510</v>
      </c>
      <c r="R855" s="126" t="str">
        <f t="shared" si="95"/>
        <v>DUES &amp; SUBSCRIPTIONS</v>
      </c>
      <c r="S855" s="125" t="str">
        <f t="shared" si="96"/>
        <v>100</v>
      </c>
      <c r="T855" s="125" t="str">
        <f t="shared" si="97"/>
        <v>35</v>
      </c>
      <c r="U855" s="125" t="str">
        <f t="shared" si="98"/>
        <v>352</v>
      </c>
      <c r="V855" s="125" t="str">
        <f>VLOOKUP(Q855,'GL Category'!A:C,3,FALSE)</f>
        <v>Services &amp; other</v>
      </c>
      <c r="W855" s="127"/>
    </row>
    <row r="856" spans="1:24" s="83" customFormat="1" ht="20.399999999999999" customHeight="1">
      <c r="A856" s="608" t="s">
        <v>791</v>
      </c>
      <c r="B856" s="608" t="s">
        <v>2781</v>
      </c>
      <c r="C856" s="608" t="s">
        <v>191</v>
      </c>
      <c r="D856" s="609">
        <v>15268.8</v>
      </c>
      <c r="E856" s="609">
        <v>14494.13</v>
      </c>
      <c r="F856" s="609">
        <v>18568.189999999999</v>
      </c>
      <c r="G856" s="609">
        <v>23579.59</v>
      </c>
      <c r="H856" s="609">
        <v>23965</v>
      </c>
      <c r="I856" s="609">
        <v>17184.32</v>
      </c>
      <c r="J856" s="609">
        <v>33965</v>
      </c>
      <c r="K856" s="609">
        <v>33965</v>
      </c>
      <c r="L856" s="609">
        <v>0</v>
      </c>
      <c r="M856" s="609">
        <v>0</v>
      </c>
      <c r="N856" s="587">
        <f t="shared" si="93"/>
        <v>33965</v>
      </c>
      <c r="O856"/>
      <c r="P856" s="490">
        <f t="shared" si="99"/>
        <v>10000</v>
      </c>
      <c r="Q856" t="str">
        <f t="shared" si="94"/>
        <v>53515</v>
      </c>
      <c r="R856" s="126" t="str">
        <f t="shared" si="95"/>
        <v>TRAVEL, TRAINING &amp; EDUCATION</v>
      </c>
      <c r="S856" s="125" t="str">
        <f t="shared" si="96"/>
        <v>100</v>
      </c>
      <c r="T856" s="125" t="str">
        <f t="shared" si="97"/>
        <v>35</v>
      </c>
      <c r="U856" s="125" t="str">
        <f t="shared" si="98"/>
        <v>352</v>
      </c>
      <c r="V856" s="125" t="str">
        <f>VLOOKUP(Q856,'GL Category'!A:C,3,FALSE)</f>
        <v>Services &amp; other</v>
      </c>
      <c r="W856"/>
    </row>
    <row r="857" spans="1:24" s="83" customFormat="1" ht="20.399999999999999" customHeight="1">
      <c r="A857" s="608" t="s">
        <v>791</v>
      </c>
      <c r="B857" s="608" t="s">
        <v>3356</v>
      </c>
      <c r="C857" s="608" t="s">
        <v>195</v>
      </c>
      <c r="D857" s="609">
        <v>0</v>
      </c>
      <c r="E857" s="609">
        <v>0</v>
      </c>
      <c r="F857" s="609">
        <v>0</v>
      </c>
      <c r="G857" s="609">
        <v>0</v>
      </c>
      <c r="H857" s="609">
        <v>2600</v>
      </c>
      <c r="I857" s="609">
        <v>0</v>
      </c>
      <c r="J857" s="609">
        <v>2600</v>
      </c>
      <c r="K857" s="609">
        <v>2600</v>
      </c>
      <c r="L857" s="609">
        <v>0</v>
      </c>
      <c r="M857" s="609">
        <v>0</v>
      </c>
      <c r="N857" s="587">
        <f t="shared" si="93"/>
        <v>2600</v>
      </c>
      <c r="O857"/>
      <c r="P857" s="490">
        <f t="shared" si="99"/>
        <v>0</v>
      </c>
      <c r="Q857" t="str">
        <f t="shared" si="94"/>
        <v>53517</v>
      </c>
      <c r="R857" s="126" t="str">
        <f t="shared" si="95"/>
        <v>MEDICAL SERVICES</v>
      </c>
      <c r="S857" s="125" t="str">
        <f t="shared" si="96"/>
        <v>100</v>
      </c>
      <c r="T857" s="125" t="str">
        <f t="shared" si="97"/>
        <v>35</v>
      </c>
      <c r="U857" s="125" t="str">
        <f t="shared" si="98"/>
        <v>352</v>
      </c>
      <c r="V857" s="125" t="str">
        <f>VLOOKUP(Q857,'GL Category'!A:C,3,FALSE)</f>
        <v>Services &amp; other</v>
      </c>
      <c r="W857"/>
    </row>
    <row r="858" spans="1:24" s="83" customFormat="1" ht="20.399999999999999" customHeight="1">
      <c r="A858" s="608" t="s">
        <v>791</v>
      </c>
      <c r="B858" s="608" t="s">
        <v>2783</v>
      </c>
      <c r="C858" s="608" t="s">
        <v>200</v>
      </c>
      <c r="D858" s="609">
        <v>405</v>
      </c>
      <c r="E858" s="609">
        <v>850</v>
      </c>
      <c r="F858" s="609">
        <v>800</v>
      </c>
      <c r="G858" s="609">
        <v>111.64</v>
      </c>
      <c r="H858" s="609">
        <v>1600</v>
      </c>
      <c r="I858" s="609">
        <v>0</v>
      </c>
      <c r="J858" s="609">
        <v>0</v>
      </c>
      <c r="K858" s="609">
        <v>1600</v>
      </c>
      <c r="L858" s="609">
        <v>0</v>
      </c>
      <c r="M858" s="609">
        <v>0</v>
      </c>
      <c r="N858" s="587">
        <f t="shared" si="93"/>
        <v>1600</v>
      </c>
      <c r="O858"/>
      <c r="P858" s="490">
        <f t="shared" si="99"/>
        <v>0</v>
      </c>
      <c r="Q858" t="str">
        <f t="shared" si="94"/>
        <v>53533</v>
      </c>
      <c r="R858" s="126" t="str">
        <f t="shared" si="95"/>
        <v>EMPLOYEE RECRUITING/TESTING</v>
      </c>
      <c r="S858" s="125" t="str">
        <f t="shared" si="96"/>
        <v>100</v>
      </c>
      <c r="T858" s="125" t="str">
        <f t="shared" si="97"/>
        <v>35</v>
      </c>
      <c r="U858" s="125" t="str">
        <f t="shared" si="98"/>
        <v>352</v>
      </c>
      <c r="V858" s="125" t="str">
        <f>VLOOKUP(Q858,'GL Category'!A:C,3,FALSE)</f>
        <v>Services &amp; other</v>
      </c>
      <c r="W858"/>
    </row>
    <row r="859" spans="1:24" s="83" customFormat="1" ht="20.399999999999999" customHeight="1">
      <c r="A859" s="608" t="s">
        <v>791</v>
      </c>
      <c r="B859" s="608" t="s">
        <v>2784</v>
      </c>
      <c r="C859" s="608" t="s">
        <v>213</v>
      </c>
      <c r="D859" s="609">
        <v>5989.62</v>
      </c>
      <c r="E859" s="609">
        <v>8417.8799999999992</v>
      </c>
      <c r="F859" s="609">
        <v>10052.4</v>
      </c>
      <c r="G859" s="609">
        <v>10665.43</v>
      </c>
      <c r="H859" s="609">
        <v>11390</v>
      </c>
      <c r="I859" s="609">
        <v>11122.4</v>
      </c>
      <c r="J859" s="609">
        <v>11390</v>
      </c>
      <c r="K859" s="609">
        <v>11390</v>
      </c>
      <c r="L859" s="609">
        <v>0</v>
      </c>
      <c r="M859" s="609">
        <v>0</v>
      </c>
      <c r="N859" s="587">
        <f t="shared" si="93"/>
        <v>11390</v>
      </c>
      <c r="O859"/>
      <c r="P859" s="490">
        <f t="shared" si="99"/>
        <v>0</v>
      </c>
      <c r="Q859" t="str">
        <f t="shared" si="94"/>
        <v>53571</v>
      </c>
      <c r="R859" s="126" t="str">
        <f t="shared" si="95"/>
        <v>NATURAL GAS UTILITY SERVICE</v>
      </c>
      <c r="S859" s="125" t="str">
        <f t="shared" si="96"/>
        <v>100</v>
      </c>
      <c r="T859" s="125" t="str">
        <f t="shared" si="97"/>
        <v>35</v>
      </c>
      <c r="U859" s="125" t="str">
        <f t="shared" si="98"/>
        <v>352</v>
      </c>
      <c r="V859" s="125" t="str">
        <f>VLOOKUP(Q859,'GL Category'!A:C,3,FALSE)</f>
        <v>Services &amp; other</v>
      </c>
      <c r="W859"/>
    </row>
    <row r="860" spans="1:24" s="553" customFormat="1" ht="20.399999999999999" customHeight="1">
      <c r="A860" s="608" t="s">
        <v>791</v>
      </c>
      <c r="B860" s="608" t="s">
        <v>2785</v>
      </c>
      <c r="C860" s="608" t="s">
        <v>215</v>
      </c>
      <c r="D860" s="609">
        <v>25618.33</v>
      </c>
      <c r="E860" s="609">
        <v>25524.05</v>
      </c>
      <c r="F860" s="609">
        <v>38787.64</v>
      </c>
      <c r="G860" s="609">
        <v>42420.959999999999</v>
      </c>
      <c r="H860" s="609">
        <v>53280</v>
      </c>
      <c r="I860" s="609">
        <v>12370.89</v>
      </c>
      <c r="J860" s="609">
        <v>30000</v>
      </c>
      <c r="K860" s="609">
        <v>53280</v>
      </c>
      <c r="L860" s="609">
        <v>0</v>
      </c>
      <c r="M860" s="609">
        <v>0</v>
      </c>
      <c r="N860" s="587">
        <f t="shared" si="93"/>
        <v>53280</v>
      </c>
      <c r="O860"/>
      <c r="P860" s="490">
        <f t="shared" si="99"/>
        <v>0</v>
      </c>
      <c r="Q860" t="str">
        <f t="shared" si="94"/>
        <v>53572</v>
      </c>
      <c r="R860" s="552" t="str">
        <f t="shared" si="95"/>
        <v>ELECTRICAL UTILITY SERVICE</v>
      </c>
      <c r="S860" s="550" t="str">
        <f t="shared" si="96"/>
        <v>100</v>
      </c>
      <c r="T860" s="125" t="str">
        <f t="shared" si="97"/>
        <v>35</v>
      </c>
      <c r="U860" s="125" t="str">
        <f t="shared" si="98"/>
        <v>352</v>
      </c>
      <c r="V860" s="550" t="str">
        <f>VLOOKUP(Q860,'GL Category'!A:C,3,FALSE)</f>
        <v>Services &amp; other</v>
      </c>
      <c r="W860" s="380"/>
      <c r="X860" s="83"/>
    </row>
    <row r="861" spans="1:24" s="83" customFormat="1" ht="20.399999999999999" customHeight="1">
      <c r="A861" s="608" t="s">
        <v>791</v>
      </c>
      <c r="B861" s="608" t="s">
        <v>2786</v>
      </c>
      <c r="C861" s="608" t="s">
        <v>217</v>
      </c>
      <c r="D861" s="609">
        <v>12951.21</v>
      </c>
      <c r="E861" s="609">
        <v>14075.94</v>
      </c>
      <c r="F861" s="609">
        <v>14233.22</v>
      </c>
      <c r="G861" s="609">
        <v>14017.79</v>
      </c>
      <c r="H861" s="609">
        <v>17200</v>
      </c>
      <c r="I861" s="609">
        <v>8028.33</v>
      </c>
      <c r="J861" s="609">
        <v>15000</v>
      </c>
      <c r="K861" s="609">
        <v>17200</v>
      </c>
      <c r="L861" s="609">
        <v>0</v>
      </c>
      <c r="M861" s="609">
        <v>0</v>
      </c>
      <c r="N861" s="587">
        <f t="shared" si="93"/>
        <v>17200</v>
      </c>
      <c r="O861"/>
      <c r="P861" s="490"/>
      <c r="Q861" t="str">
        <f t="shared" si="94"/>
        <v>53574</v>
      </c>
      <c r="R861" s="126" t="str">
        <f t="shared" si="95"/>
        <v>WATER/SEWER UTILITY SERVICE</v>
      </c>
      <c r="S861" s="125" t="str">
        <f t="shared" si="96"/>
        <v>100</v>
      </c>
      <c r="T861" s="125" t="str">
        <f t="shared" si="97"/>
        <v>35</v>
      </c>
      <c r="U861" s="125" t="str">
        <f t="shared" si="98"/>
        <v>352</v>
      </c>
      <c r="V861" s="125" t="str">
        <f>VLOOKUP(Q861,'GL Category'!A:C,3,FALSE)</f>
        <v>Services &amp; other</v>
      </c>
      <c r="W861"/>
    </row>
    <row r="862" spans="1:24" s="83" customFormat="1" ht="20.399999999999999" customHeight="1">
      <c r="A862" s="608" t="s">
        <v>791</v>
      </c>
      <c r="B862" s="608" t="s">
        <v>2779</v>
      </c>
      <c r="C862" s="608" t="s">
        <v>238</v>
      </c>
      <c r="D862" s="609">
        <v>10590</v>
      </c>
      <c r="E862" s="609">
        <v>12831.5</v>
      </c>
      <c r="F862" s="609">
        <v>17842</v>
      </c>
      <c r="G862" s="609">
        <v>6310</v>
      </c>
      <c r="H862" s="609">
        <v>6450</v>
      </c>
      <c r="I862" s="609">
        <v>15070</v>
      </c>
      <c r="J862" s="609">
        <v>12950</v>
      </c>
      <c r="K862" s="609">
        <v>6450</v>
      </c>
      <c r="L862" s="609">
        <v>0</v>
      </c>
      <c r="M862" s="609">
        <v>0</v>
      </c>
      <c r="N862" s="587">
        <f t="shared" si="93"/>
        <v>6450</v>
      </c>
      <c r="O862"/>
      <c r="P862" s="490"/>
      <c r="Q862" t="str">
        <f t="shared" si="94"/>
        <v>53599</v>
      </c>
      <c r="R862" s="126" t="str">
        <f t="shared" si="95"/>
        <v>MISCELLANEOUS SERVICES</v>
      </c>
      <c r="S862" s="125" t="str">
        <f t="shared" si="96"/>
        <v>100</v>
      </c>
      <c r="T862" s="125" t="str">
        <f t="shared" si="97"/>
        <v>35</v>
      </c>
      <c r="U862" s="125" t="str">
        <f t="shared" si="98"/>
        <v>352</v>
      </c>
      <c r="V862" s="125" t="str">
        <f>VLOOKUP(Q862,'GL Category'!A:C,3,FALSE)</f>
        <v>Services &amp; other</v>
      </c>
      <c r="W862"/>
    </row>
    <row r="863" spans="1:24" s="83" customFormat="1" ht="20.399999999999999" customHeight="1">
      <c r="A863" s="608" t="s">
        <v>791</v>
      </c>
      <c r="B863" s="608" t="s">
        <v>2788</v>
      </c>
      <c r="C863" s="608" t="s">
        <v>221</v>
      </c>
      <c r="D863" s="609">
        <v>138845</v>
      </c>
      <c r="E863" s="609">
        <v>165108</v>
      </c>
      <c r="F863" s="609">
        <v>145477</v>
      </c>
      <c r="G863" s="609">
        <v>153980</v>
      </c>
      <c r="H863" s="609">
        <v>166745</v>
      </c>
      <c r="I863" s="609">
        <v>125475.61</v>
      </c>
      <c r="J863" s="609">
        <v>166745</v>
      </c>
      <c r="K863" s="609">
        <v>185088</v>
      </c>
      <c r="L863" s="609">
        <v>0</v>
      </c>
      <c r="M863" s="609">
        <v>6370</v>
      </c>
      <c r="N863" s="587">
        <f t="shared" si="93"/>
        <v>191458</v>
      </c>
      <c r="O863"/>
      <c r="P863" s="490"/>
      <c r="Q863" t="str">
        <f t="shared" si="94"/>
        <v>55119</v>
      </c>
      <c r="R863" s="126" t="str">
        <f t="shared" si="95"/>
        <v>OFFICE EQUIP LEASE EXP-CITY</v>
      </c>
      <c r="S863" s="125" t="str">
        <f t="shared" si="96"/>
        <v>100</v>
      </c>
      <c r="T863" s="125" t="str">
        <f t="shared" si="97"/>
        <v>35</v>
      </c>
      <c r="U863" s="125" t="str">
        <f t="shared" si="98"/>
        <v>352</v>
      </c>
      <c r="V863" s="125" t="str">
        <f>VLOOKUP(Q863,'GL Category'!A:C,3,FALSE)</f>
        <v>Services &amp; other</v>
      </c>
      <c r="W863"/>
    </row>
    <row r="864" spans="1:24" s="83" customFormat="1" ht="20.399999999999999" customHeight="1">
      <c r="A864" s="608" t="s">
        <v>791</v>
      </c>
      <c r="B864" s="608" t="s">
        <v>2787</v>
      </c>
      <c r="C864" s="608" t="s">
        <v>220</v>
      </c>
      <c r="D864" s="609">
        <v>558307</v>
      </c>
      <c r="E864" s="609">
        <v>558391</v>
      </c>
      <c r="F864" s="609">
        <v>581624</v>
      </c>
      <c r="G864" s="609">
        <v>436824</v>
      </c>
      <c r="H864" s="609">
        <v>497528</v>
      </c>
      <c r="I864" s="609">
        <v>373146</v>
      </c>
      <c r="J864" s="609">
        <v>497528</v>
      </c>
      <c r="K864" s="609">
        <v>593951</v>
      </c>
      <c r="L864" s="609">
        <v>0</v>
      </c>
      <c r="M864" s="609">
        <v>0</v>
      </c>
      <c r="N864" s="587">
        <f t="shared" si="93"/>
        <v>593951</v>
      </c>
      <c r="O864"/>
      <c r="P864" s="490"/>
      <c r="Q864" t="str">
        <f t="shared" si="94"/>
        <v>55175</v>
      </c>
      <c r="R864" s="126" t="str">
        <f t="shared" si="95"/>
        <v>VEHICLE/EQUIP LEASE EXP-CITY</v>
      </c>
      <c r="S864" s="125" t="str">
        <f t="shared" si="96"/>
        <v>100</v>
      </c>
      <c r="T864" s="125" t="str">
        <f t="shared" si="97"/>
        <v>35</v>
      </c>
      <c r="U864" s="125" t="str">
        <f t="shared" si="98"/>
        <v>352</v>
      </c>
      <c r="V864" s="125" t="str">
        <f>VLOOKUP(Q864,'GL Category'!A:C,3,FALSE)</f>
        <v>Services &amp; other</v>
      </c>
      <c r="W864"/>
    </row>
    <row r="865" spans="1:25" s="83" customFormat="1" ht="20.399999999999999" customHeight="1">
      <c r="A865" s="608" t="s">
        <v>791</v>
      </c>
      <c r="B865" s="608" t="s">
        <v>2789</v>
      </c>
      <c r="C865" s="608" t="s">
        <v>268</v>
      </c>
      <c r="D865" s="609">
        <v>8500</v>
      </c>
      <c r="E865" s="609">
        <v>0</v>
      </c>
      <c r="F865" s="609">
        <v>296730.65999999997</v>
      </c>
      <c r="G865" s="609">
        <v>27887</v>
      </c>
      <c r="H865" s="609">
        <v>8000</v>
      </c>
      <c r="I865" s="609">
        <v>0</v>
      </c>
      <c r="J865" s="609">
        <v>0</v>
      </c>
      <c r="K865" s="609">
        <v>0</v>
      </c>
      <c r="L865" s="609">
        <v>0</v>
      </c>
      <c r="M865" s="609">
        <v>0</v>
      </c>
      <c r="N865" s="587">
        <f t="shared" si="93"/>
        <v>0</v>
      </c>
      <c r="O865"/>
      <c r="P865" s="490"/>
      <c r="Q865" t="str">
        <f t="shared" si="94"/>
        <v>58830</v>
      </c>
      <c r="R865" s="126" t="str">
        <f t="shared" si="95"/>
        <v>MACHINERY &amp; EQUIPMENT</v>
      </c>
      <c r="S865" s="125" t="str">
        <f t="shared" si="96"/>
        <v>100</v>
      </c>
      <c r="T865" s="125" t="str">
        <f t="shared" si="97"/>
        <v>35</v>
      </c>
      <c r="U865" s="125" t="str">
        <f t="shared" si="98"/>
        <v>352</v>
      </c>
      <c r="V865" s="125" t="str">
        <f>VLOOKUP(Q865,'GL Category'!A:C,3,FALSE)</f>
        <v>Capital Outlay</v>
      </c>
      <c r="W865"/>
    </row>
    <row r="866" spans="1:25" s="83" customFormat="1" ht="20.399999999999999" customHeight="1">
      <c r="A866" s="608" t="s">
        <v>791</v>
      </c>
      <c r="B866" s="608" t="s">
        <v>3527</v>
      </c>
      <c r="C866" s="608" t="s">
        <v>142</v>
      </c>
      <c r="D866" s="609">
        <v>0</v>
      </c>
      <c r="E866" s="609">
        <v>0</v>
      </c>
      <c r="F866" s="609">
        <v>0</v>
      </c>
      <c r="G866" s="609">
        <v>0</v>
      </c>
      <c r="H866" s="609">
        <v>0</v>
      </c>
      <c r="I866" s="609">
        <v>0</v>
      </c>
      <c r="J866" s="609">
        <v>0</v>
      </c>
      <c r="K866" s="609">
        <v>0</v>
      </c>
      <c r="L866" s="609">
        <v>0</v>
      </c>
      <c r="M866" s="609">
        <v>0</v>
      </c>
      <c r="N866" s="587">
        <f t="shared" si="93"/>
        <v>0</v>
      </c>
      <c r="O866"/>
      <c r="P866" s="490"/>
      <c r="Q866" t="str">
        <f t="shared" si="94"/>
        <v>50620</v>
      </c>
      <c r="R866" s="126" t="str">
        <f t="shared" si="95"/>
        <v>HEALTH/LIFE INSURANCE</v>
      </c>
      <c r="S866" s="125" t="str">
        <f t="shared" si="96"/>
        <v>100</v>
      </c>
      <c r="T866" s="125" t="str">
        <f t="shared" si="97"/>
        <v>35</v>
      </c>
      <c r="U866" s="125" t="str">
        <f t="shared" si="98"/>
        <v>353</v>
      </c>
      <c r="V866" s="125" t="str">
        <f>VLOOKUP(Q866,'GL Category'!A:C,3,FALSE)</f>
        <v>Personnel services</v>
      </c>
      <c r="W866"/>
    </row>
    <row r="867" spans="1:25" s="83" customFormat="1" ht="20.399999999999999" customHeight="1">
      <c r="A867" s="608" t="s">
        <v>791</v>
      </c>
      <c r="B867" s="608" t="s">
        <v>3528</v>
      </c>
      <c r="C867" s="608" t="s">
        <v>155</v>
      </c>
      <c r="D867" s="609">
        <v>0</v>
      </c>
      <c r="E867" s="609">
        <v>0</v>
      </c>
      <c r="F867" s="609">
        <v>0</v>
      </c>
      <c r="G867" s="609">
        <v>0</v>
      </c>
      <c r="H867" s="609">
        <v>0</v>
      </c>
      <c r="I867" s="609">
        <v>0</v>
      </c>
      <c r="J867" s="609">
        <v>0</v>
      </c>
      <c r="K867" s="609">
        <v>0</v>
      </c>
      <c r="L867" s="609">
        <v>0</v>
      </c>
      <c r="M867" s="609">
        <v>0</v>
      </c>
      <c r="N867" s="587">
        <f t="shared" si="93"/>
        <v>0</v>
      </c>
      <c r="O867"/>
      <c r="P867" s="490"/>
      <c r="Q867" t="str">
        <f t="shared" si="94"/>
        <v>51225</v>
      </c>
      <c r="R867" s="126" t="str">
        <f t="shared" si="95"/>
        <v>JANITORIAL SUPPLIES</v>
      </c>
      <c r="S867" s="125" t="str">
        <f t="shared" si="96"/>
        <v>100</v>
      </c>
      <c r="T867" s="125" t="str">
        <f t="shared" si="97"/>
        <v>35</v>
      </c>
      <c r="U867" s="125" t="str">
        <f t="shared" si="98"/>
        <v>353</v>
      </c>
      <c r="V867" s="125" t="str">
        <f>VLOOKUP(Q867,'GL Category'!A:C,3,FALSE)</f>
        <v>Operations &amp; maintenance</v>
      </c>
      <c r="W867" s="125"/>
    </row>
    <row r="868" spans="1:25" s="83" customFormat="1" ht="20.399999999999999" customHeight="1">
      <c r="A868" s="608" t="s">
        <v>791</v>
      </c>
      <c r="B868" s="608" t="s">
        <v>2791</v>
      </c>
      <c r="C868" s="608" t="s">
        <v>5</v>
      </c>
      <c r="D868" s="609">
        <v>74189.59</v>
      </c>
      <c r="E868" s="609">
        <v>86690.52</v>
      </c>
      <c r="F868" s="609">
        <v>115177.23</v>
      </c>
      <c r="G868" s="609">
        <v>100529.76</v>
      </c>
      <c r="H868" s="609">
        <v>82460</v>
      </c>
      <c r="I868" s="609">
        <v>83303.649999999994</v>
      </c>
      <c r="J868" s="609">
        <v>120000</v>
      </c>
      <c r="K868" s="609">
        <v>82460</v>
      </c>
      <c r="L868" s="609">
        <v>22540</v>
      </c>
      <c r="M868" s="609">
        <v>0</v>
      </c>
      <c r="N868" s="587">
        <f t="shared" si="93"/>
        <v>105000</v>
      </c>
      <c r="O868"/>
      <c r="P868" s="490"/>
      <c r="Q868" t="str">
        <f t="shared" si="94"/>
        <v>51226</v>
      </c>
      <c r="R868" s="126" t="str">
        <f t="shared" si="95"/>
        <v>MEDICAL SUPPLIES</v>
      </c>
      <c r="S868" s="125" t="str">
        <f t="shared" si="96"/>
        <v>100</v>
      </c>
      <c r="T868" s="125" t="str">
        <f t="shared" si="97"/>
        <v>35</v>
      </c>
      <c r="U868" s="125" t="str">
        <f t="shared" si="98"/>
        <v>353</v>
      </c>
      <c r="V868" s="125" t="str">
        <f>VLOOKUP(Q868,'GL Category'!A:C,3,FALSE)</f>
        <v>Operations &amp; maintenance</v>
      </c>
      <c r="W868"/>
    </row>
    <row r="869" spans="1:25" s="83" customFormat="1" ht="20.399999999999999" customHeight="1">
      <c r="A869" s="608" t="s">
        <v>791</v>
      </c>
      <c r="B869" s="608" t="s">
        <v>2791</v>
      </c>
      <c r="C869" s="608" t="s">
        <v>5</v>
      </c>
      <c r="D869" s="609">
        <v>0</v>
      </c>
      <c r="E869" s="609">
        <v>11995.58</v>
      </c>
      <c r="F869" s="609">
        <v>0</v>
      </c>
      <c r="G869" s="609">
        <v>0</v>
      </c>
      <c r="H869" s="609">
        <v>0</v>
      </c>
      <c r="I869" s="609">
        <v>0</v>
      </c>
      <c r="J869" s="609">
        <v>0</v>
      </c>
      <c r="K869" s="609">
        <v>0</v>
      </c>
      <c r="L869" s="609">
        <v>0</v>
      </c>
      <c r="M869" s="609">
        <v>0</v>
      </c>
      <c r="N869" s="587">
        <f t="shared" si="93"/>
        <v>0</v>
      </c>
      <c r="O869"/>
      <c r="P869" s="490"/>
      <c r="Q869" t="str">
        <f t="shared" si="94"/>
        <v>51226</v>
      </c>
      <c r="R869" s="126" t="str">
        <f t="shared" si="95"/>
        <v>MEDICAL SUPPLIES</v>
      </c>
      <c r="S869" s="125" t="str">
        <f t="shared" si="96"/>
        <v>100</v>
      </c>
      <c r="T869" s="125" t="str">
        <f t="shared" si="97"/>
        <v>35</v>
      </c>
      <c r="U869" s="125" t="str">
        <f t="shared" si="98"/>
        <v>353</v>
      </c>
      <c r="V869" s="125" t="str">
        <f>VLOOKUP(Q869,'GL Category'!A:C,3,FALSE)</f>
        <v>Operations &amp; maintenance</v>
      </c>
      <c r="W869"/>
    </row>
    <row r="870" spans="1:25" s="83" customFormat="1" ht="20.399999999999999" customHeight="1">
      <c r="A870" s="608" t="s">
        <v>791</v>
      </c>
      <c r="B870" s="608" t="s">
        <v>2793</v>
      </c>
      <c r="C870" s="608" t="s">
        <v>4</v>
      </c>
      <c r="D870" s="609">
        <v>3952.6</v>
      </c>
      <c r="E870" s="609">
        <v>9676.9</v>
      </c>
      <c r="F870" s="609">
        <v>7558.86</v>
      </c>
      <c r="G870" s="609">
        <v>4795.68</v>
      </c>
      <c r="H870" s="609">
        <v>7000</v>
      </c>
      <c r="I870" s="609">
        <v>3554.23</v>
      </c>
      <c r="J870" s="609">
        <v>7500</v>
      </c>
      <c r="K870" s="609">
        <v>7000</v>
      </c>
      <c r="L870" s="609">
        <v>0</v>
      </c>
      <c r="M870" s="609">
        <v>0</v>
      </c>
      <c r="N870" s="587">
        <f t="shared" si="93"/>
        <v>7000</v>
      </c>
      <c r="O870"/>
      <c r="P870" s="490"/>
      <c r="Q870" t="str">
        <f t="shared" si="94"/>
        <v>51245</v>
      </c>
      <c r="R870" s="126" t="str">
        <f t="shared" si="95"/>
        <v>SMALL TOOLS &amp; EQUIPMENT</v>
      </c>
      <c r="S870" s="125" t="str">
        <f t="shared" si="96"/>
        <v>100</v>
      </c>
      <c r="T870" s="125" t="str">
        <f t="shared" si="97"/>
        <v>35</v>
      </c>
      <c r="U870" s="125" t="str">
        <f t="shared" si="98"/>
        <v>353</v>
      </c>
      <c r="V870" s="125" t="str">
        <f>VLOOKUP(Q870,'GL Category'!A:C,3,FALSE)</f>
        <v>Operations &amp; maintenance</v>
      </c>
      <c r="W870"/>
    </row>
    <row r="871" spans="1:25" s="83" customFormat="1" ht="20.399999999999999" customHeight="1">
      <c r="A871" s="608" t="s">
        <v>791</v>
      </c>
      <c r="B871" s="608" t="s">
        <v>2793</v>
      </c>
      <c r="C871" s="608" t="s">
        <v>4</v>
      </c>
      <c r="D871" s="609">
        <v>0</v>
      </c>
      <c r="E871" s="609">
        <v>1199.25</v>
      </c>
      <c r="F871" s="609">
        <v>0</v>
      </c>
      <c r="G871" s="609">
        <v>0</v>
      </c>
      <c r="H871" s="609">
        <v>0</v>
      </c>
      <c r="I871" s="609">
        <v>0</v>
      </c>
      <c r="J871" s="609">
        <v>0</v>
      </c>
      <c r="K871" s="609">
        <v>0</v>
      </c>
      <c r="L871" s="609">
        <v>0</v>
      </c>
      <c r="M871" s="609">
        <v>0</v>
      </c>
      <c r="N871" s="587">
        <f t="shared" si="93"/>
        <v>0</v>
      </c>
      <c r="O871"/>
      <c r="P871" s="490"/>
      <c r="Q871" t="str">
        <f t="shared" si="94"/>
        <v>51245</v>
      </c>
      <c r="R871" s="126" t="str">
        <f t="shared" si="95"/>
        <v>SMALL TOOLS &amp; EQUIPMENT</v>
      </c>
      <c r="S871" s="125" t="str">
        <f t="shared" si="96"/>
        <v>100</v>
      </c>
      <c r="T871" s="125" t="str">
        <f t="shared" si="97"/>
        <v>35</v>
      </c>
      <c r="U871" s="125" t="str">
        <f t="shared" si="98"/>
        <v>353</v>
      </c>
      <c r="V871" s="125" t="str">
        <f>VLOOKUP(Q871,'GL Category'!A:C,3,FALSE)</f>
        <v>Operations &amp; maintenance</v>
      </c>
      <c r="W871"/>
    </row>
    <row r="872" spans="1:25" s="83" customFormat="1" ht="14.4" customHeight="1">
      <c r="A872" s="608" t="s">
        <v>791</v>
      </c>
      <c r="B872" s="608" t="s">
        <v>2794</v>
      </c>
      <c r="C872" s="608" t="s">
        <v>161</v>
      </c>
      <c r="D872" s="609">
        <v>12075.34</v>
      </c>
      <c r="E872" s="609">
        <v>15555.62</v>
      </c>
      <c r="F872" s="609">
        <v>27104.44</v>
      </c>
      <c r="G872" s="609">
        <v>25569.040000000001</v>
      </c>
      <c r="H872" s="609">
        <v>26000</v>
      </c>
      <c r="I872" s="609">
        <v>18693.14</v>
      </c>
      <c r="J872" s="609">
        <v>26000</v>
      </c>
      <c r="K872" s="609">
        <v>26000</v>
      </c>
      <c r="L872" s="609">
        <v>0</v>
      </c>
      <c r="M872" s="609">
        <v>0</v>
      </c>
      <c r="N872" s="587">
        <f t="shared" si="93"/>
        <v>26000</v>
      </c>
      <c r="O872"/>
      <c r="P872" s="490"/>
      <c r="Q872" t="str">
        <f t="shared" si="94"/>
        <v>51255</v>
      </c>
      <c r="R872" s="126" t="str">
        <f t="shared" si="95"/>
        <v>FUEL/OILS/LUBRICANTS</v>
      </c>
      <c r="S872" s="125" t="str">
        <f t="shared" si="96"/>
        <v>100</v>
      </c>
      <c r="T872" s="125" t="str">
        <f t="shared" si="97"/>
        <v>35</v>
      </c>
      <c r="U872" s="125" t="str">
        <f t="shared" si="98"/>
        <v>353</v>
      </c>
      <c r="V872" s="125" t="str">
        <f>VLOOKUP(Q872,'GL Category'!A:C,3,FALSE)</f>
        <v>Operations &amp; maintenance</v>
      </c>
      <c r="W872"/>
    </row>
    <row r="873" spans="1:25" s="83" customFormat="1" ht="20.399999999999999" customHeight="1">
      <c r="A873" s="608" t="s">
        <v>791</v>
      </c>
      <c r="B873" s="608" t="s">
        <v>3529</v>
      </c>
      <c r="C873" s="608" t="s">
        <v>263</v>
      </c>
      <c r="D873" s="609">
        <v>0</v>
      </c>
      <c r="E873" s="609">
        <v>0</v>
      </c>
      <c r="F873" s="609">
        <v>0</v>
      </c>
      <c r="G873" s="609">
        <v>0</v>
      </c>
      <c r="H873" s="609">
        <v>0</v>
      </c>
      <c r="I873" s="609">
        <v>0</v>
      </c>
      <c r="J873" s="609">
        <v>0</v>
      </c>
      <c r="K873" s="609">
        <v>0</v>
      </c>
      <c r="L873" s="609">
        <v>0</v>
      </c>
      <c r="M873" s="609">
        <v>0</v>
      </c>
      <c r="N873" s="587">
        <f t="shared" si="93"/>
        <v>0</v>
      </c>
      <c r="O873"/>
      <c r="P873" s="490"/>
      <c r="Q873" t="str">
        <f t="shared" si="94"/>
        <v>51260</v>
      </c>
      <c r="R873" s="126" t="str">
        <f t="shared" si="95"/>
        <v>EDUCATION/RECREATION SUPPLIES</v>
      </c>
      <c r="S873" s="125" t="str">
        <f t="shared" si="96"/>
        <v>100</v>
      </c>
      <c r="T873" s="125" t="str">
        <f t="shared" si="97"/>
        <v>35</v>
      </c>
      <c r="U873" s="125" t="str">
        <f t="shared" si="98"/>
        <v>353</v>
      </c>
      <c r="V873" s="125" t="str">
        <f>VLOOKUP(Q873,'GL Category'!A:C,3,FALSE)</f>
        <v>Operations &amp; maintenance</v>
      </c>
      <c r="W873"/>
    </row>
    <row r="874" spans="1:25" s="83" customFormat="1" ht="20.399999999999999" customHeight="1">
      <c r="A874" s="608" t="s">
        <v>791</v>
      </c>
      <c r="B874" s="608" t="s">
        <v>3530</v>
      </c>
      <c r="C874" s="608" t="s">
        <v>165</v>
      </c>
      <c r="D874" s="609">
        <v>0</v>
      </c>
      <c r="E874" s="609">
        <v>0</v>
      </c>
      <c r="F874" s="609">
        <v>0</v>
      </c>
      <c r="G874" s="609">
        <v>0</v>
      </c>
      <c r="H874" s="609">
        <v>0</v>
      </c>
      <c r="I874" s="609">
        <v>0</v>
      </c>
      <c r="J874" s="609">
        <v>0</v>
      </c>
      <c r="K874" s="609">
        <v>0</v>
      </c>
      <c r="L874" s="609">
        <v>0</v>
      </c>
      <c r="M874" s="609">
        <v>0</v>
      </c>
      <c r="N874" s="587">
        <f t="shared" si="93"/>
        <v>0</v>
      </c>
      <c r="O874"/>
      <c r="P874" s="490"/>
      <c r="Q874" t="str">
        <f t="shared" si="94"/>
        <v>51271</v>
      </c>
      <c r="R874" s="126" t="str">
        <f t="shared" si="95"/>
        <v>BUILDING MATERIALS &amp; SUPPLIES</v>
      </c>
      <c r="S874" s="125" t="str">
        <f t="shared" si="96"/>
        <v>100</v>
      </c>
      <c r="T874" s="125" t="str">
        <f t="shared" si="97"/>
        <v>35</v>
      </c>
      <c r="U874" s="125" t="str">
        <f t="shared" si="98"/>
        <v>353</v>
      </c>
      <c r="V874" s="125" t="str">
        <f>VLOOKUP(Q874,'GL Category'!A:C,3,FALSE)</f>
        <v>Operations &amp; maintenance</v>
      </c>
      <c r="W874"/>
      <c r="Y874" s="527"/>
    </row>
    <row r="875" spans="1:25" s="83" customFormat="1" ht="20.399999999999999" customHeight="1">
      <c r="A875" s="608" t="s">
        <v>791</v>
      </c>
      <c r="B875" s="608" t="s">
        <v>2795</v>
      </c>
      <c r="C875" s="608" t="s">
        <v>254</v>
      </c>
      <c r="D875" s="609">
        <v>207.39</v>
      </c>
      <c r="E875" s="609">
        <v>0</v>
      </c>
      <c r="F875" s="609">
        <v>0</v>
      </c>
      <c r="G875" s="609">
        <v>0</v>
      </c>
      <c r="H875" s="609">
        <v>750</v>
      </c>
      <c r="I875" s="609">
        <v>0</v>
      </c>
      <c r="J875" s="609">
        <v>750</v>
      </c>
      <c r="K875" s="609">
        <v>750</v>
      </c>
      <c r="L875" s="609">
        <v>0</v>
      </c>
      <c r="M875" s="609">
        <v>0</v>
      </c>
      <c r="N875" s="587">
        <f t="shared" si="93"/>
        <v>750</v>
      </c>
      <c r="O875"/>
      <c r="P875" s="490">
        <f t="shared" ref="P875:P881" si="100">N875-H875</f>
        <v>0</v>
      </c>
      <c r="Q875" t="str">
        <f t="shared" si="94"/>
        <v>51292</v>
      </c>
      <c r="R875" s="126" t="str">
        <f t="shared" si="95"/>
        <v>TRAINING SUPPLIES</v>
      </c>
      <c r="S875" s="125" t="str">
        <f t="shared" si="96"/>
        <v>100</v>
      </c>
      <c r="T875" s="125" t="str">
        <f t="shared" si="97"/>
        <v>35</v>
      </c>
      <c r="U875" s="125" t="str">
        <f t="shared" si="98"/>
        <v>353</v>
      </c>
      <c r="V875" s="125" t="str">
        <f>VLOOKUP(Q875,'GL Category'!A:C,3,FALSE)</f>
        <v>Operations &amp; maintenance</v>
      </c>
      <c r="W875"/>
      <c r="Y875" s="528"/>
    </row>
    <row r="876" spans="1:25" s="83" customFormat="1" ht="20.399999999999999" customHeight="1">
      <c r="A876" s="608" t="s">
        <v>791</v>
      </c>
      <c r="B876" s="608" t="s">
        <v>3531</v>
      </c>
      <c r="C876" s="608" t="s">
        <v>173</v>
      </c>
      <c r="D876" s="609">
        <v>0</v>
      </c>
      <c r="E876" s="609">
        <v>0</v>
      </c>
      <c r="F876" s="609">
        <v>0</v>
      </c>
      <c r="G876" s="609">
        <v>0</v>
      </c>
      <c r="H876" s="609">
        <v>0</v>
      </c>
      <c r="I876" s="609">
        <v>0</v>
      </c>
      <c r="J876" s="609">
        <v>0</v>
      </c>
      <c r="K876" s="609">
        <v>0</v>
      </c>
      <c r="L876" s="609">
        <v>0</v>
      </c>
      <c r="M876" s="609">
        <v>0</v>
      </c>
      <c r="N876" s="587">
        <f t="shared" si="93"/>
        <v>0</v>
      </c>
      <c r="O876"/>
      <c r="P876" s="490">
        <f t="shared" si="100"/>
        <v>0</v>
      </c>
      <c r="Q876" t="str">
        <f t="shared" si="94"/>
        <v>52311</v>
      </c>
      <c r="R876" s="126" t="str">
        <f t="shared" si="95"/>
        <v>GROUNDS MAINTENANCE</v>
      </c>
      <c r="S876" s="125" t="str">
        <f t="shared" si="96"/>
        <v>100</v>
      </c>
      <c r="T876" s="125" t="str">
        <f t="shared" si="97"/>
        <v>35</v>
      </c>
      <c r="U876" s="125" t="str">
        <f t="shared" si="98"/>
        <v>353</v>
      </c>
      <c r="V876" s="125" t="str">
        <f>VLOOKUP(Q876,'GL Category'!A:C,3,FALSE)</f>
        <v>Operations &amp; maintenance</v>
      </c>
      <c r="W876"/>
    </row>
    <row r="877" spans="1:25" s="83" customFormat="1" ht="20.399999999999999" customHeight="1">
      <c r="A877" s="608" t="s">
        <v>791</v>
      </c>
      <c r="B877" s="608" t="s">
        <v>2796</v>
      </c>
      <c r="C877" s="608" t="s">
        <v>241</v>
      </c>
      <c r="D877" s="609">
        <v>27556.720000000001</v>
      </c>
      <c r="E877" s="609">
        <v>19690.16</v>
      </c>
      <c r="F877" s="609">
        <v>19607.349999999999</v>
      </c>
      <c r="G877" s="609">
        <v>33734.51</v>
      </c>
      <c r="H877" s="609">
        <v>23500</v>
      </c>
      <c r="I877" s="609">
        <v>21319.39</v>
      </c>
      <c r="J877" s="609">
        <v>23500</v>
      </c>
      <c r="K877" s="609">
        <v>23500</v>
      </c>
      <c r="L877" s="609">
        <v>0</v>
      </c>
      <c r="M877" s="609">
        <v>0</v>
      </c>
      <c r="N877" s="587">
        <f t="shared" si="93"/>
        <v>23500</v>
      </c>
      <c r="O877"/>
      <c r="P877" s="490">
        <f t="shared" si="100"/>
        <v>0</v>
      </c>
      <c r="Q877" t="str">
        <f t="shared" si="94"/>
        <v>52460</v>
      </c>
      <c r="R877" s="126" t="str">
        <f t="shared" si="95"/>
        <v>VEHICLE MAINTENANCE</v>
      </c>
      <c r="S877" s="125" t="str">
        <f t="shared" si="96"/>
        <v>100</v>
      </c>
      <c r="T877" s="125" t="str">
        <f t="shared" si="97"/>
        <v>35</v>
      </c>
      <c r="U877" s="125" t="str">
        <f t="shared" si="98"/>
        <v>353</v>
      </c>
      <c r="V877" s="125" t="str">
        <f>VLOOKUP(Q877,'GL Category'!A:C,3,FALSE)</f>
        <v>Operations &amp; maintenance</v>
      </c>
      <c r="W877"/>
      <c r="Y877"/>
    </row>
    <row r="878" spans="1:25" s="83" customFormat="1" ht="20.399999999999999" customHeight="1">
      <c r="A878" s="608" t="s">
        <v>791</v>
      </c>
      <c r="B878" s="608" t="s">
        <v>2797</v>
      </c>
      <c r="C878" s="608" t="s">
        <v>236</v>
      </c>
      <c r="D878" s="609">
        <v>25347.96</v>
      </c>
      <c r="E878" s="609">
        <v>17119.759999999998</v>
      </c>
      <c r="F878" s="609">
        <v>21663.34</v>
      </c>
      <c r="G878" s="609">
        <v>27161.040000000001</v>
      </c>
      <c r="H878" s="609">
        <v>35665</v>
      </c>
      <c r="I878" s="609">
        <v>24700.080000000002</v>
      </c>
      <c r="J878" s="609">
        <v>35665</v>
      </c>
      <c r="K878" s="609">
        <v>35665</v>
      </c>
      <c r="L878" s="609">
        <v>0</v>
      </c>
      <c r="M878" s="609">
        <v>0</v>
      </c>
      <c r="N878" s="587">
        <f t="shared" si="93"/>
        <v>35665</v>
      </c>
      <c r="O878"/>
      <c r="P878" s="490">
        <f t="shared" si="100"/>
        <v>0</v>
      </c>
      <c r="Q878" t="str">
        <f t="shared" si="94"/>
        <v>52470</v>
      </c>
      <c r="R878" s="126" t="str">
        <f t="shared" si="95"/>
        <v>EQUIPMENT MAINTENANCE</v>
      </c>
      <c r="S878" s="125" t="str">
        <f t="shared" si="96"/>
        <v>100</v>
      </c>
      <c r="T878" s="125" t="str">
        <f t="shared" si="97"/>
        <v>35</v>
      </c>
      <c r="U878" s="125" t="str">
        <f t="shared" si="98"/>
        <v>353</v>
      </c>
      <c r="V878" s="125" t="str">
        <f>VLOOKUP(Q878,'GL Category'!A:C,3,FALSE)</f>
        <v>Operations &amp; maintenance</v>
      </c>
      <c r="W878"/>
      <c r="Y878"/>
    </row>
    <row r="879" spans="1:25" s="83" customFormat="1" ht="14.4" customHeight="1">
      <c r="A879" s="608" t="s">
        <v>791</v>
      </c>
      <c r="B879" s="608" t="s">
        <v>2800</v>
      </c>
      <c r="C879" s="608" t="s">
        <v>190</v>
      </c>
      <c r="D879" s="609">
        <v>5334.06</v>
      </c>
      <c r="E879" s="609">
        <v>7001.2</v>
      </c>
      <c r="F879" s="609">
        <v>5739.72</v>
      </c>
      <c r="G879" s="609">
        <v>10622.88</v>
      </c>
      <c r="H879" s="609">
        <v>12210</v>
      </c>
      <c r="I879" s="609">
        <v>1591.42</v>
      </c>
      <c r="J879" s="609">
        <v>7960</v>
      </c>
      <c r="K879" s="609">
        <v>12210</v>
      </c>
      <c r="L879" s="609">
        <v>0</v>
      </c>
      <c r="M879" s="609">
        <v>0</v>
      </c>
      <c r="N879" s="587">
        <f t="shared" si="93"/>
        <v>12210</v>
      </c>
      <c r="O879"/>
      <c r="P879" s="490">
        <f t="shared" si="100"/>
        <v>0</v>
      </c>
      <c r="Q879" t="str">
        <f t="shared" si="94"/>
        <v>53510</v>
      </c>
      <c r="R879" s="126" t="str">
        <f t="shared" si="95"/>
        <v>DUES &amp; SUBSCRIPTIONS</v>
      </c>
      <c r="S879" s="125" t="str">
        <f t="shared" si="96"/>
        <v>100</v>
      </c>
      <c r="T879" s="125" t="str">
        <f t="shared" si="97"/>
        <v>35</v>
      </c>
      <c r="U879" s="125" t="str">
        <f t="shared" si="98"/>
        <v>353</v>
      </c>
      <c r="V879" s="125" t="str">
        <f>VLOOKUP(Q879,'GL Category'!A:C,3,FALSE)</f>
        <v>Services &amp; other</v>
      </c>
      <c r="W879" s="125"/>
    </row>
    <row r="880" spans="1:25" s="83" customFormat="1" ht="14.4" customHeight="1">
      <c r="A880" s="608" t="s">
        <v>791</v>
      </c>
      <c r="B880" s="608" t="s">
        <v>2801</v>
      </c>
      <c r="C880" s="608" t="s">
        <v>191</v>
      </c>
      <c r="D880" s="609">
        <v>19531.310000000001</v>
      </c>
      <c r="E880" s="609">
        <v>15284</v>
      </c>
      <c r="F880" s="609">
        <v>16403.580000000002</v>
      </c>
      <c r="G880" s="609">
        <v>33009.4</v>
      </c>
      <c r="H880" s="609">
        <v>22400</v>
      </c>
      <c r="I880" s="609">
        <v>16295</v>
      </c>
      <c r="J880" s="609">
        <v>27400</v>
      </c>
      <c r="K880" s="609">
        <v>27400</v>
      </c>
      <c r="L880" s="609">
        <v>0</v>
      </c>
      <c r="M880" s="609">
        <v>0</v>
      </c>
      <c r="N880" s="587">
        <f t="shared" si="93"/>
        <v>27400</v>
      </c>
      <c r="O880"/>
      <c r="P880" s="490">
        <f t="shared" si="100"/>
        <v>5000</v>
      </c>
      <c r="Q880" t="str">
        <f t="shared" si="94"/>
        <v>53515</v>
      </c>
      <c r="R880" s="126" t="str">
        <f t="shared" si="95"/>
        <v>TRAVEL, TRAINING &amp; EDUCATION</v>
      </c>
      <c r="S880" s="125" t="str">
        <f t="shared" si="96"/>
        <v>100</v>
      </c>
      <c r="T880" s="125" t="str">
        <f t="shared" si="97"/>
        <v>35</v>
      </c>
      <c r="U880" s="125" t="str">
        <f t="shared" si="98"/>
        <v>353</v>
      </c>
      <c r="V880" s="125" t="str">
        <f>VLOOKUP(Q880,'GL Category'!A:C,3,FALSE)</f>
        <v>Services &amp; other</v>
      </c>
      <c r="W880"/>
      <c r="Y880"/>
    </row>
    <row r="881" spans="1:27" s="83" customFormat="1" ht="14.4" customHeight="1">
      <c r="A881" s="608" t="s">
        <v>791</v>
      </c>
      <c r="B881" s="608" t="s">
        <v>2802</v>
      </c>
      <c r="C881" s="608" t="s">
        <v>195</v>
      </c>
      <c r="D881" s="609">
        <v>13900</v>
      </c>
      <c r="E881" s="609">
        <v>14206.6</v>
      </c>
      <c r="F881" s="609">
        <v>13095</v>
      </c>
      <c r="G881" s="609">
        <v>0</v>
      </c>
      <c r="H881" s="609">
        <v>0</v>
      </c>
      <c r="I881" s="609">
        <v>0</v>
      </c>
      <c r="J881" s="609">
        <v>0</v>
      </c>
      <c r="K881" s="609">
        <v>0</v>
      </c>
      <c r="L881" s="609">
        <v>0</v>
      </c>
      <c r="M881" s="609">
        <v>0</v>
      </c>
      <c r="N881" s="587">
        <f t="shared" si="93"/>
        <v>0</v>
      </c>
      <c r="O881"/>
      <c r="P881" s="490">
        <f t="shared" si="100"/>
        <v>0</v>
      </c>
      <c r="Q881" t="str">
        <f t="shared" si="94"/>
        <v>53517</v>
      </c>
      <c r="R881" s="126" t="str">
        <f t="shared" si="95"/>
        <v>MEDICAL SERVICES</v>
      </c>
      <c r="S881" s="125" t="str">
        <f t="shared" si="96"/>
        <v>100</v>
      </c>
      <c r="T881" s="125" t="str">
        <f t="shared" si="97"/>
        <v>35</v>
      </c>
      <c r="U881" s="125" t="str">
        <f t="shared" si="98"/>
        <v>353</v>
      </c>
      <c r="V881" s="125" t="str">
        <f>VLOOKUP(Q881,'GL Category'!A:C,3,FALSE)</f>
        <v>Services &amp; other</v>
      </c>
      <c r="W881"/>
      <c r="Y881"/>
    </row>
    <row r="882" spans="1:27" s="83" customFormat="1" ht="14.4" customHeight="1">
      <c r="A882" s="608" t="s">
        <v>791</v>
      </c>
      <c r="B882" s="608" t="s">
        <v>2803</v>
      </c>
      <c r="C882" s="608" t="s">
        <v>837</v>
      </c>
      <c r="D882" s="609">
        <v>93447.56</v>
      </c>
      <c r="E882" s="609">
        <v>113443.81</v>
      </c>
      <c r="F882" s="609">
        <v>122834.49</v>
      </c>
      <c r="G882" s="609">
        <v>122189.61</v>
      </c>
      <c r="H882" s="609">
        <v>115000</v>
      </c>
      <c r="I882" s="609">
        <v>112314.54</v>
      </c>
      <c r="J882" s="609">
        <v>120000</v>
      </c>
      <c r="K882" s="609">
        <v>115000</v>
      </c>
      <c r="L882" s="609">
        <v>10000</v>
      </c>
      <c r="M882" s="609">
        <v>0</v>
      </c>
      <c r="N882" s="587">
        <f t="shared" si="93"/>
        <v>125000</v>
      </c>
      <c r="O882"/>
      <c r="P882" s="490"/>
      <c r="Q882" t="str">
        <f t="shared" si="94"/>
        <v>53520</v>
      </c>
      <c r="R882" s="126" t="str">
        <f t="shared" si="95"/>
        <v>AMBULANCE BILLING FEES</v>
      </c>
      <c r="S882" s="125" t="str">
        <f t="shared" si="96"/>
        <v>100</v>
      </c>
      <c r="T882" s="125" t="str">
        <f t="shared" si="97"/>
        <v>35</v>
      </c>
      <c r="U882" s="125" t="str">
        <f t="shared" si="98"/>
        <v>353</v>
      </c>
      <c r="V882" s="125" t="str">
        <f>VLOOKUP(Q882,'GL Category'!A:C,3,FALSE)</f>
        <v>Services &amp; other</v>
      </c>
      <c r="W882"/>
      <c r="Y882"/>
    </row>
    <row r="883" spans="1:27" s="83" customFormat="1" ht="20.399999999999999" customHeight="1">
      <c r="A883" s="608" t="s">
        <v>791</v>
      </c>
      <c r="B883" s="608" t="s">
        <v>2799</v>
      </c>
      <c r="C883" s="608" t="s">
        <v>238</v>
      </c>
      <c r="D883" s="609">
        <v>12446.31</v>
      </c>
      <c r="E883" s="609">
        <v>12149.66</v>
      </c>
      <c r="F883" s="609">
        <v>12603.78</v>
      </c>
      <c r="G883" s="609">
        <v>47880</v>
      </c>
      <c r="H883" s="609">
        <v>14600</v>
      </c>
      <c r="I883" s="609">
        <v>13167.33</v>
      </c>
      <c r="J883" s="609">
        <v>14600</v>
      </c>
      <c r="K883" s="609">
        <v>14600</v>
      </c>
      <c r="L883" s="609">
        <v>0</v>
      </c>
      <c r="M883" s="609">
        <v>0</v>
      </c>
      <c r="N883" s="587">
        <f t="shared" si="93"/>
        <v>14600</v>
      </c>
      <c r="O883"/>
      <c r="P883" s="490"/>
      <c r="Q883" t="str">
        <f t="shared" si="94"/>
        <v>53599</v>
      </c>
      <c r="R883" s="126" t="str">
        <f t="shared" si="95"/>
        <v>MISCELLANEOUS SERVICES</v>
      </c>
      <c r="S883" s="125" t="str">
        <f t="shared" si="96"/>
        <v>100</v>
      </c>
      <c r="T883" s="125" t="str">
        <f t="shared" si="97"/>
        <v>35</v>
      </c>
      <c r="U883" s="125" t="str">
        <f t="shared" si="98"/>
        <v>353</v>
      </c>
      <c r="V883" s="125" t="str">
        <f>VLOOKUP(Q883,'GL Category'!A:C,3,FALSE)</f>
        <v>Services &amp; other</v>
      </c>
      <c r="W883"/>
      <c r="Y883"/>
    </row>
    <row r="884" spans="1:27" s="83" customFormat="1" ht="20.399999999999999" customHeight="1">
      <c r="A884" s="608" t="s">
        <v>791</v>
      </c>
      <c r="B884" s="608" t="s">
        <v>2805</v>
      </c>
      <c r="C884" s="608" t="s">
        <v>221</v>
      </c>
      <c r="D884" s="609">
        <v>26236</v>
      </c>
      <c r="E884" s="609">
        <v>28011</v>
      </c>
      <c r="F884" s="609">
        <v>28882</v>
      </c>
      <c r="G884" s="609">
        <v>28764</v>
      </c>
      <c r="H884" s="609">
        <v>23950</v>
      </c>
      <c r="I884" s="609">
        <v>17962.5</v>
      </c>
      <c r="J884" s="609">
        <v>23950</v>
      </c>
      <c r="K884" s="609">
        <v>24814</v>
      </c>
      <c r="L884" s="609">
        <v>0</v>
      </c>
      <c r="M884" s="609">
        <v>0</v>
      </c>
      <c r="N884" s="587">
        <f t="shared" si="93"/>
        <v>24814</v>
      </c>
      <c r="O884"/>
      <c r="P884" s="490"/>
      <c r="Q884" t="str">
        <f t="shared" si="94"/>
        <v>55119</v>
      </c>
      <c r="R884" s="126" t="str">
        <f t="shared" si="95"/>
        <v>OFFICE EQUIP LEASE EXP-CITY</v>
      </c>
      <c r="S884" s="125" t="str">
        <f t="shared" si="96"/>
        <v>100</v>
      </c>
      <c r="T884" s="125" t="str">
        <f t="shared" si="97"/>
        <v>35</v>
      </c>
      <c r="U884" s="125" t="str">
        <f t="shared" si="98"/>
        <v>353</v>
      </c>
      <c r="V884" s="125" t="str">
        <f>VLOOKUP(Q884,'GL Category'!A:C,3,FALSE)</f>
        <v>Services &amp; other</v>
      </c>
      <c r="W884"/>
      <c r="Y884"/>
    </row>
    <row r="885" spans="1:27" s="83" customFormat="1" ht="20.399999999999999" customHeight="1">
      <c r="A885" s="608" t="s">
        <v>791</v>
      </c>
      <c r="B885" s="608" t="s">
        <v>2804</v>
      </c>
      <c r="C885" s="608" t="s">
        <v>220</v>
      </c>
      <c r="D885" s="609">
        <v>18948</v>
      </c>
      <c r="E885" s="609">
        <v>18948</v>
      </c>
      <c r="F885" s="609">
        <v>32888</v>
      </c>
      <c r="G885" s="609">
        <v>71565</v>
      </c>
      <c r="H885" s="609">
        <v>116877</v>
      </c>
      <c r="I885" s="609">
        <v>87657.75</v>
      </c>
      <c r="J885" s="609">
        <v>116877</v>
      </c>
      <c r="K885" s="609">
        <v>136296</v>
      </c>
      <c r="L885" s="609">
        <v>0</v>
      </c>
      <c r="M885" s="609">
        <v>0</v>
      </c>
      <c r="N885" s="587">
        <f t="shared" si="93"/>
        <v>136296</v>
      </c>
      <c r="O885"/>
      <c r="P885" s="490"/>
      <c r="Q885" t="str">
        <f t="shared" si="94"/>
        <v>55175</v>
      </c>
      <c r="R885" s="126" t="str">
        <f t="shared" si="95"/>
        <v>VEHICLE/EQUIP LEASE EXP-CITY</v>
      </c>
      <c r="S885" s="125" t="str">
        <f t="shared" si="96"/>
        <v>100</v>
      </c>
      <c r="T885" s="125" t="str">
        <f t="shared" si="97"/>
        <v>35</v>
      </c>
      <c r="U885" s="125" t="str">
        <f t="shared" si="98"/>
        <v>353</v>
      </c>
      <c r="V885" s="125" t="str">
        <f>VLOOKUP(Q885,'GL Category'!A:C,3,FALSE)</f>
        <v>Services &amp; other</v>
      </c>
      <c r="W885"/>
      <c r="Y885"/>
    </row>
    <row r="886" spans="1:27" s="83" customFormat="1" ht="20.399999999999999" customHeight="1">
      <c r="A886" s="608" t="s">
        <v>791</v>
      </c>
      <c r="B886" s="608" t="s">
        <v>2807</v>
      </c>
      <c r="C886" s="608" t="s">
        <v>4</v>
      </c>
      <c r="D886" s="609">
        <v>1050.3599999999999</v>
      </c>
      <c r="E886" s="609">
        <v>77.349999999999994</v>
      </c>
      <c r="F886" s="609">
        <v>0</v>
      </c>
      <c r="G886" s="609">
        <v>934.79</v>
      </c>
      <c r="H886" s="609">
        <v>2450</v>
      </c>
      <c r="I886" s="609">
        <v>764.64</v>
      </c>
      <c r="J886" s="609">
        <v>2450</v>
      </c>
      <c r="K886" s="609">
        <v>2450</v>
      </c>
      <c r="L886" s="609">
        <v>0</v>
      </c>
      <c r="M886" s="609">
        <v>0</v>
      </c>
      <c r="N886" s="587">
        <f t="shared" si="93"/>
        <v>2450</v>
      </c>
      <c r="O886"/>
      <c r="P886" s="490"/>
      <c r="Q886" t="str">
        <f t="shared" si="94"/>
        <v>51245</v>
      </c>
      <c r="R886" s="126" t="str">
        <f t="shared" si="95"/>
        <v>SMALL TOOLS &amp; EQUIPMENT</v>
      </c>
      <c r="S886" s="125" t="str">
        <f t="shared" si="96"/>
        <v>100</v>
      </c>
      <c r="T886" s="125" t="str">
        <f t="shared" si="97"/>
        <v>35</v>
      </c>
      <c r="U886" s="125" t="str">
        <f t="shared" si="98"/>
        <v>354</v>
      </c>
      <c r="V886" s="125" t="str">
        <f>VLOOKUP(Q886,'GL Category'!A:C,3,FALSE)</f>
        <v>Operations &amp; maintenance</v>
      </c>
      <c r="W886"/>
      <c r="Y886"/>
    </row>
    <row r="887" spans="1:27" s="83" customFormat="1" ht="20.399999999999999" customHeight="1">
      <c r="A887" s="608" t="s">
        <v>791</v>
      </c>
      <c r="B887" s="608" t="s">
        <v>2808</v>
      </c>
      <c r="C887" s="608" t="s">
        <v>161</v>
      </c>
      <c r="D887" s="609">
        <v>71.040000000000006</v>
      </c>
      <c r="E887" s="609">
        <v>47.34</v>
      </c>
      <c r="F887" s="609">
        <v>156.27000000000001</v>
      </c>
      <c r="G887" s="609">
        <v>0</v>
      </c>
      <c r="H887" s="609">
        <v>500</v>
      </c>
      <c r="I887" s="609">
        <v>0</v>
      </c>
      <c r="J887" s="609">
        <v>500</v>
      </c>
      <c r="K887" s="609">
        <v>500</v>
      </c>
      <c r="L887" s="609">
        <v>0</v>
      </c>
      <c r="M887" s="609">
        <v>0</v>
      </c>
      <c r="N887" s="587">
        <f t="shared" si="93"/>
        <v>500</v>
      </c>
      <c r="O887"/>
      <c r="P887" s="490"/>
      <c r="Q887" t="str">
        <f t="shared" si="94"/>
        <v>51255</v>
      </c>
      <c r="R887" s="126" t="str">
        <f t="shared" si="95"/>
        <v>FUEL/OILS/LUBRICANTS</v>
      </c>
      <c r="S887" s="125" t="str">
        <f t="shared" si="96"/>
        <v>100</v>
      </c>
      <c r="T887" s="125" t="str">
        <f t="shared" si="97"/>
        <v>35</v>
      </c>
      <c r="U887" s="125" t="str">
        <f t="shared" si="98"/>
        <v>354</v>
      </c>
      <c r="V887" s="125" t="str">
        <f>VLOOKUP(Q887,'GL Category'!A:C,3,FALSE)</f>
        <v>Operations &amp; maintenance</v>
      </c>
      <c r="W887"/>
      <c r="Y887"/>
    </row>
    <row r="888" spans="1:27" s="83" customFormat="1" ht="20.399999999999999" customHeight="1">
      <c r="A888" s="608" t="s">
        <v>791</v>
      </c>
      <c r="B888" s="608" t="s">
        <v>2810</v>
      </c>
      <c r="C888" s="608" t="s">
        <v>254</v>
      </c>
      <c r="D888" s="609">
        <v>0</v>
      </c>
      <c r="E888" s="609">
        <v>0</v>
      </c>
      <c r="F888" s="609">
        <v>0</v>
      </c>
      <c r="G888" s="609">
        <v>0</v>
      </c>
      <c r="H888" s="609">
        <v>500</v>
      </c>
      <c r="I888" s="609">
        <v>0</v>
      </c>
      <c r="J888" s="609">
        <v>500</v>
      </c>
      <c r="K888" s="609">
        <v>500</v>
      </c>
      <c r="L888" s="609">
        <v>0</v>
      </c>
      <c r="M888" s="609">
        <v>0</v>
      </c>
      <c r="N888" s="587">
        <f t="shared" si="93"/>
        <v>500</v>
      </c>
      <c r="O888"/>
      <c r="P888" s="490">
        <f>N888-H888</f>
        <v>0</v>
      </c>
      <c r="Q888" t="str">
        <f t="shared" si="94"/>
        <v>51292</v>
      </c>
      <c r="R888" s="126" t="str">
        <f t="shared" si="95"/>
        <v>TRAINING SUPPLIES</v>
      </c>
      <c r="S888" s="125" t="str">
        <f t="shared" si="96"/>
        <v>100</v>
      </c>
      <c r="T888" s="125" t="str">
        <f t="shared" si="97"/>
        <v>35</v>
      </c>
      <c r="U888" s="125" t="str">
        <f t="shared" si="98"/>
        <v>354</v>
      </c>
      <c r="V888" s="125" t="str">
        <f>VLOOKUP(Q888,'GL Category'!A:C,3,FALSE)</f>
        <v>Operations &amp; maintenance</v>
      </c>
      <c r="W888"/>
      <c r="Y888"/>
      <c r="Z888" s="527"/>
    </row>
    <row r="889" spans="1:27" s="83" customFormat="1" ht="20.399999999999999" customHeight="1">
      <c r="A889" s="608" t="s">
        <v>791</v>
      </c>
      <c r="B889" s="608" t="s">
        <v>2811</v>
      </c>
      <c r="C889" s="608" t="s">
        <v>175</v>
      </c>
      <c r="D889" s="609">
        <v>0</v>
      </c>
      <c r="E889" s="609">
        <v>0</v>
      </c>
      <c r="F889" s="609">
        <v>0</v>
      </c>
      <c r="G889" s="609">
        <v>0</v>
      </c>
      <c r="H889" s="609">
        <v>500</v>
      </c>
      <c r="I889" s="609">
        <v>0</v>
      </c>
      <c r="J889" s="609">
        <v>500</v>
      </c>
      <c r="K889" s="609">
        <v>500</v>
      </c>
      <c r="L889" s="609">
        <v>0</v>
      </c>
      <c r="M889" s="609">
        <v>0</v>
      </c>
      <c r="N889" s="587">
        <f t="shared" si="93"/>
        <v>500</v>
      </c>
      <c r="O889"/>
      <c r="P889" s="490">
        <f>N889-H889</f>
        <v>0</v>
      </c>
      <c r="Q889" t="str">
        <f t="shared" si="94"/>
        <v>52440</v>
      </c>
      <c r="R889" s="126" t="str">
        <f t="shared" si="95"/>
        <v>RADIO MAINTENANCE</v>
      </c>
      <c r="S889" s="125" t="str">
        <f t="shared" si="96"/>
        <v>100</v>
      </c>
      <c r="T889" s="125" t="str">
        <f t="shared" si="97"/>
        <v>35</v>
      </c>
      <c r="U889" s="125" t="str">
        <f t="shared" si="98"/>
        <v>354</v>
      </c>
      <c r="V889" s="125" t="str">
        <f>VLOOKUP(Q889,'GL Category'!A:C,3,FALSE)</f>
        <v>Operations &amp; maintenance</v>
      </c>
      <c r="W889"/>
      <c r="Y889"/>
      <c r="Z889" s="527"/>
    </row>
    <row r="890" spans="1:27" s="83" customFormat="1" ht="20.399999999999999" customHeight="1">
      <c r="A890" s="608" t="s">
        <v>791</v>
      </c>
      <c r="B890" s="608" t="s">
        <v>2812</v>
      </c>
      <c r="C890" s="608" t="s">
        <v>241</v>
      </c>
      <c r="D890" s="609">
        <v>706.66</v>
      </c>
      <c r="E890" s="609">
        <v>957.95</v>
      </c>
      <c r="F890" s="609">
        <v>809.54</v>
      </c>
      <c r="G890" s="609">
        <v>1305.46</v>
      </c>
      <c r="H890" s="609">
        <v>9965</v>
      </c>
      <c r="I890" s="609">
        <v>9159.06</v>
      </c>
      <c r="J890" s="609">
        <v>9965</v>
      </c>
      <c r="K890" s="609">
        <v>1965</v>
      </c>
      <c r="L890" s="609">
        <v>0</v>
      </c>
      <c r="M890" s="609">
        <v>0</v>
      </c>
      <c r="N890" s="587">
        <f t="shared" si="93"/>
        <v>1965</v>
      </c>
      <c r="O890"/>
      <c r="P890" s="490">
        <f>N890-H890</f>
        <v>-8000</v>
      </c>
      <c r="Q890" t="str">
        <f t="shared" si="94"/>
        <v>52460</v>
      </c>
      <c r="R890" s="126" t="str">
        <f t="shared" si="95"/>
        <v>VEHICLE MAINTENANCE</v>
      </c>
      <c r="S890" s="125" t="str">
        <f t="shared" si="96"/>
        <v>100</v>
      </c>
      <c r="T890" s="125" t="str">
        <f t="shared" si="97"/>
        <v>35</v>
      </c>
      <c r="U890" s="125" t="str">
        <f t="shared" si="98"/>
        <v>354</v>
      </c>
      <c r="V890" s="125" t="str">
        <f>VLOOKUP(Q890,'GL Category'!A:C,3,FALSE)</f>
        <v>Operations &amp; maintenance</v>
      </c>
      <c r="W890"/>
      <c r="Y890"/>
      <c r="Z890" s="528"/>
    </row>
    <row r="891" spans="1:27" s="83" customFormat="1" ht="20.399999999999999" customHeight="1">
      <c r="A891" s="608" t="s">
        <v>791</v>
      </c>
      <c r="B891" s="608" t="s">
        <v>2813</v>
      </c>
      <c r="C891" s="608" t="s">
        <v>236</v>
      </c>
      <c r="D891" s="609">
        <v>1182.4000000000001</v>
      </c>
      <c r="E891" s="609">
        <v>1932.78</v>
      </c>
      <c r="F891" s="609">
        <v>201.56</v>
      </c>
      <c r="G891" s="609">
        <v>40562.870000000003</v>
      </c>
      <c r="H891" s="609">
        <v>8000</v>
      </c>
      <c r="I891" s="609">
        <v>10155.32</v>
      </c>
      <c r="J891" s="609">
        <v>10500</v>
      </c>
      <c r="K891" s="609">
        <v>13250</v>
      </c>
      <c r="L891" s="609">
        <v>0</v>
      </c>
      <c r="M891" s="609">
        <v>0</v>
      </c>
      <c r="N891" s="587">
        <f t="shared" si="93"/>
        <v>13250</v>
      </c>
      <c r="O891"/>
      <c r="P891" s="490">
        <f>N891-H891</f>
        <v>5250</v>
      </c>
      <c r="Q891" t="str">
        <f t="shared" si="94"/>
        <v>52470</v>
      </c>
      <c r="R891" s="126" t="str">
        <f t="shared" si="95"/>
        <v>EQUIPMENT MAINTENANCE</v>
      </c>
      <c r="S891" s="125" t="str">
        <f t="shared" si="96"/>
        <v>100</v>
      </c>
      <c r="T891" s="125" t="str">
        <f t="shared" si="97"/>
        <v>35</v>
      </c>
      <c r="U891" s="125" t="str">
        <f t="shared" si="98"/>
        <v>354</v>
      </c>
      <c r="V891" s="125" t="str">
        <f>VLOOKUP(Q891,'GL Category'!A:C,3,FALSE)</f>
        <v>Operations &amp; maintenance</v>
      </c>
      <c r="W891"/>
      <c r="Y891"/>
    </row>
    <row r="892" spans="1:27" s="83" customFormat="1" ht="20.399999999999999" customHeight="1">
      <c r="A892" s="608" t="s">
        <v>791</v>
      </c>
      <c r="B892" s="608" t="s">
        <v>2815</v>
      </c>
      <c r="C892" s="608" t="s">
        <v>190</v>
      </c>
      <c r="D892" s="609">
        <v>7750</v>
      </c>
      <c r="E892" s="609">
        <v>7750</v>
      </c>
      <c r="F892" s="609">
        <v>7750</v>
      </c>
      <c r="G892" s="609">
        <v>6812.5</v>
      </c>
      <c r="H892" s="609">
        <v>8000</v>
      </c>
      <c r="I892" s="609">
        <v>6812.5</v>
      </c>
      <c r="J892" s="609">
        <v>8000</v>
      </c>
      <c r="K892" s="609">
        <v>8000</v>
      </c>
      <c r="L892" s="609">
        <v>0</v>
      </c>
      <c r="M892" s="609">
        <v>0</v>
      </c>
      <c r="N892" s="587">
        <f t="shared" si="93"/>
        <v>8000</v>
      </c>
      <c r="O892"/>
      <c r="P892" s="490">
        <f>N892-H892</f>
        <v>0</v>
      </c>
      <c r="Q892" t="str">
        <f t="shared" si="94"/>
        <v>53510</v>
      </c>
      <c r="R892" s="126" t="str">
        <f t="shared" si="95"/>
        <v>DUES &amp; SUBSCRIPTIONS</v>
      </c>
      <c r="S892" s="125" t="str">
        <f t="shared" si="96"/>
        <v>100</v>
      </c>
      <c r="T892" s="125" t="str">
        <f t="shared" si="97"/>
        <v>35</v>
      </c>
      <c r="U892" s="125" t="str">
        <f t="shared" si="98"/>
        <v>354</v>
      </c>
      <c r="V892" s="125" t="str">
        <f>VLOOKUP(Q892,'GL Category'!A:C,3,FALSE)</f>
        <v>Services &amp; other</v>
      </c>
      <c r="W892"/>
      <c r="Y892"/>
      <c r="Z892"/>
      <c r="AA892" s="527"/>
    </row>
    <row r="893" spans="1:27" s="83" customFormat="1" ht="20.399999999999999" customHeight="1">
      <c r="A893" s="608" t="s">
        <v>791</v>
      </c>
      <c r="B893" s="608" t="s">
        <v>2816</v>
      </c>
      <c r="C893" s="608" t="s">
        <v>191</v>
      </c>
      <c r="D893" s="609">
        <v>0</v>
      </c>
      <c r="E893" s="609">
        <v>0</v>
      </c>
      <c r="F893" s="609">
        <v>0</v>
      </c>
      <c r="G893" s="609">
        <v>0</v>
      </c>
      <c r="H893" s="609">
        <v>4000</v>
      </c>
      <c r="I893" s="609">
        <v>300</v>
      </c>
      <c r="J893" s="609">
        <v>4000</v>
      </c>
      <c r="K893" s="609">
        <v>4000</v>
      </c>
      <c r="L893" s="609">
        <v>0</v>
      </c>
      <c r="M893" s="609">
        <v>0</v>
      </c>
      <c r="N893" s="587">
        <f t="shared" si="93"/>
        <v>4000</v>
      </c>
      <c r="O893"/>
      <c r="P893" s="490"/>
      <c r="Q893" t="str">
        <f t="shared" si="94"/>
        <v>53515</v>
      </c>
      <c r="R893" s="126" t="str">
        <f t="shared" si="95"/>
        <v>TRAVEL, TRAINING &amp; EDUCATION</v>
      </c>
      <c r="S893" s="125" t="str">
        <f t="shared" si="96"/>
        <v>100</v>
      </c>
      <c r="T893" s="125" t="str">
        <f t="shared" si="97"/>
        <v>35</v>
      </c>
      <c r="U893" s="125" t="str">
        <f t="shared" si="98"/>
        <v>354</v>
      </c>
      <c r="V893" s="125" t="str">
        <f>VLOOKUP(Q893,'GL Category'!A:C,3,FALSE)</f>
        <v>Services &amp; other</v>
      </c>
      <c r="W893"/>
      <c r="Y893"/>
      <c r="Z893"/>
      <c r="AA893" s="528"/>
    </row>
    <row r="894" spans="1:27" s="83" customFormat="1" ht="20.399999999999999" customHeight="1">
      <c r="A894" s="608" t="s">
        <v>791</v>
      </c>
      <c r="B894" s="608" t="s">
        <v>2817</v>
      </c>
      <c r="C894" s="608" t="s">
        <v>215</v>
      </c>
      <c r="D894" s="609">
        <v>1692.65</v>
      </c>
      <c r="E894" s="609">
        <v>1693.84</v>
      </c>
      <c r="F894" s="609">
        <v>1726.54</v>
      </c>
      <c r="G894" s="609">
        <v>1794.84</v>
      </c>
      <c r="H894" s="609">
        <v>1890</v>
      </c>
      <c r="I894" s="609">
        <v>8079.98</v>
      </c>
      <c r="J894" s="609">
        <v>10000</v>
      </c>
      <c r="K894" s="609">
        <v>1890</v>
      </c>
      <c r="L894" s="609">
        <v>0</v>
      </c>
      <c r="M894" s="609">
        <v>0</v>
      </c>
      <c r="N894" s="587">
        <f t="shared" si="93"/>
        <v>1890</v>
      </c>
      <c r="O894"/>
      <c r="P894" s="490"/>
      <c r="Q894" t="str">
        <f t="shared" si="94"/>
        <v>53572</v>
      </c>
      <c r="R894" s="126" t="str">
        <f t="shared" si="95"/>
        <v>ELECTRICAL UTILITY SERVICE</v>
      </c>
      <c r="S894" s="125" t="str">
        <f t="shared" si="96"/>
        <v>100</v>
      </c>
      <c r="T894" s="125" t="str">
        <f t="shared" si="97"/>
        <v>35</v>
      </c>
      <c r="U894" s="125" t="str">
        <f t="shared" si="98"/>
        <v>354</v>
      </c>
      <c r="V894" s="125" t="str">
        <f>VLOOKUP(Q894,'GL Category'!A:C,3,FALSE)</f>
        <v>Services &amp; other</v>
      </c>
      <c r="W894"/>
      <c r="Y894"/>
      <c r="Z894"/>
    </row>
    <row r="895" spans="1:27" s="527" customFormat="1" ht="20.399999999999999" customHeight="1">
      <c r="A895" s="608" t="s">
        <v>791</v>
      </c>
      <c r="B895" s="608" t="s">
        <v>2817</v>
      </c>
      <c r="C895" s="608" t="s">
        <v>215</v>
      </c>
      <c r="D895" s="609">
        <v>0</v>
      </c>
      <c r="E895" s="609">
        <v>20574.2</v>
      </c>
      <c r="F895" s="609">
        <v>0</v>
      </c>
      <c r="G895" s="609">
        <v>0</v>
      </c>
      <c r="H895" s="609">
        <v>0</v>
      </c>
      <c r="I895" s="609">
        <v>0</v>
      </c>
      <c r="J895" s="609">
        <v>0</v>
      </c>
      <c r="K895" s="609">
        <v>0</v>
      </c>
      <c r="L895" s="609">
        <v>0</v>
      </c>
      <c r="M895" s="609">
        <v>0</v>
      </c>
      <c r="N895" s="587">
        <f t="shared" si="93"/>
        <v>0</v>
      </c>
      <c r="O895"/>
      <c r="P895" s="490"/>
      <c r="Q895" t="str">
        <f t="shared" si="94"/>
        <v>53572</v>
      </c>
      <c r="R895" s="126" t="str">
        <f t="shared" si="95"/>
        <v>ELECTRICAL UTILITY SERVICE</v>
      </c>
      <c r="S895" s="125" t="str">
        <f t="shared" si="96"/>
        <v>100</v>
      </c>
      <c r="T895" s="125" t="str">
        <f t="shared" si="97"/>
        <v>35</v>
      </c>
      <c r="U895" s="125" t="str">
        <f t="shared" si="98"/>
        <v>354</v>
      </c>
      <c r="V895" s="125" t="str">
        <f>VLOOKUP(Q895,'GL Category'!A:C,3,FALSE)</f>
        <v>Services &amp; other</v>
      </c>
      <c r="W895"/>
      <c r="X895" s="83"/>
      <c r="Y895"/>
      <c r="Z895"/>
      <c r="AA895"/>
    </row>
    <row r="896" spans="1:27" s="527" customFormat="1" ht="20.399999999999999" customHeight="1">
      <c r="A896" s="608" t="s">
        <v>791</v>
      </c>
      <c r="B896" s="608" t="s">
        <v>2818</v>
      </c>
      <c r="C896" s="608" t="s">
        <v>221</v>
      </c>
      <c r="D896" s="609">
        <v>1560</v>
      </c>
      <c r="E896" s="609">
        <v>1560</v>
      </c>
      <c r="F896" s="609">
        <v>1560</v>
      </c>
      <c r="G896" s="609">
        <v>1560</v>
      </c>
      <c r="H896" s="609">
        <v>1560</v>
      </c>
      <c r="I896" s="609">
        <v>1170</v>
      </c>
      <c r="J896" s="609">
        <v>1560</v>
      </c>
      <c r="K896" s="609">
        <v>1560</v>
      </c>
      <c r="L896" s="609">
        <v>0</v>
      </c>
      <c r="M896" s="609">
        <v>0</v>
      </c>
      <c r="N896" s="587">
        <f t="shared" si="93"/>
        <v>1560</v>
      </c>
      <c r="O896"/>
      <c r="P896" s="490"/>
      <c r="Q896" t="str">
        <f t="shared" si="94"/>
        <v>55119</v>
      </c>
      <c r="R896" s="126" t="str">
        <f t="shared" si="95"/>
        <v>OFFICE EQUIP LEASE EXP-CITY</v>
      </c>
      <c r="S896" s="125" t="str">
        <f t="shared" si="96"/>
        <v>100</v>
      </c>
      <c r="T896" s="125" t="str">
        <f t="shared" si="97"/>
        <v>35</v>
      </c>
      <c r="U896" s="125" t="str">
        <f t="shared" si="98"/>
        <v>354</v>
      </c>
      <c r="V896" s="125" t="str">
        <f>VLOOKUP(Q896,'GL Category'!A:C,3,FALSE)</f>
        <v>Services &amp; other</v>
      </c>
      <c r="W896"/>
      <c r="X896" s="83"/>
      <c r="Y896"/>
      <c r="Z896"/>
      <c r="AA896"/>
    </row>
    <row r="897" spans="1:27" s="528" customFormat="1" ht="20.399999999999999" customHeight="1">
      <c r="A897" s="608" t="s">
        <v>791</v>
      </c>
      <c r="B897" s="608" t="s">
        <v>2819</v>
      </c>
      <c r="C897" s="608" t="s">
        <v>268</v>
      </c>
      <c r="D897" s="609">
        <v>14843.62</v>
      </c>
      <c r="E897" s="609">
        <v>0</v>
      </c>
      <c r="F897" s="609">
        <v>0</v>
      </c>
      <c r="G897" s="609">
        <v>58942.34</v>
      </c>
      <c r="H897" s="609">
        <v>47600</v>
      </c>
      <c r="I897" s="609">
        <v>0</v>
      </c>
      <c r="J897" s="609">
        <v>0</v>
      </c>
      <c r="K897" s="609">
        <v>0</v>
      </c>
      <c r="L897" s="609">
        <v>58024</v>
      </c>
      <c r="M897" s="609">
        <v>0</v>
      </c>
      <c r="N897" s="587">
        <f t="shared" si="93"/>
        <v>58024</v>
      </c>
      <c r="O897"/>
      <c r="P897" s="490"/>
      <c r="Q897" t="str">
        <f t="shared" si="94"/>
        <v>58830</v>
      </c>
      <c r="R897" s="126" t="str">
        <f t="shared" si="95"/>
        <v>MACHINERY &amp; EQUIPMENT</v>
      </c>
      <c r="S897" s="125" t="str">
        <f t="shared" si="96"/>
        <v>100</v>
      </c>
      <c r="T897" s="125" t="str">
        <f t="shared" si="97"/>
        <v>35</v>
      </c>
      <c r="U897" s="125" t="str">
        <f t="shared" si="98"/>
        <v>354</v>
      </c>
      <c r="V897" s="125" t="str">
        <f>VLOOKUP(Q897,'GL Category'!A:C,3,FALSE)</f>
        <v>Capital Outlay</v>
      </c>
      <c r="W897"/>
      <c r="X897" s="83"/>
      <c r="Y897"/>
      <c r="Z897"/>
      <c r="AA897"/>
    </row>
    <row r="898" spans="1:27" s="83" customFormat="1" ht="20.399999999999999" customHeight="1">
      <c r="A898" s="608" t="s">
        <v>791</v>
      </c>
      <c r="B898" s="608" t="s">
        <v>2820</v>
      </c>
      <c r="C898" s="608" t="s">
        <v>130</v>
      </c>
      <c r="D898" s="609">
        <v>260429.64</v>
      </c>
      <c r="E898" s="609">
        <v>238801.97</v>
      </c>
      <c r="F898" s="609">
        <v>159642.75</v>
      </c>
      <c r="G898" s="609">
        <v>260627.97</v>
      </c>
      <c r="H898" s="609">
        <v>296089</v>
      </c>
      <c r="I898" s="609">
        <v>226933.22</v>
      </c>
      <c r="J898" s="609">
        <v>297900</v>
      </c>
      <c r="K898" s="609">
        <v>308059</v>
      </c>
      <c r="L898" s="609">
        <v>0</v>
      </c>
      <c r="M898" s="609">
        <v>0</v>
      </c>
      <c r="N898" s="587">
        <f t="shared" si="93"/>
        <v>308059</v>
      </c>
      <c r="O898"/>
      <c r="P898" s="490"/>
      <c r="Q898" t="str">
        <f t="shared" si="94"/>
        <v>50101</v>
      </c>
      <c r="R898" s="126" t="str">
        <f t="shared" si="95"/>
        <v>EXEMPT SALARIES</v>
      </c>
      <c r="S898" s="125" t="str">
        <f t="shared" si="96"/>
        <v>100</v>
      </c>
      <c r="T898" s="125" t="str">
        <f t="shared" si="97"/>
        <v>50</v>
      </c>
      <c r="U898" s="125" t="str">
        <f t="shared" si="98"/>
        <v>501</v>
      </c>
      <c r="V898" s="125" t="str">
        <f>VLOOKUP(Q898,'GL Category'!A:C,3,FALSE)</f>
        <v>Personnel services</v>
      </c>
      <c r="W898"/>
      <c r="Y898"/>
      <c r="Z898"/>
      <c r="AA898"/>
    </row>
    <row r="899" spans="1:27" ht="20.399999999999999" customHeight="1">
      <c r="A899" s="608" t="s">
        <v>791</v>
      </c>
      <c r="B899" s="608" t="s">
        <v>2821</v>
      </c>
      <c r="C899" s="608" t="s">
        <v>132</v>
      </c>
      <c r="D899" s="609">
        <v>45687.38</v>
      </c>
      <c r="E899" s="609">
        <v>46983.58</v>
      </c>
      <c r="F899" s="609">
        <v>29508.28</v>
      </c>
      <c r="G899" s="609">
        <v>35197.72</v>
      </c>
      <c r="H899" s="609">
        <v>39806</v>
      </c>
      <c r="I899" s="609">
        <v>30528.01</v>
      </c>
      <c r="J899" s="609">
        <v>40064</v>
      </c>
      <c r="K899" s="609">
        <v>41771</v>
      </c>
      <c r="L899" s="609">
        <v>0</v>
      </c>
      <c r="M899" s="609">
        <v>0</v>
      </c>
      <c r="N899" s="587">
        <f t="shared" si="93"/>
        <v>41771</v>
      </c>
      <c r="Q899" t="str">
        <f t="shared" si="94"/>
        <v>50102</v>
      </c>
      <c r="R899" s="126" t="str">
        <f t="shared" si="95"/>
        <v>NON EXEMPT SALARIES</v>
      </c>
      <c r="S899" s="125" t="str">
        <f t="shared" si="96"/>
        <v>100</v>
      </c>
      <c r="T899" s="125" t="str">
        <f t="shared" si="97"/>
        <v>50</v>
      </c>
      <c r="U899" s="125" t="str">
        <f t="shared" si="98"/>
        <v>501</v>
      </c>
      <c r="V899" s="125" t="str">
        <f>VLOOKUP(Q899,'GL Category'!A:C,3,FALSE)</f>
        <v>Personnel services</v>
      </c>
      <c r="X899" s="83"/>
    </row>
    <row r="900" spans="1:27" ht="20.399999999999999" customHeight="1">
      <c r="A900" s="608" t="s">
        <v>791</v>
      </c>
      <c r="B900" s="608" t="s">
        <v>2822</v>
      </c>
      <c r="C900" s="608" t="s">
        <v>0</v>
      </c>
      <c r="D900" s="609">
        <v>378.73</v>
      </c>
      <c r="E900" s="609">
        <v>151.27000000000001</v>
      </c>
      <c r="F900" s="609">
        <v>62.54</v>
      </c>
      <c r="G900" s="609">
        <v>41.45</v>
      </c>
      <c r="H900" s="609">
        <v>600</v>
      </c>
      <c r="I900" s="609">
        <v>71.34</v>
      </c>
      <c r="J900" s="609">
        <v>110</v>
      </c>
      <c r="K900" s="609">
        <v>600</v>
      </c>
      <c r="L900" s="609">
        <v>0</v>
      </c>
      <c r="M900" s="609">
        <v>0</v>
      </c>
      <c r="N900" s="587">
        <f t="shared" ref="N900:N963" si="101">SUM(K900:M900)</f>
        <v>600</v>
      </c>
      <c r="Q900" t="str">
        <f t="shared" ref="Q900:Q963" si="102">MID(B900,12,5)</f>
        <v>50109</v>
      </c>
      <c r="R900" s="126" t="str">
        <f t="shared" ref="R900:R963" si="103">C900</f>
        <v>OVERTIME</v>
      </c>
      <c r="S900" s="125" t="str">
        <f t="shared" ref="S900:S963" si="104">LEFT(B900,3)</f>
        <v>100</v>
      </c>
      <c r="T900" s="125" t="str">
        <f t="shared" ref="T900:T963" si="105">MID(B900,5,2)</f>
        <v>50</v>
      </c>
      <c r="U900" s="125" t="str">
        <f t="shared" ref="U900:U963" si="106">MID(B900,8,3)</f>
        <v>501</v>
      </c>
      <c r="V900" s="125" t="str">
        <f>VLOOKUP(Q900,'GL Category'!A:C,3,FALSE)</f>
        <v>Personnel services</v>
      </c>
      <c r="X900" s="83"/>
    </row>
    <row r="901" spans="1:27" ht="20.399999999999999" customHeight="1">
      <c r="A901" s="608" t="s">
        <v>791</v>
      </c>
      <c r="B901" s="608" t="s">
        <v>2823</v>
      </c>
      <c r="C901" s="608" t="s">
        <v>137</v>
      </c>
      <c r="D901" s="609">
        <v>860</v>
      </c>
      <c r="E901" s="609">
        <v>1040</v>
      </c>
      <c r="F901" s="609">
        <v>710</v>
      </c>
      <c r="G901" s="609">
        <v>365</v>
      </c>
      <c r="H901" s="609">
        <v>1281</v>
      </c>
      <c r="I901" s="609">
        <v>1265</v>
      </c>
      <c r="J901" s="609">
        <v>1265</v>
      </c>
      <c r="K901" s="609">
        <v>1464</v>
      </c>
      <c r="L901" s="609">
        <v>0</v>
      </c>
      <c r="M901" s="609">
        <v>0</v>
      </c>
      <c r="N901" s="587">
        <f t="shared" si="101"/>
        <v>1464</v>
      </c>
      <c r="Q901" t="str">
        <f t="shared" si="102"/>
        <v>50111</v>
      </c>
      <c r="R901" s="126" t="str">
        <f t="shared" si="103"/>
        <v>LONGEVITY PAY</v>
      </c>
      <c r="S901" s="125" t="str">
        <f t="shared" si="104"/>
        <v>100</v>
      </c>
      <c r="T901" s="125" t="str">
        <f t="shared" si="105"/>
        <v>50</v>
      </c>
      <c r="U901" s="125" t="str">
        <f t="shared" si="106"/>
        <v>501</v>
      </c>
      <c r="V901" s="125" t="str">
        <f>VLOOKUP(Q901,'GL Category'!A:C,3,FALSE)</f>
        <v>Personnel services</v>
      </c>
      <c r="X901" s="83"/>
    </row>
    <row r="902" spans="1:27" ht="20.399999999999999" customHeight="1">
      <c r="A902" s="608" t="s">
        <v>791</v>
      </c>
      <c r="B902" s="608" t="s">
        <v>3389</v>
      </c>
      <c r="C902" s="608" t="s">
        <v>283</v>
      </c>
      <c r="D902" s="609">
        <v>0</v>
      </c>
      <c r="E902" s="609">
        <v>0</v>
      </c>
      <c r="F902" s="609">
        <v>0</v>
      </c>
      <c r="G902" s="609">
        <v>528.5</v>
      </c>
      <c r="H902" s="609">
        <v>1050</v>
      </c>
      <c r="I902" s="609">
        <v>784</v>
      </c>
      <c r="J902" s="609">
        <v>796</v>
      </c>
      <c r="K902" s="609">
        <v>1050</v>
      </c>
      <c r="L902" s="609">
        <v>0</v>
      </c>
      <c r="M902" s="609">
        <v>0</v>
      </c>
      <c r="N902" s="587">
        <f t="shared" si="101"/>
        <v>1050</v>
      </c>
      <c r="Q902" t="str">
        <f t="shared" si="102"/>
        <v>50115</v>
      </c>
      <c r="R902" s="126" t="str">
        <f t="shared" si="103"/>
        <v>INCENTIVE/CERTIFICATION PAY</v>
      </c>
      <c r="S902" s="125" t="str">
        <f t="shared" si="104"/>
        <v>100</v>
      </c>
      <c r="T902" s="125" t="str">
        <f t="shared" si="105"/>
        <v>50</v>
      </c>
      <c r="U902" s="125" t="str">
        <f t="shared" si="106"/>
        <v>501</v>
      </c>
      <c r="V902" s="125" t="str">
        <f>VLOOKUP(Q902,'GL Category'!A:C,3,FALSE)</f>
        <v>Personnel services</v>
      </c>
      <c r="X902" s="83"/>
    </row>
    <row r="903" spans="1:27" ht="20.399999999999999" customHeight="1">
      <c r="A903" s="608" t="s">
        <v>791</v>
      </c>
      <c r="B903" s="608" t="s">
        <v>2824</v>
      </c>
      <c r="C903" s="608" t="s">
        <v>3</v>
      </c>
      <c r="D903" s="609">
        <v>4800</v>
      </c>
      <c r="E903" s="609">
        <v>4800</v>
      </c>
      <c r="F903" s="609">
        <v>4800</v>
      </c>
      <c r="G903" s="609">
        <v>5016</v>
      </c>
      <c r="H903" s="609">
        <v>4800</v>
      </c>
      <c r="I903" s="609">
        <v>3584</v>
      </c>
      <c r="J903" s="609">
        <v>4804</v>
      </c>
      <c r="K903" s="609">
        <v>4800</v>
      </c>
      <c r="L903" s="609">
        <v>0</v>
      </c>
      <c r="M903" s="609">
        <v>0</v>
      </c>
      <c r="N903" s="587">
        <f t="shared" si="101"/>
        <v>4800</v>
      </c>
      <c r="Q903" t="str">
        <f t="shared" si="102"/>
        <v>50120</v>
      </c>
      <c r="R903" s="126" t="str">
        <f t="shared" si="103"/>
        <v>AUTO ALLOWANCE</v>
      </c>
      <c r="S903" s="125" t="str">
        <f t="shared" si="104"/>
        <v>100</v>
      </c>
      <c r="T903" s="125" t="str">
        <f t="shared" si="105"/>
        <v>50</v>
      </c>
      <c r="U903" s="125" t="str">
        <f t="shared" si="106"/>
        <v>501</v>
      </c>
      <c r="V903" s="125" t="str">
        <f>VLOOKUP(Q903,'GL Category'!A:C,3,FALSE)</f>
        <v>Personnel services</v>
      </c>
      <c r="X903" s="83"/>
    </row>
    <row r="904" spans="1:27" ht="20.399999999999999" customHeight="1">
      <c r="A904" s="608" t="s">
        <v>791</v>
      </c>
      <c r="B904" s="608" t="s">
        <v>2825</v>
      </c>
      <c r="C904" s="608" t="s">
        <v>1</v>
      </c>
      <c r="D904" s="609">
        <v>22576.36</v>
      </c>
      <c r="E904" s="609">
        <v>20249.41</v>
      </c>
      <c r="F904" s="609">
        <v>13523.39</v>
      </c>
      <c r="G904" s="609">
        <v>18489.73</v>
      </c>
      <c r="H904" s="609">
        <v>23470</v>
      </c>
      <c r="I904" s="609">
        <v>18997.03</v>
      </c>
      <c r="J904" s="609">
        <v>23982</v>
      </c>
      <c r="K904" s="609">
        <v>23910</v>
      </c>
      <c r="L904" s="609">
        <v>0</v>
      </c>
      <c r="M904" s="609">
        <v>0</v>
      </c>
      <c r="N904" s="587">
        <f t="shared" si="101"/>
        <v>23910</v>
      </c>
      <c r="Q904" t="str">
        <f t="shared" si="102"/>
        <v>50610</v>
      </c>
      <c r="R904" s="126" t="str">
        <f t="shared" si="103"/>
        <v>SOCIAL SECURITY</v>
      </c>
      <c r="S904" s="125" t="str">
        <f t="shared" si="104"/>
        <v>100</v>
      </c>
      <c r="T904" s="125" t="str">
        <f t="shared" si="105"/>
        <v>50</v>
      </c>
      <c r="U904" s="125" t="str">
        <f t="shared" si="106"/>
        <v>501</v>
      </c>
      <c r="V904" s="125" t="str">
        <f>VLOOKUP(Q904,'GL Category'!A:C,3,FALSE)</f>
        <v>Personnel services</v>
      </c>
      <c r="X904" s="83"/>
    </row>
    <row r="905" spans="1:27" ht="20.399999999999999" customHeight="1">
      <c r="A905" s="608" t="s">
        <v>791</v>
      </c>
      <c r="B905" s="608" t="s">
        <v>2826</v>
      </c>
      <c r="C905" s="608" t="s">
        <v>142</v>
      </c>
      <c r="D905" s="609">
        <v>32487.439999999999</v>
      </c>
      <c r="E905" s="609">
        <v>38542.199999999997</v>
      </c>
      <c r="F905" s="609">
        <v>28578.03</v>
      </c>
      <c r="G905" s="609">
        <v>37435.85</v>
      </c>
      <c r="H905" s="609">
        <v>45459</v>
      </c>
      <c r="I905" s="609">
        <v>34686.67</v>
      </c>
      <c r="J905" s="609">
        <v>46620</v>
      </c>
      <c r="K905" s="609">
        <v>45804</v>
      </c>
      <c r="L905" s="609">
        <v>0</v>
      </c>
      <c r="M905" s="609">
        <v>0</v>
      </c>
      <c r="N905" s="587">
        <f t="shared" si="101"/>
        <v>45804</v>
      </c>
      <c r="Q905" t="str">
        <f t="shared" si="102"/>
        <v>50620</v>
      </c>
      <c r="R905" s="126" t="str">
        <f t="shared" si="103"/>
        <v>HEALTH/LIFE INSURANCE</v>
      </c>
      <c r="S905" s="125" t="str">
        <f t="shared" si="104"/>
        <v>100</v>
      </c>
      <c r="T905" s="125" t="str">
        <f t="shared" si="105"/>
        <v>50</v>
      </c>
      <c r="U905" s="125" t="str">
        <f t="shared" si="106"/>
        <v>501</v>
      </c>
      <c r="V905" s="125" t="str">
        <f>VLOOKUP(Q905,'GL Category'!A:C,3,FALSE)</f>
        <v>Personnel services</v>
      </c>
      <c r="X905" s="83"/>
    </row>
    <row r="906" spans="1:27" ht="20.399999999999999" customHeight="1">
      <c r="A906" s="608" t="s">
        <v>791</v>
      </c>
      <c r="B906" s="608" t="s">
        <v>2827</v>
      </c>
      <c r="C906" s="608" t="s">
        <v>144</v>
      </c>
      <c r="D906" s="609">
        <v>269.36</v>
      </c>
      <c r="E906" s="609">
        <v>261.83999999999997</v>
      </c>
      <c r="F906" s="609">
        <v>290.3</v>
      </c>
      <c r="G906" s="609">
        <v>346.86</v>
      </c>
      <c r="H906" s="609">
        <v>494</v>
      </c>
      <c r="I906" s="609">
        <v>493.6</v>
      </c>
      <c r="J906" s="609">
        <v>494</v>
      </c>
      <c r="K906" s="609">
        <v>496</v>
      </c>
      <c r="L906" s="609">
        <v>0</v>
      </c>
      <c r="M906" s="609">
        <v>0</v>
      </c>
      <c r="N906" s="587">
        <f t="shared" si="101"/>
        <v>496</v>
      </c>
      <c r="Q906" t="str">
        <f t="shared" si="102"/>
        <v>50630</v>
      </c>
      <c r="R906" s="126" t="str">
        <f t="shared" si="103"/>
        <v>WORKER COMPENSATION</v>
      </c>
      <c r="S906" s="125" t="str">
        <f t="shared" si="104"/>
        <v>100</v>
      </c>
      <c r="T906" s="125" t="str">
        <f t="shared" si="105"/>
        <v>50</v>
      </c>
      <c r="U906" s="125" t="str">
        <f t="shared" si="106"/>
        <v>501</v>
      </c>
      <c r="V906" s="125" t="str">
        <f>VLOOKUP(Q906,'GL Category'!A:C,3,FALSE)</f>
        <v>Personnel services</v>
      </c>
      <c r="X906" s="83"/>
    </row>
    <row r="907" spans="1:27" ht="20.399999999999999" customHeight="1">
      <c r="A907" s="608" t="s">
        <v>791</v>
      </c>
      <c r="B907" s="608" t="s">
        <v>2828</v>
      </c>
      <c r="C907" s="608" t="s">
        <v>2</v>
      </c>
      <c r="D907" s="609">
        <v>49590.25</v>
      </c>
      <c r="E907" s="609">
        <v>47135.040000000001</v>
      </c>
      <c r="F907" s="609">
        <v>31572.03</v>
      </c>
      <c r="G907" s="609">
        <v>47495.25</v>
      </c>
      <c r="H907" s="609">
        <v>57208</v>
      </c>
      <c r="I907" s="609">
        <v>43750.37</v>
      </c>
      <c r="J907" s="609">
        <v>57451</v>
      </c>
      <c r="K907" s="609">
        <v>60983</v>
      </c>
      <c r="L907" s="609">
        <v>0</v>
      </c>
      <c r="M907" s="609">
        <v>0</v>
      </c>
      <c r="N907" s="587">
        <f t="shared" si="101"/>
        <v>60983</v>
      </c>
      <c r="Q907" t="str">
        <f t="shared" si="102"/>
        <v>50650</v>
      </c>
      <c r="R907" s="126" t="str">
        <f t="shared" si="103"/>
        <v>RETIREMENT</v>
      </c>
      <c r="S907" s="125" t="str">
        <f t="shared" si="104"/>
        <v>100</v>
      </c>
      <c r="T907" s="125" t="str">
        <f t="shared" si="105"/>
        <v>50</v>
      </c>
      <c r="U907" s="125" t="str">
        <f t="shared" si="106"/>
        <v>501</v>
      </c>
      <c r="V907" s="125" t="str">
        <f>VLOOKUP(Q907,'GL Category'!A:C,3,FALSE)</f>
        <v>Personnel services</v>
      </c>
      <c r="X907" s="83"/>
    </row>
    <row r="908" spans="1:27" ht="20.399999999999999" customHeight="1">
      <c r="A908" s="608" t="s">
        <v>791</v>
      </c>
      <c r="B908" s="608" t="s">
        <v>2829</v>
      </c>
      <c r="C908" s="608" t="s">
        <v>149</v>
      </c>
      <c r="D908" s="609">
        <v>768.73</v>
      </c>
      <c r="E908" s="609">
        <v>1603.54</v>
      </c>
      <c r="F908" s="609">
        <v>1554.33</v>
      </c>
      <c r="G908" s="609">
        <v>1758.77</v>
      </c>
      <c r="H908" s="609">
        <v>1400</v>
      </c>
      <c r="I908" s="609">
        <v>490.09</v>
      </c>
      <c r="J908" s="609">
        <v>2000</v>
      </c>
      <c r="K908" s="609">
        <v>1750</v>
      </c>
      <c r="L908" s="609">
        <v>0</v>
      </c>
      <c r="M908" s="609">
        <v>0</v>
      </c>
      <c r="N908" s="587">
        <f t="shared" si="101"/>
        <v>1750</v>
      </c>
      <c r="Q908" t="str">
        <f t="shared" si="102"/>
        <v>51210</v>
      </c>
      <c r="R908" s="126" t="str">
        <f t="shared" si="103"/>
        <v>OFFICE SUPPLIES</v>
      </c>
      <c r="S908" s="125" t="str">
        <f t="shared" si="104"/>
        <v>100</v>
      </c>
      <c r="T908" s="125" t="str">
        <f t="shared" si="105"/>
        <v>50</v>
      </c>
      <c r="U908" s="125" t="str">
        <f t="shared" si="106"/>
        <v>501</v>
      </c>
      <c r="V908" s="125" t="str">
        <f>VLOOKUP(Q908,'GL Category'!A:C,3,FALSE)</f>
        <v>Operations &amp; maintenance</v>
      </c>
      <c r="X908" s="83"/>
    </row>
    <row r="909" spans="1:27" ht="20.399999999999999" customHeight="1">
      <c r="A909" s="608" t="s">
        <v>791</v>
      </c>
      <c r="B909" s="608" t="s">
        <v>2829</v>
      </c>
      <c r="C909" s="608" t="s">
        <v>149</v>
      </c>
      <c r="D909" s="609">
        <v>0</v>
      </c>
      <c r="E909" s="609">
        <v>0</v>
      </c>
      <c r="F909" s="609">
        <v>0</v>
      </c>
      <c r="G909" s="609">
        <v>0</v>
      </c>
      <c r="H909" s="609">
        <v>0</v>
      </c>
      <c r="I909" s="609">
        <v>0</v>
      </c>
      <c r="J909" s="609">
        <v>0</v>
      </c>
      <c r="K909" s="609">
        <v>0</v>
      </c>
      <c r="L909" s="609">
        <v>0</v>
      </c>
      <c r="M909" s="609">
        <v>0</v>
      </c>
      <c r="N909" s="587">
        <f t="shared" si="101"/>
        <v>0</v>
      </c>
      <c r="P909" s="490">
        <f>N909-H909</f>
        <v>0</v>
      </c>
      <c r="Q909" t="str">
        <f t="shared" si="102"/>
        <v>51210</v>
      </c>
      <c r="R909" s="126" t="str">
        <f t="shared" si="103"/>
        <v>OFFICE SUPPLIES</v>
      </c>
      <c r="S909" s="125" t="str">
        <f t="shared" si="104"/>
        <v>100</v>
      </c>
      <c r="T909" s="125" t="str">
        <f t="shared" si="105"/>
        <v>50</v>
      </c>
      <c r="U909" s="125" t="str">
        <f t="shared" si="106"/>
        <v>501</v>
      </c>
      <c r="V909" s="125" t="str">
        <f>VLOOKUP(Q909,'GL Category'!A:C,3,FALSE)</f>
        <v>Operations &amp; maintenance</v>
      </c>
      <c r="X909" s="83"/>
    </row>
    <row r="910" spans="1:27" ht="20.399999999999999" customHeight="1">
      <c r="A910" s="608" t="s">
        <v>791</v>
      </c>
      <c r="B910" s="608" t="s">
        <v>2830</v>
      </c>
      <c r="C910" s="608" t="s">
        <v>4</v>
      </c>
      <c r="D910" s="609">
        <v>0</v>
      </c>
      <c r="E910" s="609">
        <v>0</v>
      </c>
      <c r="F910" s="609">
        <v>0</v>
      </c>
      <c r="G910" s="609">
        <v>85.82</v>
      </c>
      <c r="H910" s="609">
        <v>0</v>
      </c>
      <c r="I910" s="609">
        <v>0</v>
      </c>
      <c r="J910" s="609">
        <v>0</v>
      </c>
      <c r="K910" s="609">
        <v>0</v>
      </c>
      <c r="L910" s="609">
        <v>0</v>
      </c>
      <c r="M910" s="609">
        <v>0</v>
      </c>
      <c r="N910" s="587">
        <f t="shared" si="101"/>
        <v>0</v>
      </c>
      <c r="P910" s="490">
        <f>N910-H910</f>
        <v>0</v>
      </c>
      <c r="Q910" t="str">
        <f t="shared" si="102"/>
        <v>51245</v>
      </c>
      <c r="R910" s="126" t="str">
        <f t="shared" si="103"/>
        <v>SMALL TOOLS &amp; EQUIPMENT</v>
      </c>
      <c r="S910" s="125" t="str">
        <f t="shared" si="104"/>
        <v>100</v>
      </c>
      <c r="T910" s="125" t="str">
        <f t="shared" si="105"/>
        <v>50</v>
      </c>
      <c r="U910" s="125" t="str">
        <f t="shared" si="106"/>
        <v>501</v>
      </c>
      <c r="V910" s="125" t="str">
        <f>VLOOKUP(Q910,'GL Category'!A:C,3,FALSE)</f>
        <v>Operations &amp; maintenance</v>
      </c>
      <c r="X910" s="83"/>
    </row>
    <row r="911" spans="1:27" ht="20.399999999999999" customHeight="1">
      <c r="A911" s="608" t="s">
        <v>791</v>
      </c>
      <c r="B911" s="608" t="s">
        <v>3369</v>
      </c>
      <c r="C911" s="608" t="s">
        <v>167</v>
      </c>
      <c r="D911" s="609">
        <v>0</v>
      </c>
      <c r="E911" s="609">
        <v>0</v>
      </c>
      <c r="F911" s="609">
        <v>634.42999999999995</v>
      </c>
      <c r="G911" s="609">
        <v>501.64</v>
      </c>
      <c r="H911" s="609">
        <v>0</v>
      </c>
      <c r="I911" s="609">
        <v>247.06</v>
      </c>
      <c r="J911" s="609">
        <v>600</v>
      </c>
      <c r="K911" s="609">
        <v>0</v>
      </c>
      <c r="L911" s="609">
        <v>0</v>
      </c>
      <c r="M911" s="609">
        <v>0</v>
      </c>
      <c r="N911" s="587">
        <f t="shared" si="101"/>
        <v>0</v>
      </c>
      <c r="P911" s="490">
        <f>N911-H911</f>
        <v>0</v>
      </c>
      <c r="Q911" t="str">
        <f t="shared" si="102"/>
        <v>51285</v>
      </c>
      <c r="R911" s="126" t="str">
        <f t="shared" si="103"/>
        <v>WEARING APPAREL</v>
      </c>
      <c r="S911" s="125" t="str">
        <f t="shared" si="104"/>
        <v>100</v>
      </c>
      <c r="T911" s="125" t="str">
        <f t="shared" si="105"/>
        <v>50</v>
      </c>
      <c r="U911" s="125" t="str">
        <f t="shared" si="106"/>
        <v>501</v>
      </c>
      <c r="V911" s="125" t="str">
        <f>VLOOKUP(Q911,'GL Category'!A:C,3,FALSE)</f>
        <v>Operations &amp; maintenance</v>
      </c>
      <c r="X911" s="83"/>
    </row>
    <row r="912" spans="1:27" ht="20.399999999999999" customHeight="1">
      <c r="A912" s="608" t="s">
        <v>791</v>
      </c>
      <c r="B912" s="608" t="s">
        <v>2831</v>
      </c>
      <c r="C912" s="608" t="s">
        <v>169</v>
      </c>
      <c r="D912" s="609">
        <v>0</v>
      </c>
      <c r="E912" s="609">
        <v>0</v>
      </c>
      <c r="F912" s="609">
        <v>2402.21</v>
      </c>
      <c r="G912" s="609">
        <v>0</v>
      </c>
      <c r="H912" s="609">
        <v>0</v>
      </c>
      <c r="I912" s="609">
        <v>17.100000000000001</v>
      </c>
      <c r="J912" s="609">
        <v>17.100000000000001</v>
      </c>
      <c r="K912" s="609">
        <v>0</v>
      </c>
      <c r="L912" s="609">
        <v>0</v>
      </c>
      <c r="M912" s="609">
        <v>0</v>
      </c>
      <c r="N912" s="587">
        <f t="shared" si="101"/>
        <v>0</v>
      </c>
      <c r="P912" s="490">
        <f>N912-H912</f>
        <v>0</v>
      </c>
      <c r="Q912" t="str">
        <f t="shared" si="102"/>
        <v>51299</v>
      </c>
      <c r="R912" s="126" t="str">
        <f t="shared" si="103"/>
        <v>MISCELLANEOUS SUPPLIES</v>
      </c>
      <c r="S912" s="125" t="str">
        <f t="shared" si="104"/>
        <v>100</v>
      </c>
      <c r="T912" s="125" t="str">
        <f t="shared" si="105"/>
        <v>50</v>
      </c>
      <c r="U912" s="125" t="str">
        <f t="shared" si="106"/>
        <v>501</v>
      </c>
      <c r="V912" s="125" t="str">
        <f>VLOOKUP(Q912,'GL Category'!A:C,3,FALSE)</f>
        <v>Operations &amp; maintenance</v>
      </c>
      <c r="X912" s="83"/>
    </row>
    <row r="913" spans="1:24" ht="20.399999999999999" customHeight="1">
      <c r="A913" s="608" t="s">
        <v>791</v>
      </c>
      <c r="B913" s="608" t="s">
        <v>2833</v>
      </c>
      <c r="C913" s="608" t="s">
        <v>190</v>
      </c>
      <c r="D913" s="609">
        <v>2113</v>
      </c>
      <c r="E913" s="609">
        <v>3891.1</v>
      </c>
      <c r="F913" s="609">
        <v>1841.38</v>
      </c>
      <c r="G913" s="609">
        <v>2591</v>
      </c>
      <c r="H913" s="609">
        <v>2500</v>
      </c>
      <c r="I913" s="609">
        <v>1850</v>
      </c>
      <c r="J913" s="609">
        <v>2000</v>
      </c>
      <c r="K913" s="609">
        <v>3000</v>
      </c>
      <c r="L913" s="609">
        <v>0</v>
      </c>
      <c r="M913" s="609">
        <v>0</v>
      </c>
      <c r="N913" s="587">
        <f t="shared" si="101"/>
        <v>3000</v>
      </c>
      <c r="Q913" t="str">
        <f t="shared" si="102"/>
        <v>53510</v>
      </c>
      <c r="R913" s="126" t="str">
        <f t="shared" si="103"/>
        <v>DUES &amp; SUBSCRIPTIONS</v>
      </c>
      <c r="S913" s="125" t="str">
        <f t="shared" si="104"/>
        <v>100</v>
      </c>
      <c r="T913" s="125" t="str">
        <f t="shared" si="105"/>
        <v>50</v>
      </c>
      <c r="U913" s="125" t="str">
        <f t="shared" si="106"/>
        <v>501</v>
      </c>
      <c r="V913" s="125" t="str">
        <f>VLOOKUP(Q913,'GL Category'!A:C,3,FALSE)</f>
        <v>Services &amp; other</v>
      </c>
      <c r="X913" s="83"/>
    </row>
    <row r="914" spans="1:24" ht="20.399999999999999" customHeight="1">
      <c r="A914" s="608" t="s">
        <v>791</v>
      </c>
      <c r="B914" s="608" t="s">
        <v>2834</v>
      </c>
      <c r="C914" s="608" t="s">
        <v>191</v>
      </c>
      <c r="D914" s="609">
        <v>4582.99</v>
      </c>
      <c r="E914" s="609">
        <v>2095.34</v>
      </c>
      <c r="F914" s="609">
        <v>5881.64</v>
      </c>
      <c r="G914" s="609">
        <v>4077.13</v>
      </c>
      <c r="H914" s="609">
        <v>4350</v>
      </c>
      <c r="I914" s="609">
        <v>2528.0300000000002</v>
      </c>
      <c r="J914" s="609">
        <v>4350</v>
      </c>
      <c r="K914" s="609">
        <v>4500</v>
      </c>
      <c r="L914" s="609">
        <v>0</v>
      </c>
      <c r="M914" s="609">
        <v>0</v>
      </c>
      <c r="N914" s="587">
        <f t="shared" si="101"/>
        <v>4500</v>
      </c>
      <c r="Q914" t="str">
        <f t="shared" si="102"/>
        <v>53515</v>
      </c>
      <c r="R914" s="126" t="str">
        <f t="shared" si="103"/>
        <v>TRAVEL, TRAINING &amp; EDUCATION</v>
      </c>
      <c r="S914" s="125" t="str">
        <f t="shared" si="104"/>
        <v>100</v>
      </c>
      <c r="T914" s="125" t="str">
        <f t="shared" si="105"/>
        <v>50</v>
      </c>
      <c r="U914" s="125" t="str">
        <f t="shared" si="106"/>
        <v>501</v>
      </c>
      <c r="V914" s="125" t="str">
        <f>VLOOKUP(Q914,'GL Category'!A:C,3,FALSE)</f>
        <v>Services &amp; other</v>
      </c>
      <c r="X914" s="83"/>
    </row>
    <row r="915" spans="1:24" ht="20.399999999999999" customHeight="1">
      <c r="A915" s="608" t="s">
        <v>791</v>
      </c>
      <c r="B915" s="608" t="s">
        <v>2832</v>
      </c>
      <c r="C915" s="608" t="s">
        <v>238</v>
      </c>
      <c r="D915" s="609">
        <v>56700</v>
      </c>
      <c r="E915" s="609">
        <v>20311.03</v>
      </c>
      <c r="F915" s="609">
        <v>8500</v>
      </c>
      <c r="G915" s="609">
        <v>0</v>
      </c>
      <c r="H915" s="609">
        <v>0</v>
      </c>
      <c r="I915" s="609">
        <v>0</v>
      </c>
      <c r="J915" s="609">
        <v>0</v>
      </c>
      <c r="K915" s="609">
        <v>0</v>
      </c>
      <c r="L915" s="609">
        <v>0</v>
      </c>
      <c r="M915" s="609">
        <v>0</v>
      </c>
      <c r="N915" s="587">
        <f t="shared" si="101"/>
        <v>0</v>
      </c>
      <c r="Q915" t="str">
        <f t="shared" si="102"/>
        <v>53599</v>
      </c>
      <c r="R915" s="126" t="str">
        <f t="shared" si="103"/>
        <v>MISCELLANEOUS SERVICES</v>
      </c>
      <c r="S915" s="125" t="str">
        <f t="shared" si="104"/>
        <v>100</v>
      </c>
      <c r="T915" s="125" t="str">
        <f t="shared" si="105"/>
        <v>50</v>
      </c>
      <c r="U915" s="125" t="str">
        <f t="shared" si="106"/>
        <v>501</v>
      </c>
      <c r="V915" s="125" t="str">
        <f>VLOOKUP(Q915,'GL Category'!A:C,3,FALSE)</f>
        <v>Services &amp; other</v>
      </c>
      <c r="X915" s="83"/>
    </row>
    <row r="916" spans="1:24" s="83" customFormat="1" ht="20.399999999999999" customHeight="1">
      <c r="A916" s="608" t="s">
        <v>791</v>
      </c>
      <c r="B916" s="608" t="s">
        <v>2835</v>
      </c>
      <c r="C916" s="608" t="s">
        <v>221</v>
      </c>
      <c r="D916" s="609">
        <v>64481</v>
      </c>
      <c r="E916" s="609">
        <v>70296</v>
      </c>
      <c r="F916" s="609">
        <v>66396</v>
      </c>
      <c r="G916" s="609">
        <v>137260</v>
      </c>
      <c r="H916" s="609">
        <v>74260</v>
      </c>
      <c r="I916" s="609">
        <v>55695</v>
      </c>
      <c r="J916" s="609">
        <v>74260</v>
      </c>
      <c r="K916" s="609">
        <v>81642</v>
      </c>
      <c r="L916" s="609">
        <v>0</v>
      </c>
      <c r="M916" s="609">
        <v>0</v>
      </c>
      <c r="N916" s="587">
        <f t="shared" si="101"/>
        <v>81642</v>
      </c>
      <c r="O916"/>
      <c r="P916" s="490"/>
      <c r="Q916" t="str">
        <f t="shared" si="102"/>
        <v>55119</v>
      </c>
      <c r="R916" s="126" t="str">
        <f t="shared" si="103"/>
        <v>OFFICE EQUIP LEASE EXP-CITY</v>
      </c>
      <c r="S916" s="125" t="str">
        <f t="shared" si="104"/>
        <v>100</v>
      </c>
      <c r="T916" s="125" t="str">
        <f t="shared" si="105"/>
        <v>50</v>
      </c>
      <c r="U916" s="125" t="str">
        <f t="shared" si="106"/>
        <v>501</v>
      </c>
      <c r="V916" s="125" t="str">
        <f>VLOOKUP(Q916,'GL Category'!A:C,3,FALSE)</f>
        <v>Services &amp; other</v>
      </c>
      <c r="W916" s="125"/>
    </row>
    <row r="917" spans="1:24" ht="20.399999999999999" customHeight="1">
      <c r="A917" s="608" t="s">
        <v>791</v>
      </c>
      <c r="B917" s="608" t="s">
        <v>2836</v>
      </c>
      <c r="C917" s="608" t="s">
        <v>130</v>
      </c>
      <c r="D917" s="609">
        <v>126488.44</v>
      </c>
      <c r="E917" s="609">
        <v>199297.86</v>
      </c>
      <c r="F917" s="609">
        <v>212732.33</v>
      </c>
      <c r="G917" s="609">
        <v>223641.82</v>
      </c>
      <c r="H917" s="609">
        <v>275540</v>
      </c>
      <c r="I917" s="609">
        <v>177697.56</v>
      </c>
      <c r="J917" s="609">
        <v>233266</v>
      </c>
      <c r="K917" s="609">
        <v>241219</v>
      </c>
      <c r="L917" s="609">
        <v>0</v>
      </c>
      <c r="M917" s="609">
        <v>0</v>
      </c>
      <c r="N917" s="587">
        <f t="shared" si="101"/>
        <v>241219</v>
      </c>
      <c r="Q917" t="str">
        <f t="shared" si="102"/>
        <v>50101</v>
      </c>
      <c r="R917" s="126" t="str">
        <f t="shared" si="103"/>
        <v>EXEMPT SALARIES</v>
      </c>
      <c r="S917" s="125" t="str">
        <f t="shared" si="104"/>
        <v>100</v>
      </c>
      <c r="T917" s="125" t="str">
        <f t="shared" si="105"/>
        <v>50</v>
      </c>
      <c r="U917" s="125" t="str">
        <f t="shared" si="106"/>
        <v>502</v>
      </c>
      <c r="V917" s="125" t="str">
        <f>VLOOKUP(Q917,'GL Category'!A:C,3,FALSE)</f>
        <v>Personnel services</v>
      </c>
      <c r="X917" s="83"/>
    </row>
    <row r="918" spans="1:24" ht="20.399999999999999" customHeight="1">
      <c r="A918" s="608" t="s">
        <v>791</v>
      </c>
      <c r="B918" s="608" t="s">
        <v>2837</v>
      </c>
      <c r="C918" s="608" t="s">
        <v>132</v>
      </c>
      <c r="D918" s="609">
        <v>120418.77</v>
      </c>
      <c r="E918" s="609">
        <v>118151.29</v>
      </c>
      <c r="F918" s="609">
        <v>111439.83</v>
      </c>
      <c r="G918" s="609">
        <v>116725.79</v>
      </c>
      <c r="H918" s="609">
        <v>120433</v>
      </c>
      <c r="I918" s="609">
        <v>77643.759999999995</v>
      </c>
      <c r="J918" s="609">
        <v>121913</v>
      </c>
      <c r="K918" s="609">
        <v>166730</v>
      </c>
      <c r="L918" s="609">
        <v>0</v>
      </c>
      <c r="M918" s="609">
        <v>0</v>
      </c>
      <c r="N918" s="587">
        <f t="shared" si="101"/>
        <v>166730</v>
      </c>
      <c r="Q918" t="str">
        <f t="shared" si="102"/>
        <v>50102</v>
      </c>
      <c r="R918" s="126" t="str">
        <f t="shared" si="103"/>
        <v>NON EXEMPT SALARIES</v>
      </c>
      <c r="S918" s="125" t="str">
        <f t="shared" si="104"/>
        <v>100</v>
      </c>
      <c r="T918" s="125" t="str">
        <f t="shared" si="105"/>
        <v>50</v>
      </c>
      <c r="U918" s="125" t="str">
        <f t="shared" si="106"/>
        <v>502</v>
      </c>
      <c r="V918" s="125" t="str">
        <f>VLOOKUP(Q918,'GL Category'!A:C,3,FALSE)</f>
        <v>Personnel services</v>
      </c>
      <c r="X918" s="83"/>
    </row>
    <row r="919" spans="1:24" ht="20.399999999999999" customHeight="1">
      <c r="A919" s="608" t="s">
        <v>791</v>
      </c>
      <c r="B919" s="608" t="s">
        <v>2838</v>
      </c>
      <c r="C919" s="608" t="s">
        <v>0</v>
      </c>
      <c r="D919" s="609">
        <v>3239.02</v>
      </c>
      <c r="E919" s="609">
        <v>3019.38</v>
      </c>
      <c r="F919" s="609">
        <v>2257.84</v>
      </c>
      <c r="G919" s="609">
        <v>3309.93</v>
      </c>
      <c r="H919" s="609">
        <v>16000</v>
      </c>
      <c r="I919" s="609">
        <v>4051.83</v>
      </c>
      <c r="J919" s="609">
        <v>5837</v>
      </c>
      <c r="K919" s="609">
        <v>16000</v>
      </c>
      <c r="L919" s="609">
        <v>0</v>
      </c>
      <c r="M919" s="609">
        <v>0</v>
      </c>
      <c r="N919" s="587">
        <f t="shared" si="101"/>
        <v>16000</v>
      </c>
      <c r="Q919" t="str">
        <f t="shared" si="102"/>
        <v>50109</v>
      </c>
      <c r="R919" s="126" t="str">
        <f t="shared" si="103"/>
        <v>OVERTIME</v>
      </c>
      <c r="S919" s="125" t="str">
        <f t="shared" si="104"/>
        <v>100</v>
      </c>
      <c r="T919" s="125" t="str">
        <f t="shared" si="105"/>
        <v>50</v>
      </c>
      <c r="U919" s="125" t="str">
        <f t="shared" si="106"/>
        <v>502</v>
      </c>
      <c r="V919" s="125" t="str">
        <f>VLOOKUP(Q919,'GL Category'!A:C,3,FALSE)</f>
        <v>Personnel services</v>
      </c>
      <c r="X919" s="83"/>
    </row>
    <row r="920" spans="1:24" ht="20.399999999999999" customHeight="1">
      <c r="A920" s="608" t="s">
        <v>791</v>
      </c>
      <c r="B920" s="608" t="s">
        <v>2839</v>
      </c>
      <c r="C920" s="608" t="s">
        <v>137</v>
      </c>
      <c r="D920" s="609">
        <v>1990</v>
      </c>
      <c r="E920" s="609">
        <v>2170</v>
      </c>
      <c r="F920" s="609">
        <v>1780</v>
      </c>
      <c r="G920" s="609">
        <v>2145</v>
      </c>
      <c r="H920" s="609">
        <v>2469</v>
      </c>
      <c r="I920" s="609">
        <v>2385</v>
      </c>
      <c r="J920" s="609">
        <v>2385</v>
      </c>
      <c r="K920" s="609">
        <v>2172</v>
      </c>
      <c r="L920" s="609">
        <v>0</v>
      </c>
      <c r="M920" s="609">
        <v>0</v>
      </c>
      <c r="N920" s="587">
        <f t="shared" si="101"/>
        <v>2172</v>
      </c>
      <c r="Q920" t="str">
        <f t="shared" si="102"/>
        <v>50111</v>
      </c>
      <c r="R920" s="126" t="str">
        <f t="shared" si="103"/>
        <v>LONGEVITY PAY</v>
      </c>
      <c r="S920" s="125" t="str">
        <f t="shared" si="104"/>
        <v>100</v>
      </c>
      <c r="T920" s="125" t="str">
        <f t="shared" si="105"/>
        <v>50</v>
      </c>
      <c r="U920" s="125" t="str">
        <f t="shared" si="106"/>
        <v>502</v>
      </c>
      <c r="V920" s="125" t="str">
        <f>VLOOKUP(Q920,'GL Category'!A:C,3,FALSE)</f>
        <v>Personnel services</v>
      </c>
      <c r="X920" s="83"/>
    </row>
    <row r="921" spans="1:24" ht="20.399999999999999" customHeight="1">
      <c r="A921" s="608" t="s">
        <v>791</v>
      </c>
      <c r="B921" s="608" t="s">
        <v>3232</v>
      </c>
      <c r="C921" s="608" t="s">
        <v>283</v>
      </c>
      <c r="D921" s="609">
        <v>0</v>
      </c>
      <c r="E921" s="609">
        <v>112.5</v>
      </c>
      <c r="F921" s="609">
        <v>0</v>
      </c>
      <c r="G921" s="609">
        <v>0</v>
      </c>
      <c r="H921" s="609">
        <v>0</v>
      </c>
      <c r="I921" s="609">
        <v>0</v>
      </c>
      <c r="J921" s="609">
        <v>0</v>
      </c>
      <c r="K921" s="609">
        <v>0</v>
      </c>
      <c r="L921" s="609">
        <v>0</v>
      </c>
      <c r="M921" s="609">
        <v>0</v>
      </c>
      <c r="N921" s="587">
        <f t="shared" si="101"/>
        <v>0</v>
      </c>
      <c r="Q921" t="str">
        <f t="shared" si="102"/>
        <v>50115</v>
      </c>
      <c r="R921" s="126" t="str">
        <f t="shared" si="103"/>
        <v>INCENTIVE/CERTIFICATION PAY</v>
      </c>
      <c r="S921" s="125" t="str">
        <f t="shared" si="104"/>
        <v>100</v>
      </c>
      <c r="T921" s="125" t="str">
        <f t="shared" si="105"/>
        <v>50</v>
      </c>
      <c r="U921" s="125" t="str">
        <f t="shared" si="106"/>
        <v>502</v>
      </c>
      <c r="V921" s="125" t="str">
        <f>VLOOKUP(Q921,'GL Category'!A:C,3,FALSE)</f>
        <v>Personnel services</v>
      </c>
      <c r="X921" s="83"/>
    </row>
    <row r="922" spans="1:24" ht="20.399999999999999" customHeight="1">
      <c r="A922" s="608" t="s">
        <v>791</v>
      </c>
      <c r="B922" s="608" t="s">
        <v>2841</v>
      </c>
      <c r="C922" s="608" t="s">
        <v>3</v>
      </c>
      <c r="D922" s="609">
        <v>4200</v>
      </c>
      <c r="E922" s="609">
        <v>4200</v>
      </c>
      <c r="F922" s="609">
        <v>4200</v>
      </c>
      <c r="G922" s="609">
        <v>4389</v>
      </c>
      <c r="H922" s="609">
        <v>4200</v>
      </c>
      <c r="I922" s="609">
        <v>3136</v>
      </c>
      <c r="J922" s="609">
        <v>4204</v>
      </c>
      <c r="K922" s="609">
        <v>4200</v>
      </c>
      <c r="L922" s="609">
        <v>0</v>
      </c>
      <c r="M922" s="609">
        <v>0</v>
      </c>
      <c r="N922" s="587">
        <f t="shared" si="101"/>
        <v>4200</v>
      </c>
      <c r="Q922" t="str">
        <f t="shared" si="102"/>
        <v>50120</v>
      </c>
      <c r="R922" s="126" t="str">
        <f t="shared" si="103"/>
        <v>AUTO ALLOWANCE</v>
      </c>
      <c r="S922" s="125" t="str">
        <f t="shared" si="104"/>
        <v>100</v>
      </c>
      <c r="T922" s="125" t="str">
        <f t="shared" si="105"/>
        <v>50</v>
      </c>
      <c r="U922" s="125" t="str">
        <f t="shared" si="106"/>
        <v>502</v>
      </c>
      <c r="V922" s="125" t="str">
        <f>VLOOKUP(Q922,'GL Category'!A:C,3,FALSE)</f>
        <v>Personnel services</v>
      </c>
      <c r="X922" s="83"/>
    </row>
    <row r="923" spans="1:24" ht="20.399999999999999" customHeight="1">
      <c r="A923" s="608" t="s">
        <v>791</v>
      </c>
      <c r="B923" s="608" t="s">
        <v>2842</v>
      </c>
      <c r="C923" s="608" t="s">
        <v>1</v>
      </c>
      <c r="D923" s="609">
        <v>19022.939999999999</v>
      </c>
      <c r="E923" s="609">
        <v>24706.41</v>
      </c>
      <c r="F923" s="609">
        <v>24854.86</v>
      </c>
      <c r="G923" s="609">
        <v>26314.71</v>
      </c>
      <c r="H923" s="609">
        <v>31380</v>
      </c>
      <c r="I923" s="609">
        <v>20008.900000000001</v>
      </c>
      <c r="J923" s="609">
        <v>27634</v>
      </c>
      <c r="K923" s="609">
        <v>31920</v>
      </c>
      <c r="L923" s="609">
        <v>0</v>
      </c>
      <c r="M923" s="609">
        <v>0</v>
      </c>
      <c r="N923" s="587">
        <f t="shared" si="101"/>
        <v>31920</v>
      </c>
      <c r="Q923" t="str">
        <f t="shared" si="102"/>
        <v>50610</v>
      </c>
      <c r="R923" s="126" t="str">
        <f t="shared" si="103"/>
        <v>SOCIAL SECURITY</v>
      </c>
      <c r="S923" s="125" t="str">
        <f t="shared" si="104"/>
        <v>100</v>
      </c>
      <c r="T923" s="125" t="str">
        <f t="shared" si="105"/>
        <v>50</v>
      </c>
      <c r="U923" s="125" t="str">
        <f t="shared" si="106"/>
        <v>502</v>
      </c>
      <c r="V923" s="125" t="str">
        <f>VLOOKUP(Q923,'GL Category'!A:C,3,FALSE)</f>
        <v>Personnel services</v>
      </c>
      <c r="X923" s="83"/>
    </row>
    <row r="924" spans="1:24" ht="20.399999999999999" customHeight="1">
      <c r="A924" s="608" t="s">
        <v>791</v>
      </c>
      <c r="B924" s="608" t="s">
        <v>2843</v>
      </c>
      <c r="C924" s="608" t="s">
        <v>142</v>
      </c>
      <c r="D924" s="609">
        <v>39724.6</v>
      </c>
      <c r="E924" s="609">
        <v>35835.75</v>
      </c>
      <c r="F924" s="609">
        <v>48862.76</v>
      </c>
      <c r="G924" s="609">
        <v>50759.7</v>
      </c>
      <c r="H924" s="609">
        <v>64125</v>
      </c>
      <c r="I924" s="609">
        <v>34090.01</v>
      </c>
      <c r="J924" s="609">
        <v>53909</v>
      </c>
      <c r="K924" s="609">
        <v>64497</v>
      </c>
      <c r="L924" s="609">
        <v>0</v>
      </c>
      <c r="M924" s="609">
        <v>0</v>
      </c>
      <c r="N924" s="587">
        <f t="shared" si="101"/>
        <v>64497</v>
      </c>
      <c r="Q924" t="str">
        <f t="shared" si="102"/>
        <v>50620</v>
      </c>
      <c r="R924" s="126" t="str">
        <f t="shared" si="103"/>
        <v>HEALTH/LIFE INSURANCE</v>
      </c>
      <c r="S924" s="125" t="str">
        <f t="shared" si="104"/>
        <v>100</v>
      </c>
      <c r="T924" s="125" t="str">
        <f t="shared" si="105"/>
        <v>50</v>
      </c>
      <c r="U924" s="125" t="str">
        <f t="shared" si="106"/>
        <v>502</v>
      </c>
      <c r="V924" s="125" t="str">
        <f>VLOOKUP(Q924,'GL Category'!A:C,3,FALSE)</f>
        <v>Personnel services</v>
      </c>
      <c r="X924" s="83"/>
    </row>
    <row r="925" spans="1:24" ht="20.399999999999999" customHeight="1">
      <c r="A925" s="608" t="s">
        <v>791</v>
      </c>
      <c r="B925" s="608" t="s">
        <v>2844</v>
      </c>
      <c r="C925" s="608" t="s">
        <v>144</v>
      </c>
      <c r="D925" s="609">
        <v>322.5</v>
      </c>
      <c r="E925" s="609">
        <v>405.14</v>
      </c>
      <c r="F925" s="609">
        <v>425.89</v>
      </c>
      <c r="G925" s="609">
        <v>780.43</v>
      </c>
      <c r="H925" s="609">
        <v>1087</v>
      </c>
      <c r="I925" s="609">
        <v>1086.1199999999999</v>
      </c>
      <c r="J925" s="609">
        <v>1086</v>
      </c>
      <c r="K925" s="609">
        <v>1081</v>
      </c>
      <c r="L925" s="609">
        <v>0</v>
      </c>
      <c r="M925" s="609">
        <v>0</v>
      </c>
      <c r="N925" s="587">
        <f t="shared" si="101"/>
        <v>1081</v>
      </c>
      <c r="Q925" t="str">
        <f t="shared" si="102"/>
        <v>50630</v>
      </c>
      <c r="R925" s="126" t="str">
        <f t="shared" si="103"/>
        <v>WORKER COMPENSATION</v>
      </c>
      <c r="S925" s="125" t="str">
        <f t="shared" si="104"/>
        <v>100</v>
      </c>
      <c r="T925" s="125" t="str">
        <f t="shared" si="105"/>
        <v>50</v>
      </c>
      <c r="U925" s="125" t="str">
        <f t="shared" si="106"/>
        <v>502</v>
      </c>
      <c r="V925" s="125" t="str">
        <f>VLOOKUP(Q925,'GL Category'!A:C,3,FALSE)</f>
        <v>Personnel services</v>
      </c>
      <c r="X925" s="83"/>
    </row>
    <row r="926" spans="1:24" ht="20.399999999999999" customHeight="1">
      <c r="A926" s="608" t="s">
        <v>791</v>
      </c>
      <c r="B926" s="608" t="s">
        <v>2845</v>
      </c>
      <c r="C926" s="608" t="s">
        <v>2</v>
      </c>
      <c r="D926" s="609">
        <v>40714.58</v>
      </c>
      <c r="E926" s="609">
        <v>52829.46</v>
      </c>
      <c r="F926" s="609">
        <v>53815.519999999997</v>
      </c>
      <c r="G926" s="609">
        <v>56854.2</v>
      </c>
      <c r="H926" s="609">
        <v>69757</v>
      </c>
      <c r="I926" s="609">
        <v>44110.05</v>
      </c>
      <c r="J926" s="609">
        <v>61732</v>
      </c>
      <c r="K926" s="609">
        <v>73442</v>
      </c>
      <c r="L926" s="609">
        <v>0</v>
      </c>
      <c r="M926" s="609">
        <v>0</v>
      </c>
      <c r="N926" s="587">
        <f t="shared" si="101"/>
        <v>73442</v>
      </c>
      <c r="Q926" t="str">
        <f t="shared" si="102"/>
        <v>50650</v>
      </c>
      <c r="R926" s="126" t="str">
        <f t="shared" si="103"/>
        <v>RETIREMENT</v>
      </c>
      <c r="S926" s="125" t="str">
        <f t="shared" si="104"/>
        <v>100</v>
      </c>
      <c r="T926" s="125" t="str">
        <f t="shared" si="105"/>
        <v>50</v>
      </c>
      <c r="U926" s="125" t="str">
        <f t="shared" si="106"/>
        <v>502</v>
      </c>
      <c r="V926" s="125" t="str">
        <f>VLOOKUP(Q926,'GL Category'!A:C,3,FALSE)</f>
        <v>Personnel services</v>
      </c>
      <c r="X926" s="83"/>
    </row>
    <row r="927" spans="1:24" ht="20.399999999999999" customHeight="1">
      <c r="A927" s="608" t="s">
        <v>791</v>
      </c>
      <c r="B927" s="608" t="s">
        <v>2846</v>
      </c>
      <c r="C927" s="608" t="s">
        <v>149</v>
      </c>
      <c r="D927" s="609">
        <v>251.16</v>
      </c>
      <c r="E927" s="609">
        <v>774.96</v>
      </c>
      <c r="F927" s="609">
        <v>413.56</v>
      </c>
      <c r="G927" s="609">
        <v>215.86</v>
      </c>
      <c r="H927" s="609">
        <v>550</v>
      </c>
      <c r="I927" s="609">
        <v>28.98</v>
      </c>
      <c r="J927" s="609">
        <v>550</v>
      </c>
      <c r="K927" s="609">
        <v>550</v>
      </c>
      <c r="L927" s="609">
        <v>0</v>
      </c>
      <c r="M927" s="609">
        <v>0</v>
      </c>
      <c r="N927" s="587">
        <f t="shared" si="101"/>
        <v>550</v>
      </c>
      <c r="Q927" t="str">
        <f t="shared" si="102"/>
        <v>51210</v>
      </c>
      <c r="R927" s="126" t="str">
        <f t="shared" si="103"/>
        <v>OFFICE SUPPLIES</v>
      </c>
      <c r="S927" s="125" t="str">
        <f t="shared" si="104"/>
        <v>100</v>
      </c>
      <c r="T927" s="125" t="str">
        <f t="shared" si="105"/>
        <v>50</v>
      </c>
      <c r="U927" s="125" t="str">
        <f t="shared" si="106"/>
        <v>502</v>
      </c>
      <c r="V927" s="125" t="str">
        <f>VLOOKUP(Q927,'GL Category'!A:C,3,FALSE)</f>
        <v>Operations &amp; maintenance</v>
      </c>
      <c r="X927" s="83"/>
    </row>
    <row r="928" spans="1:24" ht="20.399999999999999" customHeight="1">
      <c r="A928" s="608" t="s">
        <v>791</v>
      </c>
      <c r="B928" s="608" t="s">
        <v>2848</v>
      </c>
      <c r="C928" s="608" t="s">
        <v>161</v>
      </c>
      <c r="D928" s="609">
        <v>1531.13</v>
      </c>
      <c r="E928" s="609">
        <v>1799.2</v>
      </c>
      <c r="F928" s="609">
        <v>2659.44</v>
      </c>
      <c r="G928" s="609">
        <v>1886.63</v>
      </c>
      <c r="H928" s="609">
        <v>4000</v>
      </c>
      <c r="I928" s="609">
        <v>1417.27</v>
      </c>
      <c r="J928" s="609">
        <v>2000</v>
      </c>
      <c r="K928" s="609">
        <v>3000</v>
      </c>
      <c r="L928" s="609">
        <v>0</v>
      </c>
      <c r="M928" s="609">
        <v>0</v>
      </c>
      <c r="N928" s="587">
        <f t="shared" si="101"/>
        <v>3000</v>
      </c>
      <c r="P928" s="490">
        <f>N928-H928</f>
        <v>-1000</v>
      </c>
      <c r="Q928" t="str">
        <f t="shared" si="102"/>
        <v>51255</v>
      </c>
      <c r="R928" s="126" t="str">
        <f t="shared" si="103"/>
        <v>FUEL/OILS/LUBRICANTS</v>
      </c>
      <c r="S928" s="125" t="str">
        <f t="shared" si="104"/>
        <v>100</v>
      </c>
      <c r="T928" s="125" t="str">
        <f t="shared" si="105"/>
        <v>50</v>
      </c>
      <c r="U928" s="125" t="str">
        <f t="shared" si="106"/>
        <v>502</v>
      </c>
      <c r="V928" s="125" t="str">
        <f>VLOOKUP(Q928,'GL Category'!A:C,3,FALSE)</f>
        <v>Operations &amp; maintenance</v>
      </c>
      <c r="X928" s="83"/>
    </row>
    <row r="929" spans="1:24" ht="20.399999999999999" customHeight="1">
      <c r="A929" s="608" t="s">
        <v>791</v>
      </c>
      <c r="B929" s="608" t="s">
        <v>2849</v>
      </c>
      <c r="C929" s="608" t="s">
        <v>167</v>
      </c>
      <c r="D929" s="609">
        <v>584.64</v>
      </c>
      <c r="E929" s="609">
        <v>188.99</v>
      </c>
      <c r="F929" s="609">
        <v>522.54</v>
      </c>
      <c r="G929" s="609">
        <v>577.16</v>
      </c>
      <c r="H929" s="609">
        <v>750</v>
      </c>
      <c r="I929" s="609">
        <v>0</v>
      </c>
      <c r="J929" s="609">
        <v>750</v>
      </c>
      <c r="K929" s="609">
        <v>750</v>
      </c>
      <c r="L929" s="609">
        <v>0</v>
      </c>
      <c r="M929" s="609">
        <v>0</v>
      </c>
      <c r="N929" s="587">
        <f t="shared" si="101"/>
        <v>750</v>
      </c>
      <c r="P929" s="490">
        <f>N929-H929</f>
        <v>0</v>
      </c>
      <c r="Q929" t="str">
        <f t="shared" si="102"/>
        <v>51285</v>
      </c>
      <c r="R929" s="126" t="str">
        <f t="shared" si="103"/>
        <v>WEARING APPAREL</v>
      </c>
      <c r="S929" s="125" t="str">
        <f t="shared" si="104"/>
        <v>100</v>
      </c>
      <c r="T929" s="125" t="str">
        <f t="shared" si="105"/>
        <v>50</v>
      </c>
      <c r="U929" s="125" t="str">
        <f t="shared" si="106"/>
        <v>502</v>
      </c>
      <c r="V929" s="125" t="str">
        <f>VLOOKUP(Q929,'GL Category'!A:C,3,FALSE)</f>
        <v>Operations &amp; maintenance</v>
      </c>
      <c r="X929" s="83"/>
    </row>
    <row r="930" spans="1:24" ht="20.399999999999999" customHeight="1">
      <c r="A930" s="608" t="s">
        <v>791</v>
      </c>
      <c r="B930" s="608" t="s">
        <v>2850</v>
      </c>
      <c r="C930" s="608" t="s">
        <v>274</v>
      </c>
      <c r="D930" s="609">
        <v>152.80000000000001</v>
      </c>
      <c r="E930" s="609">
        <v>0</v>
      </c>
      <c r="F930" s="609">
        <v>0</v>
      </c>
      <c r="G930" s="609">
        <v>933.61</v>
      </c>
      <c r="H930" s="609">
        <v>0</v>
      </c>
      <c r="I930" s="609">
        <v>0</v>
      </c>
      <c r="J930" s="609">
        <v>0</v>
      </c>
      <c r="K930" s="609">
        <v>0</v>
      </c>
      <c r="L930" s="609">
        <v>0</v>
      </c>
      <c r="M930" s="609">
        <v>0</v>
      </c>
      <c r="N930" s="587">
        <f t="shared" si="101"/>
        <v>0</v>
      </c>
      <c r="P930" s="490">
        <f>N930-H930</f>
        <v>0</v>
      </c>
      <c r="Q930" t="str">
        <f t="shared" si="102"/>
        <v>51287</v>
      </c>
      <c r="R930" s="126" t="str">
        <f t="shared" si="103"/>
        <v>SAFETY EQUIPMENT/SUPPLIES</v>
      </c>
      <c r="S930" s="125" t="str">
        <f t="shared" si="104"/>
        <v>100</v>
      </c>
      <c r="T930" s="125" t="str">
        <f t="shared" si="105"/>
        <v>50</v>
      </c>
      <c r="U930" s="125" t="str">
        <f t="shared" si="106"/>
        <v>502</v>
      </c>
      <c r="V930" s="125" t="str">
        <f>VLOOKUP(Q930,'GL Category'!A:C,3,FALSE)</f>
        <v>Operations &amp; maintenance</v>
      </c>
      <c r="X930" s="83"/>
    </row>
    <row r="931" spans="1:24" ht="20.399999999999999" customHeight="1">
      <c r="A931" s="608" t="s">
        <v>791</v>
      </c>
      <c r="B931" s="608" t="s">
        <v>2852</v>
      </c>
      <c r="C931" s="608" t="s">
        <v>241</v>
      </c>
      <c r="D931" s="609">
        <v>1325</v>
      </c>
      <c r="E931" s="609">
        <v>85.19</v>
      </c>
      <c r="F931" s="609">
        <v>0</v>
      </c>
      <c r="G931" s="609">
        <v>78</v>
      </c>
      <c r="H931" s="609">
        <v>0</v>
      </c>
      <c r="I931" s="609">
        <v>22.47</v>
      </c>
      <c r="J931" s="609">
        <v>0</v>
      </c>
      <c r="K931" s="609">
        <v>0</v>
      </c>
      <c r="L931" s="609">
        <v>0</v>
      </c>
      <c r="M931" s="609">
        <v>0</v>
      </c>
      <c r="N931" s="587">
        <f t="shared" si="101"/>
        <v>0</v>
      </c>
      <c r="P931" s="490">
        <f>N931-H931</f>
        <v>0</v>
      </c>
      <c r="Q931" t="str">
        <f t="shared" si="102"/>
        <v>52460</v>
      </c>
      <c r="R931" s="126" t="str">
        <f t="shared" si="103"/>
        <v>VEHICLE MAINTENANCE</v>
      </c>
      <c r="S931" s="125" t="str">
        <f t="shared" si="104"/>
        <v>100</v>
      </c>
      <c r="T931" s="125" t="str">
        <f t="shared" si="105"/>
        <v>50</v>
      </c>
      <c r="U931" s="125" t="str">
        <f t="shared" si="106"/>
        <v>502</v>
      </c>
      <c r="V931" s="125" t="str">
        <f>VLOOKUP(Q931,'GL Category'!A:C,3,FALSE)</f>
        <v>Operations &amp; maintenance</v>
      </c>
      <c r="X931" s="83"/>
    </row>
    <row r="932" spans="1:24" ht="20.399999999999999" customHeight="1">
      <c r="A932" s="608" t="s">
        <v>791</v>
      </c>
      <c r="B932" s="608" t="s">
        <v>2854</v>
      </c>
      <c r="C932" s="608" t="s">
        <v>190</v>
      </c>
      <c r="D932" s="609">
        <v>600</v>
      </c>
      <c r="E932" s="609">
        <v>858</v>
      </c>
      <c r="F932" s="609">
        <v>785</v>
      </c>
      <c r="G932" s="609">
        <v>807</v>
      </c>
      <c r="H932" s="609">
        <v>1000</v>
      </c>
      <c r="I932" s="609">
        <v>272</v>
      </c>
      <c r="J932" s="609">
        <v>1000</v>
      </c>
      <c r="K932" s="609">
        <v>1000</v>
      </c>
      <c r="L932" s="609">
        <v>0</v>
      </c>
      <c r="M932" s="609">
        <v>0</v>
      </c>
      <c r="N932" s="587">
        <f t="shared" si="101"/>
        <v>1000</v>
      </c>
      <c r="P932" s="490">
        <f>N932-H932</f>
        <v>0</v>
      </c>
      <c r="Q932" t="str">
        <f t="shared" si="102"/>
        <v>53510</v>
      </c>
      <c r="R932" s="126" t="str">
        <f t="shared" si="103"/>
        <v>DUES &amp; SUBSCRIPTIONS</v>
      </c>
      <c r="S932" s="125" t="str">
        <f t="shared" si="104"/>
        <v>100</v>
      </c>
      <c r="T932" s="125" t="str">
        <f t="shared" si="105"/>
        <v>50</v>
      </c>
      <c r="U932" s="125" t="str">
        <f t="shared" si="106"/>
        <v>502</v>
      </c>
      <c r="V932" s="125" t="str">
        <f>VLOOKUP(Q932,'GL Category'!A:C,3,FALSE)</f>
        <v>Services &amp; other</v>
      </c>
      <c r="X932" s="83"/>
    </row>
    <row r="933" spans="1:24" ht="20.399999999999999" customHeight="1">
      <c r="A933" s="608" t="s">
        <v>791</v>
      </c>
      <c r="B933" s="608" t="s">
        <v>2855</v>
      </c>
      <c r="C933" s="608" t="s">
        <v>191</v>
      </c>
      <c r="D933" s="609">
        <v>4263.66</v>
      </c>
      <c r="E933" s="609">
        <v>5688.18</v>
      </c>
      <c r="F933" s="609">
        <v>4008.27</v>
      </c>
      <c r="G933" s="609">
        <v>5795.63</v>
      </c>
      <c r="H933" s="609">
        <v>8000</v>
      </c>
      <c r="I933" s="609">
        <v>2774.81</v>
      </c>
      <c r="J933" s="609">
        <v>8000</v>
      </c>
      <c r="K933" s="609">
        <v>8000</v>
      </c>
      <c r="L933" s="609">
        <v>0</v>
      </c>
      <c r="M933" s="609">
        <v>0</v>
      </c>
      <c r="N933" s="587">
        <f t="shared" si="101"/>
        <v>8000</v>
      </c>
      <c r="Q933" t="str">
        <f t="shared" si="102"/>
        <v>53515</v>
      </c>
      <c r="R933" s="126" t="str">
        <f t="shared" si="103"/>
        <v>TRAVEL, TRAINING &amp; EDUCATION</v>
      </c>
      <c r="S933" s="125" t="str">
        <f t="shared" si="104"/>
        <v>100</v>
      </c>
      <c r="T933" s="125" t="str">
        <f t="shared" si="105"/>
        <v>50</v>
      </c>
      <c r="U933" s="125" t="str">
        <f t="shared" si="106"/>
        <v>502</v>
      </c>
      <c r="V933" s="125" t="str">
        <f>VLOOKUP(Q933,'GL Category'!A:C,3,FALSE)</f>
        <v>Services &amp; other</v>
      </c>
      <c r="X933" s="83"/>
    </row>
    <row r="934" spans="1:24" ht="20.399999999999999" customHeight="1">
      <c r="A934" s="608" t="s">
        <v>791</v>
      </c>
      <c r="B934" s="608" t="s">
        <v>2856</v>
      </c>
      <c r="C934" s="608" t="s">
        <v>305</v>
      </c>
      <c r="D934" s="609">
        <v>128474.75</v>
      </c>
      <c r="E934" s="609">
        <v>181416.88</v>
      </c>
      <c r="F934" s="609">
        <v>197500.76</v>
      </c>
      <c r="G934" s="609">
        <v>406500.32</v>
      </c>
      <c r="H934" s="609">
        <v>296500</v>
      </c>
      <c r="I934" s="609">
        <v>155001.99</v>
      </c>
      <c r="J934" s="609">
        <v>296500</v>
      </c>
      <c r="K934" s="609">
        <v>96500</v>
      </c>
      <c r="L934" s="609">
        <v>200000</v>
      </c>
      <c r="M934" s="609">
        <v>0</v>
      </c>
      <c r="N934" s="587">
        <f t="shared" si="101"/>
        <v>296500</v>
      </c>
      <c r="Q934" t="str">
        <f t="shared" si="102"/>
        <v>53543</v>
      </c>
      <c r="R934" s="126" t="str">
        <f t="shared" si="103"/>
        <v>ENGINEERING/DESIGN SERVICES</v>
      </c>
      <c r="S934" s="125" t="str">
        <f t="shared" si="104"/>
        <v>100</v>
      </c>
      <c r="T934" s="125" t="str">
        <f t="shared" si="105"/>
        <v>50</v>
      </c>
      <c r="U934" s="125" t="str">
        <f t="shared" si="106"/>
        <v>502</v>
      </c>
      <c r="V934" s="125" t="str">
        <f>VLOOKUP(Q934,'GL Category'!A:C,3,FALSE)</f>
        <v>Services &amp; other</v>
      </c>
      <c r="X934" s="83"/>
    </row>
    <row r="935" spans="1:24" ht="20.399999999999999" customHeight="1">
      <c r="A935" s="608" t="s">
        <v>791</v>
      </c>
      <c r="B935" s="608" t="s">
        <v>2858</v>
      </c>
      <c r="C935" s="608" t="s">
        <v>221</v>
      </c>
      <c r="D935" s="609">
        <v>20731</v>
      </c>
      <c r="E935" s="609">
        <v>23343</v>
      </c>
      <c r="F935" s="609">
        <v>23566</v>
      </c>
      <c r="G935" s="609">
        <v>23883</v>
      </c>
      <c r="H935" s="609">
        <v>24880</v>
      </c>
      <c r="I935" s="609">
        <v>18660</v>
      </c>
      <c r="J935" s="609">
        <v>24880</v>
      </c>
      <c r="K935" s="609">
        <v>30953</v>
      </c>
      <c r="L935" s="609">
        <v>0</v>
      </c>
      <c r="M935" s="609">
        <v>0</v>
      </c>
      <c r="N935" s="587">
        <f t="shared" si="101"/>
        <v>30953</v>
      </c>
      <c r="Q935" t="str">
        <f t="shared" si="102"/>
        <v>55119</v>
      </c>
      <c r="R935" s="126" t="str">
        <f t="shared" si="103"/>
        <v>OFFICE EQUIP LEASE EXP-CITY</v>
      </c>
      <c r="S935" s="125" t="str">
        <f t="shared" si="104"/>
        <v>100</v>
      </c>
      <c r="T935" s="125" t="str">
        <f t="shared" si="105"/>
        <v>50</v>
      </c>
      <c r="U935" s="125" t="str">
        <f t="shared" si="106"/>
        <v>502</v>
      </c>
      <c r="V935" s="125" t="str">
        <f>VLOOKUP(Q935,'GL Category'!A:C,3,FALSE)</f>
        <v>Services &amp; other</v>
      </c>
      <c r="X935" s="83"/>
    </row>
    <row r="936" spans="1:24" ht="20.399999999999999" customHeight="1">
      <c r="A936" s="608" t="s">
        <v>791</v>
      </c>
      <c r="B936" s="608" t="s">
        <v>2857</v>
      </c>
      <c r="C936" s="608" t="s">
        <v>220</v>
      </c>
      <c r="D936" s="609">
        <v>845</v>
      </c>
      <c r="E936" s="609">
        <v>5249</v>
      </c>
      <c r="F936" s="609">
        <v>6170</v>
      </c>
      <c r="G936" s="609">
        <v>7936</v>
      </c>
      <c r="H936" s="609">
        <v>7076</v>
      </c>
      <c r="I936" s="609">
        <v>5307</v>
      </c>
      <c r="J936" s="609">
        <v>7076</v>
      </c>
      <c r="K936" s="609">
        <v>7076</v>
      </c>
      <c r="L936" s="609">
        <v>0</v>
      </c>
      <c r="M936" s="609">
        <v>0</v>
      </c>
      <c r="N936" s="587">
        <f t="shared" si="101"/>
        <v>7076</v>
      </c>
      <c r="Q936" t="str">
        <f t="shared" si="102"/>
        <v>55175</v>
      </c>
      <c r="R936" s="126" t="str">
        <f t="shared" si="103"/>
        <v>VEHICLE/EQUIP LEASE EXP-CITY</v>
      </c>
      <c r="S936" s="125" t="str">
        <f t="shared" si="104"/>
        <v>100</v>
      </c>
      <c r="T936" s="125" t="str">
        <f t="shared" si="105"/>
        <v>50</v>
      </c>
      <c r="U936" s="125" t="str">
        <f t="shared" si="106"/>
        <v>502</v>
      </c>
      <c r="V936" s="125" t="str">
        <f>VLOOKUP(Q936,'GL Category'!A:C,3,FALSE)</f>
        <v>Services &amp; other</v>
      </c>
      <c r="X936" s="83"/>
    </row>
    <row r="937" spans="1:24" ht="20.399999999999999" customHeight="1">
      <c r="A937" s="608" t="s">
        <v>791</v>
      </c>
      <c r="B937" s="608" t="s">
        <v>3357</v>
      </c>
      <c r="C937" s="608" t="s">
        <v>305</v>
      </c>
      <c r="D937" s="609">
        <v>0</v>
      </c>
      <c r="E937" s="609">
        <v>0</v>
      </c>
      <c r="F937" s="609">
        <v>0</v>
      </c>
      <c r="G937" s="609">
        <v>0</v>
      </c>
      <c r="H937" s="609">
        <v>0</v>
      </c>
      <c r="I937" s="609">
        <v>0</v>
      </c>
      <c r="J937" s="609">
        <v>0</v>
      </c>
      <c r="K937" s="609">
        <v>0</v>
      </c>
      <c r="L937" s="609">
        <v>0</v>
      </c>
      <c r="M937" s="609">
        <v>0</v>
      </c>
      <c r="N937" s="587">
        <f t="shared" si="101"/>
        <v>0</v>
      </c>
      <c r="Q937" t="str">
        <f t="shared" si="102"/>
        <v>58710</v>
      </c>
      <c r="R937" s="126" t="str">
        <f t="shared" si="103"/>
        <v>ENGINEERING/DESIGN SERVICES</v>
      </c>
      <c r="S937" s="125" t="str">
        <f t="shared" si="104"/>
        <v>100</v>
      </c>
      <c r="T937" s="125" t="str">
        <f t="shared" si="105"/>
        <v>50</v>
      </c>
      <c r="U937" s="125" t="str">
        <f t="shared" si="106"/>
        <v>502</v>
      </c>
      <c r="V937" s="125" t="str">
        <f>VLOOKUP(Q937,'GL Category'!A:C,3,FALSE)</f>
        <v>Capital Outlay</v>
      </c>
      <c r="X937" s="83"/>
    </row>
    <row r="938" spans="1:24" ht="20.399999999999999" customHeight="1">
      <c r="A938" s="608" t="s">
        <v>791</v>
      </c>
      <c r="B938" s="608" t="s">
        <v>2862</v>
      </c>
      <c r="C938" s="608" t="s">
        <v>130</v>
      </c>
      <c r="D938" s="609">
        <v>44109.29</v>
      </c>
      <c r="E938" s="609">
        <v>45350.95</v>
      </c>
      <c r="F938" s="609">
        <v>47565.41</v>
      </c>
      <c r="G938" s="609">
        <v>44343.13</v>
      </c>
      <c r="H938" s="609">
        <v>52801</v>
      </c>
      <c r="I938" s="609">
        <v>0</v>
      </c>
      <c r="J938" s="609">
        <v>0</v>
      </c>
      <c r="K938" s="609">
        <v>0</v>
      </c>
      <c r="L938" s="609">
        <v>0</v>
      </c>
      <c r="M938" s="609">
        <v>0</v>
      </c>
      <c r="N938" s="587">
        <f t="shared" si="101"/>
        <v>0</v>
      </c>
      <c r="Q938" t="str">
        <f t="shared" si="102"/>
        <v>50101</v>
      </c>
      <c r="R938" s="126" t="str">
        <f t="shared" si="103"/>
        <v>EXEMPT SALARIES</v>
      </c>
      <c r="S938" s="125" t="str">
        <f t="shared" si="104"/>
        <v>100</v>
      </c>
      <c r="T938" s="125" t="str">
        <f t="shared" si="105"/>
        <v>50</v>
      </c>
      <c r="U938" s="125" t="str">
        <f t="shared" si="106"/>
        <v>503</v>
      </c>
      <c r="V938" s="125" t="str">
        <f>VLOOKUP(Q938,'GL Category'!A:C,3,FALSE)</f>
        <v>Personnel services</v>
      </c>
      <c r="X938" s="83"/>
    </row>
    <row r="939" spans="1:24" ht="20.399999999999999" customHeight="1">
      <c r="A939" s="608" t="s">
        <v>791</v>
      </c>
      <c r="B939" s="608" t="s">
        <v>2863</v>
      </c>
      <c r="C939" s="608" t="s">
        <v>132</v>
      </c>
      <c r="D939" s="609">
        <v>338762.05</v>
      </c>
      <c r="E939" s="609">
        <v>345386.77</v>
      </c>
      <c r="F939" s="609">
        <v>374701.82</v>
      </c>
      <c r="G939" s="609">
        <v>370859.36</v>
      </c>
      <c r="H939" s="609">
        <v>345820</v>
      </c>
      <c r="I939" s="609">
        <v>257852.64</v>
      </c>
      <c r="J939" s="609">
        <v>358217</v>
      </c>
      <c r="K939" s="609">
        <v>419546</v>
      </c>
      <c r="L939" s="609">
        <v>0</v>
      </c>
      <c r="M939" s="609">
        <v>0</v>
      </c>
      <c r="N939" s="587">
        <f t="shared" si="101"/>
        <v>419546</v>
      </c>
      <c r="Q939" t="str">
        <f t="shared" si="102"/>
        <v>50102</v>
      </c>
      <c r="R939" s="126" t="str">
        <f t="shared" si="103"/>
        <v>NON EXEMPT SALARIES</v>
      </c>
      <c r="S939" s="125" t="str">
        <f t="shared" si="104"/>
        <v>100</v>
      </c>
      <c r="T939" s="125" t="str">
        <f t="shared" si="105"/>
        <v>50</v>
      </c>
      <c r="U939" s="125" t="str">
        <f t="shared" si="106"/>
        <v>503</v>
      </c>
      <c r="V939" s="125" t="str">
        <f>VLOOKUP(Q939,'GL Category'!A:C,3,FALSE)</f>
        <v>Personnel services</v>
      </c>
      <c r="X939" s="83"/>
    </row>
    <row r="940" spans="1:24" ht="20.399999999999999" customHeight="1">
      <c r="A940" s="608" t="s">
        <v>791</v>
      </c>
      <c r="B940" s="608" t="s">
        <v>2864</v>
      </c>
      <c r="C940" s="608" t="s">
        <v>0</v>
      </c>
      <c r="D940" s="609">
        <v>35480.35</v>
      </c>
      <c r="E940" s="609">
        <v>30768.82</v>
      </c>
      <c r="F940" s="609">
        <v>23647.98</v>
      </c>
      <c r="G940" s="609">
        <v>23314.95</v>
      </c>
      <c r="H940" s="609">
        <v>31051</v>
      </c>
      <c r="I940" s="609">
        <v>3984.91</v>
      </c>
      <c r="J940" s="609">
        <v>2604</v>
      </c>
      <c r="K940" s="609">
        <v>30927</v>
      </c>
      <c r="L940" s="609">
        <v>0</v>
      </c>
      <c r="M940" s="609">
        <v>0</v>
      </c>
      <c r="N940" s="587">
        <f t="shared" si="101"/>
        <v>30927</v>
      </c>
      <c r="Q940" t="str">
        <f t="shared" si="102"/>
        <v>50109</v>
      </c>
      <c r="R940" s="126" t="str">
        <f t="shared" si="103"/>
        <v>OVERTIME</v>
      </c>
      <c r="S940" s="125" t="str">
        <f t="shared" si="104"/>
        <v>100</v>
      </c>
      <c r="T940" s="125" t="str">
        <f t="shared" si="105"/>
        <v>50</v>
      </c>
      <c r="U940" s="125" t="str">
        <f t="shared" si="106"/>
        <v>503</v>
      </c>
      <c r="V940" s="125" t="str">
        <f>VLOOKUP(Q940,'GL Category'!A:C,3,FALSE)</f>
        <v>Personnel services</v>
      </c>
      <c r="X940" s="83"/>
    </row>
    <row r="941" spans="1:24" ht="20.399999999999999" customHeight="1">
      <c r="A941" s="608" t="s">
        <v>791</v>
      </c>
      <c r="B941" s="608" t="s">
        <v>2865</v>
      </c>
      <c r="C941" s="608" t="s">
        <v>137</v>
      </c>
      <c r="D941" s="609">
        <v>4245</v>
      </c>
      <c r="E941" s="609">
        <v>4695</v>
      </c>
      <c r="F941" s="609">
        <v>2920</v>
      </c>
      <c r="G941" s="609">
        <v>2695</v>
      </c>
      <c r="H941" s="609">
        <v>960</v>
      </c>
      <c r="I941" s="609">
        <v>980</v>
      </c>
      <c r="J941" s="609">
        <v>980</v>
      </c>
      <c r="K941" s="609">
        <v>1662</v>
      </c>
      <c r="L941" s="609">
        <v>0</v>
      </c>
      <c r="M941" s="609">
        <v>0</v>
      </c>
      <c r="N941" s="587">
        <f t="shared" si="101"/>
        <v>1662</v>
      </c>
      <c r="Q941" t="str">
        <f t="shared" si="102"/>
        <v>50111</v>
      </c>
      <c r="R941" s="126" t="str">
        <f t="shared" si="103"/>
        <v>LONGEVITY PAY</v>
      </c>
      <c r="S941" s="125" t="str">
        <f t="shared" si="104"/>
        <v>100</v>
      </c>
      <c r="T941" s="125" t="str">
        <f t="shared" si="105"/>
        <v>50</v>
      </c>
      <c r="U941" s="125" t="str">
        <f t="shared" si="106"/>
        <v>503</v>
      </c>
      <c r="V941" s="125" t="str">
        <f>VLOOKUP(Q941,'GL Category'!A:C,3,FALSE)</f>
        <v>Personnel services</v>
      </c>
      <c r="X941" s="83"/>
    </row>
    <row r="942" spans="1:24" ht="20.399999999999999" customHeight="1">
      <c r="A942" s="608" t="s">
        <v>791</v>
      </c>
      <c r="B942" s="608" t="s">
        <v>2866</v>
      </c>
      <c r="C942" s="608" t="s">
        <v>1</v>
      </c>
      <c r="D942" s="609">
        <v>30648.34</v>
      </c>
      <c r="E942" s="609">
        <v>30934.36</v>
      </c>
      <c r="F942" s="609">
        <v>32525.360000000001</v>
      </c>
      <c r="G942" s="609">
        <v>27152.65</v>
      </c>
      <c r="H942" s="609">
        <v>32980</v>
      </c>
      <c r="I942" s="609">
        <v>19200.599999999999</v>
      </c>
      <c r="J942" s="609">
        <v>27653</v>
      </c>
      <c r="K942" s="609">
        <v>34720</v>
      </c>
      <c r="L942" s="609">
        <v>0</v>
      </c>
      <c r="M942" s="609">
        <v>0</v>
      </c>
      <c r="N942" s="587">
        <f t="shared" si="101"/>
        <v>34720</v>
      </c>
      <c r="Q942" t="str">
        <f t="shared" si="102"/>
        <v>50610</v>
      </c>
      <c r="R942" s="126" t="str">
        <f t="shared" si="103"/>
        <v>SOCIAL SECURITY</v>
      </c>
      <c r="S942" s="125" t="str">
        <f t="shared" si="104"/>
        <v>100</v>
      </c>
      <c r="T942" s="125" t="str">
        <f t="shared" si="105"/>
        <v>50</v>
      </c>
      <c r="U942" s="125" t="str">
        <f t="shared" si="106"/>
        <v>503</v>
      </c>
      <c r="V942" s="125" t="str">
        <f>VLOOKUP(Q942,'GL Category'!A:C,3,FALSE)</f>
        <v>Personnel services</v>
      </c>
      <c r="X942" s="83"/>
    </row>
    <row r="943" spans="1:24" s="83" customFormat="1" ht="20.399999999999999" customHeight="1">
      <c r="A943" s="608" t="s">
        <v>791</v>
      </c>
      <c r="B943" s="608" t="s">
        <v>2867</v>
      </c>
      <c r="C943" s="608" t="s">
        <v>142</v>
      </c>
      <c r="D943" s="609">
        <v>108405.02</v>
      </c>
      <c r="E943" s="609">
        <v>114682.31</v>
      </c>
      <c r="F943" s="609">
        <v>133932.19</v>
      </c>
      <c r="G943" s="609">
        <v>125275.64</v>
      </c>
      <c r="H943" s="609">
        <v>133793</v>
      </c>
      <c r="I943" s="609">
        <v>70419.77</v>
      </c>
      <c r="J943" s="609">
        <v>106952</v>
      </c>
      <c r="K943" s="609">
        <v>123926</v>
      </c>
      <c r="L943" s="609">
        <v>0</v>
      </c>
      <c r="M943" s="609">
        <v>0</v>
      </c>
      <c r="N943" s="587">
        <f t="shared" si="101"/>
        <v>123926</v>
      </c>
      <c r="O943"/>
      <c r="P943" s="490"/>
      <c r="Q943" t="str">
        <f t="shared" si="102"/>
        <v>50620</v>
      </c>
      <c r="R943" s="126" t="str">
        <f t="shared" si="103"/>
        <v>HEALTH/LIFE INSURANCE</v>
      </c>
      <c r="S943" s="125" t="str">
        <f t="shared" si="104"/>
        <v>100</v>
      </c>
      <c r="T943" s="125" t="str">
        <f t="shared" si="105"/>
        <v>50</v>
      </c>
      <c r="U943" s="125" t="str">
        <f t="shared" si="106"/>
        <v>503</v>
      </c>
      <c r="V943" s="125" t="str">
        <f>VLOOKUP(Q943,'GL Category'!A:C,3,FALSE)</f>
        <v>Personnel services</v>
      </c>
      <c r="W943" s="125"/>
    </row>
    <row r="944" spans="1:24" ht="20.399999999999999" customHeight="1">
      <c r="A944" s="608" t="s">
        <v>791</v>
      </c>
      <c r="B944" s="608" t="s">
        <v>2868</v>
      </c>
      <c r="C944" s="608" t="s">
        <v>144</v>
      </c>
      <c r="D944" s="609">
        <v>5766.52</v>
      </c>
      <c r="E944" s="609">
        <v>5145.6000000000004</v>
      </c>
      <c r="F944" s="609">
        <v>5816.41</v>
      </c>
      <c r="G944" s="609">
        <v>9617.0499999999993</v>
      </c>
      <c r="H944" s="609">
        <v>11439</v>
      </c>
      <c r="I944" s="609">
        <v>11429.66</v>
      </c>
      <c r="J944" s="609">
        <v>11430</v>
      </c>
      <c r="K944" s="609">
        <v>11024</v>
      </c>
      <c r="L944" s="609">
        <v>0</v>
      </c>
      <c r="M944" s="609">
        <v>0</v>
      </c>
      <c r="N944" s="587">
        <f t="shared" si="101"/>
        <v>11024</v>
      </c>
      <c r="Q944" t="str">
        <f t="shared" si="102"/>
        <v>50630</v>
      </c>
      <c r="R944" s="126" t="str">
        <f t="shared" si="103"/>
        <v>WORKER COMPENSATION</v>
      </c>
      <c r="S944" s="125" t="str">
        <f t="shared" si="104"/>
        <v>100</v>
      </c>
      <c r="T944" s="125" t="str">
        <f t="shared" si="105"/>
        <v>50</v>
      </c>
      <c r="U944" s="125" t="str">
        <f t="shared" si="106"/>
        <v>503</v>
      </c>
      <c r="V944" s="125" t="str">
        <f>VLOOKUP(Q944,'GL Category'!A:C,3,FALSE)</f>
        <v>Personnel services</v>
      </c>
      <c r="X944" s="83"/>
    </row>
    <row r="945" spans="1:24" ht="20.399999999999999" customHeight="1">
      <c r="A945" s="608" t="s">
        <v>791</v>
      </c>
      <c r="B945" s="608" t="s">
        <v>3206</v>
      </c>
      <c r="C945" s="608" t="s">
        <v>146</v>
      </c>
      <c r="D945" s="609">
        <v>0</v>
      </c>
      <c r="E945" s="609">
        <v>0</v>
      </c>
      <c r="F945" s="609">
        <v>0</v>
      </c>
      <c r="G945" s="609">
        <v>0</v>
      </c>
      <c r="H945" s="609">
        <v>0</v>
      </c>
      <c r="I945" s="609">
        <v>0</v>
      </c>
      <c r="J945" s="609">
        <v>0</v>
      </c>
      <c r="K945" s="609">
        <v>0</v>
      </c>
      <c r="L945" s="609">
        <v>0</v>
      </c>
      <c r="M945" s="609">
        <v>0</v>
      </c>
      <c r="N945" s="587">
        <f t="shared" si="101"/>
        <v>0</v>
      </c>
      <c r="Q945" t="str">
        <f t="shared" si="102"/>
        <v>50640</v>
      </c>
      <c r="R945" s="126" t="str">
        <f t="shared" si="103"/>
        <v>UNEMPLOYMENT INSURANCE</v>
      </c>
      <c r="S945" s="125" t="str">
        <f t="shared" si="104"/>
        <v>100</v>
      </c>
      <c r="T945" s="125" t="str">
        <f t="shared" si="105"/>
        <v>50</v>
      </c>
      <c r="U945" s="125" t="str">
        <f t="shared" si="106"/>
        <v>503</v>
      </c>
      <c r="V945" s="125" t="str">
        <f>VLOOKUP(Q945,'GL Category'!A:C,3,FALSE)</f>
        <v>Personnel services</v>
      </c>
      <c r="X945" s="83"/>
    </row>
    <row r="946" spans="1:24" ht="20.399999999999999" customHeight="1">
      <c r="A946" s="608" t="s">
        <v>791</v>
      </c>
      <c r="B946" s="608" t="s">
        <v>2869</v>
      </c>
      <c r="C946" s="608" t="s">
        <v>2</v>
      </c>
      <c r="D946" s="609">
        <v>67149.95</v>
      </c>
      <c r="E946" s="609">
        <v>68838.100000000006</v>
      </c>
      <c r="F946" s="609">
        <v>73129.95</v>
      </c>
      <c r="G946" s="609">
        <v>70212.929999999993</v>
      </c>
      <c r="H946" s="609">
        <v>71226</v>
      </c>
      <c r="I946" s="609">
        <v>43612.83</v>
      </c>
      <c r="J946" s="609">
        <v>61673</v>
      </c>
      <c r="K946" s="609">
        <v>76767</v>
      </c>
      <c r="L946" s="609">
        <v>0</v>
      </c>
      <c r="M946" s="609">
        <v>0</v>
      </c>
      <c r="N946" s="587">
        <f t="shared" si="101"/>
        <v>76767</v>
      </c>
      <c r="Q946" t="str">
        <f t="shared" si="102"/>
        <v>50650</v>
      </c>
      <c r="R946" s="126" t="str">
        <f t="shared" si="103"/>
        <v>RETIREMENT</v>
      </c>
      <c r="S946" s="125" t="str">
        <f t="shared" si="104"/>
        <v>100</v>
      </c>
      <c r="T946" s="125" t="str">
        <f t="shared" si="105"/>
        <v>50</v>
      </c>
      <c r="U946" s="125" t="str">
        <f t="shared" si="106"/>
        <v>503</v>
      </c>
      <c r="V946" s="125" t="str">
        <f>VLOOKUP(Q946,'GL Category'!A:C,3,FALSE)</f>
        <v>Personnel services</v>
      </c>
      <c r="X946" s="83"/>
    </row>
    <row r="947" spans="1:24" ht="20.399999999999999" customHeight="1">
      <c r="A947" s="608" t="s">
        <v>791</v>
      </c>
      <c r="B947" s="608" t="s">
        <v>2870</v>
      </c>
      <c r="C947" s="608" t="s">
        <v>149</v>
      </c>
      <c r="D947" s="609">
        <v>18</v>
      </c>
      <c r="E947" s="609">
        <v>0</v>
      </c>
      <c r="F947" s="609">
        <v>0</v>
      </c>
      <c r="G947" s="609">
        <v>62</v>
      </c>
      <c r="H947" s="609">
        <v>0</v>
      </c>
      <c r="I947" s="609">
        <v>0</v>
      </c>
      <c r="J947" s="609">
        <v>0</v>
      </c>
      <c r="K947" s="609">
        <v>0</v>
      </c>
      <c r="L947" s="609">
        <v>0</v>
      </c>
      <c r="M947" s="609">
        <v>0</v>
      </c>
      <c r="N947" s="587">
        <f t="shared" si="101"/>
        <v>0</v>
      </c>
      <c r="Q947" t="str">
        <f t="shared" si="102"/>
        <v>51210</v>
      </c>
      <c r="R947" s="126" t="str">
        <f t="shared" si="103"/>
        <v>OFFICE SUPPLIES</v>
      </c>
      <c r="S947" s="125" t="str">
        <f t="shared" si="104"/>
        <v>100</v>
      </c>
      <c r="T947" s="125" t="str">
        <f t="shared" si="105"/>
        <v>50</v>
      </c>
      <c r="U947" s="125" t="str">
        <f t="shared" si="106"/>
        <v>503</v>
      </c>
      <c r="V947" s="125" t="str">
        <f>VLOOKUP(Q947,'GL Category'!A:C,3,FALSE)</f>
        <v>Operations &amp; maintenance</v>
      </c>
      <c r="X947" s="83"/>
    </row>
    <row r="948" spans="1:24" ht="20.399999999999999" customHeight="1">
      <c r="A948" s="608" t="s">
        <v>791</v>
      </c>
      <c r="B948" s="608" t="s">
        <v>2871</v>
      </c>
      <c r="C948" s="608" t="s">
        <v>4</v>
      </c>
      <c r="D948" s="609">
        <v>12479.16</v>
      </c>
      <c r="E948" s="609">
        <v>6293.22</v>
      </c>
      <c r="F948" s="609">
        <v>8131.69</v>
      </c>
      <c r="G948" s="609">
        <v>8425.77</v>
      </c>
      <c r="H948" s="609">
        <v>10940</v>
      </c>
      <c r="I948" s="609">
        <v>2374.39</v>
      </c>
      <c r="J948" s="609">
        <v>9000</v>
      </c>
      <c r="K948" s="609">
        <v>9500</v>
      </c>
      <c r="L948" s="609">
        <v>0</v>
      </c>
      <c r="M948" s="609">
        <v>0</v>
      </c>
      <c r="N948" s="587">
        <f t="shared" si="101"/>
        <v>9500</v>
      </c>
      <c r="Q948" t="str">
        <f t="shared" si="102"/>
        <v>51245</v>
      </c>
      <c r="R948" s="126" t="str">
        <f t="shared" si="103"/>
        <v>SMALL TOOLS &amp; EQUIPMENT</v>
      </c>
      <c r="S948" s="125" t="str">
        <f t="shared" si="104"/>
        <v>100</v>
      </c>
      <c r="T948" s="125" t="str">
        <f t="shared" si="105"/>
        <v>50</v>
      </c>
      <c r="U948" s="125" t="str">
        <f t="shared" si="106"/>
        <v>503</v>
      </c>
      <c r="V948" s="125" t="str">
        <f>VLOOKUP(Q948,'GL Category'!A:C,3,FALSE)</f>
        <v>Operations &amp; maintenance</v>
      </c>
      <c r="X948" s="83"/>
    </row>
    <row r="949" spans="1:24" ht="20.399999999999999" customHeight="1">
      <c r="A949" s="608" t="s">
        <v>791</v>
      </c>
      <c r="B949" s="608" t="s">
        <v>2872</v>
      </c>
      <c r="C949" s="608" t="s">
        <v>161</v>
      </c>
      <c r="D949" s="609">
        <v>17585.46</v>
      </c>
      <c r="E949" s="609">
        <v>21806.12</v>
      </c>
      <c r="F949" s="609">
        <v>35876.93</v>
      </c>
      <c r="G949" s="609">
        <v>14911.78</v>
      </c>
      <c r="H949" s="609">
        <v>35000</v>
      </c>
      <c r="I949" s="609">
        <v>7706.1</v>
      </c>
      <c r="J949" s="609">
        <v>35000</v>
      </c>
      <c r="K949" s="609">
        <v>35000</v>
      </c>
      <c r="L949" s="609">
        <v>0</v>
      </c>
      <c r="M949" s="609">
        <v>0</v>
      </c>
      <c r="N949" s="587">
        <f t="shared" si="101"/>
        <v>35000</v>
      </c>
      <c r="Q949" t="str">
        <f t="shared" si="102"/>
        <v>51255</v>
      </c>
      <c r="R949" s="126" t="str">
        <f t="shared" si="103"/>
        <v>FUEL/OILS/LUBRICANTS</v>
      </c>
      <c r="S949" s="125" t="str">
        <f t="shared" si="104"/>
        <v>100</v>
      </c>
      <c r="T949" s="125" t="str">
        <f t="shared" si="105"/>
        <v>50</v>
      </c>
      <c r="U949" s="125" t="str">
        <f t="shared" si="106"/>
        <v>503</v>
      </c>
      <c r="V949" s="125" t="str">
        <f>VLOOKUP(Q949,'GL Category'!A:C,3,FALSE)</f>
        <v>Operations &amp; maintenance</v>
      </c>
      <c r="X949" s="83"/>
    </row>
    <row r="950" spans="1:24" ht="20.399999999999999" customHeight="1">
      <c r="A950" s="608" t="s">
        <v>791</v>
      </c>
      <c r="B950" s="608" t="s">
        <v>2873</v>
      </c>
      <c r="C950" s="608" t="s">
        <v>234</v>
      </c>
      <c r="D950" s="609">
        <v>43987.56</v>
      </c>
      <c r="E950" s="609">
        <v>21716.32</v>
      </c>
      <c r="F950" s="609">
        <v>35487.74</v>
      </c>
      <c r="G950" s="609">
        <v>44433.8</v>
      </c>
      <c r="H950" s="609">
        <v>50000</v>
      </c>
      <c r="I950" s="609">
        <v>8444.9</v>
      </c>
      <c r="J950" s="609">
        <v>45000</v>
      </c>
      <c r="K950" s="609">
        <v>50000</v>
      </c>
      <c r="L950" s="609">
        <v>0</v>
      </c>
      <c r="M950" s="609">
        <v>0</v>
      </c>
      <c r="N950" s="587">
        <f t="shared" si="101"/>
        <v>50000</v>
      </c>
      <c r="Q950" t="str">
        <f t="shared" si="102"/>
        <v>51265</v>
      </c>
      <c r="R950" s="126" t="str">
        <f t="shared" si="103"/>
        <v>STREET SIGN/SIGNAL SUPPLIES</v>
      </c>
      <c r="S950" s="125" t="str">
        <f t="shared" si="104"/>
        <v>100</v>
      </c>
      <c r="T950" s="125" t="str">
        <f t="shared" si="105"/>
        <v>50</v>
      </c>
      <c r="U950" s="125" t="str">
        <f t="shared" si="106"/>
        <v>503</v>
      </c>
      <c r="V950" s="125" t="str">
        <f>VLOOKUP(Q950,'GL Category'!A:C,3,FALSE)</f>
        <v>Operations &amp; maintenance</v>
      </c>
      <c r="X950" s="83"/>
    </row>
    <row r="951" spans="1:24" ht="14.4" customHeight="1">
      <c r="A951" s="608" t="s">
        <v>791</v>
      </c>
      <c r="B951" s="608" t="s">
        <v>2874</v>
      </c>
      <c r="C951" s="608" t="s">
        <v>276</v>
      </c>
      <c r="D951" s="609">
        <v>2614.11</v>
      </c>
      <c r="E951" s="609">
        <v>159.44</v>
      </c>
      <c r="F951" s="609">
        <v>0</v>
      </c>
      <c r="G951" s="609">
        <v>2208.4</v>
      </c>
      <c r="H951" s="609">
        <v>3000</v>
      </c>
      <c r="I951" s="609">
        <v>0</v>
      </c>
      <c r="J951" s="609">
        <v>2500</v>
      </c>
      <c r="K951" s="609">
        <v>0</v>
      </c>
      <c r="L951" s="609">
        <v>0</v>
      </c>
      <c r="M951" s="609">
        <v>0</v>
      </c>
      <c r="N951" s="587">
        <f t="shared" si="101"/>
        <v>0</v>
      </c>
      <c r="Q951" t="str">
        <f t="shared" si="102"/>
        <v>51270</v>
      </c>
      <c r="R951" s="126" t="str">
        <f t="shared" si="103"/>
        <v>CHEMICAL SUPPLIES</v>
      </c>
      <c r="S951" s="125" t="str">
        <f t="shared" si="104"/>
        <v>100</v>
      </c>
      <c r="T951" s="125" t="str">
        <f t="shared" si="105"/>
        <v>50</v>
      </c>
      <c r="U951" s="125" t="str">
        <f t="shared" si="106"/>
        <v>503</v>
      </c>
      <c r="V951" s="125" t="str">
        <f>VLOOKUP(Q951,'GL Category'!A:C,3,FALSE)</f>
        <v>Operations &amp; maintenance</v>
      </c>
      <c r="X951" s="83"/>
    </row>
    <row r="952" spans="1:24" ht="20.399999999999999" customHeight="1">
      <c r="A952" s="608" t="s">
        <v>791</v>
      </c>
      <c r="B952" s="608" t="s">
        <v>2875</v>
      </c>
      <c r="C952" s="608" t="s">
        <v>167</v>
      </c>
      <c r="D952" s="609">
        <v>4729.4799999999996</v>
      </c>
      <c r="E952" s="609">
        <v>4722.3900000000003</v>
      </c>
      <c r="F952" s="609">
        <v>5180.83</v>
      </c>
      <c r="G952" s="609">
        <v>5896.23</v>
      </c>
      <c r="H952" s="609">
        <v>6800</v>
      </c>
      <c r="I952" s="609">
        <v>4012.26</v>
      </c>
      <c r="J952" s="609">
        <v>6000</v>
      </c>
      <c r="K952" s="609">
        <v>6800</v>
      </c>
      <c r="L952" s="609">
        <v>0</v>
      </c>
      <c r="M952" s="609">
        <v>0</v>
      </c>
      <c r="N952" s="587">
        <f t="shared" si="101"/>
        <v>6800</v>
      </c>
      <c r="Q952" t="str">
        <f t="shared" si="102"/>
        <v>51285</v>
      </c>
      <c r="R952" s="126" t="str">
        <f t="shared" si="103"/>
        <v>WEARING APPAREL</v>
      </c>
      <c r="S952" s="125" t="str">
        <f t="shared" si="104"/>
        <v>100</v>
      </c>
      <c r="T952" s="125" t="str">
        <f t="shared" si="105"/>
        <v>50</v>
      </c>
      <c r="U952" s="125" t="str">
        <f t="shared" si="106"/>
        <v>503</v>
      </c>
      <c r="V952" s="125" t="str">
        <f>VLOOKUP(Q952,'GL Category'!A:C,3,FALSE)</f>
        <v>Operations &amp; maintenance</v>
      </c>
      <c r="X952" s="83"/>
    </row>
    <row r="953" spans="1:24" ht="20.399999999999999" customHeight="1">
      <c r="A953" s="608" t="s">
        <v>791</v>
      </c>
      <c r="B953" s="608" t="s">
        <v>2876</v>
      </c>
      <c r="C953" s="608" t="s">
        <v>274</v>
      </c>
      <c r="D953" s="609">
        <v>4787.43</v>
      </c>
      <c r="E953" s="609">
        <v>6942.99</v>
      </c>
      <c r="F953" s="609">
        <v>7743.42</v>
      </c>
      <c r="G953" s="609">
        <v>3051.72</v>
      </c>
      <c r="H953" s="609">
        <v>4900</v>
      </c>
      <c r="I953" s="609">
        <v>3038.34</v>
      </c>
      <c r="J953" s="609">
        <v>4900</v>
      </c>
      <c r="K953" s="609">
        <v>6000</v>
      </c>
      <c r="L953" s="609">
        <v>0</v>
      </c>
      <c r="M953" s="609">
        <v>0</v>
      </c>
      <c r="N953" s="587">
        <f t="shared" si="101"/>
        <v>6000</v>
      </c>
      <c r="Q953" t="str">
        <f t="shared" si="102"/>
        <v>51287</v>
      </c>
      <c r="R953" s="126" t="str">
        <f t="shared" si="103"/>
        <v>SAFETY EQUIPMENT/SUPPLIES</v>
      </c>
      <c r="S953" s="125" t="str">
        <f t="shared" si="104"/>
        <v>100</v>
      </c>
      <c r="T953" s="125" t="str">
        <f t="shared" si="105"/>
        <v>50</v>
      </c>
      <c r="U953" s="125" t="str">
        <f t="shared" si="106"/>
        <v>503</v>
      </c>
      <c r="V953" s="125" t="str">
        <f>VLOOKUP(Q953,'GL Category'!A:C,3,FALSE)</f>
        <v>Operations &amp; maintenance</v>
      </c>
      <c r="X953" s="83"/>
    </row>
    <row r="954" spans="1:24" ht="20.399999999999999" customHeight="1">
      <c r="A954" s="608" t="s">
        <v>791</v>
      </c>
      <c r="B954" s="608" t="s">
        <v>2876</v>
      </c>
      <c r="C954" s="608" t="s">
        <v>274</v>
      </c>
      <c r="D954" s="609">
        <v>0</v>
      </c>
      <c r="E954" s="609">
        <v>0</v>
      </c>
      <c r="F954" s="609">
        <v>0</v>
      </c>
      <c r="G954" s="609">
        <v>0</v>
      </c>
      <c r="H954" s="609">
        <v>0</v>
      </c>
      <c r="I954" s="609">
        <v>0</v>
      </c>
      <c r="J954" s="609">
        <v>0</v>
      </c>
      <c r="K954" s="609">
        <v>0</v>
      </c>
      <c r="L954" s="609">
        <v>0</v>
      </c>
      <c r="M954" s="609">
        <v>0</v>
      </c>
      <c r="N954" s="587">
        <f t="shared" si="101"/>
        <v>0</v>
      </c>
      <c r="Q954" t="str">
        <f t="shared" si="102"/>
        <v>51287</v>
      </c>
      <c r="R954" s="126" t="str">
        <f t="shared" si="103"/>
        <v>SAFETY EQUIPMENT/SUPPLIES</v>
      </c>
      <c r="S954" s="125" t="str">
        <f t="shared" si="104"/>
        <v>100</v>
      </c>
      <c r="T954" s="125" t="str">
        <f t="shared" si="105"/>
        <v>50</v>
      </c>
      <c r="U954" s="125" t="str">
        <f t="shared" si="106"/>
        <v>503</v>
      </c>
      <c r="V954" s="125" t="str">
        <f>VLOOKUP(Q954,'GL Category'!A:C,3,FALSE)</f>
        <v>Operations &amp; maintenance</v>
      </c>
      <c r="X954" s="83"/>
    </row>
    <row r="955" spans="1:24" ht="20.399999999999999" customHeight="1">
      <c r="A955" s="608" t="s">
        <v>791</v>
      </c>
      <c r="B955" s="608" t="s">
        <v>2889</v>
      </c>
      <c r="C955" s="608" t="s">
        <v>171</v>
      </c>
      <c r="D955" s="609">
        <v>0</v>
      </c>
      <c r="E955" s="609">
        <v>0</v>
      </c>
      <c r="F955" s="609">
        <v>0</v>
      </c>
      <c r="G955" s="609">
        <v>0</v>
      </c>
      <c r="H955" s="609">
        <v>0</v>
      </c>
      <c r="I955" s="609">
        <v>0</v>
      </c>
      <c r="J955" s="609">
        <v>0</v>
      </c>
      <c r="K955" s="609">
        <v>0</v>
      </c>
      <c r="L955" s="609">
        <v>0</v>
      </c>
      <c r="M955" s="609">
        <v>0</v>
      </c>
      <c r="N955" s="587">
        <f t="shared" si="101"/>
        <v>0</v>
      </c>
      <c r="Q955" t="str">
        <f t="shared" si="102"/>
        <v>52310</v>
      </c>
      <c r="R955" s="126" t="str">
        <f t="shared" si="103"/>
        <v>BUILDING MAINTENANCE</v>
      </c>
      <c r="S955" s="125" t="str">
        <f t="shared" si="104"/>
        <v>100</v>
      </c>
      <c r="T955" s="125" t="str">
        <f t="shared" si="105"/>
        <v>50</v>
      </c>
      <c r="U955" s="125" t="str">
        <f t="shared" si="106"/>
        <v>503</v>
      </c>
      <c r="V955" s="125" t="str">
        <f>VLOOKUP(Q955,'GL Category'!A:C,3,FALSE)</f>
        <v>Operations &amp; maintenance</v>
      </c>
      <c r="X955" s="83"/>
    </row>
    <row r="956" spans="1:24" ht="20.399999999999999" customHeight="1">
      <c r="A956" s="608" t="s">
        <v>791</v>
      </c>
      <c r="B956" s="608" t="s">
        <v>2878</v>
      </c>
      <c r="C956" s="608" t="s">
        <v>53</v>
      </c>
      <c r="D956" s="609">
        <v>599591.39</v>
      </c>
      <c r="E956" s="609">
        <v>657412.9</v>
      </c>
      <c r="F956" s="609">
        <v>599125.01</v>
      </c>
      <c r="G956" s="609">
        <v>225237.21</v>
      </c>
      <c r="H956" s="609">
        <v>848000</v>
      </c>
      <c r="I956" s="609">
        <v>86013.64</v>
      </c>
      <c r="J956" s="609">
        <v>700000</v>
      </c>
      <c r="K956" s="609">
        <v>835000</v>
      </c>
      <c r="L956" s="609">
        <v>0</v>
      </c>
      <c r="M956" s="609">
        <v>0</v>
      </c>
      <c r="N956" s="587">
        <f t="shared" si="101"/>
        <v>835000</v>
      </c>
      <c r="Q956" t="str">
        <f t="shared" si="102"/>
        <v>52320</v>
      </c>
      <c r="R956" s="126" t="str">
        <f t="shared" si="103"/>
        <v>STREET MAINTENANCE</v>
      </c>
      <c r="S956" s="125" t="str">
        <f t="shared" si="104"/>
        <v>100</v>
      </c>
      <c r="T956" s="125" t="str">
        <f t="shared" si="105"/>
        <v>50</v>
      </c>
      <c r="U956" s="125" t="str">
        <f t="shared" si="106"/>
        <v>503</v>
      </c>
      <c r="V956" s="125" t="str">
        <f>VLOOKUP(Q956,'GL Category'!A:C,3,FALSE)</f>
        <v>Operations &amp; maintenance</v>
      </c>
      <c r="X956" s="83"/>
    </row>
    <row r="957" spans="1:24" ht="20.399999999999999" customHeight="1">
      <c r="A957" s="608" t="s">
        <v>791</v>
      </c>
      <c r="B957" s="608" t="s">
        <v>2878</v>
      </c>
      <c r="C957" s="608" t="s">
        <v>53</v>
      </c>
      <c r="D957" s="609">
        <v>0</v>
      </c>
      <c r="E957" s="609">
        <v>2464.5</v>
      </c>
      <c r="F957" s="609">
        <v>0</v>
      </c>
      <c r="G957" s="609">
        <v>0</v>
      </c>
      <c r="H957" s="609">
        <v>0</v>
      </c>
      <c r="I957" s="609">
        <v>0</v>
      </c>
      <c r="J957" s="609">
        <v>0</v>
      </c>
      <c r="K957" s="609">
        <v>0</v>
      </c>
      <c r="L957" s="609">
        <v>0</v>
      </c>
      <c r="M957" s="609">
        <v>0</v>
      </c>
      <c r="N957" s="587">
        <f t="shared" si="101"/>
        <v>0</v>
      </c>
      <c r="Q957" t="str">
        <f t="shared" si="102"/>
        <v>52320</v>
      </c>
      <c r="R957" s="126" t="str">
        <f t="shared" si="103"/>
        <v>STREET MAINTENANCE</v>
      </c>
      <c r="S957" s="125" t="str">
        <f t="shared" si="104"/>
        <v>100</v>
      </c>
      <c r="T957" s="125" t="str">
        <f t="shared" si="105"/>
        <v>50</v>
      </c>
      <c r="U957" s="125" t="str">
        <f t="shared" si="106"/>
        <v>503</v>
      </c>
      <c r="V957" s="125" t="str">
        <f>VLOOKUP(Q957,'GL Category'!A:C,3,FALSE)</f>
        <v>Operations &amp; maintenance</v>
      </c>
      <c r="X957" s="83"/>
    </row>
    <row r="958" spans="1:24" ht="20.399999999999999" customHeight="1">
      <c r="A958" s="608" t="s">
        <v>791</v>
      </c>
      <c r="B958" s="608" t="s">
        <v>2879</v>
      </c>
      <c r="C958" s="608" t="s">
        <v>295</v>
      </c>
      <c r="D958" s="609">
        <v>14560.73</v>
      </c>
      <c r="E958" s="609">
        <v>89237.39</v>
      </c>
      <c r="F958" s="609">
        <v>39656</v>
      </c>
      <c r="G958" s="609">
        <v>27286.41</v>
      </c>
      <c r="H958" s="609">
        <v>25000</v>
      </c>
      <c r="I958" s="609">
        <v>47216.959999999999</v>
      </c>
      <c r="J958" s="609">
        <v>100000</v>
      </c>
      <c r="K958" s="609">
        <v>36000</v>
      </c>
      <c r="L958" s="609">
        <v>0</v>
      </c>
      <c r="M958" s="609">
        <v>0</v>
      </c>
      <c r="N958" s="587">
        <f t="shared" si="101"/>
        <v>36000</v>
      </c>
      <c r="P958" s="490">
        <f t="shared" ref="P958:P967" si="107">N958-H958</f>
        <v>11000</v>
      </c>
      <c r="Q958" t="str">
        <f t="shared" si="102"/>
        <v>52350</v>
      </c>
      <c r="R958" s="126" t="str">
        <f t="shared" si="103"/>
        <v>SIGN &amp; SIGNAL MAINTENANCE</v>
      </c>
      <c r="S958" s="125" t="str">
        <f t="shared" si="104"/>
        <v>100</v>
      </c>
      <c r="T958" s="125" t="str">
        <f t="shared" si="105"/>
        <v>50</v>
      </c>
      <c r="U958" s="125" t="str">
        <f t="shared" si="106"/>
        <v>503</v>
      </c>
      <c r="V958" s="125" t="str">
        <f>VLOOKUP(Q958,'GL Category'!A:C,3,FALSE)</f>
        <v>Operations &amp; maintenance</v>
      </c>
      <c r="X958" s="83"/>
    </row>
    <row r="959" spans="1:24" ht="20.399999999999999" customHeight="1">
      <c r="A959" s="608" t="s">
        <v>791</v>
      </c>
      <c r="B959" s="608" t="s">
        <v>2880</v>
      </c>
      <c r="C959" s="608" t="s">
        <v>175</v>
      </c>
      <c r="D959" s="609">
        <v>12819.53</v>
      </c>
      <c r="E959" s="609">
        <v>1420.44</v>
      </c>
      <c r="F959" s="609">
        <v>874.29</v>
      </c>
      <c r="G959" s="609">
        <v>299.7</v>
      </c>
      <c r="H959" s="609">
        <v>500</v>
      </c>
      <c r="I959" s="609">
        <v>233.13</v>
      </c>
      <c r="J959" s="609">
        <v>500</v>
      </c>
      <c r="K959" s="609">
        <v>500</v>
      </c>
      <c r="L959" s="609">
        <v>0</v>
      </c>
      <c r="M959" s="609">
        <v>0</v>
      </c>
      <c r="N959" s="587">
        <f t="shared" si="101"/>
        <v>500</v>
      </c>
      <c r="P959" s="490">
        <f t="shared" si="107"/>
        <v>0</v>
      </c>
      <c r="Q959" t="str">
        <f t="shared" si="102"/>
        <v>52440</v>
      </c>
      <c r="R959" s="126" t="str">
        <f t="shared" si="103"/>
        <v>RADIO MAINTENANCE</v>
      </c>
      <c r="S959" s="125" t="str">
        <f t="shared" si="104"/>
        <v>100</v>
      </c>
      <c r="T959" s="125" t="str">
        <f t="shared" si="105"/>
        <v>50</v>
      </c>
      <c r="U959" s="125" t="str">
        <f t="shared" si="106"/>
        <v>503</v>
      </c>
      <c r="V959" s="125" t="str">
        <f>VLOOKUP(Q959,'GL Category'!A:C,3,FALSE)</f>
        <v>Operations &amp; maintenance</v>
      </c>
      <c r="X959" s="83"/>
    </row>
    <row r="960" spans="1:24" ht="20.399999999999999" customHeight="1">
      <c r="A960" s="608" t="s">
        <v>791</v>
      </c>
      <c r="B960" s="608" t="s">
        <v>2881</v>
      </c>
      <c r="C960" s="608" t="s">
        <v>241</v>
      </c>
      <c r="D960" s="609">
        <v>17093.310000000001</v>
      </c>
      <c r="E960" s="609">
        <v>19575.43</v>
      </c>
      <c r="F960" s="609">
        <v>33390.370000000003</v>
      </c>
      <c r="G960" s="609">
        <v>29430.799999999999</v>
      </c>
      <c r="H960" s="609">
        <v>21897</v>
      </c>
      <c r="I960" s="609">
        <v>12336.5</v>
      </c>
      <c r="J960" s="609">
        <v>21897</v>
      </c>
      <c r="K960" s="609">
        <v>25000</v>
      </c>
      <c r="L960" s="609">
        <v>0</v>
      </c>
      <c r="M960" s="609">
        <v>0</v>
      </c>
      <c r="N960" s="587">
        <f t="shared" si="101"/>
        <v>25000</v>
      </c>
      <c r="P960" s="490">
        <f t="shared" si="107"/>
        <v>3103</v>
      </c>
      <c r="Q960" t="str">
        <f t="shared" si="102"/>
        <v>52460</v>
      </c>
      <c r="R960" s="126" t="str">
        <f t="shared" si="103"/>
        <v>VEHICLE MAINTENANCE</v>
      </c>
      <c r="S960" s="125" t="str">
        <f t="shared" si="104"/>
        <v>100</v>
      </c>
      <c r="T960" s="125" t="str">
        <f t="shared" si="105"/>
        <v>50</v>
      </c>
      <c r="U960" s="125" t="str">
        <f t="shared" si="106"/>
        <v>503</v>
      </c>
      <c r="V960" s="125" t="str">
        <f>VLOOKUP(Q960,'GL Category'!A:C,3,FALSE)</f>
        <v>Operations &amp; maintenance</v>
      </c>
      <c r="X960" s="83"/>
    </row>
    <row r="961" spans="1:24" ht="20.399999999999999" customHeight="1">
      <c r="A961" s="608" t="s">
        <v>791</v>
      </c>
      <c r="B961" s="608" t="s">
        <v>2882</v>
      </c>
      <c r="C961" s="608" t="s">
        <v>236</v>
      </c>
      <c r="D961" s="609">
        <v>9947.2800000000007</v>
      </c>
      <c r="E961" s="609">
        <v>20746.89</v>
      </c>
      <c r="F961" s="609">
        <v>22427.69</v>
      </c>
      <c r="G961" s="609">
        <v>39729.269999999997</v>
      </c>
      <c r="H961" s="609">
        <v>23500</v>
      </c>
      <c r="I961" s="609">
        <v>24890.799999999999</v>
      </c>
      <c r="J961" s="609">
        <v>23500</v>
      </c>
      <c r="K961" s="609">
        <v>23500</v>
      </c>
      <c r="L961" s="609">
        <v>0</v>
      </c>
      <c r="M961" s="609">
        <v>0</v>
      </c>
      <c r="N961" s="587">
        <f t="shared" si="101"/>
        <v>23500</v>
      </c>
      <c r="P961" s="490">
        <f t="shared" si="107"/>
        <v>0</v>
      </c>
      <c r="Q961" t="str">
        <f t="shared" si="102"/>
        <v>52470</v>
      </c>
      <c r="R961" s="126" t="str">
        <f t="shared" si="103"/>
        <v>EQUIPMENT MAINTENANCE</v>
      </c>
      <c r="S961" s="125" t="str">
        <f t="shared" si="104"/>
        <v>100</v>
      </c>
      <c r="T961" s="125" t="str">
        <f t="shared" si="105"/>
        <v>50</v>
      </c>
      <c r="U961" s="125" t="str">
        <f t="shared" si="106"/>
        <v>503</v>
      </c>
      <c r="V961" s="125" t="str">
        <f>VLOOKUP(Q961,'GL Category'!A:C,3,FALSE)</f>
        <v>Operations &amp; maintenance</v>
      </c>
      <c r="X961" s="83"/>
    </row>
    <row r="962" spans="1:24" ht="20.399999999999999" customHeight="1">
      <c r="A962" s="608" t="s">
        <v>791</v>
      </c>
      <c r="B962" s="608" t="s">
        <v>2884</v>
      </c>
      <c r="C962" s="608" t="s">
        <v>190</v>
      </c>
      <c r="D962" s="609">
        <v>275</v>
      </c>
      <c r="E962" s="609">
        <v>1302</v>
      </c>
      <c r="F962" s="609">
        <v>638</v>
      </c>
      <c r="G962" s="609">
        <v>1294.2</v>
      </c>
      <c r="H962" s="609">
        <v>1200</v>
      </c>
      <c r="I962" s="609">
        <v>470.29</v>
      </c>
      <c r="J962" s="609">
        <v>1200</v>
      </c>
      <c r="K962" s="609">
        <v>1200</v>
      </c>
      <c r="L962" s="609">
        <v>0</v>
      </c>
      <c r="M962" s="609">
        <v>0</v>
      </c>
      <c r="N962" s="587">
        <f t="shared" si="101"/>
        <v>1200</v>
      </c>
      <c r="P962" s="490">
        <f t="shared" si="107"/>
        <v>0</v>
      </c>
      <c r="Q962" t="str">
        <f t="shared" si="102"/>
        <v>53510</v>
      </c>
      <c r="R962" s="126" t="str">
        <f t="shared" si="103"/>
        <v>DUES &amp; SUBSCRIPTIONS</v>
      </c>
      <c r="S962" s="125" t="str">
        <f t="shared" si="104"/>
        <v>100</v>
      </c>
      <c r="T962" s="125" t="str">
        <f t="shared" si="105"/>
        <v>50</v>
      </c>
      <c r="U962" s="125" t="str">
        <f t="shared" si="106"/>
        <v>503</v>
      </c>
      <c r="V962" s="125" t="str">
        <f>VLOOKUP(Q962,'GL Category'!A:C,3,FALSE)</f>
        <v>Services &amp; other</v>
      </c>
      <c r="X962" s="83"/>
    </row>
    <row r="963" spans="1:24" ht="20.399999999999999" customHeight="1">
      <c r="A963" s="608" t="s">
        <v>791</v>
      </c>
      <c r="B963" s="608" t="s">
        <v>2885</v>
      </c>
      <c r="C963" s="608" t="s">
        <v>191</v>
      </c>
      <c r="D963" s="609">
        <v>1737.9</v>
      </c>
      <c r="E963" s="609">
        <v>383.89</v>
      </c>
      <c r="F963" s="609">
        <v>2971.56</v>
      </c>
      <c r="G963" s="609">
        <v>6423.96</v>
      </c>
      <c r="H963" s="609">
        <v>8700</v>
      </c>
      <c r="I963" s="609">
        <v>373.99</v>
      </c>
      <c r="J963" s="609">
        <v>4500</v>
      </c>
      <c r="K963" s="609">
        <v>7000</v>
      </c>
      <c r="L963" s="609">
        <v>0</v>
      </c>
      <c r="M963" s="609">
        <v>0</v>
      </c>
      <c r="N963" s="587">
        <f t="shared" si="101"/>
        <v>7000</v>
      </c>
      <c r="P963" s="490">
        <f t="shared" si="107"/>
        <v>-1700</v>
      </c>
      <c r="Q963" t="str">
        <f t="shared" si="102"/>
        <v>53515</v>
      </c>
      <c r="R963" s="126" t="str">
        <f t="shared" si="103"/>
        <v>TRAVEL, TRAINING &amp; EDUCATION</v>
      </c>
      <c r="S963" s="125" t="str">
        <f t="shared" si="104"/>
        <v>100</v>
      </c>
      <c r="T963" s="125" t="str">
        <f t="shared" si="105"/>
        <v>50</v>
      </c>
      <c r="U963" s="125" t="str">
        <f t="shared" si="106"/>
        <v>503</v>
      </c>
      <c r="V963" s="125" t="str">
        <f>VLOOKUP(Q963,'GL Category'!A:C,3,FALSE)</f>
        <v>Services &amp; other</v>
      </c>
      <c r="X963" s="83"/>
    </row>
    <row r="964" spans="1:24" ht="20.399999999999999" customHeight="1">
      <c r="A964" s="608" t="s">
        <v>791</v>
      </c>
      <c r="B964" s="608" t="s">
        <v>2885</v>
      </c>
      <c r="C964" s="608" t="s">
        <v>191</v>
      </c>
      <c r="D964" s="609">
        <v>0</v>
      </c>
      <c r="E964" s="609">
        <v>394.91</v>
      </c>
      <c r="F964" s="609">
        <v>0</v>
      </c>
      <c r="G964" s="609">
        <v>0</v>
      </c>
      <c r="H964" s="609">
        <v>0</v>
      </c>
      <c r="I964" s="609">
        <v>0</v>
      </c>
      <c r="J964" s="609">
        <v>0</v>
      </c>
      <c r="K964" s="609">
        <v>0</v>
      </c>
      <c r="L964" s="609">
        <v>0</v>
      </c>
      <c r="M964" s="609">
        <v>0</v>
      </c>
      <c r="N964" s="587">
        <f t="shared" ref="N964:N1027" si="108">SUM(K964:M964)</f>
        <v>0</v>
      </c>
      <c r="P964" s="490">
        <f t="shared" si="107"/>
        <v>0</v>
      </c>
      <c r="Q964" t="str">
        <f t="shared" ref="Q964:Q1027" si="109">MID(B964,12,5)</f>
        <v>53515</v>
      </c>
      <c r="R964" s="126" t="str">
        <f t="shared" ref="R964:R1027" si="110">C964</f>
        <v>TRAVEL, TRAINING &amp; EDUCATION</v>
      </c>
      <c r="S964" s="125" t="str">
        <f t="shared" ref="S964:S1027" si="111">LEFT(B964,3)</f>
        <v>100</v>
      </c>
      <c r="T964" s="125" t="str">
        <f t="shared" ref="T964:T1027" si="112">MID(B964,5,2)</f>
        <v>50</v>
      </c>
      <c r="U964" s="125" t="str">
        <f t="shared" ref="U964:U1027" si="113">MID(B964,8,3)</f>
        <v>503</v>
      </c>
      <c r="V964" s="125" t="str">
        <f>VLOOKUP(Q964,'GL Category'!A:C,3,FALSE)</f>
        <v>Services &amp; other</v>
      </c>
      <c r="X964" s="83"/>
    </row>
    <row r="965" spans="1:24" ht="20.399999999999999" customHeight="1">
      <c r="A965" s="608" t="s">
        <v>791</v>
      </c>
      <c r="B965" s="608" t="s">
        <v>2886</v>
      </c>
      <c r="C965" s="608" t="s">
        <v>6</v>
      </c>
      <c r="D965" s="609">
        <v>8298.5400000000009</v>
      </c>
      <c r="E965" s="609">
        <v>10770.75</v>
      </c>
      <c r="F965" s="609">
        <v>8754.2800000000007</v>
      </c>
      <c r="G965" s="609">
        <v>7005.5</v>
      </c>
      <c r="H965" s="609">
        <v>9000</v>
      </c>
      <c r="I965" s="609">
        <v>317</v>
      </c>
      <c r="J965" s="609">
        <v>9000</v>
      </c>
      <c r="K965" s="609">
        <v>9000</v>
      </c>
      <c r="L965" s="609">
        <v>0</v>
      </c>
      <c r="M965" s="609">
        <v>0</v>
      </c>
      <c r="N965" s="587">
        <f t="shared" si="108"/>
        <v>9000</v>
      </c>
      <c r="P965" s="490">
        <f t="shared" si="107"/>
        <v>0</v>
      </c>
      <c r="Q965" t="str">
        <f t="shared" si="109"/>
        <v>53524</v>
      </c>
      <c r="R965" s="126" t="str">
        <f t="shared" si="110"/>
        <v>EQUIPMENT RENTAL</v>
      </c>
      <c r="S965" s="125" t="str">
        <f t="shared" si="111"/>
        <v>100</v>
      </c>
      <c r="T965" s="125" t="str">
        <f t="shared" si="112"/>
        <v>50</v>
      </c>
      <c r="U965" s="125" t="str">
        <f t="shared" si="113"/>
        <v>503</v>
      </c>
      <c r="V965" s="125" t="str">
        <f>VLOOKUP(Q965,'GL Category'!A:C,3,FALSE)</f>
        <v>Services &amp; other</v>
      </c>
      <c r="X965" s="83"/>
    </row>
    <row r="966" spans="1:24" ht="20.399999999999999" customHeight="1">
      <c r="A966" s="608" t="s">
        <v>791</v>
      </c>
      <c r="B966" s="608" t="s">
        <v>2887</v>
      </c>
      <c r="C966" s="608" t="s">
        <v>839</v>
      </c>
      <c r="D966" s="609">
        <v>64782.6</v>
      </c>
      <c r="E966" s="609">
        <v>39868.75</v>
      </c>
      <c r="F966" s="609">
        <v>59825.3</v>
      </c>
      <c r="G966" s="609">
        <v>93252.42</v>
      </c>
      <c r="H966" s="609">
        <v>84000</v>
      </c>
      <c r="I966" s="609">
        <v>62429</v>
      </c>
      <c r="J966" s="609">
        <v>130000</v>
      </c>
      <c r="K966" s="609">
        <v>84000</v>
      </c>
      <c r="L966" s="609">
        <v>44000</v>
      </c>
      <c r="M966" s="609">
        <v>0</v>
      </c>
      <c r="N966" s="587">
        <f t="shared" si="108"/>
        <v>128000</v>
      </c>
      <c r="P966" s="490">
        <f t="shared" si="107"/>
        <v>44000</v>
      </c>
      <c r="Q966" t="str">
        <f t="shared" si="109"/>
        <v>53525</v>
      </c>
      <c r="R966" s="126" t="str">
        <f t="shared" si="110"/>
        <v>LANDSCAPE SERVICES</v>
      </c>
      <c r="S966" s="125" t="str">
        <f t="shared" si="111"/>
        <v>100</v>
      </c>
      <c r="T966" s="125" t="str">
        <f t="shared" si="112"/>
        <v>50</v>
      </c>
      <c r="U966" s="125" t="str">
        <f t="shared" si="113"/>
        <v>503</v>
      </c>
      <c r="V966" s="125" t="str">
        <f>VLOOKUP(Q966,'GL Category'!A:C,3,FALSE)</f>
        <v>Services &amp; other</v>
      </c>
      <c r="X966" s="83"/>
    </row>
    <row r="967" spans="1:24" ht="20.399999999999999" customHeight="1">
      <c r="A967" s="608" t="s">
        <v>791</v>
      </c>
      <c r="B967" s="608" t="s">
        <v>3390</v>
      </c>
      <c r="C967" s="608" t="s">
        <v>907</v>
      </c>
      <c r="D967" s="609">
        <v>0</v>
      </c>
      <c r="E967" s="609">
        <v>0</v>
      </c>
      <c r="F967" s="609">
        <v>0</v>
      </c>
      <c r="G967" s="609">
        <v>8700.32</v>
      </c>
      <c r="H967" s="609">
        <v>0</v>
      </c>
      <c r="I967" s="609">
        <v>0</v>
      </c>
      <c r="J967" s="609">
        <v>2000</v>
      </c>
      <c r="K967" s="609">
        <v>3000</v>
      </c>
      <c r="L967" s="609">
        <v>0</v>
      </c>
      <c r="M967" s="609">
        <v>0</v>
      </c>
      <c r="N967" s="587">
        <f t="shared" si="108"/>
        <v>3000</v>
      </c>
      <c r="P967" s="490">
        <f t="shared" si="107"/>
        <v>3000</v>
      </c>
      <c r="Q967" t="str">
        <f t="shared" si="109"/>
        <v>53530</v>
      </c>
      <c r="R967" s="126" t="str">
        <f t="shared" si="110"/>
        <v>DEBRIS &amp; WASTE DISPOSAL SVCS</v>
      </c>
      <c r="S967" s="125" t="str">
        <f t="shared" si="111"/>
        <v>100</v>
      </c>
      <c r="T967" s="125" t="str">
        <f t="shared" si="112"/>
        <v>50</v>
      </c>
      <c r="U967" s="125" t="str">
        <f t="shared" si="113"/>
        <v>503</v>
      </c>
      <c r="V967" s="125" t="str">
        <f>VLOOKUP(Q967,'GL Category'!A:C,3,FALSE)</f>
        <v>Services &amp; other</v>
      </c>
      <c r="X967" s="83"/>
    </row>
    <row r="968" spans="1:24" ht="20.399999999999999" customHeight="1">
      <c r="A968" s="608" t="s">
        <v>791</v>
      </c>
      <c r="B968" s="608" t="s">
        <v>2888</v>
      </c>
      <c r="C968" s="608" t="s">
        <v>217</v>
      </c>
      <c r="D968" s="609">
        <v>7531.64</v>
      </c>
      <c r="E968" s="609">
        <v>9008.5300000000007</v>
      </c>
      <c r="F968" s="609">
        <v>7819.24</v>
      </c>
      <c r="G968" s="609">
        <v>7297.38</v>
      </c>
      <c r="H968" s="609">
        <v>8750</v>
      </c>
      <c r="I968" s="609">
        <v>8582.0499999999993</v>
      </c>
      <c r="J968" s="609">
        <v>9000</v>
      </c>
      <c r="K968" s="609">
        <v>8750</v>
      </c>
      <c r="L968" s="609">
        <v>0</v>
      </c>
      <c r="M968" s="609">
        <v>0</v>
      </c>
      <c r="N968" s="587">
        <f t="shared" si="108"/>
        <v>8750</v>
      </c>
      <c r="Q968" t="str">
        <f t="shared" si="109"/>
        <v>53574</v>
      </c>
      <c r="R968" s="126" t="str">
        <f t="shared" si="110"/>
        <v>WATER/SEWER UTILITY SERVICE</v>
      </c>
      <c r="S968" s="125" t="str">
        <f t="shared" si="111"/>
        <v>100</v>
      </c>
      <c r="T968" s="125" t="str">
        <f t="shared" si="112"/>
        <v>50</v>
      </c>
      <c r="U968" s="125" t="str">
        <f t="shared" si="113"/>
        <v>503</v>
      </c>
      <c r="V968" s="125" t="str">
        <f>VLOOKUP(Q968,'GL Category'!A:C,3,FALSE)</f>
        <v>Services &amp; other</v>
      </c>
      <c r="X968" s="83"/>
    </row>
    <row r="969" spans="1:24" s="83" customFormat="1" ht="14.4" customHeight="1">
      <c r="A969" s="608" t="s">
        <v>791</v>
      </c>
      <c r="B969" s="608" t="s">
        <v>2883</v>
      </c>
      <c r="C969" s="608" t="s">
        <v>238</v>
      </c>
      <c r="D969" s="609">
        <v>0</v>
      </c>
      <c r="E969" s="609">
        <v>33457.81</v>
      </c>
      <c r="F969" s="609">
        <v>20303.29</v>
      </c>
      <c r="G969" s="609">
        <v>7946.47</v>
      </c>
      <c r="H969" s="609">
        <v>2500</v>
      </c>
      <c r="I969" s="609">
        <v>0</v>
      </c>
      <c r="J969" s="609">
        <v>2500</v>
      </c>
      <c r="K969" s="609">
        <v>2500</v>
      </c>
      <c r="L969" s="609">
        <v>0</v>
      </c>
      <c r="M969" s="609">
        <v>0</v>
      </c>
      <c r="N969" s="587">
        <f t="shared" si="108"/>
        <v>2500</v>
      </c>
      <c r="O969"/>
      <c r="P969" s="490"/>
      <c r="Q969" t="str">
        <f t="shared" si="109"/>
        <v>53599</v>
      </c>
      <c r="R969" s="126" t="str">
        <f t="shared" si="110"/>
        <v>MISCELLANEOUS SERVICES</v>
      </c>
      <c r="S969" s="125" t="str">
        <f t="shared" si="111"/>
        <v>100</v>
      </c>
      <c r="T969" s="125" t="str">
        <f t="shared" si="112"/>
        <v>50</v>
      </c>
      <c r="U969" s="125" t="str">
        <f t="shared" si="113"/>
        <v>503</v>
      </c>
      <c r="V969" s="125" t="str">
        <f>VLOOKUP(Q969,'GL Category'!A:C,3,FALSE)</f>
        <v>Services &amp; other</v>
      </c>
      <c r="W969" s="125"/>
    </row>
    <row r="970" spans="1:24" s="83" customFormat="1" ht="14.4" customHeight="1">
      <c r="A970" s="608" t="s">
        <v>791</v>
      </c>
      <c r="B970" s="608" t="s">
        <v>2891</v>
      </c>
      <c r="C970" s="608" t="s">
        <v>221</v>
      </c>
      <c r="D970" s="609">
        <v>25319</v>
      </c>
      <c r="E970" s="609">
        <v>30261</v>
      </c>
      <c r="F970" s="609">
        <v>28021</v>
      </c>
      <c r="G970" s="609">
        <v>61729</v>
      </c>
      <c r="H970" s="609">
        <v>26080</v>
      </c>
      <c r="I970" s="609">
        <v>19560</v>
      </c>
      <c r="J970" s="609">
        <v>26080</v>
      </c>
      <c r="K970" s="609">
        <v>26214</v>
      </c>
      <c r="L970" s="609">
        <v>0</v>
      </c>
      <c r="M970" s="609">
        <v>450000</v>
      </c>
      <c r="N970" s="587">
        <f t="shared" si="108"/>
        <v>476214</v>
      </c>
      <c r="O970"/>
      <c r="P970" s="490"/>
      <c r="Q970" t="str">
        <f t="shared" si="109"/>
        <v>55119</v>
      </c>
      <c r="R970" s="126" t="str">
        <f t="shared" si="110"/>
        <v>OFFICE EQUIP LEASE EXP-CITY</v>
      </c>
      <c r="S970" s="125" t="str">
        <f t="shared" si="111"/>
        <v>100</v>
      </c>
      <c r="T970" s="125" t="str">
        <f t="shared" si="112"/>
        <v>50</v>
      </c>
      <c r="U970" s="125" t="str">
        <f t="shared" si="113"/>
        <v>503</v>
      </c>
      <c r="V970" s="125" t="str">
        <f>VLOOKUP(Q970,'GL Category'!A:C,3,FALSE)</f>
        <v>Services &amp; other</v>
      </c>
      <c r="W970" s="125"/>
    </row>
    <row r="971" spans="1:24" s="83" customFormat="1" ht="14.4" customHeight="1">
      <c r="A971" s="608" t="s">
        <v>791</v>
      </c>
      <c r="B971" s="608" t="s">
        <v>2890</v>
      </c>
      <c r="C971" s="608" t="s">
        <v>220</v>
      </c>
      <c r="D971" s="609">
        <v>283656</v>
      </c>
      <c r="E971" s="609">
        <v>194687</v>
      </c>
      <c r="F971" s="609">
        <v>170390</v>
      </c>
      <c r="G971" s="609">
        <v>127811</v>
      </c>
      <c r="H971" s="609">
        <v>369017</v>
      </c>
      <c r="I971" s="609">
        <v>276762.75</v>
      </c>
      <c r="J971" s="609">
        <v>369017</v>
      </c>
      <c r="K971" s="609">
        <v>134866</v>
      </c>
      <c r="L971" s="609">
        <v>0</v>
      </c>
      <c r="M971" s="609">
        <v>75000</v>
      </c>
      <c r="N971" s="587">
        <f t="shared" si="108"/>
        <v>209866</v>
      </c>
      <c r="O971"/>
      <c r="P971" s="490">
        <f>N971-H971</f>
        <v>-159151</v>
      </c>
      <c r="Q971" t="str">
        <f t="shared" si="109"/>
        <v>55175</v>
      </c>
      <c r="R971" s="126" t="str">
        <f t="shared" si="110"/>
        <v>VEHICLE/EQUIP LEASE EXP-CITY</v>
      </c>
      <c r="S971" s="125" t="str">
        <f t="shared" si="111"/>
        <v>100</v>
      </c>
      <c r="T971" s="125" t="str">
        <f t="shared" si="112"/>
        <v>50</v>
      </c>
      <c r="U971" s="125" t="str">
        <f t="shared" si="113"/>
        <v>503</v>
      </c>
      <c r="V971" s="125" t="str">
        <f>VLOOKUP(Q971,'GL Category'!A:C,3,FALSE)</f>
        <v>Services &amp; other</v>
      </c>
      <c r="W971" s="125"/>
    </row>
    <row r="972" spans="1:24" s="83" customFormat="1" ht="20.399999999999999" customHeight="1">
      <c r="A972" s="608" t="s">
        <v>791</v>
      </c>
      <c r="B972" s="608" t="s">
        <v>2892</v>
      </c>
      <c r="C972" s="608" t="s">
        <v>299</v>
      </c>
      <c r="D972" s="609">
        <v>24845</v>
      </c>
      <c r="E972" s="609">
        <v>0</v>
      </c>
      <c r="F972" s="609">
        <v>0</v>
      </c>
      <c r="G972" s="609">
        <v>0</v>
      </c>
      <c r="H972" s="609">
        <v>0</v>
      </c>
      <c r="I972" s="609">
        <v>0</v>
      </c>
      <c r="J972" s="609">
        <v>0</v>
      </c>
      <c r="K972" s="609">
        <v>0</v>
      </c>
      <c r="L972" s="609">
        <v>0</v>
      </c>
      <c r="M972" s="609">
        <v>0</v>
      </c>
      <c r="N972" s="587">
        <f t="shared" si="108"/>
        <v>0</v>
      </c>
      <c r="O972"/>
      <c r="P972" s="490">
        <f>N972-H972</f>
        <v>0</v>
      </c>
      <c r="Q972" t="str">
        <f t="shared" si="109"/>
        <v>58829</v>
      </c>
      <c r="R972" s="126" t="str">
        <f t="shared" si="110"/>
        <v>STREET/ROAD/BRIDGE IMPROVEMENT</v>
      </c>
      <c r="S972" s="125" t="str">
        <f t="shared" si="111"/>
        <v>100</v>
      </c>
      <c r="T972" s="125" t="str">
        <f t="shared" si="112"/>
        <v>50</v>
      </c>
      <c r="U972" s="125" t="str">
        <f t="shared" si="113"/>
        <v>503</v>
      </c>
      <c r="V972" s="125" t="str">
        <f>VLOOKUP(Q972,'GL Category'!A:C,3,FALSE)</f>
        <v>Capital Outlay</v>
      </c>
      <c r="W972" s="125"/>
    </row>
    <row r="973" spans="1:24" s="83" customFormat="1" ht="20.399999999999999" customHeight="1">
      <c r="A973" s="608" t="s">
        <v>791</v>
      </c>
      <c r="B973" s="608" t="s">
        <v>2893</v>
      </c>
      <c r="C973" s="608" t="s">
        <v>268</v>
      </c>
      <c r="D973" s="609">
        <v>44367</v>
      </c>
      <c r="E973" s="609">
        <v>0</v>
      </c>
      <c r="F973" s="609">
        <v>0</v>
      </c>
      <c r="G973" s="609">
        <v>0</v>
      </c>
      <c r="H973" s="609">
        <v>0</v>
      </c>
      <c r="I973" s="609">
        <v>0</v>
      </c>
      <c r="J973" s="609">
        <v>0</v>
      </c>
      <c r="K973" s="609">
        <v>0</v>
      </c>
      <c r="L973" s="609">
        <v>0</v>
      </c>
      <c r="M973" s="609">
        <v>0</v>
      </c>
      <c r="N973" s="587">
        <f t="shared" si="108"/>
        <v>0</v>
      </c>
      <c r="O973"/>
      <c r="P973" s="490"/>
      <c r="Q973" t="str">
        <f t="shared" si="109"/>
        <v>58830</v>
      </c>
      <c r="R973" s="126" t="str">
        <f t="shared" si="110"/>
        <v>MACHINERY &amp; EQUIPMENT</v>
      </c>
      <c r="S973" s="125" t="str">
        <f t="shared" si="111"/>
        <v>100</v>
      </c>
      <c r="T973" s="125" t="str">
        <f t="shared" si="112"/>
        <v>50</v>
      </c>
      <c r="U973" s="125" t="str">
        <f t="shared" si="113"/>
        <v>503</v>
      </c>
      <c r="V973" s="125" t="str">
        <f>VLOOKUP(Q973,'GL Category'!A:C,3,FALSE)</f>
        <v>Capital Outlay</v>
      </c>
      <c r="W973" s="125"/>
    </row>
    <row r="974" spans="1:24" s="83" customFormat="1" ht="20.399999999999999" customHeight="1">
      <c r="A974" s="608" t="s">
        <v>791</v>
      </c>
      <c r="B974" s="608" t="s">
        <v>2895</v>
      </c>
      <c r="C974" s="608" t="s">
        <v>838</v>
      </c>
      <c r="D974" s="609">
        <v>3905693</v>
      </c>
      <c r="E974" s="609">
        <v>2200336</v>
      </c>
      <c r="F974" s="609">
        <v>7700057</v>
      </c>
      <c r="G974" s="609">
        <v>6175000</v>
      </c>
      <c r="H974" s="609">
        <v>2495000</v>
      </c>
      <c r="I974" s="609">
        <v>1871250</v>
      </c>
      <c r="J974" s="609">
        <v>2495000</v>
      </c>
      <c r="K974" s="609">
        <v>6435000</v>
      </c>
      <c r="L974" s="609">
        <v>0</v>
      </c>
      <c r="M974" s="609">
        <v>0</v>
      </c>
      <c r="N974" s="587">
        <f t="shared" si="108"/>
        <v>6435000</v>
      </c>
      <c r="O974"/>
      <c r="P974" s="490"/>
      <c r="Q974" t="str">
        <f t="shared" si="109"/>
        <v>59170</v>
      </c>
      <c r="R974" s="126" t="str">
        <f t="shared" si="110"/>
        <v>TRANSFER TO CIP-STREET IMPROVE</v>
      </c>
      <c r="S974" s="125" t="str">
        <f t="shared" si="111"/>
        <v>100</v>
      </c>
      <c r="T974" s="125" t="str">
        <f t="shared" si="112"/>
        <v>50</v>
      </c>
      <c r="U974" s="125" t="str">
        <f t="shared" si="113"/>
        <v>503</v>
      </c>
      <c r="V974" s="125" t="str">
        <f>VLOOKUP(Q974,'GL Category'!A:C,3,FALSE)</f>
        <v>Transfers to other funds</v>
      </c>
      <c r="W974" s="125"/>
    </row>
    <row r="975" spans="1:24" s="83" customFormat="1" ht="20.399999999999999" customHeight="1">
      <c r="A975" s="608" t="s">
        <v>791</v>
      </c>
      <c r="B975" s="608" t="s">
        <v>2896</v>
      </c>
      <c r="C975" s="608" t="s">
        <v>215</v>
      </c>
      <c r="D975" s="609">
        <v>433210.03</v>
      </c>
      <c r="E975" s="609">
        <v>437370.55</v>
      </c>
      <c r="F975" s="609">
        <v>471501.6</v>
      </c>
      <c r="G975" s="609">
        <v>438841.38</v>
      </c>
      <c r="H975" s="609">
        <v>487660</v>
      </c>
      <c r="I975" s="609">
        <v>243570.3</v>
      </c>
      <c r="J975" s="609">
        <v>487660</v>
      </c>
      <c r="K975" s="609">
        <v>487660</v>
      </c>
      <c r="L975" s="609">
        <v>0</v>
      </c>
      <c r="M975" s="609">
        <v>0</v>
      </c>
      <c r="N975" s="587">
        <f t="shared" si="108"/>
        <v>487660</v>
      </c>
      <c r="O975"/>
      <c r="P975" s="490"/>
      <c r="Q975" t="str">
        <f t="shared" si="109"/>
        <v>53572</v>
      </c>
      <c r="R975" s="126" t="str">
        <f t="shared" si="110"/>
        <v>ELECTRICAL UTILITY SERVICE</v>
      </c>
      <c r="S975" s="125" t="str">
        <f t="shared" si="111"/>
        <v>100</v>
      </c>
      <c r="T975" s="125" t="str">
        <f t="shared" si="112"/>
        <v>50</v>
      </c>
      <c r="U975" s="125" t="str">
        <f t="shared" si="113"/>
        <v>504</v>
      </c>
      <c r="V975" s="125" t="str">
        <f>VLOOKUP(Q975,'GL Category'!A:C,3,FALSE)</f>
        <v>Services &amp; other</v>
      </c>
      <c r="W975" s="125"/>
    </row>
    <row r="976" spans="1:24" s="83" customFormat="1" ht="20.399999999999999" customHeight="1">
      <c r="A976" s="608" t="s">
        <v>791</v>
      </c>
      <c r="B976" s="608" t="s">
        <v>2896</v>
      </c>
      <c r="C976" s="608" t="s">
        <v>215</v>
      </c>
      <c r="D976" s="609">
        <v>0</v>
      </c>
      <c r="E976" s="609">
        <v>20574.2</v>
      </c>
      <c r="F976" s="609">
        <v>0</v>
      </c>
      <c r="G976" s="609">
        <v>0</v>
      </c>
      <c r="H976" s="609">
        <v>0</v>
      </c>
      <c r="I976" s="609">
        <v>0</v>
      </c>
      <c r="J976" s="609">
        <v>0</v>
      </c>
      <c r="K976" s="609">
        <v>0</v>
      </c>
      <c r="L976" s="609">
        <v>0</v>
      </c>
      <c r="M976" s="609">
        <v>0</v>
      </c>
      <c r="N976" s="587">
        <f t="shared" si="108"/>
        <v>0</v>
      </c>
      <c r="O976"/>
      <c r="P976" s="490"/>
      <c r="Q976" t="str">
        <f t="shared" si="109"/>
        <v>53572</v>
      </c>
      <c r="R976" s="126" t="str">
        <f t="shared" si="110"/>
        <v>ELECTRICAL UTILITY SERVICE</v>
      </c>
      <c r="S976" s="125" t="str">
        <f t="shared" si="111"/>
        <v>100</v>
      </c>
      <c r="T976" s="125" t="str">
        <f t="shared" si="112"/>
        <v>50</v>
      </c>
      <c r="U976" s="125" t="str">
        <f t="shared" si="113"/>
        <v>504</v>
      </c>
      <c r="V976" s="125" t="str">
        <f>VLOOKUP(Q976,'GL Category'!A:C,3,FALSE)</f>
        <v>Services &amp; other</v>
      </c>
      <c r="W976" s="125"/>
    </row>
    <row r="977" spans="1:23" s="83" customFormat="1" ht="20.399999999999999" customHeight="1">
      <c r="A977" s="608" t="s">
        <v>791</v>
      </c>
      <c r="B977" s="608" t="s">
        <v>2897</v>
      </c>
      <c r="C977" s="608" t="s">
        <v>130</v>
      </c>
      <c r="D977" s="609">
        <v>337093.03</v>
      </c>
      <c r="E977" s="609">
        <v>359749.37</v>
      </c>
      <c r="F977" s="609">
        <v>375458.21</v>
      </c>
      <c r="G977" s="609">
        <v>383549.14</v>
      </c>
      <c r="H977" s="609">
        <v>379921</v>
      </c>
      <c r="I977" s="609">
        <v>336858.04</v>
      </c>
      <c r="J977" s="609">
        <v>442916</v>
      </c>
      <c r="K977" s="609">
        <v>460380</v>
      </c>
      <c r="L977" s="609">
        <v>0</v>
      </c>
      <c r="M977" s="609">
        <v>0</v>
      </c>
      <c r="N977" s="587">
        <f t="shared" si="108"/>
        <v>460380</v>
      </c>
      <c r="O977"/>
      <c r="P977" s="490"/>
      <c r="Q977" t="str">
        <f t="shared" si="109"/>
        <v>50101</v>
      </c>
      <c r="R977" s="126" t="str">
        <f t="shared" si="110"/>
        <v>EXEMPT SALARIES</v>
      </c>
      <c r="S977" s="125" t="str">
        <f t="shared" si="111"/>
        <v>100</v>
      </c>
      <c r="T977" s="125" t="str">
        <f t="shared" si="112"/>
        <v>60</v>
      </c>
      <c r="U977" s="125" t="str">
        <f t="shared" si="113"/>
        <v>601</v>
      </c>
      <c r="V977" s="125" t="str">
        <f>VLOOKUP(Q977,'GL Category'!A:C,3,FALSE)</f>
        <v>Personnel services</v>
      </c>
      <c r="W977" s="125"/>
    </row>
    <row r="978" spans="1:23" s="83" customFormat="1" ht="20.399999999999999" customHeight="1">
      <c r="A978" s="608" t="s">
        <v>791</v>
      </c>
      <c r="B978" s="608" t="s">
        <v>2898</v>
      </c>
      <c r="C978" s="608" t="s">
        <v>132</v>
      </c>
      <c r="D978" s="609">
        <v>263852.40999999997</v>
      </c>
      <c r="E978" s="609">
        <v>266150.2</v>
      </c>
      <c r="F978" s="609">
        <v>287041.42</v>
      </c>
      <c r="G978" s="609">
        <v>302908.65000000002</v>
      </c>
      <c r="H978" s="609">
        <v>309030</v>
      </c>
      <c r="I978" s="609">
        <v>190676.18</v>
      </c>
      <c r="J978" s="609">
        <v>250227</v>
      </c>
      <c r="K978" s="609">
        <v>261001</v>
      </c>
      <c r="L978" s="609">
        <v>0</v>
      </c>
      <c r="M978" s="609">
        <v>0</v>
      </c>
      <c r="N978" s="587">
        <f t="shared" si="108"/>
        <v>261001</v>
      </c>
      <c r="O978"/>
      <c r="P978" s="490"/>
      <c r="Q978" t="str">
        <f t="shared" si="109"/>
        <v>50102</v>
      </c>
      <c r="R978" s="126" t="str">
        <f t="shared" si="110"/>
        <v>NON EXEMPT SALARIES</v>
      </c>
      <c r="S978" s="125" t="str">
        <f t="shared" si="111"/>
        <v>100</v>
      </c>
      <c r="T978" s="125" t="str">
        <f t="shared" si="112"/>
        <v>60</v>
      </c>
      <c r="U978" s="125" t="str">
        <f t="shared" si="113"/>
        <v>601</v>
      </c>
      <c r="V978" s="125" t="str">
        <f>VLOOKUP(Q978,'GL Category'!A:C,3,FALSE)</f>
        <v>Personnel services</v>
      </c>
      <c r="W978" s="125"/>
    </row>
    <row r="979" spans="1:23" s="83" customFormat="1" ht="20.399999999999999" customHeight="1">
      <c r="A979" s="608" t="s">
        <v>791</v>
      </c>
      <c r="B979" s="608" t="s">
        <v>2899</v>
      </c>
      <c r="C979" s="608" t="s">
        <v>0</v>
      </c>
      <c r="D979" s="609">
        <v>0</v>
      </c>
      <c r="E979" s="609">
        <v>763</v>
      </c>
      <c r="F979" s="609">
        <v>301.61</v>
      </c>
      <c r="G979" s="609">
        <v>56.56</v>
      </c>
      <c r="H979" s="609">
        <v>250</v>
      </c>
      <c r="I979" s="609">
        <v>7.68</v>
      </c>
      <c r="J979" s="609">
        <v>12</v>
      </c>
      <c r="K979" s="609">
        <v>250</v>
      </c>
      <c r="L979" s="609">
        <v>0</v>
      </c>
      <c r="M979" s="609">
        <v>0</v>
      </c>
      <c r="N979" s="587">
        <f t="shared" si="108"/>
        <v>250</v>
      </c>
      <c r="O979"/>
      <c r="P979" s="490"/>
      <c r="Q979" t="str">
        <f t="shared" si="109"/>
        <v>50109</v>
      </c>
      <c r="R979" s="126" t="str">
        <f t="shared" si="110"/>
        <v>OVERTIME</v>
      </c>
      <c r="S979" s="125" t="str">
        <f t="shared" si="111"/>
        <v>100</v>
      </c>
      <c r="T979" s="125" t="str">
        <f t="shared" si="112"/>
        <v>60</v>
      </c>
      <c r="U979" s="125" t="str">
        <f t="shared" si="113"/>
        <v>601</v>
      </c>
      <c r="V979" s="125" t="str">
        <f>VLOOKUP(Q979,'GL Category'!A:C,3,FALSE)</f>
        <v>Personnel services</v>
      </c>
      <c r="W979" s="125"/>
    </row>
    <row r="980" spans="1:23" s="83" customFormat="1" ht="14.4" customHeight="1">
      <c r="A980" s="608" t="s">
        <v>791</v>
      </c>
      <c r="B980" s="608" t="s">
        <v>2900</v>
      </c>
      <c r="C980" s="608" t="s">
        <v>135</v>
      </c>
      <c r="D980" s="609">
        <v>78679.86</v>
      </c>
      <c r="E980" s="609">
        <v>104321.24</v>
      </c>
      <c r="F980" s="609">
        <v>105889.65</v>
      </c>
      <c r="G980" s="609">
        <v>116148.16</v>
      </c>
      <c r="H980" s="609">
        <v>133828</v>
      </c>
      <c r="I980" s="609">
        <v>83770.48</v>
      </c>
      <c r="J980" s="609">
        <v>113383</v>
      </c>
      <c r="K980" s="609">
        <v>134495</v>
      </c>
      <c r="L980" s="609">
        <v>0</v>
      </c>
      <c r="M980" s="609">
        <v>0</v>
      </c>
      <c r="N980" s="587">
        <f t="shared" si="108"/>
        <v>134495</v>
      </c>
      <c r="O980"/>
      <c r="P980" s="490"/>
      <c r="Q980" t="str">
        <f t="shared" si="109"/>
        <v>50110</v>
      </c>
      <c r="R980" s="126" t="str">
        <f t="shared" si="110"/>
        <v>PART-TIME WAGES</v>
      </c>
      <c r="S980" s="125" t="str">
        <f t="shared" si="111"/>
        <v>100</v>
      </c>
      <c r="T980" s="125" t="str">
        <f t="shared" si="112"/>
        <v>60</v>
      </c>
      <c r="U980" s="125" t="str">
        <f t="shared" si="113"/>
        <v>601</v>
      </c>
      <c r="V980" s="125" t="str">
        <f>VLOOKUP(Q980,'GL Category'!A:C,3,FALSE)</f>
        <v>Personnel services</v>
      </c>
      <c r="W980" s="125"/>
    </row>
    <row r="981" spans="1:23" s="83" customFormat="1" ht="14.4" customHeight="1">
      <c r="A981" s="608" t="s">
        <v>791</v>
      </c>
      <c r="B981" s="608" t="s">
        <v>2901</v>
      </c>
      <c r="C981" s="608" t="s">
        <v>137</v>
      </c>
      <c r="D981" s="609">
        <v>3440</v>
      </c>
      <c r="E981" s="609">
        <v>3935</v>
      </c>
      <c r="F981" s="609">
        <v>4535</v>
      </c>
      <c r="G981" s="609">
        <v>4685</v>
      </c>
      <c r="H981" s="609">
        <v>5518</v>
      </c>
      <c r="I981" s="609">
        <v>3250</v>
      </c>
      <c r="J981" s="609">
        <v>3250</v>
      </c>
      <c r="K981" s="609">
        <v>5016</v>
      </c>
      <c r="L981" s="609">
        <v>0</v>
      </c>
      <c r="M981" s="609">
        <v>0</v>
      </c>
      <c r="N981" s="587">
        <f t="shared" si="108"/>
        <v>5016</v>
      </c>
      <c r="O981"/>
      <c r="P981" s="490"/>
      <c r="Q981" t="str">
        <f t="shared" si="109"/>
        <v>50111</v>
      </c>
      <c r="R981" s="126" t="str">
        <f t="shared" si="110"/>
        <v>LONGEVITY PAY</v>
      </c>
      <c r="S981" s="125" t="str">
        <f t="shared" si="111"/>
        <v>100</v>
      </c>
      <c r="T981" s="125" t="str">
        <f t="shared" si="112"/>
        <v>60</v>
      </c>
      <c r="U981" s="125" t="str">
        <f t="shared" si="113"/>
        <v>601</v>
      </c>
      <c r="V981" s="125" t="str">
        <f>VLOOKUP(Q981,'GL Category'!A:C,3,FALSE)</f>
        <v>Personnel services</v>
      </c>
      <c r="W981" s="125"/>
    </row>
    <row r="982" spans="1:23" s="83" customFormat="1" ht="14.4" customHeight="1">
      <c r="A982" s="608" t="s">
        <v>791</v>
      </c>
      <c r="B982" s="608" t="s">
        <v>2903</v>
      </c>
      <c r="C982" s="608" t="s">
        <v>1</v>
      </c>
      <c r="D982" s="609">
        <v>51645.68</v>
      </c>
      <c r="E982" s="609">
        <v>55035.78</v>
      </c>
      <c r="F982" s="609">
        <v>58247.42</v>
      </c>
      <c r="G982" s="609">
        <v>59785.32</v>
      </c>
      <c r="H982" s="609">
        <v>63640</v>
      </c>
      <c r="I982" s="609">
        <v>46115.02</v>
      </c>
      <c r="J982" s="609">
        <v>61183</v>
      </c>
      <c r="K982" s="609">
        <v>66100</v>
      </c>
      <c r="L982" s="609">
        <v>0</v>
      </c>
      <c r="M982" s="609">
        <v>0</v>
      </c>
      <c r="N982" s="587">
        <f t="shared" si="108"/>
        <v>66100</v>
      </c>
      <c r="O982"/>
      <c r="P982" s="490"/>
      <c r="Q982" t="str">
        <f t="shared" si="109"/>
        <v>50610</v>
      </c>
      <c r="R982" s="126" t="str">
        <f t="shared" si="110"/>
        <v>SOCIAL SECURITY</v>
      </c>
      <c r="S982" s="125" t="str">
        <f t="shared" si="111"/>
        <v>100</v>
      </c>
      <c r="T982" s="125" t="str">
        <f t="shared" si="112"/>
        <v>60</v>
      </c>
      <c r="U982" s="125" t="str">
        <f t="shared" si="113"/>
        <v>601</v>
      </c>
      <c r="V982" s="125" t="str">
        <f>VLOOKUP(Q982,'GL Category'!A:C,3,FALSE)</f>
        <v>Personnel services</v>
      </c>
      <c r="W982" s="125"/>
    </row>
    <row r="983" spans="1:23" s="83" customFormat="1" ht="20.399999999999999" customHeight="1">
      <c r="A983" s="608" t="s">
        <v>791</v>
      </c>
      <c r="B983" s="608" t="s">
        <v>2904</v>
      </c>
      <c r="C983" s="608" t="s">
        <v>142</v>
      </c>
      <c r="D983" s="609">
        <v>80780.509999999995</v>
      </c>
      <c r="E983" s="609">
        <v>89927.7</v>
      </c>
      <c r="F983" s="609">
        <v>115473.08</v>
      </c>
      <c r="G983" s="609">
        <v>128223.13</v>
      </c>
      <c r="H983" s="609">
        <v>118648</v>
      </c>
      <c r="I983" s="609">
        <v>99449.05</v>
      </c>
      <c r="J983" s="609">
        <v>135542</v>
      </c>
      <c r="K983" s="609">
        <v>128370</v>
      </c>
      <c r="L983" s="609">
        <v>0</v>
      </c>
      <c r="M983" s="609">
        <v>0</v>
      </c>
      <c r="N983" s="587">
        <f t="shared" si="108"/>
        <v>128370</v>
      </c>
      <c r="O983"/>
      <c r="P983" s="490"/>
      <c r="Q983" t="str">
        <f t="shared" si="109"/>
        <v>50620</v>
      </c>
      <c r="R983" s="126" t="str">
        <f t="shared" si="110"/>
        <v>HEALTH/LIFE INSURANCE</v>
      </c>
      <c r="S983" s="125" t="str">
        <f t="shared" si="111"/>
        <v>100</v>
      </c>
      <c r="T983" s="125" t="str">
        <f t="shared" si="112"/>
        <v>60</v>
      </c>
      <c r="U983" s="125" t="str">
        <f t="shared" si="113"/>
        <v>601</v>
      </c>
      <c r="V983" s="125" t="str">
        <f>VLOOKUP(Q983,'GL Category'!A:C,3,FALSE)</f>
        <v>Personnel services</v>
      </c>
      <c r="W983" s="127"/>
    </row>
    <row r="984" spans="1:23" s="83" customFormat="1" ht="20.399999999999999" customHeight="1">
      <c r="A984" s="608" t="s">
        <v>791</v>
      </c>
      <c r="B984" s="608" t="s">
        <v>2905</v>
      </c>
      <c r="C984" s="608" t="s">
        <v>144</v>
      </c>
      <c r="D984" s="609">
        <v>591.86</v>
      </c>
      <c r="E984" s="609">
        <v>637.78</v>
      </c>
      <c r="F984" s="609">
        <v>106.76</v>
      </c>
      <c r="G984" s="609">
        <v>1205.71</v>
      </c>
      <c r="H984" s="609">
        <v>1561</v>
      </c>
      <c r="I984" s="609">
        <v>1559.73</v>
      </c>
      <c r="J984" s="609">
        <v>1560</v>
      </c>
      <c r="K984" s="609">
        <v>1563</v>
      </c>
      <c r="L984" s="609">
        <v>0</v>
      </c>
      <c r="M984" s="609">
        <v>0</v>
      </c>
      <c r="N984" s="587">
        <f t="shared" si="108"/>
        <v>1563</v>
      </c>
      <c r="O984"/>
      <c r="P984" s="490"/>
      <c r="Q984" t="str">
        <f t="shared" si="109"/>
        <v>50630</v>
      </c>
      <c r="R984" s="126" t="str">
        <f t="shared" si="110"/>
        <v>WORKER COMPENSATION</v>
      </c>
      <c r="S984" s="125" t="str">
        <f t="shared" si="111"/>
        <v>100</v>
      </c>
      <c r="T984" s="125" t="str">
        <f t="shared" si="112"/>
        <v>60</v>
      </c>
      <c r="U984" s="125" t="str">
        <f t="shared" si="113"/>
        <v>601</v>
      </c>
      <c r="V984" s="125" t="str">
        <f>VLOOKUP(Q984,'GL Category'!A:C,3,FALSE)</f>
        <v>Personnel services</v>
      </c>
      <c r="W984"/>
    </row>
    <row r="985" spans="1:23" s="83" customFormat="1" ht="20.399999999999999" customHeight="1">
      <c r="A985" s="608" t="s">
        <v>791</v>
      </c>
      <c r="B985" s="608" t="s">
        <v>2906</v>
      </c>
      <c r="C985" s="608" t="s">
        <v>2</v>
      </c>
      <c r="D985" s="609">
        <v>96474.66</v>
      </c>
      <c r="E985" s="609">
        <v>101246.37</v>
      </c>
      <c r="F985" s="609">
        <v>108039.94</v>
      </c>
      <c r="G985" s="609">
        <v>110267.32</v>
      </c>
      <c r="H985" s="609">
        <v>115281</v>
      </c>
      <c r="I985" s="609">
        <v>87876.52</v>
      </c>
      <c r="J985" s="609">
        <v>115442</v>
      </c>
      <c r="K985" s="609">
        <v>123374</v>
      </c>
      <c r="L985" s="609">
        <v>0</v>
      </c>
      <c r="M985" s="609">
        <v>0</v>
      </c>
      <c r="N985" s="587">
        <f t="shared" si="108"/>
        <v>123374</v>
      </c>
      <c r="O985"/>
      <c r="P985" s="490"/>
      <c r="Q985" t="str">
        <f t="shared" si="109"/>
        <v>50650</v>
      </c>
      <c r="R985" s="126" t="str">
        <f t="shared" si="110"/>
        <v>RETIREMENT</v>
      </c>
      <c r="S985" s="125" t="str">
        <f t="shared" si="111"/>
        <v>100</v>
      </c>
      <c r="T985" s="125" t="str">
        <f t="shared" si="112"/>
        <v>60</v>
      </c>
      <c r="U985" s="125" t="str">
        <f t="shared" si="113"/>
        <v>601</v>
      </c>
      <c r="V985" s="125" t="str">
        <f>VLOOKUP(Q985,'GL Category'!A:C,3,FALSE)</f>
        <v>Personnel services</v>
      </c>
      <c r="W985"/>
    </row>
    <row r="986" spans="1:23" s="83" customFormat="1" ht="20.399999999999999" customHeight="1">
      <c r="A986" s="608" t="s">
        <v>791</v>
      </c>
      <c r="B986" s="608" t="s">
        <v>2907</v>
      </c>
      <c r="C986" s="608" t="s">
        <v>149</v>
      </c>
      <c r="D986" s="609">
        <v>11909.68</v>
      </c>
      <c r="E986" s="609">
        <v>9252.4500000000007</v>
      </c>
      <c r="F986" s="609">
        <v>19738.849999999999</v>
      </c>
      <c r="G986" s="609">
        <v>13353.7</v>
      </c>
      <c r="H986" s="609">
        <v>20000</v>
      </c>
      <c r="I986" s="609">
        <v>10449.11</v>
      </c>
      <c r="J986" s="609">
        <v>20000</v>
      </c>
      <c r="K986" s="609">
        <v>15625</v>
      </c>
      <c r="L986" s="609">
        <v>0</v>
      </c>
      <c r="M986" s="609">
        <v>0</v>
      </c>
      <c r="N986" s="587">
        <f t="shared" si="108"/>
        <v>15625</v>
      </c>
      <c r="O986"/>
      <c r="P986" s="490"/>
      <c r="Q986" t="str">
        <f t="shared" si="109"/>
        <v>51210</v>
      </c>
      <c r="R986" s="126" t="str">
        <f t="shared" si="110"/>
        <v>OFFICE SUPPLIES</v>
      </c>
      <c r="S986" s="125" t="str">
        <f t="shared" si="111"/>
        <v>100</v>
      </c>
      <c r="T986" s="125" t="str">
        <f t="shared" si="112"/>
        <v>60</v>
      </c>
      <c r="U986" s="125" t="str">
        <f t="shared" si="113"/>
        <v>601</v>
      </c>
      <c r="V986" s="125" t="str">
        <f>VLOOKUP(Q986,'GL Category'!A:C,3,FALSE)</f>
        <v>Operations &amp; maintenance</v>
      </c>
      <c r="W986"/>
    </row>
    <row r="987" spans="1:23" s="83" customFormat="1" ht="20.399999999999999" customHeight="1">
      <c r="A987" s="608" t="s">
        <v>791</v>
      </c>
      <c r="B987" s="608" t="s">
        <v>2907</v>
      </c>
      <c r="C987" s="608" t="s">
        <v>149</v>
      </c>
      <c r="D987" s="609">
        <v>0</v>
      </c>
      <c r="E987" s="609">
        <v>51.96</v>
      </c>
      <c r="F987" s="609">
        <v>0</v>
      </c>
      <c r="G987" s="609">
        <v>0</v>
      </c>
      <c r="H987" s="609">
        <v>0</v>
      </c>
      <c r="I987" s="609">
        <v>0</v>
      </c>
      <c r="J987" s="609">
        <v>0</v>
      </c>
      <c r="K987" s="609">
        <v>0</v>
      </c>
      <c r="L987" s="609">
        <v>0</v>
      </c>
      <c r="M987" s="609">
        <v>0</v>
      </c>
      <c r="N987" s="587">
        <f t="shared" si="108"/>
        <v>0</v>
      </c>
      <c r="O987"/>
      <c r="P987" s="490"/>
      <c r="Q987" t="str">
        <f t="shared" si="109"/>
        <v>51210</v>
      </c>
      <c r="R987" s="126" t="str">
        <f t="shared" si="110"/>
        <v>OFFICE SUPPLIES</v>
      </c>
      <c r="S987" s="125" t="str">
        <f t="shared" si="111"/>
        <v>100</v>
      </c>
      <c r="T987" s="125" t="str">
        <f t="shared" si="112"/>
        <v>60</v>
      </c>
      <c r="U987" s="125" t="str">
        <f t="shared" si="113"/>
        <v>601</v>
      </c>
      <c r="V987" s="125" t="str">
        <f>VLOOKUP(Q987,'GL Category'!A:C,3,FALSE)</f>
        <v>Operations &amp; maintenance</v>
      </c>
      <c r="W987"/>
    </row>
    <row r="988" spans="1:23" s="83" customFormat="1" ht="20.399999999999999" customHeight="1">
      <c r="A988" s="608" t="s">
        <v>791</v>
      </c>
      <c r="B988" s="608" t="s">
        <v>2908</v>
      </c>
      <c r="C988" s="608" t="s">
        <v>155</v>
      </c>
      <c r="D988" s="609">
        <v>2615.1</v>
      </c>
      <c r="E988" s="609">
        <v>3542.11</v>
      </c>
      <c r="F988" s="609">
        <v>3258.55</v>
      </c>
      <c r="G988" s="609">
        <v>4325.42</v>
      </c>
      <c r="H988" s="609">
        <v>4500</v>
      </c>
      <c r="I988" s="609">
        <v>3518.44</v>
      </c>
      <c r="J988" s="609">
        <v>4500</v>
      </c>
      <c r="K988" s="609">
        <v>5500</v>
      </c>
      <c r="L988" s="609">
        <v>0</v>
      </c>
      <c r="M988" s="609">
        <v>0</v>
      </c>
      <c r="N988" s="587">
        <f t="shared" si="108"/>
        <v>5500</v>
      </c>
      <c r="O988"/>
      <c r="P988" s="490"/>
      <c r="Q988" t="str">
        <f t="shared" si="109"/>
        <v>51225</v>
      </c>
      <c r="R988" s="126" t="str">
        <f t="shared" si="110"/>
        <v>JANITORIAL SUPPLIES</v>
      </c>
      <c r="S988" s="125" t="str">
        <f t="shared" si="111"/>
        <v>100</v>
      </c>
      <c r="T988" s="125" t="str">
        <f t="shared" si="112"/>
        <v>60</v>
      </c>
      <c r="U988" s="125" t="str">
        <f t="shared" si="113"/>
        <v>601</v>
      </c>
      <c r="V988" s="125" t="str">
        <f>VLOOKUP(Q988,'GL Category'!A:C,3,FALSE)</f>
        <v>Operations &amp; maintenance</v>
      </c>
      <c r="W988"/>
    </row>
    <row r="989" spans="1:23" s="83" customFormat="1" ht="20.399999999999999" customHeight="1">
      <c r="A989" s="608" t="s">
        <v>791</v>
      </c>
      <c r="B989" s="608" t="s">
        <v>2908</v>
      </c>
      <c r="C989" s="608" t="s">
        <v>155</v>
      </c>
      <c r="D989" s="609">
        <v>0</v>
      </c>
      <c r="E989" s="609">
        <v>399.46</v>
      </c>
      <c r="F989" s="609">
        <v>0</v>
      </c>
      <c r="G989" s="609">
        <v>0</v>
      </c>
      <c r="H989" s="609">
        <v>0</v>
      </c>
      <c r="I989" s="609">
        <v>0</v>
      </c>
      <c r="J989" s="609">
        <v>0</v>
      </c>
      <c r="K989" s="609">
        <v>0</v>
      </c>
      <c r="L989" s="609">
        <v>0</v>
      </c>
      <c r="M989" s="609">
        <v>0</v>
      </c>
      <c r="N989" s="587">
        <f t="shared" si="108"/>
        <v>0</v>
      </c>
      <c r="O989"/>
      <c r="P989" s="490"/>
      <c r="Q989" t="str">
        <f t="shared" si="109"/>
        <v>51225</v>
      </c>
      <c r="R989" s="126" t="str">
        <f t="shared" si="110"/>
        <v>JANITORIAL SUPPLIES</v>
      </c>
      <c r="S989" s="125" t="str">
        <f t="shared" si="111"/>
        <v>100</v>
      </c>
      <c r="T989" s="125" t="str">
        <f t="shared" si="112"/>
        <v>60</v>
      </c>
      <c r="U989" s="125" t="str">
        <f t="shared" si="113"/>
        <v>601</v>
      </c>
      <c r="V989" s="125" t="str">
        <f>VLOOKUP(Q989,'GL Category'!A:C,3,FALSE)</f>
        <v>Operations &amp; maintenance</v>
      </c>
      <c r="W989" s="125"/>
    </row>
    <row r="990" spans="1:23" s="83" customFormat="1" ht="20.399999999999999" customHeight="1">
      <c r="A990" s="608" t="s">
        <v>791</v>
      </c>
      <c r="B990" s="608" t="s">
        <v>2909</v>
      </c>
      <c r="C990" s="608" t="s">
        <v>1109</v>
      </c>
      <c r="D990" s="609">
        <v>123897.73</v>
      </c>
      <c r="E990" s="609">
        <v>122341.32</v>
      </c>
      <c r="F990" s="609">
        <v>139519.67000000001</v>
      </c>
      <c r="G990" s="609">
        <v>150279.81</v>
      </c>
      <c r="H990" s="609">
        <v>148000</v>
      </c>
      <c r="I990" s="609">
        <v>87257.279999999999</v>
      </c>
      <c r="J990" s="609">
        <v>148000</v>
      </c>
      <c r="K990" s="609">
        <v>145150</v>
      </c>
      <c r="L990" s="609">
        <v>0</v>
      </c>
      <c r="M990" s="609">
        <v>0</v>
      </c>
      <c r="N990" s="587">
        <f t="shared" si="108"/>
        <v>145150</v>
      </c>
      <c r="O990"/>
      <c r="P990" s="490"/>
      <c r="Q990" t="str">
        <f t="shared" si="109"/>
        <v>51241</v>
      </c>
      <c r="R990" s="126" t="str">
        <f t="shared" si="110"/>
        <v>LIBRARY MATERIALS</v>
      </c>
      <c r="S990" s="125" t="str">
        <f t="shared" si="111"/>
        <v>100</v>
      </c>
      <c r="T990" s="125" t="str">
        <f t="shared" si="112"/>
        <v>60</v>
      </c>
      <c r="U990" s="125" t="str">
        <f t="shared" si="113"/>
        <v>601</v>
      </c>
      <c r="V990" s="125" t="str">
        <f>VLOOKUP(Q990,'GL Category'!A:C,3,FALSE)</f>
        <v>Operations &amp; maintenance</v>
      </c>
      <c r="W990"/>
    </row>
    <row r="991" spans="1:23" s="83" customFormat="1" ht="20.399999999999999" customHeight="1">
      <c r="A991" s="608" t="s">
        <v>791</v>
      </c>
      <c r="B991" s="608" t="s">
        <v>2910</v>
      </c>
      <c r="C991" s="608" t="s">
        <v>4</v>
      </c>
      <c r="D991" s="609">
        <v>10330.120000000001</v>
      </c>
      <c r="E991" s="609">
        <v>7400.07</v>
      </c>
      <c r="F991" s="609">
        <v>12058.61</v>
      </c>
      <c r="G991" s="609">
        <v>11876.37</v>
      </c>
      <c r="H991" s="609">
        <v>23000</v>
      </c>
      <c r="I991" s="609">
        <v>7331.85</v>
      </c>
      <c r="J991" s="609">
        <v>23000</v>
      </c>
      <c r="K991" s="609">
        <v>13000</v>
      </c>
      <c r="L991" s="609">
        <v>0</v>
      </c>
      <c r="M991" s="609">
        <v>0</v>
      </c>
      <c r="N991" s="587">
        <f t="shared" si="108"/>
        <v>13000</v>
      </c>
      <c r="O991"/>
      <c r="P991" s="490"/>
      <c r="Q991" t="str">
        <f t="shared" si="109"/>
        <v>51245</v>
      </c>
      <c r="R991" s="126" t="str">
        <f t="shared" si="110"/>
        <v>SMALL TOOLS &amp; EQUIPMENT</v>
      </c>
      <c r="S991" s="125" t="str">
        <f t="shared" si="111"/>
        <v>100</v>
      </c>
      <c r="T991" s="125" t="str">
        <f t="shared" si="112"/>
        <v>60</v>
      </c>
      <c r="U991" s="125" t="str">
        <f t="shared" si="113"/>
        <v>601</v>
      </c>
      <c r="V991" s="125" t="str">
        <f>VLOOKUP(Q991,'GL Category'!A:C,3,FALSE)</f>
        <v>Operations &amp; maintenance</v>
      </c>
      <c r="W991"/>
    </row>
    <row r="992" spans="1:23" s="83" customFormat="1" ht="20.399999999999999" customHeight="1">
      <c r="A992" s="608" t="s">
        <v>791</v>
      </c>
      <c r="B992" s="608" t="s">
        <v>2910</v>
      </c>
      <c r="C992" s="608" t="s">
        <v>4</v>
      </c>
      <c r="D992" s="609">
        <v>0</v>
      </c>
      <c r="E992" s="609">
        <v>0</v>
      </c>
      <c r="F992" s="609">
        <v>0</v>
      </c>
      <c r="G992" s="609">
        <v>0</v>
      </c>
      <c r="H992" s="609">
        <v>0</v>
      </c>
      <c r="I992" s="609">
        <v>0</v>
      </c>
      <c r="J992" s="609">
        <v>0</v>
      </c>
      <c r="K992" s="609">
        <v>0</v>
      </c>
      <c r="L992" s="609">
        <v>0</v>
      </c>
      <c r="M992" s="609">
        <v>0</v>
      </c>
      <c r="N992" s="587">
        <f t="shared" si="108"/>
        <v>0</v>
      </c>
      <c r="O992"/>
      <c r="P992" s="490"/>
      <c r="Q992" t="str">
        <f t="shared" si="109"/>
        <v>51245</v>
      </c>
      <c r="R992" s="126" t="str">
        <f t="shared" si="110"/>
        <v>SMALL TOOLS &amp; EQUIPMENT</v>
      </c>
      <c r="S992" s="125" t="str">
        <f t="shared" si="111"/>
        <v>100</v>
      </c>
      <c r="T992" s="125" t="str">
        <f t="shared" si="112"/>
        <v>60</v>
      </c>
      <c r="U992" s="125" t="str">
        <f t="shared" si="113"/>
        <v>601</v>
      </c>
      <c r="V992" s="125" t="str">
        <f>VLOOKUP(Q992,'GL Category'!A:C,3,FALSE)</f>
        <v>Operations &amp; maintenance</v>
      </c>
      <c r="W992"/>
    </row>
    <row r="993" spans="1:25" s="83" customFormat="1" ht="20.399999999999999" customHeight="1">
      <c r="A993" s="608" t="s">
        <v>791</v>
      </c>
      <c r="B993" s="608" t="s">
        <v>2911</v>
      </c>
      <c r="C993" s="608" t="s">
        <v>263</v>
      </c>
      <c r="D993" s="609">
        <v>753.34</v>
      </c>
      <c r="E993" s="609">
        <v>233</v>
      </c>
      <c r="F993" s="609">
        <v>1144.57</v>
      </c>
      <c r="G993" s="609">
        <v>717.52</v>
      </c>
      <c r="H993" s="609">
        <v>3000</v>
      </c>
      <c r="I993" s="609">
        <v>1140.97</v>
      </c>
      <c r="J993" s="609">
        <v>3000</v>
      </c>
      <c r="K993" s="609">
        <v>800</v>
      </c>
      <c r="L993" s="609">
        <v>0</v>
      </c>
      <c r="M993" s="609">
        <v>0</v>
      </c>
      <c r="N993" s="587">
        <f t="shared" si="108"/>
        <v>800</v>
      </c>
      <c r="O993"/>
      <c r="P993" s="490"/>
      <c r="Q993" t="str">
        <f t="shared" si="109"/>
        <v>51260</v>
      </c>
      <c r="R993" s="126" t="str">
        <f t="shared" si="110"/>
        <v>EDUCATION/RECREATION SUPPLIES</v>
      </c>
      <c r="S993" s="125" t="str">
        <f t="shared" si="111"/>
        <v>100</v>
      </c>
      <c r="T993" s="125" t="str">
        <f t="shared" si="112"/>
        <v>60</v>
      </c>
      <c r="U993" s="125" t="str">
        <f t="shared" si="113"/>
        <v>601</v>
      </c>
      <c r="V993" s="125" t="str">
        <f>VLOOKUP(Q993,'GL Category'!A:C,3,FALSE)</f>
        <v>Operations &amp; maintenance</v>
      </c>
      <c r="W993"/>
    </row>
    <row r="994" spans="1:25" s="83" customFormat="1" ht="20.399999999999999" customHeight="1">
      <c r="A994" s="608" t="s">
        <v>791</v>
      </c>
      <c r="B994" s="608" t="s">
        <v>2912</v>
      </c>
      <c r="C994" s="608" t="s">
        <v>165</v>
      </c>
      <c r="D994" s="609">
        <v>1143.21</v>
      </c>
      <c r="E994" s="609">
        <v>287.79000000000002</v>
      </c>
      <c r="F994" s="609">
        <v>1220.76</v>
      </c>
      <c r="G994" s="609">
        <v>1189.93</v>
      </c>
      <c r="H994" s="609">
        <v>1650</v>
      </c>
      <c r="I994" s="609">
        <v>2038.29</v>
      </c>
      <c r="J994" s="609">
        <v>1650</v>
      </c>
      <c r="K994" s="609">
        <v>1650</v>
      </c>
      <c r="L994" s="609">
        <v>0</v>
      </c>
      <c r="M994" s="609">
        <v>0</v>
      </c>
      <c r="N994" s="587">
        <f t="shared" si="108"/>
        <v>1650</v>
      </c>
      <c r="O994"/>
      <c r="P994" s="490"/>
      <c r="Q994" t="str">
        <f t="shared" si="109"/>
        <v>51271</v>
      </c>
      <c r="R994" s="126" t="str">
        <f t="shared" si="110"/>
        <v>BUILDING MATERIALS &amp; SUPPLIES</v>
      </c>
      <c r="S994" s="125" t="str">
        <f t="shared" si="111"/>
        <v>100</v>
      </c>
      <c r="T994" s="125" t="str">
        <f t="shared" si="112"/>
        <v>60</v>
      </c>
      <c r="U994" s="125" t="str">
        <f t="shared" si="113"/>
        <v>601</v>
      </c>
      <c r="V994" s="125" t="str">
        <f>VLOOKUP(Q994,'GL Category'!A:C,3,FALSE)</f>
        <v>Operations &amp; maintenance</v>
      </c>
      <c r="W994"/>
    </row>
    <row r="995" spans="1:25" s="83" customFormat="1" ht="20.399999999999999" customHeight="1">
      <c r="A995" s="608" t="s">
        <v>791</v>
      </c>
      <c r="B995" s="608" t="s">
        <v>2913</v>
      </c>
      <c r="C995" s="608" t="s">
        <v>167</v>
      </c>
      <c r="D995" s="609">
        <v>1056.3499999999999</v>
      </c>
      <c r="E995" s="609">
        <v>1150.08</v>
      </c>
      <c r="F995" s="609">
        <v>860.24</v>
      </c>
      <c r="G995" s="609">
        <v>1099.03</v>
      </c>
      <c r="H995" s="609">
        <v>1000</v>
      </c>
      <c r="I995" s="609">
        <v>627.61</v>
      </c>
      <c r="J995" s="609">
        <v>1000</v>
      </c>
      <c r="K995" s="609">
        <v>1000</v>
      </c>
      <c r="L995" s="609">
        <v>0</v>
      </c>
      <c r="M995" s="609">
        <v>0</v>
      </c>
      <c r="N995" s="587">
        <f t="shared" si="108"/>
        <v>1000</v>
      </c>
      <c r="O995"/>
      <c r="P995" s="490">
        <f t="shared" ref="P995:P1008" si="114">N995-H995</f>
        <v>0</v>
      </c>
      <c r="Q995" t="str">
        <f t="shared" si="109"/>
        <v>51285</v>
      </c>
      <c r="R995" s="126" t="str">
        <f t="shared" si="110"/>
        <v>WEARING APPAREL</v>
      </c>
      <c r="S995" s="125" t="str">
        <f t="shared" si="111"/>
        <v>100</v>
      </c>
      <c r="T995" s="125" t="str">
        <f t="shared" si="112"/>
        <v>60</v>
      </c>
      <c r="U995" s="125" t="str">
        <f t="shared" si="113"/>
        <v>601</v>
      </c>
      <c r="V995" s="125" t="str">
        <f>VLOOKUP(Q995,'GL Category'!A:C,3,FALSE)</f>
        <v>Operations &amp; maintenance</v>
      </c>
      <c r="W995"/>
    </row>
    <row r="996" spans="1:25" s="83" customFormat="1" ht="20.399999999999999" customHeight="1">
      <c r="A996" s="608" t="s">
        <v>791</v>
      </c>
      <c r="B996" s="608" t="s">
        <v>2915</v>
      </c>
      <c r="C996" s="608" t="s">
        <v>171</v>
      </c>
      <c r="D996" s="609">
        <v>22372.84</v>
      </c>
      <c r="E996" s="609">
        <v>17957.830000000002</v>
      </c>
      <c r="F996" s="609">
        <v>12341.81</v>
      </c>
      <c r="G996" s="609">
        <v>17899.48</v>
      </c>
      <c r="H996" s="609">
        <v>19725</v>
      </c>
      <c r="I996" s="609">
        <v>11591.77</v>
      </c>
      <c r="J996" s="609">
        <v>19725</v>
      </c>
      <c r="K996" s="609">
        <v>19430</v>
      </c>
      <c r="L996" s="609">
        <v>0</v>
      </c>
      <c r="M996" s="609">
        <v>0</v>
      </c>
      <c r="N996" s="587">
        <f t="shared" si="108"/>
        <v>19430</v>
      </c>
      <c r="O996"/>
      <c r="P996" s="490">
        <f t="shared" si="114"/>
        <v>-295</v>
      </c>
      <c r="Q996" t="str">
        <f t="shared" si="109"/>
        <v>52310</v>
      </c>
      <c r="R996" s="126" t="str">
        <f t="shared" si="110"/>
        <v>BUILDING MAINTENANCE</v>
      </c>
      <c r="S996" s="125" t="str">
        <f t="shared" si="111"/>
        <v>100</v>
      </c>
      <c r="T996" s="125" t="str">
        <f t="shared" si="112"/>
        <v>60</v>
      </c>
      <c r="U996" s="125" t="str">
        <f t="shared" si="113"/>
        <v>601</v>
      </c>
      <c r="V996" s="125" t="str">
        <f>VLOOKUP(Q996,'GL Category'!A:C,3,FALSE)</f>
        <v>Operations &amp; maintenance</v>
      </c>
      <c r="W996"/>
      <c r="Y996" s="527"/>
    </row>
    <row r="997" spans="1:25" s="83" customFormat="1" ht="20.399999999999999" customHeight="1">
      <c r="A997" s="608" t="s">
        <v>791</v>
      </c>
      <c r="B997" s="608" t="s">
        <v>3207</v>
      </c>
      <c r="C997" s="608" t="s">
        <v>179</v>
      </c>
      <c r="D997" s="609">
        <v>58367.89</v>
      </c>
      <c r="E997" s="609">
        <v>67731.460000000006</v>
      </c>
      <c r="F997" s="609">
        <v>69060.100000000006</v>
      </c>
      <c r="G997" s="609">
        <v>70077</v>
      </c>
      <c r="H997" s="609">
        <v>70875</v>
      </c>
      <c r="I997" s="609">
        <v>56404.22</v>
      </c>
      <c r="J997" s="609">
        <v>70875</v>
      </c>
      <c r="K997" s="609">
        <v>74325</v>
      </c>
      <c r="L997" s="609">
        <v>0</v>
      </c>
      <c r="M997" s="609">
        <v>0</v>
      </c>
      <c r="N997" s="587">
        <f t="shared" si="108"/>
        <v>74325</v>
      </c>
      <c r="O997"/>
      <c r="P997" s="490">
        <f t="shared" si="114"/>
        <v>3450</v>
      </c>
      <c r="Q997" t="str">
        <f t="shared" si="109"/>
        <v>52485</v>
      </c>
      <c r="R997" s="126" t="str">
        <f t="shared" si="110"/>
        <v>SOFTWARE LICENSE &amp; MAINTENANCE</v>
      </c>
      <c r="S997" s="125" t="str">
        <f t="shared" si="111"/>
        <v>100</v>
      </c>
      <c r="T997" s="125" t="str">
        <f t="shared" si="112"/>
        <v>60</v>
      </c>
      <c r="U997" s="125" t="str">
        <f t="shared" si="113"/>
        <v>601</v>
      </c>
      <c r="V997" s="125" t="str">
        <f>VLOOKUP(Q997,'GL Category'!A:C,3,FALSE)</f>
        <v>Operations &amp; maintenance</v>
      </c>
      <c r="W997"/>
      <c r="Y997" s="528"/>
    </row>
    <row r="998" spans="1:25" s="83" customFormat="1" ht="20.399999999999999" customHeight="1">
      <c r="A998" s="608" t="s">
        <v>791</v>
      </c>
      <c r="B998" s="608" t="s">
        <v>2917</v>
      </c>
      <c r="C998" s="608" t="s">
        <v>181</v>
      </c>
      <c r="D998" s="609">
        <v>10680.05</v>
      </c>
      <c r="E998" s="609">
        <v>8302.9500000000007</v>
      </c>
      <c r="F998" s="609">
        <v>34731.24</v>
      </c>
      <c r="G998" s="609">
        <v>39421.93</v>
      </c>
      <c r="H998" s="609">
        <v>30000</v>
      </c>
      <c r="I998" s="609">
        <v>22193.24</v>
      </c>
      <c r="J998" s="609">
        <v>30000</v>
      </c>
      <c r="K998" s="609">
        <v>30000</v>
      </c>
      <c r="L998" s="609">
        <v>0</v>
      </c>
      <c r="M998" s="609">
        <v>0</v>
      </c>
      <c r="N998" s="587">
        <f t="shared" si="108"/>
        <v>30000</v>
      </c>
      <c r="O998"/>
      <c r="P998" s="490">
        <f t="shared" si="114"/>
        <v>0</v>
      </c>
      <c r="Q998" t="str">
        <f t="shared" si="109"/>
        <v>52490</v>
      </c>
      <c r="R998" s="126" t="str">
        <f t="shared" si="110"/>
        <v>A/C &amp; HEATING MAINTENANCE</v>
      </c>
      <c r="S998" s="125" t="str">
        <f t="shared" si="111"/>
        <v>100</v>
      </c>
      <c r="T998" s="125" t="str">
        <f t="shared" si="112"/>
        <v>60</v>
      </c>
      <c r="U998" s="125" t="str">
        <f t="shared" si="113"/>
        <v>601</v>
      </c>
      <c r="V998" s="125" t="str">
        <f>VLOOKUP(Q998,'GL Category'!A:C,3,FALSE)</f>
        <v>Operations &amp; maintenance</v>
      </c>
      <c r="W998"/>
    </row>
    <row r="999" spans="1:25" s="83" customFormat="1" ht="20.399999999999999" customHeight="1">
      <c r="A999" s="608" t="s">
        <v>791</v>
      </c>
      <c r="B999" s="608" t="s">
        <v>2919</v>
      </c>
      <c r="C999" s="608" t="s">
        <v>190</v>
      </c>
      <c r="D999" s="609">
        <v>1966.34</v>
      </c>
      <c r="E999" s="609">
        <v>2134.88</v>
      </c>
      <c r="F999" s="609">
        <v>2701.74</v>
      </c>
      <c r="G999" s="609">
        <v>1641.92</v>
      </c>
      <c r="H999" s="609">
        <v>3755</v>
      </c>
      <c r="I999" s="609">
        <v>2716.9</v>
      </c>
      <c r="J999" s="609">
        <v>3755</v>
      </c>
      <c r="K999" s="609">
        <v>3495</v>
      </c>
      <c r="L999" s="609">
        <v>0</v>
      </c>
      <c r="M999" s="609">
        <v>0</v>
      </c>
      <c r="N999" s="587">
        <f t="shared" si="108"/>
        <v>3495</v>
      </c>
      <c r="O999"/>
      <c r="P999" s="490">
        <f t="shared" si="114"/>
        <v>-260</v>
      </c>
      <c r="Q999" t="str">
        <f t="shared" si="109"/>
        <v>53510</v>
      </c>
      <c r="R999" s="126" t="str">
        <f t="shared" si="110"/>
        <v>DUES &amp; SUBSCRIPTIONS</v>
      </c>
      <c r="S999" s="125" t="str">
        <f t="shared" si="111"/>
        <v>100</v>
      </c>
      <c r="T999" s="125" t="str">
        <f t="shared" si="112"/>
        <v>60</v>
      </c>
      <c r="U999" s="125" t="str">
        <f t="shared" si="113"/>
        <v>601</v>
      </c>
      <c r="V999" s="125" t="str">
        <f>VLOOKUP(Q999,'GL Category'!A:C,3,FALSE)</f>
        <v>Services &amp; other</v>
      </c>
      <c r="W999"/>
      <c r="Y999"/>
    </row>
    <row r="1000" spans="1:25" s="83" customFormat="1" ht="20.399999999999999" customHeight="1">
      <c r="A1000" s="608" t="s">
        <v>791</v>
      </c>
      <c r="B1000" s="608" t="s">
        <v>2920</v>
      </c>
      <c r="C1000" s="608" t="s">
        <v>191</v>
      </c>
      <c r="D1000" s="609">
        <v>10541.9</v>
      </c>
      <c r="E1000" s="609">
        <v>5494.15</v>
      </c>
      <c r="F1000" s="609">
        <v>12052.6</v>
      </c>
      <c r="G1000" s="609">
        <v>14933.89</v>
      </c>
      <c r="H1000" s="609">
        <v>19000</v>
      </c>
      <c r="I1000" s="609">
        <v>7735.88</v>
      </c>
      <c r="J1000" s="609">
        <v>19000</v>
      </c>
      <c r="K1000" s="609">
        <v>20750</v>
      </c>
      <c r="L1000" s="609">
        <v>0</v>
      </c>
      <c r="M1000" s="609">
        <v>0</v>
      </c>
      <c r="N1000" s="587">
        <f t="shared" si="108"/>
        <v>20750</v>
      </c>
      <c r="O1000"/>
      <c r="P1000" s="490">
        <f t="shared" si="114"/>
        <v>1750</v>
      </c>
      <c r="Q1000" t="str">
        <f t="shared" si="109"/>
        <v>53515</v>
      </c>
      <c r="R1000" s="126" t="str">
        <f t="shared" si="110"/>
        <v>TRAVEL, TRAINING &amp; EDUCATION</v>
      </c>
      <c r="S1000" s="125" t="str">
        <f t="shared" si="111"/>
        <v>100</v>
      </c>
      <c r="T1000" s="125" t="str">
        <f t="shared" si="112"/>
        <v>60</v>
      </c>
      <c r="U1000" s="125" t="str">
        <f t="shared" si="113"/>
        <v>601</v>
      </c>
      <c r="V1000" s="125" t="str">
        <f>VLOOKUP(Q1000,'GL Category'!A:C,3,FALSE)</f>
        <v>Services &amp; other</v>
      </c>
      <c r="W1000"/>
      <c r="Y1000"/>
    </row>
    <row r="1001" spans="1:25" s="83" customFormat="1" ht="14.4" customHeight="1">
      <c r="A1001" s="608" t="s">
        <v>791</v>
      </c>
      <c r="B1001" s="608" t="s">
        <v>2921</v>
      </c>
      <c r="C1001" s="608" t="s">
        <v>301</v>
      </c>
      <c r="D1001" s="609">
        <v>8070.22</v>
      </c>
      <c r="E1001" s="609">
        <v>6691.6</v>
      </c>
      <c r="F1001" s="609">
        <v>6130.56</v>
      </c>
      <c r="G1001" s="609">
        <v>3915.92</v>
      </c>
      <c r="H1001" s="609">
        <v>3895</v>
      </c>
      <c r="I1001" s="609">
        <v>4487.7700000000004</v>
      </c>
      <c r="J1001" s="609">
        <v>4295</v>
      </c>
      <c r="K1001" s="609">
        <v>4885</v>
      </c>
      <c r="L1001" s="609">
        <v>0</v>
      </c>
      <c r="M1001" s="609">
        <v>0</v>
      </c>
      <c r="N1001" s="587">
        <f t="shared" si="108"/>
        <v>4885</v>
      </c>
      <c r="O1001"/>
      <c r="P1001" s="490">
        <f t="shared" si="114"/>
        <v>990</v>
      </c>
      <c r="Q1001" t="str">
        <f t="shared" si="109"/>
        <v>53521</v>
      </c>
      <c r="R1001" s="126" t="str">
        <f t="shared" si="110"/>
        <v>SUBSCRIPTIONS/PERIODICALS</v>
      </c>
      <c r="S1001" s="125" t="str">
        <f t="shared" si="111"/>
        <v>100</v>
      </c>
      <c r="T1001" s="125" t="str">
        <f t="shared" si="112"/>
        <v>60</v>
      </c>
      <c r="U1001" s="125" t="str">
        <f t="shared" si="113"/>
        <v>601</v>
      </c>
      <c r="V1001" s="125" t="str">
        <f>VLOOKUP(Q1001,'GL Category'!A:C,3,FALSE)</f>
        <v>Services &amp; other</v>
      </c>
      <c r="W1001"/>
      <c r="Y1001"/>
    </row>
    <row r="1002" spans="1:25" s="83" customFormat="1" ht="20.399999999999999" customHeight="1">
      <c r="A1002" s="608" t="s">
        <v>791</v>
      </c>
      <c r="B1002" s="608" t="s">
        <v>2924</v>
      </c>
      <c r="C1002" s="608" t="s">
        <v>906</v>
      </c>
      <c r="D1002" s="609">
        <v>23974.5</v>
      </c>
      <c r="E1002" s="609">
        <v>28251.58</v>
      </c>
      <c r="F1002" s="609">
        <v>26756.799999999999</v>
      </c>
      <c r="G1002" s="609">
        <v>39908.21</v>
      </c>
      <c r="H1002" s="609">
        <v>41680</v>
      </c>
      <c r="I1002" s="609">
        <v>21436.6</v>
      </c>
      <c r="J1002" s="609">
        <v>41680</v>
      </c>
      <c r="K1002" s="609">
        <v>41680</v>
      </c>
      <c r="L1002" s="609">
        <v>0</v>
      </c>
      <c r="M1002" s="609">
        <v>0</v>
      </c>
      <c r="N1002" s="587">
        <f t="shared" si="108"/>
        <v>41680</v>
      </c>
      <c r="O1002"/>
      <c r="P1002" s="490">
        <f t="shared" si="114"/>
        <v>0</v>
      </c>
      <c r="Q1002" t="str">
        <f t="shared" si="109"/>
        <v>53529</v>
      </c>
      <c r="R1002" s="126" t="str">
        <f t="shared" si="110"/>
        <v>JANITORIAL SERVICES</v>
      </c>
      <c r="S1002" s="125" t="str">
        <f t="shared" si="111"/>
        <v>100</v>
      </c>
      <c r="T1002" s="125" t="str">
        <f t="shared" si="112"/>
        <v>60</v>
      </c>
      <c r="U1002" s="125" t="str">
        <f t="shared" si="113"/>
        <v>601</v>
      </c>
      <c r="V1002" s="125" t="str">
        <f>VLOOKUP(Q1002,'GL Category'!A:C,3,FALSE)</f>
        <v>Services &amp; other</v>
      </c>
      <c r="W1002" s="125"/>
    </row>
    <row r="1003" spans="1:25" ht="20.399999999999999" customHeight="1">
      <c r="A1003" s="608" t="s">
        <v>791</v>
      </c>
      <c r="B1003" s="608" t="s">
        <v>2925</v>
      </c>
      <c r="C1003" s="608" t="s">
        <v>230</v>
      </c>
      <c r="D1003" s="609">
        <v>4608.8599999999997</v>
      </c>
      <c r="E1003" s="609">
        <v>4386.2299999999996</v>
      </c>
      <c r="F1003" s="609">
        <v>4890.8100000000004</v>
      </c>
      <c r="G1003" s="609">
        <v>4849.03</v>
      </c>
      <c r="H1003" s="609">
        <v>5400</v>
      </c>
      <c r="I1003" s="609">
        <v>5290.46</v>
      </c>
      <c r="J1003" s="609">
        <v>5400</v>
      </c>
      <c r="K1003" s="609">
        <v>5400</v>
      </c>
      <c r="L1003" s="609">
        <v>0</v>
      </c>
      <c r="M1003" s="609">
        <v>0</v>
      </c>
      <c r="N1003" s="587">
        <f t="shared" si="108"/>
        <v>5400</v>
      </c>
      <c r="P1003" s="490">
        <f t="shared" si="114"/>
        <v>0</v>
      </c>
      <c r="Q1003" t="str">
        <f t="shared" si="109"/>
        <v>53534</v>
      </c>
      <c r="R1003" s="126" t="str">
        <f t="shared" si="110"/>
        <v>MARKETING &amp; PROMOTIONAL</v>
      </c>
      <c r="S1003" s="125" t="str">
        <f t="shared" si="111"/>
        <v>100</v>
      </c>
      <c r="T1003" s="125" t="str">
        <f t="shared" si="112"/>
        <v>60</v>
      </c>
      <c r="U1003" s="125" t="str">
        <f t="shared" si="113"/>
        <v>601</v>
      </c>
      <c r="V1003" s="125" t="str">
        <f>VLOOKUP(Q1003,'GL Category'!A:C,3,FALSE)</f>
        <v>Services &amp; other</v>
      </c>
      <c r="X1003" s="83"/>
    </row>
    <row r="1004" spans="1:25" ht="14.4" customHeight="1">
      <c r="A1004" s="608" t="s">
        <v>791</v>
      </c>
      <c r="B1004" s="608" t="s">
        <v>2926</v>
      </c>
      <c r="C1004" s="608" t="s">
        <v>908</v>
      </c>
      <c r="D1004" s="609">
        <v>20369.689999999999</v>
      </c>
      <c r="E1004" s="609">
        <v>20078.84</v>
      </c>
      <c r="F1004" s="609">
        <v>19727.89</v>
      </c>
      <c r="G1004" s="609">
        <v>27847.02</v>
      </c>
      <c r="H1004" s="609">
        <v>29485</v>
      </c>
      <c r="I1004" s="609">
        <v>22525.93</v>
      </c>
      <c r="J1004" s="609">
        <v>29485</v>
      </c>
      <c r="K1004" s="609">
        <v>33027</v>
      </c>
      <c r="L1004" s="609">
        <v>0</v>
      </c>
      <c r="M1004" s="609">
        <v>0</v>
      </c>
      <c r="N1004" s="587">
        <f t="shared" si="108"/>
        <v>33027</v>
      </c>
      <c r="P1004" s="490">
        <f t="shared" si="114"/>
        <v>3542</v>
      </c>
      <c r="Q1004" t="str">
        <f t="shared" si="109"/>
        <v>53535</v>
      </c>
      <c r="R1004" s="126" t="str">
        <f t="shared" si="110"/>
        <v>RECREATION &amp; CULTURE PROGRAMS</v>
      </c>
      <c r="S1004" s="125" t="str">
        <f t="shared" si="111"/>
        <v>100</v>
      </c>
      <c r="T1004" s="125" t="str">
        <f t="shared" si="112"/>
        <v>60</v>
      </c>
      <c r="U1004" s="125" t="str">
        <f t="shared" si="113"/>
        <v>601</v>
      </c>
      <c r="V1004" s="125" t="str">
        <f>VLOOKUP(Q1004,'GL Category'!A:C,3,FALSE)</f>
        <v>Services &amp; other</v>
      </c>
      <c r="X1004" s="83"/>
    </row>
    <row r="1005" spans="1:25" ht="14.4" customHeight="1">
      <c r="A1005" s="608" t="s">
        <v>791</v>
      </c>
      <c r="B1005" s="608" t="s">
        <v>2927</v>
      </c>
      <c r="C1005" s="608" t="s">
        <v>207</v>
      </c>
      <c r="D1005" s="609">
        <v>7446.25</v>
      </c>
      <c r="E1005" s="609">
        <v>4570.93</v>
      </c>
      <c r="F1005" s="609">
        <v>2225.27</v>
      </c>
      <c r="G1005" s="609">
        <v>1516.66</v>
      </c>
      <c r="H1005" s="609">
        <v>7230</v>
      </c>
      <c r="I1005" s="609">
        <v>4295.2700000000004</v>
      </c>
      <c r="J1005" s="609">
        <v>7230</v>
      </c>
      <c r="K1005" s="609">
        <v>7230</v>
      </c>
      <c r="L1005" s="609">
        <v>6800</v>
      </c>
      <c r="M1005" s="609">
        <v>0</v>
      </c>
      <c r="N1005" s="587">
        <f t="shared" si="108"/>
        <v>14030</v>
      </c>
      <c r="P1005" s="490">
        <f t="shared" si="114"/>
        <v>6800</v>
      </c>
      <c r="Q1005" t="str">
        <f t="shared" si="109"/>
        <v>53551</v>
      </c>
      <c r="R1005" s="126" t="str">
        <f t="shared" si="110"/>
        <v>FREIGHT &amp; EXPRESS SERVICES</v>
      </c>
      <c r="S1005" s="125" t="str">
        <f t="shared" si="111"/>
        <v>100</v>
      </c>
      <c r="T1005" s="125" t="str">
        <f t="shared" si="112"/>
        <v>60</v>
      </c>
      <c r="U1005" s="125" t="str">
        <f t="shared" si="113"/>
        <v>601</v>
      </c>
      <c r="V1005" s="125" t="str">
        <f>VLOOKUP(Q1005,'GL Category'!A:C,3,FALSE)</f>
        <v>Services &amp; other</v>
      </c>
      <c r="X1005" s="83"/>
    </row>
    <row r="1006" spans="1:25" ht="20.399999999999999" customHeight="1">
      <c r="A1006" s="608" t="s">
        <v>791</v>
      </c>
      <c r="B1006" s="608" t="s">
        <v>2928</v>
      </c>
      <c r="C1006" s="608" t="s">
        <v>211</v>
      </c>
      <c r="D1006" s="609">
        <v>11254.33</v>
      </c>
      <c r="E1006" s="609">
        <v>12152.49</v>
      </c>
      <c r="F1006" s="609">
        <v>13181.68</v>
      </c>
      <c r="G1006" s="609">
        <v>12105.19</v>
      </c>
      <c r="H1006" s="609">
        <v>14000</v>
      </c>
      <c r="I1006" s="609">
        <v>10718.66</v>
      </c>
      <c r="J1006" s="609">
        <v>14000</v>
      </c>
      <c r="K1006" s="609">
        <v>12520</v>
      </c>
      <c r="L1006" s="609">
        <v>0</v>
      </c>
      <c r="M1006" s="609">
        <v>0</v>
      </c>
      <c r="N1006" s="587">
        <f t="shared" si="108"/>
        <v>12520</v>
      </c>
      <c r="P1006" s="490">
        <f t="shared" si="114"/>
        <v>-1480</v>
      </c>
      <c r="Q1006" t="str">
        <f t="shared" si="109"/>
        <v>53570</v>
      </c>
      <c r="R1006" s="126" t="str">
        <f t="shared" si="110"/>
        <v>TELEPHONE/COMMUNICATIONS</v>
      </c>
      <c r="S1006" s="125" t="str">
        <f t="shared" si="111"/>
        <v>100</v>
      </c>
      <c r="T1006" s="125" t="str">
        <f t="shared" si="112"/>
        <v>60</v>
      </c>
      <c r="U1006" s="125" t="str">
        <f t="shared" si="113"/>
        <v>601</v>
      </c>
      <c r="V1006" s="125" t="str">
        <f>VLOOKUP(Q1006,'GL Category'!A:C,3,FALSE)</f>
        <v>Services &amp; other</v>
      </c>
      <c r="X1006" s="83"/>
    </row>
    <row r="1007" spans="1:25" ht="20.399999999999999" customHeight="1">
      <c r="A1007" s="608" t="s">
        <v>791</v>
      </c>
      <c r="B1007" s="608" t="s">
        <v>2929</v>
      </c>
      <c r="C1007" s="608" t="s">
        <v>213</v>
      </c>
      <c r="D1007" s="609">
        <v>2689.3</v>
      </c>
      <c r="E1007" s="609">
        <v>4591.08</v>
      </c>
      <c r="F1007" s="609">
        <v>6145.04</v>
      </c>
      <c r="G1007" s="609">
        <v>5910.43</v>
      </c>
      <c r="H1007" s="609">
        <v>6380</v>
      </c>
      <c r="I1007" s="609">
        <v>7043.16</v>
      </c>
      <c r="J1007" s="609">
        <v>7250</v>
      </c>
      <c r="K1007" s="609">
        <v>7108</v>
      </c>
      <c r="L1007" s="609">
        <v>0</v>
      </c>
      <c r="M1007" s="609">
        <v>0</v>
      </c>
      <c r="N1007" s="587">
        <f t="shared" si="108"/>
        <v>7108</v>
      </c>
      <c r="P1007" s="490">
        <f t="shared" si="114"/>
        <v>728</v>
      </c>
      <c r="Q1007" t="str">
        <f t="shared" si="109"/>
        <v>53571</v>
      </c>
      <c r="R1007" s="126" t="str">
        <f t="shared" si="110"/>
        <v>NATURAL GAS UTILITY SERVICE</v>
      </c>
      <c r="S1007" s="125" t="str">
        <f t="shared" si="111"/>
        <v>100</v>
      </c>
      <c r="T1007" s="125" t="str">
        <f t="shared" si="112"/>
        <v>60</v>
      </c>
      <c r="U1007" s="125" t="str">
        <f t="shared" si="113"/>
        <v>601</v>
      </c>
      <c r="V1007" s="125" t="str">
        <f>VLOOKUP(Q1007,'GL Category'!A:C,3,FALSE)</f>
        <v>Services &amp; other</v>
      </c>
      <c r="X1007" s="83"/>
    </row>
    <row r="1008" spans="1:25" ht="20.399999999999999" customHeight="1">
      <c r="A1008" s="608" t="s">
        <v>791</v>
      </c>
      <c r="B1008" s="608" t="s">
        <v>2930</v>
      </c>
      <c r="C1008" s="608" t="s">
        <v>215</v>
      </c>
      <c r="D1008" s="609">
        <v>30127.55</v>
      </c>
      <c r="E1008" s="609">
        <v>31426.58</v>
      </c>
      <c r="F1008" s="609">
        <v>37191.22</v>
      </c>
      <c r="G1008" s="609">
        <v>43084.61</v>
      </c>
      <c r="H1008" s="609">
        <v>43300</v>
      </c>
      <c r="I1008" s="609">
        <v>21024.560000000001</v>
      </c>
      <c r="J1008" s="609">
        <v>43300</v>
      </c>
      <c r="K1008" s="609">
        <v>43300</v>
      </c>
      <c r="L1008" s="609">
        <v>0</v>
      </c>
      <c r="M1008" s="609">
        <v>0</v>
      </c>
      <c r="N1008" s="587">
        <f t="shared" si="108"/>
        <v>43300</v>
      </c>
      <c r="P1008" s="490">
        <f t="shared" si="114"/>
        <v>0</v>
      </c>
      <c r="Q1008" t="str">
        <f t="shared" si="109"/>
        <v>53572</v>
      </c>
      <c r="R1008" s="126" t="str">
        <f t="shared" si="110"/>
        <v>ELECTRICAL UTILITY SERVICE</v>
      </c>
      <c r="S1008" s="125" t="str">
        <f t="shared" si="111"/>
        <v>100</v>
      </c>
      <c r="T1008" s="125" t="str">
        <f t="shared" si="112"/>
        <v>60</v>
      </c>
      <c r="U1008" s="125" t="str">
        <f t="shared" si="113"/>
        <v>601</v>
      </c>
      <c r="V1008" s="125" t="str">
        <f>VLOOKUP(Q1008,'GL Category'!A:C,3,FALSE)</f>
        <v>Services &amp; other</v>
      </c>
      <c r="X1008" s="83"/>
    </row>
    <row r="1009" spans="1:24" ht="20.399999999999999" customHeight="1">
      <c r="A1009" s="608" t="s">
        <v>791</v>
      </c>
      <c r="B1009" s="608" t="s">
        <v>2930</v>
      </c>
      <c r="C1009" s="608" t="s">
        <v>215</v>
      </c>
      <c r="D1009" s="609">
        <v>0</v>
      </c>
      <c r="E1009" s="609">
        <v>20574.2</v>
      </c>
      <c r="F1009" s="609">
        <v>0</v>
      </c>
      <c r="G1009" s="609">
        <v>0</v>
      </c>
      <c r="H1009" s="609">
        <v>0</v>
      </c>
      <c r="I1009" s="609">
        <v>0</v>
      </c>
      <c r="J1009" s="609">
        <v>0</v>
      </c>
      <c r="K1009" s="609">
        <v>0</v>
      </c>
      <c r="L1009" s="609">
        <v>0</v>
      </c>
      <c r="M1009" s="609">
        <v>0</v>
      </c>
      <c r="N1009" s="587">
        <f t="shared" si="108"/>
        <v>0</v>
      </c>
      <c r="Q1009" t="str">
        <f t="shared" si="109"/>
        <v>53572</v>
      </c>
      <c r="R1009" s="126" t="str">
        <f t="shared" si="110"/>
        <v>ELECTRICAL UTILITY SERVICE</v>
      </c>
      <c r="S1009" s="125" t="str">
        <f t="shared" si="111"/>
        <v>100</v>
      </c>
      <c r="T1009" s="125" t="str">
        <f t="shared" si="112"/>
        <v>60</v>
      </c>
      <c r="U1009" s="125" t="str">
        <f t="shared" si="113"/>
        <v>601</v>
      </c>
      <c r="V1009" s="125" t="str">
        <f>VLOOKUP(Q1009,'GL Category'!A:C,3,FALSE)</f>
        <v>Services &amp; other</v>
      </c>
      <c r="X1009" s="83"/>
    </row>
    <row r="1010" spans="1:24" ht="20.399999999999999" customHeight="1">
      <c r="A1010" s="608" t="s">
        <v>791</v>
      </c>
      <c r="B1010" s="608" t="s">
        <v>2931</v>
      </c>
      <c r="C1010" s="608" t="s">
        <v>217</v>
      </c>
      <c r="D1010" s="609">
        <v>6593.23</v>
      </c>
      <c r="E1010" s="609">
        <v>7265.28</v>
      </c>
      <c r="F1010" s="609">
        <v>13083.43</v>
      </c>
      <c r="G1010" s="609">
        <v>6723.37</v>
      </c>
      <c r="H1010" s="609">
        <v>8500</v>
      </c>
      <c r="I1010" s="609">
        <v>3772</v>
      </c>
      <c r="J1010" s="609">
        <v>8500</v>
      </c>
      <c r="K1010" s="609">
        <v>8500</v>
      </c>
      <c r="L1010" s="609">
        <v>0</v>
      </c>
      <c r="M1010" s="609">
        <v>0</v>
      </c>
      <c r="N1010" s="587">
        <f t="shared" si="108"/>
        <v>8500</v>
      </c>
      <c r="Q1010" t="str">
        <f t="shared" si="109"/>
        <v>53574</v>
      </c>
      <c r="R1010" s="126" t="str">
        <f t="shared" si="110"/>
        <v>WATER/SEWER UTILITY SERVICE</v>
      </c>
      <c r="S1010" s="125" t="str">
        <f t="shared" si="111"/>
        <v>100</v>
      </c>
      <c r="T1010" s="125" t="str">
        <f t="shared" si="112"/>
        <v>60</v>
      </c>
      <c r="U1010" s="125" t="str">
        <f t="shared" si="113"/>
        <v>601</v>
      </c>
      <c r="V1010" s="125" t="str">
        <f>VLOOKUP(Q1010,'GL Category'!A:C,3,FALSE)</f>
        <v>Services &amp; other</v>
      </c>
      <c r="X1010" s="83"/>
    </row>
    <row r="1011" spans="1:24" ht="20.399999999999999" customHeight="1">
      <c r="A1011" s="608" t="s">
        <v>791</v>
      </c>
      <c r="B1011" s="608" t="s">
        <v>2932</v>
      </c>
      <c r="C1011" s="608" t="s">
        <v>219</v>
      </c>
      <c r="D1011" s="609">
        <v>1053.72</v>
      </c>
      <c r="E1011" s="609">
        <v>1399.96</v>
      </c>
      <c r="F1011" s="609">
        <v>1602.24</v>
      </c>
      <c r="G1011" s="609">
        <v>2475.4899999999998</v>
      </c>
      <c r="H1011" s="609">
        <v>1600</v>
      </c>
      <c r="I1011" s="609">
        <v>2270.94</v>
      </c>
      <c r="J1011" s="609">
        <v>1600</v>
      </c>
      <c r="K1011" s="609">
        <v>1600</v>
      </c>
      <c r="L1011" s="609">
        <v>0</v>
      </c>
      <c r="M1011" s="609">
        <v>0</v>
      </c>
      <c r="N1011" s="587">
        <f t="shared" si="108"/>
        <v>1600</v>
      </c>
      <c r="Q1011" t="str">
        <f t="shared" si="109"/>
        <v>53585</v>
      </c>
      <c r="R1011" s="126" t="str">
        <f t="shared" si="110"/>
        <v>BANKING SERVICES CHARGES</v>
      </c>
      <c r="S1011" s="125" t="str">
        <f t="shared" si="111"/>
        <v>100</v>
      </c>
      <c r="T1011" s="125" t="str">
        <f t="shared" si="112"/>
        <v>60</v>
      </c>
      <c r="U1011" s="125" t="str">
        <f t="shared" si="113"/>
        <v>601</v>
      </c>
      <c r="V1011" s="125" t="str">
        <f>VLOOKUP(Q1011,'GL Category'!A:C,3,FALSE)</f>
        <v>Services &amp; other</v>
      </c>
      <c r="X1011" s="83"/>
    </row>
    <row r="1012" spans="1:24" ht="20.399999999999999" customHeight="1">
      <c r="A1012" s="608" t="s">
        <v>791</v>
      </c>
      <c r="B1012" s="608" t="s">
        <v>2933</v>
      </c>
      <c r="C1012" s="608" t="s">
        <v>221</v>
      </c>
      <c r="D1012" s="609">
        <v>255654</v>
      </c>
      <c r="E1012" s="609">
        <v>283995</v>
      </c>
      <c r="F1012" s="609">
        <v>300010</v>
      </c>
      <c r="G1012" s="609">
        <v>298901</v>
      </c>
      <c r="H1012" s="609">
        <v>243910</v>
      </c>
      <c r="I1012" s="609">
        <v>182932.5</v>
      </c>
      <c r="J1012" s="609">
        <v>243910</v>
      </c>
      <c r="K1012" s="609">
        <v>263883</v>
      </c>
      <c r="L1012" s="609">
        <v>0</v>
      </c>
      <c r="M1012" s="609">
        <v>0</v>
      </c>
      <c r="N1012" s="587">
        <f t="shared" si="108"/>
        <v>263883</v>
      </c>
      <c r="Q1012" t="str">
        <f t="shared" si="109"/>
        <v>55119</v>
      </c>
      <c r="R1012" s="126" t="str">
        <f t="shared" si="110"/>
        <v>OFFICE EQUIP LEASE EXP-CITY</v>
      </c>
      <c r="S1012" s="125" t="str">
        <f t="shared" si="111"/>
        <v>100</v>
      </c>
      <c r="T1012" s="125" t="str">
        <f t="shared" si="112"/>
        <v>60</v>
      </c>
      <c r="U1012" s="125" t="str">
        <f t="shared" si="113"/>
        <v>601</v>
      </c>
      <c r="V1012" s="125" t="str">
        <f>VLOOKUP(Q1012,'GL Category'!A:C,3,FALSE)</f>
        <v>Services &amp; other</v>
      </c>
      <c r="X1012" s="83"/>
    </row>
    <row r="1013" spans="1:24" ht="20.399999999999999" customHeight="1">
      <c r="A1013" s="608" t="s">
        <v>791</v>
      </c>
      <c r="B1013" s="608" t="s">
        <v>3422</v>
      </c>
      <c r="C1013" s="608" t="s">
        <v>227</v>
      </c>
      <c r="D1013" s="609">
        <v>0</v>
      </c>
      <c r="E1013" s="609">
        <v>0</v>
      </c>
      <c r="F1013" s="609">
        <v>0</v>
      </c>
      <c r="G1013" s="609">
        <v>0</v>
      </c>
      <c r="H1013" s="609">
        <v>0</v>
      </c>
      <c r="I1013" s="609">
        <v>3925</v>
      </c>
      <c r="J1013" s="609">
        <v>3950</v>
      </c>
      <c r="K1013" s="609">
        <v>0</v>
      </c>
      <c r="L1013" s="609">
        <v>0</v>
      </c>
      <c r="M1013" s="609">
        <v>0</v>
      </c>
      <c r="N1013" s="587">
        <f t="shared" si="108"/>
        <v>0</v>
      </c>
      <c r="Q1013" t="str">
        <f t="shared" si="109"/>
        <v>58853</v>
      </c>
      <c r="R1013" s="126" t="str">
        <f t="shared" si="110"/>
        <v>IMPROVEMENTS OTHER THAN BLDGS</v>
      </c>
      <c r="S1013" s="125" t="str">
        <f t="shared" si="111"/>
        <v>100</v>
      </c>
      <c r="T1013" s="125" t="str">
        <f t="shared" si="112"/>
        <v>60</v>
      </c>
      <c r="U1013" s="125" t="str">
        <f t="shared" si="113"/>
        <v>601</v>
      </c>
      <c r="V1013" s="125" t="str">
        <f>VLOOKUP(Q1013,'GL Category'!A:C,3,FALSE)</f>
        <v>Capital Outlay</v>
      </c>
      <c r="X1013" s="83"/>
    </row>
    <row r="1014" spans="1:24" ht="20.399999999999999" customHeight="1">
      <c r="A1014" s="608" t="s">
        <v>791</v>
      </c>
      <c r="B1014" s="608" t="s">
        <v>2934</v>
      </c>
      <c r="C1014" s="608" t="s">
        <v>130</v>
      </c>
      <c r="D1014" s="609">
        <v>118539.33</v>
      </c>
      <c r="E1014" s="609">
        <v>125829.66</v>
      </c>
      <c r="F1014" s="609">
        <v>123869.22</v>
      </c>
      <c r="G1014" s="609">
        <v>134947.5</v>
      </c>
      <c r="H1014" s="609">
        <v>140380</v>
      </c>
      <c r="I1014" s="609">
        <v>107590.91</v>
      </c>
      <c r="J1014" s="609">
        <v>141235</v>
      </c>
      <c r="K1014" s="609">
        <v>146048</v>
      </c>
      <c r="L1014" s="609">
        <v>0</v>
      </c>
      <c r="M1014" s="609">
        <v>0</v>
      </c>
      <c r="N1014" s="587">
        <f t="shared" si="108"/>
        <v>146048</v>
      </c>
      <c r="Q1014" t="str">
        <f t="shared" si="109"/>
        <v>50101</v>
      </c>
      <c r="R1014" s="126" t="str">
        <f t="shared" si="110"/>
        <v>EXEMPT SALARIES</v>
      </c>
      <c r="S1014" s="125" t="str">
        <f t="shared" si="111"/>
        <v>100</v>
      </c>
      <c r="T1014" s="125" t="str">
        <f t="shared" si="112"/>
        <v>63</v>
      </c>
      <c r="U1014" s="125" t="str">
        <f t="shared" si="113"/>
        <v>631</v>
      </c>
      <c r="V1014" s="125" t="str">
        <f>VLOOKUP(Q1014,'GL Category'!A:C,3,FALSE)</f>
        <v>Personnel services</v>
      </c>
      <c r="X1014" s="83"/>
    </row>
    <row r="1015" spans="1:24" ht="14.4" customHeight="1">
      <c r="A1015" s="608" t="s">
        <v>791</v>
      </c>
      <c r="B1015" s="608" t="s">
        <v>2935</v>
      </c>
      <c r="C1015" s="608" t="s">
        <v>132</v>
      </c>
      <c r="D1015" s="609">
        <v>87506.47</v>
      </c>
      <c r="E1015" s="609">
        <v>76740.39</v>
      </c>
      <c r="F1015" s="609">
        <v>84638.93</v>
      </c>
      <c r="G1015" s="609">
        <v>89508.49</v>
      </c>
      <c r="H1015" s="609">
        <v>79694</v>
      </c>
      <c r="I1015" s="609">
        <v>66473.38</v>
      </c>
      <c r="J1015" s="609">
        <v>87112</v>
      </c>
      <c r="K1015" s="609">
        <v>90500</v>
      </c>
      <c r="L1015" s="609">
        <v>0</v>
      </c>
      <c r="M1015" s="609">
        <v>0</v>
      </c>
      <c r="N1015" s="587">
        <f t="shared" si="108"/>
        <v>90500</v>
      </c>
      <c r="Q1015" t="str">
        <f t="shared" si="109"/>
        <v>50102</v>
      </c>
      <c r="R1015" s="126" t="str">
        <f t="shared" si="110"/>
        <v>NON EXEMPT SALARIES</v>
      </c>
      <c r="S1015" s="125" t="str">
        <f t="shared" si="111"/>
        <v>100</v>
      </c>
      <c r="T1015" s="125" t="str">
        <f t="shared" si="112"/>
        <v>63</v>
      </c>
      <c r="U1015" s="125" t="str">
        <f t="shared" si="113"/>
        <v>631</v>
      </c>
      <c r="V1015" s="125" t="str">
        <f>VLOOKUP(Q1015,'GL Category'!A:C,3,FALSE)</f>
        <v>Personnel services</v>
      </c>
      <c r="X1015" s="83"/>
    </row>
    <row r="1016" spans="1:24" ht="14.4" customHeight="1">
      <c r="A1016" s="608" t="s">
        <v>791</v>
      </c>
      <c r="B1016" s="608" t="s">
        <v>2936</v>
      </c>
      <c r="C1016" s="608" t="s">
        <v>0</v>
      </c>
      <c r="D1016" s="609">
        <v>98.04</v>
      </c>
      <c r="E1016" s="609">
        <v>31.42</v>
      </c>
      <c r="F1016" s="609">
        <v>59.29</v>
      </c>
      <c r="G1016" s="609">
        <v>512.07000000000005</v>
      </c>
      <c r="H1016" s="609">
        <v>500</v>
      </c>
      <c r="I1016" s="609">
        <v>565.41999999999996</v>
      </c>
      <c r="J1016" s="609">
        <v>792</v>
      </c>
      <c r="K1016" s="609">
        <v>500</v>
      </c>
      <c r="L1016" s="609">
        <v>0</v>
      </c>
      <c r="M1016" s="609">
        <v>0</v>
      </c>
      <c r="N1016" s="587">
        <f t="shared" si="108"/>
        <v>500</v>
      </c>
      <c r="Q1016" t="str">
        <f t="shared" si="109"/>
        <v>50109</v>
      </c>
      <c r="R1016" s="126" t="str">
        <f t="shared" si="110"/>
        <v>OVERTIME</v>
      </c>
      <c r="S1016" s="125" t="str">
        <f t="shared" si="111"/>
        <v>100</v>
      </c>
      <c r="T1016" s="125" t="str">
        <f t="shared" si="112"/>
        <v>63</v>
      </c>
      <c r="U1016" s="125" t="str">
        <f t="shared" si="113"/>
        <v>631</v>
      </c>
      <c r="V1016" s="125" t="str">
        <f>VLOOKUP(Q1016,'GL Category'!A:C,3,FALSE)</f>
        <v>Personnel services</v>
      </c>
      <c r="X1016" s="83"/>
    </row>
    <row r="1017" spans="1:24" ht="14.4" customHeight="1">
      <c r="A1017" s="608" t="s">
        <v>791</v>
      </c>
      <c r="B1017" s="608" t="s">
        <v>2937</v>
      </c>
      <c r="C1017" s="608" t="s">
        <v>137</v>
      </c>
      <c r="D1017" s="609">
        <v>1300</v>
      </c>
      <c r="E1017" s="609">
        <v>1510</v>
      </c>
      <c r="F1017" s="609">
        <v>1540</v>
      </c>
      <c r="G1017" s="609">
        <v>1725</v>
      </c>
      <c r="H1017" s="609">
        <v>651</v>
      </c>
      <c r="I1017" s="609">
        <v>515</v>
      </c>
      <c r="J1017" s="609">
        <v>515</v>
      </c>
      <c r="K1017" s="609">
        <v>1008</v>
      </c>
      <c r="L1017" s="609">
        <v>0</v>
      </c>
      <c r="M1017" s="609">
        <v>0</v>
      </c>
      <c r="N1017" s="587">
        <f t="shared" si="108"/>
        <v>1008</v>
      </c>
      <c r="Q1017" t="str">
        <f t="shared" si="109"/>
        <v>50111</v>
      </c>
      <c r="R1017" s="126" t="str">
        <f t="shared" si="110"/>
        <v>LONGEVITY PAY</v>
      </c>
      <c r="S1017" s="125" t="str">
        <f t="shared" si="111"/>
        <v>100</v>
      </c>
      <c r="T1017" s="125" t="str">
        <f t="shared" si="112"/>
        <v>63</v>
      </c>
      <c r="U1017" s="125" t="str">
        <f t="shared" si="113"/>
        <v>631</v>
      </c>
      <c r="V1017" s="125" t="str">
        <f>VLOOKUP(Q1017,'GL Category'!A:C,3,FALSE)</f>
        <v>Personnel services</v>
      </c>
      <c r="X1017" s="83"/>
    </row>
    <row r="1018" spans="1:24" ht="14.4" customHeight="1">
      <c r="A1018" s="608" t="s">
        <v>791</v>
      </c>
      <c r="B1018" s="608" t="s">
        <v>2938</v>
      </c>
      <c r="C1018" s="608" t="s">
        <v>1</v>
      </c>
      <c r="D1018" s="609">
        <v>14722.01</v>
      </c>
      <c r="E1018" s="609">
        <v>14489.53</v>
      </c>
      <c r="F1018" s="609">
        <v>15183.05</v>
      </c>
      <c r="G1018" s="609">
        <v>17333.259999999998</v>
      </c>
      <c r="H1018" s="609">
        <v>16240</v>
      </c>
      <c r="I1018" s="609">
        <v>13624.77</v>
      </c>
      <c r="J1018" s="609">
        <v>17301</v>
      </c>
      <c r="K1018" s="609">
        <v>17180</v>
      </c>
      <c r="L1018" s="609">
        <v>0</v>
      </c>
      <c r="M1018" s="609">
        <v>0</v>
      </c>
      <c r="N1018" s="587">
        <f t="shared" si="108"/>
        <v>17180</v>
      </c>
      <c r="Q1018" t="str">
        <f t="shared" si="109"/>
        <v>50610</v>
      </c>
      <c r="R1018" s="126" t="str">
        <f t="shared" si="110"/>
        <v>SOCIAL SECURITY</v>
      </c>
      <c r="S1018" s="125" t="str">
        <f t="shared" si="111"/>
        <v>100</v>
      </c>
      <c r="T1018" s="125" t="str">
        <f t="shared" si="112"/>
        <v>63</v>
      </c>
      <c r="U1018" s="125" t="str">
        <f t="shared" si="113"/>
        <v>631</v>
      </c>
      <c r="V1018" s="125" t="str">
        <f>VLOOKUP(Q1018,'GL Category'!A:C,3,FALSE)</f>
        <v>Personnel services</v>
      </c>
      <c r="X1018" s="83"/>
    </row>
    <row r="1019" spans="1:24" ht="14.4" customHeight="1">
      <c r="A1019" s="608" t="s">
        <v>791</v>
      </c>
      <c r="B1019" s="608" t="s">
        <v>2939</v>
      </c>
      <c r="C1019" s="608" t="s">
        <v>142</v>
      </c>
      <c r="D1019" s="609">
        <v>41524.94</v>
      </c>
      <c r="E1019" s="609">
        <v>39864.589999999997</v>
      </c>
      <c r="F1019" s="609">
        <v>27463.98</v>
      </c>
      <c r="G1019" s="609">
        <v>20986.639999999999</v>
      </c>
      <c r="H1019" s="609">
        <v>21963</v>
      </c>
      <c r="I1019" s="609">
        <v>16350.67</v>
      </c>
      <c r="J1019" s="609">
        <v>22514</v>
      </c>
      <c r="K1019" s="609">
        <v>22141</v>
      </c>
      <c r="L1019" s="609">
        <v>0</v>
      </c>
      <c r="M1019" s="609">
        <v>0</v>
      </c>
      <c r="N1019" s="587">
        <f t="shared" si="108"/>
        <v>22141</v>
      </c>
      <c r="P1019" s="490">
        <f>N1019-H1019</f>
        <v>178</v>
      </c>
      <c r="Q1019" t="str">
        <f t="shared" si="109"/>
        <v>50620</v>
      </c>
      <c r="R1019" s="126" t="str">
        <f t="shared" si="110"/>
        <v>HEALTH/LIFE INSURANCE</v>
      </c>
      <c r="S1019" s="125" t="str">
        <f t="shared" si="111"/>
        <v>100</v>
      </c>
      <c r="T1019" s="125" t="str">
        <f t="shared" si="112"/>
        <v>63</v>
      </c>
      <c r="U1019" s="125" t="str">
        <f t="shared" si="113"/>
        <v>631</v>
      </c>
      <c r="V1019" s="125" t="str">
        <f>VLOOKUP(Q1019,'GL Category'!A:C,3,FALSE)</f>
        <v>Personnel services</v>
      </c>
      <c r="X1019" s="83"/>
    </row>
    <row r="1020" spans="1:24" ht="20.399999999999999" customHeight="1">
      <c r="A1020" s="608" t="s">
        <v>791</v>
      </c>
      <c r="B1020" s="608" t="s">
        <v>2940</v>
      </c>
      <c r="C1020" s="608" t="s">
        <v>144</v>
      </c>
      <c r="D1020" s="609">
        <v>137.43</v>
      </c>
      <c r="E1020" s="609">
        <v>128.26</v>
      </c>
      <c r="F1020" s="609">
        <v>145.15</v>
      </c>
      <c r="G1020" s="609">
        <v>262.91000000000003</v>
      </c>
      <c r="H1020" s="609">
        <v>318</v>
      </c>
      <c r="I1020" s="609">
        <v>317.74</v>
      </c>
      <c r="J1020" s="609">
        <v>318</v>
      </c>
      <c r="K1020" s="609">
        <v>329</v>
      </c>
      <c r="L1020" s="609">
        <v>0</v>
      </c>
      <c r="M1020" s="609">
        <v>0</v>
      </c>
      <c r="N1020" s="587">
        <f t="shared" si="108"/>
        <v>329</v>
      </c>
      <c r="P1020" s="490">
        <f>N1020-H1020</f>
        <v>11</v>
      </c>
      <c r="Q1020" t="str">
        <f t="shared" si="109"/>
        <v>50630</v>
      </c>
      <c r="R1020" s="126" t="str">
        <f t="shared" si="110"/>
        <v>WORKER COMPENSATION</v>
      </c>
      <c r="S1020" s="125" t="str">
        <f t="shared" si="111"/>
        <v>100</v>
      </c>
      <c r="T1020" s="125" t="str">
        <f t="shared" si="112"/>
        <v>63</v>
      </c>
      <c r="U1020" s="125" t="str">
        <f t="shared" si="113"/>
        <v>631</v>
      </c>
      <c r="V1020" s="125" t="str">
        <f>VLOOKUP(Q1020,'GL Category'!A:C,3,FALSE)</f>
        <v>Personnel services</v>
      </c>
      <c r="X1020" s="83"/>
    </row>
    <row r="1021" spans="1:24" ht="20.399999999999999" customHeight="1">
      <c r="A1021" s="608" t="s">
        <v>791</v>
      </c>
      <c r="B1021" s="608" t="s">
        <v>2941</v>
      </c>
      <c r="C1021" s="608" t="s">
        <v>2</v>
      </c>
      <c r="D1021" s="609">
        <v>32949.06</v>
      </c>
      <c r="E1021" s="609">
        <v>32974.15</v>
      </c>
      <c r="F1021" s="609">
        <v>34012.74</v>
      </c>
      <c r="G1021" s="609">
        <v>36729.57</v>
      </c>
      <c r="H1021" s="609">
        <v>36762</v>
      </c>
      <c r="I1021" s="609">
        <v>29558.15</v>
      </c>
      <c r="J1021" s="609">
        <v>38595</v>
      </c>
      <c r="K1021" s="609">
        <v>40502</v>
      </c>
      <c r="L1021" s="609">
        <v>0</v>
      </c>
      <c r="M1021" s="609">
        <v>0</v>
      </c>
      <c r="N1021" s="587">
        <f t="shared" si="108"/>
        <v>40502</v>
      </c>
      <c r="O1021">
        <v>245809</v>
      </c>
      <c r="P1021" s="490">
        <f>N1021-H1021</f>
        <v>3740</v>
      </c>
      <c r="Q1021" t="str">
        <f t="shared" si="109"/>
        <v>50650</v>
      </c>
      <c r="R1021" s="126" t="str">
        <f t="shared" si="110"/>
        <v>RETIREMENT</v>
      </c>
      <c r="S1021" s="125" t="str">
        <f t="shared" si="111"/>
        <v>100</v>
      </c>
      <c r="T1021" s="125" t="str">
        <f t="shared" si="112"/>
        <v>63</v>
      </c>
      <c r="U1021" s="125" t="str">
        <f t="shared" si="113"/>
        <v>631</v>
      </c>
      <c r="V1021" s="125" t="str">
        <f>VLOOKUP(Q1021,'GL Category'!A:C,3,FALSE)</f>
        <v>Personnel services</v>
      </c>
      <c r="X1021" s="83"/>
    </row>
    <row r="1022" spans="1:24" ht="20.399999999999999" customHeight="1">
      <c r="A1022" s="608" t="s">
        <v>791</v>
      </c>
      <c r="B1022" s="608" t="s">
        <v>2942</v>
      </c>
      <c r="C1022" s="608" t="s">
        <v>149</v>
      </c>
      <c r="D1022" s="609">
        <v>2424.6799999999998</v>
      </c>
      <c r="E1022" s="609">
        <v>648.89</v>
      </c>
      <c r="F1022" s="609">
        <v>3001.69</v>
      </c>
      <c r="G1022" s="609">
        <v>2531.3200000000002</v>
      </c>
      <c r="H1022" s="609">
        <v>2500</v>
      </c>
      <c r="I1022" s="609">
        <v>2155.79</v>
      </c>
      <c r="J1022" s="609">
        <v>2500</v>
      </c>
      <c r="K1022" s="609">
        <v>2500</v>
      </c>
      <c r="L1022" s="609">
        <v>0</v>
      </c>
      <c r="M1022" s="609">
        <v>0</v>
      </c>
      <c r="N1022" s="587">
        <f t="shared" si="108"/>
        <v>2500</v>
      </c>
      <c r="P1022" s="490">
        <f>N1022-H1022</f>
        <v>0</v>
      </c>
      <c r="Q1022" t="str">
        <f t="shared" si="109"/>
        <v>51210</v>
      </c>
      <c r="R1022" s="126" t="str">
        <f t="shared" si="110"/>
        <v>OFFICE SUPPLIES</v>
      </c>
      <c r="S1022" s="125" t="str">
        <f t="shared" si="111"/>
        <v>100</v>
      </c>
      <c r="T1022" s="125" t="str">
        <f t="shared" si="112"/>
        <v>63</v>
      </c>
      <c r="U1022" s="125" t="str">
        <f t="shared" si="113"/>
        <v>631</v>
      </c>
      <c r="V1022" s="125" t="str">
        <f>VLOOKUP(Q1022,'GL Category'!A:C,3,FALSE)</f>
        <v>Operations &amp; maintenance</v>
      </c>
      <c r="X1022" s="83"/>
    </row>
    <row r="1023" spans="1:24" ht="20.399999999999999" customHeight="1">
      <c r="A1023" s="608" t="s">
        <v>791</v>
      </c>
      <c r="B1023" s="608" t="s">
        <v>2944</v>
      </c>
      <c r="C1023" s="608" t="s">
        <v>167</v>
      </c>
      <c r="D1023" s="609">
        <v>247.74</v>
      </c>
      <c r="E1023" s="609">
        <v>1749.93</v>
      </c>
      <c r="F1023" s="609">
        <v>290.22000000000003</v>
      </c>
      <c r="G1023" s="609">
        <v>261.68</v>
      </c>
      <c r="H1023" s="609">
        <v>300</v>
      </c>
      <c r="I1023" s="609">
        <v>0</v>
      </c>
      <c r="J1023" s="609">
        <v>250</v>
      </c>
      <c r="K1023" s="609">
        <v>300</v>
      </c>
      <c r="L1023" s="609">
        <v>0</v>
      </c>
      <c r="M1023" s="609">
        <v>0</v>
      </c>
      <c r="N1023" s="587">
        <f t="shared" si="108"/>
        <v>300</v>
      </c>
      <c r="P1023" s="490">
        <f>N1023-H1023</f>
        <v>0</v>
      </c>
      <c r="Q1023" t="str">
        <f t="shared" si="109"/>
        <v>51285</v>
      </c>
      <c r="R1023" s="126" t="str">
        <f t="shared" si="110"/>
        <v>WEARING APPAREL</v>
      </c>
      <c r="S1023" s="125" t="str">
        <f t="shared" si="111"/>
        <v>100</v>
      </c>
      <c r="T1023" s="125" t="str">
        <f t="shared" si="112"/>
        <v>63</v>
      </c>
      <c r="U1023" s="125" t="str">
        <f t="shared" si="113"/>
        <v>631</v>
      </c>
      <c r="V1023" s="125" t="str">
        <f>VLOOKUP(Q1023,'GL Category'!A:C,3,FALSE)</f>
        <v>Operations &amp; maintenance</v>
      </c>
      <c r="X1023" s="83"/>
    </row>
    <row r="1024" spans="1:24" ht="20.399999999999999" customHeight="1">
      <c r="A1024" s="608" t="s">
        <v>791</v>
      </c>
      <c r="B1024" s="608" t="s">
        <v>2947</v>
      </c>
      <c r="C1024" s="608" t="s">
        <v>190</v>
      </c>
      <c r="D1024" s="609">
        <v>1010</v>
      </c>
      <c r="E1024" s="609">
        <v>468.97</v>
      </c>
      <c r="F1024" s="609">
        <v>821.66</v>
      </c>
      <c r="G1024" s="609">
        <v>930</v>
      </c>
      <c r="H1024" s="609">
        <v>1385</v>
      </c>
      <c r="I1024" s="609">
        <v>1000</v>
      </c>
      <c r="J1024" s="609">
        <v>1000</v>
      </c>
      <c r="K1024" s="609">
        <v>1000</v>
      </c>
      <c r="L1024" s="609">
        <v>0</v>
      </c>
      <c r="M1024" s="609">
        <v>0</v>
      </c>
      <c r="N1024" s="587">
        <f t="shared" si="108"/>
        <v>1000</v>
      </c>
      <c r="Q1024" t="str">
        <f t="shared" si="109"/>
        <v>53510</v>
      </c>
      <c r="R1024" s="126" t="str">
        <f t="shared" si="110"/>
        <v>DUES &amp; SUBSCRIPTIONS</v>
      </c>
      <c r="S1024" s="125" t="str">
        <f t="shared" si="111"/>
        <v>100</v>
      </c>
      <c r="T1024" s="125" t="str">
        <f t="shared" si="112"/>
        <v>63</v>
      </c>
      <c r="U1024" s="125" t="str">
        <f t="shared" si="113"/>
        <v>631</v>
      </c>
      <c r="V1024" s="125" t="str">
        <f>VLOOKUP(Q1024,'GL Category'!A:C,3,FALSE)</f>
        <v>Services &amp; other</v>
      </c>
      <c r="X1024" s="83"/>
    </row>
    <row r="1025" spans="1:24" ht="20.399999999999999" customHeight="1">
      <c r="A1025" s="608" t="s">
        <v>791</v>
      </c>
      <c r="B1025" s="608" t="s">
        <v>2948</v>
      </c>
      <c r="C1025" s="608" t="s">
        <v>191</v>
      </c>
      <c r="D1025" s="609">
        <v>1088.18</v>
      </c>
      <c r="E1025" s="609">
        <v>470.93</v>
      </c>
      <c r="F1025" s="609">
        <v>1891.69</v>
      </c>
      <c r="G1025" s="609">
        <v>200</v>
      </c>
      <c r="H1025" s="609">
        <v>1200</v>
      </c>
      <c r="I1025" s="609">
        <v>301.74</v>
      </c>
      <c r="J1025" s="609">
        <v>350</v>
      </c>
      <c r="K1025" s="609">
        <v>1000</v>
      </c>
      <c r="L1025" s="609">
        <v>0</v>
      </c>
      <c r="M1025" s="609">
        <v>0</v>
      </c>
      <c r="N1025" s="587">
        <f t="shared" si="108"/>
        <v>1000</v>
      </c>
      <c r="Q1025" t="str">
        <f t="shared" si="109"/>
        <v>53515</v>
      </c>
      <c r="R1025" s="126" t="str">
        <f t="shared" si="110"/>
        <v>TRAVEL, TRAINING &amp; EDUCATION</v>
      </c>
      <c r="S1025" s="125" t="str">
        <f t="shared" si="111"/>
        <v>100</v>
      </c>
      <c r="T1025" s="125" t="str">
        <f t="shared" si="112"/>
        <v>63</v>
      </c>
      <c r="U1025" s="125" t="str">
        <f t="shared" si="113"/>
        <v>631</v>
      </c>
      <c r="V1025" s="125" t="str">
        <f>VLOOKUP(Q1025,'GL Category'!A:C,3,FALSE)</f>
        <v>Services &amp; other</v>
      </c>
      <c r="X1025" s="83"/>
    </row>
    <row r="1026" spans="1:24" ht="20.399999999999999" customHeight="1">
      <c r="A1026" s="608" t="s">
        <v>791</v>
      </c>
      <c r="B1026" s="608" t="s">
        <v>2950</v>
      </c>
      <c r="C1026" s="608" t="s">
        <v>219</v>
      </c>
      <c r="D1026" s="609">
        <v>1339.21</v>
      </c>
      <c r="E1026" s="609">
        <v>7041.79</v>
      </c>
      <c r="F1026" s="609">
        <v>2962.55</v>
      </c>
      <c r="G1026" s="609">
        <v>4129.76</v>
      </c>
      <c r="H1026" s="609">
        <v>4580</v>
      </c>
      <c r="I1026" s="609">
        <v>6640.69</v>
      </c>
      <c r="J1026" s="609">
        <v>8000</v>
      </c>
      <c r="K1026" s="609">
        <v>6000</v>
      </c>
      <c r="L1026" s="609">
        <v>0</v>
      </c>
      <c r="M1026" s="609">
        <v>0</v>
      </c>
      <c r="N1026" s="587">
        <f t="shared" si="108"/>
        <v>6000</v>
      </c>
      <c r="Q1026" t="str">
        <f t="shared" si="109"/>
        <v>53585</v>
      </c>
      <c r="R1026" s="126" t="str">
        <f t="shared" si="110"/>
        <v>BANKING SERVICES CHARGES</v>
      </c>
      <c r="S1026" s="125" t="str">
        <f t="shared" si="111"/>
        <v>100</v>
      </c>
      <c r="T1026" s="125" t="str">
        <f t="shared" si="112"/>
        <v>63</v>
      </c>
      <c r="U1026" s="125" t="str">
        <f t="shared" si="113"/>
        <v>631</v>
      </c>
      <c r="V1026" s="125" t="str">
        <f>VLOOKUP(Q1026,'GL Category'!A:C,3,FALSE)</f>
        <v>Services &amp; other</v>
      </c>
      <c r="X1026" s="83"/>
    </row>
    <row r="1027" spans="1:24" ht="20.399999999999999" customHeight="1">
      <c r="A1027" s="608" t="s">
        <v>791</v>
      </c>
      <c r="B1027" s="608" t="s">
        <v>2946</v>
      </c>
      <c r="C1027" s="608" t="s">
        <v>238</v>
      </c>
      <c r="D1027" s="609">
        <v>150</v>
      </c>
      <c r="E1027" s="609">
        <v>0</v>
      </c>
      <c r="F1027" s="609">
        <v>0</v>
      </c>
      <c r="G1027" s="609">
        <v>5444.56</v>
      </c>
      <c r="H1027" s="609">
        <v>5000</v>
      </c>
      <c r="I1027" s="609">
        <v>0</v>
      </c>
      <c r="J1027" s="609">
        <v>2500</v>
      </c>
      <c r="K1027" s="609">
        <v>4000</v>
      </c>
      <c r="L1027" s="609">
        <v>0</v>
      </c>
      <c r="M1027" s="609">
        <v>0</v>
      </c>
      <c r="N1027" s="587">
        <f t="shared" si="108"/>
        <v>4000</v>
      </c>
      <c r="Q1027" t="str">
        <f t="shared" si="109"/>
        <v>53599</v>
      </c>
      <c r="R1027" s="126" t="str">
        <f t="shared" si="110"/>
        <v>MISCELLANEOUS SERVICES</v>
      </c>
      <c r="S1027" s="125" t="str">
        <f t="shared" si="111"/>
        <v>100</v>
      </c>
      <c r="T1027" s="125" t="str">
        <f t="shared" si="112"/>
        <v>63</v>
      </c>
      <c r="U1027" s="125" t="str">
        <f t="shared" si="113"/>
        <v>631</v>
      </c>
      <c r="V1027" s="125" t="str">
        <f>VLOOKUP(Q1027,'GL Category'!A:C,3,FALSE)</f>
        <v>Services &amp; other</v>
      </c>
      <c r="X1027" s="83"/>
    </row>
    <row r="1028" spans="1:24" ht="14.4" customHeight="1">
      <c r="A1028" s="608" t="s">
        <v>791</v>
      </c>
      <c r="B1028" s="608" t="s">
        <v>2951</v>
      </c>
      <c r="C1028" s="608" t="s">
        <v>221</v>
      </c>
      <c r="D1028" s="609">
        <v>65966</v>
      </c>
      <c r="E1028" s="609">
        <v>45498</v>
      </c>
      <c r="F1028" s="609">
        <v>42550</v>
      </c>
      <c r="G1028" s="609">
        <v>42837</v>
      </c>
      <c r="H1028" s="609">
        <v>47730</v>
      </c>
      <c r="I1028" s="609">
        <v>35797.5</v>
      </c>
      <c r="J1028" s="609">
        <v>47730</v>
      </c>
      <c r="K1028" s="609">
        <v>44360</v>
      </c>
      <c r="L1028" s="609">
        <v>0</v>
      </c>
      <c r="M1028" s="609">
        <v>0</v>
      </c>
      <c r="N1028" s="587">
        <f t="shared" ref="N1028:N1091" si="115">SUM(K1028:M1028)</f>
        <v>44360</v>
      </c>
      <c r="Q1028" t="str">
        <f t="shared" ref="Q1028:Q1091" si="116">MID(B1028,12,5)</f>
        <v>55119</v>
      </c>
      <c r="R1028" s="126" t="str">
        <f t="shared" ref="R1028:R1091" si="117">C1028</f>
        <v>OFFICE EQUIP LEASE EXP-CITY</v>
      </c>
      <c r="S1028" s="125" t="str">
        <f t="shared" ref="S1028:S1091" si="118">LEFT(B1028,3)</f>
        <v>100</v>
      </c>
      <c r="T1028" s="125" t="str">
        <f t="shared" ref="T1028:T1091" si="119">MID(B1028,5,2)</f>
        <v>63</v>
      </c>
      <c r="U1028" s="125" t="str">
        <f t="shared" ref="U1028:U1091" si="120">MID(B1028,8,3)</f>
        <v>631</v>
      </c>
      <c r="V1028" s="125" t="str">
        <f>VLOOKUP(Q1028,'GL Category'!A:C,3,FALSE)</f>
        <v>Services &amp; other</v>
      </c>
      <c r="X1028" s="83"/>
    </row>
    <row r="1029" spans="1:24" ht="20.399999999999999" customHeight="1">
      <c r="A1029" s="608" t="s">
        <v>791</v>
      </c>
      <c r="B1029" s="608" t="s">
        <v>2952</v>
      </c>
      <c r="C1029" s="608" t="s">
        <v>130</v>
      </c>
      <c r="D1029" s="609">
        <v>27565.8</v>
      </c>
      <c r="E1029" s="609">
        <v>0</v>
      </c>
      <c r="F1029" s="609">
        <v>0</v>
      </c>
      <c r="G1029" s="609">
        <v>0</v>
      </c>
      <c r="H1029" s="609">
        <v>0</v>
      </c>
      <c r="I1029" s="609">
        <v>0</v>
      </c>
      <c r="J1029" s="609">
        <v>0</v>
      </c>
      <c r="K1029" s="609">
        <v>0</v>
      </c>
      <c r="L1029" s="609">
        <v>0</v>
      </c>
      <c r="M1029" s="609">
        <v>0</v>
      </c>
      <c r="N1029" s="587">
        <f t="shared" si="115"/>
        <v>0</v>
      </c>
      <c r="Q1029" t="str">
        <f t="shared" si="116"/>
        <v>50101</v>
      </c>
      <c r="R1029" s="126" t="str">
        <f t="shared" si="117"/>
        <v>EXEMPT SALARIES</v>
      </c>
      <c r="S1029" s="125" t="str">
        <f t="shared" si="118"/>
        <v>100</v>
      </c>
      <c r="T1029" s="125" t="str">
        <f t="shared" si="119"/>
        <v>63</v>
      </c>
      <c r="U1029" s="125" t="str">
        <f t="shared" si="120"/>
        <v>632</v>
      </c>
      <c r="V1029" s="125" t="str">
        <f>VLOOKUP(Q1029,'GL Category'!A:C,3,FALSE)</f>
        <v>Personnel services</v>
      </c>
      <c r="X1029" s="83"/>
    </row>
    <row r="1030" spans="1:24" ht="20.399999999999999" customHeight="1">
      <c r="A1030" s="608" t="s">
        <v>791</v>
      </c>
      <c r="B1030" s="608" t="s">
        <v>2953</v>
      </c>
      <c r="C1030" s="608" t="s">
        <v>132</v>
      </c>
      <c r="D1030" s="609">
        <v>343373.48</v>
      </c>
      <c r="E1030" s="609">
        <v>324996.82</v>
      </c>
      <c r="F1030" s="609">
        <v>325713.84999999998</v>
      </c>
      <c r="G1030" s="609">
        <v>393746.83</v>
      </c>
      <c r="H1030" s="609">
        <v>407955</v>
      </c>
      <c r="I1030" s="609">
        <v>315772.92</v>
      </c>
      <c r="J1030" s="609">
        <v>419577</v>
      </c>
      <c r="K1030" s="609">
        <v>423025</v>
      </c>
      <c r="L1030" s="609">
        <v>0</v>
      </c>
      <c r="M1030" s="609">
        <v>0</v>
      </c>
      <c r="N1030" s="587">
        <f t="shared" si="115"/>
        <v>423025</v>
      </c>
      <c r="Q1030" t="str">
        <f t="shared" si="116"/>
        <v>50102</v>
      </c>
      <c r="R1030" s="126" t="str">
        <f t="shared" si="117"/>
        <v>NON EXEMPT SALARIES</v>
      </c>
      <c r="S1030" s="125" t="str">
        <f t="shared" si="118"/>
        <v>100</v>
      </c>
      <c r="T1030" s="125" t="str">
        <f t="shared" si="119"/>
        <v>63</v>
      </c>
      <c r="U1030" s="125" t="str">
        <f t="shared" si="120"/>
        <v>632</v>
      </c>
      <c r="V1030" s="125" t="str">
        <f>VLOOKUP(Q1030,'GL Category'!A:C,3,FALSE)</f>
        <v>Personnel services</v>
      </c>
      <c r="X1030" s="83"/>
    </row>
    <row r="1031" spans="1:24" ht="20.399999999999999" customHeight="1">
      <c r="A1031" s="608" t="s">
        <v>791</v>
      </c>
      <c r="B1031" s="608" t="s">
        <v>2954</v>
      </c>
      <c r="C1031" s="608" t="s">
        <v>0</v>
      </c>
      <c r="D1031" s="609">
        <v>10247.9</v>
      </c>
      <c r="E1031" s="609">
        <v>6699.3</v>
      </c>
      <c r="F1031" s="609">
        <v>15196.85</v>
      </c>
      <c r="G1031" s="609">
        <v>19556.009999999998</v>
      </c>
      <c r="H1031" s="609">
        <v>19000</v>
      </c>
      <c r="I1031" s="609">
        <v>21215.439999999999</v>
      </c>
      <c r="J1031" s="609">
        <v>25636</v>
      </c>
      <c r="K1031" s="609">
        <v>19000</v>
      </c>
      <c r="L1031" s="609">
        <v>0</v>
      </c>
      <c r="M1031" s="609">
        <v>0</v>
      </c>
      <c r="N1031" s="587">
        <f t="shared" si="115"/>
        <v>19000</v>
      </c>
      <c r="Q1031" t="str">
        <f t="shared" si="116"/>
        <v>50109</v>
      </c>
      <c r="R1031" s="126" t="str">
        <f t="shared" si="117"/>
        <v>OVERTIME</v>
      </c>
      <c r="S1031" s="125" t="str">
        <f t="shared" si="118"/>
        <v>100</v>
      </c>
      <c r="T1031" s="125" t="str">
        <f t="shared" si="119"/>
        <v>63</v>
      </c>
      <c r="U1031" s="125" t="str">
        <f t="shared" si="120"/>
        <v>632</v>
      </c>
      <c r="V1031" s="125" t="str">
        <f>VLOOKUP(Q1031,'GL Category'!A:C,3,FALSE)</f>
        <v>Personnel services</v>
      </c>
      <c r="X1031" s="83"/>
    </row>
    <row r="1032" spans="1:24" ht="20.399999999999999" customHeight="1">
      <c r="A1032" s="608" t="s">
        <v>791</v>
      </c>
      <c r="B1032" s="608" t="s">
        <v>2954</v>
      </c>
      <c r="C1032" s="608" t="s">
        <v>0</v>
      </c>
      <c r="D1032" s="609">
        <v>0</v>
      </c>
      <c r="E1032" s="609">
        <v>0</v>
      </c>
      <c r="F1032" s="609">
        <v>0</v>
      </c>
      <c r="G1032" s="609">
        <v>0</v>
      </c>
      <c r="H1032" s="609">
        <v>0</v>
      </c>
      <c r="I1032" s="609">
        <v>0</v>
      </c>
      <c r="J1032" s="609">
        <v>0</v>
      </c>
      <c r="K1032" s="609">
        <v>0</v>
      </c>
      <c r="L1032" s="609">
        <v>0</v>
      </c>
      <c r="M1032" s="609">
        <v>0</v>
      </c>
      <c r="N1032" s="587">
        <f t="shared" si="115"/>
        <v>0</v>
      </c>
      <c r="Q1032" t="str">
        <f t="shared" si="116"/>
        <v>50109</v>
      </c>
      <c r="R1032" s="126" t="str">
        <f t="shared" si="117"/>
        <v>OVERTIME</v>
      </c>
      <c r="S1032" s="125" t="str">
        <f t="shared" si="118"/>
        <v>100</v>
      </c>
      <c r="T1032" s="125" t="str">
        <f t="shared" si="119"/>
        <v>63</v>
      </c>
      <c r="U1032" s="125" t="str">
        <f t="shared" si="120"/>
        <v>632</v>
      </c>
      <c r="V1032" s="125" t="str">
        <f>VLOOKUP(Q1032,'GL Category'!A:C,3,FALSE)</f>
        <v>Personnel services</v>
      </c>
      <c r="X1032" s="83"/>
    </row>
    <row r="1033" spans="1:24" ht="20.399999999999999" customHeight="1">
      <c r="A1033" s="608" t="s">
        <v>791</v>
      </c>
      <c r="B1033" s="608" t="s">
        <v>2955</v>
      </c>
      <c r="C1033" s="608" t="s">
        <v>137</v>
      </c>
      <c r="D1033" s="609">
        <v>7640</v>
      </c>
      <c r="E1033" s="609">
        <v>5752.5</v>
      </c>
      <c r="F1033" s="609">
        <v>5266.65</v>
      </c>
      <c r="G1033" s="609">
        <v>5882</v>
      </c>
      <c r="H1033" s="609">
        <v>6432</v>
      </c>
      <c r="I1033" s="609">
        <v>6354</v>
      </c>
      <c r="J1033" s="609">
        <v>6354</v>
      </c>
      <c r="K1033" s="609">
        <v>6896</v>
      </c>
      <c r="L1033" s="609">
        <v>0</v>
      </c>
      <c r="M1033" s="609">
        <v>0</v>
      </c>
      <c r="N1033" s="587">
        <f t="shared" si="115"/>
        <v>6896</v>
      </c>
      <c r="Q1033" t="str">
        <f t="shared" si="116"/>
        <v>50111</v>
      </c>
      <c r="R1033" s="126" t="str">
        <f t="shared" si="117"/>
        <v>LONGEVITY PAY</v>
      </c>
      <c r="S1033" s="125" t="str">
        <f t="shared" si="118"/>
        <v>100</v>
      </c>
      <c r="T1033" s="125" t="str">
        <f t="shared" si="119"/>
        <v>63</v>
      </c>
      <c r="U1033" s="125" t="str">
        <f t="shared" si="120"/>
        <v>632</v>
      </c>
      <c r="V1033" s="125" t="str">
        <f>VLOOKUP(Q1033,'GL Category'!A:C,3,FALSE)</f>
        <v>Personnel services</v>
      </c>
      <c r="X1033" s="83"/>
    </row>
    <row r="1034" spans="1:24" ht="20.399999999999999" customHeight="1">
      <c r="A1034" s="608" t="s">
        <v>791</v>
      </c>
      <c r="B1034" s="608" t="s">
        <v>2957</v>
      </c>
      <c r="C1034" s="608" t="s">
        <v>3</v>
      </c>
      <c r="D1034" s="609">
        <v>1600</v>
      </c>
      <c r="E1034" s="609">
        <v>0</v>
      </c>
      <c r="F1034" s="609">
        <v>0</v>
      </c>
      <c r="G1034" s="609">
        <v>0</v>
      </c>
      <c r="H1034" s="609">
        <v>0</v>
      </c>
      <c r="I1034" s="609">
        <v>0</v>
      </c>
      <c r="J1034" s="609">
        <v>0</v>
      </c>
      <c r="K1034" s="609">
        <v>0</v>
      </c>
      <c r="L1034" s="609">
        <v>0</v>
      </c>
      <c r="M1034" s="609">
        <v>0</v>
      </c>
      <c r="N1034" s="587">
        <f t="shared" si="115"/>
        <v>0</v>
      </c>
      <c r="Q1034" t="str">
        <f t="shared" si="116"/>
        <v>50120</v>
      </c>
      <c r="R1034" s="126" t="str">
        <f t="shared" si="117"/>
        <v>AUTO ALLOWANCE</v>
      </c>
      <c r="S1034" s="125" t="str">
        <f t="shared" si="118"/>
        <v>100</v>
      </c>
      <c r="T1034" s="125" t="str">
        <f t="shared" si="119"/>
        <v>63</v>
      </c>
      <c r="U1034" s="125" t="str">
        <f t="shared" si="120"/>
        <v>632</v>
      </c>
      <c r="V1034" s="125" t="str">
        <f>VLOOKUP(Q1034,'GL Category'!A:C,3,FALSE)</f>
        <v>Personnel services</v>
      </c>
      <c r="X1034" s="83"/>
    </row>
    <row r="1035" spans="1:24" ht="20.399999999999999" customHeight="1">
      <c r="A1035" s="608" t="s">
        <v>791</v>
      </c>
      <c r="B1035" s="608" t="s">
        <v>2958</v>
      </c>
      <c r="C1035" s="608" t="s">
        <v>1</v>
      </c>
      <c r="D1035" s="609">
        <v>29093.84</v>
      </c>
      <c r="E1035" s="609">
        <v>25368.26</v>
      </c>
      <c r="F1035" s="609">
        <v>26035.72</v>
      </c>
      <c r="G1035" s="609">
        <v>31596.78</v>
      </c>
      <c r="H1035" s="609">
        <v>33395</v>
      </c>
      <c r="I1035" s="609">
        <v>25525.17</v>
      </c>
      <c r="J1035" s="609">
        <v>33717</v>
      </c>
      <c r="K1035" s="609">
        <v>34571</v>
      </c>
      <c r="L1035" s="609">
        <v>0</v>
      </c>
      <c r="M1035" s="609">
        <v>0</v>
      </c>
      <c r="N1035" s="587">
        <f t="shared" si="115"/>
        <v>34571</v>
      </c>
      <c r="Q1035" t="str">
        <f t="shared" si="116"/>
        <v>50610</v>
      </c>
      <c r="R1035" s="126" t="str">
        <f t="shared" si="117"/>
        <v>SOCIAL SECURITY</v>
      </c>
      <c r="S1035" s="125" t="str">
        <f t="shared" si="118"/>
        <v>100</v>
      </c>
      <c r="T1035" s="125" t="str">
        <f t="shared" si="119"/>
        <v>63</v>
      </c>
      <c r="U1035" s="125" t="str">
        <f t="shared" si="120"/>
        <v>632</v>
      </c>
      <c r="V1035" s="125" t="str">
        <f>VLOOKUP(Q1035,'GL Category'!A:C,3,FALSE)</f>
        <v>Personnel services</v>
      </c>
      <c r="X1035" s="83"/>
    </row>
    <row r="1036" spans="1:24" ht="20.399999999999999" customHeight="1">
      <c r="A1036" s="608" t="s">
        <v>791</v>
      </c>
      <c r="B1036" s="608" t="s">
        <v>2958</v>
      </c>
      <c r="C1036" s="608" t="s">
        <v>1</v>
      </c>
      <c r="D1036" s="609">
        <v>0</v>
      </c>
      <c r="E1036" s="609">
        <v>0</v>
      </c>
      <c r="F1036" s="609">
        <v>0</v>
      </c>
      <c r="G1036" s="609">
        <v>0</v>
      </c>
      <c r="H1036" s="609">
        <v>0</v>
      </c>
      <c r="I1036" s="609">
        <v>0</v>
      </c>
      <c r="J1036" s="609">
        <v>0</v>
      </c>
      <c r="K1036" s="609">
        <v>0</v>
      </c>
      <c r="L1036" s="609">
        <v>0</v>
      </c>
      <c r="M1036" s="609">
        <v>0</v>
      </c>
      <c r="N1036" s="587">
        <f t="shared" si="115"/>
        <v>0</v>
      </c>
      <c r="Q1036" t="str">
        <f t="shared" si="116"/>
        <v>50610</v>
      </c>
      <c r="R1036" s="126" t="str">
        <f t="shared" si="117"/>
        <v>SOCIAL SECURITY</v>
      </c>
      <c r="S1036" s="125" t="str">
        <f t="shared" si="118"/>
        <v>100</v>
      </c>
      <c r="T1036" s="125" t="str">
        <f t="shared" si="119"/>
        <v>63</v>
      </c>
      <c r="U1036" s="125" t="str">
        <f t="shared" si="120"/>
        <v>632</v>
      </c>
      <c r="V1036" s="125" t="str">
        <f>VLOOKUP(Q1036,'GL Category'!A:C,3,FALSE)</f>
        <v>Personnel services</v>
      </c>
      <c r="X1036" s="83"/>
    </row>
    <row r="1037" spans="1:24" ht="20.399999999999999" customHeight="1">
      <c r="A1037" s="608" t="s">
        <v>791</v>
      </c>
      <c r="B1037" s="608" t="s">
        <v>2959</v>
      </c>
      <c r="C1037" s="608" t="s">
        <v>142</v>
      </c>
      <c r="D1037" s="609">
        <v>73918.429999999993</v>
      </c>
      <c r="E1037" s="609">
        <v>64811.01</v>
      </c>
      <c r="F1037" s="609">
        <v>75494.509999999995</v>
      </c>
      <c r="G1037" s="609">
        <v>80643.28</v>
      </c>
      <c r="H1037" s="609">
        <v>80706</v>
      </c>
      <c r="I1037" s="609">
        <v>66760.38</v>
      </c>
      <c r="J1037" s="609">
        <v>93083</v>
      </c>
      <c r="K1037" s="609">
        <v>90311</v>
      </c>
      <c r="L1037" s="609">
        <v>0</v>
      </c>
      <c r="M1037" s="609">
        <v>0</v>
      </c>
      <c r="N1037" s="587">
        <f t="shared" si="115"/>
        <v>90311</v>
      </c>
      <c r="Q1037" t="str">
        <f t="shared" si="116"/>
        <v>50620</v>
      </c>
      <c r="R1037" s="126" t="str">
        <f t="shared" si="117"/>
        <v>HEALTH/LIFE INSURANCE</v>
      </c>
      <c r="S1037" s="125" t="str">
        <f t="shared" si="118"/>
        <v>100</v>
      </c>
      <c r="T1037" s="125" t="str">
        <f t="shared" si="119"/>
        <v>63</v>
      </c>
      <c r="U1037" s="125" t="str">
        <f t="shared" si="120"/>
        <v>632</v>
      </c>
      <c r="V1037" s="125" t="str">
        <f>VLOOKUP(Q1037,'GL Category'!A:C,3,FALSE)</f>
        <v>Personnel services</v>
      </c>
      <c r="X1037" s="83"/>
    </row>
    <row r="1038" spans="1:24" ht="20.399999999999999" customHeight="1">
      <c r="A1038" s="608" t="s">
        <v>791</v>
      </c>
      <c r="B1038" s="608" t="s">
        <v>2960</v>
      </c>
      <c r="C1038" s="608" t="s">
        <v>144</v>
      </c>
      <c r="D1038" s="609">
        <v>2973.96</v>
      </c>
      <c r="E1038" s="609">
        <v>2099.11</v>
      </c>
      <c r="F1038" s="609">
        <v>2272.71</v>
      </c>
      <c r="G1038" s="609">
        <v>4139.25</v>
      </c>
      <c r="H1038" s="609">
        <v>5467</v>
      </c>
      <c r="I1038" s="609">
        <v>5462.53</v>
      </c>
      <c r="J1038" s="609">
        <v>5463</v>
      </c>
      <c r="K1038" s="609">
        <v>5185</v>
      </c>
      <c r="L1038" s="609">
        <v>0</v>
      </c>
      <c r="M1038" s="609">
        <v>0</v>
      </c>
      <c r="N1038" s="587">
        <f t="shared" si="115"/>
        <v>5185</v>
      </c>
      <c r="Q1038" t="str">
        <f t="shared" si="116"/>
        <v>50630</v>
      </c>
      <c r="R1038" s="126" t="str">
        <f t="shared" si="117"/>
        <v>WORKER COMPENSATION</v>
      </c>
      <c r="S1038" s="125" t="str">
        <f t="shared" si="118"/>
        <v>100</v>
      </c>
      <c r="T1038" s="125" t="str">
        <f t="shared" si="119"/>
        <v>63</v>
      </c>
      <c r="U1038" s="125" t="str">
        <f t="shared" si="120"/>
        <v>632</v>
      </c>
      <c r="V1038" s="125" t="str">
        <f>VLOOKUP(Q1038,'GL Category'!A:C,3,FALSE)</f>
        <v>Personnel services</v>
      </c>
      <c r="X1038" s="83"/>
    </row>
    <row r="1039" spans="1:24" ht="20.399999999999999" customHeight="1">
      <c r="A1039" s="608" t="s">
        <v>791</v>
      </c>
      <c r="B1039" s="608" t="s">
        <v>2961</v>
      </c>
      <c r="C1039" s="608" t="s">
        <v>2</v>
      </c>
      <c r="D1039" s="609">
        <v>61924.800000000003</v>
      </c>
      <c r="E1039" s="609">
        <v>54522.43</v>
      </c>
      <c r="F1039" s="609">
        <v>56450.59</v>
      </c>
      <c r="G1039" s="609">
        <v>68004.83</v>
      </c>
      <c r="H1039" s="609">
        <v>72057</v>
      </c>
      <c r="I1039" s="609">
        <v>56442.78</v>
      </c>
      <c r="J1039" s="609">
        <v>74011</v>
      </c>
      <c r="K1039" s="609">
        <v>76431</v>
      </c>
      <c r="L1039" s="609">
        <v>0</v>
      </c>
      <c r="M1039" s="609">
        <v>0</v>
      </c>
      <c r="N1039" s="587">
        <f t="shared" si="115"/>
        <v>76431</v>
      </c>
      <c r="Q1039" t="str">
        <f t="shared" si="116"/>
        <v>50650</v>
      </c>
      <c r="R1039" s="126" t="str">
        <f t="shared" si="117"/>
        <v>RETIREMENT</v>
      </c>
      <c r="S1039" s="125" t="str">
        <f t="shared" si="118"/>
        <v>100</v>
      </c>
      <c r="T1039" s="125" t="str">
        <f t="shared" si="119"/>
        <v>63</v>
      </c>
      <c r="U1039" s="125" t="str">
        <f t="shared" si="120"/>
        <v>632</v>
      </c>
      <c r="V1039" s="125" t="str">
        <f>VLOOKUP(Q1039,'GL Category'!A:C,3,FALSE)</f>
        <v>Personnel services</v>
      </c>
      <c r="X1039" s="83"/>
    </row>
    <row r="1040" spans="1:24" ht="20.399999999999999" customHeight="1">
      <c r="A1040" s="608" t="s">
        <v>791</v>
      </c>
      <c r="B1040" s="608" t="s">
        <v>2961</v>
      </c>
      <c r="C1040" s="608" t="s">
        <v>2</v>
      </c>
      <c r="D1040" s="609">
        <v>0</v>
      </c>
      <c r="E1040" s="609">
        <v>0</v>
      </c>
      <c r="F1040" s="609">
        <v>0</v>
      </c>
      <c r="G1040" s="609">
        <v>0</v>
      </c>
      <c r="H1040" s="609">
        <v>0</v>
      </c>
      <c r="I1040" s="609">
        <v>0</v>
      </c>
      <c r="J1040" s="609">
        <v>0</v>
      </c>
      <c r="K1040" s="609">
        <v>0</v>
      </c>
      <c r="L1040" s="609">
        <v>0</v>
      </c>
      <c r="M1040" s="609">
        <v>0</v>
      </c>
      <c r="N1040" s="587">
        <f t="shared" si="115"/>
        <v>0</v>
      </c>
      <c r="Q1040" t="str">
        <f t="shared" si="116"/>
        <v>50650</v>
      </c>
      <c r="R1040" s="126" t="str">
        <f t="shared" si="117"/>
        <v>RETIREMENT</v>
      </c>
      <c r="S1040" s="125" t="str">
        <f t="shared" si="118"/>
        <v>100</v>
      </c>
      <c r="T1040" s="125" t="str">
        <f t="shared" si="119"/>
        <v>63</v>
      </c>
      <c r="U1040" s="125" t="str">
        <f t="shared" si="120"/>
        <v>632</v>
      </c>
      <c r="V1040" s="125" t="str">
        <f>VLOOKUP(Q1040,'GL Category'!A:C,3,FALSE)</f>
        <v>Personnel services</v>
      </c>
      <c r="X1040" s="83"/>
    </row>
    <row r="1041" spans="1:24" ht="20.399999999999999" customHeight="1">
      <c r="A1041" s="608" t="s">
        <v>791</v>
      </c>
      <c r="B1041" s="608" t="s">
        <v>2963</v>
      </c>
      <c r="C1041" s="608" t="s">
        <v>153</v>
      </c>
      <c r="D1041" s="609">
        <v>0</v>
      </c>
      <c r="E1041" s="609">
        <v>11586.71</v>
      </c>
      <c r="F1041" s="609">
        <v>2360.2600000000002</v>
      </c>
      <c r="G1041" s="609">
        <v>0</v>
      </c>
      <c r="H1041" s="609">
        <v>0</v>
      </c>
      <c r="I1041" s="609">
        <v>0</v>
      </c>
      <c r="J1041" s="609">
        <v>0</v>
      </c>
      <c r="K1041" s="609">
        <v>0</v>
      </c>
      <c r="L1041" s="609">
        <v>0</v>
      </c>
      <c r="M1041" s="609">
        <v>0</v>
      </c>
      <c r="N1041" s="587">
        <f t="shared" si="115"/>
        <v>0</v>
      </c>
      <c r="Q1041" t="str">
        <f t="shared" si="116"/>
        <v>51221</v>
      </c>
      <c r="R1041" s="126" t="str">
        <f t="shared" si="117"/>
        <v>BOTANICAL/AGRICULTURAL SUPPLY</v>
      </c>
      <c r="S1041" s="125" t="str">
        <f t="shared" si="118"/>
        <v>100</v>
      </c>
      <c r="T1041" s="125" t="str">
        <f t="shared" si="119"/>
        <v>63</v>
      </c>
      <c r="U1041" s="125" t="str">
        <f t="shared" si="120"/>
        <v>632</v>
      </c>
      <c r="V1041" s="125" t="str">
        <f>VLOOKUP(Q1041,'GL Category'!A:C,3,FALSE)</f>
        <v>Operations &amp; maintenance</v>
      </c>
      <c r="X1041" s="83"/>
    </row>
    <row r="1042" spans="1:24" ht="20.399999999999999" customHeight="1">
      <c r="A1042" s="608" t="s">
        <v>791</v>
      </c>
      <c r="B1042" s="608" t="s">
        <v>2964</v>
      </c>
      <c r="C1042" s="608" t="s">
        <v>155</v>
      </c>
      <c r="D1042" s="609">
        <v>8293.2999999999993</v>
      </c>
      <c r="E1042" s="609">
        <v>11348.53</v>
      </c>
      <c r="F1042" s="609">
        <v>12409.79</v>
      </c>
      <c r="G1042" s="609">
        <v>12364.27</v>
      </c>
      <c r="H1042" s="609">
        <v>12000</v>
      </c>
      <c r="I1042" s="609">
        <v>7572.13</v>
      </c>
      <c r="J1042" s="609">
        <v>12000</v>
      </c>
      <c r="K1042" s="609">
        <v>12000</v>
      </c>
      <c r="L1042" s="609">
        <v>0</v>
      </c>
      <c r="M1042" s="609">
        <v>0</v>
      </c>
      <c r="N1042" s="587">
        <f t="shared" si="115"/>
        <v>12000</v>
      </c>
      <c r="Q1042" t="str">
        <f t="shared" si="116"/>
        <v>51225</v>
      </c>
      <c r="R1042" s="126" t="str">
        <f t="shared" si="117"/>
        <v>JANITORIAL SUPPLIES</v>
      </c>
      <c r="S1042" s="125" t="str">
        <f t="shared" si="118"/>
        <v>100</v>
      </c>
      <c r="T1042" s="125" t="str">
        <f t="shared" si="119"/>
        <v>63</v>
      </c>
      <c r="U1042" s="125" t="str">
        <f t="shared" si="120"/>
        <v>632</v>
      </c>
      <c r="V1042" s="125" t="str">
        <f>VLOOKUP(Q1042,'GL Category'!A:C,3,FALSE)</f>
        <v>Operations &amp; maintenance</v>
      </c>
      <c r="X1042" s="83"/>
    </row>
    <row r="1043" spans="1:24" ht="20.399999999999999" customHeight="1">
      <c r="A1043" s="608" t="s">
        <v>791</v>
      </c>
      <c r="B1043" s="608" t="s">
        <v>2964</v>
      </c>
      <c r="C1043" s="608" t="s">
        <v>155</v>
      </c>
      <c r="D1043" s="609">
        <v>0</v>
      </c>
      <c r="E1043" s="609">
        <v>0</v>
      </c>
      <c r="F1043" s="609">
        <v>0</v>
      </c>
      <c r="G1043" s="609">
        <v>0</v>
      </c>
      <c r="H1043" s="609">
        <v>0</v>
      </c>
      <c r="I1043" s="609">
        <v>0</v>
      </c>
      <c r="J1043" s="609">
        <v>0</v>
      </c>
      <c r="K1043" s="609">
        <v>0</v>
      </c>
      <c r="L1043" s="609">
        <v>0</v>
      </c>
      <c r="M1043" s="609">
        <v>0</v>
      </c>
      <c r="N1043" s="587">
        <f t="shared" si="115"/>
        <v>0</v>
      </c>
      <c r="Q1043" t="str">
        <f t="shared" si="116"/>
        <v>51225</v>
      </c>
      <c r="R1043" s="126" t="str">
        <f t="shared" si="117"/>
        <v>JANITORIAL SUPPLIES</v>
      </c>
      <c r="S1043" s="125" t="str">
        <f t="shared" si="118"/>
        <v>100</v>
      </c>
      <c r="T1043" s="125" t="str">
        <f t="shared" si="119"/>
        <v>63</v>
      </c>
      <c r="U1043" s="125" t="str">
        <f t="shared" si="120"/>
        <v>632</v>
      </c>
      <c r="V1043" s="125" t="str">
        <f>VLOOKUP(Q1043,'GL Category'!A:C,3,FALSE)</f>
        <v>Operations &amp; maintenance</v>
      </c>
      <c r="X1043" s="83"/>
    </row>
    <row r="1044" spans="1:24" ht="20.399999999999999" customHeight="1">
      <c r="A1044" s="608" t="s">
        <v>791</v>
      </c>
      <c r="B1044" s="608" t="s">
        <v>2965</v>
      </c>
      <c r="C1044" s="608" t="s">
        <v>4</v>
      </c>
      <c r="D1044" s="609">
        <v>7370.99</v>
      </c>
      <c r="E1044" s="609">
        <v>7315.37</v>
      </c>
      <c r="F1044" s="609">
        <v>9341.44</v>
      </c>
      <c r="G1044" s="609">
        <v>8700.7999999999993</v>
      </c>
      <c r="H1044" s="609">
        <v>7500</v>
      </c>
      <c r="I1044" s="609">
        <v>5838.72</v>
      </c>
      <c r="J1044" s="609">
        <v>8000</v>
      </c>
      <c r="K1044" s="609">
        <v>8000</v>
      </c>
      <c r="L1044" s="609">
        <v>0</v>
      </c>
      <c r="M1044" s="609">
        <v>0</v>
      </c>
      <c r="N1044" s="587">
        <f t="shared" si="115"/>
        <v>8000</v>
      </c>
      <c r="Q1044" t="str">
        <f t="shared" si="116"/>
        <v>51245</v>
      </c>
      <c r="R1044" s="126" t="str">
        <f t="shared" si="117"/>
        <v>SMALL TOOLS &amp; EQUIPMENT</v>
      </c>
      <c r="S1044" s="125" t="str">
        <f t="shared" si="118"/>
        <v>100</v>
      </c>
      <c r="T1044" s="125" t="str">
        <f t="shared" si="119"/>
        <v>63</v>
      </c>
      <c r="U1044" s="125" t="str">
        <f t="shared" si="120"/>
        <v>632</v>
      </c>
      <c r="V1044" s="125" t="str">
        <f>VLOOKUP(Q1044,'GL Category'!A:C,3,FALSE)</f>
        <v>Operations &amp; maintenance</v>
      </c>
      <c r="X1044" s="83"/>
    </row>
    <row r="1045" spans="1:24" ht="20.399999999999999" customHeight="1">
      <c r="A1045" s="608" t="s">
        <v>791</v>
      </c>
      <c r="B1045" s="608" t="s">
        <v>2966</v>
      </c>
      <c r="C1045" s="608" t="s">
        <v>161</v>
      </c>
      <c r="D1045" s="609">
        <v>12494.19</v>
      </c>
      <c r="E1045" s="609">
        <v>10973.97</v>
      </c>
      <c r="F1045" s="609">
        <v>20560.23</v>
      </c>
      <c r="G1045" s="609">
        <v>18921.43</v>
      </c>
      <c r="H1045" s="609">
        <v>23000</v>
      </c>
      <c r="I1045" s="609">
        <v>14043.05</v>
      </c>
      <c r="J1045" s="609">
        <v>21000</v>
      </c>
      <c r="K1045" s="609">
        <v>22000</v>
      </c>
      <c r="L1045" s="609">
        <v>0</v>
      </c>
      <c r="M1045" s="609">
        <v>0</v>
      </c>
      <c r="N1045" s="587">
        <f t="shared" si="115"/>
        <v>22000</v>
      </c>
      <c r="Q1045" t="str">
        <f t="shared" si="116"/>
        <v>51255</v>
      </c>
      <c r="R1045" s="126" t="str">
        <f t="shared" si="117"/>
        <v>FUEL/OILS/LUBRICANTS</v>
      </c>
      <c r="S1045" s="125" t="str">
        <f t="shared" si="118"/>
        <v>100</v>
      </c>
      <c r="T1045" s="125" t="str">
        <f t="shared" si="119"/>
        <v>63</v>
      </c>
      <c r="U1045" s="125" t="str">
        <f t="shared" si="120"/>
        <v>632</v>
      </c>
      <c r="V1045" s="125" t="str">
        <f>VLOOKUP(Q1045,'GL Category'!A:C,3,FALSE)</f>
        <v>Operations &amp; maintenance</v>
      </c>
      <c r="X1045" s="83"/>
    </row>
    <row r="1046" spans="1:24" ht="20.399999999999999" customHeight="1">
      <c r="A1046" s="608" t="s">
        <v>791</v>
      </c>
      <c r="B1046" s="608" t="s">
        <v>2967</v>
      </c>
      <c r="C1046" s="608" t="s">
        <v>276</v>
      </c>
      <c r="D1046" s="609">
        <v>1276.24</v>
      </c>
      <c r="E1046" s="609">
        <v>2063.56</v>
      </c>
      <c r="F1046" s="609">
        <v>3643.24</v>
      </c>
      <c r="G1046" s="609">
        <v>2998.2</v>
      </c>
      <c r="H1046" s="609">
        <v>2000</v>
      </c>
      <c r="I1046" s="609">
        <v>1005.28</v>
      </c>
      <c r="J1046" s="609">
        <v>2000</v>
      </c>
      <c r="K1046" s="609">
        <v>2500</v>
      </c>
      <c r="L1046" s="609">
        <v>0</v>
      </c>
      <c r="M1046" s="609">
        <v>0</v>
      </c>
      <c r="N1046" s="587">
        <f t="shared" si="115"/>
        <v>2500</v>
      </c>
      <c r="Q1046" t="str">
        <f t="shared" si="116"/>
        <v>51270</v>
      </c>
      <c r="R1046" s="126" t="str">
        <f t="shared" si="117"/>
        <v>CHEMICAL SUPPLIES</v>
      </c>
      <c r="S1046" s="125" t="str">
        <f t="shared" si="118"/>
        <v>100</v>
      </c>
      <c r="T1046" s="125" t="str">
        <f t="shared" si="119"/>
        <v>63</v>
      </c>
      <c r="U1046" s="125" t="str">
        <f t="shared" si="120"/>
        <v>632</v>
      </c>
      <c r="V1046" s="125" t="str">
        <f>VLOOKUP(Q1046,'GL Category'!A:C,3,FALSE)</f>
        <v>Operations &amp; maintenance</v>
      </c>
      <c r="X1046" s="83"/>
    </row>
    <row r="1047" spans="1:24" ht="20.399999999999999" customHeight="1">
      <c r="A1047" s="608" t="s">
        <v>791</v>
      </c>
      <c r="B1047" s="608" t="s">
        <v>2968</v>
      </c>
      <c r="C1047" s="608" t="s">
        <v>167</v>
      </c>
      <c r="D1047" s="609">
        <v>3537.03</v>
      </c>
      <c r="E1047" s="609">
        <v>4698.79</v>
      </c>
      <c r="F1047" s="609">
        <v>4944.51</v>
      </c>
      <c r="G1047" s="609">
        <v>4813.37</v>
      </c>
      <c r="H1047" s="609">
        <v>4500</v>
      </c>
      <c r="I1047" s="609">
        <v>3966.72</v>
      </c>
      <c r="J1047" s="609">
        <v>4500</v>
      </c>
      <c r="K1047" s="609">
        <v>4500</v>
      </c>
      <c r="L1047" s="609">
        <v>0</v>
      </c>
      <c r="M1047" s="609">
        <v>0</v>
      </c>
      <c r="N1047" s="587">
        <f t="shared" si="115"/>
        <v>4500</v>
      </c>
      <c r="Q1047" t="str">
        <f t="shared" si="116"/>
        <v>51285</v>
      </c>
      <c r="R1047" s="126" t="str">
        <f t="shared" si="117"/>
        <v>WEARING APPAREL</v>
      </c>
      <c r="S1047" s="125" t="str">
        <f t="shared" si="118"/>
        <v>100</v>
      </c>
      <c r="T1047" s="125" t="str">
        <f t="shared" si="119"/>
        <v>63</v>
      </c>
      <c r="U1047" s="125" t="str">
        <f t="shared" si="120"/>
        <v>632</v>
      </c>
      <c r="V1047" s="125" t="str">
        <f>VLOOKUP(Q1047,'GL Category'!A:C,3,FALSE)</f>
        <v>Operations &amp; maintenance</v>
      </c>
      <c r="X1047" s="83"/>
    </row>
    <row r="1048" spans="1:24" ht="20.399999999999999" customHeight="1">
      <c r="A1048" s="608" t="s">
        <v>791</v>
      </c>
      <c r="B1048" s="608" t="s">
        <v>2969</v>
      </c>
      <c r="C1048" s="608" t="s">
        <v>274</v>
      </c>
      <c r="D1048" s="609">
        <v>454.51</v>
      </c>
      <c r="E1048" s="609">
        <v>483.42</v>
      </c>
      <c r="F1048" s="609">
        <v>1388.58</v>
      </c>
      <c r="G1048" s="609">
        <v>2446.1</v>
      </c>
      <c r="H1048" s="609">
        <v>1500</v>
      </c>
      <c r="I1048" s="609">
        <v>834.67</v>
      </c>
      <c r="J1048" s="609">
        <v>2000</v>
      </c>
      <c r="K1048" s="609">
        <v>2000</v>
      </c>
      <c r="L1048" s="609">
        <v>0</v>
      </c>
      <c r="M1048" s="609">
        <v>0</v>
      </c>
      <c r="N1048" s="587">
        <f t="shared" si="115"/>
        <v>2000</v>
      </c>
      <c r="Q1048" t="str">
        <f t="shared" si="116"/>
        <v>51287</v>
      </c>
      <c r="R1048" s="126" t="str">
        <f t="shared" si="117"/>
        <v>SAFETY EQUIPMENT/SUPPLIES</v>
      </c>
      <c r="S1048" s="125" t="str">
        <f t="shared" si="118"/>
        <v>100</v>
      </c>
      <c r="T1048" s="125" t="str">
        <f t="shared" si="119"/>
        <v>63</v>
      </c>
      <c r="U1048" s="125" t="str">
        <f t="shared" si="120"/>
        <v>632</v>
      </c>
      <c r="V1048" s="125" t="str">
        <f>VLOOKUP(Q1048,'GL Category'!A:C,3,FALSE)</f>
        <v>Operations &amp; maintenance</v>
      </c>
      <c r="X1048" s="83"/>
    </row>
    <row r="1049" spans="1:24" ht="20.399999999999999" customHeight="1">
      <c r="A1049" s="608" t="s">
        <v>791</v>
      </c>
      <c r="B1049" s="608" t="s">
        <v>2969</v>
      </c>
      <c r="C1049" s="608" t="s">
        <v>274</v>
      </c>
      <c r="D1049" s="609">
        <v>0</v>
      </c>
      <c r="E1049" s="609">
        <v>0</v>
      </c>
      <c r="F1049" s="609">
        <v>0</v>
      </c>
      <c r="G1049" s="609">
        <v>0</v>
      </c>
      <c r="H1049" s="609">
        <v>0</v>
      </c>
      <c r="I1049" s="609">
        <v>0</v>
      </c>
      <c r="J1049" s="609">
        <v>0</v>
      </c>
      <c r="K1049" s="609">
        <v>0</v>
      </c>
      <c r="L1049" s="609">
        <v>0</v>
      </c>
      <c r="M1049" s="609">
        <v>0</v>
      </c>
      <c r="N1049" s="587">
        <f t="shared" si="115"/>
        <v>0</v>
      </c>
      <c r="Q1049" t="str">
        <f t="shared" si="116"/>
        <v>51287</v>
      </c>
      <c r="R1049" s="126" t="str">
        <f t="shared" si="117"/>
        <v>SAFETY EQUIPMENT/SUPPLIES</v>
      </c>
      <c r="S1049" s="125" t="str">
        <f t="shared" si="118"/>
        <v>100</v>
      </c>
      <c r="T1049" s="125" t="str">
        <f t="shared" si="119"/>
        <v>63</v>
      </c>
      <c r="U1049" s="125" t="str">
        <f t="shared" si="120"/>
        <v>632</v>
      </c>
      <c r="V1049" s="125" t="str">
        <f>VLOOKUP(Q1049,'GL Category'!A:C,3,FALSE)</f>
        <v>Operations &amp; maintenance</v>
      </c>
      <c r="X1049" s="83"/>
    </row>
    <row r="1050" spans="1:24" ht="20.399999999999999" customHeight="1">
      <c r="A1050" s="608" t="s">
        <v>791</v>
      </c>
      <c r="B1050" s="608" t="s">
        <v>2970</v>
      </c>
      <c r="C1050" s="608" t="s">
        <v>169</v>
      </c>
      <c r="D1050" s="609">
        <v>0</v>
      </c>
      <c r="E1050" s="609">
        <v>0</v>
      </c>
      <c r="F1050" s="609">
        <v>0</v>
      </c>
      <c r="G1050" s="609">
        <v>0</v>
      </c>
      <c r="H1050" s="609">
        <v>0</v>
      </c>
      <c r="I1050" s="609">
        <v>0</v>
      </c>
      <c r="J1050" s="609">
        <v>0</v>
      </c>
      <c r="K1050" s="609">
        <v>0</v>
      </c>
      <c r="L1050" s="609">
        <v>0</v>
      </c>
      <c r="M1050" s="609">
        <v>0</v>
      </c>
      <c r="N1050" s="587">
        <f t="shared" si="115"/>
        <v>0</v>
      </c>
      <c r="Q1050" t="str">
        <f t="shared" si="116"/>
        <v>51299</v>
      </c>
      <c r="R1050" s="126" t="str">
        <f t="shared" si="117"/>
        <v>MISCELLANEOUS SUPPLIES</v>
      </c>
      <c r="S1050" s="125" t="str">
        <f t="shared" si="118"/>
        <v>100</v>
      </c>
      <c r="T1050" s="125" t="str">
        <f t="shared" si="119"/>
        <v>63</v>
      </c>
      <c r="U1050" s="125" t="str">
        <f t="shared" si="120"/>
        <v>632</v>
      </c>
      <c r="V1050" s="125" t="str">
        <f>VLOOKUP(Q1050,'GL Category'!A:C,3,FALSE)</f>
        <v>Operations &amp; maintenance</v>
      </c>
      <c r="X1050" s="83"/>
    </row>
    <row r="1051" spans="1:24" ht="20.399999999999999" customHeight="1">
      <c r="A1051" s="608" t="s">
        <v>791</v>
      </c>
      <c r="B1051" s="608" t="s">
        <v>2971</v>
      </c>
      <c r="C1051" s="608" t="s">
        <v>171</v>
      </c>
      <c r="D1051" s="609">
        <v>12797.46</v>
      </c>
      <c r="E1051" s="609">
        <v>8167.61</v>
      </c>
      <c r="F1051" s="609">
        <v>8157.59</v>
      </c>
      <c r="G1051" s="609">
        <v>13169.67</v>
      </c>
      <c r="H1051" s="609">
        <v>9000</v>
      </c>
      <c r="I1051" s="609">
        <v>12320.19</v>
      </c>
      <c r="J1051" s="609">
        <v>12000</v>
      </c>
      <c r="K1051" s="609">
        <v>11000</v>
      </c>
      <c r="L1051" s="609">
        <v>0</v>
      </c>
      <c r="M1051" s="609">
        <v>0</v>
      </c>
      <c r="N1051" s="587">
        <f t="shared" si="115"/>
        <v>11000</v>
      </c>
      <c r="Q1051" t="str">
        <f t="shared" si="116"/>
        <v>52310</v>
      </c>
      <c r="R1051" s="126" t="str">
        <f t="shared" si="117"/>
        <v>BUILDING MAINTENANCE</v>
      </c>
      <c r="S1051" s="125" t="str">
        <f t="shared" si="118"/>
        <v>100</v>
      </c>
      <c r="T1051" s="125" t="str">
        <f t="shared" si="119"/>
        <v>63</v>
      </c>
      <c r="U1051" s="125" t="str">
        <f t="shared" si="120"/>
        <v>632</v>
      </c>
      <c r="V1051" s="125" t="str">
        <f>VLOOKUP(Q1051,'GL Category'!A:C,3,FALSE)</f>
        <v>Operations &amp; maintenance</v>
      </c>
      <c r="X1051" s="83"/>
    </row>
    <row r="1052" spans="1:24" ht="20.399999999999999" customHeight="1">
      <c r="A1052" s="608" t="s">
        <v>791</v>
      </c>
      <c r="B1052" s="608" t="s">
        <v>2971</v>
      </c>
      <c r="C1052" s="608" t="s">
        <v>171</v>
      </c>
      <c r="D1052" s="609">
        <v>0</v>
      </c>
      <c r="E1052" s="609">
        <v>0</v>
      </c>
      <c r="F1052" s="609">
        <v>0</v>
      </c>
      <c r="G1052" s="609">
        <v>0</v>
      </c>
      <c r="H1052" s="609">
        <v>0</v>
      </c>
      <c r="I1052" s="609">
        <v>0</v>
      </c>
      <c r="J1052" s="609">
        <v>0</v>
      </c>
      <c r="K1052" s="609">
        <v>0</v>
      </c>
      <c r="L1052" s="609">
        <v>0</v>
      </c>
      <c r="M1052" s="609">
        <v>0</v>
      </c>
      <c r="N1052" s="587">
        <f t="shared" si="115"/>
        <v>0</v>
      </c>
      <c r="Q1052" t="str">
        <f t="shared" si="116"/>
        <v>52310</v>
      </c>
      <c r="R1052" s="126" t="str">
        <f t="shared" si="117"/>
        <v>BUILDING MAINTENANCE</v>
      </c>
      <c r="S1052" s="125" t="str">
        <f t="shared" si="118"/>
        <v>100</v>
      </c>
      <c r="T1052" s="125" t="str">
        <f t="shared" si="119"/>
        <v>63</v>
      </c>
      <c r="U1052" s="125" t="str">
        <f t="shared" si="120"/>
        <v>632</v>
      </c>
      <c r="V1052" s="125" t="str">
        <f>VLOOKUP(Q1052,'GL Category'!A:C,3,FALSE)</f>
        <v>Operations &amp; maintenance</v>
      </c>
      <c r="X1052" s="83"/>
    </row>
    <row r="1053" spans="1:24" ht="20.399999999999999" customHeight="1">
      <c r="A1053" s="608" t="s">
        <v>791</v>
      </c>
      <c r="B1053" s="608" t="s">
        <v>2971</v>
      </c>
      <c r="C1053" s="608" t="s">
        <v>171</v>
      </c>
      <c r="D1053" s="609">
        <v>0</v>
      </c>
      <c r="E1053" s="609">
        <v>3361</v>
      </c>
      <c r="F1053" s="609">
        <v>0</v>
      </c>
      <c r="G1053" s="609">
        <v>0</v>
      </c>
      <c r="H1053" s="609">
        <v>0</v>
      </c>
      <c r="I1053" s="609">
        <v>0</v>
      </c>
      <c r="J1053" s="609">
        <v>0</v>
      </c>
      <c r="K1053" s="609">
        <v>0</v>
      </c>
      <c r="L1053" s="609">
        <v>0</v>
      </c>
      <c r="M1053" s="609">
        <v>0</v>
      </c>
      <c r="N1053" s="587">
        <f t="shared" si="115"/>
        <v>0</v>
      </c>
      <c r="Q1053" t="str">
        <f t="shared" si="116"/>
        <v>52310</v>
      </c>
      <c r="R1053" s="126" t="str">
        <f t="shared" si="117"/>
        <v>BUILDING MAINTENANCE</v>
      </c>
      <c r="S1053" s="125" t="str">
        <f t="shared" si="118"/>
        <v>100</v>
      </c>
      <c r="T1053" s="125" t="str">
        <f t="shared" si="119"/>
        <v>63</v>
      </c>
      <c r="U1053" s="125" t="str">
        <f t="shared" si="120"/>
        <v>632</v>
      </c>
      <c r="V1053" s="125" t="str">
        <f>VLOOKUP(Q1053,'GL Category'!A:C,3,FALSE)</f>
        <v>Operations &amp; maintenance</v>
      </c>
      <c r="X1053" s="83"/>
    </row>
    <row r="1054" spans="1:24" ht="14.4" customHeight="1">
      <c r="A1054" s="608" t="s">
        <v>791</v>
      </c>
      <c r="B1054" s="608" t="s">
        <v>2972</v>
      </c>
      <c r="C1054" s="608" t="s">
        <v>173</v>
      </c>
      <c r="D1054" s="609">
        <v>162051.34</v>
      </c>
      <c r="E1054" s="609">
        <v>118858.38</v>
      </c>
      <c r="F1054" s="609">
        <v>140614.69</v>
      </c>
      <c r="G1054" s="609">
        <v>160465.56</v>
      </c>
      <c r="H1054" s="609">
        <v>142000</v>
      </c>
      <c r="I1054" s="609">
        <v>115565.92</v>
      </c>
      <c r="J1054" s="609">
        <v>142000</v>
      </c>
      <c r="K1054" s="609">
        <v>142000</v>
      </c>
      <c r="L1054" s="609">
        <v>0</v>
      </c>
      <c r="M1054" s="609">
        <v>0</v>
      </c>
      <c r="N1054" s="587">
        <f t="shared" si="115"/>
        <v>142000</v>
      </c>
      <c r="Q1054" t="str">
        <f t="shared" si="116"/>
        <v>52311</v>
      </c>
      <c r="R1054" s="126" t="str">
        <f t="shared" si="117"/>
        <v>GROUNDS MAINTENANCE</v>
      </c>
      <c r="S1054" s="125" t="str">
        <f t="shared" si="118"/>
        <v>100</v>
      </c>
      <c r="T1054" s="125" t="str">
        <f t="shared" si="119"/>
        <v>63</v>
      </c>
      <c r="U1054" s="125" t="str">
        <f t="shared" si="120"/>
        <v>632</v>
      </c>
      <c r="V1054" s="125" t="str">
        <f>VLOOKUP(Q1054,'GL Category'!A:C,3,FALSE)</f>
        <v>Operations &amp; maintenance</v>
      </c>
      <c r="X1054" s="83"/>
    </row>
    <row r="1055" spans="1:24" ht="20.399999999999999" customHeight="1">
      <c r="A1055" s="608" t="s">
        <v>791</v>
      </c>
      <c r="B1055" s="608" t="s">
        <v>2972</v>
      </c>
      <c r="C1055" s="608" t="s">
        <v>173</v>
      </c>
      <c r="D1055" s="609">
        <v>0</v>
      </c>
      <c r="E1055" s="609">
        <v>0</v>
      </c>
      <c r="F1055" s="609">
        <v>0</v>
      </c>
      <c r="G1055" s="609">
        <v>0</v>
      </c>
      <c r="H1055" s="609">
        <v>0</v>
      </c>
      <c r="I1055" s="609">
        <v>0</v>
      </c>
      <c r="J1055" s="609">
        <v>0</v>
      </c>
      <c r="K1055" s="609">
        <v>0</v>
      </c>
      <c r="L1055" s="609">
        <v>0</v>
      </c>
      <c r="M1055" s="609">
        <v>0</v>
      </c>
      <c r="N1055" s="587">
        <f t="shared" si="115"/>
        <v>0</v>
      </c>
      <c r="Q1055" t="str">
        <f t="shared" si="116"/>
        <v>52311</v>
      </c>
      <c r="R1055" s="126" t="str">
        <f t="shared" si="117"/>
        <v>GROUNDS MAINTENANCE</v>
      </c>
      <c r="S1055" s="125" t="str">
        <f t="shared" si="118"/>
        <v>100</v>
      </c>
      <c r="T1055" s="125" t="str">
        <f t="shared" si="119"/>
        <v>63</v>
      </c>
      <c r="U1055" s="125" t="str">
        <f t="shared" si="120"/>
        <v>632</v>
      </c>
      <c r="V1055" s="125" t="str">
        <f>VLOOKUP(Q1055,'GL Category'!A:C,3,FALSE)</f>
        <v>Operations &amp; maintenance</v>
      </c>
      <c r="X1055" s="83"/>
    </row>
    <row r="1056" spans="1:24" ht="14.4" customHeight="1">
      <c r="A1056" s="608" t="s">
        <v>791</v>
      </c>
      <c r="B1056" s="608" t="s">
        <v>2972</v>
      </c>
      <c r="C1056" s="608" t="s">
        <v>173</v>
      </c>
      <c r="D1056" s="609">
        <v>0</v>
      </c>
      <c r="E1056" s="609">
        <v>720</v>
      </c>
      <c r="F1056" s="609">
        <v>0</v>
      </c>
      <c r="G1056" s="609">
        <v>0</v>
      </c>
      <c r="H1056" s="609">
        <v>0</v>
      </c>
      <c r="I1056" s="609">
        <v>0</v>
      </c>
      <c r="J1056" s="609">
        <v>0</v>
      </c>
      <c r="K1056" s="609">
        <v>0</v>
      </c>
      <c r="L1056" s="609">
        <v>0</v>
      </c>
      <c r="M1056" s="609">
        <v>0</v>
      </c>
      <c r="N1056" s="587">
        <f t="shared" si="115"/>
        <v>0</v>
      </c>
      <c r="P1056" s="490">
        <f t="shared" ref="P1056:P1067" si="121">N1056-H1056</f>
        <v>0</v>
      </c>
      <c r="Q1056" t="str">
        <f t="shared" si="116"/>
        <v>52311</v>
      </c>
      <c r="R1056" s="126" t="str">
        <f t="shared" si="117"/>
        <v>GROUNDS MAINTENANCE</v>
      </c>
      <c r="S1056" s="125" t="str">
        <f t="shared" si="118"/>
        <v>100</v>
      </c>
      <c r="T1056" s="125" t="str">
        <f t="shared" si="119"/>
        <v>63</v>
      </c>
      <c r="U1056" s="125" t="str">
        <f t="shared" si="120"/>
        <v>632</v>
      </c>
      <c r="V1056" s="125" t="str">
        <f>VLOOKUP(Q1056,'GL Category'!A:C,3,FALSE)</f>
        <v>Operations &amp; maintenance</v>
      </c>
      <c r="X1056" s="83"/>
    </row>
    <row r="1057" spans="1:24" ht="20.399999999999999" customHeight="1">
      <c r="A1057" s="608" t="s">
        <v>791</v>
      </c>
      <c r="B1057" s="608" t="s">
        <v>2973</v>
      </c>
      <c r="C1057" s="608" t="s">
        <v>295</v>
      </c>
      <c r="D1057" s="609">
        <v>3393.85</v>
      </c>
      <c r="E1057" s="609">
        <v>748.69</v>
      </c>
      <c r="F1057" s="609">
        <v>3431.3</v>
      </c>
      <c r="G1057" s="609">
        <v>4412.53</v>
      </c>
      <c r="H1057" s="609">
        <v>3500</v>
      </c>
      <c r="I1057" s="609">
        <v>4439.54</v>
      </c>
      <c r="J1057" s="609">
        <v>2000</v>
      </c>
      <c r="K1057" s="609">
        <v>3500</v>
      </c>
      <c r="L1057" s="609">
        <v>0</v>
      </c>
      <c r="M1057" s="609">
        <v>0</v>
      </c>
      <c r="N1057" s="587">
        <f t="shared" si="115"/>
        <v>3500</v>
      </c>
      <c r="P1057" s="490">
        <f t="shared" si="121"/>
        <v>0</v>
      </c>
      <c r="Q1057" t="str">
        <f t="shared" si="116"/>
        <v>52350</v>
      </c>
      <c r="R1057" s="126" t="str">
        <f t="shared" si="117"/>
        <v>SIGN &amp; SIGNAL MAINTENANCE</v>
      </c>
      <c r="S1057" s="125" t="str">
        <f t="shared" si="118"/>
        <v>100</v>
      </c>
      <c r="T1057" s="125" t="str">
        <f t="shared" si="119"/>
        <v>63</v>
      </c>
      <c r="U1057" s="125" t="str">
        <f t="shared" si="120"/>
        <v>632</v>
      </c>
      <c r="V1057" s="125" t="str">
        <f>VLOOKUP(Q1057,'GL Category'!A:C,3,FALSE)</f>
        <v>Operations &amp; maintenance</v>
      </c>
      <c r="X1057" s="83"/>
    </row>
    <row r="1058" spans="1:24" ht="20.399999999999999" customHeight="1">
      <c r="A1058" s="608" t="s">
        <v>791</v>
      </c>
      <c r="B1058" s="608" t="s">
        <v>2975</v>
      </c>
      <c r="C1058" s="608" t="s">
        <v>241</v>
      </c>
      <c r="D1058" s="609">
        <v>4476.53</v>
      </c>
      <c r="E1058" s="609">
        <v>1123.3499999999999</v>
      </c>
      <c r="F1058" s="609">
        <v>2249.3200000000002</v>
      </c>
      <c r="G1058" s="609">
        <v>9451.19</v>
      </c>
      <c r="H1058" s="609">
        <v>1429</v>
      </c>
      <c r="I1058" s="609">
        <v>1467.24</v>
      </c>
      <c r="J1058" s="609">
        <v>2000</v>
      </c>
      <c r="K1058" s="609">
        <v>3000</v>
      </c>
      <c r="L1058" s="609">
        <v>0</v>
      </c>
      <c r="M1058" s="609">
        <v>0</v>
      </c>
      <c r="N1058" s="587">
        <f t="shared" si="115"/>
        <v>3000</v>
      </c>
      <c r="P1058" s="490">
        <f t="shared" si="121"/>
        <v>1571</v>
      </c>
      <c r="Q1058" t="str">
        <f t="shared" si="116"/>
        <v>52460</v>
      </c>
      <c r="R1058" s="126" t="str">
        <f t="shared" si="117"/>
        <v>VEHICLE MAINTENANCE</v>
      </c>
      <c r="S1058" s="125" t="str">
        <f t="shared" si="118"/>
        <v>100</v>
      </c>
      <c r="T1058" s="125" t="str">
        <f t="shared" si="119"/>
        <v>63</v>
      </c>
      <c r="U1058" s="125" t="str">
        <f t="shared" si="120"/>
        <v>632</v>
      </c>
      <c r="V1058" s="125" t="str">
        <f>VLOOKUP(Q1058,'GL Category'!A:C,3,FALSE)</f>
        <v>Operations &amp; maintenance</v>
      </c>
      <c r="X1058" s="83"/>
    </row>
    <row r="1059" spans="1:24" ht="20.399999999999999" customHeight="1">
      <c r="A1059" s="608" t="s">
        <v>791</v>
      </c>
      <c r="B1059" s="608" t="s">
        <v>2976</v>
      </c>
      <c r="C1059" s="608" t="s">
        <v>236</v>
      </c>
      <c r="D1059" s="609">
        <v>9598.17</v>
      </c>
      <c r="E1059" s="609">
        <v>5353.71</v>
      </c>
      <c r="F1059" s="609">
        <v>10328.5</v>
      </c>
      <c r="G1059" s="609">
        <v>7094.82</v>
      </c>
      <c r="H1059" s="609">
        <v>9000</v>
      </c>
      <c r="I1059" s="609">
        <v>3480.3</v>
      </c>
      <c r="J1059" s="609">
        <v>8001</v>
      </c>
      <c r="K1059" s="609">
        <v>8000</v>
      </c>
      <c r="L1059" s="609">
        <v>0</v>
      </c>
      <c r="M1059" s="609">
        <v>0</v>
      </c>
      <c r="N1059" s="587">
        <f t="shared" si="115"/>
        <v>8000</v>
      </c>
      <c r="P1059" s="490">
        <f t="shared" si="121"/>
        <v>-1000</v>
      </c>
      <c r="Q1059" t="str">
        <f t="shared" si="116"/>
        <v>52470</v>
      </c>
      <c r="R1059" s="126" t="str">
        <f t="shared" si="117"/>
        <v>EQUIPMENT MAINTENANCE</v>
      </c>
      <c r="S1059" s="125" t="str">
        <f t="shared" si="118"/>
        <v>100</v>
      </c>
      <c r="T1059" s="125" t="str">
        <f t="shared" si="119"/>
        <v>63</v>
      </c>
      <c r="U1059" s="125" t="str">
        <f t="shared" si="120"/>
        <v>632</v>
      </c>
      <c r="V1059" s="125" t="str">
        <f>VLOOKUP(Q1059,'GL Category'!A:C,3,FALSE)</f>
        <v>Operations &amp; maintenance</v>
      </c>
      <c r="X1059" s="83"/>
    </row>
    <row r="1060" spans="1:24" ht="20.399999999999999" customHeight="1">
      <c r="A1060" s="608" t="s">
        <v>791</v>
      </c>
      <c r="B1060" s="608" t="s">
        <v>2976</v>
      </c>
      <c r="C1060" s="608" t="s">
        <v>236</v>
      </c>
      <c r="D1060" s="609">
        <v>0</v>
      </c>
      <c r="E1060" s="609">
        <v>1519.7</v>
      </c>
      <c r="F1060" s="609">
        <v>0</v>
      </c>
      <c r="G1060" s="609">
        <v>0</v>
      </c>
      <c r="H1060" s="609">
        <v>0</v>
      </c>
      <c r="I1060" s="609">
        <v>0</v>
      </c>
      <c r="J1060" s="609">
        <v>0</v>
      </c>
      <c r="K1060" s="609">
        <v>0</v>
      </c>
      <c r="L1060" s="609">
        <v>0</v>
      </c>
      <c r="M1060" s="609">
        <v>0</v>
      </c>
      <c r="N1060" s="587">
        <f t="shared" si="115"/>
        <v>0</v>
      </c>
      <c r="P1060" s="490">
        <f t="shared" si="121"/>
        <v>0</v>
      </c>
      <c r="Q1060" t="str">
        <f t="shared" si="116"/>
        <v>52470</v>
      </c>
      <c r="R1060" s="126" t="str">
        <f t="shared" si="117"/>
        <v>EQUIPMENT MAINTENANCE</v>
      </c>
      <c r="S1060" s="125" t="str">
        <f t="shared" si="118"/>
        <v>100</v>
      </c>
      <c r="T1060" s="125" t="str">
        <f t="shared" si="119"/>
        <v>63</v>
      </c>
      <c r="U1060" s="125" t="str">
        <f t="shared" si="120"/>
        <v>632</v>
      </c>
      <c r="V1060" s="125" t="str">
        <f>VLOOKUP(Q1060,'GL Category'!A:C,3,FALSE)</f>
        <v>Operations &amp; maintenance</v>
      </c>
      <c r="X1060" s="83"/>
    </row>
    <row r="1061" spans="1:24" ht="20.399999999999999" customHeight="1">
      <c r="A1061" s="608" t="s">
        <v>791</v>
      </c>
      <c r="B1061" s="608" t="s">
        <v>3208</v>
      </c>
      <c r="C1061" s="608" t="s">
        <v>190</v>
      </c>
      <c r="D1061" s="609">
        <v>45</v>
      </c>
      <c r="E1061" s="609">
        <v>0</v>
      </c>
      <c r="F1061" s="609">
        <v>0</v>
      </c>
      <c r="G1061" s="609">
        <v>0</v>
      </c>
      <c r="H1061" s="609">
        <v>0</v>
      </c>
      <c r="I1061" s="609">
        <v>0</v>
      </c>
      <c r="J1061" s="609">
        <v>0</v>
      </c>
      <c r="K1061" s="609">
        <v>0</v>
      </c>
      <c r="L1061" s="609">
        <v>0</v>
      </c>
      <c r="M1061" s="609">
        <v>0</v>
      </c>
      <c r="N1061" s="587">
        <f t="shared" si="115"/>
        <v>0</v>
      </c>
      <c r="P1061" s="490">
        <f t="shared" si="121"/>
        <v>0</v>
      </c>
      <c r="Q1061" t="str">
        <f t="shared" si="116"/>
        <v>53510</v>
      </c>
      <c r="R1061" s="126" t="str">
        <f t="shared" si="117"/>
        <v>DUES &amp; SUBSCRIPTIONS</v>
      </c>
      <c r="S1061" s="125" t="str">
        <f t="shared" si="118"/>
        <v>100</v>
      </c>
      <c r="T1061" s="125" t="str">
        <f t="shared" si="119"/>
        <v>63</v>
      </c>
      <c r="U1061" s="125" t="str">
        <f t="shared" si="120"/>
        <v>632</v>
      </c>
      <c r="V1061" s="125" t="str">
        <f>VLOOKUP(Q1061,'GL Category'!A:C,3,FALSE)</f>
        <v>Services &amp; other</v>
      </c>
      <c r="X1061" s="83"/>
    </row>
    <row r="1062" spans="1:24" ht="20.399999999999999" customHeight="1">
      <c r="A1062" s="608" t="s">
        <v>791</v>
      </c>
      <c r="B1062" s="608" t="s">
        <v>2978</v>
      </c>
      <c r="C1062" s="608" t="s">
        <v>191</v>
      </c>
      <c r="D1062" s="609">
        <v>1024.3499999999999</v>
      </c>
      <c r="E1062" s="609">
        <v>0</v>
      </c>
      <c r="F1062" s="609">
        <v>590</v>
      </c>
      <c r="G1062" s="609">
        <v>1720</v>
      </c>
      <c r="H1062" s="609">
        <v>2000</v>
      </c>
      <c r="I1062" s="609">
        <v>1588</v>
      </c>
      <c r="J1062" s="609">
        <v>1600</v>
      </c>
      <c r="K1062" s="609">
        <v>2000</v>
      </c>
      <c r="L1062" s="609">
        <v>0</v>
      </c>
      <c r="M1062" s="609">
        <v>0</v>
      </c>
      <c r="N1062" s="587">
        <f t="shared" si="115"/>
        <v>2000</v>
      </c>
      <c r="P1062" s="490">
        <f t="shared" si="121"/>
        <v>0</v>
      </c>
      <c r="Q1062" t="str">
        <f t="shared" si="116"/>
        <v>53515</v>
      </c>
      <c r="R1062" s="126" t="str">
        <f t="shared" si="117"/>
        <v>TRAVEL, TRAINING &amp; EDUCATION</v>
      </c>
      <c r="S1062" s="125" t="str">
        <f t="shared" si="118"/>
        <v>100</v>
      </c>
      <c r="T1062" s="125" t="str">
        <f t="shared" si="119"/>
        <v>63</v>
      </c>
      <c r="U1062" s="125" t="str">
        <f t="shared" si="120"/>
        <v>632</v>
      </c>
      <c r="V1062" s="125" t="str">
        <f>VLOOKUP(Q1062,'GL Category'!A:C,3,FALSE)</f>
        <v>Services &amp; other</v>
      </c>
      <c r="X1062" s="83"/>
    </row>
    <row r="1063" spans="1:24" ht="20.399999999999999" customHeight="1">
      <c r="A1063" s="608" t="s">
        <v>791</v>
      </c>
      <c r="B1063" s="608" t="s">
        <v>2979</v>
      </c>
      <c r="C1063" s="608" t="s">
        <v>6</v>
      </c>
      <c r="D1063" s="609">
        <v>2507.59</v>
      </c>
      <c r="E1063" s="609">
        <v>2595.4499999999998</v>
      </c>
      <c r="F1063" s="609">
        <v>0</v>
      </c>
      <c r="G1063" s="609">
        <v>270</v>
      </c>
      <c r="H1063" s="609">
        <v>2500</v>
      </c>
      <c r="I1063" s="609">
        <v>685.26</v>
      </c>
      <c r="J1063" s="609">
        <v>1200</v>
      </c>
      <c r="K1063" s="609">
        <v>1000</v>
      </c>
      <c r="L1063" s="609">
        <v>0</v>
      </c>
      <c r="M1063" s="609">
        <v>0</v>
      </c>
      <c r="N1063" s="587">
        <f t="shared" si="115"/>
        <v>1000</v>
      </c>
      <c r="P1063" s="490">
        <f t="shared" si="121"/>
        <v>-1500</v>
      </c>
      <c r="Q1063" t="str">
        <f t="shared" si="116"/>
        <v>53524</v>
      </c>
      <c r="R1063" s="126" t="str">
        <f t="shared" si="117"/>
        <v>EQUIPMENT RENTAL</v>
      </c>
      <c r="S1063" s="125" t="str">
        <f t="shared" si="118"/>
        <v>100</v>
      </c>
      <c r="T1063" s="125" t="str">
        <f t="shared" si="119"/>
        <v>63</v>
      </c>
      <c r="U1063" s="125" t="str">
        <f t="shared" si="120"/>
        <v>632</v>
      </c>
      <c r="V1063" s="125" t="str">
        <f>VLOOKUP(Q1063,'GL Category'!A:C,3,FALSE)</f>
        <v>Services &amp; other</v>
      </c>
      <c r="X1063" s="83"/>
    </row>
    <row r="1064" spans="1:24" ht="20.399999999999999" customHeight="1">
      <c r="A1064" s="608" t="s">
        <v>791</v>
      </c>
      <c r="B1064" s="608" t="s">
        <v>2979</v>
      </c>
      <c r="C1064" s="608" t="s">
        <v>6</v>
      </c>
      <c r="D1064" s="609">
        <v>0</v>
      </c>
      <c r="E1064" s="609">
        <v>643.66</v>
      </c>
      <c r="F1064" s="609">
        <v>0</v>
      </c>
      <c r="G1064" s="609">
        <v>0</v>
      </c>
      <c r="H1064" s="609">
        <v>0</v>
      </c>
      <c r="I1064" s="609">
        <v>0</v>
      </c>
      <c r="J1064" s="609">
        <v>0</v>
      </c>
      <c r="K1064" s="609">
        <v>0</v>
      </c>
      <c r="L1064" s="609">
        <v>0</v>
      </c>
      <c r="M1064" s="609">
        <v>0</v>
      </c>
      <c r="N1064" s="587">
        <f t="shared" si="115"/>
        <v>0</v>
      </c>
      <c r="P1064" s="490">
        <f t="shared" si="121"/>
        <v>0</v>
      </c>
      <c r="Q1064" t="str">
        <f t="shared" si="116"/>
        <v>53524</v>
      </c>
      <c r="R1064" s="126" t="str">
        <f t="shared" si="117"/>
        <v>EQUIPMENT RENTAL</v>
      </c>
      <c r="S1064" s="125" t="str">
        <f t="shared" si="118"/>
        <v>100</v>
      </c>
      <c r="T1064" s="125" t="str">
        <f t="shared" si="119"/>
        <v>63</v>
      </c>
      <c r="U1064" s="125" t="str">
        <f t="shared" si="120"/>
        <v>632</v>
      </c>
      <c r="V1064" s="125" t="str">
        <f>VLOOKUP(Q1064,'GL Category'!A:C,3,FALSE)</f>
        <v>Services &amp; other</v>
      </c>
      <c r="X1064" s="83"/>
    </row>
    <row r="1065" spans="1:24" ht="20.399999999999999" customHeight="1">
      <c r="A1065" s="608" t="s">
        <v>791</v>
      </c>
      <c r="B1065" s="608" t="s">
        <v>2980</v>
      </c>
      <c r="C1065" s="608" t="s">
        <v>839</v>
      </c>
      <c r="D1065" s="609">
        <v>398378.96</v>
      </c>
      <c r="E1065" s="609">
        <v>403885.19</v>
      </c>
      <c r="F1065" s="609">
        <v>380524.26</v>
      </c>
      <c r="G1065" s="609">
        <v>412937.27</v>
      </c>
      <c r="H1065" s="609">
        <v>463400</v>
      </c>
      <c r="I1065" s="609">
        <v>321274.53999999998</v>
      </c>
      <c r="J1065" s="609">
        <v>463400</v>
      </c>
      <c r="K1065" s="609">
        <v>495000</v>
      </c>
      <c r="L1065" s="609">
        <v>0</v>
      </c>
      <c r="M1065" s="609">
        <v>0</v>
      </c>
      <c r="N1065" s="587">
        <f t="shared" si="115"/>
        <v>495000</v>
      </c>
      <c r="P1065" s="490">
        <f t="shared" si="121"/>
        <v>31600</v>
      </c>
      <c r="Q1065" t="str">
        <f t="shared" si="116"/>
        <v>53525</v>
      </c>
      <c r="R1065" s="126" t="str">
        <f t="shared" si="117"/>
        <v>LANDSCAPE SERVICES</v>
      </c>
      <c r="S1065" s="125" t="str">
        <f t="shared" si="118"/>
        <v>100</v>
      </c>
      <c r="T1065" s="125" t="str">
        <f t="shared" si="119"/>
        <v>63</v>
      </c>
      <c r="U1065" s="125" t="str">
        <f t="shared" si="120"/>
        <v>632</v>
      </c>
      <c r="V1065" s="125" t="str">
        <f>VLOOKUP(Q1065,'GL Category'!A:C,3,FALSE)</f>
        <v>Services &amp; other</v>
      </c>
      <c r="X1065" s="83"/>
    </row>
    <row r="1066" spans="1:24" ht="20.399999999999999" customHeight="1">
      <c r="A1066" s="608" t="s">
        <v>791</v>
      </c>
      <c r="B1066" s="608" t="s">
        <v>2981</v>
      </c>
      <c r="C1066" s="608" t="s">
        <v>906</v>
      </c>
      <c r="D1066" s="609">
        <v>52712.71</v>
      </c>
      <c r="E1066" s="609">
        <v>36834.449999999997</v>
      </c>
      <c r="F1066" s="609">
        <v>23561.82</v>
      </c>
      <c r="G1066" s="609">
        <v>24080</v>
      </c>
      <c r="H1066" s="609">
        <v>44600</v>
      </c>
      <c r="I1066" s="609">
        <v>24289.9</v>
      </c>
      <c r="J1066" s="609">
        <v>37000</v>
      </c>
      <c r="K1066" s="609">
        <v>35000</v>
      </c>
      <c r="L1066" s="609">
        <v>0</v>
      </c>
      <c r="M1066" s="609">
        <v>0</v>
      </c>
      <c r="N1066" s="587">
        <f t="shared" si="115"/>
        <v>35000</v>
      </c>
      <c r="P1066" s="490">
        <f t="shared" si="121"/>
        <v>-9600</v>
      </c>
      <c r="Q1066" t="str">
        <f t="shared" si="116"/>
        <v>53529</v>
      </c>
      <c r="R1066" s="126" t="str">
        <f t="shared" si="117"/>
        <v>JANITORIAL SERVICES</v>
      </c>
      <c r="S1066" s="125" t="str">
        <f t="shared" si="118"/>
        <v>100</v>
      </c>
      <c r="T1066" s="125" t="str">
        <f t="shared" si="119"/>
        <v>63</v>
      </c>
      <c r="U1066" s="125" t="str">
        <f t="shared" si="120"/>
        <v>632</v>
      </c>
      <c r="V1066" s="125" t="str">
        <f>VLOOKUP(Q1066,'GL Category'!A:C,3,FALSE)</f>
        <v>Services &amp; other</v>
      </c>
      <c r="X1066" s="83"/>
    </row>
    <row r="1067" spans="1:24" ht="20.399999999999999" customHeight="1">
      <c r="A1067" s="608" t="s">
        <v>791</v>
      </c>
      <c r="B1067" s="608" t="s">
        <v>2982</v>
      </c>
      <c r="C1067" s="608" t="s">
        <v>215</v>
      </c>
      <c r="D1067" s="609">
        <v>13211.14</v>
      </c>
      <c r="E1067" s="609">
        <v>13554.63</v>
      </c>
      <c r="F1067" s="609">
        <v>15136.24</v>
      </c>
      <c r="G1067" s="609">
        <v>14498.34</v>
      </c>
      <c r="H1067" s="609">
        <v>15400</v>
      </c>
      <c r="I1067" s="609">
        <v>10549.81</v>
      </c>
      <c r="J1067" s="609">
        <v>15000</v>
      </c>
      <c r="K1067" s="609">
        <v>15000</v>
      </c>
      <c r="L1067" s="609">
        <v>0</v>
      </c>
      <c r="M1067" s="609">
        <v>0</v>
      </c>
      <c r="N1067" s="587">
        <f t="shared" si="115"/>
        <v>15000</v>
      </c>
      <c r="P1067" s="490">
        <f t="shared" si="121"/>
        <v>-400</v>
      </c>
      <c r="Q1067" t="str">
        <f t="shared" si="116"/>
        <v>53572</v>
      </c>
      <c r="R1067" s="126" t="str">
        <f t="shared" si="117"/>
        <v>ELECTRICAL UTILITY SERVICE</v>
      </c>
      <c r="S1067" s="125" t="str">
        <f t="shared" si="118"/>
        <v>100</v>
      </c>
      <c r="T1067" s="125" t="str">
        <f t="shared" si="119"/>
        <v>63</v>
      </c>
      <c r="U1067" s="125" t="str">
        <f t="shared" si="120"/>
        <v>632</v>
      </c>
      <c r="V1067" s="125" t="str">
        <f>VLOOKUP(Q1067,'GL Category'!A:C,3,FALSE)</f>
        <v>Services &amp; other</v>
      </c>
      <c r="X1067" s="83"/>
    </row>
    <row r="1068" spans="1:24" ht="20.399999999999999" customHeight="1">
      <c r="A1068" s="608" t="s">
        <v>791</v>
      </c>
      <c r="B1068" s="608" t="s">
        <v>2982</v>
      </c>
      <c r="C1068" s="608" t="s">
        <v>215</v>
      </c>
      <c r="D1068" s="609">
        <v>0</v>
      </c>
      <c r="E1068" s="609">
        <v>20574.2</v>
      </c>
      <c r="F1068" s="609">
        <v>0</v>
      </c>
      <c r="G1068" s="609">
        <v>0</v>
      </c>
      <c r="H1068" s="609">
        <v>0</v>
      </c>
      <c r="I1068" s="609">
        <v>0</v>
      </c>
      <c r="J1068" s="609">
        <v>0</v>
      </c>
      <c r="K1068" s="609">
        <v>0</v>
      </c>
      <c r="L1068" s="609">
        <v>0</v>
      </c>
      <c r="M1068" s="609">
        <v>0</v>
      </c>
      <c r="N1068" s="587">
        <f t="shared" si="115"/>
        <v>0</v>
      </c>
      <c r="Q1068" t="str">
        <f t="shared" si="116"/>
        <v>53572</v>
      </c>
      <c r="R1068" s="126" t="str">
        <f t="shared" si="117"/>
        <v>ELECTRICAL UTILITY SERVICE</v>
      </c>
      <c r="S1068" s="125" t="str">
        <f t="shared" si="118"/>
        <v>100</v>
      </c>
      <c r="T1068" s="125" t="str">
        <f t="shared" si="119"/>
        <v>63</v>
      </c>
      <c r="U1068" s="125" t="str">
        <f t="shared" si="120"/>
        <v>632</v>
      </c>
      <c r="V1068" s="125" t="str">
        <f>VLOOKUP(Q1068,'GL Category'!A:C,3,FALSE)</f>
        <v>Services &amp; other</v>
      </c>
      <c r="X1068" s="83"/>
    </row>
    <row r="1069" spans="1:24" ht="20.399999999999999" customHeight="1">
      <c r="A1069" s="608" t="s">
        <v>791</v>
      </c>
      <c r="B1069" s="608" t="s">
        <v>2983</v>
      </c>
      <c r="C1069" s="608" t="s">
        <v>217</v>
      </c>
      <c r="D1069" s="609">
        <v>117859.14</v>
      </c>
      <c r="E1069" s="609">
        <v>115549.3</v>
      </c>
      <c r="F1069" s="609">
        <v>108212.38</v>
      </c>
      <c r="G1069" s="609">
        <v>114822.89</v>
      </c>
      <c r="H1069" s="609">
        <v>121250</v>
      </c>
      <c r="I1069" s="609">
        <v>99531.15</v>
      </c>
      <c r="J1069" s="609">
        <v>110000</v>
      </c>
      <c r="K1069" s="609">
        <v>121250</v>
      </c>
      <c r="L1069" s="609">
        <v>0</v>
      </c>
      <c r="M1069" s="609">
        <v>0</v>
      </c>
      <c r="N1069" s="587">
        <f t="shared" si="115"/>
        <v>121250</v>
      </c>
      <c r="Q1069" t="str">
        <f t="shared" si="116"/>
        <v>53574</v>
      </c>
      <c r="R1069" s="126" t="str">
        <f t="shared" si="117"/>
        <v>WATER/SEWER UTILITY SERVICE</v>
      </c>
      <c r="S1069" s="125" t="str">
        <f t="shared" si="118"/>
        <v>100</v>
      </c>
      <c r="T1069" s="125" t="str">
        <f t="shared" si="119"/>
        <v>63</v>
      </c>
      <c r="U1069" s="125" t="str">
        <f t="shared" si="120"/>
        <v>632</v>
      </c>
      <c r="V1069" s="125" t="str">
        <f>VLOOKUP(Q1069,'GL Category'!A:C,3,FALSE)</f>
        <v>Services &amp; other</v>
      </c>
      <c r="X1069" s="83"/>
    </row>
    <row r="1070" spans="1:24" ht="20.399999999999999" customHeight="1">
      <c r="A1070" s="608" t="s">
        <v>791</v>
      </c>
      <c r="B1070" s="608" t="s">
        <v>2977</v>
      </c>
      <c r="C1070" s="608" t="s">
        <v>238</v>
      </c>
      <c r="D1070" s="609">
        <v>35353.89</v>
      </c>
      <c r="E1070" s="609">
        <v>27028.14</v>
      </c>
      <c r="F1070" s="609">
        <v>26887.71</v>
      </c>
      <c r="G1070" s="609">
        <v>37827.24</v>
      </c>
      <c r="H1070" s="609">
        <v>49000</v>
      </c>
      <c r="I1070" s="609">
        <v>41617.29</v>
      </c>
      <c r="J1070" s="609">
        <v>48300</v>
      </c>
      <c r="K1070" s="609">
        <v>55000</v>
      </c>
      <c r="L1070" s="609">
        <v>0</v>
      </c>
      <c r="M1070" s="609">
        <v>0</v>
      </c>
      <c r="N1070" s="587">
        <f t="shared" si="115"/>
        <v>55000</v>
      </c>
      <c r="Q1070" t="str">
        <f t="shared" si="116"/>
        <v>53599</v>
      </c>
      <c r="R1070" s="126" t="str">
        <f t="shared" si="117"/>
        <v>MISCELLANEOUS SERVICES</v>
      </c>
      <c r="S1070" s="125" t="str">
        <f t="shared" si="118"/>
        <v>100</v>
      </c>
      <c r="T1070" s="125" t="str">
        <f t="shared" si="119"/>
        <v>63</v>
      </c>
      <c r="U1070" s="125" t="str">
        <f t="shared" si="120"/>
        <v>632</v>
      </c>
      <c r="V1070" s="125" t="str">
        <f>VLOOKUP(Q1070,'GL Category'!A:C,3,FALSE)</f>
        <v>Services &amp; other</v>
      </c>
      <c r="X1070" s="83"/>
    </row>
    <row r="1071" spans="1:24" s="83" customFormat="1" ht="20.399999999999999" customHeight="1">
      <c r="A1071" s="608" t="s">
        <v>791</v>
      </c>
      <c r="B1071" s="608" t="s">
        <v>2985</v>
      </c>
      <c r="C1071" s="608" t="s">
        <v>221</v>
      </c>
      <c r="D1071" s="609">
        <v>16228</v>
      </c>
      <c r="E1071" s="609">
        <v>20626</v>
      </c>
      <c r="F1071" s="609">
        <v>15775</v>
      </c>
      <c r="G1071" s="609">
        <v>17397</v>
      </c>
      <c r="H1071" s="609">
        <v>12390</v>
      </c>
      <c r="I1071" s="609">
        <v>9292.5</v>
      </c>
      <c r="J1071" s="609">
        <v>12390</v>
      </c>
      <c r="K1071" s="609">
        <v>13612</v>
      </c>
      <c r="L1071" s="609">
        <v>0</v>
      </c>
      <c r="M1071" s="609">
        <v>0</v>
      </c>
      <c r="N1071" s="587">
        <f t="shared" si="115"/>
        <v>13612</v>
      </c>
      <c r="O1071"/>
      <c r="P1071" s="490"/>
      <c r="Q1071" t="str">
        <f t="shared" si="116"/>
        <v>55119</v>
      </c>
      <c r="R1071" s="126" t="str">
        <f t="shared" si="117"/>
        <v>OFFICE EQUIP LEASE EXP-CITY</v>
      </c>
      <c r="S1071" s="125" t="str">
        <f t="shared" si="118"/>
        <v>100</v>
      </c>
      <c r="T1071" s="125" t="str">
        <f t="shared" si="119"/>
        <v>63</v>
      </c>
      <c r="U1071" s="125" t="str">
        <f t="shared" si="120"/>
        <v>632</v>
      </c>
      <c r="V1071" s="125" t="str">
        <f>VLOOKUP(Q1071,'GL Category'!A:C,3,FALSE)</f>
        <v>Services &amp; other</v>
      </c>
      <c r="W1071" s="125"/>
    </row>
    <row r="1072" spans="1:24" ht="20.399999999999999" customHeight="1">
      <c r="A1072" s="608" t="s">
        <v>791</v>
      </c>
      <c r="B1072" s="608" t="s">
        <v>2984</v>
      </c>
      <c r="C1072" s="608" t="s">
        <v>220</v>
      </c>
      <c r="D1072" s="609">
        <v>13167</v>
      </c>
      <c r="E1072" s="609">
        <v>34662</v>
      </c>
      <c r="F1072" s="609">
        <v>23594</v>
      </c>
      <c r="G1072" s="609">
        <v>48044</v>
      </c>
      <c r="H1072" s="609">
        <v>46924</v>
      </c>
      <c r="I1072" s="609">
        <v>35193</v>
      </c>
      <c r="J1072" s="609">
        <v>46924</v>
      </c>
      <c r="K1072" s="609">
        <v>40553</v>
      </c>
      <c r="L1072" s="609">
        <v>0</v>
      </c>
      <c r="M1072" s="609">
        <v>0</v>
      </c>
      <c r="N1072" s="587">
        <f t="shared" si="115"/>
        <v>40553</v>
      </c>
      <c r="Q1072" t="str">
        <f t="shared" si="116"/>
        <v>55175</v>
      </c>
      <c r="R1072" s="126" t="str">
        <f t="shared" si="117"/>
        <v>VEHICLE/EQUIP LEASE EXP-CITY</v>
      </c>
      <c r="S1072" s="125" t="str">
        <f t="shared" si="118"/>
        <v>100</v>
      </c>
      <c r="T1072" s="125" t="str">
        <f t="shared" si="119"/>
        <v>63</v>
      </c>
      <c r="U1072" s="125" t="str">
        <f t="shared" si="120"/>
        <v>632</v>
      </c>
      <c r="V1072" s="125" t="str">
        <f>VLOOKUP(Q1072,'GL Category'!A:C,3,FALSE)</f>
        <v>Services &amp; other</v>
      </c>
      <c r="X1072" s="83"/>
    </row>
    <row r="1073" spans="1:24" ht="20.399999999999999" customHeight="1">
      <c r="A1073" s="608" t="s">
        <v>791</v>
      </c>
      <c r="B1073" s="608" t="s">
        <v>2986</v>
      </c>
      <c r="C1073" s="608" t="s">
        <v>268</v>
      </c>
      <c r="D1073" s="609">
        <v>0</v>
      </c>
      <c r="E1073" s="609">
        <v>6499</v>
      </c>
      <c r="F1073" s="609">
        <v>0</v>
      </c>
      <c r="G1073" s="609">
        <v>0</v>
      </c>
      <c r="H1073" s="609">
        <v>0</v>
      </c>
      <c r="I1073" s="609">
        <v>0</v>
      </c>
      <c r="J1073" s="609">
        <v>0</v>
      </c>
      <c r="K1073" s="609">
        <v>0</v>
      </c>
      <c r="L1073" s="609">
        <v>0</v>
      </c>
      <c r="M1073" s="609">
        <v>0</v>
      </c>
      <c r="N1073" s="587">
        <f t="shared" si="115"/>
        <v>0</v>
      </c>
      <c r="Q1073" t="str">
        <f t="shared" si="116"/>
        <v>58830</v>
      </c>
      <c r="R1073" s="126" t="str">
        <f t="shared" si="117"/>
        <v>MACHINERY &amp; EQUIPMENT</v>
      </c>
      <c r="S1073" s="125" t="str">
        <f t="shared" si="118"/>
        <v>100</v>
      </c>
      <c r="T1073" s="125" t="str">
        <f t="shared" si="119"/>
        <v>63</v>
      </c>
      <c r="U1073" s="125" t="str">
        <f t="shared" si="120"/>
        <v>632</v>
      </c>
      <c r="V1073" s="125" t="str">
        <f>VLOOKUP(Q1073,'GL Category'!A:C,3,FALSE)</f>
        <v>Capital Outlay</v>
      </c>
      <c r="X1073" s="83"/>
    </row>
    <row r="1074" spans="1:24" ht="20.399999999999999" customHeight="1">
      <c r="A1074" s="608" t="s">
        <v>791</v>
      </c>
      <c r="B1074" s="608" t="s">
        <v>2988</v>
      </c>
      <c r="C1074" s="608" t="s">
        <v>130</v>
      </c>
      <c r="D1074" s="609">
        <v>70553.259999999995</v>
      </c>
      <c r="E1074" s="609">
        <v>97012.13</v>
      </c>
      <c r="F1074" s="609">
        <v>142891.01999999999</v>
      </c>
      <c r="G1074" s="609">
        <v>109603.94</v>
      </c>
      <c r="H1074" s="609">
        <v>63889</v>
      </c>
      <c r="I1074" s="609">
        <v>48948.23</v>
      </c>
      <c r="J1074" s="609">
        <v>64255</v>
      </c>
      <c r="K1074" s="609">
        <v>66446</v>
      </c>
      <c r="L1074" s="609">
        <v>0</v>
      </c>
      <c r="M1074" s="609">
        <v>0</v>
      </c>
      <c r="N1074" s="587">
        <f t="shared" si="115"/>
        <v>66446</v>
      </c>
      <c r="Q1074" t="str">
        <f t="shared" si="116"/>
        <v>50101</v>
      </c>
      <c r="R1074" s="126" t="str">
        <f t="shared" si="117"/>
        <v>EXEMPT SALARIES</v>
      </c>
      <c r="S1074" s="125" t="str">
        <f t="shared" si="118"/>
        <v>100</v>
      </c>
      <c r="T1074" s="125" t="str">
        <f t="shared" si="119"/>
        <v>63</v>
      </c>
      <c r="U1074" s="125" t="str">
        <f t="shared" si="120"/>
        <v>633</v>
      </c>
      <c r="V1074" s="125" t="str">
        <f>VLOOKUP(Q1074,'GL Category'!A:C,3,FALSE)</f>
        <v>Personnel services</v>
      </c>
      <c r="X1074" s="83"/>
    </row>
    <row r="1075" spans="1:24" ht="20.399999999999999" customHeight="1">
      <c r="A1075" s="608" t="s">
        <v>791</v>
      </c>
      <c r="B1075" s="608" t="s">
        <v>2989</v>
      </c>
      <c r="C1075" s="608" t="s">
        <v>132</v>
      </c>
      <c r="D1075" s="609">
        <v>46875.65</v>
      </c>
      <c r="E1075" s="609">
        <v>24775.17</v>
      </c>
      <c r="F1075" s="609">
        <v>0</v>
      </c>
      <c r="G1075" s="609">
        <v>0</v>
      </c>
      <c r="H1075" s="609">
        <v>0</v>
      </c>
      <c r="I1075" s="609">
        <v>0</v>
      </c>
      <c r="J1075" s="609">
        <v>0</v>
      </c>
      <c r="K1075" s="609">
        <v>0</v>
      </c>
      <c r="L1075" s="609">
        <v>0</v>
      </c>
      <c r="M1075" s="609">
        <v>0</v>
      </c>
      <c r="N1075" s="587">
        <f t="shared" si="115"/>
        <v>0</v>
      </c>
      <c r="Q1075" t="str">
        <f t="shared" si="116"/>
        <v>50102</v>
      </c>
      <c r="R1075" s="126" t="str">
        <f t="shared" si="117"/>
        <v>NON EXEMPT SALARIES</v>
      </c>
      <c r="S1075" s="125" t="str">
        <f t="shared" si="118"/>
        <v>100</v>
      </c>
      <c r="T1075" s="125" t="str">
        <f t="shared" si="119"/>
        <v>63</v>
      </c>
      <c r="U1075" s="125" t="str">
        <f t="shared" si="120"/>
        <v>633</v>
      </c>
      <c r="V1075" s="125" t="str">
        <f>VLOOKUP(Q1075,'GL Category'!A:C,3,FALSE)</f>
        <v>Personnel services</v>
      </c>
      <c r="X1075" s="83"/>
    </row>
    <row r="1076" spans="1:24" ht="20.399999999999999" customHeight="1">
      <c r="A1076" s="608" t="s">
        <v>791</v>
      </c>
      <c r="B1076" s="608" t="s">
        <v>2990</v>
      </c>
      <c r="C1076" s="608" t="s">
        <v>0</v>
      </c>
      <c r="D1076" s="609">
        <v>1324.65</v>
      </c>
      <c r="E1076" s="609">
        <v>659.22</v>
      </c>
      <c r="F1076" s="609">
        <v>0</v>
      </c>
      <c r="G1076" s="609">
        <v>0</v>
      </c>
      <c r="H1076" s="609">
        <v>0</v>
      </c>
      <c r="I1076" s="609">
        <v>0</v>
      </c>
      <c r="J1076" s="609">
        <v>0</v>
      </c>
      <c r="K1076" s="609">
        <v>0</v>
      </c>
      <c r="L1076" s="609">
        <v>0</v>
      </c>
      <c r="M1076" s="609">
        <v>0</v>
      </c>
      <c r="N1076" s="587">
        <f t="shared" si="115"/>
        <v>0</v>
      </c>
      <c r="Q1076" t="str">
        <f t="shared" si="116"/>
        <v>50109</v>
      </c>
      <c r="R1076" s="126" t="str">
        <f t="shared" si="117"/>
        <v>OVERTIME</v>
      </c>
      <c r="S1076" s="125" t="str">
        <f t="shared" si="118"/>
        <v>100</v>
      </c>
      <c r="T1076" s="125" t="str">
        <f t="shared" si="119"/>
        <v>63</v>
      </c>
      <c r="U1076" s="125" t="str">
        <f t="shared" si="120"/>
        <v>633</v>
      </c>
      <c r="V1076" s="125" t="str">
        <f>VLOOKUP(Q1076,'GL Category'!A:C,3,FALSE)</f>
        <v>Personnel services</v>
      </c>
      <c r="X1076" s="83"/>
    </row>
    <row r="1077" spans="1:24" ht="20.399999999999999" customHeight="1">
      <c r="A1077" s="608" t="s">
        <v>791</v>
      </c>
      <c r="B1077" s="608" t="s">
        <v>2991</v>
      </c>
      <c r="C1077" s="608" t="s">
        <v>137</v>
      </c>
      <c r="D1077" s="609">
        <v>525</v>
      </c>
      <c r="E1077" s="609">
        <v>645</v>
      </c>
      <c r="F1077" s="609">
        <v>765</v>
      </c>
      <c r="G1077" s="609">
        <v>435</v>
      </c>
      <c r="H1077" s="609">
        <v>504</v>
      </c>
      <c r="I1077" s="609">
        <v>495</v>
      </c>
      <c r="J1077" s="609">
        <v>495</v>
      </c>
      <c r="K1077" s="609">
        <v>565</v>
      </c>
      <c r="L1077" s="609">
        <v>0</v>
      </c>
      <c r="M1077" s="609">
        <v>0</v>
      </c>
      <c r="N1077" s="587">
        <f t="shared" si="115"/>
        <v>565</v>
      </c>
      <c r="Q1077" t="str">
        <f t="shared" si="116"/>
        <v>50111</v>
      </c>
      <c r="R1077" s="126" t="str">
        <f t="shared" si="117"/>
        <v>LONGEVITY PAY</v>
      </c>
      <c r="S1077" s="125" t="str">
        <f t="shared" si="118"/>
        <v>100</v>
      </c>
      <c r="T1077" s="125" t="str">
        <f t="shared" si="119"/>
        <v>63</v>
      </c>
      <c r="U1077" s="125" t="str">
        <f t="shared" si="120"/>
        <v>633</v>
      </c>
      <c r="V1077" s="125" t="str">
        <f>VLOOKUP(Q1077,'GL Category'!A:C,3,FALSE)</f>
        <v>Personnel services</v>
      </c>
      <c r="X1077" s="83"/>
    </row>
    <row r="1078" spans="1:24" ht="20.399999999999999" customHeight="1">
      <c r="A1078" s="608" t="s">
        <v>791</v>
      </c>
      <c r="B1078" s="608" t="s">
        <v>2992</v>
      </c>
      <c r="C1078" s="608" t="s">
        <v>1</v>
      </c>
      <c r="D1078" s="609">
        <v>8683.0300000000007</v>
      </c>
      <c r="E1078" s="609">
        <v>8926.92</v>
      </c>
      <c r="F1078" s="609">
        <v>10594.38</v>
      </c>
      <c r="G1078" s="609">
        <v>4593</v>
      </c>
      <c r="H1078" s="609">
        <v>5010</v>
      </c>
      <c r="I1078" s="609">
        <v>3668.39</v>
      </c>
      <c r="J1078" s="609">
        <v>4855</v>
      </c>
      <c r="K1078" s="609">
        <v>5210</v>
      </c>
      <c r="L1078" s="609">
        <v>0</v>
      </c>
      <c r="M1078" s="609">
        <v>0</v>
      </c>
      <c r="N1078" s="587">
        <f t="shared" si="115"/>
        <v>5210</v>
      </c>
      <c r="Q1078" t="str">
        <f t="shared" si="116"/>
        <v>50610</v>
      </c>
      <c r="R1078" s="126" t="str">
        <f t="shared" si="117"/>
        <v>SOCIAL SECURITY</v>
      </c>
      <c r="S1078" s="125" t="str">
        <f t="shared" si="118"/>
        <v>100</v>
      </c>
      <c r="T1078" s="125" t="str">
        <f t="shared" si="119"/>
        <v>63</v>
      </c>
      <c r="U1078" s="125" t="str">
        <f t="shared" si="120"/>
        <v>633</v>
      </c>
      <c r="V1078" s="125" t="str">
        <f>VLOOKUP(Q1078,'GL Category'!A:C,3,FALSE)</f>
        <v>Personnel services</v>
      </c>
      <c r="X1078" s="83"/>
    </row>
    <row r="1079" spans="1:24" ht="20.399999999999999" customHeight="1">
      <c r="A1079" s="608" t="s">
        <v>791</v>
      </c>
      <c r="B1079" s="608" t="s">
        <v>2993</v>
      </c>
      <c r="C1079" s="608" t="s">
        <v>142</v>
      </c>
      <c r="D1079" s="609">
        <v>30032.5</v>
      </c>
      <c r="E1079" s="609">
        <v>30235.79</v>
      </c>
      <c r="F1079" s="609">
        <v>26654.7</v>
      </c>
      <c r="G1079" s="609">
        <v>11291.1</v>
      </c>
      <c r="H1079" s="609">
        <v>11077</v>
      </c>
      <c r="I1079" s="609">
        <v>8464.51</v>
      </c>
      <c r="J1079" s="609">
        <v>11379</v>
      </c>
      <c r="K1079" s="609">
        <v>11040</v>
      </c>
      <c r="L1079" s="609">
        <v>0</v>
      </c>
      <c r="M1079" s="609">
        <v>0</v>
      </c>
      <c r="N1079" s="587">
        <f t="shared" si="115"/>
        <v>11040</v>
      </c>
      <c r="Q1079" t="str">
        <f t="shared" si="116"/>
        <v>50620</v>
      </c>
      <c r="R1079" s="126" t="str">
        <f t="shared" si="117"/>
        <v>HEALTH/LIFE INSURANCE</v>
      </c>
      <c r="S1079" s="125" t="str">
        <f t="shared" si="118"/>
        <v>100</v>
      </c>
      <c r="T1079" s="125" t="str">
        <f t="shared" si="119"/>
        <v>63</v>
      </c>
      <c r="U1079" s="125" t="str">
        <f t="shared" si="120"/>
        <v>633</v>
      </c>
      <c r="V1079" s="125" t="str">
        <f>VLOOKUP(Q1079,'GL Category'!A:C,3,FALSE)</f>
        <v>Personnel services</v>
      </c>
      <c r="X1079" s="83"/>
    </row>
    <row r="1080" spans="1:24" ht="20.399999999999999" customHeight="1">
      <c r="A1080" s="608" t="s">
        <v>791</v>
      </c>
      <c r="B1080" s="608" t="s">
        <v>2994</v>
      </c>
      <c r="C1080" s="608" t="s">
        <v>144</v>
      </c>
      <c r="D1080" s="609">
        <v>331.66</v>
      </c>
      <c r="E1080" s="609">
        <v>312.26</v>
      </c>
      <c r="F1080" s="609">
        <v>370.51</v>
      </c>
      <c r="G1080" s="609">
        <v>674.35</v>
      </c>
      <c r="H1080" s="609">
        <v>94</v>
      </c>
      <c r="I1080" s="609">
        <v>93.92</v>
      </c>
      <c r="J1080" s="609">
        <v>94</v>
      </c>
      <c r="K1080" s="609">
        <v>94</v>
      </c>
      <c r="L1080" s="609">
        <v>0</v>
      </c>
      <c r="M1080" s="609">
        <v>0</v>
      </c>
      <c r="N1080" s="587">
        <f t="shared" si="115"/>
        <v>94</v>
      </c>
      <c r="Q1080" t="str">
        <f t="shared" si="116"/>
        <v>50630</v>
      </c>
      <c r="R1080" s="126" t="str">
        <f t="shared" si="117"/>
        <v>WORKER COMPENSATION</v>
      </c>
      <c r="S1080" s="125" t="str">
        <f t="shared" si="118"/>
        <v>100</v>
      </c>
      <c r="T1080" s="125" t="str">
        <f t="shared" si="119"/>
        <v>63</v>
      </c>
      <c r="U1080" s="125" t="str">
        <f t="shared" si="120"/>
        <v>633</v>
      </c>
      <c r="V1080" s="125" t="str">
        <f>VLOOKUP(Q1080,'GL Category'!A:C,3,FALSE)</f>
        <v>Personnel services</v>
      </c>
      <c r="X1080" s="83"/>
    </row>
    <row r="1081" spans="1:24" ht="20.399999999999999" customHeight="1">
      <c r="A1081" s="608" t="s">
        <v>791</v>
      </c>
      <c r="B1081" s="608" t="s">
        <v>2995</v>
      </c>
      <c r="C1081" s="608" t="s">
        <v>2</v>
      </c>
      <c r="D1081" s="609">
        <v>18943.560000000001</v>
      </c>
      <c r="E1081" s="609">
        <v>19889.46</v>
      </c>
      <c r="F1081" s="609">
        <v>23256.44</v>
      </c>
      <c r="G1081" s="609">
        <v>10207.16</v>
      </c>
      <c r="H1081" s="609">
        <v>10822</v>
      </c>
      <c r="I1081" s="609">
        <v>8309.4500000000007</v>
      </c>
      <c r="J1081" s="609">
        <v>10829</v>
      </c>
      <c r="K1081" s="609">
        <v>11527</v>
      </c>
      <c r="L1081" s="609">
        <v>0</v>
      </c>
      <c r="M1081" s="609">
        <v>0</v>
      </c>
      <c r="N1081" s="587">
        <f t="shared" si="115"/>
        <v>11527</v>
      </c>
      <c r="Q1081" t="str">
        <f t="shared" si="116"/>
        <v>50650</v>
      </c>
      <c r="R1081" s="126" t="str">
        <f t="shared" si="117"/>
        <v>RETIREMENT</v>
      </c>
      <c r="S1081" s="125" t="str">
        <f t="shared" si="118"/>
        <v>100</v>
      </c>
      <c r="T1081" s="125" t="str">
        <f t="shared" si="119"/>
        <v>63</v>
      </c>
      <c r="U1081" s="125" t="str">
        <f t="shared" si="120"/>
        <v>633</v>
      </c>
      <c r="V1081" s="125" t="str">
        <f>VLOOKUP(Q1081,'GL Category'!A:C,3,FALSE)</f>
        <v>Personnel services</v>
      </c>
      <c r="X1081" s="83"/>
    </row>
    <row r="1082" spans="1:24" ht="20.399999999999999" customHeight="1">
      <c r="A1082" s="608" t="s">
        <v>791</v>
      </c>
      <c r="B1082" s="608" t="s">
        <v>2998</v>
      </c>
      <c r="C1082" s="608" t="s">
        <v>161</v>
      </c>
      <c r="D1082" s="609">
        <v>0</v>
      </c>
      <c r="E1082" s="609">
        <v>64.989999999999995</v>
      </c>
      <c r="F1082" s="609">
        <v>0</v>
      </c>
      <c r="G1082" s="609">
        <v>0</v>
      </c>
      <c r="H1082" s="609">
        <v>0</v>
      </c>
      <c r="I1082" s="609">
        <v>0</v>
      </c>
      <c r="J1082" s="609">
        <v>0</v>
      </c>
      <c r="K1082" s="609">
        <v>0</v>
      </c>
      <c r="L1082" s="609">
        <v>0</v>
      </c>
      <c r="M1082" s="609">
        <v>0</v>
      </c>
      <c r="N1082" s="587">
        <f t="shared" si="115"/>
        <v>0</v>
      </c>
      <c r="P1082" s="490">
        <f t="shared" ref="P1082:P1089" si="122">N1082-H1082</f>
        <v>0</v>
      </c>
      <c r="Q1082" t="str">
        <f t="shared" si="116"/>
        <v>51255</v>
      </c>
      <c r="R1082" s="126" t="str">
        <f t="shared" si="117"/>
        <v>FUEL/OILS/LUBRICANTS</v>
      </c>
      <c r="S1082" s="125" t="str">
        <f t="shared" si="118"/>
        <v>100</v>
      </c>
      <c r="T1082" s="125" t="str">
        <f t="shared" si="119"/>
        <v>63</v>
      </c>
      <c r="U1082" s="125" t="str">
        <f t="shared" si="120"/>
        <v>633</v>
      </c>
      <c r="V1082" s="125" t="str">
        <f>VLOOKUP(Q1082,'GL Category'!A:C,3,FALSE)</f>
        <v>Operations &amp; maintenance</v>
      </c>
      <c r="X1082" s="83"/>
    </row>
    <row r="1083" spans="1:24" ht="20.399999999999999" customHeight="1">
      <c r="A1083" s="608" t="s">
        <v>791</v>
      </c>
      <c r="B1083" s="608" t="s">
        <v>2999</v>
      </c>
      <c r="C1083" s="608" t="s">
        <v>263</v>
      </c>
      <c r="D1083" s="609">
        <v>8904.9</v>
      </c>
      <c r="E1083" s="609">
        <v>5287.43</v>
      </c>
      <c r="F1083" s="609">
        <v>7202.64</v>
      </c>
      <c r="G1083" s="609">
        <v>10519.36</v>
      </c>
      <c r="H1083" s="609">
        <v>9000</v>
      </c>
      <c r="I1083" s="609">
        <v>8696.01</v>
      </c>
      <c r="J1083" s="609">
        <v>9000</v>
      </c>
      <c r="K1083" s="609">
        <v>9000</v>
      </c>
      <c r="L1083" s="609">
        <v>0</v>
      </c>
      <c r="M1083" s="609">
        <v>0</v>
      </c>
      <c r="N1083" s="587">
        <f t="shared" si="115"/>
        <v>9000</v>
      </c>
      <c r="P1083" s="490">
        <f t="shared" si="122"/>
        <v>0</v>
      </c>
      <c r="Q1083" t="str">
        <f t="shared" si="116"/>
        <v>51260</v>
      </c>
      <c r="R1083" s="126" t="str">
        <f t="shared" si="117"/>
        <v>EDUCATION/RECREATION SUPPLIES</v>
      </c>
      <c r="S1083" s="125" t="str">
        <f t="shared" si="118"/>
        <v>100</v>
      </c>
      <c r="T1083" s="125" t="str">
        <f t="shared" si="119"/>
        <v>63</v>
      </c>
      <c r="U1083" s="125" t="str">
        <f t="shared" si="120"/>
        <v>633</v>
      </c>
      <c r="V1083" s="125" t="str">
        <f>VLOOKUP(Q1083,'GL Category'!A:C,3,FALSE)</f>
        <v>Operations &amp; maintenance</v>
      </c>
      <c r="X1083" s="83"/>
    </row>
    <row r="1084" spans="1:24" s="83" customFormat="1" ht="15" customHeight="1">
      <c r="A1084" s="608" t="s">
        <v>791</v>
      </c>
      <c r="B1084" s="608" t="s">
        <v>3000</v>
      </c>
      <c r="C1084" s="608" t="s">
        <v>167</v>
      </c>
      <c r="D1084" s="609">
        <v>241.57</v>
      </c>
      <c r="E1084" s="609">
        <v>36.64</v>
      </c>
      <c r="F1084" s="609">
        <v>527.23</v>
      </c>
      <c r="G1084" s="609">
        <v>645.73</v>
      </c>
      <c r="H1084" s="609">
        <v>499</v>
      </c>
      <c r="I1084" s="609">
        <v>249.08</v>
      </c>
      <c r="J1084" s="609">
        <v>499</v>
      </c>
      <c r="K1084" s="609">
        <v>499</v>
      </c>
      <c r="L1084" s="609">
        <v>0</v>
      </c>
      <c r="M1084" s="609">
        <v>0</v>
      </c>
      <c r="N1084" s="587">
        <f t="shared" si="115"/>
        <v>499</v>
      </c>
      <c r="O1084"/>
      <c r="P1084" s="490">
        <f t="shared" si="122"/>
        <v>0</v>
      </c>
      <c r="Q1084" t="str">
        <f t="shared" si="116"/>
        <v>51285</v>
      </c>
      <c r="R1084" s="126" t="str">
        <f t="shared" si="117"/>
        <v>WEARING APPAREL</v>
      </c>
      <c r="S1084" s="125" t="str">
        <f t="shared" si="118"/>
        <v>100</v>
      </c>
      <c r="T1084" s="125" t="str">
        <f t="shared" si="119"/>
        <v>63</v>
      </c>
      <c r="U1084" s="125" t="str">
        <f t="shared" si="120"/>
        <v>633</v>
      </c>
      <c r="V1084" s="125" t="str">
        <f>VLOOKUP(Q1084,'GL Category'!A:C,3,FALSE)</f>
        <v>Operations &amp; maintenance</v>
      </c>
      <c r="W1084" s="125"/>
    </row>
    <row r="1085" spans="1:24" s="83" customFormat="1" ht="15" customHeight="1">
      <c r="A1085" s="608" t="s">
        <v>791</v>
      </c>
      <c r="B1085" s="608" t="s">
        <v>3001</v>
      </c>
      <c r="C1085" s="608" t="s">
        <v>241</v>
      </c>
      <c r="D1085" s="609">
        <v>952.45</v>
      </c>
      <c r="E1085" s="609">
        <v>1176.0999999999999</v>
      </c>
      <c r="F1085" s="609">
        <v>479.33</v>
      </c>
      <c r="G1085" s="609">
        <v>0</v>
      </c>
      <c r="H1085" s="609">
        <v>0</v>
      </c>
      <c r="I1085" s="609">
        <v>0</v>
      </c>
      <c r="J1085" s="609">
        <v>0</v>
      </c>
      <c r="K1085" s="609">
        <v>0</v>
      </c>
      <c r="L1085" s="609">
        <v>0</v>
      </c>
      <c r="M1085" s="609">
        <v>0</v>
      </c>
      <c r="N1085" s="587">
        <f t="shared" si="115"/>
        <v>0</v>
      </c>
      <c r="O1085"/>
      <c r="P1085" s="490">
        <f t="shared" si="122"/>
        <v>0</v>
      </c>
      <c r="Q1085" t="str">
        <f t="shared" si="116"/>
        <v>52460</v>
      </c>
      <c r="R1085" s="126" t="str">
        <f t="shared" si="117"/>
        <v>VEHICLE MAINTENANCE</v>
      </c>
      <c r="S1085" s="125" t="str">
        <f t="shared" si="118"/>
        <v>100</v>
      </c>
      <c r="T1085" s="125" t="str">
        <f t="shared" si="119"/>
        <v>63</v>
      </c>
      <c r="U1085" s="125" t="str">
        <f t="shared" si="120"/>
        <v>633</v>
      </c>
      <c r="V1085" s="125" t="str">
        <f>VLOOKUP(Q1085,'GL Category'!A:C,3,FALSE)</f>
        <v>Operations &amp; maintenance</v>
      </c>
      <c r="W1085" s="125"/>
    </row>
    <row r="1086" spans="1:24" s="83" customFormat="1" ht="15" customHeight="1">
      <c r="A1086" s="608" t="s">
        <v>791</v>
      </c>
      <c r="B1086" s="608" t="s">
        <v>3134</v>
      </c>
      <c r="C1086" s="608" t="s">
        <v>236</v>
      </c>
      <c r="D1086" s="609">
        <v>0</v>
      </c>
      <c r="E1086" s="609">
        <v>267.52999999999997</v>
      </c>
      <c r="F1086" s="609">
        <v>0</v>
      </c>
      <c r="G1086" s="609">
        <v>1834.66</v>
      </c>
      <c r="H1086" s="609">
        <v>2000</v>
      </c>
      <c r="I1086" s="609">
        <v>833.61</v>
      </c>
      <c r="J1086" s="609">
        <v>2000</v>
      </c>
      <c r="K1086" s="609">
        <v>2000</v>
      </c>
      <c r="L1086" s="609">
        <v>0</v>
      </c>
      <c r="M1086" s="609">
        <v>0</v>
      </c>
      <c r="N1086" s="587">
        <f t="shared" si="115"/>
        <v>2000</v>
      </c>
      <c r="O1086"/>
      <c r="P1086" s="490">
        <f t="shared" si="122"/>
        <v>0</v>
      </c>
      <c r="Q1086" t="str">
        <f t="shared" si="116"/>
        <v>52470</v>
      </c>
      <c r="R1086" s="126" t="str">
        <f t="shared" si="117"/>
        <v>EQUIPMENT MAINTENANCE</v>
      </c>
      <c r="S1086" s="125" t="str">
        <f t="shared" si="118"/>
        <v>100</v>
      </c>
      <c r="T1086" s="125" t="str">
        <f t="shared" si="119"/>
        <v>63</v>
      </c>
      <c r="U1086" s="125" t="str">
        <f t="shared" si="120"/>
        <v>633</v>
      </c>
      <c r="V1086" s="125" t="str">
        <f>VLOOKUP(Q1086,'GL Category'!A:C,3,FALSE)</f>
        <v>Operations &amp; maintenance</v>
      </c>
      <c r="W1086" s="125"/>
    </row>
    <row r="1087" spans="1:24" s="83" customFormat="1" ht="15" customHeight="1">
      <c r="A1087" s="608" t="s">
        <v>791</v>
      </c>
      <c r="B1087" s="608" t="s">
        <v>3003</v>
      </c>
      <c r="C1087" s="608" t="s">
        <v>190</v>
      </c>
      <c r="D1087" s="609">
        <v>419</v>
      </c>
      <c r="E1087" s="609">
        <v>527.89</v>
      </c>
      <c r="F1087" s="609">
        <v>1511.95</v>
      </c>
      <c r="G1087" s="609">
        <v>900.88</v>
      </c>
      <c r="H1087" s="609">
        <v>1100</v>
      </c>
      <c r="I1087" s="609">
        <v>392.43</v>
      </c>
      <c r="J1087" s="609">
        <v>1100</v>
      </c>
      <c r="K1087" s="609">
        <v>1100</v>
      </c>
      <c r="L1087" s="609">
        <v>0</v>
      </c>
      <c r="M1087" s="609">
        <v>0</v>
      </c>
      <c r="N1087" s="587">
        <f t="shared" si="115"/>
        <v>1100</v>
      </c>
      <c r="O1087"/>
      <c r="P1087" s="490">
        <f t="shared" si="122"/>
        <v>0</v>
      </c>
      <c r="Q1087" t="str">
        <f t="shared" si="116"/>
        <v>53510</v>
      </c>
      <c r="R1087" s="126" t="str">
        <f t="shared" si="117"/>
        <v>DUES &amp; SUBSCRIPTIONS</v>
      </c>
      <c r="S1087" s="125" t="str">
        <f t="shared" si="118"/>
        <v>100</v>
      </c>
      <c r="T1087" s="125" t="str">
        <f t="shared" si="119"/>
        <v>63</v>
      </c>
      <c r="U1087" s="125" t="str">
        <f t="shared" si="120"/>
        <v>633</v>
      </c>
      <c r="V1087" s="125" t="str">
        <f>VLOOKUP(Q1087,'GL Category'!A:C,3,FALSE)</f>
        <v>Services &amp; other</v>
      </c>
      <c r="W1087" s="125"/>
    </row>
    <row r="1088" spans="1:24" s="83" customFormat="1" ht="15" customHeight="1">
      <c r="A1088" s="608" t="s">
        <v>791</v>
      </c>
      <c r="B1088" s="608" t="s">
        <v>3004</v>
      </c>
      <c r="C1088" s="608" t="s">
        <v>191</v>
      </c>
      <c r="D1088" s="609">
        <v>7347.47</v>
      </c>
      <c r="E1088" s="609">
        <v>4093.48</v>
      </c>
      <c r="F1088" s="609">
        <v>4822.21</v>
      </c>
      <c r="G1088" s="609">
        <v>5491.45</v>
      </c>
      <c r="H1088" s="609">
        <v>8215</v>
      </c>
      <c r="I1088" s="609">
        <v>1875.13</v>
      </c>
      <c r="J1088" s="609">
        <v>4000</v>
      </c>
      <c r="K1088" s="609">
        <v>6215</v>
      </c>
      <c r="L1088" s="609">
        <v>0</v>
      </c>
      <c r="M1088" s="609">
        <v>0</v>
      </c>
      <c r="N1088" s="587">
        <f t="shared" si="115"/>
        <v>6215</v>
      </c>
      <c r="O1088"/>
      <c r="P1088" s="490">
        <f t="shared" si="122"/>
        <v>-2000</v>
      </c>
      <c r="Q1088" t="str">
        <f t="shared" si="116"/>
        <v>53515</v>
      </c>
      <c r="R1088" s="126" t="str">
        <f t="shared" si="117"/>
        <v>TRAVEL, TRAINING &amp; EDUCATION</v>
      </c>
      <c r="S1088" s="125" t="str">
        <f t="shared" si="118"/>
        <v>100</v>
      </c>
      <c r="T1088" s="125" t="str">
        <f t="shared" si="119"/>
        <v>63</v>
      </c>
      <c r="U1088" s="125" t="str">
        <f t="shared" si="120"/>
        <v>633</v>
      </c>
      <c r="V1088" s="125" t="str">
        <f>VLOOKUP(Q1088,'GL Category'!A:C,3,FALSE)</f>
        <v>Services &amp; other</v>
      </c>
      <c r="W1088" s="125"/>
    </row>
    <row r="1089" spans="1:24" s="83" customFormat="1" ht="15" customHeight="1">
      <c r="A1089" s="608" t="s">
        <v>791</v>
      </c>
      <c r="B1089" s="608" t="s">
        <v>3005</v>
      </c>
      <c r="C1089" s="608" t="s">
        <v>230</v>
      </c>
      <c r="D1089" s="609">
        <v>2582.5100000000002</v>
      </c>
      <c r="E1089" s="609">
        <v>3113.1</v>
      </c>
      <c r="F1089" s="609">
        <v>3390.72</v>
      </c>
      <c r="G1089" s="609">
        <v>3344.37</v>
      </c>
      <c r="H1089" s="609">
        <v>3900</v>
      </c>
      <c r="I1089" s="609">
        <v>0</v>
      </c>
      <c r="J1089" s="609">
        <v>3900</v>
      </c>
      <c r="K1089" s="609">
        <v>3900</v>
      </c>
      <c r="L1089" s="609">
        <v>0</v>
      </c>
      <c r="M1089" s="609">
        <v>0</v>
      </c>
      <c r="N1089" s="587">
        <f t="shared" si="115"/>
        <v>3900</v>
      </c>
      <c r="O1089"/>
      <c r="P1089" s="490">
        <f t="shared" si="122"/>
        <v>0</v>
      </c>
      <c r="Q1089" t="str">
        <f t="shared" si="116"/>
        <v>53534</v>
      </c>
      <c r="R1089" s="126" t="str">
        <f t="shared" si="117"/>
        <v>MARKETING &amp; PROMOTIONAL</v>
      </c>
      <c r="S1089" s="125" t="str">
        <f t="shared" si="118"/>
        <v>100</v>
      </c>
      <c r="T1089" s="125" t="str">
        <f t="shared" si="119"/>
        <v>63</v>
      </c>
      <c r="U1089" s="125" t="str">
        <f t="shared" si="120"/>
        <v>633</v>
      </c>
      <c r="V1089" s="125" t="str">
        <f>VLOOKUP(Q1089,'GL Category'!A:C,3,FALSE)</f>
        <v>Services &amp; other</v>
      </c>
      <c r="W1089" s="125"/>
    </row>
    <row r="1090" spans="1:24" s="83" customFormat="1" ht="15" customHeight="1">
      <c r="A1090" s="608" t="s">
        <v>791</v>
      </c>
      <c r="B1090" s="608" t="s">
        <v>3006</v>
      </c>
      <c r="C1090" s="608" t="s">
        <v>908</v>
      </c>
      <c r="D1090" s="609">
        <v>0</v>
      </c>
      <c r="E1090" s="609">
        <v>17348.05</v>
      </c>
      <c r="F1090" s="609">
        <v>43946.92</v>
      </c>
      <c r="G1090" s="609">
        <v>13206.41</v>
      </c>
      <c r="H1090" s="609">
        <v>16250</v>
      </c>
      <c r="I1090" s="609">
        <v>12226.31</v>
      </c>
      <c r="J1090" s="609">
        <v>16250</v>
      </c>
      <c r="K1090" s="609">
        <v>16250</v>
      </c>
      <c r="L1090" s="609">
        <v>0</v>
      </c>
      <c r="M1090" s="609">
        <v>0</v>
      </c>
      <c r="N1090" s="587">
        <f t="shared" si="115"/>
        <v>16250</v>
      </c>
      <c r="O1090"/>
      <c r="P1090" s="490"/>
      <c r="Q1090" t="str">
        <f t="shared" si="116"/>
        <v>53535</v>
      </c>
      <c r="R1090" s="126" t="str">
        <f t="shared" si="117"/>
        <v>RECREATION &amp; CULTURE PROGRAMS</v>
      </c>
      <c r="S1090" s="125" t="str">
        <f t="shared" si="118"/>
        <v>100</v>
      </c>
      <c r="T1090" s="125" t="str">
        <f t="shared" si="119"/>
        <v>63</v>
      </c>
      <c r="U1090" s="125" t="str">
        <f t="shared" si="120"/>
        <v>633</v>
      </c>
      <c r="V1090" s="125" t="str">
        <f>VLOOKUP(Q1090,'GL Category'!A:C,3,FALSE)</f>
        <v>Services &amp; other</v>
      </c>
      <c r="W1090" s="125"/>
    </row>
    <row r="1091" spans="1:24" ht="20.399999999999999" customHeight="1">
      <c r="A1091" s="608" t="s">
        <v>791</v>
      </c>
      <c r="B1091" s="608" t="s">
        <v>3007</v>
      </c>
      <c r="C1091" s="608" t="s">
        <v>203</v>
      </c>
      <c r="D1091" s="609">
        <v>2744.61</v>
      </c>
      <c r="E1091" s="609">
        <v>414.99</v>
      </c>
      <c r="F1091" s="609">
        <v>2753.53</v>
      </c>
      <c r="G1091" s="609">
        <v>2358.36</v>
      </c>
      <c r="H1091" s="609">
        <v>3000</v>
      </c>
      <c r="I1091" s="609">
        <v>1241.4100000000001</v>
      </c>
      <c r="J1091" s="609">
        <v>3000</v>
      </c>
      <c r="K1091" s="609">
        <v>3000</v>
      </c>
      <c r="L1091" s="609">
        <v>0</v>
      </c>
      <c r="M1091" s="609">
        <v>0</v>
      </c>
      <c r="N1091" s="587">
        <f t="shared" si="115"/>
        <v>3000</v>
      </c>
      <c r="Q1091" t="str">
        <f t="shared" si="116"/>
        <v>53540</v>
      </c>
      <c r="R1091" s="126" t="str">
        <f t="shared" si="117"/>
        <v>PRINTING &amp; BINDING SERVICES</v>
      </c>
      <c r="S1091" s="125" t="str">
        <f t="shared" si="118"/>
        <v>100</v>
      </c>
      <c r="T1091" s="125" t="str">
        <f t="shared" si="119"/>
        <v>63</v>
      </c>
      <c r="U1091" s="125" t="str">
        <f t="shared" si="120"/>
        <v>633</v>
      </c>
      <c r="V1091" s="125" t="str">
        <f>VLOOKUP(Q1091,'GL Category'!A:C,3,FALSE)</f>
        <v>Services &amp; other</v>
      </c>
      <c r="X1091" s="83"/>
    </row>
    <row r="1092" spans="1:24" ht="20.399999999999999" customHeight="1">
      <c r="A1092" s="608" t="s">
        <v>791</v>
      </c>
      <c r="B1092" s="608" t="s">
        <v>3007</v>
      </c>
      <c r="C1092" s="608" t="s">
        <v>203</v>
      </c>
      <c r="D1092" s="609">
        <v>0</v>
      </c>
      <c r="E1092" s="609">
        <v>0</v>
      </c>
      <c r="F1092" s="609">
        <v>0</v>
      </c>
      <c r="G1092" s="609">
        <v>0</v>
      </c>
      <c r="H1092" s="609">
        <v>0</v>
      </c>
      <c r="I1092" s="609">
        <v>0</v>
      </c>
      <c r="J1092" s="609">
        <v>0</v>
      </c>
      <c r="K1092" s="609">
        <v>0</v>
      </c>
      <c r="L1092" s="609">
        <v>0</v>
      </c>
      <c r="M1092" s="609">
        <v>0</v>
      </c>
      <c r="N1092" s="587">
        <f t="shared" ref="N1092:N1155" si="123">SUM(K1092:M1092)</f>
        <v>0</v>
      </c>
      <c r="Q1092" t="str">
        <f t="shared" ref="Q1092:Q1155" si="124">MID(B1092,12,5)</f>
        <v>53540</v>
      </c>
      <c r="R1092" s="126" t="str">
        <f t="shared" ref="R1092:R1155" si="125">C1092</f>
        <v>PRINTING &amp; BINDING SERVICES</v>
      </c>
      <c r="S1092" s="125" t="str">
        <f t="shared" ref="S1092:S1155" si="126">LEFT(B1092,3)</f>
        <v>100</v>
      </c>
      <c r="T1092" s="125" t="str">
        <f t="shared" ref="T1092:T1155" si="127">MID(B1092,5,2)</f>
        <v>63</v>
      </c>
      <c r="U1092" s="125" t="str">
        <f t="shared" ref="U1092:U1155" si="128">MID(B1092,8,3)</f>
        <v>633</v>
      </c>
      <c r="V1092" s="125" t="str">
        <f>VLOOKUP(Q1092,'GL Category'!A:C,3,FALSE)</f>
        <v>Services &amp; other</v>
      </c>
      <c r="X1092" s="83"/>
    </row>
    <row r="1093" spans="1:24" ht="20.399999999999999" customHeight="1">
      <c r="A1093" s="608" t="s">
        <v>791</v>
      </c>
      <c r="B1093" s="608" t="s">
        <v>3009</v>
      </c>
      <c r="C1093" s="608" t="s">
        <v>221</v>
      </c>
      <c r="D1093" s="609">
        <v>9990</v>
      </c>
      <c r="E1093" s="609">
        <v>11458</v>
      </c>
      <c r="F1093" s="609">
        <v>13398</v>
      </c>
      <c r="G1093" s="609">
        <v>13647</v>
      </c>
      <c r="H1093" s="609">
        <v>13010</v>
      </c>
      <c r="I1093" s="609">
        <v>9757.5</v>
      </c>
      <c r="J1093" s="609">
        <v>13010</v>
      </c>
      <c r="K1093" s="609">
        <v>19887</v>
      </c>
      <c r="L1093" s="609">
        <v>0</v>
      </c>
      <c r="M1093" s="609">
        <v>0</v>
      </c>
      <c r="N1093" s="587">
        <f t="shared" si="123"/>
        <v>19887</v>
      </c>
      <c r="Q1093" t="str">
        <f t="shared" si="124"/>
        <v>55119</v>
      </c>
      <c r="R1093" s="126" t="str">
        <f t="shared" si="125"/>
        <v>OFFICE EQUIP LEASE EXP-CITY</v>
      </c>
      <c r="S1093" s="125" t="str">
        <f t="shared" si="126"/>
        <v>100</v>
      </c>
      <c r="T1093" s="125" t="str">
        <f t="shared" si="127"/>
        <v>63</v>
      </c>
      <c r="U1093" s="125" t="str">
        <f t="shared" si="128"/>
        <v>633</v>
      </c>
      <c r="V1093" s="125" t="str">
        <f>VLOOKUP(Q1093,'GL Category'!A:C,3,FALSE)</f>
        <v>Services &amp; other</v>
      </c>
      <c r="X1093" s="83"/>
    </row>
    <row r="1094" spans="1:24" ht="20.399999999999999" customHeight="1">
      <c r="A1094" s="608" t="s">
        <v>791</v>
      </c>
      <c r="B1094" s="608" t="s">
        <v>3008</v>
      </c>
      <c r="C1094" s="608" t="s">
        <v>220</v>
      </c>
      <c r="D1094" s="609">
        <v>72</v>
      </c>
      <c r="E1094" s="609">
        <v>75072</v>
      </c>
      <c r="F1094" s="609">
        <v>72</v>
      </c>
      <c r="G1094" s="609">
        <v>8980</v>
      </c>
      <c r="H1094" s="609">
        <v>8980</v>
      </c>
      <c r="I1094" s="609">
        <v>6735</v>
      </c>
      <c r="J1094" s="609">
        <v>8980</v>
      </c>
      <c r="K1094" s="609">
        <v>8980</v>
      </c>
      <c r="L1094" s="609">
        <v>0</v>
      </c>
      <c r="M1094" s="609">
        <v>0</v>
      </c>
      <c r="N1094" s="587">
        <f t="shared" si="123"/>
        <v>8980</v>
      </c>
      <c r="Q1094" t="str">
        <f t="shared" si="124"/>
        <v>55175</v>
      </c>
      <c r="R1094" s="126" t="str">
        <f t="shared" si="125"/>
        <v>VEHICLE/EQUIP LEASE EXP-CITY</v>
      </c>
      <c r="S1094" s="125" t="str">
        <f t="shared" si="126"/>
        <v>100</v>
      </c>
      <c r="T1094" s="125" t="str">
        <f t="shared" si="127"/>
        <v>63</v>
      </c>
      <c r="U1094" s="125" t="str">
        <f t="shared" si="128"/>
        <v>633</v>
      </c>
      <c r="V1094" s="125" t="str">
        <f>VLOOKUP(Q1094,'GL Category'!A:C,3,FALSE)</f>
        <v>Services &amp; other</v>
      </c>
      <c r="X1094" s="83"/>
    </row>
    <row r="1095" spans="1:24" ht="20.399999999999999" customHeight="1">
      <c r="A1095" s="608" t="s">
        <v>791</v>
      </c>
      <c r="B1095" s="608" t="s">
        <v>3010</v>
      </c>
      <c r="C1095" s="608" t="s">
        <v>829</v>
      </c>
      <c r="D1095" s="609">
        <v>34100</v>
      </c>
      <c r="E1095" s="609">
        <v>34100</v>
      </c>
      <c r="F1095" s="609">
        <v>34100</v>
      </c>
      <c r="G1095" s="609">
        <v>84100</v>
      </c>
      <c r="H1095" s="609">
        <v>114100</v>
      </c>
      <c r="I1095" s="609">
        <v>85575</v>
      </c>
      <c r="J1095" s="609">
        <v>114100</v>
      </c>
      <c r="K1095" s="609">
        <v>114100</v>
      </c>
      <c r="L1095" s="609">
        <v>0</v>
      </c>
      <c r="M1095" s="609">
        <v>0</v>
      </c>
      <c r="N1095" s="587">
        <f t="shared" si="123"/>
        <v>114100</v>
      </c>
      <c r="Q1095" t="str">
        <f t="shared" si="124"/>
        <v>59112</v>
      </c>
      <c r="R1095" s="126" t="str">
        <f t="shared" si="125"/>
        <v>TRANSFER TO REC SPEC REV FUND</v>
      </c>
      <c r="S1095" s="125" t="str">
        <f t="shared" si="126"/>
        <v>100</v>
      </c>
      <c r="T1095" s="125" t="str">
        <f t="shared" si="127"/>
        <v>63</v>
      </c>
      <c r="U1095" s="125" t="str">
        <f t="shared" si="128"/>
        <v>633</v>
      </c>
      <c r="V1095" s="125" t="str">
        <f>VLOOKUP(Q1095,'GL Category'!A:C,3,FALSE)</f>
        <v>Transfers to other funds</v>
      </c>
      <c r="X1095" s="83"/>
    </row>
    <row r="1096" spans="1:24" ht="20.399999999999999" customHeight="1">
      <c r="A1096" s="608" t="s">
        <v>791</v>
      </c>
      <c r="B1096" s="608" t="s">
        <v>3011</v>
      </c>
      <c r="C1096" s="608" t="s">
        <v>130</v>
      </c>
      <c r="D1096" s="609">
        <v>56613.120000000003</v>
      </c>
      <c r="E1096" s="609">
        <v>82900.649999999994</v>
      </c>
      <c r="F1096" s="609">
        <v>118849.16</v>
      </c>
      <c r="G1096" s="609">
        <v>126196.88</v>
      </c>
      <c r="H1096" s="609">
        <v>130925</v>
      </c>
      <c r="I1096" s="609">
        <v>95582.67</v>
      </c>
      <c r="J1096" s="609">
        <v>128980</v>
      </c>
      <c r="K1096" s="609">
        <v>136189</v>
      </c>
      <c r="L1096" s="609">
        <v>0</v>
      </c>
      <c r="M1096" s="609">
        <v>0</v>
      </c>
      <c r="N1096" s="587">
        <f t="shared" si="123"/>
        <v>136189</v>
      </c>
      <c r="Q1096" t="str">
        <f t="shared" si="124"/>
        <v>50101</v>
      </c>
      <c r="R1096" s="126" t="str">
        <f t="shared" si="125"/>
        <v>EXEMPT SALARIES</v>
      </c>
      <c r="S1096" s="125" t="str">
        <f t="shared" si="126"/>
        <v>100</v>
      </c>
      <c r="T1096" s="125" t="str">
        <f t="shared" si="127"/>
        <v>63</v>
      </c>
      <c r="U1096" s="125" t="str">
        <f t="shared" si="128"/>
        <v>634</v>
      </c>
      <c r="V1096" s="125" t="str">
        <f>VLOOKUP(Q1096,'GL Category'!A:C,3,FALSE)</f>
        <v>Personnel services</v>
      </c>
      <c r="X1096" s="83"/>
    </row>
    <row r="1097" spans="1:24" ht="20.399999999999999" customHeight="1">
      <c r="A1097" s="608" t="s">
        <v>791</v>
      </c>
      <c r="B1097" s="608" t="s">
        <v>3012</v>
      </c>
      <c r="C1097" s="608" t="s">
        <v>132</v>
      </c>
      <c r="D1097" s="609">
        <v>82566.52</v>
      </c>
      <c r="E1097" s="609">
        <v>56927.07</v>
      </c>
      <c r="F1097" s="609">
        <v>36274.78</v>
      </c>
      <c r="G1097" s="609">
        <v>51847.68</v>
      </c>
      <c r="H1097" s="609">
        <v>75390</v>
      </c>
      <c r="I1097" s="609">
        <v>52834.83</v>
      </c>
      <c r="J1097" s="609">
        <v>71645</v>
      </c>
      <c r="K1097" s="609">
        <v>77974</v>
      </c>
      <c r="L1097" s="609">
        <v>0</v>
      </c>
      <c r="M1097" s="609">
        <v>0</v>
      </c>
      <c r="N1097" s="587">
        <f t="shared" si="123"/>
        <v>77974</v>
      </c>
      <c r="Q1097" t="str">
        <f t="shared" si="124"/>
        <v>50102</v>
      </c>
      <c r="R1097" s="126" t="str">
        <f t="shared" si="125"/>
        <v>NON EXEMPT SALARIES</v>
      </c>
      <c r="S1097" s="125" t="str">
        <f t="shared" si="126"/>
        <v>100</v>
      </c>
      <c r="T1097" s="125" t="str">
        <f t="shared" si="127"/>
        <v>63</v>
      </c>
      <c r="U1097" s="125" t="str">
        <f t="shared" si="128"/>
        <v>634</v>
      </c>
      <c r="V1097" s="125" t="str">
        <f>VLOOKUP(Q1097,'GL Category'!A:C,3,FALSE)</f>
        <v>Personnel services</v>
      </c>
      <c r="X1097" s="83"/>
    </row>
    <row r="1098" spans="1:24" ht="20.399999999999999" customHeight="1">
      <c r="A1098" s="608" t="s">
        <v>791</v>
      </c>
      <c r="B1098" s="608" t="s">
        <v>3013</v>
      </c>
      <c r="C1098" s="608" t="s">
        <v>0</v>
      </c>
      <c r="D1098" s="609">
        <v>0</v>
      </c>
      <c r="E1098" s="609">
        <v>259.76</v>
      </c>
      <c r="F1098" s="609">
        <v>469.31</v>
      </c>
      <c r="G1098" s="609">
        <v>469.27</v>
      </c>
      <c r="H1098" s="609">
        <v>500</v>
      </c>
      <c r="I1098" s="609">
        <v>583.51</v>
      </c>
      <c r="J1098" s="609">
        <v>873</v>
      </c>
      <c r="K1098" s="609">
        <v>500</v>
      </c>
      <c r="L1098" s="609">
        <v>0</v>
      </c>
      <c r="M1098" s="609">
        <v>0</v>
      </c>
      <c r="N1098" s="587">
        <f t="shared" si="123"/>
        <v>500</v>
      </c>
      <c r="Q1098" t="str">
        <f t="shared" si="124"/>
        <v>50109</v>
      </c>
      <c r="R1098" s="126" t="str">
        <f t="shared" si="125"/>
        <v>OVERTIME</v>
      </c>
      <c r="S1098" s="125" t="str">
        <f t="shared" si="126"/>
        <v>100</v>
      </c>
      <c r="T1098" s="125" t="str">
        <f t="shared" si="127"/>
        <v>63</v>
      </c>
      <c r="U1098" s="125" t="str">
        <f t="shared" si="128"/>
        <v>634</v>
      </c>
      <c r="V1098" s="125" t="str">
        <f>VLOOKUP(Q1098,'GL Category'!A:C,3,FALSE)</f>
        <v>Personnel services</v>
      </c>
      <c r="X1098" s="83"/>
    </row>
    <row r="1099" spans="1:24" ht="20.399999999999999" customHeight="1">
      <c r="A1099" s="608" t="s">
        <v>791</v>
      </c>
      <c r="B1099" s="608" t="s">
        <v>3014</v>
      </c>
      <c r="C1099" s="608" t="s">
        <v>135</v>
      </c>
      <c r="D1099" s="609">
        <v>0</v>
      </c>
      <c r="E1099" s="609">
        <v>0</v>
      </c>
      <c r="F1099" s="609">
        <v>0</v>
      </c>
      <c r="G1099" s="609">
        <v>17511.580000000002</v>
      </c>
      <c r="H1099" s="609">
        <v>33510</v>
      </c>
      <c r="I1099" s="609">
        <v>16372.09</v>
      </c>
      <c r="J1099" s="609">
        <v>26427</v>
      </c>
      <c r="K1099" s="609">
        <v>34800</v>
      </c>
      <c r="L1099" s="609">
        <v>0</v>
      </c>
      <c r="M1099" s="609">
        <v>0</v>
      </c>
      <c r="N1099" s="587">
        <f t="shared" si="123"/>
        <v>34800</v>
      </c>
      <c r="Q1099" t="str">
        <f t="shared" si="124"/>
        <v>50110</v>
      </c>
      <c r="R1099" s="126" t="str">
        <f t="shared" si="125"/>
        <v>PART-TIME WAGES</v>
      </c>
      <c r="S1099" s="125" t="str">
        <f t="shared" si="126"/>
        <v>100</v>
      </c>
      <c r="T1099" s="125" t="str">
        <f t="shared" si="127"/>
        <v>63</v>
      </c>
      <c r="U1099" s="125" t="str">
        <f t="shared" si="128"/>
        <v>634</v>
      </c>
      <c r="V1099" s="125" t="str">
        <f>VLOOKUP(Q1099,'GL Category'!A:C,3,FALSE)</f>
        <v>Personnel services</v>
      </c>
      <c r="X1099" s="83"/>
    </row>
    <row r="1100" spans="1:24" ht="20.399999999999999" customHeight="1">
      <c r="A1100" s="608" t="s">
        <v>791</v>
      </c>
      <c r="B1100" s="608" t="s">
        <v>3015</v>
      </c>
      <c r="C1100" s="608" t="s">
        <v>137</v>
      </c>
      <c r="D1100" s="609">
        <v>995</v>
      </c>
      <c r="E1100" s="609">
        <v>1175</v>
      </c>
      <c r="F1100" s="609">
        <v>1140</v>
      </c>
      <c r="G1100" s="609">
        <v>1350</v>
      </c>
      <c r="H1100" s="609">
        <v>1550</v>
      </c>
      <c r="I1100" s="609">
        <v>1530</v>
      </c>
      <c r="J1100" s="609">
        <v>1530</v>
      </c>
      <c r="K1100" s="609">
        <v>1837</v>
      </c>
      <c r="L1100" s="609">
        <v>0</v>
      </c>
      <c r="M1100" s="609">
        <v>0</v>
      </c>
      <c r="N1100" s="587">
        <f t="shared" si="123"/>
        <v>1837</v>
      </c>
      <c r="Q1100" t="str">
        <f t="shared" si="124"/>
        <v>50111</v>
      </c>
      <c r="R1100" s="126" t="str">
        <f t="shared" si="125"/>
        <v>LONGEVITY PAY</v>
      </c>
      <c r="S1100" s="125" t="str">
        <f t="shared" si="126"/>
        <v>100</v>
      </c>
      <c r="T1100" s="125" t="str">
        <f t="shared" si="127"/>
        <v>63</v>
      </c>
      <c r="U1100" s="125" t="str">
        <f t="shared" si="128"/>
        <v>634</v>
      </c>
      <c r="V1100" s="125" t="str">
        <f>VLOOKUP(Q1100,'GL Category'!A:C,3,FALSE)</f>
        <v>Personnel services</v>
      </c>
      <c r="X1100" s="83"/>
    </row>
    <row r="1101" spans="1:24" ht="20.399999999999999" customHeight="1">
      <c r="A1101" s="608" t="s">
        <v>791</v>
      </c>
      <c r="B1101" s="608" t="s">
        <v>3016</v>
      </c>
      <c r="C1101" s="608" t="s">
        <v>1</v>
      </c>
      <c r="D1101" s="609">
        <v>10476.719999999999</v>
      </c>
      <c r="E1101" s="609">
        <v>10542.97</v>
      </c>
      <c r="F1101" s="609">
        <v>11531.21</v>
      </c>
      <c r="G1101" s="609">
        <v>14606.12</v>
      </c>
      <c r="H1101" s="609">
        <v>18670</v>
      </c>
      <c r="I1101" s="609">
        <v>12227.98</v>
      </c>
      <c r="J1101" s="609">
        <v>17030</v>
      </c>
      <c r="K1101" s="609">
        <v>19380</v>
      </c>
      <c r="L1101" s="609">
        <v>0</v>
      </c>
      <c r="M1101" s="609">
        <v>0</v>
      </c>
      <c r="N1101" s="587">
        <f t="shared" si="123"/>
        <v>19380</v>
      </c>
      <c r="Q1101" t="str">
        <f t="shared" si="124"/>
        <v>50610</v>
      </c>
      <c r="R1101" s="126" t="str">
        <f t="shared" si="125"/>
        <v>SOCIAL SECURITY</v>
      </c>
      <c r="S1101" s="125" t="str">
        <f t="shared" si="126"/>
        <v>100</v>
      </c>
      <c r="T1101" s="125" t="str">
        <f t="shared" si="127"/>
        <v>63</v>
      </c>
      <c r="U1101" s="125" t="str">
        <f t="shared" si="128"/>
        <v>634</v>
      </c>
      <c r="V1101" s="125" t="str">
        <f>VLOOKUP(Q1101,'GL Category'!A:C,3,FALSE)</f>
        <v>Personnel services</v>
      </c>
      <c r="X1101" s="83"/>
    </row>
    <row r="1102" spans="1:24" ht="20.399999999999999" customHeight="1">
      <c r="A1102" s="608" t="s">
        <v>791</v>
      </c>
      <c r="B1102" s="608" t="s">
        <v>3017</v>
      </c>
      <c r="C1102" s="608" t="s">
        <v>142</v>
      </c>
      <c r="D1102" s="609">
        <v>40277.339999999997</v>
      </c>
      <c r="E1102" s="609">
        <v>39002.19</v>
      </c>
      <c r="F1102" s="609">
        <v>49462.38</v>
      </c>
      <c r="G1102" s="609">
        <v>54772.46</v>
      </c>
      <c r="H1102" s="609">
        <v>59307</v>
      </c>
      <c r="I1102" s="609">
        <v>44646.35</v>
      </c>
      <c r="J1102" s="609">
        <v>58821</v>
      </c>
      <c r="K1102" s="609">
        <v>48184</v>
      </c>
      <c r="L1102" s="609">
        <v>0</v>
      </c>
      <c r="M1102" s="609">
        <v>0</v>
      </c>
      <c r="N1102" s="587">
        <f t="shared" si="123"/>
        <v>48184</v>
      </c>
      <c r="Q1102" t="str">
        <f t="shared" si="124"/>
        <v>50620</v>
      </c>
      <c r="R1102" s="126" t="str">
        <f t="shared" si="125"/>
        <v>HEALTH/LIFE INSURANCE</v>
      </c>
      <c r="S1102" s="125" t="str">
        <f t="shared" si="126"/>
        <v>100</v>
      </c>
      <c r="T1102" s="125" t="str">
        <f t="shared" si="127"/>
        <v>63</v>
      </c>
      <c r="U1102" s="125" t="str">
        <f t="shared" si="128"/>
        <v>634</v>
      </c>
      <c r="V1102" s="125" t="str">
        <f>VLOOKUP(Q1102,'GL Category'!A:C,3,FALSE)</f>
        <v>Personnel services</v>
      </c>
      <c r="X1102" s="83"/>
    </row>
    <row r="1103" spans="1:24" ht="20.399999999999999" customHeight="1">
      <c r="A1103" s="608" t="s">
        <v>791</v>
      </c>
      <c r="B1103" s="608" t="s">
        <v>3018</v>
      </c>
      <c r="C1103" s="608" t="s">
        <v>144</v>
      </c>
      <c r="D1103" s="609">
        <v>96.2</v>
      </c>
      <c r="E1103" s="609">
        <v>89.34</v>
      </c>
      <c r="F1103" s="609">
        <v>103.13</v>
      </c>
      <c r="G1103" s="609">
        <v>194.65</v>
      </c>
      <c r="H1103" s="609">
        <v>354</v>
      </c>
      <c r="I1103" s="609">
        <v>353.72</v>
      </c>
      <c r="J1103" s="609">
        <v>354</v>
      </c>
      <c r="K1103" s="609">
        <v>354</v>
      </c>
      <c r="L1103" s="609">
        <v>0</v>
      </c>
      <c r="M1103" s="609">
        <v>0</v>
      </c>
      <c r="N1103" s="587">
        <f t="shared" si="123"/>
        <v>354</v>
      </c>
      <c r="Q1103" t="str">
        <f t="shared" si="124"/>
        <v>50630</v>
      </c>
      <c r="R1103" s="126" t="str">
        <f t="shared" si="125"/>
        <v>WORKER COMPENSATION</v>
      </c>
      <c r="S1103" s="125" t="str">
        <f t="shared" si="126"/>
        <v>100</v>
      </c>
      <c r="T1103" s="125" t="str">
        <f t="shared" si="127"/>
        <v>63</v>
      </c>
      <c r="U1103" s="125" t="str">
        <f t="shared" si="128"/>
        <v>634</v>
      </c>
      <c r="V1103" s="125" t="str">
        <f>VLOOKUP(Q1103,'GL Category'!A:C,3,FALSE)</f>
        <v>Personnel services</v>
      </c>
      <c r="X1103" s="83"/>
    </row>
    <row r="1104" spans="1:24" ht="20.399999999999999" customHeight="1">
      <c r="A1104" s="608" t="s">
        <v>791</v>
      </c>
      <c r="B1104" s="608" t="s">
        <v>3019</v>
      </c>
      <c r="C1104" s="608" t="s">
        <v>2</v>
      </c>
      <c r="D1104" s="609">
        <v>22271.99</v>
      </c>
      <c r="E1104" s="609">
        <v>22822.97</v>
      </c>
      <c r="F1104" s="609">
        <v>25374.99</v>
      </c>
      <c r="G1104" s="609">
        <v>29206.01</v>
      </c>
      <c r="H1104" s="609">
        <v>34737</v>
      </c>
      <c r="I1104" s="609">
        <v>25052.48</v>
      </c>
      <c r="J1104" s="609">
        <v>33726</v>
      </c>
      <c r="K1104" s="609">
        <v>36955</v>
      </c>
      <c r="L1104" s="609">
        <v>0</v>
      </c>
      <c r="M1104" s="609">
        <v>0</v>
      </c>
      <c r="N1104" s="587">
        <f t="shared" si="123"/>
        <v>36955</v>
      </c>
      <c r="Q1104" t="str">
        <f t="shared" si="124"/>
        <v>50650</v>
      </c>
      <c r="R1104" s="126" t="str">
        <f t="shared" si="125"/>
        <v>RETIREMENT</v>
      </c>
      <c r="S1104" s="125" t="str">
        <f t="shared" si="126"/>
        <v>100</v>
      </c>
      <c r="T1104" s="125" t="str">
        <f t="shared" si="127"/>
        <v>63</v>
      </c>
      <c r="U1104" s="125" t="str">
        <f t="shared" si="128"/>
        <v>634</v>
      </c>
      <c r="V1104" s="125" t="str">
        <f>VLOOKUP(Q1104,'GL Category'!A:C,3,FALSE)</f>
        <v>Personnel services</v>
      </c>
      <c r="X1104" s="83"/>
    </row>
    <row r="1105" spans="1:24" ht="14.4" customHeight="1">
      <c r="A1105" s="608" t="s">
        <v>791</v>
      </c>
      <c r="B1105" s="608" t="s">
        <v>3020</v>
      </c>
      <c r="C1105" s="608" t="s">
        <v>149</v>
      </c>
      <c r="D1105" s="609">
        <v>610.04999999999995</v>
      </c>
      <c r="E1105" s="609">
        <v>947.76</v>
      </c>
      <c r="F1105" s="609">
        <v>1987.3</v>
      </c>
      <c r="G1105" s="609">
        <v>2164.92</v>
      </c>
      <c r="H1105" s="609">
        <v>2000</v>
      </c>
      <c r="I1105" s="609">
        <v>943.74</v>
      </c>
      <c r="J1105" s="609">
        <v>2000</v>
      </c>
      <c r="K1105" s="609">
        <v>2000</v>
      </c>
      <c r="L1105" s="609">
        <v>0</v>
      </c>
      <c r="M1105" s="609">
        <v>0</v>
      </c>
      <c r="N1105" s="587">
        <f t="shared" si="123"/>
        <v>2000</v>
      </c>
      <c r="Q1105" t="str">
        <f t="shared" si="124"/>
        <v>51210</v>
      </c>
      <c r="R1105" s="126" t="str">
        <f t="shared" si="125"/>
        <v>OFFICE SUPPLIES</v>
      </c>
      <c r="S1105" s="125" t="str">
        <f t="shared" si="126"/>
        <v>100</v>
      </c>
      <c r="T1105" s="125" t="str">
        <f t="shared" si="127"/>
        <v>63</v>
      </c>
      <c r="U1105" s="125" t="str">
        <f t="shared" si="128"/>
        <v>634</v>
      </c>
      <c r="V1105" s="125" t="str">
        <f>VLOOKUP(Q1105,'GL Category'!A:C,3,FALSE)</f>
        <v>Operations &amp; maintenance</v>
      </c>
      <c r="X1105" s="83"/>
    </row>
    <row r="1106" spans="1:24" s="531" customFormat="1" ht="20.399999999999999" customHeight="1">
      <c r="A1106" s="608" t="s">
        <v>791</v>
      </c>
      <c r="B1106" s="608" t="s">
        <v>3229</v>
      </c>
      <c r="C1106" s="608" t="s">
        <v>155</v>
      </c>
      <c r="D1106" s="609">
        <v>0</v>
      </c>
      <c r="E1106" s="609">
        <v>52</v>
      </c>
      <c r="F1106" s="609">
        <v>4787.54</v>
      </c>
      <c r="G1106" s="609">
        <v>4137.66</v>
      </c>
      <c r="H1106" s="609">
        <v>4620</v>
      </c>
      <c r="I1106" s="609">
        <v>2293.37</v>
      </c>
      <c r="J1106" s="609">
        <v>4620</v>
      </c>
      <c r="K1106" s="609">
        <v>4620</v>
      </c>
      <c r="L1106" s="609">
        <v>0</v>
      </c>
      <c r="M1106" s="609">
        <v>0</v>
      </c>
      <c r="N1106" s="587">
        <f t="shared" si="123"/>
        <v>4620</v>
      </c>
      <c r="O1106"/>
      <c r="P1106" s="530"/>
      <c r="Q1106" t="str">
        <f t="shared" si="124"/>
        <v>51225</v>
      </c>
      <c r="R1106" s="532" t="str">
        <f t="shared" si="125"/>
        <v>JANITORIAL SUPPLIES</v>
      </c>
      <c r="S1106" s="529" t="str">
        <f t="shared" si="126"/>
        <v>100</v>
      </c>
      <c r="T1106" s="125" t="str">
        <f t="shared" si="127"/>
        <v>63</v>
      </c>
      <c r="U1106" s="125" t="str">
        <f t="shared" si="128"/>
        <v>634</v>
      </c>
      <c r="V1106" s="529" t="str">
        <f>VLOOKUP(Q1106,'GL Category'!A:C,3,FALSE)</f>
        <v>Operations &amp; maintenance</v>
      </c>
      <c r="X1106" s="83"/>
    </row>
    <row r="1107" spans="1:24" ht="20.399999999999999" customHeight="1">
      <c r="A1107" s="608" t="s">
        <v>791</v>
      </c>
      <c r="B1107" s="608" t="s">
        <v>3021</v>
      </c>
      <c r="C1107" s="608" t="s">
        <v>4</v>
      </c>
      <c r="D1107" s="609">
        <v>3747.32</v>
      </c>
      <c r="E1107" s="609">
        <v>1888.66</v>
      </c>
      <c r="F1107" s="609">
        <v>4669.83</v>
      </c>
      <c r="G1107" s="609">
        <v>1854.37</v>
      </c>
      <c r="H1107" s="609">
        <v>5000</v>
      </c>
      <c r="I1107" s="609">
        <v>2771.01</v>
      </c>
      <c r="J1107" s="609">
        <v>5000</v>
      </c>
      <c r="K1107" s="609">
        <v>5000</v>
      </c>
      <c r="L1107" s="609">
        <v>0</v>
      </c>
      <c r="M1107" s="609">
        <v>0</v>
      </c>
      <c r="N1107" s="587">
        <f t="shared" si="123"/>
        <v>5000</v>
      </c>
      <c r="Q1107" t="str">
        <f t="shared" si="124"/>
        <v>51245</v>
      </c>
      <c r="R1107" s="126" t="str">
        <f t="shared" si="125"/>
        <v>SMALL TOOLS &amp; EQUIPMENT</v>
      </c>
      <c r="S1107" s="125" t="str">
        <f t="shared" si="126"/>
        <v>100</v>
      </c>
      <c r="T1107" s="125" t="str">
        <f t="shared" si="127"/>
        <v>63</v>
      </c>
      <c r="U1107" s="125" t="str">
        <f t="shared" si="128"/>
        <v>634</v>
      </c>
      <c r="V1107" s="125" t="str">
        <f>VLOOKUP(Q1107,'GL Category'!A:C,3,FALSE)</f>
        <v>Operations &amp; maintenance</v>
      </c>
      <c r="X1107" s="83"/>
    </row>
    <row r="1108" spans="1:24" ht="20.399999999999999" customHeight="1">
      <c r="A1108" s="608" t="s">
        <v>791</v>
      </c>
      <c r="B1108" s="608" t="s">
        <v>3022</v>
      </c>
      <c r="C1108" s="608" t="s">
        <v>161</v>
      </c>
      <c r="D1108" s="609">
        <v>264</v>
      </c>
      <c r="E1108" s="609">
        <v>38.58</v>
      </c>
      <c r="F1108" s="609">
        <v>487.03</v>
      </c>
      <c r="G1108" s="609">
        <v>583.52</v>
      </c>
      <c r="H1108" s="609">
        <v>600</v>
      </c>
      <c r="I1108" s="609">
        <v>332.9</v>
      </c>
      <c r="J1108" s="609">
        <v>600</v>
      </c>
      <c r="K1108" s="609">
        <v>600</v>
      </c>
      <c r="L1108" s="609">
        <v>0</v>
      </c>
      <c r="M1108" s="609">
        <v>0</v>
      </c>
      <c r="N1108" s="587">
        <f t="shared" si="123"/>
        <v>600</v>
      </c>
      <c r="Q1108" t="str">
        <f t="shared" si="124"/>
        <v>51255</v>
      </c>
      <c r="R1108" s="126" t="str">
        <f t="shared" si="125"/>
        <v>FUEL/OILS/LUBRICANTS</v>
      </c>
      <c r="S1108" s="125" t="str">
        <f t="shared" si="126"/>
        <v>100</v>
      </c>
      <c r="T1108" s="125" t="str">
        <f t="shared" si="127"/>
        <v>63</v>
      </c>
      <c r="U1108" s="125" t="str">
        <f t="shared" si="128"/>
        <v>634</v>
      </c>
      <c r="V1108" s="125" t="str">
        <f>VLOOKUP(Q1108,'GL Category'!A:C,3,FALSE)</f>
        <v>Operations &amp; maintenance</v>
      </c>
      <c r="X1108" s="83"/>
    </row>
    <row r="1109" spans="1:24" ht="20.399999999999999" customHeight="1">
      <c r="A1109" s="608" t="s">
        <v>791</v>
      </c>
      <c r="B1109" s="608" t="s">
        <v>3023</v>
      </c>
      <c r="C1109" s="608" t="s">
        <v>263</v>
      </c>
      <c r="D1109" s="609">
        <v>638.72</v>
      </c>
      <c r="E1109" s="609">
        <v>1811.07</v>
      </c>
      <c r="F1109" s="609">
        <v>1988.35</v>
      </c>
      <c r="G1109" s="609">
        <v>2032.47</v>
      </c>
      <c r="H1109" s="609">
        <v>2250</v>
      </c>
      <c r="I1109" s="609">
        <v>548.75</v>
      </c>
      <c r="J1109" s="609">
        <v>2250</v>
      </c>
      <c r="K1109" s="609">
        <v>2250</v>
      </c>
      <c r="L1109" s="609">
        <v>0</v>
      </c>
      <c r="M1109" s="609">
        <v>0</v>
      </c>
      <c r="N1109" s="587">
        <f t="shared" si="123"/>
        <v>2250</v>
      </c>
      <c r="P1109" s="490">
        <f t="shared" ref="P1109:P1121" si="129">N1109-H1109</f>
        <v>0</v>
      </c>
      <c r="Q1109" t="str">
        <f t="shared" si="124"/>
        <v>51260</v>
      </c>
      <c r="R1109" s="126" t="str">
        <f t="shared" si="125"/>
        <v>EDUCATION/RECREATION SUPPLIES</v>
      </c>
      <c r="S1109" s="125" t="str">
        <f t="shared" si="126"/>
        <v>100</v>
      </c>
      <c r="T1109" s="125" t="str">
        <f t="shared" si="127"/>
        <v>63</v>
      </c>
      <c r="U1109" s="125" t="str">
        <f t="shared" si="128"/>
        <v>634</v>
      </c>
      <c r="V1109" s="125" t="str">
        <f>VLOOKUP(Q1109,'GL Category'!A:C,3,FALSE)</f>
        <v>Operations &amp; maintenance</v>
      </c>
      <c r="X1109" s="83"/>
    </row>
    <row r="1110" spans="1:24" ht="20.399999999999999" customHeight="1">
      <c r="A1110" s="608" t="s">
        <v>791</v>
      </c>
      <c r="B1110" s="608" t="s">
        <v>3024</v>
      </c>
      <c r="C1110" s="608" t="s">
        <v>167</v>
      </c>
      <c r="D1110" s="609">
        <v>509.54</v>
      </c>
      <c r="E1110" s="609">
        <v>281.52</v>
      </c>
      <c r="F1110" s="609">
        <v>1000.58</v>
      </c>
      <c r="G1110" s="609">
        <v>658.41</v>
      </c>
      <c r="H1110" s="609">
        <v>1000</v>
      </c>
      <c r="I1110" s="609">
        <v>540.75</v>
      </c>
      <c r="J1110" s="609">
        <v>1000</v>
      </c>
      <c r="K1110" s="609">
        <v>1000</v>
      </c>
      <c r="L1110" s="609">
        <v>0</v>
      </c>
      <c r="M1110" s="609">
        <v>0</v>
      </c>
      <c r="N1110" s="587">
        <f t="shared" si="123"/>
        <v>1000</v>
      </c>
      <c r="P1110" s="490">
        <f t="shared" si="129"/>
        <v>0</v>
      </c>
      <c r="Q1110" t="str">
        <f t="shared" si="124"/>
        <v>51285</v>
      </c>
      <c r="R1110" s="126" t="str">
        <f t="shared" si="125"/>
        <v>WEARING APPAREL</v>
      </c>
      <c r="S1110" s="125" t="str">
        <f t="shared" si="126"/>
        <v>100</v>
      </c>
      <c r="T1110" s="125" t="str">
        <f t="shared" si="127"/>
        <v>63</v>
      </c>
      <c r="U1110" s="125" t="str">
        <f t="shared" si="128"/>
        <v>634</v>
      </c>
      <c r="V1110" s="125" t="str">
        <f>VLOOKUP(Q1110,'GL Category'!A:C,3,FALSE)</f>
        <v>Operations &amp; maintenance</v>
      </c>
      <c r="X1110" s="83"/>
    </row>
    <row r="1111" spans="1:24" ht="20.399999999999999" customHeight="1">
      <c r="A1111" s="608" t="s">
        <v>791</v>
      </c>
      <c r="B1111" s="608" t="s">
        <v>3025</v>
      </c>
      <c r="C1111" s="608" t="s">
        <v>169</v>
      </c>
      <c r="D1111" s="609">
        <v>197.86</v>
      </c>
      <c r="E1111" s="609">
        <v>242.92</v>
      </c>
      <c r="F1111" s="609">
        <v>486.69</v>
      </c>
      <c r="G1111" s="609">
        <v>4584.1499999999996</v>
      </c>
      <c r="H1111" s="609">
        <v>8500</v>
      </c>
      <c r="I1111" s="609">
        <v>3970.99</v>
      </c>
      <c r="J1111" s="609">
        <v>8500</v>
      </c>
      <c r="K1111" s="609">
        <v>8500</v>
      </c>
      <c r="L1111" s="609">
        <v>0</v>
      </c>
      <c r="M1111" s="609">
        <v>0</v>
      </c>
      <c r="N1111" s="587">
        <f t="shared" si="123"/>
        <v>8500</v>
      </c>
      <c r="P1111" s="490">
        <f t="shared" si="129"/>
        <v>0</v>
      </c>
      <c r="Q1111" t="str">
        <f t="shared" si="124"/>
        <v>51299</v>
      </c>
      <c r="R1111" s="126" t="str">
        <f t="shared" si="125"/>
        <v>MISCELLANEOUS SUPPLIES</v>
      </c>
      <c r="S1111" s="125" t="str">
        <f t="shared" si="126"/>
        <v>100</v>
      </c>
      <c r="T1111" s="125" t="str">
        <f t="shared" si="127"/>
        <v>63</v>
      </c>
      <c r="U1111" s="125" t="str">
        <f t="shared" si="128"/>
        <v>634</v>
      </c>
      <c r="V1111" s="125" t="str">
        <f>VLOOKUP(Q1111,'GL Category'!A:C,3,FALSE)</f>
        <v>Operations &amp; maintenance</v>
      </c>
      <c r="X1111" s="83"/>
    </row>
    <row r="1112" spans="1:24" ht="20.399999999999999" customHeight="1">
      <c r="A1112" s="608" t="s">
        <v>791</v>
      </c>
      <c r="B1112" s="608" t="s">
        <v>3026</v>
      </c>
      <c r="C1112" s="608" t="s">
        <v>171</v>
      </c>
      <c r="D1112" s="609">
        <v>4580.1400000000003</v>
      </c>
      <c r="E1112" s="609">
        <v>6006.02</v>
      </c>
      <c r="F1112" s="609">
        <v>6946.32</v>
      </c>
      <c r="G1112" s="609">
        <v>13759.21</v>
      </c>
      <c r="H1112" s="609">
        <v>16555</v>
      </c>
      <c r="I1112" s="609">
        <v>10319.49</v>
      </c>
      <c r="J1112" s="609">
        <v>16555</v>
      </c>
      <c r="K1112" s="609">
        <v>16555</v>
      </c>
      <c r="L1112" s="609">
        <v>0</v>
      </c>
      <c r="M1112" s="609">
        <v>0</v>
      </c>
      <c r="N1112" s="587">
        <f t="shared" si="123"/>
        <v>16555</v>
      </c>
      <c r="P1112" s="490">
        <f t="shared" si="129"/>
        <v>0</v>
      </c>
      <c r="Q1112" t="str">
        <f t="shared" si="124"/>
        <v>52310</v>
      </c>
      <c r="R1112" s="126" t="str">
        <f t="shared" si="125"/>
        <v>BUILDING MAINTENANCE</v>
      </c>
      <c r="S1112" s="125" t="str">
        <f t="shared" si="126"/>
        <v>100</v>
      </c>
      <c r="T1112" s="125" t="str">
        <f t="shared" si="127"/>
        <v>63</v>
      </c>
      <c r="U1112" s="125" t="str">
        <f t="shared" si="128"/>
        <v>634</v>
      </c>
      <c r="V1112" s="125" t="str">
        <f>VLOOKUP(Q1112,'GL Category'!A:C,3,FALSE)</f>
        <v>Operations &amp; maintenance</v>
      </c>
      <c r="X1112" s="83"/>
    </row>
    <row r="1113" spans="1:24" ht="20.399999999999999" customHeight="1">
      <c r="A1113" s="608" t="s">
        <v>791</v>
      </c>
      <c r="B1113" s="608" t="s">
        <v>3028</v>
      </c>
      <c r="C1113" s="608" t="s">
        <v>181</v>
      </c>
      <c r="D1113" s="609">
        <v>1713.75</v>
      </c>
      <c r="E1113" s="609">
        <v>1713.75</v>
      </c>
      <c r="F1113" s="609">
        <v>4387.75</v>
      </c>
      <c r="G1113" s="609">
        <v>7594.5</v>
      </c>
      <c r="H1113" s="609">
        <v>2535</v>
      </c>
      <c r="I1113" s="609">
        <v>8004.57</v>
      </c>
      <c r="J1113" s="609">
        <v>10850</v>
      </c>
      <c r="K1113" s="609">
        <v>7000</v>
      </c>
      <c r="L1113" s="609">
        <v>0</v>
      </c>
      <c r="M1113" s="609">
        <v>0</v>
      </c>
      <c r="N1113" s="587">
        <f t="shared" si="123"/>
        <v>7000</v>
      </c>
      <c r="P1113" s="490">
        <f t="shared" si="129"/>
        <v>4465</v>
      </c>
      <c r="Q1113" t="str">
        <f t="shared" si="124"/>
        <v>52490</v>
      </c>
      <c r="R1113" s="126" t="str">
        <f t="shared" si="125"/>
        <v>A/C &amp; HEATING MAINTENANCE</v>
      </c>
      <c r="S1113" s="125" t="str">
        <f t="shared" si="126"/>
        <v>100</v>
      </c>
      <c r="T1113" s="125" t="str">
        <f t="shared" si="127"/>
        <v>63</v>
      </c>
      <c r="U1113" s="125" t="str">
        <f t="shared" si="128"/>
        <v>634</v>
      </c>
      <c r="V1113" s="125" t="str">
        <f>VLOOKUP(Q1113,'GL Category'!A:C,3,FALSE)</f>
        <v>Operations &amp; maintenance</v>
      </c>
      <c r="X1113" s="83"/>
    </row>
    <row r="1114" spans="1:24" ht="20.399999999999999" customHeight="1">
      <c r="A1114" s="608" t="s">
        <v>791</v>
      </c>
      <c r="B1114" s="608" t="s">
        <v>3030</v>
      </c>
      <c r="C1114" s="608" t="s">
        <v>190</v>
      </c>
      <c r="D1114" s="609">
        <v>55</v>
      </c>
      <c r="E1114" s="609">
        <v>145</v>
      </c>
      <c r="F1114" s="609">
        <v>200</v>
      </c>
      <c r="G1114" s="609">
        <v>460.4</v>
      </c>
      <c r="H1114" s="609">
        <v>410</v>
      </c>
      <c r="I1114" s="609">
        <v>542</v>
      </c>
      <c r="J1114" s="609">
        <v>610</v>
      </c>
      <c r="K1114" s="609">
        <v>610</v>
      </c>
      <c r="L1114" s="609">
        <v>0</v>
      </c>
      <c r="M1114" s="609">
        <v>0</v>
      </c>
      <c r="N1114" s="587">
        <f t="shared" si="123"/>
        <v>610</v>
      </c>
      <c r="P1114" s="490">
        <f t="shared" si="129"/>
        <v>200</v>
      </c>
      <c r="Q1114" t="str">
        <f t="shared" si="124"/>
        <v>53510</v>
      </c>
      <c r="R1114" s="126" t="str">
        <f t="shared" si="125"/>
        <v>DUES &amp; SUBSCRIPTIONS</v>
      </c>
      <c r="S1114" s="125" t="str">
        <f t="shared" si="126"/>
        <v>100</v>
      </c>
      <c r="T1114" s="125" t="str">
        <f t="shared" si="127"/>
        <v>63</v>
      </c>
      <c r="U1114" s="125" t="str">
        <f t="shared" si="128"/>
        <v>634</v>
      </c>
      <c r="V1114" s="125" t="str">
        <f>VLOOKUP(Q1114,'GL Category'!A:C,3,FALSE)</f>
        <v>Services &amp; other</v>
      </c>
      <c r="X1114" s="83"/>
    </row>
    <row r="1115" spans="1:24" ht="20.399999999999999" customHeight="1">
      <c r="A1115" s="608" t="s">
        <v>791</v>
      </c>
      <c r="B1115" s="608" t="s">
        <v>3031</v>
      </c>
      <c r="C1115" s="608" t="s">
        <v>191</v>
      </c>
      <c r="D1115" s="609">
        <v>3974.1</v>
      </c>
      <c r="E1115" s="609">
        <v>2370.63</v>
      </c>
      <c r="F1115" s="609">
        <v>2422.39</v>
      </c>
      <c r="G1115" s="609">
        <v>3898.5</v>
      </c>
      <c r="H1115" s="609">
        <v>5760</v>
      </c>
      <c r="I1115" s="609">
        <v>5644.39</v>
      </c>
      <c r="J1115" s="609">
        <v>5760</v>
      </c>
      <c r="K1115" s="609">
        <v>5560</v>
      </c>
      <c r="L1115" s="609">
        <v>0</v>
      </c>
      <c r="M1115" s="609">
        <v>0</v>
      </c>
      <c r="N1115" s="587">
        <f t="shared" si="123"/>
        <v>5560</v>
      </c>
      <c r="P1115" s="490">
        <f t="shared" si="129"/>
        <v>-200</v>
      </c>
      <c r="Q1115" t="str">
        <f t="shared" si="124"/>
        <v>53515</v>
      </c>
      <c r="R1115" s="126" t="str">
        <f t="shared" si="125"/>
        <v>TRAVEL, TRAINING &amp; EDUCATION</v>
      </c>
      <c r="S1115" s="125" t="str">
        <f t="shared" si="126"/>
        <v>100</v>
      </c>
      <c r="T1115" s="125" t="str">
        <f t="shared" si="127"/>
        <v>63</v>
      </c>
      <c r="U1115" s="125" t="str">
        <f t="shared" si="128"/>
        <v>634</v>
      </c>
      <c r="V1115" s="125" t="str">
        <f>VLOOKUP(Q1115,'GL Category'!A:C,3,FALSE)</f>
        <v>Services &amp; other</v>
      </c>
      <c r="X1115" s="83"/>
    </row>
    <row r="1116" spans="1:24" ht="20.399999999999999" customHeight="1">
      <c r="A1116" s="608" t="s">
        <v>791</v>
      </c>
      <c r="B1116" s="608" t="s">
        <v>3033</v>
      </c>
      <c r="C1116" s="608" t="s">
        <v>6</v>
      </c>
      <c r="D1116" s="609">
        <v>864.14</v>
      </c>
      <c r="E1116" s="609">
        <v>900</v>
      </c>
      <c r="F1116" s="609">
        <v>1000</v>
      </c>
      <c r="G1116" s="609">
        <v>80</v>
      </c>
      <c r="H1116" s="609">
        <v>1000</v>
      </c>
      <c r="I1116" s="609">
        <v>80</v>
      </c>
      <c r="J1116" s="609">
        <v>1000</v>
      </c>
      <c r="K1116" s="609">
        <v>1000</v>
      </c>
      <c r="L1116" s="609">
        <v>0</v>
      </c>
      <c r="M1116" s="609">
        <v>0</v>
      </c>
      <c r="N1116" s="587">
        <f t="shared" si="123"/>
        <v>1000</v>
      </c>
      <c r="P1116" s="490">
        <f t="shared" si="129"/>
        <v>0</v>
      </c>
      <c r="Q1116" t="str">
        <f t="shared" si="124"/>
        <v>53524</v>
      </c>
      <c r="R1116" s="126" t="str">
        <f t="shared" si="125"/>
        <v>EQUIPMENT RENTAL</v>
      </c>
      <c r="S1116" s="125" t="str">
        <f t="shared" si="126"/>
        <v>100</v>
      </c>
      <c r="T1116" s="125" t="str">
        <f t="shared" si="127"/>
        <v>63</v>
      </c>
      <c r="U1116" s="125" t="str">
        <f t="shared" si="128"/>
        <v>634</v>
      </c>
      <c r="V1116" s="125" t="str">
        <f>VLOOKUP(Q1116,'GL Category'!A:C,3,FALSE)</f>
        <v>Services &amp; other</v>
      </c>
      <c r="X1116" s="83"/>
    </row>
    <row r="1117" spans="1:24" ht="20.399999999999999" customHeight="1">
      <c r="A1117" s="608" t="s">
        <v>791</v>
      </c>
      <c r="B1117" s="608" t="s">
        <v>3133</v>
      </c>
      <c r="C1117" s="608" t="s">
        <v>906</v>
      </c>
      <c r="D1117" s="609">
        <v>0</v>
      </c>
      <c r="E1117" s="609">
        <v>7426.87</v>
      </c>
      <c r="F1117" s="609">
        <v>39630</v>
      </c>
      <c r="G1117" s="609">
        <v>48663.63</v>
      </c>
      <c r="H1117" s="609">
        <v>48000</v>
      </c>
      <c r="I1117" s="609">
        <v>37275</v>
      </c>
      <c r="J1117" s="609">
        <v>48000</v>
      </c>
      <c r="K1117" s="609">
        <v>48000</v>
      </c>
      <c r="L1117" s="609">
        <v>0</v>
      </c>
      <c r="M1117" s="609">
        <v>0</v>
      </c>
      <c r="N1117" s="587">
        <f t="shared" si="123"/>
        <v>48000</v>
      </c>
      <c r="P1117" s="490">
        <f t="shared" si="129"/>
        <v>0</v>
      </c>
      <c r="Q1117" t="str">
        <f t="shared" si="124"/>
        <v>53529</v>
      </c>
      <c r="R1117" s="126" t="str">
        <f t="shared" si="125"/>
        <v>JANITORIAL SERVICES</v>
      </c>
      <c r="S1117" s="125" t="str">
        <f t="shared" si="126"/>
        <v>100</v>
      </c>
      <c r="T1117" s="125" t="str">
        <f t="shared" si="127"/>
        <v>63</v>
      </c>
      <c r="U1117" s="125" t="str">
        <f t="shared" si="128"/>
        <v>634</v>
      </c>
      <c r="V1117" s="125" t="str">
        <f>VLOOKUP(Q1117,'GL Category'!A:C,3,FALSE)</f>
        <v>Services &amp; other</v>
      </c>
      <c r="X1117" s="83"/>
    </row>
    <row r="1118" spans="1:24" ht="20.399999999999999" customHeight="1">
      <c r="A1118" s="608" t="s">
        <v>791</v>
      </c>
      <c r="B1118" s="608" t="s">
        <v>3034</v>
      </c>
      <c r="C1118" s="608" t="s">
        <v>230</v>
      </c>
      <c r="D1118" s="609">
        <v>166.18</v>
      </c>
      <c r="E1118" s="609">
        <v>50</v>
      </c>
      <c r="F1118" s="609">
        <v>89.69</v>
      </c>
      <c r="G1118" s="609">
        <v>335</v>
      </c>
      <c r="H1118" s="609">
        <v>1000</v>
      </c>
      <c r="I1118" s="609">
        <v>544.94000000000005</v>
      </c>
      <c r="J1118" s="609">
        <v>1000</v>
      </c>
      <c r="K1118" s="609">
        <v>1000</v>
      </c>
      <c r="L1118" s="609">
        <v>0</v>
      </c>
      <c r="M1118" s="609">
        <v>0</v>
      </c>
      <c r="N1118" s="587">
        <f t="shared" si="123"/>
        <v>1000</v>
      </c>
      <c r="P1118" s="490">
        <f t="shared" si="129"/>
        <v>0</v>
      </c>
      <c r="Q1118" t="str">
        <f t="shared" si="124"/>
        <v>53534</v>
      </c>
      <c r="R1118" s="126" t="str">
        <f t="shared" si="125"/>
        <v>MARKETING &amp; PROMOTIONAL</v>
      </c>
      <c r="S1118" s="125" t="str">
        <f t="shared" si="126"/>
        <v>100</v>
      </c>
      <c r="T1118" s="125" t="str">
        <f t="shared" si="127"/>
        <v>63</v>
      </c>
      <c r="U1118" s="125" t="str">
        <f t="shared" si="128"/>
        <v>634</v>
      </c>
      <c r="V1118" s="125" t="str">
        <f>VLOOKUP(Q1118,'GL Category'!A:C,3,FALSE)</f>
        <v>Services &amp; other</v>
      </c>
      <c r="X1118" s="83"/>
    </row>
    <row r="1119" spans="1:24" ht="20.399999999999999" customHeight="1">
      <c r="A1119" s="608" t="s">
        <v>791</v>
      </c>
      <c r="B1119" s="608" t="s">
        <v>3035</v>
      </c>
      <c r="C1119" s="608" t="s">
        <v>908</v>
      </c>
      <c r="D1119" s="609">
        <v>1253.74</v>
      </c>
      <c r="E1119" s="609">
        <v>1608.75</v>
      </c>
      <c r="F1119" s="609">
        <v>10324.049999999999</v>
      </c>
      <c r="G1119" s="609">
        <v>9613.0400000000009</v>
      </c>
      <c r="H1119" s="609">
        <v>11700</v>
      </c>
      <c r="I1119" s="609">
        <v>4956.47</v>
      </c>
      <c r="J1119" s="609">
        <v>10420</v>
      </c>
      <c r="K1119" s="609">
        <v>10736</v>
      </c>
      <c r="L1119" s="609">
        <v>0</v>
      </c>
      <c r="M1119" s="609">
        <v>0</v>
      </c>
      <c r="N1119" s="587">
        <f t="shared" si="123"/>
        <v>10736</v>
      </c>
      <c r="P1119" s="490">
        <f t="shared" si="129"/>
        <v>-964</v>
      </c>
      <c r="Q1119" t="str">
        <f t="shared" si="124"/>
        <v>53535</v>
      </c>
      <c r="R1119" s="126" t="str">
        <f t="shared" si="125"/>
        <v>RECREATION &amp; CULTURE PROGRAMS</v>
      </c>
      <c r="S1119" s="125" t="str">
        <f t="shared" si="126"/>
        <v>100</v>
      </c>
      <c r="T1119" s="125" t="str">
        <f t="shared" si="127"/>
        <v>63</v>
      </c>
      <c r="U1119" s="125" t="str">
        <f t="shared" si="128"/>
        <v>634</v>
      </c>
      <c r="V1119" s="125" t="str">
        <f>VLOOKUP(Q1119,'GL Category'!A:C,3,FALSE)</f>
        <v>Services &amp; other</v>
      </c>
      <c r="X1119" s="83"/>
    </row>
    <row r="1120" spans="1:24" ht="20.399999999999999" customHeight="1">
      <c r="A1120" s="608" t="s">
        <v>791</v>
      </c>
      <c r="B1120" s="608" t="s">
        <v>3036</v>
      </c>
      <c r="C1120" s="608" t="s">
        <v>203</v>
      </c>
      <c r="D1120" s="609">
        <v>5551.49</v>
      </c>
      <c r="E1120" s="609">
        <v>4326.6099999999997</v>
      </c>
      <c r="F1120" s="609">
        <v>9986.56</v>
      </c>
      <c r="G1120" s="609">
        <v>12304</v>
      </c>
      <c r="H1120" s="609">
        <v>11320</v>
      </c>
      <c r="I1120" s="609">
        <v>11863.26</v>
      </c>
      <c r="J1120" s="609">
        <v>12284</v>
      </c>
      <c r="K1120" s="609">
        <v>12284</v>
      </c>
      <c r="L1120" s="609">
        <v>0</v>
      </c>
      <c r="M1120" s="609">
        <v>0</v>
      </c>
      <c r="N1120" s="587">
        <f t="shared" si="123"/>
        <v>12284</v>
      </c>
      <c r="P1120" s="490">
        <f t="shared" si="129"/>
        <v>964</v>
      </c>
      <c r="Q1120" t="str">
        <f t="shared" si="124"/>
        <v>53540</v>
      </c>
      <c r="R1120" s="126" t="str">
        <f t="shared" si="125"/>
        <v>PRINTING &amp; BINDING SERVICES</v>
      </c>
      <c r="S1120" s="125" t="str">
        <f t="shared" si="126"/>
        <v>100</v>
      </c>
      <c r="T1120" s="125" t="str">
        <f t="shared" si="127"/>
        <v>63</v>
      </c>
      <c r="U1120" s="125" t="str">
        <f t="shared" si="128"/>
        <v>634</v>
      </c>
      <c r="V1120" s="125" t="str">
        <f>VLOOKUP(Q1120,'GL Category'!A:C,3,FALSE)</f>
        <v>Services &amp; other</v>
      </c>
      <c r="X1120" s="83"/>
    </row>
    <row r="1121" spans="1:24" ht="20.399999999999999" customHeight="1">
      <c r="A1121" s="608" t="s">
        <v>791</v>
      </c>
      <c r="B1121" s="608" t="s">
        <v>3037</v>
      </c>
      <c r="C1121" s="608" t="s">
        <v>213</v>
      </c>
      <c r="D1121" s="609">
        <v>854.67</v>
      </c>
      <c r="E1121" s="609">
        <v>1163.92</v>
      </c>
      <c r="F1121" s="609">
        <v>841.04</v>
      </c>
      <c r="G1121" s="609">
        <v>0</v>
      </c>
      <c r="H1121" s="609">
        <v>0</v>
      </c>
      <c r="I1121" s="609">
        <v>0</v>
      </c>
      <c r="J1121" s="609">
        <v>0</v>
      </c>
      <c r="K1121" s="609">
        <v>0</v>
      </c>
      <c r="L1121" s="609">
        <v>0</v>
      </c>
      <c r="M1121" s="609">
        <v>0</v>
      </c>
      <c r="N1121" s="587">
        <f t="shared" si="123"/>
        <v>0</v>
      </c>
      <c r="P1121" s="490">
        <f t="shared" si="129"/>
        <v>0</v>
      </c>
      <c r="Q1121" t="str">
        <f t="shared" si="124"/>
        <v>53571</v>
      </c>
      <c r="R1121" s="126" t="str">
        <f t="shared" si="125"/>
        <v>NATURAL GAS UTILITY SERVICE</v>
      </c>
      <c r="S1121" s="125" t="str">
        <f t="shared" si="126"/>
        <v>100</v>
      </c>
      <c r="T1121" s="125" t="str">
        <f t="shared" si="127"/>
        <v>63</v>
      </c>
      <c r="U1121" s="125" t="str">
        <f t="shared" si="128"/>
        <v>634</v>
      </c>
      <c r="V1121" s="125" t="str">
        <f>VLOOKUP(Q1121,'GL Category'!A:C,3,FALSE)</f>
        <v>Services &amp; other</v>
      </c>
      <c r="X1121" s="83"/>
    </row>
    <row r="1122" spans="1:24" ht="20.399999999999999" customHeight="1">
      <c r="A1122" s="608" t="s">
        <v>791</v>
      </c>
      <c r="B1122" s="608" t="s">
        <v>3038</v>
      </c>
      <c r="C1122" s="608" t="s">
        <v>215</v>
      </c>
      <c r="D1122" s="609">
        <v>4161.6000000000004</v>
      </c>
      <c r="E1122" s="609">
        <v>3894.94</v>
      </c>
      <c r="F1122" s="609">
        <v>47633.95</v>
      </c>
      <c r="G1122" s="609">
        <v>81900.45</v>
      </c>
      <c r="H1122" s="609">
        <v>103620</v>
      </c>
      <c r="I1122" s="609">
        <v>47303.26</v>
      </c>
      <c r="J1122" s="609">
        <v>103620</v>
      </c>
      <c r="K1122" s="609">
        <v>99155</v>
      </c>
      <c r="L1122" s="609">
        <v>0</v>
      </c>
      <c r="M1122" s="609">
        <v>0</v>
      </c>
      <c r="N1122" s="587">
        <f t="shared" si="123"/>
        <v>99155</v>
      </c>
      <c r="Q1122" t="str">
        <f t="shared" si="124"/>
        <v>53572</v>
      </c>
      <c r="R1122" s="126" t="str">
        <f t="shared" si="125"/>
        <v>ELECTRICAL UTILITY SERVICE</v>
      </c>
      <c r="S1122" s="125" t="str">
        <f t="shared" si="126"/>
        <v>100</v>
      </c>
      <c r="T1122" s="125" t="str">
        <f t="shared" si="127"/>
        <v>63</v>
      </c>
      <c r="U1122" s="125" t="str">
        <f t="shared" si="128"/>
        <v>634</v>
      </c>
      <c r="V1122" s="125" t="str">
        <f>VLOOKUP(Q1122,'GL Category'!A:C,3,FALSE)</f>
        <v>Services &amp; other</v>
      </c>
      <c r="X1122" s="83"/>
    </row>
    <row r="1123" spans="1:24" ht="20.399999999999999" customHeight="1">
      <c r="A1123" s="608" t="s">
        <v>791</v>
      </c>
      <c r="B1123" s="608" t="s">
        <v>3038</v>
      </c>
      <c r="C1123" s="608" t="s">
        <v>215</v>
      </c>
      <c r="D1123" s="609">
        <v>0</v>
      </c>
      <c r="E1123" s="609">
        <v>20574.2</v>
      </c>
      <c r="F1123" s="609">
        <v>0</v>
      </c>
      <c r="G1123" s="609">
        <v>0</v>
      </c>
      <c r="H1123" s="609">
        <v>0</v>
      </c>
      <c r="I1123" s="609">
        <v>0</v>
      </c>
      <c r="J1123" s="609">
        <v>0</v>
      </c>
      <c r="K1123" s="609">
        <v>0</v>
      </c>
      <c r="L1123" s="609">
        <v>0</v>
      </c>
      <c r="M1123" s="609">
        <v>0</v>
      </c>
      <c r="N1123" s="587">
        <f t="shared" si="123"/>
        <v>0</v>
      </c>
      <c r="Q1123" t="str">
        <f t="shared" si="124"/>
        <v>53572</v>
      </c>
      <c r="R1123" s="126" t="str">
        <f t="shared" si="125"/>
        <v>ELECTRICAL UTILITY SERVICE</v>
      </c>
      <c r="S1123" s="125" t="str">
        <f t="shared" si="126"/>
        <v>100</v>
      </c>
      <c r="T1123" s="125" t="str">
        <f t="shared" si="127"/>
        <v>63</v>
      </c>
      <c r="U1123" s="125" t="str">
        <f t="shared" si="128"/>
        <v>634</v>
      </c>
      <c r="V1123" s="125" t="str">
        <f>VLOOKUP(Q1123,'GL Category'!A:C,3,FALSE)</f>
        <v>Services &amp; other</v>
      </c>
      <c r="X1123" s="83"/>
    </row>
    <row r="1124" spans="1:24" ht="20.399999999999999" customHeight="1">
      <c r="A1124" s="608" t="s">
        <v>791</v>
      </c>
      <c r="B1124" s="608" t="s">
        <v>3039</v>
      </c>
      <c r="C1124" s="608" t="s">
        <v>217</v>
      </c>
      <c r="D1124" s="609">
        <v>791.58</v>
      </c>
      <c r="E1124" s="609">
        <v>386.99</v>
      </c>
      <c r="F1124" s="609">
        <v>0</v>
      </c>
      <c r="G1124" s="609">
        <v>3616.62</v>
      </c>
      <c r="H1124" s="609">
        <v>9500</v>
      </c>
      <c r="I1124" s="609">
        <v>2920.09</v>
      </c>
      <c r="J1124" s="609">
        <v>9500</v>
      </c>
      <c r="K1124" s="609">
        <v>9500</v>
      </c>
      <c r="L1124" s="609">
        <v>0</v>
      </c>
      <c r="M1124" s="609">
        <v>0</v>
      </c>
      <c r="N1124" s="587">
        <f t="shared" si="123"/>
        <v>9500</v>
      </c>
      <c r="Q1124" t="str">
        <f t="shared" si="124"/>
        <v>53574</v>
      </c>
      <c r="R1124" s="126" t="str">
        <f t="shared" si="125"/>
        <v>WATER/SEWER UTILITY SERVICE</v>
      </c>
      <c r="S1124" s="125" t="str">
        <f t="shared" si="126"/>
        <v>100</v>
      </c>
      <c r="T1124" s="125" t="str">
        <f t="shared" si="127"/>
        <v>63</v>
      </c>
      <c r="U1124" s="125" t="str">
        <f t="shared" si="128"/>
        <v>634</v>
      </c>
      <c r="V1124" s="125" t="str">
        <f>VLOOKUP(Q1124,'GL Category'!A:C,3,FALSE)</f>
        <v>Services &amp; other</v>
      </c>
      <c r="X1124" s="83"/>
    </row>
    <row r="1125" spans="1:24" ht="20.399999999999999" customHeight="1">
      <c r="A1125" s="608" t="s">
        <v>791</v>
      </c>
      <c r="B1125" s="608" t="s">
        <v>3040</v>
      </c>
      <c r="C1125" s="608" t="s">
        <v>219</v>
      </c>
      <c r="D1125" s="609">
        <v>1345.4</v>
      </c>
      <c r="E1125" s="609">
        <v>2081.9499999999998</v>
      </c>
      <c r="F1125" s="609">
        <v>4116.93</v>
      </c>
      <c r="G1125" s="609">
        <v>6817.77</v>
      </c>
      <c r="H1125" s="609">
        <v>13600</v>
      </c>
      <c r="I1125" s="609">
        <v>8808.7900000000009</v>
      </c>
      <c r="J1125" s="609">
        <v>13600</v>
      </c>
      <c r="K1125" s="609">
        <v>13600</v>
      </c>
      <c r="L1125" s="609">
        <v>0</v>
      </c>
      <c r="M1125" s="609">
        <v>0</v>
      </c>
      <c r="N1125" s="587">
        <f t="shared" si="123"/>
        <v>13600</v>
      </c>
      <c r="Q1125" t="str">
        <f t="shared" si="124"/>
        <v>53585</v>
      </c>
      <c r="R1125" s="126" t="str">
        <f t="shared" si="125"/>
        <v>BANKING SERVICES CHARGES</v>
      </c>
      <c r="S1125" s="125" t="str">
        <f t="shared" si="126"/>
        <v>100</v>
      </c>
      <c r="T1125" s="125" t="str">
        <f t="shared" si="127"/>
        <v>63</v>
      </c>
      <c r="U1125" s="125" t="str">
        <f t="shared" si="128"/>
        <v>634</v>
      </c>
      <c r="V1125" s="125" t="str">
        <f>VLOOKUP(Q1125,'GL Category'!A:C,3,FALSE)</f>
        <v>Services &amp; other</v>
      </c>
      <c r="X1125" s="83"/>
    </row>
    <row r="1126" spans="1:24" ht="20.399999999999999" customHeight="1">
      <c r="A1126" s="608" t="s">
        <v>791</v>
      </c>
      <c r="B1126" s="608" t="s">
        <v>3041</v>
      </c>
      <c r="C1126" s="608" t="s">
        <v>221</v>
      </c>
      <c r="D1126" s="609">
        <v>26301</v>
      </c>
      <c r="E1126" s="609">
        <v>35244</v>
      </c>
      <c r="F1126" s="609">
        <v>33535</v>
      </c>
      <c r="G1126" s="609">
        <v>33845</v>
      </c>
      <c r="H1126" s="609">
        <v>50160</v>
      </c>
      <c r="I1126" s="609">
        <v>37620</v>
      </c>
      <c r="J1126" s="609">
        <v>50160</v>
      </c>
      <c r="K1126" s="609">
        <v>53036</v>
      </c>
      <c r="L1126" s="609">
        <v>0</v>
      </c>
      <c r="M1126" s="609">
        <v>0</v>
      </c>
      <c r="N1126" s="587">
        <f t="shared" si="123"/>
        <v>53036</v>
      </c>
      <c r="Q1126" t="str">
        <f t="shared" si="124"/>
        <v>55119</v>
      </c>
      <c r="R1126" s="126" t="str">
        <f t="shared" si="125"/>
        <v>OFFICE EQUIP LEASE EXP-CITY</v>
      </c>
      <c r="S1126" s="125" t="str">
        <f t="shared" si="126"/>
        <v>100</v>
      </c>
      <c r="T1126" s="125" t="str">
        <f t="shared" si="127"/>
        <v>63</v>
      </c>
      <c r="U1126" s="125" t="str">
        <f t="shared" si="128"/>
        <v>634</v>
      </c>
      <c r="V1126" s="125" t="str">
        <f>VLOOKUP(Q1126,'GL Category'!A:C,3,FALSE)</f>
        <v>Services &amp; other</v>
      </c>
      <c r="X1126" s="83"/>
    </row>
    <row r="1127" spans="1:24" ht="20.399999999999999" customHeight="1">
      <c r="A1127" s="608" t="s">
        <v>791</v>
      </c>
      <c r="B1127" s="608" t="s">
        <v>3044</v>
      </c>
      <c r="C1127" s="608" t="s">
        <v>132</v>
      </c>
      <c r="D1127" s="609">
        <v>190197.87</v>
      </c>
      <c r="E1127" s="609">
        <v>191973.88</v>
      </c>
      <c r="F1127" s="609">
        <v>223064.33</v>
      </c>
      <c r="G1127" s="609">
        <v>193674.48</v>
      </c>
      <c r="H1127" s="609">
        <v>201948</v>
      </c>
      <c r="I1127" s="609">
        <v>142032.57999999999</v>
      </c>
      <c r="J1127" s="609">
        <v>190676</v>
      </c>
      <c r="K1127" s="609">
        <v>208103</v>
      </c>
      <c r="L1127" s="609">
        <v>0</v>
      </c>
      <c r="M1127" s="609">
        <v>0</v>
      </c>
      <c r="N1127" s="587">
        <f t="shared" si="123"/>
        <v>208103</v>
      </c>
      <c r="Q1127" t="str">
        <f t="shared" si="124"/>
        <v>50102</v>
      </c>
      <c r="R1127" s="126" t="str">
        <f t="shared" si="125"/>
        <v>NON EXEMPT SALARIES</v>
      </c>
      <c r="S1127" s="125" t="str">
        <f t="shared" si="126"/>
        <v>100</v>
      </c>
      <c r="T1127" s="125" t="str">
        <f t="shared" si="127"/>
        <v>63</v>
      </c>
      <c r="U1127" s="125" t="str">
        <f t="shared" si="128"/>
        <v>635</v>
      </c>
      <c r="V1127" s="125" t="str">
        <f>VLOOKUP(Q1127,'GL Category'!A:C,3,FALSE)</f>
        <v>Personnel services</v>
      </c>
      <c r="X1127" s="83"/>
    </row>
    <row r="1128" spans="1:24" ht="20.399999999999999" customHeight="1">
      <c r="A1128" s="608" t="s">
        <v>791</v>
      </c>
      <c r="B1128" s="608" t="s">
        <v>3045</v>
      </c>
      <c r="C1128" s="608" t="s">
        <v>0</v>
      </c>
      <c r="D1128" s="609">
        <v>629.91999999999996</v>
      </c>
      <c r="E1128" s="609">
        <v>2874.15</v>
      </c>
      <c r="F1128" s="609">
        <v>5659.62</v>
      </c>
      <c r="G1128" s="609">
        <v>2946.49</v>
      </c>
      <c r="H1128" s="609">
        <v>5000</v>
      </c>
      <c r="I1128" s="609">
        <v>4831.1099999999997</v>
      </c>
      <c r="J1128" s="609">
        <v>5244</v>
      </c>
      <c r="K1128" s="609">
        <v>5000</v>
      </c>
      <c r="L1128" s="609">
        <v>0</v>
      </c>
      <c r="M1128" s="609">
        <v>0</v>
      </c>
      <c r="N1128" s="587">
        <f t="shared" si="123"/>
        <v>5000</v>
      </c>
      <c r="Q1128" t="str">
        <f t="shared" si="124"/>
        <v>50109</v>
      </c>
      <c r="R1128" s="126" t="str">
        <f t="shared" si="125"/>
        <v>OVERTIME</v>
      </c>
      <c r="S1128" s="125" t="str">
        <f t="shared" si="126"/>
        <v>100</v>
      </c>
      <c r="T1128" s="125" t="str">
        <f t="shared" si="127"/>
        <v>63</v>
      </c>
      <c r="U1128" s="125" t="str">
        <f t="shared" si="128"/>
        <v>635</v>
      </c>
      <c r="V1128" s="125" t="str">
        <f>VLOOKUP(Q1128,'GL Category'!A:C,3,FALSE)</f>
        <v>Personnel services</v>
      </c>
      <c r="X1128" s="83"/>
    </row>
    <row r="1129" spans="1:24" ht="20.399999999999999" customHeight="1">
      <c r="A1129" s="608" t="s">
        <v>791</v>
      </c>
      <c r="B1129" s="608" t="s">
        <v>3046</v>
      </c>
      <c r="C1129" s="608" t="s">
        <v>137</v>
      </c>
      <c r="D1129" s="609">
        <v>2520</v>
      </c>
      <c r="E1129" s="609">
        <v>2760</v>
      </c>
      <c r="F1129" s="609">
        <v>3120</v>
      </c>
      <c r="G1129" s="609">
        <v>3040</v>
      </c>
      <c r="H1129" s="609">
        <v>1722</v>
      </c>
      <c r="I1129" s="609">
        <v>1700</v>
      </c>
      <c r="J1129" s="609">
        <v>1700</v>
      </c>
      <c r="K1129" s="609">
        <v>1878</v>
      </c>
      <c r="L1129" s="609">
        <v>0</v>
      </c>
      <c r="M1129" s="609">
        <v>0</v>
      </c>
      <c r="N1129" s="587">
        <f t="shared" si="123"/>
        <v>1878</v>
      </c>
      <c r="Q1129" t="str">
        <f t="shared" si="124"/>
        <v>50111</v>
      </c>
      <c r="R1129" s="126" t="str">
        <f t="shared" si="125"/>
        <v>LONGEVITY PAY</v>
      </c>
      <c r="S1129" s="125" t="str">
        <f t="shared" si="126"/>
        <v>100</v>
      </c>
      <c r="T1129" s="125" t="str">
        <f t="shared" si="127"/>
        <v>63</v>
      </c>
      <c r="U1129" s="125" t="str">
        <f t="shared" si="128"/>
        <v>635</v>
      </c>
      <c r="V1129" s="125" t="str">
        <f>VLOOKUP(Q1129,'GL Category'!A:C,3,FALSE)</f>
        <v>Personnel services</v>
      </c>
      <c r="X1129" s="83"/>
    </row>
    <row r="1130" spans="1:24" ht="20.399999999999999" customHeight="1">
      <c r="A1130" s="608" t="s">
        <v>791</v>
      </c>
      <c r="B1130" s="608" t="s">
        <v>3209</v>
      </c>
      <c r="C1130" s="608" t="s">
        <v>283</v>
      </c>
      <c r="D1130" s="609">
        <v>0</v>
      </c>
      <c r="E1130" s="609">
        <v>0</v>
      </c>
      <c r="F1130" s="609">
        <v>0</v>
      </c>
      <c r="G1130" s="609">
        <v>0</v>
      </c>
      <c r="H1130" s="609">
        <v>0</v>
      </c>
      <c r="I1130" s="609">
        <v>0</v>
      </c>
      <c r="J1130" s="609">
        <v>0</v>
      </c>
      <c r="K1130" s="609">
        <v>0</v>
      </c>
      <c r="L1130" s="609">
        <v>0</v>
      </c>
      <c r="M1130" s="609">
        <v>0</v>
      </c>
      <c r="N1130" s="587">
        <f t="shared" si="123"/>
        <v>0</v>
      </c>
      <c r="Q1130" t="str">
        <f t="shared" si="124"/>
        <v>50115</v>
      </c>
      <c r="R1130" s="126" t="str">
        <f t="shared" si="125"/>
        <v>INCENTIVE/CERTIFICATION PAY</v>
      </c>
      <c r="S1130" s="125" t="str">
        <f t="shared" si="126"/>
        <v>100</v>
      </c>
      <c r="T1130" s="125" t="str">
        <f t="shared" si="127"/>
        <v>63</v>
      </c>
      <c r="U1130" s="125" t="str">
        <f t="shared" si="128"/>
        <v>635</v>
      </c>
      <c r="V1130" s="125" t="str">
        <f>VLOOKUP(Q1130,'GL Category'!A:C,3,FALSE)</f>
        <v>Personnel services</v>
      </c>
      <c r="X1130" s="83"/>
    </row>
    <row r="1131" spans="1:24" ht="20.399999999999999" customHeight="1">
      <c r="A1131" s="608" t="s">
        <v>791</v>
      </c>
      <c r="B1131" s="608" t="s">
        <v>3048</v>
      </c>
      <c r="C1131" s="608" t="s">
        <v>1</v>
      </c>
      <c r="D1131" s="609">
        <v>14803.37</v>
      </c>
      <c r="E1131" s="609">
        <v>14891.41</v>
      </c>
      <c r="F1131" s="609">
        <v>17643.14</v>
      </c>
      <c r="G1131" s="609">
        <v>15185.55</v>
      </c>
      <c r="H1131" s="609">
        <v>16080</v>
      </c>
      <c r="I1131" s="609">
        <v>11291.41</v>
      </c>
      <c r="J1131" s="609">
        <v>15079</v>
      </c>
      <c r="K1131" s="609">
        <v>16580</v>
      </c>
      <c r="L1131" s="609">
        <v>0</v>
      </c>
      <c r="M1131" s="609">
        <v>0</v>
      </c>
      <c r="N1131" s="587">
        <f t="shared" si="123"/>
        <v>16580</v>
      </c>
      <c r="Q1131" t="str">
        <f t="shared" si="124"/>
        <v>50610</v>
      </c>
      <c r="R1131" s="126" t="str">
        <f t="shared" si="125"/>
        <v>SOCIAL SECURITY</v>
      </c>
      <c r="S1131" s="125" t="str">
        <f t="shared" si="126"/>
        <v>100</v>
      </c>
      <c r="T1131" s="125" t="str">
        <f t="shared" si="127"/>
        <v>63</v>
      </c>
      <c r="U1131" s="125" t="str">
        <f t="shared" si="128"/>
        <v>635</v>
      </c>
      <c r="V1131" s="125" t="str">
        <f>VLOOKUP(Q1131,'GL Category'!A:C,3,FALSE)</f>
        <v>Personnel services</v>
      </c>
      <c r="X1131" s="83"/>
    </row>
    <row r="1132" spans="1:24" ht="20.399999999999999" customHeight="1">
      <c r="A1132" s="608" t="s">
        <v>791</v>
      </c>
      <c r="B1132" s="608" t="s">
        <v>3049</v>
      </c>
      <c r="C1132" s="608" t="s">
        <v>142</v>
      </c>
      <c r="D1132" s="609">
        <v>30428.97</v>
      </c>
      <c r="E1132" s="609">
        <v>30659.58</v>
      </c>
      <c r="F1132" s="609">
        <v>34834.35</v>
      </c>
      <c r="G1132" s="609">
        <v>47240.97</v>
      </c>
      <c r="H1132" s="609">
        <v>54588</v>
      </c>
      <c r="I1132" s="609">
        <v>33613.97</v>
      </c>
      <c r="J1132" s="609">
        <v>51496</v>
      </c>
      <c r="K1132" s="609">
        <v>61573</v>
      </c>
      <c r="L1132" s="609">
        <v>0</v>
      </c>
      <c r="M1132" s="609">
        <v>0</v>
      </c>
      <c r="N1132" s="587">
        <f t="shared" si="123"/>
        <v>61573</v>
      </c>
      <c r="Q1132" t="str">
        <f t="shared" si="124"/>
        <v>50620</v>
      </c>
      <c r="R1132" s="126" t="str">
        <f t="shared" si="125"/>
        <v>HEALTH/LIFE INSURANCE</v>
      </c>
      <c r="S1132" s="125" t="str">
        <f t="shared" si="126"/>
        <v>100</v>
      </c>
      <c r="T1132" s="125" t="str">
        <f t="shared" si="127"/>
        <v>63</v>
      </c>
      <c r="U1132" s="125" t="str">
        <f t="shared" si="128"/>
        <v>635</v>
      </c>
      <c r="V1132" s="125" t="str">
        <f>VLOOKUP(Q1132,'GL Category'!A:C,3,FALSE)</f>
        <v>Personnel services</v>
      </c>
      <c r="X1132" s="83"/>
    </row>
    <row r="1133" spans="1:24" ht="20.399999999999999" customHeight="1">
      <c r="A1133" s="608" t="s">
        <v>791</v>
      </c>
      <c r="B1133" s="608" t="s">
        <v>3050</v>
      </c>
      <c r="C1133" s="608" t="s">
        <v>144</v>
      </c>
      <c r="D1133" s="609">
        <v>1219.45</v>
      </c>
      <c r="E1133" s="609">
        <v>1125.19</v>
      </c>
      <c r="F1133" s="609">
        <v>776.59</v>
      </c>
      <c r="G1133" s="609">
        <v>2286.87</v>
      </c>
      <c r="H1133" s="609">
        <v>2633</v>
      </c>
      <c r="I1133" s="609">
        <v>2630.84</v>
      </c>
      <c r="J1133" s="609">
        <v>2631</v>
      </c>
      <c r="K1133" s="609">
        <v>2484</v>
      </c>
      <c r="L1133" s="609">
        <v>0</v>
      </c>
      <c r="M1133" s="609">
        <v>0</v>
      </c>
      <c r="N1133" s="587">
        <f t="shared" si="123"/>
        <v>2484</v>
      </c>
      <c r="Q1133" t="str">
        <f t="shared" si="124"/>
        <v>50630</v>
      </c>
      <c r="R1133" s="126" t="str">
        <f t="shared" si="125"/>
        <v>WORKER COMPENSATION</v>
      </c>
      <c r="S1133" s="125" t="str">
        <f t="shared" si="126"/>
        <v>100</v>
      </c>
      <c r="T1133" s="125" t="str">
        <f t="shared" si="127"/>
        <v>63</v>
      </c>
      <c r="U1133" s="125" t="str">
        <f t="shared" si="128"/>
        <v>635</v>
      </c>
      <c r="V1133" s="125" t="str">
        <f>VLOOKUP(Q1133,'GL Category'!A:C,3,FALSE)</f>
        <v>Personnel services</v>
      </c>
      <c r="X1133" s="83"/>
    </row>
    <row r="1134" spans="1:24" ht="20.399999999999999" customHeight="1">
      <c r="A1134" s="608" t="s">
        <v>791</v>
      </c>
      <c r="B1134" s="608" t="s">
        <v>3051</v>
      </c>
      <c r="C1134" s="608" t="s">
        <v>2</v>
      </c>
      <c r="D1134" s="609">
        <v>30989.4</v>
      </c>
      <c r="E1134" s="609">
        <v>31640.57</v>
      </c>
      <c r="F1134" s="609">
        <v>37944.97</v>
      </c>
      <c r="G1134" s="609">
        <v>32395.37</v>
      </c>
      <c r="H1134" s="609">
        <v>34705</v>
      </c>
      <c r="I1134" s="609">
        <v>24662.05</v>
      </c>
      <c r="J1134" s="609">
        <v>32790</v>
      </c>
      <c r="K1134" s="609">
        <v>36613</v>
      </c>
      <c r="L1134" s="609">
        <v>0</v>
      </c>
      <c r="M1134" s="609">
        <v>0</v>
      </c>
      <c r="N1134" s="587">
        <f t="shared" si="123"/>
        <v>36613</v>
      </c>
      <c r="Q1134" t="str">
        <f t="shared" si="124"/>
        <v>50650</v>
      </c>
      <c r="R1134" s="126" t="str">
        <f t="shared" si="125"/>
        <v>RETIREMENT</v>
      </c>
      <c r="S1134" s="125" t="str">
        <f t="shared" si="126"/>
        <v>100</v>
      </c>
      <c r="T1134" s="125" t="str">
        <f t="shared" si="127"/>
        <v>63</v>
      </c>
      <c r="U1134" s="125" t="str">
        <f t="shared" si="128"/>
        <v>635</v>
      </c>
      <c r="V1134" s="125" t="str">
        <f>VLOOKUP(Q1134,'GL Category'!A:C,3,FALSE)</f>
        <v>Personnel services</v>
      </c>
      <c r="X1134" s="83"/>
    </row>
    <row r="1135" spans="1:24" ht="20.399999999999999" customHeight="1">
      <c r="A1135" s="608" t="s">
        <v>791</v>
      </c>
      <c r="B1135" s="608" t="s">
        <v>3052</v>
      </c>
      <c r="C1135" s="608" t="s">
        <v>155</v>
      </c>
      <c r="D1135" s="609">
        <v>5261.68</v>
      </c>
      <c r="E1135" s="609">
        <v>6332.83</v>
      </c>
      <c r="F1135" s="609">
        <v>5258.07</v>
      </c>
      <c r="G1135" s="609">
        <v>7207.6</v>
      </c>
      <c r="H1135" s="609">
        <v>6500</v>
      </c>
      <c r="I1135" s="609">
        <v>3157.57</v>
      </c>
      <c r="J1135" s="609">
        <v>6500</v>
      </c>
      <c r="K1135" s="609">
        <v>8000</v>
      </c>
      <c r="L1135" s="609">
        <v>0</v>
      </c>
      <c r="M1135" s="609">
        <v>0</v>
      </c>
      <c r="N1135" s="587">
        <f t="shared" si="123"/>
        <v>8000</v>
      </c>
      <c r="Q1135" t="str">
        <f t="shared" si="124"/>
        <v>51225</v>
      </c>
      <c r="R1135" s="126" t="str">
        <f t="shared" si="125"/>
        <v>JANITORIAL SUPPLIES</v>
      </c>
      <c r="S1135" s="125" t="str">
        <f t="shared" si="126"/>
        <v>100</v>
      </c>
      <c r="T1135" s="125" t="str">
        <f t="shared" si="127"/>
        <v>63</v>
      </c>
      <c r="U1135" s="125" t="str">
        <f t="shared" si="128"/>
        <v>635</v>
      </c>
      <c r="V1135" s="125" t="str">
        <f>VLOOKUP(Q1135,'GL Category'!A:C,3,FALSE)</f>
        <v>Operations &amp; maintenance</v>
      </c>
      <c r="X1135" s="83"/>
    </row>
    <row r="1136" spans="1:24" ht="20.399999999999999" customHeight="1">
      <c r="A1136" s="608" t="s">
        <v>791</v>
      </c>
      <c r="B1136" s="608" t="s">
        <v>3053</v>
      </c>
      <c r="C1136" s="608" t="s">
        <v>4</v>
      </c>
      <c r="D1136" s="609">
        <v>741.77</v>
      </c>
      <c r="E1136" s="609">
        <v>2146.21</v>
      </c>
      <c r="F1136" s="609">
        <v>2841.69</v>
      </c>
      <c r="G1136" s="609">
        <v>2412.9</v>
      </c>
      <c r="H1136" s="609">
        <v>3000</v>
      </c>
      <c r="I1136" s="609">
        <v>238.97</v>
      </c>
      <c r="J1136" s="609">
        <v>2500</v>
      </c>
      <c r="K1136" s="609">
        <v>2500</v>
      </c>
      <c r="L1136" s="609">
        <v>0</v>
      </c>
      <c r="M1136" s="609">
        <v>0</v>
      </c>
      <c r="N1136" s="587">
        <f t="shared" si="123"/>
        <v>2500</v>
      </c>
      <c r="Q1136" t="str">
        <f t="shared" si="124"/>
        <v>51245</v>
      </c>
      <c r="R1136" s="126" t="str">
        <f t="shared" si="125"/>
        <v>SMALL TOOLS &amp; EQUIPMENT</v>
      </c>
      <c r="S1136" s="125" t="str">
        <f t="shared" si="126"/>
        <v>100</v>
      </c>
      <c r="T1136" s="125" t="str">
        <f t="shared" si="127"/>
        <v>63</v>
      </c>
      <c r="U1136" s="125" t="str">
        <f t="shared" si="128"/>
        <v>635</v>
      </c>
      <c r="V1136" s="125" t="str">
        <f>VLOOKUP(Q1136,'GL Category'!A:C,3,FALSE)</f>
        <v>Operations &amp; maintenance</v>
      </c>
      <c r="X1136" s="83"/>
    </row>
    <row r="1137" spans="1:24" ht="20.399999999999999" customHeight="1">
      <c r="A1137" s="608" t="s">
        <v>791</v>
      </c>
      <c r="B1137" s="608" t="s">
        <v>3054</v>
      </c>
      <c r="C1137" s="608" t="s">
        <v>161</v>
      </c>
      <c r="D1137" s="609">
        <v>4622.3500000000004</v>
      </c>
      <c r="E1137" s="609">
        <v>9229.2900000000009</v>
      </c>
      <c r="F1137" s="609">
        <v>14108.08</v>
      </c>
      <c r="G1137" s="609">
        <v>7384.6</v>
      </c>
      <c r="H1137" s="609">
        <v>12000</v>
      </c>
      <c r="I1137" s="609">
        <v>6345.4</v>
      </c>
      <c r="J1137" s="609">
        <v>11000</v>
      </c>
      <c r="K1137" s="609">
        <v>11000</v>
      </c>
      <c r="L1137" s="609">
        <v>0</v>
      </c>
      <c r="M1137" s="609">
        <v>0</v>
      </c>
      <c r="N1137" s="587">
        <f t="shared" si="123"/>
        <v>11000</v>
      </c>
      <c r="Q1137" t="str">
        <f t="shared" si="124"/>
        <v>51255</v>
      </c>
      <c r="R1137" s="126" t="str">
        <f t="shared" si="125"/>
        <v>FUEL/OILS/LUBRICANTS</v>
      </c>
      <c r="S1137" s="125" t="str">
        <f t="shared" si="126"/>
        <v>100</v>
      </c>
      <c r="T1137" s="125" t="str">
        <f t="shared" si="127"/>
        <v>63</v>
      </c>
      <c r="U1137" s="125" t="str">
        <f t="shared" si="128"/>
        <v>635</v>
      </c>
      <c r="V1137" s="125" t="str">
        <f>VLOOKUP(Q1137,'GL Category'!A:C,3,FALSE)</f>
        <v>Operations &amp; maintenance</v>
      </c>
      <c r="X1137" s="83"/>
    </row>
    <row r="1138" spans="1:24" ht="20.399999999999999" customHeight="1">
      <c r="A1138" s="608" t="s">
        <v>791</v>
      </c>
      <c r="B1138" s="608" t="s">
        <v>3055</v>
      </c>
      <c r="C1138" s="608" t="s">
        <v>276</v>
      </c>
      <c r="D1138" s="609">
        <v>1503.18</v>
      </c>
      <c r="E1138" s="609">
        <v>906.82</v>
      </c>
      <c r="F1138" s="609">
        <v>1161.49</v>
      </c>
      <c r="G1138" s="609">
        <v>328.7</v>
      </c>
      <c r="H1138" s="609">
        <v>1500</v>
      </c>
      <c r="I1138" s="609">
        <v>235.11</v>
      </c>
      <c r="J1138" s="609">
        <v>750</v>
      </c>
      <c r="K1138" s="609">
        <v>750</v>
      </c>
      <c r="L1138" s="609">
        <v>0</v>
      </c>
      <c r="M1138" s="609">
        <v>0</v>
      </c>
      <c r="N1138" s="587">
        <f t="shared" si="123"/>
        <v>750</v>
      </c>
      <c r="Q1138" t="str">
        <f t="shared" si="124"/>
        <v>51270</v>
      </c>
      <c r="R1138" s="126" t="str">
        <f t="shared" si="125"/>
        <v>CHEMICAL SUPPLIES</v>
      </c>
      <c r="S1138" s="125" t="str">
        <f t="shared" si="126"/>
        <v>100</v>
      </c>
      <c r="T1138" s="125" t="str">
        <f t="shared" si="127"/>
        <v>63</v>
      </c>
      <c r="U1138" s="125" t="str">
        <f t="shared" si="128"/>
        <v>635</v>
      </c>
      <c r="V1138" s="125" t="str">
        <f>VLOOKUP(Q1138,'GL Category'!A:C,3,FALSE)</f>
        <v>Operations &amp; maintenance</v>
      </c>
      <c r="X1138" s="83"/>
    </row>
    <row r="1139" spans="1:24" ht="20.399999999999999" customHeight="1">
      <c r="A1139" s="608" t="s">
        <v>791</v>
      </c>
      <c r="B1139" s="608" t="s">
        <v>3056</v>
      </c>
      <c r="C1139" s="608" t="s">
        <v>167</v>
      </c>
      <c r="D1139" s="609">
        <v>1595.49</v>
      </c>
      <c r="E1139" s="609">
        <v>2440.3200000000002</v>
      </c>
      <c r="F1139" s="609">
        <v>2475.42</v>
      </c>
      <c r="G1139" s="609">
        <v>1794.65</v>
      </c>
      <c r="H1139" s="609">
        <v>2500</v>
      </c>
      <c r="I1139" s="609">
        <v>2313.7800000000002</v>
      </c>
      <c r="J1139" s="609">
        <v>3500</v>
      </c>
      <c r="K1139" s="609">
        <v>2500</v>
      </c>
      <c r="L1139" s="609">
        <v>0</v>
      </c>
      <c r="M1139" s="609">
        <v>0</v>
      </c>
      <c r="N1139" s="587">
        <f t="shared" si="123"/>
        <v>2500</v>
      </c>
      <c r="Q1139" t="str">
        <f t="shared" si="124"/>
        <v>51285</v>
      </c>
      <c r="R1139" s="126" t="str">
        <f t="shared" si="125"/>
        <v>WEARING APPAREL</v>
      </c>
      <c r="S1139" s="125" t="str">
        <f t="shared" si="126"/>
        <v>100</v>
      </c>
      <c r="T1139" s="125" t="str">
        <f t="shared" si="127"/>
        <v>63</v>
      </c>
      <c r="U1139" s="125" t="str">
        <f t="shared" si="128"/>
        <v>635</v>
      </c>
      <c r="V1139" s="125" t="str">
        <f>VLOOKUP(Q1139,'GL Category'!A:C,3,FALSE)</f>
        <v>Operations &amp; maintenance</v>
      </c>
      <c r="X1139" s="83"/>
    </row>
    <row r="1140" spans="1:24" ht="20.399999999999999" customHeight="1">
      <c r="A1140" s="608" t="s">
        <v>791</v>
      </c>
      <c r="B1140" s="608" t="s">
        <v>3057</v>
      </c>
      <c r="C1140" s="608" t="s">
        <v>274</v>
      </c>
      <c r="D1140" s="609">
        <v>928.95</v>
      </c>
      <c r="E1140" s="609">
        <v>427.4</v>
      </c>
      <c r="F1140" s="609">
        <v>2074.42</v>
      </c>
      <c r="G1140" s="609">
        <v>1909.56</v>
      </c>
      <c r="H1140" s="609">
        <v>1000</v>
      </c>
      <c r="I1140" s="609">
        <v>1448.08</v>
      </c>
      <c r="J1140" s="609">
        <v>1900</v>
      </c>
      <c r="K1140" s="609">
        <v>2000</v>
      </c>
      <c r="L1140" s="609">
        <v>0</v>
      </c>
      <c r="M1140" s="609">
        <v>0</v>
      </c>
      <c r="N1140" s="587">
        <f t="shared" si="123"/>
        <v>2000</v>
      </c>
      <c r="Q1140" t="str">
        <f t="shared" si="124"/>
        <v>51287</v>
      </c>
      <c r="R1140" s="126" t="str">
        <f t="shared" si="125"/>
        <v>SAFETY EQUIPMENT/SUPPLIES</v>
      </c>
      <c r="S1140" s="125" t="str">
        <f t="shared" si="126"/>
        <v>100</v>
      </c>
      <c r="T1140" s="125" t="str">
        <f t="shared" si="127"/>
        <v>63</v>
      </c>
      <c r="U1140" s="125" t="str">
        <f t="shared" si="128"/>
        <v>635</v>
      </c>
      <c r="V1140" s="125" t="str">
        <f>VLOOKUP(Q1140,'GL Category'!A:C,3,FALSE)</f>
        <v>Operations &amp; maintenance</v>
      </c>
      <c r="X1140" s="83"/>
    </row>
    <row r="1141" spans="1:24" ht="20.399999999999999" customHeight="1">
      <c r="A1141" s="608" t="s">
        <v>791</v>
      </c>
      <c r="B1141" s="608" t="s">
        <v>3057</v>
      </c>
      <c r="C1141" s="608" t="s">
        <v>274</v>
      </c>
      <c r="D1141" s="609">
        <v>0</v>
      </c>
      <c r="E1141" s="609">
        <v>0</v>
      </c>
      <c r="F1141" s="609">
        <v>0</v>
      </c>
      <c r="G1141" s="609">
        <v>0</v>
      </c>
      <c r="H1141" s="609">
        <v>0</v>
      </c>
      <c r="I1141" s="609">
        <v>0</v>
      </c>
      <c r="J1141" s="609">
        <v>0</v>
      </c>
      <c r="K1141" s="609">
        <v>0</v>
      </c>
      <c r="L1141" s="609">
        <v>0</v>
      </c>
      <c r="M1141" s="609">
        <v>0</v>
      </c>
      <c r="N1141" s="587">
        <f t="shared" si="123"/>
        <v>0</v>
      </c>
      <c r="Q1141" t="str">
        <f t="shared" si="124"/>
        <v>51287</v>
      </c>
      <c r="R1141" s="126" t="str">
        <f t="shared" si="125"/>
        <v>SAFETY EQUIPMENT/SUPPLIES</v>
      </c>
      <c r="S1141" s="125" t="str">
        <f t="shared" si="126"/>
        <v>100</v>
      </c>
      <c r="T1141" s="125" t="str">
        <f t="shared" si="127"/>
        <v>63</v>
      </c>
      <c r="U1141" s="125" t="str">
        <f t="shared" si="128"/>
        <v>635</v>
      </c>
      <c r="V1141" s="125" t="str">
        <f>VLOOKUP(Q1141,'GL Category'!A:C,3,FALSE)</f>
        <v>Operations &amp; maintenance</v>
      </c>
      <c r="X1141" s="83"/>
    </row>
    <row r="1142" spans="1:24" ht="20.399999999999999" customHeight="1">
      <c r="A1142" s="608" t="s">
        <v>791</v>
      </c>
      <c r="B1142" s="608" t="s">
        <v>3058</v>
      </c>
      <c r="C1142" s="608" t="s">
        <v>169</v>
      </c>
      <c r="D1142" s="609">
        <v>686.37</v>
      </c>
      <c r="E1142" s="609">
        <v>0</v>
      </c>
      <c r="F1142" s="609">
        <v>0</v>
      </c>
      <c r="G1142" s="609">
        <v>0</v>
      </c>
      <c r="H1142" s="609">
        <v>0</v>
      </c>
      <c r="I1142" s="609">
        <v>0</v>
      </c>
      <c r="J1142" s="609">
        <v>0</v>
      </c>
      <c r="K1142" s="609">
        <v>0</v>
      </c>
      <c r="L1142" s="609">
        <v>0</v>
      </c>
      <c r="M1142" s="609">
        <v>0</v>
      </c>
      <c r="N1142" s="587">
        <f t="shared" si="123"/>
        <v>0</v>
      </c>
      <c r="Q1142" t="str">
        <f t="shared" si="124"/>
        <v>51299</v>
      </c>
      <c r="R1142" s="126" t="str">
        <f t="shared" si="125"/>
        <v>MISCELLANEOUS SUPPLIES</v>
      </c>
      <c r="S1142" s="125" t="str">
        <f t="shared" si="126"/>
        <v>100</v>
      </c>
      <c r="T1142" s="125" t="str">
        <f t="shared" si="127"/>
        <v>63</v>
      </c>
      <c r="U1142" s="125" t="str">
        <f t="shared" si="128"/>
        <v>635</v>
      </c>
      <c r="V1142" s="125" t="str">
        <f>VLOOKUP(Q1142,'GL Category'!A:C,3,FALSE)</f>
        <v>Operations &amp; maintenance</v>
      </c>
      <c r="X1142" s="83"/>
    </row>
    <row r="1143" spans="1:24" ht="20.399999999999999" customHeight="1">
      <c r="A1143" s="608" t="s">
        <v>791</v>
      </c>
      <c r="B1143" s="608" t="s">
        <v>3059</v>
      </c>
      <c r="C1143" s="608" t="s">
        <v>171</v>
      </c>
      <c r="D1143" s="609">
        <v>14055.93</v>
      </c>
      <c r="E1143" s="609">
        <v>3057.48</v>
      </c>
      <c r="F1143" s="609">
        <v>9406.27</v>
      </c>
      <c r="G1143" s="609">
        <v>8022.86</v>
      </c>
      <c r="H1143" s="609">
        <v>9000</v>
      </c>
      <c r="I1143" s="609">
        <v>11244.51</v>
      </c>
      <c r="J1143" s="609">
        <v>11500</v>
      </c>
      <c r="K1143" s="609">
        <v>9000</v>
      </c>
      <c r="L1143" s="609">
        <v>0</v>
      </c>
      <c r="M1143" s="609">
        <v>0</v>
      </c>
      <c r="N1143" s="587">
        <f t="shared" si="123"/>
        <v>9000</v>
      </c>
      <c r="Q1143" t="str">
        <f t="shared" si="124"/>
        <v>52310</v>
      </c>
      <c r="R1143" s="126" t="str">
        <f t="shared" si="125"/>
        <v>BUILDING MAINTENANCE</v>
      </c>
      <c r="S1143" s="125" t="str">
        <f t="shared" si="126"/>
        <v>100</v>
      </c>
      <c r="T1143" s="125" t="str">
        <f t="shared" si="127"/>
        <v>63</v>
      </c>
      <c r="U1143" s="125" t="str">
        <f t="shared" si="128"/>
        <v>635</v>
      </c>
      <c r="V1143" s="125" t="str">
        <f>VLOOKUP(Q1143,'GL Category'!A:C,3,FALSE)</f>
        <v>Operations &amp; maintenance</v>
      </c>
      <c r="X1143" s="83"/>
    </row>
    <row r="1144" spans="1:24" ht="20.399999999999999" customHeight="1">
      <c r="A1144" s="608" t="s">
        <v>791</v>
      </c>
      <c r="B1144" s="608" t="s">
        <v>3059</v>
      </c>
      <c r="C1144" s="608" t="s">
        <v>171</v>
      </c>
      <c r="D1144" s="609">
        <v>0</v>
      </c>
      <c r="E1144" s="609">
        <v>13947</v>
      </c>
      <c r="F1144" s="609">
        <v>0</v>
      </c>
      <c r="G1144" s="609">
        <v>0</v>
      </c>
      <c r="H1144" s="609">
        <v>0</v>
      </c>
      <c r="I1144" s="609">
        <v>0</v>
      </c>
      <c r="J1144" s="609">
        <v>0</v>
      </c>
      <c r="K1144" s="609">
        <v>0</v>
      </c>
      <c r="L1144" s="609">
        <v>0</v>
      </c>
      <c r="M1144" s="609">
        <v>0</v>
      </c>
      <c r="N1144" s="587">
        <f t="shared" si="123"/>
        <v>0</v>
      </c>
      <c r="Q1144" t="str">
        <f t="shared" si="124"/>
        <v>52310</v>
      </c>
      <c r="R1144" s="126" t="str">
        <f t="shared" si="125"/>
        <v>BUILDING MAINTENANCE</v>
      </c>
      <c r="S1144" s="125" t="str">
        <f t="shared" si="126"/>
        <v>100</v>
      </c>
      <c r="T1144" s="125" t="str">
        <f t="shared" si="127"/>
        <v>63</v>
      </c>
      <c r="U1144" s="125" t="str">
        <f t="shared" si="128"/>
        <v>635</v>
      </c>
      <c r="V1144" s="125" t="str">
        <f>VLOOKUP(Q1144,'GL Category'!A:C,3,FALSE)</f>
        <v>Operations &amp; maintenance</v>
      </c>
      <c r="X1144" s="83"/>
    </row>
    <row r="1145" spans="1:24" ht="20.399999999999999" customHeight="1">
      <c r="A1145" s="608" t="s">
        <v>791</v>
      </c>
      <c r="B1145" s="608" t="s">
        <v>3060</v>
      </c>
      <c r="C1145" s="608" t="s">
        <v>173</v>
      </c>
      <c r="D1145" s="609">
        <v>48966.080000000002</v>
      </c>
      <c r="E1145" s="609">
        <v>66371.34</v>
      </c>
      <c r="F1145" s="609">
        <v>59593.14</v>
      </c>
      <c r="G1145" s="609">
        <v>69350.399999999994</v>
      </c>
      <c r="H1145" s="609">
        <v>68000</v>
      </c>
      <c r="I1145" s="609">
        <v>41507.1</v>
      </c>
      <c r="J1145" s="609">
        <v>68000</v>
      </c>
      <c r="K1145" s="609">
        <v>68000</v>
      </c>
      <c r="L1145" s="609">
        <v>0</v>
      </c>
      <c r="M1145" s="609">
        <v>0</v>
      </c>
      <c r="N1145" s="587">
        <f t="shared" si="123"/>
        <v>68000</v>
      </c>
      <c r="Q1145" t="str">
        <f t="shared" si="124"/>
        <v>52311</v>
      </c>
      <c r="R1145" s="126" t="str">
        <f t="shared" si="125"/>
        <v>GROUNDS MAINTENANCE</v>
      </c>
      <c r="S1145" s="125" t="str">
        <f t="shared" si="126"/>
        <v>100</v>
      </c>
      <c r="T1145" s="125" t="str">
        <f t="shared" si="127"/>
        <v>63</v>
      </c>
      <c r="U1145" s="125" t="str">
        <f t="shared" si="128"/>
        <v>635</v>
      </c>
      <c r="V1145" s="125" t="str">
        <f>VLOOKUP(Q1145,'GL Category'!A:C,3,FALSE)</f>
        <v>Operations &amp; maintenance</v>
      </c>
      <c r="X1145" s="83"/>
    </row>
    <row r="1146" spans="1:24" ht="20.399999999999999" customHeight="1">
      <c r="A1146" s="608" t="s">
        <v>791</v>
      </c>
      <c r="B1146" s="608" t="s">
        <v>3060</v>
      </c>
      <c r="C1146" s="608" t="s">
        <v>173</v>
      </c>
      <c r="D1146" s="609">
        <v>0</v>
      </c>
      <c r="E1146" s="609">
        <v>33092</v>
      </c>
      <c r="F1146" s="609">
        <v>0</v>
      </c>
      <c r="G1146" s="609">
        <v>0</v>
      </c>
      <c r="H1146" s="609">
        <v>0</v>
      </c>
      <c r="I1146" s="609">
        <v>0</v>
      </c>
      <c r="J1146" s="609">
        <v>0</v>
      </c>
      <c r="K1146" s="609">
        <v>0</v>
      </c>
      <c r="L1146" s="609">
        <v>0</v>
      </c>
      <c r="M1146" s="609">
        <v>0</v>
      </c>
      <c r="N1146" s="587">
        <f t="shared" si="123"/>
        <v>0</v>
      </c>
      <c r="P1146" s="490">
        <f t="shared" ref="P1146:P1155" si="130">N1146-H1146</f>
        <v>0</v>
      </c>
      <c r="Q1146" t="str">
        <f t="shared" si="124"/>
        <v>52311</v>
      </c>
      <c r="R1146" s="126" t="str">
        <f t="shared" si="125"/>
        <v>GROUNDS MAINTENANCE</v>
      </c>
      <c r="S1146" s="125" t="str">
        <f t="shared" si="126"/>
        <v>100</v>
      </c>
      <c r="T1146" s="125" t="str">
        <f t="shared" si="127"/>
        <v>63</v>
      </c>
      <c r="U1146" s="125" t="str">
        <f t="shared" si="128"/>
        <v>635</v>
      </c>
      <c r="V1146" s="125" t="str">
        <f>VLOOKUP(Q1146,'GL Category'!A:C,3,FALSE)</f>
        <v>Operations &amp; maintenance</v>
      </c>
      <c r="X1146" s="83"/>
    </row>
    <row r="1147" spans="1:24" ht="20.399999999999999" customHeight="1">
      <c r="A1147" s="608" t="s">
        <v>791</v>
      </c>
      <c r="B1147" s="608" t="s">
        <v>3061</v>
      </c>
      <c r="C1147" s="608" t="s">
        <v>295</v>
      </c>
      <c r="D1147" s="609">
        <v>1905.11</v>
      </c>
      <c r="E1147" s="609">
        <v>0</v>
      </c>
      <c r="F1147" s="609">
        <v>0</v>
      </c>
      <c r="G1147" s="609">
        <v>0</v>
      </c>
      <c r="H1147" s="609">
        <v>0</v>
      </c>
      <c r="I1147" s="609">
        <v>0</v>
      </c>
      <c r="J1147" s="609">
        <v>0</v>
      </c>
      <c r="K1147" s="609">
        <v>0</v>
      </c>
      <c r="L1147" s="609">
        <v>0</v>
      </c>
      <c r="M1147" s="609">
        <v>0</v>
      </c>
      <c r="N1147" s="587">
        <f t="shared" si="123"/>
        <v>0</v>
      </c>
      <c r="P1147" s="490">
        <f t="shared" si="130"/>
        <v>0</v>
      </c>
      <c r="Q1147" t="str">
        <f t="shared" si="124"/>
        <v>52350</v>
      </c>
      <c r="R1147" s="126" t="str">
        <f t="shared" si="125"/>
        <v>SIGN &amp; SIGNAL MAINTENANCE</v>
      </c>
      <c r="S1147" s="125" t="str">
        <f t="shared" si="126"/>
        <v>100</v>
      </c>
      <c r="T1147" s="125" t="str">
        <f t="shared" si="127"/>
        <v>63</v>
      </c>
      <c r="U1147" s="125" t="str">
        <f t="shared" si="128"/>
        <v>635</v>
      </c>
      <c r="V1147" s="125" t="str">
        <f>VLOOKUP(Q1147,'GL Category'!A:C,3,FALSE)</f>
        <v>Operations &amp; maintenance</v>
      </c>
      <c r="X1147" s="83"/>
    </row>
    <row r="1148" spans="1:24" ht="20.399999999999999" customHeight="1">
      <c r="A1148" s="608" t="s">
        <v>791</v>
      </c>
      <c r="B1148" s="608" t="s">
        <v>3062</v>
      </c>
      <c r="C1148" s="608" t="s">
        <v>241</v>
      </c>
      <c r="D1148" s="609">
        <v>879.88</v>
      </c>
      <c r="E1148" s="609">
        <v>808.03</v>
      </c>
      <c r="F1148" s="609">
        <v>274.57</v>
      </c>
      <c r="G1148" s="609">
        <v>481.15</v>
      </c>
      <c r="H1148" s="609">
        <v>1000</v>
      </c>
      <c r="I1148" s="609">
        <v>27.48</v>
      </c>
      <c r="J1148" s="609">
        <v>500</v>
      </c>
      <c r="K1148" s="609">
        <v>500</v>
      </c>
      <c r="L1148" s="609">
        <v>0</v>
      </c>
      <c r="M1148" s="609">
        <v>0</v>
      </c>
      <c r="N1148" s="587">
        <f t="shared" si="123"/>
        <v>500</v>
      </c>
      <c r="P1148" s="490">
        <f t="shared" si="130"/>
        <v>-500</v>
      </c>
      <c r="Q1148" t="str">
        <f t="shared" si="124"/>
        <v>52460</v>
      </c>
      <c r="R1148" s="126" t="str">
        <f t="shared" si="125"/>
        <v>VEHICLE MAINTENANCE</v>
      </c>
      <c r="S1148" s="125" t="str">
        <f t="shared" si="126"/>
        <v>100</v>
      </c>
      <c r="T1148" s="125" t="str">
        <f t="shared" si="127"/>
        <v>63</v>
      </c>
      <c r="U1148" s="125" t="str">
        <f t="shared" si="128"/>
        <v>635</v>
      </c>
      <c r="V1148" s="125" t="str">
        <f>VLOOKUP(Q1148,'GL Category'!A:C,3,FALSE)</f>
        <v>Operations &amp; maintenance</v>
      </c>
      <c r="X1148" s="83"/>
    </row>
    <row r="1149" spans="1:24" ht="20.399999999999999" customHeight="1">
      <c r="A1149" s="608" t="s">
        <v>791</v>
      </c>
      <c r="B1149" s="608" t="s">
        <v>3063</v>
      </c>
      <c r="C1149" s="608" t="s">
        <v>236</v>
      </c>
      <c r="D1149" s="609">
        <v>13775.53</v>
      </c>
      <c r="E1149" s="609">
        <v>9965.92</v>
      </c>
      <c r="F1149" s="609">
        <v>17512.3</v>
      </c>
      <c r="G1149" s="609">
        <v>14453.88</v>
      </c>
      <c r="H1149" s="609">
        <v>17000</v>
      </c>
      <c r="I1149" s="609">
        <v>8140.25</v>
      </c>
      <c r="J1149" s="609">
        <v>15000</v>
      </c>
      <c r="K1149" s="609">
        <v>17000</v>
      </c>
      <c r="L1149" s="609">
        <v>0</v>
      </c>
      <c r="M1149" s="609">
        <v>0</v>
      </c>
      <c r="N1149" s="587">
        <f t="shared" si="123"/>
        <v>17000</v>
      </c>
      <c r="P1149" s="490">
        <f t="shared" si="130"/>
        <v>0</v>
      </c>
      <c r="Q1149" t="str">
        <f t="shared" si="124"/>
        <v>52470</v>
      </c>
      <c r="R1149" s="126" t="str">
        <f t="shared" si="125"/>
        <v>EQUIPMENT MAINTENANCE</v>
      </c>
      <c r="S1149" s="125" t="str">
        <f t="shared" si="126"/>
        <v>100</v>
      </c>
      <c r="T1149" s="125" t="str">
        <f t="shared" si="127"/>
        <v>63</v>
      </c>
      <c r="U1149" s="125" t="str">
        <f t="shared" si="128"/>
        <v>635</v>
      </c>
      <c r="V1149" s="125" t="str">
        <f>VLOOKUP(Q1149,'GL Category'!A:C,3,FALSE)</f>
        <v>Operations &amp; maintenance</v>
      </c>
      <c r="X1149" s="83"/>
    </row>
    <row r="1150" spans="1:24" ht="20.399999999999999" customHeight="1">
      <c r="A1150" s="608" t="s">
        <v>791</v>
      </c>
      <c r="B1150" s="608" t="s">
        <v>3063</v>
      </c>
      <c r="C1150" s="608" t="s">
        <v>236</v>
      </c>
      <c r="D1150" s="609">
        <v>0</v>
      </c>
      <c r="E1150" s="609">
        <v>71.91</v>
      </c>
      <c r="F1150" s="609">
        <v>0</v>
      </c>
      <c r="G1150" s="609">
        <v>0</v>
      </c>
      <c r="H1150" s="609">
        <v>0</v>
      </c>
      <c r="I1150" s="609">
        <v>0</v>
      </c>
      <c r="J1150" s="609">
        <v>0</v>
      </c>
      <c r="K1150" s="609">
        <v>0</v>
      </c>
      <c r="L1150" s="609">
        <v>0</v>
      </c>
      <c r="M1150" s="609">
        <v>0</v>
      </c>
      <c r="N1150" s="587">
        <f t="shared" si="123"/>
        <v>0</v>
      </c>
      <c r="P1150" s="490">
        <f t="shared" si="130"/>
        <v>0</v>
      </c>
      <c r="Q1150" t="str">
        <f t="shared" si="124"/>
        <v>52470</v>
      </c>
      <c r="R1150" s="126" t="str">
        <f t="shared" si="125"/>
        <v>EQUIPMENT MAINTENANCE</v>
      </c>
      <c r="S1150" s="125" t="str">
        <f t="shared" si="126"/>
        <v>100</v>
      </c>
      <c r="T1150" s="125" t="str">
        <f t="shared" si="127"/>
        <v>63</v>
      </c>
      <c r="U1150" s="125" t="str">
        <f t="shared" si="128"/>
        <v>635</v>
      </c>
      <c r="V1150" s="125" t="str">
        <f>VLOOKUP(Q1150,'GL Category'!A:C,3,FALSE)</f>
        <v>Operations &amp; maintenance</v>
      </c>
      <c r="X1150" s="83"/>
    </row>
    <row r="1151" spans="1:24" ht="20.399999999999999" customHeight="1">
      <c r="A1151" s="608" t="s">
        <v>791</v>
      </c>
      <c r="B1151" s="608" t="s">
        <v>3065</v>
      </c>
      <c r="C1151" s="608" t="s">
        <v>191</v>
      </c>
      <c r="D1151" s="609">
        <v>984.02</v>
      </c>
      <c r="E1151" s="609">
        <v>0</v>
      </c>
      <c r="F1151" s="609">
        <v>1180</v>
      </c>
      <c r="G1151" s="609">
        <v>0</v>
      </c>
      <c r="H1151" s="609">
        <v>1000</v>
      </c>
      <c r="I1151" s="609">
        <v>770</v>
      </c>
      <c r="J1151" s="609">
        <v>800</v>
      </c>
      <c r="K1151" s="609">
        <v>1000</v>
      </c>
      <c r="L1151" s="609">
        <v>0</v>
      </c>
      <c r="M1151" s="609">
        <v>0</v>
      </c>
      <c r="N1151" s="587">
        <f t="shared" si="123"/>
        <v>1000</v>
      </c>
      <c r="P1151" s="490">
        <f t="shared" si="130"/>
        <v>0</v>
      </c>
      <c r="Q1151" t="str">
        <f t="shared" si="124"/>
        <v>53515</v>
      </c>
      <c r="R1151" s="126" t="str">
        <f t="shared" si="125"/>
        <v>TRAVEL, TRAINING &amp; EDUCATION</v>
      </c>
      <c r="S1151" s="125" t="str">
        <f t="shared" si="126"/>
        <v>100</v>
      </c>
      <c r="T1151" s="125" t="str">
        <f t="shared" si="127"/>
        <v>63</v>
      </c>
      <c r="U1151" s="125" t="str">
        <f t="shared" si="128"/>
        <v>635</v>
      </c>
      <c r="V1151" s="125" t="str">
        <f>VLOOKUP(Q1151,'GL Category'!A:C,3,FALSE)</f>
        <v>Services &amp; other</v>
      </c>
      <c r="X1151" s="83"/>
    </row>
    <row r="1152" spans="1:24" ht="20.399999999999999" customHeight="1">
      <c r="A1152" s="608" t="s">
        <v>791</v>
      </c>
      <c r="B1152" s="608" t="s">
        <v>3068</v>
      </c>
      <c r="C1152" s="608" t="s">
        <v>6</v>
      </c>
      <c r="D1152" s="609">
        <v>3125.99</v>
      </c>
      <c r="E1152" s="609">
        <v>3386.5</v>
      </c>
      <c r="F1152" s="609">
        <v>7523.84</v>
      </c>
      <c r="G1152" s="609">
        <v>10377.43</v>
      </c>
      <c r="H1152" s="609">
        <v>7500</v>
      </c>
      <c r="I1152" s="609">
        <v>5468.88</v>
      </c>
      <c r="J1152" s="609">
        <v>7500</v>
      </c>
      <c r="K1152" s="609">
        <v>7500</v>
      </c>
      <c r="L1152" s="609">
        <v>0</v>
      </c>
      <c r="M1152" s="609">
        <v>0</v>
      </c>
      <c r="N1152" s="587">
        <f t="shared" si="123"/>
        <v>7500</v>
      </c>
      <c r="P1152" s="490">
        <f t="shared" si="130"/>
        <v>0</v>
      </c>
      <c r="Q1152" t="str">
        <f t="shared" si="124"/>
        <v>53524</v>
      </c>
      <c r="R1152" s="126" t="str">
        <f t="shared" si="125"/>
        <v>EQUIPMENT RENTAL</v>
      </c>
      <c r="S1152" s="125" t="str">
        <f t="shared" si="126"/>
        <v>100</v>
      </c>
      <c r="T1152" s="125" t="str">
        <f t="shared" si="127"/>
        <v>63</v>
      </c>
      <c r="U1152" s="125" t="str">
        <f t="shared" si="128"/>
        <v>635</v>
      </c>
      <c r="V1152" s="125" t="str">
        <f>VLOOKUP(Q1152,'GL Category'!A:C,3,FALSE)</f>
        <v>Services &amp; other</v>
      </c>
      <c r="X1152" s="83"/>
    </row>
    <row r="1153" spans="1:24" ht="20.399999999999999" customHeight="1">
      <c r="A1153" s="608" t="s">
        <v>791</v>
      </c>
      <c r="B1153" s="608" t="s">
        <v>3068</v>
      </c>
      <c r="C1153" s="608" t="s">
        <v>6</v>
      </c>
      <c r="D1153" s="609">
        <v>0</v>
      </c>
      <c r="E1153" s="609">
        <v>1168.45</v>
      </c>
      <c r="F1153" s="609">
        <v>0</v>
      </c>
      <c r="G1153" s="609">
        <v>0</v>
      </c>
      <c r="H1153" s="609">
        <v>0</v>
      </c>
      <c r="I1153" s="609">
        <v>0</v>
      </c>
      <c r="J1153" s="609">
        <v>0</v>
      </c>
      <c r="K1153" s="609">
        <v>0</v>
      </c>
      <c r="L1153" s="609">
        <v>0</v>
      </c>
      <c r="M1153" s="609">
        <v>0</v>
      </c>
      <c r="N1153" s="587">
        <f t="shared" si="123"/>
        <v>0</v>
      </c>
      <c r="P1153" s="490">
        <f t="shared" si="130"/>
        <v>0</v>
      </c>
      <c r="Q1153" t="str">
        <f t="shared" si="124"/>
        <v>53524</v>
      </c>
      <c r="R1153" s="126" t="str">
        <f t="shared" si="125"/>
        <v>EQUIPMENT RENTAL</v>
      </c>
      <c r="S1153" s="125" t="str">
        <f t="shared" si="126"/>
        <v>100</v>
      </c>
      <c r="T1153" s="125" t="str">
        <f t="shared" si="127"/>
        <v>63</v>
      </c>
      <c r="U1153" s="125" t="str">
        <f t="shared" si="128"/>
        <v>635</v>
      </c>
      <c r="V1153" s="125" t="str">
        <f>VLOOKUP(Q1153,'GL Category'!A:C,3,FALSE)</f>
        <v>Services &amp; other</v>
      </c>
      <c r="X1153" s="83"/>
    </row>
    <row r="1154" spans="1:24" ht="20.399999999999999" customHeight="1">
      <c r="A1154" s="608" t="s">
        <v>791</v>
      </c>
      <c r="B1154" s="608" t="s">
        <v>3066</v>
      </c>
      <c r="C1154" s="608" t="s">
        <v>839</v>
      </c>
      <c r="D1154" s="609">
        <v>67074</v>
      </c>
      <c r="E1154" s="609">
        <v>93088</v>
      </c>
      <c r="F1154" s="609">
        <v>49829.2</v>
      </c>
      <c r="G1154" s="609">
        <v>43644.9</v>
      </c>
      <c r="H1154" s="609">
        <v>55000</v>
      </c>
      <c r="I1154" s="609">
        <v>34552.449999999997</v>
      </c>
      <c r="J1154" s="609">
        <v>50000</v>
      </c>
      <c r="K1154" s="609">
        <v>57000</v>
      </c>
      <c r="L1154" s="609">
        <v>0</v>
      </c>
      <c r="M1154" s="609">
        <v>0</v>
      </c>
      <c r="N1154" s="587">
        <f t="shared" si="123"/>
        <v>57000</v>
      </c>
      <c r="P1154" s="490">
        <f t="shared" si="130"/>
        <v>2000</v>
      </c>
      <c r="Q1154" t="str">
        <f t="shared" si="124"/>
        <v>53525</v>
      </c>
      <c r="R1154" s="126" t="str">
        <f t="shared" si="125"/>
        <v>LANDSCAPE SERVICES</v>
      </c>
      <c r="S1154" s="125" t="str">
        <f t="shared" si="126"/>
        <v>100</v>
      </c>
      <c r="T1154" s="125" t="str">
        <f t="shared" si="127"/>
        <v>63</v>
      </c>
      <c r="U1154" s="125" t="str">
        <f t="shared" si="128"/>
        <v>635</v>
      </c>
      <c r="V1154" s="125" t="str">
        <f>VLOOKUP(Q1154,'GL Category'!A:C,3,FALSE)</f>
        <v>Services &amp; other</v>
      </c>
      <c r="X1154" s="83"/>
    </row>
    <row r="1155" spans="1:24" ht="20.399999999999999" customHeight="1">
      <c r="A1155" s="608" t="s">
        <v>791</v>
      </c>
      <c r="B1155" s="608" t="s">
        <v>3067</v>
      </c>
      <c r="C1155" s="608" t="s">
        <v>906</v>
      </c>
      <c r="D1155" s="609">
        <v>10657</v>
      </c>
      <c r="E1155" s="609">
        <v>5688</v>
      </c>
      <c r="F1155" s="609">
        <v>15591</v>
      </c>
      <c r="G1155" s="609">
        <v>16866</v>
      </c>
      <c r="H1155" s="609">
        <v>16000</v>
      </c>
      <c r="I1155" s="609">
        <v>12649.5</v>
      </c>
      <c r="J1155" s="609">
        <v>16000</v>
      </c>
      <c r="K1155" s="609">
        <v>19000</v>
      </c>
      <c r="L1155" s="609">
        <v>0</v>
      </c>
      <c r="M1155" s="609">
        <v>0</v>
      </c>
      <c r="N1155" s="587">
        <f t="shared" si="123"/>
        <v>19000</v>
      </c>
      <c r="P1155" s="490">
        <f t="shared" si="130"/>
        <v>3000</v>
      </c>
      <c r="Q1155" t="str">
        <f t="shared" si="124"/>
        <v>53529</v>
      </c>
      <c r="R1155" s="126" t="str">
        <f t="shared" si="125"/>
        <v>JANITORIAL SERVICES</v>
      </c>
      <c r="S1155" s="125" t="str">
        <f t="shared" si="126"/>
        <v>100</v>
      </c>
      <c r="T1155" s="125" t="str">
        <f t="shared" si="127"/>
        <v>63</v>
      </c>
      <c r="U1155" s="125" t="str">
        <f t="shared" si="128"/>
        <v>635</v>
      </c>
      <c r="V1155" s="125" t="str">
        <f>VLOOKUP(Q1155,'GL Category'!A:C,3,FALSE)</f>
        <v>Services &amp; other</v>
      </c>
      <c r="X1155" s="83"/>
    </row>
    <row r="1156" spans="1:24" ht="20.399999999999999" customHeight="1">
      <c r="A1156" s="608" t="s">
        <v>791</v>
      </c>
      <c r="B1156" s="608" t="s">
        <v>3069</v>
      </c>
      <c r="C1156" s="608" t="s">
        <v>215</v>
      </c>
      <c r="D1156" s="609">
        <v>40301.35</v>
      </c>
      <c r="E1156" s="609">
        <v>46786.5</v>
      </c>
      <c r="F1156" s="609">
        <v>55290.37</v>
      </c>
      <c r="G1156" s="609">
        <v>74061.570000000007</v>
      </c>
      <c r="H1156" s="609">
        <v>83580</v>
      </c>
      <c r="I1156" s="609">
        <v>35440.42</v>
      </c>
      <c r="J1156" s="609">
        <v>70000</v>
      </c>
      <c r="K1156" s="609">
        <v>83580</v>
      </c>
      <c r="L1156" s="609">
        <v>0</v>
      </c>
      <c r="M1156" s="609">
        <v>0</v>
      </c>
      <c r="N1156" s="587">
        <f t="shared" ref="N1156:N1219" si="131">SUM(K1156:M1156)</f>
        <v>83580</v>
      </c>
      <c r="Q1156" t="str">
        <f t="shared" ref="Q1156:Q1219" si="132">MID(B1156,12,5)</f>
        <v>53572</v>
      </c>
      <c r="R1156" s="126" t="str">
        <f t="shared" ref="R1156:R1219" si="133">C1156</f>
        <v>ELECTRICAL UTILITY SERVICE</v>
      </c>
      <c r="S1156" s="125" t="str">
        <f t="shared" ref="S1156:S1219" si="134">LEFT(B1156,3)</f>
        <v>100</v>
      </c>
      <c r="T1156" s="125" t="str">
        <f t="shared" ref="T1156:T1219" si="135">MID(B1156,5,2)</f>
        <v>63</v>
      </c>
      <c r="U1156" s="125" t="str">
        <f t="shared" ref="U1156:U1219" si="136">MID(B1156,8,3)</f>
        <v>635</v>
      </c>
      <c r="V1156" s="125" t="str">
        <f>VLOOKUP(Q1156,'GL Category'!A:C,3,FALSE)</f>
        <v>Services &amp; other</v>
      </c>
      <c r="X1156" s="83"/>
    </row>
    <row r="1157" spans="1:24" ht="20.399999999999999" customHeight="1">
      <c r="A1157" s="608" t="s">
        <v>791</v>
      </c>
      <c r="B1157" s="608" t="s">
        <v>3070</v>
      </c>
      <c r="C1157" s="608" t="s">
        <v>217</v>
      </c>
      <c r="D1157" s="609">
        <v>74998.66</v>
      </c>
      <c r="E1157" s="609">
        <v>71871.88</v>
      </c>
      <c r="F1157" s="609">
        <v>142757.17000000001</v>
      </c>
      <c r="G1157" s="609">
        <v>98165.51</v>
      </c>
      <c r="H1157" s="609">
        <v>80000</v>
      </c>
      <c r="I1157" s="609">
        <v>75857.37</v>
      </c>
      <c r="J1157" s="609">
        <v>80000</v>
      </c>
      <c r="K1157" s="609">
        <v>82500</v>
      </c>
      <c r="L1157" s="609">
        <v>0</v>
      </c>
      <c r="M1157" s="609">
        <v>0</v>
      </c>
      <c r="N1157" s="587">
        <f t="shared" si="131"/>
        <v>82500</v>
      </c>
      <c r="Q1157" t="str">
        <f t="shared" si="132"/>
        <v>53574</v>
      </c>
      <c r="R1157" s="126" t="str">
        <f t="shared" si="133"/>
        <v>WATER/SEWER UTILITY SERVICE</v>
      </c>
      <c r="S1157" s="125" t="str">
        <f t="shared" si="134"/>
        <v>100</v>
      </c>
      <c r="T1157" s="125" t="str">
        <f t="shared" si="135"/>
        <v>63</v>
      </c>
      <c r="U1157" s="125" t="str">
        <f t="shared" si="136"/>
        <v>635</v>
      </c>
      <c r="V1157" s="125" t="str">
        <f>VLOOKUP(Q1157,'GL Category'!A:C,3,FALSE)</f>
        <v>Services &amp; other</v>
      </c>
      <c r="X1157" s="83"/>
    </row>
    <row r="1158" spans="1:24" ht="20.399999999999999" customHeight="1">
      <c r="A1158" s="608" t="s">
        <v>791</v>
      </c>
      <c r="B1158" s="608" t="s">
        <v>3064</v>
      </c>
      <c r="C1158" s="608" t="s">
        <v>238</v>
      </c>
      <c r="D1158" s="609">
        <v>0</v>
      </c>
      <c r="E1158" s="609">
        <v>1150</v>
      </c>
      <c r="F1158" s="609">
        <v>0</v>
      </c>
      <c r="G1158" s="609">
        <v>0</v>
      </c>
      <c r="H1158" s="609">
        <v>0</v>
      </c>
      <c r="I1158" s="609">
        <v>0</v>
      </c>
      <c r="J1158" s="609">
        <v>0</v>
      </c>
      <c r="K1158" s="609">
        <v>0</v>
      </c>
      <c r="L1158" s="609">
        <v>0</v>
      </c>
      <c r="M1158" s="609">
        <v>0</v>
      </c>
      <c r="N1158" s="587">
        <f t="shared" si="131"/>
        <v>0</v>
      </c>
      <c r="Q1158" t="str">
        <f t="shared" si="132"/>
        <v>53599</v>
      </c>
      <c r="R1158" s="126" t="str">
        <f t="shared" si="133"/>
        <v>MISCELLANEOUS SERVICES</v>
      </c>
      <c r="S1158" s="125" t="str">
        <f t="shared" si="134"/>
        <v>100</v>
      </c>
      <c r="T1158" s="125" t="str">
        <f t="shared" si="135"/>
        <v>63</v>
      </c>
      <c r="U1158" s="125" t="str">
        <f t="shared" si="136"/>
        <v>635</v>
      </c>
      <c r="V1158" s="125" t="str">
        <f>VLOOKUP(Q1158,'GL Category'!A:C,3,FALSE)</f>
        <v>Services &amp; other</v>
      </c>
      <c r="X1158" s="83"/>
    </row>
    <row r="1159" spans="1:24" ht="20.399999999999999" customHeight="1">
      <c r="A1159" s="608" t="s">
        <v>791</v>
      </c>
      <c r="B1159" s="608" t="s">
        <v>3072</v>
      </c>
      <c r="C1159" s="608" t="s">
        <v>221</v>
      </c>
      <c r="D1159" s="609">
        <v>2917</v>
      </c>
      <c r="E1159" s="609">
        <v>5362</v>
      </c>
      <c r="F1159" s="609">
        <v>1845</v>
      </c>
      <c r="G1159" s="609">
        <v>2929</v>
      </c>
      <c r="H1159" s="609">
        <v>2530</v>
      </c>
      <c r="I1159" s="609">
        <v>1897.5</v>
      </c>
      <c r="J1159" s="609">
        <v>2530</v>
      </c>
      <c r="K1159" s="609">
        <v>2890</v>
      </c>
      <c r="L1159" s="609">
        <v>0</v>
      </c>
      <c r="M1159" s="609">
        <v>0</v>
      </c>
      <c r="N1159" s="587">
        <f t="shared" si="131"/>
        <v>2890</v>
      </c>
      <c r="Q1159" t="str">
        <f t="shared" si="132"/>
        <v>55119</v>
      </c>
      <c r="R1159" s="126" t="str">
        <f t="shared" si="133"/>
        <v>OFFICE EQUIP LEASE EXP-CITY</v>
      </c>
      <c r="S1159" s="125" t="str">
        <f t="shared" si="134"/>
        <v>100</v>
      </c>
      <c r="T1159" s="125" t="str">
        <f t="shared" si="135"/>
        <v>63</v>
      </c>
      <c r="U1159" s="125" t="str">
        <f t="shared" si="136"/>
        <v>635</v>
      </c>
      <c r="V1159" s="125" t="str">
        <f>VLOOKUP(Q1159,'GL Category'!A:C,3,FALSE)</f>
        <v>Services &amp; other</v>
      </c>
      <c r="X1159" s="83"/>
    </row>
    <row r="1160" spans="1:24" ht="20.399999999999999" customHeight="1">
      <c r="A1160" s="608" t="s">
        <v>791</v>
      </c>
      <c r="B1160" s="608" t="s">
        <v>3071</v>
      </c>
      <c r="C1160" s="608" t="s">
        <v>220</v>
      </c>
      <c r="D1160" s="609">
        <v>11100</v>
      </c>
      <c r="E1160" s="609">
        <v>16210</v>
      </c>
      <c r="F1160" s="609">
        <v>16802</v>
      </c>
      <c r="G1160" s="609">
        <v>24109</v>
      </c>
      <c r="H1160" s="609">
        <v>23302</v>
      </c>
      <c r="I1160" s="609">
        <v>17476.5</v>
      </c>
      <c r="J1160" s="609">
        <v>23302</v>
      </c>
      <c r="K1160" s="609">
        <v>26660</v>
      </c>
      <c r="L1160" s="609">
        <v>0</v>
      </c>
      <c r="M1160" s="609">
        <v>0</v>
      </c>
      <c r="N1160" s="587">
        <f t="shared" si="131"/>
        <v>26660</v>
      </c>
      <c r="Q1160" t="str">
        <f t="shared" si="132"/>
        <v>55175</v>
      </c>
      <c r="R1160" s="126" t="str">
        <f t="shared" si="133"/>
        <v>VEHICLE/EQUIP LEASE EXP-CITY</v>
      </c>
      <c r="S1160" s="125" t="str">
        <f t="shared" si="134"/>
        <v>100</v>
      </c>
      <c r="T1160" s="125" t="str">
        <f t="shared" si="135"/>
        <v>63</v>
      </c>
      <c r="U1160" s="125" t="str">
        <f t="shared" si="136"/>
        <v>635</v>
      </c>
      <c r="V1160" s="125" t="str">
        <f>VLOOKUP(Q1160,'GL Category'!A:C,3,FALSE)</f>
        <v>Services &amp; other</v>
      </c>
      <c r="X1160" s="83"/>
    </row>
    <row r="1161" spans="1:24" ht="20.399999999999999" customHeight="1">
      <c r="A1161" s="608" t="s">
        <v>791</v>
      </c>
      <c r="B1161" s="608" t="s">
        <v>3074</v>
      </c>
      <c r="C1161" s="608" t="s">
        <v>132</v>
      </c>
      <c r="D1161" s="609">
        <v>25184.29</v>
      </c>
      <c r="E1161" s="609">
        <v>37788.160000000003</v>
      </c>
      <c r="F1161" s="609">
        <v>40107.72</v>
      </c>
      <c r="G1161" s="609">
        <v>26864.22</v>
      </c>
      <c r="H1161" s="609">
        <v>23572</v>
      </c>
      <c r="I1161" s="609">
        <v>22003.54</v>
      </c>
      <c r="J1161" s="609">
        <v>18474</v>
      </c>
      <c r="K1161" s="609">
        <v>24752</v>
      </c>
      <c r="L1161" s="609">
        <v>0</v>
      </c>
      <c r="M1161" s="609">
        <v>0</v>
      </c>
      <c r="N1161" s="587">
        <f t="shared" si="131"/>
        <v>24752</v>
      </c>
      <c r="Q1161" t="str">
        <f t="shared" si="132"/>
        <v>50102</v>
      </c>
      <c r="R1161" s="126" t="str">
        <f t="shared" si="133"/>
        <v>NON EXEMPT SALARIES</v>
      </c>
      <c r="S1161" s="125" t="str">
        <f t="shared" si="134"/>
        <v>100</v>
      </c>
      <c r="T1161" s="125" t="str">
        <f t="shared" si="135"/>
        <v>63</v>
      </c>
      <c r="U1161" s="125" t="str">
        <f t="shared" si="136"/>
        <v>636</v>
      </c>
      <c r="V1161" s="125" t="str">
        <f>VLOOKUP(Q1161,'GL Category'!A:C,3,FALSE)</f>
        <v>Personnel services</v>
      </c>
      <c r="X1161" s="83"/>
    </row>
    <row r="1162" spans="1:24" ht="20.399999999999999" customHeight="1">
      <c r="A1162" s="608" t="s">
        <v>791</v>
      </c>
      <c r="B1162" s="608" t="s">
        <v>3075</v>
      </c>
      <c r="C1162" s="608" t="s">
        <v>0</v>
      </c>
      <c r="D1162" s="609">
        <v>167.57</v>
      </c>
      <c r="E1162" s="609">
        <v>697.01</v>
      </c>
      <c r="F1162" s="609">
        <v>2313.21</v>
      </c>
      <c r="G1162" s="609">
        <v>891.92</v>
      </c>
      <c r="H1162" s="609">
        <v>300</v>
      </c>
      <c r="I1162" s="609">
        <v>423.81</v>
      </c>
      <c r="J1162" s="609">
        <v>465</v>
      </c>
      <c r="K1162" s="609">
        <v>300</v>
      </c>
      <c r="L1162" s="609">
        <v>0</v>
      </c>
      <c r="M1162" s="609">
        <v>0</v>
      </c>
      <c r="N1162" s="587">
        <f t="shared" si="131"/>
        <v>300</v>
      </c>
      <c r="Q1162" t="str">
        <f t="shared" si="132"/>
        <v>50109</v>
      </c>
      <c r="R1162" s="126" t="str">
        <f t="shared" si="133"/>
        <v>OVERTIME</v>
      </c>
      <c r="S1162" s="125" t="str">
        <f t="shared" si="134"/>
        <v>100</v>
      </c>
      <c r="T1162" s="125" t="str">
        <f t="shared" si="135"/>
        <v>63</v>
      </c>
      <c r="U1162" s="125" t="str">
        <f t="shared" si="136"/>
        <v>636</v>
      </c>
      <c r="V1162" s="125" t="str">
        <f>VLOOKUP(Q1162,'GL Category'!A:C,3,FALSE)</f>
        <v>Personnel services</v>
      </c>
      <c r="X1162" s="83"/>
    </row>
    <row r="1163" spans="1:24" ht="20.399999999999999" customHeight="1">
      <c r="A1163" s="608" t="s">
        <v>791</v>
      </c>
      <c r="B1163" s="608" t="s">
        <v>3076</v>
      </c>
      <c r="C1163" s="608" t="s">
        <v>137</v>
      </c>
      <c r="D1163" s="609">
        <v>0</v>
      </c>
      <c r="E1163" s="609">
        <v>717.5</v>
      </c>
      <c r="F1163" s="609">
        <v>378.35</v>
      </c>
      <c r="G1163" s="609">
        <v>63</v>
      </c>
      <c r="H1163" s="609">
        <v>115</v>
      </c>
      <c r="I1163" s="609">
        <v>126</v>
      </c>
      <c r="J1163" s="609">
        <v>126</v>
      </c>
      <c r="K1163" s="609">
        <v>151</v>
      </c>
      <c r="L1163" s="609">
        <v>0</v>
      </c>
      <c r="M1163" s="609">
        <v>0</v>
      </c>
      <c r="N1163" s="587">
        <f t="shared" si="131"/>
        <v>151</v>
      </c>
      <c r="O1163" s="546">
        <f>N1163-H1163</f>
        <v>36</v>
      </c>
      <c r="Q1163" t="str">
        <f t="shared" si="132"/>
        <v>50111</v>
      </c>
      <c r="R1163" s="126" t="str">
        <f t="shared" si="133"/>
        <v>LONGEVITY PAY</v>
      </c>
      <c r="S1163" s="125" t="str">
        <f t="shared" si="134"/>
        <v>100</v>
      </c>
      <c r="T1163" s="125" t="str">
        <f t="shared" si="135"/>
        <v>63</v>
      </c>
      <c r="U1163" s="125" t="str">
        <f t="shared" si="136"/>
        <v>636</v>
      </c>
      <c r="V1163" s="125" t="str">
        <f>VLOOKUP(Q1163,'GL Category'!A:C,3,FALSE)</f>
        <v>Personnel services</v>
      </c>
      <c r="X1163" s="83"/>
    </row>
    <row r="1164" spans="1:24" ht="20.399999999999999" customHeight="1">
      <c r="A1164" s="608" t="s">
        <v>791</v>
      </c>
      <c r="B1164" s="608" t="s">
        <v>3077</v>
      </c>
      <c r="C1164" s="608" t="s">
        <v>1</v>
      </c>
      <c r="D1164" s="609">
        <v>1842.87</v>
      </c>
      <c r="E1164" s="609">
        <v>2925.83</v>
      </c>
      <c r="F1164" s="609">
        <v>3194.54</v>
      </c>
      <c r="G1164" s="609">
        <v>2020.32</v>
      </c>
      <c r="H1164" s="609">
        <v>1846</v>
      </c>
      <c r="I1164" s="609">
        <v>1662.38</v>
      </c>
      <c r="J1164" s="609">
        <v>1402</v>
      </c>
      <c r="K1164" s="609">
        <v>1939</v>
      </c>
      <c r="L1164" s="609">
        <v>0</v>
      </c>
      <c r="M1164" s="609">
        <v>0</v>
      </c>
      <c r="N1164" s="587">
        <f t="shared" si="131"/>
        <v>1939</v>
      </c>
      <c r="Q1164" t="str">
        <f t="shared" si="132"/>
        <v>50610</v>
      </c>
      <c r="R1164" s="126" t="str">
        <f t="shared" si="133"/>
        <v>SOCIAL SECURITY</v>
      </c>
      <c r="S1164" s="125" t="str">
        <f t="shared" si="134"/>
        <v>100</v>
      </c>
      <c r="T1164" s="125" t="str">
        <f t="shared" si="135"/>
        <v>63</v>
      </c>
      <c r="U1164" s="125" t="str">
        <f t="shared" si="136"/>
        <v>636</v>
      </c>
      <c r="V1164" s="125" t="str">
        <f>VLOOKUP(Q1164,'GL Category'!A:C,3,FALSE)</f>
        <v>Personnel services</v>
      </c>
      <c r="X1164" s="83"/>
    </row>
    <row r="1165" spans="1:24" ht="20.399999999999999" customHeight="1">
      <c r="A1165" s="608" t="s">
        <v>791</v>
      </c>
      <c r="B1165" s="608" t="s">
        <v>3078</v>
      </c>
      <c r="C1165" s="608" t="s">
        <v>142</v>
      </c>
      <c r="D1165" s="609">
        <v>7857.28</v>
      </c>
      <c r="E1165" s="609">
        <v>9396.89</v>
      </c>
      <c r="F1165" s="609">
        <v>10975.8</v>
      </c>
      <c r="G1165" s="609">
        <v>7763.9</v>
      </c>
      <c r="H1165" s="609">
        <v>6455</v>
      </c>
      <c r="I1165" s="609">
        <v>5788.69</v>
      </c>
      <c r="J1165" s="609">
        <v>4820</v>
      </c>
      <c r="K1165" s="609">
        <v>6573</v>
      </c>
      <c r="L1165" s="609">
        <v>0</v>
      </c>
      <c r="M1165" s="609">
        <v>0</v>
      </c>
      <c r="N1165" s="587">
        <f t="shared" si="131"/>
        <v>6573</v>
      </c>
      <c r="P1165" s="490">
        <f t="shared" ref="P1165:P1170" si="137">N1165-H1165</f>
        <v>118</v>
      </c>
      <c r="Q1165" t="str">
        <f t="shared" si="132"/>
        <v>50620</v>
      </c>
      <c r="R1165" s="126" t="str">
        <f t="shared" si="133"/>
        <v>HEALTH/LIFE INSURANCE</v>
      </c>
      <c r="S1165" s="125" t="str">
        <f t="shared" si="134"/>
        <v>100</v>
      </c>
      <c r="T1165" s="125" t="str">
        <f t="shared" si="135"/>
        <v>63</v>
      </c>
      <c r="U1165" s="125" t="str">
        <f t="shared" si="136"/>
        <v>636</v>
      </c>
      <c r="V1165" s="125" t="str">
        <f>VLOOKUP(Q1165,'GL Category'!A:C,3,FALSE)</f>
        <v>Personnel services</v>
      </c>
      <c r="X1165" s="83"/>
    </row>
    <row r="1166" spans="1:24" ht="20.399999999999999" customHeight="1">
      <c r="A1166" s="608" t="s">
        <v>791</v>
      </c>
      <c r="B1166" s="608" t="s">
        <v>3079</v>
      </c>
      <c r="C1166" s="608" t="s">
        <v>144</v>
      </c>
      <c r="D1166" s="609">
        <v>146.59</v>
      </c>
      <c r="E1166" s="609">
        <v>137.11000000000001</v>
      </c>
      <c r="F1166" s="609">
        <v>116.5</v>
      </c>
      <c r="G1166" s="609">
        <v>225.09</v>
      </c>
      <c r="H1166" s="609">
        <v>301</v>
      </c>
      <c r="I1166" s="609">
        <v>300.76</v>
      </c>
      <c r="J1166" s="609">
        <v>301</v>
      </c>
      <c r="K1166" s="609">
        <v>290</v>
      </c>
      <c r="L1166" s="609">
        <v>0</v>
      </c>
      <c r="M1166" s="609">
        <v>0</v>
      </c>
      <c r="N1166" s="587">
        <f t="shared" si="131"/>
        <v>290</v>
      </c>
      <c r="P1166" s="490">
        <f t="shared" si="137"/>
        <v>-11</v>
      </c>
      <c r="Q1166" t="str">
        <f t="shared" si="132"/>
        <v>50630</v>
      </c>
      <c r="R1166" s="126" t="str">
        <f t="shared" si="133"/>
        <v>WORKER COMPENSATION</v>
      </c>
      <c r="S1166" s="125" t="str">
        <f t="shared" si="134"/>
        <v>100</v>
      </c>
      <c r="T1166" s="125" t="str">
        <f t="shared" si="135"/>
        <v>63</v>
      </c>
      <c r="U1166" s="125" t="str">
        <f t="shared" si="136"/>
        <v>636</v>
      </c>
      <c r="V1166" s="125" t="str">
        <f>VLOOKUP(Q1166,'GL Category'!A:C,3,FALSE)</f>
        <v>Personnel services</v>
      </c>
      <c r="X1166" s="83"/>
    </row>
    <row r="1167" spans="1:24" ht="20.399999999999999" customHeight="1">
      <c r="A1167" s="608" t="s">
        <v>791</v>
      </c>
      <c r="B1167" s="608" t="s">
        <v>3080</v>
      </c>
      <c r="C1167" s="608" t="s">
        <v>2</v>
      </c>
      <c r="D1167" s="609">
        <v>4037.57</v>
      </c>
      <c r="E1167" s="609">
        <v>6328.35</v>
      </c>
      <c r="F1167" s="609">
        <v>6153.51</v>
      </c>
      <c r="G1167" s="609">
        <v>4449.7</v>
      </c>
      <c r="H1167" s="609">
        <v>3967</v>
      </c>
      <c r="I1167" s="609">
        <v>3724.57</v>
      </c>
      <c r="J1167" s="609">
        <v>3133</v>
      </c>
      <c r="K1167" s="609">
        <v>4269</v>
      </c>
      <c r="L1167" s="609">
        <v>0</v>
      </c>
      <c r="M1167" s="609">
        <v>0</v>
      </c>
      <c r="N1167" s="587">
        <f t="shared" si="131"/>
        <v>4269</v>
      </c>
      <c r="P1167" s="490">
        <f t="shared" si="137"/>
        <v>302</v>
      </c>
      <c r="Q1167" t="str">
        <f t="shared" si="132"/>
        <v>50650</v>
      </c>
      <c r="R1167" s="126" t="str">
        <f t="shared" si="133"/>
        <v>RETIREMENT</v>
      </c>
      <c r="S1167" s="125" t="str">
        <f t="shared" si="134"/>
        <v>100</v>
      </c>
      <c r="T1167" s="125" t="str">
        <f t="shared" si="135"/>
        <v>63</v>
      </c>
      <c r="U1167" s="125" t="str">
        <f t="shared" si="136"/>
        <v>636</v>
      </c>
      <c r="V1167" s="125" t="str">
        <f>VLOOKUP(Q1167,'GL Category'!A:C,3,FALSE)</f>
        <v>Personnel services</v>
      </c>
      <c r="X1167" s="83"/>
    </row>
    <row r="1168" spans="1:24" ht="20.399999999999999" customHeight="1">
      <c r="A1168" s="608" t="s">
        <v>791</v>
      </c>
      <c r="B1168" s="608" t="s">
        <v>3083</v>
      </c>
      <c r="C1168" s="608" t="s">
        <v>173</v>
      </c>
      <c r="D1168" s="609">
        <v>38705.620000000003</v>
      </c>
      <c r="E1168" s="609">
        <v>36292.160000000003</v>
      </c>
      <c r="F1168" s="609">
        <v>28455.35</v>
      </c>
      <c r="G1168" s="609">
        <v>28023.17</v>
      </c>
      <c r="H1168" s="609">
        <v>35000</v>
      </c>
      <c r="I1168" s="609">
        <v>21558.13</v>
      </c>
      <c r="J1168" s="609">
        <v>28500</v>
      </c>
      <c r="K1168" s="609">
        <v>28500</v>
      </c>
      <c r="L1168" s="609">
        <v>0</v>
      </c>
      <c r="M1168" s="609">
        <v>0</v>
      </c>
      <c r="N1168" s="587">
        <f t="shared" si="131"/>
        <v>28500</v>
      </c>
      <c r="P1168" s="490">
        <f t="shared" si="137"/>
        <v>-6500</v>
      </c>
      <c r="Q1168" t="str">
        <f t="shared" si="132"/>
        <v>52311</v>
      </c>
      <c r="R1168" s="126" t="str">
        <f t="shared" si="133"/>
        <v>GROUNDS MAINTENANCE</v>
      </c>
      <c r="S1168" s="125" t="str">
        <f t="shared" si="134"/>
        <v>100</v>
      </c>
      <c r="T1168" s="125" t="str">
        <f t="shared" si="135"/>
        <v>63</v>
      </c>
      <c r="U1168" s="125" t="str">
        <f t="shared" si="136"/>
        <v>636</v>
      </c>
      <c r="V1168" s="125" t="str">
        <f>VLOOKUP(Q1168,'GL Category'!A:C,3,FALSE)</f>
        <v>Operations &amp; maintenance</v>
      </c>
      <c r="X1168" s="83"/>
    </row>
    <row r="1169" spans="1:24" ht="20.399999999999999" customHeight="1">
      <c r="A1169" s="608" t="s">
        <v>791</v>
      </c>
      <c r="B1169" s="608" t="s">
        <v>3083</v>
      </c>
      <c r="C1169" s="608" t="s">
        <v>173</v>
      </c>
      <c r="D1169" s="609">
        <v>0</v>
      </c>
      <c r="E1169" s="609">
        <v>3171.43</v>
      </c>
      <c r="F1169" s="609">
        <v>0</v>
      </c>
      <c r="G1169" s="609">
        <v>0</v>
      </c>
      <c r="H1169" s="609">
        <v>0</v>
      </c>
      <c r="I1169" s="609">
        <v>0</v>
      </c>
      <c r="J1169" s="609">
        <v>0</v>
      </c>
      <c r="K1169" s="609">
        <v>0</v>
      </c>
      <c r="L1169" s="609">
        <v>0</v>
      </c>
      <c r="M1169" s="609">
        <v>0</v>
      </c>
      <c r="N1169" s="587">
        <f t="shared" si="131"/>
        <v>0</v>
      </c>
      <c r="P1169" s="490">
        <f t="shared" si="137"/>
        <v>0</v>
      </c>
      <c r="Q1169" t="str">
        <f t="shared" si="132"/>
        <v>52311</v>
      </c>
      <c r="R1169" s="126" t="str">
        <f t="shared" si="133"/>
        <v>GROUNDS MAINTENANCE</v>
      </c>
      <c r="S1169" s="125" t="str">
        <f t="shared" si="134"/>
        <v>100</v>
      </c>
      <c r="T1169" s="125" t="str">
        <f t="shared" si="135"/>
        <v>63</v>
      </c>
      <c r="U1169" s="125" t="str">
        <f t="shared" si="136"/>
        <v>636</v>
      </c>
      <c r="V1169" s="125" t="str">
        <f>VLOOKUP(Q1169,'GL Category'!A:C,3,FALSE)</f>
        <v>Operations &amp; maintenance</v>
      </c>
      <c r="X1169" s="83"/>
    </row>
    <row r="1170" spans="1:24" ht="20.399999999999999" customHeight="1">
      <c r="A1170" s="608" t="s">
        <v>791</v>
      </c>
      <c r="B1170" s="608" t="s">
        <v>3087</v>
      </c>
      <c r="C1170" s="608" t="s">
        <v>839</v>
      </c>
      <c r="D1170" s="609">
        <v>95207.71</v>
      </c>
      <c r="E1170" s="609">
        <v>92692.55</v>
      </c>
      <c r="F1170" s="609">
        <v>87129.13</v>
      </c>
      <c r="G1170" s="609">
        <v>94565.8</v>
      </c>
      <c r="H1170" s="609">
        <v>95500</v>
      </c>
      <c r="I1170" s="609">
        <v>95581.64</v>
      </c>
      <c r="J1170" s="609">
        <v>95500</v>
      </c>
      <c r="K1170" s="609">
        <v>100000</v>
      </c>
      <c r="L1170" s="609">
        <v>0</v>
      </c>
      <c r="M1170" s="609">
        <v>0</v>
      </c>
      <c r="N1170" s="587">
        <f t="shared" si="131"/>
        <v>100000</v>
      </c>
      <c r="P1170" s="490">
        <f t="shared" si="137"/>
        <v>4500</v>
      </c>
      <c r="Q1170" t="str">
        <f t="shared" si="132"/>
        <v>53525</v>
      </c>
      <c r="R1170" s="126" t="str">
        <f t="shared" si="133"/>
        <v>LANDSCAPE SERVICES</v>
      </c>
      <c r="S1170" s="125" t="str">
        <f t="shared" si="134"/>
        <v>100</v>
      </c>
      <c r="T1170" s="125" t="str">
        <f t="shared" si="135"/>
        <v>63</v>
      </c>
      <c r="U1170" s="125" t="str">
        <f t="shared" si="136"/>
        <v>636</v>
      </c>
      <c r="V1170" s="125" t="str">
        <f>VLOOKUP(Q1170,'GL Category'!A:C,3,FALSE)</f>
        <v>Services &amp; other</v>
      </c>
      <c r="X1170" s="83"/>
    </row>
    <row r="1171" spans="1:24" ht="20.399999999999999" customHeight="1">
      <c r="A1171" s="608" t="s">
        <v>791</v>
      </c>
      <c r="B1171" s="608" t="s">
        <v>3089</v>
      </c>
      <c r="C1171" s="608" t="s">
        <v>215</v>
      </c>
      <c r="D1171" s="609">
        <v>1502.73</v>
      </c>
      <c r="E1171" s="609">
        <v>1584.97</v>
      </c>
      <c r="F1171" s="609">
        <v>1652.73</v>
      </c>
      <c r="G1171" s="609">
        <v>1889.95</v>
      </c>
      <c r="H1171" s="609">
        <v>1950</v>
      </c>
      <c r="I1171" s="609">
        <v>813.97</v>
      </c>
      <c r="J1171" s="609">
        <v>1900</v>
      </c>
      <c r="K1171" s="609">
        <v>1950</v>
      </c>
      <c r="L1171" s="609">
        <v>0</v>
      </c>
      <c r="M1171" s="609">
        <v>0</v>
      </c>
      <c r="N1171" s="587">
        <f t="shared" si="131"/>
        <v>1950</v>
      </c>
      <c r="Q1171" t="str">
        <f t="shared" si="132"/>
        <v>53572</v>
      </c>
      <c r="R1171" s="126" t="str">
        <f t="shared" si="133"/>
        <v>ELECTRICAL UTILITY SERVICE</v>
      </c>
      <c r="S1171" s="125" t="str">
        <f t="shared" si="134"/>
        <v>100</v>
      </c>
      <c r="T1171" s="125" t="str">
        <f t="shared" si="135"/>
        <v>63</v>
      </c>
      <c r="U1171" s="125" t="str">
        <f t="shared" si="136"/>
        <v>636</v>
      </c>
      <c r="V1171" s="125" t="str">
        <f>VLOOKUP(Q1171,'GL Category'!A:C,3,FALSE)</f>
        <v>Services &amp; other</v>
      </c>
      <c r="X1171" s="83"/>
    </row>
    <row r="1172" spans="1:24" ht="20.399999999999999" customHeight="1">
      <c r="A1172" s="608" t="s">
        <v>791</v>
      </c>
      <c r="B1172" s="608" t="s">
        <v>3089</v>
      </c>
      <c r="C1172" s="608" t="s">
        <v>215</v>
      </c>
      <c r="D1172" s="609">
        <v>0</v>
      </c>
      <c r="E1172" s="609">
        <v>20574.2</v>
      </c>
      <c r="F1172" s="609">
        <v>0</v>
      </c>
      <c r="G1172" s="609">
        <v>0</v>
      </c>
      <c r="H1172" s="609">
        <v>0</v>
      </c>
      <c r="I1172" s="609">
        <v>0</v>
      </c>
      <c r="J1172" s="609">
        <v>0</v>
      </c>
      <c r="K1172" s="609">
        <v>0</v>
      </c>
      <c r="L1172" s="609">
        <v>0</v>
      </c>
      <c r="M1172" s="609">
        <v>0</v>
      </c>
      <c r="N1172" s="587">
        <f t="shared" si="131"/>
        <v>0</v>
      </c>
      <c r="Q1172" t="str">
        <f t="shared" si="132"/>
        <v>53572</v>
      </c>
      <c r="R1172" s="126" t="str">
        <f t="shared" si="133"/>
        <v>ELECTRICAL UTILITY SERVICE</v>
      </c>
      <c r="S1172" s="125" t="str">
        <f t="shared" si="134"/>
        <v>100</v>
      </c>
      <c r="T1172" s="125" t="str">
        <f t="shared" si="135"/>
        <v>63</v>
      </c>
      <c r="U1172" s="125" t="str">
        <f t="shared" si="136"/>
        <v>636</v>
      </c>
      <c r="V1172" s="125" t="str">
        <f>VLOOKUP(Q1172,'GL Category'!A:C,3,FALSE)</f>
        <v>Services &amp; other</v>
      </c>
      <c r="X1172" s="83"/>
    </row>
    <row r="1173" spans="1:24" ht="20.399999999999999" customHeight="1">
      <c r="A1173" s="608" t="s">
        <v>791</v>
      </c>
      <c r="B1173" s="608" t="s">
        <v>3090</v>
      </c>
      <c r="C1173" s="608" t="s">
        <v>217</v>
      </c>
      <c r="D1173" s="609">
        <v>46553.2</v>
      </c>
      <c r="E1173" s="609">
        <v>41732.15</v>
      </c>
      <c r="F1173" s="609">
        <v>54966.91</v>
      </c>
      <c r="G1173" s="609">
        <v>33110.75</v>
      </c>
      <c r="H1173" s="609">
        <v>50725</v>
      </c>
      <c r="I1173" s="609">
        <v>36783.83</v>
      </c>
      <c r="J1173" s="609">
        <v>49000</v>
      </c>
      <c r="K1173" s="609">
        <v>52500</v>
      </c>
      <c r="L1173" s="609">
        <v>0</v>
      </c>
      <c r="M1173" s="609">
        <v>0</v>
      </c>
      <c r="N1173" s="587">
        <f t="shared" si="131"/>
        <v>52500</v>
      </c>
      <c r="Q1173" t="str">
        <f t="shared" si="132"/>
        <v>53574</v>
      </c>
      <c r="R1173" s="126" t="str">
        <f t="shared" si="133"/>
        <v>WATER/SEWER UTILITY SERVICE</v>
      </c>
      <c r="S1173" s="125" t="str">
        <f t="shared" si="134"/>
        <v>100</v>
      </c>
      <c r="T1173" s="125" t="str">
        <f t="shared" si="135"/>
        <v>63</v>
      </c>
      <c r="U1173" s="125" t="str">
        <f t="shared" si="136"/>
        <v>636</v>
      </c>
      <c r="V1173" s="125" t="str">
        <f>VLOOKUP(Q1173,'GL Category'!A:C,3,FALSE)</f>
        <v>Services &amp; other</v>
      </c>
      <c r="X1173" s="83"/>
    </row>
    <row r="1174" spans="1:24" ht="20.399999999999999" customHeight="1">
      <c r="A1174" s="608" t="s">
        <v>791</v>
      </c>
      <c r="B1174" s="608" t="s">
        <v>3085</v>
      </c>
      <c r="C1174" s="608" t="s">
        <v>238</v>
      </c>
      <c r="D1174" s="609">
        <v>12991</v>
      </c>
      <c r="E1174" s="609">
        <v>12991</v>
      </c>
      <c r="F1174" s="609">
        <v>12991</v>
      </c>
      <c r="G1174" s="609">
        <v>18861.7</v>
      </c>
      <c r="H1174" s="609">
        <v>18862</v>
      </c>
      <c r="I1174" s="609">
        <v>18861.7</v>
      </c>
      <c r="J1174" s="609">
        <v>18862</v>
      </c>
      <c r="K1174" s="609">
        <v>18862</v>
      </c>
      <c r="L1174" s="609">
        <v>0</v>
      </c>
      <c r="M1174" s="609">
        <v>0</v>
      </c>
      <c r="N1174" s="587">
        <f t="shared" si="131"/>
        <v>18862</v>
      </c>
      <c r="Q1174" t="str">
        <f t="shared" si="132"/>
        <v>53599</v>
      </c>
      <c r="R1174" s="126" t="str">
        <f t="shared" si="133"/>
        <v>MISCELLANEOUS SERVICES</v>
      </c>
      <c r="S1174" s="125" t="str">
        <f t="shared" si="134"/>
        <v>100</v>
      </c>
      <c r="T1174" s="125" t="str">
        <f t="shared" si="135"/>
        <v>63</v>
      </c>
      <c r="U1174" s="125" t="str">
        <f t="shared" si="136"/>
        <v>636</v>
      </c>
      <c r="V1174" s="125" t="str">
        <f>VLOOKUP(Q1174,'GL Category'!A:C,3,FALSE)</f>
        <v>Services &amp; other</v>
      </c>
      <c r="X1174" s="83"/>
    </row>
    <row r="1175" spans="1:24" ht="20.399999999999999" customHeight="1">
      <c r="A1175" s="608" t="s">
        <v>791</v>
      </c>
      <c r="B1175" s="608" t="s">
        <v>3091</v>
      </c>
      <c r="C1175" s="608" t="s">
        <v>221</v>
      </c>
      <c r="D1175" s="609">
        <v>96</v>
      </c>
      <c r="E1175" s="609">
        <v>316</v>
      </c>
      <c r="F1175" s="609">
        <v>0</v>
      </c>
      <c r="G1175" s="609">
        <v>97</v>
      </c>
      <c r="H1175" s="609">
        <v>97</v>
      </c>
      <c r="I1175" s="609">
        <v>72.75</v>
      </c>
      <c r="J1175" s="609">
        <v>97</v>
      </c>
      <c r="K1175" s="609">
        <v>0</v>
      </c>
      <c r="L1175" s="609">
        <v>0</v>
      </c>
      <c r="M1175" s="609">
        <v>0</v>
      </c>
      <c r="N1175" s="587">
        <f t="shared" si="131"/>
        <v>0</v>
      </c>
      <c r="P1175" s="490">
        <f t="shared" ref="P1175:P1181" si="138">N1175-H1175</f>
        <v>-97</v>
      </c>
      <c r="Q1175" t="str">
        <f t="shared" si="132"/>
        <v>55119</v>
      </c>
      <c r="R1175" s="126" t="str">
        <f t="shared" si="133"/>
        <v>OFFICE EQUIP LEASE EXP-CITY</v>
      </c>
      <c r="S1175" s="125" t="str">
        <f t="shared" si="134"/>
        <v>100</v>
      </c>
      <c r="T1175" s="125" t="str">
        <f t="shared" si="135"/>
        <v>63</v>
      </c>
      <c r="U1175" s="125" t="str">
        <f t="shared" si="136"/>
        <v>636</v>
      </c>
      <c r="V1175" s="125" t="str">
        <f>VLOOKUP(Q1175,'GL Category'!A:C,3,FALSE)</f>
        <v>Services &amp; other</v>
      </c>
      <c r="X1175" s="83"/>
    </row>
    <row r="1176" spans="1:24" ht="20.399999999999999" customHeight="1">
      <c r="A1176" s="608" t="s">
        <v>791</v>
      </c>
      <c r="B1176" s="608" t="s">
        <v>3094</v>
      </c>
      <c r="C1176" s="608" t="s">
        <v>829</v>
      </c>
      <c r="D1176" s="609">
        <v>13500</v>
      </c>
      <c r="E1176" s="609">
        <v>13500</v>
      </c>
      <c r="F1176" s="609">
        <v>13500</v>
      </c>
      <c r="G1176" s="609">
        <v>13500</v>
      </c>
      <c r="H1176" s="609">
        <v>13500</v>
      </c>
      <c r="I1176" s="609">
        <v>10125</v>
      </c>
      <c r="J1176" s="609">
        <v>13500</v>
      </c>
      <c r="K1176" s="609">
        <v>13500</v>
      </c>
      <c r="L1176" s="609">
        <v>0</v>
      </c>
      <c r="M1176" s="609">
        <v>0</v>
      </c>
      <c r="N1176" s="587">
        <f t="shared" si="131"/>
        <v>13500</v>
      </c>
      <c r="P1176" s="490">
        <f t="shared" si="138"/>
        <v>0</v>
      </c>
      <c r="Q1176" t="str">
        <f t="shared" si="132"/>
        <v>59112</v>
      </c>
      <c r="R1176" s="126" t="str">
        <f t="shared" si="133"/>
        <v>TRANSFER TO REC SPEC REV FUND</v>
      </c>
      <c r="S1176" s="125" t="str">
        <f t="shared" si="134"/>
        <v>100</v>
      </c>
      <c r="T1176" s="125" t="str">
        <f t="shared" si="135"/>
        <v>63</v>
      </c>
      <c r="U1176" s="125" t="str">
        <f t="shared" si="136"/>
        <v>636</v>
      </c>
      <c r="V1176" s="125" t="str">
        <f>VLOOKUP(Q1176,'GL Category'!A:C,3,FALSE)</f>
        <v>Transfers to other funds</v>
      </c>
      <c r="X1176" s="83"/>
    </row>
    <row r="1177" spans="1:24" ht="20.399999999999999" customHeight="1">
      <c r="A1177" s="608" t="s">
        <v>791</v>
      </c>
      <c r="B1177" s="608" t="s">
        <v>3106</v>
      </c>
      <c r="C1177" s="608" t="s">
        <v>146</v>
      </c>
      <c r="D1177" s="609">
        <v>14541.51</v>
      </c>
      <c r="E1177" s="609">
        <v>18966.95</v>
      </c>
      <c r="F1177" s="609">
        <v>9294.56</v>
      </c>
      <c r="G1177" s="609">
        <v>149.68</v>
      </c>
      <c r="H1177" s="609">
        <v>30000</v>
      </c>
      <c r="I1177" s="609">
        <v>0</v>
      </c>
      <c r="J1177" s="609">
        <v>30000</v>
      </c>
      <c r="K1177" s="609">
        <v>30000</v>
      </c>
      <c r="L1177" s="609">
        <v>0</v>
      </c>
      <c r="M1177" s="609">
        <v>0</v>
      </c>
      <c r="N1177" s="587">
        <f t="shared" si="131"/>
        <v>30000</v>
      </c>
      <c r="P1177" s="490">
        <f t="shared" si="138"/>
        <v>0</v>
      </c>
      <c r="Q1177" t="str">
        <f t="shared" si="132"/>
        <v>50640</v>
      </c>
      <c r="R1177" s="126" t="str">
        <f t="shared" si="133"/>
        <v>UNEMPLOYMENT INSURANCE</v>
      </c>
      <c r="S1177" s="125" t="str">
        <f t="shared" si="134"/>
        <v>100</v>
      </c>
      <c r="T1177" s="125" t="str">
        <f t="shared" si="135"/>
        <v>99</v>
      </c>
      <c r="U1177" s="125" t="str">
        <f t="shared" si="136"/>
        <v>994</v>
      </c>
      <c r="V1177" s="125" t="str">
        <f>VLOOKUP(Q1177,'GL Category'!A:C,3,FALSE)</f>
        <v>Personnel services</v>
      </c>
      <c r="X1177" s="83"/>
    </row>
    <row r="1178" spans="1:24" ht="20.399999999999999" customHeight="1">
      <c r="A1178" s="608" t="s">
        <v>791</v>
      </c>
      <c r="B1178" s="608" t="s">
        <v>3104</v>
      </c>
      <c r="C1178" s="608" t="s">
        <v>151</v>
      </c>
      <c r="D1178" s="609">
        <v>9451.2999999999993</v>
      </c>
      <c r="E1178" s="609">
        <v>9107.2999999999993</v>
      </c>
      <c r="F1178" s="609">
        <v>12231.32</v>
      </c>
      <c r="G1178" s="609">
        <v>14999.55</v>
      </c>
      <c r="H1178" s="609">
        <v>18800</v>
      </c>
      <c r="I1178" s="609">
        <v>11193.33</v>
      </c>
      <c r="J1178" s="609">
        <v>18800</v>
      </c>
      <c r="K1178" s="609">
        <v>18800</v>
      </c>
      <c r="L1178" s="609">
        <v>0</v>
      </c>
      <c r="M1178" s="609">
        <v>0</v>
      </c>
      <c r="N1178" s="587">
        <f t="shared" si="131"/>
        <v>18800</v>
      </c>
      <c r="P1178" s="490">
        <f t="shared" si="138"/>
        <v>0</v>
      </c>
      <c r="Q1178" t="str">
        <f t="shared" si="132"/>
        <v>51220</v>
      </c>
      <c r="R1178" s="126" t="str">
        <f t="shared" si="133"/>
        <v>POSTAGE SUPPLIES</v>
      </c>
      <c r="S1178" s="125" t="str">
        <f t="shared" si="134"/>
        <v>100</v>
      </c>
      <c r="T1178" s="125" t="str">
        <f t="shared" si="135"/>
        <v>99</v>
      </c>
      <c r="U1178" s="125" t="str">
        <f t="shared" si="136"/>
        <v>994</v>
      </c>
      <c r="V1178" s="125" t="str">
        <f>VLOOKUP(Q1178,'GL Category'!A:C,3,FALSE)</f>
        <v>Operations &amp; maintenance</v>
      </c>
      <c r="X1178" s="83"/>
    </row>
    <row r="1179" spans="1:24" ht="20.399999999999999" customHeight="1">
      <c r="A1179" s="608" t="s">
        <v>791</v>
      </c>
      <c r="B1179" s="608" t="s">
        <v>3105</v>
      </c>
      <c r="C1179" s="608" t="s">
        <v>169</v>
      </c>
      <c r="D1179" s="609">
        <v>2400</v>
      </c>
      <c r="E1179" s="609">
        <v>2400</v>
      </c>
      <c r="F1179" s="609">
        <v>2654.98</v>
      </c>
      <c r="G1179" s="609">
        <v>3146.88</v>
      </c>
      <c r="H1179" s="609">
        <v>2320</v>
      </c>
      <c r="I1179" s="609">
        <v>849.64</v>
      </c>
      <c r="J1179" s="609">
        <v>2320</v>
      </c>
      <c r="K1179" s="609">
        <v>2320</v>
      </c>
      <c r="L1179" s="609">
        <v>0</v>
      </c>
      <c r="M1179" s="609">
        <v>0</v>
      </c>
      <c r="N1179" s="587">
        <f t="shared" si="131"/>
        <v>2320</v>
      </c>
      <c r="P1179" s="490">
        <f t="shared" si="138"/>
        <v>0</v>
      </c>
      <c r="Q1179" t="str">
        <f t="shared" si="132"/>
        <v>51299</v>
      </c>
      <c r="R1179" s="126" t="str">
        <f t="shared" si="133"/>
        <v>MISCELLANEOUS SUPPLIES</v>
      </c>
      <c r="S1179" s="125" t="str">
        <f t="shared" si="134"/>
        <v>100</v>
      </c>
      <c r="T1179" s="125" t="str">
        <f t="shared" si="135"/>
        <v>99</v>
      </c>
      <c r="U1179" s="125" t="str">
        <f t="shared" si="136"/>
        <v>994</v>
      </c>
      <c r="V1179" s="125" t="str">
        <f>VLOOKUP(Q1179,'GL Category'!A:C,3,FALSE)</f>
        <v>Operations &amp; maintenance</v>
      </c>
      <c r="X1179" s="83"/>
    </row>
    <row r="1180" spans="1:24" ht="20.399999999999999" customHeight="1">
      <c r="A1180" s="608" t="s">
        <v>791</v>
      </c>
      <c r="B1180" s="608" t="s">
        <v>3108</v>
      </c>
      <c r="C1180" s="608" t="s">
        <v>190</v>
      </c>
      <c r="D1180" s="609">
        <v>1299</v>
      </c>
      <c r="E1180" s="609">
        <v>1299</v>
      </c>
      <c r="F1180" s="609">
        <v>1299</v>
      </c>
      <c r="G1180" s="609">
        <v>1299</v>
      </c>
      <c r="H1180" s="609">
        <v>1300</v>
      </c>
      <c r="I1180" s="609">
        <v>1299</v>
      </c>
      <c r="J1180" s="609">
        <v>1300</v>
      </c>
      <c r="K1180" s="609">
        <v>1300</v>
      </c>
      <c r="L1180" s="609">
        <v>0</v>
      </c>
      <c r="M1180" s="609">
        <v>0</v>
      </c>
      <c r="N1180" s="587">
        <f t="shared" si="131"/>
        <v>1300</v>
      </c>
      <c r="P1180" s="490">
        <f t="shared" si="138"/>
        <v>0</v>
      </c>
      <c r="Q1180" t="str">
        <f t="shared" si="132"/>
        <v>53510</v>
      </c>
      <c r="R1180" s="126" t="str">
        <f t="shared" si="133"/>
        <v>DUES &amp; SUBSCRIPTIONS</v>
      </c>
      <c r="S1180" s="125" t="str">
        <f t="shared" si="134"/>
        <v>100</v>
      </c>
      <c r="T1180" s="125" t="str">
        <f t="shared" si="135"/>
        <v>99</v>
      </c>
      <c r="U1180" s="125" t="str">
        <f t="shared" si="136"/>
        <v>994</v>
      </c>
      <c r="V1180" s="125" t="str">
        <f>VLOOKUP(Q1180,'GL Category'!A:C,3,FALSE)</f>
        <v>Services &amp; other</v>
      </c>
      <c r="X1180" s="83"/>
    </row>
    <row r="1181" spans="1:24" ht="20.399999999999999" customHeight="1">
      <c r="A1181" s="608" t="s">
        <v>791</v>
      </c>
      <c r="B1181" s="608" t="s">
        <v>3110</v>
      </c>
      <c r="C1181" s="608" t="s">
        <v>6</v>
      </c>
      <c r="D1181" s="609">
        <v>4828.9399999999996</v>
      </c>
      <c r="E1181" s="609">
        <v>5143.84</v>
      </c>
      <c r="F1181" s="609">
        <v>4828.9399999999996</v>
      </c>
      <c r="G1181" s="609">
        <v>4828.9399999999996</v>
      </c>
      <c r="H1181" s="609">
        <v>4936</v>
      </c>
      <c r="I1181" s="609">
        <v>4079.03</v>
      </c>
      <c r="J1181" s="609">
        <v>4936</v>
      </c>
      <c r="K1181" s="609">
        <v>4936</v>
      </c>
      <c r="L1181" s="609">
        <v>0</v>
      </c>
      <c r="M1181" s="609">
        <v>0</v>
      </c>
      <c r="N1181" s="587">
        <f t="shared" si="131"/>
        <v>4936</v>
      </c>
      <c r="P1181" s="490">
        <f t="shared" si="138"/>
        <v>0</v>
      </c>
      <c r="Q1181" t="str">
        <f t="shared" si="132"/>
        <v>53524</v>
      </c>
      <c r="R1181" s="126" t="str">
        <f t="shared" si="133"/>
        <v>EQUIPMENT RENTAL</v>
      </c>
      <c r="S1181" s="125" t="str">
        <f t="shared" si="134"/>
        <v>100</v>
      </c>
      <c r="T1181" s="125" t="str">
        <f t="shared" si="135"/>
        <v>99</v>
      </c>
      <c r="U1181" s="125" t="str">
        <f t="shared" si="136"/>
        <v>994</v>
      </c>
      <c r="V1181" s="125" t="str">
        <f>VLOOKUP(Q1181,'GL Category'!A:C,3,FALSE)</f>
        <v>Services &amp; other</v>
      </c>
      <c r="X1181" s="83"/>
    </row>
    <row r="1182" spans="1:24" ht="20.399999999999999" customHeight="1">
      <c r="A1182" s="608" t="s">
        <v>791</v>
      </c>
      <c r="B1182" s="608" t="s">
        <v>3340</v>
      </c>
      <c r="C1182" s="608" t="s">
        <v>205</v>
      </c>
      <c r="D1182" s="609">
        <v>0</v>
      </c>
      <c r="E1182" s="609">
        <v>28410.7</v>
      </c>
      <c r="F1182" s="609">
        <v>-17074.919999999998</v>
      </c>
      <c r="G1182" s="609">
        <v>1000.09</v>
      </c>
      <c r="H1182" s="609">
        <v>0</v>
      </c>
      <c r="I1182" s="609">
        <v>1018.24</v>
      </c>
      <c r="J1182" s="609">
        <v>0</v>
      </c>
      <c r="K1182" s="609">
        <v>0</v>
      </c>
      <c r="L1182" s="609">
        <v>0</v>
      </c>
      <c r="M1182" s="609">
        <v>0</v>
      </c>
      <c r="N1182" s="587">
        <f t="shared" si="131"/>
        <v>0</v>
      </c>
      <c r="Q1182" t="str">
        <f t="shared" si="132"/>
        <v>53550</v>
      </c>
      <c r="R1182" s="126" t="str">
        <f t="shared" si="133"/>
        <v>BAD DEBT EXPENSE</v>
      </c>
      <c r="S1182" s="125" t="str">
        <f t="shared" si="134"/>
        <v>100</v>
      </c>
      <c r="T1182" s="125" t="str">
        <f t="shared" si="135"/>
        <v>99</v>
      </c>
      <c r="U1182" s="125" t="str">
        <f t="shared" si="136"/>
        <v>994</v>
      </c>
      <c r="V1182" s="125" t="str">
        <f>VLOOKUP(Q1182,'GL Category'!A:C,3,FALSE)</f>
        <v>Services &amp; other</v>
      </c>
      <c r="X1182" s="83"/>
    </row>
    <row r="1183" spans="1:24" ht="20.399999999999999" customHeight="1">
      <c r="A1183" s="608" t="s">
        <v>791</v>
      </c>
      <c r="B1183" s="608" t="s">
        <v>3112</v>
      </c>
      <c r="C1183" s="608" t="s">
        <v>209</v>
      </c>
      <c r="D1183" s="609">
        <v>217372.7</v>
      </c>
      <c r="E1183" s="609">
        <v>246914.88</v>
      </c>
      <c r="F1183" s="609">
        <v>298024.48</v>
      </c>
      <c r="G1183" s="609">
        <v>337019.53</v>
      </c>
      <c r="H1183" s="609">
        <v>398770</v>
      </c>
      <c r="I1183" s="609">
        <v>375702.12</v>
      </c>
      <c r="J1183" s="609">
        <v>398770</v>
      </c>
      <c r="K1183" s="609">
        <v>398770</v>
      </c>
      <c r="L1183" s="609">
        <v>0</v>
      </c>
      <c r="M1183" s="609">
        <v>0</v>
      </c>
      <c r="N1183" s="587">
        <f t="shared" si="131"/>
        <v>398770</v>
      </c>
      <c r="Q1183" t="str">
        <f t="shared" si="132"/>
        <v>53560</v>
      </c>
      <c r="R1183" s="126" t="str">
        <f t="shared" si="133"/>
        <v>GENERAL INSURANCE</v>
      </c>
      <c r="S1183" s="125" t="str">
        <f t="shared" si="134"/>
        <v>100</v>
      </c>
      <c r="T1183" s="125" t="str">
        <f t="shared" si="135"/>
        <v>99</v>
      </c>
      <c r="U1183" s="125" t="str">
        <f t="shared" si="136"/>
        <v>994</v>
      </c>
      <c r="V1183" s="125" t="str">
        <f>VLOOKUP(Q1183,'GL Category'!A:C,3,FALSE)</f>
        <v>Services &amp; other</v>
      </c>
      <c r="X1183" s="83"/>
    </row>
    <row r="1184" spans="1:24" ht="20.399999999999999" customHeight="1">
      <c r="A1184" s="608" t="s">
        <v>791</v>
      </c>
      <c r="B1184" s="608" t="s">
        <v>3113</v>
      </c>
      <c r="C1184" s="608" t="s">
        <v>270</v>
      </c>
      <c r="D1184" s="609">
        <v>158.29</v>
      </c>
      <c r="E1184" s="609">
        <v>4712.38</v>
      </c>
      <c r="F1184" s="609">
        <v>0</v>
      </c>
      <c r="G1184" s="609">
        <v>0</v>
      </c>
      <c r="H1184" s="609">
        <v>10000</v>
      </c>
      <c r="I1184" s="609">
        <v>0</v>
      </c>
      <c r="J1184" s="609">
        <v>10000</v>
      </c>
      <c r="K1184" s="609">
        <v>10000</v>
      </c>
      <c r="L1184" s="609">
        <v>0</v>
      </c>
      <c r="M1184" s="609">
        <v>0</v>
      </c>
      <c r="N1184" s="587">
        <f t="shared" si="131"/>
        <v>10000</v>
      </c>
      <c r="Q1184" t="str">
        <f t="shared" si="132"/>
        <v>53582</v>
      </c>
      <c r="R1184" s="126" t="str">
        <f t="shared" si="133"/>
        <v>JUDGMENTS/CLAIMS/DAMAGES</v>
      </c>
      <c r="S1184" s="125" t="str">
        <f t="shared" si="134"/>
        <v>100</v>
      </c>
      <c r="T1184" s="125" t="str">
        <f t="shared" si="135"/>
        <v>99</v>
      </c>
      <c r="U1184" s="125" t="str">
        <f t="shared" si="136"/>
        <v>994</v>
      </c>
      <c r="V1184" s="125" t="str">
        <f>VLOOKUP(Q1184,'GL Category'!A:C,3,FALSE)</f>
        <v>Services &amp; other</v>
      </c>
      <c r="X1184" s="83"/>
    </row>
    <row r="1185" spans="1:24" ht="20.399999999999999" customHeight="1">
      <c r="A1185" s="608" t="s">
        <v>791</v>
      </c>
      <c r="B1185" s="608" t="s">
        <v>3107</v>
      </c>
      <c r="C1185" s="608" t="s">
        <v>238</v>
      </c>
      <c r="D1185" s="609">
        <v>49770.87</v>
      </c>
      <c r="E1185" s="609">
        <v>47259.99</v>
      </c>
      <c r="F1185" s="609">
        <v>68932.34</v>
      </c>
      <c r="G1185" s="609">
        <v>84791.35</v>
      </c>
      <c r="H1185" s="609">
        <v>83341</v>
      </c>
      <c r="I1185" s="609">
        <v>75427.87</v>
      </c>
      <c r="J1185" s="609">
        <v>83341</v>
      </c>
      <c r="K1185" s="609">
        <v>83341</v>
      </c>
      <c r="L1185" s="609">
        <v>0</v>
      </c>
      <c r="M1185" s="609">
        <v>0</v>
      </c>
      <c r="N1185" s="587">
        <f t="shared" si="131"/>
        <v>83341</v>
      </c>
      <c r="Q1185" t="str">
        <f t="shared" si="132"/>
        <v>53599</v>
      </c>
      <c r="R1185" s="126" t="str">
        <f t="shared" si="133"/>
        <v>MISCELLANEOUS SERVICES</v>
      </c>
      <c r="S1185" s="125" t="str">
        <f t="shared" si="134"/>
        <v>100</v>
      </c>
      <c r="T1185" s="125" t="str">
        <f t="shared" si="135"/>
        <v>99</v>
      </c>
      <c r="U1185" s="125" t="str">
        <f t="shared" si="136"/>
        <v>994</v>
      </c>
      <c r="V1185" s="125" t="str">
        <f>VLOOKUP(Q1185,'GL Category'!A:C,3,FALSE)</f>
        <v>Services &amp; other</v>
      </c>
      <c r="X1185" s="83"/>
    </row>
    <row r="1186" spans="1:24" ht="20.399999999999999" customHeight="1">
      <c r="A1186" s="608" t="s">
        <v>791</v>
      </c>
      <c r="B1186" s="608" t="s">
        <v>3114</v>
      </c>
      <c r="C1186" s="608" t="s">
        <v>221</v>
      </c>
      <c r="D1186" s="609">
        <v>662123</v>
      </c>
      <c r="E1186" s="609">
        <v>287123</v>
      </c>
      <c r="F1186" s="609">
        <v>327390</v>
      </c>
      <c r="G1186" s="609">
        <v>332960</v>
      </c>
      <c r="H1186" s="609">
        <v>404990</v>
      </c>
      <c r="I1186" s="609">
        <v>303742.5</v>
      </c>
      <c r="J1186" s="609">
        <v>404990</v>
      </c>
      <c r="K1186" s="609">
        <v>400535</v>
      </c>
      <c r="L1186" s="609">
        <v>0</v>
      </c>
      <c r="M1186" s="609">
        <v>0</v>
      </c>
      <c r="N1186" s="587">
        <f t="shared" si="131"/>
        <v>400535</v>
      </c>
      <c r="Q1186" t="str">
        <f t="shared" si="132"/>
        <v>55119</v>
      </c>
      <c r="R1186" s="126" t="str">
        <f t="shared" si="133"/>
        <v>OFFICE EQUIP LEASE EXP-CITY</v>
      </c>
      <c r="S1186" s="125" t="str">
        <f t="shared" si="134"/>
        <v>100</v>
      </c>
      <c r="T1186" s="125" t="str">
        <f t="shared" si="135"/>
        <v>99</v>
      </c>
      <c r="U1186" s="125" t="str">
        <f t="shared" si="136"/>
        <v>994</v>
      </c>
      <c r="V1186" s="125" t="str">
        <f>VLOOKUP(Q1186,'GL Category'!A:C,3,FALSE)</f>
        <v>Services &amp; other</v>
      </c>
      <c r="X1186" s="83"/>
    </row>
    <row r="1187" spans="1:24" ht="20.399999999999999" customHeight="1">
      <c r="A1187" s="608" t="s">
        <v>791</v>
      </c>
      <c r="B1187" s="608" t="s">
        <v>3096</v>
      </c>
      <c r="C1187" s="608" t="s">
        <v>1102</v>
      </c>
      <c r="D1187" s="609">
        <v>1242147</v>
      </c>
      <c r="E1187" s="609">
        <v>1000000</v>
      </c>
      <c r="F1187" s="609">
        <v>0</v>
      </c>
      <c r="G1187" s="609">
        <v>0</v>
      </c>
      <c r="H1187" s="609">
        <v>0</v>
      </c>
      <c r="I1187" s="609">
        <v>0</v>
      </c>
      <c r="J1187" s="609">
        <v>0</v>
      </c>
      <c r="K1187" s="609">
        <v>0</v>
      </c>
      <c r="L1187" s="609">
        <v>0</v>
      </c>
      <c r="M1187" s="609">
        <v>0</v>
      </c>
      <c r="N1187" s="587">
        <f t="shared" si="131"/>
        <v>0</v>
      </c>
      <c r="P1187" s="490">
        <f>N1187-H1187</f>
        <v>0</v>
      </c>
      <c r="Q1187" t="str">
        <f t="shared" si="132"/>
        <v>59129</v>
      </c>
      <c r="R1187" s="126" t="str">
        <f t="shared" si="133"/>
        <v>TRANSFER TO SELF-INSURANCE FUN</v>
      </c>
      <c r="S1187" s="125" t="str">
        <f t="shared" si="134"/>
        <v>100</v>
      </c>
      <c r="T1187" s="125" t="str">
        <f t="shared" si="135"/>
        <v>99</v>
      </c>
      <c r="U1187" s="125" t="str">
        <f t="shared" si="136"/>
        <v>998</v>
      </c>
      <c r="V1187" s="125" t="str">
        <f>VLOOKUP(Q1187,'GL Category'!A:C,3,FALSE)</f>
        <v>Transfers to other funds</v>
      </c>
      <c r="X1187" s="83"/>
    </row>
    <row r="1188" spans="1:24" ht="20.399999999999999" customHeight="1">
      <c r="A1188" s="608" t="s">
        <v>791</v>
      </c>
      <c r="B1188" s="608" t="s">
        <v>3098</v>
      </c>
      <c r="C1188" s="608" t="s">
        <v>3154</v>
      </c>
      <c r="D1188" s="609">
        <v>0</v>
      </c>
      <c r="E1188" s="609">
        <v>375000</v>
      </c>
      <c r="F1188" s="609">
        <v>243067</v>
      </c>
      <c r="G1188" s="609">
        <v>243067</v>
      </c>
      <c r="H1188" s="609">
        <v>243067</v>
      </c>
      <c r="I1188" s="609">
        <v>182300.25</v>
      </c>
      <c r="J1188" s="609">
        <v>243067</v>
      </c>
      <c r="K1188" s="609">
        <v>243067</v>
      </c>
      <c r="L1188" s="609">
        <v>0</v>
      </c>
      <c r="M1188" s="609">
        <v>0</v>
      </c>
      <c r="N1188" s="587">
        <f t="shared" si="131"/>
        <v>243067</v>
      </c>
      <c r="P1188" s="490">
        <f>N1188-H1188</f>
        <v>0</v>
      </c>
      <c r="Q1188" t="str">
        <f t="shared" si="132"/>
        <v>59179</v>
      </c>
      <c r="R1188" s="126" t="str">
        <f t="shared" si="133"/>
        <v>TRANSFER TO FACILITY EQUIP REP</v>
      </c>
      <c r="S1188" s="125" t="str">
        <f t="shared" si="134"/>
        <v>100</v>
      </c>
      <c r="T1188" s="125" t="str">
        <f t="shared" si="135"/>
        <v>99</v>
      </c>
      <c r="U1188" s="125" t="str">
        <f t="shared" si="136"/>
        <v>998</v>
      </c>
      <c r="V1188" s="125" t="str">
        <f>VLOOKUP(Q1188,'GL Category'!A:C,3,FALSE)</f>
        <v>Transfers to other funds</v>
      </c>
      <c r="X1188" s="83"/>
    </row>
    <row r="1189" spans="1:24" ht="20.399999999999999" customHeight="1">
      <c r="A1189" s="608" t="s">
        <v>1025</v>
      </c>
      <c r="B1189" s="608" t="s">
        <v>1758</v>
      </c>
      <c r="C1189" s="608" t="s">
        <v>161</v>
      </c>
      <c r="D1189" s="609">
        <v>0</v>
      </c>
      <c r="E1189" s="609">
        <v>0</v>
      </c>
      <c r="F1189" s="609">
        <v>0</v>
      </c>
      <c r="G1189" s="609">
        <v>0</v>
      </c>
      <c r="H1189" s="609">
        <v>0</v>
      </c>
      <c r="I1189" s="609">
        <v>0</v>
      </c>
      <c r="J1189" s="609">
        <v>0</v>
      </c>
      <c r="K1189" s="609">
        <v>0</v>
      </c>
      <c r="L1189" s="609">
        <v>0</v>
      </c>
      <c r="M1189" s="609">
        <v>0</v>
      </c>
      <c r="N1189" s="587">
        <f t="shared" si="131"/>
        <v>0</v>
      </c>
      <c r="Q1189" t="str">
        <f t="shared" si="132"/>
        <v>51255</v>
      </c>
      <c r="R1189" s="126" t="str">
        <f t="shared" si="133"/>
        <v>FUEL/OILS/LUBRICANTS</v>
      </c>
      <c r="S1189" s="125" t="str">
        <f t="shared" si="134"/>
        <v>110</v>
      </c>
      <c r="T1189" s="125" t="str">
        <f t="shared" si="135"/>
        <v>63</v>
      </c>
      <c r="U1189" s="125" t="str">
        <f t="shared" si="136"/>
        <v>631</v>
      </c>
      <c r="V1189" s="125" t="str">
        <f>VLOOKUP(Q1189,'GL Category'!A:C,3,FALSE)</f>
        <v>Operations &amp; maintenance</v>
      </c>
      <c r="X1189" s="83"/>
    </row>
    <row r="1190" spans="1:24" ht="20.399999999999999" customHeight="1">
      <c r="A1190" s="608" t="s">
        <v>1025</v>
      </c>
      <c r="B1190" s="608" t="s">
        <v>1762</v>
      </c>
      <c r="C1190" s="608" t="s">
        <v>173</v>
      </c>
      <c r="D1190" s="609">
        <v>9739.7999999999993</v>
      </c>
      <c r="E1190" s="609">
        <v>15034.97</v>
      </c>
      <c r="F1190" s="609">
        <v>10435</v>
      </c>
      <c r="G1190" s="609">
        <v>130837.66</v>
      </c>
      <c r="H1190" s="609">
        <v>115000</v>
      </c>
      <c r="I1190" s="609">
        <v>22494.5</v>
      </c>
      <c r="J1190" s="609">
        <v>110000</v>
      </c>
      <c r="K1190" s="609">
        <v>115000</v>
      </c>
      <c r="L1190" s="609">
        <v>0</v>
      </c>
      <c r="M1190" s="609">
        <v>0</v>
      </c>
      <c r="N1190" s="587">
        <f t="shared" si="131"/>
        <v>115000</v>
      </c>
      <c r="Q1190" t="str">
        <f t="shared" si="132"/>
        <v>52311</v>
      </c>
      <c r="R1190" s="126" t="str">
        <f t="shared" si="133"/>
        <v>GROUNDS MAINTENANCE</v>
      </c>
      <c r="S1190" s="125" t="str">
        <f t="shared" si="134"/>
        <v>110</v>
      </c>
      <c r="T1190" s="125" t="str">
        <f t="shared" si="135"/>
        <v>63</v>
      </c>
      <c r="U1190" s="125" t="str">
        <f t="shared" si="136"/>
        <v>631</v>
      </c>
      <c r="V1190" s="125" t="str">
        <f>VLOOKUP(Q1190,'GL Category'!A:C,3,FALSE)</f>
        <v>Operations &amp; maintenance</v>
      </c>
      <c r="X1190" s="83"/>
    </row>
    <row r="1191" spans="1:24" ht="20.399999999999999" customHeight="1">
      <c r="A1191" s="608" t="s">
        <v>1025</v>
      </c>
      <c r="B1191" s="608" t="s">
        <v>1763</v>
      </c>
      <c r="C1191" s="608" t="s">
        <v>236</v>
      </c>
      <c r="D1191" s="609">
        <v>6331</v>
      </c>
      <c r="E1191" s="609">
        <v>11104.6</v>
      </c>
      <c r="F1191" s="609">
        <v>11165.76</v>
      </c>
      <c r="G1191" s="609">
        <v>1445.25</v>
      </c>
      <c r="H1191" s="609">
        <v>10000</v>
      </c>
      <c r="I1191" s="609">
        <v>0</v>
      </c>
      <c r="J1191" s="609">
        <v>8000</v>
      </c>
      <c r="K1191" s="609">
        <v>10000</v>
      </c>
      <c r="L1191" s="609">
        <v>0</v>
      </c>
      <c r="M1191" s="609">
        <v>0</v>
      </c>
      <c r="N1191" s="587">
        <f t="shared" si="131"/>
        <v>10000</v>
      </c>
      <c r="Q1191" t="str">
        <f t="shared" si="132"/>
        <v>52470</v>
      </c>
      <c r="R1191" s="126" t="str">
        <f t="shared" si="133"/>
        <v>EQUIPMENT MAINTENANCE</v>
      </c>
      <c r="S1191" s="125" t="str">
        <f t="shared" si="134"/>
        <v>110</v>
      </c>
      <c r="T1191" s="125" t="str">
        <f t="shared" si="135"/>
        <v>63</v>
      </c>
      <c r="U1191" s="125" t="str">
        <f t="shared" si="136"/>
        <v>631</v>
      </c>
      <c r="V1191" s="125" t="str">
        <f>VLOOKUP(Q1191,'GL Category'!A:C,3,FALSE)</f>
        <v>Operations &amp; maintenance</v>
      </c>
      <c r="X1191" s="83"/>
    </row>
    <row r="1192" spans="1:24" ht="20.399999999999999" customHeight="1">
      <c r="A1192" s="608" t="s">
        <v>1025</v>
      </c>
      <c r="B1192" s="608" t="s">
        <v>1769</v>
      </c>
      <c r="C1192" s="608" t="s">
        <v>232</v>
      </c>
      <c r="D1192" s="609">
        <v>46836</v>
      </c>
      <c r="E1192" s="609">
        <v>42590</v>
      </c>
      <c r="F1192" s="609">
        <v>42680</v>
      </c>
      <c r="G1192" s="609">
        <v>47149</v>
      </c>
      <c r="H1192" s="609">
        <v>49916</v>
      </c>
      <c r="I1192" s="609">
        <v>37437</v>
      </c>
      <c r="J1192" s="609">
        <v>49916</v>
      </c>
      <c r="K1192" s="609">
        <v>48045</v>
      </c>
      <c r="L1192" s="609">
        <v>0</v>
      </c>
      <c r="M1192" s="609">
        <v>0</v>
      </c>
      <c r="N1192" s="587">
        <f t="shared" si="131"/>
        <v>48045</v>
      </c>
      <c r="Q1192" t="str">
        <f t="shared" si="132"/>
        <v>53554</v>
      </c>
      <c r="R1192" s="126" t="str">
        <f t="shared" si="133"/>
        <v>ADMINISTRATIVE SERVICES</v>
      </c>
      <c r="S1192" s="125" t="str">
        <f t="shared" si="134"/>
        <v>110</v>
      </c>
      <c r="T1192" s="125" t="str">
        <f t="shared" si="135"/>
        <v>63</v>
      </c>
      <c r="U1192" s="125" t="str">
        <f t="shared" si="136"/>
        <v>631</v>
      </c>
      <c r="V1192" s="125" t="str">
        <f>VLOOKUP(Q1192,'GL Category'!A:C,3,FALSE)</f>
        <v>Services &amp; other</v>
      </c>
      <c r="X1192" s="83"/>
    </row>
    <row r="1193" spans="1:24" ht="20.399999999999999" customHeight="1">
      <c r="A1193" s="608" t="s">
        <v>1025</v>
      </c>
      <c r="B1193" s="608" t="s">
        <v>1765</v>
      </c>
      <c r="C1193" s="608" t="s">
        <v>238</v>
      </c>
      <c r="D1193" s="609">
        <v>0</v>
      </c>
      <c r="E1193" s="609">
        <v>0</v>
      </c>
      <c r="F1193" s="609">
        <v>16260</v>
      </c>
      <c r="G1193" s="609">
        <v>0</v>
      </c>
      <c r="H1193" s="609">
        <v>0</v>
      </c>
      <c r="I1193" s="609">
        <v>0</v>
      </c>
      <c r="J1193" s="609">
        <v>0</v>
      </c>
      <c r="K1193" s="609">
        <v>0</v>
      </c>
      <c r="L1193" s="609">
        <v>0</v>
      </c>
      <c r="M1193" s="609">
        <v>0</v>
      </c>
      <c r="N1193" s="587">
        <f t="shared" si="131"/>
        <v>0</v>
      </c>
      <c r="Q1193" t="str">
        <f t="shared" si="132"/>
        <v>53599</v>
      </c>
      <c r="R1193" s="126" t="str">
        <f t="shared" si="133"/>
        <v>MISCELLANEOUS SERVICES</v>
      </c>
      <c r="S1193" s="125" t="str">
        <f t="shared" si="134"/>
        <v>110</v>
      </c>
      <c r="T1193" s="125" t="str">
        <f t="shared" si="135"/>
        <v>63</v>
      </c>
      <c r="U1193" s="125" t="str">
        <f t="shared" si="136"/>
        <v>631</v>
      </c>
      <c r="V1193" s="125" t="str">
        <f>VLOOKUP(Q1193,'GL Category'!A:C,3,FALSE)</f>
        <v>Services &amp; other</v>
      </c>
      <c r="X1193" s="83"/>
    </row>
    <row r="1194" spans="1:24" ht="20.399999999999999" customHeight="1">
      <c r="A1194" s="608" t="s">
        <v>1025</v>
      </c>
      <c r="B1194" s="608" t="s">
        <v>1774</v>
      </c>
      <c r="C1194" s="608" t="s">
        <v>268</v>
      </c>
      <c r="D1194" s="609">
        <v>180609.63</v>
      </c>
      <c r="E1194" s="609">
        <v>0</v>
      </c>
      <c r="F1194" s="609">
        <v>0</v>
      </c>
      <c r="G1194" s="609">
        <v>257315.71</v>
      </c>
      <c r="H1194" s="609">
        <v>13000</v>
      </c>
      <c r="I1194" s="609">
        <v>9697.16</v>
      </c>
      <c r="J1194" s="609">
        <v>9700</v>
      </c>
      <c r="K1194" s="609">
        <v>36000</v>
      </c>
      <c r="L1194" s="609">
        <v>0</v>
      </c>
      <c r="M1194" s="609">
        <v>0</v>
      </c>
      <c r="N1194" s="587">
        <f t="shared" si="131"/>
        <v>36000</v>
      </c>
      <c r="Q1194" t="str">
        <f t="shared" si="132"/>
        <v>58830</v>
      </c>
      <c r="R1194" s="126" t="str">
        <f t="shared" si="133"/>
        <v>MACHINERY &amp; EQUIPMENT</v>
      </c>
      <c r="S1194" s="125" t="str">
        <f t="shared" si="134"/>
        <v>110</v>
      </c>
      <c r="T1194" s="125" t="str">
        <f t="shared" si="135"/>
        <v>63</v>
      </c>
      <c r="U1194" s="125" t="str">
        <f t="shared" si="136"/>
        <v>631</v>
      </c>
      <c r="V1194" s="125" t="str">
        <f>VLOOKUP(Q1194,'GL Category'!A:C,3,FALSE)</f>
        <v>Capital Outlay</v>
      </c>
      <c r="X1194" s="83"/>
    </row>
    <row r="1195" spans="1:24" ht="20.399999999999999" customHeight="1">
      <c r="A1195" s="608" t="s">
        <v>1025</v>
      </c>
      <c r="B1195" s="608" t="s">
        <v>1770</v>
      </c>
      <c r="C1195" s="608" t="s">
        <v>912</v>
      </c>
      <c r="D1195" s="609">
        <v>217418.76</v>
      </c>
      <c r="E1195" s="609">
        <v>177493.76000000001</v>
      </c>
      <c r="F1195" s="609">
        <v>136418.76</v>
      </c>
      <c r="G1195" s="609">
        <v>94043.76</v>
      </c>
      <c r="H1195" s="609">
        <v>69794</v>
      </c>
      <c r="I1195" s="609">
        <v>36246.879999999997</v>
      </c>
      <c r="J1195" s="609">
        <v>596879</v>
      </c>
      <c r="K1195" s="609">
        <v>1213519</v>
      </c>
      <c r="L1195" s="609">
        <v>0</v>
      </c>
      <c r="M1195" s="609">
        <v>0</v>
      </c>
      <c r="N1195" s="587">
        <f t="shared" si="131"/>
        <v>1213519</v>
      </c>
      <c r="P1195" s="490">
        <f>N1195-H1195</f>
        <v>1143725</v>
      </c>
      <c r="Q1195" t="str">
        <f t="shared" si="132"/>
        <v>56900</v>
      </c>
      <c r="R1195" s="126" t="str">
        <f t="shared" si="133"/>
        <v>INTEREST/OTHER DEBTAMORTIZATI</v>
      </c>
      <c r="S1195" s="125" t="str">
        <f t="shared" si="134"/>
        <v>110</v>
      </c>
      <c r="T1195" s="125" t="str">
        <f t="shared" si="135"/>
        <v>99</v>
      </c>
      <c r="U1195" s="125" t="str">
        <f t="shared" si="136"/>
        <v>992</v>
      </c>
      <c r="V1195" s="125" t="str">
        <f>VLOOKUP(Q1195,'GL Category'!A:C,3,FALSE)</f>
        <v>Debt Service</v>
      </c>
      <c r="X1195" s="83"/>
    </row>
    <row r="1196" spans="1:24" ht="20.399999999999999" customHeight="1">
      <c r="A1196" s="608" t="s">
        <v>1025</v>
      </c>
      <c r="B1196" s="608" t="s">
        <v>1768</v>
      </c>
      <c r="C1196" s="608" t="s">
        <v>313</v>
      </c>
      <c r="D1196" s="609">
        <v>1815</v>
      </c>
      <c r="E1196" s="609">
        <v>1440</v>
      </c>
      <c r="F1196" s="609">
        <v>1440</v>
      </c>
      <c r="G1196" s="609">
        <v>750</v>
      </c>
      <c r="H1196" s="609">
        <v>0</v>
      </c>
      <c r="I1196" s="609">
        <v>825</v>
      </c>
      <c r="J1196" s="609">
        <v>0</v>
      </c>
      <c r="K1196" s="609">
        <v>0</v>
      </c>
      <c r="L1196" s="609">
        <v>0</v>
      </c>
      <c r="M1196" s="609">
        <v>0</v>
      </c>
      <c r="N1196" s="587">
        <f t="shared" si="131"/>
        <v>0</v>
      </c>
      <c r="P1196" s="490">
        <f>N1196-H1196</f>
        <v>0</v>
      </c>
      <c r="Q1196" t="str">
        <f t="shared" si="132"/>
        <v>56901</v>
      </c>
      <c r="R1196" s="126" t="str">
        <f t="shared" si="133"/>
        <v>PAYING AGENT SERVICES</v>
      </c>
      <c r="S1196" s="125" t="str">
        <f t="shared" si="134"/>
        <v>110</v>
      </c>
      <c r="T1196" s="125" t="str">
        <f t="shared" si="135"/>
        <v>99</v>
      </c>
      <c r="U1196" s="125" t="str">
        <f t="shared" si="136"/>
        <v>992</v>
      </c>
      <c r="V1196" s="125" t="str">
        <f>VLOOKUP(Q1196,'GL Category'!A:C,3,FALSE)</f>
        <v>Debt Service</v>
      </c>
      <c r="X1196" s="83"/>
    </row>
    <row r="1197" spans="1:24" ht="20.399999999999999" customHeight="1">
      <c r="A1197" s="608" t="s">
        <v>1025</v>
      </c>
      <c r="B1197" s="608" t="s">
        <v>1771</v>
      </c>
      <c r="C1197" s="608" t="s">
        <v>3155</v>
      </c>
      <c r="D1197" s="609">
        <v>1365000</v>
      </c>
      <c r="E1197" s="609">
        <v>1405000</v>
      </c>
      <c r="F1197" s="609">
        <v>1445000</v>
      </c>
      <c r="G1197" s="609">
        <v>1495000</v>
      </c>
      <c r="H1197" s="609">
        <v>2737471</v>
      </c>
      <c r="I1197" s="609">
        <v>180000</v>
      </c>
      <c r="J1197" s="609">
        <v>2000000</v>
      </c>
      <c r="K1197" s="609">
        <v>1380000</v>
      </c>
      <c r="L1197" s="609">
        <v>0</v>
      </c>
      <c r="M1197" s="609">
        <v>0</v>
      </c>
      <c r="N1197" s="587">
        <f t="shared" si="131"/>
        <v>1380000</v>
      </c>
      <c r="P1197" s="490">
        <f>N1197-H1197</f>
        <v>-1357471</v>
      </c>
      <c r="Q1197" t="str">
        <f t="shared" si="132"/>
        <v>56902</v>
      </c>
      <c r="R1197" s="126" t="str">
        <f t="shared" si="133"/>
        <v>GO RETIREMENT</v>
      </c>
      <c r="S1197" s="125" t="str">
        <f t="shared" si="134"/>
        <v>110</v>
      </c>
      <c r="T1197" s="125" t="str">
        <f t="shared" si="135"/>
        <v>99</v>
      </c>
      <c r="U1197" s="125" t="str">
        <f t="shared" si="136"/>
        <v>992</v>
      </c>
      <c r="V1197" s="125" t="str">
        <f>VLOOKUP(Q1197,'GL Category'!A:C,3,FALSE)</f>
        <v>Debt Service</v>
      </c>
      <c r="X1197" s="83"/>
    </row>
    <row r="1198" spans="1:24" ht="20.399999999999999" customHeight="1">
      <c r="A1198" s="608" t="s">
        <v>1025</v>
      </c>
      <c r="B1198" s="608" t="s">
        <v>3210</v>
      </c>
      <c r="C1198" s="608" t="s">
        <v>838</v>
      </c>
      <c r="D1198" s="609">
        <v>216000</v>
      </c>
      <c r="E1198" s="609">
        <v>0</v>
      </c>
      <c r="F1198" s="609">
        <v>685000</v>
      </c>
      <c r="G1198" s="609">
        <v>0</v>
      </c>
      <c r="H1198" s="609">
        <v>0</v>
      </c>
      <c r="I1198" s="609">
        <v>0</v>
      </c>
      <c r="J1198" s="609">
        <v>0</v>
      </c>
      <c r="K1198" s="609">
        <v>0</v>
      </c>
      <c r="L1198" s="609">
        <v>0</v>
      </c>
      <c r="M1198" s="609">
        <v>0</v>
      </c>
      <c r="N1198" s="587">
        <f t="shared" si="131"/>
        <v>0</v>
      </c>
      <c r="P1198" s="490">
        <f>N1198-H1198</f>
        <v>0</v>
      </c>
      <c r="Q1198" t="str">
        <f t="shared" si="132"/>
        <v>59170</v>
      </c>
      <c r="R1198" s="126" t="str">
        <f t="shared" si="133"/>
        <v>TRANSFER TO CIP-STREET IMPROVE</v>
      </c>
      <c r="S1198" s="125" t="str">
        <f t="shared" si="134"/>
        <v>110</v>
      </c>
      <c r="T1198" s="125" t="str">
        <f t="shared" si="135"/>
        <v>99</v>
      </c>
      <c r="U1198" s="125" t="str">
        <f t="shared" si="136"/>
        <v>998</v>
      </c>
      <c r="V1198" s="125" t="str">
        <f>VLOOKUP(Q1198,'GL Category'!A:C,3,FALSE)</f>
        <v>Transfers to other funds</v>
      </c>
      <c r="X1198" s="83"/>
    </row>
    <row r="1199" spans="1:24" ht="20.399999999999999" customHeight="1">
      <c r="A1199" s="608" t="s">
        <v>1025</v>
      </c>
      <c r="B1199" s="608" t="s">
        <v>1778</v>
      </c>
      <c r="C1199" s="608" t="s">
        <v>840</v>
      </c>
      <c r="D1199" s="609">
        <v>499000</v>
      </c>
      <c r="E1199" s="609">
        <v>1656987</v>
      </c>
      <c r="F1199" s="609">
        <v>1302500</v>
      </c>
      <c r="G1199" s="609">
        <v>4686483</v>
      </c>
      <c r="H1199" s="609">
        <v>1800000</v>
      </c>
      <c r="I1199" s="609">
        <v>1350000</v>
      </c>
      <c r="J1199" s="609">
        <v>3420616</v>
      </c>
      <c r="K1199" s="609">
        <v>2120616</v>
      </c>
      <c r="L1199" s="609">
        <v>0</v>
      </c>
      <c r="M1199" s="609">
        <v>0</v>
      </c>
      <c r="N1199" s="587">
        <f t="shared" si="131"/>
        <v>2120616</v>
      </c>
      <c r="Q1199" t="str">
        <f t="shared" si="132"/>
        <v>59178</v>
      </c>
      <c r="R1199" s="126" t="str">
        <f t="shared" si="133"/>
        <v>TRANSFER TO CIP-PARK</v>
      </c>
      <c r="S1199" s="125" t="str">
        <f t="shared" si="134"/>
        <v>110</v>
      </c>
      <c r="T1199" s="125" t="str">
        <f t="shared" si="135"/>
        <v>99</v>
      </c>
      <c r="U1199" s="125" t="str">
        <f t="shared" si="136"/>
        <v>998</v>
      </c>
      <c r="V1199" s="125" t="str">
        <f>VLOOKUP(Q1199,'GL Category'!A:C,3,FALSE)</f>
        <v>Transfers to other funds</v>
      </c>
      <c r="X1199" s="83"/>
    </row>
    <row r="1200" spans="1:24" ht="20.399999999999999" customHeight="1">
      <c r="A1200" s="608" t="s">
        <v>1026</v>
      </c>
      <c r="B1200" s="608" t="s">
        <v>3416</v>
      </c>
      <c r="C1200" s="608" t="s">
        <v>904</v>
      </c>
      <c r="D1200" s="609">
        <v>0</v>
      </c>
      <c r="E1200" s="609">
        <v>0</v>
      </c>
      <c r="F1200" s="609">
        <v>0</v>
      </c>
      <c r="G1200" s="609">
        <v>52</v>
      </c>
      <c r="H1200" s="609">
        <v>0</v>
      </c>
      <c r="I1200" s="609">
        <v>643</v>
      </c>
      <c r="J1200" s="609">
        <v>0</v>
      </c>
      <c r="K1200" s="609">
        <v>0</v>
      </c>
      <c r="L1200" s="609">
        <v>0</v>
      </c>
      <c r="M1200" s="609">
        <v>0</v>
      </c>
      <c r="N1200" s="587">
        <f t="shared" si="131"/>
        <v>0</v>
      </c>
      <c r="Q1200" t="str">
        <f t="shared" si="132"/>
        <v>50117</v>
      </c>
      <c r="R1200" s="126" t="str">
        <f t="shared" si="133"/>
        <v>GROUP EXERCISE PAY</v>
      </c>
      <c r="S1200" s="125" t="str">
        <f t="shared" si="134"/>
        <v>112</v>
      </c>
      <c r="T1200" s="125" t="str">
        <f t="shared" si="135"/>
        <v>62</v>
      </c>
      <c r="U1200" s="125" t="str">
        <f t="shared" si="136"/>
        <v>622</v>
      </c>
      <c r="V1200" s="125" t="str">
        <f>VLOOKUP(Q1200,'GL Category'!A:C,3,FALSE)</f>
        <v>Personnel services</v>
      </c>
      <c r="X1200" s="83"/>
    </row>
    <row r="1201" spans="1:24" ht="20.399999999999999" customHeight="1">
      <c r="A1201" s="608" t="s">
        <v>1026</v>
      </c>
      <c r="B1201" s="608" t="s">
        <v>1869</v>
      </c>
      <c r="C1201" s="608" t="s">
        <v>319</v>
      </c>
      <c r="D1201" s="609">
        <v>7122.37</v>
      </c>
      <c r="E1201" s="609">
        <v>2410.4</v>
      </c>
      <c r="F1201" s="609">
        <v>11808.64</v>
      </c>
      <c r="G1201" s="609">
        <v>23538.48</v>
      </c>
      <c r="H1201" s="609">
        <v>0</v>
      </c>
      <c r="I1201" s="609">
        <v>15838.35</v>
      </c>
      <c r="J1201" s="609">
        <v>50400</v>
      </c>
      <c r="K1201" s="609">
        <v>46950</v>
      </c>
      <c r="L1201" s="609">
        <v>0</v>
      </c>
      <c r="M1201" s="609">
        <v>0</v>
      </c>
      <c r="N1201" s="587">
        <f t="shared" si="131"/>
        <v>46950</v>
      </c>
      <c r="Q1201" t="str">
        <f t="shared" si="132"/>
        <v>54558</v>
      </c>
      <c r="R1201" s="126" t="str">
        <f t="shared" si="133"/>
        <v>EXPENDITURES-SR SVS RECREATION</v>
      </c>
      <c r="S1201" s="125" t="str">
        <f t="shared" si="134"/>
        <v>112</v>
      </c>
      <c r="T1201" s="125" t="str">
        <f t="shared" si="135"/>
        <v>62</v>
      </c>
      <c r="U1201" s="125" t="str">
        <f t="shared" si="136"/>
        <v>622</v>
      </c>
      <c r="V1201" s="125" t="str">
        <f>VLOOKUP(Q1201,'GL Category'!A:C,3,FALSE)</f>
        <v>Services &amp; other</v>
      </c>
      <c r="X1201" s="83"/>
    </row>
    <row r="1202" spans="1:24" ht="20.399999999999999" customHeight="1">
      <c r="A1202" s="608" t="s">
        <v>1026</v>
      </c>
      <c r="B1202" s="608" t="s">
        <v>1870</v>
      </c>
      <c r="C1202" s="608" t="s">
        <v>321</v>
      </c>
      <c r="D1202" s="609">
        <v>12759.87</v>
      </c>
      <c r="E1202" s="609">
        <v>4540.74</v>
      </c>
      <c r="F1202" s="609">
        <v>15293.35</v>
      </c>
      <c r="G1202" s="609">
        <v>14219.87</v>
      </c>
      <c r="H1202" s="609">
        <v>50000</v>
      </c>
      <c r="I1202" s="609">
        <v>7020.44</v>
      </c>
      <c r="J1202" s="609">
        <v>15777</v>
      </c>
      <c r="K1202" s="609">
        <v>19521</v>
      </c>
      <c r="L1202" s="609">
        <v>0</v>
      </c>
      <c r="M1202" s="609">
        <v>0</v>
      </c>
      <c r="N1202" s="587">
        <f t="shared" si="131"/>
        <v>19521</v>
      </c>
      <c r="Q1202" t="str">
        <f t="shared" si="132"/>
        <v>54561</v>
      </c>
      <c r="R1202" s="126" t="str">
        <f t="shared" si="133"/>
        <v>EXPENDITURES-DONATIONS SR SVS</v>
      </c>
      <c r="S1202" s="125" t="str">
        <f t="shared" si="134"/>
        <v>112</v>
      </c>
      <c r="T1202" s="125" t="str">
        <f t="shared" si="135"/>
        <v>62</v>
      </c>
      <c r="U1202" s="125" t="str">
        <f t="shared" si="136"/>
        <v>622</v>
      </c>
      <c r="V1202" s="125" t="str">
        <f>VLOOKUP(Q1202,'GL Category'!A:C,3,FALSE)</f>
        <v>Services &amp; other</v>
      </c>
      <c r="X1202" s="83"/>
    </row>
    <row r="1203" spans="1:24" ht="20.399999999999999" customHeight="1">
      <c r="A1203" s="608" t="s">
        <v>1026</v>
      </c>
      <c r="B1203" s="608" t="s">
        <v>1871</v>
      </c>
      <c r="C1203" s="608" t="s">
        <v>910</v>
      </c>
      <c r="D1203" s="609">
        <v>10867</v>
      </c>
      <c r="E1203" s="609">
        <v>37098</v>
      </c>
      <c r="F1203" s="609">
        <v>56615</v>
      </c>
      <c r="G1203" s="609">
        <v>45790</v>
      </c>
      <c r="H1203" s="609">
        <v>55829</v>
      </c>
      <c r="I1203" s="609">
        <v>32445</v>
      </c>
      <c r="J1203" s="609">
        <v>58000</v>
      </c>
      <c r="K1203" s="609">
        <v>45829</v>
      </c>
      <c r="L1203" s="609">
        <v>0</v>
      </c>
      <c r="M1203" s="609">
        <v>0</v>
      </c>
      <c r="N1203" s="587">
        <f t="shared" si="131"/>
        <v>45829</v>
      </c>
      <c r="Q1203" t="str">
        <f t="shared" si="132"/>
        <v>54562</v>
      </c>
      <c r="R1203" s="126" t="str">
        <f t="shared" si="133"/>
        <v>EXPENDITURES-DONATION MMOW</v>
      </c>
      <c r="S1203" s="125" t="str">
        <f t="shared" si="134"/>
        <v>112</v>
      </c>
      <c r="T1203" s="125" t="str">
        <f t="shared" si="135"/>
        <v>62</v>
      </c>
      <c r="U1203" s="125" t="str">
        <f t="shared" si="136"/>
        <v>622</v>
      </c>
      <c r="V1203" s="125" t="str">
        <f>VLOOKUP(Q1203,'GL Category'!A:C,3,FALSE)</f>
        <v>Services &amp; other</v>
      </c>
      <c r="X1203" s="83"/>
    </row>
    <row r="1204" spans="1:24" ht="20.399999999999999" customHeight="1">
      <c r="A1204" s="608" t="s">
        <v>1026</v>
      </c>
      <c r="B1204" s="608" t="s">
        <v>1872</v>
      </c>
      <c r="C1204" s="608" t="s">
        <v>324</v>
      </c>
      <c r="D1204" s="609">
        <v>0</v>
      </c>
      <c r="E1204" s="609">
        <v>0</v>
      </c>
      <c r="F1204" s="609">
        <v>0</v>
      </c>
      <c r="G1204" s="609">
        <v>0</v>
      </c>
      <c r="H1204" s="609">
        <v>0</v>
      </c>
      <c r="I1204" s="609">
        <v>0</v>
      </c>
      <c r="J1204" s="609">
        <v>0</v>
      </c>
      <c r="K1204" s="609">
        <v>0</v>
      </c>
      <c r="L1204" s="609">
        <v>0</v>
      </c>
      <c r="M1204" s="609">
        <v>0</v>
      </c>
      <c r="N1204" s="587">
        <f t="shared" si="131"/>
        <v>0</v>
      </c>
      <c r="Q1204" t="str">
        <f t="shared" si="132"/>
        <v>54563</v>
      </c>
      <c r="R1204" s="126" t="str">
        <f t="shared" si="133"/>
        <v>EXPENDITURES-SR SVS NEWSLETTER</v>
      </c>
      <c r="S1204" s="125" t="str">
        <f t="shared" si="134"/>
        <v>112</v>
      </c>
      <c r="T1204" s="125" t="str">
        <f t="shared" si="135"/>
        <v>62</v>
      </c>
      <c r="U1204" s="125" t="str">
        <f t="shared" si="136"/>
        <v>622</v>
      </c>
      <c r="V1204" s="125" t="str">
        <f>VLOOKUP(Q1204,'GL Category'!A:C,3,FALSE)</f>
        <v>Services &amp; other</v>
      </c>
      <c r="X1204" s="83"/>
    </row>
    <row r="1205" spans="1:24" ht="20.399999999999999" customHeight="1">
      <c r="A1205" s="608" t="s">
        <v>1026</v>
      </c>
      <c r="B1205" s="608" t="s">
        <v>1874</v>
      </c>
      <c r="C1205" s="608" t="s">
        <v>0</v>
      </c>
      <c r="D1205" s="609">
        <v>0</v>
      </c>
      <c r="E1205" s="609">
        <v>0</v>
      </c>
      <c r="F1205" s="609">
        <v>0</v>
      </c>
      <c r="G1205" s="609">
        <v>0</v>
      </c>
      <c r="H1205" s="609">
        <v>750</v>
      </c>
      <c r="I1205" s="609">
        <v>0</v>
      </c>
      <c r="J1205" s="609">
        <v>750</v>
      </c>
      <c r="K1205" s="609">
        <v>750</v>
      </c>
      <c r="L1205" s="609">
        <v>0</v>
      </c>
      <c r="M1205" s="609">
        <v>0</v>
      </c>
      <c r="N1205" s="587">
        <f t="shared" si="131"/>
        <v>750</v>
      </c>
      <c r="P1205" s="490">
        <f>N1205-H1205</f>
        <v>0</v>
      </c>
      <c r="Q1205" t="str">
        <f t="shared" si="132"/>
        <v>50109</v>
      </c>
      <c r="R1205" s="126" t="str">
        <f t="shared" si="133"/>
        <v>OVERTIME</v>
      </c>
      <c r="S1205" s="125" t="str">
        <f t="shared" si="134"/>
        <v>112</v>
      </c>
      <c r="T1205" s="125" t="str">
        <f t="shared" si="135"/>
        <v>62</v>
      </c>
      <c r="U1205" s="125" t="str">
        <f t="shared" si="136"/>
        <v>623</v>
      </c>
      <c r="V1205" s="125" t="str">
        <f>VLOOKUP(Q1205,'GL Category'!A:C,3,FALSE)</f>
        <v>Personnel services</v>
      </c>
      <c r="X1205" s="83"/>
    </row>
    <row r="1206" spans="1:24" ht="20.399999999999999" customHeight="1">
      <c r="A1206" s="608" t="s">
        <v>1026</v>
      </c>
      <c r="B1206" s="608" t="s">
        <v>1875</v>
      </c>
      <c r="C1206" s="608" t="s">
        <v>135</v>
      </c>
      <c r="D1206" s="609">
        <v>0</v>
      </c>
      <c r="E1206" s="609">
        <v>0</v>
      </c>
      <c r="F1206" s="609">
        <v>0</v>
      </c>
      <c r="G1206" s="609">
        <v>0</v>
      </c>
      <c r="H1206" s="609">
        <v>250</v>
      </c>
      <c r="I1206" s="609">
        <v>0</v>
      </c>
      <c r="J1206" s="609">
        <v>250</v>
      </c>
      <c r="K1206" s="609">
        <v>250</v>
      </c>
      <c r="L1206" s="609">
        <v>0</v>
      </c>
      <c r="M1206" s="609">
        <v>0</v>
      </c>
      <c r="N1206" s="587">
        <f t="shared" si="131"/>
        <v>250</v>
      </c>
      <c r="P1206" s="490">
        <f>N1206-H1206</f>
        <v>0</v>
      </c>
      <c r="Q1206" t="str">
        <f t="shared" si="132"/>
        <v>50110</v>
      </c>
      <c r="R1206" s="126" t="str">
        <f t="shared" si="133"/>
        <v>PART-TIME WAGES</v>
      </c>
      <c r="S1206" s="125" t="str">
        <f t="shared" si="134"/>
        <v>112</v>
      </c>
      <c r="T1206" s="125" t="str">
        <f t="shared" si="135"/>
        <v>62</v>
      </c>
      <c r="U1206" s="125" t="str">
        <f t="shared" si="136"/>
        <v>623</v>
      </c>
      <c r="V1206" s="125" t="str">
        <f>VLOOKUP(Q1206,'GL Category'!A:C,3,FALSE)</f>
        <v>Personnel services</v>
      </c>
      <c r="X1206" s="83"/>
    </row>
    <row r="1207" spans="1:24" ht="20.399999999999999" customHeight="1">
      <c r="A1207" s="608" t="s">
        <v>1026</v>
      </c>
      <c r="B1207" s="608" t="s">
        <v>1876</v>
      </c>
      <c r="C1207" s="608" t="s">
        <v>1</v>
      </c>
      <c r="D1207" s="609">
        <v>0</v>
      </c>
      <c r="E1207" s="609">
        <v>0</v>
      </c>
      <c r="F1207" s="609">
        <v>0</v>
      </c>
      <c r="G1207" s="609">
        <v>0</v>
      </c>
      <c r="H1207" s="609">
        <v>80</v>
      </c>
      <c r="I1207" s="609">
        <v>0</v>
      </c>
      <c r="J1207" s="609">
        <v>80</v>
      </c>
      <c r="K1207" s="609">
        <v>80</v>
      </c>
      <c r="L1207" s="609">
        <v>0</v>
      </c>
      <c r="M1207" s="609">
        <v>0</v>
      </c>
      <c r="N1207" s="587">
        <f t="shared" si="131"/>
        <v>80</v>
      </c>
      <c r="P1207" s="490">
        <f>N1207-H1207</f>
        <v>0</v>
      </c>
      <c r="Q1207" t="str">
        <f t="shared" si="132"/>
        <v>50610</v>
      </c>
      <c r="R1207" s="126" t="str">
        <f t="shared" si="133"/>
        <v>SOCIAL SECURITY</v>
      </c>
      <c r="S1207" s="125" t="str">
        <f t="shared" si="134"/>
        <v>112</v>
      </c>
      <c r="T1207" s="125" t="str">
        <f t="shared" si="135"/>
        <v>62</v>
      </c>
      <c r="U1207" s="125" t="str">
        <f t="shared" si="136"/>
        <v>623</v>
      </c>
      <c r="V1207" s="125" t="str">
        <f>VLOOKUP(Q1207,'GL Category'!A:C,3,FALSE)</f>
        <v>Personnel services</v>
      </c>
      <c r="X1207" s="83"/>
    </row>
    <row r="1208" spans="1:24" ht="20.399999999999999" customHeight="1">
      <c r="A1208" s="608" t="s">
        <v>1026</v>
      </c>
      <c r="B1208" s="608" t="s">
        <v>1877</v>
      </c>
      <c r="C1208" s="608" t="s">
        <v>142</v>
      </c>
      <c r="D1208" s="609">
        <v>0</v>
      </c>
      <c r="E1208" s="609">
        <v>0</v>
      </c>
      <c r="F1208" s="609">
        <v>0</v>
      </c>
      <c r="G1208" s="609">
        <v>0</v>
      </c>
      <c r="H1208" s="609">
        <v>2</v>
      </c>
      <c r="I1208" s="609">
        <v>0</v>
      </c>
      <c r="J1208" s="609">
        <v>2</v>
      </c>
      <c r="K1208" s="609">
        <v>2</v>
      </c>
      <c r="L1208" s="609">
        <v>0</v>
      </c>
      <c r="M1208" s="609">
        <v>0</v>
      </c>
      <c r="N1208" s="587">
        <f t="shared" si="131"/>
        <v>2</v>
      </c>
      <c r="Q1208" t="str">
        <f t="shared" si="132"/>
        <v>50620</v>
      </c>
      <c r="R1208" s="126" t="str">
        <f t="shared" si="133"/>
        <v>HEALTH/LIFE INSURANCE</v>
      </c>
      <c r="S1208" s="125" t="str">
        <f t="shared" si="134"/>
        <v>112</v>
      </c>
      <c r="T1208" s="125" t="str">
        <f t="shared" si="135"/>
        <v>62</v>
      </c>
      <c r="U1208" s="125" t="str">
        <f t="shared" si="136"/>
        <v>623</v>
      </c>
      <c r="V1208" s="125" t="str">
        <f>VLOOKUP(Q1208,'GL Category'!A:C,3,FALSE)</f>
        <v>Personnel services</v>
      </c>
      <c r="X1208" s="83"/>
    </row>
    <row r="1209" spans="1:24" ht="20.399999999999999" customHeight="1">
      <c r="A1209" s="608" t="s">
        <v>1026</v>
      </c>
      <c r="B1209" s="608" t="s">
        <v>1878</v>
      </c>
      <c r="C1209" s="608" t="s">
        <v>144</v>
      </c>
      <c r="D1209" s="609">
        <v>7.33</v>
      </c>
      <c r="E1209" s="609">
        <v>7.08</v>
      </c>
      <c r="F1209" s="609">
        <v>7.64</v>
      </c>
      <c r="G1209" s="609">
        <v>13.84</v>
      </c>
      <c r="H1209" s="609">
        <v>17</v>
      </c>
      <c r="I1209" s="609">
        <v>16.989999999999998</v>
      </c>
      <c r="J1209" s="609">
        <v>17</v>
      </c>
      <c r="K1209" s="609">
        <v>18</v>
      </c>
      <c r="L1209" s="609">
        <v>0</v>
      </c>
      <c r="M1209" s="609">
        <v>0</v>
      </c>
      <c r="N1209" s="587">
        <f t="shared" si="131"/>
        <v>18</v>
      </c>
      <c r="P1209" s="490">
        <f t="shared" ref="P1209:P1219" si="139">N1209-H1209</f>
        <v>1</v>
      </c>
      <c r="Q1209" t="str">
        <f t="shared" si="132"/>
        <v>50630</v>
      </c>
      <c r="R1209" s="126" t="str">
        <f t="shared" si="133"/>
        <v>WORKER COMPENSATION</v>
      </c>
      <c r="S1209" s="125" t="str">
        <f t="shared" si="134"/>
        <v>112</v>
      </c>
      <c r="T1209" s="125" t="str">
        <f t="shared" si="135"/>
        <v>62</v>
      </c>
      <c r="U1209" s="125" t="str">
        <f t="shared" si="136"/>
        <v>623</v>
      </c>
      <c r="V1209" s="125" t="str">
        <f>VLOOKUP(Q1209,'GL Category'!A:C,3,FALSE)</f>
        <v>Personnel services</v>
      </c>
      <c r="X1209" s="83"/>
    </row>
    <row r="1210" spans="1:24" ht="20.399999999999999" customHeight="1">
      <c r="A1210" s="608" t="s">
        <v>1026</v>
      </c>
      <c r="B1210" s="608" t="s">
        <v>1879</v>
      </c>
      <c r="C1210" s="608" t="s">
        <v>2</v>
      </c>
      <c r="D1210" s="609">
        <v>0</v>
      </c>
      <c r="E1210" s="609">
        <v>0</v>
      </c>
      <c r="F1210" s="609">
        <v>0</v>
      </c>
      <c r="G1210" s="609">
        <v>0</v>
      </c>
      <c r="H1210" s="609">
        <v>124</v>
      </c>
      <c r="I1210" s="609">
        <v>0</v>
      </c>
      <c r="J1210" s="609">
        <v>124</v>
      </c>
      <c r="K1210" s="609">
        <v>127</v>
      </c>
      <c r="L1210" s="609">
        <v>0</v>
      </c>
      <c r="M1210" s="609">
        <v>0</v>
      </c>
      <c r="N1210" s="587">
        <f t="shared" si="131"/>
        <v>127</v>
      </c>
      <c r="P1210" s="490">
        <f t="shared" si="139"/>
        <v>3</v>
      </c>
      <c r="Q1210" t="str">
        <f t="shared" si="132"/>
        <v>50650</v>
      </c>
      <c r="R1210" s="126" t="str">
        <f t="shared" si="133"/>
        <v>RETIREMENT</v>
      </c>
      <c r="S1210" s="125" t="str">
        <f t="shared" si="134"/>
        <v>112</v>
      </c>
      <c r="T1210" s="125" t="str">
        <f t="shared" si="135"/>
        <v>62</v>
      </c>
      <c r="U1210" s="125" t="str">
        <f t="shared" si="136"/>
        <v>623</v>
      </c>
      <c r="V1210" s="125" t="str">
        <f>VLOOKUP(Q1210,'GL Category'!A:C,3,FALSE)</f>
        <v>Personnel services</v>
      </c>
      <c r="X1210" s="83"/>
    </row>
    <row r="1211" spans="1:24" ht="20.399999999999999" customHeight="1">
      <c r="A1211" s="608" t="s">
        <v>1026</v>
      </c>
      <c r="B1211" s="608" t="s">
        <v>1884</v>
      </c>
      <c r="C1211" s="608" t="s">
        <v>326</v>
      </c>
      <c r="D1211" s="609">
        <v>1141.0899999999999</v>
      </c>
      <c r="E1211" s="609">
        <v>56.98</v>
      </c>
      <c r="F1211" s="609">
        <v>58371.360000000001</v>
      </c>
      <c r="G1211" s="609">
        <v>54102.22</v>
      </c>
      <c r="H1211" s="609">
        <v>63610</v>
      </c>
      <c r="I1211" s="609">
        <v>34965.26</v>
      </c>
      <c r="J1211" s="609">
        <v>38610</v>
      </c>
      <c r="K1211" s="609">
        <v>58799</v>
      </c>
      <c r="L1211" s="609">
        <v>0</v>
      </c>
      <c r="M1211" s="609">
        <v>0</v>
      </c>
      <c r="N1211" s="587">
        <f t="shared" si="131"/>
        <v>58799</v>
      </c>
      <c r="P1211" s="490">
        <f t="shared" si="139"/>
        <v>-4811</v>
      </c>
      <c r="Q1211" t="str">
        <f t="shared" si="132"/>
        <v>54560</v>
      </c>
      <c r="R1211" s="126" t="str">
        <f t="shared" si="133"/>
        <v>EXPENDITURES-SR SVS TRIPS</v>
      </c>
      <c r="S1211" s="125" t="str">
        <f t="shared" si="134"/>
        <v>112</v>
      </c>
      <c r="T1211" s="125" t="str">
        <f t="shared" si="135"/>
        <v>62</v>
      </c>
      <c r="U1211" s="125" t="str">
        <f t="shared" si="136"/>
        <v>623</v>
      </c>
      <c r="V1211" s="125" t="str">
        <f>VLOOKUP(Q1211,'GL Category'!A:C,3,FALSE)</f>
        <v>Services &amp; other</v>
      </c>
      <c r="X1211" s="83"/>
    </row>
    <row r="1212" spans="1:24" ht="20.399999999999999" customHeight="1">
      <c r="A1212" s="608" t="s">
        <v>1026</v>
      </c>
      <c r="B1212" s="608" t="s">
        <v>3393</v>
      </c>
      <c r="C1212" s="608" t="s">
        <v>205</v>
      </c>
      <c r="D1212" s="609">
        <v>0</v>
      </c>
      <c r="E1212" s="609">
        <v>0</v>
      </c>
      <c r="F1212" s="609">
        <v>0</v>
      </c>
      <c r="G1212" s="609">
        <v>9</v>
      </c>
      <c r="H1212" s="609">
        <v>0</v>
      </c>
      <c r="I1212" s="609">
        <v>0</v>
      </c>
      <c r="J1212" s="609">
        <v>0</v>
      </c>
      <c r="K1212" s="609">
        <v>0</v>
      </c>
      <c r="L1212" s="609">
        <v>0</v>
      </c>
      <c r="M1212" s="609">
        <v>0</v>
      </c>
      <c r="N1212" s="587">
        <f t="shared" si="131"/>
        <v>0</v>
      </c>
      <c r="P1212" s="490">
        <f t="shared" si="139"/>
        <v>0</v>
      </c>
      <c r="Q1212" t="str">
        <f t="shared" si="132"/>
        <v>53550</v>
      </c>
      <c r="R1212" s="126" t="str">
        <f t="shared" si="133"/>
        <v>BAD DEBT EXPENSE</v>
      </c>
      <c r="S1212" s="125" t="str">
        <f t="shared" si="134"/>
        <v>112</v>
      </c>
      <c r="T1212" s="125" t="str">
        <f t="shared" si="135"/>
        <v>63</v>
      </c>
      <c r="U1212" s="125" t="str">
        <f t="shared" si="136"/>
        <v>631</v>
      </c>
      <c r="V1212" s="125" t="str">
        <f>VLOOKUP(Q1212,'GL Category'!A:C,3,FALSE)</f>
        <v>Services &amp; other</v>
      </c>
      <c r="X1212" s="83"/>
    </row>
    <row r="1213" spans="1:24" ht="20.399999999999999" customHeight="1">
      <c r="A1213" s="608" t="s">
        <v>1026</v>
      </c>
      <c r="B1213" s="608" t="s">
        <v>1860</v>
      </c>
      <c r="C1213" s="608" t="s">
        <v>317</v>
      </c>
      <c r="D1213" s="609">
        <v>0</v>
      </c>
      <c r="E1213" s="609">
        <v>0</v>
      </c>
      <c r="F1213" s="609">
        <v>0</v>
      </c>
      <c r="G1213" s="609">
        <v>0</v>
      </c>
      <c r="H1213" s="609">
        <v>0</v>
      </c>
      <c r="I1213" s="609">
        <v>0</v>
      </c>
      <c r="J1213" s="609">
        <v>0</v>
      </c>
      <c r="K1213" s="609">
        <v>0</v>
      </c>
      <c r="L1213" s="609">
        <v>0</v>
      </c>
      <c r="M1213" s="609">
        <v>0</v>
      </c>
      <c r="N1213" s="587">
        <f t="shared" si="131"/>
        <v>0</v>
      </c>
      <c r="P1213" s="490">
        <f t="shared" si="139"/>
        <v>0</v>
      </c>
      <c r="Q1213" t="str">
        <f t="shared" si="132"/>
        <v>54557</v>
      </c>
      <c r="R1213" s="126" t="str">
        <f t="shared" si="133"/>
        <v>EXPENDITURES-UTILITY BILLING</v>
      </c>
      <c r="S1213" s="125" t="str">
        <f t="shared" si="134"/>
        <v>112</v>
      </c>
      <c r="T1213" s="125" t="str">
        <f t="shared" si="135"/>
        <v>63</v>
      </c>
      <c r="U1213" s="125" t="str">
        <f t="shared" si="136"/>
        <v>631</v>
      </c>
      <c r="V1213" s="125" t="str">
        <f>VLOOKUP(Q1213,'GL Category'!A:C,3,FALSE)</f>
        <v>Services &amp; other</v>
      </c>
      <c r="X1213" s="83"/>
    </row>
    <row r="1214" spans="1:24" ht="20.399999999999999" customHeight="1">
      <c r="A1214" s="608" t="s">
        <v>1026</v>
      </c>
      <c r="B1214" s="608" t="s">
        <v>3394</v>
      </c>
      <c r="C1214" s="608" t="s">
        <v>344</v>
      </c>
      <c r="D1214" s="609">
        <v>0</v>
      </c>
      <c r="E1214" s="609">
        <v>0</v>
      </c>
      <c r="F1214" s="609">
        <v>0</v>
      </c>
      <c r="G1214" s="609">
        <v>250</v>
      </c>
      <c r="H1214" s="609">
        <v>0</v>
      </c>
      <c r="I1214" s="609">
        <v>235</v>
      </c>
      <c r="J1214" s="609">
        <v>0</v>
      </c>
      <c r="K1214" s="609">
        <v>0</v>
      </c>
      <c r="L1214" s="609">
        <v>0</v>
      </c>
      <c r="M1214" s="609">
        <v>0</v>
      </c>
      <c r="N1214" s="587">
        <f t="shared" si="131"/>
        <v>0</v>
      </c>
      <c r="P1214" s="490">
        <f t="shared" si="139"/>
        <v>0</v>
      </c>
      <c r="Q1214" t="str">
        <f t="shared" si="132"/>
        <v>51282</v>
      </c>
      <c r="R1214" s="126" t="str">
        <f t="shared" si="133"/>
        <v>COST OF GOODS SOLD</v>
      </c>
      <c r="S1214" s="125" t="str">
        <f t="shared" si="134"/>
        <v>112</v>
      </c>
      <c r="T1214" s="125" t="str">
        <f t="shared" si="135"/>
        <v>63</v>
      </c>
      <c r="U1214" s="125" t="str">
        <f t="shared" si="136"/>
        <v>633</v>
      </c>
      <c r="V1214" s="125" t="str">
        <f>VLOOKUP(Q1214,'GL Category'!A:C,3,FALSE)</f>
        <v>Operations &amp; maintenance</v>
      </c>
      <c r="X1214" s="83"/>
    </row>
    <row r="1215" spans="1:24" ht="20.399999999999999" customHeight="1">
      <c r="A1215" s="608" t="s">
        <v>1026</v>
      </c>
      <c r="B1215" s="608" t="s">
        <v>1909</v>
      </c>
      <c r="C1215" s="608" t="s">
        <v>238</v>
      </c>
      <c r="D1215" s="609">
        <v>2287.5</v>
      </c>
      <c r="E1215" s="609">
        <v>0</v>
      </c>
      <c r="F1215" s="609">
        <v>0</v>
      </c>
      <c r="G1215" s="609">
        <v>0</v>
      </c>
      <c r="H1215" s="609">
        <v>0</v>
      </c>
      <c r="I1215" s="609">
        <v>0</v>
      </c>
      <c r="J1215" s="609">
        <v>0</v>
      </c>
      <c r="K1215" s="609">
        <v>0</v>
      </c>
      <c r="L1215" s="609">
        <v>0</v>
      </c>
      <c r="M1215" s="609">
        <v>0</v>
      </c>
      <c r="N1215" s="587">
        <f t="shared" si="131"/>
        <v>0</v>
      </c>
      <c r="P1215" s="490">
        <f t="shared" si="139"/>
        <v>0</v>
      </c>
      <c r="Q1215" t="str">
        <f t="shared" si="132"/>
        <v>53599</v>
      </c>
      <c r="R1215" s="126" t="str">
        <f t="shared" si="133"/>
        <v>MISCELLANEOUS SERVICES</v>
      </c>
      <c r="S1215" s="125" t="str">
        <f t="shared" si="134"/>
        <v>112</v>
      </c>
      <c r="T1215" s="125" t="str">
        <f t="shared" si="135"/>
        <v>64</v>
      </c>
      <c r="U1215" s="125" t="str">
        <f t="shared" si="136"/>
        <v>642</v>
      </c>
      <c r="V1215" s="125" t="str">
        <f>VLOOKUP(Q1215,'GL Category'!A:C,3,FALSE)</f>
        <v>Services &amp; other</v>
      </c>
      <c r="X1215" s="83"/>
    </row>
    <row r="1216" spans="1:24" ht="20.399999999999999" customHeight="1">
      <c r="A1216" s="608" t="s">
        <v>1026</v>
      </c>
      <c r="B1216" s="608" t="s">
        <v>3413</v>
      </c>
      <c r="C1216" s="608" t="s">
        <v>992</v>
      </c>
      <c r="D1216" s="609">
        <v>0</v>
      </c>
      <c r="E1216" s="609">
        <v>0</v>
      </c>
      <c r="F1216" s="609">
        <v>0</v>
      </c>
      <c r="G1216" s="609">
        <v>0</v>
      </c>
      <c r="H1216" s="609">
        <v>0</v>
      </c>
      <c r="I1216" s="609">
        <v>0</v>
      </c>
      <c r="J1216" s="609">
        <v>0</v>
      </c>
      <c r="K1216" s="609">
        <v>0</v>
      </c>
      <c r="L1216" s="609">
        <v>0</v>
      </c>
      <c r="M1216" s="609">
        <v>0</v>
      </c>
      <c r="N1216" s="587">
        <f t="shared" si="131"/>
        <v>0</v>
      </c>
      <c r="P1216" s="490">
        <f t="shared" si="139"/>
        <v>0</v>
      </c>
      <c r="Q1216" t="str">
        <f t="shared" si="132"/>
        <v>54551</v>
      </c>
      <c r="R1216" s="126" t="str">
        <f t="shared" si="133"/>
        <v>REC SPECIAL EVENT EXPENSE</v>
      </c>
      <c r="S1216" s="125" t="str">
        <f t="shared" si="134"/>
        <v>112</v>
      </c>
      <c r="T1216" s="125" t="str">
        <f t="shared" si="135"/>
        <v>64</v>
      </c>
      <c r="U1216" s="125" t="str">
        <f t="shared" si="136"/>
        <v>642</v>
      </c>
      <c r="V1216" s="125" t="str">
        <f>VLOOKUP(Q1216,'GL Category'!A:C,3,FALSE)</f>
        <v>Services &amp; other</v>
      </c>
      <c r="X1216" s="83"/>
    </row>
    <row r="1217" spans="1:24" ht="20.399999999999999" customHeight="1">
      <c r="A1217" s="608" t="s">
        <v>1026</v>
      </c>
      <c r="B1217" s="608" t="s">
        <v>1911</v>
      </c>
      <c r="C1217" s="608" t="s">
        <v>330</v>
      </c>
      <c r="D1217" s="609">
        <v>393.55</v>
      </c>
      <c r="E1217" s="609">
        <v>765.62</v>
      </c>
      <c r="F1217" s="609">
        <v>496.62</v>
      </c>
      <c r="G1217" s="609">
        <v>521.07000000000005</v>
      </c>
      <c r="H1217" s="609">
        <v>0</v>
      </c>
      <c r="I1217" s="609">
        <v>818</v>
      </c>
      <c r="J1217" s="609">
        <v>0</v>
      </c>
      <c r="K1217" s="609">
        <v>1000</v>
      </c>
      <c r="L1217" s="609">
        <v>0</v>
      </c>
      <c r="M1217" s="609">
        <v>0</v>
      </c>
      <c r="N1217" s="587">
        <f t="shared" si="131"/>
        <v>1000</v>
      </c>
      <c r="P1217" s="490">
        <f t="shared" si="139"/>
        <v>1000</v>
      </c>
      <c r="Q1217" t="str">
        <f t="shared" si="132"/>
        <v>54555</v>
      </c>
      <c r="R1217" s="126" t="str">
        <f t="shared" si="133"/>
        <v>EXPENDITURES-VETERANS MEMORIAL</v>
      </c>
      <c r="S1217" s="125" t="str">
        <f t="shared" si="134"/>
        <v>112</v>
      </c>
      <c r="T1217" s="125" t="str">
        <f t="shared" si="135"/>
        <v>64</v>
      </c>
      <c r="U1217" s="125" t="str">
        <f t="shared" si="136"/>
        <v>642</v>
      </c>
      <c r="V1217" s="125" t="str">
        <f>VLOOKUP(Q1217,'GL Category'!A:C,3,FALSE)</f>
        <v>Services &amp; other</v>
      </c>
      <c r="X1217" s="83"/>
    </row>
    <row r="1218" spans="1:24" ht="20.399999999999999" customHeight="1">
      <c r="A1218" s="608" t="s">
        <v>1026</v>
      </c>
      <c r="B1218" s="608" t="s">
        <v>1912</v>
      </c>
      <c r="C1218" s="608" t="s">
        <v>332</v>
      </c>
      <c r="D1218" s="609">
        <v>0</v>
      </c>
      <c r="E1218" s="609">
        <v>0</v>
      </c>
      <c r="F1218" s="609">
        <v>0</v>
      </c>
      <c r="G1218" s="609">
        <v>3141.75</v>
      </c>
      <c r="H1218" s="609">
        <v>0</v>
      </c>
      <c r="I1218" s="609">
        <v>-1390</v>
      </c>
      <c r="J1218" s="609">
        <v>0</v>
      </c>
      <c r="K1218" s="609">
        <v>0</v>
      </c>
      <c r="L1218" s="609">
        <v>0</v>
      </c>
      <c r="M1218" s="609">
        <v>0</v>
      </c>
      <c r="N1218" s="587">
        <f t="shared" si="131"/>
        <v>0</v>
      </c>
      <c r="P1218" s="490">
        <f t="shared" si="139"/>
        <v>0</v>
      </c>
      <c r="Q1218" t="str">
        <f t="shared" si="132"/>
        <v>54556</v>
      </c>
      <c r="R1218" s="126" t="str">
        <f t="shared" si="133"/>
        <v>EXPENDITURES-PARKS DONATIONS</v>
      </c>
      <c r="S1218" s="125" t="str">
        <f t="shared" si="134"/>
        <v>112</v>
      </c>
      <c r="T1218" s="125" t="str">
        <f t="shared" si="135"/>
        <v>64</v>
      </c>
      <c r="U1218" s="125" t="str">
        <f t="shared" si="136"/>
        <v>642</v>
      </c>
      <c r="V1218" s="125" t="str">
        <f>VLOOKUP(Q1218,'GL Category'!A:C,3,FALSE)</f>
        <v>Services &amp; other</v>
      </c>
      <c r="X1218" s="83"/>
    </row>
    <row r="1219" spans="1:24" ht="20.399999999999999" customHeight="1">
      <c r="A1219" s="608" t="s">
        <v>1026</v>
      </c>
      <c r="B1219" s="608" t="s">
        <v>1902</v>
      </c>
      <c r="C1219" s="608" t="s">
        <v>992</v>
      </c>
      <c r="D1219" s="609">
        <v>61010.48</v>
      </c>
      <c r="E1219" s="609">
        <v>68333.73</v>
      </c>
      <c r="F1219" s="609">
        <v>120182.36</v>
      </c>
      <c r="G1219" s="609">
        <v>170857.09</v>
      </c>
      <c r="H1219" s="609">
        <v>208000</v>
      </c>
      <c r="I1219" s="609">
        <v>154181.42000000001</v>
      </c>
      <c r="J1219" s="609">
        <v>200000</v>
      </c>
      <c r="K1219" s="609">
        <v>208000</v>
      </c>
      <c r="L1219" s="609">
        <v>0</v>
      </c>
      <c r="M1219" s="609">
        <v>0</v>
      </c>
      <c r="N1219" s="587">
        <f t="shared" si="131"/>
        <v>208000</v>
      </c>
      <c r="P1219" s="490">
        <f t="shared" si="139"/>
        <v>0</v>
      </c>
      <c r="Q1219" t="str">
        <f t="shared" si="132"/>
        <v>54551</v>
      </c>
      <c r="R1219" s="126" t="str">
        <f t="shared" si="133"/>
        <v>REC SPECIAL EVENT EXPENSE</v>
      </c>
      <c r="S1219" s="125" t="str">
        <f t="shared" si="134"/>
        <v>112</v>
      </c>
      <c r="T1219" s="125" t="str">
        <f t="shared" si="135"/>
        <v>64</v>
      </c>
      <c r="U1219" s="125" t="str">
        <f t="shared" si="136"/>
        <v>643</v>
      </c>
      <c r="V1219" s="125" t="str">
        <f>VLOOKUP(Q1219,'GL Category'!A:C,3,FALSE)</f>
        <v>Services &amp; other</v>
      </c>
      <c r="X1219" s="83"/>
    </row>
    <row r="1220" spans="1:24" ht="20.399999999999999" customHeight="1">
      <c r="A1220" s="608" t="s">
        <v>1026</v>
      </c>
      <c r="B1220" s="608" t="s">
        <v>1905</v>
      </c>
      <c r="C1220" s="608" t="s">
        <v>3156</v>
      </c>
      <c r="D1220" s="609">
        <v>0</v>
      </c>
      <c r="E1220" s="609">
        <v>0</v>
      </c>
      <c r="F1220" s="609">
        <v>0</v>
      </c>
      <c r="G1220" s="609">
        <v>0</v>
      </c>
      <c r="H1220" s="609">
        <v>0</v>
      </c>
      <c r="I1220" s="609">
        <v>0</v>
      </c>
      <c r="J1220" s="609">
        <v>0</v>
      </c>
      <c r="K1220" s="609">
        <v>0</v>
      </c>
      <c r="L1220" s="609">
        <v>0</v>
      </c>
      <c r="M1220" s="609">
        <v>0</v>
      </c>
      <c r="N1220" s="587">
        <f t="shared" ref="N1220:N1283" si="140">SUM(K1220:M1220)</f>
        <v>0</v>
      </c>
      <c r="Q1220" t="str">
        <f t="shared" ref="Q1220:Q1283" si="141">MID(B1220,12,5)</f>
        <v>54559</v>
      </c>
      <c r="R1220" s="126" t="str">
        <f t="shared" ref="R1220:R1283" si="142">C1220</f>
        <v>TAAF SWIMMING</v>
      </c>
      <c r="S1220" s="125" t="str">
        <f t="shared" ref="S1220:S1283" si="143">LEFT(B1220,3)</f>
        <v>112</v>
      </c>
      <c r="T1220" s="125" t="str">
        <f t="shared" ref="T1220:T1283" si="144">MID(B1220,5,2)</f>
        <v>64</v>
      </c>
      <c r="U1220" s="125" t="str">
        <f t="shared" ref="U1220:U1283" si="145">MID(B1220,8,3)</f>
        <v>643</v>
      </c>
      <c r="V1220" s="125" t="str">
        <f>VLOOKUP(Q1220,'GL Category'!A:C,3,FALSE)</f>
        <v>Services &amp; other</v>
      </c>
      <c r="X1220" s="83"/>
    </row>
    <row r="1221" spans="1:24" ht="20.399999999999999" customHeight="1">
      <c r="A1221" s="608" t="s">
        <v>1027</v>
      </c>
      <c r="B1221" s="608" t="s">
        <v>3366</v>
      </c>
      <c r="C1221" s="608" t="s">
        <v>238</v>
      </c>
      <c r="D1221" s="609">
        <v>0</v>
      </c>
      <c r="E1221" s="609">
        <v>0</v>
      </c>
      <c r="F1221" s="609">
        <v>0</v>
      </c>
      <c r="G1221" s="609">
        <v>0</v>
      </c>
      <c r="H1221" s="609">
        <v>40466</v>
      </c>
      <c r="I1221" s="609">
        <v>0</v>
      </c>
      <c r="J1221" s="609">
        <v>40466</v>
      </c>
      <c r="K1221" s="609">
        <v>43462</v>
      </c>
      <c r="L1221" s="609">
        <v>0</v>
      </c>
      <c r="M1221" s="609">
        <v>0</v>
      </c>
      <c r="N1221" s="587">
        <f t="shared" si="140"/>
        <v>43462</v>
      </c>
      <c r="Q1221" t="str">
        <f t="shared" si="141"/>
        <v>53599</v>
      </c>
      <c r="R1221" s="126" t="str">
        <f t="shared" si="142"/>
        <v>MISCELLANEOUS SERVICES</v>
      </c>
      <c r="S1221" s="125" t="str">
        <f t="shared" si="143"/>
        <v>114</v>
      </c>
      <c r="T1221" s="125" t="str">
        <f t="shared" si="144"/>
        <v>16</v>
      </c>
      <c r="U1221" s="125" t="str">
        <f t="shared" si="145"/>
        <v>161</v>
      </c>
      <c r="V1221" s="125" t="str">
        <f>VLOOKUP(Q1221,'GL Category'!A:C,3,FALSE)</f>
        <v>Services &amp; other</v>
      </c>
      <c r="X1221" s="83"/>
    </row>
    <row r="1222" spans="1:24" ht="20.399999999999999" customHeight="1">
      <c r="A1222" s="608" t="s">
        <v>1027</v>
      </c>
      <c r="B1222" s="608" t="s">
        <v>1940</v>
      </c>
      <c r="C1222" s="608" t="s">
        <v>238</v>
      </c>
      <c r="D1222" s="609">
        <v>38129</v>
      </c>
      <c r="E1222" s="609">
        <v>0</v>
      </c>
      <c r="F1222" s="609">
        <v>0</v>
      </c>
      <c r="G1222" s="609">
        <v>0</v>
      </c>
      <c r="H1222" s="609">
        <v>0</v>
      </c>
      <c r="I1222" s="609">
        <v>0</v>
      </c>
      <c r="J1222" s="609">
        <v>0</v>
      </c>
      <c r="K1222" s="609">
        <v>0</v>
      </c>
      <c r="L1222" s="609">
        <v>0</v>
      </c>
      <c r="M1222" s="609">
        <v>0</v>
      </c>
      <c r="N1222" s="587">
        <f t="shared" si="140"/>
        <v>0</v>
      </c>
      <c r="Q1222" t="str">
        <f t="shared" si="141"/>
        <v>53599</v>
      </c>
      <c r="R1222" s="126" t="str">
        <f t="shared" si="142"/>
        <v>MISCELLANEOUS SERVICES</v>
      </c>
      <c r="S1222" s="125" t="str">
        <f t="shared" si="143"/>
        <v>114</v>
      </c>
      <c r="T1222" s="125" t="str">
        <f t="shared" si="144"/>
        <v>16</v>
      </c>
      <c r="U1222" s="125" t="str">
        <f t="shared" si="145"/>
        <v>162</v>
      </c>
      <c r="V1222" s="125" t="str">
        <f>VLOOKUP(Q1222,'GL Category'!A:C,3,FALSE)</f>
        <v>Services &amp; other</v>
      </c>
      <c r="X1222" s="83"/>
    </row>
    <row r="1223" spans="1:24" ht="20.399999999999999" customHeight="1">
      <c r="A1223" s="608" t="s">
        <v>1027</v>
      </c>
      <c r="B1223" s="608" t="s">
        <v>1941</v>
      </c>
      <c r="C1223" s="608" t="s">
        <v>238</v>
      </c>
      <c r="D1223" s="609">
        <v>0</v>
      </c>
      <c r="E1223" s="609">
        <v>12506.56</v>
      </c>
      <c r="F1223" s="609">
        <v>0</v>
      </c>
      <c r="G1223" s="609">
        <v>0</v>
      </c>
      <c r="H1223" s="609">
        <v>0</v>
      </c>
      <c r="I1223" s="609">
        <v>0</v>
      </c>
      <c r="J1223" s="609">
        <v>0</v>
      </c>
      <c r="K1223" s="609">
        <v>0</v>
      </c>
      <c r="L1223" s="609">
        <v>0</v>
      </c>
      <c r="M1223" s="609">
        <v>0</v>
      </c>
      <c r="N1223" s="587">
        <f t="shared" si="140"/>
        <v>0</v>
      </c>
      <c r="Q1223" t="str">
        <f t="shared" si="141"/>
        <v>53599</v>
      </c>
      <c r="R1223" s="126" t="str">
        <f t="shared" si="142"/>
        <v>MISCELLANEOUS SERVICES</v>
      </c>
      <c r="S1223" s="125" t="str">
        <f t="shared" si="143"/>
        <v>114</v>
      </c>
      <c r="T1223" s="125" t="str">
        <f t="shared" si="144"/>
        <v>16</v>
      </c>
      <c r="U1223" s="125" t="str">
        <f t="shared" si="145"/>
        <v>163</v>
      </c>
      <c r="V1223" s="125" t="str">
        <f>VLOOKUP(Q1223,'GL Category'!A:C,3,FALSE)</f>
        <v>Services &amp; other</v>
      </c>
      <c r="X1223" s="83"/>
    </row>
    <row r="1224" spans="1:24" ht="20.399999999999999" customHeight="1">
      <c r="A1224" s="608" t="s">
        <v>1027</v>
      </c>
      <c r="B1224" s="608" t="s">
        <v>3403</v>
      </c>
      <c r="C1224" s="608" t="s">
        <v>238</v>
      </c>
      <c r="D1224" s="609">
        <v>0</v>
      </c>
      <c r="E1224" s="609">
        <v>0</v>
      </c>
      <c r="F1224" s="609">
        <v>0</v>
      </c>
      <c r="G1224" s="609">
        <v>27402</v>
      </c>
      <c r="H1224" s="609">
        <v>0</v>
      </c>
      <c r="I1224" s="609">
        <v>22576</v>
      </c>
      <c r="J1224" s="609">
        <v>0</v>
      </c>
      <c r="K1224" s="609">
        <v>0</v>
      </c>
      <c r="L1224" s="609">
        <v>0</v>
      </c>
      <c r="M1224" s="609">
        <v>0</v>
      </c>
      <c r="N1224" s="587">
        <f t="shared" si="140"/>
        <v>0</v>
      </c>
      <c r="P1224" s="490">
        <f>N1224-H1224</f>
        <v>0</v>
      </c>
      <c r="Q1224" t="str">
        <f t="shared" si="141"/>
        <v>53599</v>
      </c>
      <c r="R1224" s="126" t="str">
        <f t="shared" si="142"/>
        <v>MISCELLANEOUS SERVICES</v>
      </c>
      <c r="S1224" s="125" t="str">
        <f t="shared" si="143"/>
        <v>114</v>
      </c>
      <c r="T1224" s="125" t="str">
        <f t="shared" si="144"/>
        <v>16</v>
      </c>
      <c r="U1224" s="125" t="str">
        <f t="shared" si="145"/>
        <v>164</v>
      </c>
      <c r="V1224" s="125" t="str">
        <f>VLOOKUP(Q1224,'GL Category'!A:C,3,FALSE)</f>
        <v>Services &amp; other</v>
      </c>
      <c r="X1224" s="83"/>
    </row>
    <row r="1225" spans="1:24" ht="20.399999999999999" customHeight="1">
      <c r="A1225" s="608" t="s">
        <v>1027</v>
      </c>
      <c r="B1225" s="608" t="s">
        <v>1931</v>
      </c>
      <c r="C1225" s="608" t="s">
        <v>238</v>
      </c>
      <c r="D1225" s="609">
        <v>8878.77</v>
      </c>
      <c r="E1225" s="609">
        <v>54522.17</v>
      </c>
      <c r="F1225" s="609">
        <v>36868</v>
      </c>
      <c r="G1225" s="609">
        <v>0</v>
      </c>
      <c r="H1225" s="609">
        <v>15000</v>
      </c>
      <c r="I1225" s="609">
        <v>0</v>
      </c>
      <c r="J1225" s="609">
        <v>15000</v>
      </c>
      <c r="K1225" s="609">
        <v>15000</v>
      </c>
      <c r="L1225" s="609">
        <v>0</v>
      </c>
      <c r="M1225" s="609">
        <v>0</v>
      </c>
      <c r="N1225" s="587">
        <f t="shared" si="140"/>
        <v>15000</v>
      </c>
      <c r="Q1225" t="str">
        <f t="shared" si="141"/>
        <v>53599</v>
      </c>
      <c r="R1225" s="126" t="str">
        <f t="shared" si="142"/>
        <v>MISCELLANEOUS SERVICES</v>
      </c>
      <c r="S1225" s="125" t="str">
        <f t="shared" si="143"/>
        <v>114</v>
      </c>
      <c r="T1225" s="125" t="str">
        <f t="shared" si="144"/>
        <v>16</v>
      </c>
      <c r="U1225" s="125" t="str">
        <f t="shared" si="145"/>
        <v>165</v>
      </c>
      <c r="V1225" s="125" t="str">
        <f>VLOOKUP(Q1225,'GL Category'!A:C,3,FALSE)</f>
        <v>Services &amp; other</v>
      </c>
      <c r="X1225" s="83"/>
    </row>
    <row r="1226" spans="1:24" ht="20.399999999999999" customHeight="1">
      <c r="A1226" s="608" t="s">
        <v>1027</v>
      </c>
      <c r="B1226" s="608" t="s">
        <v>1934</v>
      </c>
      <c r="C1226" s="608" t="s">
        <v>149</v>
      </c>
      <c r="D1226" s="609">
        <v>25784</v>
      </c>
      <c r="E1226" s="609">
        <v>0</v>
      </c>
      <c r="F1226" s="609">
        <v>0</v>
      </c>
      <c r="G1226" s="609">
        <v>0</v>
      </c>
      <c r="H1226" s="609">
        <v>0</v>
      </c>
      <c r="I1226" s="609">
        <v>0</v>
      </c>
      <c r="J1226" s="609">
        <v>0</v>
      </c>
      <c r="K1226" s="609">
        <v>0</v>
      </c>
      <c r="L1226" s="609">
        <v>0</v>
      </c>
      <c r="M1226" s="609">
        <v>0</v>
      </c>
      <c r="N1226" s="587">
        <f t="shared" si="140"/>
        <v>0</v>
      </c>
      <c r="Q1226" t="str">
        <f t="shared" si="141"/>
        <v>51210</v>
      </c>
      <c r="R1226" s="126" t="str">
        <f t="shared" si="142"/>
        <v>OFFICE SUPPLIES</v>
      </c>
      <c r="S1226" s="125" t="str">
        <f t="shared" si="143"/>
        <v>114</v>
      </c>
      <c r="T1226" s="125" t="str">
        <f t="shared" si="144"/>
        <v>16</v>
      </c>
      <c r="U1226" s="125" t="str">
        <f t="shared" si="145"/>
        <v>166</v>
      </c>
      <c r="V1226" s="125" t="str">
        <f>VLOOKUP(Q1226,'GL Category'!A:C,3,FALSE)</f>
        <v>Operations &amp; maintenance</v>
      </c>
      <c r="X1226" s="83"/>
    </row>
    <row r="1227" spans="1:24" ht="20.399999999999999" customHeight="1">
      <c r="A1227" s="608" t="s">
        <v>1027</v>
      </c>
      <c r="B1227" s="608" t="s">
        <v>1933</v>
      </c>
      <c r="C1227" s="608" t="s">
        <v>177</v>
      </c>
      <c r="D1227" s="609">
        <v>2900</v>
      </c>
      <c r="E1227" s="609">
        <v>2900</v>
      </c>
      <c r="F1227" s="609">
        <v>2900</v>
      </c>
      <c r="G1227" s="609">
        <v>0</v>
      </c>
      <c r="H1227" s="609">
        <v>0</v>
      </c>
      <c r="I1227" s="609">
        <v>0</v>
      </c>
      <c r="J1227" s="609">
        <v>0</v>
      </c>
      <c r="K1227" s="609">
        <v>0</v>
      </c>
      <c r="L1227" s="609">
        <v>0</v>
      </c>
      <c r="M1227" s="609">
        <v>0</v>
      </c>
      <c r="N1227" s="587">
        <f t="shared" si="140"/>
        <v>0</v>
      </c>
      <c r="Q1227" t="str">
        <f t="shared" si="141"/>
        <v>52480</v>
      </c>
      <c r="R1227" s="126" t="str">
        <f t="shared" si="142"/>
        <v>OFFICE EQUIPMENT MAINTENANCE</v>
      </c>
      <c r="S1227" s="125" t="str">
        <f t="shared" si="143"/>
        <v>114</v>
      </c>
      <c r="T1227" s="125" t="str">
        <f t="shared" si="144"/>
        <v>16</v>
      </c>
      <c r="U1227" s="125" t="str">
        <f t="shared" si="145"/>
        <v>166</v>
      </c>
      <c r="V1227" s="125" t="str">
        <f>VLOOKUP(Q1227,'GL Category'!A:C,3,FALSE)</f>
        <v>Operations &amp; maintenance</v>
      </c>
      <c r="X1227" s="83"/>
    </row>
    <row r="1228" spans="1:24" ht="20.399999999999999" customHeight="1">
      <c r="A1228" s="608" t="s">
        <v>3147</v>
      </c>
      <c r="B1228" s="608" t="s">
        <v>1799</v>
      </c>
      <c r="C1228" s="608" t="s">
        <v>5</v>
      </c>
      <c r="D1228" s="609">
        <v>3721.19</v>
      </c>
      <c r="E1228" s="609">
        <v>0</v>
      </c>
      <c r="F1228" s="609">
        <v>0</v>
      </c>
      <c r="G1228" s="609">
        <v>0</v>
      </c>
      <c r="H1228" s="609">
        <v>0</v>
      </c>
      <c r="I1228" s="609">
        <v>0</v>
      </c>
      <c r="J1228" s="609">
        <v>0</v>
      </c>
      <c r="K1228" s="609">
        <v>0</v>
      </c>
      <c r="L1228" s="609">
        <v>0</v>
      </c>
      <c r="M1228" s="609">
        <v>0</v>
      </c>
      <c r="N1228" s="587">
        <f t="shared" si="140"/>
        <v>0</v>
      </c>
      <c r="Q1228" t="str">
        <f t="shared" si="141"/>
        <v>51226</v>
      </c>
      <c r="R1228" s="126" t="str">
        <f t="shared" si="142"/>
        <v>MEDICAL SUPPLIES</v>
      </c>
      <c r="S1228" s="125" t="str">
        <f t="shared" si="143"/>
        <v>115</v>
      </c>
      <c r="T1228" s="125" t="str">
        <f t="shared" si="144"/>
        <v>19</v>
      </c>
      <c r="U1228" s="125" t="str">
        <f t="shared" si="145"/>
        <v>196</v>
      </c>
      <c r="V1228" s="125" t="str">
        <f>VLOOKUP(Q1228,'GL Category'!A:C,3,FALSE)</f>
        <v>Operations &amp; maintenance</v>
      </c>
      <c r="X1228" s="83"/>
    </row>
    <row r="1229" spans="1:24" ht="20.399999999999999" customHeight="1">
      <c r="A1229" s="608" t="s">
        <v>3147</v>
      </c>
      <c r="B1229" s="608" t="s">
        <v>1801</v>
      </c>
      <c r="C1229" s="608" t="s">
        <v>0</v>
      </c>
      <c r="D1229" s="609">
        <v>205.88</v>
      </c>
      <c r="E1229" s="609">
        <v>946.61</v>
      </c>
      <c r="F1229" s="609">
        <v>1044.76</v>
      </c>
      <c r="G1229" s="609">
        <v>0</v>
      </c>
      <c r="H1229" s="609">
        <v>0</v>
      </c>
      <c r="I1229" s="609">
        <v>0</v>
      </c>
      <c r="J1229" s="609">
        <v>0</v>
      </c>
      <c r="K1229" s="609">
        <v>0</v>
      </c>
      <c r="L1229" s="609">
        <v>0</v>
      </c>
      <c r="M1229" s="609">
        <v>0</v>
      </c>
      <c r="N1229" s="587">
        <f t="shared" si="140"/>
        <v>0</v>
      </c>
      <c r="Q1229" t="str">
        <f t="shared" si="141"/>
        <v>50109</v>
      </c>
      <c r="R1229" s="126" t="str">
        <f t="shared" si="142"/>
        <v>OVERTIME</v>
      </c>
      <c r="S1229" s="125" t="str">
        <f t="shared" si="143"/>
        <v>115</v>
      </c>
      <c r="T1229" s="125" t="str">
        <f t="shared" si="144"/>
        <v>30</v>
      </c>
      <c r="U1229" s="125" t="str">
        <f t="shared" si="145"/>
        <v>301</v>
      </c>
      <c r="V1229" s="125" t="str">
        <f>VLOOKUP(Q1229,'GL Category'!A:C,3,FALSE)</f>
        <v>Personnel services</v>
      </c>
      <c r="X1229" s="83"/>
    </row>
    <row r="1230" spans="1:24" ht="20.399999999999999" customHeight="1">
      <c r="A1230" s="608" t="s">
        <v>3147</v>
      </c>
      <c r="B1230" s="608" t="s">
        <v>1802</v>
      </c>
      <c r="C1230" s="608" t="s">
        <v>135</v>
      </c>
      <c r="D1230" s="609">
        <v>42360.52</v>
      </c>
      <c r="E1230" s="609">
        <v>53655.77</v>
      </c>
      <c r="F1230" s="609">
        <v>63653.63</v>
      </c>
      <c r="G1230" s="609">
        <v>0</v>
      </c>
      <c r="H1230" s="609">
        <v>0</v>
      </c>
      <c r="I1230" s="609">
        <v>0</v>
      </c>
      <c r="J1230" s="609">
        <v>0</v>
      </c>
      <c r="K1230" s="609">
        <v>0</v>
      </c>
      <c r="L1230" s="609">
        <v>0</v>
      </c>
      <c r="M1230" s="609">
        <v>0</v>
      </c>
      <c r="N1230" s="587">
        <f t="shared" si="140"/>
        <v>0</v>
      </c>
      <c r="Q1230" t="str">
        <f t="shared" si="141"/>
        <v>50110</v>
      </c>
      <c r="R1230" s="126" t="str">
        <f t="shared" si="142"/>
        <v>PART-TIME WAGES</v>
      </c>
      <c r="S1230" s="125" t="str">
        <f t="shared" si="143"/>
        <v>115</v>
      </c>
      <c r="T1230" s="125" t="str">
        <f t="shared" si="144"/>
        <v>30</v>
      </c>
      <c r="U1230" s="125" t="str">
        <f t="shared" si="145"/>
        <v>301</v>
      </c>
      <c r="V1230" s="125" t="str">
        <f>VLOOKUP(Q1230,'GL Category'!A:C,3,FALSE)</f>
        <v>Personnel services</v>
      </c>
      <c r="X1230" s="83"/>
    </row>
    <row r="1231" spans="1:24" ht="20.399999999999999" customHeight="1">
      <c r="A1231" s="608" t="s">
        <v>3147</v>
      </c>
      <c r="B1231" s="608" t="s">
        <v>1803</v>
      </c>
      <c r="C1231" s="608" t="s">
        <v>137</v>
      </c>
      <c r="D1231" s="609">
        <v>85</v>
      </c>
      <c r="E1231" s="609">
        <v>145</v>
      </c>
      <c r="F1231" s="609">
        <v>205</v>
      </c>
      <c r="G1231" s="609">
        <v>0</v>
      </c>
      <c r="H1231" s="609">
        <v>0</v>
      </c>
      <c r="I1231" s="609">
        <v>0</v>
      </c>
      <c r="J1231" s="609">
        <v>0</v>
      </c>
      <c r="K1231" s="609">
        <v>0</v>
      </c>
      <c r="L1231" s="609">
        <v>0</v>
      </c>
      <c r="M1231" s="609">
        <v>0</v>
      </c>
      <c r="N1231" s="587">
        <f t="shared" si="140"/>
        <v>0</v>
      </c>
      <c r="Q1231" t="str">
        <f t="shared" si="141"/>
        <v>50111</v>
      </c>
      <c r="R1231" s="126" t="str">
        <f t="shared" si="142"/>
        <v>LONGEVITY PAY</v>
      </c>
      <c r="S1231" s="125" t="str">
        <f t="shared" si="143"/>
        <v>115</v>
      </c>
      <c r="T1231" s="125" t="str">
        <f t="shared" si="144"/>
        <v>30</v>
      </c>
      <c r="U1231" s="125" t="str">
        <f t="shared" si="145"/>
        <v>301</v>
      </c>
      <c r="V1231" s="125" t="str">
        <f>VLOOKUP(Q1231,'GL Category'!A:C,3,FALSE)</f>
        <v>Personnel services</v>
      </c>
      <c r="X1231" s="83"/>
    </row>
    <row r="1232" spans="1:24" ht="20.399999999999999" customHeight="1">
      <c r="A1232" s="608" t="s">
        <v>3147</v>
      </c>
      <c r="B1232" s="608" t="s">
        <v>1804</v>
      </c>
      <c r="C1232" s="608" t="s">
        <v>283</v>
      </c>
      <c r="D1232" s="609">
        <v>0</v>
      </c>
      <c r="E1232" s="609">
        <v>100</v>
      </c>
      <c r="F1232" s="609">
        <v>0</v>
      </c>
      <c r="G1232" s="609">
        <v>0</v>
      </c>
      <c r="H1232" s="609">
        <v>0</v>
      </c>
      <c r="I1232" s="609">
        <v>0</v>
      </c>
      <c r="J1232" s="609">
        <v>0</v>
      </c>
      <c r="K1232" s="609">
        <v>0</v>
      </c>
      <c r="L1232" s="609">
        <v>0</v>
      </c>
      <c r="M1232" s="609">
        <v>0</v>
      </c>
      <c r="N1232" s="587">
        <f t="shared" si="140"/>
        <v>0</v>
      </c>
      <c r="Q1232" t="str">
        <f t="shared" si="141"/>
        <v>50115</v>
      </c>
      <c r="R1232" s="126" t="str">
        <f t="shared" si="142"/>
        <v>INCENTIVE/CERTIFICATION PAY</v>
      </c>
      <c r="S1232" s="125" t="str">
        <f t="shared" si="143"/>
        <v>115</v>
      </c>
      <c r="T1232" s="125" t="str">
        <f t="shared" si="144"/>
        <v>30</v>
      </c>
      <c r="U1232" s="125" t="str">
        <f t="shared" si="145"/>
        <v>301</v>
      </c>
      <c r="V1232" s="125" t="str">
        <f>VLOOKUP(Q1232,'GL Category'!A:C,3,FALSE)</f>
        <v>Personnel services</v>
      </c>
      <c r="X1232" s="83"/>
    </row>
    <row r="1233" spans="1:24" ht="20.399999999999999" customHeight="1">
      <c r="A1233" s="608" t="s">
        <v>3147</v>
      </c>
      <c r="B1233" s="608" t="s">
        <v>1805</v>
      </c>
      <c r="C1233" s="608" t="s">
        <v>1</v>
      </c>
      <c r="D1233" s="609">
        <v>3239.66</v>
      </c>
      <c r="E1233" s="609">
        <v>4150.33</v>
      </c>
      <c r="F1233" s="609">
        <v>4939.7700000000004</v>
      </c>
      <c r="G1233" s="609">
        <v>0</v>
      </c>
      <c r="H1233" s="609">
        <v>0</v>
      </c>
      <c r="I1233" s="609">
        <v>0</v>
      </c>
      <c r="J1233" s="609">
        <v>0</v>
      </c>
      <c r="K1233" s="609">
        <v>0</v>
      </c>
      <c r="L1233" s="609">
        <v>0</v>
      </c>
      <c r="M1233" s="609">
        <v>0</v>
      </c>
      <c r="N1233" s="587">
        <f t="shared" si="140"/>
        <v>0</v>
      </c>
      <c r="Q1233" t="str">
        <f t="shared" si="141"/>
        <v>50610</v>
      </c>
      <c r="R1233" s="126" t="str">
        <f t="shared" si="142"/>
        <v>SOCIAL SECURITY</v>
      </c>
      <c r="S1233" s="125" t="str">
        <f t="shared" si="143"/>
        <v>115</v>
      </c>
      <c r="T1233" s="125" t="str">
        <f t="shared" si="144"/>
        <v>30</v>
      </c>
      <c r="U1233" s="125" t="str">
        <f t="shared" si="145"/>
        <v>301</v>
      </c>
      <c r="V1233" s="125" t="str">
        <f>VLOOKUP(Q1233,'GL Category'!A:C,3,FALSE)</f>
        <v>Personnel services</v>
      </c>
      <c r="X1233" s="83"/>
    </row>
    <row r="1234" spans="1:24" ht="20.399999999999999" customHeight="1">
      <c r="A1234" s="608" t="s">
        <v>3147</v>
      </c>
      <c r="B1234" s="608" t="s">
        <v>1806</v>
      </c>
      <c r="C1234" s="608" t="s">
        <v>142</v>
      </c>
      <c r="D1234" s="609">
        <v>9063.32</v>
      </c>
      <c r="E1234" s="609">
        <v>10570.74</v>
      </c>
      <c r="F1234" s="609">
        <v>10424.120000000001</v>
      </c>
      <c r="G1234" s="609">
        <v>0</v>
      </c>
      <c r="H1234" s="609">
        <v>0</v>
      </c>
      <c r="I1234" s="609">
        <v>0</v>
      </c>
      <c r="J1234" s="609">
        <v>0</v>
      </c>
      <c r="K1234" s="609">
        <v>0</v>
      </c>
      <c r="L1234" s="609">
        <v>0</v>
      </c>
      <c r="M1234" s="609">
        <v>0</v>
      </c>
      <c r="N1234" s="587">
        <f t="shared" si="140"/>
        <v>0</v>
      </c>
      <c r="Q1234" t="str">
        <f t="shared" si="141"/>
        <v>50620</v>
      </c>
      <c r="R1234" s="126" t="str">
        <f t="shared" si="142"/>
        <v>HEALTH/LIFE INSURANCE</v>
      </c>
      <c r="S1234" s="125" t="str">
        <f t="shared" si="143"/>
        <v>115</v>
      </c>
      <c r="T1234" s="125" t="str">
        <f t="shared" si="144"/>
        <v>30</v>
      </c>
      <c r="U1234" s="125" t="str">
        <f t="shared" si="145"/>
        <v>301</v>
      </c>
      <c r="V1234" s="125" t="str">
        <f>VLOOKUP(Q1234,'GL Category'!A:C,3,FALSE)</f>
        <v>Personnel services</v>
      </c>
      <c r="X1234" s="83"/>
    </row>
    <row r="1235" spans="1:24" ht="20.399999999999999" customHeight="1">
      <c r="A1235" s="608" t="s">
        <v>3147</v>
      </c>
      <c r="B1235" s="608" t="s">
        <v>1807</v>
      </c>
      <c r="C1235" s="608" t="s">
        <v>144</v>
      </c>
      <c r="D1235" s="609">
        <v>284.02</v>
      </c>
      <c r="E1235" s="609">
        <v>590.01</v>
      </c>
      <c r="F1235" s="609">
        <v>452.63</v>
      </c>
      <c r="G1235" s="609">
        <v>0</v>
      </c>
      <c r="H1235" s="609">
        <v>0</v>
      </c>
      <c r="I1235" s="609">
        <v>0</v>
      </c>
      <c r="J1235" s="609">
        <v>0</v>
      </c>
      <c r="K1235" s="609">
        <v>0</v>
      </c>
      <c r="L1235" s="609">
        <v>0</v>
      </c>
      <c r="M1235" s="609">
        <v>0</v>
      </c>
      <c r="N1235" s="587">
        <f t="shared" si="140"/>
        <v>0</v>
      </c>
      <c r="P1235" s="490">
        <f>N1235-H1235</f>
        <v>0</v>
      </c>
      <c r="Q1235" t="str">
        <f t="shared" si="141"/>
        <v>50630</v>
      </c>
      <c r="R1235" s="126" t="str">
        <f t="shared" si="142"/>
        <v>WORKER COMPENSATION</v>
      </c>
      <c r="S1235" s="125" t="str">
        <f t="shared" si="143"/>
        <v>115</v>
      </c>
      <c r="T1235" s="125" t="str">
        <f t="shared" si="144"/>
        <v>30</v>
      </c>
      <c r="U1235" s="125" t="str">
        <f t="shared" si="145"/>
        <v>301</v>
      </c>
      <c r="V1235" s="125" t="str">
        <f>VLOOKUP(Q1235,'GL Category'!A:C,3,FALSE)</f>
        <v>Personnel services</v>
      </c>
      <c r="X1235" s="83"/>
    </row>
    <row r="1236" spans="1:24" ht="20.399999999999999" customHeight="1">
      <c r="A1236" s="608" t="s">
        <v>3147</v>
      </c>
      <c r="B1236" s="608" t="s">
        <v>1808</v>
      </c>
      <c r="C1236" s="608" t="s">
        <v>2</v>
      </c>
      <c r="D1236" s="609">
        <v>6767.95</v>
      </c>
      <c r="E1236" s="609">
        <v>8819.14</v>
      </c>
      <c r="F1236" s="609">
        <v>10507.32</v>
      </c>
      <c r="G1236" s="609">
        <v>0</v>
      </c>
      <c r="H1236" s="609">
        <v>0</v>
      </c>
      <c r="I1236" s="609">
        <v>0</v>
      </c>
      <c r="J1236" s="609">
        <v>0</v>
      </c>
      <c r="K1236" s="609">
        <v>0</v>
      </c>
      <c r="L1236" s="609">
        <v>0</v>
      </c>
      <c r="M1236" s="609">
        <v>0</v>
      </c>
      <c r="N1236" s="587">
        <f t="shared" si="140"/>
        <v>0</v>
      </c>
      <c r="Q1236" t="str">
        <f t="shared" si="141"/>
        <v>50650</v>
      </c>
      <c r="R1236" s="126" t="str">
        <f t="shared" si="142"/>
        <v>RETIREMENT</v>
      </c>
      <c r="S1236" s="125" t="str">
        <f t="shared" si="143"/>
        <v>115</v>
      </c>
      <c r="T1236" s="125" t="str">
        <f t="shared" si="144"/>
        <v>30</v>
      </c>
      <c r="U1236" s="125" t="str">
        <f t="shared" si="145"/>
        <v>301</v>
      </c>
      <c r="V1236" s="125" t="str">
        <f>VLOOKUP(Q1236,'GL Category'!A:C,3,FALSE)</f>
        <v>Personnel services</v>
      </c>
      <c r="X1236" s="83"/>
    </row>
    <row r="1237" spans="1:24" ht="14.4" customHeight="1">
      <c r="A1237" s="608" t="s">
        <v>3147</v>
      </c>
      <c r="B1237" s="608" t="s">
        <v>3211</v>
      </c>
      <c r="C1237" s="608" t="s">
        <v>167</v>
      </c>
      <c r="D1237" s="609">
        <v>0</v>
      </c>
      <c r="E1237" s="609">
        <v>0</v>
      </c>
      <c r="F1237" s="609">
        <v>0</v>
      </c>
      <c r="G1237" s="609">
        <v>0</v>
      </c>
      <c r="H1237" s="609">
        <v>0</v>
      </c>
      <c r="I1237" s="609">
        <v>0</v>
      </c>
      <c r="J1237" s="609">
        <v>0</v>
      </c>
      <c r="K1237" s="609">
        <v>0</v>
      </c>
      <c r="L1237" s="609">
        <v>0</v>
      </c>
      <c r="M1237" s="609">
        <v>0</v>
      </c>
      <c r="N1237" s="587">
        <f t="shared" si="140"/>
        <v>0</v>
      </c>
      <c r="Q1237" t="str">
        <f t="shared" si="141"/>
        <v>51285</v>
      </c>
      <c r="R1237" s="126" t="str">
        <f t="shared" si="142"/>
        <v>WEARING APPAREL</v>
      </c>
      <c r="S1237" s="125" t="str">
        <f t="shared" si="143"/>
        <v>115</v>
      </c>
      <c r="T1237" s="125" t="str">
        <f t="shared" si="144"/>
        <v>30</v>
      </c>
      <c r="U1237" s="125" t="str">
        <f t="shared" si="145"/>
        <v>301</v>
      </c>
      <c r="V1237" s="125" t="str">
        <f>VLOOKUP(Q1237,'GL Category'!A:C,3,FALSE)</f>
        <v>Operations &amp; maintenance</v>
      </c>
      <c r="X1237" s="83"/>
    </row>
    <row r="1238" spans="1:24" ht="14.4" customHeight="1">
      <c r="A1238" s="608" t="s">
        <v>3147</v>
      </c>
      <c r="B1238" s="608" t="s">
        <v>1809</v>
      </c>
      <c r="C1238" s="608" t="s">
        <v>191</v>
      </c>
      <c r="D1238" s="609">
        <v>3000</v>
      </c>
      <c r="E1238" s="609">
        <v>4885</v>
      </c>
      <c r="F1238" s="609">
        <v>29594.2</v>
      </c>
      <c r="G1238" s="609">
        <v>13435</v>
      </c>
      <c r="H1238" s="609">
        <v>0</v>
      </c>
      <c r="I1238" s="609">
        <v>9440</v>
      </c>
      <c r="J1238" s="609">
        <v>0</v>
      </c>
      <c r="K1238" s="609">
        <v>0</v>
      </c>
      <c r="L1238" s="609">
        <v>0</v>
      </c>
      <c r="M1238" s="609">
        <v>0</v>
      </c>
      <c r="N1238" s="587">
        <f t="shared" si="140"/>
        <v>0</v>
      </c>
      <c r="Q1238" t="str">
        <f t="shared" si="141"/>
        <v>53515</v>
      </c>
      <c r="R1238" s="126" t="str">
        <f t="shared" si="142"/>
        <v>TRAVEL, TRAINING &amp; EDUCATION</v>
      </c>
      <c r="S1238" s="125" t="str">
        <f t="shared" si="143"/>
        <v>115</v>
      </c>
      <c r="T1238" s="125" t="str">
        <f t="shared" si="144"/>
        <v>30</v>
      </c>
      <c r="U1238" s="125" t="str">
        <f t="shared" si="145"/>
        <v>301</v>
      </c>
      <c r="V1238" s="125" t="str">
        <f>VLOOKUP(Q1238,'GL Category'!A:C,3,FALSE)</f>
        <v>Services &amp; other</v>
      </c>
      <c r="X1238" s="83"/>
    </row>
    <row r="1239" spans="1:24" ht="20.399999999999999" customHeight="1">
      <c r="A1239" s="608" t="s">
        <v>3147</v>
      </c>
      <c r="B1239" s="608" t="s">
        <v>3423</v>
      </c>
      <c r="C1239" s="608" t="s">
        <v>205</v>
      </c>
      <c r="D1239" s="609">
        <v>0</v>
      </c>
      <c r="E1239" s="609">
        <v>0</v>
      </c>
      <c r="F1239" s="609">
        <v>0</v>
      </c>
      <c r="G1239" s="609">
        <v>0</v>
      </c>
      <c r="H1239" s="609">
        <v>0</v>
      </c>
      <c r="I1239" s="609">
        <v>1018.24</v>
      </c>
      <c r="J1239" s="609">
        <v>0</v>
      </c>
      <c r="K1239" s="609">
        <v>0</v>
      </c>
      <c r="L1239" s="609">
        <v>0</v>
      </c>
      <c r="M1239" s="609">
        <v>0</v>
      </c>
      <c r="N1239" s="587">
        <f t="shared" si="140"/>
        <v>0</v>
      </c>
      <c r="P1239" s="490">
        <f>N1239-H1239</f>
        <v>0</v>
      </c>
      <c r="Q1239" t="str">
        <f t="shared" si="141"/>
        <v>53550</v>
      </c>
      <c r="R1239" s="126" t="str">
        <f t="shared" si="142"/>
        <v>BAD DEBT EXPENSE</v>
      </c>
      <c r="S1239" s="125" t="str">
        <f t="shared" si="143"/>
        <v>115</v>
      </c>
      <c r="T1239" s="125" t="str">
        <f t="shared" si="144"/>
        <v>30</v>
      </c>
      <c r="U1239" s="125" t="str">
        <f t="shared" si="145"/>
        <v>301</v>
      </c>
      <c r="V1239" s="125" t="str">
        <f>VLOOKUP(Q1239,'GL Category'!A:C,3,FALSE)</f>
        <v>Services &amp; other</v>
      </c>
      <c r="X1239" s="83"/>
    </row>
    <row r="1240" spans="1:24" ht="20.399999999999999" customHeight="1">
      <c r="A1240" s="608" t="s">
        <v>3147</v>
      </c>
      <c r="B1240" s="608" t="s">
        <v>3341</v>
      </c>
      <c r="C1240" s="608" t="s">
        <v>4</v>
      </c>
      <c r="D1240" s="609">
        <v>0</v>
      </c>
      <c r="E1240" s="609">
        <v>2137.34</v>
      </c>
      <c r="F1240" s="609">
        <v>0</v>
      </c>
      <c r="G1240" s="609">
        <v>0</v>
      </c>
      <c r="H1240" s="609">
        <v>0</v>
      </c>
      <c r="I1240" s="609">
        <v>0</v>
      </c>
      <c r="J1240" s="609">
        <v>0</v>
      </c>
      <c r="K1240" s="609">
        <v>0</v>
      </c>
      <c r="L1240" s="609">
        <v>0</v>
      </c>
      <c r="M1240" s="609">
        <v>0</v>
      </c>
      <c r="N1240" s="587">
        <f t="shared" si="140"/>
        <v>0</v>
      </c>
      <c r="P1240" s="490">
        <f>N1240-H1240</f>
        <v>0</v>
      </c>
      <c r="Q1240" t="str">
        <f t="shared" si="141"/>
        <v>51245</v>
      </c>
      <c r="R1240" s="126" t="str">
        <f t="shared" si="142"/>
        <v>SMALL TOOLS &amp; EQUIPMENT</v>
      </c>
      <c r="S1240" s="125" t="str">
        <f t="shared" si="143"/>
        <v>115</v>
      </c>
      <c r="T1240" s="125" t="str">
        <f t="shared" si="144"/>
        <v>30</v>
      </c>
      <c r="U1240" s="125" t="str">
        <f t="shared" si="145"/>
        <v>302</v>
      </c>
      <c r="V1240" s="125" t="str">
        <f>VLOOKUP(Q1240,'GL Category'!A:C,3,FALSE)</f>
        <v>Operations &amp; maintenance</v>
      </c>
      <c r="X1240" s="83"/>
    </row>
    <row r="1241" spans="1:24" ht="20.399999999999999" customHeight="1">
      <c r="A1241" s="608" t="s">
        <v>3147</v>
      </c>
      <c r="B1241" s="608" t="s">
        <v>1811</v>
      </c>
      <c r="C1241" s="608" t="s">
        <v>169</v>
      </c>
      <c r="D1241" s="609">
        <v>5688.89</v>
      </c>
      <c r="E1241" s="609">
        <v>7738.11</v>
      </c>
      <c r="F1241" s="609">
        <v>1682.91</v>
      </c>
      <c r="G1241" s="609">
        <v>6056.53</v>
      </c>
      <c r="H1241" s="609">
        <v>0</v>
      </c>
      <c r="I1241" s="609">
        <v>1869.65</v>
      </c>
      <c r="J1241" s="609">
        <v>0</v>
      </c>
      <c r="K1241" s="609">
        <v>0</v>
      </c>
      <c r="L1241" s="609">
        <v>0</v>
      </c>
      <c r="M1241" s="609">
        <v>0</v>
      </c>
      <c r="N1241" s="587">
        <f t="shared" si="140"/>
        <v>0</v>
      </c>
      <c r="Q1241" t="str">
        <f t="shared" si="141"/>
        <v>51299</v>
      </c>
      <c r="R1241" s="126" t="str">
        <f t="shared" si="142"/>
        <v>MISCELLANEOUS SUPPLIES</v>
      </c>
      <c r="S1241" s="125" t="str">
        <f t="shared" si="143"/>
        <v>115</v>
      </c>
      <c r="T1241" s="125" t="str">
        <f t="shared" si="144"/>
        <v>30</v>
      </c>
      <c r="U1241" s="125" t="str">
        <f t="shared" si="145"/>
        <v>302</v>
      </c>
      <c r="V1241" s="125" t="str">
        <f>VLOOKUP(Q1241,'GL Category'!A:C,3,FALSE)</f>
        <v>Operations &amp; maintenance</v>
      </c>
      <c r="X1241" s="83"/>
    </row>
    <row r="1242" spans="1:24" ht="20.399999999999999" customHeight="1">
      <c r="A1242" s="608" t="s">
        <v>3147</v>
      </c>
      <c r="B1242" s="608" t="s">
        <v>1811</v>
      </c>
      <c r="C1242" s="608" t="s">
        <v>169</v>
      </c>
      <c r="D1242" s="609">
        <v>0</v>
      </c>
      <c r="E1242" s="609">
        <v>0</v>
      </c>
      <c r="F1242" s="609">
        <v>0</v>
      </c>
      <c r="G1242" s="609">
        <v>0</v>
      </c>
      <c r="H1242" s="609">
        <v>0</v>
      </c>
      <c r="I1242" s="609">
        <v>0</v>
      </c>
      <c r="J1242" s="609">
        <v>0</v>
      </c>
      <c r="K1242" s="609">
        <v>0</v>
      </c>
      <c r="L1242" s="609">
        <v>0</v>
      </c>
      <c r="M1242" s="609">
        <v>0</v>
      </c>
      <c r="N1242" s="587">
        <f t="shared" si="140"/>
        <v>0</v>
      </c>
      <c r="Q1242" t="str">
        <f t="shared" si="141"/>
        <v>51299</v>
      </c>
      <c r="R1242" s="126" t="str">
        <f t="shared" si="142"/>
        <v>MISCELLANEOUS SUPPLIES</v>
      </c>
      <c r="S1242" s="125" t="str">
        <f t="shared" si="143"/>
        <v>115</v>
      </c>
      <c r="T1242" s="125" t="str">
        <f t="shared" si="144"/>
        <v>30</v>
      </c>
      <c r="U1242" s="125" t="str">
        <f t="shared" si="145"/>
        <v>302</v>
      </c>
      <c r="V1242" s="125" t="str">
        <f>VLOOKUP(Q1242,'GL Category'!A:C,3,FALSE)</f>
        <v>Operations &amp; maintenance</v>
      </c>
      <c r="X1242" s="83"/>
    </row>
    <row r="1243" spans="1:24" ht="20.399999999999999" customHeight="1">
      <c r="A1243" s="608" t="s">
        <v>3147</v>
      </c>
      <c r="B1243" s="608" t="s">
        <v>1812</v>
      </c>
      <c r="C1243" s="608" t="s">
        <v>336</v>
      </c>
      <c r="D1243" s="609">
        <v>14391.56</v>
      </c>
      <c r="E1243" s="609">
        <v>16983.68</v>
      </c>
      <c r="F1243" s="609">
        <v>486</v>
      </c>
      <c r="G1243" s="609">
        <v>0</v>
      </c>
      <c r="H1243" s="609">
        <v>0</v>
      </c>
      <c r="I1243" s="609">
        <v>0</v>
      </c>
      <c r="J1243" s="609">
        <v>0</v>
      </c>
      <c r="K1243" s="609">
        <v>0</v>
      </c>
      <c r="L1243" s="609">
        <v>0</v>
      </c>
      <c r="M1243" s="609">
        <v>0</v>
      </c>
      <c r="N1243" s="587">
        <f t="shared" si="140"/>
        <v>0</v>
      </c>
      <c r="P1243" s="490">
        <f>N1243-H1243</f>
        <v>0</v>
      </c>
      <c r="Q1243" t="str">
        <f t="shared" si="141"/>
        <v>53595</v>
      </c>
      <c r="R1243" s="126" t="str">
        <f t="shared" si="142"/>
        <v>MISC PROPERTY/DRUG EXPENSE</v>
      </c>
      <c r="S1243" s="125" t="str">
        <f t="shared" si="143"/>
        <v>115</v>
      </c>
      <c r="T1243" s="125" t="str">
        <f t="shared" si="144"/>
        <v>30</v>
      </c>
      <c r="U1243" s="125" t="str">
        <f t="shared" si="145"/>
        <v>302</v>
      </c>
      <c r="V1243" s="125" t="str">
        <f>VLOOKUP(Q1243,'GL Category'!A:C,3,FALSE)</f>
        <v>Services &amp; other</v>
      </c>
      <c r="X1243" s="83"/>
    </row>
    <row r="1244" spans="1:24" ht="20.399999999999999" customHeight="1">
      <c r="A1244" s="608" t="s">
        <v>3147</v>
      </c>
      <c r="B1244" s="608" t="s">
        <v>3342</v>
      </c>
      <c r="C1244" s="608" t="s">
        <v>3343</v>
      </c>
      <c r="D1244" s="609">
        <v>0</v>
      </c>
      <c r="E1244" s="609">
        <v>0</v>
      </c>
      <c r="F1244" s="609">
        <v>1696.95</v>
      </c>
      <c r="G1244" s="609">
        <v>0</v>
      </c>
      <c r="H1244" s="609">
        <v>0</v>
      </c>
      <c r="I1244" s="609">
        <v>0</v>
      </c>
      <c r="J1244" s="609">
        <v>0</v>
      </c>
      <c r="K1244" s="609">
        <v>0</v>
      </c>
      <c r="L1244" s="609">
        <v>0</v>
      </c>
      <c r="M1244" s="609">
        <v>0</v>
      </c>
      <c r="N1244" s="587">
        <f t="shared" si="140"/>
        <v>0</v>
      </c>
      <c r="P1244" s="490">
        <f>N1244-H1244</f>
        <v>0</v>
      </c>
      <c r="Q1244" t="str">
        <f t="shared" si="141"/>
        <v>54551</v>
      </c>
      <c r="R1244" s="126" t="str">
        <f t="shared" si="142"/>
        <v>PD SPECIAL EVENTS</v>
      </c>
      <c r="S1244" s="125" t="str">
        <f t="shared" si="143"/>
        <v>115</v>
      </c>
      <c r="T1244" s="125" t="str">
        <f t="shared" si="144"/>
        <v>30</v>
      </c>
      <c r="U1244" s="125" t="str">
        <f t="shared" si="145"/>
        <v>302</v>
      </c>
      <c r="V1244" s="125" t="str">
        <f>VLOOKUP(Q1244,'GL Category'!A:C,3,FALSE)</f>
        <v>Services &amp; other</v>
      </c>
      <c r="X1244" s="83"/>
    </row>
    <row r="1245" spans="1:24" ht="20.399999999999999" customHeight="1">
      <c r="A1245" s="608" t="s">
        <v>3147</v>
      </c>
      <c r="B1245" s="608" t="s">
        <v>3344</v>
      </c>
      <c r="C1245" s="608" t="s">
        <v>4</v>
      </c>
      <c r="D1245" s="609">
        <v>0</v>
      </c>
      <c r="E1245" s="609">
        <v>0</v>
      </c>
      <c r="F1245" s="609">
        <v>0</v>
      </c>
      <c r="G1245" s="609">
        <v>0</v>
      </c>
      <c r="H1245" s="609">
        <v>0</v>
      </c>
      <c r="I1245" s="609">
        <v>0</v>
      </c>
      <c r="J1245" s="609">
        <v>0</v>
      </c>
      <c r="K1245" s="609">
        <v>0</v>
      </c>
      <c r="L1245" s="609">
        <v>0</v>
      </c>
      <c r="M1245" s="609">
        <v>0</v>
      </c>
      <c r="N1245" s="587">
        <f t="shared" si="140"/>
        <v>0</v>
      </c>
      <c r="Q1245" t="str">
        <f t="shared" si="141"/>
        <v>51245</v>
      </c>
      <c r="R1245" s="126" t="str">
        <f t="shared" si="142"/>
        <v>SMALL TOOLS &amp; EQUIPMENT</v>
      </c>
      <c r="S1245" s="125" t="str">
        <f t="shared" si="143"/>
        <v>115</v>
      </c>
      <c r="T1245" s="125" t="str">
        <f t="shared" si="144"/>
        <v>30</v>
      </c>
      <c r="U1245" s="125" t="str">
        <f t="shared" si="145"/>
        <v>303</v>
      </c>
      <c r="V1245" s="125" t="str">
        <f>VLOOKUP(Q1245,'GL Category'!A:C,3,FALSE)</f>
        <v>Operations &amp; maintenance</v>
      </c>
      <c r="X1245" s="83"/>
    </row>
    <row r="1246" spans="1:24" ht="20.399999999999999" customHeight="1">
      <c r="A1246" s="608" t="s">
        <v>3147</v>
      </c>
      <c r="B1246" s="608" t="s">
        <v>1816</v>
      </c>
      <c r="C1246" s="608" t="s">
        <v>169</v>
      </c>
      <c r="D1246" s="609">
        <v>2202.7600000000002</v>
      </c>
      <c r="E1246" s="609">
        <v>0</v>
      </c>
      <c r="F1246" s="609">
        <v>0</v>
      </c>
      <c r="G1246" s="609">
        <v>0</v>
      </c>
      <c r="H1246" s="609">
        <v>0</v>
      </c>
      <c r="I1246" s="609">
        <v>0</v>
      </c>
      <c r="J1246" s="609">
        <v>0</v>
      </c>
      <c r="K1246" s="609">
        <v>0</v>
      </c>
      <c r="L1246" s="609">
        <v>0</v>
      </c>
      <c r="M1246" s="609">
        <v>0</v>
      </c>
      <c r="N1246" s="587">
        <f t="shared" si="140"/>
        <v>0</v>
      </c>
      <c r="Q1246" t="str">
        <f t="shared" si="141"/>
        <v>51299</v>
      </c>
      <c r="R1246" s="126" t="str">
        <f t="shared" si="142"/>
        <v>MISCELLANEOUS SUPPLIES</v>
      </c>
      <c r="S1246" s="125" t="str">
        <f t="shared" si="143"/>
        <v>115</v>
      </c>
      <c r="T1246" s="125" t="str">
        <f t="shared" si="144"/>
        <v>30</v>
      </c>
      <c r="U1246" s="125" t="str">
        <f t="shared" si="145"/>
        <v>304</v>
      </c>
      <c r="V1246" s="125" t="str">
        <f>VLOOKUP(Q1246,'GL Category'!A:C,3,FALSE)</f>
        <v>Operations &amp; maintenance</v>
      </c>
      <c r="X1246" s="83"/>
    </row>
    <row r="1247" spans="1:24" ht="20.399999999999999" customHeight="1">
      <c r="A1247" s="608" t="s">
        <v>3147</v>
      </c>
      <c r="B1247" s="608" t="s">
        <v>3212</v>
      </c>
      <c r="C1247" s="608" t="s">
        <v>911</v>
      </c>
      <c r="D1247" s="609">
        <v>873.29</v>
      </c>
      <c r="E1247" s="609">
        <v>0</v>
      </c>
      <c r="F1247" s="609">
        <v>0</v>
      </c>
      <c r="G1247" s="609">
        <v>0</v>
      </c>
      <c r="H1247" s="609">
        <v>0</v>
      </c>
      <c r="I1247" s="609">
        <v>0</v>
      </c>
      <c r="J1247" s="609">
        <v>0</v>
      </c>
      <c r="K1247" s="609">
        <v>0</v>
      </c>
      <c r="L1247" s="609">
        <v>0</v>
      </c>
      <c r="M1247" s="609">
        <v>0</v>
      </c>
      <c r="N1247" s="587">
        <f t="shared" si="140"/>
        <v>0</v>
      </c>
      <c r="P1247" s="490">
        <f>N1247-H1247</f>
        <v>0</v>
      </c>
      <c r="Q1247" t="str">
        <f t="shared" si="141"/>
        <v>54691</v>
      </c>
      <c r="R1247" s="126" t="str">
        <f t="shared" si="142"/>
        <v>EXPENDITURE-FIRE DONATIONS</v>
      </c>
      <c r="S1247" s="125" t="str">
        <f t="shared" si="143"/>
        <v>115</v>
      </c>
      <c r="T1247" s="125" t="str">
        <f t="shared" si="144"/>
        <v>35</v>
      </c>
      <c r="U1247" s="125" t="str">
        <f t="shared" si="145"/>
        <v>352</v>
      </c>
      <c r="V1247" s="125" t="str">
        <f>VLOOKUP(Q1247,'GL Category'!A:C,3,FALSE)</f>
        <v>Services &amp; other</v>
      </c>
      <c r="X1247" s="83"/>
    </row>
    <row r="1248" spans="1:24" ht="14.4" customHeight="1">
      <c r="A1248" s="608" t="s">
        <v>3147</v>
      </c>
      <c r="B1248" s="608" t="s">
        <v>3212</v>
      </c>
      <c r="C1248" s="608" t="s">
        <v>911</v>
      </c>
      <c r="D1248" s="609">
        <v>0</v>
      </c>
      <c r="E1248" s="609">
        <v>0</v>
      </c>
      <c r="F1248" s="609">
        <v>0</v>
      </c>
      <c r="G1248" s="609">
        <v>2276.42</v>
      </c>
      <c r="H1248" s="609">
        <v>0</v>
      </c>
      <c r="I1248" s="609">
        <v>7048.2</v>
      </c>
      <c r="J1248" s="609">
        <v>0</v>
      </c>
      <c r="K1248" s="609">
        <v>0</v>
      </c>
      <c r="L1248" s="609">
        <v>0</v>
      </c>
      <c r="M1248" s="609">
        <v>0</v>
      </c>
      <c r="N1248" s="587">
        <f t="shared" si="140"/>
        <v>0</v>
      </c>
      <c r="P1248" s="490">
        <f>N1248-H1248</f>
        <v>0</v>
      </c>
      <c r="Q1248" t="str">
        <f t="shared" si="141"/>
        <v>54691</v>
      </c>
      <c r="R1248" s="126" t="str">
        <f t="shared" si="142"/>
        <v>EXPENDITURE-FIRE DONATIONS</v>
      </c>
      <c r="S1248" s="125" t="str">
        <f t="shared" si="143"/>
        <v>115</v>
      </c>
      <c r="T1248" s="125" t="str">
        <f t="shared" si="144"/>
        <v>35</v>
      </c>
      <c r="U1248" s="125" t="str">
        <f t="shared" si="145"/>
        <v>352</v>
      </c>
      <c r="V1248" s="125" t="str">
        <f>VLOOKUP(Q1248,'GL Category'!A:C,3,FALSE)</f>
        <v>Services &amp; other</v>
      </c>
      <c r="X1248" s="83"/>
    </row>
    <row r="1249" spans="1:24" ht="14.4" customHeight="1">
      <c r="A1249" s="608" t="s">
        <v>3147</v>
      </c>
      <c r="B1249" s="608" t="s">
        <v>3116</v>
      </c>
      <c r="C1249" s="608" t="s">
        <v>5</v>
      </c>
      <c r="D1249" s="609">
        <v>0</v>
      </c>
      <c r="E1249" s="609">
        <v>0</v>
      </c>
      <c r="F1249" s="609">
        <v>0</v>
      </c>
      <c r="G1249" s="609">
        <v>3974.65</v>
      </c>
      <c r="H1249" s="609">
        <v>0</v>
      </c>
      <c r="I1249" s="609">
        <v>2360.14</v>
      </c>
      <c r="J1249" s="609">
        <v>0</v>
      </c>
      <c r="K1249" s="609">
        <v>0</v>
      </c>
      <c r="L1249" s="609">
        <v>0</v>
      </c>
      <c r="M1249" s="609">
        <v>0</v>
      </c>
      <c r="N1249" s="587">
        <f t="shared" si="140"/>
        <v>0</v>
      </c>
      <c r="Q1249" t="str">
        <f t="shared" si="141"/>
        <v>51226</v>
      </c>
      <c r="R1249" s="126" t="str">
        <f t="shared" si="142"/>
        <v>MEDICAL SUPPLIES</v>
      </c>
      <c r="S1249" s="125" t="str">
        <f t="shared" si="143"/>
        <v>115</v>
      </c>
      <c r="T1249" s="125" t="str">
        <f t="shared" si="144"/>
        <v>35</v>
      </c>
      <c r="U1249" s="125" t="str">
        <f t="shared" si="145"/>
        <v>353</v>
      </c>
      <c r="V1249" s="125" t="str">
        <f>VLOOKUP(Q1249,'GL Category'!A:C,3,FALSE)</f>
        <v>Operations &amp; maintenance</v>
      </c>
      <c r="X1249" s="83"/>
    </row>
    <row r="1250" spans="1:24" ht="14.4" customHeight="1">
      <c r="A1250" s="608" t="s">
        <v>3147</v>
      </c>
      <c r="B1250" s="608" t="s">
        <v>3532</v>
      </c>
      <c r="C1250" s="608" t="s">
        <v>157</v>
      </c>
      <c r="D1250" s="609">
        <v>4461.7</v>
      </c>
      <c r="E1250" s="609">
        <v>0</v>
      </c>
      <c r="F1250" s="609">
        <v>0</v>
      </c>
      <c r="G1250" s="609">
        <v>0</v>
      </c>
      <c r="H1250" s="609">
        <v>0</v>
      </c>
      <c r="I1250" s="609">
        <v>0</v>
      </c>
      <c r="J1250" s="609">
        <v>0</v>
      </c>
      <c r="K1250" s="609">
        <v>0</v>
      </c>
      <c r="L1250" s="609">
        <v>0</v>
      </c>
      <c r="M1250" s="609">
        <v>0</v>
      </c>
      <c r="N1250" s="587">
        <f t="shared" si="140"/>
        <v>0</v>
      </c>
      <c r="Q1250" t="str">
        <f t="shared" si="141"/>
        <v>51230</v>
      </c>
      <c r="R1250" s="126" t="str">
        <f t="shared" si="142"/>
        <v>COMPUTER SUPPLIES</v>
      </c>
      <c r="S1250" s="125" t="str">
        <f t="shared" si="143"/>
        <v>115</v>
      </c>
      <c r="T1250" s="125" t="str">
        <f t="shared" si="144"/>
        <v>35</v>
      </c>
      <c r="U1250" s="125" t="str">
        <f t="shared" si="145"/>
        <v>353</v>
      </c>
      <c r="V1250" s="125" t="str">
        <f>VLOOKUP(Q1250,'GL Category'!A:C,3,FALSE)</f>
        <v>Operations &amp; maintenance</v>
      </c>
      <c r="X1250" s="83"/>
    </row>
    <row r="1251" spans="1:24" ht="20.399999999999999" customHeight="1">
      <c r="A1251" s="608" t="s">
        <v>3147</v>
      </c>
      <c r="B1251" s="608" t="s">
        <v>3533</v>
      </c>
      <c r="C1251" s="608" t="s">
        <v>4</v>
      </c>
      <c r="D1251" s="609">
        <v>0</v>
      </c>
      <c r="E1251" s="609">
        <v>5694</v>
      </c>
      <c r="F1251" s="609">
        <v>15283.49</v>
      </c>
      <c r="G1251" s="609">
        <v>1483.36</v>
      </c>
      <c r="H1251" s="609">
        <v>0</v>
      </c>
      <c r="I1251" s="609">
        <v>9206.2800000000007</v>
      </c>
      <c r="J1251" s="609">
        <v>0</v>
      </c>
      <c r="K1251" s="609">
        <v>0</v>
      </c>
      <c r="L1251" s="609">
        <v>0</v>
      </c>
      <c r="M1251" s="609">
        <v>0</v>
      </c>
      <c r="N1251" s="587">
        <f t="shared" si="140"/>
        <v>0</v>
      </c>
      <c r="Q1251" t="str">
        <f t="shared" si="141"/>
        <v>51245</v>
      </c>
      <c r="R1251" s="126" t="str">
        <f t="shared" si="142"/>
        <v>SMALL TOOLS &amp; EQUIPMENT</v>
      </c>
      <c r="S1251" s="125" t="str">
        <f t="shared" si="143"/>
        <v>115</v>
      </c>
      <c r="T1251" s="125" t="str">
        <f t="shared" si="144"/>
        <v>35</v>
      </c>
      <c r="U1251" s="125" t="str">
        <f t="shared" si="145"/>
        <v>353</v>
      </c>
      <c r="V1251" s="125" t="str">
        <f>VLOOKUP(Q1251,'GL Category'!A:C,3,FALSE)</f>
        <v>Operations &amp; maintenance</v>
      </c>
      <c r="X1251" s="83"/>
    </row>
    <row r="1252" spans="1:24" ht="14.4" customHeight="1">
      <c r="A1252" s="608" t="s">
        <v>3147</v>
      </c>
      <c r="B1252" s="608" t="s">
        <v>3371</v>
      </c>
      <c r="C1252" s="608" t="s">
        <v>238</v>
      </c>
      <c r="D1252" s="609">
        <v>4632.12</v>
      </c>
      <c r="E1252" s="609">
        <v>22156.799999999999</v>
      </c>
      <c r="F1252" s="609">
        <v>0</v>
      </c>
      <c r="G1252" s="609">
        <v>0</v>
      </c>
      <c r="H1252" s="609">
        <v>0</v>
      </c>
      <c r="I1252" s="609">
        <v>0</v>
      </c>
      <c r="J1252" s="609">
        <v>0</v>
      </c>
      <c r="K1252" s="609">
        <v>0</v>
      </c>
      <c r="L1252" s="609">
        <v>0</v>
      </c>
      <c r="M1252" s="609">
        <v>0</v>
      </c>
      <c r="N1252" s="587">
        <f t="shared" si="140"/>
        <v>0</v>
      </c>
      <c r="Q1252" t="str">
        <f t="shared" si="141"/>
        <v>53599</v>
      </c>
      <c r="R1252" s="126" t="str">
        <f t="shared" si="142"/>
        <v>MISCELLANEOUS SERVICES</v>
      </c>
      <c r="S1252" s="125" t="str">
        <f t="shared" si="143"/>
        <v>115</v>
      </c>
      <c r="T1252" s="125" t="str">
        <f t="shared" si="144"/>
        <v>35</v>
      </c>
      <c r="U1252" s="125" t="str">
        <f t="shared" si="145"/>
        <v>353</v>
      </c>
      <c r="V1252" s="125" t="str">
        <f>VLOOKUP(Q1252,'GL Category'!A:C,3,FALSE)</f>
        <v>Services &amp; other</v>
      </c>
      <c r="X1252" s="83"/>
    </row>
    <row r="1253" spans="1:24" ht="14.4" customHeight="1">
      <c r="A1253" s="608" t="s">
        <v>3147</v>
      </c>
      <c r="B1253" s="608" t="s">
        <v>3534</v>
      </c>
      <c r="C1253" s="608" t="s">
        <v>268</v>
      </c>
      <c r="D1253" s="609">
        <v>0</v>
      </c>
      <c r="E1253" s="609">
        <v>87674.59</v>
      </c>
      <c r="F1253" s="609">
        <v>0</v>
      </c>
      <c r="G1253" s="609">
        <v>0</v>
      </c>
      <c r="H1253" s="609">
        <v>0</v>
      </c>
      <c r="I1253" s="609">
        <v>0</v>
      </c>
      <c r="J1253" s="609">
        <v>0</v>
      </c>
      <c r="K1253" s="609">
        <v>0</v>
      </c>
      <c r="L1253" s="609">
        <v>0</v>
      </c>
      <c r="M1253" s="609">
        <v>0</v>
      </c>
      <c r="N1253" s="587">
        <f t="shared" si="140"/>
        <v>0</v>
      </c>
      <c r="P1253" s="490">
        <f>N1253-H1253</f>
        <v>0</v>
      </c>
      <c r="Q1253" t="str">
        <f t="shared" si="141"/>
        <v>58830</v>
      </c>
      <c r="R1253" s="126" t="str">
        <f t="shared" si="142"/>
        <v>MACHINERY &amp; EQUIPMENT</v>
      </c>
      <c r="S1253" s="125" t="str">
        <f t="shared" si="143"/>
        <v>115</v>
      </c>
      <c r="T1253" s="125" t="str">
        <f t="shared" si="144"/>
        <v>35</v>
      </c>
      <c r="U1253" s="125" t="str">
        <f t="shared" si="145"/>
        <v>353</v>
      </c>
      <c r="V1253" s="125" t="str">
        <f>VLOOKUP(Q1253,'GL Category'!A:C,3,FALSE)</f>
        <v>Capital Outlay</v>
      </c>
      <c r="X1253" s="83"/>
    </row>
    <row r="1254" spans="1:24" ht="20.399999999999999" customHeight="1">
      <c r="A1254" s="608" t="s">
        <v>3147</v>
      </c>
      <c r="B1254" s="608" t="s">
        <v>1818</v>
      </c>
      <c r="C1254" s="608" t="s">
        <v>191</v>
      </c>
      <c r="D1254" s="609">
        <v>0</v>
      </c>
      <c r="E1254" s="609">
        <v>0</v>
      </c>
      <c r="F1254" s="609">
        <v>159.91999999999999</v>
      </c>
      <c r="G1254" s="609">
        <v>0</v>
      </c>
      <c r="H1254" s="609">
        <v>0</v>
      </c>
      <c r="I1254" s="609">
        <v>0</v>
      </c>
      <c r="J1254" s="609">
        <v>0</v>
      </c>
      <c r="K1254" s="609">
        <v>0</v>
      </c>
      <c r="L1254" s="609">
        <v>0</v>
      </c>
      <c r="M1254" s="609">
        <v>0</v>
      </c>
      <c r="N1254" s="587">
        <f t="shared" si="140"/>
        <v>0</v>
      </c>
      <c r="P1254" s="490">
        <f>N1254-H1254</f>
        <v>0</v>
      </c>
      <c r="Q1254" t="str">
        <f t="shared" si="141"/>
        <v>53515</v>
      </c>
      <c r="R1254" s="126" t="str">
        <f t="shared" si="142"/>
        <v>TRAVEL, TRAINING &amp; EDUCATION</v>
      </c>
      <c r="S1254" s="125" t="str">
        <f t="shared" si="143"/>
        <v>115</v>
      </c>
      <c r="T1254" s="125" t="str">
        <f t="shared" si="144"/>
        <v>35</v>
      </c>
      <c r="U1254" s="125" t="str">
        <f t="shared" si="145"/>
        <v>358</v>
      </c>
      <c r="V1254" s="125" t="str">
        <f>VLOOKUP(Q1254,'GL Category'!A:C,3,FALSE)</f>
        <v>Services &amp; other</v>
      </c>
      <c r="X1254" s="83"/>
    </row>
    <row r="1255" spans="1:24" ht="14.4" customHeight="1">
      <c r="A1255" s="608" t="s">
        <v>1028</v>
      </c>
      <c r="B1255" s="608" t="s">
        <v>1951</v>
      </c>
      <c r="C1255" s="608" t="s">
        <v>149</v>
      </c>
      <c r="D1255" s="609">
        <v>4.5</v>
      </c>
      <c r="E1255" s="609">
        <v>2924.81</v>
      </c>
      <c r="F1255" s="609">
        <v>3032.35</v>
      </c>
      <c r="G1255" s="609">
        <v>3921.92</v>
      </c>
      <c r="H1255" s="609">
        <v>0</v>
      </c>
      <c r="I1255" s="609">
        <v>1440</v>
      </c>
      <c r="J1255" s="609">
        <v>0</v>
      </c>
      <c r="K1255" s="609">
        <v>0</v>
      </c>
      <c r="L1255" s="609">
        <v>0</v>
      </c>
      <c r="M1255" s="609">
        <v>0</v>
      </c>
      <c r="N1255" s="587">
        <f t="shared" si="140"/>
        <v>0</v>
      </c>
      <c r="Q1255" t="str">
        <f t="shared" si="141"/>
        <v>51210</v>
      </c>
      <c r="R1255" s="126" t="str">
        <f t="shared" si="142"/>
        <v>OFFICE SUPPLIES</v>
      </c>
      <c r="S1255" s="125" t="str">
        <f t="shared" si="143"/>
        <v>116</v>
      </c>
      <c r="T1255" s="125" t="str">
        <f t="shared" si="144"/>
        <v>10</v>
      </c>
      <c r="U1255" s="125" t="str">
        <f t="shared" si="145"/>
        <v>101</v>
      </c>
      <c r="V1255" s="125" t="str">
        <f>VLOOKUP(Q1255,'GL Category'!A:C,3,FALSE)</f>
        <v>Operations &amp; maintenance</v>
      </c>
      <c r="X1255" s="83"/>
    </row>
    <row r="1256" spans="1:24" ht="14.4" customHeight="1">
      <c r="A1256" s="608" t="s">
        <v>1028</v>
      </c>
      <c r="B1256" s="608" t="s">
        <v>1948</v>
      </c>
      <c r="C1256" s="608" t="s">
        <v>4</v>
      </c>
      <c r="D1256" s="609">
        <v>14046.12</v>
      </c>
      <c r="E1256" s="609">
        <v>11786.08</v>
      </c>
      <c r="F1256" s="609">
        <v>22946.04</v>
      </c>
      <c r="G1256" s="609">
        <v>19311.34</v>
      </c>
      <c r="H1256" s="609">
        <v>40000</v>
      </c>
      <c r="I1256" s="609">
        <v>22796.04</v>
      </c>
      <c r="J1256" s="609">
        <v>30000</v>
      </c>
      <c r="K1256" s="609">
        <v>50000</v>
      </c>
      <c r="L1256" s="609">
        <v>0</v>
      </c>
      <c r="M1256" s="609">
        <v>0</v>
      </c>
      <c r="N1256" s="587">
        <f t="shared" si="140"/>
        <v>50000</v>
      </c>
      <c r="Q1256" t="str">
        <f t="shared" si="141"/>
        <v>51245</v>
      </c>
      <c r="R1256" s="126" t="str">
        <f t="shared" si="142"/>
        <v>SMALL TOOLS &amp; EQUIPMENT</v>
      </c>
      <c r="S1256" s="125" t="str">
        <f t="shared" si="143"/>
        <v>116</v>
      </c>
      <c r="T1256" s="125" t="str">
        <f t="shared" si="144"/>
        <v>10</v>
      </c>
      <c r="U1256" s="125" t="str">
        <f t="shared" si="145"/>
        <v>101</v>
      </c>
      <c r="V1256" s="125" t="str">
        <f>VLOOKUP(Q1256,'GL Category'!A:C,3,FALSE)</f>
        <v>Operations &amp; maintenance</v>
      </c>
      <c r="X1256" s="83"/>
    </row>
    <row r="1257" spans="1:24" ht="20.399999999999999" customHeight="1">
      <c r="A1257" s="608" t="s">
        <v>1028</v>
      </c>
      <c r="B1257" s="608" t="s">
        <v>1949</v>
      </c>
      <c r="C1257" s="608" t="s">
        <v>171</v>
      </c>
      <c r="D1257" s="609">
        <v>3079.7</v>
      </c>
      <c r="E1257" s="609">
        <v>0</v>
      </c>
      <c r="F1257" s="609">
        <v>20504.98</v>
      </c>
      <c r="G1257" s="609">
        <v>0</v>
      </c>
      <c r="H1257" s="609">
        <v>0</v>
      </c>
      <c r="I1257" s="609">
        <v>0</v>
      </c>
      <c r="J1257" s="609">
        <v>0</v>
      </c>
      <c r="K1257" s="609">
        <v>0</v>
      </c>
      <c r="L1257" s="609">
        <v>0</v>
      </c>
      <c r="M1257" s="609">
        <v>0</v>
      </c>
      <c r="N1257" s="587">
        <f t="shared" si="140"/>
        <v>0</v>
      </c>
      <c r="Q1257" t="str">
        <f t="shared" si="141"/>
        <v>52310</v>
      </c>
      <c r="R1257" s="126" t="str">
        <f t="shared" si="142"/>
        <v>BUILDING MAINTENANCE</v>
      </c>
      <c r="S1257" s="125" t="str">
        <f t="shared" si="143"/>
        <v>116</v>
      </c>
      <c r="T1257" s="125" t="str">
        <f t="shared" si="144"/>
        <v>10</v>
      </c>
      <c r="U1257" s="125" t="str">
        <f t="shared" si="145"/>
        <v>101</v>
      </c>
      <c r="V1257" s="125" t="str">
        <f>VLOOKUP(Q1257,'GL Category'!A:C,3,FALSE)</f>
        <v>Operations &amp; maintenance</v>
      </c>
      <c r="X1257" s="83"/>
    </row>
    <row r="1258" spans="1:24" ht="20.399999999999999" customHeight="1">
      <c r="A1258" s="608" t="s">
        <v>1028</v>
      </c>
      <c r="B1258" s="608" t="s">
        <v>1950</v>
      </c>
      <c r="C1258" s="608" t="s">
        <v>177</v>
      </c>
      <c r="D1258" s="609">
        <v>0</v>
      </c>
      <c r="E1258" s="609">
        <v>0</v>
      </c>
      <c r="F1258" s="609">
        <v>0</v>
      </c>
      <c r="G1258" s="609">
        <v>0</v>
      </c>
      <c r="H1258" s="609">
        <v>0</v>
      </c>
      <c r="I1258" s="609">
        <v>0</v>
      </c>
      <c r="J1258" s="609">
        <v>0</v>
      </c>
      <c r="K1258" s="609">
        <v>0</v>
      </c>
      <c r="L1258" s="609">
        <v>0</v>
      </c>
      <c r="M1258" s="609">
        <v>0</v>
      </c>
      <c r="N1258" s="587">
        <f t="shared" si="140"/>
        <v>0</v>
      </c>
      <c r="Q1258" t="str">
        <f t="shared" si="141"/>
        <v>52480</v>
      </c>
      <c r="R1258" s="126" t="str">
        <f t="shared" si="142"/>
        <v>OFFICE EQUIPMENT MAINTENANCE</v>
      </c>
      <c r="S1258" s="125" t="str">
        <f t="shared" si="143"/>
        <v>116</v>
      </c>
      <c r="T1258" s="125" t="str">
        <f t="shared" si="144"/>
        <v>10</v>
      </c>
      <c r="U1258" s="125" t="str">
        <f t="shared" si="145"/>
        <v>101</v>
      </c>
      <c r="V1258" s="125" t="str">
        <f>VLOOKUP(Q1258,'GL Category'!A:C,3,FALSE)</f>
        <v>Operations &amp; maintenance</v>
      </c>
      <c r="X1258" s="83"/>
    </row>
    <row r="1259" spans="1:24" ht="14.4" customHeight="1">
      <c r="A1259" s="608" t="s">
        <v>1028</v>
      </c>
      <c r="B1259" s="608" t="s">
        <v>1953</v>
      </c>
      <c r="C1259" s="608" t="s">
        <v>193</v>
      </c>
      <c r="D1259" s="609">
        <v>4619</v>
      </c>
      <c r="E1259" s="609">
        <v>1940.75</v>
      </c>
      <c r="F1259" s="609">
        <v>6212.5</v>
      </c>
      <c r="G1259" s="609">
        <v>4567.5</v>
      </c>
      <c r="H1259" s="609">
        <v>30000</v>
      </c>
      <c r="I1259" s="609">
        <v>1662.5</v>
      </c>
      <c r="J1259" s="609">
        <v>7000</v>
      </c>
      <c r="K1259" s="609">
        <v>30000</v>
      </c>
      <c r="L1259" s="609">
        <v>0</v>
      </c>
      <c r="M1259" s="609">
        <v>0</v>
      </c>
      <c r="N1259" s="587">
        <f t="shared" si="140"/>
        <v>30000</v>
      </c>
      <c r="Q1259" t="str">
        <f t="shared" si="141"/>
        <v>53513</v>
      </c>
      <c r="R1259" s="126" t="str">
        <f t="shared" si="142"/>
        <v>CONSULTING SERVICES</v>
      </c>
      <c r="S1259" s="125" t="str">
        <f t="shared" si="143"/>
        <v>116</v>
      </c>
      <c r="T1259" s="125" t="str">
        <f t="shared" si="144"/>
        <v>10</v>
      </c>
      <c r="U1259" s="125" t="str">
        <f t="shared" si="145"/>
        <v>101</v>
      </c>
      <c r="V1259" s="125" t="str">
        <f>VLOOKUP(Q1259,'GL Category'!A:C,3,FALSE)</f>
        <v>Services &amp; other</v>
      </c>
      <c r="X1259" s="83"/>
    </row>
    <row r="1260" spans="1:24" ht="14.4" customHeight="1">
      <c r="A1260" s="608" t="s">
        <v>1028</v>
      </c>
      <c r="B1260" s="608" t="s">
        <v>1952</v>
      </c>
      <c r="C1260" s="608" t="s">
        <v>238</v>
      </c>
      <c r="D1260" s="609">
        <v>44754.81</v>
      </c>
      <c r="E1260" s="609">
        <v>47887.65</v>
      </c>
      <c r="F1260" s="609">
        <v>52314.27</v>
      </c>
      <c r="G1260" s="609">
        <v>50804.04</v>
      </c>
      <c r="H1260" s="609">
        <v>65000</v>
      </c>
      <c r="I1260" s="609">
        <v>62628.160000000003</v>
      </c>
      <c r="J1260" s="609">
        <v>63000</v>
      </c>
      <c r="K1260" s="609">
        <v>75000</v>
      </c>
      <c r="L1260" s="609">
        <v>0</v>
      </c>
      <c r="M1260" s="609">
        <v>0</v>
      </c>
      <c r="N1260" s="587">
        <f t="shared" si="140"/>
        <v>75000</v>
      </c>
      <c r="Q1260" t="str">
        <f t="shared" si="141"/>
        <v>53599</v>
      </c>
      <c r="R1260" s="126" t="str">
        <f t="shared" si="142"/>
        <v>MISCELLANEOUS SERVICES</v>
      </c>
      <c r="S1260" s="125" t="str">
        <f t="shared" si="143"/>
        <v>116</v>
      </c>
      <c r="T1260" s="125" t="str">
        <f t="shared" si="144"/>
        <v>10</v>
      </c>
      <c r="U1260" s="125" t="str">
        <f t="shared" si="145"/>
        <v>101</v>
      </c>
      <c r="V1260" s="125" t="str">
        <f>VLOOKUP(Q1260,'GL Category'!A:C,3,FALSE)</f>
        <v>Services &amp; other</v>
      </c>
      <c r="X1260" s="83"/>
    </row>
    <row r="1261" spans="1:24" ht="14.4" customHeight="1">
      <c r="A1261" s="608" t="s">
        <v>1028</v>
      </c>
      <c r="B1261" s="608" t="s">
        <v>1954</v>
      </c>
      <c r="C1261" s="608" t="s">
        <v>268</v>
      </c>
      <c r="D1261" s="609">
        <v>0</v>
      </c>
      <c r="E1261" s="609">
        <v>49054</v>
      </c>
      <c r="F1261" s="609">
        <v>19873</v>
      </c>
      <c r="G1261" s="609">
        <v>0</v>
      </c>
      <c r="H1261" s="609">
        <v>0</v>
      </c>
      <c r="I1261" s="609">
        <v>0</v>
      </c>
      <c r="J1261" s="609">
        <v>0</v>
      </c>
      <c r="K1261" s="609">
        <v>0</v>
      </c>
      <c r="L1261" s="609">
        <v>0</v>
      </c>
      <c r="M1261" s="609">
        <v>0</v>
      </c>
      <c r="N1261" s="587">
        <f t="shared" si="140"/>
        <v>0</v>
      </c>
      <c r="Q1261" t="str">
        <f t="shared" si="141"/>
        <v>58830</v>
      </c>
      <c r="R1261" s="126" t="str">
        <f t="shared" si="142"/>
        <v>MACHINERY &amp; EQUIPMENT</v>
      </c>
      <c r="S1261" s="125" t="str">
        <f t="shared" si="143"/>
        <v>116</v>
      </c>
      <c r="T1261" s="125" t="str">
        <f t="shared" si="144"/>
        <v>10</v>
      </c>
      <c r="U1261" s="125" t="str">
        <f t="shared" si="145"/>
        <v>101</v>
      </c>
      <c r="V1261" s="125" t="str">
        <f>VLOOKUP(Q1261,'GL Category'!A:C,3,FALSE)</f>
        <v>Capital Outlay</v>
      </c>
      <c r="X1261" s="83"/>
    </row>
    <row r="1262" spans="1:24" ht="20.399999999999999" customHeight="1">
      <c r="A1262" s="608" t="s">
        <v>1028</v>
      </c>
      <c r="B1262" s="608" t="s">
        <v>3443</v>
      </c>
      <c r="C1262" s="608" t="s">
        <v>3437</v>
      </c>
      <c r="D1262" s="609">
        <v>0</v>
      </c>
      <c r="E1262" s="609">
        <v>0</v>
      </c>
      <c r="F1262" s="609">
        <v>0</v>
      </c>
      <c r="G1262" s="609">
        <v>0</v>
      </c>
      <c r="H1262" s="609">
        <v>0</v>
      </c>
      <c r="I1262" s="609">
        <v>0</v>
      </c>
      <c r="J1262" s="609">
        <v>0</v>
      </c>
      <c r="K1262" s="609">
        <v>0</v>
      </c>
      <c r="L1262" s="609">
        <v>0</v>
      </c>
      <c r="M1262" s="609">
        <v>0</v>
      </c>
      <c r="N1262" s="587">
        <f t="shared" si="140"/>
        <v>0</v>
      </c>
      <c r="Q1262" t="str">
        <f t="shared" si="141"/>
        <v>58860</v>
      </c>
      <c r="R1262" s="126" t="str">
        <f t="shared" si="142"/>
        <v>CAPITAL OUTLAY - SBITA</v>
      </c>
      <c r="S1262" s="125" t="str">
        <f t="shared" si="143"/>
        <v>116</v>
      </c>
      <c r="T1262" s="125" t="str">
        <f t="shared" si="144"/>
        <v>10</v>
      </c>
      <c r="U1262" s="125" t="str">
        <f t="shared" si="145"/>
        <v>101</v>
      </c>
      <c r="V1262" s="125" t="e">
        <f>VLOOKUP(Q1262,'GL Category'!A:C,3,FALSE)</f>
        <v>#N/A</v>
      </c>
      <c r="X1262" s="83"/>
    </row>
    <row r="1263" spans="1:24" ht="20.399999999999999" customHeight="1">
      <c r="A1263" s="608" t="s">
        <v>1028</v>
      </c>
      <c r="B1263" s="608" t="s">
        <v>3444</v>
      </c>
      <c r="C1263" s="608" t="s">
        <v>3438</v>
      </c>
      <c r="D1263" s="609">
        <v>0</v>
      </c>
      <c r="E1263" s="609">
        <v>0</v>
      </c>
      <c r="F1263" s="609">
        <v>0</v>
      </c>
      <c r="G1263" s="609">
        <v>0</v>
      </c>
      <c r="H1263" s="609">
        <v>0</v>
      </c>
      <c r="I1263" s="609">
        <v>0</v>
      </c>
      <c r="J1263" s="609">
        <v>0</v>
      </c>
      <c r="K1263" s="609">
        <v>0</v>
      </c>
      <c r="L1263" s="609">
        <v>0</v>
      </c>
      <c r="M1263" s="609">
        <v>0</v>
      </c>
      <c r="N1263" s="587">
        <f t="shared" si="140"/>
        <v>0</v>
      </c>
      <c r="Q1263" t="str">
        <f t="shared" si="141"/>
        <v>56902</v>
      </c>
      <c r="R1263" s="126" t="str">
        <f t="shared" si="142"/>
        <v>GO RETIREMENT-SBITA</v>
      </c>
      <c r="S1263" s="125" t="str">
        <f t="shared" si="143"/>
        <v>116</v>
      </c>
      <c r="T1263" s="125" t="str">
        <f t="shared" si="144"/>
        <v>99</v>
      </c>
      <c r="U1263" s="125" t="str">
        <f t="shared" si="145"/>
        <v>992</v>
      </c>
      <c r="V1263" s="125" t="str">
        <f>VLOOKUP(Q1263,'GL Category'!A:C,3,FALSE)</f>
        <v>Debt Service</v>
      </c>
      <c r="X1263" s="83"/>
    </row>
    <row r="1264" spans="1:24" ht="20.399999999999999" customHeight="1">
      <c r="A1264" s="608" t="s">
        <v>1029</v>
      </c>
      <c r="B1264" s="608" t="s">
        <v>3535</v>
      </c>
      <c r="C1264" s="608" t="s">
        <v>171</v>
      </c>
      <c r="D1264" s="609">
        <v>0</v>
      </c>
      <c r="E1264" s="609">
        <v>0</v>
      </c>
      <c r="F1264" s="609">
        <v>0</v>
      </c>
      <c r="G1264" s="609">
        <v>0</v>
      </c>
      <c r="H1264" s="609">
        <v>0</v>
      </c>
      <c r="I1264" s="609">
        <v>0</v>
      </c>
      <c r="J1264" s="609">
        <v>0</v>
      </c>
      <c r="K1264" s="609">
        <v>0</v>
      </c>
      <c r="L1264" s="609">
        <v>0</v>
      </c>
      <c r="M1264" s="609">
        <v>0</v>
      </c>
      <c r="N1264" s="587">
        <f t="shared" si="140"/>
        <v>0</v>
      </c>
      <c r="Q1264" t="str">
        <f t="shared" si="141"/>
        <v>52310</v>
      </c>
      <c r="R1264" s="126" t="str">
        <f t="shared" si="142"/>
        <v>BUILDING MAINTENANCE</v>
      </c>
      <c r="S1264" s="125" t="str">
        <f t="shared" si="143"/>
        <v>118</v>
      </c>
      <c r="T1264" s="125" t="str">
        <f t="shared" si="144"/>
        <v>30</v>
      </c>
      <c r="U1264" s="125" t="str">
        <f t="shared" si="145"/>
        <v>353</v>
      </c>
      <c r="V1264" s="125" t="str">
        <f>VLOOKUP(Q1264,'GL Category'!A:C,3,FALSE)</f>
        <v>Operations &amp; maintenance</v>
      </c>
      <c r="X1264" s="83"/>
    </row>
    <row r="1265" spans="1:24" ht="20.399999999999999" customHeight="1">
      <c r="A1265" s="608" t="s">
        <v>1029</v>
      </c>
      <c r="B1265" s="608" t="s">
        <v>1969</v>
      </c>
      <c r="C1265" s="608" t="s">
        <v>130</v>
      </c>
      <c r="D1265" s="609">
        <v>72894.320000000007</v>
      </c>
      <c r="E1265" s="609">
        <v>74945.119999999995</v>
      </c>
      <c r="F1265" s="609">
        <v>78605.27</v>
      </c>
      <c r="G1265" s="609">
        <v>81896.800000000003</v>
      </c>
      <c r="H1265" s="609">
        <v>84823</v>
      </c>
      <c r="I1265" s="609">
        <v>65009.919999999998</v>
      </c>
      <c r="J1265" s="609">
        <v>85341</v>
      </c>
      <c r="K1265" s="609">
        <v>88255</v>
      </c>
      <c r="L1265" s="609">
        <v>0</v>
      </c>
      <c r="M1265" s="609">
        <v>0</v>
      </c>
      <c r="N1265" s="587">
        <f t="shared" si="140"/>
        <v>88255</v>
      </c>
      <c r="Q1265" t="str">
        <f t="shared" si="141"/>
        <v>50101</v>
      </c>
      <c r="R1265" s="126" t="str">
        <f t="shared" si="142"/>
        <v>EXEMPT SALARIES</v>
      </c>
      <c r="S1265" s="125" t="str">
        <f t="shared" si="143"/>
        <v>118</v>
      </c>
      <c r="T1265" s="125" t="str">
        <f t="shared" si="144"/>
        <v>31</v>
      </c>
      <c r="U1265" s="125" t="str">
        <f t="shared" si="145"/>
        <v>311</v>
      </c>
      <c r="V1265" s="125" t="str">
        <f>VLOOKUP(Q1265,'GL Category'!A:C,3,FALSE)</f>
        <v>Personnel services</v>
      </c>
      <c r="X1265" s="83"/>
    </row>
    <row r="1266" spans="1:24" ht="20.399999999999999" customHeight="1">
      <c r="A1266" s="608" t="s">
        <v>1029</v>
      </c>
      <c r="B1266" s="608" t="s">
        <v>1970</v>
      </c>
      <c r="C1266" s="608" t="s">
        <v>137</v>
      </c>
      <c r="D1266" s="609">
        <v>740</v>
      </c>
      <c r="E1266" s="609">
        <v>800</v>
      </c>
      <c r="F1266" s="609">
        <v>860</v>
      </c>
      <c r="G1266" s="609">
        <v>920</v>
      </c>
      <c r="H1266" s="609">
        <v>995</v>
      </c>
      <c r="I1266" s="609">
        <v>980</v>
      </c>
      <c r="J1266" s="609">
        <v>980</v>
      </c>
      <c r="K1266" s="609">
        <v>1057</v>
      </c>
      <c r="L1266" s="609">
        <v>0</v>
      </c>
      <c r="M1266" s="609">
        <v>0</v>
      </c>
      <c r="N1266" s="587">
        <f t="shared" si="140"/>
        <v>1057</v>
      </c>
      <c r="P1266" s="490">
        <f>N1266-H1266</f>
        <v>62</v>
      </c>
      <c r="Q1266" t="str">
        <f t="shared" si="141"/>
        <v>50111</v>
      </c>
      <c r="R1266" s="126" t="str">
        <f t="shared" si="142"/>
        <v>LONGEVITY PAY</v>
      </c>
      <c r="S1266" s="125" t="str">
        <f t="shared" si="143"/>
        <v>118</v>
      </c>
      <c r="T1266" s="125" t="str">
        <f t="shared" si="144"/>
        <v>31</v>
      </c>
      <c r="U1266" s="125" t="str">
        <f t="shared" si="145"/>
        <v>311</v>
      </c>
      <c r="V1266" s="125" t="str">
        <f>VLOOKUP(Q1266,'GL Category'!A:C,3,FALSE)</f>
        <v>Personnel services</v>
      </c>
      <c r="X1266" s="83"/>
    </row>
    <row r="1267" spans="1:24" ht="20.399999999999999" customHeight="1">
      <c r="A1267" s="608" t="s">
        <v>1029</v>
      </c>
      <c r="B1267" s="608" t="s">
        <v>3213</v>
      </c>
      <c r="C1267" s="608" t="s">
        <v>283</v>
      </c>
      <c r="D1267" s="609">
        <v>0</v>
      </c>
      <c r="E1267" s="609">
        <v>0</v>
      </c>
      <c r="F1267" s="609">
        <v>0</v>
      </c>
      <c r="G1267" s="609">
        <v>0</v>
      </c>
      <c r="H1267" s="609">
        <v>0</v>
      </c>
      <c r="I1267" s="609">
        <v>0</v>
      </c>
      <c r="J1267" s="609">
        <v>0</v>
      </c>
      <c r="K1267" s="609">
        <v>0</v>
      </c>
      <c r="L1267" s="609">
        <v>0</v>
      </c>
      <c r="M1267" s="609">
        <v>0</v>
      </c>
      <c r="N1267" s="587">
        <f t="shared" si="140"/>
        <v>0</v>
      </c>
      <c r="P1267" s="490">
        <f>N1267-H1267</f>
        <v>0</v>
      </c>
      <c r="Q1267" t="str">
        <f t="shared" si="141"/>
        <v>50115</v>
      </c>
      <c r="R1267" s="126" t="str">
        <f t="shared" si="142"/>
        <v>INCENTIVE/CERTIFICATION PAY</v>
      </c>
      <c r="S1267" s="125" t="str">
        <f t="shared" si="143"/>
        <v>118</v>
      </c>
      <c r="T1267" s="125" t="str">
        <f t="shared" si="144"/>
        <v>31</v>
      </c>
      <c r="U1267" s="125" t="str">
        <f t="shared" si="145"/>
        <v>311</v>
      </c>
      <c r="V1267" s="125" t="str">
        <f>VLOOKUP(Q1267,'GL Category'!A:C,3,FALSE)</f>
        <v>Personnel services</v>
      </c>
      <c r="X1267" s="83"/>
    </row>
    <row r="1268" spans="1:24" ht="14.4" customHeight="1">
      <c r="A1268" s="608" t="s">
        <v>1029</v>
      </c>
      <c r="B1268" s="608" t="s">
        <v>3214</v>
      </c>
      <c r="C1268" s="608" t="s">
        <v>3</v>
      </c>
      <c r="D1268" s="609">
        <v>0</v>
      </c>
      <c r="E1268" s="609">
        <v>0</v>
      </c>
      <c r="F1268" s="609">
        <v>0</v>
      </c>
      <c r="G1268" s="609">
        <v>0</v>
      </c>
      <c r="H1268" s="609">
        <v>0</v>
      </c>
      <c r="I1268" s="609">
        <v>0</v>
      </c>
      <c r="J1268" s="609">
        <v>0</v>
      </c>
      <c r="K1268" s="609">
        <v>0</v>
      </c>
      <c r="L1268" s="609">
        <v>0</v>
      </c>
      <c r="M1268" s="609">
        <v>0</v>
      </c>
      <c r="N1268" s="587">
        <f t="shared" si="140"/>
        <v>0</v>
      </c>
      <c r="Q1268" t="str">
        <f t="shared" si="141"/>
        <v>50120</v>
      </c>
      <c r="R1268" s="126" t="str">
        <f t="shared" si="142"/>
        <v>AUTO ALLOWANCE</v>
      </c>
      <c r="S1268" s="125" t="str">
        <f t="shared" si="143"/>
        <v>118</v>
      </c>
      <c r="T1268" s="125" t="str">
        <f t="shared" si="144"/>
        <v>31</v>
      </c>
      <c r="U1268" s="125" t="str">
        <f t="shared" si="145"/>
        <v>311</v>
      </c>
      <c r="V1268" s="125" t="str">
        <f>VLOOKUP(Q1268,'GL Category'!A:C,3,FALSE)</f>
        <v>Personnel services</v>
      </c>
      <c r="X1268" s="83"/>
    </row>
    <row r="1269" spans="1:24" ht="20.399999999999999" customHeight="1">
      <c r="A1269" s="608" t="s">
        <v>1029</v>
      </c>
      <c r="B1269" s="608" t="s">
        <v>1971</v>
      </c>
      <c r="C1269" s="608" t="s">
        <v>1</v>
      </c>
      <c r="D1269" s="609">
        <v>5397.21</v>
      </c>
      <c r="E1269" s="609">
        <v>5552.74</v>
      </c>
      <c r="F1269" s="609">
        <v>5836.49</v>
      </c>
      <c r="G1269" s="609">
        <v>6005.91</v>
      </c>
      <c r="H1269" s="609">
        <v>6570</v>
      </c>
      <c r="I1269" s="609">
        <v>4650.55</v>
      </c>
      <c r="J1269" s="609">
        <v>6272</v>
      </c>
      <c r="K1269" s="609">
        <v>6840</v>
      </c>
      <c r="L1269" s="609">
        <v>0</v>
      </c>
      <c r="M1269" s="609">
        <v>0</v>
      </c>
      <c r="N1269" s="587">
        <f t="shared" si="140"/>
        <v>6840</v>
      </c>
      <c r="Q1269" t="str">
        <f t="shared" si="141"/>
        <v>50610</v>
      </c>
      <c r="R1269" s="126" t="str">
        <f t="shared" si="142"/>
        <v>SOCIAL SECURITY</v>
      </c>
      <c r="S1269" s="125" t="str">
        <f t="shared" si="143"/>
        <v>118</v>
      </c>
      <c r="T1269" s="125" t="str">
        <f t="shared" si="144"/>
        <v>31</v>
      </c>
      <c r="U1269" s="125" t="str">
        <f t="shared" si="145"/>
        <v>311</v>
      </c>
      <c r="V1269" s="125" t="str">
        <f>VLOOKUP(Q1269,'GL Category'!A:C,3,FALSE)</f>
        <v>Personnel services</v>
      </c>
      <c r="X1269" s="83"/>
    </row>
    <row r="1270" spans="1:24" ht="20.399999999999999" customHeight="1">
      <c r="A1270" s="608" t="s">
        <v>1029</v>
      </c>
      <c r="B1270" s="608" t="s">
        <v>1972</v>
      </c>
      <c r="C1270" s="608" t="s">
        <v>142</v>
      </c>
      <c r="D1270" s="609">
        <v>10973.87</v>
      </c>
      <c r="E1270" s="609">
        <v>11313.83</v>
      </c>
      <c r="F1270" s="609">
        <v>11244.53</v>
      </c>
      <c r="G1270" s="609">
        <v>13392.53</v>
      </c>
      <c r="H1270" s="609">
        <v>11044</v>
      </c>
      <c r="I1270" s="609">
        <v>13622.6</v>
      </c>
      <c r="J1270" s="609">
        <v>18257</v>
      </c>
      <c r="K1270" s="609">
        <v>17871</v>
      </c>
      <c r="L1270" s="609">
        <v>0</v>
      </c>
      <c r="M1270" s="609">
        <v>0</v>
      </c>
      <c r="N1270" s="587">
        <f t="shared" si="140"/>
        <v>17871</v>
      </c>
      <c r="Q1270" t="str">
        <f t="shared" si="141"/>
        <v>50620</v>
      </c>
      <c r="R1270" s="126" t="str">
        <f t="shared" si="142"/>
        <v>HEALTH/LIFE INSURANCE</v>
      </c>
      <c r="S1270" s="125" t="str">
        <f t="shared" si="143"/>
        <v>118</v>
      </c>
      <c r="T1270" s="125" t="str">
        <f t="shared" si="144"/>
        <v>31</v>
      </c>
      <c r="U1270" s="125" t="str">
        <f t="shared" si="145"/>
        <v>311</v>
      </c>
      <c r="V1270" s="125" t="str">
        <f>VLOOKUP(Q1270,'GL Category'!A:C,3,FALSE)</f>
        <v>Personnel services</v>
      </c>
      <c r="X1270" s="83"/>
    </row>
    <row r="1271" spans="1:24" ht="20.399999999999999" customHeight="1">
      <c r="A1271" s="608" t="s">
        <v>1029</v>
      </c>
      <c r="B1271" s="608" t="s">
        <v>1973</v>
      </c>
      <c r="C1271" s="608" t="s">
        <v>144</v>
      </c>
      <c r="D1271" s="609">
        <v>48.56</v>
      </c>
      <c r="E1271" s="609">
        <v>45.11</v>
      </c>
      <c r="F1271" s="609">
        <v>51.57</v>
      </c>
      <c r="G1271" s="609">
        <v>93.17</v>
      </c>
      <c r="H1271" s="609">
        <v>123</v>
      </c>
      <c r="I1271" s="609">
        <v>122.9</v>
      </c>
      <c r="J1271" s="609">
        <v>123</v>
      </c>
      <c r="K1271" s="609">
        <v>243</v>
      </c>
      <c r="L1271" s="609">
        <v>0</v>
      </c>
      <c r="M1271" s="609">
        <v>0</v>
      </c>
      <c r="N1271" s="587">
        <f t="shared" si="140"/>
        <v>243</v>
      </c>
      <c r="Q1271" t="str">
        <f t="shared" si="141"/>
        <v>50630</v>
      </c>
      <c r="R1271" s="126" t="str">
        <f t="shared" si="142"/>
        <v>WORKER COMPENSATION</v>
      </c>
      <c r="S1271" s="125" t="str">
        <f t="shared" si="143"/>
        <v>118</v>
      </c>
      <c r="T1271" s="125" t="str">
        <f t="shared" si="144"/>
        <v>31</v>
      </c>
      <c r="U1271" s="125" t="str">
        <f t="shared" si="145"/>
        <v>311</v>
      </c>
      <c r="V1271" s="125" t="str">
        <f>VLOOKUP(Q1271,'GL Category'!A:C,3,FALSE)</f>
        <v>Personnel services</v>
      </c>
      <c r="X1271" s="83"/>
    </row>
    <row r="1272" spans="1:24" ht="20.399999999999999" customHeight="1">
      <c r="A1272" s="608" t="s">
        <v>1029</v>
      </c>
      <c r="B1272" s="608" t="s">
        <v>1974</v>
      </c>
      <c r="C1272" s="608" t="s">
        <v>2</v>
      </c>
      <c r="D1272" s="609">
        <v>11694.8</v>
      </c>
      <c r="E1272" s="609">
        <v>12238.21</v>
      </c>
      <c r="F1272" s="609">
        <v>12865.3</v>
      </c>
      <c r="G1272" s="609">
        <v>13405.16</v>
      </c>
      <c r="H1272" s="609">
        <v>14070</v>
      </c>
      <c r="I1272" s="609">
        <v>10894.89</v>
      </c>
      <c r="J1272" s="609">
        <v>14284</v>
      </c>
      <c r="K1272" s="609">
        <v>15129</v>
      </c>
      <c r="L1272" s="609">
        <v>0</v>
      </c>
      <c r="M1272" s="609">
        <v>0</v>
      </c>
      <c r="N1272" s="587">
        <f t="shared" si="140"/>
        <v>15129</v>
      </c>
      <c r="Q1272" t="str">
        <f t="shared" si="141"/>
        <v>50650</v>
      </c>
      <c r="R1272" s="126" t="str">
        <f t="shared" si="142"/>
        <v>RETIREMENT</v>
      </c>
      <c r="S1272" s="125" t="str">
        <f t="shared" si="143"/>
        <v>118</v>
      </c>
      <c r="T1272" s="125" t="str">
        <f t="shared" si="144"/>
        <v>31</v>
      </c>
      <c r="U1272" s="125" t="str">
        <f t="shared" si="145"/>
        <v>311</v>
      </c>
      <c r="V1272" s="125" t="str">
        <f>VLOOKUP(Q1272,'GL Category'!A:C,3,FALSE)</f>
        <v>Personnel services</v>
      </c>
      <c r="X1272" s="83"/>
    </row>
    <row r="1273" spans="1:24" ht="20.399999999999999" customHeight="1">
      <c r="A1273" s="608" t="s">
        <v>1029</v>
      </c>
      <c r="B1273" s="608" t="s">
        <v>1975</v>
      </c>
      <c r="C1273" s="608" t="s">
        <v>4</v>
      </c>
      <c r="D1273" s="609">
        <v>0</v>
      </c>
      <c r="E1273" s="609">
        <v>0</v>
      </c>
      <c r="F1273" s="609">
        <v>0</v>
      </c>
      <c r="G1273" s="609">
        <v>0</v>
      </c>
      <c r="H1273" s="609">
        <v>2000</v>
      </c>
      <c r="I1273" s="609">
        <v>0</v>
      </c>
      <c r="J1273" s="609">
        <v>2000</v>
      </c>
      <c r="K1273" s="609">
        <v>2000</v>
      </c>
      <c r="L1273" s="609">
        <v>0</v>
      </c>
      <c r="M1273" s="609">
        <v>0</v>
      </c>
      <c r="N1273" s="587">
        <f t="shared" si="140"/>
        <v>2000</v>
      </c>
      <c r="P1273" s="490">
        <f>N1273-H1273</f>
        <v>0</v>
      </c>
      <c r="Q1273" t="str">
        <f t="shared" si="141"/>
        <v>51245</v>
      </c>
      <c r="R1273" s="126" t="str">
        <f t="shared" si="142"/>
        <v>SMALL TOOLS &amp; EQUIPMENT</v>
      </c>
      <c r="S1273" s="125" t="str">
        <f t="shared" si="143"/>
        <v>118</v>
      </c>
      <c r="T1273" s="125" t="str">
        <f t="shared" si="144"/>
        <v>31</v>
      </c>
      <c r="U1273" s="125" t="str">
        <f t="shared" si="145"/>
        <v>311</v>
      </c>
      <c r="V1273" s="125" t="str">
        <f>VLOOKUP(Q1273,'GL Category'!A:C,3,FALSE)</f>
        <v>Operations &amp; maintenance</v>
      </c>
      <c r="X1273" s="83"/>
    </row>
    <row r="1274" spans="1:24" s="499" customFormat="1" ht="20.399999999999999" customHeight="1">
      <c r="A1274" s="608" t="s">
        <v>1029</v>
      </c>
      <c r="B1274" s="608" t="s">
        <v>1977</v>
      </c>
      <c r="C1274" s="608" t="s">
        <v>191</v>
      </c>
      <c r="D1274" s="609">
        <v>240</v>
      </c>
      <c r="E1274" s="609">
        <v>0</v>
      </c>
      <c r="F1274" s="609">
        <v>240</v>
      </c>
      <c r="G1274" s="609">
        <v>0</v>
      </c>
      <c r="H1274" s="609">
        <v>0</v>
      </c>
      <c r="I1274" s="609">
        <v>3640.19</v>
      </c>
      <c r="J1274" s="609">
        <v>3650</v>
      </c>
      <c r="K1274" s="609">
        <v>0</v>
      </c>
      <c r="L1274" s="609">
        <v>0</v>
      </c>
      <c r="M1274" s="609">
        <v>0</v>
      </c>
      <c r="N1274" s="587">
        <f t="shared" si="140"/>
        <v>0</v>
      </c>
      <c r="O1274"/>
      <c r="P1274" s="490">
        <f>N1274-H1274</f>
        <v>0</v>
      </c>
      <c r="Q1274" t="str">
        <f t="shared" si="141"/>
        <v>53515</v>
      </c>
      <c r="R1274" s="500" t="str">
        <f t="shared" si="142"/>
        <v>TRAVEL, TRAINING &amp; EDUCATION</v>
      </c>
      <c r="S1274" s="498" t="str">
        <f t="shared" si="143"/>
        <v>118</v>
      </c>
      <c r="T1274" s="125" t="str">
        <f t="shared" si="144"/>
        <v>31</v>
      </c>
      <c r="U1274" s="125" t="str">
        <f t="shared" si="145"/>
        <v>311</v>
      </c>
      <c r="V1274" s="498" t="str">
        <f>VLOOKUP(Q1274,'GL Category'!A:C,3,FALSE)</f>
        <v>Services &amp; other</v>
      </c>
      <c r="X1274" s="83"/>
    </row>
    <row r="1275" spans="1:24" ht="20.399999999999999" customHeight="1">
      <c r="A1275" s="608" t="s">
        <v>1029</v>
      </c>
      <c r="B1275" s="608" t="s">
        <v>3424</v>
      </c>
      <c r="C1275" s="608" t="s">
        <v>205</v>
      </c>
      <c r="D1275" s="609">
        <v>0</v>
      </c>
      <c r="E1275" s="609">
        <v>0</v>
      </c>
      <c r="F1275" s="609">
        <v>0</v>
      </c>
      <c r="G1275" s="609">
        <v>0</v>
      </c>
      <c r="H1275" s="609">
        <v>0</v>
      </c>
      <c r="I1275" s="609">
        <v>1018.24</v>
      </c>
      <c r="J1275" s="609">
        <v>0</v>
      </c>
      <c r="K1275" s="609">
        <v>0</v>
      </c>
      <c r="L1275" s="609">
        <v>0</v>
      </c>
      <c r="M1275" s="609">
        <v>0</v>
      </c>
      <c r="N1275" s="587">
        <f t="shared" si="140"/>
        <v>0</v>
      </c>
      <c r="Q1275" t="str">
        <f t="shared" si="141"/>
        <v>53550</v>
      </c>
      <c r="R1275" s="126" t="str">
        <f t="shared" si="142"/>
        <v>BAD DEBT EXPENSE</v>
      </c>
      <c r="S1275" s="125" t="str">
        <f t="shared" si="143"/>
        <v>118</v>
      </c>
      <c r="T1275" s="125" t="str">
        <f t="shared" si="144"/>
        <v>31</v>
      </c>
      <c r="U1275" s="125" t="str">
        <f t="shared" si="145"/>
        <v>311</v>
      </c>
      <c r="V1275" s="125" t="str">
        <f>VLOOKUP(Q1275,'GL Category'!A:C,3,FALSE)</f>
        <v>Services &amp; other</v>
      </c>
      <c r="X1275" s="83"/>
    </row>
    <row r="1276" spans="1:24" ht="20.399999999999999" customHeight="1">
      <c r="A1276" s="608" t="s">
        <v>1029</v>
      </c>
      <c r="B1276" s="608" t="s">
        <v>1976</v>
      </c>
      <c r="C1276" s="608" t="s">
        <v>238</v>
      </c>
      <c r="D1276" s="609">
        <v>11731.08</v>
      </c>
      <c r="E1276" s="609">
        <v>10539.77</v>
      </c>
      <c r="F1276" s="609">
        <v>11925.63</v>
      </c>
      <c r="G1276" s="609">
        <v>9670</v>
      </c>
      <c r="H1276" s="609">
        <v>25100</v>
      </c>
      <c r="I1276" s="609">
        <v>9707.9500000000007</v>
      </c>
      <c r="J1276" s="609">
        <v>25100</v>
      </c>
      <c r="K1276" s="609">
        <v>26600</v>
      </c>
      <c r="L1276" s="609">
        <v>0</v>
      </c>
      <c r="M1276" s="609">
        <v>0</v>
      </c>
      <c r="N1276" s="587">
        <f t="shared" si="140"/>
        <v>26600</v>
      </c>
      <c r="Q1276" t="str">
        <f t="shared" si="141"/>
        <v>53599</v>
      </c>
      <c r="R1276" s="126" t="str">
        <f t="shared" si="142"/>
        <v>MISCELLANEOUS SERVICES</v>
      </c>
      <c r="S1276" s="125" t="str">
        <f t="shared" si="143"/>
        <v>118</v>
      </c>
      <c r="T1276" s="125" t="str">
        <f t="shared" si="144"/>
        <v>31</v>
      </c>
      <c r="U1276" s="125" t="str">
        <f t="shared" si="145"/>
        <v>311</v>
      </c>
      <c r="V1276" s="125" t="str">
        <f>VLOOKUP(Q1276,'GL Category'!A:C,3,FALSE)</f>
        <v>Services &amp; other</v>
      </c>
      <c r="X1276" s="83"/>
    </row>
    <row r="1277" spans="1:24" ht="20.399999999999999" customHeight="1">
      <c r="A1277" s="608" t="s">
        <v>1029</v>
      </c>
      <c r="B1277" s="608" t="s">
        <v>1992</v>
      </c>
      <c r="C1277" s="608" t="s">
        <v>4</v>
      </c>
      <c r="D1277" s="609">
        <v>38521.9</v>
      </c>
      <c r="E1277" s="609">
        <v>45096.63</v>
      </c>
      <c r="F1277" s="609">
        <v>77261.399999999994</v>
      </c>
      <c r="G1277" s="609">
        <v>120692.33</v>
      </c>
      <c r="H1277" s="609">
        <v>88745</v>
      </c>
      <c r="I1277" s="609">
        <v>63107.43</v>
      </c>
      <c r="J1277" s="609">
        <v>88745</v>
      </c>
      <c r="K1277" s="609">
        <v>167640</v>
      </c>
      <c r="L1277" s="609">
        <v>0</v>
      </c>
      <c r="M1277" s="609">
        <v>0</v>
      </c>
      <c r="N1277" s="587">
        <f t="shared" si="140"/>
        <v>167640</v>
      </c>
      <c r="Q1277" t="str">
        <f t="shared" si="141"/>
        <v>51245</v>
      </c>
      <c r="R1277" s="126" t="str">
        <f t="shared" si="142"/>
        <v>SMALL TOOLS &amp; EQUIPMENT</v>
      </c>
      <c r="S1277" s="125" t="str">
        <f t="shared" si="143"/>
        <v>118</v>
      </c>
      <c r="T1277" s="125" t="str">
        <f t="shared" si="144"/>
        <v>31</v>
      </c>
      <c r="U1277" s="125" t="str">
        <f t="shared" si="145"/>
        <v>312</v>
      </c>
      <c r="V1277" s="125" t="str">
        <f>VLOOKUP(Q1277,'GL Category'!A:C,3,FALSE)</f>
        <v>Operations &amp; maintenance</v>
      </c>
      <c r="X1277" s="83"/>
    </row>
    <row r="1278" spans="1:24" ht="20.399999999999999" customHeight="1">
      <c r="A1278" s="608" t="s">
        <v>1029</v>
      </c>
      <c r="B1278" s="608" t="s">
        <v>3417</v>
      </c>
      <c r="C1278" s="608" t="s">
        <v>167</v>
      </c>
      <c r="D1278" s="609">
        <v>0</v>
      </c>
      <c r="E1278" s="609">
        <v>0</v>
      </c>
      <c r="F1278" s="609">
        <v>0</v>
      </c>
      <c r="G1278" s="609">
        <v>420</v>
      </c>
      <c r="H1278" s="609">
        <v>0</v>
      </c>
      <c r="I1278" s="609">
        <v>0</v>
      </c>
      <c r="J1278" s="609">
        <v>0</v>
      </c>
      <c r="K1278" s="609">
        <v>0</v>
      </c>
      <c r="L1278" s="609">
        <v>0</v>
      </c>
      <c r="M1278" s="609">
        <v>0</v>
      </c>
      <c r="N1278" s="587">
        <f t="shared" si="140"/>
        <v>0</v>
      </c>
      <c r="P1278" s="490">
        <f>N1278-H1278</f>
        <v>0</v>
      </c>
      <c r="Q1278" t="str">
        <f t="shared" si="141"/>
        <v>51285</v>
      </c>
      <c r="R1278" s="126" t="str">
        <f t="shared" si="142"/>
        <v>WEARING APPAREL</v>
      </c>
      <c r="S1278" s="125" t="str">
        <f t="shared" si="143"/>
        <v>118</v>
      </c>
      <c r="T1278" s="125" t="str">
        <f t="shared" si="144"/>
        <v>31</v>
      </c>
      <c r="U1278" s="125" t="str">
        <f t="shared" si="145"/>
        <v>312</v>
      </c>
      <c r="V1278" s="125" t="str">
        <f>VLOOKUP(Q1278,'GL Category'!A:C,3,FALSE)</f>
        <v>Operations &amp; maintenance</v>
      </c>
      <c r="X1278" s="83"/>
    </row>
    <row r="1279" spans="1:24" ht="20.399999999999999" customHeight="1">
      <c r="A1279" s="608" t="s">
        <v>1029</v>
      </c>
      <c r="B1279" s="608" t="s">
        <v>3215</v>
      </c>
      <c r="C1279" s="608" t="s">
        <v>171</v>
      </c>
      <c r="D1279" s="609">
        <v>0</v>
      </c>
      <c r="E1279" s="609">
        <v>0</v>
      </c>
      <c r="F1279" s="609">
        <v>0</v>
      </c>
      <c r="G1279" s="609">
        <v>0</v>
      </c>
      <c r="H1279" s="609">
        <v>0</v>
      </c>
      <c r="I1279" s="609">
        <v>0</v>
      </c>
      <c r="J1279" s="609">
        <v>0</v>
      </c>
      <c r="K1279" s="609">
        <v>0</v>
      </c>
      <c r="L1279" s="609">
        <v>0</v>
      </c>
      <c r="M1279" s="609">
        <v>0</v>
      </c>
      <c r="N1279" s="587">
        <f t="shared" si="140"/>
        <v>0</v>
      </c>
      <c r="Q1279" t="str">
        <f t="shared" si="141"/>
        <v>52310</v>
      </c>
      <c r="R1279" s="126" t="str">
        <f t="shared" si="142"/>
        <v>BUILDING MAINTENANCE</v>
      </c>
      <c r="S1279" s="125" t="str">
        <f t="shared" si="143"/>
        <v>118</v>
      </c>
      <c r="T1279" s="125" t="str">
        <f t="shared" si="144"/>
        <v>31</v>
      </c>
      <c r="U1279" s="125" t="str">
        <f t="shared" si="145"/>
        <v>312</v>
      </c>
      <c r="V1279" s="125" t="str">
        <f>VLOOKUP(Q1279,'GL Category'!A:C,3,FALSE)</f>
        <v>Operations &amp; maintenance</v>
      </c>
      <c r="X1279" s="83"/>
    </row>
    <row r="1280" spans="1:24" ht="20.399999999999999" customHeight="1">
      <c r="A1280" s="608" t="s">
        <v>1029</v>
      </c>
      <c r="B1280" s="608" t="s">
        <v>1993</v>
      </c>
      <c r="C1280" s="608" t="s">
        <v>173</v>
      </c>
      <c r="D1280" s="609">
        <v>8413.5400000000009</v>
      </c>
      <c r="E1280" s="609">
        <v>14250.87</v>
      </c>
      <c r="F1280" s="609">
        <v>4900</v>
      </c>
      <c r="G1280" s="609">
        <v>0</v>
      </c>
      <c r="H1280" s="609">
        <v>0</v>
      </c>
      <c r="I1280" s="609">
        <v>0</v>
      </c>
      <c r="J1280" s="609">
        <v>0</v>
      </c>
      <c r="K1280" s="609">
        <v>0</v>
      </c>
      <c r="L1280" s="609">
        <v>0</v>
      </c>
      <c r="M1280" s="609">
        <v>0</v>
      </c>
      <c r="N1280" s="587">
        <f t="shared" si="140"/>
        <v>0</v>
      </c>
      <c r="Q1280" t="str">
        <f t="shared" si="141"/>
        <v>52311</v>
      </c>
      <c r="R1280" s="126" t="str">
        <f t="shared" si="142"/>
        <v>GROUNDS MAINTENANCE</v>
      </c>
      <c r="S1280" s="125" t="str">
        <f t="shared" si="143"/>
        <v>118</v>
      </c>
      <c r="T1280" s="125" t="str">
        <f t="shared" si="144"/>
        <v>31</v>
      </c>
      <c r="U1280" s="125" t="str">
        <f t="shared" si="145"/>
        <v>312</v>
      </c>
      <c r="V1280" s="125" t="str">
        <f>VLOOKUP(Q1280,'GL Category'!A:C,3,FALSE)</f>
        <v>Operations &amp; maintenance</v>
      </c>
      <c r="X1280" s="83"/>
    </row>
    <row r="1281" spans="1:24" ht="14.4" customHeight="1">
      <c r="A1281" s="608" t="s">
        <v>1029</v>
      </c>
      <c r="B1281" s="608" t="s">
        <v>1994</v>
      </c>
      <c r="C1281" s="608" t="s">
        <v>241</v>
      </c>
      <c r="D1281" s="609">
        <v>21047.759999999998</v>
      </c>
      <c r="E1281" s="609">
        <v>-250</v>
      </c>
      <c r="F1281" s="609">
        <v>0</v>
      </c>
      <c r="G1281" s="609">
        <v>0</v>
      </c>
      <c r="H1281" s="609">
        <v>0</v>
      </c>
      <c r="I1281" s="609">
        <v>0</v>
      </c>
      <c r="J1281" s="609">
        <v>0</v>
      </c>
      <c r="K1281" s="609">
        <v>0</v>
      </c>
      <c r="L1281" s="609">
        <v>0</v>
      </c>
      <c r="M1281" s="609">
        <v>0</v>
      </c>
      <c r="N1281" s="587">
        <f t="shared" si="140"/>
        <v>0</v>
      </c>
      <c r="Q1281" t="str">
        <f t="shared" si="141"/>
        <v>52460</v>
      </c>
      <c r="R1281" s="126" t="str">
        <f t="shared" si="142"/>
        <v>VEHICLE MAINTENANCE</v>
      </c>
      <c r="S1281" s="125" t="str">
        <f t="shared" si="143"/>
        <v>118</v>
      </c>
      <c r="T1281" s="125" t="str">
        <f t="shared" si="144"/>
        <v>31</v>
      </c>
      <c r="U1281" s="125" t="str">
        <f t="shared" si="145"/>
        <v>312</v>
      </c>
      <c r="V1281" s="125" t="str">
        <f>VLOOKUP(Q1281,'GL Category'!A:C,3,FALSE)</f>
        <v>Operations &amp; maintenance</v>
      </c>
      <c r="X1281" s="83"/>
    </row>
    <row r="1282" spans="1:24" ht="20.399999999999999" customHeight="1">
      <c r="A1282" s="608" t="s">
        <v>1029</v>
      </c>
      <c r="B1282" s="608" t="s">
        <v>1995</v>
      </c>
      <c r="C1282" s="608" t="s">
        <v>179</v>
      </c>
      <c r="D1282" s="609">
        <v>0</v>
      </c>
      <c r="E1282" s="609">
        <v>997.51</v>
      </c>
      <c r="F1282" s="609">
        <v>9971</v>
      </c>
      <c r="G1282" s="609">
        <v>0</v>
      </c>
      <c r="H1282" s="609">
        <v>0</v>
      </c>
      <c r="I1282" s="609">
        <v>2606.7600000000002</v>
      </c>
      <c r="J1282" s="609">
        <v>0</v>
      </c>
      <c r="K1282" s="609">
        <v>0</v>
      </c>
      <c r="L1282" s="609">
        <v>0</v>
      </c>
      <c r="M1282" s="609">
        <v>0</v>
      </c>
      <c r="N1282" s="587">
        <f t="shared" si="140"/>
        <v>0</v>
      </c>
      <c r="Q1282" t="str">
        <f t="shared" si="141"/>
        <v>52485</v>
      </c>
      <c r="R1282" s="126" t="str">
        <f t="shared" si="142"/>
        <v>SOFTWARE LICENSE &amp; MAINTENANCE</v>
      </c>
      <c r="S1282" s="125" t="str">
        <f t="shared" si="143"/>
        <v>118</v>
      </c>
      <c r="T1282" s="125" t="str">
        <f t="shared" si="144"/>
        <v>31</v>
      </c>
      <c r="U1282" s="125" t="str">
        <f t="shared" si="145"/>
        <v>312</v>
      </c>
      <c r="V1282" s="125" t="str">
        <f>VLOOKUP(Q1282,'GL Category'!A:C,3,FALSE)</f>
        <v>Operations &amp; maintenance</v>
      </c>
      <c r="X1282" s="83"/>
    </row>
    <row r="1283" spans="1:24" ht="14.4" customHeight="1">
      <c r="A1283" s="608" t="s">
        <v>1029</v>
      </c>
      <c r="B1283" s="608" t="s">
        <v>1996</v>
      </c>
      <c r="C1283" s="608" t="s">
        <v>191</v>
      </c>
      <c r="D1283" s="609">
        <v>3208.7</v>
      </c>
      <c r="E1283" s="609">
        <v>0</v>
      </c>
      <c r="F1283" s="609">
        <v>0</v>
      </c>
      <c r="G1283" s="609">
        <v>480</v>
      </c>
      <c r="H1283" s="609">
        <v>0</v>
      </c>
      <c r="I1283" s="609">
        <v>0</v>
      </c>
      <c r="J1283" s="609">
        <v>0</v>
      </c>
      <c r="K1283" s="609">
        <v>0</v>
      </c>
      <c r="L1283" s="609">
        <v>0</v>
      </c>
      <c r="M1283" s="609">
        <v>0</v>
      </c>
      <c r="N1283" s="587">
        <f t="shared" si="140"/>
        <v>0</v>
      </c>
      <c r="Q1283" t="str">
        <f t="shared" si="141"/>
        <v>53515</v>
      </c>
      <c r="R1283" s="126" t="str">
        <f t="shared" si="142"/>
        <v>TRAVEL, TRAINING &amp; EDUCATION</v>
      </c>
      <c r="S1283" s="125" t="str">
        <f t="shared" si="143"/>
        <v>118</v>
      </c>
      <c r="T1283" s="125" t="str">
        <f t="shared" si="144"/>
        <v>31</v>
      </c>
      <c r="U1283" s="125" t="str">
        <f t="shared" si="145"/>
        <v>312</v>
      </c>
      <c r="V1283" s="125" t="str">
        <f>VLOOKUP(Q1283,'GL Category'!A:C,3,FALSE)</f>
        <v>Services &amp; other</v>
      </c>
      <c r="X1283" s="83"/>
    </row>
    <row r="1284" spans="1:24" ht="14.4" customHeight="1">
      <c r="A1284" s="608" t="s">
        <v>1029</v>
      </c>
      <c r="B1284" s="608" t="s">
        <v>1997</v>
      </c>
      <c r="C1284" s="608" t="s">
        <v>6</v>
      </c>
      <c r="D1284" s="609">
        <v>10008</v>
      </c>
      <c r="E1284" s="609">
        <v>10008</v>
      </c>
      <c r="F1284" s="609">
        <v>5838</v>
      </c>
      <c r="G1284" s="609">
        <v>0</v>
      </c>
      <c r="H1284" s="609">
        <v>0</v>
      </c>
      <c r="I1284" s="609">
        <v>0</v>
      </c>
      <c r="J1284" s="609">
        <v>0</v>
      </c>
      <c r="K1284" s="609">
        <v>0</v>
      </c>
      <c r="L1284" s="609">
        <v>0</v>
      </c>
      <c r="M1284" s="609">
        <v>0</v>
      </c>
      <c r="N1284" s="587">
        <f t="shared" ref="N1284:N1347" si="146">SUM(K1284:M1284)</f>
        <v>0</v>
      </c>
      <c r="Q1284" t="str">
        <f t="shared" ref="Q1284:Q1347" si="147">MID(B1284,12,5)</f>
        <v>53524</v>
      </c>
      <c r="R1284" s="126" t="str">
        <f t="shared" ref="R1284:R1347" si="148">C1284</f>
        <v>EQUIPMENT RENTAL</v>
      </c>
      <c r="S1284" s="125" t="str">
        <f t="shared" ref="S1284:S1347" si="149">LEFT(B1284,3)</f>
        <v>118</v>
      </c>
      <c r="T1284" s="125" t="str">
        <f t="shared" ref="T1284:T1347" si="150">MID(B1284,5,2)</f>
        <v>31</v>
      </c>
      <c r="U1284" s="125" t="str">
        <f t="shared" ref="U1284:U1347" si="151">MID(B1284,8,3)</f>
        <v>312</v>
      </c>
      <c r="V1284" s="125" t="str">
        <f>VLOOKUP(Q1284,'GL Category'!A:C,3,FALSE)</f>
        <v>Services &amp; other</v>
      </c>
      <c r="X1284" s="83"/>
    </row>
    <row r="1285" spans="1:24" ht="20.399999999999999" customHeight="1">
      <c r="A1285" s="608" t="s">
        <v>1029</v>
      </c>
      <c r="B1285" s="608" t="s">
        <v>1998</v>
      </c>
      <c r="C1285" s="608" t="s">
        <v>268</v>
      </c>
      <c r="D1285" s="609">
        <v>0</v>
      </c>
      <c r="E1285" s="609">
        <v>0</v>
      </c>
      <c r="F1285" s="609">
        <v>35151.94</v>
      </c>
      <c r="G1285" s="609">
        <v>0</v>
      </c>
      <c r="H1285" s="609">
        <v>0</v>
      </c>
      <c r="I1285" s="609">
        <v>0</v>
      </c>
      <c r="J1285" s="609">
        <v>0</v>
      </c>
      <c r="K1285" s="609">
        <v>0</v>
      </c>
      <c r="L1285" s="609">
        <v>0</v>
      </c>
      <c r="M1285" s="609">
        <v>0</v>
      </c>
      <c r="N1285" s="587">
        <f t="shared" si="146"/>
        <v>0</v>
      </c>
      <c r="Q1285" t="str">
        <f t="shared" si="147"/>
        <v>58830</v>
      </c>
      <c r="R1285" s="126" t="str">
        <f t="shared" si="148"/>
        <v>MACHINERY &amp; EQUIPMENT</v>
      </c>
      <c r="S1285" s="125" t="str">
        <f t="shared" si="149"/>
        <v>118</v>
      </c>
      <c r="T1285" s="125" t="str">
        <f t="shared" si="150"/>
        <v>31</v>
      </c>
      <c r="U1285" s="125" t="str">
        <f t="shared" si="151"/>
        <v>312</v>
      </c>
      <c r="V1285" s="125" t="str">
        <f>VLOOKUP(Q1285,'GL Category'!A:C,3,FALSE)</f>
        <v>Capital Outlay</v>
      </c>
      <c r="X1285" s="83"/>
    </row>
    <row r="1286" spans="1:24" ht="14.4" customHeight="1">
      <c r="A1286" s="608" t="s">
        <v>1029</v>
      </c>
      <c r="B1286" s="608" t="s">
        <v>1999</v>
      </c>
      <c r="C1286" s="608" t="s">
        <v>244</v>
      </c>
      <c r="D1286" s="609">
        <v>548503.24</v>
      </c>
      <c r="E1286" s="609">
        <v>381215.71</v>
      </c>
      <c r="F1286" s="609">
        <v>170547.21</v>
      </c>
      <c r="G1286" s="609">
        <v>193635.23</v>
      </c>
      <c r="H1286" s="609">
        <v>899934</v>
      </c>
      <c r="I1286" s="609">
        <v>756898.53</v>
      </c>
      <c r="J1286" s="609">
        <v>899934</v>
      </c>
      <c r="K1286" s="609">
        <v>566894</v>
      </c>
      <c r="L1286" s="609">
        <v>0</v>
      </c>
      <c r="M1286" s="609">
        <v>0</v>
      </c>
      <c r="N1286" s="587">
        <f t="shared" si="146"/>
        <v>566894</v>
      </c>
      <c r="P1286" s="490">
        <f>N1286-H1286</f>
        <v>-333040</v>
      </c>
      <c r="Q1286" t="str">
        <f t="shared" si="147"/>
        <v>58840</v>
      </c>
      <c r="R1286" s="126" t="str">
        <f t="shared" si="148"/>
        <v>MOTOR VEHICLES</v>
      </c>
      <c r="S1286" s="125" t="str">
        <f t="shared" si="149"/>
        <v>118</v>
      </c>
      <c r="T1286" s="125" t="str">
        <f t="shared" si="150"/>
        <v>31</v>
      </c>
      <c r="U1286" s="125" t="str">
        <f t="shared" si="151"/>
        <v>312</v>
      </c>
      <c r="V1286" s="125" t="str">
        <f>VLOOKUP(Q1286,'GL Category'!A:C,3,FALSE)</f>
        <v>Capital Outlay</v>
      </c>
      <c r="X1286" s="83"/>
    </row>
    <row r="1287" spans="1:24" s="83" customFormat="1" ht="14.4" customHeight="1">
      <c r="A1287" s="608" t="s">
        <v>1029</v>
      </c>
      <c r="B1287" s="608" t="s">
        <v>3345</v>
      </c>
      <c r="C1287" s="608" t="s">
        <v>171</v>
      </c>
      <c r="D1287" s="609">
        <v>0</v>
      </c>
      <c r="E1287" s="609">
        <v>12955.2</v>
      </c>
      <c r="F1287" s="609">
        <v>0</v>
      </c>
      <c r="G1287" s="609">
        <v>1600</v>
      </c>
      <c r="H1287" s="609">
        <v>0</v>
      </c>
      <c r="I1287" s="609">
        <v>25550</v>
      </c>
      <c r="J1287" s="609">
        <v>25550</v>
      </c>
      <c r="K1287" s="609">
        <v>0</v>
      </c>
      <c r="L1287" s="609">
        <v>0</v>
      </c>
      <c r="M1287" s="609">
        <v>0</v>
      </c>
      <c r="N1287" s="587">
        <f t="shared" si="146"/>
        <v>0</v>
      </c>
      <c r="O1287"/>
      <c r="P1287" s="490">
        <f>N1287-H1287</f>
        <v>0</v>
      </c>
      <c r="Q1287" t="str">
        <f t="shared" si="147"/>
        <v>52310</v>
      </c>
      <c r="R1287" s="126" t="str">
        <f t="shared" si="148"/>
        <v>BUILDING MAINTENANCE</v>
      </c>
      <c r="S1287" s="125" t="str">
        <f t="shared" si="149"/>
        <v>118</v>
      </c>
      <c r="T1287" s="125" t="str">
        <f t="shared" si="150"/>
        <v>31</v>
      </c>
      <c r="U1287" s="125" t="str">
        <f t="shared" si="151"/>
        <v>313</v>
      </c>
      <c r="V1287" s="125" t="str">
        <f>VLOOKUP(Q1287,'GL Category'!A:C,3,FALSE)</f>
        <v>Operations &amp; maintenance</v>
      </c>
      <c r="W1287" s="125"/>
    </row>
    <row r="1288" spans="1:24" ht="14.4" customHeight="1">
      <c r="A1288" s="608" t="s">
        <v>1029</v>
      </c>
      <c r="B1288" s="608" t="s">
        <v>3386</v>
      </c>
      <c r="C1288" s="608" t="s">
        <v>305</v>
      </c>
      <c r="D1288" s="609">
        <v>0</v>
      </c>
      <c r="E1288" s="609">
        <v>0</v>
      </c>
      <c r="F1288" s="609">
        <v>47290.559999999998</v>
      </c>
      <c r="G1288" s="609">
        <v>0</v>
      </c>
      <c r="H1288" s="609">
        <v>0</v>
      </c>
      <c r="I1288" s="609">
        <v>0</v>
      </c>
      <c r="J1288" s="609">
        <v>0</v>
      </c>
      <c r="K1288" s="609">
        <v>0</v>
      </c>
      <c r="L1288" s="609">
        <v>0</v>
      </c>
      <c r="M1288" s="609">
        <v>0</v>
      </c>
      <c r="N1288" s="587">
        <f t="shared" si="146"/>
        <v>0</v>
      </c>
      <c r="Q1288" t="str">
        <f t="shared" si="147"/>
        <v>53543</v>
      </c>
      <c r="R1288" s="126" t="str">
        <f t="shared" si="148"/>
        <v>ENGINEERING/DESIGN SERVICES</v>
      </c>
      <c r="S1288" s="125" t="str">
        <f t="shared" si="149"/>
        <v>118</v>
      </c>
      <c r="T1288" s="125" t="str">
        <f t="shared" si="150"/>
        <v>31</v>
      </c>
      <c r="U1288" s="125" t="str">
        <f t="shared" si="151"/>
        <v>313</v>
      </c>
      <c r="V1288" s="125" t="str">
        <f>VLOOKUP(Q1288,'GL Category'!A:C,3,FALSE)</f>
        <v>Services &amp; other</v>
      </c>
      <c r="X1288" s="83"/>
    </row>
    <row r="1289" spans="1:24" ht="14.4" customHeight="1">
      <c r="A1289" s="608" t="s">
        <v>1029</v>
      </c>
      <c r="B1289" s="608" t="s">
        <v>1980</v>
      </c>
      <c r="C1289" s="608" t="s">
        <v>305</v>
      </c>
      <c r="D1289" s="609">
        <v>0</v>
      </c>
      <c r="E1289" s="609">
        <v>0</v>
      </c>
      <c r="F1289" s="609">
        <v>0</v>
      </c>
      <c r="G1289" s="609">
        <v>10000</v>
      </c>
      <c r="H1289" s="609">
        <v>0</v>
      </c>
      <c r="I1289" s="609">
        <v>0</v>
      </c>
      <c r="J1289" s="609">
        <v>0</v>
      </c>
      <c r="K1289" s="609">
        <v>0</v>
      </c>
      <c r="L1289" s="609">
        <v>0</v>
      </c>
      <c r="M1289" s="609">
        <v>0</v>
      </c>
      <c r="N1289" s="587">
        <f t="shared" si="146"/>
        <v>0</v>
      </c>
      <c r="Q1289" t="str">
        <f t="shared" si="147"/>
        <v>58710</v>
      </c>
      <c r="R1289" s="126" t="str">
        <f t="shared" si="148"/>
        <v>ENGINEERING/DESIGN SERVICES</v>
      </c>
      <c r="S1289" s="125" t="str">
        <f t="shared" si="149"/>
        <v>118</v>
      </c>
      <c r="T1289" s="125" t="str">
        <f t="shared" si="150"/>
        <v>31</v>
      </c>
      <c r="U1289" s="125" t="str">
        <f t="shared" si="151"/>
        <v>313</v>
      </c>
      <c r="V1289" s="125" t="str">
        <f>VLOOKUP(Q1289,'GL Category'!A:C,3,FALSE)</f>
        <v>Capital Outlay</v>
      </c>
      <c r="X1289" s="83"/>
    </row>
    <row r="1290" spans="1:24" ht="14.4" customHeight="1">
      <c r="A1290" s="608" t="s">
        <v>1029</v>
      </c>
      <c r="B1290" s="608" t="s">
        <v>1981</v>
      </c>
      <c r="C1290" s="608" t="s">
        <v>266</v>
      </c>
      <c r="D1290" s="609">
        <v>7565.17</v>
      </c>
      <c r="E1290" s="609">
        <v>0</v>
      </c>
      <c r="F1290" s="609">
        <v>223754.49</v>
      </c>
      <c r="G1290" s="609">
        <v>290093.69</v>
      </c>
      <c r="H1290" s="609">
        <v>125000</v>
      </c>
      <c r="I1290" s="609">
        <v>696</v>
      </c>
      <c r="J1290" s="609">
        <v>125000</v>
      </c>
      <c r="K1290" s="609">
        <v>75000</v>
      </c>
      <c r="L1290" s="609">
        <v>0</v>
      </c>
      <c r="M1290" s="609">
        <v>0</v>
      </c>
      <c r="N1290" s="587">
        <f t="shared" si="146"/>
        <v>75000</v>
      </c>
      <c r="Q1290" t="str">
        <f t="shared" si="147"/>
        <v>58828</v>
      </c>
      <c r="R1290" s="126" t="str">
        <f t="shared" si="148"/>
        <v>BUILDINGS &amp; IMPROVEMENTS</v>
      </c>
      <c r="S1290" s="125" t="str">
        <f t="shared" si="149"/>
        <v>118</v>
      </c>
      <c r="T1290" s="125" t="str">
        <f t="shared" si="150"/>
        <v>31</v>
      </c>
      <c r="U1290" s="125" t="str">
        <f t="shared" si="151"/>
        <v>313</v>
      </c>
      <c r="V1290" s="125" t="str">
        <f>VLOOKUP(Q1290,'GL Category'!A:C,3,FALSE)</f>
        <v>Capital Outlay</v>
      </c>
      <c r="X1290" s="83"/>
    </row>
    <row r="1291" spans="1:24" ht="14.4" customHeight="1">
      <c r="A1291" s="608" t="s">
        <v>1029</v>
      </c>
      <c r="B1291" s="608" t="s">
        <v>1984</v>
      </c>
      <c r="C1291" s="608" t="s">
        <v>171</v>
      </c>
      <c r="D1291" s="609">
        <v>48034.04</v>
      </c>
      <c r="E1291" s="609">
        <v>32183.72</v>
      </c>
      <c r="F1291" s="609">
        <v>2145</v>
      </c>
      <c r="G1291" s="609">
        <v>0</v>
      </c>
      <c r="H1291" s="609">
        <v>0</v>
      </c>
      <c r="I1291" s="609">
        <v>0</v>
      </c>
      <c r="J1291" s="609">
        <v>0</v>
      </c>
      <c r="K1291" s="609">
        <v>0</v>
      </c>
      <c r="L1291" s="609">
        <v>0</v>
      </c>
      <c r="M1291" s="609">
        <v>0</v>
      </c>
      <c r="N1291" s="587">
        <f t="shared" si="146"/>
        <v>0</v>
      </c>
      <c r="Q1291" t="str">
        <f t="shared" si="147"/>
        <v>52310</v>
      </c>
      <c r="R1291" s="126" t="str">
        <f t="shared" si="148"/>
        <v>BUILDING MAINTENANCE</v>
      </c>
      <c r="S1291" s="125" t="str">
        <f t="shared" si="149"/>
        <v>118</v>
      </c>
      <c r="T1291" s="125" t="str">
        <f t="shared" si="150"/>
        <v>31</v>
      </c>
      <c r="U1291" s="125" t="str">
        <f t="shared" si="151"/>
        <v>314</v>
      </c>
      <c r="V1291" s="125" t="str">
        <f>VLOOKUP(Q1291,'GL Category'!A:C,3,FALSE)</f>
        <v>Operations &amp; maintenance</v>
      </c>
      <c r="X1291" s="83"/>
    </row>
    <row r="1292" spans="1:24" ht="14.4" customHeight="1">
      <c r="A1292" s="608" t="s">
        <v>1029</v>
      </c>
      <c r="B1292" s="608" t="s">
        <v>1985</v>
      </c>
      <c r="C1292" s="608" t="s">
        <v>268</v>
      </c>
      <c r="D1292" s="609">
        <v>96380</v>
      </c>
      <c r="E1292" s="609">
        <v>18457.16</v>
      </c>
      <c r="F1292" s="609">
        <v>10890</v>
      </c>
      <c r="G1292" s="609">
        <v>0</v>
      </c>
      <c r="H1292" s="609">
        <v>0</v>
      </c>
      <c r="I1292" s="609">
        <v>0</v>
      </c>
      <c r="J1292" s="609">
        <v>0</v>
      </c>
      <c r="K1292" s="609">
        <v>440000</v>
      </c>
      <c r="L1292" s="609">
        <v>0</v>
      </c>
      <c r="M1292" s="609">
        <v>0</v>
      </c>
      <c r="N1292" s="587">
        <f t="shared" si="146"/>
        <v>440000</v>
      </c>
      <c r="Q1292" t="str">
        <f t="shared" si="147"/>
        <v>58830</v>
      </c>
      <c r="R1292" s="126" t="str">
        <f t="shared" si="148"/>
        <v>MACHINERY &amp; EQUIPMENT</v>
      </c>
      <c r="S1292" s="125" t="str">
        <f t="shared" si="149"/>
        <v>118</v>
      </c>
      <c r="T1292" s="125" t="str">
        <f t="shared" si="150"/>
        <v>31</v>
      </c>
      <c r="U1292" s="125" t="str">
        <f t="shared" si="151"/>
        <v>314</v>
      </c>
      <c r="V1292" s="125" t="str">
        <f>VLOOKUP(Q1292,'GL Category'!A:C,3,FALSE)</f>
        <v>Capital Outlay</v>
      </c>
      <c r="X1292" s="83"/>
    </row>
    <row r="1293" spans="1:24" ht="14.4" customHeight="1">
      <c r="A1293" s="608" t="s">
        <v>1029</v>
      </c>
      <c r="B1293" s="608" t="s">
        <v>1985</v>
      </c>
      <c r="C1293" s="608" t="s">
        <v>268</v>
      </c>
      <c r="D1293" s="609">
        <v>0</v>
      </c>
      <c r="E1293" s="609">
        <v>720</v>
      </c>
      <c r="F1293" s="609">
        <v>86303.6</v>
      </c>
      <c r="G1293" s="609">
        <v>0</v>
      </c>
      <c r="H1293" s="609">
        <v>0</v>
      </c>
      <c r="I1293" s="609">
        <v>0</v>
      </c>
      <c r="J1293" s="609">
        <v>0</v>
      </c>
      <c r="K1293" s="609">
        <v>0</v>
      </c>
      <c r="L1293" s="609">
        <v>0</v>
      </c>
      <c r="M1293" s="609">
        <v>0</v>
      </c>
      <c r="N1293" s="587">
        <f t="shared" si="146"/>
        <v>0</v>
      </c>
      <c r="Q1293" t="str">
        <f t="shared" si="147"/>
        <v>58830</v>
      </c>
      <c r="R1293" s="126" t="str">
        <f t="shared" si="148"/>
        <v>MACHINERY &amp; EQUIPMENT</v>
      </c>
      <c r="S1293" s="125" t="str">
        <f t="shared" si="149"/>
        <v>118</v>
      </c>
      <c r="T1293" s="125" t="str">
        <f t="shared" si="150"/>
        <v>31</v>
      </c>
      <c r="U1293" s="125" t="str">
        <f t="shared" si="151"/>
        <v>314</v>
      </c>
      <c r="V1293" s="125" t="str">
        <f>VLOOKUP(Q1293,'GL Category'!A:C,3,FALSE)</f>
        <v>Capital Outlay</v>
      </c>
      <c r="X1293" s="83"/>
    </row>
    <row r="1294" spans="1:24" ht="14.4" customHeight="1">
      <c r="A1294" s="608" t="s">
        <v>1029</v>
      </c>
      <c r="B1294" s="608" t="s">
        <v>1986</v>
      </c>
      <c r="C1294" s="608" t="s">
        <v>225</v>
      </c>
      <c r="D1294" s="609">
        <v>0</v>
      </c>
      <c r="E1294" s="609">
        <v>0</v>
      </c>
      <c r="F1294" s="609">
        <v>0</v>
      </c>
      <c r="G1294" s="609">
        <v>0</v>
      </c>
      <c r="H1294" s="609">
        <v>0</v>
      </c>
      <c r="I1294" s="609">
        <v>4057.61</v>
      </c>
      <c r="J1294" s="609">
        <v>0</v>
      </c>
      <c r="K1294" s="609">
        <v>0</v>
      </c>
      <c r="L1294" s="609">
        <v>0</v>
      </c>
      <c r="M1294" s="609">
        <v>0</v>
      </c>
      <c r="N1294" s="587">
        <f t="shared" si="146"/>
        <v>0</v>
      </c>
      <c r="Q1294" t="str">
        <f t="shared" si="147"/>
        <v>58851</v>
      </c>
      <c r="R1294" s="126" t="str">
        <f t="shared" si="148"/>
        <v>FURNITURE &amp; FIXTURES</v>
      </c>
      <c r="S1294" s="125" t="str">
        <f t="shared" si="149"/>
        <v>118</v>
      </c>
      <c r="T1294" s="125" t="str">
        <f t="shared" si="150"/>
        <v>31</v>
      </c>
      <c r="U1294" s="125" t="str">
        <f t="shared" si="151"/>
        <v>314</v>
      </c>
      <c r="V1294" s="125" t="str">
        <f>VLOOKUP(Q1294,'GL Category'!A:C,3,FALSE)</f>
        <v>Capital Outlay</v>
      </c>
      <c r="X1294" s="83"/>
    </row>
    <row r="1295" spans="1:24" ht="14.4" customHeight="1">
      <c r="A1295" s="608" t="s">
        <v>1029</v>
      </c>
      <c r="B1295" s="608" t="s">
        <v>1988</v>
      </c>
      <c r="C1295" s="608" t="s">
        <v>179</v>
      </c>
      <c r="D1295" s="609">
        <v>95478.080000000002</v>
      </c>
      <c r="E1295" s="609">
        <v>349189.96</v>
      </c>
      <c r="F1295" s="609">
        <v>96270.62</v>
      </c>
      <c r="G1295" s="609">
        <v>280991.01</v>
      </c>
      <c r="H1295" s="609">
        <v>375580</v>
      </c>
      <c r="I1295" s="609">
        <v>362773.18</v>
      </c>
      <c r="J1295" s="609">
        <v>375580</v>
      </c>
      <c r="K1295" s="609">
        <v>180535</v>
      </c>
      <c r="L1295" s="609">
        <v>0</v>
      </c>
      <c r="M1295" s="609">
        <v>0</v>
      </c>
      <c r="N1295" s="587">
        <f t="shared" si="146"/>
        <v>180535</v>
      </c>
      <c r="Q1295" t="str">
        <f t="shared" si="147"/>
        <v>52485</v>
      </c>
      <c r="R1295" s="126" t="str">
        <f t="shared" si="148"/>
        <v>SOFTWARE LICENSE &amp; MAINTENANCE</v>
      </c>
      <c r="S1295" s="125" t="str">
        <f t="shared" si="149"/>
        <v>118</v>
      </c>
      <c r="T1295" s="125" t="str">
        <f t="shared" si="150"/>
        <v>31</v>
      </c>
      <c r="U1295" s="125" t="str">
        <f t="shared" si="151"/>
        <v>315</v>
      </c>
      <c r="V1295" s="125" t="str">
        <f>VLOOKUP(Q1295,'GL Category'!A:C,3,FALSE)</f>
        <v>Operations &amp; maintenance</v>
      </c>
      <c r="X1295" s="83"/>
    </row>
    <row r="1296" spans="1:24" ht="20.399999999999999" customHeight="1">
      <c r="A1296" s="608" t="s">
        <v>1029</v>
      </c>
      <c r="B1296" s="608" t="s">
        <v>1990</v>
      </c>
      <c r="C1296" s="608" t="s">
        <v>211</v>
      </c>
      <c r="D1296" s="609">
        <v>0</v>
      </c>
      <c r="E1296" s="609">
        <v>0</v>
      </c>
      <c r="F1296" s="609">
        <v>0</v>
      </c>
      <c r="G1296" s="609">
        <v>8327.5</v>
      </c>
      <c r="H1296" s="609">
        <v>12500</v>
      </c>
      <c r="I1296" s="609">
        <v>5210</v>
      </c>
      <c r="J1296" s="609">
        <v>12500</v>
      </c>
      <c r="K1296" s="609">
        <v>12500</v>
      </c>
      <c r="L1296" s="609">
        <v>0</v>
      </c>
      <c r="M1296" s="609">
        <v>0</v>
      </c>
      <c r="N1296" s="587">
        <f t="shared" si="146"/>
        <v>12500</v>
      </c>
      <c r="Q1296" t="str">
        <f t="shared" si="147"/>
        <v>53570</v>
      </c>
      <c r="R1296" s="126" t="str">
        <f t="shared" si="148"/>
        <v>TELEPHONE/COMMUNICATIONS</v>
      </c>
      <c r="S1296" s="125" t="str">
        <f t="shared" si="149"/>
        <v>118</v>
      </c>
      <c r="T1296" s="125" t="str">
        <f t="shared" si="150"/>
        <v>31</v>
      </c>
      <c r="U1296" s="125" t="str">
        <f t="shared" si="151"/>
        <v>315</v>
      </c>
      <c r="V1296" s="125" t="str">
        <f>VLOOKUP(Q1296,'GL Category'!A:C,3,FALSE)</f>
        <v>Services &amp; other</v>
      </c>
      <c r="X1296" s="83"/>
    </row>
    <row r="1297" spans="1:24" ht="20.399999999999999" customHeight="1">
      <c r="A1297" s="608" t="s">
        <v>1029</v>
      </c>
      <c r="B1297" s="608" t="s">
        <v>1991</v>
      </c>
      <c r="C1297" s="608" t="s">
        <v>221</v>
      </c>
      <c r="D1297" s="609">
        <v>9600</v>
      </c>
      <c r="E1297" s="609">
        <v>9600</v>
      </c>
      <c r="F1297" s="609">
        <v>9600</v>
      </c>
      <c r="G1297" s="609">
        <v>9600</v>
      </c>
      <c r="H1297" s="609">
        <v>9600</v>
      </c>
      <c r="I1297" s="609">
        <v>7200</v>
      </c>
      <c r="J1297" s="609">
        <v>9600</v>
      </c>
      <c r="K1297" s="609">
        <v>9600</v>
      </c>
      <c r="L1297" s="609">
        <v>0</v>
      </c>
      <c r="M1297" s="609">
        <v>0</v>
      </c>
      <c r="N1297" s="587">
        <f t="shared" si="146"/>
        <v>9600</v>
      </c>
      <c r="Q1297" t="str">
        <f t="shared" si="147"/>
        <v>55119</v>
      </c>
      <c r="R1297" s="126" t="str">
        <f t="shared" si="148"/>
        <v>OFFICE EQUIP LEASE EXP-CITY</v>
      </c>
      <c r="S1297" s="125" t="str">
        <f t="shared" si="149"/>
        <v>118</v>
      </c>
      <c r="T1297" s="125" t="str">
        <f t="shared" si="150"/>
        <v>31</v>
      </c>
      <c r="U1297" s="125" t="str">
        <f t="shared" si="151"/>
        <v>315</v>
      </c>
      <c r="V1297" s="125" t="str">
        <f>VLOOKUP(Q1297,'GL Category'!A:C,3,FALSE)</f>
        <v>Services &amp; other</v>
      </c>
      <c r="X1297" s="83"/>
    </row>
    <row r="1298" spans="1:24" ht="14.4" customHeight="1">
      <c r="A1298" s="608" t="s">
        <v>1029</v>
      </c>
      <c r="B1298" s="608" t="s">
        <v>3233</v>
      </c>
      <c r="C1298" s="608" t="s">
        <v>268</v>
      </c>
      <c r="D1298" s="609">
        <v>0</v>
      </c>
      <c r="E1298" s="609">
        <v>28625</v>
      </c>
      <c r="F1298" s="609">
        <v>0</v>
      </c>
      <c r="G1298" s="609">
        <v>344108.48</v>
      </c>
      <c r="H1298" s="609">
        <v>455000</v>
      </c>
      <c r="I1298" s="609">
        <v>439206.15</v>
      </c>
      <c r="J1298" s="609">
        <v>455000</v>
      </c>
      <c r="K1298" s="609">
        <v>327517</v>
      </c>
      <c r="L1298" s="609">
        <v>0</v>
      </c>
      <c r="M1298" s="609">
        <v>0</v>
      </c>
      <c r="N1298" s="587">
        <f t="shared" si="146"/>
        <v>327517</v>
      </c>
      <c r="Q1298" t="str">
        <f t="shared" si="147"/>
        <v>58830</v>
      </c>
      <c r="R1298" s="126" t="str">
        <f t="shared" si="148"/>
        <v>MACHINERY &amp; EQUIPMENT</v>
      </c>
      <c r="S1298" s="125" t="str">
        <f t="shared" si="149"/>
        <v>118</v>
      </c>
      <c r="T1298" s="125" t="str">
        <f t="shared" si="150"/>
        <v>31</v>
      </c>
      <c r="U1298" s="125" t="str">
        <f t="shared" si="151"/>
        <v>315</v>
      </c>
      <c r="V1298" s="125" t="str">
        <f>VLOOKUP(Q1298,'GL Category'!A:C,3,FALSE)</f>
        <v>Capital Outlay</v>
      </c>
      <c r="X1298" s="83"/>
    </row>
    <row r="1299" spans="1:24" ht="14.4" customHeight="1">
      <c r="A1299" s="608" t="s">
        <v>1029</v>
      </c>
      <c r="B1299" s="608" t="s">
        <v>3233</v>
      </c>
      <c r="C1299" s="608" t="s">
        <v>268</v>
      </c>
      <c r="D1299" s="609">
        <v>0</v>
      </c>
      <c r="E1299" s="609">
        <v>0</v>
      </c>
      <c r="F1299" s="609">
        <v>0</v>
      </c>
      <c r="G1299" s="609">
        <v>0</v>
      </c>
      <c r="H1299" s="609">
        <v>0</v>
      </c>
      <c r="I1299" s="609">
        <v>0</v>
      </c>
      <c r="J1299" s="609">
        <v>0</v>
      </c>
      <c r="K1299" s="609">
        <v>0</v>
      </c>
      <c r="L1299" s="609">
        <v>0</v>
      </c>
      <c r="M1299" s="609">
        <v>0</v>
      </c>
      <c r="N1299" s="587">
        <f t="shared" si="146"/>
        <v>0</v>
      </c>
      <c r="Q1299" t="str">
        <f t="shared" si="147"/>
        <v>58830</v>
      </c>
      <c r="R1299" s="126" t="str">
        <f t="shared" si="148"/>
        <v>MACHINERY &amp; EQUIPMENT</v>
      </c>
      <c r="S1299" s="125" t="str">
        <f t="shared" si="149"/>
        <v>118</v>
      </c>
      <c r="T1299" s="125" t="str">
        <f t="shared" si="150"/>
        <v>31</v>
      </c>
      <c r="U1299" s="125" t="str">
        <f t="shared" si="151"/>
        <v>315</v>
      </c>
      <c r="V1299" s="125" t="str">
        <f>VLOOKUP(Q1299,'GL Category'!A:C,3,FALSE)</f>
        <v>Capital Outlay</v>
      </c>
      <c r="X1299" s="83"/>
    </row>
    <row r="1300" spans="1:24" ht="14.4" customHeight="1">
      <c r="A1300" s="608" t="s">
        <v>1029</v>
      </c>
      <c r="B1300" s="608" t="s">
        <v>2000</v>
      </c>
      <c r="C1300" s="608" t="s">
        <v>912</v>
      </c>
      <c r="D1300" s="609">
        <v>134950</v>
      </c>
      <c r="E1300" s="609">
        <v>114950</v>
      </c>
      <c r="F1300" s="609">
        <v>93825</v>
      </c>
      <c r="G1300" s="609">
        <v>71575</v>
      </c>
      <c r="H1300" s="609">
        <v>53075</v>
      </c>
      <c r="I1300" s="609">
        <v>30100</v>
      </c>
      <c r="J1300" s="609">
        <v>53075</v>
      </c>
      <c r="K1300" s="609">
        <v>38600</v>
      </c>
      <c r="L1300" s="609">
        <v>0</v>
      </c>
      <c r="M1300" s="609">
        <v>0</v>
      </c>
      <c r="N1300" s="587">
        <f t="shared" si="146"/>
        <v>38600</v>
      </c>
      <c r="Q1300" t="str">
        <f t="shared" si="147"/>
        <v>56900</v>
      </c>
      <c r="R1300" s="126" t="str">
        <f t="shared" si="148"/>
        <v>INTEREST/OTHER DEBTAMORTIZATI</v>
      </c>
      <c r="S1300" s="125" t="str">
        <f t="shared" si="149"/>
        <v>118</v>
      </c>
      <c r="T1300" s="125" t="str">
        <f t="shared" si="150"/>
        <v>99</v>
      </c>
      <c r="U1300" s="125" t="str">
        <f t="shared" si="151"/>
        <v>992</v>
      </c>
      <c r="V1300" s="125" t="str">
        <f>VLOOKUP(Q1300,'GL Category'!A:C,3,FALSE)</f>
        <v>Debt Service</v>
      </c>
      <c r="X1300" s="83"/>
    </row>
    <row r="1301" spans="1:24" ht="14.4" customHeight="1">
      <c r="A1301" s="608" t="s">
        <v>1029</v>
      </c>
      <c r="B1301" s="608" t="s">
        <v>2001</v>
      </c>
      <c r="C1301" s="608" t="s">
        <v>313</v>
      </c>
      <c r="D1301" s="609">
        <v>500</v>
      </c>
      <c r="E1301" s="609">
        <v>0</v>
      </c>
      <c r="F1301" s="609">
        <v>0</v>
      </c>
      <c r="G1301" s="609">
        <v>0</v>
      </c>
      <c r="H1301" s="609">
        <v>0</v>
      </c>
      <c r="I1301" s="609">
        <v>0</v>
      </c>
      <c r="J1301" s="609">
        <v>0</v>
      </c>
      <c r="K1301" s="609">
        <v>0</v>
      </c>
      <c r="L1301" s="609">
        <v>0</v>
      </c>
      <c r="M1301" s="609">
        <v>0</v>
      </c>
      <c r="N1301" s="587">
        <f t="shared" si="146"/>
        <v>0</v>
      </c>
      <c r="Q1301" t="str">
        <f t="shared" si="147"/>
        <v>56901</v>
      </c>
      <c r="R1301" s="126" t="str">
        <f t="shared" si="148"/>
        <v>PAYING AGENT SERVICES</v>
      </c>
      <c r="S1301" s="125" t="str">
        <f t="shared" si="149"/>
        <v>118</v>
      </c>
      <c r="T1301" s="125" t="str">
        <f t="shared" si="150"/>
        <v>99</v>
      </c>
      <c r="U1301" s="125" t="str">
        <f t="shared" si="151"/>
        <v>992</v>
      </c>
      <c r="V1301" s="125" t="str">
        <f>VLOOKUP(Q1301,'GL Category'!A:C,3,FALSE)</f>
        <v>Debt Service</v>
      </c>
      <c r="X1301" s="83"/>
    </row>
    <row r="1302" spans="1:24" ht="14.4" customHeight="1">
      <c r="A1302" s="608" t="s">
        <v>1029</v>
      </c>
      <c r="B1302" s="608" t="s">
        <v>2002</v>
      </c>
      <c r="C1302" s="608" t="s">
        <v>3155</v>
      </c>
      <c r="D1302" s="609">
        <v>390000</v>
      </c>
      <c r="E1302" s="609">
        <v>410000</v>
      </c>
      <c r="F1302" s="609">
        <v>435000</v>
      </c>
      <c r="G1302" s="609">
        <v>455000</v>
      </c>
      <c r="H1302" s="609">
        <v>475000</v>
      </c>
      <c r="I1302" s="609">
        <v>475000</v>
      </c>
      <c r="J1302" s="609">
        <v>475000</v>
      </c>
      <c r="K1302" s="609">
        <v>490000</v>
      </c>
      <c r="L1302" s="609">
        <v>0</v>
      </c>
      <c r="M1302" s="609">
        <v>0</v>
      </c>
      <c r="N1302" s="587">
        <f t="shared" si="146"/>
        <v>490000</v>
      </c>
      <c r="Q1302" t="str">
        <f t="shared" si="147"/>
        <v>56902</v>
      </c>
      <c r="R1302" s="126" t="str">
        <f t="shared" si="148"/>
        <v>GO RETIREMENT</v>
      </c>
      <c r="S1302" s="125" t="str">
        <f t="shared" si="149"/>
        <v>118</v>
      </c>
      <c r="T1302" s="125" t="str">
        <f t="shared" si="150"/>
        <v>99</v>
      </c>
      <c r="U1302" s="125" t="str">
        <f t="shared" si="151"/>
        <v>992</v>
      </c>
      <c r="V1302" s="125" t="str">
        <f>VLOOKUP(Q1302,'GL Category'!A:C,3,FALSE)</f>
        <v>Debt Service</v>
      </c>
      <c r="X1302" s="83"/>
    </row>
    <row r="1303" spans="1:24" ht="14.4" customHeight="1">
      <c r="A1303" s="608" t="s">
        <v>1029</v>
      </c>
      <c r="B1303" s="608" t="s">
        <v>3412</v>
      </c>
      <c r="C1303" s="608" t="s">
        <v>801</v>
      </c>
      <c r="D1303" s="609">
        <v>0</v>
      </c>
      <c r="E1303" s="609">
        <v>0</v>
      </c>
      <c r="F1303" s="609">
        <v>0</v>
      </c>
      <c r="G1303" s="609">
        <v>0</v>
      </c>
      <c r="H1303" s="609">
        <v>4500000</v>
      </c>
      <c r="I1303" s="609">
        <v>3375000</v>
      </c>
      <c r="J1303" s="609">
        <v>4500000</v>
      </c>
      <c r="K1303" s="609">
        <v>570000</v>
      </c>
      <c r="L1303" s="609">
        <v>0</v>
      </c>
      <c r="M1303" s="609">
        <v>0</v>
      </c>
      <c r="N1303" s="587">
        <f t="shared" si="146"/>
        <v>570000</v>
      </c>
      <c r="Q1303" t="str">
        <f t="shared" si="147"/>
        <v>59105</v>
      </c>
      <c r="R1303" s="126" t="str">
        <f t="shared" si="148"/>
        <v>TRANSFER TO CIP-GENERAL GOVERN</v>
      </c>
      <c r="S1303" s="125" t="str">
        <f t="shared" si="149"/>
        <v>118</v>
      </c>
      <c r="T1303" s="125" t="str">
        <f t="shared" si="150"/>
        <v>99</v>
      </c>
      <c r="U1303" s="125" t="str">
        <f t="shared" si="151"/>
        <v>998</v>
      </c>
      <c r="V1303" s="125" t="str">
        <f>VLOOKUP(Q1303,'GL Category'!A:C,3,FALSE)</f>
        <v>Transfers to other funds</v>
      </c>
      <c r="X1303" s="83"/>
    </row>
    <row r="1304" spans="1:24" ht="14.4" customHeight="1">
      <c r="A1304" s="608" t="s">
        <v>1032</v>
      </c>
      <c r="B1304" s="608" t="s">
        <v>3216</v>
      </c>
      <c r="C1304" s="608" t="s">
        <v>353</v>
      </c>
      <c r="D1304" s="609">
        <v>0</v>
      </c>
      <c r="E1304" s="609">
        <v>0</v>
      </c>
      <c r="F1304" s="609">
        <v>42487.91</v>
      </c>
      <c r="G1304" s="609">
        <v>17021.96</v>
      </c>
      <c r="H1304" s="609">
        <v>0</v>
      </c>
      <c r="I1304" s="609">
        <v>0</v>
      </c>
      <c r="J1304" s="609">
        <v>0</v>
      </c>
      <c r="K1304" s="609">
        <v>0</v>
      </c>
      <c r="L1304" s="609">
        <v>0</v>
      </c>
      <c r="M1304" s="609">
        <v>0</v>
      </c>
      <c r="N1304" s="587">
        <f t="shared" si="146"/>
        <v>0</v>
      </c>
      <c r="Q1304" t="str">
        <f t="shared" si="147"/>
        <v>58651</v>
      </c>
      <c r="R1304" s="126" t="str">
        <f t="shared" si="148"/>
        <v>DEPRECIATION EXPENSE</v>
      </c>
      <c r="S1304" s="125" t="str">
        <f t="shared" si="149"/>
        <v>119</v>
      </c>
      <c r="T1304" s="125" t="str">
        <f t="shared" si="150"/>
        <v>10</v>
      </c>
      <c r="U1304" s="125" t="str">
        <f t="shared" si="151"/>
        <v>101</v>
      </c>
      <c r="V1304" s="125" t="str">
        <f>VLOOKUP(Q1304,'GL Category'!A:C,3,FALSE)</f>
        <v>Capital Outlay</v>
      </c>
      <c r="X1304" s="83"/>
    </row>
    <row r="1305" spans="1:24" ht="14.4" customHeight="1">
      <c r="A1305" s="608" t="s">
        <v>1032</v>
      </c>
      <c r="B1305" s="608" t="s">
        <v>2015</v>
      </c>
      <c r="C1305" s="608" t="s">
        <v>130</v>
      </c>
      <c r="D1305" s="609">
        <v>325527.19</v>
      </c>
      <c r="E1305" s="609">
        <v>334686.08000000002</v>
      </c>
      <c r="F1305" s="609">
        <v>357195.32</v>
      </c>
      <c r="G1305" s="609">
        <v>372356.73</v>
      </c>
      <c r="H1305" s="609">
        <v>382461</v>
      </c>
      <c r="I1305" s="609">
        <v>282594.77</v>
      </c>
      <c r="J1305" s="609">
        <v>370160</v>
      </c>
      <c r="K1305" s="609">
        <v>383766</v>
      </c>
      <c r="L1305" s="609">
        <v>0</v>
      </c>
      <c r="M1305" s="609">
        <v>0</v>
      </c>
      <c r="N1305" s="587">
        <f t="shared" si="146"/>
        <v>383766</v>
      </c>
      <c r="Q1305" t="str">
        <f t="shared" si="147"/>
        <v>50101</v>
      </c>
      <c r="R1305" s="126" t="str">
        <f t="shared" si="148"/>
        <v>EXEMPT SALARIES</v>
      </c>
      <c r="S1305" s="125" t="str">
        <f t="shared" si="149"/>
        <v>119</v>
      </c>
      <c r="T1305" s="125" t="str">
        <f t="shared" si="150"/>
        <v>18</v>
      </c>
      <c r="U1305" s="125" t="str">
        <f t="shared" si="151"/>
        <v>181</v>
      </c>
      <c r="V1305" s="125" t="str">
        <f>VLOOKUP(Q1305,'GL Category'!A:C,3,FALSE)</f>
        <v>Personnel services</v>
      </c>
      <c r="X1305" s="83"/>
    </row>
    <row r="1306" spans="1:24" ht="20.399999999999999" customHeight="1">
      <c r="A1306" s="608" t="s">
        <v>1032</v>
      </c>
      <c r="B1306" s="608" t="s">
        <v>2016</v>
      </c>
      <c r="C1306" s="608" t="s">
        <v>132</v>
      </c>
      <c r="D1306" s="609">
        <v>52213.41</v>
      </c>
      <c r="E1306" s="609">
        <v>28008.77</v>
      </c>
      <c r="F1306" s="609">
        <v>45105.02</v>
      </c>
      <c r="G1306" s="609">
        <v>50178.559999999998</v>
      </c>
      <c r="H1306" s="609">
        <v>51603</v>
      </c>
      <c r="I1306" s="609">
        <v>43428.29</v>
      </c>
      <c r="J1306" s="609">
        <v>56768</v>
      </c>
      <c r="K1306" s="609">
        <v>59049</v>
      </c>
      <c r="L1306" s="609">
        <v>0</v>
      </c>
      <c r="M1306" s="609">
        <v>0</v>
      </c>
      <c r="N1306" s="587">
        <f t="shared" si="146"/>
        <v>59049</v>
      </c>
      <c r="Q1306" t="str">
        <f t="shared" si="147"/>
        <v>50102</v>
      </c>
      <c r="R1306" s="126" t="str">
        <f t="shared" si="148"/>
        <v>NON EXEMPT SALARIES</v>
      </c>
      <c r="S1306" s="125" t="str">
        <f t="shared" si="149"/>
        <v>119</v>
      </c>
      <c r="T1306" s="125" t="str">
        <f t="shared" si="150"/>
        <v>18</v>
      </c>
      <c r="U1306" s="125" t="str">
        <f t="shared" si="151"/>
        <v>181</v>
      </c>
      <c r="V1306" s="125" t="str">
        <f>VLOOKUP(Q1306,'GL Category'!A:C,3,FALSE)</f>
        <v>Personnel services</v>
      </c>
      <c r="X1306" s="83"/>
    </row>
    <row r="1307" spans="1:24" ht="14.4" customHeight="1">
      <c r="A1307" s="608" t="s">
        <v>1032</v>
      </c>
      <c r="B1307" s="608" t="s">
        <v>2017</v>
      </c>
      <c r="C1307" s="608" t="s">
        <v>0</v>
      </c>
      <c r="D1307" s="609">
        <v>1298.51</v>
      </c>
      <c r="E1307" s="609">
        <v>130.6</v>
      </c>
      <c r="F1307" s="609">
        <v>1297.5</v>
      </c>
      <c r="G1307" s="609">
        <v>1527.29</v>
      </c>
      <c r="H1307" s="609">
        <v>3000</v>
      </c>
      <c r="I1307" s="609">
        <v>1392.36</v>
      </c>
      <c r="J1307" s="609">
        <v>1178</v>
      </c>
      <c r="K1307" s="609">
        <v>3000</v>
      </c>
      <c r="L1307" s="609">
        <v>0</v>
      </c>
      <c r="M1307" s="609">
        <v>0</v>
      </c>
      <c r="N1307" s="587">
        <f t="shared" si="146"/>
        <v>3000</v>
      </c>
      <c r="Q1307" t="str">
        <f t="shared" si="147"/>
        <v>50109</v>
      </c>
      <c r="R1307" s="126" t="str">
        <f t="shared" si="148"/>
        <v>OVERTIME</v>
      </c>
      <c r="S1307" s="125" t="str">
        <f t="shared" si="149"/>
        <v>119</v>
      </c>
      <c r="T1307" s="125" t="str">
        <f t="shared" si="150"/>
        <v>18</v>
      </c>
      <c r="U1307" s="125" t="str">
        <f t="shared" si="151"/>
        <v>181</v>
      </c>
      <c r="V1307" s="125" t="str">
        <f>VLOOKUP(Q1307,'GL Category'!A:C,3,FALSE)</f>
        <v>Personnel services</v>
      </c>
      <c r="X1307" s="83"/>
    </row>
    <row r="1308" spans="1:24" ht="20.399999999999999" customHeight="1">
      <c r="A1308" s="608" t="s">
        <v>1032</v>
      </c>
      <c r="B1308" s="608" t="s">
        <v>2018</v>
      </c>
      <c r="C1308" s="608" t="s">
        <v>137</v>
      </c>
      <c r="D1308" s="609">
        <v>3640</v>
      </c>
      <c r="E1308" s="609">
        <v>3940</v>
      </c>
      <c r="F1308" s="609">
        <v>3860</v>
      </c>
      <c r="G1308" s="609">
        <v>4170</v>
      </c>
      <c r="H1308" s="609">
        <v>4534</v>
      </c>
      <c r="I1308" s="609">
        <v>4470</v>
      </c>
      <c r="J1308" s="609">
        <v>4470</v>
      </c>
      <c r="K1308" s="609">
        <v>3753</v>
      </c>
      <c r="L1308" s="609">
        <v>0</v>
      </c>
      <c r="M1308" s="609">
        <v>0</v>
      </c>
      <c r="N1308" s="587">
        <f t="shared" si="146"/>
        <v>3753</v>
      </c>
      <c r="Q1308" t="str">
        <f t="shared" si="147"/>
        <v>50111</v>
      </c>
      <c r="R1308" s="126" t="str">
        <f t="shared" si="148"/>
        <v>LONGEVITY PAY</v>
      </c>
      <c r="S1308" s="125" t="str">
        <f t="shared" si="149"/>
        <v>119</v>
      </c>
      <c r="T1308" s="125" t="str">
        <f t="shared" si="150"/>
        <v>18</v>
      </c>
      <c r="U1308" s="125" t="str">
        <f t="shared" si="151"/>
        <v>181</v>
      </c>
      <c r="V1308" s="125" t="str">
        <f>VLOOKUP(Q1308,'GL Category'!A:C,3,FALSE)</f>
        <v>Personnel services</v>
      </c>
      <c r="X1308" s="83"/>
    </row>
    <row r="1309" spans="1:24" ht="20.399999999999999" customHeight="1">
      <c r="A1309" s="608" t="s">
        <v>1032</v>
      </c>
      <c r="B1309" s="608" t="s">
        <v>2019</v>
      </c>
      <c r="C1309" s="608" t="s">
        <v>283</v>
      </c>
      <c r="D1309" s="609">
        <v>7544.65</v>
      </c>
      <c r="E1309" s="609">
        <v>7026.64</v>
      </c>
      <c r="F1309" s="609">
        <v>7455.5</v>
      </c>
      <c r="G1309" s="609">
        <v>7525</v>
      </c>
      <c r="H1309" s="609">
        <v>7500</v>
      </c>
      <c r="I1309" s="609">
        <v>5225</v>
      </c>
      <c r="J1309" s="609">
        <v>9975</v>
      </c>
      <c r="K1309" s="609">
        <v>7500</v>
      </c>
      <c r="L1309" s="609">
        <v>0</v>
      </c>
      <c r="M1309" s="609">
        <v>0</v>
      </c>
      <c r="N1309" s="587">
        <f t="shared" si="146"/>
        <v>7500</v>
      </c>
      <c r="Q1309" t="str">
        <f t="shared" si="147"/>
        <v>50115</v>
      </c>
      <c r="R1309" s="126" t="str">
        <f t="shared" si="148"/>
        <v>INCENTIVE/CERTIFICATION PAY</v>
      </c>
      <c r="S1309" s="125" t="str">
        <f t="shared" si="149"/>
        <v>119</v>
      </c>
      <c r="T1309" s="125" t="str">
        <f t="shared" si="150"/>
        <v>18</v>
      </c>
      <c r="U1309" s="125" t="str">
        <f t="shared" si="151"/>
        <v>181</v>
      </c>
      <c r="V1309" s="125" t="str">
        <f>VLOOKUP(Q1309,'GL Category'!A:C,3,FALSE)</f>
        <v>Personnel services</v>
      </c>
      <c r="X1309" s="83"/>
    </row>
    <row r="1310" spans="1:24" ht="20.399999999999999" customHeight="1">
      <c r="A1310" s="608" t="s">
        <v>1032</v>
      </c>
      <c r="B1310" s="608" t="s">
        <v>2020</v>
      </c>
      <c r="C1310" s="608" t="s">
        <v>128</v>
      </c>
      <c r="D1310" s="609">
        <v>68674.289999999994</v>
      </c>
      <c r="E1310" s="609">
        <v>67900.2</v>
      </c>
      <c r="F1310" s="609">
        <v>72005.25</v>
      </c>
      <c r="G1310" s="609">
        <v>76606.5</v>
      </c>
      <c r="H1310" s="609">
        <v>84020</v>
      </c>
      <c r="I1310" s="609">
        <v>61001</v>
      </c>
      <c r="J1310" s="609">
        <v>74371</v>
      </c>
      <c r="K1310" s="609">
        <v>83465</v>
      </c>
      <c r="L1310" s="609">
        <v>0</v>
      </c>
      <c r="M1310" s="609">
        <v>0</v>
      </c>
      <c r="N1310" s="587">
        <f t="shared" si="146"/>
        <v>83465</v>
      </c>
      <c r="Q1310" t="str">
        <f t="shared" si="147"/>
        <v>50140</v>
      </c>
      <c r="R1310" s="126" t="str">
        <f t="shared" si="148"/>
        <v>COMMUNICATIONS ALLOWANCE</v>
      </c>
      <c r="S1310" s="125" t="str">
        <f t="shared" si="149"/>
        <v>119</v>
      </c>
      <c r="T1310" s="125" t="str">
        <f t="shared" si="150"/>
        <v>18</v>
      </c>
      <c r="U1310" s="125" t="str">
        <f t="shared" si="151"/>
        <v>181</v>
      </c>
      <c r="V1310" s="125" t="str">
        <f>VLOOKUP(Q1310,'GL Category'!A:C,3,FALSE)</f>
        <v>Personnel services</v>
      </c>
      <c r="X1310" s="83"/>
    </row>
    <row r="1311" spans="1:24" ht="20.399999999999999" customHeight="1">
      <c r="A1311" s="608" t="s">
        <v>1032</v>
      </c>
      <c r="B1311" s="608" t="s">
        <v>2021</v>
      </c>
      <c r="C1311" s="608" t="s">
        <v>1</v>
      </c>
      <c r="D1311" s="609">
        <v>32223.23</v>
      </c>
      <c r="E1311" s="609">
        <v>30694.82</v>
      </c>
      <c r="F1311" s="609">
        <v>34506.959999999999</v>
      </c>
      <c r="G1311" s="609">
        <v>33413.31</v>
      </c>
      <c r="H1311" s="609">
        <v>41000</v>
      </c>
      <c r="I1311" s="609">
        <v>25027.27</v>
      </c>
      <c r="J1311" s="609">
        <v>35187</v>
      </c>
      <c r="K1311" s="609">
        <v>41230</v>
      </c>
      <c r="L1311" s="609">
        <v>0</v>
      </c>
      <c r="M1311" s="609">
        <v>0</v>
      </c>
      <c r="N1311" s="587">
        <f t="shared" si="146"/>
        <v>41230</v>
      </c>
      <c r="Q1311" t="str">
        <f t="shared" si="147"/>
        <v>50610</v>
      </c>
      <c r="R1311" s="126" t="str">
        <f t="shared" si="148"/>
        <v>SOCIAL SECURITY</v>
      </c>
      <c r="S1311" s="125" t="str">
        <f t="shared" si="149"/>
        <v>119</v>
      </c>
      <c r="T1311" s="125" t="str">
        <f t="shared" si="150"/>
        <v>18</v>
      </c>
      <c r="U1311" s="125" t="str">
        <f t="shared" si="151"/>
        <v>181</v>
      </c>
      <c r="V1311" s="125" t="str">
        <f>VLOOKUP(Q1311,'GL Category'!A:C,3,FALSE)</f>
        <v>Personnel services</v>
      </c>
      <c r="X1311" s="83"/>
    </row>
    <row r="1312" spans="1:24" ht="14.4" customHeight="1">
      <c r="A1312" s="608" t="s">
        <v>1032</v>
      </c>
      <c r="B1312" s="608" t="s">
        <v>2022</v>
      </c>
      <c r="C1312" s="608" t="s">
        <v>142</v>
      </c>
      <c r="D1312" s="609">
        <v>99311.53</v>
      </c>
      <c r="E1312" s="609">
        <v>91062.92</v>
      </c>
      <c r="F1312" s="609">
        <v>86667.82</v>
      </c>
      <c r="G1312" s="609">
        <v>80392.28</v>
      </c>
      <c r="H1312" s="609">
        <v>72984</v>
      </c>
      <c r="I1312" s="609">
        <v>47368.99</v>
      </c>
      <c r="J1312" s="609">
        <v>65140</v>
      </c>
      <c r="K1312" s="609">
        <v>65932</v>
      </c>
      <c r="L1312" s="609">
        <v>0</v>
      </c>
      <c r="M1312" s="609">
        <v>0</v>
      </c>
      <c r="N1312" s="587">
        <f t="shared" si="146"/>
        <v>65932</v>
      </c>
      <c r="P1312" s="490">
        <f t="shared" ref="P1312:P1317" si="152">N1312-H1312</f>
        <v>-7052</v>
      </c>
      <c r="Q1312" t="str">
        <f t="shared" si="147"/>
        <v>50620</v>
      </c>
      <c r="R1312" s="126" t="str">
        <f t="shared" si="148"/>
        <v>HEALTH/LIFE INSURANCE</v>
      </c>
      <c r="S1312" s="125" t="str">
        <f t="shared" si="149"/>
        <v>119</v>
      </c>
      <c r="T1312" s="125" t="str">
        <f t="shared" si="150"/>
        <v>18</v>
      </c>
      <c r="U1312" s="125" t="str">
        <f t="shared" si="151"/>
        <v>181</v>
      </c>
      <c r="V1312" s="125" t="str">
        <f>VLOOKUP(Q1312,'GL Category'!A:C,3,FALSE)</f>
        <v>Personnel services</v>
      </c>
      <c r="X1312" s="83"/>
    </row>
    <row r="1313" spans="1:24" ht="14.4" customHeight="1">
      <c r="A1313" s="608" t="s">
        <v>1032</v>
      </c>
      <c r="B1313" s="608" t="s">
        <v>2023</v>
      </c>
      <c r="C1313" s="608" t="s">
        <v>144</v>
      </c>
      <c r="D1313" s="609">
        <v>307.83999999999997</v>
      </c>
      <c r="E1313" s="609">
        <v>285.72000000000003</v>
      </c>
      <c r="F1313" s="609">
        <v>320.85000000000002</v>
      </c>
      <c r="G1313" s="609">
        <v>581.16999999999996</v>
      </c>
      <c r="H1313" s="609">
        <v>770</v>
      </c>
      <c r="I1313" s="609">
        <v>769.38</v>
      </c>
      <c r="J1313" s="609">
        <v>769</v>
      </c>
      <c r="K1313" s="609">
        <v>752</v>
      </c>
      <c r="L1313" s="609">
        <v>0</v>
      </c>
      <c r="M1313" s="609">
        <v>0</v>
      </c>
      <c r="N1313" s="587">
        <f t="shared" si="146"/>
        <v>752</v>
      </c>
      <c r="P1313" s="490">
        <f t="shared" si="152"/>
        <v>-18</v>
      </c>
      <c r="Q1313" t="str">
        <f t="shared" si="147"/>
        <v>50630</v>
      </c>
      <c r="R1313" s="126" t="str">
        <f t="shared" si="148"/>
        <v>WORKER COMPENSATION</v>
      </c>
      <c r="S1313" s="125" t="str">
        <f t="shared" si="149"/>
        <v>119</v>
      </c>
      <c r="T1313" s="125" t="str">
        <f t="shared" si="150"/>
        <v>18</v>
      </c>
      <c r="U1313" s="125" t="str">
        <f t="shared" si="151"/>
        <v>181</v>
      </c>
      <c r="V1313" s="125" t="str">
        <f>VLOOKUP(Q1313,'GL Category'!A:C,3,FALSE)</f>
        <v>Personnel services</v>
      </c>
      <c r="X1313" s="83"/>
    </row>
    <row r="1314" spans="1:24" ht="20.399999999999999" customHeight="1">
      <c r="A1314" s="608" t="s">
        <v>1032</v>
      </c>
      <c r="B1314" s="608" t="s">
        <v>2024</v>
      </c>
      <c r="C1314" s="608" t="s">
        <v>2</v>
      </c>
      <c r="D1314" s="609">
        <v>88774.49</v>
      </c>
      <c r="E1314" s="609">
        <v>70951.649999999994</v>
      </c>
      <c r="F1314" s="609">
        <v>78455.05</v>
      </c>
      <c r="G1314" s="609">
        <v>75800.490000000005</v>
      </c>
      <c r="H1314" s="609">
        <v>89063</v>
      </c>
      <c r="I1314" s="609">
        <v>56280.43</v>
      </c>
      <c r="J1314" s="609">
        <v>78700</v>
      </c>
      <c r="K1314" s="609">
        <v>92473</v>
      </c>
      <c r="L1314" s="609">
        <v>0</v>
      </c>
      <c r="M1314" s="609">
        <v>0</v>
      </c>
      <c r="N1314" s="587">
        <f t="shared" si="146"/>
        <v>92473</v>
      </c>
      <c r="P1314" s="490">
        <f t="shared" si="152"/>
        <v>3410</v>
      </c>
      <c r="Q1314" t="str">
        <f t="shared" si="147"/>
        <v>50650</v>
      </c>
      <c r="R1314" s="126" t="str">
        <f t="shared" si="148"/>
        <v>RETIREMENT</v>
      </c>
      <c r="S1314" s="125" t="str">
        <f t="shared" si="149"/>
        <v>119</v>
      </c>
      <c r="T1314" s="125" t="str">
        <f t="shared" si="150"/>
        <v>18</v>
      </c>
      <c r="U1314" s="125" t="str">
        <f t="shared" si="151"/>
        <v>181</v>
      </c>
      <c r="V1314" s="125" t="str">
        <f>VLOOKUP(Q1314,'GL Category'!A:C,3,FALSE)</f>
        <v>Personnel services</v>
      </c>
      <c r="X1314" s="83"/>
    </row>
    <row r="1315" spans="1:24" ht="14.4" customHeight="1">
      <c r="A1315" s="608" t="s">
        <v>1032</v>
      </c>
      <c r="B1315" s="608" t="s">
        <v>2025</v>
      </c>
      <c r="C1315" s="608" t="s">
        <v>149</v>
      </c>
      <c r="D1315" s="609">
        <v>71.540000000000006</v>
      </c>
      <c r="E1315" s="609">
        <v>75.2</v>
      </c>
      <c r="F1315" s="609">
        <v>658.09</v>
      </c>
      <c r="G1315" s="609">
        <v>44.47</v>
      </c>
      <c r="H1315" s="609">
        <v>750</v>
      </c>
      <c r="I1315" s="609">
        <v>0</v>
      </c>
      <c r="J1315" s="609">
        <v>300</v>
      </c>
      <c r="K1315" s="609">
        <v>750</v>
      </c>
      <c r="L1315" s="609">
        <v>0</v>
      </c>
      <c r="M1315" s="609">
        <v>0</v>
      </c>
      <c r="N1315" s="587">
        <f t="shared" si="146"/>
        <v>750</v>
      </c>
      <c r="P1315" s="490">
        <f t="shared" si="152"/>
        <v>0</v>
      </c>
      <c r="Q1315" t="str">
        <f t="shared" si="147"/>
        <v>51210</v>
      </c>
      <c r="R1315" s="126" t="str">
        <f t="shared" si="148"/>
        <v>OFFICE SUPPLIES</v>
      </c>
      <c r="S1315" s="125" t="str">
        <f t="shared" si="149"/>
        <v>119</v>
      </c>
      <c r="T1315" s="125" t="str">
        <f t="shared" si="150"/>
        <v>18</v>
      </c>
      <c r="U1315" s="125" t="str">
        <f t="shared" si="151"/>
        <v>181</v>
      </c>
      <c r="V1315" s="125" t="str">
        <f>VLOOKUP(Q1315,'GL Category'!A:C,3,FALSE)</f>
        <v>Operations &amp; maintenance</v>
      </c>
      <c r="X1315" s="83"/>
    </row>
    <row r="1316" spans="1:24" ht="12" customHeight="1">
      <c r="A1316" s="608" t="s">
        <v>1032</v>
      </c>
      <c r="B1316" s="608" t="s">
        <v>2026</v>
      </c>
      <c r="C1316" s="608" t="s">
        <v>157</v>
      </c>
      <c r="D1316" s="609">
        <v>17611.47</v>
      </c>
      <c r="E1316" s="609">
        <v>20102.46</v>
      </c>
      <c r="F1316" s="609">
        <v>24178.81</v>
      </c>
      <c r="G1316" s="609">
        <v>24356.28</v>
      </c>
      <c r="H1316" s="609">
        <v>26500</v>
      </c>
      <c r="I1316" s="609">
        <v>15132.28</v>
      </c>
      <c r="J1316" s="609">
        <v>26500</v>
      </c>
      <c r="K1316" s="609">
        <v>26500</v>
      </c>
      <c r="L1316" s="609">
        <v>0</v>
      </c>
      <c r="M1316" s="609">
        <v>0</v>
      </c>
      <c r="N1316" s="587">
        <f t="shared" si="146"/>
        <v>26500</v>
      </c>
      <c r="P1316" s="490">
        <f t="shared" si="152"/>
        <v>0</v>
      </c>
      <c r="Q1316" t="str">
        <f t="shared" si="147"/>
        <v>51230</v>
      </c>
      <c r="R1316" s="126" t="str">
        <f t="shared" si="148"/>
        <v>COMPUTER SUPPLIES</v>
      </c>
      <c r="S1316" s="125" t="str">
        <f t="shared" si="149"/>
        <v>119</v>
      </c>
      <c r="T1316" s="125" t="str">
        <f t="shared" si="150"/>
        <v>18</v>
      </c>
      <c r="U1316" s="125" t="str">
        <f t="shared" si="151"/>
        <v>181</v>
      </c>
      <c r="V1316" s="125" t="str">
        <f>VLOOKUP(Q1316,'GL Category'!A:C,3,FALSE)</f>
        <v>Operations &amp; maintenance</v>
      </c>
      <c r="X1316" s="83"/>
    </row>
    <row r="1317" spans="1:24" ht="12" customHeight="1">
      <c r="A1317" s="608" t="s">
        <v>1032</v>
      </c>
      <c r="B1317" s="608" t="s">
        <v>2028</v>
      </c>
      <c r="C1317" s="608" t="s">
        <v>161</v>
      </c>
      <c r="D1317" s="609">
        <v>14.33</v>
      </c>
      <c r="E1317" s="609">
        <v>35.880000000000003</v>
      </c>
      <c r="F1317" s="609">
        <v>63.63</v>
      </c>
      <c r="G1317" s="609">
        <v>22.2</v>
      </c>
      <c r="H1317" s="609">
        <v>500</v>
      </c>
      <c r="I1317" s="609">
        <v>0</v>
      </c>
      <c r="J1317" s="609">
        <v>500</v>
      </c>
      <c r="K1317" s="609">
        <v>500</v>
      </c>
      <c r="L1317" s="609">
        <v>0</v>
      </c>
      <c r="M1317" s="609">
        <v>0</v>
      </c>
      <c r="N1317" s="587">
        <f t="shared" si="146"/>
        <v>500</v>
      </c>
      <c r="P1317" s="490">
        <f t="shared" si="152"/>
        <v>0</v>
      </c>
      <c r="Q1317" t="str">
        <f t="shared" si="147"/>
        <v>51255</v>
      </c>
      <c r="R1317" s="126" t="str">
        <f t="shared" si="148"/>
        <v>FUEL/OILS/LUBRICANTS</v>
      </c>
      <c r="S1317" s="125" t="str">
        <f t="shared" si="149"/>
        <v>119</v>
      </c>
      <c r="T1317" s="125" t="str">
        <f t="shared" si="150"/>
        <v>18</v>
      </c>
      <c r="U1317" s="125" t="str">
        <f t="shared" si="151"/>
        <v>181</v>
      </c>
      <c r="V1317" s="125" t="str">
        <f>VLOOKUP(Q1317,'GL Category'!A:C,3,FALSE)</f>
        <v>Operations &amp; maintenance</v>
      </c>
      <c r="X1317" s="83"/>
    </row>
    <row r="1318" spans="1:24" ht="12" customHeight="1">
      <c r="A1318" s="608" t="s">
        <v>1032</v>
      </c>
      <c r="B1318" s="608" t="s">
        <v>2029</v>
      </c>
      <c r="C1318" s="608" t="s">
        <v>167</v>
      </c>
      <c r="D1318" s="609">
        <v>407.94</v>
      </c>
      <c r="E1318" s="609">
        <v>333.18</v>
      </c>
      <c r="F1318" s="609">
        <v>1122.58</v>
      </c>
      <c r="G1318" s="609">
        <v>0</v>
      </c>
      <c r="H1318" s="609">
        <v>750</v>
      </c>
      <c r="I1318" s="609">
        <v>705.23</v>
      </c>
      <c r="J1318" s="609">
        <v>750</v>
      </c>
      <c r="K1318" s="609">
        <v>750</v>
      </c>
      <c r="L1318" s="609">
        <v>0</v>
      </c>
      <c r="M1318" s="609">
        <v>0</v>
      </c>
      <c r="N1318" s="587">
        <f t="shared" si="146"/>
        <v>750</v>
      </c>
      <c r="Q1318" t="str">
        <f t="shared" si="147"/>
        <v>51285</v>
      </c>
      <c r="R1318" s="126" t="str">
        <f t="shared" si="148"/>
        <v>WEARING APPAREL</v>
      </c>
      <c r="S1318" s="125" t="str">
        <f t="shared" si="149"/>
        <v>119</v>
      </c>
      <c r="T1318" s="125" t="str">
        <f t="shared" si="150"/>
        <v>18</v>
      </c>
      <c r="U1318" s="125" t="str">
        <f t="shared" si="151"/>
        <v>181</v>
      </c>
      <c r="V1318" s="125" t="str">
        <f>VLOOKUP(Q1318,'GL Category'!A:C,3,FALSE)</f>
        <v>Operations &amp; maintenance</v>
      </c>
      <c r="X1318" s="83"/>
    </row>
    <row r="1319" spans="1:24" ht="12" customHeight="1">
      <c r="A1319" s="608" t="s">
        <v>1032</v>
      </c>
      <c r="B1319" s="608" t="s">
        <v>2030</v>
      </c>
      <c r="C1319" s="608" t="s">
        <v>241</v>
      </c>
      <c r="D1319" s="609">
        <v>570.19000000000005</v>
      </c>
      <c r="E1319" s="609">
        <v>78.209999999999994</v>
      </c>
      <c r="F1319" s="609">
        <v>548.35</v>
      </c>
      <c r="G1319" s="609">
        <v>459.39</v>
      </c>
      <c r="H1319" s="609">
        <v>678</v>
      </c>
      <c r="I1319" s="609">
        <v>0</v>
      </c>
      <c r="J1319" s="609">
        <v>678</v>
      </c>
      <c r="K1319" s="609">
        <v>3465</v>
      </c>
      <c r="L1319" s="609">
        <v>0</v>
      </c>
      <c r="M1319" s="609">
        <v>0</v>
      </c>
      <c r="N1319" s="587">
        <f t="shared" si="146"/>
        <v>3465</v>
      </c>
      <c r="Q1319" t="str">
        <f t="shared" si="147"/>
        <v>52460</v>
      </c>
      <c r="R1319" s="126" t="str">
        <f t="shared" si="148"/>
        <v>VEHICLE MAINTENANCE</v>
      </c>
      <c r="S1319" s="125" t="str">
        <f t="shared" si="149"/>
        <v>119</v>
      </c>
      <c r="T1319" s="125" t="str">
        <f t="shared" si="150"/>
        <v>18</v>
      </c>
      <c r="U1319" s="125" t="str">
        <f t="shared" si="151"/>
        <v>181</v>
      </c>
      <c r="V1319" s="125" t="str">
        <f>VLOOKUP(Q1319,'GL Category'!A:C,3,FALSE)</f>
        <v>Operations &amp; maintenance</v>
      </c>
      <c r="X1319" s="83"/>
    </row>
    <row r="1320" spans="1:24" ht="12" customHeight="1">
      <c r="A1320" s="608" t="s">
        <v>1032</v>
      </c>
      <c r="B1320" s="608" t="s">
        <v>2031</v>
      </c>
      <c r="C1320" s="608" t="s">
        <v>177</v>
      </c>
      <c r="D1320" s="609">
        <v>99830.17</v>
      </c>
      <c r="E1320" s="609">
        <v>89634.42</v>
      </c>
      <c r="F1320" s="609">
        <v>98759.64</v>
      </c>
      <c r="G1320" s="609">
        <v>152258.79999999999</v>
      </c>
      <c r="H1320" s="609">
        <v>150000</v>
      </c>
      <c r="I1320" s="609">
        <v>103239.76</v>
      </c>
      <c r="J1320" s="609">
        <v>150000</v>
      </c>
      <c r="K1320" s="609">
        <v>161000</v>
      </c>
      <c r="L1320" s="609">
        <v>0</v>
      </c>
      <c r="M1320" s="609">
        <v>0</v>
      </c>
      <c r="N1320" s="587">
        <f t="shared" si="146"/>
        <v>161000</v>
      </c>
      <c r="Q1320" t="str">
        <f t="shared" si="147"/>
        <v>52480</v>
      </c>
      <c r="R1320" s="126" t="str">
        <f t="shared" si="148"/>
        <v>OFFICE EQUIPMENT MAINTENANCE</v>
      </c>
      <c r="S1320" s="125" t="str">
        <f t="shared" si="149"/>
        <v>119</v>
      </c>
      <c r="T1320" s="125" t="str">
        <f t="shared" si="150"/>
        <v>18</v>
      </c>
      <c r="U1320" s="125" t="str">
        <f t="shared" si="151"/>
        <v>181</v>
      </c>
      <c r="V1320" s="125" t="str">
        <f>VLOOKUP(Q1320,'GL Category'!A:C,3,FALSE)</f>
        <v>Operations &amp; maintenance</v>
      </c>
      <c r="X1320" s="83"/>
    </row>
    <row r="1321" spans="1:24" ht="20.399999999999999" customHeight="1">
      <c r="A1321" s="608" t="s">
        <v>1032</v>
      </c>
      <c r="B1321" s="608" t="s">
        <v>2032</v>
      </c>
      <c r="C1321" s="608" t="s">
        <v>179</v>
      </c>
      <c r="D1321" s="609">
        <v>652870.79</v>
      </c>
      <c r="E1321" s="609">
        <v>686782.68</v>
      </c>
      <c r="F1321" s="609">
        <v>528720.69999999995</v>
      </c>
      <c r="G1321" s="609">
        <v>890614.92</v>
      </c>
      <c r="H1321" s="609">
        <v>1146699</v>
      </c>
      <c r="I1321" s="609">
        <v>694816.86</v>
      </c>
      <c r="J1321" s="609">
        <v>1146699</v>
      </c>
      <c r="K1321" s="609">
        <v>956800</v>
      </c>
      <c r="L1321" s="609">
        <v>0</v>
      </c>
      <c r="M1321" s="609">
        <v>906370</v>
      </c>
      <c r="N1321" s="587">
        <f t="shared" si="146"/>
        <v>1863170</v>
      </c>
      <c r="Q1321" t="str">
        <f t="shared" si="147"/>
        <v>52485</v>
      </c>
      <c r="R1321" s="126" t="str">
        <f t="shared" si="148"/>
        <v>SOFTWARE LICENSE &amp; MAINTENANCE</v>
      </c>
      <c r="S1321" s="125" t="str">
        <f t="shared" si="149"/>
        <v>119</v>
      </c>
      <c r="T1321" s="125" t="str">
        <f t="shared" si="150"/>
        <v>18</v>
      </c>
      <c r="U1321" s="125" t="str">
        <f t="shared" si="151"/>
        <v>181</v>
      </c>
      <c r="V1321" s="125" t="str">
        <f>VLOOKUP(Q1321,'GL Category'!A:C,3,FALSE)</f>
        <v>Operations &amp; maintenance</v>
      </c>
      <c r="X1321" s="83"/>
    </row>
    <row r="1322" spans="1:24" ht="12" customHeight="1">
      <c r="A1322" s="608" t="s">
        <v>1032</v>
      </c>
      <c r="B1322" s="608" t="s">
        <v>2034</v>
      </c>
      <c r="C1322" s="608" t="s">
        <v>190</v>
      </c>
      <c r="D1322" s="609">
        <v>228.89</v>
      </c>
      <c r="E1322" s="609">
        <v>375</v>
      </c>
      <c r="F1322" s="609">
        <v>175</v>
      </c>
      <c r="G1322" s="609">
        <v>175</v>
      </c>
      <c r="H1322" s="609">
        <v>250</v>
      </c>
      <c r="I1322" s="609">
        <v>0</v>
      </c>
      <c r="J1322" s="609">
        <v>250</v>
      </c>
      <c r="K1322" s="609">
        <v>250</v>
      </c>
      <c r="L1322" s="609">
        <v>0</v>
      </c>
      <c r="M1322" s="609">
        <v>0</v>
      </c>
      <c r="N1322" s="587">
        <f t="shared" si="146"/>
        <v>250</v>
      </c>
      <c r="Q1322" t="str">
        <f t="shared" si="147"/>
        <v>53510</v>
      </c>
      <c r="R1322" s="126" t="str">
        <f t="shared" si="148"/>
        <v>DUES &amp; SUBSCRIPTIONS</v>
      </c>
      <c r="S1322" s="125" t="str">
        <f t="shared" si="149"/>
        <v>119</v>
      </c>
      <c r="T1322" s="125" t="str">
        <f t="shared" si="150"/>
        <v>18</v>
      </c>
      <c r="U1322" s="125" t="str">
        <f t="shared" si="151"/>
        <v>181</v>
      </c>
      <c r="V1322" s="125" t="str">
        <f>VLOOKUP(Q1322,'GL Category'!A:C,3,FALSE)</f>
        <v>Services &amp; other</v>
      </c>
      <c r="X1322" s="83"/>
    </row>
    <row r="1323" spans="1:24" ht="20.399999999999999" customHeight="1">
      <c r="A1323" s="608" t="s">
        <v>1032</v>
      </c>
      <c r="B1323" s="608" t="s">
        <v>2036</v>
      </c>
      <c r="C1323" s="608" t="s">
        <v>193</v>
      </c>
      <c r="D1323" s="609">
        <v>17572</v>
      </c>
      <c r="E1323" s="609">
        <v>80473.5</v>
      </c>
      <c r="F1323" s="609">
        <v>23918</v>
      </c>
      <c r="G1323" s="609">
        <v>95466.43</v>
      </c>
      <c r="H1323" s="609">
        <v>70000</v>
      </c>
      <c r="I1323" s="609">
        <v>31146.6</v>
      </c>
      <c r="J1323" s="609">
        <v>50000</v>
      </c>
      <c r="K1323" s="609">
        <v>70000</v>
      </c>
      <c r="L1323" s="609">
        <v>0</v>
      </c>
      <c r="M1323" s="609">
        <v>0</v>
      </c>
      <c r="N1323" s="587">
        <f t="shared" si="146"/>
        <v>70000</v>
      </c>
      <c r="Q1323" t="str">
        <f t="shared" si="147"/>
        <v>53513</v>
      </c>
      <c r="R1323" s="126" t="str">
        <f t="shared" si="148"/>
        <v>CONSULTING SERVICES</v>
      </c>
      <c r="S1323" s="125" t="str">
        <f t="shared" si="149"/>
        <v>119</v>
      </c>
      <c r="T1323" s="125" t="str">
        <f t="shared" si="150"/>
        <v>18</v>
      </c>
      <c r="U1323" s="125" t="str">
        <f t="shared" si="151"/>
        <v>181</v>
      </c>
      <c r="V1323" s="125" t="str">
        <f>VLOOKUP(Q1323,'GL Category'!A:C,3,FALSE)</f>
        <v>Services &amp; other</v>
      </c>
      <c r="X1323" s="83"/>
    </row>
    <row r="1324" spans="1:24" ht="20.399999999999999" customHeight="1">
      <c r="A1324" s="608" t="s">
        <v>1032</v>
      </c>
      <c r="B1324" s="608" t="s">
        <v>2035</v>
      </c>
      <c r="C1324" s="608" t="s">
        <v>191</v>
      </c>
      <c r="D1324" s="609">
        <v>8233.26</v>
      </c>
      <c r="E1324" s="609">
        <v>6183.01</v>
      </c>
      <c r="F1324" s="609">
        <v>8734</v>
      </c>
      <c r="G1324" s="609">
        <v>12233.08</v>
      </c>
      <c r="H1324" s="609">
        <v>24700</v>
      </c>
      <c r="I1324" s="609">
        <v>10662.88</v>
      </c>
      <c r="J1324" s="609">
        <v>17800</v>
      </c>
      <c r="K1324" s="609">
        <v>24700</v>
      </c>
      <c r="L1324" s="609">
        <v>0</v>
      </c>
      <c r="M1324" s="609">
        <v>0</v>
      </c>
      <c r="N1324" s="587">
        <f t="shared" si="146"/>
        <v>24700</v>
      </c>
      <c r="Q1324" t="str">
        <f t="shared" si="147"/>
        <v>53515</v>
      </c>
      <c r="R1324" s="126" t="str">
        <f t="shared" si="148"/>
        <v>TRAVEL, TRAINING &amp; EDUCATION</v>
      </c>
      <c r="S1324" s="125" t="str">
        <f t="shared" si="149"/>
        <v>119</v>
      </c>
      <c r="T1324" s="125" t="str">
        <f t="shared" si="150"/>
        <v>18</v>
      </c>
      <c r="U1324" s="125" t="str">
        <f t="shared" si="151"/>
        <v>181</v>
      </c>
      <c r="V1324" s="125" t="str">
        <f>VLOOKUP(Q1324,'GL Category'!A:C,3,FALSE)</f>
        <v>Services &amp; other</v>
      </c>
      <c r="X1324" s="83"/>
    </row>
    <row r="1325" spans="1:24" ht="20.399999999999999" customHeight="1">
      <c r="A1325" s="608" t="s">
        <v>1032</v>
      </c>
      <c r="B1325" s="608" t="s">
        <v>2037</v>
      </c>
      <c r="C1325" s="608" t="s">
        <v>6</v>
      </c>
      <c r="D1325" s="609">
        <v>73072.89</v>
      </c>
      <c r="E1325" s="609">
        <v>75227.649999999994</v>
      </c>
      <c r="F1325" s="609">
        <v>74929.78</v>
      </c>
      <c r="G1325" s="609">
        <v>77856.58</v>
      </c>
      <c r="H1325" s="609">
        <v>77920</v>
      </c>
      <c r="I1325" s="609">
        <v>50768.62</v>
      </c>
      <c r="J1325" s="609">
        <v>77920</v>
      </c>
      <c r="K1325" s="609">
        <v>77920</v>
      </c>
      <c r="L1325" s="609">
        <v>0</v>
      </c>
      <c r="M1325" s="609">
        <v>0</v>
      </c>
      <c r="N1325" s="587">
        <f t="shared" si="146"/>
        <v>77920</v>
      </c>
      <c r="Q1325" t="str">
        <f t="shared" si="147"/>
        <v>53524</v>
      </c>
      <c r="R1325" s="126" t="str">
        <f t="shared" si="148"/>
        <v>EQUIPMENT RENTAL</v>
      </c>
      <c r="S1325" s="125" t="str">
        <f t="shared" si="149"/>
        <v>119</v>
      </c>
      <c r="T1325" s="125" t="str">
        <f t="shared" si="150"/>
        <v>18</v>
      </c>
      <c r="U1325" s="125" t="str">
        <f t="shared" si="151"/>
        <v>181</v>
      </c>
      <c r="V1325" s="125" t="str">
        <f>VLOOKUP(Q1325,'GL Category'!A:C,3,FALSE)</f>
        <v>Services &amp; other</v>
      </c>
      <c r="X1325" s="83"/>
    </row>
    <row r="1326" spans="1:24" ht="20.399999999999999" customHeight="1">
      <c r="A1326" s="608" t="s">
        <v>1032</v>
      </c>
      <c r="B1326" s="608" t="s">
        <v>3425</v>
      </c>
      <c r="C1326" s="608" t="s">
        <v>205</v>
      </c>
      <c r="D1326" s="609">
        <v>0</v>
      </c>
      <c r="E1326" s="609">
        <v>0</v>
      </c>
      <c r="F1326" s="609">
        <v>0</v>
      </c>
      <c r="G1326" s="609">
        <v>0</v>
      </c>
      <c r="H1326" s="609">
        <v>0</v>
      </c>
      <c r="I1326" s="609">
        <v>1018.24</v>
      </c>
      <c r="J1326" s="609">
        <v>0</v>
      </c>
      <c r="K1326" s="609">
        <v>0</v>
      </c>
      <c r="L1326" s="609">
        <v>0</v>
      </c>
      <c r="M1326" s="609">
        <v>0</v>
      </c>
      <c r="N1326" s="587">
        <f t="shared" si="146"/>
        <v>0</v>
      </c>
      <c r="Q1326" t="str">
        <f t="shared" si="147"/>
        <v>53550</v>
      </c>
      <c r="R1326" s="126" t="str">
        <f t="shared" si="148"/>
        <v>BAD DEBT EXPENSE</v>
      </c>
      <c r="S1326" s="125" t="str">
        <f t="shared" si="149"/>
        <v>119</v>
      </c>
      <c r="T1326" s="125" t="str">
        <f t="shared" si="150"/>
        <v>18</v>
      </c>
      <c r="U1326" s="125" t="str">
        <f t="shared" si="151"/>
        <v>181</v>
      </c>
      <c r="V1326" s="125" t="str">
        <f>VLOOKUP(Q1326,'GL Category'!A:C,3,FALSE)</f>
        <v>Services &amp; other</v>
      </c>
      <c r="X1326" s="83"/>
    </row>
    <row r="1327" spans="1:24" ht="20.399999999999999" customHeight="1">
      <c r="A1327" s="608" t="s">
        <v>1032</v>
      </c>
      <c r="B1327" s="608" t="s">
        <v>2041</v>
      </c>
      <c r="C1327" s="608" t="s">
        <v>211</v>
      </c>
      <c r="D1327" s="609">
        <v>215202.14</v>
      </c>
      <c r="E1327" s="609">
        <v>184664.82</v>
      </c>
      <c r="F1327" s="609">
        <v>195182.95</v>
      </c>
      <c r="G1327" s="609">
        <v>199411.94</v>
      </c>
      <c r="H1327" s="609">
        <v>223525</v>
      </c>
      <c r="I1327" s="609">
        <v>131541.82</v>
      </c>
      <c r="J1327" s="609">
        <v>205625</v>
      </c>
      <c r="K1327" s="609">
        <v>223525</v>
      </c>
      <c r="L1327" s="609">
        <v>0</v>
      </c>
      <c r="M1327" s="609">
        <v>0</v>
      </c>
      <c r="N1327" s="587">
        <f t="shared" si="146"/>
        <v>223525</v>
      </c>
      <c r="Q1327" t="str">
        <f t="shared" si="147"/>
        <v>53570</v>
      </c>
      <c r="R1327" s="126" t="str">
        <f t="shared" si="148"/>
        <v>TELEPHONE/COMMUNICATIONS</v>
      </c>
      <c r="S1327" s="125" t="str">
        <f t="shared" si="149"/>
        <v>119</v>
      </c>
      <c r="T1327" s="125" t="str">
        <f t="shared" si="150"/>
        <v>18</v>
      </c>
      <c r="U1327" s="125" t="str">
        <f t="shared" si="151"/>
        <v>181</v>
      </c>
      <c r="V1327" s="125" t="str">
        <f>VLOOKUP(Q1327,'GL Category'!A:C,3,FALSE)</f>
        <v>Services &amp; other</v>
      </c>
      <c r="X1327" s="83"/>
    </row>
    <row r="1328" spans="1:24" ht="20.399999999999999" customHeight="1">
      <c r="A1328" s="608" t="s">
        <v>1032</v>
      </c>
      <c r="B1328" s="608" t="s">
        <v>2042</v>
      </c>
      <c r="C1328" s="608" t="s">
        <v>220</v>
      </c>
      <c r="D1328" s="609">
        <v>3465</v>
      </c>
      <c r="E1328" s="609">
        <v>3465</v>
      </c>
      <c r="F1328" s="609">
        <v>4313</v>
      </c>
      <c r="G1328" s="609">
        <v>4313</v>
      </c>
      <c r="H1328" s="609">
        <v>4313</v>
      </c>
      <c r="I1328" s="609">
        <v>3234.75</v>
      </c>
      <c r="J1328" s="609">
        <v>4313</v>
      </c>
      <c r="K1328" s="609">
        <v>3465</v>
      </c>
      <c r="L1328" s="609">
        <v>0</v>
      </c>
      <c r="M1328" s="609">
        <v>0</v>
      </c>
      <c r="N1328" s="587">
        <f t="shared" si="146"/>
        <v>3465</v>
      </c>
      <c r="Q1328" t="str">
        <f t="shared" si="147"/>
        <v>55175</v>
      </c>
      <c r="R1328" s="126" t="str">
        <f t="shared" si="148"/>
        <v>VEHICLE/EQUIP LEASE EXP-CITY</v>
      </c>
      <c r="S1328" s="125" t="str">
        <f t="shared" si="149"/>
        <v>119</v>
      </c>
      <c r="T1328" s="125" t="str">
        <f t="shared" si="150"/>
        <v>18</v>
      </c>
      <c r="U1328" s="125" t="str">
        <f t="shared" si="151"/>
        <v>181</v>
      </c>
      <c r="V1328" s="125" t="str">
        <f>VLOOKUP(Q1328,'GL Category'!A:C,3,FALSE)</f>
        <v>Services &amp; other</v>
      </c>
      <c r="X1328" s="83"/>
    </row>
    <row r="1329" spans="1:24" ht="20.399999999999999" customHeight="1">
      <c r="A1329" s="608" t="s">
        <v>1032</v>
      </c>
      <c r="B1329" s="608" t="s">
        <v>3217</v>
      </c>
      <c r="C1329" s="608" t="s">
        <v>353</v>
      </c>
      <c r="D1329" s="609">
        <v>0</v>
      </c>
      <c r="E1329" s="609">
        <v>0</v>
      </c>
      <c r="F1329" s="609">
        <v>58014.31</v>
      </c>
      <c r="G1329" s="609">
        <v>57256.22</v>
      </c>
      <c r="H1329" s="609">
        <v>0</v>
      </c>
      <c r="I1329" s="609">
        <v>0</v>
      </c>
      <c r="J1329" s="609">
        <v>0</v>
      </c>
      <c r="K1329" s="609">
        <v>0</v>
      </c>
      <c r="L1329" s="609">
        <v>0</v>
      </c>
      <c r="M1329" s="609">
        <v>0</v>
      </c>
      <c r="N1329" s="587">
        <f t="shared" si="146"/>
        <v>0</v>
      </c>
      <c r="Q1329" t="str">
        <f t="shared" si="147"/>
        <v>58651</v>
      </c>
      <c r="R1329" s="126" t="str">
        <f t="shared" si="148"/>
        <v>DEPRECIATION EXPENSE</v>
      </c>
      <c r="S1329" s="125" t="str">
        <f t="shared" si="149"/>
        <v>119</v>
      </c>
      <c r="T1329" s="125" t="str">
        <f t="shared" si="150"/>
        <v>18</v>
      </c>
      <c r="U1329" s="125" t="str">
        <f t="shared" si="151"/>
        <v>181</v>
      </c>
      <c r="V1329" s="125" t="str">
        <f>VLOOKUP(Q1329,'GL Category'!A:C,3,FALSE)</f>
        <v>Capital Outlay</v>
      </c>
      <c r="X1329" s="83"/>
    </row>
    <row r="1330" spans="1:24" ht="20.399999999999999" customHeight="1">
      <c r="A1330" s="608" t="s">
        <v>1032</v>
      </c>
      <c r="B1330" s="608" t="s">
        <v>3445</v>
      </c>
      <c r="C1330" s="608" t="s">
        <v>3439</v>
      </c>
      <c r="D1330" s="609">
        <v>0</v>
      </c>
      <c r="E1330" s="609">
        <v>0</v>
      </c>
      <c r="F1330" s="609">
        <v>0</v>
      </c>
      <c r="G1330" s="609">
        <v>0</v>
      </c>
      <c r="H1330" s="609">
        <v>0</v>
      </c>
      <c r="I1330" s="609">
        <v>0</v>
      </c>
      <c r="J1330" s="609">
        <v>0</v>
      </c>
      <c r="K1330" s="609">
        <v>0</v>
      </c>
      <c r="L1330" s="609">
        <v>0</v>
      </c>
      <c r="M1330" s="609">
        <v>0</v>
      </c>
      <c r="N1330" s="587">
        <f t="shared" si="146"/>
        <v>0</v>
      </c>
      <c r="Q1330" t="str">
        <f t="shared" si="147"/>
        <v>58655</v>
      </c>
      <c r="R1330" s="126" t="str">
        <f t="shared" si="148"/>
        <v>SBITA AMORTIZATION EXPENSE</v>
      </c>
      <c r="S1330" s="125" t="str">
        <f t="shared" si="149"/>
        <v>119</v>
      </c>
      <c r="T1330" s="125" t="str">
        <f t="shared" si="150"/>
        <v>18</v>
      </c>
      <c r="U1330" s="125" t="str">
        <f t="shared" si="151"/>
        <v>181</v>
      </c>
      <c r="V1330" s="125" t="str">
        <f>VLOOKUP(Q1330,'GL Category'!A:C,3,FALSE)</f>
        <v>Capital Outlay</v>
      </c>
      <c r="X1330" s="83"/>
    </row>
    <row r="1331" spans="1:24" ht="20.399999999999999" customHeight="1">
      <c r="A1331" s="608" t="s">
        <v>1032</v>
      </c>
      <c r="B1331" s="608" t="s">
        <v>2047</v>
      </c>
      <c r="C1331" s="608" t="s">
        <v>130</v>
      </c>
      <c r="D1331" s="609">
        <v>80088.320000000007</v>
      </c>
      <c r="E1331" s="609">
        <v>82488.88</v>
      </c>
      <c r="F1331" s="609">
        <v>90681.45</v>
      </c>
      <c r="G1331" s="609">
        <v>94377.68</v>
      </c>
      <c r="H1331" s="609">
        <v>94536</v>
      </c>
      <c r="I1331" s="609">
        <v>72453.820000000007</v>
      </c>
      <c r="J1331" s="609">
        <v>95111</v>
      </c>
      <c r="K1331" s="609">
        <v>99772</v>
      </c>
      <c r="L1331" s="609">
        <v>0</v>
      </c>
      <c r="M1331" s="609">
        <v>0</v>
      </c>
      <c r="N1331" s="587">
        <f t="shared" si="146"/>
        <v>99772</v>
      </c>
      <c r="Q1331" t="str">
        <f t="shared" si="147"/>
        <v>50101</v>
      </c>
      <c r="R1331" s="126" t="str">
        <f t="shared" si="148"/>
        <v>EXEMPT SALARIES</v>
      </c>
      <c r="S1331" s="125" t="str">
        <f t="shared" si="149"/>
        <v>119</v>
      </c>
      <c r="T1331" s="125" t="str">
        <f t="shared" si="150"/>
        <v>18</v>
      </c>
      <c r="U1331" s="125" t="str">
        <f t="shared" si="151"/>
        <v>183</v>
      </c>
      <c r="V1331" s="125" t="str">
        <f>VLOOKUP(Q1331,'GL Category'!A:C,3,FALSE)</f>
        <v>Personnel services</v>
      </c>
      <c r="X1331" s="83"/>
    </row>
    <row r="1332" spans="1:24" ht="20.399999999999999" customHeight="1">
      <c r="A1332" s="608" t="s">
        <v>1032</v>
      </c>
      <c r="B1332" s="608" t="s">
        <v>2048</v>
      </c>
      <c r="C1332" s="608" t="s">
        <v>132</v>
      </c>
      <c r="D1332" s="609">
        <v>43927.9</v>
      </c>
      <c r="E1332" s="609">
        <v>45159.18</v>
      </c>
      <c r="F1332" s="609">
        <v>47366.63</v>
      </c>
      <c r="G1332" s="609">
        <v>49341.31</v>
      </c>
      <c r="H1332" s="609">
        <v>51414</v>
      </c>
      <c r="I1332" s="609">
        <v>42351.25</v>
      </c>
      <c r="J1332" s="609">
        <v>55598</v>
      </c>
      <c r="K1332" s="609">
        <v>59230</v>
      </c>
      <c r="L1332" s="609">
        <v>0</v>
      </c>
      <c r="M1332" s="609">
        <v>0</v>
      </c>
      <c r="N1332" s="587">
        <f t="shared" si="146"/>
        <v>59230</v>
      </c>
      <c r="P1332" s="490">
        <f>N1332-H1332</f>
        <v>7816</v>
      </c>
      <c r="Q1332" t="str">
        <f t="shared" si="147"/>
        <v>50102</v>
      </c>
      <c r="R1332" s="126" t="str">
        <f t="shared" si="148"/>
        <v>NON EXEMPT SALARIES</v>
      </c>
      <c r="S1332" s="125" t="str">
        <f t="shared" si="149"/>
        <v>119</v>
      </c>
      <c r="T1332" s="125" t="str">
        <f t="shared" si="150"/>
        <v>18</v>
      </c>
      <c r="U1332" s="125" t="str">
        <f t="shared" si="151"/>
        <v>183</v>
      </c>
      <c r="V1332" s="125" t="str">
        <f>VLOOKUP(Q1332,'GL Category'!A:C,3,FALSE)</f>
        <v>Personnel services</v>
      </c>
      <c r="X1332" s="83"/>
    </row>
    <row r="1333" spans="1:24" ht="20.399999999999999" customHeight="1">
      <c r="A1333" s="608" t="s">
        <v>1032</v>
      </c>
      <c r="B1333" s="608" t="s">
        <v>2049</v>
      </c>
      <c r="C1333" s="608" t="s">
        <v>0</v>
      </c>
      <c r="D1333" s="609">
        <v>23.65</v>
      </c>
      <c r="E1333" s="609">
        <v>8.31</v>
      </c>
      <c r="F1333" s="609">
        <v>0</v>
      </c>
      <c r="G1333" s="609">
        <v>9.18</v>
      </c>
      <c r="H1333" s="609">
        <v>1500</v>
      </c>
      <c r="I1333" s="609">
        <v>20.58</v>
      </c>
      <c r="J1333" s="609">
        <v>10</v>
      </c>
      <c r="K1333" s="609">
        <v>1500</v>
      </c>
      <c r="L1333" s="609">
        <v>0</v>
      </c>
      <c r="M1333" s="609">
        <v>0</v>
      </c>
      <c r="N1333" s="587">
        <f t="shared" si="146"/>
        <v>1500</v>
      </c>
      <c r="P1333" s="490">
        <f>N1333-H1333</f>
        <v>0</v>
      </c>
      <c r="Q1333" t="str">
        <f t="shared" si="147"/>
        <v>50109</v>
      </c>
      <c r="R1333" s="126" t="str">
        <f t="shared" si="148"/>
        <v>OVERTIME</v>
      </c>
      <c r="S1333" s="125" t="str">
        <f t="shared" si="149"/>
        <v>119</v>
      </c>
      <c r="T1333" s="125" t="str">
        <f t="shared" si="150"/>
        <v>18</v>
      </c>
      <c r="U1333" s="125" t="str">
        <f t="shared" si="151"/>
        <v>183</v>
      </c>
      <c r="V1333" s="125" t="str">
        <f>VLOOKUP(Q1333,'GL Category'!A:C,3,FALSE)</f>
        <v>Personnel services</v>
      </c>
      <c r="X1333" s="83"/>
    </row>
    <row r="1334" spans="1:24" ht="20.399999999999999" customHeight="1">
      <c r="A1334" s="608" t="s">
        <v>1032</v>
      </c>
      <c r="B1334" s="608" t="s">
        <v>3507</v>
      </c>
      <c r="C1334" s="608" t="s">
        <v>135</v>
      </c>
      <c r="D1334" s="609">
        <v>0</v>
      </c>
      <c r="E1334" s="609">
        <v>0</v>
      </c>
      <c r="F1334" s="609">
        <v>0</v>
      </c>
      <c r="G1334" s="609">
        <v>0</v>
      </c>
      <c r="H1334" s="609">
        <v>0</v>
      </c>
      <c r="I1334" s="609">
        <v>0</v>
      </c>
      <c r="J1334" s="609">
        <v>0</v>
      </c>
      <c r="K1334" s="609">
        <v>0</v>
      </c>
      <c r="L1334" s="609">
        <v>0</v>
      </c>
      <c r="M1334" s="609">
        <v>0</v>
      </c>
      <c r="N1334" s="587">
        <f t="shared" si="146"/>
        <v>0</v>
      </c>
      <c r="P1334" s="490">
        <f>N1334-H1334</f>
        <v>0</v>
      </c>
      <c r="Q1334" t="str">
        <f t="shared" si="147"/>
        <v>50110</v>
      </c>
      <c r="R1334" s="126" t="str">
        <f t="shared" si="148"/>
        <v>PART-TIME WAGES</v>
      </c>
      <c r="S1334" s="125" t="str">
        <f t="shared" si="149"/>
        <v>119</v>
      </c>
      <c r="T1334" s="125" t="str">
        <f t="shared" si="150"/>
        <v>18</v>
      </c>
      <c r="U1334" s="125" t="str">
        <f t="shared" si="151"/>
        <v>183</v>
      </c>
      <c r="V1334" s="125" t="str">
        <f>VLOOKUP(Q1334,'GL Category'!A:C,3,FALSE)</f>
        <v>Personnel services</v>
      </c>
      <c r="X1334" s="83"/>
    </row>
    <row r="1335" spans="1:24" ht="20.399999999999999" customHeight="1">
      <c r="A1335" s="608" t="s">
        <v>1032</v>
      </c>
      <c r="B1335" s="608" t="s">
        <v>2050</v>
      </c>
      <c r="C1335" s="608" t="s">
        <v>137</v>
      </c>
      <c r="D1335" s="609">
        <v>945</v>
      </c>
      <c r="E1335" s="609">
        <v>1065</v>
      </c>
      <c r="F1335" s="609">
        <v>1185</v>
      </c>
      <c r="G1335" s="609">
        <v>1305</v>
      </c>
      <c r="H1335" s="609">
        <v>1444</v>
      </c>
      <c r="I1335" s="609">
        <v>1425</v>
      </c>
      <c r="J1335" s="609">
        <v>1425</v>
      </c>
      <c r="K1335" s="609">
        <v>1566</v>
      </c>
      <c r="L1335" s="609">
        <v>0</v>
      </c>
      <c r="M1335" s="609">
        <v>0</v>
      </c>
      <c r="N1335" s="587">
        <f t="shared" si="146"/>
        <v>1566</v>
      </c>
      <c r="P1335" s="490">
        <f>N1335-H1335</f>
        <v>122</v>
      </c>
      <c r="Q1335" t="str">
        <f t="shared" si="147"/>
        <v>50111</v>
      </c>
      <c r="R1335" s="126" t="str">
        <f t="shared" si="148"/>
        <v>LONGEVITY PAY</v>
      </c>
      <c r="S1335" s="125" t="str">
        <f t="shared" si="149"/>
        <v>119</v>
      </c>
      <c r="T1335" s="125" t="str">
        <f t="shared" si="150"/>
        <v>18</v>
      </c>
      <c r="U1335" s="125" t="str">
        <f t="shared" si="151"/>
        <v>183</v>
      </c>
      <c r="V1335" s="125" t="str">
        <f>VLOOKUP(Q1335,'GL Category'!A:C,3,FALSE)</f>
        <v>Personnel services</v>
      </c>
      <c r="X1335" s="83"/>
    </row>
    <row r="1336" spans="1:24" ht="20.399999999999999" customHeight="1">
      <c r="A1336" s="608" t="s">
        <v>1032</v>
      </c>
      <c r="B1336" s="608" t="s">
        <v>2052</v>
      </c>
      <c r="C1336" s="608" t="s">
        <v>283</v>
      </c>
      <c r="D1336" s="609">
        <v>4187.5</v>
      </c>
      <c r="E1336" s="609">
        <v>3008.86</v>
      </c>
      <c r="F1336" s="609">
        <v>3009</v>
      </c>
      <c r="G1336" s="609">
        <v>3010</v>
      </c>
      <c r="H1336" s="609">
        <v>3000</v>
      </c>
      <c r="I1336" s="609">
        <v>2240</v>
      </c>
      <c r="J1336" s="609">
        <v>4140</v>
      </c>
      <c r="K1336" s="609">
        <v>3000</v>
      </c>
      <c r="L1336" s="609">
        <v>0</v>
      </c>
      <c r="M1336" s="609">
        <v>0</v>
      </c>
      <c r="N1336" s="587">
        <f t="shared" si="146"/>
        <v>3000</v>
      </c>
      <c r="Q1336" t="str">
        <f t="shared" si="147"/>
        <v>50115</v>
      </c>
      <c r="R1336" s="126" t="str">
        <f t="shared" si="148"/>
        <v>INCENTIVE/CERTIFICATION PAY</v>
      </c>
      <c r="S1336" s="125" t="str">
        <f t="shared" si="149"/>
        <v>119</v>
      </c>
      <c r="T1336" s="125" t="str">
        <f t="shared" si="150"/>
        <v>18</v>
      </c>
      <c r="U1336" s="125" t="str">
        <f t="shared" si="151"/>
        <v>183</v>
      </c>
      <c r="V1336" s="125" t="str">
        <f>VLOOKUP(Q1336,'GL Category'!A:C,3,FALSE)</f>
        <v>Personnel services</v>
      </c>
      <c r="X1336" s="83"/>
    </row>
    <row r="1337" spans="1:24" s="539" customFormat="1" ht="14.4" customHeight="1">
      <c r="A1337" s="608" t="s">
        <v>1032</v>
      </c>
      <c r="B1337" s="608" t="s">
        <v>2053</v>
      </c>
      <c r="C1337" s="608" t="s">
        <v>1</v>
      </c>
      <c r="D1337" s="609">
        <v>9814.06</v>
      </c>
      <c r="E1337" s="609">
        <v>9876.5499999999993</v>
      </c>
      <c r="F1337" s="609">
        <v>10752.81</v>
      </c>
      <c r="G1337" s="609">
        <v>11327.39</v>
      </c>
      <c r="H1337" s="609">
        <v>11760</v>
      </c>
      <c r="I1337" s="609">
        <v>9103.25</v>
      </c>
      <c r="J1337" s="609">
        <v>12019</v>
      </c>
      <c r="K1337" s="609">
        <v>12770</v>
      </c>
      <c r="L1337" s="609">
        <v>0</v>
      </c>
      <c r="M1337" s="609">
        <v>0</v>
      </c>
      <c r="N1337" s="587">
        <f t="shared" si="146"/>
        <v>12770</v>
      </c>
      <c r="O1337"/>
      <c r="P1337" s="490"/>
      <c r="Q1337" t="str">
        <f t="shared" si="147"/>
        <v>50610</v>
      </c>
      <c r="R1337" s="540" t="str">
        <f t="shared" si="148"/>
        <v>SOCIAL SECURITY</v>
      </c>
      <c r="S1337" s="538" t="str">
        <f t="shared" si="149"/>
        <v>119</v>
      </c>
      <c r="T1337" s="125" t="str">
        <f t="shared" si="150"/>
        <v>18</v>
      </c>
      <c r="U1337" s="125" t="str">
        <f t="shared" si="151"/>
        <v>183</v>
      </c>
      <c r="V1337" s="538" t="str">
        <f>VLOOKUP(Q1337,'GL Category'!A:C,3,FALSE)</f>
        <v>Personnel services</v>
      </c>
      <c r="X1337" s="83"/>
    </row>
    <row r="1338" spans="1:24" s="539" customFormat="1" ht="20.399999999999999" customHeight="1">
      <c r="A1338" s="608" t="s">
        <v>1032</v>
      </c>
      <c r="B1338" s="608" t="s">
        <v>2054</v>
      </c>
      <c r="C1338" s="608" t="s">
        <v>142</v>
      </c>
      <c r="D1338" s="609">
        <v>21530.61</v>
      </c>
      <c r="E1338" s="609">
        <v>22354.73</v>
      </c>
      <c r="F1338" s="609">
        <v>22033.83</v>
      </c>
      <c r="G1338" s="609">
        <v>22619.94</v>
      </c>
      <c r="H1338" s="609">
        <v>22085</v>
      </c>
      <c r="I1338" s="609">
        <v>16916.84</v>
      </c>
      <c r="J1338" s="609">
        <v>22722</v>
      </c>
      <c r="K1338" s="609">
        <v>21986</v>
      </c>
      <c r="L1338" s="609">
        <v>0</v>
      </c>
      <c r="M1338" s="609">
        <v>0</v>
      </c>
      <c r="N1338" s="587">
        <f t="shared" si="146"/>
        <v>21986</v>
      </c>
      <c r="O1338"/>
      <c r="P1338" s="490"/>
      <c r="Q1338" t="str">
        <f t="shared" si="147"/>
        <v>50620</v>
      </c>
      <c r="R1338" s="540" t="str">
        <f t="shared" si="148"/>
        <v>HEALTH/LIFE INSURANCE</v>
      </c>
      <c r="S1338" s="538" t="str">
        <f t="shared" si="149"/>
        <v>119</v>
      </c>
      <c r="T1338" s="125" t="str">
        <f t="shared" si="150"/>
        <v>18</v>
      </c>
      <c r="U1338" s="125" t="str">
        <f t="shared" si="151"/>
        <v>183</v>
      </c>
      <c r="V1338" s="538" t="str">
        <f>VLOOKUP(Q1338,'GL Category'!A:C,3,FALSE)</f>
        <v>Personnel services</v>
      </c>
      <c r="X1338" s="83"/>
    </row>
    <row r="1339" spans="1:24" s="539" customFormat="1" ht="20.399999999999999" customHeight="1">
      <c r="A1339" s="608" t="s">
        <v>1032</v>
      </c>
      <c r="B1339" s="608" t="s">
        <v>2055</v>
      </c>
      <c r="C1339" s="608" t="s">
        <v>144</v>
      </c>
      <c r="D1339" s="609">
        <v>85.21</v>
      </c>
      <c r="E1339" s="609">
        <v>80.5</v>
      </c>
      <c r="F1339" s="609">
        <v>93.58</v>
      </c>
      <c r="G1339" s="609">
        <v>169.74</v>
      </c>
      <c r="H1339" s="609">
        <v>219</v>
      </c>
      <c r="I1339" s="609">
        <v>218.83</v>
      </c>
      <c r="J1339" s="609">
        <v>219</v>
      </c>
      <c r="K1339" s="609">
        <v>230</v>
      </c>
      <c r="L1339" s="609">
        <v>0</v>
      </c>
      <c r="M1339" s="609">
        <v>0</v>
      </c>
      <c r="N1339" s="587">
        <f t="shared" si="146"/>
        <v>230</v>
      </c>
      <c r="O1339"/>
      <c r="P1339" s="490"/>
      <c r="Q1339" t="str">
        <f t="shared" si="147"/>
        <v>50630</v>
      </c>
      <c r="R1339" s="540" t="str">
        <f t="shared" si="148"/>
        <v>WORKER COMPENSATION</v>
      </c>
      <c r="S1339" s="538" t="str">
        <f t="shared" si="149"/>
        <v>119</v>
      </c>
      <c r="T1339" s="125" t="str">
        <f t="shared" si="150"/>
        <v>18</v>
      </c>
      <c r="U1339" s="125" t="str">
        <f t="shared" si="151"/>
        <v>183</v>
      </c>
      <c r="V1339" s="538" t="str">
        <f>VLOOKUP(Q1339,'GL Category'!A:C,3,FALSE)</f>
        <v>Personnel services</v>
      </c>
      <c r="X1339" s="83"/>
    </row>
    <row r="1340" spans="1:24" s="539" customFormat="1" ht="20.399999999999999" customHeight="1">
      <c r="A1340" s="608" t="s">
        <v>1032</v>
      </c>
      <c r="B1340" s="608" t="s">
        <v>2056</v>
      </c>
      <c r="C1340" s="608" t="s">
        <v>2</v>
      </c>
      <c r="D1340" s="609">
        <v>20518.490000000002</v>
      </c>
      <c r="E1340" s="609">
        <v>21284.560000000001</v>
      </c>
      <c r="F1340" s="609">
        <v>23028.74</v>
      </c>
      <c r="G1340" s="609">
        <v>24066.52</v>
      </c>
      <c r="H1340" s="609">
        <v>25396</v>
      </c>
      <c r="I1340" s="609">
        <v>19774.41</v>
      </c>
      <c r="J1340" s="609">
        <v>26107</v>
      </c>
      <c r="K1340" s="609">
        <v>28242</v>
      </c>
      <c r="L1340" s="609">
        <v>0</v>
      </c>
      <c r="M1340" s="609">
        <v>0</v>
      </c>
      <c r="N1340" s="587">
        <f t="shared" si="146"/>
        <v>28242</v>
      </c>
      <c r="O1340"/>
      <c r="P1340" s="490"/>
      <c r="Q1340" t="str">
        <f t="shared" si="147"/>
        <v>50650</v>
      </c>
      <c r="R1340" s="540" t="str">
        <f t="shared" si="148"/>
        <v>RETIREMENT</v>
      </c>
      <c r="S1340" s="538" t="str">
        <f t="shared" si="149"/>
        <v>119</v>
      </c>
      <c r="T1340" s="125" t="str">
        <f t="shared" si="150"/>
        <v>18</v>
      </c>
      <c r="U1340" s="125" t="str">
        <f t="shared" si="151"/>
        <v>183</v>
      </c>
      <c r="V1340" s="538" t="str">
        <f>VLOOKUP(Q1340,'GL Category'!A:C,3,FALSE)</f>
        <v>Personnel services</v>
      </c>
      <c r="X1340" s="83"/>
    </row>
    <row r="1341" spans="1:24" ht="20.399999999999999" customHeight="1">
      <c r="A1341" s="608" t="s">
        <v>1032</v>
      </c>
      <c r="B1341" s="608" t="s">
        <v>2057</v>
      </c>
      <c r="C1341" s="608" t="s">
        <v>149</v>
      </c>
      <c r="D1341" s="609">
        <v>1684.66</v>
      </c>
      <c r="E1341" s="609">
        <v>1956.4</v>
      </c>
      <c r="F1341" s="609">
        <v>1547.09</v>
      </c>
      <c r="G1341" s="609">
        <v>4697.46</v>
      </c>
      <c r="H1341" s="609">
        <v>4000</v>
      </c>
      <c r="I1341" s="609">
        <v>1358.83</v>
      </c>
      <c r="J1341" s="609">
        <v>3000</v>
      </c>
      <c r="K1341" s="609">
        <v>4000</v>
      </c>
      <c r="L1341" s="609">
        <v>0</v>
      </c>
      <c r="M1341" s="609">
        <v>0</v>
      </c>
      <c r="N1341" s="587">
        <f t="shared" si="146"/>
        <v>4000</v>
      </c>
      <c r="Q1341" t="str">
        <f t="shared" si="147"/>
        <v>51210</v>
      </c>
      <c r="R1341" s="126" t="str">
        <f t="shared" si="148"/>
        <v>OFFICE SUPPLIES</v>
      </c>
      <c r="S1341" s="125" t="str">
        <f t="shared" si="149"/>
        <v>119</v>
      </c>
      <c r="T1341" s="125" t="str">
        <f t="shared" si="150"/>
        <v>18</v>
      </c>
      <c r="U1341" s="125" t="str">
        <f t="shared" si="151"/>
        <v>183</v>
      </c>
      <c r="V1341" s="125" t="str">
        <f>VLOOKUP(Q1341,'GL Category'!A:C,3,FALSE)</f>
        <v>Operations &amp; maintenance</v>
      </c>
      <c r="X1341" s="83"/>
    </row>
    <row r="1342" spans="1:24" ht="20.399999999999999" customHeight="1">
      <c r="A1342" s="608" t="s">
        <v>1032</v>
      </c>
      <c r="B1342" s="608" t="s">
        <v>2058</v>
      </c>
      <c r="C1342" s="608" t="s">
        <v>157</v>
      </c>
      <c r="D1342" s="609">
        <v>0</v>
      </c>
      <c r="E1342" s="609">
        <v>0</v>
      </c>
      <c r="F1342" s="609">
        <v>144</v>
      </c>
      <c r="G1342" s="609">
        <v>0</v>
      </c>
      <c r="H1342" s="609">
        <v>1200</v>
      </c>
      <c r="I1342" s="609">
        <v>0</v>
      </c>
      <c r="J1342" s="609">
        <v>0</v>
      </c>
      <c r="K1342" s="609">
        <v>0</v>
      </c>
      <c r="L1342" s="609">
        <v>0</v>
      </c>
      <c r="M1342" s="609">
        <v>0</v>
      </c>
      <c r="N1342" s="587">
        <f t="shared" si="146"/>
        <v>0</v>
      </c>
      <c r="Q1342" t="str">
        <f t="shared" si="147"/>
        <v>51230</v>
      </c>
      <c r="R1342" s="126" t="str">
        <f t="shared" si="148"/>
        <v>COMPUTER SUPPLIES</v>
      </c>
      <c r="S1342" s="125" t="str">
        <f t="shared" si="149"/>
        <v>119</v>
      </c>
      <c r="T1342" s="125" t="str">
        <f t="shared" si="150"/>
        <v>18</v>
      </c>
      <c r="U1342" s="125" t="str">
        <f t="shared" si="151"/>
        <v>183</v>
      </c>
      <c r="V1342" s="125" t="str">
        <f>VLOOKUP(Q1342,'GL Category'!A:C,3,FALSE)</f>
        <v>Operations &amp; maintenance</v>
      </c>
      <c r="X1342" s="83"/>
    </row>
    <row r="1343" spans="1:24" ht="20.399999999999999" customHeight="1">
      <c r="A1343" s="608" t="s">
        <v>1032</v>
      </c>
      <c r="B1343" s="608" t="s">
        <v>2060</v>
      </c>
      <c r="C1343" s="608" t="s">
        <v>167</v>
      </c>
      <c r="D1343" s="609">
        <v>243.48</v>
      </c>
      <c r="E1343" s="609">
        <v>140.55000000000001</v>
      </c>
      <c r="F1343" s="609">
        <v>173.63</v>
      </c>
      <c r="G1343" s="609">
        <v>0</v>
      </c>
      <c r="H1343" s="609">
        <v>250</v>
      </c>
      <c r="I1343" s="609">
        <v>0</v>
      </c>
      <c r="J1343" s="609">
        <v>250</v>
      </c>
      <c r="K1343" s="609">
        <v>250</v>
      </c>
      <c r="L1343" s="609">
        <v>0</v>
      </c>
      <c r="M1343" s="609">
        <v>0</v>
      </c>
      <c r="N1343" s="587">
        <f t="shared" si="146"/>
        <v>250</v>
      </c>
      <c r="Q1343" t="str">
        <f t="shared" si="147"/>
        <v>51285</v>
      </c>
      <c r="R1343" s="126" t="str">
        <f t="shared" si="148"/>
        <v>WEARING APPAREL</v>
      </c>
      <c r="S1343" s="125" t="str">
        <f t="shared" si="149"/>
        <v>119</v>
      </c>
      <c r="T1343" s="125" t="str">
        <f t="shared" si="150"/>
        <v>18</v>
      </c>
      <c r="U1343" s="125" t="str">
        <f t="shared" si="151"/>
        <v>183</v>
      </c>
      <c r="V1343" s="125" t="str">
        <f>VLOOKUP(Q1343,'GL Category'!A:C,3,FALSE)</f>
        <v>Operations &amp; maintenance</v>
      </c>
      <c r="X1343" s="83"/>
    </row>
    <row r="1344" spans="1:24" s="539" customFormat="1" ht="20.399999999999999" customHeight="1">
      <c r="A1344" s="608" t="s">
        <v>1032</v>
      </c>
      <c r="B1344" s="608" t="s">
        <v>2061</v>
      </c>
      <c r="C1344" s="608" t="s">
        <v>179</v>
      </c>
      <c r="D1344" s="609">
        <v>41259.9</v>
      </c>
      <c r="E1344" s="609">
        <v>40550</v>
      </c>
      <c r="F1344" s="609">
        <v>40418</v>
      </c>
      <c r="G1344" s="609">
        <v>38730</v>
      </c>
      <c r="H1344" s="609">
        <v>73530</v>
      </c>
      <c r="I1344" s="609">
        <v>46169.19</v>
      </c>
      <c r="J1344" s="609">
        <v>73530</v>
      </c>
      <c r="K1344" s="609">
        <v>50930</v>
      </c>
      <c r="L1344" s="609">
        <v>0</v>
      </c>
      <c r="M1344" s="609">
        <v>0</v>
      </c>
      <c r="N1344" s="587">
        <f t="shared" si="146"/>
        <v>50930</v>
      </c>
      <c r="O1344"/>
      <c r="P1344" s="490">
        <f>N1344-H1344</f>
        <v>-22600</v>
      </c>
      <c r="Q1344" t="str">
        <f t="shared" si="147"/>
        <v>52485</v>
      </c>
      <c r="R1344" s="540" t="str">
        <f t="shared" si="148"/>
        <v>SOFTWARE LICENSE &amp; MAINTENANCE</v>
      </c>
      <c r="S1344" s="538" t="str">
        <f t="shared" si="149"/>
        <v>119</v>
      </c>
      <c r="T1344" s="125" t="str">
        <f t="shared" si="150"/>
        <v>18</v>
      </c>
      <c r="U1344" s="125" t="str">
        <f t="shared" si="151"/>
        <v>183</v>
      </c>
      <c r="V1344" s="538" t="str">
        <f>VLOOKUP(Q1344,'GL Category'!A:C,3,FALSE)</f>
        <v>Operations &amp; maintenance</v>
      </c>
      <c r="X1344" s="83"/>
    </row>
    <row r="1345" spans="1:24" ht="20.399999999999999" customHeight="1">
      <c r="A1345" s="608" t="s">
        <v>1032</v>
      </c>
      <c r="B1345" s="608" t="s">
        <v>2063</v>
      </c>
      <c r="C1345" s="608" t="s">
        <v>190</v>
      </c>
      <c r="D1345" s="609">
        <v>0</v>
      </c>
      <c r="E1345" s="609">
        <v>0</v>
      </c>
      <c r="F1345" s="609">
        <v>0</v>
      </c>
      <c r="G1345" s="609">
        <v>0</v>
      </c>
      <c r="H1345" s="609">
        <v>100</v>
      </c>
      <c r="I1345" s="609">
        <v>50</v>
      </c>
      <c r="J1345" s="609">
        <v>100</v>
      </c>
      <c r="K1345" s="609">
        <v>100</v>
      </c>
      <c r="L1345" s="609">
        <v>0</v>
      </c>
      <c r="M1345" s="609">
        <v>0</v>
      </c>
      <c r="N1345" s="587">
        <f t="shared" si="146"/>
        <v>100</v>
      </c>
      <c r="P1345" s="490">
        <f>N1345-H1345</f>
        <v>0</v>
      </c>
      <c r="Q1345" t="str">
        <f t="shared" si="147"/>
        <v>53510</v>
      </c>
      <c r="R1345" s="126" t="str">
        <f t="shared" si="148"/>
        <v>DUES &amp; SUBSCRIPTIONS</v>
      </c>
      <c r="S1345" s="125" t="str">
        <f t="shared" si="149"/>
        <v>119</v>
      </c>
      <c r="T1345" s="125" t="str">
        <f t="shared" si="150"/>
        <v>18</v>
      </c>
      <c r="U1345" s="125" t="str">
        <f t="shared" si="151"/>
        <v>183</v>
      </c>
      <c r="V1345" s="125" t="str">
        <f>VLOOKUP(Q1345,'GL Category'!A:C,3,FALSE)</f>
        <v>Services &amp; other</v>
      </c>
      <c r="X1345" s="83"/>
    </row>
    <row r="1346" spans="1:24" ht="20.399999999999999" customHeight="1">
      <c r="A1346" s="608" t="s">
        <v>1032</v>
      </c>
      <c r="B1346" s="608" t="s">
        <v>2065</v>
      </c>
      <c r="C1346" s="608" t="s">
        <v>193</v>
      </c>
      <c r="D1346" s="609">
        <v>3390</v>
      </c>
      <c r="E1346" s="609">
        <v>6240</v>
      </c>
      <c r="F1346" s="609">
        <v>8362</v>
      </c>
      <c r="G1346" s="609">
        <v>7834</v>
      </c>
      <c r="H1346" s="609">
        <v>15000</v>
      </c>
      <c r="I1346" s="609">
        <v>3510</v>
      </c>
      <c r="J1346" s="609">
        <v>12000</v>
      </c>
      <c r="K1346" s="609">
        <v>12000</v>
      </c>
      <c r="L1346" s="609">
        <v>0</v>
      </c>
      <c r="M1346" s="609">
        <v>0</v>
      </c>
      <c r="N1346" s="587">
        <f t="shared" si="146"/>
        <v>12000</v>
      </c>
      <c r="P1346" s="490">
        <f>N1346-H1346</f>
        <v>-3000</v>
      </c>
      <c r="Q1346" t="str">
        <f t="shared" si="147"/>
        <v>53513</v>
      </c>
      <c r="R1346" s="126" t="str">
        <f t="shared" si="148"/>
        <v>CONSULTING SERVICES</v>
      </c>
      <c r="S1346" s="125" t="str">
        <f t="shared" si="149"/>
        <v>119</v>
      </c>
      <c r="T1346" s="125" t="str">
        <f t="shared" si="150"/>
        <v>18</v>
      </c>
      <c r="U1346" s="125" t="str">
        <f t="shared" si="151"/>
        <v>183</v>
      </c>
      <c r="V1346" s="125" t="str">
        <f>VLOOKUP(Q1346,'GL Category'!A:C,3,FALSE)</f>
        <v>Services &amp; other</v>
      </c>
      <c r="X1346" s="83"/>
    </row>
    <row r="1347" spans="1:24" ht="20.399999999999999" customHeight="1">
      <c r="A1347" s="608" t="s">
        <v>1032</v>
      </c>
      <c r="B1347" s="608" t="s">
        <v>2064</v>
      </c>
      <c r="C1347" s="608" t="s">
        <v>191</v>
      </c>
      <c r="D1347" s="609">
        <v>7557.37</v>
      </c>
      <c r="E1347" s="609">
        <v>6662</v>
      </c>
      <c r="F1347" s="609">
        <v>6233.93</v>
      </c>
      <c r="G1347" s="609">
        <v>2997.19</v>
      </c>
      <c r="H1347" s="609">
        <v>8100</v>
      </c>
      <c r="I1347" s="609">
        <v>2383.4899999999998</v>
      </c>
      <c r="J1347" s="609">
        <v>6100</v>
      </c>
      <c r="K1347" s="609">
        <v>8500</v>
      </c>
      <c r="L1347" s="609">
        <v>0</v>
      </c>
      <c r="M1347" s="609">
        <v>0</v>
      </c>
      <c r="N1347" s="587">
        <f t="shared" si="146"/>
        <v>8500</v>
      </c>
      <c r="Q1347" t="str">
        <f t="shared" si="147"/>
        <v>53515</v>
      </c>
      <c r="R1347" s="126" t="str">
        <f t="shared" si="148"/>
        <v>TRAVEL, TRAINING &amp; EDUCATION</v>
      </c>
      <c r="S1347" s="125" t="str">
        <f t="shared" si="149"/>
        <v>119</v>
      </c>
      <c r="T1347" s="125" t="str">
        <f t="shared" si="150"/>
        <v>18</v>
      </c>
      <c r="U1347" s="125" t="str">
        <f t="shared" si="151"/>
        <v>183</v>
      </c>
      <c r="V1347" s="125" t="str">
        <f>VLOOKUP(Q1347,'GL Category'!A:C,3,FALSE)</f>
        <v>Services &amp; other</v>
      </c>
      <c r="X1347" s="83"/>
    </row>
    <row r="1348" spans="1:24" ht="20.399999999999999" customHeight="1">
      <c r="A1348" s="608" t="s">
        <v>1032</v>
      </c>
      <c r="B1348" s="608" t="s">
        <v>3426</v>
      </c>
      <c r="C1348" s="608" t="s">
        <v>205</v>
      </c>
      <c r="D1348" s="609">
        <v>0</v>
      </c>
      <c r="E1348" s="609">
        <v>0</v>
      </c>
      <c r="F1348" s="609">
        <v>0</v>
      </c>
      <c r="G1348" s="609">
        <v>0</v>
      </c>
      <c r="H1348" s="609">
        <v>0</v>
      </c>
      <c r="I1348" s="609">
        <v>1018.24</v>
      </c>
      <c r="J1348" s="609">
        <v>0</v>
      </c>
      <c r="K1348" s="609">
        <v>0</v>
      </c>
      <c r="L1348" s="609">
        <v>0</v>
      </c>
      <c r="M1348" s="609">
        <v>0</v>
      </c>
      <c r="N1348" s="587">
        <f t="shared" ref="N1348:N1411" si="153">SUM(K1348:M1348)</f>
        <v>0</v>
      </c>
      <c r="Q1348" t="str">
        <f t="shared" ref="Q1348:Q1411" si="154">MID(B1348,12,5)</f>
        <v>53550</v>
      </c>
      <c r="R1348" s="126" t="str">
        <f t="shared" ref="R1348:R1411" si="155">C1348</f>
        <v>BAD DEBT EXPENSE</v>
      </c>
      <c r="S1348" s="125" t="str">
        <f t="shared" ref="S1348:S1411" si="156">LEFT(B1348,3)</f>
        <v>119</v>
      </c>
      <c r="T1348" s="125" t="str">
        <f t="shared" ref="T1348:T1411" si="157">MID(B1348,5,2)</f>
        <v>18</v>
      </c>
      <c r="U1348" s="125" t="str">
        <f t="shared" ref="U1348:U1411" si="158">MID(B1348,8,3)</f>
        <v>183</v>
      </c>
      <c r="V1348" s="125" t="str">
        <f>VLOOKUP(Q1348,'GL Category'!A:C,3,FALSE)</f>
        <v>Services &amp; other</v>
      </c>
      <c r="X1348" s="83"/>
    </row>
    <row r="1349" spans="1:24" ht="20.399999999999999" customHeight="1">
      <c r="A1349" s="608" t="s">
        <v>1032</v>
      </c>
      <c r="B1349" s="608" t="s">
        <v>2062</v>
      </c>
      <c r="C1349" s="608" t="s">
        <v>238</v>
      </c>
      <c r="D1349" s="609">
        <v>5470</v>
      </c>
      <c r="E1349" s="609">
        <v>5812.33</v>
      </c>
      <c r="F1349" s="609">
        <v>3750</v>
      </c>
      <c r="G1349" s="609">
        <v>3750</v>
      </c>
      <c r="H1349" s="609">
        <v>7000</v>
      </c>
      <c r="I1349" s="609">
        <v>3750</v>
      </c>
      <c r="J1349" s="609">
        <v>7000</v>
      </c>
      <c r="K1349" s="609">
        <v>7000</v>
      </c>
      <c r="L1349" s="609">
        <v>0</v>
      </c>
      <c r="M1349" s="609">
        <v>0</v>
      </c>
      <c r="N1349" s="587">
        <f t="shared" si="153"/>
        <v>7000</v>
      </c>
      <c r="Q1349" t="str">
        <f t="shared" si="154"/>
        <v>53599</v>
      </c>
      <c r="R1349" s="126" t="str">
        <f t="shared" si="155"/>
        <v>MISCELLANEOUS SERVICES</v>
      </c>
      <c r="S1349" s="125" t="str">
        <f t="shared" si="156"/>
        <v>119</v>
      </c>
      <c r="T1349" s="125" t="str">
        <f t="shared" si="157"/>
        <v>18</v>
      </c>
      <c r="U1349" s="125" t="str">
        <f t="shared" si="158"/>
        <v>183</v>
      </c>
      <c r="V1349" s="125" t="str">
        <f>VLOOKUP(Q1349,'GL Category'!A:C,3,FALSE)</f>
        <v>Services &amp; other</v>
      </c>
      <c r="X1349" s="83"/>
    </row>
    <row r="1350" spans="1:24" ht="20.399999999999999" customHeight="1">
      <c r="A1350" s="608" t="s">
        <v>1032</v>
      </c>
      <c r="B1350" s="608" t="s">
        <v>3446</v>
      </c>
      <c r="C1350" s="608" t="s">
        <v>3439</v>
      </c>
      <c r="D1350" s="609">
        <v>0</v>
      </c>
      <c r="E1350" s="609">
        <v>0</v>
      </c>
      <c r="F1350" s="609">
        <v>0</v>
      </c>
      <c r="G1350" s="609">
        <v>0</v>
      </c>
      <c r="H1350" s="609">
        <v>0</v>
      </c>
      <c r="I1350" s="609">
        <v>0</v>
      </c>
      <c r="J1350" s="609">
        <v>0</v>
      </c>
      <c r="K1350" s="609">
        <v>0</v>
      </c>
      <c r="L1350" s="609">
        <v>0</v>
      </c>
      <c r="M1350" s="609">
        <v>0</v>
      </c>
      <c r="N1350" s="587">
        <f t="shared" si="153"/>
        <v>0</v>
      </c>
      <c r="Q1350" t="str">
        <f t="shared" si="154"/>
        <v>58655</v>
      </c>
      <c r="R1350" s="126" t="str">
        <f t="shared" si="155"/>
        <v>SBITA AMORTIZATION EXPENSE</v>
      </c>
      <c r="S1350" s="125" t="str">
        <f t="shared" si="156"/>
        <v>119</v>
      </c>
      <c r="T1350" s="125" t="str">
        <f t="shared" si="157"/>
        <v>18</v>
      </c>
      <c r="U1350" s="125" t="str">
        <f t="shared" si="158"/>
        <v>183</v>
      </c>
      <c r="V1350" s="125" t="str">
        <f>VLOOKUP(Q1350,'GL Category'!A:C,3,FALSE)</f>
        <v>Capital Outlay</v>
      </c>
      <c r="X1350" s="83"/>
    </row>
    <row r="1351" spans="1:24" ht="20.399999999999999" customHeight="1">
      <c r="A1351" s="608" t="s">
        <v>1032</v>
      </c>
      <c r="B1351" s="608" t="s">
        <v>2067</v>
      </c>
      <c r="C1351" s="608" t="s">
        <v>157</v>
      </c>
      <c r="D1351" s="609">
        <v>173535.93</v>
      </c>
      <c r="E1351" s="609">
        <v>132414.73000000001</v>
      </c>
      <c r="F1351" s="609">
        <v>85696.59</v>
      </c>
      <c r="G1351" s="609">
        <v>106131.55</v>
      </c>
      <c r="H1351" s="609">
        <v>335350</v>
      </c>
      <c r="I1351" s="609">
        <v>183532.63</v>
      </c>
      <c r="J1351" s="609">
        <v>335350</v>
      </c>
      <c r="K1351" s="609">
        <v>278000</v>
      </c>
      <c r="L1351" s="609">
        <v>0</v>
      </c>
      <c r="M1351" s="609">
        <v>0</v>
      </c>
      <c r="N1351" s="587">
        <f t="shared" si="153"/>
        <v>278000</v>
      </c>
      <c r="Q1351" t="str">
        <f t="shared" si="154"/>
        <v>51230</v>
      </c>
      <c r="R1351" s="126" t="str">
        <f t="shared" si="155"/>
        <v>COMPUTER SUPPLIES</v>
      </c>
      <c r="S1351" s="125" t="str">
        <f t="shared" si="156"/>
        <v>119</v>
      </c>
      <c r="T1351" s="125" t="str">
        <f t="shared" si="157"/>
        <v>18</v>
      </c>
      <c r="U1351" s="125" t="str">
        <f t="shared" si="158"/>
        <v>186</v>
      </c>
      <c r="V1351" s="125" t="str">
        <f>VLOOKUP(Q1351,'GL Category'!A:C,3,FALSE)</f>
        <v>Operations &amp; maintenance</v>
      </c>
      <c r="X1351" s="83"/>
    </row>
    <row r="1352" spans="1:24" ht="20.399999999999999" customHeight="1">
      <c r="A1352" s="608" t="s">
        <v>1032</v>
      </c>
      <c r="B1352" s="608" t="s">
        <v>2069</v>
      </c>
      <c r="C1352" s="608" t="s">
        <v>268</v>
      </c>
      <c r="D1352" s="609">
        <v>0</v>
      </c>
      <c r="E1352" s="609">
        <v>6771.89</v>
      </c>
      <c r="F1352" s="609">
        <v>0</v>
      </c>
      <c r="G1352" s="609">
        <v>117750</v>
      </c>
      <c r="H1352" s="609">
        <v>0</v>
      </c>
      <c r="I1352" s="609">
        <v>5906.49</v>
      </c>
      <c r="J1352" s="609">
        <v>5950</v>
      </c>
      <c r="K1352" s="609">
        <v>0</v>
      </c>
      <c r="L1352" s="609">
        <v>0</v>
      </c>
      <c r="M1352" s="609">
        <v>0</v>
      </c>
      <c r="N1352" s="587">
        <f t="shared" si="153"/>
        <v>0</v>
      </c>
      <c r="Q1352" t="str">
        <f t="shared" si="154"/>
        <v>58830</v>
      </c>
      <c r="R1352" s="126" t="str">
        <f t="shared" si="155"/>
        <v>MACHINERY &amp; EQUIPMENT</v>
      </c>
      <c r="S1352" s="125" t="str">
        <f t="shared" si="156"/>
        <v>119</v>
      </c>
      <c r="T1352" s="125" t="str">
        <f t="shared" si="157"/>
        <v>18</v>
      </c>
      <c r="U1352" s="125" t="str">
        <f t="shared" si="158"/>
        <v>186</v>
      </c>
      <c r="V1352" s="125" t="str">
        <f>VLOOKUP(Q1352,'GL Category'!A:C,3,FALSE)</f>
        <v>Capital Outlay</v>
      </c>
      <c r="X1352" s="83"/>
    </row>
    <row r="1353" spans="1:24" ht="20.399999999999999" customHeight="1">
      <c r="A1353" s="608" t="s">
        <v>1032</v>
      </c>
      <c r="B1353" s="608" t="s">
        <v>3179</v>
      </c>
      <c r="C1353" s="608" t="s">
        <v>353</v>
      </c>
      <c r="D1353" s="609">
        <v>0</v>
      </c>
      <c r="E1353" s="609">
        <v>0</v>
      </c>
      <c r="F1353" s="609">
        <v>0</v>
      </c>
      <c r="G1353" s="609">
        <v>7248.9</v>
      </c>
      <c r="H1353" s="609">
        <v>0</v>
      </c>
      <c r="I1353" s="609">
        <v>0</v>
      </c>
      <c r="J1353" s="609">
        <v>0</v>
      </c>
      <c r="K1353" s="609">
        <v>0</v>
      </c>
      <c r="L1353" s="609">
        <v>0</v>
      </c>
      <c r="M1353" s="609">
        <v>0</v>
      </c>
      <c r="N1353" s="587">
        <f t="shared" si="153"/>
        <v>0</v>
      </c>
      <c r="Q1353" t="str">
        <f t="shared" si="154"/>
        <v>58651</v>
      </c>
      <c r="R1353" s="126" t="str">
        <f t="shared" si="155"/>
        <v>DEPRECIATION EXPENSE</v>
      </c>
      <c r="S1353" s="125" t="str">
        <f t="shared" si="156"/>
        <v>119</v>
      </c>
      <c r="T1353" s="125" t="str">
        <f t="shared" si="157"/>
        <v>30</v>
      </c>
      <c r="U1353" s="125" t="str">
        <f t="shared" si="158"/>
        <v>301</v>
      </c>
      <c r="V1353" s="125" t="str">
        <f>VLOOKUP(Q1353,'GL Category'!A:C,3,FALSE)</f>
        <v>Capital Outlay</v>
      </c>
      <c r="X1353" s="83"/>
    </row>
    <row r="1354" spans="1:24" ht="20.399999999999999" customHeight="1">
      <c r="A1354" s="608" t="s">
        <v>1032</v>
      </c>
      <c r="B1354" s="608" t="s">
        <v>3180</v>
      </c>
      <c r="C1354" s="608" t="s">
        <v>353</v>
      </c>
      <c r="D1354" s="609">
        <v>0</v>
      </c>
      <c r="E1354" s="609">
        <v>0</v>
      </c>
      <c r="F1354" s="609">
        <v>0</v>
      </c>
      <c r="G1354" s="609">
        <v>0</v>
      </c>
      <c r="H1354" s="609">
        <v>0</v>
      </c>
      <c r="I1354" s="609">
        <v>0</v>
      </c>
      <c r="J1354" s="609">
        <v>0</v>
      </c>
      <c r="K1354" s="609">
        <v>0</v>
      </c>
      <c r="L1354" s="609">
        <v>0</v>
      </c>
      <c r="M1354" s="609">
        <v>0</v>
      </c>
      <c r="N1354" s="587">
        <f t="shared" si="153"/>
        <v>0</v>
      </c>
      <c r="Q1354" t="str">
        <f t="shared" si="154"/>
        <v>58651</v>
      </c>
      <c r="R1354" s="126" t="str">
        <f t="shared" si="155"/>
        <v>DEPRECIATION EXPENSE</v>
      </c>
      <c r="S1354" s="125" t="str">
        <f t="shared" si="156"/>
        <v>119</v>
      </c>
      <c r="T1354" s="125" t="str">
        <f t="shared" si="157"/>
        <v>35</v>
      </c>
      <c r="U1354" s="125" t="str">
        <f t="shared" si="158"/>
        <v>351</v>
      </c>
      <c r="V1354" s="125" t="str">
        <f>VLOOKUP(Q1354,'GL Category'!A:C,3,FALSE)</f>
        <v>Capital Outlay</v>
      </c>
      <c r="X1354" s="83"/>
    </row>
    <row r="1355" spans="1:24" ht="20.399999999999999" customHeight="1">
      <c r="A1355" s="608" t="s">
        <v>1032</v>
      </c>
      <c r="B1355" s="608" t="s">
        <v>3181</v>
      </c>
      <c r="C1355" s="608" t="s">
        <v>353</v>
      </c>
      <c r="D1355" s="609">
        <v>0</v>
      </c>
      <c r="E1355" s="609">
        <v>0</v>
      </c>
      <c r="F1355" s="609">
        <v>0</v>
      </c>
      <c r="G1355" s="609">
        <v>1962.5</v>
      </c>
      <c r="H1355" s="609">
        <v>0</v>
      </c>
      <c r="I1355" s="609">
        <v>0</v>
      </c>
      <c r="J1355" s="609">
        <v>0</v>
      </c>
      <c r="K1355" s="609">
        <v>0</v>
      </c>
      <c r="L1355" s="609">
        <v>0</v>
      </c>
      <c r="M1355" s="609">
        <v>0</v>
      </c>
      <c r="N1355" s="587">
        <f t="shared" si="153"/>
        <v>0</v>
      </c>
      <c r="Q1355" t="str">
        <f t="shared" si="154"/>
        <v>58651</v>
      </c>
      <c r="R1355" s="126" t="str">
        <f t="shared" si="155"/>
        <v>DEPRECIATION EXPENSE</v>
      </c>
      <c r="S1355" s="125" t="str">
        <f t="shared" si="156"/>
        <v>119</v>
      </c>
      <c r="T1355" s="125" t="str">
        <f t="shared" si="157"/>
        <v>60</v>
      </c>
      <c r="U1355" s="125" t="str">
        <f t="shared" si="158"/>
        <v>601</v>
      </c>
      <c r="V1355" s="125" t="str">
        <f>VLOOKUP(Q1355,'GL Category'!A:C,3,FALSE)</f>
        <v>Capital Outlay</v>
      </c>
      <c r="X1355" s="83"/>
    </row>
    <row r="1356" spans="1:24" ht="20.399999999999999" customHeight="1">
      <c r="A1356" s="608" t="s">
        <v>1032</v>
      </c>
      <c r="B1356" s="608" t="s">
        <v>3227</v>
      </c>
      <c r="C1356" s="608" t="s">
        <v>353</v>
      </c>
      <c r="D1356" s="609">
        <v>0</v>
      </c>
      <c r="E1356" s="609">
        <v>0</v>
      </c>
      <c r="F1356" s="609">
        <v>1354.38</v>
      </c>
      <c r="G1356" s="609">
        <v>1354.37</v>
      </c>
      <c r="H1356" s="609">
        <v>0</v>
      </c>
      <c r="I1356" s="609">
        <v>0</v>
      </c>
      <c r="J1356" s="609">
        <v>0</v>
      </c>
      <c r="K1356" s="609">
        <v>0</v>
      </c>
      <c r="L1356" s="609">
        <v>0</v>
      </c>
      <c r="M1356" s="609">
        <v>0</v>
      </c>
      <c r="N1356" s="587">
        <f t="shared" si="153"/>
        <v>0</v>
      </c>
      <c r="Q1356" t="str">
        <f t="shared" si="154"/>
        <v>58651</v>
      </c>
      <c r="R1356" s="126" t="str">
        <f t="shared" si="155"/>
        <v>DEPRECIATION EXPENSE</v>
      </c>
      <c r="S1356" s="125" t="str">
        <f t="shared" si="156"/>
        <v>119</v>
      </c>
      <c r="T1356" s="125" t="str">
        <f t="shared" si="157"/>
        <v>99</v>
      </c>
      <c r="U1356" s="125" t="str">
        <f t="shared" si="158"/>
        <v>905</v>
      </c>
      <c r="V1356" s="125" t="str">
        <f>VLOOKUP(Q1356,'GL Category'!A:C,3,FALSE)</f>
        <v>Capital Outlay</v>
      </c>
      <c r="X1356" s="83"/>
    </row>
    <row r="1357" spans="1:24" ht="20.399999999999999" customHeight="1">
      <c r="A1357" s="608" t="s">
        <v>1032</v>
      </c>
      <c r="B1357" s="608" t="s">
        <v>3346</v>
      </c>
      <c r="C1357" s="608" t="s">
        <v>913</v>
      </c>
      <c r="D1357" s="609">
        <v>0</v>
      </c>
      <c r="E1357" s="609">
        <v>0</v>
      </c>
      <c r="F1357" s="609">
        <v>0</v>
      </c>
      <c r="G1357" s="609">
        <v>0</v>
      </c>
      <c r="H1357" s="609">
        <v>0</v>
      </c>
      <c r="I1357" s="609">
        <v>0</v>
      </c>
      <c r="J1357" s="609">
        <v>0</v>
      </c>
      <c r="K1357" s="609">
        <v>0</v>
      </c>
      <c r="L1357" s="609">
        <v>0</v>
      </c>
      <c r="M1357" s="609">
        <v>0</v>
      </c>
      <c r="N1357" s="587">
        <f t="shared" si="153"/>
        <v>0</v>
      </c>
      <c r="Q1357" t="str">
        <f t="shared" si="154"/>
        <v>58999</v>
      </c>
      <c r="R1357" s="126" t="str">
        <f t="shared" si="155"/>
        <v>CAPITAL PROJECT CONTINGENCY</v>
      </c>
      <c r="S1357" s="125" t="str">
        <f t="shared" si="156"/>
        <v>119</v>
      </c>
      <c r="T1357" s="125" t="str">
        <f t="shared" si="157"/>
        <v>99</v>
      </c>
      <c r="U1357" s="125" t="str">
        <f t="shared" si="158"/>
        <v>905</v>
      </c>
      <c r="V1357" s="125" t="str">
        <f>VLOOKUP(Q1357,'GL Category'!A:C,3,FALSE)</f>
        <v>Capital Outlay</v>
      </c>
      <c r="X1357" s="83"/>
    </row>
    <row r="1358" spans="1:24" ht="20.399999999999999" customHeight="1">
      <c r="A1358" s="608" t="s">
        <v>1030</v>
      </c>
      <c r="B1358" s="608" t="s">
        <v>2072</v>
      </c>
      <c r="C1358" s="608" t="s">
        <v>169</v>
      </c>
      <c r="D1358" s="609">
        <v>0</v>
      </c>
      <c r="E1358" s="609">
        <v>0</v>
      </c>
      <c r="F1358" s="609">
        <v>0</v>
      </c>
      <c r="G1358" s="609">
        <v>0</v>
      </c>
      <c r="H1358" s="609">
        <v>5000</v>
      </c>
      <c r="I1358" s="609">
        <v>0</v>
      </c>
      <c r="J1358" s="609">
        <v>5000</v>
      </c>
      <c r="K1358" s="609">
        <v>5000</v>
      </c>
      <c r="L1358" s="609">
        <v>0</v>
      </c>
      <c r="M1358" s="609">
        <v>0</v>
      </c>
      <c r="N1358" s="587">
        <f t="shared" si="153"/>
        <v>5000</v>
      </c>
      <c r="Q1358" t="str">
        <f t="shared" si="154"/>
        <v>51299</v>
      </c>
      <c r="R1358" s="126" t="str">
        <f t="shared" si="155"/>
        <v>MISCELLANEOUS SUPPLIES</v>
      </c>
      <c r="S1358" s="125" t="str">
        <f t="shared" si="156"/>
        <v>120</v>
      </c>
      <c r="T1358" s="125" t="str">
        <f t="shared" si="157"/>
        <v>10</v>
      </c>
      <c r="U1358" s="125" t="str">
        <f t="shared" si="158"/>
        <v>105</v>
      </c>
      <c r="V1358" s="125" t="str">
        <f>VLOOKUP(Q1358,'GL Category'!A:C,3,FALSE)</f>
        <v>Operations &amp; maintenance</v>
      </c>
      <c r="X1358" s="83"/>
    </row>
    <row r="1359" spans="1:24" ht="20.399999999999999" customHeight="1">
      <c r="A1359" s="608" t="s">
        <v>1030</v>
      </c>
      <c r="B1359" s="608" t="s">
        <v>2074</v>
      </c>
      <c r="C1359" s="608" t="s">
        <v>230</v>
      </c>
      <c r="D1359" s="609">
        <v>0</v>
      </c>
      <c r="E1359" s="609">
        <v>0</v>
      </c>
      <c r="F1359" s="609">
        <v>0</v>
      </c>
      <c r="G1359" s="609">
        <v>0</v>
      </c>
      <c r="H1359" s="609">
        <v>0</v>
      </c>
      <c r="I1359" s="609">
        <v>0</v>
      </c>
      <c r="J1359" s="609">
        <v>0</v>
      </c>
      <c r="K1359" s="609">
        <v>0</v>
      </c>
      <c r="L1359" s="609">
        <v>0</v>
      </c>
      <c r="M1359" s="609">
        <v>0</v>
      </c>
      <c r="N1359" s="587">
        <f t="shared" si="153"/>
        <v>0</v>
      </c>
      <c r="Q1359" t="str">
        <f t="shared" si="154"/>
        <v>53534</v>
      </c>
      <c r="R1359" s="126" t="str">
        <f t="shared" si="155"/>
        <v>MARKETING &amp; PROMOTIONAL</v>
      </c>
      <c r="S1359" s="125" t="str">
        <f t="shared" si="156"/>
        <v>120</v>
      </c>
      <c r="T1359" s="125" t="str">
        <f t="shared" si="157"/>
        <v>10</v>
      </c>
      <c r="U1359" s="125" t="str">
        <f t="shared" si="158"/>
        <v>105</v>
      </c>
      <c r="V1359" s="125" t="str">
        <f>VLOOKUP(Q1359,'GL Category'!A:C,3,FALSE)</f>
        <v>Services &amp; other</v>
      </c>
      <c r="X1359" s="83"/>
    </row>
    <row r="1360" spans="1:24" ht="20.399999999999999" customHeight="1">
      <c r="A1360" s="608" t="s">
        <v>1030</v>
      </c>
      <c r="B1360" s="608" t="s">
        <v>3347</v>
      </c>
      <c r="C1360" s="608" t="s">
        <v>205</v>
      </c>
      <c r="D1360" s="609">
        <v>0</v>
      </c>
      <c r="E1360" s="609">
        <v>159.04</v>
      </c>
      <c r="F1360" s="609">
        <v>74.41</v>
      </c>
      <c r="G1360" s="609">
        <v>2.15</v>
      </c>
      <c r="H1360" s="609">
        <v>0</v>
      </c>
      <c r="I1360" s="609">
        <v>0</v>
      </c>
      <c r="J1360" s="609">
        <v>0</v>
      </c>
      <c r="K1360" s="609">
        <v>0</v>
      </c>
      <c r="L1360" s="609">
        <v>0</v>
      </c>
      <c r="M1360" s="609">
        <v>0</v>
      </c>
      <c r="N1360" s="587">
        <f t="shared" si="153"/>
        <v>0</v>
      </c>
      <c r="Q1360" t="str">
        <f t="shared" si="154"/>
        <v>53550</v>
      </c>
      <c r="R1360" s="126" t="str">
        <f t="shared" si="155"/>
        <v>BAD DEBT EXPENSE</v>
      </c>
      <c r="S1360" s="125" t="str">
        <f t="shared" si="156"/>
        <v>120</v>
      </c>
      <c r="T1360" s="125" t="str">
        <f t="shared" si="157"/>
        <v>10</v>
      </c>
      <c r="U1360" s="125" t="str">
        <f t="shared" si="158"/>
        <v>105</v>
      </c>
      <c r="V1360" s="125" t="str">
        <f>VLOOKUP(Q1360,'GL Category'!A:C,3,FALSE)</f>
        <v>Services &amp; other</v>
      </c>
      <c r="X1360" s="83"/>
    </row>
    <row r="1361" spans="1:24" ht="20.399999999999999" customHeight="1">
      <c r="A1361" s="608" t="s">
        <v>1030</v>
      </c>
      <c r="B1361" s="608" t="s">
        <v>2073</v>
      </c>
      <c r="C1361" s="608" t="s">
        <v>238</v>
      </c>
      <c r="D1361" s="609">
        <v>0</v>
      </c>
      <c r="E1361" s="609">
        <v>0</v>
      </c>
      <c r="F1361" s="609">
        <v>0</v>
      </c>
      <c r="G1361" s="609">
        <v>0</v>
      </c>
      <c r="H1361" s="609">
        <v>33100</v>
      </c>
      <c r="I1361" s="609">
        <v>0</v>
      </c>
      <c r="J1361" s="609">
        <v>33100</v>
      </c>
      <c r="K1361" s="609">
        <v>33100</v>
      </c>
      <c r="L1361" s="609">
        <v>0</v>
      </c>
      <c r="M1361" s="609">
        <v>0</v>
      </c>
      <c r="N1361" s="587">
        <f t="shared" si="153"/>
        <v>33100</v>
      </c>
      <c r="Q1361" t="str">
        <f t="shared" si="154"/>
        <v>53599</v>
      </c>
      <c r="R1361" s="126" t="str">
        <f t="shared" si="155"/>
        <v>MISCELLANEOUS SERVICES</v>
      </c>
      <c r="S1361" s="125" t="str">
        <f t="shared" si="156"/>
        <v>120</v>
      </c>
      <c r="T1361" s="125" t="str">
        <f t="shared" si="157"/>
        <v>10</v>
      </c>
      <c r="U1361" s="125" t="str">
        <f t="shared" si="158"/>
        <v>105</v>
      </c>
      <c r="V1361" s="125" t="str">
        <f>VLOOKUP(Q1361,'GL Category'!A:C,3,FALSE)</f>
        <v>Services &amp; other</v>
      </c>
      <c r="X1361" s="83"/>
    </row>
    <row r="1362" spans="1:24" ht="20.399999999999999" customHeight="1">
      <c r="A1362" s="608" t="s">
        <v>1031</v>
      </c>
      <c r="B1362" s="608" t="s">
        <v>1574</v>
      </c>
      <c r="C1362" s="608" t="s">
        <v>130</v>
      </c>
      <c r="D1362" s="609">
        <v>71964.33</v>
      </c>
      <c r="E1362" s="609">
        <v>102481.23</v>
      </c>
      <c r="F1362" s="609">
        <v>167486.91</v>
      </c>
      <c r="G1362" s="609">
        <v>184532.58</v>
      </c>
      <c r="H1362" s="609">
        <v>191612</v>
      </c>
      <c r="I1362" s="609">
        <v>146812.79</v>
      </c>
      <c r="J1362" s="609">
        <v>192724</v>
      </c>
      <c r="K1362" s="609">
        <v>199344</v>
      </c>
      <c r="L1362" s="609">
        <v>0</v>
      </c>
      <c r="M1362" s="609">
        <v>0</v>
      </c>
      <c r="N1362" s="587">
        <f t="shared" si="153"/>
        <v>199344</v>
      </c>
      <c r="P1362" s="490">
        <f t="shared" ref="P1362:P1379" si="159">N1362-H1362</f>
        <v>7732</v>
      </c>
      <c r="Q1362" t="str">
        <f t="shared" si="154"/>
        <v>50101</v>
      </c>
      <c r="R1362" s="126" t="str">
        <f t="shared" si="155"/>
        <v>EXEMPT SALARIES</v>
      </c>
      <c r="S1362" s="125" t="str">
        <f t="shared" si="156"/>
        <v>125</v>
      </c>
      <c r="T1362" s="125" t="str">
        <f t="shared" si="157"/>
        <v>65</v>
      </c>
      <c r="U1362" s="125" t="str">
        <f t="shared" si="158"/>
        <v>651</v>
      </c>
      <c r="V1362" s="125" t="str">
        <f>VLOOKUP(Q1362,'GL Category'!A:C,3,FALSE)</f>
        <v>Personnel services</v>
      </c>
      <c r="X1362" s="83"/>
    </row>
    <row r="1363" spans="1:24" ht="20.399999999999999" customHeight="1">
      <c r="A1363" s="608" t="s">
        <v>1031</v>
      </c>
      <c r="B1363" s="608" t="s">
        <v>1575</v>
      </c>
      <c r="C1363" s="608" t="s">
        <v>132</v>
      </c>
      <c r="D1363" s="609">
        <v>89703.63</v>
      </c>
      <c r="E1363" s="609">
        <v>59539.74</v>
      </c>
      <c r="F1363" s="609">
        <v>30075.73</v>
      </c>
      <c r="G1363" s="609">
        <v>37949.300000000003</v>
      </c>
      <c r="H1363" s="609">
        <v>39806</v>
      </c>
      <c r="I1363" s="609">
        <v>26443.95</v>
      </c>
      <c r="J1363" s="609">
        <v>33000</v>
      </c>
      <c r="K1363" s="609">
        <v>0</v>
      </c>
      <c r="L1363" s="609">
        <v>0</v>
      </c>
      <c r="M1363" s="609">
        <v>0</v>
      </c>
      <c r="N1363" s="587">
        <f t="shared" si="153"/>
        <v>0</v>
      </c>
      <c r="P1363" s="490">
        <f t="shared" si="159"/>
        <v>-39806</v>
      </c>
      <c r="Q1363" t="str">
        <f t="shared" si="154"/>
        <v>50102</v>
      </c>
      <c r="R1363" s="126" t="str">
        <f t="shared" si="155"/>
        <v>NON EXEMPT SALARIES</v>
      </c>
      <c r="S1363" s="125" t="str">
        <f t="shared" si="156"/>
        <v>125</v>
      </c>
      <c r="T1363" s="125" t="str">
        <f t="shared" si="157"/>
        <v>65</v>
      </c>
      <c r="U1363" s="125" t="str">
        <f t="shared" si="158"/>
        <v>651</v>
      </c>
      <c r="V1363" s="125" t="str">
        <f>VLOOKUP(Q1363,'GL Category'!A:C,3,FALSE)</f>
        <v>Personnel services</v>
      </c>
      <c r="X1363" s="83"/>
    </row>
    <row r="1364" spans="1:24" ht="20.399999999999999" customHeight="1">
      <c r="A1364" s="608" t="s">
        <v>1031</v>
      </c>
      <c r="B1364" s="608" t="s">
        <v>1576</v>
      </c>
      <c r="C1364" s="608" t="s">
        <v>0</v>
      </c>
      <c r="D1364" s="609">
        <v>8.3699999999999992</v>
      </c>
      <c r="E1364" s="609">
        <v>39.659999999999997</v>
      </c>
      <c r="F1364" s="609">
        <v>39.020000000000003</v>
      </c>
      <c r="G1364" s="609">
        <v>13.66</v>
      </c>
      <c r="H1364" s="609">
        <v>500</v>
      </c>
      <c r="I1364" s="609">
        <v>13.97</v>
      </c>
      <c r="J1364" s="609">
        <v>11</v>
      </c>
      <c r="K1364" s="609">
        <v>500</v>
      </c>
      <c r="L1364" s="609">
        <v>0</v>
      </c>
      <c r="M1364" s="609">
        <v>0</v>
      </c>
      <c r="N1364" s="587">
        <f t="shared" si="153"/>
        <v>500</v>
      </c>
      <c r="P1364" s="490">
        <f t="shared" si="159"/>
        <v>0</v>
      </c>
      <c r="Q1364" t="str">
        <f t="shared" si="154"/>
        <v>50109</v>
      </c>
      <c r="R1364" s="126" t="str">
        <f t="shared" si="155"/>
        <v>OVERTIME</v>
      </c>
      <c r="S1364" s="125" t="str">
        <f t="shared" si="156"/>
        <v>125</v>
      </c>
      <c r="T1364" s="125" t="str">
        <f t="shared" si="157"/>
        <v>65</v>
      </c>
      <c r="U1364" s="125" t="str">
        <f t="shared" si="158"/>
        <v>651</v>
      </c>
      <c r="V1364" s="125" t="str">
        <f>VLOOKUP(Q1364,'GL Category'!A:C,3,FALSE)</f>
        <v>Personnel services</v>
      </c>
      <c r="X1364" s="83"/>
    </row>
    <row r="1365" spans="1:24" ht="20.399999999999999" customHeight="1">
      <c r="A1365" s="608" t="s">
        <v>1031</v>
      </c>
      <c r="B1365" s="608" t="s">
        <v>1577</v>
      </c>
      <c r="C1365" s="608" t="s">
        <v>135</v>
      </c>
      <c r="D1365" s="609">
        <v>3844.68</v>
      </c>
      <c r="E1365" s="609">
        <v>0</v>
      </c>
      <c r="F1365" s="609">
        <v>588</v>
      </c>
      <c r="G1365" s="609">
        <v>0</v>
      </c>
      <c r="H1365" s="609">
        <v>0</v>
      </c>
      <c r="I1365" s="609">
        <v>0</v>
      </c>
      <c r="J1365" s="609">
        <v>0</v>
      </c>
      <c r="K1365" s="609">
        <v>0</v>
      </c>
      <c r="L1365" s="609">
        <v>0</v>
      </c>
      <c r="M1365" s="609">
        <v>0</v>
      </c>
      <c r="N1365" s="587">
        <f t="shared" si="153"/>
        <v>0</v>
      </c>
      <c r="P1365" s="490">
        <f t="shared" si="159"/>
        <v>0</v>
      </c>
      <c r="Q1365" t="str">
        <f t="shared" si="154"/>
        <v>50110</v>
      </c>
      <c r="R1365" s="126" t="str">
        <f t="shared" si="155"/>
        <v>PART-TIME WAGES</v>
      </c>
      <c r="S1365" s="125" t="str">
        <f t="shared" si="156"/>
        <v>125</v>
      </c>
      <c r="T1365" s="125" t="str">
        <f t="shared" si="157"/>
        <v>65</v>
      </c>
      <c r="U1365" s="125" t="str">
        <f t="shared" si="158"/>
        <v>651</v>
      </c>
      <c r="V1365" s="125" t="str">
        <f>VLOOKUP(Q1365,'GL Category'!A:C,3,FALSE)</f>
        <v>Personnel services</v>
      </c>
      <c r="X1365" s="83"/>
    </row>
    <row r="1366" spans="1:24" ht="20.399999999999999" customHeight="1">
      <c r="A1366" s="608" t="s">
        <v>1031</v>
      </c>
      <c r="B1366" s="608" t="s">
        <v>1578</v>
      </c>
      <c r="C1366" s="608" t="s">
        <v>137</v>
      </c>
      <c r="D1366" s="609">
        <v>850</v>
      </c>
      <c r="E1366" s="609">
        <v>1030</v>
      </c>
      <c r="F1366" s="609">
        <v>900</v>
      </c>
      <c r="G1366" s="609">
        <v>555</v>
      </c>
      <c r="H1366" s="609">
        <v>940</v>
      </c>
      <c r="I1366" s="609">
        <v>915</v>
      </c>
      <c r="J1366" s="609">
        <v>915</v>
      </c>
      <c r="K1366" s="609">
        <v>982</v>
      </c>
      <c r="L1366" s="609">
        <v>0</v>
      </c>
      <c r="M1366" s="609">
        <v>0</v>
      </c>
      <c r="N1366" s="587">
        <f t="shared" si="153"/>
        <v>982</v>
      </c>
      <c r="P1366" s="490">
        <f t="shared" si="159"/>
        <v>42</v>
      </c>
      <c r="Q1366" t="str">
        <f t="shared" si="154"/>
        <v>50111</v>
      </c>
      <c r="R1366" s="126" t="str">
        <f t="shared" si="155"/>
        <v>LONGEVITY PAY</v>
      </c>
      <c r="S1366" s="125" t="str">
        <f t="shared" si="156"/>
        <v>125</v>
      </c>
      <c r="T1366" s="125" t="str">
        <f t="shared" si="157"/>
        <v>65</v>
      </c>
      <c r="U1366" s="125" t="str">
        <f t="shared" si="158"/>
        <v>651</v>
      </c>
      <c r="V1366" s="125" t="str">
        <f>VLOOKUP(Q1366,'GL Category'!A:C,3,FALSE)</f>
        <v>Personnel services</v>
      </c>
      <c r="X1366" s="83"/>
    </row>
    <row r="1367" spans="1:24" ht="20.399999999999999" customHeight="1">
      <c r="A1367" s="608" t="s">
        <v>1031</v>
      </c>
      <c r="B1367" s="608" t="s">
        <v>1580</v>
      </c>
      <c r="C1367" s="608" t="s">
        <v>1</v>
      </c>
      <c r="D1367" s="609">
        <v>11719.33</v>
      </c>
      <c r="E1367" s="609">
        <v>11577.9</v>
      </c>
      <c r="F1367" s="609">
        <v>14153.23</v>
      </c>
      <c r="G1367" s="609">
        <v>15784.38</v>
      </c>
      <c r="H1367" s="609">
        <v>18010</v>
      </c>
      <c r="I1367" s="609">
        <v>12232.3</v>
      </c>
      <c r="J1367" s="609">
        <v>15625</v>
      </c>
      <c r="K1367" s="609">
        <v>15510</v>
      </c>
      <c r="L1367" s="609">
        <v>0</v>
      </c>
      <c r="M1367" s="609">
        <v>0</v>
      </c>
      <c r="N1367" s="587">
        <f t="shared" si="153"/>
        <v>15510</v>
      </c>
      <c r="P1367" s="490">
        <f t="shared" si="159"/>
        <v>-2500</v>
      </c>
      <c r="Q1367" t="str">
        <f t="shared" si="154"/>
        <v>50610</v>
      </c>
      <c r="R1367" s="126" t="str">
        <f t="shared" si="155"/>
        <v>SOCIAL SECURITY</v>
      </c>
      <c r="S1367" s="125" t="str">
        <f t="shared" si="156"/>
        <v>125</v>
      </c>
      <c r="T1367" s="125" t="str">
        <f t="shared" si="157"/>
        <v>65</v>
      </c>
      <c r="U1367" s="125" t="str">
        <f t="shared" si="158"/>
        <v>651</v>
      </c>
      <c r="V1367" s="125" t="str">
        <f>VLOOKUP(Q1367,'GL Category'!A:C,3,FALSE)</f>
        <v>Personnel services</v>
      </c>
      <c r="X1367" s="83"/>
    </row>
    <row r="1368" spans="1:24" ht="20.399999999999999" customHeight="1">
      <c r="A1368" s="608" t="s">
        <v>1031</v>
      </c>
      <c r="B1368" s="608" t="s">
        <v>1581</v>
      </c>
      <c r="C1368" s="608" t="s">
        <v>142</v>
      </c>
      <c r="D1368" s="609">
        <v>43489.02</v>
      </c>
      <c r="E1368" s="609">
        <v>42091.47</v>
      </c>
      <c r="F1368" s="609">
        <v>53981.1</v>
      </c>
      <c r="G1368" s="609">
        <v>63269.32</v>
      </c>
      <c r="H1368" s="609">
        <v>61745</v>
      </c>
      <c r="I1368" s="609">
        <v>44940.49</v>
      </c>
      <c r="J1368" s="609">
        <v>56372</v>
      </c>
      <c r="K1368" s="609">
        <v>43892</v>
      </c>
      <c r="L1368" s="609">
        <v>0</v>
      </c>
      <c r="M1368" s="609">
        <v>0</v>
      </c>
      <c r="N1368" s="587">
        <f t="shared" si="153"/>
        <v>43892</v>
      </c>
      <c r="P1368" s="490">
        <f t="shared" si="159"/>
        <v>-17853</v>
      </c>
      <c r="Q1368" t="str">
        <f t="shared" si="154"/>
        <v>50620</v>
      </c>
      <c r="R1368" s="126" t="str">
        <f t="shared" si="155"/>
        <v>HEALTH/LIFE INSURANCE</v>
      </c>
      <c r="S1368" s="125" t="str">
        <f t="shared" si="156"/>
        <v>125</v>
      </c>
      <c r="T1368" s="125" t="str">
        <f t="shared" si="157"/>
        <v>65</v>
      </c>
      <c r="U1368" s="125" t="str">
        <f t="shared" si="158"/>
        <v>651</v>
      </c>
      <c r="V1368" s="125" t="str">
        <f>VLOOKUP(Q1368,'GL Category'!A:C,3,FALSE)</f>
        <v>Personnel services</v>
      </c>
      <c r="X1368" s="83"/>
    </row>
    <row r="1369" spans="1:24" ht="20.399999999999999" customHeight="1">
      <c r="A1369" s="608" t="s">
        <v>1031</v>
      </c>
      <c r="B1369" s="608" t="s">
        <v>1582</v>
      </c>
      <c r="C1369" s="608" t="s">
        <v>144</v>
      </c>
      <c r="D1369" s="609">
        <v>118.19</v>
      </c>
      <c r="E1369" s="609">
        <v>113.23</v>
      </c>
      <c r="F1369" s="609">
        <v>152.79</v>
      </c>
      <c r="G1369" s="609">
        <v>261.99</v>
      </c>
      <c r="H1369" s="609">
        <v>336</v>
      </c>
      <c r="I1369" s="609">
        <v>617.47</v>
      </c>
      <c r="J1369" s="609">
        <v>617</v>
      </c>
      <c r="K1369" s="609">
        <v>279</v>
      </c>
      <c r="L1369" s="609">
        <v>0</v>
      </c>
      <c r="M1369" s="609">
        <v>0</v>
      </c>
      <c r="N1369" s="587">
        <f t="shared" si="153"/>
        <v>279</v>
      </c>
      <c r="P1369" s="490">
        <f t="shared" si="159"/>
        <v>-57</v>
      </c>
      <c r="Q1369" t="str">
        <f t="shared" si="154"/>
        <v>50630</v>
      </c>
      <c r="R1369" s="126" t="str">
        <f t="shared" si="155"/>
        <v>WORKER COMPENSATION</v>
      </c>
      <c r="S1369" s="125" t="str">
        <f t="shared" si="156"/>
        <v>125</v>
      </c>
      <c r="T1369" s="125" t="str">
        <f t="shared" si="157"/>
        <v>65</v>
      </c>
      <c r="U1369" s="125" t="str">
        <f t="shared" si="158"/>
        <v>651</v>
      </c>
      <c r="V1369" s="125" t="str">
        <f>VLOOKUP(Q1369,'GL Category'!A:C,3,FALSE)</f>
        <v>Personnel services</v>
      </c>
      <c r="X1369" s="83"/>
    </row>
    <row r="1370" spans="1:24" ht="20.399999999999999" customHeight="1">
      <c r="A1370" s="608" t="s">
        <v>1031</v>
      </c>
      <c r="B1370" s="608" t="s">
        <v>1584</v>
      </c>
      <c r="C1370" s="608" t="s">
        <v>2</v>
      </c>
      <c r="D1370" s="609">
        <v>38049.199999999997</v>
      </c>
      <c r="E1370" s="609">
        <v>26526.83</v>
      </c>
      <c r="F1370" s="609">
        <v>32143.87</v>
      </c>
      <c r="G1370" s="609">
        <v>36330.300000000003</v>
      </c>
      <c r="H1370" s="609">
        <v>38889</v>
      </c>
      <c r="I1370" s="609">
        <v>29043.55</v>
      </c>
      <c r="J1370" s="609">
        <v>36044</v>
      </c>
      <c r="K1370" s="609">
        <v>34299</v>
      </c>
      <c r="L1370" s="609">
        <v>0</v>
      </c>
      <c r="M1370" s="609">
        <v>0</v>
      </c>
      <c r="N1370" s="587">
        <f t="shared" si="153"/>
        <v>34299</v>
      </c>
      <c r="P1370" s="490">
        <f t="shared" si="159"/>
        <v>-4590</v>
      </c>
      <c r="Q1370" t="str">
        <f t="shared" si="154"/>
        <v>50650</v>
      </c>
      <c r="R1370" s="126" t="str">
        <f t="shared" si="155"/>
        <v>RETIREMENT</v>
      </c>
      <c r="S1370" s="125" t="str">
        <f t="shared" si="156"/>
        <v>125</v>
      </c>
      <c r="T1370" s="125" t="str">
        <f t="shared" si="157"/>
        <v>65</v>
      </c>
      <c r="U1370" s="125" t="str">
        <f t="shared" si="158"/>
        <v>651</v>
      </c>
      <c r="V1370" s="125" t="str">
        <f>VLOOKUP(Q1370,'GL Category'!A:C,3,FALSE)</f>
        <v>Personnel services</v>
      </c>
      <c r="X1370" s="83"/>
    </row>
    <row r="1371" spans="1:24" ht="20.399999999999999" customHeight="1">
      <c r="A1371" s="608" t="s">
        <v>1031</v>
      </c>
      <c r="B1371" s="608" t="s">
        <v>1585</v>
      </c>
      <c r="C1371" s="608" t="s">
        <v>149</v>
      </c>
      <c r="D1371" s="609">
        <v>3348.84</v>
      </c>
      <c r="E1371" s="609">
        <v>2452.64</v>
      </c>
      <c r="F1371" s="609">
        <v>4143.3100000000004</v>
      </c>
      <c r="G1371" s="609">
        <v>3719.3</v>
      </c>
      <c r="H1371" s="609">
        <v>6000</v>
      </c>
      <c r="I1371" s="609">
        <v>4040.91</v>
      </c>
      <c r="J1371" s="609">
        <v>5600</v>
      </c>
      <c r="K1371" s="609">
        <v>6000</v>
      </c>
      <c r="L1371" s="609">
        <v>0</v>
      </c>
      <c r="M1371" s="609">
        <v>0</v>
      </c>
      <c r="N1371" s="587">
        <f t="shared" si="153"/>
        <v>6000</v>
      </c>
      <c r="P1371" s="490">
        <f t="shared" si="159"/>
        <v>0</v>
      </c>
      <c r="Q1371" t="str">
        <f t="shared" si="154"/>
        <v>51210</v>
      </c>
      <c r="R1371" s="126" t="str">
        <f t="shared" si="155"/>
        <v>OFFICE SUPPLIES</v>
      </c>
      <c r="S1371" s="125" t="str">
        <f t="shared" si="156"/>
        <v>125</v>
      </c>
      <c r="T1371" s="125" t="str">
        <f t="shared" si="157"/>
        <v>65</v>
      </c>
      <c r="U1371" s="125" t="str">
        <f t="shared" si="158"/>
        <v>651</v>
      </c>
      <c r="V1371" s="125" t="str">
        <f>VLOOKUP(Q1371,'GL Category'!A:C,3,FALSE)</f>
        <v>Operations &amp; maintenance</v>
      </c>
      <c r="X1371" s="83"/>
    </row>
    <row r="1372" spans="1:24" ht="20.399999999999999" customHeight="1">
      <c r="A1372" s="608" t="s">
        <v>1031</v>
      </c>
      <c r="B1372" s="608" t="s">
        <v>1586</v>
      </c>
      <c r="C1372" s="608" t="s">
        <v>151</v>
      </c>
      <c r="D1372" s="609">
        <v>7209.6</v>
      </c>
      <c r="E1372" s="609">
        <v>3815.09</v>
      </c>
      <c r="F1372" s="609">
        <v>1603.96</v>
      </c>
      <c r="G1372" s="609">
        <v>2553.96</v>
      </c>
      <c r="H1372" s="609">
        <v>4000</v>
      </c>
      <c r="I1372" s="609">
        <v>491.61</v>
      </c>
      <c r="J1372" s="609">
        <v>1800</v>
      </c>
      <c r="K1372" s="609">
        <v>4000</v>
      </c>
      <c r="L1372" s="609">
        <v>0</v>
      </c>
      <c r="M1372" s="609">
        <v>0</v>
      </c>
      <c r="N1372" s="587">
        <f t="shared" si="153"/>
        <v>4000</v>
      </c>
      <c r="P1372" s="490">
        <f t="shared" si="159"/>
        <v>0</v>
      </c>
      <c r="Q1372" t="str">
        <f t="shared" si="154"/>
        <v>51220</v>
      </c>
      <c r="R1372" s="126" t="str">
        <f t="shared" si="155"/>
        <v>POSTAGE SUPPLIES</v>
      </c>
      <c r="S1372" s="125" t="str">
        <f t="shared" si="156"/>
        <v>125</v>
      </c>
      <c r="T1372" s="125" t="str">
        <f t="shared" si="157"/>
        <v>65</v>
      </c>
      <c r="U1372" s="125" t="str">
        <f t="shared" si="158"/>
        <v>651</v>
      </c>
      <c r="V1372" s="125" t="str">
        <f>VLOOKUP(Q1372,'GL Category'!A:C,3,FALSE)</f>
        <v>Operations &amp; maintenance</v>
      </c>
      <c r="X1372" s="83"/>
    </row>
    <row r="1373" spans="1:24" ht="20.399999999999999" customHeight="1">
      <c r="A1373" s="608" t="s">
        <v>1031</v>
      </c>
      <c r="B1373" s="608" t="s">
        <v>1588</v>
      </c>
      <c r="C1373" s="608" t="s">
        <v>263</v>
      </c>
      <c r="D1373" s="609">
        <v>5065.1899999999996</v>
      </c>
      <c r="E1373" s="609">
        <v>268.87</v>
      </c>
      <c r="F1373" s="609">
        <v>189.13</v>
      </c>
      <c r="G1373" s="609">
        <v>825.2</v>
      </c>
      <c r="H1373" s="609">
        <v>2500</v>
      </c>
      <c r="I1373" s="609">
        <v>0</v>
      </c>
      <c r="J1373" s="609">
        <v>600</v>
      </c>
      <c r="K1373" s="609">
        <v>2500</v>
      </c>
      <c r="L1373" s="609">
        <v>0</v>
      </c>
      <c r="M1373" s="609">
        <v>0</v>
      </c>
      <c r="N1373" s="587">
        <f t="shared" si="153"/>
        <v>2500</v>
      </c>
      <c r="P1373" s="490">
        <f t="shared" si="159"/>
        <v>0</v>
      </c>
      <c r="Q1373" t="str">
        <f t="shared" si="154"/>
        <v>51260</v>
      </c>
      <c r="R1373" s="126" t="str">
        <f t="shared" si="155"/>
        <v>EDUCATION/RECREATION SUPPLIES</v>
      </c>
      <c r="S1373" s="125" t="str">
        <f t="shared" si="156"/>
        <v>125</v>
      </c>
      <c r="T1373" s="125" t="str">
        <f t="shared" si="157"/>
        <v>65</v>
      </c>
      <c r="U1373" s="125" t="str">
        <f t="shared" si="158"/>
        <v>651</v>
      </c>
      <c r="V1373" s="125" t="str">
        <f>VLOOKUP(Q1373,'GL Category'!A:C,3,FALSE)</f>
        <v>Operations &amp; maintenance</v>
      </c>
      <c r="X1373" s="83"/>
    </row>
    <row r="1374" spans="1:24" ht="20.399999999999999" customHeight="1">
      <c r="A1374" s="608" t="s">
        <v>1031</v>
      </c>
      <c r="B1374" s="608" t="s">
        <v>1590</v>
      </c>
      <c r="C1374" s="608" t="s">
        <v>167</v>
      </c>
      <c r="D1374" s="609">
        <v>177.44</v>
      </c>
      <c r="E1374" s="609">
        <v>1588.34</v>
      </c>
      <c r="F1374" s="609">
        <v>826.7</v>
      </c>
      <c r="G1374" s="609">
        <v>959.24</v>
      </c>
      <c r="H1374" s="609">
        <v>2800</v>
      </c>
      <c r="I1374" s="609">
        <v>1083.23</v>
      </c>
      <c r="J1374" s="609">
        <v>1500</v>
      </c>
      <c r="K1374" s="609">
        <v>1800</v>
      </c>
      <c r="L1374" s="609">
        <v>0</v>
      </c>
      <c r="M1374" s="609">
        <v>0</v>
      </c>
      <c r="N1374" s="587">
        <f t="shared" si="153"/>
        <v>1800</v>
      </c>
      <c r="P1374" s="490">
        <f t="shared" si="159"/>
        <v>-1000</v>
      </c>
      <c r="Q1374" t="str">
        <f t="shared" si="154"/>
        <v>51285</v>
      </c>
      <c r="R1374" s="126" t="str">
        <f t="shared" si="155"/>
        <v>WEARING APPAREL</v>
      </c>
      <c r="S1374" s="125" t="str">
        <f t="shared" si="156"/>
        <v>125</v>
      </c>
      <c r="T1374" s="125" t="str">
        <f t="shared" si="157"/>
        <v>65</v>
      </c>
      <c r="U1374" s="125" t="str">
        <f t="shared" si="158"/>
        <v>651</v>
      </c>
      <c r="V1374" s="125" t="str">
        <f>VLOOKUP(Q1374,'GL Category'!A:C,3,FALSE)</f>
        <v>Operations &amp; maintenance</v>
      </c>
      <c r="X1374" s="83"/>
    </row>
    <row r="1375" spans="1:24" ht="20.399999999999999" customHeight="1">
      <c r="A1375" s="608" t="s">
        <v>1031</v>
      </c>
      <c r="B1375" s="608" t="s">
        <v>3218</v>
      </c>
      <c r="C1375" s="608" t="s">
        <v>241</v>
      </c>
      <c r="D1375" s="609">
        <v>0</v>
      </c>
      <c r="E1375" s="609">
        <v>0</v>
      </c>
      <c r="F1375" s="609">
        <v>0</v>
      </c>
      <c r="G1375" s="609">
        <v>0</v>
      </c>
      <c r="H1375" s="609">
        <v>0</v>
      </c>
      <c r="I1375" s="609">
        <v>0</v>
      </c>
      <c r="J1375" s="609">
        <v>0</v>
      </c>
      <c r="K1375" s="609">
        <v>0</v>
      </c>
      <c r="L1375" s="609">
        <v>0</v>
      </c>
      <c r="M1375" s="609">
        <v>0</v>
      </c>
      <c r="N1375" s="587">
        <f t="shared" si="153"/>
        <v>0</v>
      </c>
      <c r="P1375" s="490">
        <f t="shared" si="159"/>
        <v>0</v>
      </c>
      <c r="Q1375" t="str">
        <f t="shared" si="154"/>
        <v>52460</v>
      </c>
      <c r="R1375" s="126" t="str">
        <f t="shared" si="155"/>
        <v>VEHICLE MAINTENANCE</v>
      </c>
      <c r="S1375" s="125" t="str">
        <f t="shared" si="156"/>
        <v>125</v>
      </c>
      <c r="T1375" s="125" t="str">
        <f t="shared" si="157"/>
        <v>65</v>
      </c>
      <c r="U1375" s="125" t="str">
        <f t="shared" si="158"/>
        <v>651</v>
      </c>
      <c r="V1375" s="125" t="str">
        <f>VLOOKUP(Q1375,'GL Category'!A:C,3,FALSE)</f>
        <v>Operations &amp; maintenance</v>
      </c>
      <c r="X1375" s="83"/>
    </row>
    <row r="1376" spans="1:24" ht="20.399999999999999" customHeight="1">
      <c r="A1376" s="608" t="s">
        <v>1031</v>
      </c>
      <c r="B1376" s="608" t="s">
        <v>1592</v>
      </c>
      <c r="C1376" s="608" t="s">
        <v>179</v>
      </c>
      <c r="D1376" s="609">
        <v>514</v>
      </c>
      <c r="E1376" s="609">
        <v>511</v>
      </c>
      <c r="F1376" s="609">
        <v>510</v>
      </c>
      <c r="G1376" s="609">
        <v>3849</v>
      </c>
      <c r="H1376" s="609">
        <v>1000</v>
      </c>
      <c r="I1376" s="609">
        <v>3235</v>
      </c>
      <c r="J1376" s="609">
        <v>3400</v>
      </c>
      <c r="K1376" s="609">
        <v>3000</v>
      </c>
      <c r="L1376" s="609">
        <v>0</v>
      </c>
      <c r="M1376" s="609">
        <v>0</v>
      </c>
      <c r="N1376" s="587">
        <f t="shared" si="153"/>
        <v>3000</v>
      </c>
      <c r="P1376" s="490">
        <f t="shared" si="159"/>
        <v>2000</v>
      </c>
      <c r="Q1376" t="str">
        <f t="shared" si="154"/>
        <v>52485</v>
      </c>
      <c r="R1376" s="126" t="str">
        <f t="shared" si="155"/>
        <v>SOFTWARE LICENSE &amp; MAINTENANCE</v>
      </c>
      <c r="S1376" s="125" t="str">
        <f t="shared" si="156"/>
        <v>125</v>
      </c>
      <c r="T1376" s="125" t="str">
        <f t="shared" si="157"/>
        <v>65</v>
      </c>
      <c r="U1376" s="125" t="str">
        <f t="shared" si="158"/>
        <v>651</v>
      </c>
      <c r="V1376" s="125" t="str">
        <f>VLOOKUP(Q1376,'GL Category'!A:C,3,FALSE)</f>
        <v>Operations &amp; maintenance</v>
      </c>
      <c r="X1376" s="83"/>
    </row>
    <row r="1377" spans="1:24" ht="20.399999999999999" customHeight="1">
      <c r="A1377" s="608" t="s">
        <v>1031</v>
      </c>
      <c r="B1377" s="608" t="s">
        <v>1595</v>
      </c>
      <c r="C1377" s="608" t="s">
        <v>190</v>
      </c>
      <c r="D1377" s="609">
        <v>3275</v>
      </c>
      <c r="E1377" s="609">
        <v>5381.55</v>
      </c>
      <c r="F1377" s="609">
        <v>2070</v>
      </c>
      <c r="G1377" s="609">
        <v>7649.56</v>
      </c>
      <c r="H1377" s="609">
        <v>4175</v>
      </c>
      <c r="I1377" s="609">
        <v>2492</v>
      </c>
      <c r="J1377" s="609">
        <v>4175</v>
      </c>
      <c r="K1377" s="609">
        <v>2675</v>
      </c>
      <c r="L1377" s="609">
        <v>0</v>
      </c>
      <c r="M1377" s="609">
        <v>0</v>
      </c>
      <c r="N1377" s="587">
        <f t="shared" si="153"/>
        <v>2675</v>
      </c>
      <c r="P1377" s="490">
        <f t="shared" si="159"/>
        <v>-1500</v>
      </c>
      <c r="Q1377" t="str">
        <f t="shared" si="154"/>
        <v>53510</v>
      </c>
      <c r="R1377" s="126" t="str">
        <f t="shared" si="155"/>
        <v>DUES &amp; SUBSCRIPTIONS</v>
      </c>
      <c r="S1377" s="125" t="str">
        <f t="shared" si="156"/>
        <v>125</v>
      </c>
      <c r="T1377" s="125" t="str">
        <f t="shared" si="157"/>
        <v>65</v>
      </c>
      <c r="U1377" s="125" t="str">
        <f t="shared" si="158"/>
        <v>651</v>
      </c>
      <c r="V1377" s="125" t="str">
        <f>VLOOKUP(Q1377,'GL Category'!A:C,3,FALSE)</f>
        <v>Services &amp; other</v>
      </c>
      <c r="X1377" s="83"/>
    </row>
    <row r="1378" spans="1:24" ht="20.399999999999999" customHeight="1">
      <c r="A1378" s="608" t="s">
        <v>1031</v>
      </c>
      <c r="B1378" s="608" t="s">
        <v>1596</v>
      </c>
      <c r="C1378" s="608" t="s">
        <v>191</v>
      </c>
      <c r="D1378" s="609">
        <v>2564.87</v>
      </c>
      <c r="E1378" s="609">
        <v>173.75</v>
      </c>
      <c r="F1378" s="609">
        <v>169.44</v>
      </c>
      <c r="G1378" s="609">
        <v>367</v>
      </c>
      <c r="H1378" s="609">
        <v>2000</v>
      </c>
      <c r="I1378" s="609">
        <v>3026.19</v>
      </c>
      <c r="J1378" s="609">
        <v>3113</v>
      </c>
      <c r="K1378" s="609">
        <v>2000</v>
      </c>
      <c r="L1378" s="609">
        <v>0</v>
      </c>
      <c r="M1378" s="609">
        <v>0</v>
      </c>
      <c r="N1378" s="587">
        <f t="shared" si="153"/>
        <v>2000</v>
      </c>
      <c r="P1378" s="490">
        <f t="shared" si="159"/>
        <v>0</v>
      </c>
      <c r="Q1378" t="str">
        <f t="shared" si="154"/>
        <v>53515</v>
      </c>
      <c r="R1378" s="126" t="str">
        <f t="shared" si="155"/>
        <v>TRAVEL, TRAINING &amp; EDUCATION</v>
      </c>
      <c r="S1378" s="125" t="str">
        <f t="shared" si="156"/>
        <v>125</v>
      </c>
      <c r="T1378" s="125" t="str">
        <f t="shared" si="157"/>
        <v>65</v>
      </c>
      <c r="U1378" s="125" t="str">
        <f t="shared" si="158"/>
        <v>651</v>
      </c>
      <c r="V1378" s="125" t="str">
        <f>VLOOKUP(Q1378,'GL Category'!A:C,3,FALSE)</f>
        <v>Services &amp; other</v>
      </c>
      <c r="X1378" s="83"/>
    </row>
    <row r="1379" spans="1:24" ht="20.399999999999999" customHeight="1">
      <c r="A1379" s="608" t="s">
        <v>1031</v>
      </c>
      <c r="B1379" s="608" t="s">
        <v>1597</v>
      </c>
      <c r="C1379" s="608" t="s">
        <v>195</v>
      </c>
      <c r="D1379" s="609">
        <v>8014</v>
      </c>
      <c r="E1379" s="609">
        <v>11570</v>
      </c>
      <c r="F1379" s="609">
        <v>4598.5</v>
      </c>
      <c r="G1379" s="609">
        <v>7398</v>
      </c>
      <c r="H1379" s="609">
        <v>8730</v>
      </c>
      <c r="I1379" s="609">
        <v>6915</v>
      </c>
      <c r="J1379" s="609">
        <v>7000</v>
      </c>
      <c r="K1379" s="609">
        <v>8730</v>
      </c>
      <c r="L1379" s="609">
        <v>0</v>
      </c>
      <c r="M1379" s="609">
        <v>0</v>
      </c>
      <c r="N1379" s="587">
        <f t="shared" si="153"/>
        <v>8730</v>
      </c>
      <c r="P1379" s="490">
        <f t="shared" si="159"/>
        <v>0</v>
      </c>
      <c r="Q1379" t="str">
        <f t="shared" si="154"/>
        <v>53517</v>
      </c>
      <c r="R1379" s="126" t="str">
        <f t="shared" si="155"/>
        <v>MEDICAL SERVICES</v>
      </c>
      <c r="S1379" s="125" t="str">
        <f t="shared" si="156"/>
        <v>125</v>
      </c>
      <c r="T1379" s="125" t="str">
        <f t="shared" si="157"/>
        <v>65</v>
      </c>
      <c r="U1379" s="125" t="str">
        <f t="shared" si="158"/>
        <v>651</v>
      </c>
      <c r="V1379" s="125" t="str">
        <f>VLOOKUP(Q1379,'GL Category'!A:C,3,FALSE)</f>
        <v>Services &amp; other</v>
      </c>
      <c r="X1379" s="83"/>
    </row>
    <row r="1380" spans="1:24" ht="20.399999999999999" customHeight="1">
      <c r="A1380" s="608" t="s">
        <v>1031</v>
      </c>
      <c r="B1380" s="608" t="s">
        <v>1600</v>
      </c>
      <c r="C1380" s="608" t="s">
        <v>258</v>
      </c>
      <c r="D1380" s="609">
        <v>214.4</v>
      </c>
      <c r="E1380" s="609">
        <v>1158.1199999999999</v>
      </c>
      <c r="F1380" s="609">
        <v>2434.96</v>
      </c>
      <c r="G1380" s="609">
        <v>472.91</v>
      </c>
      <c r="H1380" s="609">
        <v>4000</v>
      </c>
      <c r="I1380" s="609">
        <v>0</v>
      </c>
      <c r="J1380" s="609">
        <v>400</v>
      </c>
      <c r="K1380" s="609">
        <v>2000</v>
      </c>
      <c r="L1380" s="609">
        <v>0</v>
      </c>
      <c r="M1380" s="609">
        <v>0</v>
      </c>
      <c r="N1380" s="587">
        <f t="shared" si="153"/>
        <v>2000</v>
      </c>
      <c r="Q1380" t="str">
        <f t="shared" si="154"/>
        <v>53527</v>
      </c>
      <c r="R1380" s="126" t="str">
        <f t="shared" si="155"/>
        <v>EMPLOYEE ACTIVITIES</v>
      </c>
      <c r="S1380" s="125" t="str">
        <f t="shared" si="156"/>
        <v>125</v>
      </c>
      <c r="T1380" s="125" t="str">
        <f t="shared" si="157"/>
        <v>65</v>
      </c>
      <c r="U1380" s="125" t="str">
        <f t="shared" si="158"/>
        <v>651</v>
      </c>
      <c r="V1380" s="125" t="str">
        <f>VLOOKUP(Q1380,'GL Category'!A:C,3,FALSE)</f>
        <v>Services &amp; other</v>
      </c>
      <c r="X1380" s="83"/>
    </row>
    <row r="1381" spans="1:24" ht="20.399999999999999" customHeight="1">
      <c r="A1381" s="608" t="s">
        <v>1031</v>
      </c>
      <c r="B1381" s="608" t="s">
        <v>1601</v>
      </c>
      <c r="C1381" s="608" t="s">
        <v>230</v>
      </c>
      <c r="D1381" s="609">
        <v>30428.54</v>
      </c>
      <c r="E1381" s="609">
        <v>17808.18</v>
      </c>
      <c r="F1381" s="609">
        <v>41906.480000000003</v>
      </c>
      <c r="G1381" s="609">
        <v>41276.080000000002</v>
      </c>
      <c r="H1381" s="609">
        <v>51500</v>
      </c>
      <c r="I1381" s="609">
        <v>42784.75</v>
      </c>
      <c r="J1381" s="609">
        <v>46600</v>
      </c>
      <c r="K1381" s="609">
        <v>39800</v>
      </c>
      <c r="L1381" s="609">
        <v>0</v>
      </c>
      <c r="M1381" s="609">
        <v>0</v>
      </c>
      <c r="N1381" s="587">
        <f t="shared" si="153"/>
        <v>39800</v>
      </c>
      <c r="Q1381" t="str">
        <f t="shared" si="154"/>
        <v>53534</v>
      </c>
      <c r="R1381" s="126" t="str">
        <f t="shared" si="155"/>
        <v>MARKETING &amp; PROMOTIONAL</v>
      </c>
      <c r="S1381" s="125" t="str">
        <f t="shared" si="156"/>
        <v>125</v>
      </c>
      <c r="T1381" s="125" t="str">
        <f t="shared" si="157"/>
        <v>65</v>
      </c>
      <c r="U1381" s="125" t="str">
        <f t="shared" si="158"/>
        <v>651</v>
      </c>
      <c r="V1381" s="125" t="str">
        <f>VLOOKUP(Q1381,'GL Category'!A:C,3,FALSE)</f>
        <v>Services &amp; other</v>
      </c>
      <c r="X1381" s="83"/>
    </row>
    <row r="1382" spans="1:24" ht="20.399999999999999" customHeight="1">
      <c r="A1382" s="608" t="s">
        <v>1031</v>
      </c>
      <c r="B1382" s="608" t="s">
        <v>1601</v>
      </c>
      <c r="C1382" s="608" t="s">
        <v>230</v>
      </c>
      <c r="D1382" s="609">
        <v>0</v>
      </c>
      <c r="E1382" s="609">
        <v>0</v>
      </c>
      <c r="F1382" s="609">
        <v>0</v>
      </c>
      <c r="G1382" s="609">
        <v>0</v>
      </c>
      <c r="H1382" s="609">
        <v>0</v>
      </c>
      <c r="I1382" s="609">
        <v>0</v>
      </c>
      <c r="J1382" s="609">
        <v>0</v>
      </c>
      <c r="K1382" s="609">
        <v>0</v>
      </c>
      <c r="L1382" s="609">
        <v>0</v>
      </c>
      <c r="M1382" s="609">
        <v>0</v>
      </c>
      <c r="N1382" s="587">
        <f t="shared" si="153"/>
        <v>0</v>
      </c>
      <c r="Q1382" t="str">
        <f t="shared" si="154"/>
        <v>53534</v>
      </c>
      <c r="R1382" s="126" t="str">
        <f t="shared" si="155"/>
        <v>MARKETING &amp; PROMOTIONAL</v>
      </c>
      <c r="S1382" s="125" t="str">
        <f t="shared" si="156"/>
        <v>125</v>
      </c>
      <c r="T1382" s="125" t="str">
        <f t="shared" si="157"/>
        <v>65</v>
      </c>
      <c r="U1382" s="125" t="str">
        <f t="shared" si="158"/>
        <v>651</v>
      </c>
      <c r="V1382" s="125" t="str">
        <f>VLOOKUP(Q1382,'GL Category'!A:C,3,FALSE)</f>
        <v>Services &amp; other</v>
      </c>
      <c r="X1382" s="83"/>
    </row>
    <row r="1383" spans="1:24" ht="20.399999999999999" customHeight="1">
      <c r="A1383" s="608" t="s">
        <v>1031</v>
      </c>
      <c r="B1383" s="608" t="s">
        <v>1604</v>
      </c>
      <c r="C1383" s="608" t="s">
        <v>203</v>
      </c>
      <c r="D1383" s="609">
        <v>5815.14</v>
      </c>
      <c r="E1383" s="609">
        <v>662.97</v>
      </c>
      <c r="F1383" s="609">
        <v>1982.88</v>
      </c>
      <c r="G1383" s="609">
        <v>0</v>
      </c>
      <c r="H1383" s="609">
        <v>0</v>
      </c>
      <c r="I1383" s="609">
        <v>0</v>
      </c>
      <c r="J1383" s="609">
        <v>0</v>
      </c>
      <c r="K1383" s="609">
        <v>0</v>
      </c>
      <c r="L1383" s="609">
        <v>0</v>
      </c>
      <c r="M1383" s="609">
        <v>0</v>
      </c>
      <c r="N1383" s="587">
        <f t="shared" si="153"/>
        <v>0</v>
      </c>
      <c r="Q1383" t="str">
        <f t="shared" si="154"/>
        <v>53540</v>
      </c>
      <c r="R1383" s="126" t="str">
        <f t="shared" si="155"/>
        <v>PRINTING &amp; BINDING SERVICES</v>
      </c>
      <c r="S1383" s="125" t="str">
        <f t="shared" si="156"/>
        <v>125</v>
      </c>
      <c r="T1383" s="125" t="str">
        <f t="shared" si="157"/>
        <v>65</v>
      </c>
      <c r="U1383" s="125" t="str">
        <f t="shared" si="158"/>
        <v>651</v>
      </c>
      <c r="V1383" s="125" t="str">
        <f>VLOOKUP(Q1383,'GL Category'!A:C,3,FALSE)</f>
        <v>Services &amp; other</v>
      </c>
      <c r="X1383" s="83"/>
    </row>
    <row r="1384" spans="1:24" ht="20.399999999999999" customHeight="1">
      <c r="A1384" s="608" t="s">
        <v>1031</v>
      </c>
      <c r="B1384" s="608" t="s">
        <v>1605</v>
      </c>
      <c r="C1384" s="608" t="s">
        <v>909</v>
      </c>
      <c r="D1384" s="609">
        <v>3583</v>
      </c>
      <c r="E1384" s="609">
        <v>3762.15</v>
      </c>
      <c r="F1384" s="609">
        <v>3950.26</v>
      </c>
      <c r="G1384" s="609">
        <v>4147.7700000000004</v>
      </c>
      <c r="H1384" s="609">
        <v>4000</v>
      </c>
      <c r="I1384" s="609">
        <v>0</v>
      </c>
      <c r="J1384" s="609">
        <v>4300</v>
      </c>
      <c r="K1384" s="609">
        <v>5000</v>
      </c>
      <c r="L1384" s="609">
        <v>0</v>
      </c>
      <c r="M1384" s="609">
        <v>0</v>
      </c>
      <c r="N1384" s="587">
        <f t="shared" si="153"/>
        <v>5000</v>
      </c>
      <c r="Q1384" t="str">
        <f t="shared" si="154"/>
        <v>53541</v>
      </c>
      <c r="R1384" s="126" t="str">
        <f t="shared" si="155"/>
        <v>WEBSITE/TECHNOLOGY SERVICES</v>
      </c>
      <c r="S1384" s="125" t="str">
        <f t="shared" si="156"/>
        <v>125</v>
      </c>
      <c r="T1384" s="125" t="str">
        <f t="shared" si="157"/>
        <v>65</v>
      </c>
      <c r="U1384" s="125" t="str">
        <f t="shared" si="158"/>
        <v>651</v>
      </c>
      <c r="V1384" s="125" t="str">
        <f>VLOOKUP(Q1384,'GL Category'!A:C,3,FALSE)</f>
        <v>Services &amp; other</v>
      </c>
      <c r="X1384" s="83"/>
    </row>
    <row r="1385" spans="1:24" ht="20.399999999999999" customHeight="1">
      <c r="A1385" s="608" t="s">
        <v>1031</v>
      </c>
      <c r="B1385" s="608" t="s">
        <v>1606</v>
      </c>
      <c r="C1385" s="608" t="s">
        <v>205</v>
      </c>
      <c r="D1385" s="609">
        <v>20787.16</v>
      </c>
      <c r="E1385" s="609">
        <v>11019.03</v>
      </c>
      <c r="F1385" s="609">
        <v>6471.56</v>
      </c>
      <c r="G1385" s="609">
        <v>6378.57</v>
      </c>
      <c r="H1385" s="609">
        <v>22000</v>
      </c>
      <c r="I1385" s="609">
        <v>6518.83</v>
      </c>
      <c r="J1385" s="609">
        <v>12000</v>
      </c>
      <c r="K1385" s="609">
        <v>22000</v>
      </c>
      <c r="L1385" s="609">
        <v>0</v>
      </c>
      <c r="M1385" s="609">
        <v>0</v>
      </c>
      <c r="N1385" s="587">
        <f t="shared" si="153"/>
        <v>22000</v>
      </c>
      <c r="Q1385" t="str">
        <f t="shared" si="154"/>
        <v>53550</v>
      </c>
      <c r="R1385" s="126" t="str">
        <f t="shared" si="155"/>
        <v>BAD DEBT EXPENSE</v>
      </c>
      <c r="S1385" s="125" t="str">
        <f t="shared" si="156"/>
        <v>125</v>
      </c>
      <c r="T1385" s="125" t="str">
        <f t="shared" si="157"/>
        <v>65</v>
      </c>
      <c r="U1385" s="125" t="str">
        <f t="shared" si="158"/>
        <v>651</v>
      </c>
      <c r="V1385" s="125" t="str">
        <f>VLOOKUP(Q1385,'GL Category'!A:C,3,FALSE)</f>
        <v>Services &amp; other</v>
      </c>
      <c r="X1385" s="83"/>
    </row>
    <row r="1386" spans="1:24" ht="20.399999999999999" customHeight="1">
      <c r="A1386" s="608" t="s">
        <v>1031</v>
      </c>
      <c r="B1386" s="608" t="s">
        <v>1607</v>
      </c>
      <c r="C1386" s="608" t="s">
        <v>261</v>
      </c>
      <c r="D1386" s="609">
        <v>1992.5</v>
      </c>
      <c r="E1386" s="609">
        <v>2614.6</v>
      </c>
      <c r="F1386" s="609">
        <v>2642.25</v>
      </c>
      <c r="G1386" s="609">
        <v>1839.3</v>
      </c>
      <c r="H1386" s="609">
        <v>3500</v>
      </c>
      <c r="I1386" s="609">
        <v>0</v>
      </c>
      <c r="J1386" s="609">
        <v>2000</v>
      </c>
      <c r="K1386" s="609">
        <v>3500</v>
      </c>
      <c r="L1386" s="609">
        <v>0</v>
      </c>
      <c r="M1386" s="609">
        <v>0</v>
      </c>
      <c r="N1386" s="587">
        <f t="shared" si="153"/>
        <v>3500</v>
      </c>
      <c r="Q1386" t="str">
        <f t="shared" si="154"/>
        <v>53552</v>
      </c>
      <c r="R1386" s="126" t="str">
        <f t="shared" si="155"/>
        <v>INVESTIGATIVE SERVICES</v>
      </c>
      <c r="S1386" s="125" t="str">
        <f t="shared" si="156"/>
        <v>125</v>
      </c>
      <c r="T1386" s="125" t="str">
        <f t="shared" si="157"/>
        <v>65</v>
      </c>
      <c r="U1386" s="125" t="str">
        <f t="shared" si="158"/>
        <v>651</v>
      </c>
      <c r="V1386" s="125" t="str">
        <f>VLOOKUP(Q1386,'GL Category'!A:C,3,FALSE)</f>
        <v>Services &amp; other</v>
      </c>
      <c r="X1386" s="83"/>
    </row>
    <row r="1387" spans="1:24" ht="20.399999999999999" customHeight="1">
      <c r="A1387" s="608" t="s">
        <v>1031</v>
      </c>
      <c r="B1387" s="608" t="s">
        <v>1608</v>
      </c>
      <c r="C1387" s="608" t="s">
        <v>209</v>
      </c>
      <c r="D1387" s="609">
        <v>37835.9</v>
      </c>
      <c r="E1387" s="609">
        <v>41095.339999999997</v>
      </c>
      <c r="F1387" s="609">
        <v>50361.33</v>
      </c>
      <c r="G1387" s="609">
        <v>56600.09</v>
      </c>
      <c r="H1387" s="609">
        <v>64250</v>
      </c>
      <c r="I1387" s="609">
        <v>63559.51</v>
      </c>
      <c r="J1387" s="609">
        <v>64000</v>
      </c>
      <c r="K1387" s="609">
        <v>64250</v>
      </c>
      <c r="L1387" s="609">
        <v>0</v>
      </c>
      <c r="M1387" s="609">
        <v>0</v>
      </c>
      <c r="N1387" s="587">
        <f t="shared" si="153"/>
        <v>64250</v>
      </c>
      <c r="Q1387" t="str">
        <f t="shared" si="154"/>
        <v>53560</v>
      </c>
      <c r="R1387" s="126" t="str">
        <f t="shared" si="155"/>
        <v>GENERAL INSURANCE</v>
      </c>
      <c r="S1387" s="125" t="str">
        <f t="shared" si="156"/>
        <v>125</v>
      </c>
      <c r="T1387" s="125" t="str">
        <f t="shared" si="157"/>
        <v>65</v>
      </c>
      <c r="U1387" s="125" t="str">
        <f t="shared" si="158"/>
        <v>651</v>
      </c>
      <c r="V1387" s="125" t="str">
        <f>VLOOKUP(Q1387,'GL Category'!A:C,3,FALSE)</f>
        <v>Services &amp; other</v>
      </c>
      <c r="X1387" s="83"/>
    </row>
    <row r="1388" spans="1:24" ht="20.399999999999999" customHeight="1">
      <c r="A1388" s="608" t="s">
        <v>1031</v>
      </c>
      <c r="B1388" s="608" t="s">
        <v>1609</v>
      </c>
      <c r="C1388" s="608" t="s">
        <v>211</v>
      </c>
      <c r="D1388" s="609">
        <v>125.36</v>
      </c>
      <c r="E1388" s="609">
        <v>137.4</v>
      </c>
      <c r="F1388" s="609">
        <v>659.1</v>
      </c>
      <c r="G1388" s="609">
        <v>105.7</v>
      </c>
      <c r="H1388" s="609">
        <v>300</v>
      </c>
      <c r="I1388" s="609">
        <v>63</v>
      </c>
      <c r="J1388" s="609">
        <v>108</v>
      </c>
      <c r="K1388" s="609">
        <v>300</v>
      </c>
      <c r="L1388" s="609">
        <v>0</v>
      </c>
      <c r="M1388" s="609">
        <v>0</v>
      </c>
      <c r="N1388" s="587">
        <f t="shared" si="153"/>
        <v>300</v>
      </c>
      <c r="Q1388" t="str">
        <f t="shared" si="154"/>
        <v>53570</v>
      </c>
      <c r="R1388" s="126" t="str">
        <f t="shared" si="155"/>
        <v>TELEPHONE/COMMUNICATIONS</v>
      </c>
      <c r="S1388" s="125" t="str">
        <f t="shared" si="156"/>
        <v>125</v>
      </c>
      <c r="T1388" s="125" t="str">
        <f t="shared" si="157"/>
        <v>65</v>
      </c>
      <c r="U1388" s="125" t="str">
        <f t="shared" si="158"/>
        <v>651</v>
      </c>
      <c r="V1388" s="125" t="str">
        <f>VLOOKUP(Q1388,'GL Category'!A:C,3,FALSE)</f>
        <v>Services &amp; other</v>
      </c>
      <c r="X1388" s="83"/>
    </row>
    <row r="1389" spans="1:24" ht="20.399999999999999" customHeight="1">
      <c r="A1389" s="608" t="s">
        <v>1031</v>
      </c>
      <c r="B1389" s="608" t="s">
        <v>1610</v>
      </c>
      <c r="C1389" s="608" t="s">
        <v>213</v>
      </c>
      <c r="D1389" s="609">
        <v>21163.919999999998</v>
      </c>
      <c r="E1389" s="609">
        <v>23565.51</v>
      </c>
      <c r="F1389" s="609">
        <v>12098.17</v>
      </c>
      <c r="G1389" s="609">
        <v>25742.87</v>
      </c>
      <c r="H1389" s="609">
        <v>32000</v>
      </c>
      <c r="I1389" s="609">
        <v>39915.26</v>
      </c>
      <c r="J1389" s="609">
        <v>43550</v>
      </c>
      <c r="K1389" s="609">
        <v>32000</v>
      </c>
      <c r="L1389" s="609">
        <v>0</v>
      </c>
      <c r="M1389" s="609">
        <v>0</v>
      </c>
      <c r="N1389" s="587">
        <f t="shared" si="153"/>
        <v>32000</v>
      </c>
      <c r="Q1389" t="str">
        <f t="shared" si="154"/>
        <v>53571</v>
      </c>
      <c r="R1389" s="126" t="str">
        <f t="shared" si="155"/>
        <v>NATURAL GAS UTILITY SERVICE</v>
      </c>
      <c r="S1389" s="125" t="str">
        <f t="shared" si="156"/>
        <v>125</v>
      </c>
      <c r="T1389" s="125" t="str">
        <f t="shared" si="157"/>
        <v>65</v>
      </c>
      <c r="U1389" s="125" t="str">
        <f t="shared" si="158"/>
        <v>651</v>
      </c>
      <c r="V1389" s="125" t="str">
        <f>VLOOKUP(Q1389,'GL Category'!A:C,3,FALSE)</f>
        <v>Services &amp; other</v>
      </c>
      <c r="X1389" s="83"/>
    </row>
    <row r="1390" spans="1:24" ht="20.399999999999999" customHeight="1">
      <c r="A1390" s="608" t="s">
        <v>1031</v>
      </c>
      <c r="B1390" s="608" t="s">
        <v>1611</v>
      </c>
      <c r="C1390" s="608" t="s">
        <v>215</v>
      </c>
      <c r="D1390" s="609">
        <v>163518.59</v>
      </c>
      <c r="E1390" s="609">
        <v>157709.1</v>
      </c>
      <c r="F1390" s="609">
        <v>131908.14000000001</v>
      </c>
      <c r="G1390" s="609">
        <v>180174.7</v>
      </c>
      <c r="H1390" s="609">
        <v>187970</v>
      </c>
      <c r="I1390" s="609">
        <v>81305</v>
      </c>
      <c r="J1390" s="609">
        <v>187970</v>
      </c>
      <c r="K1390" s="609">
        <v>187970</v>
      </c>
      <c r="L1390" s="609">
        <v>0</v>
      </c>
      <c r="M1390" s="609">
        <v>0</v>
      </c>
      <c r="N1390" s="587">
        <f t="shared" si="153"/>
        <v>187970</v>
      </c>
      <c r="Q1390" t="str">
        <f t="shared" si="154"/>
        <v>53572</v>
      </c>
      <c r="R1390" s="126" t="str">
        <f t="shared" si="155"/>
        <v>ELECTRICAL UTILITY SERVICE</v>
      </c>
      <c r="S1390" s="125" t="str">
        <f t="shared" si="156"/>
        <v>125</v>
      </c>
      <c r="T1390" s="125" t="str">
        <f t="shared" si="157"/>
        <v>65</v>
      </c>
      <c r="U1390" s="125" t="str">
        <f t="shared" si="158"/>
        <v>651</v>
      </c>
      <c r="V1390" s="125" t="str">
        <f>VLOOKUP(Q1390,'GL Category'!A:C,3,FALSE)</f>
        <v>Services &amp; other</v>
      </c>
      <c r="X1390" s="83"/>
    </row>
    <row r="1391" spans="1:24" ht="20.399999999999999" customHeight="1">
      <c r="A1391" s="608" t="s">
        <v>1031</v>
      </c>
      <c r="B1391" s="608" t="s">
        <v>1611</v>
      </c>
      <c r="C1391" s="608" t="s">
        <v>215</v>
      </c>
      <c r="D1391" s="609">
        <v>0</v>
      </c>
      <c r="E1391" s="609">
        <v>20574.2</v>
      </c>
      <c r="F1391" s="609">
        <v>0</v>
      </c>
      <c r="G1391" s="609">
        <v>0</v>
      </c>
      <c r="H1391" s="609">
        <v>0</v>
      </c>
      <c r="I1391" s="609">
        <v>0</v>
      </c>
      <c r="J1391" s="609">
        <v>0</v>
      </c>
      <c r="K1391" s="609">
        <v>0</v>
      </c>
      <c r="L1391" s="609">
        <v>0</v>
      </c>
      <c r="M1391" s="609">
        <v>0</v>
      </c>
      <c r="N1391" s="587">
        <f t="shared" si="153"/>
        <v>0</v>
      </c>
      <c r="Q1391" t="str">
        <f t="shared" si="154"/>
        <v>53572</v>
      </c>
      <c r="R1391" s="126" t="str">
        <f t="shared" si="155"/>
        <v>ELECTRICAL UTILITY SERVICE</v>
      </c>
      <c r="S1391" s="125" t="str">
        <f t="shared" si="156"/>
        <v>125</v>
      </c>
      <c r="T1391" s="125" t="str">
        <f t="shared" si="157"/>
        <v>65</v>
      </c>
      <c r="U1391" s="125" t="str">
        <f t="shared" si="158"/>
        <v>651</v>
      </c>
      <c r="V1391" s="125" t="str">
        <f>VLOOKUP(Q1391,'GL Category'!A:C,3,FALSE)</f>
        <v>Services &amp; other</v>
      </c>
      <c r="X1391" s="83"/>
    </row>
    <row r="1392" spans="1:24" ht="20.399999999999999" customHeight="1">
      <c r="A1392" s="608" t="s">
        <v>1031</v>
      </c>
      <c r="B1392" s="608" t="s">
        <v>1612</v>
      </c>
      <c r="C1392" s="608" t="s">
        <v>217</v>
      </c>
      <c r="D1392" s="609">
        <v>26189.24</v>
      </c>
      <c r="E1392" s="609">
        <v>16674.900000000001</v>
      </c>
      <c r="F1392" s="609">
        <v>19131.830000000002</v>
      </c>
      <c r="G1392" s="609">
        <v>24421.41</v>
      </c>
      <c r="H1392" s="609">
        <v>37000</v>
      </c>
      <c r="I1392" s="609">
        <v>13471.82</v>
      </c>
      <c r="J1392" s="609">
        <v>26000</v>
      </c>
      <c r="K1392" s="609">
        <v>37000</v>
      </c>
      <c r="L1392" s="609">
        <v>0</v>
      </c>
      <c r="M1392" s="609">
        <v>0</v>
      </c>
      <c r="N1392" s="587">
        <f t="shared" si="153"/>
        <v>37000</v>
      </c>
      <c r="Q1392" t="str">
        <f t="shared" si="154"/>
        <v>53574</v>
      </c>
      <c r="R1392" s="126" t="str">
        <f t="shared" si="155"/>
        <v>WATER/SEWER UTILITY SERVICE</v>
      </c>
      <c r="S1392" s="125" t="str">
        <f t="shared" si="156"/>
        <v>125</v>
      </c>
      <c r="T1392" s="125" t="str">
        <f t="shared" si="157"/>
        <v>65</v>
      </c>
      <c r="U1392" s="125" t="str">
        <f t="shared" si="158"/>
        <v>651</v>
      </c>
      <c r="V1392" s="125" t="str">
        <f>VLOOKUP(Q1392,'GL Category'!A:C,3,FALSE)</f>
        <v>Services &amp; other</v>
      </c>
      <c r="X1392" s="83"/>
    </row>
    <row r="1393" spans="1:24" ht="20.399999999999999" customHeight="1">
      <c r="A1393" s="608" t="s">
        <v>1031</v>
      </c>
      <c r="B1393" s="608" t="s">
        <v>1614</v>
      </c>
      <c r="C1393" s="608" t="s">
        <v>219</v>
      </c>
      <c r="D1393" s="609">
        <v>40922.160000000003</v>
      </c>
      <c r="E1393" s="609">
        <v>42624.03</v>
      </c>
      <c r="F1393" s="609">
        <v>49759.88</v>
      </c>
      <c r="G1393" s="609">
        <v>86119.71</v>
      </c>
      <c r="H1393" s="609">
        <v>64000</v>
      </c>
      <c r="I1393" s="609">
        <v>121251.27</v>
      </c>
      <c r="J1393" s="609">
        <v>129419</v>
      </c>
      <c r="K1393" s="609">
        <v>64000</v>
      </c>
      <c r="L1393" s="609">
        <v>0</v>
      </c>
      <c r="M1393" s="609">
        <v>0</v>
      </c>
      <c r="N1393" s="587">
        <f t="shared" si="153"/>
        <v>64000</v>
      </c>
      <c r="Q1393" t="str">
        <f t="shared" si="154"/>
        <v>53585</v>
      </c>
      <c r="R1393" s="126" t="str">
        <f t="shared" si="155"/>
        <v>BANKING SERVICES CHARGES</v>
      </c>
      <c r="S1393" s="125" t="str">
        <f t="shared" si="156"/>
        <v>125</v>
      </c>
      <c r="T1393" s="125" t="str">
        <f t="shared" si="157"/>
        <v>65</v>
      </c>
      <c r="U1393" s="125" t="str">
        <f t="shared" si="158"/>
        <v>651</v>
      </c>
      <c r="V1393" s="125" t="str">
        <f>VLOOKUP(Q1393,'GL Category'!A:C,3,FALSE)</f>
        <v>Services &amp; other</v>
      </c>
      <c r="X1393" s="83"/>
    </row>
    <row r="1394" spans="1:24" ht="20.399999999999999" customHeight="1">
      <c r="A1394" s="608" t="s">
        <v>1031</v>
      </c>
      <c r="B1394" s="608" t="s">
        <v>1615</v>
      </c>
      <c r="C1394" s="608" t="s">
        <v>221</v>
      </c>
      <c r="D1394" s="609">
        <v>72677</v>
      </c>
      <c r="E1394" s="609">
        <v>80671</v>
      </c>
      <c r="F1394" s="609">
        <v>72268</v>
      </c>
      <c r="G1394" s="609">
        <v>72140</v>
      </c>
      <c r="H1394" s="609">
        <v>76320</v>
      </c>
      <c r="I1394" s="609">
        <v>57240</v>
      </c>
      <c r="J1394" s="609">
        <v>76320</v>
      </c>
      <c r="K1394" s="609">
        <v>85654</v>
      </c>
      <c r="L1394" s="609">
        <v>0</v>
      </c>
      <c r="M1394" s="609">
        <v>0</v>
      </c>
      <c r="N1394" s="587">
        <f t="shared" si="153"/>
        <v>85654</v>
      </c>
      <c r="Q1394" t="str">
        <f t="shared" si="154"/>
        <v>55119</v>
      </c>
      <c r="R1394" s="126" t="str">
        <f t="shared" si="155"/>
        <v>OFFICE EQUIP LEASE EXP-CITY</v>
      </c>
      <c r="S1394" s="125" t="str">
        <f t="shared" si="156"/>
        <v>125</v>
      </c>
      <c r="T1394" s="125" t="str">
        <f t="shared" si="157"/>
        <v>65</v>
      </c>
      <c r="U1394" s="125" t="str">
        <f t="shared" si="158"/>
        <v>651</v>
      </c>
      <c r="V1394" s="125" t="str">
        <f>VLOOKUP(Q1394,'GL Category'!A:C,3,FALSE)</f>
        <v>Services &amp; other</v>
      </c>
      <c r="X1394" s="83"/>
    </row>
    <row r="1395" spans="1:24" ht="20.399999999999999" customHeight="1">
      <c r="A1395" s="608" t="s">
        <v>1031</v>
      </c>
      <c r="B1395" s="608" t="s">
        <v>1617</v>
      </c>
      <c r="C1395" s="608" t="s">
        <v>130</v>
      </c>
      <c r="D1395" s="609">
        <v>52130.35</v>
      </c>
      <c r="E1395" s="609">
        <v>72795.38</v>
      </c>
      <c r="F1395" s="609">
        <v>96412.6</v>
      </c>
      <c r="G1395" s="609">
        <v>114553.47</v>
      </c>
      <c r="H1395" s="609">
        <v>119159</v>
      </c>
      <c r="I1395" s="609">
        <v>81795.539999999994</v>
      </c>
      <c r="J1395" s="609">
        <v>110045</v>
      </c>
      <c r="K1395" s="609">
        <v>122698</v>
      </c>
      <c r="L1395" s="609">
        <v>0</v>
      </c>
      <c r="M1395" s="609">
        <v>0</v>
      </c>
      <c r="N1395" s="587">
        <f t="shared" si="153"/>
        <v>122698</v>
      </c>
      <c r="Q1395" t="str">
        <f t="shared" si="154"/>
        <v>50101</v>
      </c>
      <c r="R1395" s="126" t="str">
        <f t="shared" si="155"/>
        <v>EXEMPT SALARIES</v>
      </c>
      <c r="S1395" s="125" t="str">
        <f t="shared" si="156"/>
        <v>125</v>
      </c>
      <c r="T1395" s="125" t="str">
        <f t="shared" si="157"/>
        <v>65</v>
      </c>
      <c r="U1395" s="125" t="str">
        <f t="shared" si="158"/>
        <v>652</v>
      </c>
      <c r="V1395" s="125" t="str">
        <f>VLOOKUP(Q1395,'GL Category'!A:C,3,FALSE)</f>
        <v>Personnel services</v>
      </c>
      <c r="X1395" s="83"/>
    </row>
    <row r="1396" spans="1:24" ht="20.399999999999999" customHeight="1">
      <c r="A1396" s="608" t="s">
        <v>1031</v>
      </c>
      <c r="B1396" s="608" t="s">
        <v>1618</v>
      </c>
      <c r="C1396" s="608" t="s">
        <v>132</v>
      </c>
      <c r="D1396" s="609">
        <v>19220.759999999998</v>
      </c>
      <c r="E1396" s="609">
        <v>1852.57</v>
      </c>
      <c r="F1396" s="609">
        <v>0</v>
      </c>
      <c r="G1396" s="609">
        <v>0</v>
      </c>
      <c r="H1396" s="609">
        <v>0</v>
      </c>
      <c r="I1396" s="609">
        <v>0</v>
      </c>
      <c r="J1396" s="609">
        <v>0</v>
      </c>
      <c r="K1396" s="609">
        <v>0</v>
      </c>
      <c r="L1396" s="609">
        <v>0</v>
      </c>
      <c r="M1396" s="609">
        <v>0</v>
      </c>
      <c r="N1396" s="587">
        <f t="shared" si="153"/>
        <v>0</v>
      </c>
      <c r="Q1396" t="str">
        <f t="shared" si="154"/>
        <v>50102</v>
      </c>
      <c r="R1396" s="126" t="str">
        <f t="shared" si="155"/>
        <v>NON EXEMPT SALARIES</v>
      </c>
      <c r="S1396" s="125" t="str">
        <f t="shared" si="156"/>
        <v>125</v>
      </c>
      <c r="T1396" s="125" t="str">
        <f t="shared" si="157"/>
        <v>65</v>
      </c>
      <c r="U1396" s="125" t="str">
        <f t="shared" si="158"/>
        <v>652</v>
      </c>
      <c r="V1396" s="125" t="str">
        <f>VLOOKUP(Q1396,'GL Category'!A:C,3,FALSE)</f>
        <v>Personnel services</v>
      </c>
      <c r="X1396" s="83"/>
    </row>
    <row r="1397" spans="1:24" ht="20.399999999999999" customHeight="1">
      <c r="A1397" s="608" t="s">
        <v>1031</v>
      </c>
      <c r="B1397" s="608" t="s">
        <v>1619</v>
      </c>
      <c r="C1397" s="608" t="s">
        <v>0</v>
      </c>
      <c r="D1397" s="609">
        <v>149.06</v>
      </c>
      <c r="E1397" s="609">
        <v>346.01</v>
      </c>
      <c r="F1397" s="609">
        <v>0</v>
      </c>
      <c r="G1397" s="609">
        <v>55.45</v>
      </c>
      <c r="H1397" s="609">
        <v>600</v>
      </c>
      <c r="I1397" s="609">
        <v>0</v>
      </c>
      <c r="J1397" s="609">
        <v>0</v>
      </c>
      <c r="K1397" s="609">
        <v>600</v>
      </c>
      <c r="L1397" s="609">
        <v>0</v>
      </c>
      <c r="M1397" s="609">
        <v>0</v>
      </c>
      <c r="N1397" s="587">
        <f t="shared" si="153"/>
        <v>600</v>
      </c>
      <c r="Q1397" t="str">
        <f t="shared" si="154"/>
        <v>50109</v>
      </c>
      <c r="R1397" s="126" t="str">
        <f t="shared" si="155"/>
        <v>OVERTIME</v>
      </c>
      <c r="S1397" s="125" t="str">
        <f t="shared" si="156"/>
        <v>125</v>
      </c>
      <c r="T1397" s="125" t="str">
        <f t="shared" si="157"/>
        <v>65</v>
      </c>
      <c r="U1397" s="125" t="str">
        <f t="shared" si="158"/>
        <v>652</v>
      </c>
      <c r="V1397" s="125" t="str">
        <f>VLOOKUP(Q1397,'GL Category'!A:C,3,FALSE)</f>
        <v>Personnel services</v>
      </c>
      <c r="X1397" s="83"/>
    </row>
    <row r="1398" spans="1:24" ht="20.399999999999999" customHeight="1">
      <c r="A1398" s="608" t="s">
        <v>1031</v>
      </c>
      <c r="B1398" s="608" t="s">
        <v>1620</v>
      </c>
      <c r="C1398" s="608" t="s">
        <v>135</v>
      </c>
      <c r="D1398" s="609">
        <v>110097.26</v>
      </c>
      <c r="E1398" s="609">
        <v>117071.01</v>
      </c>
      <c r="F1398" s="609">
        <v>109024.76</v>
      </c>
      <c r="G1398" s="609">
        <v>307962.74</v>
      </c>
      <c r="H1398" s="609">
        <v>288133</v>
      </c>
      <c r="I1398" s="609">
        <v>246580.19</v>
      </c>
      <c r="J1398" s="609">
        <v>295000</v>
      </c>
      <c r="K1398" s="609">
        <v>288133</v>
      </c>
      <c r="L1398" s="609">
        <v>0</v>
      </c>
      <c r="M1398" s="609">
        <v>0</v>
      </c>
      <c r="N1398" s="587">
        <f t="shared" si="153"/>
        <v>288133</v>
      </c>
      <c r="Q1398" t="str">
        <f t="shared" si="154"/>
        <v>50110</v>
      </c>
      <c r="R1398" s="126" t="str">
        <f t="shared" si="155"/>
        <v>PART-TIME WAGES</v>
      </c>
      <c r="S1398" s="125" t="str">
        <f t="shared" si="156"/>
        <v>125</v>
      </c>
      <c r="T1398" s="125" t="str">
        <f t="shared" si="157"/>
        <v>65</v>
      </c>
      <c r="U1398" s="125" t="str">
        <f t="shared" si="158"/>
        <v>652</v>
      </c>
      <c r="V1398" s="125" t="str">
        <f>VLOOKUP(Q1398,'GL Category'!A:C,3,FALSE)</f>
        <v>Personnel services</v>
      </c>
      <c r="X1398" s="83"/>
    </row>
    <row r="1399" spans="1:24" ht="20.399999999999999" customHeight="1">
      <c r="A1399" s="608" t="s">
        <v>1031</v>
      </c>
      <c r="B1399" s="608" t="s">
        <v>1620</v>
      </c>
      <c r="C1399" s="608" t="s">
        <v>135</v>
      </c>
      <c r="D1399" s="609">
        <v>0</v>
      </c>
      <c r="E1399" s="609">
        <v>0</v>
      </c>
      <c r="F1399" s="609">
        <v>0</v>
      </c>
      <c r="G1399" s="609">
        <v>0</v>
      </c>
      <c r="H1399" s="609">
        <v>0</v>
      </c>
      <c r="I1399" s="609">
        <v>0</v>
      </c>
      <c r="J1399" s="609">
        <v>0</v>
      </c>
      <c r="K1399" s="609">
        <v>0</v>
      </c>
      <c r="L1399" s="609">
        <v>0</v>
      </c>
      <c r="M1399" s="609">
        <v>0</v>
      </c>
      <c r="N1399" s="587">
        <f t="shared" si="153"/>
        <v>0</v>
      </c>
      <c r="Q1399" t="str">
        <f t="shared" si="154"/>
        <v>50110</v>
      </c>
      <c r="R1399" s="126" t="str">
        <f t="shared" si="155"/>
        <v>PART-TIME WAGES</v>
      </c>
      <c r="S1399" s="125" t="str">
        <f t="shared" si="156"/>
        <v>125</v>
      </c>
      <c r="T1399" s="125" t="str">
        <f t="shared" si="157"/>
        <v>65</v>
      </c>
      <c r="U1399" s="125" t="str">
        <f t="shared" si="158"/>
        <v>652</v>
      </c>
      <c r="V1399" s="125" t="str">
        <f>VLOOKUP(Q1399,'GL Category'!A:C,3,FALSE)</f>
        <v>Personnel services</v>
      </c>
      <c r="X1399" s="83"/>
    </row>
    <row r="1400" spans="1:24" ht="20.399999999999999" customHeight="1">
      <c r="A1400" s="608" t="s">
        <v>1031</v>
      </c>
      <c r="B1400" s="608" t="s">
        <v>1621</v>
      </c>
      <c r="C1400" s="608" t="s">
        <v>137</v>
      </c>
      <c r="D1400" s="609">
        <v>0</v>
      </c>
      <c r="E1400" s="609">
        <v>0</v>
      </c>
      <c r="F1400" s="609">
        <v>65</v>
      </c>
      <c r="G1400" s="609">
        <v>105</v>
      </c>
      <c r="H1400" s="609">
        <v>422</v>
      </c>
      <c r="I1400" s="609">
        <v>165</v>
      </c>
      <c r="J1400" s="609">
        <v>165</v>
      </c>
      <c r="K1400" s="609">
        <v>469</v>
      </c>
      <c r="L1400" s="609">
        <v>0</v>
      </c>
      <c r="M1400" s="609">
        <v>0</v>
      </c>
      <c r="N1400" s="587">
        <f t="shared" si="153"/>
        <v>469</v>
      </c>
      <c r="Q1400" t="str">
        <f t="shared" si="154"/>
        <v>50111</v>
      </c>
      <c r="R1400" s="126" t="str">
        <f t="shared" si="155"/>
        <v>LONGEVITY PAY</v>
      </c>
      <c r="S1400" s="125" t="str">
        <f t="shared" si="156"/>
        <v>125</v>
      </c>
      <c r="T1400" s="125" t="str">
        <f t="shared" si="157"/>
        <v>65</v>
      </c>
      <c r="U1400" s="125" t="str">
        <f t="shared" si="158"/>
        <v>652</v>
      </c>
      <c r="V1400" s="125" t="str">
        <f>VLOOKUP(Q1400,'GL Category'!A:C,3,FALSE)</f>
        <v>Personnel services</v>
      </c>
      <c r="X1400" s="83"/>
    </row>
    <row r="1401" spans="1:24" ht="20.399999999999999" customHeight="1">
      <c r="A1401" s="608" t="s">
        <v>1031</v>
      </c>
      <c r="B1401" s="608" t="s">
        <v>1622</v>
      </c>
      <c r="C1401" s="608" t="s">
        <v>250</v>
      </c>
      <c r="D1401" s="609">
        <v>82805.62</v>
      </c>
      <c r="E1401" s="609">
        <v>96211.14</v>
      </c>
      <c r="F1401" s="609">
        <v>68.75</v>
      </c>
      <c r="G1401" s="609">
        <v>0</v>
      </c>
      <c r="H1401" s="609">
        <v>0</v>
      </c>
      <c r="I1401" s="609">
        <v>0</v>
      </c>
      <c r="J1401" s="609">
        <v>0</v>
      </c>
      <c r="K1401" s="609">
        <v>0</v>
      </c>
      <c r="L1401" s="609">
        <v>0</v>
      </c>
      <c r="M1401" s="609">
        <v>0</v>
      </c>
      <c r="N1401" s="587">
        <f t="shared" si="153"/>
        <v>0</v>
      </c>
      <c r="Q1401" t="str">
        <f t="shared" si="154"/>
        <v>50112</v>
      </c>
      <c r="R1401" s="126" t="str">
        <f t="shared" si="155"/>
        <v>TEMPORARY/SEASONAL WAGES</v>
      </c>
      <c r="S1401" s="125" t="str">
        <f t="shared" si="156"/>
        <v>125</v>
      </c>
      <c r="T1401" s="125" t="str">
        <f t="shared" si="157"/>
        <v>65</v>
      </c>
      <c r="U1401" s="125" t="str">
        <f t="shared" si="158"/>
        <v>652</v>
      </c>
      <c r="V1401" s="125" t="str">
        <f>VLOOKUP(Q1401,'GL Category'!A:C,3,FALSE)</f>
        <v>Personnel services</v>
      </c>
      <c r="X1401" s="83"/>
    </row>
    <row r="1402" spans="1:24" ht="20.399999999999999" customHeight="1">
      <c r="A1402" s="608" t="s">
        <v>1031</v>
      </c>
      <c r="B1402" s="608" t="s">
        <v>1622</v>
      </c>
      <c r="C1402" s="608" t="s">
        <v>250</v>
      </c>
      <c r="D1402" s="609">
        <v>0</v>
      </c>
      <c r="E1402" s="609">
        <v>0</v>
      </c>
      <c r="F1402" s="609">
        <v>0</v>
      </c>
      <c r="G1402" s="609">
        <v>0</v>
      </c>
      <c r="H1402" s="609">
        <v>0</v>
      </c>
      <c r="I1402" s="609">
        <v>0</v>
      </c>
      <c r="J1402" s="609">
        <v>0</v>
      </c>
      <c r="K1402" s="609">
        <v>0</v>
      </c>
      <c r="L1402" s="609">
        <v>0</v>
      </c>
      <c r="M1402" s="609">
        <v>0</v>
      </c>
      <c r="N1402" s="587">
        <f t="shared" si="153"/>
        <v>0</v>
      </c>
      <c r="Q1402" t="str">
        <f t="shared" si="154"/>
        <v>50112</v>
      </c>
      <c r="R1402" s="126" t="str">
        <f t="shared" si="155"/>
        <v>TEMPORARY/SEASONAL WAGES</v>
      </c>
      <c r="S1402" s="125" t="str">
        <f t="shared" si="156"/>
        <v>125</v>
      </c>
      <c r="T1402" s="125" t="str">
        <f t="shared" si="157"/>
        <v>65</v>
      </c>
      <c r="U1402" s="125" t="str">
        <f t="shared" si="158"/>
        <v>652</v>
      </c>
      <c r="V1402" s="125" t="str">
        <f>VLOOKUP(Q1402,'GL Category'!A:C,3,FALSE)</f>
        <v>Personnel services</v>
      </c>
      <c r="X1402" s="83"/>
    </row>
    <row r="1403" spans="1:24" ht="20.399999999999999" customHeight="1">
      <c r="A1403" s="608" t="s">
        <v>1031</v>
      </c>
      <c r="B1403" s="608" t="s">
        <v>1623</v>
      </c>
      <c r="C1403" s="608" t="s">
        <v>1</v>
      </c>
      <c r="D1403" s="609">
        <v>20225.39</v>
      </c>
      <c r="E1403" s="609">
        <v>22021.06</v>
      </c>
      <c r="F1403" s="609">
        <v>15746</v>
      </c>
      <c r="G1403" s="609">
        <v>32337.03</v>
      </c>
      <c r="H1403" s="609">
        <v>31370</v>
      </c>
      <c r="I1403" s="609">
        <v>25083.55</v>
      </c>
      <c r="J1403" s="609">
        <v>35000</v>
      </c>
      <c r="K1403" s="609">
        <v>25360</v>
      </c>
      <c r="L1403" s="609">
        <v>0</v>
      </c>
      <c r="M1403" s="609">
        <v>0</v>
      </c>
      <c r="N1403" s="587">
        <f t="shared" si="153"/>
        <v>25360</v>
      </c>
      <c r="P1403" s="490">
        <f>N1403-H1403</f>
        <v>-6010</v>
      </c>
      <c r="Q1403" t="str">
        <f t="shared" si="154"/>
        <v>50610</v>
      </c>
      <c r="R1403" s="126" t="str">
        <f t="shared" si="155"/>
        <v>SOCIAL SECURITY</v>
      </c>
      <c r="S1403" s="125" t="str">
        <f t="shared" si="156"/>
        <v>125</v>
      </c>
      <c r="T1403" s="125" t="str">
        <f t="shared" si="157"/>
        <v>65</v>
      </c>
      <c r="U1403" s="125" t="str">
        <f t="shared" si="158"/>
        <v>652</v>
      </c>
      <c r="V1403" s="125" t="str">
        <f>VLOOKUP(Q1403,'GL Category'!A:C,3,FALSE)</f>
        <v>Personnel services</v>
      </c>
      <c r="X1403" s="83"/>
    </row>
    <row r="1404" spans="1:24" ht="20.399999999999999" customHeight="1">
      <c r="A1404" s="608" t="s">
        <v>1031</v>
      </c>
      <c r="B1404" s="608" t="s">
        <v>1623</v>
      </c>
      <c r="C1404" s="608" t="s">
        <v>1</v>
      </c>
      <c r="D1404" s="609">
        <v>0</v>
      </c>
      <c r="E1404" s="609">
        <v>0</v>
      </c>
      <c r="F1404" s="609">
        <v>0</v>
      </c>
      <c r="G1404" s="609">
        <v>0</v>
      </c>
      <c r="H1404" s="609">
        <v>0</v>
      </c>
      <c r="I1404" s="609">
        <v>0</v>
      </c>
      <c r="J1404" s="609">
        <v>0</v>
      </c>
      <c r="K1404" s="609">
        <v>0</v>
      </c>
      <c r="L1404" s="609">
        <v>0</v>
      </c>
      <c r="M1404" s="609">
        <v>0</v>
      </c>
      <c r="N1404" s="587">
        <f t="shared" si="153"/>
        <v>0</v>
      </c>
      <c r="P1404" s="490">
        <f>N1404-H1404</f>
        <v>0</v>
      </c>
      <c r="Q1404" t="str">
        <f t="shared" si="154"/>
        <v>50610</v>
      </c>
      <c r="R1404" s="126" t="str">
        <f t="shared" si="155"/>
        <v>SOCIAL SECURITY</v>
      </c>
      <c r="S1404" s="125" t="str">
        <f t="shared" si="156"/>
        <v>125</v>
      </c>
      <c r="T1404" s="125" t="str">
        <f t="shared" si="157"/>
        <v>65</v>
      </c>
      <c r="U1404" s="125" t="str">
        <f t="shared" si="158"/>
        <v>652</v>
      </c>
      <c r="V1404" s="125" t="str">
        <f>VLOOKUP(Q1404,'GL Category'!A:C,3,FALSE)</f>
        <v>Personnel services</v>
      </c>
      <c r="X1404" s="83"/>
    </row>
    <row r="1405" spans="1:24" ht="20.399999999999999" customHeight="1">
      <c r="A1405" s="608" t="s">
        <v>1031</v>
      </c>
      <c r="B1405" s="608" t="s">
        <v>1624</v>
      </c>
      <c r="C1405" s="608" t="s">
        <v>142</v>
      </c>
      <c r="D1405" s="609">
        <v>10178.469999999999</v>
      </c>
      <c r="E1405" s="609">
        <v>910.38</v>
      </c>
      <c r="F1405" s="609">
        <v>7572.25</v>
      </c>
      <c r="G1405" s="609">
        <v>10865.92</v>
      </c>
      <c r="H1405" s="609">
        <v>11649</v>
      </c>
      <c r="I1405" s="609">
        <v>10414.06</v>
      </c>
      <c r="J1405" s="609">
        <v>16008</v>
      </c>
      <c r="K1405" s="609">
        <v>19505</v>
      </c>
      <c r="L1405" s="609">
        <v>0</v>
      </c>
      <c r="M1405" s="609">
        <v>0</v>
      </c>
      <c r="N1405" s="587">
        <f t="shared" si="153"/>
        <v>19505</v>
      </c>
      <c r="P1405" s="490">
        <f>N1405-H1405</f>
        <v>7856</v>
      </c>
      <c r="Q1405" t="str">
        <f t="shared" si="154"/>
        <v>50620</v>
      </c>
      <c r="R1405" s="126" t="str">
        <f t="shared" si="155"/>
        <v>HEALTH/LIFE INSURANCE</v>
      </c>
      <c r="S1405" s="125" t="str">
        <f t="shared" si="156"/>
        <v>125</v>
      </c>
      <c r="T1405" s="125" t="str">
        <f t="shared" si="157"/>
        <v>65</v>
      </c>
      <c r="U1405" s="125" t="str">
        <f t="shared" si="158"/>
        <v>652</v>
      </c>
      <c r="V1405" s="125" t="str">
        <f>VLOOKUP(Q1405,'GL Category'!A:C,3,FALSE)</f>
        <v>Personnel services</v>
      </c>
      <c r="X1405" s="83"/>
    </row>
    <row r="1406" spans="1:24" ht="20.399999999999999" customHeight="1">
      <c r="A1406" s="608" t="s">
        <v>1031</v>
      </c>
      <c r="B1406" s="608" t="s">
        <v>1625</v>
      </c>
      <c r="C1406" s="608" t="s">
        <v>144</v>
      </c>
      <c r="D1406" s="609">
        <v>2407.75</v>
      </c>
      <c r="E1406" s="609">
        <v>1908.04</v>
      </c>
      <c r="F1406" s="609">
        <v>2216.36</v>
      </c>
      <c r="G1406" s="609">
        <v>3344.98</v>
      </c>
      <c r="H1406" s="609">
        <v>5135</v>
      </c>
      <c r="I1406" s="609">
        <v>5130.8100000000004</v>
      </c>
      <c r="J1406" s="609">
        <v>5131</v>
      </c>
      <c r="K1406" s="609">
        <v>4743</v>
      </c>
      <c r="L1406" s="609">
        <v>0</v>
      </c>
      <c r="M1406" s="609">
        <v>0</v>
      </c>
      <c r="N1406" s="587">
        <f t="shared" si="153"/>
        <v>4743</v>
      </c>
      <c r="P1406" s="490">
        <f>N1406-H1406</f>
        <v>-392</v>
      </c>
      <c r="Q1406" t="str">
        <f t="shared" si="154"/>
        <v>50630</v>
      </c>
      <c r="R1406" s="126" t="str">
        <f t="shared" si="155"/>
        <v>WORKER COMPENSATION</v>
      </c>
      <c r="S1406" s="125" t="str">
        <f t="shared" si="156"/>
        <v>125</v>
      </c>
      <c r="T1406" s="125" t="str">
        <f t="shared" si="157"/>
        <v>65</v>
      </c>
      <c r="U1406" s="125" t="str">
        <f t="shared" si="158"/>
        <v>652</v>
      </c>
      <c r="V1406" s="125" t="str">
        <f>VLOOKUP(Q1406,'GL Category'!A:C,3,FALSE)</f>
        <v>Personnel services</v>
      </c>
      <c r="X1406" s="83"/>
    </row>
    <row r="1407" spans="1:24" ht="20.399999999999999" customHeight="1">
      <c r="A1407" s="608" t="s">
        <v>1031</v>
      </c>
      <c r="B1407" s="608" t="s">
        <v>1626</v>
      </c>
      <c r="C1407" s="608" t="s">
        <v>2</v>
      </c>
      <c r="D1407" s="609">
        <v>11319.96</v>
      </c>
      <c r="E1407" s="609">
        <v>11709.57</v>
      </c>
      <c r="F1407" s="609">
        <v>15652.07</v>
      </c>
      <c r="G1407" s="609">
        <v>18651.62</v>
      </c>
      <c r="H1407" s="609">
        <v>20111</v>
      </c>
      <c r="I1407" s="609">
        <v>13740.28</v>
      </c>
      <c r="J1407" s="609">
        <v>18434</v>
      </c>
      <c r="K1407" s="609">
        <v>21205</v>
      </c>
      <c r="L1407" s="609">
        <v>0</v>
      </c>
      <c r="M1407" s="609">
        <v>0</v>
      </c>
      <c r="N1407" s="587">
        <f t="shared" si="153"/>
        <v>21205</v>
      </c>
      <c r="Q1407" t="str">
        <f t="shared" si="154"/>
        <v>50650</v>
      </c>
      <c r="R1407" s="126" t="str">
        <f t="shared" si="155"/>
        <v>RETIREMENT</v>
      </c>
      <c r="S1407" s="125" t="str">
        <f t="shared" si="156"/>
        <v>125</v>
      </c>
      <c r="T1407" s="125" t="str">
        <f t="shared" si="157"/>
        <v>65</v>
      </c>
      <c r="U1407" s="125" t="str">
        <f t="shared" si="158"/>
        <v>652</v>
      </c>
      <c r="V1407" s="125" t="str">
        <f>VLOOKUP(Q1407,'GL Category'!A:C,3,FALSE)</f>
        <v>Personnel services</v>
      </c>
      <c r="X1407" s="83"/>
    </row>
    <row r="1408" spans="1:24" ht="20.399999999999999" customHeight="1">
      <c r="A1408" s="608" t="s">
        <v>1031</v>
      </c>
      <c r="B1408" s="608" t="s">
        <v>3182</v>
      </c>
      <c r="C1408" s="608" t="s">
        <v>155</v>
      </c>
      <c r="D1408" s="609">
        <v>0</v>
      </c>
      <c r="E1408" s="609">
        <v>55.35</v>
      </c>
      <c r="F1408" s="609">
        <v>40.86</v>
      </c>
      <c r="G1408" s="609">
        <v>0</v>
      </c>
      <c r="H1408" s="609">
        <v>0</v>
      </c>
      <c r="I1408" s="609">
        <v>0</v>
      </c>
      <c r="J1408" s="609">
        <v>0</v>
      </c>
      <c r="K1408" s="609">
        <v>0</v>
      </c>
      <c r="L1408" s="609">
        <v>0</v>
      </c>
      <c r="M1408" s="609">
        <v>0</v>
      </c>
      <c r="N1408" s="587">
        <f t="shared" si="153"/>
        <v>0</v>
      </c>
      <c r="Q1408" t="str">
        <f t="shared" si="154"/>
        <v>51225</v>
      </c>
      <c r="R1408" s="126" t="str">
        <f t="shared" si="155"/>
        <v>JANITORIAL SUPPLIES</v>
      </c>
      <c r="S1408" s="125" t="str">
        <f t="shared" si="156"/>
        <v>125</v>
      </c>
      <c r="T1408" s="125" t="str">
        <f t="shared" si="157"/>
        <v>65</v>
      </c>
      <c r="U1408" s="125" t="str">
        <f t="shared" si="158"/>
        <v>652</v>
      </c>
      <c r="V1408" s="125" t="str">
        <f>VLOOKUP(Q1408,'GL Category'!A:C,3,FALSE)</f>
        <v>Operations &amp; maintenance</v>
      </c>
      <c r="X1408" s="83"/>
    </row>
    <row r="1409" spans="1:24" ht="20.399999999999999" customHeight="1">
      <c r="A1409" s="608" t="s">
        <v>1031</v>
      </c>
      <c r="B1409" s="608" t="s">
        <v>1628</v>
      </c>
      <c r="C1409" s="608" t="s">
        <v>4</v>
      </c>
      <c r="D1409" s="609">
        <v>1030.07</v>
      </c>
      <c r="E1409" s="609">
        <v>799.24</v>
      </c>
      <c r="F1409" s="609">
        <v>955.35</v>
      </c>
      <c r="G1409" s="609">
        <v>4354.17</v>
      </c>
      <c r="H1409" s="609">
        <v>2000</v>
      </c>
      <c r="I1409" s="609">
        <v>550.63</v>
      </c>
      <c r="J1409" s="609">
        <v>1700</v>
      </c>
      <c r="K1409" s="609">
        <v>2000</v>
      </c>
      <c r="L1409" s="609">
        <v>0</v>
      </c>
      <c r="M1409" s="609">
        <v>0</v>
      </c>
      <c r="N1409" s="587">
        <f t="shared" si="153"/>
        <v>2000</v>
      </c>
      <c r="Q1409" t="str">
        <f t="shared" si="154"/>
        <v>51245</v>
      </c>
      <c r="R1409" s="126" t="str">
        <f t="shared" si="155"/>
        <v>SMALL TOOLS &amp; EQUIPMENT</v>
      </c>
      <c r="S1409" s="125" t="str">
        <f t="shared" si="156"/>
        <v>125</v>
      </c>
      <c r="T1409" s="125" t="str">
        <f t="shared" si="157"/>
        <v>65</v>
      </c>
      <c r="U1409" s="125" t="str">
        <f t="shared" si="158"/>
        <v>652</v>
      </c>
      <c r="V1409" s="125" t="str">
        <f>VLOOKUP(Q1409,'GL Category'!A:C,3,FALSE)</f>
        <v>Operations &amp; maintenance</v>
      </c>
      <c r="X1409" s="83"/>
    </row>
    <row r="1410" spans="1:24" ht="20.399999999999999" customHeight="1">
      <c r="A1410" s="608" t="s">
        <v>1031</v>
      </c>
      <c r="B1410" s="608" t="s">
        <v>1629</v>
      </c>
      <c r="C1410" s="608" t="s">
        <v>263</v>
      </c>
      <c r="D1410" s="609">
        <v>2722.27</v>
      </c>
      <c r="E1410" s="609">
        <v>1787.38</v>
      </c>
      <c r="F1410" s="609">
        <v>2773.36</v>
      </c>
      <c r="G1410" s="609">
        <v>2731.93</v>
      </c>
      <c r="H1410" s="609">
        <v>6000</v>
      </c>
      <c r="I1410" s="609">
        <v>3920</v>
      </c>
      <c r="J1410" s="609">
        <v>6000</v>
      </c>
      <c r="K1410" s="609">
        <v>6000</v>
      </c>
      <c r="L1410" s="609">
        <v>0</v>
      </c>
      <c r="M1410" s="609">
        <v>0</v>
      </c>
      <c r="N1410" s="587">
        <f t="shared" si="153"/>
        <v>6000</v>
      </c>
      <c r="Q1410" t="str">
        <f t="shared" si="154"/>
        <v>51260</v>
      </c>
      <c r="R1410" s="126" t="str">
        <f t="shared" si="155"/>
        <v>EDUCATION/RECREATION SUPPLIES</v>
      </c>
      <c r="S1410" s="125" t="str">
        <f t="shared" si="156"/>
        <v>125</v>
      </c>
      <c r="T1410" s="125" t="str">
        <f t="shared" si="157"/>
        <v>65</v>
      </c>
      <c r="U1410" s="125" t="str">
        <f t="shared" si="158"/>
        <v>652</v>
      </c>
      <c r="V1410" s="125" t="str">
        <f>VLOOKUP(Q1410,'GL Category'!A:C,3,FALSE)</f>
        <v>Operations &amp; maintenance</v>
      </c>
      <c r="X1410" s="83"/>
    </row>
    <row r="1411" spans="1:24" ht="20.399999999999999" customHeight="1">
      <c r="A1411" s="608" t="s">
        <v>1031</v>
      </c>
      <c r="B1411" s="608" t="s">
        <v>1630</v>
      </c>
      <c r="C1411" s="608" t="s">
        <v>276</v>
      </c>
      <c r="D1411" s="609">
        <v>23698.34</v>
      </c>
      <c r="E1411" s="609">
        <v>21709.06</v>
      </c>
      <c r="F1411" s="609">
        <v>26309.14</v>
      </c>
      <c r="G1411" s="609">
        <v>36765.919999999998</v>
      </c>
      <c r="H1411" s="609">
        <v>32200</v>
      </c>
      <c r="I1411" s="609">
        <v>26352.29</v>
      </c>
      <c r="J1411" s="609">
        <v>43200</v>
      </c>
      <c r="K1411" s="609">
        <v>42200</v>
      </c>
      <c r="L1411" s="609">
        <v>0</v>
      </c>
      <c r="M1411" s="609">
        <v>0</v>
      </c>
      <c r="N1411" s="587">
        <f t="shared" si="153"/>
        <v>42200</v>
      </c>
      <c r="Q1411" t="str">
        <f t="shared" si="154"/>
        <v>51270</v>
      </c>
      <c r="R1411" s="126" t="str">
        <f t="shared" si="155"/>
        <v>CHEMICAL SUPPLIES</v>
      </c>
      <c r="S1411" s="125" t="str">
        <f t="shared" si="156"/>
        <v>125</v>
      </c>
      <c r="T1411" s="125" t="str">
        <f t="shared" si="157"/>
        <v>65</v>
      </c>
      <c r="U1411" s="125" t="str">
        <f t="shared" si="158"/>
        <v>652</v>
      </c>
      <c r="V1411" s="125" t="str">
        <f>VLOOKUP(Q1411,'GL Category'!A:C,3,FALSE)</f>
        <v>Operations &amp; maintenance</v>
      </c>
      <c r="X1411" s="83"/>
    </row>
    <row r="1412" spans="1:24" ht="20.399999999999999" customHeight="1">
      <c r="A1412" s="608" t="s">
        <v>1031</v>
      </c>
      <c r="B1412" s="608" t="s">
        <v>1632</v>
      </c>
      <c r="C1412" s="608" t="s">
        <v>344</v>
      </c>
      <c r="D1412" s="609">
        <v>2190.21</v>
      </c>
      <c r="E1412" s="609">
        <v>3376.86</v>
      </c>
      <c r="F1412" s="609">
        <v>1402.01</v>
      </c>
      <c r="G1412" s="609">
        <v>4231.8599999999997</v>
      </c>
      <c r="H1412" s="609">
        <v>2500</v>
      </c>
      <c r="I1412" s="609">
        <v>3752.79</v>
      </c>
      <c r="J1412" s="609">
        <v>6000</v>
      </c>
      <c r="K1412" s="609">
        <v>2500</v>
      </c>
      <c r="L1412" s="609">
        <v>0</v>
      </c>
      <c r="M1412" s="609">
        <v>0</v>
      </c>
      <c r="N1412" s="587">
        <f t="shared" ref="N1412:N1475" si="160">SUM(K1412:M1412)</f>
        <v>2500</v>
      </c>
      <c r="Q1412" t="str">
        <f t="shared" ref="Q1412:Q1475" si="161">MID(B1412,12,5)</f>
        <v>51282</v>
      </c>
      <c r="R1412" s="126" t="str">
        <f t="shared" ref="R1412:R1475" si="162">C1412</f>
        <v>COST OF GOODS SOLD</v>
      </c>
      <c r="S1412" s="125" t="str">
        <f t="shared" ref="S1412:S1475" si="163">LEFT(B1412,3)</f>
        <v>125</v>
      </c>
      <c r="T1412" s="125" t="str">
        <f t="shared" ref="T1412:T1475" si="164">MID(B1412,5,2)</f>
        <v>65</v>
      </c>
      <c r="U1412" s="125" t="str">
        <f t="shared" ref="U1412:U1475" si="165">MID(B1412,8,3)</f>
        <v>652</v>
      </c>
      <c r="V1412" s="125" t="str">
        <f>VLOOKUP(Q1412,'GL Category'!A:C,3,FALSE)</f>
        <v>Operations &amp; maintenance</v>
      </c>
      <c r="X1412" s="83"/>
    </row>
    <row r="1413" spans="1:24" ht="20.399999999999999" customHeight="1">
      <c r="A1413" s="608" t="s">
        <v>1031</v>
      </c>
      <c r="B1413" s="608" t="s">
        <v>1633</v>
      </c>
      <c r="C1413" s="608" t="s">
        <v>274</v>
      </c>
      <c r="D1413" s="609">
        <v>1274.5899999999999</v>
      </c>
      <c r="E1413" s="609">
        <v>1768.62</v>
      </c>
      <c r="F1413" s="609">
        <v>1018.03</v>
      </c>
      <c r="G1413" s="609">
        <v>1268.6400000000001</v>
      </c>
      <c r="H1413" s="609">
        <v>1340</v>
      </c>
      <c r="I1413" s="609">
        <v>895.32</v>
      </c>
      <c r="J1413" s="609">
        <v>1500</v>
      </c>
      <c r="K1413" s="609">
        <v>4000</v>
      </c>
      <c r="L1413" s="609">
        <v>0</v>
      </c>
      <c r="M1413" s="609">
        <v>0</v>
      </c>
      <c r="N1413" s="587">
        <f t="shared" si="160"/>
        <v>4000</v>
      </c>
      <c r="Q1413" t="str">
        <f t="shared" si="161"/>
        <v>51287</v>
      </c>
      <c r="R1413" s="126" t="str">
        <f t="shared" si="162"/>
        <v>SAFETY EQUIPMENT/SUPPLIES</v>
      </c>
      <c r="S1413" s="125" t="str">
        <f t="shared" si="163"/>
        <v>125</v>
      </c>
      <c r="T1413" s="125" t="str">
        <f t="shared" si="164"/>
        <v>65</v>
      </c>
      <c r="U1413" s="125" t="str">
        <f t="shared" si="165"/>
        <v>652</v>
      </c>
      <c r="V1413" s="125" t="str">
        <f>VLOOKUP(Q1413,'GL Category'!A:C,3,FALSE)</f>
        <v>Operations &amp; maintenance</v>
      </c>
      <c r="X1413" s="83"/>
    </row>
    <row r="1414" spans="1:24" ht="20.399999999999999" customHeight="1">
      <c r="A1414" s="608" t="s">
        <v>1031</v>
      </c>
      <c r="B1414" s="608" t="s">
        <v>1633</v>
      </c>
      <c r="C1414" s="608" t="s">
        <v>274</v>
      </c>
      <c r="D1414" s="609">
        <v>0</v>
      </c>
      <c r="E1414" s="609">
        <v>0</v>
      </c>
      <c r="F1414" s="609">
        <v>0</v>
      </c>
      <c r="G1414" s="609">
        <v>0</v>
      </c>
      <c r="H1414" s="609">
        <v>0</v>
      </c>
      <c r="I1414" s="609">
        <v>0</v>
      </c>
      <c r="J1414" s="609">
        <v>0</v>
      </c>
      <c r="K1414" s="609">
        <v>0</v>
      </c>
      <c r="L1414" s="609">
        <v>0</v>
      </c>
      <c r="M1414" s="609">
        <v>0</v>
      </c>
      <c r="N1414" s="587">
        <f t="shared" si="160"/>
        <v>0</v>
      </c>
      <c r="Q1414" t="str">
        <f t="shared" si="161"/>
        <v>51287</v>
      </c>
      <c r="R1414" s="126" t="str">
        <f t="shared" si="162"/>
        <v>SAFETY EQUIPMENT/SUPPLIES</v>
      </c>
      <c r="S1414" s="125" t="str">
        <f t="shared" si="163"/>
        <v>125</v>
      </c>
      <c r="T1414" s="125" t="str">
        <f t="shared" si="164"/>
        <v>65</v>
      </c>
      <c r="U1414" s="125" t="str">
        <f t="shared" si="165"/>
        <v>652</v>
      </c>
      <c r="V1414" s="125" t="str">
        <f>VLOOKUP(Q1414,'GL Category'!A:C,3,FALSE)</f>
        <v>Operations &amp; maintenance</v>
      </c>
      <c r="X1414" s="83"/>
    </row>
    <row r="1415" spans="1:24" ht="20.399999999999999" customHeight="1">
      <c r="A1415" s="608" t="s">
        <v>1031</v>
      </c>
      <c r="B1415" s="608" t="s">
        <v>1641</v>
      </c>
      <c r="C1415" s="608" t="s">
        <v>171</v>
      </c>
      <c r="D1415" s="609">
        <v>659.14</v>
      </c>
      <c r="E1415" s="609">
        <v>185.45</v>
      </c>
      <c r="F1415" s="609">
        <v>42.95</v>
      </c>
      <c r="G1415" s="609">
        <v>1352.86</v>
      </c>
      <c r="H1415" s="609">
        <v>120</v>
      </c>
      <c r="I1415" s="609">
        <v>42.95</v>
      </c>
      <c r="J1415" s="609">
        <v>120</v>
      </c>
      <c r="K1415" s="609">
        <v>120</v>
      </c>
      <c r="L1415" s="609">
        <v>0</v>
      </c>
      <c r="M1415" s="609">
        <v>0</v>
      </c>
      <c r="N1415" s="587">
        <f t="shared" si="160"/>
        <v>120</v>
      </c>
      <c r="Q1415" t="str">
        <f t="shared" si="161"/>
        <v>52310</v>
      </c>
      <c r="R1415" s="126" t="str">
        <f t="shared" si="162"/>
        <v>BUILDING MAINTENANCE</v>
      </c>
      <c r="S1415" s="125" t="str">
        <f t="shared" si="163"/>
        <v>125</v>
      </c>
      <c r="T1415" s="125" t="str">
        <f t="shared" si="164"/>
        <v>65</v>
      </c>
      <c r="U1415" s="125" t="str">
        <f t="shared" si="165"/>
        <v>652</v>
      </c>
      <c r="V1415" s="125" t="str">
        <f>VLOOKUP(Q1415,'GL Category'!A:C,3,FALSE)</f>
        <v>Operations &amp; maintenance</v>
      </c>
      <c r="X1415" s="83"/>
    </row>
    <row r="1416" spans="1:24" ht="20.399999999999999" customHeight="1">
      <c r="A1416" s="608" t="s">
        <v>1031</v>
      </c>
      <c r="B1416" s="608" t="s">
        <v>1635</v>
      </c>
      <c r="C1416" s="608" t="s">
        <v>288</v>
      </c>
      <c r="D1416" s="609">
        <v>176.84</v>
      </c>
      <c r="E1416" s="609">
        <v>0</v>
      </c>
      <c r="F1416" s="609">
        <v>37.950000000000003</v>
      </c>
      <c r="G1416" s="609">
        <v>0</v>
      </c>
      <c r="H1416" s="609">
        <v>0</v>
      </c>
      <c r="I1416" s="609">
        <v>0</v>
      </c>
      <c r="J1416" s="609">
        <v>0</v>
      </c>
      <c r="K1416" s="609">
        <v>0</v>
      </c>
      <c r="L1416" s="609">
        <v>0</v>
      </c>
      <c r="M1416" s="609">
        <v>0</v>
      </c>
      <c r="N1416" s="587">
        <f t="shared" si="160"/>
        <v>0</v>
      </c>
      <c r="Q1416" t="str">
        <f t="shared" si="161"/>
        <v>52399</v>
      </c>
      <c r="R1416" s="126" t="str">
        <f t="shared" si="162"/>
        <v>MISCELLANEOUS MAINTENANCE</v>
      </c>
      <c r="S1416" s="125" t="str">
        <f t="shared" si="163"/>
        <v>125</v>
      </c>
      <c r="T1416" s="125" t="str">
        <f t="shared" si="164"/>
        <v>65</v>
      </c>
      <c r="U1416" s="125" t="str">
        <f t="shared" si="165"/>
        <v>652</v>
      </c>
      <c r="V1416" s="125" t="str">
        <f>VLOOKUP(Q1416,'GL Category'!A:C,3,FALSE)</f>
        <v>Operations &amp; maintenance</v>
      </c>
      <c r="X1416" s="83"/>
    </row>
    <row r="1417" spans="1:24" ht="20.399999999999999" customHeight="1">
      <c r="A1417" s="608" t="s">
        <v>1031</v>
      </c>
      <c r="B1417" s="608" t="s">
        <v>1636</v>
      </c>
      <c r="C1417" s="608" t="s">
        <v>236</v>
      </c>
      <c r="D1417" s="609">
        <v>12809.02</v>
      </c>
      <c r="E1417" s="609">
        <v>26902.11</v>
      </c>
      <c r="F1417" s="609">
        <v>49411.3</v>
      </c>
      <c r="G1417" s="609">
        <v>26745.68</v>
      </c>
      <c r="H1417" s="609">
        <v>27700</v>
      </c>
      <c r="I1417" s="609">
        <v>36345.1</v>
      </c>
      <c r="J1417" s="609">
        <v>45700</v>
      </c>
      <c r="K1417" s="609">
        <v>27700</v>
      </c>
      <c r="L1417" s="609">
        <v>0</v>
      </c>
      <c r="M1417" s="609">
        <v>0</v>
      </c>
      <c r="N1417" s="587">
        <f t="shared" si="160"/>
        <v>27700</v>
      </c>
      <c r="P1417" s="490">
        <f>N1417-H1417</f>
        <v>0</v>
      </c>
      <c r="Q1417" t="str">
        <f t="shared" si="161"/>
        <v>52470</v>
      </c>
      <c r="R1417" s="126" t="str">
        <f t="shared" si="162"/>
        <v>EQUIPMENT MAINTENANCE</v>
      </c>
      <c r="S1417" s="125" t="str">
        <f t="shared" si="163"/>
        <v>125</v>
      </c>
      <c r="T1417" s="125" t="str">
        <f t="shared" si="164"/>
        <v>65</v>
      </c>
      <c r="U1417" s="125" t="str">
        <f t="shared" si="165"/>
        <v>652</v>
      </c>
      <c r="V1417" s="125" t="str">
        <f>VLOOKUP(Q1417,'GL Category'!A:C,3,FALSE)</f>
        <v>Operations &amp; maintenance</v>
      </c>
      <c r="X1417" s="83"/>
    </row>
    <row r="1418" spans="1:24" ht="20.399999999999999" customHeight="1">
      <c r="A1418" s="608" t="s">
        <v>1031</v>
      </c>
      <c r="B1418" s="608" t="s">
        <v>1638</v>
      </c>
      <c r="C1418" s="608" t="s">
        <v>190</v>
      </c>
      <c r="D1418" s="609">
        <v>484</v>
      </c>
      <c r="E1418" s="609">
        <v>439</v>
      </c>
      <c r="F1418" s="609">
        <v>459</v>
      </c>
      <c r="G1418" s="609">
        <v>588.95000000000005</v>
      </c>
      <c r="H1418" s="609">
        <v>800</v>
      </c>
      <c r="I1418" s="609">
        <v>699</v>
      </c>
      <c r="J1418" s="609">
        <v>800</v>
      </c>
      <c r="K1418" s="609">
        <v>800</v>
      </c>
      <c r="L1418" s="609">
        <v>0</v>
      </c>
      <c r="M1418" s="609">
        <v>0</v>
      </c>
      <c r="N1418" s="587">
        <f t="shared" si="160"/>
        <v>800</v>
      </c>
      <c r="P1418" s="490">
        <f>N1418-H1418</f>
        <v>0</v>
      </c>
      <c r="Q1418" t="str">
        <f t="shared" si="161"/>
        <v>53510</v>
      </c>
      <c r="R1418" s="126" t="str">
        <f t="shared" si="162"/>
        <v>DUES &amp; SUBSCRIPTIONS</v>
      </c>
      <c r="S1418" s="125" t="str">
        <f t="shared" si="163"/>
        <v>125</v>
      </c>
      <c r="T1418" s="125" t="str">
        <f t="shared" si="164"/>
        <v>65</v>
      </c>
      <c r="U1418" s="125" t="str">
        <f t="shared" si="165"/>
        <v>652</v>
      </c>
      <c r="V1418" s="125" t="str">
        <f>VLOOKUP(Q1418,'GL Category'!A:C,3,FALSE)</f>
        <v>Services &amp; other</v>
      </c>
      <c r="X1418" s="83"/>
    </row>
    <row r="1419" spans="1:24" ht="20.399999999999999" customHeight="1">
      <c r="A1419" s="608" t="s">
        <v>1031</v>
      </c>
      <c r="B1419" s="608" t="s">
        <v>1639</v>
      </c>
      <c r="C1419" s="608" t="s">
        <v>191</v>
      </c>
      <c r="D1419" s="609">
        <v>7413.63</v>
      </c>
      <c r="E1419" s="609">
        <v>6837.04</v>
      </c>
      <c r="F1419" s="609">
        <v>4654</v>
      </c>
      <c r="G1419" s="609">
        <v>7104</v>
      </c>
      <c r="H1419" s="609">
        <v>7750</v>
      </c>
      <c r="I1419" s="609">
        <v>4638.09</v>
      </c>
      <c r="J1419" s="609">
        <v>7750</v>
      </c>
      <c r="K1419" s="609">
        <v>7750</v>
      </c>
      <c r="L1419" s="609">
        <v>0</v>
      </c>
      <c r="M1419" s="609">
        <v>0</v>
      </c>
      <c r="N1419" s="587">
        <f t="shared" si="160"/>
        <v>7750</v>
      </c>
      <c r="Q1419" t="str">
        <f t="shared" si="161"/>
        <v>53515</v>
      </c>
      <c r="R1419" s="126" t="str">
        <f t="shared" si="162"/>
        <v>TRAVEL, TRAINING &amp; EDUCATION</v>
      </c>
      <c r="S1419" s="125" t="str">
        <f t="shared" si="163"/>
        <v>125</v>
      </c>
      <c r="T1419" s="125" t="str">
        <f t="shared" si="164"/>
        <v>65</v>
      </c>
      <c r="U1419" s="125" t="str">
        <f t="shared" si="165"/>
        <v>652</v>
      </c>
      <c r="V1419" s="125" t="str">
        <f>VLOOKUP(Q1419,'GL Category'!A:C,3,FALSE)</f>
        <v>Services &amp; other</v>
      </c>
      <c r="X1419" s="83"/>
    </row>
    <row r="1420" spans="1:24" ht="20.399999999999999" customHeight="1">
      <c r="A1420" s="608" t="s">
        <v>1031</v>
      </c>
      <c r="B1420" s="608" t="s">
        <v>1640</v>
      </c>
      <c r="C1420" s="608" t="s">
        <v>908</v>
      </c>
      <c r="D1420" s="609">
        <v>5462.85</v>
      </c>
      <c r="E1420" s="609">
        <v>95071.78</v>
      </c>
      <c r="F1420" s="609">
        <v>165105.82</v>
      </c>
      <c r="G1420" s="609">
        <v>80975.259999999995</v>
      </c>
      <c r="H1420" s="609">
        <v>61000</v>
      </c>
      <c r="I1420" s="609">
        <v>67728.86</v>
      </c>
      <c r="J1420" s="609">
        <v>76000</v>
      </c>
      <c r="K1420" s="609">
        <v>61000</v>
      </c>
      <c r="L1420" s="609">
        <v>18000</v>
      </c>
      <c r="M1420" s="609">
        <v>0</v>
      </c>
      <c r="N1420" s="587">
        <f t="shared" si="160"/>
        <v>79000</v>
      </c>
      <c r="Q1420" t="str">
        <f t="shared" si="161"/>
        <v>53535</v>
      </c>
      <c r="R1420" s="126" t="str">
        <f t="shared" si="162"/>
        <v>RECREATION &amp; CULTURE PROGRAMS</v>
      </c>
      <c r="S1420" s="125" t="str">
        <f t="shared" si="163"/>
        <v>125</v>
      </c>
      <c r="T1420" s="125" t="str">
        <f t="shared" si="164"/>
        <v>65</v>
      </c>
      <c r="U1420" s="125" t="str">
        <f t="shared" si="165"/>
        <v>652</v>
      </c>
      <c r="V1420" s="125" t="str">
        <f>VLOOKUP(Q1420,'GL Category'!A:C,3,FALSE)</f>
        <v>Services &amp; other</v>
      </c>
      <c r="X1420" s="83"/>
    </row>
    <row r="1421" spans="1:24" ht="20.399999999999999" customHeight="1">
      <c r="A1421" s="608" t="s">
        <v>1031</v>
      </c>
      <c r="B1421" s="608" t="s">
        <v>1642</v>
      </c>
      <c r="C1421" s="608" t="s">
        <v>221</v>
      </c>
      <c r="D1421" s="609">
        <v>3651</v>
      </c>
      <c r="E1421" s="609">
        <v>8760</v>
      </c>
      <c r="F1421" s="609">
        <v>1410</v>
      </c>
      <c r="G1421" s="609">
        <v>3674</v>
      </c>
      <c r="H1421" s="609">
        <v>3560</v>
      </c>
      <c r="I1421" s="609">
        <v>2670</v>
      </c>
      <c r="J1421" s="609">
        <v>3560</v>
      </c>
      <c r="K1421" s="609">
        <v>4701</v>
      </c>
      <c r="L1421" s="609">
        <v>0</v>
      </c>
      <c r="M1421" s="609">
        <v>0</v>
      </c>
      <c r="N1421" s="587">
        <f t="shared" si="160"/>
        <v>4701</v>
      </c>
      <c r="Q1421" t="str">
        <f t="shared" si="161"/>
        <v>55119</v>
      </c>
      <c r="R1421" s="126" t="str">
        <f t="shared" si="162"/>
        <v>OFFICE EQUIP LEASE EXP-CITY</v>
      </c>
      <c r="S1421" s="125" t="str">
        <f t="shared" si="163"/>
        <v>125</v>
      </c>
      <c r="T1421" s="125" t="str">
        <f t="shared" si="164"/>
        <v>65</v>
      </c>
      <c r="U1421" s="125" t="str">
        <f t="shared" si="165"/>
        <v>652</v>
      </c>
      <c r="V1421" s="125" t="str">
        <f>VLOOKUP(Q1421,'GL Category'!A:C,3,FALSE)</f>
        <v>Services &amp; other</v>
      </c>
      <c r="X1421" s="83"/>
    </row>
    <row r="1422" spans="1:24" ht="20.399999999999999" customHeight="1">
      <c r="A1422" s="608" t="s">
        <v>1031</v>
      </c>
      <c r="B1422" s="608" t="s">
        <v>1646</v>
      </c>
      <c r="C1422" s="608" t="s">
        <v>0</v>
      </c>
      <c r="D1422" s="609">
        <v>0</v>
      </c>
      <c r="E1422" s="609">
        <v>0</v>
      </c>
      <c r="F1422" s="609">
        <v>33.75</v>
      </c>
      <c r="G1422" s="609">
        <v>0</v>
      </c>
      <c r="H1422" s="609">
        <v>0</v>
      </c>
      <c r="I1422" s="609">
        <v>0</v>
      </c>
      <c r="J1422" s="609">
        <v>0</v>
      </c>
      <c r="K1422" s="609">
        <v>0</v>
      </c>
      <c r="L1422" s="609">
        <v>0</v>
      </c>
      <c r="M1422" s="609">
        <v>0</v>
      </c>
      <c r="N1422" s="587">
        <f t="shared" si="160"/>
        <v>0</v>
      </c>
      <c r="Q1422" t="str">
        <f t="shared" si="161"/>
        <v>50109</v>
      </c>
      <c r="R1422" s="126" t="str">
        <f t="shared" si="162"/>
        <v>OVERTIME</v>
      </c>
      <c r="S1422" s="125" t="str">
        <f t="shared" si="163"/>
        <v>125</v>
      </c>
      <c r="T1422" s="125" t="str">
        <f t="shared" si="164"/>
        <v>65</v>
      </c>
      <c r="U1422" s="125" t="str">
        <f t="shared" si="165"/>
        <v>653</v>
      </c>
      <c r="V1422" s="125" t="str">
        <f>VLOOKUP(Q1422,'GL Category'!A:C,3,FALSE)</f>
        <v>Personnel services</v>
      </c>
      <c r="X1422" s="83"/>
    </row>
    <row r="1423" spans="1:24" ht="20.399999999999999" customHeight="1">
      <c r="A1423" s="608" t="s">
        <v>1031</v>
      </c>
      <c r="B1423" s="608" t="s">
        <v>1647</v>
      </c>
      <c r="C1423" s="608" t="s">
        <v>135</v>
      </c>
      <c r="D1423" s="609">
        <v>5831.07</v>
      </c>
      <c r="E1423" s="609">
        <v>8239.42</v>
      </c>
      <c r="F1423" s="609">
        <v>13601</v>
      </c>
      <c r="G1423" s="609">
        <v>11890.7</v>
      </c>
      <c r="H1423" s="609">
        <v>15892</v>
      </c>
      <c r="I1423" s="609">
        <v>6996.28</v>
      </c>
      <c r="J1423" s="609">
        <v>9000</v>
      </c>
      <c r="K1423" s="609">
        <v>0</v>
      </c>
      <c r="L1423" s="609">
        <v>0</v>
      </c>
      <c r="M1423" s="609">
        <v>0</v>
      </c>
      <c r="N1423" s="587">
        <f t="shared" si="160"/>
        <v>0</v>
      </c>
      <c r="Q1423" t="str">
        <f t="shared" si="161"/>
        <v>50110</v>
      </c>
      <c r="R1423" s="126" t="str">
        <f t="shared" si="162"/>
        <v>PART-TIME WAGES</v>
      </c>
      <c r="S1423" s="125" t="str">
        <f t="shared" si="163"/>
        <v>125</v>
      </c>
      <c r="T1423" s="125" t="str">
        <f t="shared" si="164"/>
        <v>65</v>
      </c>
      <c r="U1423" s="125" t="str">
        <f t="shared" si="165"/>
        <v>653</v>
      </c>
      <c r="V1423" s="125" t="str">
        <f>VLOOKUP(Q1423,'GL Category'!A:C,3,FALSE)</f>
        <v>Personnel services</v>
      </c>
      <c r="X1423" s="83"/>
    </row>
    <row r="1424" spans="1:24" ht="20.399999999999999" customHeight="1">
      <c r="A1424" s="608" t="s">
        <v>1031</v>
      </c>
      <c r="B1424" s="608" t="s">
        <v>1650</v>
      </c>
      <c r="C1424" s="608" t="s">
        <v>904</v>
      </c>
      <c r="D1424" s="609">
        <v>425</v>
      </c>
      <c r="E1424" s="609">
        <v>943</v>
      </c>
      <c r="F1424" s="609">
        <v>2682</v>
      </c>
      <c r="G1424" s="609">
        <v>2475</v>
      </c>
      <c r="H1424" s="609">
        <v>0</v>
      </c>
      <c r="I1424" s="609">
        <v>3225</v>
      </c>
      <c r="J1424" s="609">
        <v>4000</v>
      </c>
      <c r="K1424" s="609">
        <v>0</v>
      </c>
      <c r="L1424" s="609">
        <v>0</v>
      </c>
      <c r="M1424" s="609">
        <v>0</v>
      </c>
      <c r="N1424" s="587">
        <f t="shared" si="160"/>
        <v>0</v>
      </c>
      <c r="Q1424" t="str">
        <f t="shared" si="161"/>
        <v>50117</v>
      </c>
      <c r="R1424" s="126" t="str">
        <f t="shared" si="162"/>
        <v>GROUP EXERCISE PAY</v>
      </c>
      <c r="S1424" s="125" t="str">
        <f t="shared" si="163"/>
        <v>125</v>
      </c>
      <c r="T1424" s="125" t="str">
        <f t="shared" si="164"/>
        <v>65</v>
      </c>
      <c r="U1424" s="125" t="str">
        <f t="shared" si="165"/>
        <v>653</v>
      </c>
      <c r="V1424" s="125" t="str">
        <f>VLOOKUP(Q1424,'GL Category'!A:C,3,FALSE)</f>
        <v>Personnel services</v>
      </c>
      <c r="X1424" s="83"/>
    </row>
    <row r="1425" spans="1:24" ht="20.399999999999999" customHeight="1">
      <c r="A1425" s="608" t="s">
        <v>1031</v>
      </c>
      <c r="B1425" s="608" t="s">
        <v>1651</v>
      </c>
      <c r="C1425" s="608" t="s">
        <v>1</v>
      </c>
      <c r="D1425" s="609">
        <v>478.51</v>
      </c>
      <c r="E1425" s="609">
        <v>702.88</v>
      </c>
      <c r="F1425" s="609">
        <v>1251.6600000000001</v>
      </c>
      <c r="G1425" s="609">
        <v>1102.96</v>
      </c>
      <c r="H1425" s="609">
        <v>1220</v>
      </c>
      <c r="I1425" s="609">
        <v>670.87</v>
      </c>
      <c r="J1425" s="609">
        <v>900</v>
      </c>
      <c r="K1425" s="609">
        <v>0</v>
      </c>
      <c r="L1425" s="609">
        <v>0</v>
      </c>
      <c r="M1425" s="609">
        <v>0</v>
      </c>
      <c r="N1425" s="587">
        <f t="shared" si="160"/>
        <v>0</v>
      </c>
      <c r="Q1425" t="str">
        <f t="shared" si="161"/>
        <v>50610</v>
      </c>
      <c r="R1425" s="126" t="str">
        <f t="shared" si="162"/>
        <v>SOCIAL SECURITY</v>
      </c>
      <c r="S1425" s="125" t="str">
        <f t="shared" si="163"/>
        <v>125</v>
      </c>
      <c r="T1425" s="125" t="str">
        <f t="shared" si="164"/>
        <v>65</v>
      </c>
      <c r="U1425" s="125" t="str">
        <f t="shared" si="165"/>
        <v>653</v>
      </c>
      <c r="V1425" s="125" t="str">
        <f>VLOOKUP(Q1425,'GL Category'!A:C,3,FALSE)</f>
        <v>Personnel services</v>
      </c>
      <c r="X1425" s="83"/>
    </row>
    <row r="1426" spans="1:24" ht="20.399999999999999" customHeight="1">
      <c r="A1426" s="608" t="s">
        <v>1031</v>
      </c>
      <c r="B1426" s="608" t="s">
        <v>1652</v>
      </c>
      <c r="C1426" s="608" t="s">
        <v>142</v>
      </c>
      <c r="D1426" s="609">
        <v>20.47</v>
      </c>
      <c r="E1426" s="609">
        <v>0</v>
      </c>
      <c r="F1426" s="609">
        <v>0</v>
      </c>
      <c r="G1426" s="609">
        <v>0</v>
      </c>
      <c r="H1426" s="609">
        <v>0</v>
      </c>
      <c r="I1426" s="609">
        <v>0</v>
      </c>
      <c r="J1426" s="609">
        <v>0</v>
      </c>
      <c r="K1426" s="609">
        <v>0</v>
      </c>
      <c r="L1426" s="609">
        <v>0</v>
      </c>
      <c r="M1426" s="609">
        <v>0</v>
      </c>
      <c r="N1426" s="587">
        <f t="shared" si="160"/>
        <v>0</v>
      </c>
      <c r="Q1426" t="str">
        <f t="shared" si="161"/>
        <v>50620</v>
      </c>
      <c r="R1426" s="126" t="str">
        <f t="shared" si="162"/>
        <v>HEALTH/LIFE INSURANCE</v>
      </c>
      <c r="S1426" s="125" t="str">
        <f t="shared" si="163"/>
        <v>125</v>
      </c>
      <c r="T1426" s="125" t="str">
        <f t="shared" si="164"/>
        <v>65</v>
      </c>
      <c r="U1426" s="125" t="str">
        <f t="shared" si="165"/>
        <v>653</v>
      </c>
      <c r="V1426" s="125" t="str">
        <f>VLOOKUP(Q1426,'GL Category'!A:C,3,FALSE)</f>
        <v>Personnel services</v>
      </c>
      <c r="X1426" s="83"/>
    </row>
    <row r="1427" spans="1:24" ht="20.399999999999999" customHeight="1">
      <c r="A1427" s="608" t="s">
        <v>1031</v>
      </c>
      <c r="B1427" s="608" t="s">
        <v>1653</v>
      </c>
      <c r="C1427" s="608" t="s">
        <v>144</v>
      </c>
      <c r="D1427" s="609">
        <v>90.7</v>
      </c>
      <c r="E1427" s="609">
        <v>81.38</v>
      </c>
      <c r="F1427" s="609">
        <v>90.72</v>
      </c>
      <c r="G1427" s="609">
        <v>160.51</v>
      </c>
      <c r="H1427" s="609">
        <v>199</v>
      </c>
      <c r="I1427" s="609">
        <v>198.84</v>
      </c>
      <c r="J1427" s="609">
        <v>199</v>
      </c>
      <c r="K1427" s="609">
        <v>0</v>
      </c>
      <c r="L1427" s="609">
        <v>0</v>
      </c>
      <c r="M1427" s="609">
        <v>0</v>
      </c>
      <c r="N1427" s="587">
        <f t="shared" si="160"/>
        <v>0</v>
      </c>
      <c r="Q1427" t="str">
        <f t="shared" si="161"/>
        <v>50630</v>
      </c>
      <c r="R1427" s="126" t="str">
        <f t="shared" si="162"/>
        <v>WORKER COMPENSATION</v>
      </c>
      <c r="S1427" s="125" t="str">
        <f t="shared" si="163"/>
        <v>125</v>
      </c>
      <c r="T1427" s="125" t="str">
        <f t="shared" si="164"/>
        <v>65</v>
      </c>
      <c r="U1427" s="125" t="str">
        <f t="shared" si="165"/>
        <v>653</v>
      </c>
      <c r="V1427" s="125" t="str">
        <f>VLOOKUP(Q1427,'GL Category'!A:C,3,FALSE)</f>
        <v>Personnel services</v>
      </c>
      <c r="X1427" s="83"/>
    </row>
    <row r="1428" spans="1:24" ht="20.399999999999999" customHeight="1">
      <c r="A1428" s="608" t="s">
        <v>1031</v>
      </c>
      <c r="B1428" s="608" t="s">
        <v>1654</v>
      </c>
      <c r="C1428" s="608" t="s">
        <v>2</v>
      </c>
      <c r="D1428" s="609">
        <v>11.69</v>
      </c>
      <c r="E1428" s="609">
        <v>0</v>
      </c>
      <c r="F1428" s="609">
        <v>0</v>
      </c>
      <c r="G1428" s="609">
        <v>0</v>
      </c>
      <c r="H1428" s="609">
        <v>0</v>
      </c>
      <c r="I1428" s="609">
        <v>0</v>
      </c>
      <c r="J1428" s="609">
        <v>0</v>
      </c>
      <c r="K1428" s="609">
        <v>0</v>
      </c>
      <c r="L1428" s="609">
        <v>0</v>
      </c>
      <c r="M1428" s="609">
        <v>0</v>
      </c>
      <c r="N1428" s="587">
        <f t="shared" si="160"/>
        <v>0</v>
      </c>
      <c r="Q1428" t="str">
        <f t="shared" si="161"/>
        <v>50650</v>
      </c>
      <c r="R1428" s="126" t="str">
        <f t="shared" si="162"/>
        <v>RETIREMENT</v>
      </c>
      <c r="S1428" s="125" t="str">
        <f t="shared" si="163"/>
        <v>125</v>
      </c>
      <c r="T1428" s="125" t="str">
        <f t="shared" si="164"/>
        <v>65</v>
      </c>
      <c r="U1428" s="125" t="str">
        <f t="shared" si="165"/>
        <v>653</v>
      </c>
      <c r="V1428" s="125" t="str">
        <f>VLOOKUP(Q1428,'GL Category'!A:C,3,FALSE)</f>
        <v>Personnel services</v>
      </c>
      <c r="X1428" s="83"/>
    </row>
    <row r="1429" spans="1:24" ht="20.399999999999999" customHeight="1">
      <c r="A1429" s="608" t="s">
        <v>1031</v>
      </c>
      <c r="B1429" s="608" t="s">
        <v>1655</v>
      </c>
      <c r="C1429" s="608" t="s">
        <v>4</v>
      </c>
      <c r="D1429" s="609">
        <v>1725.47</v>
      </c>
      <c r="E1429" s="609">
        <v>1885.13</v>
      </c>
      <c r="F1429" s="609">
        <v>10323.09</v>
      </c>
      <c r="G1429" s="609">
        <v>1449.07</v>
      </c>
      <c r="H1429" s="609">
        <v>5000</v>
      </c>
      <c r="I1429" s="609">
        <v>1993.37</v>
      </c>
      <c r="J1429" s="609">
        <v>3500</v>
      </c>
      <c r="K1429" s="609">
        <v>5000</v>
      </c>
      <c r="L1429" s="609">
        <v>0</v>
      </c>
      <c r="M1429" s="609">
        <v>0</v>
      </c>
      <c r="N1429" s="587">
        <f t="shared" si="160"/>
        <v>5000</v>
      </c>
      <c r="Q1429" t="str">
        <f t="shared" si="161"/>
        <v>51245</v>
      </c>
      <c r="R1429" s="126" t="str">
        <f t="shared" si="162"/>
        <v>SMALL TOOLS &amp; EQUIPMENT</v>
      </c>
      <c r="S1429" s="125" t="str">
        <f t="shared" si="163"/>
        <v>125</v>
      </c>
      <c r="T1429" s="125" t="str">
        <f t="shared" si="164"/>
        <v>65</v>
      </c>
      <c r="U1429" s="125" t="str">
        <f t="shared" si="165"/>
        <v>653</v>
      </c>
      <c r="V1429" s="125" t="str">
        <f>VLOOKUP(Q1429,'GL Category'!A:C,3,FALSE)</f>
        <v>Operations &amp; maintenance</v>
      </c>
      <c r="X1429" s="83"/>
    </row>
    <row r="1430" spans="1:24" ht="20.399999999999999" customHeight="1">
      <c r="A1430" s="608" t="s">
        <v>1031</v>
      </c>
      <c r="B1430" s="608" t="s">
        <v>1662</v>
      </c>
      <c r="C1430" s="608" t="s">
        <v>171</v>
      </c>
      <c r="D1430" s="609">
        <v>318.83999999999997</v>
      </c>
      <c r="E1430" s="609">
        <v>184.08</v>
      </c>
      <c r="F1430" s="609">
        <v>453.42</v>
      </c>
      <c r="G1430" s="609">
        <v>491.32</v>
      </c>
      <c r="H1430" s="609">
        <v>0</v>
      </c>
      <c r="I1430" s="609">
        <v>398.25</v>
      </c>
      <c r="J1430" s="609">
        <v>0</v>
      </c>
      <c r="K1430" s="609">
        <v>0</v>
      </c>
      <c r="L1430" s="609">
        <v>0</v>
      </c>
      <c r="M1430" s="609">
        <v>0</v>
      </c>
      <c r="N1430" s="587">
        <f t="shared" si="160"/>
        <v>0</v>
      </c>
      <c r="Q1430" t="str">
        <f t="shared" si="161"/>
        <v>52310</v>
      </c>
      <c r="R1430" s="126" t="str">
        <f t="shared" si="162"/>
        <v>BUILDING MAINTENANCE</v>
      </c>
      <c r="S1430" s="125" t="str">
        <f t="shared" si="163"/>
        <v>125</v>
      </c>
      <c r="T1430" s="125" t="str">
        <f t="shared" si="164"/>
        <v>65</v>
      </c>
      <c r="U1430" s="125" t="str">
        <f t="shared" si="165"/>
        <v>653</v>
      </c>
      <c r="V1430" s="125" t="str">
        <f>VLOOKUP(Q1430,'GL Category'!A:C,3,FALSE)</f>
        <v>Operations &amp; maintenance</v>
      </c>
      <c r="X1430" s="83"/>
    </row>
    <row r="1431" spans="1:24" ht="20.399999999999999" customHeight="1">
      <c r="A1431" s="608" t="s">
        <v>1031</v>
      </c>
      <c r="B1431" s="608" t="s">
        <v>1657</v>
      </c>
      <c r="C1431" s="608" t="s">
        <v>236</v>
      </c>
      <c r="D1431" s="609">
        <v>6782.27</v>
      </c>
      <c r="E1431" s="609">
        <v>8538.5300000000007</v>
      </c>
      <c r="F1431" s="609">
        <v>8221.2000000000007</v>
      </c>
      <c r="G1431" s="609">
        <v>15440.55</v>
      </c>
      <c r="H1431" s="609">
        <v>8000</v>
      </c>
      <c r="I1431" s="609">
        <v>14680.41</v>
      </c>
      <c r="J1431" s="609">
        <v>17500</v>
      </c>
      <c r="K1431" s="609">
        <v>18000</v>
      </c>
      <c r="L1431" s="609">
        <v>0</v>
      </c>
      <c r="M1431" s="609">
        <v>0</v>
      </c>
      <c r="N1431" s="587">
        <f t="shared" si="160"/>
        <v>18000</v>
      </c>
      <c r="Q1431" t="str">
        <f t="shared" si="161"/>
        <v>52470</v>
      </c>
      <c r="R1431" s="126" t="str">
        <f t="shared" si="162"/>
        <v>EQUIPMENT MAINTENANCE</v>
      </c>
      <c r="S1431" s="125" t="str">
        <f t="shared" si="163"/>
        <v>125</v>
      </c>
      <c r="T1431" s="125" t="str">
        <f t="shared" si="164"/>
        <v>65</v>
      </c>
      <c r="U1431" s="125" t="str">
        <f t="shared" si="165"/>
        <v>653</v>
      </c>
      <c r="V1431" s="125" t="str">
        <f>VLOOKUP(Q1431,'GL Category'!A:C,3,FALSE)</f>
        <v>Operations &amp; maintenance</v>
      </c>
      <c r="X1431" s="83"/>
    </row>
    <row r="1432" spans="1:24" ht="20.399999999999999" customHeight="1">
      <c r="A1432" s="608" t="s">
        <v>1031</v>
      </c>
      <c r="B1432" s="608" t="s">
        <v>1661</v>
      </c>
      <c r="C1432" s="608" t="s">
        <v>908</v>
      </c>
      <c r="D1432" s="609">
        <v>47443.82</v>
      </c>
      <c r="E1432" s="609">
        <v>69450.25</v>
      </c>
      <c r="F1432" s="609">
        <v>56159</v>
      </c>
      <c r="G1432" s="609">
        <v>75083.7</v>
      </c>
      <c r="H1432" s="609">
        <v>84000</v>
      </c>
      <c r="I1432" s="609">
        <v>117185.85</v>
      </c>
      <c r="J1432" s="609">
        <v>162000</v>
      </c>
      <c r="K1432" s="609">
        <v>74000</v>
      </c>
      <c r="L1432" s="609">
        <v>84000</v>
      </c>
      <c r="M1432" s="609">
        <v>0</v>
      </c>
      <c r="N1432" s="587">
        <f t="shared" si="160"/>
        <v>158000</v>
      </c>
      <c r="Q1432" t="str">
        <f t="shared" si="161"/>
        <v>53535</v>
      </c>
      <c r="R1432" s="126" t="str">
        <f t="shared" si="162"/>
        <v>RECREATION &amp; CULTURE PROGRAMS</v>
      </c>
      <c r="S1432" s="125" t="str">
        <f t="shared" si="163"/>
        <v>125</v>
      </c>
      <c r="T1432" s="125" t="str">
        <f t="shared" si="164"/>
        <v>65</v>
      </c>
      <c r="U1432" s="125" t="str">
        <f t="shared" si="165"/>
        <v>653</v>
      </c>
      <c r="V1432" s="125" t="str">
        <f>VLOOKUP(Q1432,'GL Category'!A:C,3,FALSE)</f>
        <v>Services &amp; other</v>
      </c>
      <c r="X1432" s="83"/>
    </row>
    <row r="1433" spans="1:24" ht="20.399999999999999" customHeight="1">
      <c r="A1433" s="608" t="s">
        <v>1031</v>
      </c>
      <c r="B1433" s="608" t="s">
        <v>1663</v>
      </c>
      <c r="C1433" s="608" t="s">
        <v>221</v>
      </c>
      <c r="D1433" s="609">
        <v>78</v>
      </c>
      <c r="E1433" s="609">
        <v>257</v>
      </c>
      <c r="F1433" s="609">
        <v>0</v>
      </c>
      <c r="G1433" s="609">
        <v>79</v>
      </c>
      <c r="H1433" s="609">
        <v>70</v>
      </c>
      <c r="I1433" s="609">
        <v>52.5</v>
      </c>
      <c r="J1433" s="609">
        <v>70</v>
      </c>
      <c r="K1433" s="609">
        <v>100</v>
      </c>
      <c r="L1433" s="609">
        <v>0</v>
      </c>
      <c r="M1433" s="609">
        <v>0</v>
      </c>
      <c r="N1433" s="587">
        <f t="shared" si="160"/>
        <v>100</v>
      </c>
      <c r="Q1433" t="str">
        <f t="shared" si="161"/>
        <v>55119</v>
      </c>
      <c r="R1433" s="126" t="str">
        <f t="shared" si="162"/>
        <v>OFFICE EQUIP LEASE EXP-CITY</v>
      </c>
      <c r="S1433" s="125" t="str">
        <f t="shared" si="163"/>
        <v>125</v>
      </c>
      <c r="T1433" s="125" t="str">
        <f t="shared" si="164"/>
        <v>65</v>
      </c>
      <c r="U1433" s="125" t="str">
        <f t="shared" si="165"/>
        <v>653</v>
      </c>
      <c r="V1433" s="125" t="str">
        <f>VLOOKUP(Q1433,'GL Category'!A:C,3,FALSE)</f>
        <v>Services &amp; other</v>
      </c>
      <c r="X1433" s="83"/>
    </row>
    <row r="1434" spans="1:24" ht="20.399999999999999" customHeight="1">
      <c r="A1434" s="608" t="s">
        <v>1031</v>
      </c>
      <c r="B1434" s="608" t="s">
        <v>1664</v>
      </c>
      <c r="C1434" s="608" t="s">
        <v>268</v>
      </c>
      <c r="D1434" s="609">
        <v>0</v>
      </c>
      <c r="E1434" s="609">
        <v>16159.5</v>
      </c>
      <c r="F1434" s="609">
        <v>0</v>
      </c>
      <c r="G1434" s="609">
        <v>0</v>
      </c>
      <c r="H1434" s="609">
        <v>0</v>
      </c>
      <c r="I1434" s="609">
        <v>0</v>
      </c>
      <c r="J1434" s="609">
        <v>0</v>
      </c>
      <c r="K1434" s="609">
        <v>0</v>
      </c>
      <c r="L1434" s="609">
        <v>0</v>
      </c>
      <c r="M1434" s="609">
        <v>0</v>
      </c>
      <c r="N1434" s="587">
        <f t="shared" si="160"/>
        <v>0</v>
      </c>
      <c r="Q1434" t="str">
        <f t="shared" si="161"/>
        <v>58830</v>
      </c>
      <c r="R1434" s="126" t="str">
        <f t="shared" si="162"/>
        <v>MACHINERY &amp; EQUIPMENT</v>
      </c>
      <c r="S1434" s="125" t="str">
        <f t="shared" si="163"/>
        <v>125</v>
      </c>
      <c r="T1434" s="125" t="str">
        <f t="shared" si="164"/>
        <v>65</v>
      </c>
      <c r="U1434" s="125" t="str">
        <f t="shared" si="165"/>
        <v>653</v>
      </c>
      <c r="V1434" s="125" t="str">
        <f>VLOOKUP(Q1434,'GL Category'!A:C,3,FALSE)</f>
        <v>Capital Outlay</v>
      </c>
      <c r="X1434" s="83"/>
    </row>
    <row r="1435" spans="1:24" ht="20.399999999999999" customHeight="1">
      <c r="A1435" s="608" t="s">
        <v>1031</v>
      </c>
      <c r="B1435" s="608" t="s">
        <v>1666</v>
      </c>
      <c r="C1435" s="608" t="s">
        <v>130</v>
      </c>
      <c r="D1435" s="609">
        <v>51350.53</v>
      </c>
      <c r="E1435" s="609">
        <v>85197.36</v>
      </c>
      <c r="F1435" s="609">
        <v>96152.76</v>
      </c>
      <c r="G1435" s="609">
        <v>115648.05</v>
      </c>
      <c r="H1435" s="609">
        <v>120097</v>
      </c>
      <c r="I1435" s="609">
        <v>92774.21</v>
      </c>
      <c r="J1435" s="609">
        <v>125000</v>
      </c>
      <c r="K1435" s="609">
        <v>182410</v>
      </c>
      <c r="L1435" s="609">
        <v>0</v>
      </c>
      <c r="M1435" s="609">
        <v>0</v>
      </c>
      <c r="N1435" s="587">
        <f t="shared" si="160"/>
        <v>182410</v>
      </c>
      <c r="P1435" s="490">
        <f t="shared" ref="P1435:P1440" si="166">N1435-H1435</f>
        <v>62313</v>
      </c>
      <c r="Q1435" t="str">
        <f t="shared" si="161"/>
        <v>50101</v>
      </c>
      <c r="R1435" s="126" t="str">
        <f t="shared" si="162"/>
        <v>EXEMPT SALARIES</v>
      </c>
      <c r="S1435" s="125" t="str">
        <f t="shared" si="163"/>
        <v>125</v>
      </c>
      <c r="T1435" s="125" t="str">
        <f t="shared" si="164"/>
        <v>65</v>
      </c>
      <c r="U1435" s="125" t="str">
        <f t="shared" si="165"/>
        <v>654</v>
      </c>
      <c r="V1435" s="125" t="str">
        <f>VLOOKUP(Q1435,'GL Category'!A:C,3,FALSE)</f>
        <v>Personnel services</v>
      </c>
      <c r="X1435" s="83"/>
    </row>
    <row r="1436" spans="1:24" ht="20.399999999999999" customHeight="1">
      <c r="A1436" s="608" t="s">
        <v>1031</v>
      </c>
      <c r="B1436" s="608" t="s">
        <v>1667</v>
      </c>
      <c r="C1436" s="608" t="s">
        <v>132</v>
      </c>
      <c r="D1436" s="609">
        <v>27457.599999999999</v>
      </c>
      <c r="E1436" s="609">
        <v>5631.47</v>
      </c>
      <c r="F1436" s="609">
        <v>60</v>
      </c>
      <c r="G1436" s="609">
        <v>0</v>
      </c>
      <c r="H1436" s="609">
        <v>0</v>
      </c>
      <c r="I1436" s="609">
        <v>0</v>
      </c>
      <c r="J1436" s="609">
        <v>0</v>
      </c>
      <c r="K1436" s="609">
        <v>0</v>
      </c>
      <c r="L1436" s="609">
        <v>0</v>
      </c>
      <c r="M1436" s="609">
        <v>0</v>
      </c>
      <c r="N1436" s="587">
        <f t="shared" si="160"/>
        <v>0</v>
      </c>
      <c r="P1436" s="490">
        <f t="shared" si="166"/>
        <v>0</v>
      </c>
      <c r="Q1436" t="str">
        <f t="shared" si="161"/>
        <v>50102</v>
      </c>
      <c r="R1436" s="126" t="str">
        <f t="shared" si="162"/>
        <v>NON EXEMPT SALARIES</v>
      </c>
      <c r="S1436" s="125" t="str">
        <f t="shared" si="163"/>
        <v>125</v>
      </c>
      <c r="T1436" s="125" t="str">
        <f t="shared" si="164"/>
        <v>65</v>
      </c>
      <c r="U1436" s="125" t="str">
        <f t="shared" si="165"/>
        <v>654</v>
      </c>
      <c r="V1436" s="125" t="str">
        <f>VLOOKUP(Q1436,'GL Category'!A:C,3,FALSE)</f>
        <v>Personnel services</v>
      </c>
      <c r="X1436" s="83"/>
    </row>
    <row r="1437" spans="1:24" ht="20.399999999999999" customHeight="1">
      <c r="A1437" s="608" t="s">
        <v>1031</v>
      </c>
      <c r="B1437" s="608" t="s">
        <v>1668</v>
      </c>
      <c r="C1437" s="608" t="s">
        <v>0</v>
      </c>
      <c r="D1437" s="609">
        <v>46.58</v>
      </c>
      <c r="E1437" s="609">
        <v>1321.07</v>
      </c>
      <c r="F1437" s="609">
        <v>20.25</v>
      </c>
      <c r="G1437" s="609">
        <v>0</v>
      </c>
      <c r="H1437" s="609">
        <v>800</v>
      </c>
      <c r="I1437" s="609">
        <v>0</v>
      </c>
      <c r="J1437" s="609">
        <v>0</v>
      </c>
      <c r="K1437" s="609">
        <v>800</v>
      </c>
      <c r="L1437" s="609">
        <v>0</v>
      </c>
      <c r="M1437" s="609">
        <v>0</v>
      </c>
      <c r="N1437" s="587">
        <f t="shared" si="160"/>
        <v>800</v>
      </c>
      <c r="P1437" s="490">
        <f t="shared" si="166"/>
        <v>0</v>
      </c>
      <c r="Q1437" t="str">
        <f t="shared" si="161"/>
        <v>50109</v>
      </c>
      <c r="R1437" s="126" t="str">
        <f t="shared" si="162"/>
        <v>OVERTIME</v>
      </c>
      <c r="S1437" s="125" t="str">
        <f t="shared" si="163"/>
        <v>125</v>
      </c>
      <c r="T1437" s="125" t="str">
        <f t="shared" si="164"/>
        <v>65</v>
      </c>
      <c r="U1437" s="125" t="str">
        <f t="shared" si="165"/>
        <v>654</v>
      </c>
      <c r="V1437" s="125" t="str">
        <f>VLOOKUP(Q1437,'GL Category'!A:C,3,FALSE)</f>
        <v>Personnel services</v>
      </c>
      <c r="X1437" s="83"/>
    </row>
    <row r="1438" spans="1:24" ht="20.399999999999999" customHeight="1">
      <c r="A1438" s="608" t="s">
        <v>1031</v>
      </c>
      <c r="B1438" s="608" t="s">
        <v>1669</v>
      </c>
      <c r="C1438" s="608" t="s">
        <v>135</v>
      </c>
      <c r="D1438" s="609">
        <v>61601.02</v>
      </c>
      <c r="E1438" s="609">
        <v>66613.41</v>
      </c>
      <c r="F1438" s="609">
        <v>166989.07</v>
      </c>
      <c r="G1438" s="609">
        <v>191333.31</v>
      </c>
      <c r="H1438" s="609">
        <v>222331</v>
      </c>
      <c r="I1438" s="609">
        <v>169707.5</v>
      </c>
      <c r="J1438" s="609">
        <v>222000</v>
      </c>
      <c r="K1438" s="609">
        <v>216331</v>
      </c>
      <c r="L1438" s="609">
        <v>0</v>
      </c>
      <c r="M1438" s="609">
        <v>0</v>
      </c>
      <c r="N1438" s="587">
        <f t="shared" si="160"/>
        <v>216331</v>
      </c>
      <c r="P1438" s="490">
        <f t="shared" si="166"/>
        <v>-6000</v>
      </c>
      <c r="Q1438" t="str">
        <f t="shared" si="161"/>
        <v>50110</v>
      </c>
      <c r="R1438" s="126" t="str">
        <f t="shared" si="162"/>
        <v>PART-TIME WAGES</v>
      </c>
      <c r="S1438" s="125" t="str">
        <f t="shared" si="163"/>
        <v>125</v>
      </c>
      <c r="T1438" s="125" t="str">
        <f t="shared" si="164"/>
        <v>65</v>
      </c>
      <c r="U1438" s="125" t="str">
        <f t="shared" si="165"/>
        <v>654</v>
      </c>
      <c r="V1438" s="125" t="str">
        <f>VLOOKUP(Q1438,'GL Category'!A:C,3,FALSE)</f>
        <v>Personnel services</v>
      </c>
      <c r="X1438" s="83"/>
    </row>
    <row r="1439" spans="1:24" ht="20.399999999999999" customHeight="1">
      <c r="A1439" s="608" t="s">
        <v>1031</v>
      </c>
      <c r="B1439" s="608" t="s">
        <v>1669</v>
      </c>
      <c r="C1439" s="608" t="s">
        <v>135</v>
      </c>
      <c r="D1439" s="609">
        <v>0</v>
      </c>
      <c r="E1439" s="609">
        <v>0</v>
      </c>
      <c r="F1439" s="609">
        <v>0</v>
      </c>
      <c r="G1439" s="609">
        <v>0</v>
      </c>
      <c r="H1439" s="609">
        <v>0</v>
      </c>
      <c r="I1439" s="609">
        <v>0</v>
      </c>
      <c r="J1439" s="609">
        <v>0</v>
      </c>
      <c r="K1439" s="609">
        <v>0</v>
      </c>
      <c r="L1439" s="609">
        <v>0</v>
      </c>
      <c r="M1439" s="609">
        <v>0</v>
      </c>
      <c r="N1439" s="587">
        <f t="shared" si="160"/>
        <v>0</v>
      </c>
      <c r="P1439" s="490">
        <f t="shared" si="166"/>
        <v>0</v>
      </c>
      <c r="Q1439" t="str">
        <f t="shared" si="161"/>
        <v>50110</v>
      </c>
      <c r="R1439" s="126" t="str">
        <f t="shared" si="162"/>
        <v>PART-TIME WAGES</v>
      </c>
      <c r="S1439" s="125" t="str">
        <f t="shared" si="163"/>
        <v>125</v>
      </c>
      <c r="T1439" s="125" t="str">
        <f t="shared" si="164"/>
        <v>65</v>
      </c>
      <c r="U1439" s="125" t="str">
        <f t="shared" si="165"/>
        <v>654</v>
      </c>
      <c r="V1439" s="125" t="str">
        <f>VLOOKUP(Q1439,'GL Category'!A:C,3,FALSE)</f>
        <v>Personnel services</v>
      </c>
      <c r="X1439" s="83"/>
    </row>
    <row r="1440" spans="1:24" ht="20.399999999999999" customHeight="1">
      <c r="A1440" s="608" t="s">
        <v>1031</v>
      </c>
      <c r="B1440" s="608" t="s">
        <v>1670</v>
      </c>
      <c r="C1440" s="608" t="s">
        <v>137</v>
      </c>
      <c r="D1440" s="609">
        <v>440</v>
      </c>
      <c r="E1440" s="609">
        <v>370</v>
      </c>
      <c r="F1440" s="609">
        <v>740</v>
      </c>
      <c r="G1440" s="609">
        <v>125</v>
      </c>
      <c r="H1440" s="609">
        <v>289</v>
      </c>
      <c r="I1440" s="609">
        <v>285</v>
      </c>
      <c r="J1440" s="609">
        <v>285</v>
      </c>
      <c r="K1440" s="609">
        <v>613</v>
      </c>
      <c r="L1440" s="609">
        <v>0</v>
      </c>
      <c r="M1440" s="609">
        <v>0</v>
      </c>
      <c r="N1440" s="587">
        <f t="shared" si="160"/>
        <v>613</v>
      </c>
      <c r="P1440" s="490">
        <f t="shared" si="166"/>
        <v>324</v>
      </c>
      <c r="Q1440" t="str">
        <f t="shared" si="161"/>
        <v>50111</v>
      </c>
      <c r="R1440" s="126" t="str">
        <f t="shared" si="162"/>
        <v>LONGEVITY PAY</v>
      </c>
      <c r="S1440" s="125" t="str">
        <f t="shared" si="163"/>
        <v>125</v>
      </c>
      <c r="T1440" s="125" t="str">
        <f t="shared" si="164"/>
        <v>65</v>
      </c>
      <c r="U1440" s="125" t="str">
        <f t="shared" si="165"/>
        <v>654</v>
      </c>
      <c r="V1440" s="125" t="str">
        <f>VLOOKUP(Q1440,'GL Category'!A:C,3,FALSE)</f>
        <v>Personnel services</v>
      </c>
      <c r="X1440" s="83"/>
    </row>
    <row r="1441" spans="1:24" ht="20.399999999999999" customHeight="1">
      <c r="A1441" s="608" t="s">
        <v>1031</v>
      </c>
      <c r="B1441" s="608" t="s">
        <v>1671</v>
      </c>
      <c r="C1441" s="608" t="s">
        <v>250</v>
      </c>
      <c r="D1441" s="609">
        <v>14179.95</v>
      </c>
      <c r="E1441" s="609">
        <v>78569.61</v>
      </c>
      <c r="F1441" s="609">
        <v>230.71</v>
      </c>
      <c r="G1441" s="609">
        <v>0</v>
      </c>
      <c r="H1441" s="609">
        <v>0</v>
      </c>
      <c r="I1441" s="609">
        <v>0</v>
      </c>
      <c r="J1441" s="609">
        <v>0</v>
      </c>
      <c r="K1441" s="609">
        <v>0</v>
      </c>
      <c r="L1441" s="609">
        <v>0</v>
      </c>
      <c r="M1441" s="609">
        <v>0</v>
      </c>
      <c r="N1441" s="587">
        <f t="shared" si="160"/>
        <v>0</v>
      </c>
      <c r="Q1441" t="str">
        <f t="shared" si="161"/>
        <v>50112</v>
      </c>
      <c r="R1441" s="126" t="str">
        <f t="shared" si="162"/>
        <v>TEMPORARY/SEASONAL WAGES</v>
      </c>
      <c r="S1441" s="125" t="str">
        <f t="shared" si="163"/>
        <v>125</v>
      </c>
      <c r="T1441" s="125" t="str">
        <f t="shared" si="164"/>
        <v>65</v>
      </c>
      <c r="U1441" s="125" t="str">
        <f t="shared" si="165"/>
        <v>654</v>
      </c>
      <c r="V1441" s="125" t="str">
        <f>VLOOKUP(Q1441,'GL Category'!A:C,3,FALSE)</f>
        <v>Personnel services</v>
      </c>
      <c r="X1441" s="83"/>
    </row>
    <row r="1442" spans="1:24" ht="20.399999999999999" customHeight="1">
      <c r="A1442" s="608" t="s">
        <v>1031</v>
      </c>
      <c r="B1442" s="608" t="s">
        <v>1671</v>
      </c>
      <c r="C1442" s="608" t="s">
        <v>250</v>
      </c>
      <c r="D1442" s="609">
        <v>0</v>
      </c>
      <c r="E1442" s="609">
        <v>0</v>
      </c>
      <c r="F1442" s="609">
        <v>0</v>
      </c>
      <c r="G1442" s="609">
        <v>0</v>
      </c>
      <c r="H1442" s="609">
        <v>0</v>
      </c>
      <c r="I1442" s="609">
        <v>0</v>
      </c>
      <c r="J1442" s="609">
        <v>0</v>
      </c>
      <c r="K1442" s="609">
        <v>0</v>
      </c>
      <c r="L1442" s="609">
        <v>0</v>
      </c>
      <c r="M1442" s="609">
        <v>0</v>
      </c>
      <c r="N1442" s="587">
        <f t="shared" si="160"/>
        <v>0</v>
      </c>
      <c r="Q1442" t="str">
        <f t="shared" si="161"/>
        <v>50112</v>
      </c>
      <c r="R1442" s="126" t="str">
        <f t="shared" si="162"/>
        <v>TEMPORARY/SEASONAL WAGES</v>
      </c>
      <c r="S1442" s="125" t="str">
        <f t="shared" si="163"/>
        <v>125</v>
      </c>
      <c r="T1442" s="125" t="str">
        <f t="shared" si="164"/>
        <v>65</v>
      </c>
      <c r="U1442" s="125" t="str">
        <f t="shared" si="165"/>
        <v>654</v>
      </c>
      <c r="V1442" s="125" t="str">
        <f>VLOOKUP(Q1442,'GL Category'!A:C,3,FALSE)</f>
        <v>Personnel services</v>
      </c>
      <c r="X1442" s="83"/>
    </row>
    <row r="1443" spans="1:24" ht="20.399999999999999" customHeight="1">
      <c r="A1443" s="608" t="s">
        <v>1031</v>
      </c>
      <c r="B1443" s="608" t="s">
        <v>1672</v>
      </c>
      <c r="C1443" s="608" t="s">
        <v>1</v>
      </c>
      <c r="D1443" s="609">
        <v>11575.09</v>
      </c>
      <c r="E1443" s="609">
        <v>16879.47</v>
      </c>
      <c r="F1443" s="609">
        <v>19729.439999999999</v>
      </c>
      <c r="G1443" s="609">
        <v>23321.82</v>
      </c>
      <c r="H1443" s="609">
        <v>25960</v>
      </c>
      <c r="I1443" s="609">
        <v>19998.87</v>
      </c>
      <c r="J1443" s="609">
        <v>26000</v>
      </c>
      <c r="K1443" s="609">
        <v>30750</v>
      </c>
      <c r="L1443" s="609">
        <v>0</v>
      </c>
      <c r="M1443" s="609">
        <v>0</v>
      </c>
      <c r="N1443" s="587">
        <f t="shared" si="160"/>
        <v>30750</v>
      </c>
      <c r="Q1443" t="str">
        <f t="shared" si="161"/>
        <v>50610</v>
      </c>
      <c r="R1443" s="126" t="str">
        <f t="shared" si="162"/>
        <v>SOCIAL SECURITY</v>
      </c>
      <c r="S1443" s="125" t="str">
        <f t="shared" si="163"/>
        <v>125</v>
      </c>
      <c r="T1443" s="125" t="str">
        <f t="shared" si="164"/>
        <v>65</v>
      </c>
      <c r="U1443" s="125" t="str">
        <f t="shared" si="165"/>
        <v>654</v>
      </c>
      <c r="V1443" s="125" t="str">
        <f>VLOOKUP(Q1443,'GL Category'!A:C,3,FALSE)</f>
        <v>Personnel services</v>
      </c>
      <c r="X1443" s="83"/>
    </row>
    <row r="1444" spans="1:24" ht="20.399999999999999" customHeight="1">
      <c r="A1444" s="608" t="s">
        <v>1031</v>
      </c>
      <c r="B1444" s="608" t="s">
        <v>1672</v>
      </c>
      <c r="C1444" s="608" t="s">
        <v>1</v>
      </c>
      <c r="D1444" s="609">
        <v>0</v>
      </c>
      <c r="E1444" s="609">
        <v>0</v>
      </c>
      <c r="F1444" s="609">
        <v>0</v>
      </c>
      <c r="G1444" s="609">
        <v>0</v>
      </c>
      <c r="H1444" s="609">
        <v>0</v>
      </c>
      <c r="I1444" s="609">
        <v>0</v>
      </c>
      <c r="J1444" s="609">
        <v>0</v>
      </c>
      <c r="K1444" s="609">
        <v>0</v>
      </c>
      <c r="L1444" s="609">
        <v>0</v>
      </c>
      <c r="M1444" s="609">
        <v>0</v>
      </c>
      <c r="N1444" s="587">
        <f t="shared" si="160"/>
        <v>0</v>
      </c>
      <c r="Q1444" t="str">
        <f t="shared" si="161"/>
        <v>50610</v>
      </c>
      <c r="R1444" s="126" t="str">
        <f t="shared" si="162"/>
        <v>SOCIAL SECURITY</v>
      </c>
      <c r="S1444" s="125" t="str">
        <f t="shared" si="163"/>
        <v>125</v>
      </c>
      <c r="T1444" s="125" t="str">
        <f t="shared" si="164"/>
        <v>65</v>
      </c>
      <c r="U1444" s="125" t="str">
        <f t="shared" si="165"/>
        <v>654</v>
      </c>
      <c r="V1444" s="125" t="str">
        <f>VLOOKUP(Q1444,'GL Category'!A:C,3,FALSE)</f>
        <v>Personnel services</v>
      </c>
      <c r="X1444" s="83"/>
    </row>
    <row r="1445" spans="1:24" ht="20.399999999999999" customHeight="1">
      <c r="A1445" s="608" t="s">
        <v>1031</v>
      </c>
      <c r="B1445" s="608" t="s">
        <v>1673</v>
      </c>
      <c r="C1445" s="608" t="s">
        <v>142</v>
      </c>
      <c r="D1445" s="609">
        <v>30974.87</v>
      </c>
      <c r="E1445" s="609">
        <v>28056.17</v>
      </c>
      <c r="F1445" s="609">
        <v>21806.78</v>
      </c>
      <c r="G1445" s="609">
        <v>19396.3</v>
      </c>
      <c r="H1445" s="609">
        <v>19715</v>
      </c>
      <c r="I1445" s="609">
        <v>14062</v>
      </c>
      <c r="J1445" s="609">
        <v>20117</v>
      </c>
      <c r="K1445" s="609">
        <v>20681</v>
      </c>
      <c r="L1445" s="609">
        <v>0</v>
      </c>
      <c r="M1445" s="609">
        <v>0</v>
      </c>
      <c r="N1445" s="587">
        <f t="shared" si="160"/>
        <v>20681</v>
      </c>
      <c r="Q1445" t="str">
        <f t="shared" si="161"/>
        <v>50620</v>
      </c>
      <c r="R1445" s="126" t="str">
        <f t="shared" si="162"/>
        <v>HEALTH/LIFE INSURANCE</v>
      </c>
      <c r="S1445" s="125" t="str">
        <f t="shared" si="163"/>
        <v>125</v>
      </c>
      <c r="T1445" s="125" t="str">
        <f t="shared" si="164"/>
        <v>65</v>
      </c>
      <c r="U1445" s="125" t="str">
        <f t="shared" si="165"/>
        <v>654</v>
      </c>
      <c r="V1445" s="125" t="str">
        <f>VLOOKUP(Q1445,'GL Category'!A:C,3,FALSE)</f>
        <v>Personnel services</v>
      </c>
      <c r="X1445" s="83"/>
    </row>
    <row r="1446" spans="1:24" s="539" customFormat="1" ht="20.399999999999999" customHeight="1">
      <c r="A1446" s="608" t="s">
        <v>1031</v>
      </c>
      <c r="B1446" s="608" t="s">
        <v>1674</v>
      </c>
      <c r="C1446" s="608" t="s">
        <v>144</v>
      </c>
      <c r="D1446" s="609">
        <v>1899.27</v>
      </c>
      <c r="E1446" s="609">
        <v>1586.94</v>
      </c>
      <c r="F1446" s="609">
        <v>1852.54</v>
      </c>
      <c r="G1446" s="609">
        <v>3297.01</v>
      </c>
      <c r="H1446" s="609">
        <v>4245</v>
      </c>
      <c r="I1446" s="609">
        <v>3959.79</v>
      </c>
      <c r="J1446" s="609">
        <v>3960</v>
      </c>
      <c r="K1446" s="609">
        <v>4606</v>
      </c>
      <c r="L1446" s="609">
        <v>0</v>
      </c>
      <c r="M1446" s="609">
        <v>0</v>
      </c>
      <c r="N1446" s="587">
        <f t="shared" si="160"/>
        <v>4606</v>
      </c>
      <c r="O1446"/>
      <c r="P1446" s="490"/>
      <c r="Q1446" t="str">
        <f t="shared" si="161"/>
        <v>50630</v>
      </c>
      <c r="R1446" s="540" t="str">
        <f t="shared" si="162"/>
        <v>WORKER COMPENSATION</v>
      </c>
      <c r="S1446" s="538" t="str">
        <f t="shared" si="163"/>
        <v>125</v>
      </c>
      <c r="T1446" s="125" t="str">
        <f t="shared" si="164"/>
        <v>65</v>
      </c>
      <c r="U1446" s="125" t="str">
        <f t="shared" si="165"/>
        <v>654</v>
      </c>
      <c r="V1446" s="538" t="str">
        <f>VLOOKUP(Q1446,'GL Category'!A:C,3,FALSE)</f>
        <v>Personnel services</v>
      </c>
      <c r="X1446" s="83"/>
    </row>
    <row r="1447" spans="1:24" s="539" customFormat="1" ht="20.399999999999999" customHeight="1">
      <c r="A1447" s="608" t="s">
        <v>1031</v>
      </c>
      <c r="B1447" s="608" t="s">
        <v>1675</v>
      </c>
      <c r="C1447" s="608" t="s">
        <v>2</v>
      </c>
      <c r="D1447" s="609">
        <v>14070.47</v>
      </c>
      <c r="E1447" s="609">
        <v>13233.82</v>
      </c>
      <c r="F1447" s="609">
        <v>15719.88</v>
      </c>
      <c r="G1447" s="609">
        <v>18868.55</v>
      </c>
      <c r="H1447" s="609">
        <v>20277</v>
      </c>
      <c r="I1447" s="609">
        <v>15553.93</v>
      </c>
      <c r="J1447" s="609">
        <v>23636</v>
      </c>
      <c r="K1447" s="609">
        <v>31379</v>
      </c>
      <c r="L1447" s="609">
        <v>0</v>
      </c>
      <c r="M1447" s="609">
        <v>0</v>
      </c>
      <c r="N1447" s="587">
        <f t="shared" si="160"/>
        <v>31379</v>
      </c>
      <c r="O1447"/>
      <c r="P1447" s="490"/>
      <c r="Q1447" t="str">
        <f t="shared" si="161"/>
        <v>50650</v>
      </c>
      <c r="R1447" s="540" t="str">
        <f t="shared" si="162"/>
        <v>RETIREMENT</v>
      </c>
      <c r="S1447" s="538" t="str">
        <f t="shared" si="163"/>
        <v>125</v>
      </c>
      <c r="T1447" s="125" t="str">
        <f t="shared" si="164"/>
        <v>65</v>
      </c>
      <c r="U1447" s="125" t="str">
        <f t="shared" si="165"/>
        <v>654</v>
      </c>
      <c r="V1447" s="538" t="str">
        <f>VLOOKUP(Q1447,'GL Category'!A:C,3,FALSE)</f>
        <v>Personnel services</v>
      </c>
      <c r="X1447" s="83"/>
    </row>
    <row r="1448" spans="1:24" ht="20.399999999999999" customHeight="1">
      <c r="A1448" s="608" t="s">
        <v>1031</v>
      </c>
      <c r="B1448" s="608" t="s">
        <v>1676</v>
      </c>
      <c r="C1448" s="608" t="s">
        <v>263</v>
      </c>
      <c r="D1448" s="609">
        <v>0</v>
      </c>
      <c r="E1448" s="609">
        <v>16440.259999999998</v>
      </c>
      <c r="F1448" s="609">
        <v>28465.599999999999</v>
      </c>
      <c r="G1448" s="609">
        <v>40100.49</v>
      </c>
      <c r="H1448" s="609">
        <v>30700</v>
      </c>
      <c r="I1448" s="609">
        <v>20816.98</v>
      </c>
      <c r="J1448" s="609">
        <v>40700</v>
      </c>
      <c r="K1448" s="609">
        <v>30700</v>
      </c>
      <c r="L1448" s="609">
        <v>5000</v>
      </c>
      <c r="M1448" s="609">
        <v>0</v>
      </c>
      <c r="N1448" s="587">
        <f t="shared" si="160"/>
        <v>35700</v>
      </c>
      <c r="Q1448" t="str">
        <f t="shared" si="161"/>
        <v>51260</v>
      </c>
      <c r="R1448" s="126" t="str">
        <f t="shared" si="162"/>
        <v>EDUCATION/RECREATION SUPPLIES</v>
      </c>
      <c r="S1448" s="125" t="str">
        <f t="shared" si="163"/>
        <v>125</v>
      </c>
      <c r="T1448" s="125" t="str">
        <f t="shared" si="164"/>
        <v>65</v>
      </c>
      <c r="U1448" s="125" t="str">
        <f t="shared" si="165"/>
        <v>654</v>
      </c>
      <c r="V1448" s="125" t="str">
        <f>VLOOKUP(Q1448,'GL Category'!A:C,3,FALSE)</f>
        <v>Operations &amp; maintenance</v>
      </c>
      <c r="X1448" s="83"/>
    </row>
    <row r="1449" spans="1:24" ht="20.399999999999999" customHeight="1">
      <c r="A1449" s="608" t="s">
        <v>1031</v>
      </c>
      <c r="B1449" s="608" t="s">
        <v>1676</v>
      </c>
      <c r="C1449" s="608" t="s">
        <v>263</v>
      </c>
      <c r="D1449" s="609">
        <v>12998.64</v>
      </c>
      <c r="E1449" s="609">
        <v>0</v>
      </c>
      <c r="F1449" s="609">
        <v>0</v>
      </c>
      <c r="G1449" s="609">
        <v>0</v>
      </c>
      <c r="H1449" s="609">
        <v>0</v>
      </c>
      <c r="I1449" s="609">
        <v>-6567.79</v>
      </c>
      <c r="J1449" s="609">
        <v>0</v>
      </c>
      <c r="K1449" s="609">
        <v>0</v>
      </c>
      <c r="L1449" s="609">
        <v>0</v>
      </c>
      <c r="M1449" s="609">
        <v>0</v>
      </c>
      <c r="N1449" s="587">
        <f t="shared" si="160"/>
        <v>0</v>
      </c>
      <c r="Q1449" t="str">
        <f t="shared" si="161"/>
        <v>51260</v>
      </c>
      <c r="R1449" s="126" t="str">
        <f t="shared" si="162"/>
        <v>EDUCATION/RECREATION SUPPLIES</v>
      </c>
      <c r="S1449" s="125" t="str">
        <f t="shared" si="163"/>
        <v>125</v>
      </c>
      <c r="T1449" s="125" t="str">
        <f t="shared" si="164"/>
        <v>65</v>
      </c>
      <c r="U1449" s="125" t="str">
        <f t="shared" si="165"/>
        <v>654</v>
      </c>
      <c r="V1449" s="125" t="str">
        <f>VLOOKUP(Q1449,'GL Category'!A:C,3,FALSE)</f>
        <v>Operations &amp; maintenance</v>
      </c>
      <c r="X1449" s="83"/>
    </row>
    <row r="1450" spans="1:24" s="539" customFormat="1" ht="20.399999999999999" customHeight="1">
      <c r="A1450" s="608" t="s">
        <v>1031</v>
      </c>
      <c r="B1450" s="608" t="s">
        <v>1678</v>
      </c>
      <c r="C1450" s="608" t="s">
        <v>190</v>
      </c>
      <c r="D1450" s="609">
        <v>140</v>
      </c>
      <c r="E1450" s="609">
        <v>100</v>
      </c>
      <c r="F1450" s="609">
        <v>200</v>
      </c>
      <c r="G1450" s="609">
        <v>0</v>
      </c>
      <c r="H1450" s="609">
        <v>300</v>
      </c>
      <c r="I1450" s="609">
        <v>280</v>
      </c>
      <c r="J1450" s="609">
        <v>300</v>
      </c>
      <c r="K1450" s="609">
        <v>300</v>
      </c>
      <c r="L1450" s="609">
        <v>0</v>
      </c>
      <c r="M1450" s="609">
        <v>0</v>
      </c>
      <c r="N1450" s="587">
        <f t="shared" si="160"/>
        <v>300</v>
      </c>
      <c r="O1450"/>
      <c r="P1450" s="490"/>
      <c r="Q1450" t="str">
        <f t="shared" si="161"/>
        <v>53510</v>
      </c>
      <c r="R1450" s="540" t="str">
        <f t="shared" si="162"/>
        <v>DUES &amp; SUBSCRIPTIONS</v>
      </c>
      <c r="S1450" s="538" t="str">
        <f t="shared" si="163"/>
        <v>125</v>
      </c>
      <c r="T1450" s="125" t="str">
        <f t="shared" si="164"/>
        <v>65</v>
      </c>
      <c r="U1450" s="125" t="str">
        <f t="shared" si="165"/>
        <v>654</v>
      </c>
      <c r="V1450" s="538" t="str">
        <f>VLOOKUP(Q1450,'GL Category'!A:C,3,FALSE)</f>
        <v>Services &amp; other</v>
      </c>
      <c r="X1450" s="83"/>
    </row>
    <row r="1451" spans="1:24" ht="20.399999999999999" customHeight="1">
      <c r="A1451" s="608" t="s">
        <v>1031</v>
      </c>
      <c r="B1451" s="608" t="s">
        <v>1679</v>
      </c>
      <c r="C1451" s="608" t="s">
        <v>191</v>
      </c>
      <c r="D1451" s="609">
        <v>2518.89</v>
      </c>
      <c r="E1451" s="609">
        <v>0</v>
      </c>
      <c r="F1451" s="609">
        <v>553</v>
      </c>
      <c r="G1451" s="609">
        <v>1043.95</v>
      </c>
      <c r="H1451" s="609">
        <v>1930</v>
      </c>
      <c r="I1451" s="609">
        <v>2447.9299999999998</v>
      </c>
      <c r="J1451" s="609">
        <v>2500</v>
      </c>
      <c r="K1451" s="609">
        <v>1930</v>
      </c>
      <c r="L1451" s="609">
        <v>1500</v>
      </c>
      <c r="M1451" s="609">
        <v>0</v>
      </c>
      <c r="N1451" s="587">
        <f t="shared" si="160"/>
        <v>3430</v>
      </c>
      <c r="Q1451" t="str">
        <f t="shared" si="161"/>
        <v>53515</v>
      </c>
      <c r="R1451" s="126" t="str">
        <f t="shared" si="162"/>
        <v>TRAVEL, TRAINING &amp; EDUCATION</v>
      </c>
      <c r="S1451" s="125" t="str">
        <f t="shared" si="163"/>
        <v>125</v>
      </c>
      <c r="T1451" s="125" t="str">
        <f t="shared" si="164"/>
        <v>65</v>
      </c>
      <c r="U1451" s="125" t="str">
        <f t="shared" si="165"/>
        <v>654</v>
      </c>
      <c r="V1451" s="125" t="str">
        <f>VLOOKUP(Q1451,'GL Category'!A:C,3,FALSE)</f>
        <v>Services &amp; other</v>
      </c>
      <c r="X1451" s="83"/>
    </row>
    <row r="1452" spans="1:24" ht="20.399999999999999" customHeight="1">
      <c r="A1452" s="608" t="s">
        <v>1031</v>
      </c>
      <c r="B1452" s="608" t="s">
        <v>1680</v>
      </c>
      <c r="C1452" s="608" t="s">
        <v>908</v>
      </c>
      <c r="D1452" s="609">
        <v>51890.7</v>
      </c>
      <c r="E1452" s="609">
        <v>85545.74</v>
      </c>
      <c r="F1452" s="609">
        <v>148365.79</v>
      </c>
      <c r="G1452" s="609">
        <v>157298.68</v>
      </c>
      <c r="H1452" s="609">
        <v>160180</v>
      </c>
      <c r="I1452" s="609">
        <v>111671.82</v>
      </c>
      <c r="J1452" s="609">
        <v>164500</v>
      </c>
      <c r="K1452" s="609">
        <v>160180</v>
      </c>
      <c r="L1452" s="609">
        <v>6000</v>
      </c>
      <c r="M1452" s="609">
        <v>0</v>
      </c>
      <c r="N1452" s="587">
        <f t="shared" si="160"/>
        <v>166180</v>
      </c>
      <c r="Q1452" t="str">
        <f t="shared" si="161"/>
        <v>53535</v>
      </c>
      <c r="R1452" s="126" t="str">
        <f t="shared" si="162"/>
        <v>RECREATION &amp; CULTURE PROGRAMS</v>
      </c>
      <c r="S1452" s="125" t="str">
        <f t="shared" si="163"/>
        <v>125</v>
      </c>
      <c r="T1452" s="125" t="str">
        <f t="shared" si="164"/>
        <v>65</v>
      </c>
      <c r="U1452" s="125" t="str">
        <f t="shared" si="165"/>
        <v>654</v>
      </c>
      <c r="V1452" s="125" t="str">
        <f>VLOOKUP(Q1452,'GL Category'!A:C,3,FALSE)</f>
        <v>Services &amp; other</v>
      </c>
      <c r="X1452" s="83"/>
    </row>
    <row r="1453" spans="1:24" s="539" customFormat="1" ht="20.399999999999999" customHeight="1">
      <c r="A1453" s="608" t="s">
        <v>1031</v>
      </c>
      <c r="B1453" s="608" t="s">
        <v>1681</v>
      </c>
      <c r="C1453" s="608" t="s">
        <v>340</v>
      </c>
      <c r="D1453" s="609">
        <v>8034.98</v>
      </c>
      <c r="E1453" s="609">
        <v>20898.330000000002</v>
      </c>
      <c r="F1453" s="609">
        <v>14667.4</v>
      </c>
      <c r="G1453" s="609">
        <v>38439.69</v>
      </c>
      <c r="H1453" s="609">
        <v>32350</v>
      </c>
      <c r="I1453" s="609">
        <v>35639.379999999997</v>
      </c>
      <c r="J1453" s="609">
        <v>40850</v>
      </c>
      <c r="K1453" s="609">
        <v>32850</v>
      </c>
      <c r="L1453" s="609">
        <v>10000</v>
      </c>
      <c r="M1453" s="609">
        <v>0</v>
      </c>
      <c r="N1453" s="587">
        <f t="shared" si="160"/>
        <v>42850</v>
      </c>
      <c r="O1453"/>
      <c r="P1453" s="490"/>
      <c r="Q1453" t="str">
        <f t="shared" si="161"/>
        <v>53537</v>
      </c>
      <c r="R1453" s="540" t="str">
        <f t="shared" si="162"/>
        <v>RECREATION/BIRTHDAY PARTY PRGM</v>
      </c>
      <c r="S1453" s="538" t="str">
        <f t="shared" si="163"/>
        <v>125</v>
      </c>
      <c r="T1453" s="125" t="str">
        <f t="shared" si="164"/>
        <v>65</v>
      </c>
      <c r="U1453" s="125" t="str">
        <f t="shared" si="165"/>
        <v>654</v>
      </c>
      <c r="V1453" s="538" t="str">
        <f>VLOOKUP(Q1453,'GL Category'!A:C,3,FALSE)</f>
        <v>Services &amp; other</v>
      </c>
      <c r="X1453" s="83"/>
    </row>
    <row r="1454" spans="1:24" ht="20.399999999999999" customHeight="1">
      <c r="A1454" s="608" t="s">
        <v>1031</v>
      </c>
      <c r="B1454" s="608" t="s">
        <v>1682</v>
      </c>
      <c r="C1454" s="608" t="s">
        <v>203</v>
      </c>
      <c r="D1454" s="609">
        <v>440.51</v>
      </c>
      <c r="E1454" s="609">
        <v>0</v>
      </c>
      <c r="F1454" s="609">
        <v>366.7</v>
      </c>
      <c r="G1454" s="609">
        <v>0</v>
      </c>
      <c r="H1454" s="609">
        <v>0</v>
      </c>
      <c r="I1454" s="609">
        <v>0</v>
      </c>
      <c r="J1454" s="609">
        <v>0</v>
      </c>
      <c r="K1454" s="609">
        <v>0</v>
      </c>
      <c r="L1454" s="609">
        <v>0</v>
      </c>
      <c r="M1454" s="609">
        <v>0</v>
      </c>
      <c r="N1454" s="587">
        <f t="shared" si="160"/>
        <v>0</v>
      </c>
      <c r="Q1454" t="str">
        <f t="shared" si="161"/>
        <v>53540</v>
      </c>
      <c r="R1454" s="126" t="str">
        <f t="shared" si="162"/>
        <v>PRINTING &amp; BINDING SERVICES</v>
      </c>
      <c r="S1454" s="125" t="str">
        <f t="shared" si="163"/>
        <v>125</v>
      </c>
      <c r="T1454" s="125" t="str">
        <f t="shared" si="164"/>
        <v>65</v>
      </c>
      <c r="U1454" s="125" t="str">
        <f t="shared" si="165"/>
        <v>654</v>
      </c>
      <c r="V1454" s="125" t="str">
        <f>VLOOKUP(Q1454,'GL Category'!A:C,3,FALSE)</f>
        <v>Services &amp; other</v>
      </c>
      <c r="X1454" s="83"/>
    </row>
    <row r="1455" spans="1:24" ht="20.399999999999999" customHeight="1">
      <c r="A1455" s="608" t="s">
        <v>1031</v>
      </c>
      <c r="B1455" s="608" t="s">
        <v>1683</v>
      </c>
      <c r="C1455" s="608" t="s">
        <v>221</v>
      </c>
      <c r="D1455" s="609">
        <v>3078</v>
      </c>
      <c r="E1455" s="609">
        <v>6880</v>
      </c>
      <c r="F1455" s="609">
        <v>1410</v>
      </c>
      <c r="G1455" s="609">
        <v>3095</v>
      </c>
      <c r="H1455" s="609">
        <v>3050</v>
      </c>
      <c r="I1455" s="609">
        <v>2287.5</v>
      </c>
      <c r="J1455" s="609">
        <v>3050</v>
      </c>
      <c r="K1455" s="609">
        <v>3905</v>
      </c>
      <c r="L1455" s="609">
        <v>0</v>
      </c>
      <c r="M1455" s="609">
        <v>0</v>
      </c>
      <c r="N1455" s="587">
        <f t="shared" si="160"/>
        <v>3905</v>
      </c>
      <c r="Q1455" t="str">
        <f t="shared" si="161"/>
        <v>55119</v>
      </c>
      <c r="R1455" s="126" t="str">
        <f t="shared" si="162"/>
        <v>OFFICE EQUIP LEASE EXP-CITY</v>
      </c>
      <c r="S1455" s="125" t="str">
        <f t="shared" si="163"/>
        <v>125</v>
      </c>
      <c r="T1455" s="125" t="str">
        <f t="shared" si="164"/>
        <v>65</v>
      </c>
      <c r="U1455" s="125" t="str">
        <f t="shared" si="165"/>
        <v>654</v>
      </c>
      <c r="V1455" s="125" t="str">
        <f>VLOOKUP(Q1455,'GL Category'!A:C,3,FALSE)</f>
        <v>Services &amp; other</v>
      </c>
      <c r="X1455" s="83"/>
    </row>
    <row r="1456" spans="1:24" ht="20.399999999999999" customHeight="1">
      <c r="A1456" s="608" t="s">
        <v>1031</v>
      </c>
      <c r="B1456" s="608" t="s">
        <v>1684</v>
      </c>
      <c r="C1456" s="608" t="s">
        <v>130</v>
      </c>
      <c r="D1456" s="609">
        <v>58059.24</v>
      </c>
      <c r="E1456" s="609">
        <v>50033.599999999999</v>
      </c>
      <c r="F1456" s="609">
        <v>53616.98</v>
      </c>
      <c r="G1456" s="609">
        <v>57574.03</v>
      </c>
      <c r="H1456" s="609">
        <v>59798</v>
      </c>
      <c r="I1456" s="609">
        <v>45806.64</v>
      </c>
      <c r="J1456" s="609">
        <v>60131</v>
      </c>
      <c r="K1456" s="609">
        <v>62182</v>
      </c>
      <c r="L1456" s="609">
        <v>0</v>
      </c>
      <c r="M1456" s="609">
        <v>0</v>
      </c>
      <c r="N1456" s="587">
        <f t="shared" si="160"/>
        <v>62182</v>
      </c>
      <c r="Q1456" t="str">
        <f t="shared" si="161"/>
        <v>50101</v>
      </c>
      <c r="R1456" s="126" t="str">
        <f t="shared" si="162"/>
        <v>EXEMPT SALARIES</v>
      </c>
      <c r="S1456" s="125" t="str">
        <f t="shared" si="163"/>
        <v>125</v>
      </c>
      <c r="T1456" s="125" t="str">
        <f t="shared" si="164"/>
        <v>65</v>
      </c>
      <c r="U1456" s="125" t="str">
        <f t="shared" si="165"/>
        <v>655</v>
      </c>
      <c r="V1456" s="125" t="str">
        <f>VLOOKUP(Q1456,'GL Category'!A:C,3,FALSE)</f>
        <v>Personnel services</v>
      </c>
      <c r="X1456" s="83"/>
    </row>
    <row r="1457" spans="1:24" ht="20.399999999999999" customHeight="1">
      <c r="A1457" s="608" t="s">
        <v>1031</v>
      </c>
      <c r="B1457" s="608" t="s">
        <v>1686</v>
      </c>
      <c r="C1457" s="608" t="s">
        <v>0</v>
      </c>
      <c r="D1457" s="609">
        <v>0</v>
      </c>
      <c r="E1457" s="609">
        <v>0</v>
      </c>
      <c r="F1457" s="609">
        <v>0</v>
      </c>
      <c r="G1457" s="609">
        <v>0</v>
      </c>
      <c r="H1457" s="609">
        <v>0</v>
      </c>
      <c r="I1457" s="609">
        <v>0</v>
      </c>
      <c r="J1457" s="609">
        <v>0</v>
      </c>
      <c r="K1457" s="609">
        <v>0</v>
      </c>
      <c r="L1457" s="609">
        <v>0</v>
      </c>
      <c r="M1457" s="609">
        <v>0</v>
      </c>
      <c r="N1457" s="587">
        <f t="shared" si="160"/>
        <v>0</v>
      </c>
      <c r="Q1457" t="str">
        <f t="shared" si="161"/>
        <v>50109</v>
      </c>
      <c r="R1457" s="126" t="str">
        <f t="shared" si="162"/>
        <v>OVERTIME</v>
      </c>
      <c r="S1457" s="125" t="str">
        <f t="shared" si="163"/>
        <v>125</v>
      </c>
      <c r="T1457" s="125" t="str">
        <f t="shared" si="164"/>
        <v>65</v>
      </c>
      <c r="U1457" s="125" t="str">
        <f t="shared" si="165"/>
        <v>655</v>
      </c>
      <c r="V1457" s="125" t="str">
        <f>VLOOKUP(Q1457,'GL Category'!A:C,3,FALSE)</f>
        <v>Personnel services</v>
      </c>
      <c r="X1457" s="83"/>
    </row>
    <row r="1458" spans="1:24" ht="20.399999999999999" customHeight="1">
      <c r="A1458" s="608" t="s">
        <v>1031</v>
      </c>
      <c r="B1458" s="608" t="s">
        <v>1687</v>
      </c>
      <c r="C1458" s="608" t="s">
        <v>135</v>
      </c>
      <c r="D1458" s="609">
        <v>9676.34</v>
      </c>
      <c r="E1458" s="609">
        <v>6508.07</v>
      </c>
      <c r="F1458" s="609">
        <v>12324.75</v>
      </c>
      <c r="G1458" s="609">
        <v>873.75</v>
      </c>
      <c r="H1458" s="609">
        <v>27300</v>
      </c>
      <c r="I1458" s="609">
        <v>7818.33</v>
      </c>
      <c r="J1458" s="609">
        <v>13000</v>
      </c>
      <c r="K1458" s="609">
        <v>43192</v>
      </c>
      <c r="L1458" s="609">
        <v>0</v>
      </c>
      <c r="M1458" s="609">
        <v>0</v>
      </c>
      <c r="N1458" s="587">
        <f t="shared" si="160"/>
        <v>43192</v>
      </c>
      <c r="Q1458" t="str">
        <f t="shared" si="161"/>
        <v>50110</v>
      </c>
      <c r="R1458" s="126" t="str">
        <f t="shared" si="162"/>
        <v>PART-TIME WAGES</v>
      </c>
      <c r="S1458" s="125" t="str">
        <f t="shared" si="163"/>
        <v>125</v>
      </c>
      <c r="T1458" s="125" t="str">
        <f t="shared" si="164"/>
        <v>65</v>
      </c>
      <c r="U1458" s="125" t="str">
        <f t="shared" si="165"/>
        <v>655</v>
      </c>
      <c r="V1458" s="125" t="str">
        <f>VLOOKUP(Q1458,'GL Category'!A:C,3,FALSE)</f>
        <v>Personnel services</v>
      </c>
      <c r="X1458" s="83"/>
    </row>
    <row r="1459" spans="1:24" ht="20.399999999999999" customHeight="1">
      <c r="A1459" s="608" t="s">
        <v>1031</v>
      </c>
      <c r="B1459" s="608" t="s">
        <v>1688</v>
      </c>
      <c r="C1459" s="608" t="s">
        <v>137</v>
      </c>
      <c r="D1459" s="609">
        <v>250</v>
      </c>
      <c r="E1459" s="609">
        <v>310</v>
      </c>
      <c r="F1459" s="609">
        <v>0</v>
      </c>
      <c r="G1459" s="609">
        <v>275</v>
      </c>
      <c r="H1459" s="609">
        <v>339</v>
      </c>
      <c r="I1459" s="609">
        <v>335</v>
      </c>
      <c r="J1459" s="609">
        <v>335</v>
      </c>
      <c r="K1459" s="609">
        <v>400</v>
      </c>
      <c r="L1459" s="609">
        <v>0</v>
      </c>
      <c r="M1459" s="609">
        <v>0</v>
      </c>
      <c r="N1459" s="587">
        <f t="shared" si="160"/>
        <v>400</v>
      </c>
      <c r="Q1459" t="str">
        <f t="shared" si="161"/>
        <v>50111</v>
      </c>
      <c r="R1459" s="126" t="str">
        <f t="shared" si="162"/>
        <v>LONGEVITY PAY</v>
      </c>
      <c r="S1459" s="125" t="str">
        <f t="shared" si="163"/>
        <v>125</v>
      </c>
      <c r="T1459" s="125" t="str">
        <f t="shared" si="164"/>
        <v>65</v>
      </c>
      <c r="U1459" s="125" t="str">
        <f t="shared" si="165"/>
        <v>655</v>
      </c>
      <c r="V1459" s="125" t="str">
        <f>VLOOKUP(Q1459,'GL Category'!A:C,3,FALSE)</f>
        <v>Personnel services</v>
      </c>
      <c r="X1459" s="83"/>
    </row>
    <row r="1460" spans="1:24" ht="20.399999999999999" customHeight="1">
      <c r="A1460" s="608" t="s">
        <v>1031</v>
      </c>
      <c r="B1460" s="608" t="s">
        <v>1689</v>
      </c>
      <c r="C1460" s="608" t="s">
        <v>250</v>
      </c>
      <c r="D1460" s="609">
        <v>0</v>
      </c>
      <c r="E1460" s="609">
        <v>0</v>
      </c>
      <c r="F1460" s="609">
        <v>0</v>
      </c>
      <c r="G1460" s="609">
        <v>0</v>
      </c>
      <c r="H1460" s="609">
        <v>0</v>
      </c>
      <c r="I1460" s="609">
        <v>0</v>
      </c>
      <c r="J1460" s="609">
        <v>0</v>
      </c>
      <c r="K1460" s="609">
        <v>0</v>
      </c>
      <c r="L1460" s="609">
        <v>0</v>
      </c>
      <c r="M1460" s="609">
        <v>0</v>
      </c>
      <c r="N1460" s="587">
        <f t="shared" si="160"/>
        <v>0</v>
      </c>
      <c r="Q1460" t="str">
        <f t="shared" si="161"/>
        <v>50112</v>
      </c>
      <c r="R1460" s="126" t="str">
        <f t="shared" si="162"/>
        <v>TEMPORARY/SEASONAL WAGES</v>
      </c>
      <c r="S1460" s="125" t="str">
        <f t="shared" si="163"/>
        <v>125</v>
      </c>
      <c r="T1460" s="125" t="str">
        <f t="shared" si="164"/>
        <v>65</v>
      </c>
      <c r="U1460" s="125" t="str">
        <f t="shared" si="165"/>
        <v>655</v>
      </c>
      <c r="V1460" s="125" t="str">
        <f>VLOOKUP(Q1460,'GL Category'!A:C,3,FALSE)</f>
        <v>Personnel services</v>
      </c>
      <c r="X1460" s="83"/>
    </row>
    <row r="1461" spans="1:24" ht="20.399999999999999" customHeight="1">
      <c r="A1461" s="608" t="s">
        <v>1031</v>
      </c>
      <c r="B1461" s="608" t="s">
        <v>1690</v>
      </c>
      <c r="C1461" s="608" t="s">
        <v>1</v>
      </c>
      <c r="D1461" s="609">
        <v>4911.6899999999996</v>
      </c>
      <c r="E1461" s="609">
        <v>4031.69</v>
      </c>
      <c r="F1461" s="609">
        <v>4663.6000000000004</v>
      </c>
      <c r="G1461" s="609">
        <v>4278.05</v>
      </c>
      <c r="H1461" s="609">
        <v>6770</v>
      </c>
      <c r="I1461" s="609">
        <v>4238.84</v>
      </c>
      <c r="J1461" s="609">
        <v>6349</v>
      </c>
      <c r="K1461" s="609">
        <v>8180</v>
      </c>
      <c r="L1461" s="609">
        <v>0</v>
      </c>
      <c r="M1461" s="609">
        <v>0</v>
      </c>
      <c r="N1461" s="587">
        <f t="shared" si="160"/>
        <v>8180</v>
      </c>
      <c r="Q1461" t="str">
        <f t="shared" si="161"/>
        <v>50610</v>
      </c>
      <c r="R1461" s="126" t="str">
        <f t="shared" si="162"/>
        <v>SOCIAL SECURITY</v>
      </c>
      <c r="S1461" s="125" t="str">
        <f t="shared" si="163"/>
        <v>125</v>
      </c>
      <c r="T1461" s="125" t="str">
        <f t="shared" si="164"/>
        <v>65</v>
      </c>
      <c r="U1461" s="125" t="str">
        <f t="shared" si="165"/>
        <v>655</v>
      </c>
      <c r="V1461" s="125" t="str">
        <f>VLOOKUP(Q1461,'GL Category'!A:C,3,FALSE)</f>
        <v>Personnel services</v>
      </c>
      <c r="X1461" s="83"/>
    </row>
    <row r="1462" spans="1:24" ht="20.399999999999999" customHeight="1">
      <c r="A1462" s="608" t="s">
        <v>1031</v>
      </c>
      <c r="B1462" s="608" t="s">
        <v>1691</v>
      </c>
      <c r="C1462" s="608" t="s">
        <v>142</v>
      </c>
      <c r="D1462" s="609">
        <v>18689.57</v>
      </c>
      <c r="E1462" s="609">
        <v>18228.02</v>
      </c>
      <c r="F1462" s="609">
        <v>21129.599999999999</v>
      </c>
      <c r="G1462" s="609">
        <v>18416.18</v>
      </c>
      <c r="H1462" s="609">
        <v>18411</v>
      </c>
      <c r="I1462" s="609">
        <v>8771.84</v>
      </c>
      <c r="J1462" s="609">
        <v>12270</v>
      </c>
      <c r="K1462" s="609">
        <v>11519</v>
      </c>
      <c r="L1462" s="609">
        <v>0</v>
      </c>
      <c r="M1462" s="609">
        <v>0</v>
      </c>
      <c r="N1462" s="587">
        <f t="shared" si="160"/>
        <v>11519</v>
      </c>
      <c r="Q1462" t="str">
        <f t="shared" si="161"/>
        <v>50620</v>
      </c>
      <c r="R1462" s="126" t="str">
        <f t="shared" si="162"/>
        <v>HEALTH/LIFE INSURANCE</v>
      </c>
      <c r="S1462" s="125" t="str">
        <f t="shared" si="163"/>
        <v>125</v>
      </c>
      <c r="T1462" s="125" t="str">
        <f t="shared" si="164"/>
        <v>65</v>
      </c>
      <c r="U1462" s="125" t="str">
        <f t="shared" si="165"/>
        <v>655</v>
      </c>
      <c r="V1462" s="125" t="str">
        <f>VLOOKUP(Q1462,'GL Category'!A:C,3,FALSE)</f>
        <v>Personnel services</v>
      </c>
      <c r="X1462" s="83"/>
    </row>
    <row r="1463" spans="1:24" ht="20.399999999999999" customHeight="1">
      <c r="A1463" s="608" t="s">
        <v>1031</v>
      </c>
      <c r="B1463" s="608" t="s">
        <v>1692</v>
      </c>
      <c r="C1463" s="608" t="s">
        <v>144</v>
      </c>
      <c r="D1463" s="609">
        <v>578.12</v>
      </c>
      <c r="E1463" s="609">
        <v>458.21</v>
      </c>
      <c r="F1463" s="609">
        <v>534.75</v>
      </c>
      <c r="G1463" s="609">
        <v>950.17</v>
      </c>
      <c r="H1463" s="609">
        <v>1259</v>
      </c>
      <c r="I1463" s="609">
        <v>1257.97</v>
      </c>
      <c r="J1463" s="609">
        <v>1258</v>
      </c>
      <c r="K1463" s="609">
        <v>1554</v>
      </c>
      <c r="L1463" s="609">
        <v>0</v>
      </c>
      <c r="M1463" s="609">
        <v>0</v>
      </c>
      <c r="N1463" s="587">
        <f t="shared" si="160"/>
        <v>1554</v>
      </c>
      <c r="Q1463" t="str">
        <f t="shared" si="161"/>
        <v>50630</v>
      </c>
      <c r="R1463" s="126" t="str">
        <f t="shared" si="162"/>
        <v>WORKER COMPENSATION</v>
      </c>
      <c r="S1463" s="125" t="str">
        <f t="shared" si="163"/>
        <v>125</v>
      </c>
      <c r="T1463" s="125" t="str">
        <f t="shared" si="164"/>
        <v>65</v>
      </c>
      <c r="U1463" s="125" t="str">
        <f t="shared" si="165"/>
        <v>655</v>
      </c>
      <c r="V1463" s="125" t="str">
        <f>VLOOKUP(Q1463,'GL Category'!A:C,3,FALSE)</f>
        <v>Personnel services</v>
      </c>
      <c r="X1463" s="83"/>
    </row>
    <row r="1464" spans="1:24" ht="20.399999999999999" customHeight="1">
      <c r="A1464" s="608" t="s">
        <v>1031</v>
      </c>
      <c r="B1464" s="608" t="s">
        <v>1693</v>
      </c>
      <c r="C1464" s="608" t="s">
        <v>2</v>
      </c>
      <c r="D1464" s="609">
        <v>9261.7900000000009</v>
      </c>
      <c r="E1464" s="609">
        <v>8129.19</v>
      </c>
      <c r="F1464" s="609">
        <v>8691.82</v>
      </c>
      <c r="G1464" s="609">
        <v>9436.81</v>
      </c>
      <c r="H1464" s="609">
        <v>10118</v>
      </c>
      <c r="I1464" s="609">
        <v>7750.22</v>
      </c>
      <c r="J1464" s="609">
        <v>11000</v>
      </c>
      <c r="K1464" s="609">
        <v>10777</v>
      </c>
      <c r="L1464" s="609">
        <v>0</v>
      </c>
      <c r="M1464" s="609">
        <v>0</v>
      </c>
      <c r="N1464" s="587">
        <f t="shared" si="160"/>
        <v>10777</v>
      </c>
      <c r="Q1464" t="str">
        <f t="shared" si="161"/>
        <v>50650</v>
      </c>
      <c r="R1464" s="126" t="str">
        <f t="shared" si="162"/>
        <v>RETIREMENT</v>
      </c>
      <c r="S1464" s="125" t="str">
        <f t="shared" si="163"/>
        <v>125</v>
      </c>
      <c r="T1464" s="125" t="str">
        <f t="shared" si="164"/>
        <v>65</v>
      </c>
      <c r="U1464" s="125" t="str">
        <f t="shared" si="165"/>
        <v>655</v>
      </c>
      <c r="V1464" s="125" t="str">
        <f>VLOOKUP(Q1464,'GL Category'!A:C,3,FALSE)</f>
        <v>Personnel services</v>
      </c>
      <c r="X1464" s="83"/>
    </row>
    <row r="1465" spans="1:24" ht="20.399999999999999" customHeight="1">
      <c r="A1465" s="608" t="s">
        <v>1031</v>
      </c>
      <c r="B1465" s="608" t="s">
        <v>1694</v>
      </c>
      <c r="C1465" s="608" t="s">
        <v>155</v>
      </c>
      <c r="D1465" s="609">
        <v>8722.6</v>
      </c>
      <c r="E1465" s="609">
        <v>14244.67</v>
      </c>
      <c r="F1465" s="609">
        <v>14602.84</v>
      </c>
      <c r="G1465" s="609">
        <v>17311.28</v>
      </c>
      <c r="H1465" s="609">
        <v>29935</v>
      </c>
      <c r="I1465" s="609">
        <v>14225.91</v>
      </c>
      <c r="J1465" s="609">
        <v>22935</v>
      </c>
      <c r="K1465" s="609">
        <v>22935</v>
      </c>
      <c r="L1465" s="609">
        <v>0</v>
      </c>
      <c r="M1465" s="609">
        <v>0</v>
      </c>
      <c r="N1465" s="587">
        <f t="shared" si="160"/>
        <v>22935</v>
      </c>
      <c r="Q1465" t="str">
        <f t="shared" si="161"/>
        <v>51225</v>
      </c>
      <c r="R1465" s="126" t="str">
        <f t="shared" si="162"/>
        <v>JANITORIAL SUPPLIES</v>
      </c>
      <c r="S1465" s="125" t="str">
        <f t="shared" si="163"/>
        <v>125</v>
      </c>
      <c r="T1465" s="125" t="str">
        <f t="shared" si="164"/>
        <v>65</v>
      </c>
      <c r="U1465" s="125" t="str">
        <f t="shared" si="165"/>
        <v>655</v>
      </c>
      <c r="V1465" s="125" t="str">
        <f>VLOOKUP(Q1465,'GL Category'!A:C,3,FALSE)</f>
        <v>Operations &amp; maintenance</v>
      </c>
      <c r="X1465" s="83"/>
    </row>
    <row r="1466" spans="1:24" ht="20.399999999999999" customHeight="1">
      <c r="A1466" s="608" t="s">
        <v>1031</v>
      </c>
      <c r="B1466" s="608" t="s">
        <v>1694</v>
      </c>
      <c r="C1466" s="608" t="s">
        <v>155</v>
      </c>
      <c r="D1466" s="609">
        <v>0</v>
      </c>
      <c r="E1466" s="609">
        <v>2206.35</v>
      </c>
      <c r="F1466" s="609">
        <v>0</v>
      </c>
      <c r="G1466" s="609">
        <v>0</v>
      </c>
      <c r="H1466" s="609">
        <v>0</v>
      </c>
      <c r="I1466" s="609">
        <v>0</v>
      </c>
      <c r="J1466" s="609">
        <v>0</v>
      </c>
      <c r="K1466" s="609">
        <v>0</v>
      </c>
      <c r="L1466" s="609">
        <v>0</v>
      </c>
      <c r="M1466" s="609">
        <v>0</v>
      </c>
      <c r="N1466" s="587">
        <f t="shared" si="160"/>
        <v>0</v>
      </c>
      <c r="P1466" s="490">
        <f t="shared" ref="P1466:P1471" si="167">N1466-H1466</f>
        <v>0</v>
      </c>
      <c r="Q1466" t="str">
        <f t="shared" si="161"/>
        <v>51225</v>
      </c>
      <c r="R1466" s="126" t="str">
        <f t="shared" si="162"/>
        <v>JANITORIAL SUPPLIES</v>
      </c>
      <c r="S1466" s="125" t="str">
        <f t="shared" si="163"/>
        <v>125</v>
      </c>
      <c r="T1466" s="125" t="str">
        <f t="shared" si="164"/>
        <v>65</v>
      </c>
      <c r="U1466" s="125" t="str">
        <f t="shared" si="165"/>
        <v>655</v>
      </c>
      <c r="V1466" s="125" t="str">
        <f>VLOOKUP(Q1466,'GL Category'!A:C,3,FALSE)</f>
        <v>Operations &amp; maintenance</v>
      </c>
      <c r="X1466" s="83"/>
    </row>
    <row r="1467" spans="1:24" ht="20.399999999999999" customHeight="1">
      <c r="A1467" s="608" t="s">
        <v>1031</v>
      </c>
      <c r="B1467" s="608" t="s">
        <v>1696</v>
      </c>
      <c r="C1467" s="608" t="s">
        <v>4</v>
      </c>
      <c r="D1467" s="609">
        <v>11057.99</v>
      </c>
      <c r="E1467" s="609">
        <v>1695.53</v>
      </c>
      <c r="F1467" s="609">
        <v>3062.26</v>
      </c>
      <c r="G1467" s="609">
        <v>5613.58</v>
      </c>
      <c r="H1467" s="609">
        <v>9700</v>
      </c>
      <c r="I1467" s="609">
        <v>1404.77</v>
      </c>
      <c r="J1467" s="609">
        <v>4600</v>
      </c>
      <c r="K1467" s="609">
        <v>9700</v>
      </c>
      <c r="L1467" s="609">
        <v>0</v>
      </c>
      <c r="M1467" s="609">
        <v>0</v>
      </c>
      <c r="N1467" s="587">
        <f t="shared" si="160"/>
        <v>9700</v>
      </c>
      <c r="P1467" s="490">
        <f t="shared" si="167"/>
        <v>0</v>
      </c>
      <c r="Q1467" t="str">
        <f t="shared" si="161"/>
        <v>51245</v>
      </c>
      <c r="R1467" s="126" t="str">
        <f t="shared" si="162"/>
        <v>SMALL TOOLS &amp; EQUIPMENT</v>
      </c>
      <c r="S1467" s="125" t="str">
        <f t="shared" si="163"/>
        <v>125</v>
      </c>
      <c r="T1467" s="125" t="str">
        <f t="shared" si="164"/>
        <v>65</v>
      </c>
      <c r="U1467" s="125" t="str">
        <f t="shared" si="165"/>
        <v>655</v>
      </c>
      <c r="V1467" s="125" t="str">
        <f>VLOOKUP(Q1467,'GL Category'!A:C,3,FALSE)</f>
        <v>Operations &amp; maintenance</v>
      </c>
      <c r="X1467" s="83"/>
    </row>
    <row r="1468" spans="1:24" ht="20.399999999999999" customHeight="1">
      <c r="A1468" s="608" t="s">
        <v>1031</v>
      </c>
      <c r="B1468" s="608" t="s">
        <v>1697</v>
      </c>
      <c r="C1468" s="608" t="s">
        <v>161</v>
      </c>
      <c r="D1468" s="609">
        <v>175.75</v>
      </c>
      <c r="E1468" s="609">
        <v>114.57</v>
      </c>
      <c r="F1468" s="609">
        <v>351.14</v>
      </c>
      <c r="G1468" s="609">
        <v>391.03</v>
      </c>
      <c r="H1468" s="609">
        <v>800</v>
      </c>
      <c r="I1468" s="609">
        <v>392.39</v>
      </c>
      <c r="J1468" s="609">
        <v>800</v>
      </c>
      <c r="K1468" s="609">
        <v>800</v>
      </c>
      <c r="L1468" s="609">
        <v>0</v>
      </c>
      <c r="M1468" s="609">
        <v>0</v>
      </c>
      <c r="N1468" s="587">
        <f t="shared" si="160"/>
        <v>800</v>
      </c>
      <c r="P1468" s="490">
        <f t="shared" si="167"/>
        <v>0</v>
      </c>
      <c r="Q1468" t="str">
        <f t="shared" si="161"/>
        <v>51255</v>
      </c>
      <c r="R1468" s="126" t="str">
        <f t="shared" si="162"/>
        <v>FUEL/OILS/LUBRICANTS</v>
      </c>
      <c r="S1468" s="125" t="str">
        <f t="shared" si="163"/>
        <v>125</v>
      </c>
      <c r="T1468" s="125" t="str">
        <f t="shared" si="164"/>
        <v>65</v>
      </c>
      <c r="U1468" s="125" t="str">
        <f t="shared" si="165"/>
        <v>655</v>
      </c>
      <c r="V1468" s="125" t="str">
        <f>VLOOKUP(Q1468,'GL Category'!A:C,3,FALSE)</f>
        <v>Operations &amp; maintenance</v>
      </c>
      <c r="X1468" s="83"/>
    </row>
    <row r="1469" spans="1:24" ht="20.399999999999999" customHeight="1">
      <c r="A1469" s="608" t="s">
        <v>1031</v>
      </c>
      <c r="B1469" s="608" t="s">
        <v>1697</v>
      </c>
      <c r="C1469" s="608" t="s">
        <v>161</v>
      </c>
      <c r="D1469" s="609">
        <v>0</v>
      </c>
      <c r="E1469" s="609">
        <v>30.4</v>
      </c>
      <c r="F1469" s="609">
        <v>0</v>
      </c>
      <c r="G1469" s="609">
        <v>0</v>
      </c>
      <c r="H1469" s="609">
        <v>0</v>
      </c>
      <c r="I1469" s="609">
        <v>0</v>
      </c>
      <c r="J1469" s="609">
        <v>0</v>
      </c>
      <c r="K1469" s="609">
        <v>0</v>
      </c>
      <c r="L1469" s="609">
        <v>0</v>
      </c>
      <c r="M1469" s="609">
        <v>0</v>
      </c>
      <c r="N1469" s="587">
        <f t="shared" si="160"/>
        <v>0</v>
      </c>
      <c r="P1469" s="490">
        <f t="shared" si="167"/>
        <v>0</v>
      </c>
      <c r="Q1469" t="str">
        <f t="shared" si="161"/>
        <v>51255</v>
      </c>
      <c r="R1469" s="126" t="str">
        <f t="shared" si="162"/>
        <v>FUEL/OILS/LUBRICANTS</v>
      </c>
      <c r="S1469" s="125" t="str">
        <f t="shared" si="163"/>
        <v>125</v>
      </c>
      <c r="T1469" s="125" t="str">
        <f t="shared" si="164"/>
        <v>65</v>
      </c>
      <c r="U1469" s="125" t="str">
        <f t="shared" si="165"/>
        <v>655</v>
      </c>
      <c r="V1469" s="125" t="str">
        <f>VLOOKUP(Q1469,'GL Category'!A:C,3,FALSE)</f>
        <v>Operations &amp; maintenance</v>
      </c>
      <c r="X1469" s="83"/>
    </row>
    <row r="1470" spans="1:24" ht="20.399999999999999" customHeight="1">
      <c r="A1470" s="608" t="s">
        <v>1031</v>
      </c>
      <c r="B1470" s="608" t="s">
        <v>1698</v>
      </c>
      <c r="C1470" s="608" t="s">
        <v>165</v>
      </c>
      <c r="D1470" s="609">
        <v>2312.62</v>
      </c>
      <c r="E1470" s="609">
        <v>2824.68</v>
      </c>
      <c r="F1470" s="609">
        <v>2270.36</v>
      </c>
      <c r="G1470" s="609">
        <v>3432.16</v>
      </c>
      <c r="H1470" s="609">
        <v>9200</v>
      </c>
      <c r="I1470" s="609">
        <v>3442.87</v>
      </c>
      <c r="J1470" s="609">
        <v>6000</v>
      </c>
      <c r="K1470" s="609">
        <v>9200</v>
      </c>
      <c r="L1470" s="609">
        <v>0</v>
      </c>
      <c r="M1470" s="609">
        <v>0</v>
      </c>
      <c r="N1470" s="587">
        <f t="shared" si="160"/>
        <v>9200</v>
      </c>
      <c r="P1470" s="490">
        <f t="shared" si="167"/>
        <v>0</v>
      </c>
      <c r="Q1470" t="str">
        <f t="shared" si="161"/>
        <v>51271</v>
      </c>
      <c r="R1470" s="126" t="str">
        <f t="shared" si="162"/>
        <v>BUILDING MATERIALS &amp; SUPPLIES</v>
      </c>
      <c r="S1470" s="125" t="str">
        <f t="shared" si="163"/>
        <v>125</v>
      </c>
      <c r="T1470" s="125" t="str">
        <f t="shared" si="164"/>
        <v>65</v>
      </c>
      <c r="U1470" s="125" t="str">
        <f t="shared" si="165"/>
        <v>655</v>
      </c>
      <c r="V1470" s="125" t="str">
        <f>VLOOKUP(Q1470,'GL Category'!A:C,3,FALSE)</f>
        <v>Operations &amp; maintenance</v>
      </c>
      <c r="X1470" s="83"/>
    </row>
    <row r="1471" spans="1:24" ht="20.399999999999999" customHeight="1">
      <c r="A1471" s="608" t="s">
        <v>1031</v>
      </c>
      <c r="B1471" s="608" t="s">
        <v>1698</v>
      </c>
      <c r="C1471" s="608" t="s">
        <v>165</v>
      </c>
      <c r="D1471" s="609">
        <v>0</v>
      </c>
      <c r="E1471" s="609">
        <v>0</v>
      </c>
      <c r="F1471" s="609">
        <v>0</v>
      </c>
      <c r="G1471" s="609">
        <v>0</v>
      </c>
      <c r="H1471" s="609">
        <v>0</v>
      </c>
      <c r="I1471" s="609">
        <v>0</v>
      </c>
      <c r="J1471" s="609">
        <v>0</v>
      </c>
      <c r="K1471" s="609">
        <v>0</v>
      </c>
      <c r="L1471" s="609">
        <v>0</v>
      </c>
      <c r="M1471" s="609">
        <v>0</v>
      </c>
      <c r="N1471" s="587">
        <f t="shared" si="160"/>
        <v>0</v>
      </c>
      <c r="P1471" s="490">
        <f t="shared" si="167"/>
        <v>0</v>
      </c>
      <c r="Q1471" t="str">
        <f t="shared" si="161"/>
        <v>51271</v>
      </c>
      <c r="R1471" s="126" t="str">
        <f t="shared" si="162"/>
        <v>BUILDING MATERIALS &amp; SUPPLIES</v>
      </c>
      <c r="S1471" s="125" t="str">
        <f t="shared" si="163"/>
        <v>125</v>
      </c>
      <c r="T1471" s="125" t="str">
        <f t="shared" si="164"/>
        <v>65</v>
      </c>
      <c r="U1471" s="125" t="str">
        <f t="shared" si="165"/>
        <v>655</v>
      </c>
      <c r="V1471" s="125" t="str">
        <f>VLOOKUP(Q1471,'GL Category'!A:C,3,FALSE)</f>
        <v>Operations &amp; maintenance</v>
      </c>
      <c r="X1471" s="83"/>
    </row>
    <row r="1472" spans="1:24" ht="20.399999999999999" customHeight="1">
      <c r="A1472" s="608" t="s">
        <v>1031</v>
      </c>
      <c r="B1472" s="608" t="s">
        <v>1698</v>
      </c>
      <c r="C1472" s="608" t="s">
        <v>165</v>
      </c>
      <c r="D1472" s="609">
        <v>0</v>
      </c>
      <c r="E1472" s="609">
        <v>249.86</v>
      </c>
      <c r="F1472" s="609">
        <v>0</v>
      </c>
      <c r="G1472" s="609">
        <v>0</v>
      </c>
      <c r="H1472" s="609">
        <v>0</v>
      </c>
      <c r="I1472" s="609">
        <v>0</v>
      </c>
      <c r="J1472" s="609">
        <v>0</v>
      </c>
      <c r="K1472" s="609">
        <v>0</v>
      </c>
      <c r="L1472" s="609">
        <v>0</v>
      </c>
      <c r="M1472" s="609">
        <v>0</v>
      </c>
      <c r="N1472" s="587">
        <f t="shared" si="160"/>
        <v>0</v>
      </c>
      <c r="Q1472" t="str">
        <f t="shared" si="161"/>
        <v>51271</v>
      </c>
      <c r="R1472" s="126" t="str">
        <f t="shared" si="162"/>
        <v>BUILDING MATERIALS &amp; SUPPLIES</v>
      </c>
      <c r="S1472" s="125" t="str">
        <f t="shared" si="163"/>
        <v>125</v>
      </c>
      <c r="T1472" s="125" t="str">
        <f t="shared" si="164"/>
        <v>65</v>
      </c>
      <c r="U1472" s="125" t="str">
        <f t="shared" si="165"/>
        <v>655</v>
      </c>
      <c r="V1472" s="125" t="str">
        <f>VLOOKUP(Q1472,'GL Category'!A:C,3,FALSE)</f>
        <v>Operations &amp; maintenance</v>
      </c>
      <c r="X1472" s="83"/>
    </row>
    <row r="1473" spans="1:24" ht="20.399999999999999" customHeight="1">
      <c r="A1473" s="608" t="s">
        <v>1031</v>
      </c>
      <c r="B1473" s="608" t="s">
        <v>1698</v>
      </c>
      <c r="C1473" s="608" t="s">
        <v>165</v>
      </c>
      <c r="D1473" s="609">
        <v>0</v>
      </c>
      <c r="E1473" s="609">
        <v>209.61</v>
      </c>
      <c r="F1473" s="609">
        <v>0</v>
      </c>
      <c r="G1473" s="609">
        <v>0</v>
      </c>
      <c r="H1473" s="609">
        <v>0</v>
      </c>
      <c r="I1473" s="609">
        <v>0</v>
      </c>
      <c r="J1473" s="609">
        <v>0</v>
      </c>
      <c r="K1473" s="609">
        <v>0</v>
      </c>
      <c r="L1473" s="609">
        <v>0</v>
      </c>
      <c r="M1473" s="609">
        <v>0</v>
      </c>
      <c r="N1473" s="587">
        <f t="shared" si="160"/>
        <v>0</v>
      </c>
      <c r="Q1473" t="str">
        <f t="shared" si="161"/>
        <v>51271</v>
      </c>
      <c r="R1473" s="126" t="str">
        <f t="shared" si="162"/>
        <v>BUILDING MATERIALS &amp; SUPPLIES</v>
      </c>
      <c r="S1473" s="125" t="str">
        <f t="shared" si="163"/>
        <v>125</v>
      </c>
      <c r="T1473" s="125" t="str">
        <f t="shared" si="164"/>
        <v>65</v>
      </c>
      <c r="U1473" s="125" t="str">
        <f t="shared" si="165"/>
        <v>655</v>
      </c>
      <c r="V1473" s="125" t="str">
        <f>VLOOKUP(Q1473,'GL Category'!A:C,3,FALSE)</f>
        <v>Operations &amp; maintenance</v>
      </c>
      <c r="X1473" s="83"/>
    </row>
    <row r="1474" spans="1:24" ht="20.399999999999999" customHeight="1">
      <c r="A1474" s="608" t="s">
        <v>1031</v>
      </c>
      <c r="B1474" s="608" t="s">
        <v>1700</v>
      </c>
      <c r="C1474" s="608" t="s">
        <v>171</v>
      </c>
      <c r="D1474" s="609">
        <v>69152.600000000006</v>
      </c>
      <c r="E1474" s="609">
        <v>73714.03</v>
      </c>
      <c r="F1474" s="609">
        <v>46906.01</v>
      </c>
      <c r="G1474" s="609">
        <v>84336.68</v>
      </c>
      <c r="H1474" s="609">
        <v>72259</v>
      </c>
      <c r="I1474" s="609">
        <v>85519.34</v>
      </c>
      <c r="J1474" s="609">
        <v>100000</v>
      </c>
      <c r="K1474" s="609">
        <v>72259</v>
      </c>
      <c r="L1474" s="609">
        <v>0</v>
      </c>
      <c r="M1474" s="609">
        <v>0</v>
      </c>
      <c r="N1474" s="587">
        <f t="shared" si="160"/>
        <v>72259</v>
      </c>
      <c r="Q1474" t="str">
        <f t="shared" si="161"/>
        <v>52310</v>
      </c>
      <c r="R1474" s="126" t="str">
        <f t="shared" si="162"/>
        <v>BUILDING MAINTENANCE</v>
      </c>
      <c r="S1474" s="125" t="str">
        <f t="shared" si="163"/>
        <v>125</v>
      </c>
      <c r="T1474" s="125" t="str">
        <f t="shared" si="164"/>
        <v>65</v>
      </c>
      <c r="U1474" s="125" t="str">
        <f t="shared" si="165"/>
        <v>655</v>
      </c>
      <c r="V1474" s="125" t="str">
        <f>VLOOKUP(Q1474,'GL Category'!A:C,3,FALSE)</f>
        <v>Operations &amp; maintenance</v>
      </c>
      <c r="X1474" s="83"/>
    </row>
    <row r="1475" spans="1:24" ht="20.399999999999999" customHeight="1">
      <c r="A1475" s="608" t="s">
        <v>1031</v>
      </c>
      <c r="B1475" s="608" t="s">
        <v>1700</v>
      </c>
      <c r="C1475" s="608" t="s">
        <v>171</v>
      </c>
      <c r="D1475" s="609">
        <v>0</v>
      </c>
      <c r="E1475" s="609">
        <v>86208.09</v>
      </c>
      <c r="F1475" s="609">
        <v>0</v>
      </c>
      <c r="G1475" s="609">
        <v>0</v>
      </c>
      <c r="H1475" s="609">
        <v>0</v>
      </c>
      <c r="I1475" s="609">
        <v>0</v>
      </c>
      <c r="J1475" s="609">
        <v>0</v>
      </c>
      <c r="K1475" s="609">
        <v>0</v>
      </c>
      <c r="L1475" s="609">
        <v>0</v>
      </c>
      <c r="M1475" s="609">
        <v>0</v>
      </c>
      <c r="N1475" s="587">
        <f t="shared" si="160"/>
        <v>0</v>
      </c>
      <c r="Q1475" t="str">
        <f t="shared" si="161"/>
        <v>52310</v>
      </c>
      <c r="R1475" s="126" t="str">
        <f t="shared" si="162"/>
        <v>BUILDING MAINTENANCE</v>
      </c>
      <c r="S1475" s="125" t="str">
        <f t="shared" si="163"/>
        <v>125</v>
      </c>
      <c r="T1475" s="125" t="str">
        <f t="shared" si="164"/>
        <v>65</v>
      </c>
      <c r="U1475" s="125" t="str">
        <f t="shared" si="165"/>
        <v>655</v>
      </c>
      <c r="V1475" s="125" t="str">
        <f>VLOOKUP(Q1475,'GL Category'!A:C,3,FALSE)</f>
        <v>Operations &amp; maintenance</v>
      </c>
      <c r="X1475" s="83"/>
    </row>
    <row r="1476" spans="1:24" ht="20.399999999999999" customHeight="1">
      <c r="A1476" s="608" t="s">
        <v>1031</v>
      </c>
      <c r="B1476" s="608" t="s">
        <v>1700</v>
      </c>
      <c r="C1476" s="608" t="s">
        <v>171</v>
      </c>
      <c r="D1476" s="609">
        <v>0</v>
      </c>
      <c r="E1476" s="609">
        <v>17290.23</v>
      </c>
      <c r="F1476" s="609">
        <v>0</v>
      </c>
      <c r="G1476" s="609">
        <v>0</v>
      </c>
      <c r="H1476" s="609">
        <v>0</v>
      </c>
      <c r="I1476" s="609">
        <v>0</v>
      </c>
      <c r="J1476" s="609">
        <v>0</v>
      </c>
      <c r="K1476" s="609">
        <v>0</v>
      </c>
      <c r="L1476" s="609">
        <v>0</v>
      </c>
      <c r="M1476" s="609">
        <v>0</v>
      </c>
      <c r="N1476" s="587">
        <f t="shared" ref="N1476:N1539" si="168">SUM(K1476:M1476)</f>
        <v>0</v>
      </c>
      <c r="Q1476" t="str">
        <f t="shared" ref="Q1476:Q1539" si="169">MID(B1476,12,5)</f>
        <v>52310</v>
      </c>
      <c r="R1476" s="126" t="str">
        <f t="shared" ref="R1476:R1539" si="170">C1476</f>
        <v>BUILDING MAINTENANCE</v>
      </c>
      <c r="S1476" s="125" t="str">
        <f t="shared" ref="S1476:S1539" si="171">LEFT(B1476,3)</f>
        <v>125</v>
      </c>
      <c r="T1476" s="125" t="str">
        <f t="shared" ref="T1476:T1539" si="172">MID(B1476,5,2)</f>
        <v>65</v>
      </c>
      <c r="U1476" s="125" t="str">
        <f t="shared" ref="U1476:U1539" si="173">MID(B1476,8,3)</f>
        <v>655</v>
      </c>
      <c r="V1476" s="125" t="str">
        <f>VLOOKUP(Q1476,'GL Category'!A:C,3,FALSE)</f>
        <v>Operations &amp; maintenance</v>
      </c>
      <c r="X1476" s="83"/>
    </row>
    <row r="1477" spans="1:24" ht="20.399999999999999" customHeight="1">
      <c r="A1477" s="608" t="s">
        <v>1031</v>
      </c>
      <c r="B1477" s="608" t="s">
        <v>1702</v>
      </c>
      <c r="C1477" s="608" t="s">
        <v>241</v>
      </c>
      <c r="D1477" s="609">
        <v>712.2</v>
      </c>
      <c r="E1477" s="609">
        <v>726.54</v>
      </c>
      <c r="F1477" s="609">
        <v>177.51</v>
      </c>
      <c r="G1477" s="609">
        <v>30.78</v>
      </c>
      <c r="H1477" s="609">
        <v>500</v>
      </c>
      <c r="I1477" s="609">
        <v>60</v>
      </c>
      <c r="J1477" s="609">
        <v>500</v>
      </c>
      <c r="K1477" s="609">
        <v>500</v>
      </c>
      <c r="L1477" s="609">
        <v>0</v>
      </c>
      <c r="M1477" s="609">
        <v>0</v>
      </c>
      <c r="N1477" s="587">
        <f t="shared" si="168"/>
        <v>500</v>
      </c>
      <c r="Q1477" t="str">
        <f t="shared" si="169"/>
        <v>52460</v>
      </c>
      <c r="R1477" s="126" t="str">
        <f t="shared" si="170"/>
        <v>VEHICLE MAINTENANCE</v>
      </c>
      <c r="S1477" s="125" t="str">
        <f t="shared" si="171"/>
        <v>125</v>
      </c>
      <c r="T1477" s="125" t="str">
        <f t="shared" si="172"/>
        <v>65</v>
      </c>
      <c r="U1477" s="125" t="str">
        <f t="shared" si="173"/>
        <v>655</v>
      </c>
      <c r="V1477" s="125" t="str">
        <f>VLOOKUP(Q1477,'GL Category'!A:C,3,FALSE)</f>
        <v>Operations &amp; maintenance</v>
      </c>
      <c r="X1477" s="83"/>
    </row>
    <row r="1478" spans="1:24" ht="20.399999999999999" customHeight="1">
      <c r="A1478" s="608" t="s">
        <v>1031</v>
      </c>
      <c r="B1478" s="608" t="s">
        <v>1703</v>
      </c>
      <c r="C1478" s="608" t="s">
        <v>236</v>
      </c>
      <c r="D1478" s="609">
        <v>0</v>
      </c>
      <c r="E1478" s="609">
        <v>0</v>
      </c>
      <c r="F1478" s="609">
        <v>94.5</v>
      </c>
      <c r="G1478" s="609">
        <v>0</v>
      </c>
      <c r="H1478" s="609">
        <v>0</v>
      </c>
      <c r="I1478" s="609">
        <v>1299.5</v>
      </c>
      <c r="J1478" s="609">
        <v>0</v>
      </c>
      <c r="K1478" s="609">
        <v>0</v>
      </c>
      <c r="L1478" s="609">
        <v>0</v>
      </c>
      <c r="M1478" s="609">
        <v>0</v>
      </c>
      <c r="N1478" s="587">
        <f t="shared" si="168"/>
        <v>0</v>
      </c>
      <c r="Q1478" t="str">
        <f t="shared" si="169"/>
        <v>52470</v>
      </c>
      <c r="R1478" s="126" t="str">
        <f t="shared" si="170"/>
        <v>EQUIPMENT MAINTENANCE</v>
      </c>
      <c r="S1478" s="125" t="str">
        <f t="shared" si="171"/>
        <v>125</v>
      </c>
      <c r="T1478" s="125" t="str">
        <f t="shared" si="172"/>
        <v>65</v>
      </c>
      <c r="U1478" s="125" t="str">
        <f t="shared" si="173"/>
        <v>655</v>
      </c>
      <c r="V1478" s="125" t="str">
        <f>VLOOKUP(Q1478,'GL Category'!A:C,3,FALSE)</f>
        <v>Operations &amp; maintenance</v>
      </c>
      <c r="X1478" s="83"/>
    </row>
    <row r="1479" spans="1:24" ht="14.4" customHeight="1">
      <c r="A1479" s="608" t="s">
        <v>1031</v>
      </c>
      <c r="B1479" s="608" t="s">
        <v>1704</v>
      </c>
      <c r="C1479" s="608" t="s">
        <v>181</v>
      </c>
      <c r="D1479" s="609">
        <v>13123.52</v>
      </c>
      <c r="E1479" s="609">
        <v>12486.94</v>
      </c>
      <c r="F1479" s="609">
        <v>37483.96</v>
      </c>
      <c r="G1479" s="609">
        <v>58241.66</v>
      </c>
      <c r="H1479" s="609">
        <v>68500</v>
      </c>
      <c r="I1479" s="609">
        <v>34860.620000000003</v>
      </c>
      <c r="J1479" s="609">
        <v>62030</v>
      </c>
      <c r="K1479" s="609">
        <v>68500</v>
      </c>
      <c r="L1479" s="609">
        <v>0</v>
      </c>
      <c r="M1479" s="609">
        <v>0</v>
      </c>
      <c r="N1479" s="587">
        <f t="shared" si="168"/>
        <v>68500</v>
      </c>
      <c r="Q1479" t="str">
        <f t="shared" si="169"/>
        <v>52490</v>
      </c>
      <c r="R1479" s="126" t="str">
        <f t="shared" si="170"/>
        <v>A/C &amp; HEATING MAINTENANCE</v>
      </c>
      <c r="S1479" s="125" t="str">
        <f t="shared" si="171"/>
        <v>125</v>
      </c>
      <c r="T1479" s="125" t="str">
        <f t="shared" si="172"/>
        <v>65</v>
      </c>
      <c r="U1479" s="125" t="str">
        <f t="shared" si="173"/>
        <v>655</v>
      </c>
      <c r="V1479" s="125" t="str">
        <f>VLOOKUP(Q1479,'GL Category'!A:C,3,FALSE)</f>
        <v>Operations &amp; maintenance</v>
      </c>
      <c r="X1479" s="83"/>
    </row>
    <row r="1480" spans="1:24" ht="20.399999999999999" customHeight="1">
      <c r="A1480" s="608" t="s">
        <v>1031</v>
      </c>
      <c r="B1480" s="608" t="s">
        <v>1704</v>
      </c>
      <c r="C1480" s="608" t="s">
        <v>181</v>
      </c>
      <c r="D1480" s="609">
        <v>0</v>
      </c>
      <c r="E1480" s="609">
        <v>9339.43</v>
      </c>
      <c r="F1480" s="609">
        <v>0</v>
      </c>
      <c r="G1480" s="609">
        <v>0</v>
      </c>
      <c r="H1480" s="609">
        <v>0</v>
      </c>
      <c r="I1480" s="609">
        <v>0</v>
      </c>
      <c r="J1480" s="609">
        <v>0</v>
      </c>
      <c r="K1480" s="609">
        <v>0</v>
      </c>
      <c r="L1480" s="609">
        <v>0</v>
      </c>
      <c r="M1480" s="609">
        <v>0</v>
      </c>
      <c r="N1480" s="587">
        <f t="shared" si="168"/>
        <v>0</v>
      </c>
      <c r="Q1480" t="str">
        <f t="shared" si="169"/>
        <v>52490</v>
      </c>
      <c r="R1480" s="126" t="str">
        <f t="shared" si="170"/>
        <v>A/C &amp; HEATING MAINTENANCE</v>
      </c>
      <c r="S1480" s="125" t="str">
        <f t="shared" si="171"/>
        <v>125</v>
      </c>
      <c r="T1480" s="125" t="str">
        <f t="shared" si="172"/>
        <v>65</v>
      </c>
      <c r="U1480" s="125" t="str">
        <f t="shared" si="173"/>
        <v>655</v>
      </c>
      <c r="V1480" s="125" t="str">
        <f>VLOOKUP(Q1480,'GL Category'!A:C,3,FALSE)</f>
        <v>Operations &amp; maintenance</v>
      </c>
      <c r="X1480" s="83"/>
    </row>
    <row r="1481" spans="1:24" s="539" customFormat="1" ht="20.399999999999999" customHeight="1">
      <c r="A1481" s="608" t="s">
        <v>1031</v>
      </c>
      <c r="B1481" s="608" t="s">
        <v>1707</v>
      </c>
      <c r="C1481" s="608" t="s">
        <v>191</v>
      </c>
      <c r="D1481" s="609">
        <v>0</v>
      </c>
      <c r="E1481" s="609">
        <v>0</v>
      </c>
      <c r="F1481" s="609">
        <v>0</v>
      </c>
      <c r="G1481" s="609">
        <v>0</v>
      </c>
      <c r="H1481" s="609">
        <v>1500</v>
      </c>
      <c r="I1481" s="609">
        <v>0</v>
      </c>
      <c r="J1481" s="609">
        <v>1500</v>
      </c>
      <c r="K1481" s="609">
        <v>1500</v>
      </c>
      <c r="L1481" s="609">
        <v>0</v>
      </c>
      <c r="M1481" s="609">
        <v>0</v>
      </c>
      <c r="N1481" s="587">
        <f t="shared" si="168"/>
        <v>1500</v>
      </c>
      <c r="O1481"/>
      <c r="P1481" s="490"/>
      <c r="Q1481" t="str">
        <f t="shared" si="169"/>
        <v>53515</v>
      </c>
      <c r="R1481" s="540" t="str">
        <f t="shared" si="170"/>
        <v>TRAVEL, TRAINING &amp; EDUCATION</v>
      </c>
      <c r="S1481" s="538" t="str">
        <f t="shared" si="171"/>
        <v>125</v>
      </c>
      <c r="T1481" s="125" t="str">
        <f t="shared" si="172"/>
        <v>65</v>
      </c>
      <c r="U1481" s="125" t="str">
        <f t="shared" si="173"/>
        <v>655</v>
      </c>
      <c r="V1481" s="538" t="str">
        <f>VLOOKUP(Q1481,'GL Category'!A:C,3,FALSE)</f>
        <v>Services &amp; other</v>
      </c>
      <c r="X1481" s="83"/>
    </row>
    <row r="1482" spans="1:24" ht="20.399999999999999" customHeight="1">
      <c r="A1482" s="608" t="s">
        <v>1031</v>
      </c>
      <c r="B1482" s="608" t="s">
        <v>1708</v>
      </c>
      <c r="C1482" s="608" t="s">
        <v>6</v>
      </c>
      <c r="D1482" s="609">
        <v>1300</v>
      </c>
      <c r="E1482" s="609">
        <v>641.89</v>
      </c>
      <c r="F1482" s="609">
        <v>753.19</v>
      </c>
      <c r="G1482" s="609">
        <v>1717.29</v>
      </c>
      <c r="H1482" s="609">
        <v>3200</v>
      </c>
      <c r="I1482" s="609">
        <v>2419.33</v>
      </c>
      <c r="J1482" s="609">
        <v>2800</v>
      </c>
      <c r="K1482" s="609">
        <v>3200</v>
      </c>
      <c r="L1482" s="609">
        <v>0</v>
      </c>
      <c r="M1482" s="609">
        <v>0</v>
      </c>
      <c r="N1482" s="587">
        <f t="shared" si="168"/>
        <v>3200</v>
      </c>
      <c r="Q1482" t="str">
        <f t="shared" si="169"/>
        <v>53524</v>
      </c>
      <c r="R1482" s="126" t="str">
        <f t="shared" si="170"/>
        <v>EQUIPMENT RENTAL</v>
      </c>
      <c r="S1482" s="125" t="str">
        <f t="shared" si="171"/>
        <v>125</v>
      </c>
      <c r="T1482" s="125" t="str">
        <f t="shared" si="172"/>
        <v>65</v>
      </c>
      <c r="U1482" s="125" t="str">
        <f t="shared" si="173"/>
        <v>655</v>
      </c>
      <c r="V1482" s="125" t="str">
        <f>VLOOKUP(Q1482,'GL Category'!A:C,3,FALSE)</f>
        <v>Services &amp; other</v>
      </c>
      <c r="X1482" s="83"/>
    </row>
    <row r="1483" spans="1:24" ht="20.399999999999999" customHeight="1">
      <c r="A1483" s="608" t="s">
        <v>1031</v>
      </c>
      <c r="B1483" s="608" t="s">
        <v>1709</v>
      </c>
      <c r="C1483" s="608" t="s">
        <v>906</v>
      </c>
      <c r="D1483" s="609">
        <v>159120</v>
      </c>
      <c r="E1483" s="609">
        <v>159120</v>
      </c>
      <c r="F1483" s="609">
        <v>159920</v>
      </c>
      <c r="G1483" s="609">
        <v>163686.66</v>
      </c>
      <c r="H1483" s="609">
        <v>160000</v>
      </c>
      <c r="I1483" s="609">
        <v>111502</v>
      </c>
      <c r="J1483" s="609">
        <v>167000</v>
      </c>
      <c r="K1483" s="609">
        <v>167000</v>
      </c>
      <c r="L1483" s="609">
        <v>0</v>
      </c>
      <c r="M1483" s="609">
        <v>0</v>
      </c>
      <c r="N1483" s="587">
        <f t="shared" si="168"/>
        <v>167000</v>
      </c>
      <c r="Q1483" t="str">
        <f t="shared" si="169"/>
        <v>53529</v>
      </c>
      <c r="R1483" s="126" t="str">
        <f t="shared" si="170"/>
        <v>JANITORIAL SERVICES</v>
      </c>
      <c r="S1483" s="125" t="str">
        <f t="shared" si="171"/>
        <v>125</v>
      </c>
      <c r="T1483" s="125" t="str">
        <f t="shared" si="172"/>
        <v>65</v>
      </c>
      <c r="U1483" s="125" t="str">
        <f t="shared" si="173"/>
        <v>655</v>
      </c>
      <c r="V1483" s="125" t="str">
        <f>VLOOKUP(Q1483,'GL Category'!A:C,3,FALSE)</f>
        <v>Services &amp; other</v>
      </c>
      <c r="X1483" s="83"/>
    </row>
    <row r="1484" spans="1:24" ht="20.399999999999999" customHeight="1">
      <c r="A1484" s="608" t="s">
        <v>1031</v>
      </c>
      <c r="B1484" s="608" t="s">
        <v>1705</v>
      </c>
      <c r="C1484" s="608" t="s">
        <v>238</v>
      </c>
      <c r="D1484" s="609">
        <v>0</v>
      </c>
      <c r="E1484" s="609">
        <v>0</v>
      </c>
      <c r="F1484" s="609">
        <v>3148.86</v>
      </c>
      <c r="G1484" s="609">
        <v>120</v>
      </c>
      <c r="H1484" s="609">
        <v>0</v>
      </c>
      <c r="I1484" s="609">
        <v>0</v>
      </c>
      <c r="J1484" s="609">
        <v>0</v>
      </c>
      <c r="K1484" s="609">
        <v>0</v>
      </c>
      <c r="L1484" s="609">
        <v>0</v>
      </c>
      <c r="M1484" s="609">
        <v>0</v>
      </c>
      <c r="N1484" s="587">
        <f t="shared" si="168"/>
        <v>0</v>
      </c>
      <c r="Q1484" t="str">
        <f t="shared" si="169"/>
        <v>53599</v>
      </c>
      <c r="R1484" s="126" t="str">
        <f t="shared" si="170"/>
        <v>MISCELLANEOUS SERVICES</v>
      </c>
      <c r="S1484" s="125" t="str">
        <f t="shared" si="171"/>
        <v>125</v>
      </c>
      <c r="T1484" s="125" t="str">
        <f t="shared" si="172"/>
        <v>65</v>
      </c>
      <c r="U1484" s="125" t="str">
        <f t="shared" si="173"/>
        <v>655</v>
      </c>
      <c r="V1484" s="125" t="str">
        <f>VLOOKUP(Q1484,'GL Category'!A:C,3,FALSE)</f>
        <v>Services &amp; other</v>
      </c>
      <c r="X1484" s="83"/>
    </row>
    <row r="1485" spans="1:24" s="539" customFormat="1" ht="20.399999999999999" customHeight="1">
      <c r="A1485" s="608" t="s">
        <v>1031</v>
      </c>
      <c r="B1485" s="608" t="s">
        <v>1711</v>
      </c>
      <c r="C1485" s="608" t="s">
        <v>221</v>
      </c>
      <c r="D1485" s="609">
        <v>1096</v>
      </c>
      <c r="E1485" s="609">
        <v>1783</v>
      </c>
      <c r="F1485" s="609">
        <v>795</v>
      </c>
      <c r="G1485" s="609">
        <v>1099</v>
      </c>
      <c r="H1485" s="609">
        <v>1300</v>
      </c>
      <c r="I1485" s="609">
        <v>975</v>
      </c>
      <c r="J1485" s="609">
        <v>1300</v>
      </c>
      <c r="K1485" s="609">
        <v>1445</v>
      </c>
      <c r="L1485" s="609">
        <v>0</v>
      </c>
      <c r="M1485" s="609">
        <v>0</v>
      </c>
      <c r="N1485" s="587">
        <f t="shared" si="168"/>
        <v>1445</v>
      </c>
      <c r="O1485"/>
      <c r="P1485" s="490"/>
      <c r="Q1485" t="str">
        <f t="shared" si="169"/>
        <v>55119</v>
      </c>
      <c r="R1485" s="540" t="str">
        <f t="shared" si="170"/>
        <v>OFFICE EQUIP LEASE EXP-CITY</v>
      </c>
      <c r="S1485" s="538" t="str">
        <f t="shared" si="171"/>
        <v>125</v>
      </c>
      <c r="T1485" s="125" t="str">
        <f t="shared" si="172"/>
        <v>65</v>
      </c>
      <c r="U1485" s="125" t="str">
        <f t="shared" si="173"/>
        <v>655</v>
      </c>
      <c r="V1485" s="538" t="str">
        <f>VLOOKUP(Q1485,'GL Category'!A:C,3,FALSE)</f>
        <v>Services &amp; other</v>
      </c>
      <c r="X1485" s="83"/>
    </row>
    <row r="1486" spans="1:24" s="539" customFormat="1" ht="20.399999999999999" customHeight="1">
      <c r="A1486" s="608" t="s">
        <v>1031</v>
      </c>
      <c r="B1486" s="608" t="s">
        <v>1710</v>
      </c>
      <c r="C1486" s="608" t="s">
        <v>220</v>
      </c>
      <c r="D1486" s="609">
        <v>4733</v>
      </c>
      <c r="E1486" s="609">
        <v>4727</v>
      </c>
      <c r="F1486" s="609">
        <v>5561</v>
      </c>
      <c r="G1486" s="609">
        <v>7840</v>
      </c>
      <c r="H1486" s="609">
        <v>8280</v>
      </c>
      <c r="I1486" s="609">
        <v>6210</v>
      </c>
      <c r="J1486" s="609">
        <v>8280</v>
      </c>
      <c r="K1486" s="609">
        <v>6766</v>
      </c>
      <c r="L1486" s="609">
        <v>0</v>
      </c>
      <c r="M1486" s="609">
        <v>0</v>
      </c>
      <c r="N1486" s="587">
        <f t="shared" si="168"/>
        <v>6766</v>
      </c>
      <c r="O1486"/>
      <c r="P1486" s="490"/>
      <c r="Q1486" t="str">
        <f t="shared" si="169"/>
        <v>55175</v>
      </c>
      <c r="R1486" s="540" t="str">
        <f t="shared" si="170"/>
        <v>VEHICLE/EQUIP LEASE EXP-CITY</v>
      </c>
      <c r="S1486" s="538" t="str">
        <f t="shared" si="171"/>
        <v>125</v>
      </c>
      <c r="T1486" s="125" t="str">
        <f t="shared" si="172"/>
        <v>65</v>
      </c>
      <c r="U1486" s="125" t="str">
        <f t="shared" si="173"/>
        <v>655</v>
      </c>
      <c r="V1486" s="538" t="str">
        <f>VLOOKUP(Q1486,'GL Category'!A:C,3,FALSE)</f>
        <v>Services &amp; other</v>
      </c>
      <c r="X1486" s="83"/>
    </row>
    <row r="1487" spans="1:24" s="539" customFormat="1" ht="20.399999999999999" customHeight="1">
      <c r="A1487" s="608" t="s">
        <v>1031</v>
      </c>
      <c r="B1487" s="608" t="s">
        <v>1713</v>
      </c>
      <c r="C1487" s="608" t="s">
        <v>130</v>
      </c>
      <c r="D1487" s="609">
        <v>54476.9</v>
      </c>
      <c r="E1487" s="609">
        <v>47623.4</v>
      </c>
      <c r="F1487" s="609">
        <v>46463.1</v>
      </c>
      <c r="G1487" s="609">
        <v>61028.3</v>
      </c>
      <c r="H1487" s="609">
        <v>63307</v>
      </c>
      <c r="I1487" s="609">
        <v>48497.63</v>
      </c>
      <c r="J1487" s="609">
        <v>63666</v>
      </c>
      <c r="K1487" s="609">
        <v>65843</v>
      </c>
      <c r="L1487" s="609">
        <v>0</v>
      </c>
      <c r="M1487" s="609">
        <v>0</v>
      </c>
      <c r="N1487" s="587">
        <f t="shared" si="168"/>
        <v>65843</v>
      </c>
      <c r="O1487"/>
      <c r="P1487" s="490"/>
      <c r="Q1487" t="str">
        <f t="shared" si="169"/>
        <v>50101</v>
      </c>
      <c r="R1487" s="540" t="str">
        <f t="shared" si="170"/>
        <v>EXEMPT SALARIES</v>
      </c>
      <c r="S1487" s="538" t="str">
        <f t="shared" si="171"/>
        <v>125</v>
      </c>
      <c r="T1487" s="125" t="str">
        <f t="shared" si="172"/>
        <v>65</v>
      </c>
      <c r="U1487" s="125" t="str">
        <f t="shared" si="173"/>
        <v>656</v>
      </c>
      <c r="V1487" s="538" t="str">
        <f>VLOOKUP(Q1487,'GL Category'!A:C,3,FALSE)</f>
        <v>Personnel services</v>
      </c>
      <c r="X1487" s="83"/>
    </row>
    <row r="1488" spans="1:24" ht="20.399999999999999" customHeight="1">
      <c r="A1488" s="608" t="s">
        <v>1031</v>
      </c>
      <c r="B1488" s="608" t="s">
        <v>1714</v>
      </c>
      <c r="C1488" s="608" t="s">
        <v>132</v>
      </c>
      <c r="D1488" s="609">
        <v>0</v>
      </c>
      <c r="E1488" s="609">
        <v>0</v>
      </c>
      <c r="F1488" s="609">
        <v>0</v>
      </c>
      <c r="G1488" s="609">
        <v>0</v>
      </c>
      <c r="H1488" s="609">
        <v>0</v>
      </c>
      <c r="I1488" s="609">
        <v>0</v>
      </c>
      <c r="J1488" s="609">
        <v>0</v>
      </c>
      <c r="K1488" s="609">
        <v>0</v>
      </c>
      <c r="L1488" s="609">
        <v>0</v>
      </c>
      <c r="M1488" s="609">
        <v>0</v>
      </c>
      <c r="N1488" s="587">
        <f t="shared" si="168"/>
        <v>0</v>
      </c>
      <c r="Q1488" t="str">
        <f t="shared" si="169"/>
        <v>50102</v>
      </c>
      <c r="R1488" s="126" t="str">
        <f t="shared" si="170"/>
        <v>NON EXEMPT SALARIES</v>
      </c>
      <c r="S1488" s="125" t="str">
        <f t="shared" si="171"/>
        <v>125</v>
      </c>
      <c r="T1488" s="125" t="str">
        <f t="shared" si="172"/>
        <v>65</v>
      </c>
      <c r="U1488" s="125" t="str">
        <f t="shared" si="173"/>
        <v>656</v>
      </c>
      <c r="V1488" s="125" t="str">
        <f>VLOOKUP(Q1488,'GL Category'!A:C,3,FALSE)</f>
        <v>Personnel services</v>
      </c>
      <c r="X1488" s="83"/>
    </row>
    <row r="1489" spans="1:24" s="539" customFormat="1" ht="20.399999999999999" customHeight="1">
      <c r="A1489" s="608" t="s">
        <v>1031</v>
      </c>
      <c r="B1489" s="608" t="s">
        <v>1715</v>
      </c>
      <c r="C1489" s="608" t="s">
        <v>0</v>
      </c>
      <c r="D1489" s="609">
        <v>0</v>
      </c>
      <c r="E1489" s="609">
        <v>272.13</v>
      </c>
      <c r="F1489" s="609">
        <v>87.12</v>
      </c>
      <c r="G1489" s="609">
        <v>172.13</v>
      </c>
      <c r="H1489" s="609">
        <v>800</v>
      </c>
      <c r="I1489" s="609">
        <v>0</v>
      </c>
      <c r="J1489" s="609">
        <v>0</v>
      </c>
      <c r="K1489" s="609">
        <v>800</v>
      </c>
      <c r="L1489" s="609">
        <v>0</v>
      </c>
      <c r="M1489" s="609">
        <v>0</v>
      </c>
      <c r="N1489" s="587">
        <f t="shared" si="168"/>
        <v>800</v>
      </c>
      <c r="O1489"/>
      <c r="P1489" s="490"/>
      <c r="Q1489" t="str">
        <f t="shared" si="169"/>
        <v>50109</v>
      </c>
      <c r="R1489" s="540" t="str">
        <f t="shared" si="170"/>
        <v>OVERTIME</v>
      </c>
      <c r="S1489" s="538" t="str">
        <f t="shared" si="171"/>
        <v>125</v>
      </c>
      <c r="T1489" s="125" t="str">
        <f t="shared" si="172"/>
        <v>65</v>
      </c>
      <c r="U1489" s="125" t="str">
        <f t="shared" si="173"/>
        <v>656</v>
      </c>
      <c r="V1489" s="538" t="str">
        <f>VLOOKUP(Q1489,'GL Category'!A:C,3,FALSE)</f>
        <v>Personnel services</v>
      </c>
      <c r="X1489" s="83"/>
    </row>
    <row r="1490" spans="1:24" ht="20.399999999999999" customHeight="1">
      <c r="A1490" s="608" t="s">
        <v>1031</v>
      </c>
      <c r="B1490" s="608" t="s">
        <v>1716</v>
      </c>
      <c r="C1490" s="608" t="s">
        <v>135</v>
      </c>
      <c r="D1490" s="609">
        <v>104558.33</v>
      </c>
      <c r="E1490" s="609">
        <v>104931.33</v>
      </c>
      <c r="F1490" s="609">
        <v>132771.54999999999</v>
      </c>
      <c r="G1490" s="609">
        <v>221395.51</v>
      </c>
      <c r="H1490" s="609">
        <v>190633</v>
      </c>
      <c r="I1490" s="609">
        <v>154089.18</v>
      </c>
      <c r="J1490" s="609">
        <v>195000</v>
      </c>
      <c r="K1490" s="609">
        <v>190633</v>
      </c>
      <c r="L1490" s="609">
        <v>0</v>
      </c>
      <c r="M1490" s="609">
        <v>0</v>
      </c>
      <c r="N1490" s="587">
        <f t="shared" si="168"/>
        <v>190633</v>
      </c>
      <c r="Q1490" t="str">
        <f t="shared" si="169"/>
        <v>50110</v>
      </c>
      <c r="R1490" s="126" t="str">
        <f t="shared" si="170"/>
        <v>PART-TIME WAGES</v>
      </c>
      <c r="S1490" s="125" t="str">
        <f t="shared" si="171"/>
        <v>125</v>
      </c>
      <c r="T1490" s="125" t="str">
        <f t="shared" si="172"/>
        <v>65</v>
      </c>
      <c r="U1490" s="125" t="str">
        <f t="shared" si="173"/>
        <v>656</v>
      </c>
      <c r="V1490" s="125" t="str">
        <f>VLOOKUP(Q1490,'GL Category'!A:C,3,FALSE)</f>
        <v>Personnel services</v>
      </c>
      <c r="X1490" s="83"/>
    </row>
    <row r="1491" spans="1:24" ht="20.399999999999999" customHeight="1">
      <c r="A1491" s="608" t="s">
        <v>1031</v>
      </c>
      <c r="B1491" s="608" t="s">
        <v>1716</v>
      </c>
      <c r="C1491" s="608" t="s">
        <v>135</v>
      </c>
      <c r="D1491" s="609">
        <v>0</v>
      </c>
      <c r="E1491" s="609">
        <v>0</v>
      </c>
      <c r="F1491" s="609">
        <v>0</v>
      </c>
      <c r="G1491" s="609">
        <v>0</v>
      </c>
      <c r="H1491" s="609">
        <v>0</v>
      </c>
      <c r="I1491" s="609">
        <v>0</v>
      </c>
      <c r="J1491" s="609">
        <v>0</v>
      </c>
      <c r="K1491" s="609">
        <v>0</v>
      </c>
      <c r="L1491" s="609">
        <v>0</v>
      </c>
      <c r="M1491" s="609">
        <v>0</v>
      </c>
      <c r="N1491" s="587">
        <f t="shared" si="168"/>
        <v>0</v>
      </c>
      <c r="Q1491" t="str">
        <f t="shared" si="169"/>
        <v>50110</v>
      </c>
      <c r="R1491" s="126" t="str">
        <f t="shared" si="170"/>
        <v>PART-TIME WAGES</v>
      </c>
      <c r="S1491" s="125" t="str">
        <f t="shared" si="171"/>
        <v>125</v>
      </c>
      <c r="T1491" s="125" t="str">
        <f t="shared" si="172"/>
        <v>65</v>
      </c>
      <c r="U1491" s="125" t="str">
        <f t="shared" si="173"/>
        <v>656</v>
      </c>
      <c r="V1491" s="125" t="str">
        <f>VLOOKUP(Q1491,'GL Category'!A:C,3,FALSE)</f>
        <v>Personnel services</v>
      </c>
      <c r="X1491" s="83"/>
    </row>
    <row r="1492" spans="1:24" ht="20.399999999999999" customHeight="1">
      <c r="A1492" s="608" t="s">
        <v>1031</v>
      </c>
      <c r="B1492" s="608" t="s">
        <v>1717</v>
      </c>
      <c r="C1492" s="608" t="s">
        <v>137</v>
      </c>
      <c r="D1492" s="609">
        <v>215</v>
      </c>
      <c r="E1492" s="609">
        <v>275</v>
      </c>
      <c r="F1492" s="609">
        <v>0</v>
      </c>
      <c r="G1492" s="609">
        <v>370</v>
      </c>
      <c r="H1492" s="609">
        <v>434</v>
      </c>
      <c r="I1492" s="609">
        <v>430</v>
      </c>
      <c r="J1492" s="609">
        <v>430</v>
      </c>
      <c r="K1492" s="609">
        <v>495</v>
      </c>
      <c r="L1492" s="609">
        <v>0</v>
      </c>
      <c r="M1492" s="609">
        <v>0</v>
      </c>
      <c r="N1492" s="587">
        <f t="shared" si="168"/>
        <v>495</v>
      </c>
      <c r="P1492" s="490">
        <f>N1492-H1492</f>
        <v>61</v>
      </c>
      <c r="Q1492" t="str">
        <f t="shared" si="169"/>
        <v>50111</v>
      </c>
      <c r="R1492" s="126" t="str">
        <f t="shared" si="170"/>
        <v>LONGEVITY PAY</v>
      </c>
      <c r="S1492" s="125" t="str">
        <f t="shared" si="171"/>
        <v>125</v>
      </c>
      <c r="T1492" s="125" t="str">
        <f t="shared" si="172"/>
        <v>65</v>
      </c>
      <c r="U1492" s="125" t="str">
        <f t="shared" si="173"/>
        <v>656</v>
      </c>
      <c r="V1492" s="125" t="str">
        <f>VLOOKUP(Q1492,'GL Category'!A:C,3,FALSE)</f>
        <v>Personnel services</v>
      </c>
      <c r="X1492" s="83"/>
    </row>
    <row r="1493" spans="1:24" ht="20.399999999999999" customHeight="1">
      <c r="A1493" s="608" t="s">
        <v>1031</v>
      </c>
      <c r="B1493" s="608" t="s">
        <v>1718</v>
      </c>
      <c r="C1493" s="608" t="s">
        <v>250</v>
      </c>
      <c r="D1493" s="609">
        <v>22968.13</v>
      </c>
      <c r="E1493" s="609">
        <v>37414.25</v>
      </c>
      <c r="F1493" s="609">
        <v>0</v>
      </c>
      <c r="G1493" s="609">
        <v>0</v>
      </c>
      <c r="H1493" s="609">
        <v>0</v>
      </c>
      <c r="I1493" s="609">
        <v>0</v>
      </c>
      <c r="J1493" s="609">
        <v>0</v>
      </c>
      <c r="K1493" s="609">
        <v>0</v>
      </c>
      <c r="L1493" s="609">
        <v>0</v>
      </c>
      <c r="M1493" s="609">
        <v>0</v>
      </c>
      <c r="N1493" s="587">
        <f t="shared" si="168"/>
        <v>0</v>
      </c>
      <c r="P1493" s="490">
        <f>N1493-H1493</f>
        <v>0</v>
      </c>
      <c r="Q1493" t="str">
        <f t="shared" si="169"/>
        <v>50112</v>
      </c>
      <c r="R1493" s="126" t="str">
        <f t="shared" si="170"/>
        <v>TEMPORARY/SEASONAL WAGES</v>
      </c>
      <c r="S1493" s="125" t="str">
        <f t="shared" si="171"/>
        <v>125</v>
      </c>
      <c r="T1493" s="125" t="str">
        <f t="shared" si="172"/>
        <v>65</v>
      </c>
      <c r="U1493" s="125" t="str">
        <f t="shared" si="173"/>
        <v>656</v>
      </c>
      <c r="V1493" s="125" t="str">
        <f>VLOOKUP(Q1493,'GL Category'!A:C,3,FALSE)</f>
        <v>Personnel services</v>
      </c>
      <c r="X1493" s="83"/>
    </row>
    <row r="1494" spans="1:24" ht="20.399999999999999" customHeight="1">
      <c r="A1494" s="608" t="s">
        <v>1031</v>
      </c>
      <c r="B1494" s="608" t="s">
        <v>1718</v>
      </c>
      <c r="C1494" s="608" t="s">
        <v>250</v>
      </c>
      <c r="D1494" s="609">
        <v>0</v>
      </c>
      <c r="E1494" s="609">
        <v>0</v>
      </c>
      <c r="F1494" s="609">
        <v>0</v>
      </c>
      <c r="G1494" s="609">
        <v>0</v>
      </c>
      <c r="H1494" s="609">
        <v>0</v>
      </c>
      <c r="I1494" s="609">
        <v>0</v>
      </c>
      <c r="J1494" s="609">
        <v>0</v>
      </c>
      <c r="K1494" s="609">
        <v>0</v>
      </c>
      <c r="L1494" s="609">
        <v>0</v>
      </c>
      <c r="M1494" s="609">
        <v>0</v>
      </c>
      <c r="N1494" s="587">
        <f t="shared" si="168"/>
        <v>0</v>
      </c>
      <c r="Q1494" t="str">
        <f t="shared" si="169"/>
        <v>50112</v>
      </c>
      <c r="R1494" s="126" t="str">
        <f t="shared" si="170"/>
        <v>TEMPORARY/SEASONAL WAGES</v>
      </c>
      <c r="S1494" s="125" t="str">
        <f t="shared" si="171"/>
        <v>125</v>
      </c>
      <c r="T1494" s="125" t="str">
        <f t="shared" si="172"/>
        <v>65</v>
      </c>
      <c r="U1494" s="125" t="str">
        <f t="shared" si="173"/>
        <v>656</v>
      </c>
      <c r="V1494" s="125" t="str">
        <f>VLOOKUP(Q1494,'GL Category'!A:C,3,FALSE)</f>
        <v>Personnel services</v>
      </c>
      <c r="X1494" s="83"/>
    </row>
    <row r="1495" spans="1:24" ht="20.399999999999999" customHeight="1">
      <c r="A1495" s="608" t="s">
        <v>1031</v>
      </c>
      <c r="B1495" s="608" t="s">
        <v>1719</v>
      </c>
      <c r="C1495" s="608" t="s">
        <v>1</v>
      </c>
      <c r="D1495" s="609">
        <v>13654.61</v>
      </c>
      <c r="E1495" s="609">
        <v>14217.58</v>
      </c>
      <c r="F1495" s="609">
        <v>13716.78</v>
      </c>
      <c r="G1495" s="609">
        <v>21661.06</v>
      </c>
      <c r="H1495" s="609">
        <v>19600</v>
      </c>
      <c r="I1495" s="609">
        <v>15562.56</v>
      </c>
      <c r="J1495" s="609">
        <v>21000</v>
      </c>
      <c r="K1495" s="609">
        <v>14710</v>
      </c>
      <c r="L1495" s="609">
        <v>0</v>
      </c>
      <c r="M1495" s="609">
        <v>0</v>
      </c>
      <c r="N1495" s="587">
        <f t="shared" si="168"/>
        <v>14710</v>
      </c>
      <c r="Q1495" t="str">
        <f t="shared" si="169"/>
        <v>50610</v>
      </c>
      <c r="R1495" s="126" t="str">
        <f t="shared" si="170"/>
        <v>SOCIAL SECURITY</v>
      </c>
      <c r="S1495" s="125" t="str">
        <f t="shared" si="171"/>
        <v>125</v>
      </c>
      <c r="T1495" s="125" t="str">
        <f t="shared" si="172"/>
        <v>65</v>
      </c>
      <c r="U1495" s="125" t="str">
        <f t="shared" si="173"/>
        <v>656</v>
      </c>
      <c r="V1495" s="125" t="str">
        <f>VLOOKUP(Q1495,'GL Category'!A:C,3,FALSE)</f>
        <v>Personnel services</v>
      </c>
      <c r="X1495" s="83"/>
    </row>
    <row r="1496" spans="1:24" ht="20.399999999999999" customHeight="1">
      <c r="A1496" s="608" t="s">
        <v>1031</v>
      </c>
      <c r="B1496" s="608" t="s">
        <v>1719</v>
      </c>
      <c r="C1496" s="608" t="s">
        <v>1</v>
      </c>
      <c r="D1496" s="609">
        <v>0</v>
      </c>
      <c r="E1496" s="609">
        <v>0</v>
      </c>
      <c r="F1496" s="609">
        <v>0</v>
      </c>
      <c r="G1496" s="609">
        <v>0</v>
      </c>
      <c r="H1496" s="609">
        <v>0</v>
      </c>
      <c r="I1496" s="609">
        <v>0</v>
      </c>
      <c r="J1496" s="609">
        <v>0</v>
      </c>
      <c r="K1496" s="609">
        <v>0</v>
      </c>
      <c r="L1496" s="609">
        <v>0</v>
      </c>
      <c r="M1496" s="609">
        <v>0</v>
      </c>
      <c r="N1496" s="587">
        <f t="shared" si="168"/>
        <v>0</v>
      </c>
      <c r="Q1496" t="str">
        <f t="shared" si="169"/>
        <v>50610</v>
      </c>
      <c r="R1496" s="126" t="str">
        <f t="shared" si="170"/>
        <v>SOCIAL SECURITY</v>
      </c>
      <c r="S1496" s="125" t="str">
        <f t="shared" si="171"/>
        <v>125</v>
      </c>
      <c r="T1496" s="125" t="str">
        <f t="shared" si="172"/>
        <v>65</v>
      </c>
      <c r="U1496" s="125" t="str">
        <f t="shared" si="173"/>
        <v>656</v>
      </c>
      <c r="V1496" s="125" t="str">
        <f>VLOOKUP(Q1496,'GL Category'!A:C,3,FALSE)</f>
        <v>Personnel services</v>
      </c>
      <c r="X1496" s="83"/>
    </row>
    <row r="1497" spans="1:24" ht="20.399999999999999" customHeight="1">
      <c r="A1497" s="608" t="s">
        <v>1031</v>
      </c>
      <c r="B1497" s="608" t="s">
        <v>1720</v>
      </c>
      <c r="C1497" s="608" t="s">
        <v>142</v>
      </c>
      <c r="D1497" s="609">
        <v>21877.08</v>
      </c>
      <c r="E1497" s="609">
        <v>17251.91</v>
      </c>
      <c r="F1497" s="609">
        <v>2477.65</v>
      </c>
      <c r="G1497" s="609">
        <v>1104.53</v>
      </c>
      <c r="H1497" s="609">
        <v>1490</v>
      </c>
      <c r="I1497" s="609">
        <v>830.41</v>
      </c>
      <c r="J1497" s="609">
        <v>1100</v>
      </c>
      <c r="K1497" s="609">
        <v>1494</v>
      </c>
      <c r="L1497" s="609">
        <v>0</v>
      </c>
      <c r="M1497" s="609">
        <v>0</v>
      </c>
      <c r="N1497" s="587">
        <f t="shared" si="168"/>
        <v>1494</v>
      </c>
      <c r="Q1497" t="str">
        <f t="shared" si="169"/>
        <v>50620</v>
      </c>
      <c r="R1497" s="126" t="str">
        <f t="shared" si="170"/>
        <v>HEALTH/LIFE INSURANCE</v>
      </c>
      <c r="S1497" s="125" t="str">
        <f t="shared" si="171"/>
        <v>125</v>
      </c>
      <c r="T1497" s="125" t="str">
        <f t="shared" si="172"/>
        <v>65</v>
      </c>
      <c r="U1497" s="125" t="str">
        <f t="shared" si="173"/>
        <v>656</v>
      </c>
      <c r="V1497" s="125" t="str">
        <f>VLOOKUP(Q1497,'GL Category'!A:C,3,FALSE)</f>
        <v>Personnel services</v>
      </c>
      <c r="X1497" s="83"/>
    </row>
    <row r="1498" spans="1:24" ht="20.399999999999999" customHeight="1">
      <c r="A1498" s="608" t="s">
        <v>1031</v>
      </c>
      <c r="B1498" s="608" t="s">
        <v>1721</v>
      </c>
      <c r="C1498" s="608" t="s">
        <v>144</v>
      </c>
      <c r="D1498" s="609">
        <v>1147.99</v>
      </c>
      <c r="E1498" s="609">
        <v>934.12</v>
      </c>
      <c r="F1498" s="609">
        <v>1098.1600000000001</v>
      </c>
      <c r="G1498" s="609">
        <v>1923.41</v>
      </c>
      <c r="H1498" s="609">
        <v>2486</v>
      </c>
      <c r="I1498" s="609">
        <v>2483.9699999999998</v>
      </c>
      <c r="J1498" s="609">
        <v>2484</v>
      </c>
      <c r="K1498" s="609">
        <v>2284</v>
      </c>
      <c r="L1498" s="609">
        <v>0</v>
      </c>
      <c r="M1498" s="609">
        <v>0</v>
      </c>
      <c r="N1498" s="587">
        <f t="shared" si="168"/>
        <v>2284</v>
      </c>
      <c r="Q1498" t="str">
        <f t="shared" si="169"/>
        <v>50630</v>
      </c>
      <c r="R1498" s="126" t="str">
        <f t="shared" si="170"/>
        <v>WORKER COMPENSATION</v>
      </c>
      <c r="S1498" s="125" t="str">
        <f t="shared" si="171"/>
        <v>125</v>
      </c>
      <c r="T1498" s="125" t="str">
        <f t="shared" si="172"/>
        <v>65</v>
      </c>
      <c r="U1498" s="125" t="str">
        <f t="shared" si="173"/>
        <v>656</v>
      </c>
      <c r="V1498" s="125" t="str">
        <f>VLOOKUP(Q1498,'GL Category'!A:C,3,FALSE)</f>
        <v>Personnel services</v>
      </c>
      <c r="X1498" s="83"/>
    </row>
    <row r="1499" spans="1:24" ht="20.399999999999999" customHeight="1">
      <c r="A1499" s="608" t="s">
        <v>1031</v>
      </c>
      <c r="B1499" s="608" t="s">
        <v>1722</v>
      </c>
      <c r="C1499" s="608" t="s">
        <v>2</v>
      </c>
      <c r="D1499" s="609">
        <v>8687.2800000000007</v>
      </c>
      <c r="E1499" s="609">
        <v>7734.49</v>
      </c>
      <c r="F1499" s="609">
        <v>7536.39</v>
      </c>
      <c r="G1499" s="609">
        <v>9990.75</v>
      </c>
      <c r="H1499" s="609">
        <v>10807</v>
      </c>
      <c r="I1499" s="609">
        <v>8180.4</v>
      </c>
      <c r="J1499" s="609">
        <v>10729</v>
      </c>
      <c r="K1499" s="609">
        <v>11508</v>
      </c>
      <c r="L1499" s="609">
        <v>0</v>
      </c>
      <c r="M1499" s="609">
        <v>0</v>
      </c>
      <c r="N1499" s="587">
        <f t="shared" si="168"/>
        <v>11508</v>
      </c>
      <c r="Q1499" t="str">
        <f t="shared" si="169"/>
        <v>50650</v>
      </c>
      <c r="R1499" s="126" t="str">
        <f t="shared" si="170"/>
        <v>RETIREMENT</v>
      </c>
      <c r="S1499" s="125" t="str">
        <f t="shared" si="171"/>
        <v>125</v>
      </c>
      <c r="T1499" s="125" t="str">
        <f t="shared" si="172"/>
        <v>65</v>
      </c>
      <c r="U1499" s="125" t="str">
        <f t="shared" si="173"/>
        <v>656</v>
      </c>
      <c r="V1499" s="125" t="str">
        <f>VLOOKUP(Q1499,'GL Category'!A:C,3,FALSE)</f>
        <v>Personnel services</v>
      </c>
      <c r="X1499" s="83"/>
    </row>
    <row r="1500" spans="1:24" ht="20.399999999999999" customHeight="1">
      <c r="A1500" s="608" t="s">
        <v>1031</v>
      </c>
      <c r="B1500" s="608" t="s">
        <v>1723</v>
      </c>
      <c r="C1500" s="608" t="s">
        <v>4</v>
      </c>
      <c r="D1500" s="609">
        <v>514.5</v>
      </c>
      <c r="E1500" s="609">
        <v>118.76</v>
      </c>
      <c r="F1500" s="609">
        <v>188.9</v>
      </c>
      <c r="G1500" s="609">
        <v>2294.15</v>
      </c>
      <c r="H1500" s="609">
        <v>300</v>
      </c>
      <c r="I1500" s="609">
        <v>124.74</v>
      </c>
      <c r="J1500" s="609">
        <v>300</v>
      </c>
      <c r="K1500" s="609">
        <v>800</v>
      </c>
      <c r="L1500" s="609">
        <v>0</v>
      </c>
      <c r="M1500" s="609">
        <v>0</v>
      </c>
      <c r="N1500" s="587">
        <f t="shared" si="168"/>
        <v>800</v>
      </c>
      <c r="Q1500" t="str">
        <f t="shared" si="169"/>
        <v>51245</v>
      </c>
      <c r="R1500" s="126" t="str">
        <f t="shared" si="170"/>
        <v>SMALL TOOLS &amp; EQUIPMENT</v>
      </c>
      <c r="S1500" s="125" t="str">
        <f t="shared" si="171"/>
        <v>125</v>
      </c>
      <c r="T1500" s="125" t="str">
        <f t="shared" si="172"/>
        <v>65</v>
      </c>
      <c r="U1500" s="125" t="str">
        <f t="shared" si="173"/>
        <v>656</v>
      </c>
      <c r="V1500" s="125" t="str">
        <f>VLOOKUP(Q1500,'GL Category'!A:C,3,FALSE)</f>
        <v>Operations &amp; maintenance</v>
      </c>
      <c r="X1500" s="83"/>
    </row>
    <row r="1501" spans="1:24" ht="20.399999999999999" customHeight="1">
      <c r="A1501" s="608" t="s">
        <v>1031</v>
      </c>
      <c r="B1501" s="608" t="s">
        <v>1724</v>
      </c>
      <c r="C1501" s="608" t="s">
        <v>263</v>
      </c>
      <c r="D1501" s="609">
        <v>134.24</v>
      </c>
      <c r="E1501" s="609">
        <v>1912.87</v>
      </c>
      <c r="F1501" s="609">
        <v>2043.97</v>
      </c>
      <c r="G1501" s="609">
        <v>1864.25</v>
      </c>
      <c r="H1501" s="609">
        <v>1400</v>
      </c>
      <c r="I1501" s="609">
        <v>3401.71</v>
      </c>
      <c r="J1501" s="609">
        <v>3300</v>
      </c>
      <c r="K1501" s="609">
        <v>1900</v>
      </c>
      <c r="L1501" s="609">
        <v>0</v>
      </c>
      <c r="M1501" s="609">
        <v>0</v>
      </c>
      <c r="N1501" s="587">
        <f t="shared" si="168"/>
        <v>1900</v>
      </c>
      <c r="Q1501" t="str">
        <f t="shared" si="169"/>
        <v>51260</v>
      </c>
      <c r="R1501" s="126" t="str">
        <f t="shared" si="170"/>
        <v>EDUCATION/RECREATION SUPPLIES</v>
      </c>
      <c r="S1501" s="125" t="str">
        <f t="shared" si="171"/>
        <v>125</v>
      </c>
      <c r="T1501" s="125" t="str">
        <f t="shared" si="172"/>
        <v>65</v>
      </c>
      <c r="U1501" s="125" t="str">
        <f t="shared" si="173"/>
        <v>656</v>
      </c>
      <c r="V1501" s="125" t="str">
        <f>VLOOKUP(Q1501,'GL Category'!A:C,3,FALSE)</f>
        <v>Operations &amp; maintenance</v>
      </c>
      <c r="X1501" s="83"/>
    </row>
    <row r="1502" spans="1:24" ht="20.399999999999999" customHeight="1">
      <c r="A1502" s="608" t="s">
        <v>1031</v>
      </c>
      <c r="B1502" s="608" t="s">
        <v>1725</v>
      </c>
      <c r="C1502" s="608" t="s">
        <v>338</v>
      </c>
      <c r="D1502" s="609">
        <v>4479.4799999999996</v>
      </c>
      <c r="E1502" s="609">
        <v>0</v>
      </c>
      <c r="F1502" s="609">
        <v>6580.44</v>
      </c>
      <c r="G1502" s="609">
        <v>7581.02</v>
      </c>
      <c r="H1502" s="609">
        <v>6750</v>
      </c>
      <c r="I1502" s="609">
        <v>5149.22</v>
      </c>
      <c r="J1502" s="609">
        <v>8500</v>
      </c>
      <c r="K1502" s="609">
        <v>6750</v>
      </c>
      <c r="L1502" s="609">
        <v>0</v>
      </c>
      <c r="M1502" s="609">
        <v>0</v>
      </c>
      <c r="N1502" s="587">
        <f t="shared" si="168"/>
        <v>6750</v>
      </c>
      <c r="P1502" s="490">
        <f>N1502-H1502</f>
        <v>0</v>
      </c>
      <c r="Q1502" t="str">
        <f t="shared" si="169"/>
        <v>51280</v>
      </c>
      <c r="R1502" s="126" t="str">
        <f t="shared" si="170"/>
        <v>CONCESSION SUPPLIES</v>
      </c>
      <c r="S1502" s="125" t="str">
        <f t="shared" si="171"/>
        <v>125</v>
      </c>
      <c r="T1502" s="125" t="str">
        <f t="shared" si="172"/>
        <v>65</v>
      </c>
      <c r="U1502" s="125" t="str">
        <f t="shared" si="173"/>
        <v>656</v>
      </c>
      <c r="V1502" s="125" t="str">
        <f>VLOOKUP(Q1502,'GL Category'!A:C,3,FALSE)</f>
        <v>Operations &amp; maintenance</v>
      </c>
      <c r="X1502" s="83"/>
    </row>
    <row r="1503" spans="1:24" ht="20.399999999999999" customHeight="1">
      <c r="A1503" s="608" t="s">
        <v>1031</v>
      </c>
      <c r="B1503" s="608" t="s">
        <v>1727</v>
      </c>
      <c r="C1503" s="608" t="s">
        <v>344</v>
      </c>
      <c r="D1503" s="609">
        <v>169.18</v>
      </c>
      <c r="E1503" s="609">
        <v>22.36</v>
      </c>
      <c r="F1503" s="609">
        <v>0</v>
      </c>
      <c r="G1503" s="609">
        <v>1166.17</v>
      </c>
      <c r="H1503" s="609">
        <v>1000</v>
      </c>
      <c r="I1503" s="609">
        <v>1122.98</v>
      </c>
      <c r="J1503" s="609">
        <v>1300</v>
      </c>
      <c r="K1503" s="609">
        <v>1000</v>
      </c>
      <c r="L1503" s="609">
        <v>0</v>
      </c>
      <c r="M1503" s="609">
        <v>0</v>
      </c>
      <c r="N1503" s="587">
        <f t="shared" si="168"/>
        <v>1000</v>
      </c>
      <c r="P1503" s="490">
        <f>N1503-H1503</f>
        <v>0</v>
      </c>
      <c r="Q1503" t="str">
        <f t="shared" si="169"/>
        <v>51282</v>
      </c>
      <c r="R1503" s="126" t="str">
        <f t="shared" si="170"/>
        <v>COST OF GOODS SOLD</v>
      </c>
      <c r="S1503" s="125" t="str">
        <f t="shared" si="171"/>
        <v>125</v>
      </c>
      <c r="T1503" s="125" t="str">
        <f t="shared" si="172"/>
        <v>65</v>
      </c>
      <c r="U1503" s="125" t="str">
        <f t="shared" si="173"/>
        <v>656</v>
      </c>
      <c r="V1503" s="125" t="str">
        <f>VLOOKUP(Q1503,'GL Category'!A:C,3,FALSE)</f>
        <v>Operations &amp; maintenance</v>
      </c>
      <c r="X1503" s="83"/>
    </row>
    <row r="1504" spans="1:24" ht="20.399999999999999" customHeight="1">
      <c r="A1504" s="608" t="s">
        <v>1031</v>
      </c>
      <c r="B1504" s="608" t="s">
        <v>1728</v>
      </c>
      <c r="C1504" s="608" t="s">
        <v>167</v>
      </c>
      <c r="D1504" s="609">
        <v>320</v>
      </c>
      <c r="E1504" s="609">
        <v>1281.72</v>
      </c>
      <c r="F1504" s="609">
        <v>2993.55</v>
      </c>
      <c r="G1504" s="609">
        <v>1704.58</v>
      </c>
      <c r="H1504" s="609">
        <v>2500</v>
      </c>
      <c r="I1504" s="609">
        <v>0</v>
      </c>
      <c r="J1504" s="609">
        <v>1500</v>
      </c>
      <c r="K1504" s="609">
        <v>2000</v>
      </c>
      <c r="L1504" s="609">
        <v>0</v>
      </c>
      <c r="M1504" s="609">
        <v>0</v>
      </c>
      <c r="N1504" s="587">
        <f t="shared" si="168"/>
        <v>2000</v>
      </c>
      <c r="P1504" s="490">
        <f>N1504-H1504</f>
        <v>-500</v>
      </c>
      <c r="Q1504" t="str">
        <f t="shared" si="169"/>
        <v>51285</v>
      </c>
      <c r="R1504" s="126" t="str">
        <f t="shared" si="170"/>
        <v>WEARING APPAREL</v>
      </c>
      <c r="S1504" s="125" t="str">
        <f t="shared" si="171"/>
        <v>125</v>
      </c>
      <c r="T1504" s="125" t="str">
        <f t="shared" si="172"/>
        <v>65</v>
      </c>
      <c r="U1504" s="125" t="str">
        <f t="shared" si="173"/>
        <v>656</v>
      </c>
      <c r="V1504" s="125" t="str">
        <f>VLOOKUP(Q1504,'GL Category'!A:C,3,FALSE)</f>
        <v>Operations &amp; maintenance</v>
      </c>
      <c r="X1504" s="83"/>
    </row>
    <row r="1505" spans="1:24" ht="20.399999999999999" customHeight="1">
      <c r="A1505" s="608" t="s">
        <v>1031</v>
      </c>
      <c r="B1505" s="608" t="s">
        <v>1729</v>
      </c>
      <c r="C1505" s="608" t="s">
        <v>169</v>
      </c>
      <c r="D1505" s="609">
        <v>955.81</v>
      </c>
      <c r="E1505" s="609">
        <v>0</v>
      </c>
      <c r="F1505" s="609">
        <v>0</v>
      </c>
      <c r="G1505" s="609">
        <v>0</v>
      </c>
      <c r="H1505" s="609">
        <v>0</v>
      </c>
      <c r="I1505" s="609">
        <v>0</v>
      </c>
      <c r="J1505" s="609">
        <v>0</v>
      </c>
      <c r="K1505" s="609">
        <v>0</v>
      </c>
      <c r="L1505" s="609">
        <v>0</v>
      </c>
      <c r="M1505" s="609">
        <v>0</v>
      </c>
      <c r="N1505" s="587">
        <f t="shared" si="168"/>
        <v>0</v>
      </c>
      <c r="P1505" s="490">
        <f>N1505-H1505</f>
        <v>0</v>
      </c>
      <c r="Q1505" t="str">
        <f t="shared" si="169"/>
        <v>51299</v>
      </c>
      <c r="R1505" s="126" t="str">
        <f t="shared" si="170"/>
        <v>MISCELLANEOUS SUPPLIES</v>
      </c>
      <c r="S1505" s="125" t="str">
        <f t="shared" si="171"/>
        <v>125</v>
      </c>
      <c r="T1505" s="125" t="str">
        <f t="shared" si="172"/>
        <v>65</v>
      </c>
      <c r="U1505" s="125" t="str">
        <f t="shared" si="173"/>
        <v>656</v>
      </c>
      <c r="V1505" s="125" t="str">
        <f>VLOOKUP(Q1505,'GL Category'!A:C,3,FALSE)</f>
        <v>Operations &amp; maintenance</v>
      </c>
      <c r="X1505" s="83"/>
    </row>
    <row r="1506" spans="1:24" ht="20.399999999999999" customHeight="1">
      <c r="A1506" s="608" t="s">
        <v>1031</v>
      </c>
      <c r="B1506" s="608" t="s">
        <v>1729</v>
      </c>
      <c r="C1506" s="608" t="s">
        <v>169</v>
      </c>
      <c r="D1506" s="609">
        <v>0</v>
      </c>
      <c r="E1506" s="609">
        <v>-196.03</v>
      </c>
      <c r="F1506" s="609">
        <v>0</v>
      </c>
      <c r="G1506" s="609">
        <v>0</v>
      </c>
      <c r="H1506" s="609">
        <v>0</v>
      </c>
      <c r="I1506" s="609">
        <v>0</v>
      </c>
      <c r="J1506" s="609">
        <v>0</v>
      </c>
      <c r="K1506" s="609">
        <v>0</v>
      </c>
      <c r="L1506" s="609">
        <v>0</v>
      </c>
      <c r="M1506" s="609">
        <v>0</v>
      </c>
      <c r="N1506" s="587">
        <f t="shared" si="168"/>
        <v>0</v>
      </c>
      <c r="Q1506" t="str">
        <f t="shared" si="169"/>
        <v>51299</v>
      </c>
      <c r="R1506" s="126" t="str">
        <f t="shared" si="170"/>
        <v>MISCELLANEOUS SUPPLIES</v>
      </c>
      <c r="S1506" s="125" t="str">
        <f t="shared" si="171"/>
        <v>125</v>
      </c>
      <c r="T1506" s="125" t="str">
        <f t="shared" si="172"/>
        <v>65</v>
      </c>
      <c r="U1506" s="125" t="str">
        <f t="shared" si="173"/>
        <v>656</v>
      </c>
      <c r="V1506" s="125" t="str">
        <f>VLOOKUP(Q1506,'GL Category'!A:C,3,FALSE)</f>
        <v>Operations &amp; maintenance</v>
      </c>
      <c r="X1506" s="83"/>
    </row>
    <row r="1507" spans="1:24" ht="20.399999999999999" customHeight="1">
      <c r="A1507" s="608" t="s">
        <v>1031</v>
      </c>
      <c r="B1507" s="608" t="s">
        <v>1732</v>
      </c>
      <c r="C1507" s="608" t="s">
        <v>191</v>
      </c>
      <c r="D1507" s="609">
        <v>0</v>
      </c>
      <c r="E1507" s="609">
        <v>35</v>
      </c>
      <c r="F1507" s="609">
        <v>420</v>
      </c>
      <c r="G1507" s="609">
        <v>424</v>
      </c>
      <c r="H1507" s="609">
        <v>500</v>
      </c>
      <c r="I1507" s="609">
        <v>1217.45</v>
      </c>
      <c r="J1507" s="609">
        <v>1600</v>
      </c>
      <c r="K1507" s="609">
        <v>1500</v>
      </c>
      <c r="L1507" s="609">
        <v>0</v>
      </c>
      <c r="M1507" s="609">
        <v>0</v>
      </c>
      <c r="N1507" s="587">
        <f t="shared" si="168"/>
        <v>1500</v>
      </c>
      <c r="Q1507" t="str">
        <f t="shared" si="169"/>
        <v>53515</v>
      </c>
      <c r="R1507" s="126" t="str">
        <f t="shared" si="170"/>
        <v>TRAVEL, TRAINING &amp; EDUCATION</v>
      </c>
      <c r="S1507" s="125" t="str">
        <f t="shared" si="171"/>
        <v>125</v>
      </c>
      <c r="T1507" s="125" t="str">
        <f t="shared" si="172"/>
        <v>65</v>
      </c>
      <c r="U1507" s="125" t="str">
        <f t="shared" si="173"/>
        <v>656</v>
      </c>
      <c r="V1507" s="125" t="str">
        <f>VLOOKUP(Q1507,'GL Category'!A:C,3,FALSE)</f>
        <v>Services &amp; other</v>
      </c>
      <c r="X1507" s="83"/>
    </row>
    <row r="1508" spans="1:24" ht="20.399999999999999" customHeight="1">
      <c r="A1508" s="608" t="s">
        <v>1031</v>
      </c>
      <c r="B1508" s="608" t="s">
        <v>1733</v>
      </c>
      <c r="C1508" s="608" t="s">
        <v>221</v>
      </c>
      <c r="D1508" s="609">
        <v>2045</v>
      </c>
      <c r="E1508" s="609">
        <v>4894</v>
      </c>
      <c r="F1508" s="609">
        <v>795</v>
      </c>
      <c r="G1508" s="609">
        <v>2058</v>
      </c>
      <c r="H1508" s="609">
        <v>2040</v>
      </c>
      <c r="I1508" s="609">
        <v>1530</v>
      </c>
      <c r="J1508" s="609">
        <v>2040</v>
      </c>
      <c r="K1508" s="609">
        <v>2696</v>
      </c>
      <c r="L1508" s="609">
        <v>0</v>
      </c>
      <c r="M1508" s="609">
        <v>0</v>
      </c>
      <c r="N1508" s="587">
        <f t="shared" si="168"/>
        <v>2696</v>
      </c>
      <c r="Q1508" t="str">
        <f t="shared" si="169"/>
        <v>55119</v>
      </c>
      <c r="R1508" s="126" t="str">
        <f t="shared" si="170"/>
        <v>OFFICE EQUIP LEASE EXP-CITY</v>
      </c>
      <c r="S1508" s="125" t="str">
        <f t="shared" si="171"/>
        <v>125</v>
      </c>
      <c r="T1508" s="125" t="str">
        <f t="shared" si="172"/>
        <v>65</v>
      </c>
      <c r="U1508" s="125" t="str">
        <f t="shared" si="173"/>
        <v>656</v>
      </c>
      <c r="V1508" s="125" t="str">
        <f>VLOOKUP(Q1508,'GL Category'!A:C,3,FALSE)</f>
        <v>Services &amp; other</v>
      </c>
      <c r="X1508" s="83"/>
    </row>
    <row r="1509" spans="1:24" ht="20.399999999999999" customHeight="1">
      <c r="A1509" s="608" t="s">
        <v>1031</v>
      </c>
      <c r="B1509" s="608" t="s">
        <v>1734</v>
      </c>
      <c r="C1509" s="608" t="s">
        <v>171</v>
      </c>
      <c r="D1509" s="609">
        <v>0</v>
      </c>
      <c r="E1509" s="609">
        <v>0</v>
      </c>
      <c r="F1509" s="609">
        <v>19185.96</v>
      </c>
      <c r="G1509" s="609">
        <v>13003.25</v>
      </c>
      <c r="H1509" s="609">
        <v>0</v>
      </c>
      <c r="I1509" s="609">
        <v>0</v>
      </c>
      <c r="J1509" s="609">
        <v>0</v>
      </c>
      <c r="K1509" s="609">
        <v>0</v>
      </c>
      <c r="L1509" s="609">
        <v>0</v>
      </c>
      <c r="M1509" s="609">
        <v>0</v>
      </c>
      <c r="N1509" s="587">
        <f t="shared" si="168"/>
        <v>0</v>
      </c>
      <c r="P1509" s="490">
        <f>N1509-H1509</f>
        <v>0</v>
      </c>
      <c r="Q1509" t="str">
        <f t="shared" si="169"/>
        <v>52310</v>
      </c>
      <c r="R1509" s="126" t="str">
        <f t="shared" si="170"/>
        <v>BUILDING MAINTENANCE</v>
      </c>
      <c r="S1509" s="125" t="str">
        <f t="shared" si="171"/>
        <v>125</v>
      </c>
      <c r="T1509" s="125" t="str">
        <f t="shared" si="172"/>
        <v>65</v>
      </c>
      <c r="U1509" s="125" t="str">
        <f t="shared" si="173"/>
        <v>658</v>
      </c>
      <c r="V1509" s="125" t="str">
        <f>VLOOKUP(Q1509,'GL Category'!A:C,3,FALSE)</f>
        <v>Operations &amp; maintenance</v>
      </c>
      <c r="X1509" s="83"/>
    </row>
    <row r="1510" spans="1:24" ht="20.399999999999999" customHeight="1">
      <c r="A1510" s="608" t="s">
        <v>1031</v>
      </c>
      <c r="B1510" s="608" t="s">
        <v>1735</v>
      </c>
      <c r="C1510" s="608" t="s">
        <v>266</v>
      </c>
      <c r="D1510" s="609">
        <v>0</v>
      </c>
      <c r="E1510" s="609">
        <v>0</v>
      </c>
      <c r="F1510" s="609">
        <v>36048.800000000003</v>
      </c>
      <c r="G1510" s="609">
        <v>324708.08</v>
      </c>
      <c r="H1510" s="609">
        <v>0</v>
      </c>
      <c r="I1510" s="609">
        <v>54997.86</v>
      </c>
      <c r="J1510" s="609">
        <v>55000</v>
      </c>
      <c r="K1510" s="609">
        <v>0</v>
      </c>
      <c r="L1510" s="609">
        <v>0</v>
      </c>
      <c r="M1510" s="609">
        <v>0</v>
      </c>
      <c r="N1510" s="587">
        <f t="shared" si="168"/>
        <v>0</v>
      </c>
      <c r="Q1510" t="str">
        <f t="shared" si="169"/>
        <v>58828</v>
      </c>
      <c r="R1510" s="126" t="str">
        <f t="shared" si="170"/>
        <v>BUILDINGS &amp; IMPROVEMENTS</v>
      </c>
      <c r="S1510" s="125" t="str">
        <f t="shared" si="171"/>
        <v>125</v>
      </c>
      <c r="T1510" s="125" t="str">
        <f t="shared" si="172"/>
        <v>65</v>
      </c>
      <c r="U1510" s="125" t="str">
        <f t="shared" si="173"/>
        <v>658</v>
      </c>
      <c r="V1510" s="125" t="str">
        <f>VLOOKUP(Q1510,'GL Category'!A:C,3,FALSE)</f>
        <v>Capital Outlay</v>
      </c>
      <c r="X1510" s="83"/>
    </row>
    <row r="1511" spans="1:24" ht="20.399999999999999" customHeight="1">
      <c r="A1511" s="608" t="s">
        <v>1031</v>
      </c>
      <c r="B1511" s="608" t="s">
        <v>1736</v>
      </c>
      <c r="C1511" s="608" t="s">
        <v>268</v>
      </c>
      <c r="D1511" s="609">
        <v>28699.05</v>
      </c>
      <c r="E1511" s="609">
        <v>0</v>
      </c>
      <c r="F1511" s="609">
        <v>770679.35</v>
      </c>
      <c r="G1511" s="609">
        <v>1368</v>
      </c>
      <c r="H1511" s="609">
        <v>0</v>
      </c>
      <c r="I1511" s="609">
        <v>0</v>
      </c>
      <c r="J1511" s="609">
        <v>0</v>
      </c>
      <c r="K1511" s="609">
        <v>0</v>
      </c>
      <c r="L1511" s="609">
        <v>0</v>
      </c>
      <c r="M1511" s="609">
        <v>0</v>
      </c>
      <c r="N1511" s="587">
        <f t="shared" si="168"/>
        <v>0</v>
      </c>
      <c r="Q1511" t="str">
        <f t="shared" si="169"/>
        <v>58830</v>
      </c>
      <c r="R1511" s="126" t="str">
        <f t="shared" si="170"/>
        <v>MACHINERY &amp; EQUIPMENT</v>
      </c>
      <c r="S1511" s="125" t="str">
        <f t="shared" si="171"/>
        <v>125</v>
      </c>
      <c r="T1511" s="125" t="str">
        <f t="shared" si="172"/>
        <v>65</v>
      </c>
      <c r="U1511" s="125" t="str">
        <f t="shared" si="173"/>
        <v>658</v>
      </c>
      <c r="V1511" s="125" t="str">
        <f>VLOOKUP(Q1511,'GL Category'!A:C,3,FALSE)</f>
        <v>Capital Outlay</v>
      </c>
      <c r="X1511" s="83"/>
    </row>
    <row r="1512" spans="1:24" ht="20.399999999999999" customHeight="1">
      <c r="A1512" s="608" t="s">
        <v>1031</v>
      </c>
      <c r="B1512" s="608" t="s">
        <v>1737</v>
      </c>
      <c r="C1512" s="608" t="s">
        <v>801</v>
      </c>
      <c r="D1512" s="609">
        <v>0</v>
      </c>
      <c r="E1512" s="609">
        <v>0</v>
      </c>
      <c r="F1512" s="609">
        <v>0</v>
      </c>
      <c r="G1512" s="609">
        <v>0</v>
      </c>
      <c r="H1512" s="609">
        <v>0</v>
      </c>
      <c r="I1512" s="609">
        <v>0</v>
      </c>
      <c r="J1512" s="609">
        <v>0</v>
      </c>
      <c r="K1512" s="609">
        <v>0</v>
      </c>
      <c r="L1512" s="609">
        <v>0</v>
      </c>
      <c r="M1512" s="609">
        <v>0</v>
      </c>
      <c r="N1512" s="587">
        <f t="shared" si="168"/>
        <v>0</v>
      </c>
      <c r="Q1512" t="str">
        <f t="shared" si="169"/>
        <v>59105</v>
      </c>
      <c r="R1512" s="126" t="str">
        <f t="shared" si="170"/>
        <v>TRANSFER TO CIP-GENERAL GOVERN</v>
      </c>
      <c r="S1512" s="125" t="str">
        <f t="shared" si="171"/>
        <v>125</v>
      </c>
      <c r="T1512" s="125" t="str">
        <f t="shared" si="172"/>
        <v>65</v>
      </c>
      <c r="U1512" s="125" t="str">
        <f t="shared" si="173"/>
        <v>658</v>
      </c>
      <c r="V1512" s="125" t="str">
        <f>VLOOKUP(Q1512,'GL Category'!A:C,3,FALSE)</f>
        <v>Transfers to other funds</v>
      </c>
      <c r="X1512" s="83"/>
    </row>
    <row r="1513" spans="1:24" ht="20.399999999999999" customHeight="1">
      <c r="A1513" s="608" t="s">
        <v>1031</v>
      </c>
      <c r="B1513" s="608" t="s">
        <v>3348</v>
      </c>
      <c r="C1513" s="608" t="s">
        <v>3349</v>
      </c>
      <c r="D1513" s="609">
        <v>0</v>
      </c>
      <c r="E1513" s="609">
        <v>0</v>
      </c>
      <c r="F1513" s="609">
        <v>0</v>
      </c>
      <c r="G1513" s="609">
        <v>0</v>
      </c>
      <c r="H1513" s="609">
        <v>0</v>
      </c>
      <c r="I1513" s="609">
        <v>0</v>
      </c>
      <c r="J1513" s="609">
        <v>0</v>
      </c>
      <c r="K1513" s="609">
        <v>0</v>
      </c>
      <c r="L1513" s="609">
        <v>0</v>
      </c>
      <c r="M1513" s="609">
        <v>0</v>
      </c>
      <c r="N1513" s="587">
        <f t="shared" si="168"/>
        <v>0</v>
      </c>
      <c r="Q1513" t="str">
        <f t="shared" si="169"/>
        <v>50660</v>
      </c>
      <c r="R1513" s="126" t="str">
        <f t="shared" si="170"/>
        <v>COMPENSATED ABSENCES</v>
      </c>
      <c r="S1513" s="125" t="str">
        <f t="shared" si="171"/>
        <v>125</v>
      </c>
      <c r="T1513" s="125" t="str">
        <f t="shared" si="172"/>
        <v>65</v>
      </c>
      <c r="U1513" s="125" t="str">
        <f t="shared" si="173"/>
        <v>659</v>
      </c>
      <c r="V1513" s="125" t="e">
        <f>VLOOKUP(Q1513,'GL Category'!A:C,3,FALSE)</f>
        <v>#N/A</v>
      </c>
      <c r="X1513" s="83"/>
    </row>
    <row r="1514" spans="1:24" ht="20.399999999999999" customHeight="1">
      <c r="A1514" s="608" t="s">
        <v>1031</v>
      </c>
      <c r="B1514" s="608" t="s">
        <v>3183</v>
      </c>
      <c r="C1514" s="608" t="s">
        <v>353</v>
      </c>
      <c r="D1514" s="609">
        <v>0</v>
      </c>
      <c r="E1514" s="609">
        <v>0</v>
      </c>
      <c r="F1514" s="609">
        <v>4446810.7699999996</v>
      </c>
      <c r="G1514" s="609">
        <v>426805.74</v>
      </c>
      <c r="H1514" s="609">
        <v>0</v>
      </c>
      <c r="I1514" s="609">
        <v>0</v>
      </c>
      <c r="J1514" s="609">
        <v>0</v>
      </c>
      <c r="K1514" s="609">
        <v>0</v>
      </c>
      <c r="L1514" s="609">
        <v>0</v>
      </c>
      <c r="M1514" s="609">
        <v>0</v>
      </c>
      <c r="N1514" s="587">
        <f t="shared" si="168"/>
        <v>0</v>
      </c>
      <c r="Q1514" t="str">
        <f t="shared" si="169"/>
        <v>58651</v>
      </c>
      <c r="R1514" s="126" t="str">
        <f t="shared" si="170"/>
        <v>DEPRECIATION EXPENSE</v>
      </c>
      <c r="S1514" s="125" t="str">
        <f t="shared" si="171"/>
        <v>125</v>
      </c>
      <c r="T1514" s="125" t="str">
        <f t="shared" si="172"/>
        <v>99</v>
      </c>
      <c r="U1514" s="125" t="str">
        <f t="shared" si="173"/>
        <v>905</v>
      </c>
      <c r="V1514" s="125" t="str">
        <f>VLOOKUP(Q1514,'GL Category'!A:C,3,FALSE)</f>
        <v>Capital Outlay</v>
      </c>
      <c r="X1514" s="83"/>
    </row>
    <row r="1515" spans="1:24" ht="20.399999999999999" customHeight="1">
      <c r="A1515" s="608" t="s">
        <v>1031</v>
      </c>
      <c r="B1515" s="608" t="s">
        <v>3350</v>
      </c>
      <c r="C1515" s="608" t="s">
        <v>1126</v>
      </c>
      <c r="D1515" s="609">
        <v>0</v>
      </c>
      <c r="E1515" s="609">
        <v>0</v>
      </c>
      <c r="F1515" s="609">
        <v>0</v>
      </c>
      <c r="G1515" s="609">
        <v>0</v>
      </c>
      <c r="H1515" s="609">
        <v>0</v>
      </c>
      <c r="I1515" s="609">
        <v>0</v>
      </c>
      <c r="J1515" s="609">
        <v>0</v>
      </c>
      <c r="K1515" s="609">
        <v>0</v>
      </c>
      <c r="L1515" s="609">
        <v>0</v>
      </c>
      <c r="M1515" s="609">
        <v>0</v>
      </c>
      <c r="N1515" s="587">
        <f t="shared" si="168"/>
        <v>0</v>
      </c>
      <c r="Q1515" t="str">
        <f t="shared" si="169"/>
        <v>59106</v>
      </c>
      <c r="R1515" s="126" t="str">
        <f t="shared" si="170"/>
        <v>TRANSFER TO CIP-RECR/AQUA CTR</v>
      </c>
      <c r="S1515" s="125" t="str">
        <f t="shared" si="171"/>
        <v>125</v>
      </c>
      <c r="T1515" s="125" t="str">
        <f t="shared" si="172"/>
        <v>99</v>
      </c>
      <c r="U1515" s="125" t="str">
        <f t="shared" si="173"/>
        <v>905</v>
      </c>
      <c r="V1515" s="125" t="str">
        <f>VLOOKUP(Q1515,'GL Category'!A:C,3,FALSE)</f>
        <v>Transfers to other funds</v>
      </c>
      <c r="X1515" s="83"/>
    </row>
    <row r="1516" spans="1:24" ht="14.4" customHeight="1">
      <c r="A1516" s="608" t="s">
        <v>1031</v>
      </c>
      <c r="B1516" s="608" t="s">
        <v>1738</v>
      </c>
      <c r="C1516" s="608" t="s">
        <v>801</v>
      </c>
      <c r="D1516" s="609">
        <v>627222</v>
      </c>
      <c r="E1516" s="609">
        <v>0</v>
      </c>
      <c r="F1516" s="609">
        <v>0</v>
      </c>
      <c r="G1516" s="609">
        <v>0</v>
      </c>
      <c r="H1516" s="609">
        <v>0</v>
      </c>
      <c r="I1516" s="609">
        <v>0</v>
      </c>
      <c r="J1516" s="609">
        <v>0</v>
      </c>
      <c r="K1516" s="609">
        <v>0</v>
      </c>
      <c r="L1516" s="609">
        <v>0</v>
      </c>
      <c r="M1516" s="609">
        <v>0</v>
      </c>
      <c r="N1516" s="587">
        <f t="shared" si="168"/>
        <v>0</v>
      </c>
      <c r="Q1516" t="str">
        <f t="shared" si="169"/>
        <v>59105</v>
      </c>
      <c r="R1516" s="126" t="str">
        <f t="shared" si="170"/>
        <v>TRANSFER TO CIP-GENERAL GOVERN</v>
      </c>
      <c r="S1516" s="125" t="str">
        <f t="shared" si="171"/>
        <v>125</v>
      </c>
      <c r="T1516" s="125" t="str">
        <f t="shared" si="172"/>
        <v>99</v>
      </c>
      <c r="U1516" s="125" t="str">
        <f t="shared" si="173"/>
        <v>998</v>
      </c>
      <c r="V1516" s="125" t="str">
        <f>VLOOKUP(Q1516,'GL Category'!A:C,3,FALSE)</f>
        <v>Transfers to other funds</v>
      </c>
      <c r="X1516" s="83"/>
    </row>
    <row r="1517" spans="1:24" ht="20.399999999999999" customHeight="1">
      <c r="A1517" s="608" t="s">
        <v>3258</v>
      </c>
      <c r="B1517" s="608" t="s">
        <v>3265</v>
      </c>
      <c r="C1517" s="608" t="s">
        <v>1086</v>
      </c>
      <c r="D1517" s="609">
        <v>0</v>
      </c>
      <c r="E1517" s="609">
        <v>0</v>
      </c>
      <c r="F1517" s="609">
        <v>0</v>
      </c>
      <c r="G1517" s="609">
        <v>0</v>
      </c>
      <c r="H1517" s="609">
        <v>3000</v>
      </c>
      <c r="I1517" s="609">
        <v>0</v>
      </c>
      <c r="J1517" s="609">
        <v>3000</v>
      </c>
      <c r="K1517" s="609">
        <v>3000</v>
      </c>
      <c r="L1517" s="609">
        <v>0</v>
      </c>
      <c r="M1517" s="609">
        <v>0</v>
      </c>
      <c r="N1517" s="587">
        <f t="shared" si="168"/>
        <v>3000</v>
      </c>
      <c r="Q1517" t="str">
        <f t="shared" si="169"/>
        <v>53546</v>
      </c>
      <c r="R1517" s="126" t="str">
        <f t="shared" si="170"/>
        <v>WELLNESS ACTIVITIES</v>
      </c>
      <c r="S1517" s="125" t="str">
        <f t="shared" si="171"/>
        <v>129</v>
      </c>
      <c r="T1517" s="125" t="str">
        <f t="shared" si="172"/>
        <v>99</v>
      </c>
      <c r="U1517" s="125" t="str">
        <f t="shared" si="173"/>
        <v>995</v>
      </c>
      <c r="V1517" s="125" t="str">
        <f>VLOOKUP(Q1517,'GL Category'!A:C,3,FALSE)</f>
        <v>Services &amp; other</v>
      </c>
      <c r="X1517" s="83"/>
    </row>
    <row r="1518" spans="1:24" ht="20.399999999999999" customHeight="1">
      <c r="A1518" s="608" t="s">
        <v>3258</v>
      </c>
      <c r="B1518" s="608" t="s">
        <v>3266</v>
      </c>
      <c r="C1518" s="608" t="s">
        <v>3351</v>
      </c>
      <c r="D1518" s="609">
        <v>0</v>
      </c>
      <c r="E1518" s="609">
        <v>0</v>
      </c>
      <c r="F1518" s="609">
        <v>2679802.5</v>
      </c>
      <c r="G1518" s="609">
        <v>3501647.82</v>
      </c>
      <c r="H1518" s="609">
        <v>4484000</v>
      </c>
      <c r="I1518" s="609">
        <v>2291172.7000000002</v>
      </c>
      <c r="J1518" s="609">
        <v>3497237</v>
      </c>
      <c r="K1518" s="609">
        <v>4584080</v>
      </c>
      <c r="L1518" s="609">
        <v>0</v>
      </c>
      <c r="M1518" s="609">
        <v>0</v>
      </c>
      <c r="N1518" s="587">
        <f t="shared" si="168"/>
        <v>4584080</v>
      </c>
      <c r="Q1518" t="str">
        <f t="shared" si="169"/>
        <v>53565</v>
      </c>
      <c r="R1518" s="126" t="str">
        <f t="shared" si="170"/>
        <v>SELF - INSURANCE CLAIMS</v>
      </c>
      <c r="S1518" s="125" t="str">
        <f t="shared" si="171"/>
        <v>129</v>
      </c>
      <c r="T1518" s="125" t="str">
        <f t="shared" si="172"/>
        <v>99</v>
      </c>
      <c r="U1518" s="125" t="str">
        <f t="shared" si="173"/>
        <v>995</v>
      </c>
      <c r="V1518" s="125" t="str">
        <f>VLOOKUP(Q1518,'GL Category'!A:C,3,FALSE)</f>
        <v>Services &amp; other</v>
      </c>
      <c r="X1518" s="83"/>
    </row>
    <row r="1519" spans="1:24" ht="20.399999999999999" customHeight="1">
      <c r="A1519" s="608" t="s">
        <v>3258</v>
      </c>
      <c r="B1519" s="608" t="s">
        <v>3267</v>
      </c>
      <c r="C1519" s="608" t="s">
        <v>238</v>
      </c>
      <c r="D1519" s="609">
        <v>0</v>
      </c>
      <c r="E1519" s="609">
        <v>0</v>
      </c>
      <c r="F1519" s="609">
        <v>537823.12</v>
      </c>
      <c r="G1519" s="609">
        <v>569715.39</v>
      </c>
      <c r="H1519" s="609">
        <v>153578</v>
      </c>
      <c r="I1519" s="609">
        <v>618549.35</v>
      </c>
      <c r="J1519" s="609">
        <v>852665</v>
      </c>
      <c r="K1519" s="609">
        <v>153578</v>
      </c>
      <c r="L1519" s="609">
        <v>0</v>
      </c>
      <c r="M1519" s="609">
        <v>0</v>
      </c>
      <c r="N1519" s="587">
        <f t="shared" si="168"/>
        <v>153578</v>
      </c>
      <c r="Q1519" t="str">
        <f t="shared" si="169"/>
        <v>53599</v>
      </c>
      <c r="R1519" s="126" t="str">
        <f t="shared" si="170"/>
        <v>MISCELLANEOUS SERVICES</v>
      </c>
      <c r="S1519" s="125" t="str">
        <f t="shared" si="171"/>
        <v>129</v>
      </c>
      <c r="T1519" s="125" t="str">
        <f t="shared" si="172"/>
        <v>99</v>
      </c>
      <c r="U1519" s="125" t="str">
        <f t="shared" si="173"/>
        <v>995</v>
      </c>
      <c r="V1519" s="125" t="str">
        <f>VLOOKUP(Q1519,'GL Category'!A:C,3,FALSE)</f>
        <v>Services &amp; other</v>
      </c>
      <c r="X1519" s="83"/>
    </row>
    <row r="1520" spans="1:24" ht="20.399999999999999" customHeight="1">
      <c r="A1520" s="608" t="s">
        <v>1033</v>
      </c>
      <c r="B1520" s="608" t="s">
        <v>2091</v>
      </c>
      <c r="C1520" s="608" t="s">
        <v>238</v>
      </c>
      <c r="D1520" s="609">
        <v>0</v>
      </c>
      <c r="E1520" s="609">
        <v>0</v>
      </c>
      <c r="F1520" s="609">
        <v>20007.52</v>
      </c>
      <c r="G1520" s="609">
        <v>0</v>
      </c>
      <c r="H1520" s="609">
        <v>0</v>
      </c>
      <c r="I1520" s="609">
        <v>0</v>
      </c>
      <c r="J1520" s="609">
        <v>0</v>
      </c>
      <c r="K1520" s="609">
        <v>0</v>
      </c>
      <c r="L1520" s="609">
        <v>0</v>
      </c>
      <c r="M1520" s="609">
        <v>0</v>
      </c>
      <c r="N1520" s="587">
        <f t="shared" si="168"/>
        <v>0</v>
      </c>
      <c r="Q1520" t="str">
        <f t="shared" si="169"/>
        <v>53599</v>
      </c>
      <c r="R1520" s="126" t="str">
        <f t="shared" si="170"/>
        <v>MISCELLANEOUS SERVICES</v>
      </c>
      <c r="S1520" s="125" t="str">
        <f t="shared" si="171"/>
        <v>150</v>
      </c>
      <c r="T1520" s="125" t="str">
        <f t="shared" si="172"/>
        <v>13</v>
      </c>
      <c r="U1520" s="125" t="str">
        <f t="shared" si="173"/>
        <v>131</v>
      </c>
      <c r="V1520" s="125" t="str">
        <f>VLOOKUP(Q1520,'GL Category'!A:C,3,FALSE)</f>
        <v>Services &amp; other</v>
      </c>
      <c r="X1520" s="83"/>
    </row>
    <row r="1521" spans="1:24" ht="20.399999999999999" customHeight="1">
      <c r="A1521" s="608" t="s">
        <v>1033</v>
      </c>
      <c r="B1521" s="608" t="s">
        <v>2092</v>
      </c>
      <c r="C1521" s="608" t="s">
        <v>912</v>
      </c>
      <c r="D1521" s="609">
        <v>638140.75</v>
      </c>
      <c r="E1521" s="609">
        <v>752858.5</v>
      </c>
      <c r="F1521" s="609">
        <v>707843.75</v>
      </c>
      <c r="G1521" s="609">
        <v>608687.25</v>
      </c>
      <c r="H1521" s="609">
        <v>510775</v>
      </c>
      <c r="I1521" s="609">
        <v>281350</v>
      </c>
      <c r="J1521" s="609">
        <v>510775</v>
      </c>
      <c r="K1521" s="609">
        <v>1079996</v>
      </c>
      <c r="L1521" s="609">
        <v>0</v>
      </c>
      <c r="M1521" s="609">
        <v>0</v>
      </c>
      <c r="N1521" s="587">
        <f t="shared" si="168"/>
        <v>1079996</v>
      </c>
      <c r="Q1521" t="str">
        <f t="shared" si="169"/>
        <v>56900</v>
      </c>
      <c r="R1521" s="126" t="str">
        <f t="shared" si="170"/>
        <v>INTEREST/OTHER DEBTAMORTIZATI</v>
      </c>
      <c r="S1521" s="125" t="str">
        <f t="shared" si="171"/>
        <v>150</v>
      </c>
      <c r="T1521" s="125" t="str">
        <f t="shared" si="172"/>
        <v>13</v>
      </c>
      <c r="U1521" s="125" t="str">
        <f t="shared" si="173"/>
        <v>131</v>
      </c>
      <c r="V1521" s="125" t="str">
        <f>VLOOKUP(Q1521,'GL Category'!A:C,3,FALSE)</f>
        <v>Debt Service</v>
      </c>
      <c r="X1521" s="83"/>
    </row>
    <row r="1522" spans="1:24" ht="20.399999999999999" customHeight="1">
      <c r="A1522" s="608" t="s">
        <v>1033</v>
      </c>
      <c r="B1522" s="608" t="s">
        <v>2093</v>
      </c>
      <c r="C1522" s="608" t="s">
        <v>313</v>
      </c>
      <c r="D1522" s="609">
        <v>3432.5</v>
      </c>
      <c r="E1522" s="609">
        <v>2532.5</v>
      </c>
      <c r="F1522" s="609">
        <v>2727.5</v>
      </c>
      <c r="G1522" s="609">
        <v>2360</v>
      </c>
      <c r="H1522" s="609">
        <v>0</v>
      </c>
      <c r="I1522" s="609">
        <v>1757.25</v>
      </c>
      <c r="J1522" s="609">
        <v>0</v>
      </c>
      <c r="K1522" s="609">
        <v>2750</v>
      </c>
      <c r="L1522" s="609">
        <v>0</v>
      </c>
      <c r="M1522" s="609">
        <v>0</v>
      </c>
      <c r="N1522" s="587">
        <f t="shared" si="168"/>
        <v>2750</v>
      </c>
      <c r="Q1522" t="str">
        <f t="shared" si="169"/>
        <v>56901</v>
      </c>
      <c r="R1522" s="126" t="str">
        <f t="shared" si="170"/>
        <v>PAYING AGENT SERVICES</v>
      </c>
      <c r="S1522" s="125" t="str">
        <f t="shared" si="171"/>
        <v>150</v>
      </c>
      <c r="T1522" s="125" t="str">
        <f t="shared" si="172"/>
        <v>13</v>
      </c>
      <c r="U1522" s="125" t="str">
        <f t="shared" si="173"/>
        <v>131</v>
      </c>
      <c r="V1522" s="125" t="str">
        <f>VLOOKUP(Q1522,'GL Category'!A:C,3,FALSE)</f>
        <v>Debt Service</v>
      </c>
      <c r="X1522" s="83"/>
    </row>
    <row r="1523" spans="1:24" ht="20.399999999999999" customHeight="1">
      <c r="A1523" s="608" t="s">
        <v>1033</v>
      </c>
      <c r="B1523" s="608" t="s">
        <v>2094</v>
      </c>
      <c r="C1523" s="608" t="s">
        <v>3155</v>
      </c>
      <c r="D1523" s="609">
        <v>3191207</v>
      </c>
      <c r="E1523" s="609">
        <v>2910000</v>
      </c>
      <c r="F1523" s="609">
        <v>2930000</v>
      </c>
      <c r="G1523" s="609">
        <v>2660000</v>
      </c>
      <c r="H1523" s="609">
        <v>3485817</v>
      </c>
      <c r="I1523" s="609">
        <v>2665000</v>
      </c>
      <c r="J1523" s="609">
        <v>2712211</v>
      </c>
      <c r="K1523" s="609">
        <v>2480000</v>
      </c>
      <c r="L1523" s="609">
        <v>0</v>
      </c>
      <c r="M1523" s="609">
        <v>0</v>
      </c>
      <c r="N1523" s="587">
        <f t="shared" si="168"/>
        <v>2480000</v>
      </c>
      <c r="Q1523" t="str">
        <f t="shared" si="169"/>
        <v>56902</v>
      </c>
      <c r="R1523" s="126" t="str">
        <f t="shared" si="170"/>
        <v>GO RETIREMENT</v>
      </c>
      <c r="S1523" s="125" t="str">
        <f t="shared" si="171"/>
        <v>150</v>
      </c>
      <c r="T1523" s="125" t="str">
        <f t="shared" si="172"/>
        <v>13</v>
      </c>
      <c r="U1523" s="125" t="str">
        <f t="shared" si="173"/>
        <v>131</v>
      </c>
      <c r="V1523" s="125" t="str">
        <f>VLOOKUP(Q1523,'GL Category'!A:C,3,FALSE)</f>
        <v>Debt Service</v>
      </c>
      <c r="X1523" s="83"/>
    </row>
    <row r="1524" spans="1:24" ht="20.399999999999999" customHeight="1">
      <c r="A1524" s="608" t="s">
        <v>3395</v>
      </c>
      <c r="B1524" s="608" t="s">
        <v>3404</v>
      </c>
      <c r="C1524" s="608" t="s">
        <v>238</v>
      </c>
      <c r="D1524" s="609">
        <v>0</v>
      </c>
      <c r="E1524" s="609">
        <v>0</v>
      </c>
      <c r="F1524" s="609">
        <v>0</v>
      </c>
      <c r="G1524" s="609">
        <v>0</v>
      </c>
      <c r="H1524" s="609">
        <v>0</v>
      </c>
      <c r="I1524" s="609">
        <v>0</v>
      </c>
      <c r="J1524" s="609">
        <v>0</v>
      </c>
      <c r="K1524" s="609">
        <v>0</v>
      </c>
      <c r="L1524" s="609">
        <v>0</v>
      </c>
      <c r="M1524" s="609">
        <v>0</v>
      </c>
      <c r="N1524" s="587">
        <f t="shared" si="168"/>
        <v>0</v>
      </c>
      <c r="Q1524" t="str">
        <f t="shared" si="169"/>
        <v>53599</v>
      </c>
      <c r="R1524" s="126" t="str">
        <f t="shared" si="170"/>
        <v>MISCELLANEOUS SERVICES</v>
      </c>
      <c r="S1524" s="125" t="str">
        <f t="shared" si="171"/>
        <v>152</v>
      </c>
      <c r="T1524" s="125" t="str">
        <f t="shared" si="172"/>
        <v>13</v>
      </c>
      <c r="U1524" s="125" t="str">
        <f t="shared" si="173"/>
        <v>131</v>
      </c>
      <c r="V1524" s="125" t="str">
        <f>VLOOKUP(Q1524,'GL Category'!A:C,3,FALSE)</f>
        <v>Services &amp; other</v>
      </c>
      <c r="X1524" s="83"/>
    </row>
    <row r="1525" spans="1:24" ht="20.399999999999999" customHeight="1">
      <c r="A1525" s="608" t="s">
        <v>1034</v>
      </c>
      <c r="B1525" s="608" t="s">
        <v>3368</v>
      </c>
      <c r="C1525" s="608" t="s">
        <v>179</v>
      </c>
      <c r="D1525" s="609">
        <v>0</v>
      </c>
      <c r="E1525" s="609">
        <v>0</v>
      </c>
      <c r="F1525" s="609">
        <v>0</v>
      </c>
      <c r="G1525" s="609">
        <v>8500</v>
      </c>
      <c r="H1525" s="609">
        <v>10000</v>
      </c>
      <c r="I1525" s="609">
        <v>8500</v>
      </c>
      <c r="J1525" s="609">
        <v>10000</v>
      </c>
      <c r="K1525" s="609">
        <v>10000</v>
      </c>
      <c r="L1525" s="609">
        <v>0</v>
      </c>
      <c r="M1525" s="609">
        <v>0</v>
      </c>
      <c r="N1525" s="587">
        <f t="shared" si="168"/>
        <v>10000</v>
      </c>
      <c r="Q1525" t="str">
        <f t="shared" si="169"/>
        <v>52485</v>
      </c>
      <c r="R1525" s="126" t="str">
        <f t="shared" si="170"/>
        <v>SOFTWARE LICENSE &amp; MAINTENANCE</v>
      </c>
      <c r="S1525" s="125" t="str">
        <f t="shared" si="171"/>
        <v>174</v>
      </c>
      <c r="T1525" s="125" t="str">
        <f t="shared" si="172"/>
        <v>99</v>
      </c>
      <c r="U1525" s="125" t="str">
        <f t="shared" si="173"/>
        <v>998</v>
      </c>
      <c r="V1525" s="125" t="str">
        <f>VLOOKUP(Q1525,'GL Category'!A:C,3,FALSE)</f>
        <v>Operations &amp; maintenance</v>
      </c>
      <c r="X1525" s="83"/>
    </row>
    <row r="1526" spans="1:24" ht="20.399999999999999" customHeight="1">
      <c r="A1526" s="608" t="s">
        <v>1034</v>
      </c>
      <c r="B1526" s="608" t="s">
        <v>2127</v>
      </c>
      <c r="C1526" s="608" t="s">
        <v>838</v>
      </c>
      <c r="D1526" s="609">
        <v>1801609</v>
      </c>
      <c r="E1526" s="609">
        <v>1526609</v>
      </c>
      <c r="F1526" s="609">
        <v>1800057</v>
      </c>
      <c r="G1526" s="609">
        <v>2100000</v>
      </c>
      <c r="H1526" s="609">
        <v>2595414</v>
      </c>
      <c r="I1526" s="609">
        <v>1946560.5</v>
      </c>
      <c r="J1526" s="609">
        <v>2595414</v>
      </c>
      <c r="K1526" s="609">
        <v>2895414</v>
      </c>
      <c r="L1526" s="609">
        <v>0</v>
      </c>
      <c r="M1526" s="609">
        <v>0</v>
      </c>
      <c r="N1526" s="587">
        <f t="shared" si="168"/>
        <v>2895414</v>
      </c>
      <c r="Q1526" t="str">
        <f t="shared" si="169"/>
        <v>59170</v>
      </c>
      <c r="R1526" s="126" t="str">
        <f t="shared" si="170"/>
        <v>TRANSFER TO CIP-STREET IMPROVE</v>
      </c>
      <c r="S1526" s="125" t="str">
        <f t="shared" si="171"/>
        <v>174</v>
      </c>
      <c r="T1526" s="125" t="str">
        <f t="shared" si="172"/>
        <v>99</v>
      </c>
      <c r="U1526" s="125" t="str">
        <f t="shared" si="173"/>
        <v>998</v>
      </c>
      <c r="V1526" s="125" t="str">
        <f>VLOOKUP(Q1526,'GL Category'!A:C,3,FALSE)</f>
        <v>Transfers to other funds</v>
      </c>
      <c r="X1526" s="83"/>
    </row>
    <row r="1527" spans="1:24" ht="20.399999999999999" customHeight="1">
      <c r="A1527" s="608" t="s">
        <v>1035</v>
      </c>
      <c r="B1527" s="608" t="s">
        <v>3184</v>
      </c>
      <c r="C1527" s="608" t="s">
        <v>353</v>
      </c>
      <c r="D1527" s="609">
        <v>0</v>
      </c>
      <c r="E1527" s="609">
        <v>0</v>
      </c>
      <c r="F1527" s="609">
        <v>9711.4599999999991</v>
      </c>
      <c r="G1527" s="609">
        <v>9711.42</v>
      </c>
      <c r="H1527" s="609">
        <v>0</v>
      </c>
      <c r="I1527" s="609">
        <v>0</v>
      </c>
      <c r="J1527" s="609">
        <v>0</v>
      </c>
      <c r="K1527" s="609">
        <v>0</v>
      </c>
      <c r="L1527" s="609">
        <v>0</v>
      </c>
      <c r="M1527" s="609">
        <v>0</v>
      </c>
      <c r="N1527" s="587">
        <f t="shared" si="168"/>
        <v>0</v>
      </c>
      <c r="Q1527" t="str">
        <f t="shared" si="169"/>
        <v>58651</v>
      </c>
      <c r="R1527" s="126" t="str">
        <f t="shared" si="170"/>
        <v>DEPRECIATION EXPENSE</v>
      </c>
      <c r="S1527" s="125" t="str">
        <f t="shared" si="171"/>
        <v>175</v>
      </c>
      <c r="T1527" s="125" t="str">
        <f t="shared" si="172"/>
        <v>10</v>
      </c>
      <c r="U1527" s="125" t="str">
        <f t="shared" si="173"/>
        <v>101</v>
      </c>
      <c r="V1527" s="125" t="str">
        <f>VLOOKUP(Q1527,'GL Category'!A:C,3,FALSE)</f>
        <v>Capital Outlay</v>
      </c>
      <c r="X1527" s="83"/>
    </row>
    <row r="1528" spans="1:24" ht="20.399999999999999" customHeight="1">
      <c r="A1528" s="608" t="s">
        <v>1035</v>
      </c>
      <c r="B1528" s="608" t="s">
        <v>2141</v>
      </c>
      <c r="C1528" s="608" t="s">
        <v>244</v>
      </c>
      <c r="D1528" s="609">
        <v>57464.33</v>
      </c>
      <c r="E1528" s="609">
        <v>0</v>
      </c>
      <c r="F1528" s="609">
        <v>0</v>
      </c>
      <c r="G1528" s="609">
        <v>0</v>
      </c>
      <c r="H1528" s="609">
        <v>49296</v>
      </c>
      <c r="I1528" s="609">
        <v>45998.43</v>
      </c>
      <c r="J1528" s="609">
        <v>49296</v>
      </c>
      <c r="K1528" s="609">
        <v>0</v>
      </c>
      <c r="L1528" s="609">
        <v>0</v>
      </c>
      <c r="M1528" s="609">
        <v>0</v>
      </c>
      <c r="N1528" s="587">
        <f t="shared" si="168"/>
        <v>0</v>
      </c>
      <c r="Q1528" t="str">
        <f t="shared" si="169"/>
        <v>58840</v>
      </c>
      <c r="R1528" s="126" t="str">
        <f t="shared" si="170"/>
        <v>MOTOR VEHICLES</v>
      </c>
      <c r="S1528" s="125" t="str">
        <f t="shared" si="171"/>
        <v>175</v>
      </c>
      <c r="T1528" s="125" t="str">
        <f t="shared" si="172"/>
        <v>11</v>
      </c>
      <c r="U1528" s="125" t="str">
        <f t="shared" si="173"/>
        <v>111</v>
      </c>
      <c r="V1528" s="125" t="str">
        <f>VLOOKUP(Q1528,'GL Category'!A:C,3,FALSE)</f>
        <v>Capital Outlay</v>
      </c>
      <c r="X1528" s="83"/>
    </row>
    <row r="1529" spans="1:24" ht="20.399999999999999" customHeight="1">
      <c r="A1529" s="608" t="s">
        <v>1035</v>
      </c>
      <c r="B1529" s="608" t="s">
        <v>2142</v>
      </c>
      <c r="C1529" s="608" t="s">
        <v>241</v>
      </c>
      <c r="D1529" s="609">
        <v>72</v>
      </c>
      <c r="E1529" s="609">
        <v>72</v>
      </c>
      <c r="F1529" s="609">
        <v>72</v>
      </c>
      <c r="G1529" s="609">
        <v>72</v>
      </c>
      <c r="H1529" s="609">
        <v>72</v>
      </c>
      <c r="I1529" s="609">
        <v>54</v>
      </c>
      <c r="J1529" s="609">
        <v>72</v>
      </c>
      <c r="K1529" s="609">
        <v>72</v>
      </c>
      <c r="L1529" s="609">
        <v>0</v>
      </c>
      <c r="M1529" s="609">
        <v>0</v>
      </c>
      <c r="N1529" s="587">
        <f t="shared" si="168"/>
        <v>72</v>
      </c>
      <c r="Q1529" t="str">
        <f t="shared" si="169"/>
        <v>52460</v>
      </c>
      <c r="R1529" s="126" t="str">
        <f t="shared" si="170"/>
        <v>VEHICLE MAINTENANCE</v>
      </c>
      <c r="S1529" s="125" t="str">
        <f t="shared" si="171"/>
        <v>175</v>
      </c>
      <c r="T1529" s="125" t="str">
        <f t="shared" si="172"/>
        <v>18</v>
      </c>
      <c r="U1529" s="125" t="str">
        <f t="shared" si="173"/>
        <v>181</v>
      </c>
      <c r="V1529" s="125" t="str">
        <f>VLOOKUP(Q1529,'GL Category'!A:C,3,FALSE)</f>
        <v>Operations &amp; maintenance</v>
      </c>
      <c r="X1529" s="83"/>
    </row>
    <row r="1530" spans="1:24" ht="20.399999999999999" customHeight="1">
      <c r="A1530" s="608" t="s">
        <v>1035</v>
      </c>
      <c r="B1530" s="608" t="s">
        <v>3185</v>
      </c>
      <c r="C1530" s="608" t="s">
        <v>353</v>
      </c>
      <c r="D1530" s="609">
        <v>0</v>
      </c>
      <c r="E1530" s="609">
        <v>0</v>
      </c>
      <c r="F1530" s="609">
        <v>0</v>
      </c>
      <c r="G1530" s="609">
        <v>0</v>
      </c>
      <c r="H1530" s="609">
        <v>0</v>
      </c>
      <c r="I1530" s="609">
        <v>0</v>
      </c>
      <c r="J1530" s="609">
        <v>0</v>
      </c>
      <c r="K1530" s="609">
        <v>0</v>
      </c>
      <c r="L1530" s="609">
        <v>0</v>
      </c>
      <c r="M1530" s="609">
        <v>0</v>
      </c>
      <c r="N1530" s="587">
        <f t="shared" si="168"/>
        <v>0</v>
      </c>
      <c r="Q1530" t="str">
        <f t="shared" si="169"/>
        <v>58651</v>
      </c>
      <c r="R1530" s="126" t="str">
        <f t="shared" si="170"/>
        <v>DEPRECIATION EXPENSE</v>
      </c>
      <c r="S1530" s="125" t="str">
        <f t="shared" si="171"/>
        <v>175</v>
      </c>
      <c r="T1530" s="125" t="str">
        <f t="shared" si="172"/>
        <v>20</v>
      </c>
      <c r="U1530" s="125" t="str">
        <f t="shared" si="173"/>
        <v>201</v>
      </c>
      <c r="V1530" s="125" t="str">
        <f>VLOOKUP(Q1530,'GL Category'!A:C,3,FALSE)</f>
        <v>Capital Outlay</v>
      </c>
      <c r="X1530" s="83"/>
    </row>
    <row r="1531" spans="1:24" ht="20.399999999999999" customHeight="1">
      <c r="A1531" s="608" t="s">
        <v>1035</v>
      </c>
      <c r="B1531" s="608" t="s">
        <v>2148</v>
      </c>
      <c r="C1531" s="608" t="s">
        <v>244</v>
      </c>
      <c r="D1531" s="609">
        <v>29763.5</v>
      </c>
      <c r="E1531" s="609">
        <v>0</v>
      </c>
      <c r="F1531" s="609">
        <v>0</v>
      </c>
      <c r="G1531" s="609">
        <v>0</v>
      </c>
      <c r="H1531" s="609">
        <v>0</v>
      </c>
      <c r="I1531" s="609">
        <v>0</v>
      </c>
      <c r="J1531" s="609">
        <v>0</v>
      </c>
      <c r="K1531" s="609">
        <v>115535</v>
      </c>
      <c r="L1531" s="609">
        <v>0</v>
      </c>
      <c r="M1531" s="609">
        <v>0</v>
      </c>
      <c r="N1531" s="587">
        <f t="shared" si="168"/>
        <v>115535</v>
      </c>
      <c r="Q1531" t="str">
        <f t="shared" si="169"/>
        <v>58840</v>
      </c>
      <c r="R1531" s="126" t="str">
        <f t="shared" si="170"/>
        <v>MOTOR VEHICLES</v>
      </c>
      <c r="S1531" s="125" t="str">
        <f t="shared" si="171"/>
        <v>175</v>
      </c>
      <c r="T1531" s="125" t="str">
        <f t="shared" si="172"/>
        <v>20</v>
      </c>
      <c r="U1531" s="125" t="str">
        <f t="shared" si="173"/>
        <v>204</v>
      </c>
      <c r="V1531" s="125" t="str">
        <f>VLOOKUP(Q1531,'GL Category'!A:C,3,FALSE)</f>
        <v>Capital Outlay</v>
      </c>
      <c r="X1531" s="83"/>
    </row>
    <row r="1532" spans="1:24" ht="20.399999999999999" customHeight="1">
      <c r="A1532" s="608" t="s">
        <v>1035</v>
      </c>
      <c r="B1532" s="608" t="s">
        <v>3367</v>
      </c>
      <c r="C1532" s="608" t="s">
        <v>244</v>
      </c>
      <c r="D1532" s="609">
        <v>0</v>
      </c>
      <c r="E1532" s="609">
        <v>0</v>
      </c>
      <c r="F1532" s="609">
        <v>0</v>
      </c>
      <c r="G1532" s="609">
        <v>47560.26</v>
      </c>
      <c r="H1532" s="609">
        <v>0</v>
      </c>
      <c r="I1532" s="609">
        <v>0</v>
      </c>
      <c r="J1532" s="609">
        <v>0</v>
      </c>
      <c r="K1532" s="609">
        <v>0</v>
      </c>
      <c r="L1532" s="609">
        <v>0</v>
      </c>
      <c r="M1532" s="609">
        <v>0</v>
      </c>
      <c r="N1532" s="587">
        <f t="shared" si="168"/>
        <v>0</v>
      </c>
      <c r="Q1532" t="str">
        <f t="shared" si="169"/>
        <v>58840</v>
      </c>
      <c r="R1532" s="126" t="str">
        <f t="shared" si="170"/>
        <v>MOTOR VEHICLES</v>
      </c>
      <c r="S1532" s="125" t="str">
        <f t="shared" si="171"/>
        <v>175</v>
      </c>
      <c r="T1532" s="125" t="str">
        <f t="shared" si="172"/>
        <v>20</v>
      </c>
      <c r="U1532" s="125" t="str">
        <f t="shared" si="173"/>
        <v>208</v>
      </c>
      <c r="V1532" s="125" t="str">
        <f>VLOOKUP(Q1532,'GL Category'!A:C,3,FALSE)</f>
        <v>Capital Outlay</v>
      </c>
      <c r="X1532" s="83"/>
    </row>
    <row r="1533" spans="1:24" ht="20.399999999999999" customHeight="1">
      <c r="A1533" s="608" t="s">
        <v>1035</v>
      </c>
      <c r="B1533" s="608" t="s">
        <v>3219</v>
      </c>
      <c r="C1533" s="608" t="s">
        <v>353</v>
      </c>
      <c r="D1533" s="609">
        <v>0</v>
      </c>
      <c r="E1533" s="609">
        <v>0</v>
      </c>
      <c r="F1533" s="609">
        <v>0</v>
      </c>
      <c r="G1533" s="609">
        <v>0</v>
      </c>
      <c r="H1533" s="609">
        <v>0</v>
      </c>
      <c r="I1533" s="609">
        <v>0</v>
      </c>
      <c r="J1533" s="609">
        <v>0</v>
      </c>
      <c r="K1533" s="609">
        <v>0</v>
      </c>
      <c r="L1533" s="609">
        <v>0</v>
      </c>
      <c r="M1533" s="609">
        <v>0</v>
      </c>
      <c r="N1533" s="587">
        <f t="shared" si="168"/>
        <v>0</v>
      </c>
      <c r="Q1533" t="str">
        <f t="shared" si="169"/>
        <v>58651</v>
      </c>
      <c r="R1533" s="126" t="str">
        <f t="shared" si="170"/>
        <v>DEPRECIATION EXPENSE</v>
      </c>
      <c r="S1533" s="125" t="str">
        <f t="shared" si="171"/>
        <v>175</v>
      </c>
      <c r="T1533" s="125" t="str">
        <f t="shared" si="172"/>
        <v>30</v>
      </c>
      <c r="U1533" s="125" t="str">
        <f t="shared" si="173"/>
        <v>301</v>
      </c>
      <c r="V1533" s="125" t="str">
        <f>VLOOKUP(Q1533,'GL Category'!A:C,3,FALSE)</f>
        <v>Capital Outlay</v>
      </c>
      <c r="X1533" s="83"/>
    </row>
    <row r="1534" spans="1:24" ht="20.399999999999999" customHeight="1">
      <c r="A1534" s="608" t="s">
        <v>1035</v>
      </c>
      <c r="B1534" s="608" t="s">
        <v>3519</v>
      </c>
      <c r="C1534" s="608" t="s">
        <v>241</v>
      </c>
      <c r="D1534" s="609">
        <v>0</v>
      </c>
      <c r="E1534" s="609">
        <v>0</v>
      </c>
      <c r="F1534" s="609">
        <v>0</v>
      </c>
      <c r="G1534" s="609">
        <v>0</v>
      </c>
      <c r="H1534" s="609">
        <v>0</v>
      </c>
      <c r="I1534" s="609">
        <v>0</v>
      </c>
      <c r="J1534" s="609">
        <v>0</v>
      </c>
      <c r="K1534" s="609">
        <v>0</v>
      </c>
      <c r="L1534" s="609">
        <v>0</v>
      </c>
      <c r="M1534" s="609">
        <v>0</v>
      </c>
      <c r="N1534" s="587">
        <f t="shared" si="168"/>
        <v>0</v>
      </c>
      <c r="Q1534" t="str">
        <f t="shared" si="169"/>
        <v>52460</v>
      </c>
      <c r="R1534" s="126" t="str">
        <f t="shared" si="170"/>
        <v>VEHICLE MAINTENANCE</v>
      </c>
      <c r="S1534" s="125" t="str">
        <f t="shared" si="171"/>
        <v>175</v>
      </c>
      <c r="T1534" s="125" t="str">
        <f t="shared" si="172"/>
        <v>30</v>
      </c>
      <c r="U1534" s="125" t="str">
        <f t="shared" si="173"/>
        <v>302</v>
      </c>
      <c r="V1534" s="125" t="str">
        <f>VLOOKUP(Q1534,'GL Category'!A:C,3,FALSE)</f>
        <v>Operations &amp; maintenance</v>
      </c>
      <c r="X1534" s="83"/>
    </row>
    <row r="1535" spans="1:24" ht="20.399999999999999" customHeight="1">
      <c r="A1535" s="608" t="s">
        <v>1035</v>
      </c>
      <c r="B1535" s="608" t="s">
        <v>3186</v>
      </c>
      <c r="C1535" s="608" t="s">
        <v>244</v>
      </c>
      <c r="D1535" s="609">
        <v>51469.43</v>
      </c>
      <c r="E1535" s="609">
        <v>0</v>
      </c>
      <c r="F1535" s="609">
        <v>0</v>
      </c>
      <c r="G1535" s="609">
        <v>0</v>
      </c>
      <c r="H1535" s="609">
        <v>0</v>
      </c>
      <c r="I1535" s="609">
        <v>0</v>
      </c>
      <c r="J1535" s="609">
        <v>0</v>
      </c>
      <c r="K1535" s="609">
        <v>0</v>
      </c>
      <c r="L1535" s="609">
        <v>0</v>
      </c>
      <c r="M1535" s="609">
        <v>0</v>
      </c>
      <c r="N1535" s="587">
        <f t="shared" si="168"/>
        <v>0</v>
      </c>
      <c r="Q1535" t="str">
        <f t="shared" si="169"/>
        <v>58840</v>
      </c>
      <c r="R1535" s="126" t="str">
        <f t="shared" si="170"/>
        <v>MOTOR VEHICLES</v>
      </c>
      <c r="S1535" s="125" t="str">
        <f t="shared" si="171"/>
        <v>175</v>
      </c>
      <c r="T1535" s="125" t="str">
        <f t="shared" si="172"/>
        <v>30</v>
      </c>
      <c r="U1535" s="125" t="str">
        <f t="shared" si="173"/>
        <v>304</v>
      </c>
      <c r="V1535" s="125" t="str">
        <f>VLOOKUP(Q1535,'GL Category'!A:C,3,FALSE)</f>
        <v>Capital Outlay</v>
      </c>
      <c r="X1535" s="83"/>
    </row>
    <row r="1536" spans="1:24" ht="20.399999999999999" customHeight="1">
      <c r="A1536" s="608" t="s">
        <v>1035</v>
      </c>
      <c r="B1536" s="608" t="s">
        <v>3361</v>
      </c>
      <c r="C1536" s="608" t="s">
        <v>241</v>
      </c>
      <c r="D1536" s="609">
        <v>0</v>
      </c>
      <c r="E1536" s="609">
        <v>20820.3</v>
      </c>
      <c r="F1536" s="609">
        <v>0</v>
      </c>
      <c r="G1536" s="609">
        <v>0</v>
      </c>
      <c r="H1536" s="609">
        <v>0</v>
      </c>
      <c r="I1536" s="609">
        <v>0</v>
      </c>
      <c r="J1536" s="609">
        <v>0</v>
      </c>
      <c r="K1536" s="609">
        <v>0</v>
      </c>
      <c r="L1536" s="609">
        <v>0</v>
      </c>
      <c r="M1536" s="609">
        <v>0</v>
      </c>
      <c r="N1536" s="587">
        <f t="shared" si="168"/>
        <v>0</v>
      </c>
      <c r="Q1536" t="str">
        <f t="shared" si="169"/>
        <v>52460</v>
      </c>
      <c r="R1536" s="126" t="str">
        <f t="shared" si="170"/>
        <v>VEHICLE MAINTENANCE</v>
      </c>
      <c r="S1536" s="125" t="str">
        <f t="shared" si="171"/>
        <v>175</v>
      </c>
      <c r="T1536" s="125" t="str">
        <f t="shared" si="172"/>
        <v>35</v>
      </c>
      <c r="U1536" s="125" t="str">
        <f t="shared" si="173"/>
        <v>351</v>
      </c>
      <c r="V1536" s="125" t="str">
        <f>VLOOKUP(Q1536,'GL Category'!A:C,3,FALSE)</f>
        <v>Operations &amp; maintenance</v>
      </c>
      <c r="X1536" s="83"/>
    </row>
    <row r="1537" spans="1:24" ht="20.399999999999999" customHeight="1">
      <c r="A1537" s="608" t="s">
        <v>1035</v>
      </c>
      <c r="B1537" s="608" t="s">
        <v>3187</v>
      </c>
      <c r="C1537" s="608" t="s">
        <v>353</v>
      </c>
      <c r="D1537" s="609">
        <v>0</v>
      </c>
      <c r="E1537" s="609">
        <v>0</v>
      </c>
      <c r="F1537" s="609">
        <v>237966.24</v>
      </c>
      <c r="G1537" s="609">
        <v>353412.89</v>
      </c>
      <c r="H1537" s="609">
        <v>0</v>
      </c>
      <c r="I1537" s="609">
        <v>0</v>
      </c>
      <c r="J1537" s="609">
        <v>0</v>
      </c>
      <c r="K1537" s="609">
        <v>0</v>
      </c>
      <c r="L1537" s="609">
        <v>0</v>
      </c>
      <c r="M1537" s="609">
        <v>0</v>
      </c>
      <c r="N1537" s="587">
        <f t="shared" si="168"/>
        <v>0</v>
      </c>
      <c r="Q1537" t="str">
        <f t="shared" si="169"/>
        <v>58651</v>
      </c>
      <c r="R1537" s="126" t="str">
        <f t="shared" si="170"/>
        <v>DEPRECIATION EXPENSE</v>
      </c>
      <c r="S1537" s="125" t="str">
        <f t="shared" si="171"/>
        <v>175</v>
      </c>
      <c r="T1537" s="125" t="str">
        <f t="shared" si="172"/>
        <v>35</v>
      </c>
      <c r="U1537" s="125" t="str">
        <f t="shared" si="173"/>
        <v>351</v>
      </c>
      <c r="V1537" s="125" t="str">
        <f>VLOOKUP(Q1537,'GL Category'!A:C,3,FALSE)</f>
        <v>Capital Outlay</v>
      </c>
      <c r="X1537" s="83"/>
    </row>
    <row r="1538" spans="1:24" ht="20.399999999999999" customHeight="1">
      <c r="A1538" s="608" t="s">
        <v>1035</v>
      </c>
      <c r="B1538" s="608" t="s">
        <v>2149</v>
      </c>
      <c r="C1538" s="608" t="s">
        <v>244</v>
      </c>
      <c r="D1538" s="609">
        <v>120409.04</v>
      </c>
      <c r="E1538" s="609">
        <v>0</v>
      </c>
      <c r="F1538" s="609">
        <v>0</v>
      </c>
      <c r="G1538" s="609">
        <v>0</v>
      </c>
      <c r="H1538" s="609">
        <v>0</v>
      </c>
      <c r="I1538" s="609">
        <v>0</v>
      </c>
      <c r="J1538" s="609">
        <v>0</v>
      </c>
      <c r="K1538" s="609">
        <v>100011</v>
      </c>
      <c r="L1538" s="609">
        <v>0</v>
      </c>
      <c r="M1538" s="609">
        <v>0</v>
      </c>
      <c r="N1538" s="587">
        <f t="shared" si="168"/>
        <v>100011</v>
      </c>
      <c r="Q1538" t="str">
        <f t="shared" si="169"/>
        <v>58840</v>
      </c>
      <c r="R1538" s="126" t="str">
        <f t="shared" si="170"/>
        <v>MOTOR VEHICLES</v>
      </c>
      <c r="S1538" s="125" t="str">
        <f t="shared" si="171"/>
        <v>175</v>
      </c>
      <c r="T1538" s="125" t="str">
        <f t="shared" si="172"/>
        <v>35</v>
      </c>
      <c r="U1538" s="125" t="str">
        <f t="shared" si="173"/>
        <v>351</v>
      </c>
      <c r="V1538" s="125" t="str">
        <f>VLOOKUP(Q1538,'GL Category'!A:C,3,FALSE)</f>
        <v>Capital Outlay</v>
      </c>
      <c r="X1538" s="83"/>
    </row>
    <row r="1539" spans="1:24" ht="20.399999999999999" customHeight="1">
      <c r="A1539" s="608" t="s">
        <v>1035</v>
      </c>
      <c r="B1539" s="608" t="s">
        <v>2151</v>
      </c>
      <c r="C1539" s="608" t="s">
        <v>4</v>
      </c>
      <c r="D1539" s="609">
        <v>0</v>
      </c>
      <c r="E1539" s="609">
        <v>0</v>
      </c>
      <c r="F1539" s="609">
        <v>13800</v>
      </c>
      <c r="G1539" s="609">
        <v>0</v>
      </c>
      <c r="H1539" s="609">
        <v>0</v>
      </c>
      <c r="I1539" s="609">
        <v>0</v>
      </c>
      <c r="J1539" s="609">
        <v>0</v>
      </c>
      <c r="K1539" s="609">
        <v>280000</v>
      </c>
      <c r="L1539" s="609">
        <v>0</v>
      </c>
      <c r="M1539" s="609">
        <v>0</v>
      </c>
      <c r="N1539" s="587">
        <f t="shared" si="168"/>
        <v>280000</v>
      </c>
      <c r="Q1539" t="str">
        <f t="shared" si="169"/>
        <v>51245</v>
      </c>
      <c r="R1539" s="126" t="str">
        <f t="shared" si="170"/>
        <v>SMALL TOOLS &amp; EQUIPMENT</v>
      </c>
      <c r="S1539" s="125" t="str">
        <f t="shared" si="171"/>
        <v>175</v>
      </c>
      <c r="T1539" s="125" t="str">
        <f t="shared" si="172"/>
        <v>35</v>
      </c>
      <c r="U1539" s="125" t="str">
        <f t="shared" si="173"/>
        <v>352</v>
      </c>
      <c r="V1539" s="125" t="str">
        <f>VLOOKUP(Q1539,'GL Category'!A:C,3,FALSE)</f>
        <v>Operations &amp; maintenance</v>
      </c>
      <c r="X1539" s="83"/>
    </row>
    <row r="1540" spans="1:24" ht="20.399999999999999" customHeight="1">
      <c r="A1540" s="608" t="s">
        <v>1035</v>
      </c>
      <c r="B1540" s="608" t="s">
        <v>2150</v>
      </c>
      <c r="C1540" s="608" t="s">
        <v>268</v>
      </c>
      <c r="D1540" s="609">
        <v>0</v>
      </c>
      <c r="E1540" s="609">
        <v>79835</v>
      </c>
      <c r="F1540" s="609">
        <v>0</v>
      </c>
      <c r="G1540" s="609">
        <v>1484644</v>
      </c>
      <c r="H1540" s="609">
        <v>1094140</v>
      </c>
      <c r="I1540" s="609">
        <v>6834.87</v>
      </c>
      <c r="J1540" s="609">
        <v>1094140</v>
      </c>
      <c r="K1540" s="609">
        <v>0</v>
      </c>
      <c r="L1540" s="609">
        <v>0</v>
      </c>
      <c r="M1540" s="609">
        <v>0</v>
      </c>
      <c r="N1540" s="587">
        <f t="shared" ref="N1540:N1603" si="174">SUM(K1540:M1540)</f>
        <v>0</v>
      </c>
      <c r="Q1540" t="str">
        <f t="shared" ref="Q1540:Q1603" si="175">MID(B1540,12,5)</f>
        <v>58830</v>
      </c>
      <c r="R1540" s="126" t="str">
        <f t="shared" ref="R1540:R1570" si="176">C1540</f>
        <v>MACHINERY &amp; EQUIPMENT</v>
      </c>
      <c r="S1540" s="125" t="str">
        <f t="shared" ref="S1540:S1570" si="177">LEFT(B1540,3)</f>
        <v>175</v>
      </c>
      <c r="T1540" s="125" t="str">
        <f t="shared" ref="T1540:T1603" si="178">MID(B1540,5,2)</f>
        <v>35</v>
      </c>
      <c r="U1540" s="125" t="str">
        <f t="shared" ref="U1540:U1603" si="179">MID(B1540,8,3)</f>
        <v>352</v>
      </c>
      <c r="V1540" s="125" t="str">
        <f>VLOOKUP(Q1540,'GL Category'!A:C,3,FALSE)</f>
        <v>Capital Outlay</v>
      </c>
      <c r="X1540" s="83"/>
    </row>
    <row r="1541" spans="1:24" ht="20.399999999999999" customHeight="1">
      <c r="A1541" s="608" t="s">
        <v>1035</v>
      </c>
      <c r="B1541" s="608" t="s">
        <v>2152</v>
      </c>
      <c r="C1541" s="608" t="s">
        <v>244</v>
      </c>
      <c r="D1541" s="609">
        <v>49529.15</v>
      </c>
      <c r="E1541" s="609">
        <v>0</v>
      </c>
      <c r="F1541" s="609">
        <v>0</v>
      </c>
      <c r="G1541" s="609">
        <v>243957</v>
      </c>
      <c r="H1541" s="609">
        <v>0</v>
      </c>
      <c r="I1541" s="609">
        <v>-7.5</v>
      </c>
      <c r="J1541" s="609">
        <v>0</v>
      </c>
      <c r="K1541" s="609">
        <v>0</v>
      </c>
      <c r="L1541" s="609">
        <v>0</v>
      </c>
      <c r="M1541" s="609">
        <v>0</v>
      </c>
      <c r="N1541" s="587">
        <f t="shared" si="174"/>
        <v>0</v>
      </c>
      <c r="Q1541" t="str">
        <f t="shared" si="175"/>
        <v>58840</v>
      </c>
      <c r="R1541" s="126" t="str">
        <f t="shared" si="176"/>
        <v>MOTOR VEHICLES</v>
      </c>
      <c r="S1541" s="125" t="str">
        <f t="shared" si="177"/>
        <v>175</v>
      </c>
      <c r="T1541" s="125" t="str">
        <f t="shared" si="178"/>
        <v>35</v>
      </c>
      <c r="U1541" s="125" t="str">
        <f t="shared" si="179"/>
        <v>352</v>
      </c>
      <c r="V1541" s="125" t="str">
        <f>VLOOKUP(Q1541,'GL Category'!A:C,3,FALSE)</f>
        <v>Capital Outlay</v>
      </c>
      <c r="X1541" s="83"/>
    </row>
    <row r="1542" spans="1:24" ht="20.399999999999999" customHeight="1">
      <c r="A1542" s="608" t="s">
        <v>1035</v>
      </c>
      <c r="B1542" s="608" t="s">
        <v>2153</v>
      </c>
      <c r="C1542" s="608" t="s">
        <v>244</v>
      </c>
      <c r="D1542" s="609">
        <v>185523.97</v>
      </c>
      <c r="E1542" s="609">
        <v>0</v>
      </c>
      <c r="F1542" s="609">
        <v>0</v>
      </c>
      <c r="G1542" s="609">
        <v>0</v>
      </c>
      <c r="H1542" s="609">
        <v>0</v>
      </c>
      <c r="I1542" s="609">
        <v>0</v>
      </c>
      <c r="J1542" s="609">
        <v>0</v>
      </c>
      <c r="K1542" s="609">
        <v>506710</v>
      </c>
      <c r="L1542" s="609">
        <v>0</v>
      </c>
      <c r="M1542" s="609">
        <v>0</v>
      </c>
      <c r="N1542" s="587">
        <f t="shared" si="174"/>
        <v>506710</v>
      </c>
      <c r="Q1542" t="str">
        <f t="shared" si="175"/>
        <v>58840</v>
      </c>
      <c r="R1542" s="126" t="str">
        <f t="shared" si="176"/>
        <v>MOTOR VEHICLES</v>
      </c>
      <c r="S1542" s="125" t="str">
        <f t="shared" si="177"/>
        <v>175</v>
      </c>
      <c r="T1542" s="125" t="str">
        <f t="shared" si="178"/>
        <v>35</v>
      </c>
      <c r="U1542" s="125" t="str">
        <f t="shared" si="179"/>
        <v>353</v>
      </c>
      <c r="V1542" s="125" t="str">
        <f>VLOOKUP(Q1542,'GL Category'!A:C,3,FALSE)</f>
        <v>Capital Outlay</v>
      </c>
      <c r="X1542" s="83"/>
    </row>
    <row r="1543" spans="1:24" ht="20.399999999999999" customHeight="1">
      <c r="A1543" s="608" t="s">
        <v>1035</v>
      </c>
      <c r="B1543" s="608" t="s">
        <v>3188</v>
      </c>
      <c r="C1543" s="608" t="s">
        <v>353</v>
      </c>
      <c r="D1543" s="609">
        <v>0</v>
      </c>
      <c r="E1543" s="609">
        <v>0</v>
      </c>
      <c r="F1543" s="609">
        <v>128596.49</v>
      </c>
      <c r="G1543" s="609">
        <v>125496.17</v>
      </c>
      <c r="H1543" s="609">
        <v>0</v>
      </c>
      <c r="I1543" s="609">
        <v>0</v>
      </c>
      <c r="J1543" s="609">
        <v>0</v>
      </c>
      <c r="K1543" s="609">
        <v>0</v>
      </c>
      <c r="L1543" s="609">
        <v>0</v>
      </c>
      <c r="M1543" s="609">
        <v>0</v>
      </c>
      <c r="N1543" s="587">
        <f t="shared" si="174"/>
        <v>0</v>
      </c>
      <c r="Q1543" t="str">
        <f t="shared" si="175"/>
        <v>58651</v>
      </c>
      <c r="R1543" s="126" t="str">
        <f t="shared" si="176"/>
        <v>DEPRECIATION EXPENSE</v>
      </c>
      <c r="S1543" s="125" t="str">
        <f t="shared" si="177"/>
        <v>175</v>
      </c>
      <c r="T1543" s="125" t="str">
        <f t="shared" si="178"/>
        <v>50</v>
      </c>
      <c r="U1543" s="125" t="str">
        <f t="shared" si="179"/>
        <v>501</v>
      </c>
      <c r="V1543" s="125" t="str">
        <f>VLOOKUP(Q1543,'GL Category'!A:C,3,FALSE)</f>
        <v>Capital Outlay</v>
      </c>
      <c r="X1543" s="83"/>
    </row>
    <row r="1544" spans="1:24" ht="20.399999999999999" customHeight="1">
      <c r="A1544" s="608" t="s">
        <v>1035</v>
      </c>
      <c r="B1544" s="608" t="s">
        <v>2143</v>
      </c>
      <c r="C1544" s="608" t="s">
        <v>244</v>
      </c>
      <c r="D1544" s="609">
        <v>30558.6</v>
      </c>
      <c r="E1544" s="609">
        <v>0</v>
      </c>
      <c r="F1544" s="609">
        <v>0</v>
      </c>
      <c r="G1544" s="609">
        <v>0</v>
      </c>
      <c r="H1544" s="609">
        <v>0</v>
      </c>
      <c r="I1544" s="609">
        <v>0</v>
      </c>
      <c r="J1544" s="609">
        <v>0</v>
      </c>
      <c r="K1544" s="609">
        <v>0</v>
      </c>
      <c r="L1544" s="609">
        <v>0</v>
      </c>
      <c r="M1544" s="609">
        <v>0</v>
      </c>
      <c r="N1544" s="587">
        <f t="shared" si="174"/>
        <v>0</v>
      </c>
      <c r="Q1544" t="str">
        <f t="shared" si="175"/>
        <v>58840</v>
      </c>
      <c r="R1544" s="126" t="str">
        <f t="shared" si="176"/>
        <v>MOTOR VEHICLES</v>
      </c>
      <c r="S1544" s="125" t="str">
        <f t="shared" si="177"/>
        <v>175</v>
      </c>
      <c r="T1544" s="125" t="str">
        <f t="shared" si="178"/>
        <v>50</v>
      </c>
      <c r="U1544" s="125" t="str">
        <f t="shared" si="179"/>
        <v>502</v>
      </c>
      <c r="V1544" s="125" t="str">
        <f>VLOOKUP(Q1544,'GL Category'!A:C,3,FALSE)</f>
        <v>Capital Outlay</v>
      </c>
      <c r="X1544" s="83"/>
    </row>
    <row r="1545" spans="1:24" ht="20.399999999999999" customHeight="1">
      <c r="A1545" s="608" t="s">
        <v>1035</v>
      </c>
      <c r="B1545" s="608" t="s">
        <v>3352</v>
      </c>
      <c r="C1545" s="608" t="s">
        <v>241</v>
      </c>
      <c r="D1545" s="609">
        <v>0</v>
      </c>
      <c r="E1545" s="609">
        <v>-395</v>
      </c>
      <c r="F1545" s="609">
        <v>0</v>
      </c>
      <c r="G1545" s="609">
        <v>0</v>
      </c>
      <c r="H1545" s="609">
        <v>0</v>
      </c>
      <c r="I1545" s="609">
        <v>0</v>
      </c>
      <c r="J1545" s="609">
        <v>0</v>
      </c>
      <c r="K1545" s="609">
        <v>0</v>
      </c>
      <c r="L1545" s="609">
        <v>0</v>
      </c>
      <c r="M1545" s="609">
        <v>0</v>
      </c>
      <c r="N1545" s="587">
        <f t="shared" si="174"/>
        <v>0</v>
      </c>
      <c r="Q1545" t="str">
        <f t="shared" si="175"/>
        <v>52460</v>
      </c>
      <c r="R1545" s="126" t="str">
        <f t="shared" si="176"/>
        <v>VEHICLE MAINTENANCE</v>
      </c>
      <c r="S1545" s="125" t="str">
        <f t="shared" si="177"/>
        <v>175</v>
      </c>
      <c r="T1545" s="125" t="str">
        <f t="shared" si="178"/>
        <v>50</v>
      </c>
      <c r="U1545" s="125" t="str">
        <f t="shared" si="179"/>
        <v>503</v>
      </c>
      <c r="V1545" s="125" t="str">
        <f>VLOOKUP(Q1545,'GL Category'!A:C,3,FALSE)</f>
        <v>Operations &amp; maintenance</v>
      </c>
      <c r="X1545" s="83"/>
    </row>
    <row r="1546" spans="1:24" ht="20.399999999999999" customHeight="1">
      <c r="A1546" s="608" t="s">
        <v>1035</v>
      </c>
      <c r="B1546" s="608" t="s">
        <v>2154</v>
      </c>
      <c r="C1546" s="608" t="s">
        <v>268</v>
      </c>
      <c r="D1546" s="609">
        <v>361011.71</v>
      </c>
      <c r="E1546" s="609">
        <v>81632.02</v>
      </c>
      <c r="F1546" s="609">
        <v>54385.16</v>
      </c>
      <c r="G1546" s="609">
        <v>0</v>
      </c>
      <c r="H1546" s="609">
        <v>0</v>
      </c>
      <c r="I1546" s="609">
        <v>0</v>
      </c>
      <c r="J1546" s="609">
        <v>0</v>
      </c>
      <c r="K1546" s="609">
        <v>0</v>
      </c>
      <c r="L1546" s="609">
        <v>0</v>
      </c>
      <c r="M1546" s="609">
        <v>340000</v>
      </c>
      <c r="N1546" s="587">
        <f t="shared" si="174"/>
        <v>340000</v>
      </c>
      <c r="Q1546" t="str">
        <f t="shared" si="175"/>
        <v>58830</v>
      </c>
      <c r="R1546" s="126" t="str">
        <f t="shared" si="176"/>
        <v>MACHINERY &amp; EQUIPMENT</v>
      </c>
      <c r="S1546" s="125" t="str">
        <f t="shared" si="177"/>
        <v>175</v>
      </c>
      <c r="T1546" s="125" t="str">
        <f t="shared" si="178"/>
        <v>50</v>
      </c>
      <c r="U1546" s="125" t="str">
        <f t="shared" si="179"/>
        <v>503</v>
      </c>
      <c r="V1546" s="125" t="str">
        <f>VLOOKUP(Q1546,'GL Category'!A:C,3,FALSE)</f>
        <v>Capital Outlay</v>
      </c>
      <c r="X1546" s="83"/>
    </row>
    <row r="1547" spans="1:24" ht="20.399999999999999" customHeight="1">
      <c r="A1547" s="608" t="s">
        <v>1035</v>
      </c>
      <c r="B1547" s="608" t="s">
        <v>2155</v>
      </c>
      <c r="C1547" s="608" t="s">
        <v>244</v>
      </c>
      <c r="D1547" s="609">
        <v>124258.08</v>
      </c>
      <c r="E1547" s="609">
        <v>75031.75</v>
      </c>
      <c r="F1547" s="609">
        <v>71715.509999999995</v>
      </c>
      <c r="G1547" s="609">
        <v>82322.62</v>
      </c>
      <c r="H1547" s="609">
        <v>240000</v>
      </c>
      <c r="I1547" s="609">
        <v>201949</v>
      </c>
      <c r="J1547" s="609">
        <v>240000</v>
      </c>
      <c r="K1547" s="609">
        <v>197327</v>
      </c>
      <c r="L1547" s="609">
        <v>0</v>
      </c>
      <c r="M1547" s="609">
        <v>0</v>
      </c>
      <c r="N1547" s="587">
        <f t="shared" si="174"/>
        <v>197327</v>
      </c>
      <c r="Q1547" t="str">
        <f t="shared" si="175"/>
        <v>58840</v>
      </c>
      <c r="R1547" s="126" t="str">
        <f t="shared" si="176"/>
        <v>MOTOR VEHICLES</v>
      </c>
      <c r="S1547" s="125" t="str">
        <f t="shared" si="177"/>
        <v>175</v>
      </c>
      <c r="T1547" s="125" t="str">
        <f t="shared" si="178"/>
        <v>50</v>
      </c>
      <c r="U1547" s="125" t="str">
        <f t="shared" si="179"/>
        <v>503</v>
      </c>
      <c r="V1547" s="125" t="str">
        <f>VLOOKUP(Q1547,'GL Category'!A:C,3,FALSE)</f>
        <v>Capital Outlay</v>
      </c>
      <c r="X1547" s="83"/>
    </row>
    <row r="1548" spans="1:24" ht="20.399999999999999" customHeight="1">
      <c r="A1548" s="608" t="s">
        <v>1035</v>
      </c>
      <c r="B1548" s="608" t="s">
        <v>3189</v>
      </c>
      <c r="C1548" s="608" t="s">
        <v>353</v>
      </c>
      <c r="D1548" s="609">
        <v>0</v>
      </c>
      <c r="E1548" s="609">
        <v>0</v>
      </c>
      <c r="F1548" s="609">
        <v>29420.86</v>
      </c>
      <c r="G1548" s="609">
        <v>47176.67</v>
      </c>
      <c r="H1548" s="609">
        <v>0</v>
      </c>
      <c r="I1548" s="609">
        <v>0</v>
      </c>
      <c r="J1548" s="609">
        <v>0</v>
      </c>
      <c r="K1548" s="609">
        <v>0</v>
      </c>
      <c r="L1548" s="609">
        <v>0</v>
      </c>
      <c r="M1548" s="609">
        <v>0</v>
      </c>
      <c r="N1548" s="587">
        <f t="shared" si="174"/>
        <v>0</v>
      </c>
      <c r="Q1548" t="str">
        <f t="shared" si="175"/>
        <v>58651</v>
      </c>
      <c r="R1548" s="126" t="str">
        <f t="shared" si="176"/>
        <v>DEPRECIATION EXPENSE</v>
      </c>
      <c r="S1548" s="125" t="str">
        <f t="shared" si="177"/>
        <v>175</v>
      </c>
      <c r="T1548" s="125" t="str">
        <f t="shared" si="178"/>
        <v>63</v>
      </c>
      <c r="U1548" s="125" t="str">
        <f t="shared" si="179"/>
        <v>631</v>
      </c>
      <c r="V1548" s="125" t="str">
        <f>VLOOKUP(Q1548,'GL Category'!A:C,3,FALSE)</f>
        <v>Capital Outlay</v>
      </c>
      <c r="X1548" s="83"/>
    </row>
    <row r="1549" spans="1:24" ht="20.399999999999999" customHeight="1">
      <c r="A1549" s="608" t="s">
        <v>1035</v>
      </c>
      <c r="B1549" s="608" t="s">
        <v>2157</v>
      </c>
      <c r="C1549" s="608" t="s">
        <v>244</v>
      </c>
      <c r="D1549" s="609">
        <v>141813.51</v>
      </c>
      <c r="E1549" s="609">
        <v>0</v>
      </c>
      <c r="F1549" s="609">
        <v>41311.65</v>
      </c>
      <c r="G1549" s="609">
        <v>81096.98</v>
      </c>
      <c r="H1549" s="609">
        <v>0</v>
      </c>
      <c r="I1549" s="609">
        <v>0</v>
      </c>
      <c r="J1549" s="609">
        <v>0</v>
      </c>
      <c r="K1549" s="609">
        <v>120056</v>
      </c>
      <c r="L1549" s="609">
        <v>0</v>
      </c>
      <c r="M1549" s="609">
        <v>0</v>
      </c>
      <c r="N1549" s="587">
        <f t="shared" si="174"/>
        <v>120056</v>
      </c>
      <c r="Q1549" t="str">
        <f t="shared" si="175"/>
        <v>58840</v>
      </c>
      <c r="R1549" s="126" t="str">
        <f t="shared" si="176"/>
        <v>MOTOR VEHICLES</v>
      </c>
      <c r="S1549" s="125" t="str">
        <f t="shared" si="177"/>
        <v>175</v>
      </c>
      <c r="T1549" s="125" t="str">
        <f t="shared" si="178"/>
        <v>63</v>
      </c>
      <c r="U1549" s="125" t="str">
        <f t="shared" si="179"/>
        <v>632</v>
      </c>
      <c r="V1549" s="125" t="str">
        <f>VLOOKUP(Q1549,'GL Category'!A:C,3,FALSE)</f>
        <v>Capital Outlay</v>
      </c>
      <c r="X1549" s="83"/>
    </row>
    <row r="1550" spans="1:24" ht="20.399999999999999" customHeight="1">
      <c r="A1550" s="608" t="s">
        <v>1035</v>
      </c>
      <c r="B1550" s="608" t="s">
        <v>3374</v>
      </c>
      <c r="C1550" s="608" t="s">
        <v>244</v>
      </c>
      <c r="D1550" s="609">
        <v>0</v>
      </c>
      <c r="E1550" s="609">
        <v>0</v>
      </c>
      <c r="F1550" s="609">
        <v>105433.15</v>
      </c>
      <c r="G1550" s="609">
        <v>0</v>
      </c>
      <c r="H1550" s="609">
        <v>0</v>
      </c>
      <c r="I1550" s="609">
        <v>0</v>
      </c>
      <c r="J1550" s="609">
        <v>0</v>
      </c>
      <c r="K1550" s="609">
        <v>0</v>
      </c>
      <c r="L1550" s="609">
        <v>0</v>
      </c>
      <c r="M1550" s="609">
        <v>0</v>
      </c>
      <c r="N1550" s="587">
        <f t="shared" si="174"/>
        <v>0</v>
      </c>
      <c r="Q1550" t="str">
        <f t="shared" si="175"/>
        <v>58840</v>
      </c>
      <c r="R1550" s="126" t="str">
        <f t="shared" si="176"/>
        <v>MOTOR VEHICLES</v>
      </c>
      <c r="S1550" s="125" t="str">
        <f t="shared" si="177"/>
        <v>175</v>
      </c>
      <c r="T1550" s="125" t="str">
        <f t="shared" si="178"/>
        <v>63</v>
      </c>
      <c r="U1550" s="125" t="str">
        <f t="shared" si="179"/>
        <v>634</v>
      </c>
      <c r="V1550" s="125" t="str">
        <f>VLOOKUP(Q1550,'GL Category'!A:C,3,FALSE)</f>
        <v>Capital Outlay</v>
      </c>
      <c r="X1550" s="83"/>
    </row>
    <row r="1551" spans="1:24" ht="20.399999999999999" customHeight="1">
      <c r="A1551" s="608" t="s">
        <v>1035</v>
      </c>
      <c r="B1551" s="608" t="s">
        <v>2159</v>
      </c>
      <c r="C1551" s="608" t="s">
        <v>244</v>
      </c>
      <c r="D1551" s="609">
        <v>36219.699999999997</v>
      </c>
      <c r="E1551" s="609">
        <v>0</v>
      </c>
      <c r="F1551" s="609">
        <v>0</v>
      </c>
      <c r="G1551" s="609">
        <v>0</v>
      </c>
      <c r="H1551" s="609">
        <v>0</v>
      </c>
      <c r="I1551" s="609">
        <v>0</v>
      </c>
      <c r="J1551" s="609">
        <v>0</v>
      </c>
      <c r="K1551" s="609">
        <v>139630</v>
      </c>
      <c r="L1551" s="609">
        <v>0</v>
      </c>
      <c r="M1551" s="609">
        <v>0</v>
      </c>
      <c r="N1551" s="587">
        <f t="shared" si="174"/>
        <v>139630</v>
      </c>
      <c r="Q1551" t="str">
        <f t="shared" si="175"/>
        <v>58840</v>
      </c>
      <c r="R1551" s="126" t="str">
        <f t="shared" si="176"/>
        <v>MOTOR VEHICLES</v>
      </c>
      <c r="S1551" s="125" t="str">
        <f t="shared" si="177"/>
        <v>175</v>
      </c>
      <c r="T1551" s="125" t="str">
        <f t="shared" si="178"/>
        <v>63</v>
      </c>
      <c r="U1551" s="125" t="str">
        <f t="shared" si="179"/>
        <v>635</v>
      </c>
      <c r="V1551" s="125" t="str">
        <f>VLOOKUP(Q1551,'GL Category'!A:C,3,FALSE)</f>
        <v>Capital Outlay</v>
      </c>
      <c r="X1551" s="83"/>
    </row>
    <row r="1552" spans="1:24" ht="20.399999999999999" customHeight="1">
      <c r="A1552" s="608" t="s">
        <v>1035</v>
      </c>
      <c r="B1552" s="608" t="s">
        <v>2144</v>
      </c>
      <c r="C1552" s="608" t="s">
        <v>241</v>
      </c>
      <c r="D1552" s="609">
        <v>0</v>
      </c>
      <c r="E1552" s="609">
        <v>0</v>
      </c>
      <c r="F1552" s="609">
        <v>143.84</v>
      </c>
      <c r="G1552" s="609">
        <v>0</v>
      </c>
      <c r="H1552" s="609">
        <v>0</v>
      </c>
      <c r="I1552" s="609">
        <v>0</v>
      </c>
      <c r="J1552" s="609">
        <v>0</v>
      </c>
      <c r="K1552" s="609">
        <v>0</v>
      </c>
      <c r="L1552" s="609">
        <v>0</v>
      </c>
      <c r="M1552" s="609">
        <v>0</v>
      </c>
      <c r="N1552" s="587">
        <f t="shared" si="174"/>
        <v>0</v>
      </c>
      <c r="Q1552" t="str">
        <f t="shared" si="175"/>
        <v>52460</v>
      </c>
      <c r="R1552" s="126" t="str">
        <f t="shared" si="176"/>
        <v>VEHICLE MAINTENANCE</v>
      </c>
      <c r="S1552" s="125" t="str">
        <f t="shared" si="177"/>
        <v>175</v>
      </c>
      <c r="T1552" s="125" t="str">
        <f t="shared" si="178"/>
        <v>65</v>
      </c>
      <c r="U1552" s="125" t="str">
        <f t="shared" si="179"/>
        <v>651</v>
      </c>
      <c r="V1552" s="125" t="str">
        <f>VLOOKUP(Q1552,'GL Category'!A:C,3,FALSE)</f>
        <v>Operations &amp; maintenance</v>
      </c>
      <c r="X1552" s="83"/>
    </row>
    <row r="1553" spans="1:24" ht="20.399999999999999" customHeight="1">
      <c r="A1553" s="608" t="s">
        <v>1035</v>
      </c>
      <c r="B1553" s="608" t="s">
        <v>3358</v>
      </c>
      <c r="C1553" s="608" t="s">
        <v>241</v>
      </c>
      <c r="D1553" s="609">
        <v>0</v>
      </c>
      <c r="E1553" s="609">
        <v>0</v>
      </c>
      <c r="F1553" s="609">
        <v>365.27</v>
      </c>
      <c r="G1553" s="609">
        <v>743.29</v>
      </c>
      <c r="H1553" s="609">
        <v>711</v>
      </c>
      <c r="I1553" s="609">
        <v>618.74</v>
      </c>
      <c r="J1553" s="609">
        <v>711</v>
      </c>
      <c r="K1553" s="609">
        <v>711</v>
      </c>
      <c r="L1553" s="609">
        <v>0</v>
      </c>
      <c r="M1553" s="609">
        <v>0</v>
      </c>
      <c r="N1553" s="587">
        <f t="shared" si="174"/>
        <v>711</v>
      </c>
      <c r="Q1553" t="str">
        <f t="shared" si="175"/>
        <v>52460</v>
      </c>
      <c r="R1553" s="126" t="str">
        <f t="shared" si="176"/>
        <v>VEHICLE MAINTENANCE</v>
      </c>
      <c r="S1553" s="125" t="str">
        <f t="shared" si="177"/>
        <v>175</v>
      </c>
      <c r="T1553" s="125" t="str">
        <f t="shared" si="178"/>
        <v>65</v>
      </c>
      <c r="U1553" s="125" t="str">
        <f t="shared" si="179"/>
        <v>655</v>
      </c>
      <c r="V1553" s="125" t="str">
        <f>VLOOKUP(Q1553,'GL Category'!A:C,3,FALSE)</f>
        <v>Operations &amp; maintenance</v>
      </c>
      <c r="X1553" s="83"/>
    </row>
    <row r="1554" spans="1:24" ht="20.399999999999999" customHeight="1">
      <c r="A1554" s="608" t="s">
        <v>1035</v>
      </c>
      <c r="B1554" s="608" t="s">
        <v>3358</v>
      </c>
      <c r="C1554" s="608" t="s">
        <v>241</v>
      </c>
      <c r="D1554" s="609">
        <v>0</v>
      </c>
      <c r="E1554" s="609">
        <v>0</v>
      </c>
      <c r="F1554" s="609">
        <v>8483.15</v>
      </c>
      <c r="G1554" s="609">
        <v>500</v>
      </c>
      <c r="H1554" s="609">
        <v>0</v>
      </c>
      <c r="I1554" s="609">
        <v>0</v>
      </c>
      <c r="J1554" s="609">
        <v>0</v>
      </c>
      <c r="K1554" s="609">
        <v>0</v>
      </c>
      <c r="L1554" s="609">
        <v>0</v>
      </c>
      <c r="M1554" s="609">
        <v>0</v>
      </c>
      <c r="N1554" s="587">
        <f t="shared" si="174"/>
        <v>0</v>
      </c>
      <c r="Q1554" t="str">
        <f t="shared" si="175"/>
        <v>52460</v>
      </c>
      <c r="R1554" s="126" t="str">
        <f t="shared" si="176"/>
        <v>VEHICLE MAINTENANCE</v>
      </c>
      <c r="S1554" s="125" t="str">
        <f t="shared" si="177"/>
        <v>175</v>
      </c>
      <c r="T1554" s="125" t="str">
        <f t="shared" si="178"/>
        <v>65</v>
      </c>
      <c r="U1554" s="125" t="str">
        <f t="shared" si="179"/>
        <v>655</v>
      </c>
      <c r="V1554" s="125" t="str">
        <f>VLOOKUP(Q1554,'GL Category'!A:C,3,FALSE)</f>
        <v>Operations &amp; maintenance</v>
      </c>
      <c r="X1554" s="83"/>
    </row>
    <row r="1555" spans="1:24" ht="20.399999999999999" customHeight="1">
      <c r="A1555" s="608" t="s">
        <v>1035</v>
      </c>
      <c r="B1555" s="608" t="s">
        <v>2145</v>
      </c>
      <c r="C1555" s="608" t="s">
        <v>241</v>
      </c>
      <c r="D1555" s="609">
        <v>4102.7</v>
      </c>
      <c r="E1555" s="609">
        <v>6845.96</v>
      </c>
      <c r="F1555" s="609">
        <v>8672.75</v>
      </c>
      <c r="G1555" s="609">
        <v>12240.71</v>
      </c>
      <c r="H1555" s="609">
        <v>0</v>
      </c>
      <c r="I1555" s="609">
        <v>13541.97</v>
      </c>
      <c r="J1555" s="609">
        <v>15799</v>
      </c>
      <c r="K1555" s="609">
        <v>15799</v>
      </c>
      <c r="L1555" s="609">
        <v>0</v>
      </c>
      <c r="M1555" s="609">
        <v>0</v>
      </c>
      <c r="N1555" s="587">
        <f t="shared" si="174"/>
        <v>15799</v>
      </c>
      <c r="Q1555" t="str">
        <f t="shared" si="175"/>
        <v>52460</v>
      </c>
      <c r="R1555" s="126" t="str">
        <f t="shared" si="176"/>
        <v>VEHICLE MAINTENANCE</v>
      </c>
      <c r="S1555" s="125" t="str">
        <f t="shared" si="177"/>
        <v>175</v>
      </c>
      <c r="T1555" s="125" t="str">
        <f t="shared" si="178"/>
        <v>70</v>
      </c>
      <c r="U1555" s="125" t="str">
        <f t="shared" si="179"/>
        <v>701</v>
      </c>
      <c r="V1555" s="125" t="str">
        <f>VLOOKUP(Q1555,'GL Category'!A:C,3,FALSE)</f>
        <v>Operations &amp; maintenance</v>
      </c>
      <c r="X1555" s="83"/>
    </row>
    <row r="1556" spans="1:24" ht="20.399999999999999" customHeight="1">
      <c r="A1556" s="608" t="s">
        <v>1035</v>
      </c>
      <c r="B1556" s="608" t="s">
        <v>2145</v>
      </c>
      <c r="C1556" s="608" t="s">
        <v>241</v>
      </c>
      <c r="D1556" s="609">
        <v>0</v>
      </c>
      <c r="E1556" s="609">
        <v>7594.81</v>
      </c>
      <c r="F1556" s="609">
        <v>68040.19</v>
      </c>
      <c r="G1556" s="609">
        <v>13646.89</v>
      </c>
      <c r="H1556" s="609">
        <v>0</v>
      </c>
      <c r="I1556" s="609">
        <v>0</v>
      </c>
      <c r="J1556" s="609">
        <v>0</v>
      </c>
      <c r="K1556" s="609">
        <v>0</v>
      </c>
      <c r="L1556" s="609">
        <v>0</v>
      </c>
      <c r="M1556" s="609">
        <v>0</v>
      </c>
      <c r="N1556" s="587">
        <f t="shared" si="174"/>
        <v>0</v>
      </c>
      <c r="Q1556" t="str">
        <f t="shared" si="175"/>
        <v>52460</v>
      </c>
      <c r="R1556" s="126" t="str">
        <f t="shared" si="176"/>
        <v>VEHICLE MAINTENANCE</v>
      </c>
      <c r="S1556" s="125" t="str">
        <f t="shared" si="177"/>
        <v>175</v>
      </c>
      <c r="T1556" s="125" t="str">
        <f t="shared" si="178"/>
        <v>70</v>
      </c>
      <c r="U1556" s="125" t="str">
        <f t="shared" si="179"/>
        <v>701</v>
      </c>
      <c r="V1556" s="125" t="str">
        <f>VLOOKUP(Q1556,'GL Category'!A:C,3,FALSE)</f>
        <v>Operations &amp; maintenance</v>
      </c>
      <c r="X1556" s="83"/>
    </row>
    <row r="1557" spans="1:24" ht="20.399999999999999" customHeight="1">
      <c r="A1557" s="608" t="s">
        <v>1035</v>
      </c>
      <c r="B1557" s="608" t="s">
        <v>3190</v>
      </c>
      <c r="C1557" s="608" t="s">
        <v>353</v>
      </c>
      <c r="D1557" s="609">
        <v>0</v>
      </c>
      <c r="E1557" s="609">
        <v>0</v>
      </c>
      <c r="F1557" s="609">
        <v>228018.22</v>
      </c>
      <c r="G1557" s="609">
        <v>236201.64</v>
      </c>
      <c r="H1557" s="609">
        <v>0</v>
      </c>
      <c r="I1557" s="609">
        <v>0</v>
      </c>
      <c r="J1557" s="609">
        <v>0</v>
      </c>
      <c r="K1557" s="609">
        <v>0</v>
      </c>
      <c r="L1557" s="609">
        <v>0</v>
      </c>
      <c r="M1557" s="609">
        <v>0</v>
      </c>
      <c r="N1557" s="587">
        <f t="shared" si="174"/>
        <v>0</v>
      </c>
      <c r="Q1557" t="str">
        <f t="shared" si="175"/>
        <v>58651</v>
      </c>
      <c r="R1557" s="126" t="str">
        <f t="shared" si="176"/>
        <v>DEPRECIATION EXPENSE</v>
      </c>
      <c r="S1557" s="125" t="str">
        <f t="shared" si="177"/>
        <v>175</v>
      </c>
      <c r="T1557" s="125" t="str">
        <f t="shared" si="178"/>
        <v>70</v>
      </c>
      <c r="U1557" s="125" t="str">
        <f t="shared" si="179"/>
        <v>701</v>
      </c>
      <c r="V1557" s="125" t="str">
        <f>VLOOKUP(Q1557,'GL Category'!A:C,3,FALSE)</f>
        <v>Capital Outlay</v>
      </c>
      <c r="X1557" s="83"/>
    </row>
    <row r="1558" spans="1:24" ht="20.399999999999999" customHeight="1">
      <c r="A1558" s="608" t="s">
        <v>1035</v>
      </c>
      <c r="B1558" s="608" t="s">
        <v>2160</v>
      </c>
      <c r="C1558" s="608" t="s">
        <v>244</v>
      </c>
      <c r="D1558" s="609">
        <v>30558.6</v>
      </c>
      <c r="E1558" s="609">
        <v>0</v>
      </c>
      <c r="F1558" s="609">
        <v>0</v>
      </c>
      <c r="G1558" s="609">
        <v>0</v>
      </c>
      <c r="H1558" s="609">
        <v>53572</v>
      </c>
      <c r="I1558" s="609">
        <v>49737.42</v>
      </c>
      <c r="J1558" s="609">
        <v>53572</v>
      </c>
      <c r="K1558" s="609">
        <v>59168</v>
      </c>
      <c r="L1558" s="609">
        <v>0</v>
      </c>
      <c r="M1558" s="609">
        <v>0</v>
      </c>
      <c r="N1558" s="587">
        <f t="shared" si="174"/>
        <v>59168</v>
      </c>
      <c r="Q1558" t="str">
        <f t="shared" si="175"/>
        <v>58840</v>
      </c>
      <c r="R1558" s="126" t="str">
        <f t="shared" si="176"/>
        <v>MOTOR VEHICLES</v>
      </c>
      <c r="S1558" s="125" t="str">
        <f t="shared" si="177"/>
        <v>175</v>
      </c>
      <c r="T1558" s="125" t="str">
        <f t="shared" si="178"/>
        <v>70</v>
      </c>
      <c r="U1558" s="125" t="str">
        <f t="shared" si="179"/>
        <v>701</v>
      </c>
      <c r="V1558" s="125" t="str">
        <f>VLOOKUP(Q1558,'GL Category'!A:C,3,FALSE)</f>
        <v>Capital Outlay</v>
      </c>
      <c r="X1558" s="83"/>
    </row>
    <row r="1559" spans="1:24" ht="14.4" customHeight="1">
      <c r="A1559" s="608" t="s">
        <v>1035</v>
      </c>
      <c r="B1559" s="608" t="s">
        <v>3191</v>
      </c>
      <c r="C1559" s="608" t="s">
        <v>353</v>
      </c>
      <c r="D1559" s="609">
        <v>0</v>
      </c>
      <c r="E1559" s="609">
        <v>0</v>
      </c>
      <c r="F1559" s="609">
        <v>3319.2</v>
      </c>
      <c r="G1559" s="609">
        <v>3319.2</v>
      </c>
      <c r="H1559" s="609">
        <v>0</v>
      </c>
      <c r="I1559" s="609">
        <v>0</v>
      </c>
      <c r="J1559" s="609">
        <v>0</v>
      </c>
      <c r="K1559" s="609">
        <v>0</v>
      </c>
      <c r="L1559" s="609">
        <v>0</v>
      </c>
      <c r="M1559" s="609">
        <v>0</v>
      </c>
      <c r="N1559" s="587">
        <f t="shared" si="174"/>
        <v>0</v>
      </c>
      <c r="Q1559" t="str">
        <f t="shared" si="175"/>
        <v>58651</v>
      </c>
      <c r="R1559" s="126" t="str">
        <f t="shared" si="176"/>
        <v>DEPRECIATION EXPENSE</v>
      </c>
      <c r="S1559" s="125" t="str">
        <f t="shared" si="177"/>
        <v>175</v>
      </c>
      <c r="T1559" s="125" t="str">
        <f t="shared" si="178"/>
        <v>71</v>
      </c>
      <c r="U1559" s="125" t="str">
        <f t="shared" si="179"/>
        <v>711</v>
      </c>
      <c r="V1559" s="125" t="str">
        <f>VLOOKUP(Q1559,'GL Category'!A:C,3,FALSE)</f>
        <v>Capital Outlay</v>
      </c>
      <c r="X1559" s="83"/>
    </row>
    <row r="1560" spans="1:24" ht="14.4" customHeight="1">
      <c r="A1560" s="608" t="s">
        <v>1035</v>
      </c>
      <c r="B1560" s="608" t="s">
        <v>3362</v>
      </c>
      <c r="C1560" s="608" t="s">
        <v>241</v>
      </c>
      <c r="D1560" s="609">
        <v>0</v>
      </c>
      <c r="E1560" s="609">
        <v>300</v>
      </c>
      <c r="F1560" s="609">
        <v>0</v>
      </c>
      <c r="G1560" s="609">
        <v>0</v>
      </c>
      <c r="H1560" s="609">
        <v>0</v>
      </c>
      <c r="I1560" s="609">
        <v>0</v>
      </c>
      <c r="J1560" s="609">
        <v>0</v>
      </c>
      <c r="K1560" s="609">
        <v>0</v>
      </c>
      <c r="L1560" s="609">
        <v>0</v>
      </c>
      <c r="M1560" s="609">
        <v>0</v>
      </c>
      <c r="N1560" s="587">
        <f t="shared" si="174"/>
        <v>0</v>
      </c>
      <c r="Q1560" t="str">
        <f t="shared" si="175"/>
        <v>52460</v>
      </c>
      <c r="R1560" s="126" t="str">
        <f t="shared" si="176"/>
        <v>VEHICLE MAINTENANCE</v>
      </c>
      <c r="S1560" s="125" t="str">
        <f t="shared" si="177"/>
        <v>175</v>
      </c>
      <c r="T1560" s="125" t="str">
        <f t="shared" si="178"/>
        <v>71</v>
      </c>
      <c r="U1560" s="125" t="str">
        <f t="shared" si="179"/>
        <v>712</v>
      </c>
      <c r="V1560" s="125" t="str">
        <f>VLOOKUP(Q1560,'GL Category'!A:C,3,FALSE)</f>
        <v>Operations &amp; maintenance</v>
      </c>
      <c r="X1560" s="83"/>
    </row>
    <row r="1561" spans="1:24" ht="14.4" customHeight="1">
      <c r="A1561" s="608" t="s">
        <v>1035</v>
      </c>
      <c r="B1561" s="608" t="s">
        <v>2162</v>
      </c>
      <c r="C1561" s="608" t="s">
        <v>244</v>
      </c>
      <c r="D1561" s="609">
        <v>27818.25</v>
      </c>
      <c r="E1561" s="609">
        <v>58952.5</v>
      </c>
      <c r="F1561" s="609">
        <v>0</v>
      </c>
      <c r="G1561" s="609">
        <v>33006.559999999998</v>
      </c>
      <c r="H1561" s="609">
        <v>49296</v>
      </c>
      <c r="I1561" s="609">
        <v>46890.9</v>
      </c>
      <c r="J1561" s="609">
        <v>49296</v>
      </c>
      <c r="K1561" s="609">
        <v>54327</v>
      </c>
      <c r="L1561" s="609">
        <v>0</v>
      </c>
      <c r="M1561" s="609">
        <v>0</v>
      </c>
      <c r="N1561" s="587">
        <f t="shared" si="174"/>
        <v>54327</v>
      </c>
      <c r="Q1561" t="str">
        <f t="shared" si="175"/>
        <v>58840</v>
      </c>
      <c r="R1561" s="126" t="str">
        <f t="shared" si="176"/>
        <v>MOTOR VEHICLES</v>
      </c>
      <c r="S1561" s="125" t="str">
        <f t="shared" si="177"/>
        <v>175</v>
      </c>
      <c r="T1561" s="125" t="str">
        <f t="shared" si="178"/>
        <v>71</v>
      </c>
      <c r="U1561" s="125" t="str">
        <f t="shared" si="179"/>
        <v>712</v>
      </c>
      <c r="V1561" s="125" t="str">
        <f>VLOOKUP(Q1561,'GL Category'!A:C,3,FALSE)</f>
        <v>Capital Outlay</v>
      </c>
      <c r="X1561" s="83"/>
    </row>
    <row r="1562" spans="1:24" ht="20.399999999999999" customHeight="1">
      <c r="A1562" s="608" t="s">
        <v>1035</v>
      </c>
      <c r="B1562" s="608" t="s">
        <v>2163</v>
      </c>
      <c r="C1562" s="608" t="s">
        <v>244</v>
      </c>
      <c r="D1562" s="609">
        <v>98824.68</v>
      </c>
      <c r="E1562" s="609">
        <v>0</v>
      </c>
      <c r="F1562" s="609">
        <v>0</v>
      </c>
      <c r="G1562" s="609">
        <v>0</v>
      </c>
      <c r="H1562" s="609">
        <v>0</v>
      </c>
      <c r="I1562" s="609">
        <v>51189.93</v>
      </c>
      <c r="J1562" s="609">
        <v>51190</v>
      </c>
      <c r="K1562" s="609">
        <v>0</v>
      </c>
      <c r="L1562" s="609">
        <v>0</v>
      </c>
      <c r="M1562" s="609">
        <v>0</v>
      </c>
      <c r="N1562" s="587">
        <f t="shared" si="174"/>
        <v>0</v>
      </c>
      <c r="Q1562" t="str">
        <f t="shared" si="175"/>
        <v>58840</v>
      </c>
      <c r="R1562" s="126" t="str">
        <f t="shared" si="176"/>
        <v>MOTOR VEHICLES</v>
      </c>
      <c r="S1562" s="125" t="str">
        <f t="shared" si="177"/>
        <v>175</v>
      </c>
      <c r="T1562" s="125" t="str">
        <f t="shared" si="178"/>
        <v>73</v>
      </c>
      <c r="U1562" s="125" t="str">
        <f t="shared" si="179"/>
        <v>734</v>
      </c>
      <c r="V1562" s="125" t="str">
        <f>VLOOKUP(Q1562,'GL Category'!A:C,3,FALSE)</f>
        <v>Capital Outlay</v>
      </c>
      <c r="X1562" s="83"/>
    </row>
    <row r="1563" spans="1:24" ht="20.399999999999999" customHeight="1">
      <c r="A1563" s="608" t="s">
        <v>1035</v>
      </c>
      <c r="B1563" s="608" t="s">
        <v>3245</v>
      </c>
      <c r="C1563" s="608" t="s">
        <v>241</v>
      </c>
      <c r="D1563" s="609">
        <v>0</v>
      </c>
      <c r="E1563" s="609">
        <v>-120</v>
      </c>
      <c r="F1563" s="609">
        <v>0</v>
      </c>
      <c r="G1563" s="609">
        <v>0</v>
      </c>
      <c r="H1563" s="609">
        <v>0</v>
      </c>
      <c r="I1563" s="609">
        <v>0</v>
      </c>
      <c r="J1563" s="609">
        <v>0</v>
      </c>
      <c r="K1563" s="609">
        <v>0</v>
      </c>
      <c r="L1563" s="609">
        <v>0</v>
      </c>
      <c r="M1563" s="609">
        <v>0</v>
      </c>
      <c r="N1563" s="587">
        <f t="shared" si="174"/>
        <v>0</v>
      </c>
      <c r="Q1563" t="str">
        <f t="shared" si="175"/>
        <v>52460</v>
      </c>
      <c r="R1563" s="126" t="str">
        <f t="shared" si="176"/>
        <v>VEHICLE MAINTENANCE</v>
      </c>
      <c r="S1563" s="125" t="str">
        <f t="shared" si="177"/>
        <v>175</v>
      </c>
      <c r="T1563" s="125" t="str">
        <f t="shared" si="178"/>
        <v>73</v>
      </c>
      <c r="U1563" s="125" t="str">
        <f t="shared" si="179"/>
        <v>735</v>
      </c>
      <c r="V1563" s="125" t="str">
        <f>VLOOKUP(Q1563,'GL Category'!A:C,3,FALSE)</f>
        <v>Operations &amp; maintenance</v>
      </c>
      <c r="X1563" s="83"/>
    </row>
    <row r="1564" spans="1:24" ht="20.399999999999999" customHeight="1">
      <c r="A1564" s="608" t="s">
        <v>1035</v>
      </c>
      <c r="B1564" s="608" t="s">
        <v>3245</v>
      </c>
      <c r="C1564" s="608" t="s">
        <v>241</v>
      </c>
      <c r="D1564" s="609">
        <v>0</v>
      </c>
      <c r="E1564" s="609">
        <v>600</v>
      </c>
      <c r="F1564" s="609">
        <v>0</v>
      </c>
      <c r="G1564" s="609">
        <v>0</v>
      </c>
      <c r="H1564" s="609">
        <v>0</v>
      </c>
      <c r="I1564" s="609">
        <v>0</v>
      </c>
      <c r="J1564" s="609">
        <v>0</v>
      </c>
      <c r="K1564" s="609">
        <v>0</v>
      </c>
      <c r="L1564" s="609">
        <v>0</v>
      </c>
      <c r="M1564" s="609">
        <v>0</v>
      </c>
      <c r="N1564" s="587">
        <f t="shared" si="174"/>
        <v>0</v>
      </c>
      <c r="Q1564" t="str">
        <f t="shared" si="175"/>
        <v>52460</v>
      </c>
      <c r="R1564" s="126" t="str">
        <f t="shared" si="176"/>
        <v>VEHICLE MAINTENANCE</v>
      </c>
      <c r="S1564" s="125" t="str">
        <f t="shared" si="177"/>
        <v>175</v>
      </c>
      <c r="T1564" s="125" t="str">
        <f t="shared" si="178"/>
        <v>73</v>
      </c>
      <c r="U1564" s="125" t="str">
        <f t="shared" si="179"/>
        <v>735</v>
      </c>
      <c r="V1564" s="125" t="str">
        <f>VLOOKUP(Q1564,'GL Category'!A:C,3,FALSE)</f>
        <v>Operations &amp; maintenance</v>
      </c>
      <c r="X1564" s="83"/>
    </row>
    <row r="1565" spans="1:24" ht="20.399999999999999" customHeight="1">
      <c r="A1565" s="608" t="s">
        <v>1035</v>
      </c>
      <c r="B1565" s="608" t="s">
        <v>2164</v>
      </c>
      <c r="C1565" s="608" t="s">
        <v>268</v>
      </c>
      <c r="D1565" s="609">
        <v>0</v>
      </c>
      <c r="E1565" s="609">
        <v>84996.58</v>
      </c>
      <c r="F1565" s="609">
        <v>95610.23</v>
      </c>
      <c r="G1565" s="609">
        <v>0</v>
      </c>
      <c r="H1565" s="609">
        <v>6850</v>
      </c>
      <c r="I1565" s="609">
        <v>0</v>
      </c>
      <c r="J1565" s="609">
        <v>6850</v>
      </c>
      <c r="K1565" s="609">
        <v>6850</v>
      </c>
      <c r="L1565" s="609">
        <v>0</v>
      </c>
      <c r="M1565" s="609">
        <v>0</v>
      </c>
      <c r="N1565" s="587">
        <f t="shared" si="174"/>
        <v>6850</v>
      </c>
      <c r="Q1565" t="str">
        <f t="shared" si="175"/>
        <v>58830</v>
      </c>
      <c r="R1565" s="126" t="str">
        <f t="shared" si="176"/>
        <v>MACHINERY &amp; EQUIPMENT</v>
      </c>
      <c r="S1565" s="125" t="str">
        <f t="shared" si="177"/>
        <v>175</v>
      </c>
      <c r="T1565" s="125" t="str">
        <f t="shared" si="178"/>
        <v>73</v>
      </c>
      <c r="U1565" s="125" t="str">
        <f t="shared" si="179"/>
        <v>735</v>
      </c>
      <c r="V1565" s="125" t="str">
        <f>VLOOKUP(Q1565,'GL Category'!A:C,3,FALSE)</f>
        <v>Capital Outlay</v>
      </c>
      <c r="X1565" s="83"/>
    </row>
    <row r="1566" spans="1:24" ht="20.399999999999999" customHeight="1">
      <c r="A1566" s="608" t="s">
        <v>1035</v>
      </c>
      <c r="B1566" s="608" t="s">
        <v>2165</v>
      </c>
      <c r="C1566" s="608" t="s">
        <v>244</v>
      </c>
      <c r="D1566" s="609">
        <v>125860.33</v>
      </c>
      <c r="E1566" s="609">
        <v>0</v>
      </c>
      <c r="F1566" s="609">
        <v>43427.37</v>
      </c>
      <c r="G1566" s="609">
        <v>0</v>
      </c>
      <c r="H1566" s="609">
        <v>112645</v>
      </c>
      <c r="I1566" s="609">
        <v>148578.93</v>
      </c>
      <c r="J1566" s="609">
        <v>148580</v>
      </c>
      <c r="K1566" s="609">
        <v>0</v>
      </c>
      <c r="L1566" s="609">
        <v>0</v>
      </c>
      <c r="M1566" s="609">
        <v>0</v>
      </c>
      <c r="N1566" s="587">
        <f t="shared" si="174"/>
        <v>0</v>
      </c>
      <c r="Q1566" t="str">
        <f t="shared" si="175"/>
        <v>58840</v>
      </c>
      <c r="R1566" s="126" t="str">
        <f t="shared" si="176"/>
        <v>MOTOR VEHICLES</v>
      </c>
      <c r="S1566" s="125" t="str">
        <f t="shared" si="177"/>
        <v>175</v>
      </c>
      <c r="T1566" s="125" t="str">
        <f t="shared" si="178"/>
        <v>73</v>
      </c>
      <c r="U1566" s="125" t="str">
        <f t="shared" si="179"/>
        <v>735</v>
      </c>
      <c r="V1566" s="125" t="str">
        <f>VLOOKUP(Q1566,'GL Category'!A:C,3,FALSE)</f>
        <v>Capital Outlay</v>
      </c>
      <c r="X1566" s="83"/>
    </row>
    <row r="1567" spans="1:24" ht="20.399999999999999" customHeight="1">
      <c r="A1567" s="608" t="s">
        <v>1035</v>
      </c>
      <c r="B1567" s="608" t="s">
        <v>3363</v>
      </c>
      <c r="C1567" s="608" t="s">
        <v>241</v>
      </c>
      <c r="D1567" s="609">
        <v>0</v>
      </c>
      <c r="E1567" s="609">
        <v>300</v>
      </c>
      <c r="F1567" s="609">
        <v>0</v>
      </c>
      <c r="G1567" s="609">
        <v>0</v>
      </c>
      <c r="H1567" s="609">
        <v>0</v>
      </c>
      <c r="I1567" s="609">
        <v>0</v>
      </c>
      <c r="J1567" s="609">
        <v>0</v>
      </c>
      <c r="K1567" s="609">
        <v>0</v>
      </c>
      <c r="L1567" s="609">
        <v>0</v>
      </c>
      <c r="M1567" s="609">
        <v>0</v>
      </c>
      <c r="N1567" s="587">
        <f t="shared" si="174"/>
        <v>0</v>
      </c>
      <c r="Q1567" t="str">
        <f t="shared" si="175"/>
        <v>52460</v>
      </c>
      <c r="R1567" s="126" t="str">
        <f t="shared" si="176"/>
        <v>VEHICLE MAINTENANCE</v>
      </c>
      <c r="S1567" s="125" t="str">
        <f t="shared" si="177"/>
        <v>175</v>
      </c>
      <c r="T1567" s="125" t="str">
        <f t="shared" si="178"/>
        <v>75</v>
      </c>
      <c r="U1567" s="125" t="str">
        <f t="shared" si="179"/>
        <v>752</v>
      </c>
      <c r="V1567" s="125" t="str">
        <f>VLOOKUP(Q1567,'GL Category'!A:C,3,FALSE)</f>
        <v>Operations &amp; maintenance</v>
      </c>
      <c r="X1567" s="83"/>
    </row>
    <row r="1568" spans="1:24" ht="20.399999999999999" customHeight="1">
      <c r="A1568" s="608" t="s">
        <v>1035</v>
      </c>
      <c r="B1568" s="608" t="s">
        <v>2166</v>
      </c>
      <c r="C1568" s="608" t="s">
        <v>268</v>
      </c>
      <c r="D1568" s="609">
        <v>457886.75</v>
      </c>
      <c r="E1568" s="609">
        <v>0</v>
      </c>
      <c r="F1568" s="609">
        <v>0</v>
      </c>
      <c r="G1568" s="609">
        <v>71066.880000000005</v>
      </c>
      <c r="H1568" s="609">
        <v>740505</v>
      </c>
      <c r="I1568" s="609">
        <v>541897.75</v>
      </c>
      <c r="J1568" s="609">
        <v>740505</v>
      </c>
      <c r="K1568" s="609">
        <v>375000</v>
      </c>
      <c r="L1568" s="609">
        <v>0</v>
      </c>
      <c r="M1568" s="609">
        <v>0</v>
      </c>
      <c r="N1568" s="587">
        <f t="shared" si="174"/>
        <v>375000</v>
      </c>
      <c r="Q1568" t="str">
        <f t="shared" si="175"/>
        <v>58830</v>
      </c>
      <c r="R1568" s="126" t="str">
        <f t="shared" si="176"/>
        <v>MACHINERY &amp; EQUIPMENT</v>
      </c>
      <c r="S1568" s="125" t="str">
        <f t="shared" si="177"/>
        <v>175</v>
      </c>
      <c r="T1568" s="125" t="str">
        <f t="shared" si="178"/>
        <v>75</v>
      </c>
      <c r="U1568" s="125" t="str">
        <f t="shared" si="179"/>
        <v>752</v>
      </c>
      <c r="V1568" s="125" t="str">
        <f>VLOOKUP(Q1568,'GL Category'!A:C,3,FALSE)</f>
        <v>Capital Outlay</v>
      </c>
      <c r="X1568" s="83"/>
    </row>
    <row r="1569" spans="1:24" ht="20.399999999999999" customHeight="1">
      <c r="A1569" s="608" t="s">
        <v>1035</v>
      </c>
      <c r="B1569" s="608" t="s">
        <v>2167</v>
      </c>
      <c r="C1569" s="608" t="s">
        <v>244</v>
      </c>
      <c r="D1569" s="609">
        <v>0</v>
      </c>
      <c r="E1569" s="609">
        <v>0</v>
      </c>
      <c r="F1569" s="609">
        <v>139435.1</v>
      </c>
      <c r="G1569" s="609">
        <v>56327.96</v>
      </c>
      <c r="H1569" s="609">
        <v>88574</v>
      </c>
      <c r="I1569" s="609">
        <v>0</v>
      </c>
      <c r="J1569" s="609">
        <v>88574</v>
      </c>
      <c r="K1569" s="609">
        <v>156216</v>
      </c>
      <c r="L1569" s="609">
        <v>0</v>
      </c>
      <c r="M1569" s="609">
        <v>0</v>
      </c>
      <c r="N1569" s="587">
        <f t="shared" si="174"/>
        <v>156216</v>
      </c>
      <c r="Q1569" t="str">
        <f t="shared" si="175"/>
        <v>58840</v>
      </c>
      <c r="R1569" s="126" t="str">
        <f t="shared" si="176"/>
        <v>MOTOR VEHICLES</v>
      </c>
      <c r="S1569" s="125" t="str">
        <f t="shared" si="177"/>
        <v>175</v>
      </c>
      <c r="T1569" s="125" t="str">
        <f t="shared" si="178"/>
        <v>75</v>
      </c>
      <c r="U1569" s="125" t="str">
        <f t="shared" si="179"/>
        <v>752</v>
      </c>
      <c r="V1569" s="125" t="str">
        <f>VLOOKUP(Q1569,'GL Category'!A:C,3,FALSE)</f>
        <v>Capital Outlay</v>
      </c>
      <c r="X1569" s="83"/>
    </row>
    <row r="1570" spans="1:24" ht="20.399999999999999" customHeight="1">
      <c r="A1570" s="608" t="s">
        <v>1035</v>
      </c>
      <c r="B1570" s="608" t="s">
        <v>3238</v>
      </c>
      <c r="C1570" s="608" t="s">
        <v>268</v>
      </c>
      <c r="D1570" s="609">
        <v>0</v>
      </c>
      <c r="E1570" s="609">
        <v>0</v>
      </c>
      <c r="F1570" s="609">
        <v>37637.480000000003</v>
      </c>
      <c r="G1570" s="609">
        <v>0</v>
      </c>
      <c r="H1570" s="609">
        <v>0</v>
      </c>
      <c r="I1570" s="609">
        <v>0</v>
      </c>
      <c r="J1570" s="609">
        <v>0</v>
      </c>
      <c r="K1570" s="609">
        <v>0</v>
      </c>
      <c r="L1570" s="609">
        <v>0</v>
      </c>
      <c r="M1570" s="609">
        <v>0</v>
      </c>
      <c r="N1570" s="587">
        <f t="shared" si="174"/>
        <v>0</v>
      </c>
      <c r="Q1570" t="str">
        <f t="shared" si="175"/>
        <v>58830</v>
      </c>
      <c r="R1570" s="126" t="str">
        <f t="shared" si="176"/>
        <v>MACHINERY &amp; EQUIPMENT</v>
      </c>
      <c r="S1570" s="125" t="str">
        <f t="shared" si="177"/>
        <v>175</v>
      </c>
      <c r="T1570" s="125" t="str">
        <f t="shared" si="178"/>
        <v>77</v>
      </c>
      <c r="U1570" s="125" t="str">
        <f t="shared" si="179"/>
        <v>772</v>
      </c>
      <c r="V1570" s="125" t="str">
        <f>VLOOKUP(Q1570,'GL Category'!A:C,3,FALSE)</f>
        <v>Capital Outlay</v>
      </c>
      <c r="X1570" s="83"/>
    </row>
    <row r="1571" spans="1:24" s="380" customFormat="1" ht="20.399999999999999" customHeight="1">
      <c r="A1571" s="608" t="s">
        <v>1035</v>
      </c>
      <c r="B1571" s="608" t="s">
        <v>2168</v>
      </c>
      <c r="C1571" s="608" t="s">
        <v>244</v>
      </c>
      <c r="D1571" s="609">
        <v>128000</v>
      </c>
      <c r="E1571" s="609">
        <v>0</v>
      </c>
      <c r="F1571" s="609">
        <v>0</v>
      </c>
      <c r="G1571" s="609">
        <v>0</v>
      </c>
      <c r="H1571" s="609">
        <v>49296</v>
      </c>
      <c r="I1571" s="609">
        <v>45711.3</v>
      </c>
      <c r="J1571" s="609">
        <v>49296</v>
      </c>
      <c r="K1571" s="609">
        <v>0</v>
      </c>
      <c r="L1571" s="609">
        <v>0</v>
      </c>
      <c r="M1571" s="609">
        <v>0</v>
      </c>
      <c r="N1571" s="587">
        <f t="shared" si="174"/>
        <v>0</v>
      </c>
      <c r="O1571"/>
      <c r="P1571" s="551"/>
      <c r="Q1571" t="str">
        <f t="shared" si="175"/>
        <v>58840</v>
      </c>
      <c r="R1571" s="552" t="s">
        <v>1102</v>
      </c>
      <c r="S1571" s="550" t="s">
        <v>1037</v>
      </c>
      <c r="T1571" s="125" t="str">
        <f t="shared" si="178"/>
        <v>77</v>
      </c>
      <c r="U1571" s="125" t="str">
        <f t="shared" si="179"/>
        <v>772</v>
      </c>
      <c r="V1571" s="550" t="s">
        <v>125</v>
      </c>
      <c r="X1571" s="83"/>
    </row>
    <row r="1572" spans="1:24" ht="14.4" customHeight="1">
      <c r="A1572" s="608" t="s">
        <v>1035</v>
      </c>
      <c r="B1572" s="608" t="s">
        <v>3192</v>
      </c>
      <c r="C1572" s="608" t="s">
        <v>353</v>
      </c>
      <c r="D1572" s="609">
        <v>0</v>
      </c>
      <c r="E1572" s="609">
        <v>0</v>
      </c>
      <c r="F1572" s="609">
        <v>39550.879999999997</v>
      </c>
      <c r="G1572" s="609">
        <v>39550.85</v>
      </c>
      <c r="H1572" s="609">
        <v>0</v>
      </c>
      <c r="I1572" s="609">
        <v>0</v>
      </c>
      <c r="J1572" s="609">
        <v>0</v>
      </c>
      <c r="K1572" s="609">
        <v>0</v>
      </c>
      <c r="L1572" s="609">
        <v>0</v>
      </c>
      <c r="M1572" s="609">
        <v>0</v>
      </c>
      <c r="N1572" s="587">
        <f t="shared" si="174"/>
        <v>0</v>
      </c>
      <c r="Q1572" t="str">
        <f t="shared" si="175"/>
        <v>58651</v>
      </c>
      <c r="R1572" s="126" t="str">
        <f t="shared" ref="R1572:R1635" si="180">C1572</f>
        <v>DEPRECIATION EXPENSE</v>
      </c>
      <c r="S1572" s="125" t="str">
        <f t="shared" ref="S1572:S1635" si="181">LEFT(B1572,3)</f>
        <v>175</v>
      </c>
      <c r="T1572" s="125" t="str">
        <f t="shared" si="178"/>
        <v>81</v>
      </c>
      <c r="U1572" s="125" t="str">
        <f t="shared" si="179"/>
        <v>811</v>
      </c>
      <c r="V1572" s="125" t="str">
        <f>VLOOKUP(Q1572,'GL Category'!A:C,3,FALSE)</f>
        <v>Capital Outlay</v>
      </c>
      <c r="X1572" s="83"/>
    </row>
    <row r="1573" spans="1:24" ht="20.399999999999999" customHeight="1">
      <c r="A1573" s="608" t="s">
        <v>1035</v>
      </c>
      <c r="B1573" s="608" t="s">
        <v>2146</v>
      </c>
      <c r="C1573" s="608" t="s">
        <v>241</v>
      </c>
      <c r="D1573" s="609">
        <v>346.11</v>
      </c>
      <c r="E1573" s="609">
        <v>1468.15</v>
      </c>
      <c r="F1573" s="609">
        <v>1610.3</v>
      </c>
      <c r="G1573" s="609">
        <v>3808.05</v>
      </c>
      <c r="H1573" s="609">
        <v>8420</v>
      </c>
      <c r="I1573" s="609">
        <v>1844.73</v>
      </c>
      <c r="J1573" s="609">
        <v>8420</v>
      </c>
      <c r="K1573" s="609">
        <v>8420</v>
      </c>
      <c r="L1573" s="609">
        <v>0</v>
      </c>
      <c r="M1573" s="609">
        <v>0</v>
      </c>
      <c r="N1573" s="587">
        <f t="shared" si="174"/>
        <v>8420</v>
      </c>
      <c r="Q1573" t="str">
        <f t="shared" si="175"/>
        <v>52460</v>
      </c>
      <c r="R1573" s="126" t="str">
        <f t="shared" si="180"/>
        <v>VEHICLE MAINTENANCE</v>
      </c>
      <c r="S1573" s="125" t="str">
        <f t="shared" si="181"/>
        <v>175</v>
      </c>
      <c r="T1573" s="125" t="str">
        <f t="shared" si="178"/>
        <v>81</v>
      </c>
      <c r="U1573" s="125" t="str">
        <f t="shared" si="179"/>
        <v>815</v>
      </c>
      <c r="V1573" s="125" t="str">
        <f>VLOOKUP(Q1573,'GL Category'!A:C,3,FALSE)</f>
        <v>Operations &amp; maintenance</v>
      </c>
      <c r="X1573" s="83"/>
    </row>
    <row r="1574" spans="1:24" ht="20.399999999999999" customHeight="1">
      <c r="A1574" s="608" t="s">
        <v>1035</v>
      </c>
      <c r="B1574" s="608" t="s">
        <v>2146</v>
      </c>
      <c r="C1574" s="608" t="s">
        <v>241</v>
      </c>
      <c r="D1574" s="609">
        <v>0</v>
      </c>
      <c r="E1574" s="609">
        <v>0</v>
      </c>
      <c r="F1574" s="609">
        <v>8778.86</v>
      </c>
      <c r="G1574" s="609">
        <v>150</v>
      </c>
      <c r="H1574" s="609">
        <v>0</v>
      </c>
      <c r="I1574" s="609">
        <v>0</v>
      </c>
      <c r="J1574" s="609">
        <v>0</v>
      </c>
      <c r="K1574" s="609">
        <v>0</v>
      </c>
      <c r="L1574" s="609">
        <v>0</v>
      </c>
      <c r="M1574" s="609">
        <v>0</v>
      </c>
      <c r="N1574" s="587">
        <f t="shared" si="174"/>
        <v>0</v>
      </c>
      <c r="Q1574" t="str">
        <f t="shared" si="175"/>
        <v>52460</v>
      </c>
      <c r="R1574" s="126" t="str">
        <f t="shared" si="180"/>
        <v>VEHICLE MAINTENANCE</v>
      </c>
      <c r="S1574" s="125" t="str">
        <f t="shared" si="181"/>
        <v>175</v>
      </c>
      <c r="T1574" s="125" t="str">
        <f t="shared" si="178"/>
        <v>81</v>
      </c>
      <c r="U1574" s="125" t="str">
        <f t="shared" si="179"/>
        <v>815</v>
      </c>
      <c r="V1574" s="125" t="str">
        <f>VLOOKUP(Q1574,'GL Category'!A:C,3,FALSE)</f>
        <v>Operations &amp; maintenance</v>
      </c>
      <c r="X1574" s="83"/>
    </row>
    <row r="1575" spans="1:24" ht="20.399999999999999" customHeight="1">
      <c r="A1575" s="608" t="s">
        <v>1035</v>
      </c>
      <c r="B1575" s="608" t="s">
        <v>2169</v>
      </c>
      <c r="C1575" s="608" t="s">
        <v>244</v>
      </c>
      <c r="D1575" s="609">
        <v>49814.82</v>
      </c>
      <c r="E1575" s="609">
        <v>31847.55</v>
      </c>
      <c r="F1575" s="609">
        <v>0</v>
      </c>
      <c r="G1575" s="609">
        <v>0</v>
      </c>
      <c r="H1575" s="609">
        <v>0</v>
      </c>
      <c r="I1575" s="609">
        <v>0</v>
      </c>
      <c r="J1575" s="609">
        <v>0</v>
      </c>
      <c r="K1575" s="609">
        <v>62528</v>
      </c>
      <c r="L1575" s="609">
        <v>0</v>
      </c>
      <c r="M1575" s="609">
        <v>240000</v>
      </c>
      <c r="N1575" s="587">
        <f t="shared" si="174"/>
        <v>302528</v>
      </c>
      <c r="Q1575" t="str">
        <f t="shared" si="175"/>
        <v>58840</v>
      </c>
      <c r="R1575" s="126" t="str">
        <f t="shared" si="180"/>
        <v>MOTOR VEHICLES</v>
      </c>
      <c r="S1575" s="125" t="str">
        <f t="shared" si="181"/>
        <v>175</v>
      </c>
      <c r="T1575" s="125" t="str">
        <f t="shared" si="178"/>
        <v>81</v>
      </c>
      <c r="U1575" s="125" t="str">
        <f t="shared" si="179"/>
        <v>815</v>
      </c>
      <c r="V1575" s="125" t="str">
        <f>VLOOKUP(Q1575,'GL Category'!A:C,3,FALSE)</f>
        <v>Capital Outlay</v>
      </c>
      <c r="X1575" s="83"/>
    </row>
    <row r="1576" spans="1:24" ht="20.399999999999999" customHeight="1">
      <c r="A1576" s="608" t="s">
        <v>1035</v>
      </c>
      <c r="B1576" s="608" t="s">
        <v>3228</v>
      </c>
      <c r="C1576" s="608" t="s">
        <v>353</v>
      </c>
      <c r="D1576" s="609">
        <v>0</v>
      </c>
      <c r="E1576" s="609">
        <v>0</v>
      </c>
      <c r="F1576" s="609">
        <v>39246.01</v>
      </c>
      <c r="G1576" s="609">
        <v>37661.599999999999</v>
      </c>
      <c r="H1576" s="609">
        <v>0</v>
      </c>
      <c r="I1576" s="609">
        <v>0</v>
      </c>
      <c r="J1576" s="609">
        <v>0</v>
      </c>
      <c r="K1576" s="609">
        <v>0</v>
      </c>
      <c r="L1576" s="609">
        <v>0</v>
      </c>
      <c r="M1576" s="609">
        <v>0</v>
      </c>
      <c r="N1576" s="587">
        <f t="shared" si="174"/>
        <v>0</v>
      </c>
      <c r="Q1576" t="str">
        <f t="shared" si="175"/>
        <v>58651</v>
      </c>
      <c r="R1576" s="126" t="str">
        <f t="shared" si="180"/>
        <v>DEPRECIATION EXPENSE</v>
      </c>
      <c r="S1576" s="125" t="str">
        <f t="shared" si="181"/>
        <v>175</v>
      </c>
      <c r="T1576" s="125" t="str">
        <f t="shared" si="178"/>
        <v>99</v>
      </c>
      <c r="U1576" s="125" t="str">
        <f t="shared" si="179"/>
        <v>905</v>
      </c>
      <c r="V1576" s="125" t="str">
        <f>VLOOKUP(Q1576,'GL Category'!A:C,3,FALSE)</f>
        <v>Capital Outlay</v>
      </c>
      <c r="X1576" s="83"/>
    </row>
    <row r="1577" spans="1:24" ht="20.399999999999999" customHeight="1">
      <c r="A1577" s="608" t="s">
        <v>1035</v>
      </c>
      <c r="B1577" s="608" t="s">
        <v>3230</v>
      </c>
      <c r="C1577" s="608" t="s">
        <v>3157</v>
      </c>
      <c r="D1577" s="609">
        <v>0</v>
      </c>
      <c r="E1577" s="609">
        <v>0</v>
      </c>
      <c r="F1577" s="609">
        <v>0</v>
      </c>
      <c r="G1577" s="609">
        <v>0</v>
      </c>
      <c r="H1577" s="609">
        <v>0</v>
      </c>
      <c r="I1577" s="609">
        <v>0</v>
      </c>
      <c r="J1577" s="609">
        <v>0</v>
      </c>
      <c r="K1577" s="609">
        <v>0</v>
      </c>
      <c r="L1577" s="609">
        <v>0</v>
      </c>
      <c r="M1577" s="609">
        <v>0</v>
      </c>
      <c r="N1577" s="587">
        <f t="shared" si="174"/>
        <v>0</v>
      </c>
      <c r="Q1577" t="str">
        <f t="shared" si="175"/>
        <v>58890</v>
      </c>
      <c r="R1577" s="126" t="str">
        <f t="shared" si="180"/>
        <v>FA CONTRA CAPITAL OUTLAY</v>
      </c>
      <c r="S1577" s="125" t="str">
        <f t="shared" si="181"/>
        <v>175</v>
      </c>
      <c r="T1577" s="125" t="str">
        <f t="shared" si="178"/>
        <v>99</v>
      </c>
      <c r="U1577" s="125" t="str">
        <f t="shared" si="179"/>
        <v>905</v>
      </c>
      <c r="V1577" s="125" t="e">
        <f>VLOOKUP(Q1577,'GL Category'!A:C,3,FALSE)</f>
        <v>#N/A</v>
      </c>
      <c r="X1577" s="83"/>
    </row>
    <row r="1578" spans="1:24" ht="14.4" customHeight="1">
      <c r="A1578" s="608" t="s">
        <v>1035</v>
      </c>
      <c r="B1578" s="608" t="s">
        <v>2147</v>
      </c>
      <c r="C1578" s="608" t="s">
        <v>241</v>
      </c>
      <c r="D1578" s="609">
        <v>17985.63</v>
      </c>
      <c r="E1578" s="609">
        <v>26666.48</v>
      </c>
      <c r="F1578" s="609">
        <v>30282.7</v>
      </c>
      <c r="G1578" s="609">
        <v>37479.129999999997</v>
      </c>
      <c r="H1578" s="609">
        <v>42084</v>
      </c>
      <c r="I1578" s="609">
        <v>49869.14</v>
      </c>
      <c r="J1578" s="609">
        <v>58180</v>
      </c>
      <c r="K1578" s="609">
        <v>59460</v>
      </c>
      <c r="L1578" s="609">
        <v>0</v>
      </c>
      <c r="M1578" s="609">
        <v>0</v>
      </c>
      <c r="N1578" s="587">
        <f t="shared" si="174"/>
        <v>59460</v>
      </c>
      <c r="Q1578" t="str">
        <f t="shared" si="175"/>
        <v>52460</v>
      </c>
      <c r="R1578" s="126" t="str">
        <f t="shared" si="180"/>
        <v>VEHICLE MAINTENANCE</v>
      </c>
      <c r="S1578" s="125" t="str">
        <f t="shared" si="181"/>
        <v>175</v>
      </c>
      <c r="T1578" s="125" t="str">
        <f t="shared" si="178"/>
        <v>99</v>
      </c>
      <c r="U1578" s="125" t="str">
        <f t="shared" si="179"/>
        <v>994</v>
      </c>
      <c r="V1578" s="125" t="str">
        <f>VLOOKUP(Q1578,'GL Category'!A:C,3,FALSE)</f>
        <v>Operations &amp; maintenance</v>
      </c>
      <c r="X1578" s="83"/>
    </row>
    <row r="1579" spans="1:24" ht="20.399999999999999" customHeight="1">
      <c r="A1579" s="608" t="s">
        <v>1035</v>
      </c>
      <c r="B1579" s="608" t="s">
        <v>2147</v>
      </c>
      <c r="C1579" s="608" t="s">
        <v>241</v>
      </c>
      <c r="D1579" s="609">
        <v>0</v>
      </c>
      <c r="E1579" s="609">
        <v>35021.9</v>
      </c>
      <c r="F1579" s="609">
        <v>187896.58</v>
      </c>
      <c r="G1579" s="609">
        <v>2325</v>
      </c>
      <c r="H1579" s="609">
        <v>0</v>
      </c>
      <c r="I1579" s="609">
        <v>0</v>
      </c>
      <c r="J1579" s="609">
        <v>0</v>
      </c>
      <c r="K1579" s="609">
        <v>0</v>
      </c>
      <c r="L1579" s="609">
        <v>0</v>
      </c>
      <c r="M1579" s="609">
        <v>0</v>
      </c>
      <c r="N1579" s="587">
        <f t="shared" si="174"/>
        <v>0</v>
      </c>
      <c r="Q1579" t="str">
        <f t="shared" si="175"/>
        <v>52460</v>
      </c>
      <c r="R1579" s="126" t="str">
        <f t="shared" si="180"/>
        <v>VEHICLE MAINTENANCE</v>
      </c>
      <c r="S1579" s="125" t="str">
        <f t="shared" si="181"/>
        <v>175</v>
      </c>
      <c r="T1579" s="125" t="str">
        <f t="shared" si="178"/>
        <v>99</v>
      </c>
      <c r="U1579" s="125" t="str">
        <f t="shared" si="179"/>
        <v>994</v>
      </c>
      <c r="V1579" s="125" t="str">
        <f>VLOOKUP(Q1579,'GL Category'!A:C,3,FALSE)</f>
        <v>Operations &amp; maintenance</v>
      </c>
      <c r="X1579" s="83"/>
    </row>
    <row r="1580" spans="1:24" ht="20.399999999999999" customHeight="1">
      <c r="A1580" s="608" t="s">
        <v>1036</v>
      </c>
      <c r="B1580" s="608" t="s">
        <v>3220</v>
      </c>
      <c r="C1580" s="608" t="s">
        <v>353</v>
      </c>
      <c r="D1580" s="609">
        <v>0</v>
      </c>
      <c r="E1580" s="609">
        <v>0</v>
      </c>
      <c r="F1580" s="609">
        <v>0</v>
      </c>
      <c r="G1580" s="609">
        <v>0</v>
      </c>
      <c r="H1580" s="609">
        <v>0</v>
      </c>
      <c r="I1580" s="609">
        <v>0</v>
      </c>
      <c r="J1580" s="609">
        <v>0</v>
      </c>
      <c r="K1580" s="609">
        <v>0</v>
      </c>
      <c r="L1580" s="609">
        <v>0</v>
      </c>
      <c r="M1580" s="609">
        <v>0</v>
      </c>
      <c r="N1580" s="587">
        <f t="shared" si="174"/>
        <v>0</v>
      </c>
      <c r="Q1580" t="str">
        <f t="shared" si="175"/>
        <v>58651</v>
      </c>
      <c r="R1580" s="126" t="str">
        <f t="shared" si="180"/>
        <v>DEPRECIATION EXPENSE</v>
      </c>
      <c r="S1580" s="125" t="str">
        <f t="shared" si="181"/>
        <v>179</v>
      </c>
      <c r="T1580" s="125" t="str">
        <f t="shared" si="178"/>
        <v>10</v>
      </c>
      <c r="U1580" s="125" t="str">
        <f t="shared" si="179"/>
        <v>101</v>
      </c>
      <c r="V1580" s="125" t="str">
        <f>VLOOKUP(Q1580,'GL Category'!A:C,3,FALSE)</f>
        <v>Capital Outlay</v>
      </c>
      <c r="X1580" s="83"/>
    </row>
    <row r="1581" spans="1:24" ht="20.399999999999999" customHeight="1">
      <c r="A1581" s="608" t="s">
        <v>1036</v>
      </c>
      <c r="B1581" s="608" t="s">
        <v>2173</v>
      </c>
      <c r="C1581" s="608" t="s">
        <v>171</v>
      </c>
      <c r="D1581" s="609">
        <v>13803</v>
      </c>
      <c r="E1581" s="609">
        <v>49178</v>
      </c>
      <c r="F1581" s="609">
        <v>148884.94</v>
      </c>
      <c r="G1581" s="609">
        <v>0</v>
      </c>
      <c r="H1581" s="609">
        <v>0</v>
      </c>
      <c r="I1581" s="609">
        <v>0</v>
      </c>
      <c r="J1581" s="609">
        <v>0</v>
      </c>
      <c r="K1581" s="609">
        <v>0</v>
      </c>
      <c r="L1581" s="609">
        <v>0</v>
      </c>
      <c r="M1581" s="609">
        <v>0</v>
      </c>
      <c r="N1581" s="587">
        <f t="shared" si="174"/>
        <v>0</v>
      </c>
      <c r="Q1581" t="str">
        <f t="shared" si="175"/>
        <v>52310</v>
      </c>
      <c r="R1581" s="126" t="str">
        <f t="shared" si="180"/>
        <v>BUILDING MAINTENANCE</v>
      </c>
      <c r="S1581" s="125" t="str">
        <f t="shared" si="181"/>
        <v>179</v>
      </c>
      <c r="T1581" s="125" t="str">
        <f t="shared" si="178"/>
        <v>11</v>
      </c>
      <c r="U1581" s="125" t="str">
        <f t="shared" si="179"/>
        <v>111</v>
      </c>
      <c r="V1581" s="125" t="str">
        <f>VLOOKUP(Q1581,'GL Category'!A:C,3,FALSE)</f>
        <v>Operations &amp; maintenance</v>
      </c>
      <c r="X1581" s="83"/>
    </row>
    <row r="1582" spans="1:24" ht="20.399999999999999" customHeight="1">
      <c r="A1582" s="608" t="s">
        <v>1036</v>
      </c>
      <c r="B1582" s="608" t="s">
        <v>2173</v>
      </c>
      <c r="C1582" s="608" t="s">
        <v>171</v>
      </c>
      <c r="D1582" s="609">
        <v>0</v>
      </c>
      <c r="E1582" s="609">
        <v>2945.31</v>
      </c>
      <c r="F1582" s="609">
        <v>3143.47</v>
      </c>
      <c r="G1582" s="609">
        <v>0</v>
      </c>
      <c r="H1582" s="609">
        <v>0</v>
      </c>
      <c r="I1582" s="609">
        <v>0</v>
      </c>
      <c r="J1582" s="609">
        <v>0</v>
      </c>
      <c r="K1582" s="609">
        <v>0</v>
      </c>
      <c r="L1582" s="609">
        <v>0</v>
      </c>
      <c r="M1582" s="609">
        <v>0</v>
      </c>
      <c r="N1582" s="587">
        <f t="shared" si="174"/>
        <v>0</v>
      </c>
      <c r="Q1582" t="str">
        <f t="shared" si="175"/>
        <v>52310</v>
      </c>
      <c r="R1582" s="126" t="str">
        <f t="shared" si="180"/>
        <v>BUILDING MAINTENANCE</v>
      </c>
      <c r="S1582" s="125" t="str">
        <f t="shared" si="181"/>
        <v>179</v>
      </c>
      <c r="T1582" s="125" t="str">
        <f t="shared" si="178"/>
        <v>11</v>
      </c>
      <c r="U1582" s="125" t="str">
        <f t="shared" si="179"/>
        <v>111</v>
      </c>
      <c r="V1582" s="125" t="str">
        <f>VLOOKUP(Q1582,'GL Category'!A:C,3,FALSE)</f>
        <v>Operations &amp; maintenance</v>
      </c>
      <c r="X1582" s="83"/>
    </row>
    <row r="1583" spans="1:24" ht="20.399999999999999" customHeight="1">
      <c r="A1583" s="608" t="s">
        <v>1036</v>
      </c>
      <c r="B1583" s="608" t="s">
        <v>3521</v>
      </c>
      <c r="C1583" s="608" t="s">
        <v>305</v>
      </c>
      <c r="D1583" s="609">
        <v>0</v>
      </c>
      <c r="E1583" s="609">
        <v>0</v>
      </c>
      <c r="F1583" s="609">
        <v>0</v>
      </c>
      <c r="G1583" s="609">
        <v>28360</v>
      </c>
      <c r="H1583" s="609">
        <v>0</v>
      </c>
      <c r="I1583" s="609">
        <v>14868.84</v>
      </c>
      <c r="J1583" s="609">
        <v>15640</v>
      </c>
      <c r="K1583" s="609">
        <v>0</v>
      </c>
      <c r="L1583" s="609">
        <v>0</v>
      </c>
      <c r="M1583" s="609">
        <v>0</v>
      </c>
      <c r="N1583" s="587">
        <f t="shared" si="174"/>
        <v>0</v>
      </c>
      <c r="Q1583" t="str">
        <f t="shared" si="175"/>
        <v>58710</v>
      </c>
      <c r="R1583" s="126" t="str">
        <f t="shared" si="180"/>
        <v>ENGINEERING/DESIGN SERVICES</v>
      </c>
      <c r="S1583" s="125" t="str">
        <f t="shared" si="181"/>
        <v>179</v>
      </c>
      <c r="T1583" s="125" t="str">
        <f t="shared" si="178"/>
        <v>11</v>
      </c>
      <c r="U1583" s="125" t="str">
        <f t="shared" si="179"/>
        <v>111</v>
      </c>
      <c r="V1583" s="125" t="str">
        <f>VLOOKUP(Q1583,'GL Category'!A:C,3,FALSE)</f>
        <v>Capital Outlay</v>
      </c>
      <c r="X1583" s="83"/>
    </row>
    <row r="1584" spans="1:24" ht="20.399999999999999" customHeight="1">
      <c r="A1584" s="608" t="s">
        <v>1036</v>
      </c>
      <c r="B1584" s="608" t="s">
        <v>2172</v>
      </c>
      <c r="C1584" s="608" t="s">
        <v>266</v>
      </c>
      <c r="D1584" s="609">
        <v>0</v>
      </c>
      <c r="E1584" s="609">
        <v>0</v>
      </c>
      <c r="F1584" s="609">
        <v>0</v>
      </c>
      <c r="G1584" s="609">
        <v>0</v>
      </c>
      <c r="H1584" s="609">
        <v>760553</v>
      </c>
      <c r="I1584" s="609">
        <v>261052.7</v>
      </c>
      <c r="J1584" s="609">
        <v>390553</v>
      </c>
      <c r="K1584" s="609">
        <v>187500</v>
      </c>
      <c r="L1584" s="609">
        <v>0</v>
      </c>
      <c r="M1584" s="609">
        <v>0</v>
      </c>
      <c r="N1584" s="587">
        <f t="shared" si="174"/>
        <v>187500</v>
      </c>
      <c r="Q1584" t="str">
        <f t="shared" si="175"/>
        <v>58828</v>
      </c>
      <c r="R1584" s="126" t="str">
        <f t="shared" si="180"/>
        <v>BUILDINGS &amp; IMPROVEMENTS</v>
      </c>
      <c r="S1584" s="125" t="str">
        <f t="shared" si="181"/>
        <v>179</v>
      </c>
      <c r="T1584" s="125" t="str">
        <f t="shared" si="178"/>
        <v>11</v>
      </c>
      <c r="U1584" s="125" t="str">
        <f t="shared" si="179"/>
        <v>111</v>
      </c>
      <c r="V1584" s="125" t="str">
        <f>VLOOKUP(Q1584,'GL Category'!A:C,3,FALSE)</f>
        <v>Capital Outlay</v>
      </c>
      <c r="X1584" s="83"/>
    </row>
    <row r="1585" spans="1:24" ht="20.399999999999999" customHeight="1">
      <c r="A1585" s="608" t="s">
        <v>1036</v>
      </c>
      <c r="B1585" s="608" t="s">
        <v>2172</v>
      </c>
      <c r="C1585" s="608" t="s">
        <v>266</v>
      </c>
      <c r="D1585" s="609">
        <v>0</v>
      </c>
      <c r="E1585" s="609">
        <v>0</v>
      </c>
      <c r="F1585" s="609">
        <v>0</v>
      </c>
      <c r="G1585" s="609">
        <v>0</v>
      </c>
      <c r="H1585" s="609">
        <v>0</v>
      </c>
      <c r="I1585" s="609">
        <v>69999.5</v>
      </c>
      <c r="J1585" s="609">
        <v>121751</v>
      </c>
      <c r="K1585" s="609">
        <v>0</v>
      </c>
      <c r="L1585" s="609">
        <v>0</v>
      </c>
      <c r="M1585" s="609">
        <v>0</v>
      </c>
      <c r="N1585" s="587">
        <f t="shared" si="174"/>
        <v>0</v>
      </c>
      <c r="Q1585" t="str">
        <f t="shared" si="175"/>
        <v>58828</v>
      </c>
      <c r="R1585" s="126" t="str">
        <f t="shared" si="180"/>
        <v>BUILDINGS &amp; IMPROVEMENTS</v>
      </c>
      <c r="S1585" s="125" t="str">
        <f t="shared" si="181"/>
        <v>179</v>
      </c>
      <c r="T1585" s="125" t="str">
        <f t="shared" si="178"/>
        <v>11</v>
      </c>
      <c r="U1585" s="125" t="str">
        <f t="shared" si="179"/>
        <v>111</v>
      </c>
      <c r="V1585" s="125" t="str">
        <f>VLOOKUP(Q1585,'GL Category'!A:C,3,FALSE)</f>
        <v>Capital Outlay</v>
      </c>
      <c r="X1585" s="83"/>
    </row>
    <row r="1586" spans="1:24" ht="20.399999999999999" customHeight="1">
      <c r="A1586" s="608" t="s">
        <v>1036</v>
      </c>
      <c r="B1586" s="608" t="s">
        <v>2172</v>
      </c>
      <c r="C1586" s="608" t="s">
        <v>266</v>
      </c>
      <c r="D1586" s="609">
        <v>0</v>
      </c>
      <c r="E1586" s="609">
        <v>0</v>
      </c>
      <c r="F1586" s="609">
        <v>1121391.78</v>
      </c>
      <c r="G1586" s="609">
        <v>316539.78999999998</v>
      </c>
      <c r="H1586" s="609">
        <v>0</v>
      </c>
      <c r="I1586" s="609">
        <v>0</v>
      </c>
      <c r="J1586" s="609">
        <v>0</v>
      </c>
      <c r="K1586" s="609">
        <v>0</v>
      </c>
      <c r="L1586" s="609">
        <v>0</v>
      </c>
      <c r="M1586" s="609">
        <v>0</v>
      </c>
      <c r="N1586" s="587">
        <f t="shared" si="174"/>
        <v>0</v>
      </c>
      <c r="Q1586" t="str">
        <f t="shared" si="175"/>
        <v>58828</v>
      </c>
      <c r="R1586" s="126" t="str">
        <f t="shared" si="180"/>
        <v>BUILDINGS &amp; IMPROVEMENTS</v>
      </c>
      <c r="S1586" s="125" t="str">
        <f t="shared" si="181"/>
        <v>179</v>
      </c>
      <c r="T1586" s="125" t="str">
        <f t="shared" si="178"/>
        <v>11</v>
      </c>
      <c r="U1586" s="125" t="str">
        <f t="shared" si="179"/>
        <v>111</v>
      </c>
      <c r="V1586" s="125" t="str">
        <f>VLOOKUP(Q1586,'GL Category'!A:C,3,FALSE)</f>
        <v>Capital Outlay</v>
      </c>
      <c r="X1586" s="83"/>
    </row>
    <row r="1587" spans="1:24" ht="20.399999999999999" customHeight="1">
      <c r="A1587" s="608" t="s">
        <v>1036</v>
      </c>
      <c r="B1587" s="608" t="s">
        <v>2175</v>
      </c>
      <c r="C1587" s="608" t="s">
        <v>268</v>
      </c>
      <c r="D1587" s="609">
        <v>0</v>
      </c>
      <c r="E1587" s="609">
        <v>0</v>
      </c>
      <c r="F1587" s="609">
        <v>0</v>
      </c>
      <c r="G1587" s="609">
        <v>0</v>
      </c>
      <c r="H1587" s="609">
        <v>0</v>
      </c>
      <c r="I1587" s="609">
        <v>0</v>
      </c>
      <c r="J1587" s="609">
        <v>0</v>
      </c>
      <c r="K1587" s="609">
        <v>0</v>
      </c>
      <c r="L1587" s="609">
        <v>0</v>
      </c>
      <c r="M1587" s="609">
        <v>0</v>
      </c>
      <c r="N1587" s="587">
        <f t="shared" si="174"/>
        <v>0</v>
      </c>
      <c r="Q1587" t="str">
        <f t="shared" si="175"/>
        <v>58830</v>
      </c>
      <c r="R1587" s="126" t="str">
        <f t="shared" si="180"/>
        <v>MACHINERY &amp; EQUIPMENT</v>
      </c>
      <c r="S1587" s="125" t="str">
        <f t="shared" si="181"/>
        <v>179</v>
      </c>
      <c r="T1587" s="125" t="str">
        <f t="shared" si="178"/>
        <v>11</v>
      </c>
      <c r="U1587" s="125" t="str">
        <f t="shared" si="179"/>
        <v>111</v>
      </c>
      <c r="V1587" s="125" t="str">
        <f>VLOOKUP(Q1587,'GL Category'!A:C,3,FALSE)</f>
        <v>Capital Outlay</v>
      </c>
      <c r="X1587" s="83"/>
    </row>
    <row r="1588" spans="1:24" ht="20.399999999999999" customHeight="1">
      <c r="A1588" s="608" t="s">
        <v>1036</v>
      </c>
      <c r="B1588" s="608" t="s">
        <v>3234</v>
      </c>
      <c r="C1588" s="608" t="s">
        <v>4</v>
      </c>
      <c r="D1588" s="609">
        <v>0</v>
      </c>
      <c r="E1588" s="609">
        <v>9070.2099999999991</v>
      </c>
      <c r="F1588" s="609">
        <v>13593.19</v>
      </c>
      <c r="G1588" s="609">
        <v>4275</v>
      </c>
      <c r="H1588" s="609">
        <v>0</v>
      </c>
      <c r="I1588" s="609">
        <v>0</v>
      </c>
      <c r="J1588" s="609">
        <v>0</v>
      </c>
      <c r="K1588" s="609">
        <v>0</v>
      </c>
      <c r="L1588" s="609">
        <v>0</v>
      </c>
      <c r="M1588" s="609">
        <v>0</v>
      </c>
      <c r="N1588" s="587">
        <f t="shared" si="174"/>
        <v>0</v>
      </c>
      <c r="Q1588" t="str">
        <f t="shared" si="175"/>
        <v>51245</v>
      </c>
      <c r="R1588" s="126" t="str">
        <f t="shared" si="180"/>
        <v>SMALL TOOLS &amp; EQUIPMENT</v>
      </c>
      <c r="S1588" s="125" t="str">
        <f t="shared" si="181"/>
        <v>179</v>
      </c>
      <c r="T1588" s="125" t="str">
        <f t="shared" si="178"/>
        <v>35</v>
      </c>
      <c r="U1588" s="125" t="str">
        <f t="shared" si="179"/>
        <v>352</v>
      </c>
      <c r="V1588" s="125" t="str">
        <f>VLOOKUP(Q1588,'GL Category'!A:C,3,FALSE)</f>
        <v>Operations &amp; maintenance</v>
      </c>
      <c r="X1588" s="83"/>
    </row>
    <row r="1589" spans="1:24" ht="20.399999999999999" customHeight="1">
      <c r="A1589" s="608" t="s">
        <v>1036</v>
      </c>
      <c r="B1589" s="608" t="s">
        <v>3387</v>
      </c>
      <c r="C1589" s="608" t="s">
        <v>268</v>
      </c>
      <c r="D1589" s="609">
        <v>0</v>
      </c>
      <c r="E1589" s="609">
        <v>0</v>
      </c>
      <c r="F1589" s="609">
        <v>0</v>
      </c>
      <c r="G1589" s="609">
        <v>16782.3</v>
      </c>
      <c r="H1589" s="609">
        <v>0</v>
      </c>
      <c r="I1589" s="609">
        <v>0</v>
      </c>
      <c r="J1589" s="609">
        <v>0</v>
      </c>
      <c r="K1589" s="609">
        <v>0</v>
      </c>
      <c r="L1589" s="609">
        <v>0</v>
      </c>
      <c r="M1589" s="609">
        <v>0</v>
      </c>
      <c r="N1589" s="587">
        <f t="shared" si="174"/>
        <v>0</v>
      </c>
      <c r="Q1589" t="str">
        <f t="shared" si="175"/>
        <v>58830</v>
      </c>
      <c r="R1589" s="126" t="str">
        <f t="shared" si="180"/>
        <v>MACHINERY &amp; EQUIPMENT</v>
      </c>
      <c r="S1589" s="125" t="str">
        <f t="shared" si="181"/>
        <v>179</v>
      </c>
      <c r="T1589" s="125" t="str">
        <f t="shared" si="178"/>
        <v>35</v>
      </c>
      <c r="U1589" s="125" t="str">
        <f t="shared" si="179"/>
        <v>352</v>
      </c>
      <c r="V1589" s="125" t="str">
        <f>VLOOKUP(Q1589,'GL Category'!A:C,3,FALSE)</f>
        <v>Capital Outlay</v>
      </c>
      <c r="X1589" s="83"/>
    </row>
    <row r="1590" spans="1:24" ht="20.399999999999999" customHeight="1">
      <c r="A1590" s="608" t="s">
        <v>1036</v>
      </c>
      <c r="B1590" s="608" t="s">
        <v>3364</v>
      </c>
      <c r="C1590" s="608" t="s">
        <v>266</v>
      </c>
      <c r="D1590" s="609">
        <v>0</v>
      </c>
      <c r="E1590" s="609">
        <v>0</v>
      </c>
      <c r="F1590" s="609">
        <v>222811.33</v>
      </c>
      <c r="G1590" s="609">
        <v>544893.1</v>
      </c>
      <c r="H1590" s="609">
        <v>0</v>
      </c>
      <c r="I1590" s="609">
        <v>0</v>
      </c>
      <c r="J1590" s="609">
        <v>0</v>
      </c>
      <c r="K1590" s="609">
        <v>0</v>
      </c>
      <c r="L1590" s="609">
        <v>0</v>
      </c>
      <c r="M1590" s="609">
        <v>0</v>
      </c>
      <c r="N1590" s="587">
        <f t="shared" si="174"/>
        <v>0</v>
      </c>
      <c r="Q1590" t="str">
        <f t="shared" si="175"/>
        <v>58828</v>
      </c>
      <c r="R1590" s="126" t="str">
        <f t="shared" si="180"/>
        <v>BUILDINGS &amp; IMPROVEMENTS</v>
      </c>
      <c r="S1590" s="125" t="str">
        <f t="shared" si="181"/>
        <v>179</v>
      </c>
      <c r="T1590" s="125" t="str">
        <f t="shared" si="178"/>
        <v>65</v>
      </c>
      <c r="U1590" s="125" t="str">
        <f t="shared" si="179"/>
        <v>651</v>
      </c>
      <c r="V1590" s="125" t="str">
        <f>VLOOKUP(Q1590,'GL Category'!A:C,3,FALSE)</f>
        <v>Capital Outlay</v>
      </c>
      <c r="X1590" s="83"/>
    </row>
    <row r="1591" spans="1:24" ht="20.399999999999999" customHeight="1">
      <c r="A1591" s="608" t="s">
        <v>1036</v>
      </c>
      <c r="B1591" s="608" t="s">
        <v>3353</v>
      </c>
      <c r="C1591" s="608" t="s">
        <v>353</v>
      </c>
      <c r="D1591" s="609">
        <v>0</v>
      </c>
      <c r="E1591" s="609">
        <v>0</v>
      </c>
      <c r="F1591" s="609">
        <v>1891.2</v>
      </c>
      <c r="G1591" s="609">
        <v>1891.2</v>
      </c>
      <c r="H1591" s="609">
        <v>0</v>
      </c>
      <c r="I1591" s="609">
        <v>0</v>
      </c>
      <c r="J1591" s="609">
        <v>0</v>
      </c>
      <c r="K1591" s="609">
        <v>0</v>
      </c>
      <c r="L1591" s="609">
        <v>0</v>
      </c>
      <c r="M1591" s="609">
        <v>0</v>
      </c>
      <c r="N1591" s="587">
        <f t="shared" si="174"/>
        <v>0</v>
      </c>
      <c r="Q1591" t="str">
        <f t="shared" si="175"/>
        <v>58651</v>
      </c>
      <c r="R1591" s="126" t="str">
        <f t="shared" si="180"/>
        <v>DEPRECIATION EXPENSE</v>
      </c>
      <c r="S1591" s="125" t="str">
        <f t="shared" si="181"/>
        <v>179</v>
      </c>
      <c r="T1591" s="125" t="str">
        <f t="shared" si="178"/>
        <v>70</v>
      </c>
      <c r="U1591" s="125" t="str">
        <f t="shared" si="179"/>
        <v>701</v>
      </c>
      <c r="V1591" s="125" t="str">
        <f>VLOOKUP(Q1591,'GL Category'!A:C,3,FALSE)</f>
        <v>Capital Outlay</v>
      </c>
      <c r="X1591" s="83"/>
    </row>
    <row r="1592" spans="1:24" ht="20.399999999999999" customHeight="1">
      <c r="A1592" s="608" t="s">
        <v>1036</v>
      </c>
      <c r="B1592" s="608" t="s">
        <v>2176</v>
      </c>
      <c r="C1592" s="608" t="s">
        <v>266</v>
      </c>
      <c r="D1592" s="609">
        <v>38500</v>
      </c>
      <c r="E1592" s="609">
        <v>32000</v>
      </c>
      <c r="F1592" s="609">
        <v>9000</v>
      </c>
      <c r="G1592" s="609">
        <v>0</v>
      </c>
      <c r="H1592" s="609">
        <v>0</v>
      </c>
      <c r="I1592" s="609">
        <v>0</v>
      </c>
      <c r="J1592" s="609">
        <v>0</v>
      </c>
      <c r="K1592" s="609">
        <v>0</v>
      </c>
      <c r="L1592" s="609">
        <v>0</v>
      </c>
      <c r="M1592" s="609">
        <v>0</v>
      </c>
      <c r="N1592" s="587">
        <f t="shared" si="174"/>
        <v>0</v>
      </c>
      <c r="Q1592" t="str">
        <f t="shared" si="175"/>
        <v>58828</v>
      </c>
      <c r="R1592" s="126" t="str">
        <f t="shared" si="180"/>
        <v>BUILDINGS &amp; IMPROVEMENTS</v>
      </c>
      <c r="S1592" s="125" t="str">
        <f t="shared" si="181"/>
        <v>179</v>
      </c>
      <c r="T1592" s="125" t="str">
        <f t="shared" si="178"/>
        <v>77</v>
      </c>
      <c r="U1592" s="125" t="str">
        <f t="shared" si="179"/>
        <v>772</v>
      </c>
      <c r="V1592" s="125" t="str">
        <f>VLOOKUP(Q1592,'GL Category'!A:C,3,FALSE)</f>
        <v>Capital Outlay</v>
      </c>
      <c r="X1592" s="83"/>
    </row>
    <row r="1593" spans="1:24" ht="20.399999999999999" customHeight="1">
      <c r="A1593" s="608" t="s">
        <v>1036</v>
      </c>
      <c r="B1593" s="608" t="s">
        <v>2176</v>
      </c>
      <c r="C1593" s="608" t="s">
        <v>266</v>
      </c>
      <c r="D1593" s="609">
        <v>0</v>
      </c>
      <c r="E1593" s="609">
        <v>0</v>
      </c>
      <c r="F1593" s="609">
        <v>88620</v>
      </c>
      <c r="G1593" s="609">
        <v>98605.5</v>
      </c>
      <c r="H1593" s="609">
        <v>0</v>
      </c>
      <c r="I1593" s="609">
        <v>50530.5</v>
      </c>
      <c r="J1593" s="609">
        <v>50531</v>
      </c>
      <c r="K1593" s="609">
        <v>0</v>
      </c>
      <c r="L1593" s="609">
        <v>0</v>
      </c>
      <c r="M1593" s="609">
        <v>0</v>
      </c>
      <c r="N1593" s="587">
        <f t="shared" si="174"/>
        <v>0</v>
      </c>
      <c r="Q1593" t="str">
        <f t="shared" si="175"/>
        <v>58828</v>
      </c>
      <c r="R1593" s="126" t="str">
        <f t="shared" si="180"/>
        <v>BUILDINGS &amp; IMPROVEMENTS</v>
      </c>
      <c r="S1593" s="125" t="str">
        <f t="shared" si="181"/>
        <v>179</v>
      </c>
      <c r="T1593" s="125" t="str">
        <f t="shared" si="178"/>
        <v>77</v>
      </c>
      <c r="U1593" s="125" t="str">
        <f t="shared" si="179"/>
        <v>772</v>
      </c>
      <c r="V1593" s="125" t="str">
        <f>VLOOKUP(Q1593,'GL Category'!A:C,3,FALSE)</f>
        <v>Capital Outlay</v>
      </c>
      <c r="X1593" s="83"/>
    </row>
    <row r="1594" spans="1:24" ht="20.399999999999999" customHeight="1">
      <c r="A1594" s="608" t="s">
        <v>1036</v>
      </c>
      <c r="B1594" s="608" t="s">
        <v>2176</v>
      </c>
      <c r="C1594" s="608" t="s">
        <v>266</v>
      </c>
      <c r="D1594" s="609">
        <v>0</v>
      </c>
      <c r="E1594" s="609">
        <v>0</v>
      </c>
      <c r="F1594" s="609">
        <v>325869.18</v>
      </c>
      <c r="G1594" s="609">
        <v>0</v>
      </c>
      <c r="H1594" s="609">
        <v>0</v>
      </c>
      <c r="I1594" s="609">
        <v>0</v>
      </c>
      <c r="J1594" s="609">
        <v>0</v>
      </c>
      <c r="K1594" s="609">
        <v>0</v>
      </c>
      <c r="L1594" s="609">
        <v>0</v>
      </c>
      <c r="M1594" s="609">
        <v>0</v>
      </c>
      <c r="N1594" s="587">
        <f t="shared" si="174"/>
        <v>0</v>
      </c>
      <c r="Q1594" t="str">
        <f t="shared" si="175"/>
        <v>58828</v>
      </c>
      <c r="R1594" s="126" t="str">
        <f t="shared" si="180"/>
        <v>BUILDINGS &amp; IMPROVEMENTS</v>
      </c>
      <c r="S1594" s="125" t="str">
        <f t="shared" si="181"/>
        <v>179</v>
      </c>
      <c r="T1594" s="125" t="str">
        <f t="shared" si="178"/>
        <v>77</v>
      </c>
      <c r="U1594" s="125" t="str">
        <f t="shared" si="179"/>
        <v>772</v>
      </c>
      <c r="V1594" s="125" t="str">
        <f>VLOOKUP(Q1594,'GL Category'!A:C,3,FALSE)</f>
        <v>Capital Outlay</v>
      </c>
      <c r="X1594" s="83"/>
    </row>
    <row r="1595" spans="1:24" ht="20.399999999999999" customHeight="1">
      <c r="A1595" s="608" t="s">
        <v>1037</v>
      </c>
      <c r="B1595" s="608" t="s">
        <v>1236</v>
      </c>
      <c r="C1595" s="608" t="s">
        <v>130</v>
      </c>
      <c r="D1595" s="609">
        <v>149717.67000000001</v>
      </c>
      <c r="E1595" s="609">
        <v>167435.92000000001</v>
      </c>
      <c r="F1595" s="609">
        <v>183412.94</v>
      </c>
      <c r="G1595" s="609">
        <v>246271.93</v>
      </c>
      <c r="H1595" s="609">
        <v>171465</v>
      </c>
      <c r="I1595" s="609">
        <v>109022.16</v>
      </c>
      <c r="J1595" s="609">
        <v>143118</v>
      </c>
      <c r="K1595" s="609">
        <v>148003</v>
      </c>
      <c r="L1595" s="609">
        <v>0</v>
      </c>
      <c r="M1595" s="609">
        <v>0</v>
      </c>
      <c r="N1595" s="587">
        <f t="shared" si="174"/>
        <v>148003</v>
      </c>
      <c r="Q1595" t="str">
        <f t="shared" si="175"/>
        <v>50101</v>
      </c>
      <c r="R1595" s="126" t="str">
        <f t="shared" si="180"/>
        <v>EXEMPT SALARIES</v>
      </c>
      <c r="S1595" s="125" t="str">
        <f t="shared" si="181"/>
        <v>200</v>
      </c>
      <c r="T1595" s="125" t="str">
        <f t="shared" si="178"/>
        <v>70</v>
      </c>
      <c r="U1595" s="125" t="str">
        <f t="shared" si="179"/>
        <v>701</v>
      </c>
      <c r="V1595" s="125" t="str">
        <f>VLOOKUP(Q1595,'GL Category'!A:C,3,FALSE)</f>
        <v>Personnel services</v>
      </c>
      <c r="X1595" s="83"/>
    </row>
    <row r="1596" spans="1:24" ht="20.399999999999999" customHeight="1">
      <c r="A1596" s="608" t="s">
        <v>1037</v>
      </c>
      <c r="B1596" s="608" t="s">
        <v>1237</v>
      </c>
      <c r="C1596" s="608" t="s">
        <v>132</v>
      </c>
      <c r="D1596" s="609">
        <v>210894.61</v>
      </c>
      <c r="E1596" s="609">
        <v>221497.58</v>
      </c>
      <c r="F1596" s="609">
        <v>210440.31</v>
      </c>
      <c r="G1596" s="609">
        <v>222727.72</v>
      </c>
      <c r="H1596" s="609">
        <v>223468</v>
      </c>
      <c r="I1596" s="609">
        <v>169447.47</v>
      </c>
      <c r="J1596" s="609">
        <v>221373</v>
      </c>
      <c r="K1596" s="609">
        <v>226801</v>
      </c>
      <c r="L1596" s="609">
        <v>0</v>
      </c>
      <c r="M1596" s="609">
        <v>0</v>
      </c>
      <c r="N1596" s="587">
        <f t="shared" si="174"/>
        <v>226801</v>
      </c>
      <c r="Q1596" t="str">
        <f t="shared" si="175"/>
        <v>50102</v>
      </c>
      <c r="R1596" s="126" t="str">
        <f t="shared" si="180"/>
        <v>NON EXEMPT SALARIES</v>
      </c>
      <c r="S1596" s="125" t="str">
        <f t="shared" si="181"/>
        <v>200</v>
      </c>
      <c r="T1596" s="125" t="str">
        <f t="shared" si="178"/>
        <v>70</v>
      </c>
      <c r="U1596" s="125" t="str">
        <f t="shared" si="179"/>
        <v>701</v>
      </c>
      <c r="V1596" s="125" t="str">
        <f>VLOOKUP(Q1596,'GL Category'!A:C,3,FALSE)</f>
        <v>Personnel services</v>
      </c>
      <c r="X1596" s="83"/>
    </row>
    <row r="1597" spans="1:24" ht="20.399999999999999" customHeight="1">
      <c r="A1597" s="608" t="s">
        <v>1037</v>
      </c>
      <c r="B1597" s="608" t="s">
        <v>1238</v>
      </c>
      <c r="C1597" s="608" t="s">
        <v>0</v>
      </c>
      <c r="D1597" s="609">
        <v>17059.32</v>
      </c>
      <c r="E1597" s="609">
        <v>16447.88</v>
      </c>
      <c r="F1597" s="609">
        <v>13142.45</v>
      </c>
      <c r="G1597" s="609">
        <v>33092.06</v>
      </c>
      <c r="H1597" s="609">
        <v>40000</v>
      </c>
      <c r="I1597" s="609">
        <v>27367.48</v>
      </c>
      <c r="J1597" s="609">
        <v>34470</v>
      </c>
      <c r="K1597" s="609">
        <v>40000</v>
      </c>
      <c r="L1597" s="609">
        <v>0</v>
      </c>
      <c r="M1597" s="609">
        <v>0</v>
      </c>
      <c r="N1597" s="587">
        <f t="shared" si="174"/>
        <v>40000</v>
      </c>
      <c r="Q1597" t="str">
        <f t="shared" si="175"/>
        <v>50109</v>
      </c>
      <c r="R1597" s="126" t="str">
        <f t="shared" si="180"/>
        <v>OVERTIME</v>
      </c>
      <c r="S1597" s="125" t="str">
        <f t="shared" si="181"/>
        <v>200</v>
      </c>
      <c r="T1597" s="125" t="str">
        <f t="shared" si="178"/>
        <v>70</v>
      </c>
      <c r="U1597" s="125" t="str">
        <f t="shared" si="179"/>
        <v>701</v>
      </c>
      <c r="V1597" s="125" t="str">
        <f>VLOOKUP(Q1597,'GL Category'!A:C,3,FALSE)</f>
        <v>Personnel services</v>
      </c>
      <c r="X1597" s="83"/>
    </row>
    <row r="1598" spans="1:24" ht="20.399999999999999" customHeight="1">
      <c r="A1598" s="608" t="s">
        <v>1037</v>
      </c>
      <c r="B1598" s="608" t="s">
        <v>1239</v>
      </c>
      <c r="C1598" s="608" t="s">
        <v>135</v>
      </c>
      <c r="D1598" s="609">
        <v>0</v>
      </c>
      <c r="E1598" s="609">
        <v>1518.27</v>
      </c>
      <c r="F1598" s="609">
        <v>0</v>
      </c>
      <c r="G1598" s="609">
        <v>5294.88</v>
      </c>
      <c r="H1598" s="609">
        <v>16755</v>
      </c>
      <c r="I1598" s="609">
        <v>12124.48</v>
      </c>
      <c r="J1598" s="609">
        <v>16168</v>
      </c>
      <c r="K1598" s="609">
        <v>17088</v>
      </c>
      <c r="L1598" s="609">
        <v>0</v>
      </c>
      <c r="M1598" s="609">
        <v>0</v>
      </c>
      <c r="N1598" s="587">
        <f t="shared" si="174"/>
        <v>17088</v>
      </c>
      <c r="Q1598" t="str">
        <f t="shared" si="175"/>
        <v>50110</v>
      </c>
      <c r="R1598" s="126" t="str">
        <f t="shared" si="180"/>
        <v>PART-TIME WAGES</v>
      </c>
      <c r="S1598" s="125" t="str">
        <f t="shared" si="181"/>
        <v>200</v>
      </c>
      <c r="T1598" s="125" t="str">
        <f t="shared" si="178"/>
        <v>70</v>
      </c>
      <c r="U1598" s="125" t="str">
        <f t="shared" si="179"/>
        <v>701</v>
      </c>
      <c r="V1598" s="125" t="str">
        <f>VLOOKUP(Q1598,'GL Category'!A:C,3,FALSE)</f>
        <v>Personnel services</v>
      </c>
      <c r="X1598" s="83"/>
    </row>
    <row r="1599" spans="1:24" ht="20.399999999999999" customHeight="1">
      <c r="A1599" s="608" t="s">
        <v>1037</v>
      </c>
      <c r="B1599" s="608" t="s">
        <v>1240</v>
      </c>
      <c r="C1599" s="608" t="s">
        <v>137</v>
      </c>
      <c r="D1599" s="609">
        <v>3760</v>
      </c>
      <c r="E1599" s="609">
        <v>3760</v>
      </c>
      <c r="F1599" s="609">
        <v>4455</v>
      </c>
      <c r="G1599" s="609">
        <v>4500</v>
      </c>
      <c r="H1599" s="609">
        <v>3799</v>
      </c>
      <c r="I1599" s="609">
        <v>3695</v>
      </c>
      <c r="J1599" s="609">
        <v>3695</v>
      </c>
      <c r="K1599" s="609">
        <v>5390</v>
      </c>
      <c r="L1599" s="609">
        <v>0</v>
      </c>
      <c r="M1599" s="609">
        <v>0</v>
      </c>
      <c r="N1599" s="587">
        <f t="shared" si="174"/>
        <v>5390</v>
      </c>
      <c r="P1599" s="490">
        <f t="shared" ref="P1599:P1609" si="182">N1599-H1599</f>
        <v>1591</v>
      </c>
      <c r="Q1599" t="str">
        <f t="shared" si="175"/>
        <v>50111</v>
      </c>
      <c r="R1599" s="126" t="str">
        <f t="shared" si="180"/>
        <v>LONGEVITY PAY</v>
      </c>
      <c r="S1599" s="125" t="str">
        <f t="shared" si="181"/>
        <v>200</v>
      </c>
      <c r="T1599" s="125" t="str">
        <f t="shared" si="178"/>
        <v>70</v>
      </c>
      <c r="U1599" s="125" t="str">
        <f t="shared" si="179"/>
        <v>701</v>
      </c>
      <c r="V1599" s="125" t="str">
        <f>VLOOKUP(Q1599,'GL Category'!A:C,3,FALSE)</f>
        <v>Personnel services</v>
      </c>
      <c r="X1599" s="83"/>
    </row>
    <row r="1600" spans="1:24" ht="20.399999999999999" customHeight="1">
      <c r="A1600" s="608" t="s">
        <v>1037</v>
      </c>
      <c r="B1600" s="608" t="s">
        <v>1242</v>
      </c>
      <c r="C1600" s="608" t="s">
        <v>283</v>
      </c>
      <c r="D1600" s="609">
        <v>1056.25</v>
      </c>
      <c r="E1600" s="609">
        <v>1053.5</v>
      </c>
      <c r="F1600" s="609">
        <v>1052.75</v>
      </c>
      <c r="G1600" s="609">
        <v>525</v>
      </c>
      <c r="H1600" s="609">
        <v>600</v>
      </c>
      <c r="I1600" s="609">
        <v>0</v>
      </c>
      <c r="J1600" s="609">
        <v>0</v>
      </c>
      <c r="K1600" s="609">
        <v>0</v>
      </c>
      <c r="L1600" s="609">
        <v>0</v>
      </c>
      <c r="M1600" s="609">
        <v>0</v>
      </c>
      <c r="N1600" s="587">
        <f t="shared" si="174"/>
        <v>0</v>
      </c>
      <c r="P1600" s="490">
        <f t="shared" si="182"/>
        <v>-600</v>
      </c>
      <c r="Q1600" t="str">
        <f t="shared" si="175"/>
        <v>50115</v>
      </c>
      <c r="R1600" s="126" t="str">
        <f t="shared" si="180"/>
        <v>INCENTIVE/CERTIFICATION PAY</v>
      </c>
      <c r="S1600" s="125" t="str">
        <f t="shared" si="181"/>
        <v>200</v>
      </c>
      <c r="T1600" s="125" t="str">
        <f t="shared" si="178"/>
        <v>70</v>
      </c>
      <c r="U1600" s="125" t="str">
        <f t="shared" si="179"/>
        <v>701</v>
      </c>
      <c r="V1600" s="125" t="str">
        <f>VLOOKUP(Q1600,'GL Category'!A:C,3,FALSE)</f>
        <v>Personnel services</v>
      </c>
      <c r="X1600" s="83"/>
    </row>
    <row r="1601" spans="1:24" ht="20.399999999999999" customHeight="1">
      <c r="A1601" s="608" t="s">
        <v>1037</v>
      </c>
      <c r="B1601" s="608" t="s">
        <v>1243</v>
      </c>
      <c r="C1601" s="608" t="s">
        <v>1</v>
      </c>
      <c r="D1601" s="609">
        <v>26898.74</v>
      </c>
      <c r="E1601" s="609">
        <v>29391.96</v>
      </c>
      <c r="F1601" s="609">
        <v>29276.47</v>
      </c>
      <c r="G1601" s="609">
        <v>29720.78</v>
      </c>
      <c r="H1601" s="609">
        <v>35120</v>
      </c>
      <c r="I1601" s="609">
        <v>23480.45</v>
      </c>
      <c r="J1601" s="609">
        <v>31230</v>
      </c>
      <c r="K1601" s="609">
        <v>33780</v>
      </c>
      <c r="L1601" s="609">
        <v>0</v>
      </c>
      <c r="M1601" s="609">
        <v>0</v>
      </c>
      <c r="N1601" s="587">
        <f t="shared" si="174"/>
        <v>33780</v>
      </c>
      <c r="P1601" s="490">
        <f t="shared" si="182"/>
        <v>-1340</v>
      </c>
      <c r="Q1601" t="str">
        <f t="shared" si="175"/>
        <v>50610</v>
      </c>
      <c r="R1601" s="126" t="str">
        <f t="shared" si="180"/>
        <v>SOCIAL SECURITY</v>
      </c>
      <c r="S1601" s="125" t="str">
        <f t="shared" si="181"/>
        <v>200</v>
      </c>
      <c r="T1601" s="125" t="str">
        <f t="shared" si="178"/>
        <v>70</v>
      </c>
      <c r="U1601" s="125" t="str">
        <f t="shared" si="179"/>
        <v>701</v>
      </c>
      <c r="V1601" s="125" t="str">
        <f>VLOOKUP(Q1601,'GL Category'!A:C,3,FALSE)</f>
        <v>Personnel services</v>
      </c>
      <c r="X1601" s="83"/>
    </row>
    <row r="1602" spans="1:24" ht="20.399999999999999" customHeight="1">
      <c r="A1602" s="608" t="s">
        <v>1037</v>
      </c>
      <c r="B1602" s="608" t="s">
        <v>1244</v>
      </c>
      <c r="C1602" s="608" t="s">
        <v>142</v>
      </c>
      <c r="D1602" s="609">
        <v>96987.25</v>
      </c>
      <c r="E1602" s="609">
        <v>85179.24</v>
      </c>
      <c r="F1602" s="609">
        <v>88944</v>
      </c>
      <c r="G1602" s="609">
        <v>87695.87</v>
      </c>
      <c r="H1602" s="609">
        <v>97445</v>
      </c>
      <c r="I1602" s="609">
        <v>65944.86</v>
      </c>
      <c r="J1602" s="609">
        <v>89253</v>
      </c>
      <c r="K1602" s="609">
        <v>87429</v>
      </c>
      <c r="L1602" s="609">
        <v>0</v>
      </c>
      <c r="M1602" s="609">
        <v>0</v>
      </c>
      <c r="N1602" s="587">
        <f t="shared" si="174"/>
        <v>87429</v>
      </c>
      <c r="P1602" s="490">
        <f t="shared" si="182"/>
        <v>-10016</v>
      </c>
      <c r="Q1602" t="str">
        <f t="shared" si="175"/>
        <v>50620</v>
      </c>
      <c r="R1602" s="126" t="str">
        <f t="shared" si="180"/>
        <v>HEALTH/LIFE INSURANCE</v>
      </c>
      <c r="S1602" s="125" t="str">
        <f t="shared" si="181"/>
        <v>200</v>
      </c>
      <c r="T1602" s="125" t="str">
        <f t="shared" si="178"/>
        <v>70</v>
      </c>
      <c r="U1602" s="125" t="str">
        <f t="shared" si="179"/>
        <v>701</v>
      </c>
      <c r="V1602" s="125" t="str">
        <f>VLOOKUP(Q1602,'GL Category'!A:C,3,FALSE)</f>
        <v>Personnel services</v>
      </c>
      <c r="X1602" s="83"/>
    </row>
    <row r="1603" spans="1:24" ht="20.399999999999999" customHeight="1">
      <c r="A1603" s="608" t="s">
        <v>1037</v>
      </c>
      <c r="B1603" s="608" t="s">
        <v>1245</v>
      </c>
      <c r="C1603" s="608" t="s">
        <v>144</v>
      </c>
      <c r="D1603" s="609">
        <v>1481.48</v>
      </c>
      <c r="E1603" s="609">
        <v>1354.29</v>
      </c>
      <c r="F1603" s="609">
        <v>1924.16</v>
      </c>
      <c r="G1603" s="609">
        <v>1974.15</v>
      </c>
      <c r="H1603" s="609">
        <v>1624</v>
      </c>
      <c r="I1603" s="609">
        <v>1622.68</v>
      </c>
      <c r="J1603" s="609">
        <v>1623</v>
      </c>
      <c r="K1603" s="609">
        <v>1734</v>
      </c>
      <c r="L1603" s="609">
        <v>0</v>
      </c>
      <c r="M1603" s="609">
        <v>0</v>
      </c>
      <c r="N1603" s="587">
        <f t="shared" si="174"/>
        <v>1734</v>
      </c>
      <c r="P1603" s="490">
        <f t="shared" si="182"/>
        <v>110</v>
      </c>
      <c r="Q1603" t="str">
        <f t="shared" si="175"/>
        <v>50630</v>
      </c>
      <c r="R1603" s="126" t="str">
        <f t="shared" si="180"/>
        <v>WORKER COMPENSATION</v>
      </c>
      <c r="S1603" s="125" t="str">
        <f t="shared" si="181"/>
        <v>200</v>
      </c>
      <c r="T1603" s="125" t="str">
        <f t="shared" si="178"/>
        <v>70</v>
      </c>
      <c r="U1603" s="125" t="str">
        <f t="shared" si="179"/>
        <v>701</v>
      </c>
      <c r="V1603" s="125" t="str">
        <f>VLOOKUP(Q1603,'GL Category'!A:C,3,FALSE)</f>
        <v>Personnel services</v>
      </c>
      <c r="X1603" s="83"/>
    </row>
    <row r="1604" spans="1:24" ht="20.399999999999999" customHeight="1">
      <c r="A1604" s="608" t="s">
        <v>1037</v>
      </c>
      <c r="B1604" s="608" t="s">
        <v>1246</v>
      </c>
      <c r="C1604" s="608" t="s">
        <v>2</v>
      </c>
      <c r="D1604" s="609">
        <v>113816.47</v>
      </c>
      <c r="E1604" s="609">
        <v>66284.289999999994</v>
      </c>
      <c r="F1604" s="609">
        <v>66786.429999999993</v>
      </c>
      <c r="G1604" s="609">
        <v>66077.119999999995</v>
      </c>
      <c r="H1604" s="609">
        <v>73110</v>
      </c>
      <c r="I1604" s="609">
        <v>51543.13</v>
      </c>
      <c r="J1604" s="609">
        <v>67273</v>
      </c>
      <c r="K1604" s="609">
        <v>71811</v>
      </c>
      <c r="L1604" s="609">
        <v>0</v>
      </c>
      <c r="M1604" s="609">
        <v>0</v>
      </c>
      <c r="N1604" s="587">
        <f t="shared" ref="N1604:N1667" si="183">SUM(K1604:M1604)</f>
        <v>71811</v>
      </c>
      <c r="P1604" s="490">
        <f t="shared" si="182"/>
        <v>-1299</v>
      </c>
      <c r="Q1604" t="str">
        <f t="shared" ref="Q1604:Q1667" si="184">MID(B1604,12,5)</f>
        <v>50650</v>
      </c>
      <c r="R1604" s="126" t="str">
        <f t="shared" si="180"/>
        <v>RETIREMENT</v>
      </c>
      <c r="S1604" s="125" t="str">
        <f t="shared" si="181"/>
        <v>200</v>
      </c>
      <c r="T1604" s="125" t="str">
        <f t="shared" ref="T1604:T1667" si="185">MID(B1604,5,2)</f>
        <v>70</v>
      </c>
      <c r="U1604" s="125" t="str">
        <f t="shared" ref="U1604:U1667" si="186">MID(B1604,8,3)</f>
        <v>701</v>
      </c>
      <c r="V1604" s="125" t="str">
        <f>VLOOKUP(Q1604,'GL Category'!A:C,3,FALSE)</f>
        <v>Personnel services</v>
      </c>
      <c r="X1604" s="83"/>
    </row>
    <row r="1605" spans="1:24" ht="20.399999999999999" customHeight="1">
      <c r="A1605" s="608" t="s">
        <v>1037</v>
      </c>
      <c r="B1605" s="608" t="s">
        <v>1247</v>
      </c>
      <c r="C1605" s="608" t="s">
        <v>149</v>
      </c>
      <c r="D1605" s="609">
        <v>1072.92</v>
      </c>
      <c r="E1605" s="609">
        <v>937.07</v>
      </c>
      <c r="F1605" s="609">
        <v>1299.93</v>
      </c>
      <c r="G1605" s="609">
        <v>458.19</v>
      </c>
      <c r="H1605" s="609">
        <v>1000</v>
      </c>
      <c r="I1605" s="609">
        <v>372.62</v>
      </c>
      <c r="J1605" s="609">
        <v>1000</v>
      </c>
      <c r="K1605" s="609">
        <v>1000</v>
      </c>
      <c r="L1605" s="609">
        <v>0</v>
      </c>
      <c r="M1605" s="609">
        <v>0</v>
      </c>
      <c r="N1605" s="587">
        <f t="shared" si="183"/>
        <v>1000</v>
      </c>
      <c r="P1605" s="490">
        <f t="shared" si="182"/>
        <v>0</v>
      </c>
      <c r="Q1605" t="str">
        <f t="shared" si="184"/>
        <v>51210</v>
      </c>
      <c r="R1605" s="126" t="str">
        <f t="shared" si="180"/>
        <v>OFFICE SUPPLIES</v>
      </c>
      <c r="S1605" s="125" t="str">
        <f t="shared" si="181"/>
        <v>200</v>
      </c>
      <c r="T1605" s="125" t="str">
        <f t="shared" si="185"/>
        <v>70</v>
      </c>
      <c r="U1605" s="125" t="str">
        <f t="shared" si="186"/>
        <v>701</v>
      </c>
      <c r="V1605" s="125" t="str">
        <f>VLOOKUP(Q1605,'GL Category'!A:C,3,FALSE)</f>
        <v>Operations &amp; maintenance</v>
      </c>
      <c r="X1605" s="83"/>
    </row>
    <row r="1606" spans="1:24" ht="20.399999999999999" customHeight="1">
      <c r="A1606" s="608" t="s">
        <v>1037</v>
      </c>
      <c r="B1606" s="608" t="s">
        <v>1247</v>
      </c>
      <c r="C1606" s="608" t="s">
        <v>149</v>
      </c>
      <c r="D1606" s="609">
        <v>0</v>
      </c>
      <c r="E1606" s="609">
        <v>0</v>
      </c>
      <c r="F1606" s="609">
        <v>0</v>
      </c>
      <c r="G1606" s="609">
        <v>0</v>
      </c>
      <c r="H1606" s="609">
        <v>0</v>
      </c>
      <c r="I1606" s="609">
        <v>0</v>
      </c>
      <c r="J1606" s="609">
        <v>0</v>
      </c>
      <c r="K1606" s="609">
        <v>0</v>
      </c>
      <c r="L1606" s="609">
        <v>0</v>
      </c>
      <c r="M1606" s="609">
        <v>0</v>
      </c>
      <c r="N1606" s="587">
        <f t="shared" si="183"/>
        <v>0</v>
      </c>
      <c r="P1606" s="490">
        <f t="shared" si="182"/>
        <v>0</v>
      </c>
      <c r="Q1606" t="str">
        <f t="shared" si="184"/>
        <v>51210</v>
      </c>
      <c r="R1606" s="126" t="str">
        <f t="shared" si="180"/>
        <v>OFFICE SUPPLIES</v>
      </c>
      <c r="S1606" s="125" t="str">
        <f t="shared" si="181"/>
        <v>200</v>
      </c>
      <c r="T1606" s="125" t="str">
        <f t="shared" si="185"/>
        <v>70</v>
      </c>
      <c r="U1606" s="125" t="str">
        <f t="shared" si="186"/>
        <v>701</v>
      </c>
      <c r="V1606" s="125" t="str">
        <f>VLOOKUP(Q1606,'GL Category'!A:C,3,FALSE)</f>
        <v>Operations &amp; maintenance</v>
      </c>
      <c r="X1606" s="83"/>
    </row>
    <row r="1607" spans="1:24" ht="20.399999999999999" customHeight="1">
      <c r="A1607" s="608" t="s">
        <v>1037</v>
      </c>
      <c r="B1607" s="608" t="s">
        <v>1248</v>
      </c>
      <c r="C1607" s="608" t="s">
        <v>4</v>
      </c>
      <c r="D1607" s="609">
        <v>32.14</v>
      </c>
      <c r="E1607" s="609">
        <v>0</v>
      </c>
      <c r="F1607" s="609">
        <v>53.25</v>
      </c>
      <c r="G1607" s="609">
        <v>158.84</v>
      </c>
      <c r="H1607" s="609">
        <v>0</v>
      </c>
      <c r="I1607" s="609">
        <v>0</v>
      </c>
      <c r="J1607" s="609">
        <v>0</v>
      </c>
      <c r="K1607" s="609">
        <v>0</v>
      </c>
      <c r="L1607" s="609">
        <v>0</v>
      </c>
      <c r="M1607" s="609">
        <v>0</v>
      </c>
      <c r="N1607" s="587">
        <f t="shared" si="183"/>
        <v>0</v>
      </c>
      <c r="P1607" s="490">
        <f t="shared" si="182"/>
        <v>0</v>
      </c>
      <c r="Q1607" t="str">
        <f t="shared" si="184"/>
        <v>51245</v>
      </c>
      <c r="R1607" s="126" t="str">
        <f t="shared" si="180"/>
        <v>SMALL TOOLS &amp; EQUIPMENT</v>
      </c>
      <c r="S1607" s="125" t="str">
        <f t="shared" si="181"/>
        <v>200</v>
      </c>
      <c r="T1607" s="125" t="str">
        <f t="shared" si="185"/>
        <v>70</v>
      </c>
      <c r="U1607" s="125" t="str">
        <f t="shared" si="186"/>
        <v>701</v>
      </c>
      <c r="V1607" s="125" t="str">
        <f>VLOOKUP(Q1607,'GL Category'!A:C,3,FALSE)</f>
        <v>Operations &amp; maintenance</v>
      </c>
      <c r="X1607" s="83"/>
    </row>
    <row r="1608" spans="1:24" ht="20.399999999999999" customHeight="1">
      <c r="A1608" s="608" t="s">
        <v>1037</v>
      </c>
      <c r="B1608" s="608" t="s">
        <v>1249</v>
      </c>
      <c r="C1608" s="608" t="s">
        <v>161</v>
      </c>
      <c r="D1608" s="609">
        <v>1520.21</v>
      </c>
      <c r="E1608" s="609">
        <v>2466.5700000000002</v>
      </c>
      <c r="F1608" s="609">
        <v>2640.3</v>
      </c>
      <c r="G1608" s="609">
        <v>3327.85</v>
      </c>
      <c r="H1608" s="609">
        <v>4000</v>
      </c>
      <c r="I1608" s="609">
        <v>2088.44</v>
      </c>
      <c r="J1608" s="609">
        <v>3500</v>
      </c>
      <c r="K1608" s="609">
        <v>4000</v>
      </c>
      <c r="L1608" s="609">
        <v>0</v>
      </c>
      <c r="M1608" s="609">
        <v>0</v>
      </c>
      <c r="N1608" s="587">
        <f t="shared" si="183"/>
        <v>4000</v>
      </c>
      <c r="P1608" s="490">
        <f t="shared" si="182"/>
        <v>0</v>
      </c>
      <c r="Q1608" t="str">
        <f t="shared" si="184"/>
        <v>51255</v>
      </c>
      <c r="R1608" s="126" t="str">
        <f t="shared" si="180"/>
        <v>FUEL/OILS/LUBRICANTS</v>
      </c>
      <c r="S1608" s="125" t="str">
        <f t="shared" si="181"/>
        <v>200</v>
      </c>
      <c r="T1608" s="125" t="str">
        <f t="shared" si="185"/>
        <v>70</v>
      </c>
      <c r="U1608" s="125" t="str">
        <f t="shared" si="186"/>
        <v>701</v>
      </c>
      <c r="V1608" s="125" t="str">
        <f>VLOOKUP(Q1608,'GL Category'!A:C,3,FALSE)</f>
        <v>Operations &amp; maintenance</v>
      </c>
      <c r="X1608" s="83"/>
    </row>
    <row r="1609" spans="1:24" ht="20.399999999999999" customHeight="1">
      <c r="A1609" s="608" t="s">
        <v>1037</v>
      </c>
      <c r="B1609" s="608" t="s">
        <v>1250</v>
      </c>
      <c r="C1609" s="608" t="s">
        <v>167</v>
      </c>
      <c r="D1609" s="609">
        <v>288.14999999999998</v>
      </c>
      <c r="E1609" s="609">
        <v>461.7</v>
      </c>
      <c r="F1609" s="609">
        <v>766.38</v>
      </c>
      <c r="G1609" s="609">
        <v>1357.35</v>
      </c>
      <c r="H1609" s="609">
        <v>1000</v>
      </c>
      <c r="I1609" s="609">
        <v>773.79</v>
      </c>
      <c r="J1609" s="609">
        <v>1000</v>
      </c>
      <c r="K1609" s="609">
        <v>1000</v>
      </c>
      <c r="L1609" s="609">
        <v>0</v>
      </c>
      <c r="M1609" s="609">
        <v>0</v>
      </c>
      <c r="N1609" s="587">
        <f t="shared" si="183"/>
        <v>1000</v>
      </c>
      <c r="P1609" s="490">
        <f t="shared" si="182"/>
        <v>0</v>
      </c>
      <c r="Q1609" t="str">
        <f t="shared" si="184"/>
        <v>51285</v>
      </c>
      <c r="R1609" s="126" t="str">
        <f t="shared" si="180"/>
        <v>WEARING APPAREL</v>
      </c>
      <c r="S1609" s="125" t="str">
        <f t="shared" si="181"/>
        <v>200</v>
      </c>
      <c r="T1609" s="125" t="str">
        <f t="shared" si="185"/>
        <v>70</v>
      </c>
      <c r="U1609" s="125" t="str">
        <f t="shared" si="186"/>
        <v>701</v>
      </c>
      <c r="V1609" s="125" t="str">
        <f>VLOOKUP(Q1609,'GL Category'!A:C,3,FALSE)</f>
        <v>Operations &amp; maintenance</v>
      </c>
      <c r="X1609" s="83"/>
    </row>
    <row r="1610" spans="1:24" ht="20.399999999999999" customHeight="1">
      <c r="A1610" s="608" t="s">
        <v>1037</v>
      </c>
      <c r="B1610" s="608" t="s">
        <v>1251</v>
      </c>
      <c r="C1610" s="608" t="s">
        <v>274</v>
      </c>
      <c r="D1610" s="609">
        <v>344.76</v>
      </c>
      <c r="E1610" s="609">
        <v>143.72</v>
      </c>
      <c r="F1610" s="609">
        <v>4364.58</v>
      </c>
      <c r="G1610" s="609">
        <v>18828.599999999999</v>
      </c>
      <c r="H1610" s="609">
        <v>14000</v>
      </c>
      <c r="I1610" s="609">
        <v>17560.669999999998</v>
      </c>
      <c r="J1610" s="609">
        <v>14000</v>
      </c>
      <c r="K1610" s="609">
        <v>14000</v>
      </c>
      <c r="L1610" s="609">
        <v>0</v>
      </c>
      <c r="M1610" s="609">
        <v>0</v>
      </c>
      <c r="N1610" s="587">
        <f t="shared" si="183"/>
        <v>14000</v>
      </c>
      <c r="Q1610" t="str">
        <f t="shared" si="184"/>
        <v>51287</v>
      </c>
      <c r="R1610" s="126" t="str">
        <f t="shared" si="180"/>
        <v>SAFETY EQUIPMENT/SUPPLIES</v>
      </c>
      <c r="S1610" s="125" t="str">
        <f t="shared" si="181"/>
        <v>200</v>
      </c>
      <c r="T1610" s="125" t="str">
        <f t="shared" si="185"/>
        <v>70</v>
      </c>
      <c r="U1610" s="125" t="str">
        <f t="shared" si="186"/>
        <v>701</v>
      </c>
      <c r="V1610" s="125" t="str">
        <f>VLOOKUP(Q1610,'GL Category'!A:C,3,FALSE)</f>
        <v>Operations &amp; maintenance</v>
      </c>
      <c r="X1610" s="83"/>
    </row>
    <row r="1611" spans="1:24" ht="20.399999999999999" customHeight="1">
      <c r="A1611" s="608" t="s">
        <v>1037</v>
      </c>
      <c r="B1611" s="608" t="s">
        <v>1251</v>
      </c>
      <c r="C1611" s="608" t="s">
        <v>274</v>
      </c>
      <c r="D1611" s="609">
        <v>0</v>
      </c>
      <c r="E1611" s="609">
        <v>0</v>
      </c>
      <c r="F1611" s="609">
        <v>0</v>
      </c>
      <c r="G1611" s="609">
        <v>0</v>
      </c>
      <c r="H1611" s="609">
        <v>0</v>
      </c>
      <c r="I1611" s="609">
        <v>0</v>
      </c>
      <c r="J1611" s="609">
        <v>0</v>
      </c>
      <c r="K1611" s="609">
        <v>0</v>
      </c>
      <c r="L1611" s="609">
        <v>0</v>
      </c>
      <c r="M1611" s="609">
        <v>0</v>
      </c>
      <c r="N1611" s="587">
        <f t="shared" si="183"/>
        <v>0</v>
      </c>
      <c r="Q1611" t="str">
        <f t="shared" si="184"/>
        <v>51287</v>
      </c>
      <c r="R1611" s="126" t="str">
        <f t="shared" si="180"/>
        <v>SAFETY EQUIPMENT/SUPPLIES</v>
      </c>
      <c r="S1611" s="125" t="str">
        <f t="shared" si="181"/>
        <v>200</v>
      </c>
      <c r="T1611" s="125" t="str">
        <f t="shared" si="185"/>
        <v>70</v>
      </c>
      <c r="U1611" s="125" t="str">
        <f t="shared" si="186"/>
        <v>701</v>
      </c>
      <c r="V1611" s="125" t="str">
        <f>VLOOKUP(Q1611,'GL Category'!A:C,3,FALSE)</f>
        <v>Operations &amp; maintenance</v>
      </c>
      <c r="X1611" s="83"/>
    </row>
    <row r="1612" spans="1:24" ht="20.399999999999999" customHeight="1">
      <c r="A1612" s="608" t="s">
        <v>1037</v>
      </c>
      <c r="B1612" s="608" t="s">
        <v>1252</v>
      </c>
      <c r="C1612" s="608" t="s">
        <v>169</v>
      </c>
      <c r="D1612" s="609">
        <v>0</v>
      </c>
      <c r="E1612" s="609">
        <v>0</v>
      </c>
      <c r="F1612" s="609">
        <v>917.82</v>
      </c>
      <c r="G1612" s="609">
        <v>0</v>
      </c>
      <c r="H1612" s="609">
        <v>0</v>
      </c>
      <c r="I1612" s="609">
        <v>0</v>
      </c>
      <c r="J1612" s="609">
        <v>0</v>
      </c>
      <c r="K1612" s="609">
        <v>0</v>
      </c>
      <c r="L1612" s="609">
        <v>0</v>
      </c>
      <c r="M1612" s="609">
        <v>0</v>
      </c>
      <c r="N1612" s="587">
        <f t="shared" si="183"/>
        <v>0</v>
      </c>
      <c r="Q1612" t="str">
        <f t="shared" si="184"/>
        <v>51299</v>
      </c>
      <c r="R1612" s="126" t="str">
        <f t="shared" si="180"/>
        <v>MISCELLANEOUS SUPPLIES</v>
      </c>
      <c r="S1612" s="125" t="str">
        <f t="shared" si="181"/>
        <v>200</v>
      </c>
      <c r="T1612" s="125" t="str">
        <f t="shared" si="185"/>
        <v>70</v>
      </c>
      <c r="U1612" s="125" t="str">
        <f t="shared" si="186"/>
        <v>701</v>
      </c>
      <c r="V1612" s="125" t="str">
        <f>VLOOKUP(Q1612,'GL Category'!A:C,3,FALSE)</f>
        <v>Operations &amp; maintenance</v>
      </c>
      <c r="X1612" s="83"/>
    </row>
    <row r="1613" spans="1:24" ht="20.399999999999999" customHeight="1">
      <c r="A1613" s="608" t="s">
        <v>1037</v>
      </c>
      <c r="B1613" s="608" t="s">
        <v>1253</v>
      </c>
      <c r="C1613" s="608" t="s">
        <v>175</v>
      </c>
      <c r="D1613" s="609">
        <v>97.24</v>
      </c>
      <c r="E1613" s="609">
        <v>108.3</v>
      </c>
      <c r="F1613" s="609">
        <v>109.9</v>
      </c>
      <c r="G1613" s="609">
        <v>111.49</v>
      </c>
      <c r="H1613" s="609">
        <v>355</v>
      </c>
      <c r="I1613" s="609">
        <v>113.09</v>
      </c>
      <c r="J1613" s="609">
        <v>355</v>
      </c>
      <c r="K1613" s="609">
        <v>355</v>
      </c>
      <c r="L1613" s="609">
        <v>0</v>
      </c>
      <c r="M1613" s="609">
        <v>0</v>
      </c>
      <c r="N1613" s="587">
        <f t="shared" si="183"/>
        <v>355</v>
      </c>
      <c r="Q1613" t="str">
        <f t="shared" si="184"/>
        <v>52440</v>
      </c>
      <c r="R1613" s="126" t="str">
        <f t="shared" si="180"/>
        <v>RADIO MAINTENANCE</v>
      </c>
      <c r="S1613" s="125" t="str">
        <f t="shared" si="181"/>
        <v>200</v>
      </c>
      <c r="T1613" s="125" t="str">
        <f t="shared" si="185"/>
        <v>70</v>
      </c>
      <c r="U1613" s="125" t="str">
        <f t="shared" si="186"/>
        <v>701</v>
      </c>
      <c r="V1613" s="125" t="str">
        <f>VLOOKUP(Q1613,'GL Category'!A:C,3,FALSE)</f>
        <v>Operations &amp; maintenance</v>
      </c>
      <c r="X1613" s="83"/>
    </row>
    <row r="1614" spans="1:24" ht="20.399999999999999" customHeight="1">
      <c r="A1614" s="608" t="s">
        <v>1037</v>
      </c>
      <c r="B1614" s="608" t="s">
        <v>1254</v>
      </c>
      <c r="C1614" s="608" t="s">
        <v>241</v>
      </c>
      <c r="D1614" s="609">
        <v>1048.25</v>
      </c>
      <c r="E1614" s="609">
        <v>922.31</v>
      </c>
      <c r="F1614" s="609">
        <v>2759.6</v>
      </c>
      <c r="G1614" s="609">
        <v>750.9</v>
      </c>
      <c r="H1614" s="609">
        <v>2500</v>
      </c>
      <c r="I1614" s="609">
        <v>292.2</v>
      </c>
      <c r="J1614" s="609">
        <v>1000</v>
      </c>
      <c r="K1614" s="609">
        <v>2500</v>
      </c>
      <c r="L1614" s="609">
        <v>0</v>
      </c>
      <c r="M1614" s="609">
        <v>0</v>
      </c>
      <c r="N1614" s="587">
        <f t="shared" si="183"/>
        <v>2500</v>
      </c>
      <c r="Q1614" t="str">
        <f t="shared" si="184"/>
        <v>52460</v>
      </c>
      <c r="R1614" s="126" t="str">
        <f t="shared" si="180"/>
        <v>VEHICLE MAINTENANCE</v>
      </c>
      <c r="S1614" s="125" t="str">
        <f t="shared" si="181"/>
        <v>200</v>
      </c>
      <c r="T1614" s="125" t="str">
        <f t="shared" si="185"/>
        <v>70</v>
      </c>
      <c r="U1614" s="125" t="str">
        <f t="shared" si="186"/>
        <v>701</v>
      </c>
      <c r="V1614" s="125" t="str">
        <f>VLOOKUP(Q1614,'GL Category'!A:C,3,FALSE)</f>
        <v>Operations &amp; maintenance</v>
      </c>
      <c r="X1614" s="83"/>
    </row>
    <row r="1615" spans="1:24" ht="20.399999999999999" customHeight="1">
      <c r="A1615" s="608" t="s">
        <v>1037</v>
      </c>
      <c r="B1615" s="608" t="s">
        <v>1255</v>
      </c>
      <c r="C1615" s="608" t="s">
        <v>185</v>
      </c>
      <c r="D1615" s="609">
        <v>7571.51</v>
      </c>
      <c r="E1615" s="609">
        <v>5940.68</v>
      </c>
      <c r="F1615" s="609">
        <v>6899.74</v>
      </c>
      <c r="G1615" s="609">
        <v>5484.18</v>
      </c>
      <c r="H1615" s="609">
        <v>8750</v>
      </c>
      <c r="I1615" s="609">
        <v>5926.27</v>
      </c>
      <c r="J1615" s="609">
        <v>8750</v>
      </c>
      <c r="K1615" s="609">
        <v>8750</v>
      </c>
      <c r="L1615" s="609">
        <v>0</v>
      </c>
      <c r="M1615" s="609">
        <v>0</v>
      </c>
      <c r="N1615" s="587">
        <f t="shared" si="183"/>
        <v>8750</v>
      </c>
      <c r="Q1615" t="str">
        <f t="shared" si="184"/>
        <v>53505</v>
      </c>
      <c r="R1615" s="126" t="str">
        <f t="shared" si="180"/>
        <v>PUBLIC EDUCATION SERVICES</v>
      </c>
      <c r="S1615" s="125" t="str">
        <f t="shared" si="181"/>
        <v>200</v>
      </c>
      <c r="T1615" s="125" t="str">
        <f t="shared" si="185"/>
        <v>70</v>
      </c>
      <c r="U1615" s="125" t="str">
        <f t="shared" si="186"/>
        <v>701</v>
      </c>
      <c r="V1615" s="125" t="str">
        <f>VLOOKUP(Q1615,'GL Category'!A:C,3,FALSE)</f>
        <v>Services &amp; other</v>
      </c>
      <c r="X1615" s="83"/>
    </row>
    <row r="1616" spans="1:24" ht="20.399999999999999" customHeight="1">
      <c r="A1616" s="608" t="s">
        <v>1037</v>
      </c>
      <c r="B1616" s="608" t="s">
        <v>1258</v>
      </c>
      <c r="C1616" s="608" t="s">
        <v>190</v>
      </c>
      <c r="D1616" s="609">
        <v>665</v>
      </c>
      <c r="E1616" s="609">
        <v>572.97</v>
      </c>
      <c r="F1616" s="609">
        <v>350.14</v>
      </c>
      <c r="G1616" s="609">
        <v>327.38</v>
      </c>
      <c r="H1616" s="609">
        <v>1070</v>
      </c>
      <c r="I1616" s="609">
        <v>0</v>
      </c>
      <c r="J1616" s="609">
        <v>600</v>
      </c>
      <c r="K1616" s="609">
        <v>1070</v>
      </c>
      <c r="L1616" s="609">
        <v>0</v>
      </c>
      <c r="M1616" s="609">
        <v>0</v>
      </c>
      <c r="N1616" s="587">
        <f t="shared" si="183"/>
        <v>1070</v>
      </c>
      <c r="Q1616" t="str">
        <f t="shared" si="184"/>
        <v>53510</v>
      </c>
      <c r="R1616" s="126" t="str">
        <f t="shared" si="180"/>
        <v>DUES &amp; SUBSCRIPTIONS</v>
      </c>
      <c r="S1616" s="125" t="str">
        <f t="shared" si="181"/>
        <v>200</v>
      </c>
      <c r="T1616" s="125" t="str">
        <f t="shared" si="185"/>
        <v>70</v>
      </c>
      <c r="U1616" s="125" t="str">
        <f t="shared" si="186"/>
        <v>701</v>
      </c>
      <c r="V1616" s="125" t="str">
        <f>VLOOKUP(Q1616,'GL Category'!A:C,3,FALSE)</f>
        <v>Services &amp; other</v>
      </c>
      <c r="X1616" s="83"/>
    </row>
    <row r="1617" spans="1:24" ht="14.4" customHeight="1">
      <c r="A1617" s="608" t="s">
        <v>1037</v>
      </c>
      <c r="B1617" s="608" t="s">
        <v>1260</v>
      </c>
      <c r="C1617" s="608" t="s">
        <v>193</v>
      </c>
      <c r="D1617" s="609">
        <v>129156.4</v>
      </c>
      <c r="E1617" s="609">
        <v>144453.22</v>
      </c>
      <c r="F1617" s="609">
        <v>135574.91</v>
      </c>
      <c r="G1617" s="609">
        <v>121405.78</v>
      </c>
      <c r="H1617" s="609">
        <v>125000</v>
      </c>
      <c r="I1617" s="609">
        <v>36620.65</v>
      </c>
      <c r="J1617" s="609">
        <v>125000</v>
      </c>
      <c r="K1617" s="609">
        <v>125000</v>
      </c>
      <c r="L1617" s="609">
        <v>100000</v>
      </c>
      <c r="M1617" s="609">
        <v>0</v>
      </c>
      <c r="N1617" s="587">
        <f t="shared" si="183"/>
        <v>225000</v>
      </c>
      <c r="Q1617" t="str">
        <f t="shared" si="184"/>
        <v>53513</v>
      </c>
      <c r="R1617" s="126" t="str">
        <f t="shared" si="180"/>
        <v>CONSULTING SERVICES</v>
      </c>
      <c r="S1617" s="125" t="str">
        <f t="shared" si="181"/>
        <v>200</v>
      </c>
      <c r="T1617" s="125" t="str">
        <f t="shared" si="185"/>
        <v>70</v>
      </c>
      <c r="U1617" s="125" t="str">
        <f t="shared" si="186"/>
        <v>701</v>
      </c>
      <c r="V1617" s="125" t="str">
        <f>VLOOKUP(Q1617,'GL Category'!A:C,3,FALSE)</f>
        <v>Services &amp; other</v>
      </c>
      <c r="X1617" s="83"/>
    </row>
    <row r="1618" spans="1:24" ht="14.4" customHeight="1">
      <c r="A1618" s="608" t="s">
        <v>1037</v>
      </c>
      <c r="B1618" s="608" t="s">
        <v>1259</v>
      </c>
      <c r="C1618" s="608" t="s">
        <v>191</v>
      </c>
      <c r="D1618" s="609">
        <v>4629.1899999999996</v>
      </c>
      <c r="E1618" s="609">
        <v>2598.7600000000002</v>
      </c>
      <c r="F1618" s="609">
        <v>2951.6</v>
      </c>
      <c r="G1618" s="609">
        <v>2332.84</v>
      </c>
      <c r="H1618" s="609">
        <v>9000</v>
      </c>
      <c r="I1618" s="609">
        <v>4708.17</v>
      </c>
      <c r="J1618" s="609">
        <v>3500</v>
      </c>
      <c r="K1618" s="609">
        <v>9000</v>
      </c>
      <c r="L1618" s="609">
        <v>0</v>
      </c>
      <c r="M1618" s="609">
        <v>0</v>
      </c>
      <c r="N1618" s="587">
        <f t="shared" si="183"/>
        <v>9000</v>
      </c>
      <c r="Q1618" t="str">
        <f t="shared" si="184"/>
        <v>53515</v>
      </c>
      <c r="R1618" s="126" t="str">
        <f t="shared" si="180"/>
        <v>TRAVEL, TRAINING &amp; EDUCATION</v>
      </c>
      <c r="S1618" s="125" t="str">
        <f t="shared" si="181"/>
        <v>200</v>
      </c>
      <c r="T1618" s="125" t="str">
        <f t="shared" si="185"/>
        <v>70</v>
      </c>
      <c r="U1618" s="125" t="str">
        <f t="shared" si="186"/>
        <v>701</v>
      </c>
      <c r="V1618" s="125" t="str">
        <f>VLOOKUP(Q1618,'GL Category'!A:C,3,FALSE)</f>
        <v>Services &amp; other</v>
      </c>
      <c r="X1618" s="83"/>
    </row>
    <row r="1619" spans="1:24" ht="14.4" customHeight="1">
      <c r="A1619" s="608" t="s">
        <v>1037</v>
      </c>
      <c r="B1619" s="608" t="s">
        <v>1261</v>
      </c>
      <c r="C1619" s="608" t="s">
        <v>282</v>
      </c>
      <c r="D1619" s="609">
        <v>0</v>
      </c>
      <c r="E1619" s="609">
        <v>0</v>
      </c>
      <c r="F1619" s="609">
        <v>0</v>
      </c>
      <c r="G1619" s="609">
        <v>0</v>
      </c>
      <c r="H1619" s="609">
        <v>0</v>
      </c>
      <c r="I1619" s="609">
        <v>0</v>
      </c>
      <c r="J1619" s="609">
        <v>0</v>
      </c>
      <c r="K1619" s="609">
        <v>0</v>
      </c>
      <c r="L1619" s="609">
        <v>0</v>
      </c>
      <c r="M1619" s="609">
        <v>0</v>
      </c>
      <c r="N1619" s="587">
        <f t="shared" si="183"/>
        <v>0</v>
      </c>
      <c r="Q1619" t="str">
        <f t="shared" si="184"/>
        <v>53526</v>
      </c>
      <c r="R1619" s="126" t="str">
        <f t="shared" si="180"/>
        <v>LABORATORY SERVICES</v>
      </c>
      <c r="S1619" s="125" t="str">
        <f t="shared" si="181"/>
        <v>200</v>
      </c>
      <c r="T1619" s="125" t="str">
        <f t="shared" si="185"/>
        <v>70</v>
      </c>
      <c r="U1619" s="125" t="str">
        <f t="shared" si="186"/>
        <v>701</v>
      </c>
      <c r="V1619" s="125" t="str">
        <f>VLOOKUP(Q1619,'GL Category'!A:C,3,FALSE)</f>
        <v>Services &amp; other</v>
      </c>
      <c r="X1619" s="83"/>
    </row>
    <row r="1620" spans="1:24" ht="14.4" customHeight="1">
      <c r="A1620" s="608" t="s">
        <v>1037</v>
      </c>
      <c r="B1620" s="608" t="s">
        <v>1262</v>
      </c>
      <c r="C1620" s="608" t="s">
        <v>368</v>
      </c>
      <c r="D1620" s="609">
        <v>0</v>
      </c>
      <c r="E1620" s="609">
        <v>0</v>
      </c>
      <c r="F1620" s="609">
        <v>0</v>
      </c>
      <c r="G1620" s="609">
        <v>0</v>
      </c>
      <c r="H1620" s="609">
        <v>0</v>
      </c>
      <c r="I1620" s="609">
        <v>0</v>
      </c>
      <c r="J1620" s="609">
        <v>0</v>
      </c>
      <c r="K1620" s="609">
        <v>0</v>
      </c>
      <c r="L1620" s="609">
        <v>0</v>
      </c>
      <c r="M1620" s="609">
        <v>0</v>
      </c>
      <c r="N1620" s="587">
        <f t="shared" si="183"/>
        <v>0</v>
      </c>
      <c r="Q1620" t="str">
        <f t="shared" si="184"/>
        <v>53532</v>
      </c>
      <c r="R1620" s="126" t="str">
        <f t="shared" si="180"/>
        <v>INDUSTRIAL SAMPLING SURCHARGES</v>
      </c>
      <c r="S1620" s="125" t="str">
        <f t="shared" si="181"/>
        <v>200</v>
      </c>
      <c r="T1620" s="125" t="str">
        <f t="shared" si="185"/>
        <v>70</v>
      </c>
      <c r="U1620" s="125" t="str">
        <f t="shared" si="186"/>
        <v>701</v>
      </c>
      <c r="V1620" s="125" t="str">
        <f>VLOOKUP(Q1620,'GL Category'!A:C,3,FALSE)</f>
        <v>Services &amp; other</v>
      </c>
      <c r="X1620" s="83"/>
    </row>
    <row r="1621" spans="1:24" ht="14.4" customHeight="1">
      <c r="A1621" s="608" t="s">
        <v>1037</v>
      </c>
      <c r="B1621" s="608" t="s">
        <v>1263</v>
      </c>
      <c r="C1621" s="608" t="s">
        <v>203</v>
      </c>
      <c r="D1621" s="609">
        <v>570</v>
      </c>
      <c r="E1621" s="609">
        <v>0</v>
      </c>
      <c r="F1621" s="609">
        <v>0</v>
      </c>
      <c r="G1621" s="609">
        <v>0</v>
      </c>
      <c r="H1621" s="609">
        <v>0</v>
      </c>
      <c r="I1621" s="609">
        <v>0</v>
      </c>
      <c r="J1621" s="609">
        <v>0</v>
      </c>
      <c r="K1621" s="609">
        <v>0</v>
      </c>
      <c r="L1621" s="609">
        <v>0</v>
      </c>
      <c r="M1621" s="609">
        <v>0</v>
      </c>
      <c r="N1621" s="587">
        <f t="shared" si="183"/>
        <v>0</v>
      </c>
      <c r="Q1621" t="str">
        <f t="shared" si="184"/>
        <v>53540</v>
      </c>
      <c r="R1621" s="126" t="str">
        <f t="shared" si="180"/>
        <v>PRINTING &amp; BINDING SERVICES</v>
      </c>
      <c r="S1621" s="125" t="str">
        <f t="shared" si="181"/>
        <v>200</v>
      </c>
      <c r="T1621" s="125" t="str">
        <f t="shared" si="185"/>
        <v>70</v>
      </c>
      <c r="U1621" s="125" t="str">
        <f t="shared" si="186"/>
        <v>701</v>
      </c>
      <c r="V1621" s="125" t="str">
        <f>VLOOKUP(Q1621,'GL Category'!A:C,3,FALSE)</f>
        <v>Services &amp; other</v>
      </c>
      <c r="X1621" s="83"/>
    </row>
    <row r="1622" spans="1:24" ht="14.4" customHeight="1">
      <c r="A1622" s="608" t="s">
        <v>1037</v>
      </c>
      <c r="B1622" s="608" t="s">
        <v>1264</v>
      </c>
      <c r="C1622" s="608" t="s">
        <v>305</v>
      </c>
      <c r="D1622" s="609">
        <v>8528</v>
      </c>
      <c r="E1622" s="609">
        <v>44636.32</v>
      </c>
      <c r="F1622" s="609">
        <v>109342.75</v>
      </c>
      <c r="G1622" s="609">
        <v>34331.67</v>
      </c>
      <c r="H1622" s="609">
        <v>88500</v>
      </c>
      <c r="I1622" s="609">
        <v>50537.26</v>
      </c>
      <c r="J1622" s="609">
        <v>90000</v>
      </c>
      <c r="K1622" s="609">
        <v>20000</v>
      </c>
      <c r="L1622" s="609">
        <v>0</v>
      </c>
      <c r="M1622" s="609">
        <v>0</v>
      </c>
      <c r="N1622" s="587">
        <f t="shared" si="183"/>
        <v>20000</v>
      </c>
      <c r="P1622" s="490">
        <f t="shared" ref="P1622:P1629" si="187">N1622-H1622</f>
        <v>-68500</v>
      </c>
      <c r="Q1622" t="str">
        <f t="shared" si="184"/>
        <v>53543</v>
      </c>
      <c r="R1622" s="126" t="str">
        <f t="shared" si="180"/>
        <v>ENGINEERING/DESIGN SERVICES</v>
      </c>
      <c r="S1622" s="125" t="str">
        <f t="shared" si="181"/>
        <v>200</v>
      </c>
      <c r="T1622" s="125" t="str">
        <f t="shared" si="185"/>
        <v>70</v>
      </c>
      <c r="U1622" s="125" t="str">
        <f t="shared" si="186"/>
        <v>701</v>
      </c>
      <c r="V1622" s="125" t="str">
        <f>VLOOKUP(Q1622,'GL Category'!A:C,3,FALSE)</f>
        <v>Services &amp; other</v>
      </c>
      <c r="X1622" s="83"/>
    </row>
    <row r="1623" spans="1:24" ht="14.4" customHeight="1">
      <c r="A1623" s="608" t="s">
        <v>1037</v>
      </c>
      <c r="B1623" s="608" t="s">
        <v>1257</v>
      </c>
      <c r="C1623" s="608" t="s">
        <v>238</v>
      </c>
      <c r="D1623" s="609">
        <v>32218.400000000001</v>
      </c>
      <c r="E1623" s="609">
        <v>9893.8700000000008</v>
      </c>
      <c r="F1623" s="609">
        <v>19867.509999999998</v>
      </c>
      <c r="G1623" s="609">
        <v>31477.13</v>
      </c>
      <c r="H1623" s="609">
        <v>243000</v>
      </c>
      <c r="I1623" s="609">
        <v>48009.599999999999</v>
      </c>
      <c r="J1623" s="609">
        <v>243000</v>
      </c>
      <c r="K1623" s="609">
        <v>18000</v>
      </c>
      <c r="L1623" s="609">
        <v>0</v>
      </c>
      <c r="M1623" s="609">
        <v>0</v>
      </c>
      <c r="N1623" s="587">
        <f t="shared" si="183"/>
        <v>18000</v>
      </c>
      <c r="P1623" s="490">
        <f t="shared" si="187"/>
        <v>-225000</v>
      </c>
      <c r="Q1623" t="str">
        <f t="shared" si="184"/>
        <v>53599</v>
      </c>
      <c r="R1623" s="126" t="str">
        <f t="shared" si="180"/>
        <v>MISCELLANEOUS SERVICES</v>
      </c>
      <c r="S1623" s="125" t="str">
        <f t="shared" si="181"/>
        <v>200</v>
      </c>
      <c r="T1623" s="125" t="str">
        <f t="shared" si="185"/>
        <v>70</v>
      </c>
      <c r="U1623" s="125" t="str">
        <f t="shared" si="186"/>
        <v>701</v>
      </c>
      <c r="V1623" s="125" t="str">
        <f>VLOOKUP(Q1623,'GL Category'!A:C,3,FALSE)</f>
        <v>Services &amp; other</v>
      </c>
      <c r="X1623" s="83"/>
    </row>
    <row r="1624" spans="1:24" ht="14.4" customHeight="1">
      <c r="A1624" s="608" t="s">
        <v>1037</v>
      </c>
      <c r="B1624" s="608" t="s">
        <v>1266</v>
      </c>
      <c r="C1624" s="608" t="s">
        <v>221</v>
      </c>
      <c r="D1624" s="609">
        <v>92880</v>
      </c>
      <c r="E1624" s="609">
        <v>85160</v>
      </c>
      <c r="F1624" s="609">
        <v>105000</v>
      </c>
      <c r="G1624" s="609">
        <v>106448</v>
      </c>
      <c r="H1624" s="609">
        <v>122530</v>
      </c>
      <c r="I1624" s="609">
        <v>91897.5</v>
      </c>
      <c r="J1624" s="609">
        <v>122530</v>
      </c>
      <c r="K1624" s="609">
        <v>134015</v>
      </c>
      <c r="L1624" s="609">
        <v>0</v>
      </c>
      <c r="M1624" s="609">
        <v>450000</v>
      </c>
      <c r="N1624" s="587">
        <f t="shared" si="183"/>
        <v>584015</v>
      </c>
      <c r="P1624" s="490">
        <f t="shared" si="187"/>
        <v>461485</v>
      </c>
      <c r="Q1624" t="str">
        <f t="shared" si="184"/>
        <v>55119</v>
      </c>
      <c r="R1624" s="126" t="str">
        <f t="shared" si="180"/>
        <v>OFFICE EQUIP LEASE EXP-CITY</v>
      </c>
      <c r="S1624" s="125" t="str">
        <f t="shared" si="181"/>
        <v>200</v>
      </c>
      <c r="T1624" s="125" t="str">
        <f t="shared" si="185"/>
        <v>70</v>
      </c>
      <c r="U1624" s="125" t="str">
        <f t="shared" si="186"/>
        <v>701</v>
      </c>
      <c r="V1624" s="125" t="str">
        <f>VLOOKUP(Q1624,'GL Category'!A:C,3,FALSE)</f>
        <v>Services &amp; other</v>
      </c>
      <c r="X1624" s="83"/>
    </row>
    <row r="1625" spans="1:24" ht="14.4" customHeight="1">
      <c r="A1625" s="608" t="s">
        <v>1037</v>
      </c>
      <c r="B1625" s="608" t="s">
        <v>1265</v>
      </c>
      <c r="C1625" s="608" t="s">
        <v>220</v>
      </c>
      <c r="D1625" s="609">
        <v>18824</v>
      </c>
      <c r="E1625" s="609">
        <v>17794</v>
      </c>
      <c r="F1625" s="609">
        <v>23798</v>
      </c>
      <c r="G1625" s="609">
        <v>29816</v>
      </c>
      <c r="H1625" s="609">
        <v>32233</v>
      </c>
      <c r="I1625" s="609">
        <v>24174.75</v>
      </c>
      <c r="J1625" s="609">
        <v>32233</v>
      </c>
      <c r="K1625" s="609">
        <v>28318</v>
      </c>
      <c r="L1625" s="609">
        <v>0</v>
      </c>
      <c r="M1625" s="609">
        <v>0</v>
      </c>
      <c r="N1625" s="587">
        <f t="shared" si="183"/>
        <v>28318</v>
      </c>
      <c r="P1625" s="490">
        <f t="shared" si="187"/>
        <v>-3915</v>
      </c>
      <c r="Q1625" t="str">
        <f t="shared" si="184"/>
        <v>55175</v>
      </c>
      <c r="R1625" s="126" t="str">
        <f t="shared" si="180"/>
        <v>VEHICLE/EQUIP LEASE EXP-CITY</v>
      </c>
      <c r="S1625" s="125" t="str">
        <f t="shared" si="181"/>
        <v>200</v>
      </c>
      <c r="T1625" s="125" t="str">
        <f t="shared" si="185"/>
        <v>70</v>
      </c>
      <c r="U1625" s="125" t="str">
        <f t="shared" si="186"/>
        <v>701</v>
      </c>
      <c r="V1625" s="125" t="str">
        <f>VLOOKUP(Q1625,'GL Category'!A:C,3,FALSE)</f>
        <v>Services &amp; other</v>
      </c>
      <c r="X1625" s="83"/>
    </row>
    <row r="1626" spans="1:24" ht="14.4" customHeight="1">
      <c r="A1626" s="608" t="s">
        <v>1037</v>
      </c>
      <c r="B1626" s="608" t="s">
        <v>1267</v>
      </c>
      <c r="C1626" s="608" t="s">
        <v>130</v>
      </c>
      <c r="D1626" s="609">
        <v>146238.06</v>
      </c>
      <c r="E1626" s="609">
        <v>179955.98</v>
      </c>
      <c r="F1626" s="609">
        <v>209762.88</v>
      </c>
      <c r="G1626" s="609">
        <v>217288.98</v>
      </c>
      <c r="H1626" s="609">
        <v>225455</v>
      </c>
      <c r="I1626" s="609">
        <v>177542.9</v>
      </c>
      <c r="J1626" s="609">
        <v>242051</v>
      </c>
      <c r="K1626" s="609">
        <v>234621</v>
      </c>
      <c r="L1626" s="609">
        <v>0</v>
      </c>
      <c r="M1626" s="609">
        <v>0</v>
      </c>
      <c r="N1626" s="587">
        <f t="shared" si="183"/>
        <v>234621</v>
      </c>
      <c r="P1626" s="490">
        <f t="shared" si="187"/>
        <v>9166</v>
      </c>
      <c r="Q1626" t="str">
        <f t="shared" si="184"/>
        <v>50101</v>
      </c>
      <c r="R1626" s="126" t="str">
        <f t="shared" si="180"/>
        <v>EXEMPT SALARIES</v>
      </c>
      <c r="S1626" s="125" t="str">
        <f t="shared" si="181"/>
        <v>200</v>
      </c>
      <c r="T1626" s="125" t="str">
        <f t="shared" si="185"/>
        <v>71</v>
      </c>
      <c r="U1626" s="125" t="str">
        <f t="shared" si="186"/>
        <v>711</v>
      </c>
      <c r="V1626" s="125" t="str">
        <f>VLOOKUP(Q1626,'GL Category'!A:C,3,FALSE)</f>
        <v>Personnel services</v>
      </c>
      <c r="X1626" s="83"/>
    </row>
    <row r="1627" spans="1:24" ht="14.4" customHeight="1">
      <c r="A1627" s="608" t="s">
        <v>1037</v>
      </c>
      <c r="B1627" s="608" t="s">
        <v>1268</v>
      </c>
      <c r="C1627" s="608" t="s">
        <v>132</v>
      </c>
      <c r="D1627" s="609">
        <v>205818.23</v>
      </c>
      <c r="E1627" s="609">
        <v>176162.83</v>
      </c>
      <c r="F1627" s="609">
        <v>118208.08</v>
      </c>
      <c r="G1627" s="609">
        <v>115313.33</v>
      </c>
      <c r="H1627" s="609">
        <v>121011</v>
      </c>
      <c r="I1627" s="609">
        <v>92799.78</v>
      </c>
      <c r="J1627" s="609">
        <v>121796</v>
      </c>
      <c r="K1627" s="609">
        <v>126966</v>
      </c>
      <c r="L1627" s="609">
        <v>0</v>
      </c>
      <c r="M1627" s="609">
        <v>0</v>
      </c>
      <c r="N1627" s="587">
        <f t="shared" si="183"/>
        <v>126966</v>
      </c>
      <c r="P1627" s="490">
        <f t="shared" si="187"/>
        <v>5955</v>
      </c>
      <c r="Q1627" t="str">
        <f t="shared" si="184"/>
        <v>50102</v>
      </c>
      <c r="R1627" s="126" t="str">
        <f t="shared" si="180"/>
        <v>NON EXEMPT SALARIES</v>
      </c>
      <c r="S1627" s="125" t="str">
        <f t="shared" si="181"/>
        <v>200</v>
      </c>
      <c r="T1627" s="125" t="str">
        <f t="shared" si="185"/>
        <v>71</v>
      </c>
      <c r="U1627" s="125" t="str">
        <f t="shared" si="186"/>
        <v>711</v>
      </c>
      <c r="V1627" s="125" t="str">
        <f>VLOOKUP(Q1627,'GL Category'!A:C,3,FALSE)</f>
        <v>Personnel services</v>
      </c>
      <c r="X1627" s="83"/>
    </row>
    <row r="1628" spans="1:24" ht="14.4" customHeight="1">
      <c r="A1628" s="608" t="s">
        <v>1037</v>
      </c>
      <c r="B1628" s="608" t="s">
        <v>1269</v>
      </c>
      <c r="C1628" s="608" t="s">
        <v>0</v>
      </c>
      <c r="D1628" s="609">
        <v>63.72</v>
      </c>
      <c r="E1628" s="609">
        <v>379.24</v>
      </c>
      <c r="F1628" s="609">
        <v>367.47</v>
      </c>
      <c r="G1628" s="609">
        <v>0</v>
      </c>
      <c r="H1628" s="609">
        <v>1000</v>
      </c>
      <c r="I1628" s="609">
        <v>29.16</v>
      </c>
      <c r="J1628" s="609">
        <v>45</v>
      </c>
      <c r="K1628" s="609">
        <v>1000</v>
      </c>
      <c r="L1628" s="609">
        <v>0</v>
      </c>
      <c r="M1628" s="609">
        <v>0</v>
      </c>
      <c r="N1628" s="587">
        <f t="shared" si="183"/>
        <v>1000</v>
      </c>
      <c r="P1628" s="490">
        <f t="shared" si="187"/>
        <v>0</v>
      </c>
      <c r="Q1628" t="str">
        <f t="shared" si="184"/>
        <v>50109</v>
      </c>
      <c r="R1628" s="126" t="str">
        <f t="shared" si="180"/>
        <v>OVERTIME</v>
      </c>
      <c r="S1628" s="125" t="str">
        <f t="shared" si="181"/>
        <v>200</v>
      </c>
      <c r="T1628" s="125" t="str">
        <f t="shared" si="185"/>
        <v>71</v>
      </c>
      <c r="U1628" s="125" t="str">
        <f t="shared" si="186"/>
        <v>711</v>
      </c>
      <c r="V1628" s="125" t="str">
        <f>VLOOKUP(Q1628,'GL Category'!A:C,3,FALSE)</f>
        <v>Personnel services</v>
      </c>
      <c r="X1628" s="83"/>
    </row>
    <row r="1629" spans="1:24" ht="14.4" customHeight="1">
      <c r="A1629" s="608" t="s">
        <v>1037</v>
      </c>
      <c r="B1629" s="608" t="s">
        <v>1270</v>
      </c>
      <c r="C1629" s="608" t="s">
        <v>137</v>
      </c>
      <c r="D1629" s="609">
        <v>3335</v>
      </c>
      <c r="E1629" s="609">
        <v>3635</v>
      </c>
      <c r="F1629" s="609">
        <v>4670</v>
      </c>
      <c r="G1629" s="609">
        <v>2260</v>
      </c>
      <c r="H1629" s="609">
        <v>2622</v>
      </c>
      <c r="I1629" s="609">
        <v>2610</v>
      </c>
      <c r="J1629" s="609">
        <v>2610</v>
      </c>
      <c r="K1629" s="609">
        <v>2927</v>
      </c>
      <c r="L1629" s="609">
        <v>0</v>
      </c>
      <c r="M1629" s="609">
        <v>0</v>
      </c>
      <c r="N1629" s="587">
        <f t="shared" si="183"/>
        <v>2927</v>
      </c>
      <c r="P1629" s="490">
        <f t="shared" si="187"/>
        <v>305</v>
      </c>
      <c r="Q1629" t="str">
        <f t="shared" si="184"/>
        <v>50111</v>
      </c>
      <c r="R1629" s="126" t="str">
        <f t="shared" si="180"/>
        <v>LONGEVITY PAY</v>
      </c>
      <c r="S1629" s="125" t="str">
        <f t="shared" si="181"/>
        <v>200</v>
      </c>
      <c r="T1629" s="125" t="str">
        <f t="shared" si="185"/>
        <v>71</v>
      </c>
      <c r="U1629" s="125" t="str">
        <f t="shared" si="186"/>
        <v>711</v>
      </c>
      <c r="V1629" s="125" t="str">
        <f>VLOOKUP(Q1629,'GL Category'!A:C,3,FALSE)</f>
        <v>Personnel services</v>
      </c>
      <c r="X1629" s="83"/>
    </row>
    <row r="1630" spans="1:24" ht="14.4" customHeight="1">
      <c r="A1630" s="608" t="s">
        <v>1037</v>
      </c>
      <c r="B1630" s="608" t="s">
        <v>1271</v>
      </c>
      <c r="C1630" s="608" t="s">
        <v>1</v>
      </c>
      <c r="D1630" s="609">
        <v>25447.24</v>
      </c>
      <c r="E1630" s="609">
        <v>25866.05</v>
      </c>
      <c r="F1630" s="609">
        <v>24163.64</v>
      </c>
      <c r="G1630" s="609">
        <v>24753.77</v>
      </c>
      <c r="H1630" s="609">
        <v>26810</v>
      </c>
      <c r="I1630" s="609">
        <v>20159.89</v>
      </c>
      <c r="J1630" s="609">
        <v>27446</v>
      </c>
      <c r="K1630" s="609">
        <v>28000</v>
      </c>
      <c r="L1630" s="609">
        <v>0</v>
      </c>
      <c r="M1630" s="609">
        <v>0</v>
      </c>
      <c r="N1630" s="587">
        <f t="shared" si="183"/>
        <v>28000</v>
      </c>
      <c r="Q1630" t="str">
        <f t="shared" si="184"/>
        <v>50610</v>
      </c>
      <c r="R1630" s="126" t="str">
        <f t="shared" si="180"/>
        <v>SOCIAL SECURITY</v>
      </c>
      <c r="S1630" s="125" t="str">
        <f t="shared" si="181"/>
        <v>200</v>
      </c>
      <c r="T1630" s="125" t="str">
        <f t="shared" si="185"/>
        <v>71</v>
      </c>
      <c r="U1630" s="125" t="str">
        <f t="shared" si="186"/>
        <v>711</v>
      </c>
      <c r="V1630" s="125" t="str">
        <f>VLOOKUP(Q1630,'GL Category'!A:C,3,FALSE)</f>
        <v>Personnel services</v>
      </c>
      <c r="X1630" s="83"/>
    </row>
    <row r="1631" spans="1:24" ht="14.4" customHeight="1">
      <c r="A1631" s="608" t="s">
        <v>1037</v>
      </c>
      <c r="B1631" s="608" t="s">
        <v>1272</v>
      </c>
      <c r="C1631" s="608" t="s">
        <v>142</v>
      </c>
      <c r="D1631" s="609">
        <v>88206.59</v>
      </c>
      <c r="E1631" s="609">
        <v>90414.77</v>
      </c>
      <c r="F1631" s="609">
        <v>84684.37</v>
      </c>
      <c r="G1631" s="609">
        <v>71828.2</v>
      </c>
      <c r="H1631" s="609">
        <v>69849</v>
      </c>
      <c r="I1631" s="609">
        <v>52333.06</v>
      </c>
      <c r="J1631" s="609">
        <v>68438</v>
      </c>
      <c r="K1631" s="609">
        <v>59917</v>
      </c>
      <c r="L1631" s="609">
        <v>0</v>
      </c>
      <c r="M1631" s="609">
        <v>0</v>
      </c>
      <c r="N1631" s="587">
        <f t="shared" si="183"/>
        <v>59917</v>
      </c>
      <c r="Q1631" t="str">
        <f t="shared" si="184"/>
        <v>50620</v>
      </c>
      <c r="R1631" s="126" t="str">
        <f t="shared" si="180"/>
        <v>HEALTH/LIFE INSURANCE</v>
      </c>
      <c r="S1631" s="125" t="str">
        <f t="shared" si="181"/>
        <v>200</v>
      </c>
      <c r="T1631" s="125" t="str">
        <f t="shared" si="185"/>
        <v>71</v>
      </c>
      <c r="U1631" s="125" t="str">
        <f t="shared" si="186"/>
        <v>711</v>
      </c>
      <c r="V1631" s="125" t="str">
        <f>VLOOKUP(Q1631,'GL Category'!A:C,3,FALSE)</f>
        <v>Personnel services</v>
      </c>
      <c r="X1631" s="83"/>
    </row>
    <row r="1632" spans="1:24" ht="14.4" customHeight="1">
      <c r="A1632" s="608" t="s">
        <v>1037</v>
      </c>
      <c r="B1632" s="608" t="s">
        <v>1273</v>
      </c>
      <c r="C1632" s="608" t="s">
        <v>144</v>
      </c>
      <c r="D1632" s="609">
        <v>233.63</v>
      </c>
      <c r="E1632" s="609">
        <v>219.38</v>
      </c>
      <c r="F1632" s="609">
        <v>248.28</v>
      </c>
      <c r="G1632" s="609">
        <v>378.22</v>
      </c>
      <c r="H1632" s="609">
        <v>500</v>
      </c>
      <c r="I1632" s="609">
        <v>499.6</v>
      </c>
      <c r="J1632" s="609">
        <v>500</v>
      </c>
      <c r="K1632" s="609">
        <v>504</v>
      </c>
      <c r="L1632" s="609">
        <v>0</v>
      </c>
      <c r="M1632" s="609">
        <v>0</v>
      </c>
      <c r="N1632" s="587">
        <f t="shared" si="183"/>
        <v>504</v>
      </c>
      <c r="Q1632" t="str">
        <f t="shared" si="184"/>
        <v>50630</v>
      </c>
      <c r="R1632" s="126" t="str">
        <f t="shared" si="180"/>
        <v>WORKER COMPENSATION</v>
      </c>
      <c r="S1632" s="125" t="str">
        <f t="shared" si="181"/>
        <v>200</v>
      </c>
      <c r="T1632" s="125" t="str">
        <f t="shared" si="185"/>
        <v>71</v>
      </c>
      <c r="U1632" s="125" t="str">
        <f t="shared" si="186"/>
        <v>711</v>
      </c>
      <c r="V1632" s="125" t="str">
        <f>VLOOKUP(Q1632,'GL Category'!A:C,3,FALSE)</f>
        <v>Personnel services</v>
      </c>
      <c r="X1632" s="83"/>
    </row>
    <row r="1633" spans="1:24" ht="14.4" customHeight="1">
      <c r="A1633" s="608" t="s">
        <v>1037</v>
      </c>
      <c r="B1633" s="608" t="s">
        <v>1274</v>
      </c>
      <c r="C1633" s="608" t="s">
        <v>2</v>
      </c>
      <c r="D1633" s="609">
        <v>56461.1</v>
      </c>
      <c r="E1633" s="609">
        <v>58210.25</v>
      </c>
      <c r="F1633" s="609">
        <v>53918.85</v>
      </c>
      <c r="G1633" s="609">
        <v>54165.83</v>
      </c>
      <c r="H1633" s="609">
        <v>57904</v>
      </c>
      <c r="I1633" s="609">
        <v>45118.7</v>
      </c>
      <c r="J1633" s="609">
        <v>60763</v>
      </c>
      <c r="K1633" s="609">
        <v>61918</v>
      </c>
      <c r="L1633" s="609">
        <v>0</v>
      </c>
      <c r="M1633" s="609">
        <v>0</v>
      </c>
      <c r="N1633" s="587">
        <f t="shared" si="183"/>
        <v>61918</v>
      </c>
      <c r="Q1633" t="str">
        <f t="shared" si="184"/>
        <v>50650</v>
      </c>
      <c r="R1633" s="126" t="str">
        <f t="shared" si="180"/>
        <v>RETIREMENT</v>
      </c>
      <c r="S1633" s="125" t="str">
        <f t="shared" si="181"/>
        <v>200</v>
      </c>
      <c r="T1633" s="125" t="str">
        <f t="shared" si="185"/>
        <v>71</v>
      </c>
      <c r="U1633" s="125" t="str">
        <f t="shared" si="186"/>
        <v>711</v>
      </c>
      <c r="V1633" s="125" t="str">
        <f>VLOOKUP(Q1633,'GL Category'!A:C,3,FALSE)</f>
        <v>Personnel services</v>
      </c>
      <c r="X1633" s="83"/>
    </row>
    <row r="1634" spans="1:24" ht="14.4" customHeight="1">
      <c r="A1634" s="608" t="s">
        <v>1037</v>
      </c>
      <c r="B1634" s="608" t="s">
        <v>1275</v>
      </c>
      <c r="C1634" s="608" t="s">
        <v>149</v>
      </c>
      <c r="D1634" s="609">
        <v>1690.07</v>
      </c>
      <c r="E1634" s="609">
        <v>10005.4</v>
      </c>
      <c r="F1634" s="609">
        <v>1200.3699999999999</v>
      </c>
      <c r="G1634" s="609">
        <v>726.76</v>
      </c>
      <c r="H1634" s="609">
        <v>1000</v>
      </c>
      <c r="I1634" s="609">
        <v>591.54</v>
      </c>
      <c r="J1634" s="609">
        <v>1000</v>
      </c>
      <c r="K1634" s="609">
        <v>1000</v>
      </c>
      <c r="L1634" s="609">
        <v>0</v>
      </c>
      <c r="M1634" s="609">
        <v>0</v>
      </c>
      <c r="N1634" s="587">
        <f t="shared" si="183"/>
        <v>1000</v>
      </c>
      <c r="Q1634" t="str">
        <f t="shared" si="184"/>
        <v>51210</v>
      </c>
      <c r="R1634" s="126" t="str">
        <f t="shared" si="180"/>
        <v>OFFICE SUPPLIES</v>
      </c>
      <c r="S1634" s="125" t="str">
        <f t="shared" si="181"/>
        <v>200</v>
      </c>
      <c r="T1634" s="125" t="str">
        <f t="shared" si="185"/>
        <v>71</v>
      </c>
      <c r="U1634" s="125" t="str">
        <f t="shared" si="186"/>
        <v>711</v>
      </c>
      <c r="V1634" s="125" t="str">
        <f>VLOOKUP(Q1634,'GL Category'!A:C,3,FALSE)</f>
        <v>Operations &amp; maintenance</v>
      </c>
      <c r="X1634" s="83"/>
    </row>
    <row r="1635" spans="1:24" ht="14.4" customHeight="1">
      <c r="A1635" s="608" t="s">
        <v>1037</v>
      </c>
      <c r="B1635" s="608" t="s">
        <v>1275</v>
      </c>
      <c r="C1635" s="608" t="s">
        <v>149</v>
      </c>
      <c r="D1635" s="609">
        <v>0</v>
      </c>
      <c r="E1635" s="609">
        <v>0</v>
      </c>
      <c r="F1635" s="609">
        <v>0</v>
      </c>
      <c r="G1635" s="609">
        <v>0</v>
      </c>
      <c r="H1635" s="609">
        <v>0</v>
      </c>
      <c r="I1635" s="609">
        <v>0</v>
      </c>
      <c r="J1635" s="609">
        <v>0</v>
      </c>
      <c r="K1635" s="609">
        <v>0</v>
      </c>
      <c r="L1635" s="609">
        <v>0</v>
      </c>
      <c r="M1635" s="609">
        <v>0</v>
      </c>
      <c r="N1635" s="587">
        <f t="shared" si="183"/>
        <v>0</v>
      </c>
      <c r="Q1635" t="str">
        <f t="shared" si="184"/>
        <v>51210</v>
      </c>
      <c r="R1635" s="126" t="str">
        <f t="shared" si="180"/>
        <v>OFFICE SUPPLIES</v>
      </c>
      <c r="S1635" s="125" t="str">
        <f t="shared" si="181"/>
        <v>200</v>
      </c>
      <c r="T1635" s="125" t="str">
        <f t="shared" si="185"/>
        <v>71</v>
      </c>
      <c r="U1635" s="125" t="str">
        <f t="shared" si="186"/>
        <v>711</v>
      </c>
      <c r="V1635" s="125" t="str">
        <f>VLOOKUP(Q1635,'GL Category'!A:C,3,FALSE)</f>
        <v>Operations &amp; maintenance</v>
      </c>
      <c r="X1635" s="83"/>
    </row>
    <row r="1636" spans="1:24" ht="14.4" customHeight="1">
      <c r="A1636" s="608" t="s">
        <v>1037</v>
      </c>
      <c r="B1636" s="608" t="s">
        <v>1276</v>
      </c>
      <c r="C1636" s="608" t="s">
        <v>151</v>
      </c>
      <c r="D1636" s="609">
        <v>65564.84</v>
      </c>
      <c r="E1636" s="609">
        <v>65824.11</v>
      </c>
      <c r="F1636" s="609">
        <v>68314.53</v>
      </c>
      <c r="G1636" s="609">
        <v>71120.31</v>
      </c>
      <c r="H1636" s="609">
        <v>71810</v>
      </c>
      <c r="I1636" s="609">
        <v>49663.519999999997</v>
      </c>
      <c r="J1636" s="609">
        <v>71810</v>
      </c>
      <c r="K1636" s="609">
        <v>71810</v>
      </c>
      <c r="L1636" s="609">
        <v>0</v>
      </c>
      <c r="M1636" s="609">
        <v>0</v>
      </c>
      <c r="N1636" s="587">
        <f t="shared" si="183"/>
        <v>71810</v>
      </c>
      <c r="Q1636" t="str">
        <f t="shared" si="184"/>
        <v>51220</v>
      </c>
      <c r="R1636" s="126" t="str">
        <f t="shared" ref="R1636:R1699" si="188">C1636</f>
        <v>POSTAGE SUPPLIES</v>
      </c>
      <c r="S1636" s="125" t="str">
        <f t="shared" ref="S1636:S1699" si="189">LEFT(B1636,3)</f>
        <v>200</v>
      </c>
      <c r="T1636" s="125" t="str">
        <f t="shared" si="185"/>
        <v>71</v>
      </c>
      <c r="U1636" s="125" t="str">
        <f t="shared" si="186"/>
        <v>711</v>
      </c>
      <c r="V1636" s="125" t="str">
        <f>VLOOKUP(Q1636,'GL Category'!A:C,3,FALSE)</f>
        <v>Operations &amp; maintenance</v>
      </c>
      <c r="X1636" s="83"/>
    </row>
    <row r="1637" spans="1:24" ht="14.4" customHeight="1">
      <c r="A1637" s="608" t="s">
        <v>1037</v>
      </c>
      <c r="B1637" s="608" t="s">
        <v>1277</v>
      </c>
      <c r="C1637" s="608" t="s">
        <v>167</v>
      </c>
      <c r="D1637" s="609">
        <v>42.99</v>
      </c>
      <c r="E1637" s="609">
        <v>243.02</v>
      </c>
      <c r="F1637" s="609">
        <v>25.56</v>
      </c>
      <c r="G1637" s="609">
        <v>36.35</v>
      </c>
      <c r="H1637" s="609">
        <v>420</v>
      </c>
      <c r="I1637" s="609">
        <v>175.68</v>
      </c>
      <c r="J1637" s="609">
        <v>420</v>
      </c>
      <c r="K1637" s="609">
        <v>420</v>
      </c>
      <c r="L1637" s="609">
        <v>0</v>
      </c>
      <c r="M1637" s="609">
        <v>0</v>
      </c>
      <c r="N1637" s="587">
        <f t="shared" si="183"/>
        <v>420</v>
      </c>
      <c r="Q1637" t="str">
        <f t="shared" si="184"/>
        <v>51285</v>
      </c>
      <c r="R1637" s="126" t="str">
        <f t="shared" si="188"/>
        <v>WEARING APPAREL</v>
      </c>
      <c r="S1637" s="125" t="str">
        <f t="shared" si="189"/>
        <v>200</v>
      </c>
      <c r="T1637" s="125" t="str">
        <f t="shared" si="185"/>
        <v>71</v>
      </c>
      <c r="U1637" s="125" t="str">
        <f t="shared" si="186"/>
        <v>711</v>
      </c>
      <c r="V1637" s="125" t="str">
        <f>VLOOKUP(Q1637,'GL Category'!A:C,3,FALSE)</f>
        <v>Operations &amp; maintenance</v>
      </c>
      <c r="X1637" s="83"/>
    </row>
    <row r="1638" spans="1:24" ht="14.4" customHeight="1">
      <c r="A1638" s="608" t="s">
        <v>1037</v>
      </c>
      <c r="B1638" s="608" t="s">
        <v>1284</v>
      </c>
      <c r="C1638" s="608" t="s">
        <v>190</v>
      </c>
      <c r="D1638" s="609">
        <v>398</v>
      </c>
      <c r="E1638" s="609">
        <v>313</v>
      </c>
      <c r="F1638" s="609">
        <v>315</v>
      </c>
      <c r="G1638" s="609">
        <v>230</v>
      </c>
      <c r="H1638" s="609">
        <v>405</v>
      </c>
      <c r="I1638" s="609">
        <v>250</v>
      </c>
      <c r="J1638" s="609">
        <v>405</v>
      </c>
      <c r="K1638" s="609">
        <v>405</v>
      </c>
      <c r="L1638" s="609">
        <v>0</v>
      </c>
      <c r="M1638" s="609">
        <v>0</v>
      </c>
      <c r="N1638" s="587">
        <f t="shared" si="183"/>
        <v>405</v>
      </c>
      <c r="Q1638" t="str">
        <f t="shared" si="184"/>
        <v>53510</v>
      </c>
      <c r="R1638" s="126" t="str">
        <f t="shared" si="188"/>
        <v>DUES &amp; SUBSCRIPTIONS</v>
      </c>
      <c r="S1638" s="125" t="str">
        <f t="shared" si="189"/>
        <v>200</v>
      </c>
      <c r="T1638" s="125" t="str">
        <f t="shared" si="185"/>
        <v>71</v>
      </c>
      <c r="U1638" s="125" t="str">
        <f t="shared" si="186"/>
        <v>711</v>
      </c>
      <c r="V1638" s="125" t="str">
        <f>VLOOKUP(Q1638,'GL Category'!A:C,3,FALSE)</f>
        <v>Services &amp; other</v>
      </c>
      <c r="X1638" s="83"/>
    </row>
    <row r="1639" spans="1:24" ht="14.4" customHeight="1">
      <c r="A1639" s="608" t="s">
        <v>1037</v>
      </c>
      <c r="B1639" s="608" t="s">
        <v>1286</v>
      </c>
      <c r="C1639" s="608" t="s">
        <v>193</v>
      </c>
      <c r="D1639" s="609">
        <v>572.75</v>
      </c>
      <c r="E1639" s="609">
        <v>537.5</v>
      </c>
      <c r="F1639" s="609">
        <v>23184.62</v>
      </c>
      <c r="G1639" s="609">
        <v>0</v>
      </c>
      <c r="H1639" s="609">
        <v>0</v>
      </c>
      <c r="I1639" s="609">
        <v>0</v>
      </c>
      <c r="J1639" s="609">
        <v>0</v>
      </c>
      <c r="K1639" s="609">
        <v>0</v>
      </c>
      <c r="L1639" s="609">
        <v>0</v>
      </c>
      <c r="M1639" s="609">
        <v>0</v>
      </c>
      <c r="N1639" s="587">
        <f t="shared" si="183"/>
        <v>0</v>
      </c>
      <c r="Q1639" t="str">
        <f t="shared" si="184"/>
        <v>53513</v>
      </c>
      <c r="R1639" s="126" t="str">
        <f t="shared" si="188"/>
        <v>CONSULTING SERVICES</v>
      </c>
      <c r="S1639" s="125" t="str">
        <f t="shared" si="189"/>
        <v>200</v>
      </c>
      <c r="T1639" s="125" t="str">
        <f t="shared" si="185"/>
        <v>71</v>
      </c>
      <c r="U1639" s="125" t="str">
        <f t="shared" si="186"/>
        <v>711</v>
      </c>
      <c r="V1639" s="125" t="str">
        <f>VLOOKUP(Q1639,'GL Category'!A:C,3,FALSE)</f>
        <v>Services &amp; other</v>
      </c>
      <c r="X1639" s="83"/>
    </row>
    <row r="1640" spans="1:24" ht="14.4" customHeight="1">
      <c r="A1640" s="608" t="s">
        <v>1037</v>
      </c>
      <c r="B1640" s="608" t="s">
        <v>1285</v>
      </c>
      <c r="C1640" s="608" t="s">
        <v>191</v>
      </c>
      <c r="D1640" s="609">
        <v>2147.89</v>
      </c>
      <c r="E1640" s="609">
        <v>1759.25</v>
      </c>
      <c r="F1640" s="609">
        <v>4071.83</v>
      </c>
      <c r="G1640" s="609">
        <v>5358.08</v>
      </c>
      <c r="H1640" s="609">
        <v>2850</v>
      </c>
      <c r="I1640" s="609">
        <v>2701.43</v>
      </c>
      <c r="J1640" s="609">
        <v>2850</v>
      </c>
      <c r="K1640" s="609">
        <v>2850</v>
      </c>
      <c r="L1640" s="609">
        <v>0</v>
      </c>
      <c r="M1640" s="609">
        <v>0</v>
      </c>
      <c r="N1640" s="587">
        <f t="shared" si="183"/>
        <v>2850</v>
      </c>
      <c r="Q1640" t="str">
        <f t="shared" si="184"/>
        <v>53515</v>
      </c>
      <c r="R1640" s="126" t="str">
        <f t="shared" si="188"/>
        <v>TRAVEL, TRAINING &amp; EDUCATION</v>
      </c>
      <c r="S1640" s="125" t="str">
        <f t="shared" si="189"/>
        <v>200</v>
      </c>
      <c r="T1640" s="125" t="str">
        <f t="shared" si="185"/>
        <v>71</v>
      </c>
      <c r="U1640" s="125" t="str">
        <f t="shared" si="186"/>
        <v>711</v>
      </c>
      <c r="V1640" s="125" t="str">
        <f>VLOOKUP(Q1640,'GL Category'!A:C,3,FALSE)</f>
        <v>Services &amp; other</v>
      </c>
      <c r="X1640" s="83"/>
    </row>
    <row r="1641" spans="1:24" ht="14.4" customHeight="1">
      <c r="A1641" s="608" t="s">
        <v>1037</v>
      </c>
      <c r="B1641" s="608" t="s">
        <v>1287</v>
      </c>
      <c r="C1641" s="608" t="s">
        <v>6</v>
      </c>
      <c r="D1641" s="609">
        <v>908</v>
      </c>
      <c r="E1641" s="609">
        <v>908</v>
      </c>
      <c r="F1641" s="609">
        <v>908</v>
      </c>
      <c r="G1641" s="609">
        <v>908</v>
      </c>
      <c r="H1641" s="609">
        <v>1000</v>
      </c>
      <c r="I1641" s="609">
        <v>771.48</v>
      </c>
      <c r="J1641" s="609">
        <v>1000</v>
      </c>
      <c r="K1641" s="609">
        <v>1000</v>
      </c>
      <c r="L1641" s="609">
        <v>0</v>
      </c>
      <c r="M1641" s="609">
        <v>0</v>
      </c>
      <c r="N1641" s="587">
        <f t="shared" si="183"/>
        <v>1000</v>
      </c>
      <c r="Q1641" t="str">
        <f t="shared" si="184"/>
        <v>53524</v>
      </c>
      <c r="R1641" s="126" t="str">
        <f t="shared" si="188"/>
        <v>EQUIPMENT RENTAL</v>
      </c>
      <c r="S1641" s="125" t="str">
        <f t="shared" si="189"/>
        <v>200</v>
      </c>
      <c r="T1641" s="125" t="str">
        <f t="shared" si="185"/>
        <v>71</v>
      </c>
      <c r="U1641" s="125" t="str">
        <f t="shared" si="186"/>
        <v>711</v>
      </c>
      <c r="V1641" s="125" t="str">
        <f>VLOOKUP(Q1641,'GL Category'!A:C,3,FALSE)</f>
        <v>Services &amp; other</v>
      </c>
      <c r="X1641" s="83"/>
    </row>
    <row r="1642" spans="1:24" ht="14.4" customHeight="1">
      <c r="A1642" s="608" t="s">
        <v>1037</v>
      </c>
      <c r="B1642" s="608" t="s">
        <v>1288</v>
      </c>
      <c r="C1642" s="608" t="s">
        <v>203</v>
      </c>
      <c r="D1642" s="609">
        <v>24629.14</v>
      </c>
      <c r="E1642" s="609">
        <v>18205.259999999998</v>
      </c>
      <c r="F1642" s="609">
        <v>14559.43</v>
      </c>
      <c r="G1642" s="609">
        <v>15624.61</v>
      </c>
      <c r="H1642" s="609">
        <v>26253</v>
      </c>
      <c r="I1642" s="609">
        <v>11226.22</v>
      </c>
      <c r="J1642" s="609">
        <v>26253</v>
      </c>
      <c r="K1642" s="609">
        <v>26253</v>
      </c>
      <c r="L1642" s="609">
        <v>0</v>
      </c>
      <c r="M1642" s="609">
        <v>0</v>
      </c>
      <c r="N1642" s="587">
        <f t="shared" si="183"/>
        <v>26253</v>
      </c>
      <c r="Q1642" t="str">
        <f t="shared" si="184"/>
        <v>53540</v>
      </c>
      <c r="R1642" s="126" t="str">
        <f t="shared" si="188"/>
        <v>PRINTING &amp; BINDING SERVICES</v>
      </c>
      <c r="S1642" s="125" t="str">
        <f t="shared" si="189"/>
        <v>200</v>
      </c>
      <c r="T1642" s="125" t="str">
        <f t="shared" si="185"/>
        <v>71</v>
      </c>
      <c r="U1642" s="125" t="str">
        <f t="shared" si="186"/>
        <v>711</v>
      </c>
      <c r="V1642" s="125" t="str">
        <f>VLOOKUP(Q1642,'GL Category'!A:C,3,FALSE)</f>
        <v>Services &amp; other</v>
      </c>
      <c r="X1642" s="83"/>
    </row>
    <row r="1643" spans="1:24" ht="14.4" customHeight="1">
      <c r="A1643" s="608" t="s">
        <v>1037</v>
      </c>
      <c r="B1643" s="608" t="s">
        <v>1289</v>
      </c>
      <c r="C1643" s="608" t="s">
        <v>219</v>
      </c>
      <c r="D1643" s="609">
        <v>321042.67</v>
      </c>
      <c r="E1643" s="609">
        <v>353062.51</v>
      </c>
      <c r="F1643" s="609">
        <v>480986.96</v>
      </c>
      <c r="G1643" s="609">
        <v>680601.63</v>
      </c>
      <c r="H1643" s="609">
        <v>679951</v>
      </c>
      <c r="I1643" s="609">
        <v>879581.52</v>
      </c>
      <c r="J1643" s="609">
        <v>979951</v>
      </c>
      <c r="K1643" s="609">
        <v>979951</v>
      </c>
      <c r="L1643" s="609">
        <v>0</v>
      </c>
      <c r="M1643" s="609">
        <v>0</v>
      </c>
      <c r="N1643" s="587">
        <f t="shared" si="183"/>
        <v>979951</v>
      </c>
      <c r="P1643" s="490">
        <f>N1643-H1643</f>
        <v>300000</v>
      </c>
      <c r="Q1643" t="str">
        <f t="shared" si="184"/>
        <v>53585</v>
      </c>
      <c r="R1643" s="126" t="str">
        <f t="shared" si="188"/>
        <v>BANKING SERVICES CHARGES</v>
      </c>
      <c r="S1643" s="125" t="str">
        <f t="shared" si="189"/>
        <v>200</v>
      </c>
      <c r="T1643" s="125" t="str">
        <f t="shared" si="185"/>
        <v>71</v>
      </c>
      <c r="U1643" s="125" t="str">
        <f t="shared" si="186"/>
        <v>711</v>
      </c>
      <c r="V1643" s="125" t="str">
        <f>VLOOKUP(Q1643,'GL Category'!A:C,3,FALSE)</f>
        <v>Services &amp; other</v>
      </c>
      <c r="X1643" s="83"/>
    </row>
    <row r="1644" spans="1:24" ht="14.4" customHeight="1">
      <c r="A1644" s="608" t="s">
        <v>1037</v>
      </c>
      <c r="B1644" s="608" t="s">
        <v>1283</v>
      </c>
      <c r="C1644" s="608" t="s">
        <v>238</v>
      </c>
      <c r="D1644" s="609">
        <v>2291.4699999999998</v>
      </c>
      <c r="E1644" s="609">
        <v>2887.9</v>
      </c>
      <c r="F1644" s="609">
        <v>10439.280000000001</v>
      </c>
      <c r="G1644" s="609">
        <v>7569.45</v>
      </c>
      <c r="H1644" s="609">
        <v>8132</v>
      </c>
      <c r="I1644" s="609">
        <v>4061.72</v>
      </c>
      <c r="J1644" s="609">
        <v>8132</v>
      </c>
      <c r="K1644" s="609">
        <v>8132</v>
      </c>
      <c r="L1644" s="609">
        <v>0</v>
      </c>
      <c r="M1644" s="609">
        <v>0</v>
      </c>
      <c r="N1644" s="587">
        <f t="shared" si="183"/>
        <v>8132</v>
      </c>
      <c r="P1644" s="490">
        <f>N1644-H1644</f>
        <v>0</v>
      </c>
      <c r="Q1644" t="str">
        <f t="shared" si="184"/>
        <v>53599</v>
      </c>
      <c r="R1644" s="126" t="str">
        <f t="shared" si="188"/>
        <v>MISCELLANEOUS SERVICES</v>
      </c>
      <c r="S1644" s="125" t="str">
        <f t="shared" si="189"/>
        <v>200</v>
      </c>
      <c r="T1644" s="125" t="str">
        <f t="shared" si="185"/>
        <v>71</v>
      </c>
      <c r="U1644" s="125" t="str">
        <f t="shared" si="186"/>
        <v>711</v>
      </c>
      <c r="V1644" s="125" t="str">
        <f>VLOOKUP(Q1644,'GL Category'!A:C,3,FALSE)</f>
        <v>Services &amp; other</v>
      </c>
      <c r="X1644" s="83"/>
    </row>
    <row r="1645" spans="1:24" ht="14.4" customHeight="1">
      <c r="A1645" s="608" t="s">
        <v>1037</v>
      </c>
      <c r="B1645" s="608" t="s">
        <v>1290</v>
      </c>
      <c r="C1645" s="608" t="s">
        <v>221</v>
      </c>
      <c r="D1645" s="609">
        <v>123802</v>
      </c>
      <c r="E1645" s="609">
        <v>108693</v>
      </c>
      <c r="F1645" s="609">
        <v>98800</v>
      </c>
      <c r="G1645" s="609">
        <v>100468</v>
      </c>
      <c r="H1645" s="609">
        <v>87090</v>
      </c>
      <c r="I1645" s="609">
        <v>65317.5</v>
      </c>
      <c r="J1645" s="609">
        <v>87090</v>
      </c>
      <c r="K1645" s="609">
        <v>95657</v>
      </c>
      <c r="L1645" s="609">
        <v>0</v>
      </c>
      <c r="M1645" s="609">
        <v>0</v>
      </c>
      <c r="N1645" s="587">
        <f t="shared" si="183"/>
        <v>95657</v>
      </c>
      <c r="Q1645" t="str">
        <f t="shared" si="184"/>
        <v>55119</v>
      </c>
      <c r="R1645" s="126" t="str">
        <f t="shared" si="188"/>
        <v>OFFICE EQUIP LEASE EXP-CITY</v>
      </c>
      <c r="S1645" s="125" t="str">
        <f t="shared" si="189"/>
        <v>200</v>
      </c>
      <c r="T1645" s="125" t="str">
        <f t="shared" si="185"/>
        <v>71</v>
      </c>
      <c r="U1645" s="125" t="str">
        <f t="shared" si="186"/>
        <v>711</v>
      </c>
      <c r="V1645" s="125" t="str">
        <f>VLOOKUP(Q1645,'GL Category'!A:C,3,FALSE)</f>
        <v>Services &amp; other</v>
      </c>
      <c r="X1645" s="83"/>
    </row>
    <row r="1646" spans="1:24" ht="14.4" customHeight="1">
      <c r="A1646" s="608" t="s">
        <v>1037</v>
      </c>
      <c r="B1646" s="608" t="s">
        <v>1291</v>
      </c>
      <c r="C1646" s="608" t="s">
        <v>132</v>
      </c>
      <c r="D1646" s="609">
        <v>182868.18</v>
      </c>
      <c r="E1646" s="609">
        <v>187809.68</v>
      </c>
      <c r="F1646" s="609">
        <v>189433.5</v>
      </c>
      <c r="G1646" s="609">
        <v>200803.31</v>
      </c>
      <c r="H1646" s="609">
        <v>194877</v>
      </c>
      <c r="I1646" s="609">
        <v>149203.93</v>
      </c>
      <c r="J1646" s="609">
        <v>194613</v>
      </c>
      <c r="K1646" s="609">
        <v>199932</v>
      </c>
      <c r="L1646" s="609">
        <v>0</v>
      </c>
      <c r="M1646" s="609">
        <v>0</v>
      </c>
      <c r="N1646" s="587">
        <f t="shared" si="183"/>
        <v>199932</v>
      </c>
      <c r="Q1646" t="str">
        <f t="shared" si="184"/>
        <v>50102</v>
      </c>
      <c r="R1646" s="126" t="str">
        <f t="shared" si="188"/>
        <v>NON EXEMPT SALARIES</v>
      </c>
      <c r="S1646" s="125" t="str">
        <f t="shared" si="189"/>
        <v>200</v>
      </c>
      <c r="T1646" s="125" t="str">
        <f t="shared" si="185"/>
        <v>71</v>
      </c>
      <c r="U1646" s="125" t="str">
        <f t="shared" si="186"/>
        <v>712</v>
      </c>
      <c r="V1646" s="125" t="str">
        <f>VLOOKUP(Q1646,'GL Category'!A:C,3,FALSE)</f>
        <v>Personnel services</v>
      </c>
      <c r="X1646" s="83"/>
    </row>
    <row r="1647" spans="1:24" ht="14.4" customHeight="1">
      <c r="A1647" s="608" t="s">
        <v>1037</v>
      </c>
      <c r="B1647" s="608" t="s">
        <v>1292</v>
      </c>
      <c r="C1647" s="608" t="s">
        <v>0</v>
      </c>
      <c r="D1647" s="609">
        <v>842.15</v>
      </c>
      <c r="E1647" s="609">
        <v>1241.18</v>
      </c>
      <c r="F1647" s="609">
        <v>2750.26</v>
      </c>
      <c r="G1647" s="609">
        <v>2127.85</v>
      </c>
      <c r="H1647" s="609">
        <v>2000</v>
      </c>
      <c r="I1647" s="609">
        <v>707.79</v>
      </c>
      <c r="J1647" s="609">
        <v>1085</v>
      </c>
      <c r="K1647" s="609">
        <v>2000</v>
      </c>
      <c r="L1647" s="609">
        <v>0</v>
      </c>
      <c r="M1647" s="609">
        <v>0</v>
      </c>
      <c r="N1647" s="587">
        <f t="shared" si="183"/>
        <v>2000</v>
      </c>
      <c r="Q1647" t="str">
        <f t="shared" si="184"/>
        <v>50109</v>
      </c>
      <c r="R1647" s="126" t="str">
        <f t="shared" si="188"/>
        <v>OVERTIME</v>
      </c>
      <c r="S1647" s="125" t="str">
        <f t="shared" si="189"/>
        <v>200</v>
      </c>
      <c r="T1647" s="125" t="str">
        <f t="shared" si="185"/>
        <v>71</v>
      </c>
      <c r="U1647" s="125" t="str">
        <f t="shared" si="186"/>
        <v>712</v>
      </c>
      <c r="V1647" s="125" t="str">
        <f>VLOOKUP(Q1647,'GL Category'!A:C,3,FALSE)</f>
        <v>Personnel services</v>
      </c>
      <c r="X1647" s="83"/>
    </row>
    <row r="1648" spans="1:24" ht="14.4" customHeight="1">
      <c r="A1648" s="608" t="s">
        <v>1037</v>
      </c>
      <c r="B1648" s="608" t="s">
        <v>1293</v>
      </c>
      <c r="C1648" s="608" t="s">
        <v>137</v>
      </c>
      <c r="D1648" s="609">
        <v>2910</v>
      </c>
      <c r="E1648" s="609">
        <v>3150</v>
      </c>
      <c r="F1648" s="609">
        <v>3090</v>
      </c>
      <c r="G1648" s="609">
        <v>3335</v>
      </c>
      <c r="H1648" s="609">
        <v>2076</v>
      </c>
      <c r="I1648" s="609">
        <v>2045</v>
      </c>
      <c r="J1648" s="609">
        <v>2045</v>
      </c>
      <c r="K1648" s="609">
        <v>2718</v>
      </c>
      <c r="L1648" s="609">
        <v>0</v>
      </c>
      <c r="M1648" s="609">
        <v>0</v>
      </c>
      <c r="N1648" s="587">
        <f t="shared" si="183"/>
        <v>2718</v>
      </c>
      <c r="Q1648" t="str">
        <f t="shared" si="184"/>
        <v>50111</v>
      </c>
      <c r="R1648" s="126" t="str">
        <f t="shared" si="188"/>
        <v>LONGEVITY PAY</v>
      </c>
      <c r="S1648" s="125" t="str">
        <f t="shared" si="189"/>
        <v>200</v>
      </c>
      <c r="T1648" s="125" t="str">
        <f t="shared" si="185"/>
        <v>71</v>
      </c>
      <c r="U1648" s="125" t="str">
        <f t="shared" si="186"/>
        <v>712</v>
      </c>
      <c r="V1648" s="125" t="str">
        <f>VLOOKUP(Q1648,'GL Category'!A:C,3,FALSE)</f>
        <v>Personnel services</v>
      </c>
      <c r="X1648" s="83"/>
    </row>
    <row r="1649" spans="1:24" ht="14.4" customHeight="1">
      <c r="A1649" s="608" t="s">
        <v>1037</v>
      </c>
      <c r="B1649" s="608" t="s">
        <v>1294</v>
      </c>
      <c r="C1649" s="608" t="s">
        <v>283</v>
      </c>
      <c r="D1649" s="609">
        <v>905.35</v>
      </c>
      <c r="E1649" s="609">
        <v>902.86</v>
      </c>
      <c r="F1649" s="609">
        <v>902.5</v>
      </c>
      <c r="G1649" s="609">
        <v>903</v>
      </c>
      <c r="H1649" s="609">
        <v>900</v>
      </c>
      <c r="I1649" s="609">
        <v>672</v>
      </c>
      <c r="J1649" s="609">
        <v>1242</v>
      </c>
      <c r="K1649" s="609">
        <v>900</v>
      </c>
      <c r="L1649" s="609">
        <v>0</v>
      </c>
      <c r="M1649" s="609">
        <v>0</v>
      </c>
      <c r="N1649" s="587">
        <f t="shared" si="183"/>
        <v>900</v>
      </c>
      <c r="Q1649" t="str">
        <f t="shared" si="184"/>
        <v>50115</v>
      </c>
      <c r="R1649" s="126" t="str">
        <f t="shared" si="188"/>
        <v>INCENTIVE/CERTIFICATION PAY</v>
      </c>
      <c r="S1649" s="125" t="str">
        <f t="shared" si="189"/>
        <v>200</v>
      </c>
      <c r="T1649" s="125" t="str">
        <f t="shared" si="185"/>
        <v>71</v>
      </c>
      <c r="U1649" s="125" t="str">
        <f t="shared" si="186"/>
        <v>712</v>
      </c>
      <c r="V1649" s="125" t="str">
        <f>VLOOKUP(Q1649,'GL Category'!A:C,3,FALSE)</f>
        <v>Personnel services</v>
      </c>
      <c r="X1649" s="83"/>
    </row>
    <row r="1650" spans="1:24" ht="14.4" customHeight="1">
      <c r="A1650" s="608" t="s">
        <v>1037</v>
      </c>
      <c r="B1650" s="608" t="s">
        <v>1295</v>
      </c>
      <c r="C1650" s="608" t="s">
        <v>1</v>
      </c>
      <c r="D1650" s="609">
        <v>12823.09</v>
      </c>
      <c r="E1650" s="609">
        <v>12969.29</v>
      </c>
      <c r="F1650" s="609">
        <v>13245.8</v>
      </c>
      <c r="G1650" s="609">
        <v>13913.33</v>
      </c>
      <c r="H1650" s="609">
        <v>15330</v>
      </c>
      <c r="I1650" s="609">
        <v>10634.84</v>
      </c>
      <c r="J1650" s="609">
        <v>14407</v>
      </c>
      <c r="K1650" s="609">
        <v>15760</v>
      </c>
      <c r="L1650" s="609">
        <v>0</v>
      </c>
      <c r="M1650" s="609">
        <v>0</v>
      </c>
      <c r="N1650" s="587">
        <f t="shared" si="183"/>
        <v>15760</v>
      </c>
      <c r="Q1650" t="str">
        <f t="shared" si="184"/>
        <v>50610</v>
      </c>
      <c r="R1650" s="126" t="str">
        <f t="shared" si="188"/>
        <v>SOCIAL SECURITY</v>
      </c>
      <c r="S1650" s="125" t="str">
        <f t="shared" si="189"/>
        <v>200</v>
      </c>
      <c r="T1650" s="125" t="str">
        <f t="shared" si="185"/>
        <v>71</v>
      </c>
      <c r="U1650" s="125" t="str">
        <f t="shared" si="186"/>
        <v>712</v>
      </c>
      <c r="V1650" s="125" t="str">
        <f>VLOOKUP(Q1650,'GL Category'!A:C,3,FALSE)</f>
        <v>Personnel services</v>
      </c>
      <c r="X1650" s="83"/>
    </row>
    <row r="1651" spans="1:24" ht="14.4" customHeight="1">
      <c r="A1651" s="608" t="s">
        <v>1037</v>
      </c>
      <c r="B1651" s="608" t="s">
        <v>1296</v>
      </c>
      <c r="C1651" s="608" t="s">
        <v>142</v>
      </c>
      <c r="D1651" s="609">
        <v>78413.759999999995</v>
      </c>
      <c r="E1651" s="609">
        <v>80177.009999999995</v>
      </c>
      <c r="F1651" s="609">
        <v>88062.27</v>
      </c>
      <c r="G1651" s="609">
        <v>87089.99</v>
      </c>
      <c r="H1651" s="609">
        <v>83394</v>
      </c>
      <c r="I1651" s="609">
        <v>57793.14</v>
      </c>
      <c r="J1651" s="609">
        <v>78163</v>
      </c>
      <c r="K1651" s="609">
        <v>77484</v>
      </c>
      <c r="L1651" s="609">
        <v>0</v>
      </c>
      <c r="M1651" s="609">
        <v>0</v>
      </c>
      <c r="N1651" s="587">
        <f t="shared" si="183"/>
        <v>77484</v>
      </c>
      <c r="Q1651" t="str">
        <f t="shared" si="184"/>
        <v>50620</v>
      </c>
      <c r="R1651" s="126" t="str">
        <f t="shared" si="188"/>
        <v>HEALTH/LIFE INSURANCE</v>
      </c>
      <c r="S1651" s="125" t="str">
        <f t="shared" si="189"/>
        <v>200</v>
      </c>
      <c r="T1651" s="125" t="str">
        <f t="shared" si="185"/>
        <v>71</v>
      </c>
      <c r="U1651" s="125" t="str">
        <f t="shared" si="186"/>
        <v>712</v>
      </c>
      <c r="V1651" s="125" t="str">
        <f>VLOOKUP(Q1651,'GL Category'!A:C,3,FALSE)</f>
        <v>Personnel services</v>
      </c>
      <c r="X1651" s="83"/>
    </row>
    <row r="1652" spans="1:24" ht="14.4" customHeight="1">
      <c r="A1652" s="608" t="s">
        <v>1037</v>
      </c>
      <c r="B1652" s="608" t="s">
        <v>1297</v>
      </c>
      <c r="C1652" s="608" t="s">
        <v>144</v>
      </c>
      <c r="D1652" s="609">
        <v>1432.93</v>
      </c>
      <c r="E1652" s="609">
        <v>1305.6400000000001</v>
      </c>
      <c r="F1652" s="609">
        <v>1480.12</v>
      </c>
      <c r="G1652" s="609">
        <v>2643.88</v>
      </c>
      <c r="H1652" s="609">
        <v>3212</v>
      </c>
      <c r="I1652" s="609">
        <v>3209.37</v>
      </c>
      <c r="J1652" s="609">
        <v>3209</v>
      </c>
      <c r="K1652" s="609">
        <v>3108</v>
      </c>
      <c r="L1652" s="609">
        <v>0</v>
      </c>
      <c r="M1652" s="609">
        <v>0</v>
      </c>
      <c r="N1652" s="587">
        <f t="shared" si="183"/>
        <v>3108</v>
      </c>
      <c r="Q1652" t="str">
        <f t="shared" si="184"/>
        <v>50630</v>
      </c>
      <c r="R1652" s="126" t="str">
        <f t="shared" si="188"/>
        <v>WORKER COMPENSATION</v>
      </c>
      <c r="S1652" s="125" t="str">
        <f t="shared" si="189"/>
        <v>200</v>
      </c>
      <c r="T1652" s="125" t="str">
        <f t="shared" si="185"/>
        <v>71</v>
      </c>
      <c r="U1652" s="125" t="str">
        <f t="shared" si="186"/>
        <v>712</v>
      </c>
      <c r="V1652" s="125" t="str">
        <f>VLOOKUP(Q1652,'GL Category'!A:C,3,FALSE)</f>
        <v>Personnel services</v>
      </c>
      <c r="X1652" s="83"/>
    </row>
    <row r="1653" spans="1:24" ht="14.4" customHeight="1">
      <c r="A1653" s="608" t="s">
        <v>1037</v>
      </c>
      <c r="B1653" s="608" t="s">
        <v>1298</v>
      </c>
      <c r="C1653" s="608" t="s">
        <v>2</v>
      </c>
      <c r="D1653" s="609">
        <v>30104.31</v>
      </c>
      <c r="E1653" s="609">
        <v>30864.92</v>
      </c>
      <c r="F1653" s="609">
        <v>31762.16</v>
      </c>
      <c r="G1653" s="609">
        <v>33478.639999999999</v>
      </c>
      <c r="H1653" s="609">
        <v>33056</v>
      </c>
      <c r="I1653" s="609">
        <v>25507.41</v>
      </c>
      <c r="J1653" s="609">
        <v>33289</v>
      </c>
      <c r="K1653" s="609">
        <v>34820</v>
      </c>
      <c r="L1653" s="609">
        <v>0</v>
      </c>
      <c r="M1653" s="609">
        <v>0</v>
      </c>
      <c r="N1653" s="587">
        <f t="shared" si="183"/>
        <v>34820</v>
      </c>
      <c r="Q1653" t="str">
        <f t="shared" si="184"/>
        <v>50650</v>
      </c>
      <c r="R1653" s="126" t="str">
        <f t="shared" si="188"/>
        <v>RETIREMENT</v>
      </c>
      <c r="S1653" s="125" t="str">
        <f t="shared" si="189"/>
        <v>200</v>
      </c>
      <c r="T1653" s="125" t="str">
        <f t="shared" si="185"/>
        <v>71</v>
      </c>
      <c r="U1653" s="125" t="str">
        <f t="shared" si="186"/>
        <v>712</v>
      </c>
      <c r="V1653" s="125" t="str">
        <f>VLOOKUP(Q1653,'GL Category'!A:C,3,FALSE)</f>
        <v>Personnel services</v>
      </c>
      <c r="X1653" s="83"/>
    </row>
    <row r="1654" spans="1:24" ht="14.4" customHeight="1">
      <c r="A1654" s="608" t="s">
        <v>1037</v>
      </c>
      <c r="B1654" s="608" t="s">
        <v>1300</v>
      </c>
      <c r="C1654" s="608" t="s">
        <v>4</v>
      </c>
      <c r="D1654" s="609">
        <v>5235.72</v>
      </c>
      <c r="E1654" s="609">
        <v>1282.81</v>
      </c>
      <c r="F1654" s="609">
        <v>1957.08</v>
      </c>
      <c r="G1654" s="609">
        <v>2585.7199999999998</v>
      </c>
      <c r="H1654" s="609">
        <v>1500</v>
      </c>
      <c r="I1654" s="609">
        <v>1946.49</v>
      </c>
      <c r="J1654" s="609">
        <v>1500</v>
      </c>
      <c r="K1654" s="609">
        <v>1500</v>
      </c>
      <c r="L1654" s="609">
        <v>0</v>
      </c>
      <c r="M1654" s="609">
        <v>0</v>
      </c>
      <c r="N1654" s="587">
        <f t="shared" si="183"/>
        <v>1500</v>
      </c>
      <c r="Q1654" t="str">
        <f t="shared" si="184"/>
        <v>51245</v>
      </c>
      <c r="R1654" s="126" t="str">
        <f t="shared" si="188"/>
        <v>SMALL TOOLS &amp; EQUIPMENT</v>
      </c>
      <c r="S1654" s="125" t="str">
        <f t="shared" si="189"/>
        <v>200</v>
      </c>
      <c r="T1654" s="125" t="str">
        <f t="shared" si="185"/>
        <v>71</v>
      </c>
      <c r="U1654" s="125" t="str">
        <f t="shared" si="186"/>
        <v>712</v>
      </c>
      <c r="V1654" s="125" t="str">
        <f>VLOOKUP(Q1654,'GL Category'!A:C,3,FALSE)</f>
        <v>Operations &amp; maintenance</v>
      </c>
      <c r="X1654" s="83"/>
    </row>
    <row r="1655" spans="1:24" ht="14.4" customHeight="1">
      <c r="A1655" s="608" t="s">
        <v>1037</v>
      </c>
      <c r="B1655" s="608" t="s">
        <v>1301</v>
      </c>
      <c r="C1655" s="608" t="s">
        <v>161</v>
      </c>
      <c r="D1655" s="609">
        <v>5498.56</v>
      </c>
      <c r="E1655" s="609">
        <v>7587.54</v>
      </c>
      <c r="F1655" s="609">
        <v>11334.76</v>
      </c>
      <c r="G1655" s="609">
        <v>9467.17</v>
      </c>
      <c r="H1655" s="609">
        <v>14000</v>
      </c>
      <c r="I1655" s="609">
        <v>6452.79</v>
      </c>
      <c r="J1655" s="609">
        <v>14000</v>
      </c>
      <c r="K1655" s="609">
        <v>14000</v>
      </c>
      <c r="L1655" s="609">
        <v>0</v>
      </c>
      <c r="M1655" s="609">
        <v>0</v>
      </c>
      <c r="N1655" s="587">
        <f t="shared" si="183"/>
        <v>14000</v>
      </c>
      <c r="Q1655" t="str">
        <f t="shared" si="184"/>
        <v>51255</v>
      </c>
      <c r="R1655" s="126" t="str">
        <f t="shared" si="188"/>
        <v>FUEL/OILS/LUBRICANTS</v>
      </c>
      <c r="S1655" s="125" t="str">
        <f t="shared" si="189"/>
        <v>200</v>
      </c>
      <c r="T1655" s="125" t="str">
        <f t="shared" si="185"/>
        <v>71</v>
      </c>
      <c r="U1655" s="125" t="str">
        <f t="shared" si="186"/>
        <v>712</v>
      </c>
      <c r="V1655" s="125" t="str">
        <f>VLOOKUP(Q1655,'GL Category'!A:C,3,FALSE)</f>
        <v>Operations &amp; maintenance</v>
      </c>
      <c r="X1655" s="83"/>
    </row>
    <row r="1656" spans="1:24" ht="14.4" customHeight="1">
      <c r="A1656" s="608" t="s">
        <v>1037</v>
      </c>
      <c r="B1656" s="608" t="s">
        <v>1302</v>
      </c>
      <c r="C1656" s="608" t="s">
        <v>167</v>
      </c>
      <c r="D1656" s="609">
        <v>1127.73</v>
      </c>
      <c r="E1656" s="609">
        <v>762.56</v>
      </c>
      <c r="F1656" s="609">
        <v>1248.01</v>
      </c>
      <c r="G1656" s="609">
        <v>1943.56</v>
      </c>
      <c r="H1656" s="609">
        <v>2000</v>
      </c>
      <c r="I1656" s="609">
        <v>1668.15</v>
      </c>
      <c r="J1656" s="609">
        <v>2000</v>
      </c>
      <c r="K1656" s="609">
        <v>2000</v>
      </c>
      <c r="L1656" s="609">
        <v>0</v>
      </c>
      <c r="M1656" s="609">
        <v>0</v>
      </c>
      <c r="N1656" s="587">
        <f t="shared" si="183"/>
        <v>2000</v>
      </c>
      <c r="Q1656" t="str">
        <f t="shared" si="184"/>
        <v>51285</v>
      </c>
      <c r="R1656" s="126" t="str">
        <f t="shared" si="188"/>
        <v>WEARING APPAREL</v>
      </c>
      <c r="S1656" s="125" t="str">
        <f t="shared" si="189"/>
        <v>200</v>
      </c>
      <c r="T1656" s="125" t="str">
        <f t="shared" si="185"/>
        <v>71</v>
      </c>
      <c r="U1656" s="125" t="str">
        <f t="shared" si="186"/>
        <v>712</v>
      </c>
      <c r="V1656" s="125" t="str">
        <f>VLOOKUP(Q1656,'GL Category'!A:C,3,FALSE)</f>
        <v>Operations &amp; maintenance</v>
      </c>
      <c r="X1656" s="83"/>
    </row>
    <row r="1657" spans="1:24" ht="14.4" customHeight="1">
      <c r="A1657" s="608" t="s">
        <v>1037</v>
      </c>
      <c r="B1657" s="608" t="s">
        <v>1304</v>
      </c>
      <c r="C1657" s="608" t="s">
        <v>363</v>
      </c>
      <c r="D1657" s="609">
        <v>391334.6</v>
      </c>
      <c r="E1657" s="609">
        <v>410362.25</v>
      </c>
      <c r="F1657" s="609">
        <v>366078.51</v>
      </c>
      <c r="G1657" s="609">
        <v>422840.63</v>
      </c>
      <c r="H1657" s="609">
        <v>389143</v>
      </c>
      <c r="I1657" s="609">
        <v>160246.37</v>
      </c>
      <c r="J1657" s="609">
        <v>389143</v>
      </c>
      <c r="K1657" s="609">
        <v>389143</v>
      </c>
      <c r="L1657" s="609">
        <v>0</v>
      </c>
      <c r="M1657" s="609">
        <v>0</v>
      </c>
      <c r="N1657" s="587">
        <f t="shared" si="183"/>
        <v>389143</v>
      </c>
      <c r="Q1657" t="str">
        <f t="shared" si="184"/>
        <v>52430</v>
      </c>
      <c r="R1657" s="126" t="str">
        <f t="shared" si="188"/>
        <v>METER MAINTENANCE</v>
      </c>
      <c r="S1657" s="125" t="str">
        <f t="shared" si="189"/>
        <v>200</v>
      </c>
      <c r="T1657" s="125" t="str">
        <f t="shared" si="185"/>
        <v>71</v>
      </c>
      <c r="U1657" s="125" t="str">
        <f t="shared" si="186"/>
        <v>712</v>
      </c>
      <c r="V1657" s="125" t="str">
        <f>VLOOKUP(Q1657,'GL Category'!A:C,3,FALSE)</f>
        <v>Operations &amp; maintenance</v>
      </c>
      <c r="X1657" s="83"/>
    </row>
    <row r="1658" spans="1:24" ht="14.4" customHeight="1">
      <c r="A1658" s="608" t="s">
        <v>1037</v>
      </c>
      <c r="B1658" s="608" t="s">
        <v>1305</v>
      </c>
      <c r="C1658" s="608" t="s">
        <v>241</v>
      </c>
      <c r="D1658" s="609">
        <v>3397.89</v>
      </c>
      <c r="E1658" s="609">
        <v>3696.82</v>
      </c>
      <c r="F1658" s="609">
        <v>2914.28</v>
      </c>
      <c r="G1658" s="609">
        <v>782.5</v>
      </c>
      <c r="H1658" s="609">
        <v>0</v>
      </c>
      <c r="I1658" s="609">
        <v>2765.38</v>
      </c>
      <c r="J1658" s="609">
        <v>2850</v>
      </c>
      <c r="K1658" s="609">
        <v>0</v>
      </c>
      <c r="L1658" s="609">
        <v>0</v>
      </c>
      <c r="M1658" s="609">
        <v>0</v>
      </c>
      <c r="N1658" s="587">
        <f t="shared" si="183"/>
        <v>0</v>
      </c>
      <c r="Q1658" t="str">
        <f t="shared" si="184"/>
        <v>52460</v>
      </c>
      <c r="R1658" s="126" t="str">
        <f t="shared" si="188"/>
        <v>VEHICLE MAINTENANCE</v>
      </c>
      <c r="S1658" s="125" t="str">
        <f t="shared" si="189"/>
        <v>200</v>
      </c>
      <c r="T1658" s="125" t="str">
        <f t="shared" si="185"/>
        <v>71</v>
      </c>
      <c r="U1658" s="125" t="str">
        <f t="shared" si="186"/>
        <v>712</v>
      </c>
      <c r="V1658" s="125" t="str">
        <f>VLOOKUP(Q1658,'GL Category'!A:C,3,FALSE)</f>
        <v>Operations &amp; maintenance</v>
      </c>
      <c r="X1658" s="83"/>
    </row>
    <row r="1659" spans="1:24" ht="14.4" customHeight="1">
      <c r="A1659" s="608" t="s">
        <v>1037</v>
      </c>
      <c r="B1659" s="608" t="s">
        <v>1310</v>
      </c>
      <c r="C1659" s="608" t="s">
        <v>221</v>
      </c>
      <c r="D1659" s="609">
        <v>27001</v>
      </c>
      <c r="E1659" s="609">
        <v>25917</v>
      </c>
      <c r="F1659" s="609">
        <v>25183</v>
      </c>
      <c r="G1659" s="609">
        <v>25889</v>
      </c>
      <c r="H1659" s="609">
        <v>30220</v>
      </c>
      <c r="I1659" s="609">
        <v>22665</v>
      </c>
      <c r="J1659" s="609">
        <v>30220</v>
      </c>
      <c r="K1659" s="609">
        <v>32657</v>
      </c>
      <c r="L1659" s="609">
        <v>0</v>
      </c>
      <c r="M1659" s="609">
        <v>0</v>
      </c>
      <c r="N1659" s="587">
        <f t="shared" si="183"/>
        <v>32657</v>
      </c>
      <c r="Q1659" t="str">
        <f t="shared" si="184"/>
        <v>55119</v>
      </c>
      <c r="R1659" s="126" t="str">
        <f t="shared" si="188"/>
        <v>OFFICE EQUIP LEASE EXP-CITY</v>
      </c>
      <c r="S1659" s="125" t="str">
        <f t="shared" si="189"/>
        <v>200</v>
      </c>
      <c r="T1659" s="125" t="str">
        <f t="shared" si="185"/>
        <v>71</v>
      </c>
      <c r="U1659" s="125" t="str">
        <f t="shared" si="186"/>
        <v>712</v>
      </c>
      <c r="V1659" s="125" t="str">
        <f>VLOOKUP(Q1659,'GL Category'!A:C,3,FALSE)</f>
        <v>Services &amp; other</v>
      </c>
      <c r="X1659" s="83"/>
    </row>
    <row r="1660" spans="1:24" ht="14.4" customHeight="1">
      <c r="A1660" s="608" t="s">
        <v>1037</v>
      </c>
      <c r="B1660" s="608" t="s">
        <v>1309</v>
      </c>
      <c r="C1660" s="608" t="s">
        <v>220</v>
      </c>
      <c r="D1660" s="609">
        <v>18350</v>
      </c>
      <c r="E1660" s="609">
        <v>20066</v>
      </c>
      <c r="F1660" s="609">
        <v>23765</v>
      </c>
      <c r="G1660" s="609">
        <v>26173</v>
      </c>
      <c r="H1660" s="609">
        <v>27581</v>
      </c>
      <c r="I1660" s="609">
        <v>20685.75</v>
      </c>
      <c r="J1660" s="609">
        <v>27581</v>
      </c>
      <c r="K1660" s="609">
        <v>27743</v>
      </c>
      <c r="L1660" s="609">
        <v>0</v>
      </c>
      <c r="M1660" s="609">
        <v>0</v>
      </c>
      <c r="N1660" s="587">
        <f t="shared" si="183"/>
        <v>27743</v>
      </c>
      <c r="Q1660" t="str">
        <f t="shared" si="184"/>
        <v>55175</v>
      </c>
      <c r="R1660" s="126" t="str">
        <f t="shared" si="188"/>
        <v>VEHICLE/EQUIP LEASE EXP-CITY</v>
      </c>
      <c r="S1660" s="125" t="str">
        <f t="shared" si="189"/>
        <v>200</v>
      </c>
      <c r="T1660" s="125" t="str">
        <f t="shared" si="185"/>
        <v>71</v>
      </c>
      <c r="U1660" s="125" t="str">
        <f t="shared" si="186"/>
        <v>712</v>
      </c>
      <c r="V1660" s="125" t="str">
        <f>VLOOKUP(Q1660,'GL Category'!A:C,3,FALSE)</f>
        <v>Services &amp; other</v>
      </c>
      <c r="X1660" s="83"/>
    </row>
    <row r="1661" spans="1:24" ht="14.4" customHeight="1">
      <c r="A1661" s="608" t="s">
        <v>1037</v>
      </c>
      <c r="B1661" s="608" t="s">
        <v>1311</v>
      </c>
      <c r="C1661" s="608" t="s">
        <v>132</v>
      </c>
      <c r="D1661" s="609">
        <v>255762.12</v>
      </c>
      <c r="E1661" s="609">
        <v>261393.18</v>
      </c>
      <c r="F1661" s="609">
        <v>281456.68</v>
      </c>
      <c r="G1661" s="609">
        <v>302869.52</v>
      </c>
      <c r="H1661" s="609">
        <v>299528</v>
      </c>
      <c r="I1661" s="609">
        <v>262019.52</v>
      </c>
      <c r="J1661" s="609">
        <v>331027</v>
      </c>
      <c r="K1661" s="609">
        <v>310279</v>
      </c>
      <c r="L1661" s="609">
        <v>0</v>
      </c>
      <c r="M1661" s="609">
        <v>0</v>
      </c>
      <c r="N1661" s="587">
        <f t="shared" si="183"/>
        <v>310279</v>
      </c>
      <c r="Q1661" t="str">
        <f t="shared" si="184"/>
        <v>50102</v>
      </c>
      <c r="R1661" s="126" t="str">
        <f t="shared" si="188"/>
        <v>NON EXEMPT SALARIES</v>
      </c>
      <c r="S1661" s="125" t="str">
        <f t="shared" si="189"/>
        <v>200</v>
      </c>
      <c r="T1661" s="125" t="str">
        <f t="shared" si="185"/>
        <v>73</v>
      </c>
      <c r="U1661" s="125" t="str">
        <f t="shared" si="186"/>
        <v>734</v>
      </c>
      <c r="V1661" s="125" t="str">
        <f>VLOOKUP(Q1661,'GL Category'!A:C,3,FALSE)</f>
        <v>Personnel services</v>
      </c>
      <c r="X1661" s="83"/>
    </row>
    <row r="1662" spans="1:24" ht="14.4" customHeight="1">
      <c r="A1662" s="608" t="s">
        <v>1037</v>
      </c>
      <c r="B1662" s="608" t="s">
        <v>1312</v>
      </c>
      <c r="C1662" s="608" t="s">
        <v>0</v>
      </c>
      <c r="D1662" s="609">
        <v>20693.580000000002</v>
      </c>
      <c r="E1662" s="609">
        <v>31484.59</v>
      </c>
      <c r="F1662" s="609">
        <v>20622.939999999999</v>
      </c>
      <c r="G1662" s="609">
        <v>23830.95</v>
      </c>
      <c r="H1662" s="609">
        <v>22937</v>
      </c>
      <c r="I1662" s="609">
        <v>17934.48</v>
      </c>
      <c r="J1662" s="609">
        <v>25056</v>
      </c>
      <c r="K1662" s="609">
        <v>22902</v>
      </c>
      <c r="L1662" s="609">
        <v>0</v>
      </c>
      <c r="M1662" s="609">
        <v>0</v>
      </c>
      <c r="N1662" s="587">
        <f t="shared" si="183"/>
        <v>22902</v>
      </c>
      <c r="Q1662" t="str">
        <f t="shared" si="184"/>
        <v>50109</v>
      </c>
      <c r="R1662" s="126" t="str">
        <f t="shared" si="188"/>
        <v>OVERTIME</v>
      </c>
      <c r="S1662" s="125" t="str">
        <f t="shared" si="189"/>
        <v>200</v>
      </c>
      <c r="T1662" s="125" t="str">
        <f t="shared" si="185"/>
        <v>73</v>
      </c>
      <c r="U1662" s="125" t="str">
        <f t="shared" si="186"/>
        <v>734</v>
      </c>
      <c r="V1662" s="125" t="str">
        <f>VLOOKUP(Q1662,'GL Category'!A:C,3,FALSE)</f>
        <v>Personnel services</v>
      </c>
      <c r="X1662" s="83"/>
    </row>
    <row r="1663" spans="1:24" ht="14.4" customHeight="1">
      <c r="A1663" s="608" t="s">
        <v>1037</v>
      </c>
      <c r="B1663" s="608" t="s">
        <v>1313</v>
      </c>
      <c r="C1663" s="608" t="s">
        <v>137</v>
      </c>
      <c r="D1663" s="609">
        <v>4780</v>
      </c>
      <c r="E1663" s="609">
        <v>5080</v>
      </c>
      <c r="F1663" s="609">
        <v>5380</v>
      </c>
      <c r="G1663" s="609">
        <v>5680</v>
      </c>
      <c r="H1663" s="609">
        <v>6062</v>
      </c>
      <c r="I1663" s="609">
        <v>5980</v>
      </c>
      <c r="J1663" s="609">
        <v>5980</v>
      </c>
      <c r="K1663" s="609">
        <v>6173</v>
      </c>
      <c r="L1663" s="609">
        <v>0</v>
      </c>
      <c r="M1663" s="609">
        <v>0</v>
      </c>
      <c r="N1663" s="587">
        <f t="shared" si="183"/>
        <v>6173</v>
      </c>
      <c r="Q1663" t="str">
        <f t="shared" si="184"/>
        <v>50111</v>
      </c>
      <c r="R1663" s="126" t="str">
        <f t="shared" si="188"/>
        <v>LONGEVITY PAY</v>
      </c>
      <c r="S1663" s="125" t="str">
        <f t="shared" si="189"/>
        <v>200</v>
      </c>
      <c r="T1663" s="125" t="str">
        <f t="shared" si="185"/>
        <v>73</v>
      </c>
      <c r="U1663" s="125" t="str">
        <f t="shared" si="186"/>
        <v>734</v>
      </c>
      <c r="V1663" s="125" t="str">
        <f>VLOOKUP(Q1663,'GL Category'!A:C,3,FALSE)</f>
        <v>Personnel services</v>
      </c>
      <c r="X1663" s="83"/>
    </row>
    <row r="1664" spans="1:24" ht="14.4" customHeight="1">
      <c r="A1664" s="608" t="s">
        <v>1037</v>
      </c>
      <c r="B1664" s="608" t="s">
        <v>1314</v>
      </c>
      <c r="C1664" s="608" t="s">
        <v>283</v>
      </c>
      <c r="D1664" s="609">
        <v>2414.2800000000002</v>
      </c>
      <c r="E1664" s="609">
        <v>2407.29</v>
      </c>
      <c r="F1664" s="609">
        <v>2407</v>
      </c>
      <c r="G1664" s="609">
        <v>2408</v>
      </c>
      <c r="H1664" s="609">
        <v>2400</v>
      </c>
      <c r="I1664" s="609">
        <v>2242</v>
      </c>
      <c r="J1664" s="609">
        <v>4332</v>
      </c>
      <c r="K1664" s="609">
        <v>3300</v>
      </c>
      <c r="L1664" s="609">
        <v>0</v>
      </c>
      <c r="M1664" s="609">
        <v>0</v>
      </c>
      <c r="N1664" s="587">
        <f t="shared" si="183"/>
        <v>3300</v>
      </c>
      <c r="Q1664" t="str">
        <f t="shared" si="184"/>
        <v>50115</v>
      </c>
      <c r="R1664" s="126" t="str">
        <f t="shared" si="188"/>
        <v>INCENTIVE/CERTIFICATION PAY</v>
      </c>
      <c r="S1664" s="125" t="str">
        <f t="shared" si="189"/>
        <v>200</v>
      </c>
      <c r="T1664" s="125" t="str">
        <f t="shared" si="185"/>
        <v>73</v>
      </c>
      <c r="U1664" s="125" t="str">
        <f t="shared" si="186"/>
        <v>734</v>
      </c>
      <c r="V1664" s="125" t="str">
        <f>VLOOKUP(Q1664,'GL Category'!A:C,3,FALSE)</f>
        <v>Personnel services</v>
      </c>
      <c r="X1664" s="83"/>
    </row>
    <row r="1665" spans="1:24" ht="14.4" customHeight="1">
      <c r="A1665" s="608" t="s">
        <v>1037</v>
      </c>
      <c r="B1665" s="608" t="s">
        <v>1315</v>
      </c>
      <c r="C1665" s="608" t="s">
        <v>1</v>
      </c>
      <c r="D1665" s="609">
        <v>20373.580000000002</v>
      </c>
      <c r="E1665" s="609">
        <v>21498.97</v>
      </c>
      <c r="F1665" s="609">
        <v>22220.51</v>
      </c>
      <c r="G1665" s="609">
        <v>24206.67</v>
      </c>
      <c r="H1665" s="609">
        <v>25420</v>
      </c>
      <c r="I1665" s="609">
        <v>20810.330000000002</v>
      </c>
      <c r="J1665" s="609">
        <v>26935</v>
      </c>
      <c r="K1665" s="609">
        <v>26330</v>
      </c>
      <c r="L1665" s="609">
        <v>0</v>
      </c>
      <c r="M1665" s="609">
        <v>0</v>
      </c>
      <c r="N1665" s="587">
        <f t="shared" si="183"/>
        <v>26330</v>
      </c>
      <c r="Q1665" t="str">
        <f t="shared" si="184"/>
        <v>50610</v>
      </c>
      <c r="R1665" s="126" t="str">
        <f t="shared" si="188"/>
        <v>SOCIAL SECURITY</v>
      </c>
      <c r="S1665" s="125" t="str">
        <f t="shared" si="189"/>
        <v>200</v>
      </c>
      <c r="T1665" s="125" t="str">
        <f t="shared" si="185"/>
        <v>73</v>
      </c>
      <c r="U1665" s="125" t="str">
        <f t="shared" si="186"/>
        <v>734</v>
      </c>
      <c r="V1665" s="125" t="str">
        <f>VLOOKUP(Q1665,'GL Category'!A:C,3,FALSE)</f>
        <v>Personnel services</v>
      </c>
      <c r="X1665" s="83"/>
    </row>
    <row r="1666" spans="1:24" ht="14.4" customHeight="1">
      <c r="A1666" s="608" t="s">
        <v>1037</v>
      </c>
      <c r="B1666" s="608" t="s">
        <v>1316</v>
      </c>
      <c r="C1666" s="608" t="s">
        <v>142</v>
      </c>
      <c r="D1666" s="609">
        <v>85365.3</v>
      </c>
      <c r="E1666" s="609">
        <v>88679.039999999994</v>
      </c>
      <c r="F1666" s="609">
        <v>87319.28</v>
      </c>
      <c r="G1666" s="609">
        <v>89270.89</v>
      </c>
      <c r="H1666" s="609">
        <v>86223</v>
      </c>
      <c r="I1666" s="609">
        <v>68999.289999999994</v>
      </c>
      <c r="J1666" s="609">
        <v>94596</v>
      </c>
      <c r="K1666" s="609">
        <v>97837</v>
      </c>
      <c r="L1666" s="609">
        <v>0</v>
      </c>
      <c r="M1666" s="609">
        <v>0</v>
      </c>
      <c r="N1666" s="587">
        <f t="shared" si="183"/>
        <v>97837</v>
      </c>
      <c r="Q1666" t="str">
        <f t="shared" si="184"/>
        <v>50620</v>
      </c>
      <c r="R1666" s="126" t="str">
        <f t="shared" si="188"/>
        <v>HEALTH/LIFE INSURANCE</v>
      </c>
      <c r="S1666" s="125" t="str">
        <f t="shared" si="189"/>
        <v>200</v>
      </c>
      <c r="T1666" s="125" t="str">
        <f t="shared" si="185"/>
        <v>73</v>
      </c>
      <c r="U1666" s="125" t="str">
        <f t="shared" si="186"/>
        <v>734</v>
      </c>
      <c r="V1666" s="125" t="str">
        <f>VLOOKUP(Q1666,'GL Category'!A:C,3,FALSE)</f>
        <v>Personnel services</v>
      </c>
      <c r="X1666" s="83"/>
    </row>
    <row r="1667" spans="1:24" ht="14.4" customHeight="1">
      <c r="A1667" s="608" t="s">
        <v>1037</v>
      </c>
      <c r="B1667" s="608" t="s">
        <v>1317</v>
      </c>
      <c r="C1667" s="608" t="s">
        <v>144</v>
      </c>
      <c r="D1667" s="609">
        <v>2118.2399999999998</v>
      </c>
      <c r="E1667" s="609">
        <v>1930.15</v>
      </c>
      <c r="F1667" s="609">
        <v>2180.08</v>
      </c>
      <c r="G1667" s="609">
        <v>4370.8</v>
      </c>
      <c r="H1667" s="609">
        <v>5335</v>
      </c>
      <c r="I1667" s="609">
        <v>5330.64</v>
      </c>
      <c r="J1667" s="609">
        <v>5331</v>
      </c>
      <c r="K1667" s="609">
        <v>5197</v>
      </c>
      <c r="L1667" s="609">
        <v>0</v>
      </c>
      <c r="M1667" s="609">
        <v>0</v>
      </c>
      <c r="N1667" s="587">
        <f t="shared" si="183"/>
        <v>5197</v>
      </c>
      <c r="Q1667" t="str">
        <f t="shared" si="184"/>
        <v>50630</v>
      </c>
      <c r="R1667" s="126" t="str">
        <f t="shared" si="188"/>
        <v>WORKER COMPENSATION</v>
      </c>
      <c r="S1667" s="125" t="str">
        <f t="shared" si="189"/>
        <v>200</v>
      </c>
      <c r="T1667" s="125" t="str">
        <f t="shared" si="185"/>
        <v>73</v>
      </c>
      <c r="U1667" s="125" t="str">
        <f t="shared" si="186"/>
        <v>734</v>
      </c>
      <c r="V1667" s="125" t="str">
        <f>VLOOKUP(Q1667,'GL Category'!A:C,3,FALSE)</f>
        <v>Personnel services</v>
      </c>
      <c r="X1667" s="83"/>
    </row>
    <row r="1668" spans="1:24" ht="14.4" customHeight="1">
      <c r="A1668" s="608" t="s">
        <v>1037</v>
      </c>
      <c r="B1668" s="608" t="s">
        <v>1318</v>
      </c>
      <c r="C1668" s="608" t="s">
        <v>2</v>
      </c>
      <c r="D1668" s="609">
        <v>45045.37</v>
      </c>
      <c r="E1668" s="609">
        <v>48533.22</v>
      </c>
      <c r="F1668" s="609">
        <v>50172.01</v>
      </c>
      <c r="G1668" s="609">
        <v>54213.19</v>
      </c>
      <c r="H1668" s="609">
        <v>54907</v>
      </c>
      <c r="I1668" s="609">
        <v>47766.23</v>
      </c>
      <c r="J1668" s="609">
        <v>60587</v>
      </c>
      <c r="K1668" s="609">
        <v>58221</v>
      </c>
      <c r="L1668" s="609">
        <v>0</v>
      </c>
      <c r="M1668" s="609">
        <v>0</v>
      </c>
      <c r="N1668" s="587">
        <f t="shared" ref="N1668:N1731" si="190">SUM(K1668:M1668)</f>
        <v>58221</v>
      </c>
      <c r="Q1668" t="str">
        <f t="shared" ref="Q1668:Q1731" si="191">MID(B1668,12,5)</f>
        <v>50650</v>
      </c>
      <c r="R1668" s="126" t="str">
        <f t="shared" si="188"/>
        <v>RETIREMENT</v>
      </c>
      <c r="S1668" s="125" t="str">
        <f t="shared" si="189"/>
        <v>200</v>
      </c>
      <c r="T1668" s="125" t="str">
        <f t="shared" ref="T1668:T1731" si="192">MID(B1668,5,2)</f>
        <v>73</v>
      </c>
      <c r="U1668" s="125" t="str">
        <f t="shared" ref="U1668:U1731" si="193">MID(B1668,8,3)</f>
        <v>734</v>
      </c>
      <c r="V1668" s="125" t="str">
        <f>VLOOKUP(Q1668,'GL Category'!A:C,3,FALSE)</f>
        <v>Personnel services</v>
      </c>
      <c r="X1668" s="83"/>
    </row>
    <row r="1669" spans="1:24" ht="14.4" customHeight="1">
      <c r="A1669" s="608" t="s">
        <v>1037</v>
      </c>
      <c r="B1669" s="608" t="s">
        <v>1331</v>
      </c>
      <c r="C1669" s="608" t="s">
        <v>149</v>
      </c>
      <c r="D1669" s="609">
        <v>0</v>
      </c>
      <c r="E1669" s="609">
        <v>0</v>
      </c>
      <c r="F1669" s="609">
        <v>0</v>
      </c>
      <c r="G1669" s="609">
        <v>0</v>
      </c>
      <c r="H1669" s="609">
        <v>0</v>
      </c>
      <c r="I1669" s="609">
        <v>0</v>
      </c>
      <c r="J1669" s="609">
        <v>0</v>
      </c>
      <c r="K1669" s="609">
        <v>0</v>
      </c>
      <c r="L1669" s="609">
        <v>0</v>
      </c>
      <c r="M1669" s="609">
        <v>0</v>
      </c>
      <c r="N1669" s="587">
        <f t="shared" si="190"/>
        <v>0</v>
      </c>
      <c r="Q1669" t="str">
        <f t="shared" si="191"/>
        <v>51210</v>
      </c>
      <c r="R1669" s="126" t="str">
        <f t="shared" si="188"/>
        <v>OFFICE SUPPLIES</v>
      </c>
      <c r="S1669" s="125" t="str">
        <f t="shared" si="189"/>
        <v>200</v>
      </c>
      <c r="T1669" s="125" t="str">
        <f t="shared" si="192"/>
        <v>73</v>
      </c>
      <c r="U1669" s="125" t="str">
        <f t="shared" si="193"/>
        <v>734</v>
      </c>
      <c r="V1669" s="125" t="str">
        <f>VLOOKUP(Q1669,'GL Category'!A:C,3,FALSE)</f>
        <v>Operations &amp; maintenance</v>
      </c>
      <c r="X1669" s="83"/>
    </row>
    <row r="1670" spans="1:24" ht="14.4" customHeight="1">
      <c r="A1670" s="608" t="s">
        <v>1037</v>
      </c>
      <c r="B1670" s="608" t="s">
        <v>1319</v>
      </c>
      <c r="C1670" s="608" t="s">
        <v>4</v>
      </c>
      <c r="D1670" s="609">
        <v>1313.96</v>
      </c>
      <c r="E1670" s="609">
        <v>3930.59</v>
      </c>
      <c r="F1670" s="609">
        <v>2036.94</v>
      </c>
      <c r="G1670" s="609">
        <v>5244.18</v>
      </c>
      <c r="H1670" s="609">
        <v>6000</v>
      </c>
      <c r="I1670" s="609">
        <v>847.28</v>
      </c>
      <c r="J1670" s="609">
        <v>5500</v>
      </c>
      <c r="K1670" s="609">
        <v>5500</v>
      </c>
      <c r="L1670" s="609">
        <v>0</v>
      </c>
      <c r="M1670" s="609">
        <v>0</v>
      </c>
      <c r="N1670" s="587">
        <f t="shared" si="190"/>
        <v>5500</v>
      </c>
      <c r="Q1670" t="str">
        <f t="shared" si="191"/>
        <v>51245</v>
      </c>
      <c r="R1670" s="126" t="str">
        <f t="shared" si="188"/>
        <v>SMALL TOOLS &amp; EQUIPMENT</v>
      </c>
      <c r="S1670" s="125" t="str">
        <f t="shared" si="189"/>
        <v>200</v>
      </c>
      <c r="T1670" s="125" t="str">
        <f t="shared" si="192"/>
        <v>73</v>
      </c>
      <c r="U1670" s="125" t="str">
        <f t="shared" si="193"/>
        <v>734</v>
      </c>
      <c r="V1670" s="125" t="str">
        <f>VLOOKUP(Q1670,'GL Category'!A:C,3,FALSE)</f>
        <v>Operations &amp; maintenance</v>
      </c>
      <c r="X1670" s="83"/>
    </row>
    <row r="1671" spans="1:24" ht="14.4" customHeight="1">
      <c r="A1671" s="608" t="s">
        <v>1037</v>
      </c>
      <c r="B1671" s="608" t="s">
        <v>1320</v>
      </c>
      <c r="C1671" s="608" t="s">
        <v>161</v>
      </c>
      <c r="D1671" s="609">
        <v>4366.24</v>
      </c>
      <c r="E1671" s="609">
        <v>12215.68</v>
      </c>
      <c r="F1671" s="609">
        <v>11703.49</v>
      </c>
      <c r="G1671" s="609">
        <v>8306.42</v>
      </c>
      <c r="H1671" s="609">
        <v>13000</v>
      </c>
      <c r="I1671" s="609">
        <v>5537.09</v>
      </c>
      <c r="J1671" s="609">
        <v>10000</v>
      </c>
      <c r="K1671" s="609">
        <v>12000</v>
      </c>
      <c r="L1671" s="609">
        <v>0</v>
      </c>
      <c r="M1671" s="609">
        <v>0</v>
      </c>
      <c r="N1671" s="587">
        <f t="shared" si="190"/>
        <v>12000</v>
      </c>
      <c r="P1671" s="490">
        <f>N1671-H1671</f>
        <v>-1000</v>
      </c>
      <c r="Q1671" t="str">
        <f t="shared" si="191"/>
        <v>51255</v>
      </c>
      <c r="R1671" s="126" t="str">
        <f t="shared" si="188"/>
        <v>FUEL/OILS/LUBRICANTS</v>
      </c>
      <c r="S1671" s="125" t="str">
        <f t="shared" si="189"/>
        <v>200</v>
      </c>
      <c r="T1671" s="125" t="str">
        <f t="shared" si="192"/>
        <v>73</v>
      </c>
      <c r="U1671" s="125" t="str">
        <f t="shared" si="193"/>
        <v>734</v>
      </c>
      <c r="V1671" s="125" t="str">
        <f>VLOOKUP(Q1671,'GL Category'!A:C,3,FALSE)</f>
        <v>Operations &amp; maintenance</v>
      </c>
      <c r="X1671" s="83"/>
    </row>
    <row r="1672" spans="1:24" ht="14.4" customHeight="1">
      <c r="A1672" s="608" t="s">
        <v>1037</v>
      </c>
      <c r="B1672" s="608" t="s">
        <v>1321</v>
      </c>
      <c r="C1672" s="608" t="s">
        <v>276</v>
      </c>
      <c r="D1672" s="609">
        <v>1618.59</v>
      </c>
      <c r="E1672" s="609">
        <v>648.92999999999995</v>
      </c>
      <c r="F1672" s="609">
        <v>0</v>
      </c>
      <c r="G1672" s="609">
        <v>0</v>
      </c>
      <c r="H1672" s="609">
        <v>1500</v>
      </c>
      <c r="I1672" s="609">
        <v>0</v>
      </c>
      <c r="J1672" s="609">
        <v>500</v>
      </c>
      <c r="K1672" s="609">
        <v>1000</v>
      </c>
      <c r="L1672" s="609">
        <v>0</v>
      </c>
      <c r="M1672" s="609">
        <v>0</v>
      </c>
      <c r="N1672" s="587">
        <f t="shared" si="190"/>
        <v>1000</v>
      </c>
      <c r="Q1672" t="str">
        <f t="shared" si="191"/>
        <v>51270</v>
      </c>
      <c r="R1672" s="126" t="str">
        <f t="shared" si="188"/>
        <v>CHEMICAL SUPPLIES</v>
      </c>
      <c r="S1672" s="125" t="str">
        <f t="shared" si="189"/>
        <v>200</v>
      </c>
      <c r="T1672" s="125" t="str">
        <f t="shared" si="192"/>
        <v>73</v>
      </c>
      <c r="U1672" s="125" t="str">
        <f t="shared" si="193"/>
        <v>734</v>
      </c>
      <c r="V1672" s="125" t="str">
        <f>VLOOKUP(Q1672,'GL Category'!A:C,3,FALSE)</f>
        <v>Operations &amp; maintenance</v>
      </c>
      <c r="X1672" s="83"/>
    </row>
    <row r="1673" spans="1:24" ht="14.4" customHeight="1">
      <c r="A1673" s="608" t="s">
        <v>1037</v>
      </c>
      <c r="B1673" s="608" t="s">
        <v>1322</v>
      </c>
      <c r="C1673" s="608" t="s">
        <v>1121</v>
      </c>
      <c r="D1673" s="609">
        <v>0</v>
      </c>
      <c r="E1673" s="609">
        <v>6498.11</v>
      </c>
      <c r="F1673" s="609">
        <v>9893.4599999999991</v>
      </c>
      <c r="G1673" s="609">
        <v>12485</v>
      </c>
      <c r="H1673" s="609">
        <v>14600</v>
      </c>
      <c r="I1673" s="609">
        <v>6610.1</v>
      </c>
      <c r="J1673" s="609">
        <v>13000</v>
      </c>
      <c r="K1673" s="609">
        <v>13000</v>
      </c>
      <c r="L1673" s="609">
        <v>0</v>
      </c>
      <c r="M1673" s="609">
        <v>0</v>
      </c>
      <c r="N1673" s="587">
        <f t="shared" si="190"/>
        <v>13000</v>
      </c>
      <c r="P1673" s="490">
        <f t="shared" ref="P1673:P1682" si="194">N1673-H1673</f>
        <v>-1600</v>
      </c>
      <c r="Q1673" t="str">
        <f t="shared" si="191"/>
        <v>51273</v>
      </c>
      <c r="R1673" s="126" t="str">
        <f t="shared" si="188"/>
        <v>TESTING SUPPLIES</v>
      </c>
      <c r="S1673" s="125" t="str">
        <f t="shared" si="189"/>
        <v>200</v>
      </c>
      <c r="T1673" s="125" t="str">
        <f t="shared" si="192"/>
        <v>73</v>
      </c>
      <c r="U1673" s="125" t="str">
        <f t="shared" si="193"/>
        <v>734</v>
      </c>
      <c r="V1673" s="125" t="str">
        <f>VLOOKUP(Q1673,'GL Category'!A:C,3,FALSE)</f>
        <v>Operations &amp; maintenance</v>
      </c>
      <c r="X1673" s="83"/>
    </row>
    <row r="1674" spans="1:24" ht="14.4" customHeight="1">
      <c r="A1674" s="608" t="s">
        <v>1037</v>
      </c>
      <c r="B1674" s="608" t="s">
        <v>1323</v>
      </c>
      <c r="C1674" s="608" t="s">
        <v>167</v>
      </c>
      <c r="D1674" s="609">
        <v>2496.15</v>
      </c>
      <c r="E1674" s="609">
        <v>2713.02</v>
      </c>
      <c r="F1674" s="609">
        <v>2060.4499999999998</v>
      </c>
      <c r="G1674" s="609">
        <v>2923.72</v>
      </c>
      <c r="H1674" s="609">
        <v>3000</v>
      </c>
      <c r="I1674" s="609">
        <v>2292.77</v>
      </c>
      <c r="J1674" s="609">
        <v>3000</v>
      </c>
      <c r="K1674" s="609">
        <v>3000</v>
      </c>
      <c r="L1674" s="609">
        <v>0</v>
      </c>
      <c r="M1674" s="609">
        <v>0</v>
      </c>
      <c r="N1674" s="587">
        <f t="shared" si="190"/>
        <v>3000</v>
      </c>
      <c r="P1674" s="490">
        <f t="shared" si="194"/>
        <v>0</v>
      </c>
      <c r="Q1674" t="str">
        <f t="shared" si="191"/>
        <v>51285</v>
      </c>
      <c r="R1674" s="126" t="str">
        <f t="shared" si="188"/>
        <v>WEARING APPAREL</v>
      </c>
      <c r="S1674" s="125" t="str">
        <f t="shared" si="189"/>
        <v>200</v>
      </c>
      <c r="T1674" s="125" t="str">
        <f t="shared" si="192"/>
        <v>73</v>
      </c>
      <c r="U1674" s="125" t="str">
        <f t="shared" si="193"/>
        <v>734</v>
      </c>
      <c r="V1674" s="125" t="str">
        <f>VLOOKUP(Q1674,'GL Category'!A:C,3,FALSE)</f>
        <v>Operations &amp; maintenance</v>
      </c>
      <c r="X1674" s="83"/>
    </row>
    <row r="1675" spans="1:24" ht="14.4" customHeight="1">
      <c r="A1675" s="608" t="s">
        <v>1037</v>
      </c>
      <c r="B1675" s="608" t="s">
        <v>1324</v>
      </c>
      <c r="C1675" s="608" t="s">
        <v>274</v>
      </c>
      <c r="D1675" s="609">
        <v>123.88</v>
      </c>
      <c r="E1675" s="609">
        <v>260.66000000000003</v>
      </c>
      <c r="F1675" s="609">
        <v>102.82</v>
      </c>
      <c r="G1675" s="609">
        <v>0</v>
      </c>
      <c r="H1675" s="609">
        <v>0</v>
      </c>
      <c r="I1675" s="609">
        <v>0</v>
      </c>
      <c r="J1675" s="609">
        <v>0</v>
      </c>
      <c r="K1675" s="609">
        <v>0</v>
      </c>
      <c r="L1675" s="609">
        <v>0</v>
      </c>
      <c r="M1675" s="609">
        <v>0</v>
      </c>
      <c r="N1675" s="587">
        <f t="shared" si="190"/>
        <v>0</v>
      </c>
      <c r="P1675" s="490">
        <f t="shared" si="194"/>
        <v>0</v>
      </c>
      <c r="Q1675" t="str">
        <f t="shared" si="191"/>
        <v>51287</v>
      </c>
      <c r="R1675" s="126" t="str">
        <f t="shared" si="188"/>
        <v>SAFETY EQUIPMENT/SUPPLIES</v>
      </c>
      <c r="S1675" s="125" t="str">
        <f t="shared" si="189"/>
        <v>200</v>
      </c>
      <c r="T1675" s="125" t="str">
        <f t="shared" si="192"/>
        <v>73</v>
      </c>
      <c r="U1675" s="125" t="str">
        <f t="shared" si="193"/>
        <v>734</v>
      </c>
      <c r="V1675" s="125" t="str">
        <f>VLOOKUP(Q1675,'GL Category'!A:C,3,FALSE)</f>
        <v>Operations &amp; maintenance</v>
      </c>
      <c r="X1675" s="83"/>
    </row>
    <row r="1676" spans="1:24" ht="14.4" customHeight="1">
      <c r="A1676" s="608" t="s">
        <v>1037</v>
      </c>
      <c r="B1676" s="608" t="s">
        <v>1324</v>
      </c>
      <c r="C1676" s="608" t="s">
        <v>274</v>
      </c>
      <c r="D1676" s="609">
        <v>0</v>
      </c>
      <c r="E1676" s="609">
        <v>0</v>
      </c>
      <c r="F1676" s="609">
        <v>0</v>
      </c>
      <c r="G1676" s="609">
        <v>0</v>
      </c>
      <c r="H1676" s="609">
        <v>0</v>
      </c>
      <c r="I1676" s="609">
        <v>0</v>
      </c>
      <c r="J1676" s="609">
        <v>0</v>
      </c>
      <c r="K1676" s="609">
        <v>0</v>
      </c>
      <c r="L1676" s="609">
        <v>0</v>
      </c>
      <c r="M1676" s="609">
        <v>0</v>
      </c>
      <c r="N1676" s="587">
        <f t="shared" si="190"/>
        <v>0</v>
      </c>
      <c r="P1676" s="490">
        <f t="shared" si="194"/>
        <v>0</v>
      </c>
      <c r="Q1676" t="str">
        <f t="shared" si="191"/>
        <v>51287</v>
      </c>
      <c r="R1676" s="126" t="str">
        <f t="shared" si="188"/>
        <v>SAFETY EQUIPMENT/SUPPLIES</v>
      </c>
      <c r="S1676" s="125" t="str">
        <f t="shared" si="189"/>
        <v>200</v>
      </c>
      <c r="T1676" s="125" t="str">
        <f t="shared" si="192"/>
        <v>73</v>
      </c>
      <c r="U1676" s="125" t="str">
        <f t="shared" si="193"/>
        <v>734</v>
      </c>
      <c r="V1676" s="125" t="str">
        <f>VLOOKUP(Q1676,'GL Category'!A:C,3,FALSE)</f>
        <v>Operations &amp; maintenance</v>
      </c>
      <c r="X1676" s="83"/>
    </row>
    <row r="1677" spans="1:24" ht="14.4" customHeight="1">
      <c r="A1677" s="608" t="s">
        <v>1037</v>
      </c>
      <c r="B1677" s="608" t="s">
        <v>1325</v>
      </c>
      <c r="C1677" s="608" t="s">
        <v>169</v>
      </c>
      <c r="D1677" s="609">
        <v>11526.27</v>
      </c>
      <c r="E1677" s="609">
        <v>0</v>
      </c>
      <c r="F1677" s="609">
        <v>0</v>
      </c>
      <c r="G1677" s="609">
        <v>0</v>
      </c>
      <c r="H1677" s="609">
        <v>0</v>
      </c>
      <c r="I1677" s="609">
        <v>0</v>
      </c>
      <c r="J1677" s="609">
        <v>0</v>
      </c>
      <c r="K1677" s="609">
        <v>0</v>
      </c>
      <c r="L1677" s="609">
        <v>0</v>
      </c>
      <c r="M1677" s="609">
        <v>0</v>
      </c>
      <c r="N1677" s="587">
        <f t="shared" si="190"/>
        <v>0</v>
      </c>
      <c r="P1677" s="490">
        <f t="shared" si="194"/>
        <v>0</v>
      </c>
      <c r="Q1677" t="str">
        <f t="shared" si="191"/>
        <v>51299</v>
      </c>
      <c r="R1677" s="126" t="str">
        <f t="shared" si="188"/>
        <v>MISCELLANEOUS SUPPLIES</v>
      </c>
      <c r="S1677" s="125" t="str">
        <f t="shared" si="189"/>
        <v>200</v>
      </c>
      <c r="T1677" s="125" t="str">
        <f t="shared" si="192"/>
        <v>73</v>
      </c>
      <c r="U1677" s="125" t="str">
        <f t="shared" si="193"/>
        <v>734</v>
      </c>
      <c r="V1677" s="125" t="str">
        <f>VLOOKUP(Q1677,'GL Category'!A:C,3,FALSE)</f>
        <v>Operations &amp; maintenance</v>
      </c>
      <c r="X1677" s="83"/>
    </row>
    <row r="1678" spans="1:24" ht="14.4" customHeight="1">
      <c r="A1678" s="608" t="s">
        <v>1037</v>
      </c>
      <c r="B1678" s="608" t="s">
        <v>1325</v>
      </c>
      <c r="C1678" s="608" t="s">
        <v>169</v>
      </c>
      <c r="D1678" s="609">
        <v>0</v>
      </c>
      <c r="E1678" s="609">
        <v>0</v>
      </c>
      <c r="F1678" s="609">
        <v>0</v>
      </c>
      <c r="G1678" s="609">
        <v>0</v>
      </c>
      <c r="H1678" s="609">
        <v>0</v>
      </c>
      <c r="I1678" s="609">
        <v>0</v>
      </c>
      <c r="J1678" s="609">
        <v>0</v>
      </c>
      <c r="K1678" s="609">
        <v>0</v>
      </c>
      <c r="L1678" s="609">
        <v>0</v>
      </c>
      <c r="M1678" s="609">
        <v>0</v>
      </c>
      <c r="N1678" s="587">
        <f t="shared" si="190"/>
        <v>0</v>
      </c>
      <c r="P1678" s="490">
        <f t="shared" si="194"/>
        <v>0</v>
      </c>
      <c r="Q1678" t="str">
        <f t="shared" si="191"/>
        <v>51299</v>
      </c>
      <c r="R1678" s="126" t="str">
        <f t="shared" si="188"/>
        <v>MISCELLANEOUS SUPPLIES</v>
      </c>
      <c r="S1678" s="125" t="str">
        <f t="shared" si="189"/>
        <v>200</v>
      </c>
      <c r="T1678" s="125" t="str">
        <f t="shared" si="192"/>
        <v>73</v>
      </c>
      <c r="U1678" s="125" t="str">
        <f t="shared" si="193"/>
        <v>734</v>
      </c>
      <c r="V1678" s="125" t="str">
        <f>VLOOKUP(Q1678,'GL Category'!A:C,3,FALSE)</f>
        <v>Operations &amp; maintenance</v>
      </c>
      <c r="X1678" s="83"/>
    </row>
    <row r="1679" spans="1:24" ht="14.4" customHeight="1">
      <c r="A1679" s="608" t="s">
        <v>1037</v>
      </c>
      <c r="B1679" s="608" t="s">
        <v>1326</v>
      </c>
      <c r="C1679" s="608" t="s">
        <v>171</v>
      </c>
      <c r="D1679" s="609">
        <v>11404.1</v>
      </c>
      <c r="E1679" s="609">
        <v>8178</v>
      </c>
      <c r="F1679" s="609">
        <v>1832</v>
      </c>
      <c r="G1679" s="609">
        <v>7914.1</v>
      </c>
      <c r="H1679" s="609">
        <v>17000</v>
      </c>
      <c r="I1679" s="609">
        <v>2132.5</v>
      </c>
      <c r="J1679" s="609">
        <v>13000</v>
      </c>
      <c r="K1679" s="609">
        <v>15000</v>
      </c>
      <c r="L1679" s="609">
        <v>0</v>
      </c>
      <c r="M1679" s="609">
        <v>0</v>
      </c>
      <c r="N1679" s="587">
        <f t="shared" si="190"/>
        <v>15000</v>
      </c>
      <c r="P1679" s="490">
        <f t="shared" si="194"/>
        <v>-2000</v>
      </c>
      <c r="Q1679" t="str">
        <f t="shared" si="191"/>
        <v>52310</v>
      </c>
      <c r="R1679" s="126" t="str">
        <f t="shared" si="188"/>
        <v>BUILDING MAINTENANCE</v>
      </c>
      <c r="S1679" s="125" t="str">
        <f t="shared" si="189"/>
        <v>200</v>
      </c>
      <c r="T1679" s="125" t="str">
        <f t="shared" si="192"/>
        <v>73</v>
      </c>
      <c r="U1679" s="125" t="str">
        <f t="shared" si="193"/>
        <v>734</v>
      </c>
      <c r="V1679" s="125" t="str">
        <f>VLOOKUP(Q1679,'GL Category'!A:C,3,FALSE)</f>
        <v>Operations &amp; maintenance</v>
      </c>
      <c r="X1679" s="83"/>
    </row>
    <row r="1680" spans="1:24" ht="14.4" customHeight="1">
      <c r="A1680" s="608" t="s">
        <v>1037</v>
      </c>
      <c r="B1680" s="608" t="s">
        <v>1327</v>
      </c>
      <c r="C1680" s="608" t="s">
        <v>173</v>
      </c>
      <c r="D1680" s="609">
        <v>259.88</v>
      </c>
      <c r="E1680" s="609">
        <v>0</v>
      </c>
      <c r="F1680" s="609">
        <v>0</v>
      </c>
      <c r="G1680" s="609">
        <v>0</v>
      </c>
      <c r="H1680" s="609">
        <v>0</v>
      </c>
      <c r="I1680" s="609">
        <v>0</v>
      </c>
      <c r="J1680" s="609">
        <v>0</v>
      </c>
      <c r="K1680" s="609">
        <v>0</v>
      </c>
      <c r="L1680" s="609">
        <v>0</v>
      </c>
      <c r="M1680" s="609">
        <v>0</v>
      </c>
      <c r="N1680" s="587">
        <f t="shared" si="190"/>
        <v>0</v>
      </c>
      <c r="P1680" s="490">
        <f t="shared" si="194"/>
        <v>0</v>
      </c>
      <c r="Q1680" t="str">
        <f t="shared" si="191"/>
        <v>52311</v>
      </c>
      <c r="R1680" s="126" t="str">
        <f t="shared" si="188"/>
        <v>GROUNDS MAINTENANCE</v>
      </c>
      <c r="S1680" s="125" t="str">
        <f t="shared" si="189"/>
        <v>200</v>
      </c>
      <c r="T1680" s="125" t="str">
        <f t="shared" si="192"/>
        <v>73</v>
      </c>
      <c r="U1680" s="125" t="str">
        <f t="shared" si="193"/>
        <v>734</v>
      </c>
      <c r="V1680" s="125" t="str">
        <f>VLOOKUP(Q1680,'GL Category'!A:C,3,FALSE)</f>
        <v>Operations &amp; maintenance</v>
      </c>
      <c r="X1680" s="83"/>
    </row>
    <row r="1681" spans="1:24" ht="14.4" customHeight="1">
      <c r="A1681" s="608" t="s">
        <v>1037</v>
      </c>
      <c r="B1681" s="608" t="s">
        <v>1328</v>
      </c>
      <c r="C1681" s="608" t="s">
        <v>355</v>
      </c>
      <c r="D1681" s="609">
        <v>20089.64</v>
      </c>
      <c r="E1681" s="609">
        <v>45836.91</v>
      </c>
      <c r="F1681" s="609">
        <v>39336.97</v>
      </c>
      <c r="G1681" s="609">
        <v>66876.66</v>
      </c>
      <c r="H1681" s="609">
        <v>36000</v>
      </c>
      <c r="I1681" s="609">
        <v>19306.09</v>
      </c>
      <c r="J1681" s="609">
        <v>40000</v>
      </c>
      <c r="K1681" s="609">
        <v>36000</v>
      </c>
      <c r="L1681" s="609">
        <v>0</v>
      </c>
      <c r="M1681" s="609">
        <v>0</v>
      </c>
      <c r="N1681" s="587">
        <f t="shared" si="190"/>
        <v>36000</v>
      </c>
      <c r="P1681" s="490">
        <f t="shared" si="194"/>
        <v>0</v>
      </c>
      <c r="Q1681" t="str">
        <f t="shared" si="191"/>
        <v>52410</v>
      </c>
      <c r="R1681" s="126" t="str">
        <f t="shared" si="188"/>
        <v>PUMP/MOTOR/WELL MAINTENANCE</v>
      </c>
      <c r="S1681" s="125" t="str">
        <f t="shared" si="189"/>
        <v>200</v>
      </c>
      <c r="T1681" s="125" t="str">
        <f t="shared" si="192"/>
        <v>73</v>
      </c>
      <c r="U1681" s="125" t="str">
        <f t="shared" si="193"/>
        <v>734</v>
      </c>
      <c r="V1681" s="125" t="str">
        <f>VLOOKUP(Q1681,'GL Category'!A:C,3,FALSE)</f>
        <v>Operations &amp; maintenance</v>
      </c>
      <c r="X1681" s="83"/>
    </row>
    <row r="1682" spans="1:24" ht="14.4" customHeight="1">
      <c r="A1682" s="608" t="s">
        <v>1037</v>
      </c>
      <c r="B1682" s="608" t="s">
        <v>1328</v>
      </c>
      <c r="C1682" s="608" t="s">
        <v>355</v>
      </c>
      <c r="D1682" s="609">
        <v>0</v>
      </c>
      <c r="E1682" s="609">
        <v>541.08000000000004</v>
      </c>
      <c r="F1682" s="609">
        <v>0</v>
      </c>
      <c r="G1682" s="609">
        <v>0</v>
      </c>
      <c r="H1682" s="609">
        <v>0</v>
      </c>
      <c r="I1682" s="609">
        <v>0</v>
      </c>
      <c r="J1682" s="609">
        <v>0</v>
      </c>
      <c r="K1682" s="609">
        <v>0</v>
      </c>
      <c r="L1682" s="609">
        <v>0</v>
      </c>
      <c r="M1682" s="609">
        <v>0</v>
      </c>
      <c r="N1682" s="587">
        <f t="shared" si="190"/>
        <v>0</v>
      </c>
      <c r="P1682" s="490">
        <f t="shared" si="194"/>
        <v>0</v>
      </c>
      <c r="Q1682" t="str">
        <f t="shared" si="191"/>
        <v>52410</v>
      </c>
      <c r="R1682" s="126" t="str">
        <f t="shared" si="188"/>
        <v>PUMP/MOTOR/WELL MAINTENANCE</v>
      </c>
      <c r="S1682" s="125" t="str">
        <f t="shared" si="189"/>
        <v>200</v>
      </c>
      <c r="T1682" s="125" t="str">
        <f t="shared" si="192"/>
        <v>73</v>
      </c>
      <c r="U1682" s="125" t="str">
        <f t="shared" si="193"/>
        <v>734</v>
      </c>
      <c r="V1682" s="125" t="str">
        <f>VLOOKUP(Q1682,'GL Category'!A:C,3,FALSE)</f>
        <v>Operations &amp; maintenance</v>
      </c>
      <c r="X1682" s="83"/>
    </row>
    <row r="1683" spans="1:24" ht="14.4" customHeight="1">
      <c r="A1683" s="608" t="s">
        <v>1037</v>
      </c>
      <c r="B1683" s="608" t="s">
        <v>3235</v>
      </c>
      <c r="C1683" s="608" t="s">
        <v>1122</v>
      </c>
      <c r="D1683" s="609">
        <v>0</v>
      </c>
      <c r="E1683" s="609">
        <v>8393.59</v>
      </c>
      <c r="F1683" s="609">
        <v>3233.6</v>
      </c>
      <c r="G1683" s="609">
        <v>28211.21</v>
      </c>
      <c r="H1683" s="609">
        <v>17500</v>
      </c>
      <c r="I1683" s="609">
        <v>5532.7</v>
      </c>
      <c r="J1683" s="609">
        <v>15000</v>
      </c>
      <c r="K1683" s="609">
        <v>17500</v>
      </c>
      <c r="L1683" s="609">
        <v>0</v>
      </c>
      <c r="M1683" s="609">
        <v>0</v>
      </c>
      <c r="N1683" s="587">
        <f t="shared" si="190"/>
        <v>17500</v>
      </c>
      <c r="Q1683" t="str">
        <f t="shared" si="191"/>
        <v>52436</v>
      </c>
      <c r="R1683" s="126" t="str">
        <f t="shared" si="188"/>
        <v>SCADA MAINTENANCE</v>
      </c>
      <c r="S1683" s="125" t="str">
        <f t="shared" si="189"/>
        <v>200</v>
      </c>
      <c r="T1683" s="125" t="str">
        <f t="shared" si="192"/>
        <v>73</v>
      </c>
      <c r="U1683" s="125" t="str">
        <f t="shared" si="193"/>
        <v>734</v>
      </c>
      <c r="V1683" s="125" t="str">
        <f>VLOOKUP(Q1683,'GL Category'!A:C,3,FALSE)</f>
        <v>Operations &amp; maintenance</v>
      </c>
      <c r="X1683" s="83"/>
    </row>
    <row r="1684" spans="1:24" ht="14.4" customHeight="1">
      <c r="A1684" s="608" t="s">
        <v>1037</v>
      </c>
      <c r="B1684" s="608" t="s">
        <v>1329</v>
      </c>
      <c r="C1684" s="608" t="s">
        <v>241</v>
      </c>
      <c r="D1684" s="609">
        <v>6643.55</v>
      </c>
      <c r="E1684" s="609">
        <v>5098.6899999999996</v>
      </c>
      <c r="F1684" s="609">
        <v>2095.54</v>
      </c>
      <c r="G1684" s="609">
        <v>2478.63</v>
      </c>
      <c r="H1684" s="609">
        <v>3750</v>
      </c>
      <c r="I1684" s="609">
        <v>5085.18</v>
      </c>
      <c r="J1684" s="609">
        <v>6000</v>
      </c>
      <c r="K1684" s="609">
        <v>4500</v>
      </c>
      <c r="L1684" s="609">
        <v>0</v>
      </c>
      <c r="M1684" s="609">
        <v>0</v>
      </c>
      <c r="N1684" s="587">
        <f t="shared" si="190"/>
        <v>4500</v>
      </c>
      <c r="Q1684" t="str">
        <f t="shared" si="191"/>
        <v>52460</v>
      </c>
      <c r="R1684" s="126" t="str">
        <f t="shared" si="188"/>
        <v>VEHICLE MAINTENANCE</v>
      </c>
      <c r="S1684" s="125" t="str">
        <f t="shared" si="189"/>
        <v>200</v>
      </c>
      <c r="T1684" s="125" t="str">
        <f t="shared" si="192"/>
        <v>73</v>
      </c>
      <c r="U1684" s="125" t="str">
        <f t="shared" si="193"/>
        <v>734</v>
      </c>
      <c r="V1684" s="125" t="str">
        <f>VLOOKUP(Q1684,'GL Category'!A:C,3,FALSE)</f>
        <v>Operations &amp; maintenance</v>
      </c>
      <c r="X1684" s="83"/>
    </row>
    <row r="1685" spans="1:24" ht="14.4" customHeight="1">
      <c r="A1685" s="608" t="s">
        <v>1037</v>
      </c>
      <c r="B1685" s="608" t="s">
        <v>1330</v>
      </c>
      <c r="C1685" s="608" t="s">
        <v>236</v>
      </c>
      <c r="D1685" s="609">
        <v>544.01</v>
      </c>
      <c r="E1685" s="609">
        <v>0</v>
      </c>
      <c r="F1685" s="609">
        <v>562.46</v>
      </c>
      <c r="G1685" s="609">
        <v>0</v>
      </c>
      <c r="H1685" s="609">
        <v>1500</v>
      </c>
      <c r="I1685" s="609">
        <v>43.21</v>
      </c>
      <c r="J1685" s="609">
        <v>1000</v>
      </c>
      <c r="K1685" s="609">
        <v>1500</v>
      </c>
      <c r="L1685" s="609">
        <v>0</v>
      </c>
      <c r="M1685" s="609">
        <v>0</v>
      </c>
      <c r="N1685" s="587">
        <f t="shared" si="190"/>
        <v>1500</v>
      </c>
      <c r="Q1685" t="str">
        <f t="shared" si="191"/>
        <v>52470</v>
      </c>
      <c r="R1685" s="126" t="str">
        <f t="shared" si="188"/>
        <v>EQUIPMENT MAINTENANCE</v>
      </c>
      <c r="S1685" s="125" t="str">
        <f t="shared" si="189"/>
        <v>200</v>
      </c>
      <c r="T1685" s="125" t="str">
        <f t="shared" si="192"/>
        <v>73</v>
      </c>
      <c r="U1685" s="125" t="str">
        <f t="shared" si="193"/>
        <v>734</v>
      </c>
      <c r="V1685" s="125" t="str">
        <f>VLOOKUP(Q1685,'GL Category'!A:C,3,FALSE)</f>
        <v>Operations &amp; maintenance</v>
      </c>
      <c r="X1685" s="83"/>
    </row>
    <row r="1686" spans="1:24" ht="14.4" customHeight="1">
      <c r="A1686" s="608" t="s">
        <v>1037</v>
      </c>
      <c r="B1686" s="608" t="s">
        <v>1332</v>
      </c>
      <c r="C1686" s="608" t="s">
        <v>288</v>
      </c>
      <c r="D1686" s="609">
        <v>25360.55</v>
      </c>
      <c r="E1686" s="609">
        <v>936.25</v>
      </c>
      <c r="F1686" s="609">
        <v>0</v>
      </c>
      <c r="G1686" s="609">
        <v>0</v>
      </c>
      <c r="H1686" s="609">
        <v>0</v>
      </c>
      <c r="I1686" s="609">
        <v>0</v>
      </c>
      <c r="J1686" s="609">
        <v>0</v>
      </c>
      <c r="K1686" s="609">
        <v>0</v>
      </c>
      <c r="L1686" s="609">
        <v>0</v>
      </c>
      <c r="M1686" s="609">
        <v>0</v>
      </c>
      <c r="N1686" s="587">
        <f t="shared" si="190"/>
        <v>0</v>
      </c>
      <c r="Q1686" t="str">
        <f t="shared" si="191"/>
        <v>52499</v>
      </c>
      <c r="R1686" s="126" t="str">
        <f t="shared" si="188"/>
        <v>MISCELLANEOUS MAINTENANCE</v>
      </c>
      <c r="S1686" s="125" t="str">
        <f t="shared" si="189"/>
        <v>200</v>
      </c>
      <c r="T1686" s="125" t="str">
        <f t="shared" si="192"/>
        <v>73</v>
      </c>
      <c r="U1686" s="125" t="str">
        <f t="shared" si="193"/>
        <v>734</v>
      </c>
      <c r="V1686" s="125" t="str">
        <f>VLOOKUP(Q1686,'GL Category'!A:C,3,FALSE)</f>
        <v>Operations &amp; maintenance</v>
      </c>
      <c r="X1686" s="83"/>
    </row>
    <row r="1687" spans="1:24" ht="14.4" customHeight="1">
      <c r="A1687" s="608" t="s">
        <v>1037</v>
      </c>
      <c r="B1687" s="608" t="s">
        <v>1334</v>
      </c>
      <c r="C1687" s="608" t="s">
        <v>190</v>
      </c>
      <c r="D1687" s="609">
        <v>182</v>
      </c>
      <c r="E1687" s="609">
        <v>182</v>
      </c>
      <c r="F1687" s="609">
        <v>310</v>
      </c>
      <c r="G1687" s="609">
        <v>316</v>
      </c>
      <c r="H1687" s="609">
        <v>270</v>
      </c>
      <c r="I1687" s="609">
        <v>95</v>
      </c>
      <c r="J1687" s="609">
        <v>270</v>
      </c>
      <c r="K1687" s="609">
        <v>270</v>
      </c>
      <c r="L1687" s="609">
        <v>0</v>
      </c>
      <c r="M1687" s="609">
        <v>0</v>
      </c>
      <c r="N1687" s="587">
        <f t="shared" si="190"/>
        <v>270</v>
      </c>
      <c r="Q1687" t="str">
        <f t="shared" si="191"/>
        <v>53510</v>
      </c>
      <c r="R1687" s="126" t="str">
        <f t="shared" si="188"/>
        <v>DUES &amp; SUBSCRIPTIONS</v>
      </c>
      <c r="S1687" s="125" t="str">
        <f t="shared" si="189"/>
        <v>200</v>
      </c>
      <c r="T1687" s="125" t="str">
        <f t="shared" si="192"/>
        <v>73</v>
      </c>
      <c r="U1687" s="125" t="str">
        <f t="shared" si="193"/>
        <v>734</v>
      </c>
      <c r="V1687" s="125" t="str">
        <f>VLOOKUP(Q1687,'GL Category'!A:C,3,FALSE)</f>
        <v>Services &amp; other</v>
      </c>
      <c r="X1687" s="83"/>
    </row>
    <row r="1688" spans="1:24" ht="14.4" customHeight="1">
      <c r="A1688" s="608" t="s">
        <v>1037</v>
      </c>
      <c r="B1688" s="608" t="s">
        <v>1343</v>
      </c>
      <c r="C1688" s="608" t="s">
        <v>357</v>
      </c>
      <c r="D1688" s="609">
        <v>8745081.3300000001</v>
      </c>
      <c r="E1688" s="609">
        <v>8306795.5899999999</v>
      </c>
      <c r="F1688" s="609">
        <v>11332572.710000001</v>
      </c>
      <c r="G1688" s="609">
        <v>10230513.51</v>
      </c>
      <c r="H1688" s="609">
        <v>9575070</v>
      </c>
      <c r="I1688" s="609">
        <v>5137153.96</v>
      </c>
      <c r="J1688" s="609">
        <v>9575070</v>
      </c>
      <c r="K1688" s="609">
        <v>9880565</v>
      </c>
      <c r="L1688" s="609">
        <v>0</v>
      </c>
      <c r="M1688" s="609">
        <v>0</v>
      </c>
      <c r="N1688" s="587">
        <f t="shared" si="190"/>
        <v>9880565</v>
      </c>
      <c r="Q1688" t="str">
        <f t="shared" si="191"/>
        <v>53514</v>
      </c>
      <c r="R1688" s="126" t="str">
        <f t="shared" si="188"/>
        <v>WHOLESALE WATER PURCHASED</v>
      </c>
      <c r="S1688" s="125" t="str">
        <f t="shared" si="189"/>
        <v>200</v>
      </c>
      <c r="T1688" s="125" t="str">
        <f t="shared" si="192"/>
        <v>73</v>
      </c>
      <c r="U1688" s="125" t="str">
        <f t="shared" si="193"/>
        <v>734</v>
      </c>
      <c r="V1688" s="125" t="e">
        <f>VLOOKUP(Q1688,'GL Category'!A:C,3,FALSE)</f>
        <v>#N/A</v>
      </c>
      <c r="X1688" s="83"/>
    </row>
    <row r="1689" spans="1:24" ht="14.4" customHeight="1">
      <c r="A1689" s="608" t="s">
        <v>1037</v>
      </c>
      <c r="B1689" s="608" t="s">
        <v>1335</v>
      </c>
      <c r="C1689" s="608" t="s">
        <v>191</v>
      </c>
      <c r="D1689" s="609">
        <v>425</v>
      </c>
      <c r="E1689" s="609">
        <v>1042.25</v>
      </c>
      <c r="F1689" s="609">
        <v>113.75</v>
      </c>
      <c r="G1689" s="609">
        <v>1792</v>
      </c>
      <c r="H1689" s="609">
        <v>2525</v>
      </c>
      <c r="I1689" s="609">
        <v>1053.92</v>
      </c>
      <c r="J1689" s="609">
        <v>2000</v>
      </c>
      <c r="K1689" s="609">
        <v>2500</v>
      </c>
      <c r="L1689" s="609">
        <v>0</v>
      </c>
      <c r="M1689" s="609">
        <v>0</v>
      </c>
      <c r="N1689" s="587">
        <f t="shared" si="190"/>
        <v>2500</v>
      </c>
      <c r="Q1689" t="str">
        <f t="shared" si="191"/>
        <v>53515</v>
      </c>
      <c r="R1689" s="126" t="str">
        <f t="shared" si="188"/>
        <v>TRAVEL, TRAINING &amp; EDUCATION</v>
      </c>
      <c r="S1689" s="125" t="str">
        <f t="shared" si="189"/>
        <v>200</v>
      </c>
      <c r="T1689" s="125" t="str">
        <f t="shared" si="192"/>
        <v>73</v>
      </c>
      <c r="U1689" s="125" t="str">
        <f t="shared" si="193"/>
        <v>734</v>
      </c>
      <c r="V1689" s="125" t="str">
        <f>VLOOKUP(Q1689,'GL Category'!A:C,3,FALSE)</f>
        <v>Services &amp; other</v>
      </c>
      <c r="X1689" s="83"/>
    </row>
    <row r="1690" spans="1:24" ht="14.4" customHeight="1">
      <c r="A1690" s="608" t="s">
        <v>1037</v>
      </c>
      <c r="B1690" s="608" t="s">
        <v>1336</v>
      </c>
      <c r="C1690" s="608" t="s">
        <v>6</v>
      </c>
      <c r="D1690" s="609">
        <v>0</v>
      </c>
      <c r="E1690" s="609">
        <v>0</v>
      </c>
      <c r="F1690" s="609">
        <v>260.98</v>
      </c>
      <c r="G1690" s="609">
        <v>750</v>
      </c>
      <c r="H1690" s="609">
        <v>1500</v>
      </c>
      <c r="I1690" s="609">
        <v>333.4</v>
      </c>
      <c r="J1690" s="609">
        <v>750</v>
      </c>
      <c r="K1690" s="609">
        <v>1500</v>
      </c>
      <c r="L1690" s="609">
        <v>0</v>
      </c>
      <c r="M1690" s="609">
        <v>0</v>
      </c>
      <c r="N1690" s="587">
        <f t="shared" si="190"/>
        <v>1500</v>
      </c>
      <c r="Q1690" t="str">
        <f t="shared" si="191"/>
        <v>53524</v>
      </c>
      <c r="R1690" s="126" t="str">
        <f t="shared" si="188"/>
        <v>EQUIPMENT RENTAL</v>
      </c>
      <c r="S1690" s="125" t="str">
        <f t="shared" si="189"/>
        <v>200</v>
      </c>
      <c r="T1690" s="125" t="str">
        <f t="shared" si="192"/>
        <v>73</v>
      </c>
      <c r="U1690" s="125" t="str">
        <f t="shared" si="193"/>
        <v>734</v>
      </c>
      <c r="V1690" s="125" t="str">
        <f>VLOOKUP(Q1690,'GL Category'!A:C,3,FALSE)</f>
        <v>Services &amp; other</v>
      </c>
      <c r="X1690" s="83"/>
    </row>
    <row r="1691" spans="1:24" ht="14.4" customHeight="1">
      <c r="A1691" s="608" t="s">
        <v>1037</v>
      </c>
      <c r="B1691" s="608" t="s">
        <v>1337</v>
      </c>
      <c r="C1691" s="608" t="s">
        <v>839</v>
      </c>
      <c r="D1691" s="609">
        <v>10386</v>
      </c>
      <c r="E1691" s="609">
        <v>5770</v>
      </c>
      <c r="F1691" s="609">
        <v>11048.4</v>
      </c>
      <c r="G1691" s="609">
        <v>12394.42</v>
      </c>
      <c r="H1691" s="609">
        <v>16200</v>
      </c>
      <c r="I1691" s="609">
        <v>9108</v>
      </c>
      <c r="J1691" s="609">
        <v>16200</v>
      </c>
      <c r="K1691" s="609">
        <v>16200</v>
      </c>
      <c r="L1691" s="609">
        <v>0</v>
      </c>
      <c r="M1691" s="609">
        <v>0</v>
      </c>
      <c r="N1691" s="587">
        <f t="shared" si="190"/>
        <v>16200</v>
      </c>
      <c r="Q1691" t="str">
        <f t="shared" si="191"/>
        <v>53525</v>
      </c>
      <c r="R1691" s="126" t="str">
        <f t="shared" si="188"/>
        <v>LANDSCAPE SERVICES</v>
      </c>
      <c r="S1691" s="125" t="str">
        <f t="shared" si="189"/>
        <v>200</v>
      </c>
      <c r="T1691" s="125" t="str">
        <f t="shared" si="192"/>
        <v>73</v>
      </c>
      <c r="U1691" s="125" t="str">
        <f t="shared" si="193"/>
        <v>734</v>
      </c>
      <c r="V1691" s="125" t="str">
        <f>VLOOKUP(Q1691,'GL Category'!A:C,3,FALSE)</f>
        <v>Services &amp; other</v>
      </c>
      <c r="X1691" s="83"/>
    </row>
    <row r="1692" spans="1:24" ht="14.4" customHeight="1">
      <c r="A1692" s="608" t="s">
        <v>1037</v>
      </c>
      <c r="B1692" s="608" t="s">
        <v>1338</v>
      </c>
      <c r="C1692" s="608" t="s">
        <v>282</v>
      </c>
      <c r="D1692" s="609">
        <v>19494.98</v>
      </c>
      <c r="E1692" s="609">
        <v>16263.3</v>
      </c>
      <c r="F1692" s="609">
        <v>16343.77</v>
      </c>
      <c r="G1692" s="609">
        <v>14657.52</v>
      </c>
      <c r="H1692" s="609">
        <v>27500</v>
      </c>
      <c r="I1692" s="609">
        <v>15604</v>
      </c>
      <c r="J1692" s="609">
        <v>20000</v>
      </c>
      <c r="K1692" s="609">
        <v>25000</v>
      </c>
      <c r="L1692" s="609">
        <v>0</v>
      </c>
      <c r="M1692" s="609">
        <v>0</v>
      </c>
      <c r="N1692" s="587">
        <f t="shared" si="190"/>
        <v>25000</v>
      </c>
      <c r="Q1692" t="str">
        <f t="shared" si="191"/>
        <v>53526</v>
      </c>
      <c r="R1692" s="126" t="str">
        <f t="shared" si="188"/>
        <v>LABORATORY SERVICES</v>
      </c>
      <c r="S1692" s="125" t="str">
        <f t="shared" si="189"/>
        <v>200</v>
      </c>
      <c r="T1692" s="125" t="str">
        <f t="shared" si="192"/>
        <v>73</v>
      </c>
      <c r="U1692" s="125" t="str">
        <f t="shared" si="193"/>
        <v>734</v>
      </c>
      <c r="V1692" s="125" t="str">
        <f>VLOOKUP(Q1692,'GL Category'!A:C,3,FALSE)</f>
        <v>Services &amp; other</v>
      </c>
      <c r="X1692" s="83"/>
    </row>
    <row r="1693" spans="1:24" ht="14.4" customHeight="1">
      <c r="A1693" s="608" t="s">
        <v>1037</v>
      </c>
      <c r="B1693" s="608" t="s">
        <v>1339</v>
      </c>
      <c r="C1693" s="608" t="s">
        <v>215</v>
      </c>
      <c r="D1693" s="609">
        <v>211060.41</v>
      </c>
      <c r="E1693" s="609">
        <v>212156.23</v>
      </c>
      <c r="F1693" s="609">
        <v>292967.84000000003</v>
      </c>
      <c r="G1693" s="609">
        <v>287506.52</v>
      </c>
      <c r="H1693" s="609">
        <v>316260</v>
      </c>
      <c r="I1693" s="609">
        <v>100027.28</v>
      </c>
      <c r="J1693" s="609">
        <v>316260</v>
      </c>
      <c r="K1693" s="609">
        <v>316260</v>
      </c>
      <c r="L1693" s="609">
        <v>0</v>
      </c>
      <c r="M1693" s="609">
        <v>0</v>
      </c>
      <c r="N1693" s="587">
        <f t="shared" si="190"/>
        <v>316260</v>
      </c>
      <c r="Q1693" t="str">
        <f t="shared" si="191"/>
        <v>53572</v>
      </c>
      <c r="R1693" s="126" t="str">
        <f t="shared" si="188"/>
        <v>ELECTRICAL UTILITY SERVICE</v>
      </c>
      <c r="S1693" s="125" t="str">
        <f t="shared" si="189"/>
        <v>200</v>
      </c>
      <c r="T1693" s="125" t="str">
        <f t="shared" si="192"/>
        <v>73</v>
      </c>
      <c r="U1693" s="125" t="str">
        <f t="shared" si="193"/>
        <v>734</v>
      </c>
      <c r="V1693" s="125" t="str">
        <f>VLOOKUP(Q1693,'GL Category'!A:C,3,FALSE)</f>
        <v>Services &amp; other</v>
      </c>
      <c r="X1693" s="83"/>
    </row>
    <row r="1694" spans="1:24" ht="14.4" customHeight="1">
      <c r="A1694" s="608" t="s">
        <v>1037</v>
      </c>
      <c r="B1694" s="608" t="s">
        <v>1339</v>
      </c>
      <c r="C1694" s="608" t="s">
        <v>215</v>
      </c>
      <c r="D1694" s="609">
        <v>0</v>
      </c>
      <c r="E1694" s="609">
        <v>20574.21</v>
      </c>
      <c r="F1694" s="609">
        <v>0</v>
      </c>
      <c r="G1694" s="609">
        <v>0</v>
      </c>
      <c r="H1694" s="609">
        <v>0</v>
      </c>
      <c r="I1694" s="609">
        <v>0</v>
      </c>
      <c r="J1694" s="609">
        <v>0</v>
      </c>
      <c r="K1694" s="609">
        <v>0</v>
      </c>
      <c r="L1694" s="609">
        <v>0</v>
      </c>
      <c r="M1694" s="609">
        <v>0</v>
      </c>
      <c r="N1694" s="587">
        <f t="shared" si="190"/>
        <v>0</v>
      </c>
      <c r="Q1694" t="str">
        <f t="shared" si="191"/>
        <v>53572</v>
      </c>
      <c r="R1694" s="126" t="str">
        <f t="shared" si="188"/>
        <v>ELECTRICAL UTILITY SERVICE</v>
      </c>
      <c r="S1694" s="125" t="str">
        <f t="shared" si="189"/>
        <v>200</v>
      </c>
      <c r="T1694" s="125" t="str">
        <f t="shared" si="192"/>
        <v>73</v>
      </c>
      <c r="U1694" s="125" t="str">
        <f t="shared" si="193"/>
        <v>734</v>
      </c>
      <c r="V1694" s="125" t="str">
        <f>VLOOKUP(Q1694,'GL Category'!A:C,3,FALSE)</f>
        <v>Services &amp; other</v>
      </c>
      <c r="X1694" s="83"/>
    </row>
    <row r="1695" spans="1:24" ht="14.4" customHeight="1">
      <c r="A1695" s="608" t="s">
        <v>1037</v>
      </c>
      <c r="B1695" s="608" t="s">
        <v>1340</v>
      </c>
      <c r="C1695" s="608" t="s">
        <v>217</v>
      </c>
      <c r="D1695" s="609">
        <v>3102.65</v>
      </c>
      <c r="E1695" s="609">
        <v>6095.19</v>
      </c>
      <c r="F1695" s="609">
        <v>10464.780000000001</v>
      </c>
      <c r="G1695" s="609">
        <v>9226.4599999999991</v>
      </c>
      <c r="H1695" s="609">
        <v>9000</v>
      </c>
      <c r="I1695" s="609">
        <v>7768.94</v>
      </c>
      <c r="J1695" s="609">
        <v>9000</v>
      </c>
      <c r="K1695" s="609">
        <v>10000</v>
      </c>
      <c r="L1695" s="609">
        <v>0</v>
      </c>
      <c r="M1695" s="609">
        <v>0</v>
      </c>
      <c r="N1695" s="587">
        <f t="shared" si="190"/>
        <v>10000</v>
      </c>
      <c r="Q1695" t="str">
        <f t="shared" si="191"/>
        <v>53574</v>
      </c>
      <c r="R1695" s="126" t="str">
        <f t="shared" si="188"/>
        <v>WATER/SEWER UTILITY SERVICE</v>
      </c>
      <c r="S1695" s="125" t="str">
        <f t="shared" si="189"/>
        <v>200</v>
      </c>
      <c r="T1695" s="125" t="str">
        <f t="shared" si="192"/>
        <v>73</v>
      </c>
      <c r="U1695" s="125" t="str">
        <f t="shared" si="193"/>
        <v>734</v>
      </c>
      <c r="V1695" s="125" t="str">
        <f>VLOOKUP(Q1695,'GL Category'!A:C,3,FALSE)</f>
        <v>Services &amp; other</v>
      </c>
      <c r="X1695" s="83"/>
    </row>
    <row r="1696" spans="1:24" ht="14.4" customHeight="1">
      <c r="A1696" s="608" t="s">
        <v>1037</v>
      </c>
      <c r="B1696" s="608" t="s">
        <v>1333</v>
      </c>
      <c r="C1696" s="608" t="s">
        <v>238</v>
      </c>
      <c r="D1696" s="609">
        <v>0</v>
      </c>
      <c r="E1696" s="609">
        <v>0</v>
      </c>
      <c r="F1696" s="609">
        <v>0</v>
      </c>
      <c r="G1696" s="609">
        <v>0</v>
      </c>
      <c r="H1696" s="609">
        <v>0</v>
      </c>
      <c r="I1696" s="609">
        <v>0</v>
      </c>
      <c r="J1696" s="609">
        <v>0</v>
      </c>
      <c r="K1696" s="609">
        <v>0</v>
      </c>
      <c r="L1696" s="609">
        <v>0</v>
      </c>
      <c r="M1696" s="609">
        <v>0</v>
      </c>
      <c r="N1696" s="587">
        <f t="shared" si="190"/>
        <v>0</v>
      </c>
      <c r="Q1696" t="str">
        <f t="shared" si="191"/>
        <v>53599</v>
      </c>
      <c r="R1696" s="126" t="str">
        <f t="shared" si="188"/>
        <v>MISCELLANEOUS SERVICES</v>
      </c>
      <c r="S1696" s="125" t="str">
        <f t="shared" si="189"/>
        <v>200</v>
      </c>
      <c r="T1696" s="125" t="str">
        <f t="shared" si="192"/>
        <v>73</v>
      </c>
      <c r="U1696" s="125" t="str">
        <f t="shared" si="193"/>
        <v>734</v>
      </c>
      <c r="V1696" s="125" t="str">
        <f>VLOOKUP(Q1696,'GL Category'!A:C,3,FALSE)</f>
        <v>Services &amp; other</v>
      </c>
      <c r="X1696" s="83"/>
    </row>
    <row r="1697" spans="1:24" ht="14.4" customHeight="1">
      <c r="A1697" s="608" t="s">
        <v>1037</v>
      </c>
      <c r="B1697" s="608" t="s">
        <v>1342</v>
      </c>
      <c r="C1697" s="608" t="s">
        <v>221</v>
      </c>
      <c r="D1697" s="609">
        <v>68008</v>
      </c>
      <c r="E1697" s="609">
        <v>65337</v>
      </c>
      <c r="F1697" s="609">
        <v>64841</v>
      </c>
      <c r="G1697" s="609">
        <v>65931</v>
      </c>
      <c r="H1697" s="609">
        <v>74270</v>
      </c>
      <c r="I1697" s="609">
        <v>55702.5</v>
      </c>
      <c r="J1697" s="609">
        <v>74270</v>
      </c>
      <c r="K1697" s="609">
        <v>66004</v>
      </c>
      <c r="L1697" s="609">
        <v>0</v>
      </c>
      <c r="M1697" s="609">
        <v>0</v>
      </c>
      <c r="N1697" s="587">
        <f t="shared" si="190"/>
        <v>66004</v>
      </c>
      <c r="Q1697" t="str">
        <f t="shared" si="191"/>
        <v>55119</v>
      </c>
      <c r="R1697" s="126" t="str">
        <f t="shared" si="188"/>
        <v>OFFICE EQUIP LEASE EXP-CITY</v>
      </c>
      <c r="S1697" s="125" t="str">
        <f t="shared" si="189"/>
        <v>200</v>
      </c>
      <c r="T1697" s="125" t="str">
        <f t="shared" si="192"/>
        <v>73</v>
      </c>
      <c r="U1697" s="125" t="str">
        <f t="shared" si="193"/>
        <v>734</v>
      </c>
      <c r="V1697" s="125" t="str">
        <f>VLOOKUP(Q1697,'GL Category'!A:C,3,FALSE)</f>
        <v>Services &amp; other</v>
      </c>
      <c r="X1697" s="83"/>
    </row>
    <row r="1698" spans="1:24" ht="14.4" customHeight="1">
      <c r="A1698" s="608" t="s">
        <v>1037</v>
      </c>
      <c r="B1698" s="608" t="s">
        <v>1341</v>
      </c>
      <c r="C1698" s="608" t="s">
        <v>220</v>
      </c>
      <c r="D1698" s="609">
        <v>153938</v>
      </c>
      <c r="E1698" s="609">
        <v>25378</v>
      </c>
      <c r="F1698" s="609">
        <v>27845</v>
      </c>
      <c r="G1698" s="609">
        <v>34171</v>
      </c>
      <c r="H1698" s="609">
        <v>34171</v>
      </c>
      <c r="I1698" s="609">
        <v>25628.25</v>
      </c>
      <c r="J1698" s="609">
        <v>34171</v>
      </c>
      <c r="K1698" s="609">
        <v>39945</v>
      </c>
      <c r="L1698" s="609">
        <v>0</v>
      </c>
      <c r="M1698" s="609">
        <v>0</v>
      </c>
      <c r="N1698" s="587">
        <f t="shared" si="190"/>
        <v>39945</v>
      </c>
      <c r="Q1698" t="str">
        <f t="shared" si="191"/>
        <v>55175</v>
      </c>
      <c r="R1698" s="126" t="str">
        <f t="shared" si="188"/>
        <v>VEHICLE/EQUIP LEASE EXP-CITY</v>
      </c>
      <c r="S1698" s="125" t="str">
        <f t="shared" si="189"/>
        <v>200</v>
      </c>
      <c r="T1698" s="125" t="str">
        <f t="shared" si="192"/>
        <v>73</v>
      </c>
      <c r="U1698" s="125" t="str">
        <f t="shared" si="193"/>
        <v>734</v>
      </c>
      <c r="V1698" s="125" t="str">
        <f>VLOOKUP(Q1698,'GL Category'!A:C,3,FALSE)</f>
        <v>Services &amp; other</v>
      </c>
      <c r="X1698" s="83"/>
    </row>
    <row r="1699" spans="1:24" ht="14.4" customHeight="1">
      <c r="A1699" s="608" t="s">
        <v>1037</v>
      </c>
      <c r="B1699" s="608" t="s">
        <v>1344</v>
      </c>
      <c r="C1699" s="608" t="s">
        <v>132</v>
      </c>
      <c r="D1699" s="609">
        <v>259646.03</v>
      </c>
      <c r="E1699" s="609">
        <v>210540.94</v>
      </c>
      <c r="F1699" s="609">
        <v>220304.85</v>
      </c>
      <c r="G1699" s="609">
        <v>399955.54</v>
      </c>
      <c r="H1699" s="609">
        <v>389672</v>
      </c>
      <c r="I1699" s="609">
        <v>207854.78</v>
      </c>
      <c r="J1699" s="609">
        <v>304843</v>
      </c>
      <c r="K1699" s="609">
        <v>377396</v>
      </c>
      <c r="L1699" s="609">
        <v>0</v>
      </c>
      <c r="M1699" s="609">
        <v>0</v>
      </c>
      <c r="N1699" s="587">
        <f t="shared" si="190"/>
        <v>377396</v>
      </c>
      <c r="Q1699" t="str">
        <f t="shared" si="191"/>
        <v>50102</v>
      </c>
      <c r="R1699" s="126" t="str">
        <f t="shared" si="188"/>
        <v>NON EXEMPT SALARIES</v>
      </c>
      <c r="S1699" s="125" t="str">
        <f t="shared" si="189"/>
        <v>200</v>
      </c>
      <c r="T1699" s="125" t="str">
        <f t="shared" si="192"/>
        <v>73</v>
      </c>
      <c r="U1699" s="125" t="str">
        <f t="shared" si="193"/>
        <v>735</v>
      </c>
      <c r="V1699" s="125" t="str">
        <f>VLOOKUP(Q1699,'GL Category'!A:C,3,FALSE)</f>
        <v>Personnel services</v>
      </c>
      <c r="X1699" s="83"/>
    </row>
    <row r="1700" spans="1:24" ht="14.4" customHeight="1">
      <c r="A1700" s="608" t="s">
        <v>1037</v>
      </c>
      <c r="B1700" s="608" t="s">
        <v>1345</v>
      </c>
      <c r="C1700" s="608" t="s">
        <v>0</v>
      </c>
      <c r="D1700" s="609">
        <v>10549.67</v>
      </c>
      <c r="E1700" s="609">
        <v>10035.99</v>
      </c>
      <c r="F1700" s="609">
        <v>11248.9</v>
      </c>
      <c r="G1700" s="609">
        <v>17733.22</v>
      </c>
      <c r="H1700" s="609">
        <v>34957</v>
      </c>
      <c r="I1700" s="609">
        <v>12447.9</v>
      </c>
      <c r="J1700" s="609">
        <v>14605</v>
      </c>
      <c r="K1700" s="609">
        <v>34912</v>
      </c>
      <c r="L1700" s="609">
        <v>0</v>
      </c>
      <c r="M1700" s="609">
        <v>0</v>
      </c>
      <c r="N1700" s="587">
        <f t="shared" si="190"/>
        <v>34912</v>
      </c>
      <c r="Q1700" t="str">
        <f t="shared" si="191"/>
        <v>50109</v>
      </c>
      <c r="R1700" s="126" t="str">
        <f t="shared" ref="R1700:R1763" si="195">C1700</f>
        <v>OVERTIME</v>
      </c>
      <c r="S1700" s="125" t="str">
        <f t="shared" ref="S1700:S1763" si="196">LEFT(B1700,3)</f>
        <v>200</v>
      </c>
      <c r="T1700" s="125" t="str">
        <f t="shared" si="192"/>
        <v>73</v>
      </c>
      <c r="U1700" s="125" t="str">
        <f t="shared" si="193"/>
        <v>735</v>
      </c>
      <c r="V1700" s="125" t="str">
        <f>VLOOKUP(Q1700,'GL Category'!A:C,3,FALSE)</f>
        <v>Personnel services</v>
      </c>
      <c r="X1700" s="83"/>
    </row>
    <row r="1701" spans="1:24" ht="14.4" customHeight="1">
      <c r="A1701" s="608" t="s">
        <v>1037</v>
      </c>
      <c r="B1701" s="608" t="s">
        <v>1346</v>
      </c>
      <c r="C1701" s="608" t="s">
        <v>137</v>
      </c>
      <c r="D1701" s="609">
        <v>1940</v>
      </c>
      <c r="E1701" s="609">
        <v>2035</v>
      </c>
      <c r="F1701" s="609">
        <v>1590</v>
      </c>
      <c r="G1701" s="609">
        <v>2170</v>
      </c>
      <c r="H1701" s="609">
        <v>2799</v>
      </c>
      <c r="I1701" s="609">
        <v>1150</v>
      </c>
      <c r="J1701" s="609">
        <v>1150</v>
      </c>
      <c r="K1701" s="609">
        <v>2362</v>
      </c>
      <c r="L1701" s="609">
        <v>0</v>
      </c>
      <c r="M1701" s="609">
        <v>0</v>
      </c>
      <c r="N1701" s="587">
        <f t="shared" si="190"/>
        <v>2362</v>
      </c>
      <c r="Q1701" t="str">
        <f t="shared" si="191"/>
        <v>50111</v>
      </c>
      <c r="R1701" s="126" t="str">
        <f t="shared" si="195"/>
        <v>LONGEVITY PAY</v>
      </c>
      <c r="S1701" s="125" t="str">
        <f t="shared" si="196"/>
        <v>200</v>
      </c>
      <c r="T1701" s="125" t="str">
        <f t="shared" si="192"/>
        <v>73</v>
      </c>
      <c r="U1701" s="125" t="str">
        <f t="shared" si="193"/>
        <v>735</v>
      </c>
      <c r="V1701" s="125" t="str">
        <f>VLOOKUP(Q1701,'GL Category'!A:C,3,FALSE)</f>
        <v>Personnel services</v>
      </c>
      <c r="X1701" s="83"/>
    </row>
    <row r="1702" spans="1:24" ht="14.4" customHeight="1">
      <c r="A1702" s="608" t="s">
        <v>1037</v>
      </c>
      <c r="B1702" s="608" t="s">
        <v>1347</v>
      </c>
      <c r="C1702" s="608" t="s">
        <v>283</v>
      </c>
      <c r="D1702" s="609">
        <v>2616.9699999999998</v>
      </c>
      <c r="E1702" s="609">
        <v>2559.3200000000002</v>
      </c>
      <c r="F1702" s="609">
        <v>2256.75</v>
      </c>
      <c r="G1702" s="609">
        <v>2067</v>
      </c>
      <c r="H1702" s="609">
        <v>2750</v>
      </c>
      <c r="I1702" s="609">
        <v>1570.5</v>
      </c>
      <c r="J1702" s="609">
        <v>3375</v>
      </c>
      <c r="K1702" s="609">
        <v>2750</v>
      </c>
      <c r="L1702" s="609">
        <v>0</v>
      </c>
      <c r="M1702" s="609">
        <v>0</v>
      </c>
      <c r="N1702" s="587">
        <f t="shared" si="190"/>
        <v>2750</v>
      </c>
      <c r="Q1702" t="str">
        <f t="shared" si="191"/>
        <v>50115</v>
      </c>
      <c r="R1702" s="126" t="str">
        <f t="shared" si="195"/>
        <v>INCENTIVE/CERTIFICATION PAY</v>
      </c>
      <c r="S1702" s="125" t="str">
        <f t="shared" si="196"/>
        <v>200</v>
      </c>
      <c r="T1702" s="125" t="str">
        <f t="shared" si="192"/>
        <v>73</v>
      </c>
      <c r="U1702" s="125" t="str">
        <f t="shared" si="193"/>
        <v>735</v>
      </c>
      <c r="V1702" s="125" t="str">
        <f>VLOOKUP(Q1702,'GL Category'!A:C,3,FALSE)</f>
        <v>Personnel services</v>
      </c>
      <c r="X1702" s="83"/>
    </row>
    <row r="1703" spans="1:24" ht="14.4" customHeight="1">
      <c r="A1703" s="608" t="s">
        <v>1037</v>
      </c>
      <c r="B1703" s="608" t="s">
        <v>1348</v>
      </c>
      <c r="C1703" s="608" t="s">
        <v>1</v>
      </c>
      <c r="D1703" s="609">
        <v>20156.98</v>
      </c>
      <c r="E1703" s="609">
        <v>16284.98</v>
      </c>
      <c r="F1703" s="609">
        <v>17036.29</v>
      </c>
      <c r="G1703" s="609">
        <v>30899</v>
      </c>
      <c r="H1703" s="609">
        <v>33090</v>
      </c>
      <c r="I1703" s="609">
        <v>15845.39</v>
      </c>
      <c r="J1703" s="609">
        <v>24290</v>
      </c>
      <c r="K1703" s="609">
        <v>32130</v>
      </c>
      <c r="L1703" s="609">
        <v>0</v>
      </c>
      <c r="M1703" s="609">
        <v>0</v>
      </c>
      <c r="N1703" s="587">
        <f t="shared" si="190"/>
        <v>32130</v>
      </c>
      <c r="P1703" s="490">
        <f t="shared" ref="P1703:P1712" si="197">N1703-H1703</f>
        <v>-960</v>
      </c>
      <c r="Q1703" t="str">
        <f t="shared" si="191"/>
        <v>50610</v>
      </c>
      <c r="R1703" s="126" t="str">
        <f t="shared" si="195"/>
        <v>SOCIAL SECURITY</v>
      </c>
      <c r="S1703" s="125" t="str">
        <f t="shared" si="196"/>
        <v>200</v>
      </c>
      <c r="T1703" s="125" t="str">
        <f t="shared" si="192"/>
        <v>73</v>
      </c>
      <c r="U1703" s="125" t="str">
        <f t="shared" si="193"/>
        <v>735</v>
      </c>
      <c r="V1703" s="125" t="str">
        <f>VLOOKUP(Q1703,'GL Category'!A:C,3,FALSE)</f>
        <v>Personnel services</v>
      </c>
      <c r="X1703" s="83"/>
    </row>
    <row r="1704" spans="1:24" ht="14.4" customHeight="1">
      <c r="A1704" s="608" t="s">
        <v>1037</v>
      </c>
      <c r="B1704" s="608" t="s">
        <v>1349</v>
      </c>
      <c r="C1704" s="608" t="s">
        <v>142</v>
      </c>
      <c r="D1704" s="609">
        <v>75708</v>
      </c>
      <c r="E1704" s="609">
        <v>79647.570000000007</v>
      </c>
      <c r="F1704" s="609">
        <v>87885.05</v>
      </c>
      <c r="G1704" s="609">
        <v>124094.35</v>
      </c>
      <c r="H1704" s="609">
        <v>111039</v>
      </c>
      <c r="I1704" s="609">
        <v>71462</v>
      </c>
      <c r="J1704" s="609">
        <v>114867</v>
      </c>
      <c r="K1704" s="609">
        <v>143443</v>
      </c>
      <c r="L1704" s="609">
        <v>0</v>
      </c>
      <c r="M1704" s="609">
        <v>0</v>
      </c>
      <c r="N1704" s="587">
        <f t="shared" si="190"/>
        <v>143443</v>
      </c>
      <c r="P1704" s="490">
        <f t="shared" si="197"/>
        <v>32404</v>
      </c>
      <c r="Q1704" t="str">
        <f t="shared" si="191"/>
        <v>50620</v>
      </c>
      <c r="R1704" s="126" t="str">
        <f t="shared" si="195"/>
        <v>HEALTH/LIFE INSURANCE</v>
      </c>
      <c r="S1704" s="125" t="str">
        <f t="shared" si="196"/>
        <v>200</v>
      </c>
      <c r="T1704" s="125" t="str">
        <f t="shared" si="192"/>
        <v>73</v>
      </c>
      <c r="U1704" s="125" t="str">
        <f t="shared" si="193"/>
        <v>735</v>
      </c>
      <c r="V1704" s="125" t="str">
        <f>VLOOKUP(Q1704,'GL Category'!A:C,3,FALSE)</f>
        <v>Personnel services</v>
      </c>
      <c r="X1704" s="83"/>
    </row>
    <row r="1705" spans="1:24" ht="14.4" customHeight="1">
      <c r="A1705" s="608" t="s">
        <v>1037</v>
      </c>
      <c r="B1705" s="608" t="s">
        <v>1350</v>
      </c>
      <c r="C1705" s="608" t="s">
        <v>144</v>
      </c>
      <c r="D1705" s="609">
        <v>2612.98</v>
      </c>
      <c r="E1705" s="609">
        <v>2352.98</v>
      </c>
      <c r="F1705" s="609">
        <v>2826.56</v>
      </c>
      <c r="G1705" s="609">
        <v>5026.7</v>
      </c>
      <c r="H1705" s="609">
        <v>7758</v>
      </c>
      <c r="I1705" s="609">
        <v>7751.67</v>
      </c>
      <c r="J1705" s="609">
        <v>7752</v>
      </c>
      <c r="K1705" s="609">
        <v>6336</v>
      </c>
      <c r="L1705" s="609">
        <v>0</v>
      </c>
      <c r="M1705" s="609">
        <v>0</v>
      </c>
      <c r="N1705" s="587">
        <f t="shared" si="190"/>
        <v>6336</v>
      </c>
      <c r="P1705" s="490">
        <f t="shared" si="197"/>
        <v>-1422</v>
      </c>
      <c r="Q1705" t="str">
        <f t="shared" si="191"/>
        <v>50630</v>
      </c>
      <c r="R1705" s="126" t="str">
        <f t="shared" si="195"/>
        <v>WORKER COMPENSATION</v>
      </c>
      <c r="S1705" s="125" t="str">
        <f t="shared" si="196"/>
        <v>200</v>
      </c>
      <c r="T1705" s="125" t="str">
        <f t="shared" si="192"/>
        <v>73</v>
      </c>
      <c r="U1705" s="125" t="str">
        <f t="shared" si="193"/>
        <v>735</v>
      </c>
      <c r="V1705" s="125" t="str">
        <f>VLOOKUP(Q1705,'GL Category'!A:C,3,FALSE)</f>
        <v>Personnel services</v>
      </c>
      <c r="X1705" s="83"/>
    </row>
    <row r="1706" spans="1:24" ht="14.4" customHeight="1">
      <c r="A1706" s="608" t="s">
        <v>1037</v>
      </c>
      <c r="B1706" s="608" t="s">
        <v>1351</v>
      </c>
      <c r="C1706" s="608" t="s">
        <v>2</v>
      </c>
      <c r="D1706" s="609">
        <v>43652.6</v>
      </c>
      <c r="E1706" s="609">
        <v>36743.550000000003</v>
      </c>
      <c r="F1706" s="609">
        <v>38143.660000000003</v>
      </c>
      <c r="G1706" s="609">
        <v>68403.72</v>
      </c>
      <c r="H1706" s="609">
        <v>71424</v>
      </c>
      <c r="I1706" s="609">
        <v>37011.599999999999</v>
      </c>
      <c r="J1706" s="609">
        <v>54890</v>
      </c>
      <c r="K1706" s="609">
        <v>70990</v>
      </c>
      <c r="L1706" s="609">
        <v>0</v>
      </c>
      <c r="M1706" s="609">
        <v>0</v>
      </c>
      <c r="N1706" s="587">
        <f t="shared" si="190"/>
        <v>70990</v>
      </c>
      <c r="P1706" s="490">
        <f t="shared" si="197"/>
        <v>-434</v>
      </c>
      <c r="Q1706" t="str">
        <f t="shared" si="191"/>
        <v>50650</v>
      </c>
      <c r="R1706" s="126" t="str">
        <f t="shared" si="195"/>
        <v>RETIREMENT</v>
      </c>
      <c r="S1706" s="125" t="str">
        <f t="shared" si="196"/>
        <v>200</v>
      </c>
      <c r="T1706" s="125" t="str">
        <f t="shared" si="192"/>
        <v>73</v>
      </c>
      <c r="U1706" s="125" t="str">
        <f t="shared" si="193"/>
        <v>735</v>
      </c>
      <c r="V1706" s="125" t="str">
        <f>VLOOKUP(Q1706,'GL Category'!A:C,3,FALSE)</f>
        <v>Personnel services</v>
      </c>
      <c r="X1706" s="83"/>
    </row>
    <row r="1707" spans="1:24" ht="14.4" customHeight="1">
      <c r="A1707" s="608" t="s">
        <v>1037</v>
      </c>
      <c r="B1707" s="608" t="s">
        <v>1353</v>
      </c>
      <c r="C1707" s="608" t="s">
        <v>4</v>
      </c>
      <c r="D1707" s="609">
        <v>7067.87</v>
      </c>
      <c r="E1707" s="609">
        <v>1505.82</v>
      </c>
      <c r="F1707" s="609">
        <v>5921.84</v>
      </c>
      <c r="G1707" s="609">
        <v>6670.57</v>
      </c>
      <c r="H1707" s="609">
        <v>10000</v>
      </c>
      <c r="I1707" s="609">
        <v>3581.98</v>
      </c>
      <c r="J1707" s="609">
        <v>7000</v>
      </c>
      <c r="K1707" s="609">
        <v>8000</v>
      </c>
      <c r="L1707" s="609">
        <v>0</v>
      </c>
      <c r="M1707" s="609">
        <v>0</v>
      </c>
      <c r="N1707" s="587">
        <f t="shared" si="190"/>
        <v>8000</v>
      </c>
      <c r="P1707" s="490">
        <f t="shared" si="197"/>
        <v>-2000</v>
      </c>
      <c r="Q1707" t="str">
        <f t="shared" si="191"/>
        <v>51245</v>
      </c>
      <c r="R1707" s="126" t="str">
        <f t="shared" si="195"/>
        <v>SMALL TOOLS &amp; EQUIPMENT</v>
      </c>
      <c r="S1707" s="125" t="str">
        <f t="shared" si="196"/>
        <v>200</v>
      </c>
      <c r="T1707" s="125" t="str">
        <f t="shared" si="192"/>
        <v>73</v>
      </c>
      <c r="U1707" s="125" t="str">
        <f t="shared" si="193"/>
        <v>735</v>
      </c>
      <c r="V1707" s="125" t="str">
        <f>VLOOKUP(Q1707,'GL Category'!A:C,3,FALSE)</f>
        <v>Operations &amp; maintenance</v>
      </c>
      <c r="X1707" s="83"/>
    </row>
    <row r="1708" spans="1:24" ht="14.4" customHeight="1">
      <c r="A1708" s="608" t="s">
        <v>1037</v>
      </c>
      <c r="B1708" s="608" t="s">
        <v>1354</v>
      </c>
      <c r="C1708" s="608" t="s">
        <v>161</v>
      </c>
      <c r="D1708" s="609">
        <v>8972.9500000000007</v>
      </c>
      <c r="E1708" s="609">
        <v>8733.51</v>
      </c>
      <c r="F1708" s="609">
        <v>19233.73</v>
      </c>
      <c r="G1708" s="609">
        <v>29897.54</v>
      </c>
      <c r="H1708" s="609">
        <v>24530</v>
      </c>
      <c r="I1708" s="609">
        <v>20584.509999999998</v>
      </c>
      <c r="J1708" s="609">
        <v>24530</v>
      </c>
      <c r="K1708" s="609">
        <v>24530</v>
      </c>
      <c r="L1708" s="609">
        <v>0</v>
      </c>
      <c r="M1708" s="609">
        <v>0</v>
      </c>
      <c r="N1708" s="587">
        <f t="shared" si="190"/>
        <v>24530</v>
      </c>
      <c r="P1708" s="490">
        <f t="shared" si="197"/>
        <v>0</v>
      </c>
      <c r="Q1708" t="str">
        <f t="shared" si="191"/>
        <v>51255</v>
      </c>
      <c r="R1708" s="126" t="str">
        <f t="shared" si="195"/>
        <v>FUEL/OILS/LUBRICANTS</v>
      </c>
      <c r="S1708" s="125" t="str">
        <f t="shared" si="196"/>
        <v>200</v>
      </c>
      <c r="T1708" s="125" t="str">
        <f t="shared" si="192"/>
        <v>73</v>
      </c>
      <c r="U1708" s="125" t="str">
        <f t="shared" si="193"/>
        <v>735</v>
      </c>
      <c r="V1708" s="125" t="str">
        <f>VLOOKUP(Q1708,'GL Category'!A:C,3,FALSE)</f>
        <v>Operations &amp; maintenance</v>
      </c>
      <c r="X1708" s="83"/>
    </row>
    <row r="1709" spans="1:24" ht="14.4" customHeight="1">
      <c r="A1709" s="608" t="s">
        <v>1037</v>
      </c>
      <c r="B1709" s="608" t="s">
        <v>1355</v>
      </c>
      <c r="C1709" s="608" t="s">
        <v>234</v>
      </c>
      <c r="D1709" s="609">
        <v>0</v>
      </c>
      <c r="E1709" s="609">
        <v>0</v>
      </c>
      <c r="F1709" s="609">
        <v>0</v>
      </c>
      <c r="G1709" s="609">
        <v>0</v>
      </c>
      <c r="H1709" s="609">
        <v>0</v>
      </c>
      <c r="I1709" s="609">
        <v>0</v>
      </c>
      <c r="J1709" s="609">
        <v>0</v>
      </c>
      <c r="K1709" s="609">
        <v>0</v>
      </c>
      <c r="L1709" s="609">
        <v>0</v>
      </c>
      <c r="M1709" s="609">
        <v>0</v>
      </c>
      <c r="N1709" s="587">
        <f t="shared" si="190"/>
        <v>0</v>
      </c>
      <c r="P1709" s="490">
        <f t="shared" si="197"/>
        <v>0</v>
      </c>
      <c r="Q1709" t="str">
        <f t="shared" si="191"/>
        <v>51265</v>
      </c>
      <c r="R1709" s="126" t="str">
        <f t="shared" si="195"/>
        <v>STREET SIGN/SIGNAL SUPPLIES</v>
      </c>
      <c r="S1709" s="125" t="str">
        <f t="shared" si="196"/>
        <v>200</v>
      </c>
      <c r="T1709" s="125" t="str">
        <f t="shared" si="192"/>
        <v>73</v>
      </c>
      <c r="U1709" s="125" t="str">
        <f t="shared" si="193"/>
        <v>735</v>
      </c>
      <c r="V1709" s="125" t="str">
        <f>VLOOKUP(Q1709,'GL Category'!A:C,3,FALSE)</f>
        <v>Operations &amp; maintenance</v>
      </c>
      <c r="X1709" s="83"/>
    </row>
    <row r="1710" spans="1:24" ht="14.4" customHeight="1">
      <c r="A1710" s="608" t="s">
        <v>1037</v>
      </c>
      <c r="B1710" s="608" t="s">
        <v>1356</v>
      </c>
      <c r="C1710" s="608" t="s">
        <v>276</v>
      </c>
      <c r="D1710" s="609">
        <v>1421.37</v>
      </c>
      <c r="E1710" s="609">
        <v>122.63</v>
      </c>
      <c r="F1710" s="609">
        <v>4447.75</v>
      </c>
      <c r="G1710" s="609">
        <v>-1033.01</v>
      </c>
      <c r="H1710" s="609">
        <v>4200</v>
      </c>
      <c r="I1710" s="609">
        <v>0</v>
      </c>
      <c r="J1710" s="609">
        <v>4000</v>
      </c>
      <c r="K1710" s="609">
        <v>3500</v>
      </c>
      <c r="L1710" s="609">
        <v>0</v>
      </c>
      <c r="M1710" s="609">
        <v>0</v>
      </c>
      <c r="N1710" s="587">
        <f t="shared" si="190"/>
        <v>3500</v>
      </c>
      <c r="P1710" s="490">
        <f t="shared" si="197"/>
        <v>-700</v>
      </c>
      <c r="Q1710" t="str">
        <f t="shared" si="191"/>
        <v>51270</v>
      </c>
      <c r="R1710" s="126" t="str">
        <f t="shared" si="195"/>
        <v>CHEMICAL SUPPLIES</v>
      </c>
      <c r="S1710" s="125" t="str">
        <f t="shared" si="196"/>
        <v>200</v>
      </c>
      <c r="T1710" s="125" t="str">
        <f t="shared" si="192"/>
        <v>73</v>
      </c>
      <c r="U1710" s="125" t="str">
        <f t="shared" si="193"/>
        <v>735</v>
      </c>
      <c r="V1710" s="125" t="str">
        <f>VLOOKUP(Q1710,'GL Category'!A:C,3,FALSE)</f>
        <v>Operations &amp; maintenance</v>
      </c>
      <c r="X1710" s="83"/>
    </row>
    <row r="1711" spans="1:24" ht="14.4" customHeight="1">
      <c r="A1711" s="608" t="s">
        <v>1037</v>
      </c>
      <c r="B1711" s="608" t="s">
        <v>1357</v>
      </c>
      <c r="C1711" s="608" t="s">
        <v>167</v>
      </c>
      <c r="D1711" s="609">
        <v>4592.71</v>
      </c>
      <c r="E1711" s="609">
        <v>2611.89</v>
      </c>
      <c r="F1711" s="609">
        <v>3372.65</v>
      </c>
      <c r="G1711" s="609">
        <v>4699.8999999999996</v>
      </c>
      <c r="H1711" s="609">
        <v>4800</v>
      </c>
      <c r="I1711" s="609">
        <v>3343.27</v>
      </c>
      <c r="J1711" s="609">
        <v>4800</v>
      </c>
      <c r="K1711" s="609">
        <v>4800</v>
      </c>
      <c r="L1711" s="609">
        <v>0</v>
      </c>
      <c r="M1711" s="609">
        <v>0</v>
      </c>
      <c r="N1711" s="587">
        <f t="shared" si="190"/>
        <v>4800</v>
      </c>
      <c r="P1711" s="490">
        <f t="shared" si="197"/>
        <v>0</v>
      </c>
      <c r="Q1711" t="str">
        <f t="shared" si="191"/>
        <v>51285</v>
      </c>
      <c r="R1711" s="126" t="str">
        <f t="shared" si="195"/>
        <v>WEARING APPAREL</v>
      </c>
      <c r="S1711" s="125" t="str">
        <f t="shared" si="196"/>
        <v>200</v>
      </c>
      <c r="T1711" s="125" t="str">
        <f t="shared" si="192"/>
        <v>73</v>
      </c>
      <c r="U1711" s="125" t="str">
        <f t="shared" si="193"/>
        <v>735</v>
      </c>
      <c r="V1711" s="125" t="str">
        <f>VLOOKUP(Q1711,'GL Category'!A:C,3,FALSE)</f>
        <v>Operations &amp; maintenance</v>
      </c>
      <c r="X1711" s="83"/>
    </row>
    <row r="1712" spans="1:24" ht="14.4" customHeight="1">
      <c r="A1712" s="608" t="s">
        <v>1037</v>
      </c>
      <c r="B1712" s="608" t="s">
        <v>1358</v>
      </c>
      <c r="C1712" s="608" t="s">
        <v>274</v>
      </c>
      <c r="D1712" s="609">
        <v>7176.82</v>
      </c>
      <c r="E1712" s="609">
        <v>5361.48</v>
      </c>
      <c r="F1712" s="609">
        <v>3514.7</v>
      </c>
      <c r="G1712" s="609">
        <v>0</v>
      </c>
      <c r="H1712" s="609">
        <v>0</v>
      </c>
      <c r="I1712" s="609">
        <v>0</v>
      </c>
      <c r="J1712" s="609">
        <v>0</v>
      </c>
      <c r="K1712" s="609">
        <v>0</v>
      </c>
      <c r="L1712" s="609">
        <v>0</v>
      </c>
      <c r="M1712" s="609">
        <v>0</v>
      </c>
      <c r="N1712" s="587">
        <f t="shared" si="190"/>
        <v>0</v>
      </c>
      <c r="P1712" s="490">
        <f t="shared" si="197"/>
        <v>0</v>
      </c>
      <c r="Q1712" t="str">
        <f t="shared" si="191"/>
        <v>51287</v>
      </c>
      <c r="R1712" s="126" t="str">
        <f t="shared" si="195"/>
        <v>SAFETY EQUIPMENT/SUPPLIES</v>
      </c>
      <c r="S1712" s="125" t="str">
        <f t="shared" si="196"/>
        <v>200</v>
      </c>
      <c r="T1712" s="125" t="str">
        <f t="shared" si="192"/>
        <v>73</v>
      </c>
      <c r="U1712" s="125" t="str">
        <f t="shared" si="193"/>
        <v>735</v>
      </c>
      <c r="V1712" s="125" t="str">
        <f>VLOOKUP(Q1712,'GL Category'!A:C,3,FALSE)</f>
        <v>Operations &amp; maintenance</v>
      </c>
      <c r="X1712" s="83"/>
    </row>
    <row r="1713" spans="1:24" ht="14.4" customHeight="1">
      <c r="A1713" s="608" t="s">
        <v>1037</v>
      </c>
      <c r="B1713" s="608" t="s">
        <v>1358</v>
      </c>
      <c r="C1713" s="608" t="s">
        <v>274</v>
      </c>
      <c r="D1713" s="609">
        <v>0</v>
      </c>
      <c r="E1713" s="609">
        <v>0</v>
      </c>
      <c r="F1713" s="609">
        <v>0</v>
      </c>
      <c r="G1713" s="609">
        <v>0</v>
      </c>
      <c r="H1713" s="609">
        <v>0</v>
      </c>
      <c r="I1713" s="609">
        <v>0</v>
      </c>
      <c r="J1713" s="609">
        <v>0</v>
      </c>
      <c r="K1713" s="609">
        <v>0</v>
      </c>
      <c r="L1713" s="609">
        <v>0</v>
      </c>
      <c r="M1713" s="609">
        <v>0</v>
      </c>
      <c r="N1713" s="587">
        <f t="shared" si="190"/>
        <v>0</v>
      </c>
      <c r="Q1713" t="str">
        <f t="shared" si="191"/>
        <v>51287</v>
      </c>
      <c r="R1713" s="126" t="str">
        <f t="shared" si="195"/>
        <v>SAFETY EQUIPMENT/SUPPLIES</v>
      </c>
      <c r="S1713" s="125" t="str">
        <f t="shared" si="196"/>
        <v>200</v>
      </c>
      <c r="T1713" s="125" t="str">
        <f t="shared" si="192"/>
        <v>73</v>
      </c>
      <c r="U1713" s="125" t="str">
        <f t="shared" si="193"/>
        <v>735</v>
      </c>
      <c r="V1713" s="125" t="str">
        <f>VLOOKUP(Q1713,'GL Category'!A:C,3,FALSE)</f>
        <v>Operations &amp; maintenance</v>
      </c>
      <c r="X1713" s="83"/>
    </row>
    <row r="1714" spans="1:24" ht="14.4" customHeight="1">
      <c r="A1714" s="608" t="s">
        <v>1037</v>
      </c>
      <c r="B1714" s="608" t="s">
        <v>1360</v>
      </c>
      <c r="C1714" s="608" t="s">
        <v>171</v>
      </c>
      <c r="D1714" s="609">
        <v>0</v>
      </c>
      <c r="E1714" s="609">
        <v>0</v>
      </c>
      <c r="F1714" s="609">
        <v>0</v>
      </c>
      <c r="G1714" s="609">
        <v>0</v>
      </c>
      <c r="H1714" s="609">
        <v>0</v>
      </c>
      <c r="I1714" s="609">
        <v>0</v>
      </c>
      <c r="J1714" s="609">
        <v>0</v>
      </c>
      <c r="K1714" s="609">
        <v>0</v>
      </c>
      <c r="L1714" s="609">
        <v>0</v>
      </c>
      <c r="M1714" s="609">
        <v>0</v>
      </c>
      <c r="N1714" s="587">
        <f t="shared" si="190"/>
        <v>0</v>
      </c>
      <c r="Q1714" t="str">
        <f t="shared" si="191"/>
        <v>52310</v>
      </c>
      <c r="R1714" s="126" t="str">
        <f t="shared" si="195"/>
        <v>BUILDING MAINTENANCE</v>
      </c>
      <c r="S1714" s="125" t="str">
        <f t="shared" si="196"/>
        <v>200</v>
      </c>
      <c r="T1714" s="125" t="str">
        <f t="shared" si="192"/>
        <v>73</v>
      </c>
      <c r="U1714" s="125" t="str">
        <f t="shared" si="193"/>
        <v>735</v>
      </c>
      <c r="V1714" s="125" t="str">
        <f>VLOOKUP(Q1714,'GL Category'!A:C,3,FALSE)</f>
        <v>Operations &amp; maintenance</v>
      </c>
      <c r="X1714" s="83"/>
    </row>
    <row r="1715" spans="1:24" ht="14.4" customHeight="1">
      <c r="A1715" s="608" t="s">
        <v>1037</v>
      </c>
      <c r="B1715" s="608" t="s">
        <v>1363</v>
      </c>
      <c r="C1715" s="608" t="s">
        <v>359</v>
      </c>
      <c r="D1715" s="609">
        <v>123188.58</v>
      </c>
      <c r="E1715" s="609">
        <v>224792.27</v>
      </c>
      <c r="F1715" s="609">
        <v>434632.07</v>
      </c>
      <c r="G1715" s="609">
        <v>441498.92</v>
      </c>
      <c r="H1715" s="609">
        <v>214000</v>
      </c>
      <c r="I1715" s="609">
        <v>227819.79</v>
      </c>
      <c r="J1715" s="609">
        <v>400000</v>
      </c>
      <c r="K1715" s="609">
        <v>230000</v>
      </c>
      <c r="L1715" s="609">
        <v>0</v>
      </c>
      <c r="M1715" s="609">
        <v>0</v>
      </c>
      <c r="N1715" s="587">
        <f t="shared" si="190"/>
        <v>230000</v>
      </c>
      <c r="O1715" s="125" t="str">
        <f>IF(COUNTIF($B$4:B1715,B1715)&gt;1,"repeat","ok")</f>
        <v>ok</v>
      </c>
      <c r="Q1715" t="str">
        <f t="shared" si="191"/>
        <v>52330</v>
      </c>
      <c r="R1715" s="126" t="str">
        <f t="shared" si="195"/>
        <v>MAINS &amp; SERVICES MAINTENANCE</v>
      </c>
      <c r="S1715" s="125" t="str">
        <f t="shared" si="196"/>
        <v>200</v>
      </c>
      <c r="T1715" s="125" t="str">
        <f t="shared" si="192"/>
        <v>73</v>
      </c>
      <c r="U1715" s="125" t="str">
        <f t="shared" si="193"/>
        <v>735</v>
      </c>
      <c r="V1715" s="125" t="str">
        <f>VLOOKUP(Q1715,'GL Category'!A:C,3,FALSE)</f>
        <v>Operations &amp; maintenance</v>
      </c>
      <c r="X1715" s="83"/>
    </row>
    <row r="1716" spans="1:24" ht="14.4" customHeight="1">
      <c r="A1716" s="608" t="s">
        <v>1037</v>
      </c>
      <c r="B1716" s="608" t="s">
        <v>1366</v>
      </c>
      <c r="C1716" s="608" t="s">
        <v>175</v>
      </c>
      <c r="D1716" s="609">
        <v>13546.39</v>
      </c>
      <c r="E1716" s="609">
        <v>1535.01</v>
      </c>
      <c r="F1716" s="609">
        <v>1386.7</v>
      </c>
      <c r="G1716" s="609">
        <v>1407.1</v>
      </c>
      <c r="H1716" s="609">
        <v>1000</v>
      </c>
      <c r="I1716" s="609">
        <v>1427.51</v>
      </c>
      <c r="J1716" s="609">
        <v>1000</v>
      </c>
      <c r="K1716" s="609">
        <v>1000</v>
      </c>
      <c r="L1716" s="609">
        <v>0</v>
      </c>
      <c r="M1716" s="609">
        <v>0</v>
      </c>
      <c r="N1716" s="587">
        <f t="shared" si="190"/>
        <v>1000</v>
      </c>
      <c r="O1716" s="125" t="str">
        <f>IF(COUNTIF($B$4:B1716,B1716)&gt;1,"repeat","ok")</f>
        <v>ok</v>
      </c>
      <c r="Q1716" t="str">
        <f t="shared" si="191"/>
        <v>52440</v>
      </c>
      <c r="R1716" s="126" t="str">
        <f t="shared" si="195"/>
        <v>RADIO MAINTENANCE</v>
      </c>
      <c r="S1716" s="125" t="str">
        <f t="shared" si="196"/>
        <v>200</v>
      </c>
      <c r="T1716" s="125" t="str">
        <f t="shared" si="192"/>
        <v>73</v>
      </c>
      <c r="U1716" s="125" t="str">
        <f t="shared" si="193"/>
        <v>735</v>
      </c>
      <c r="V1716" s="125" t="str">
        <f>VLOOKUP(Q1716,'GL Category'!A:C,3,FALSE)</f>
        <v>Operations &amp; maintenance</v>
      </c>
      <c r="X1716" s="83"/>
    </row>
    <row r="1717" spans="1:24" ht="14.4" customHeight="1">
      <c r="A1717" s="608" t="s">
        <v>1037</v>
      </c>
      <c r="B1717" s="608" t="s">
        <v>1367</v>
      </c>
      <c r="C1717" s="608" t="s">
        <v>241</v>
      </c>
      <c r="D1717" s="609">
        <v>28000.79</v>
      </c>
      <c r="E1717" s="609">
        <v>15058.4</v>
      </c>
      <c r="F1717" s="609">
        <v>6751.66</v>
      </c>
      <c r="G1717" s="609">
        <v>19257.53</v>
      </c>
      <c r="H1717" s="609">
        <v>25000</v>
      </c>
      <c r="I1717" s="609">
        <v>8280.7099999999991</v>
      </c>
      <c r="J1717" s="609">
        <v>20000</v>
      </c>
      <c r="K1717" s="609">
        <v>22000</v>
      </c>
      <c r="L1717" s="609">
        <v>0</v>
      </c>
      <c r="M1717" s="609">
        <v>0</v>
      </c>
      <c r="N1717" s="587">
        <f t="shared" si="190"/>
        <v>22000</v>
      </c>
      <c r="O1717" s="125" t="str">
        <f>IF(COUNTIF($B$4:B1717,B1717)&gt;1,"repeat","ok")</f>
        <v>ok</v>
      </c>
      <c r="Q1717" t="str">
        <f t="shared" si="191"/>
        <v>52460</v>
      </c>
      <c r="R1717" s="126" t="str">
        <f t="shared" si="195"/>
        <v>VEHICLE MAINTENANCE</v>
      </c>
      <c r="S1717" s="125" t="str">
        <f t="shared" si="196"/>
        <v>200</v>
      </c>
      <c r="T1717" s="125" t="str">
        <f t="shared" si="192"/>
        <v>73</v>
      </c>
      <c r="U1717" s="125" t="str">
        <f t="shared" si="193"/>
        <v>735</v>
      </c>
      <c r="V1717" s="125" t="str">
        <f>VLOOKUP(Q1717,'GL Category'!A:C,3,FALSE)</f>
        <v>Operations &amp; maintenance</v>
      </c>
      <c r="X1717" s="83"/>
    </row>
    <row r="1718" spans="1:24" ht="14.4" customHeight="1">
      <c r="A1718" s="608" t="s">
        <v>1037</v>
      </c>
      <c r="B1718" s="608" t="s">
        <v>1368</v>
      </c>
      <c r="C1718" s="608" t="s">
        <v>236</v>
      </c>
      <c r="D1718" s="609">
        <v>17283.07</v>
      </c>
      <c r="E1718" s="609">
        <v>9962.57</v>
      </c>
      <c r="F1718" s="609">
        <v>14593.92</v>
      </c>
      <c r="G1718" s="609">
        <v>9879.17</v>
      </c>
      <c r="H1718" s="609">
        <v>20000</v>
      </c>
      <c r="I1718" s="609">
        <v>15255.61</v>
      </c>
      <c r="J1718" s="609">
        <v>20000</v>
      </c>
      <c r="K1718" s="609">
        <v>18000</v>
      </c>
      <c r="L1718" s="609">
        <v>0</v>
      </c>
      <c r="M1718" s="609">
        <v>0</v>
      </c>
      <c r="N1718" s="587">
        <f t="shared" si="190"/>
        <v>18000</v>
      </c>
      <c r="O1718" s="125" t="str">
        <f>IF(COUNTIF($B$4:B1718,B1718)&gt;1,"repeat","ok")</f>
        <v>ok</v>
      </c>
      <c r="Q1718" t="str">
        <f t="shared" si="191"/>
        <v>52470</v>
      </c>
      <c r="R1718" s="126" t="str">
        <f t="shared" si="195"/>
        <v>EQUIPMENT MAINTENANCE</v>
      </c>
      <c r="S1718" s="125" t="str">
        <f t="shared" si="196"/>
        <v>200</v>
      </c>
      <c r="T1718" s="125" t="str">
        <f t="shared" si="192"/>
        <v>73</v>
      </c>
      <c r="U1718" s="125" t="str">
        <f t="shared" si="193"/>
        <v>735</v>
      </c>
      <c r="V1718" s="125" t="str">
        <f>VLOOKUP(Q1718,'GL Category'!A:C,3,FALSE)</f>
        <v>Operations &amp; maintenance</v>
      </c>
      <c r="X1718" s="83"/>
    </row>
    <row r="1719" spans="1:24" ht="14.4" customHeight="1">
      <c r="A1719" s="608" t="s">
        <v>1037</v>
      </c>
      <c r="B1719" s="608" t="s">
        <v>1371</v>
      </c>
      <c r="C1719" s="608" t="s">
        <v>190</v>
      </c>
      <c r="D1719" s="609">
        <v>184</v>
      </c>
      <c r="E1719" s="609">
        <v>182</v>
      </c>
      <c r="F1719" s="609">
        <v>362</v>
      </c>
      <c r="G1719" s="609">
        <v>396</v>
      </c>
      <c r="H1719" s="609">
        <v>500</v>
      </c>
      <c r="I1719" s="609">
        <v>97</v>
      </c>
      <c r="J1719" s="609">
        <v>500</v>
      </c>
      <c r="K1719" s="609">
        <v>500</v>
      </c>
      <c r="L1719" s="609">
        <v>0</v>
      </c>
      <c r="M1719" s="609">
        <v>0</v>
      </c>
      <c r="N1719" s="587">
        <f t="shared" si="190"/>
        <v>500</v>
      </c>
      <c r="O1719" s="125" t="str">
        <f>IF(COUNTIF($B$4:B1719,B1719)&gt;1,"repeat","ok")</f>
        <v>ok</v>
      </c>
      <c r="Q1719" t="str">
        <f t="shared" si="191"/>
        <v>53510</v>
      </c>
      <c r="R1719" s="126" t="str">
        <f t="shared" si="195"/>
        <v>DUES &amp; SUBSCRIPTIONS</v>
      </c>
      <c r="S1719" s="125" t="str">
        <f t="shared" si="196"/>
        <v>200</v>
      </c>
      <c r="T1719" s="125" t="str">
        <f t="shared" si="192"/>
        <v>73</v>
      </c>
      <c r="U1719" s="125" t="str">
        <f t="shared" si="193"/>
        <v>735</v>
      </c>
      <c r="V1719" s="125" t="str">
        <f>VLOOKUP(Q1719,'GL Category'!A:C,3,FALSE)</f>
        <v>Services &amp; other</v>
      </c>
      <c r="X1719" s="83"/>
    </row>
    <row r="1720" spans="1:24" ht="14.4" customHeight="1">
      <c r="A1720" s="608" t="s">
        <v>1037</v>
      </c>
      <c r="B1720" s="608" t="s">
        <v>1372</v>
      </c>
      <c r="C1720" s="608" t="s">
        <v>191</v>
      </c>
      <c r="D1720" s="609">
        <v>1327.74</v>
      </c>
      <c r="E1720" s="609">
        <v>1874.25</v>
      </c>
      <c r="F1720" s="609">
        <v>5748.76</v>
      </c>
      <c r="G1720" s="609">
        <v>7386.6</v>
      </c>
      <c r="H1720" s="609">
        <v>9500</v>
      </c>
      <c r="I1720" s="609">
        <v>2070</v>
      </c>
      <c r="J1720" s="609">
        <v>7500</v>
      </c>
      <c r="K1720" s="609">
        <v>7500</v>
      </c>
      <c r="L1720" s="609">
        <v>0</v>
      </c>
      <c r="M1720" s="609">
        <v>0</v>
      </c>
      <c r="N1720" s="587">
        <f t="shared" si="190"/>
        <v>7500</v>
      </c>
      <c r="O1720" s="125" t="str">
        <f>IF(COUNTIF($B$4:B1720,B1720)&gt;1,"repeat","ok")</f>
        <v>ok</v>
      </c>
      <c r="Q1720" t="str">
        <f t="shared" si="191"/>
        <v>53515</v>
      </c>
      <c r="R1720" s="126" t="str">
        <f t="shared" si="195"/>
        <v>TRAVEL, TRAINING &amp; EDUCATION</v>
      </c>
      <c r="S1720" s="125" t="str">
        <f t="shared" si="196"/>
        <v>200</v>
      </c>
      <c r="T1720" s="125" t="str">
        <f t="shared" si="192"/>
        <v>73</v>
      </c>
      <c r="U1720" s="125" t="str">
        <f t="shared" si="193"/>
        <v>735</v>
      </c>
      <c r="V1720" s="125" t="str">
        <f>VLOOKUP(Q1720,'GL Category'!A:C,3,FALSE)</f>
        <v>Services &amp; other</v>
      </c>
      <c r="X1720" s="83"/>
    </row>
    <row r="1721" spans="1:24" ht="14.4" customHeight="1">
      <c r="A1721" s="608" t="s">
        <v>1037</v>
      </c>
      <c r="B1721" s="608" t="s">
        <v>1372</v>
      </c>
      <c r="C1721" s="608" t="s">
        <v>191</v>
      </c>
      <c r="D1721" s="609">
        <v>0</v>
      </c>
      <c r="E1721" s="609">
        <v>120</v>
      </c>
      <c r="F1721" s="609">
        <v>0</v>
      </c>
      <c r="G1721" s="609">
        <v>0</v>
      </c>
      <c r="H1721" s="609">
        <v>0</v>
      </c>
      <c r="I1721" s="609">
        <v>0</v>
      </c>
      <c r="J1721" s="609">
        <v>0</v>
      </c>
      <c r="K1721" s="609">
        <v>0</v>
      </c>
      <c r="L1721" s="609">
        <v>0</v>
      </c>
      <c r="M1721" s="609">
        <v>0</v>
      </c>
      <c r="N1721" s="587">
        <f t="shared" si="190"/>
        <v>0</v>
      </c>
      <c r="O1721" s="125" t="str">
        <f>IF(COUNTIF($B$4:B1721,B1721)&gt;1,"repeat","ok")</f>
        <v>repeat</v>
      </c>
      <c r="Q1721" t="str">
        <f t="shared" si="191"/>
        <v>53515</v>
      </c>
      <c r="R1721" s="126" t="str">
        <f t="shared" si="195"/>
        <v>TRAVEL, TRAINING &amp; EDUCATION</v>
      </c>
      <c r="S1721" s="125" t="str">
        <f t="shared" si="196"/>
        <v>200</v>
      </c>
      <c r="T1721" s="125" t="str">
        <f t="shared" si="192"/>
        <v>73</v>
      </c>
      <c r="U1721" s="125" t="str">
        <f t="shared" si="193"/>
        <v>735</v>
      </c>
      <c r="V1721" s="125" t="str">
        <f>VLOOKUP(Q1721,'GL Category'!A:C,3,FALSE)</f>
        <v>Services &amp; other</v>
      </c>
      <c r="X1721" s="83"/>
    </row>
    <row r="1722" spans="1:24" ht="14.4" customHeight="1">
      <c r="A1722" s="608" t="s">
        <v>1037</v>
      </c>
      <c r="B1722" s="608" t="s">
        <v>1373</v>
      </c>
      <c r="C1722" s="608" t="s">
        <v>6</v>
      </c>
      <c r="D1722" s="609">
        <v>2538.86</v>
      </c>
      <c r="E1722" s="609">
        <v>2364.15</v>
      </c>
      <c r="F1722" s="609">
        <v>504.57</v>
      </c>
      <c r="G1722" s="609">
        <v>1535.29</v>
      </c>
      <c r="H1722" s="609">
        <v>4500</v>
      </c>
      <c r="I1722" s="609">
        <v>1485.75</v>
      </c>
      <c r="J1722" s="609">
        <v>3000</v>
      </c>
      <c r="K1722" s="609">
        <v>3500</v>
      </c>
      <c r="L1722" s="609">
        <v>0</v>
      </c>
      <c r="M1722" s="609">
        <v>0</v>
      </c>
      <c r="N1722" s="587">
        <f t="shared" si="190"/>
        <v>3500</v>
      </c>
      <c r="O1722" s="125" t="str">
        <f>IF(COUNTIF($B$4:B1722,B1722)&gt;1,"repeat","ok")</f>
        <v>ok</v>
      </c>
      <c r="Q1722" t="str">
        <f t="shared" si="191"/>
        <v>53524</v>
      </c>
      <c r="R1722" s="126" t="str">
        <f t="shared" si="195"/>
        <v>EQUIPMENT RENTAL</v>
      </c>
      <c r="S1722" s="125" t="str">
        <f t="shared" si="196"/>
        <v>200</v>
      </c>
      <c r="T1722" s="125" t="str">
        <f t="shared" si="192"/>
        <v>73</v>
      </c>
      <c r="U1722" s="125" t="str">
        <f t="shared" si="193"/>
        <v>735</v>
      </c>
      <c r="V1722" s="125" t="str">
        <f>VLOOKUP(Q1722,'GL Category'!A:C,3,FALSE)</f>
        <v>Services &amp; other</v>
      </c>
      <c r="X1722" s="83"/>
    </row>
    <row r="1723" spans="1:24" ht="14.4" customHeight="1">
      <c r="A1723" s="608" t="s">
        <v>1037</v>
      </c>
      <c r="B1723" s="608" t="s">
        <v>1373</v>
      </c>
      <c r="C1723" s="608" t="s">
        <v>6</v>
      </c>
      <c r="D1723" s="609">
        <v>0</v>
      </c>
      <c r="E1723" s="609">
        <v>455</v>
      </c>
      <c r="F1723" s="609">
        <v>0</v>
      </c>
      <c r="G1723" s="609">
        <v>0</v>
      </c>
      <c r="H1723" s="609">
        <v>0</v>
      </c>
      <c r="I1723" s="609">
        <v>0</v>
      </c>
      <c r="J1723" s="609">
        <v>0</v>
      </c>
      <c r="K1723" s="609">
        <v>0</v>
      </c>
      <c r="L1723" s="609">
        <v>0</v>
      </c>
      <c r="M1723" s="609">
        <v>0</v>
      </c>
      <c r="N1723" s="587">
        <f t="shared" si="190"/>
        <v>0</v>
      </c>
      <c r="O1723" s="125" t="str">
        <f>IF(COUNTIF($B$4:B1723,B1723)&gt;1,"repeat","ok")</f>
        <v>repeat</v>
      </c>
      <c r="Q1723" t="str">
        <f t="shared" si="191"/>
        <v>53524</v>
      </c>
      <c r="R1723" s="126" t="str">
        <f t="shared" si="195"/>
        <v>EQUIPMENT RENTAL</v>
      </c>
      <c r="S1723" s="125" t="str">
        <f t="shared" si="196"/>
        <v>200</v>
      </c>
      <c r="T1723" s="125" t="str">
        <f t="shared" si="192"/>
        <v>73</v>
      </c>
      <c r="U1723" s="125" t="str">
        <f t="shared" si="193"/>
        <v>735</v>
      </c>
      <c r="V1723" s="125" t="str">
        <f>VLOOKUP(Q1723,'GL Category'!A:C,3,FALSE)</f>
        <v>Services &amp; other</v>
      </c>
      <c r="X1723" s="83"/>
    </row>
    <row r="1724" spans="1:24" ht="14.4" customHeight="1">
      <c r="A1724" s="608" t="s">
        <v>1037</v>
      </c>
      <c r="B1724" s="608" t="s">
        <v>1374</v>
      </c>
      <c r="C1724" s="608" t="s">
        <v>907</v>
      </c>
      <c r="D1724" s="609">
        <v>540</v>
      </c>
      <c r="E1724" s="609">
        <v>0</v>
      </c>
      <c r="F1724" s="609">
        <v>0</v>
      </c>
      <c r="G1724" s="609">
        <v>4036.99</v>
      </c>
      <c r="H1724" s="609">
        <v>0</v>
      </c>
      <c r="I1724" s="609">
        <v>0</v>
      </c>
      <c r="J1724" s="609">
        <v>0</v>
      </c>
      <c r="K1724" s="609">
        <v>0</v>
      </c>
      <c r="L1724" s="609">
        <v>0</v>
      </c>
      <c r="M1724" s="609">
        <v>0</v>
      </c>
      <c r="N1724" s="587">
        <f t="shared" si="190"/>
        <v>0</v>
      </c>
      <c r="O1724" s="125" t="str">
        <f>IF(COUNTIF($B$4:B1724,B1724)&gt;1,"repeat","ok")</f>
        <v>ok</v>
      </c>
      <c r="Q1724" t="str">
        <f t="shared" si="191"/>
        <v>53530</v>
      </c>
      <c r="R1724" s="126" t="str">
        <f t="shared" si="195"/>
        <v>DEBRIS &amp; WASTE DISPOSAL SVCS</v>
      </c>
      <c r="S1724" s="125" t="str">
        <f t="shared" si="196"/>
        <v>200</v>
      </c>
      <c r="T1724" s="125" t="str">
        <f t="shared" si="192"/>
        <v>73</v>
      </c>
      <c r="U1724" s="125" t="str">
        <f t="shared" si="193"/>
        <v>735</v>
      </c>
      <c r="V1724" s="125" t="str">
        <f>VLOOKUP(Q1724,'GL Category'!A:C,3,FALSE)</f>
        <v>Services &amp; other</v>
      </c>
      <c r="X1724" s="83"/>
    </row>
    <row r="1725" spans="1:24" ht="14.4" customHeight="1">
      <c r="A1725" s="608" t="s">
        <v>1037</v>
      </c>
      <c r="B1725" s="608" t="s">
        <v>1376</v>
      </c>
      <c r="C1725" s="608" t="s">
        <v>364</v>
      </c>
      <c r="D1725" s="609">
        <v>38690.400000000001</v>
      </c>
      <c r="E1725" s="609">
        <v>42953.4</v>
      </c>
      <c r="F1725" s="609">
        <v>42953.4</v>
      </c>
      <c r="G1725" s="609">
        <v>42953.4</v>
      </c>
      <c r="H1725" s="609">
        <v>43000</v>
      </c>
      <c r="I1725" s="609">
        <v>42953.4</v>
      </c>
      <c r="J1725" s="609">
        <v>43000</v>
      </c>
      <c r="K1725" s="609">
        <v>43000</v>
      </c>
      <c r="L1725" s="609">
        <v>0</v>
      </c>
      <c r="M1725" s="609">
        <v>0</v>
      </c>
      <c r="N1725" s="587">
        <f t="shared" si="190"/>
        <v>43000</v>
      </c>
      <c r="O1725" s="125" t="str">
        <f>IF(COUNTIF($B$4:B1725,B1725)&gt;1,"repeat","ok")</f>
        <v>ok</v>
      </c>
      <c r="Q1725" t="str">
        <f t="shared" si="191"/>
        <v>53577</v>
      </c>
      <c r="R1725" s="126" t="str">
        <f t="shared" si="195"/>
        <v>TCEQ SERVICES</v>
      </c>
      <c r="S1725" s="125" t="str">
        <f t="shared" si="196"/>
        <v>200</v>
      </c>
      <c r="T1725" s="125" t="str">
        <f t="shared" si="192"/>
        <v>73</v>
      </c>
      <c r="U1725" s="125" t="str">
        <f t="shared" si="193"/>
        <v>735</v>
      </c>
      <c r="V1725" s="125" t="str">
        <f>VLOOKUP(Q1725,'GL Category'!A:C,3,FALSE)</f>
        <v>Services &amp; other</v>
      </c>
      <c r="X1725" s="83"/>
    </row>
    <row r="1726" spans="1:24" ht="14.4" customHeight="1">
      <c r="A1726" s="608" t="s">
        <v>1037</v>
      </c>
      <c r="B1726" s="608" t="s">
        <v>1370</v>
      </c>
      <c r="C1726" s="608" t="s">
        <v>238</v>
      </c>
      <c r="D1726" s="609">
        <v>0</v>
      </c>
      <c r="E1726" s="609">
        <v>8595.0400000000009</v>
      </c>
      <c r="F1726" s="609">
        <v>1357.11</v>
      </c>
      <c r="G1726" s="609">
        <v>0</v>
      </c>
      <c r="H1726" s="609">
        <v>0</v>
      </c>
      <c r="I1726" s="609">
        <v>0</v>
      </c>
      <c r="J1726" s="609">
        <v>0</v>
      </c>
      <c r="K1726" s="609">
        <v>0</v>
      </c>
      <c r="L1726" s="609">
        <v>0</v>
      </c>
      <c r="M1726" s="609">
        <v>0</v>
      </c>
      <c r="N1726" s="587">
        <f t="shared" si="190"/>
        <v>0</v>
      </c>
      <c r="O1726" s="125" t="str">
        <f>IF(COUNTIF($B$4:B1726,B1726)&gt;1,"repeat","ok")</f>
        <v>ok</v>
      </c>
      <c r="Q1726" t="str">
        <f t="shared" si="191"/>
        <v>53599</v>
      </c>
      <c r="R1726" s="126" t="str">
        <f t="shared" si="195"/>
        <v>MISCELLANEOUS SERVICES</v>
      </c>
      <c r="S1726" s="125" t="str">
        <f t="shared" si="196"/>
        <v>200</v>
      </c>
      <c r="T1726" s="125" t="str">
        <f t="shared" si="192"/>
        <v>73</v>
      </c>
      <c r="U1726" s="125" t="str">
        <f t="shared" si="193"/>
        <v>735</v>
      </c>
      <c r="V1726" s="125" t="str">
        <f>VLOOKUP(Q1726,'GL Category'!A:C,3,FALSE)</f>
        <v>Services &amp; other</v>
      </c>
      <c r="X1726" s="83"/>
    </row>
    <row r="1727" spans="1:24" ht="14.4" customHeight="1">
      <c r="A1727" s="608" t="s">
        <v>1037</v>
      </c>
      <c r="B1727" s="608" t="s">
        <v>1378</v>
      </c>
      <c r="C1727" s="608" t="s">
        <v>221</v>
      </c>
      <c r="D1727" s="609">
        <v>28005</v>
      </c>
      <c r="E1727" s="609">
        <v>27744</v>
      </c>
      <c r="F1727" s="609">
        <v>25366</v>
      </c>
      <c r="G1727" s="609">
        <v>26558</v>
      </c>
      <c r="H1727" s="609">
        <v>31440</v>
      </c>
      <c r="I1727" s="609">
        <v>23580</v>
      </c>
      <c r="J1727" s="609">
        <v>31440</v>
      </c>
      <c r="K1727" s="609">
        <v>30884</v>
      </c>
      <c r="L1727" s="609">
        <v>0</v>
      </c>
      <c r="M1727" s="609">
        <v>0</v>
      </c>
      <c r="N1727" s="587">
        <f t="shared" si="190"/>
        <v>30884</v>
      </c>
      <c r="O1727" s="125" t="str">
        <f>IF(COUNTIF($B$4:B1727,B1727)&gt;1,"repeat","ok")</f>
        <v>ok</v>
      </c>
      <c r="Q1727" t="str">
        <f t="shared" si="191"/>
        <v>55119</v>
      </c>
      <c r="R1727" s="126" t="str">
        <f t="shared" si="195"/>
        <v>OFFICE EQUIP LEASE EXP-CITY</v>
      </c>
      <c r="S1727" s="125" t="str">
        <f t="shared" si="196"/>
        <v>200</v>
      </c>
      <c r="T1727" s="125" t="str">
        <f t="shared" si="192"/>
        <v>73</v>
      </c>
      <c r="U1727" s="125" t="str">
        <f t="shared" si="193"/>
        <v>735</v>
      </c>
      <c r="V1727" s="125" t="str">
        <f>VLOOKUP(Q1727,'GL Category'!A:C,3,FALSE)</f>
        <v>Services &amp; other</v>
      </c>
      <c r="X1727" s="83"/>
    </row>
    <row r="1728" spans="1:24" ht="14.4" customHeight="1">
      <c r="A1728" s="608" t="s">
        <v>1037</v>
      </c>
      <c r="B1728" s="608" t="s">
        <v>1377</v>
      </c>
      <c r="C1728" s="608" t="s">
        <v>220</v>
      </c>
      <c r="D1728" s="609">
        <v>37595</v>
      </c>
      <c r="E1728" s="609">
        <v>141891</v>
      </c>
      <c r="F1728" s="609">
        <v>147122</v>
      </c>
      <c r="G1728" s="609">
        <v>67543</v>
      </c>
      <c r="H1728" s="609">
        <v>71455</v>
      </c>
      <c r="I1728" s="609">
        <v>53591.25</v>
      </c>
      <c r="J1728" s="609">
        <v>71455</v>
      </c>
      <c r="K1728" s="609">
        <v>71455</v>
      </c>
      <c r="L1728" s="609">
        <v>0</v>
      </c>
      <c r="M1728" s="609">
        <v>0</v>
      </c>
      <c r="N1728" s="587">
        <f t="shared" si="190"/>
        <v>71455</v>
      </c>
      <c r="O1728" s="125" t="str">
        <f>IF(COUNTIF($B$4:B1728,B1728)&gt;1,"repeat","ok")</f>
        <v>ok</v>
      </c>
      <c r="Q1728" t="str">
        <f t="shared" si="191"/>
        <v>55175</v>
      </c>
      <c r="R1728" s="126" t="str">
        <f t="shared" si="195"/>
        <v>VEHICLE/EQUIP LEASE EXP-CITY</v>
      </c>
      <c r="S1728" s="125" t="str">
        <f t="shared" si="196"/>
        <v>200</v>
      </c>
      <c r="T1728" s="125" t="str">
        <f t="shared" si="192"/>
        <v>73</v>
      </c>
      <c r="U1728" s="125" t="str">
        <f t="shared" si="193"/>
        <v>735</v>
      </c>
      <c r="V1728" s="125" t="str">
        <f>VLOOKUP(Q1728,'GL Category'!A:C,3,FALSE)</f>
        <v>Services &amp; other</v>
      </c>
      <c r="X1728" s="83"/>
    </row>
    <row r="1729" spans="1:24" ht="14.4" customHeight="1">
      <c r="A1729" s="608" t="s">
        <v>1037</v>
      </c>
      <c r="B1729" s="608" t="s">
        <v>1380</v>
      </c>
      <c r="C1729" s="608" t="s">
        <v>346</v>
      </c>
      <c r="D1729" s="609">
        <v>49060.44</v>
      </c>
      <c r="E1729" s="609">
        <v>0</v>
      </c>
      <c r="F1729" s="609">
        <v>0</v>
      </c>
      <c r="G1729" s="609">
        <v>0</v>
      </c>
      <c r="H1729" s="609">
        <v>0</v>
      </c>
      <c r="I1729" s="609">
        <v>0</v>
      </c>
      <c r="J1729" s="609">
        <v>0</v>
      </c>
      <c r="K1729" s="609">
        <v>0</v>
      </c>
      <c r="L1729" s="609">
        <v>0</v>
      </c>
      <c r="M1729" s="609">
        <v>0</v>
      </c>
      <c r="N1729" s="587">
        <f t="shared" si="190"/>
        <v>0</v>
      </c>
      <c r="O1729" s="125" t="str">
        <f>IF(COUNTIF($B$4:B1729,B1729)&gt;1,"repeat","ok")</f>
        <v>ok</v>
      </c>
      <c r="Q1729" t="str">
        <f t="shared" si="191"/>
        <v>58820</v>
      </c>
      <c r="R1729" s="126" t="str">
        <f t="shared" si="195"/>
        <v>MAINS &amp; SERVICES</v>
      </c>
      <c r="S1729" s="125" t="str">
        <f t="shared" si="196"/>
        <v>200</v>
      </c>
      <c r="T1729" s="125" t="str">
        <f t="shared" si="192"/>
        <v>73</v>
      </c>
      <c r="U1729" s="125" t="str">
        <f t="shared" si="193"/>
        <v>735</v>
      </c>
      <c r="V1729" s="125" t="str">
        <f>VLOOKUP(Q1729,'GL Category'!A:C,3,FALSE)</f>
        <v>Capital Outlay</v>
      </c>
      <c r="X1729" s="83"/>
    </row>
    <row r="1730" spans="1:24" ht="14.4" customHeight="1">
      <c r="A1730" s="608" t="s">
        <v>1037</v>
      </c>
      <c r="B1730" s="608" t="s">
        <v>1381</v>
      </c>
      <c r="C1730" s="608" t="s">
        <v>268</v>
      </c>
      <c r="D1730" s="609">
        <v>0</v>
      </c>
      <c r="E1730" s="609">
        <v>21451.16</v>
      </c>
      <c r="F1730" s="609">
        <v>0</v>
      </c>
      <c r="G1730" s="609">
        <v>0</v>
      </c>
      <c r="H1730" s="609">
        <v>0</v>
      </c>
      <c r="I1730" s="609">
        <v>0</v>
      </c>
      <c r="J1730" s="609">
        <v>0</v>
      </c>
      <c r="K1730" s="609">
        <v>0</v>
      </c>
      <c r="L1730" s="609">
        <v>0</v>
      </c>
      <c r="M1730" s="609">
        <v>0</v>
      </c>
      <c r="N1730" s="587">
        <f t="shared" si="190"/>
        <v>0</v>
      </c>
      <c r="O1730" s="125" t="str">
        <f>IF(COUNTIF($B$4:B1730,B1730)&gt;1,"repeat","ok")</f>
        <v>ok</v>
      </c>
      <c r="Q1730" t="str">
        <f t="shared" si="191"/>
        <v>58830</v>
      </c>
      <c r="R1730" s="126" t="str">
        <f t="shared" si="195"/>
        <v>MACHINERY &amp; EQUIPMENT</v>
      </c>
      <c r="S1730" s="125" t="str">
        <f t="shared" si="196"/>
        <v>200</v>
      </c>
      <c r="T1730" s="125" t="str">
        <f t="shared" si="192"/>
        <v>73</v>
      </c>
      <c r="U1730" s="125" t="str">
        <f t="shared" si="193"/>
        <v>735</v>
      </c>
      <c r="V1730" s="125" t="str">
        <f>VLOOKUP(Q1730,'GL Category'!A:C,3,FALSE)</f>
        <v>Capital Outlay</v>
      </c>
      <c r="X1730" s="83"/>
    </row>
    <row r="1731" spans="1:24" ht="14.4" customHeight="1">
      <c r="A1731" s="608" t="s">
        <v>1037</v>
      </c>
      <c r="B1731" s="608" t="s">
        <v>1383</v>
      </c>
      <c r="C1731" s="608" t="s">
        <v>838</v>
      </c>
      <c r="D1731" s="609">
        <v>150000</v>
      </c>
      <c r="E1731" s="609">
        <v>100000</v>
      </c>
      <c r="F1731" s="609">
        <v>0</v>
      </c>
      <c r="G1731" s="609">
        <v>0</v>
      </c>
      <c r="H1731" s="609">
        <v>0</v>
      </c>
      <c r="I1731" s="609">
        <v>0</v>
      </c>
      <c r="J1731" s="609">
        <v>0</v>
      </c>
      <c r="K1731" s="609">
        <v>0</v>
      </c>
      <c r="L1731" s="609">
        <v>0</v>
      </c>
      <c r="M1731" s="609">
        <v>0</v>
      </c>
      <c r="N1731" s="587">
        <f t="shared" si="190"/>
        <v>0</v>
      </c>
      <c r="O1731" s="125" t="str">
        <f>IF(COUNTIF($B$4:B1731,B1731)&gt;1,"repeat","ok")</f>
        <v>ok</v>
      </c>
      <c r="Q1731" t="str">
        <f t="shared" si="191"/>
        <v>59170</v>
      </c>
      <c r="R1731" s="126" t="str">
        <f t="shared" si="195"/>
        <v>TRANSFER TO CIP-STREET IMPROVE</v>
      </c>
      <c r="S1731" s="125" t="str">
        <f t="shared" si="196"/>
        <v>200</v>
      </c>
      <c r="T1731" s="125" t="str">
        <f t="shared" si="192"/>
        <v>73</v>
      </c>
      <c r="U1731" s="125" t="str">
        <f t="shared" si="193"/>
        <v>735</v>
      </c>
      <c r="V1731" s="125" t="str">
        <f>VLOOKUP(Q1731,'GL Category'!A:C,3,FALSE)</f>
        <v>Transfers to other funds</v>
      </c>
      <c r="X1731" s="83"/>
    </row>
    <row r="1732" spans="1:24" ht="14.4" customHeight="1">
      <c r="A1732" s="608" t="s">
        <v>1037</v>
      </c>
      <c r="B1732" s="608" t="s">
        <v>3418</v>
      </c>
      <c r="C1732" s="608" t="s">
        <v>840</v>
      </c>
      <c r="D1732" s="609">
        <v>0</v>
      </c>
      <c r="E1732" s="609">
        <v>0</v>
      </c>
      <c r="F1732" s="609">
        <v>0</v>
      </c>
      <c r="G1732" s="609">
        <v>1291730</v>
      </c>
      <c r="H1732" s="609">
        <v>0</v>
      </c>
      <c r="I1732" s="609">
        <v>0</v>
      </c>
      <c r="J1732" s="609">
        <v>0</v>
      </c>
      <c r="K1732" s="609">
        <v>0</v>
      </c>
      <c r="L1732" s="609">
        <v>0</v>
      </c>
      <c r="M1732" s="609">
        <v>0</v>
      </c>
      <c r="N1732" s="587">
        <f t="shared" ref="N1732:N1795" si="198">SUM(K1732:M1732)</f>
        <v>0</v>
      </c>
      <c r="O1732" s="125" t="str">
        <f>IF(COUNTIF($B$4:B1732,B1732)&gt;1,"repeat","ok")</f>
        <v>ok</v>
      </c>
      <c r="Q1732" t="str">
        <f t="shared" ref="Q1732:Q1795" si="199">MID(B1732,12,5)</f>
        <v>59178</v>
      </c>
      <c r="R1732" s="126" t="str">
        <f t="shared" si="195"/>
        <v>TRANSFER TO CIP-PARK</v>
      </c>
      <c r="S1732" s="125" t="str">
        <f t="shared" si="196"/>
        <v>200</v>
      </c>
      <c r="T1732" s="125" t="str">
        <f t="shared" ref="T1732:T1795" si="200">MID(B1732,5,2)</f>
        <v>73</v>
      </c>
      <c r="U1732" s="125" t="str">
        <f t="shared" ref="U1732:U1795" si="201">MID(B1732,8,3)</f>
        <v>735</v>
      </c>
      <c r="V1732" s="125" t="str">
        <f>VLOOKUP(Q1732,'GL Category'!A:C,3,FALSE)</f>
        <v>Transfers to other funds</v>
      </c>
      <c r="X1732" s="83"/>
    </row>
    <row r="1733" spans="1:24" ht="14.4" customHeight="1">
      <c r="A1733" s="608" t="s">
        <v>1037</v>
      </c>
      <c r="B1733" s="608" t="s">
        <v>1384</v>
      </c>
      <c r="C1733" s="608" t="s">
        <v>841</v>
      </c>
      <c r="D1733" s="609">
        <v>653000</v>
      </c>
      <c r="E1733" s="609">
        <v>1273905</v>
      </c>
      <c r="F1733" s="609">
        <v>1300000</v>
      </c>
      <c r="G1733" s="609">
        <v>800000</v>
      </c>
      <c r="H1733" s="609">
        <v>625000</v>
      </c>
      <c r="I1733" s="609">
        <v>468750</v>
      </c>
      <c r="J1733" s="609">
        <v>625000</v>
      </c>
      <c r="K1733" s="609">
        <v>1400000</v>
      </c>
      <c r="L1733" s="609">
        <v>0</v>
      </c>
      <c r="M1733" s="609">
        <v>0</v>
      </c>
      <c r="N1733" s="587">
        <f t="shared" si="198"/>
        <v>1400000</v>
      </c>
      <c r="O1733" s="125" t="str">
        <f>IF(COUNTIF($B$4:B1733,B1733)&gt;1,"repeat","ok")</f>
        <v>ok</v>
      </c>
      <c r="Q1733" t="str">
        <f t="shared" si="199"/>
        <v>59206</v>
      </c>
      <c r="R1733" s="126" t="str">
        <f t="shared" si="195"/>
        <v>TRANSFER TO CIP-WATER/WW</v>
      </c>
      <c r="S1733" s="125" t="str">
        <f t="shared" si="196"/>
        <v>200</v>
      </c>
      <c r="T1733" s="125" t="str">
        <f t="shared" si="200"/>
        <v>73</v>
      </c>
      <c r="U1733" s="125" t="str">
        <f t="shared" si="201"/>
        <v>735</v>
      </c>
      <c r="V1733" s="125" t="str">
        <f>VLOOKUP(Q1733,'GL Category'!A:C,3,FALSE)</f>
        <v>Transfers to other funds</v>
      </c>
      <c r="X1733" s="83"/>
    </row>
    <row r="1734" spans="1:24" ht="14.4" customHeight="1">
      <c r="A1734" s="608" t="s">
        <v>1037</v>
      </c>
      <c r="B1734" s="608" t="s">
        <v>1385</v>
      </c>
      <c r="C1734" s="608" t="s">
        <v>132</v>
      </c>
      <c r="D1734" s="609">
        <v>325491.40999999997</v>
      </c>
      <c r="E1734" s="609">
        <v>351717.44</v>
      </c>
      <c r="F1734" s="609">
        <v>298239.07</v>
      </c>
      <c r="G1734" s="609">
        <v>388163.15</v>
      </c>
      <c r="H1734" s="609">
        <v>458226</v>
      </c>
      <c r="I1734" s="609">
        <v>303674.81</v>
      </c>
      <c r="J1734" s="609">
        <v>414414</v>
      </c>
      <c r="K1734" s="609">
        <v>471839</v>
      </c>
      <c r="L1734" s="609">
        <v>0</v>
      </c>
      <c r="M1734" s="609">
        <v>0</v>
      </c>
      <c r="N1734" s="587">
        <f t="shared" si="198"/>
        <v>471839</v>
      </c>
      <c r="O1734" s="125" t="str">
        <f>IF(COUNTIF($B$4:B1734,B1734)&gt;1,"repeat","ok")</f>
        <v>ok</v>
      </c>
      <c r="Q1734" t="str">
        <f t="shared" si="199"/>
        <v>50102</v>
      </c>
      <c r="R1734" s="126" t="str">
        <f t="shared" si="195"/>
        <v>NON EXEMPT SALARIES</v>
      </c>
      <c r="S1734" s="125" t="str">
        <f t="shared" si="196"/>
        <v>200</v>
      </c>
      <c r="T1734" s="125" t="str">
        <f t="shared" si="200"/>
        <v>75</v>
      </c>
      <c r="U1734" s="125" t="str">
        <f t="shared" si="201"/>
        <v>752</v>
      </c>
      <c r="V1734" s="125" t="str">
        <f>VLOOKUP(Q1734,'GL Category'!A:C,3,FALSE)</f>
        <v>Personnel services</v>
      </c>
      <c r="X1734" s="83"/>
    </row>
    <row r="1735" spans="1:24" ht="14.4" customHeight="1">
      <c r="A1735" s="608" t="s">
        <v>1037</v>
      </c>
      <c r="B1735" s="608" t="s">
        <v>1386</v>
      </c>
      <c r="C1735" s="608" t="s">
        <v>0</v>
      </c>
      <c r="D1735" s="609">
        <v>21513.25</v>
      </c>
      <c r="E1735" s="609">
        <v>25286.87</v>
      </c>
      <c r="F1735" s="609">
        <v>22296.86</v>
      </c>
      <c r="G1735" s="609">
        <v>16512.2</v>
      </c>
      <c r="H1735" s="609">
        <v>26277</v>
      </c>
      <c r="I1735" s="609">
        <v>12738.44</v>
      </c>
      <c r="J1735" s="609">
        <v>14673</v>
      </c>
      <c r="K1735" s="609">
        <v>26201</v>
      </c>
      <c r="L1735" s="609">
        <v>0</v>
      </c>
      <c r="M1735" s="609">
        <v>0</v>
      </c>
      <c r="N1735" s="587">
        <f t="shared" si="198"/>
        <v>26201</v>
      </c>
      <c r="O1735" s="125" t="str">
        <f>IF(COUNTIF($B$4:B1735,B1735)&gt;1,"repeat","ok")</f>
        <v>ok</v>
      </c>
      <c r="Q1735" t="str">
        <f t="shared" si="199"/>
        <v>50109</v>
      </c>
      <c r="R1735" s="126" t="str">
        <f t="shared" si="195"/>
        <v>OVERTIME</v>
      </c>
      <c r="S1735" s="125" t="str">
        <f t="shared" si="196"/>
        <v>200</v>
      </c>
      <c r="T1735" s="125" t="str">
        <f t="shared" si="200"/>
        <v>75</v>
      </c>
      <c r="U1735" s="125" t="str">
        <f t="shared" si="201"/>
        <v>752</v>
      </c>
      <c r="V1735" s="125" t="str">
        <f>VLOOKUP(Q1735,'GL Category'!A:C,3,FALSE)</f>
        <v>Personnel services</v>
      </c>
      <c r="X1735" s="83"/>
    </row>
    <row r="1736" spans="1:24" ht="14.4" customHeight="1">
      <c r="A1736" s="608" t="s">
        <v>1037</v>
      </c>
      <c r="B1736" s="608" t="s">
        <v>1387</v>
      </c>
      <c r="C1736" s="608" t="s">
        <v>137</v>
      </c>
      <c r="D1736" s="609">
        <v>3860</v>
      </c>
      <c r="E1736" s="609">
        <v>3775</v>
      </c>
      <c r="F1736" s="609">
        <v>4185</v>
      </c>
      <c r="G1736" s="609">
        <v>2585</v>
      </c>
      <c r="H1736" s="609">
        <v>2890</v>
      </c>
      <c r="I1736" s="609">
        <v>4055</v>
      </c>
      <c r="J1736" s="609">
        <v>4055</v>
      </c>
      <c r="K1736" s="609">
        <v>3838</v>
      </c>
      <c r="L1736" s="609">
        <v>0</v>
      </c>
      <c r="M1736" s="609">
        <v>0</v>
      </c>
      <c r="N1736" s="587">
        <f t="shared" si="198"/>
        <v>3838</v>
      </c>
      <c r="O1736" s="125" t="str">
        <f>IF(COUNTIF($B$4:B1736,B1736)&gt;1,"repeat","ok")</f>
        <v>ok</v>
      </c>
      <c r="Q1736" t="str">
        <f t="shared" si="199"/>
        <v>50111</v>
      </c>
      <c r="R1736" s="126" t="str">
        <f t="shared" si="195"/>
        <v>LONGEVITY PAY</v>
      </c>
      <c r="S1736" s="125" t="str">
        <f t="shared" si="196"/>
        <v>200</v>
      </c>
      <c r="T1736" s="125" t="str">
        <f t="shared" si="200"/>
        <v>75</v>
      </c>
      <c r="U1736" s="125" t="str">
        <f t="shared" si="201"/>
        <v>752</v>
      </c>
      <c r="V1736" s="125" t="str">
        <f>VLOOKUP(Q1736,'GL Category'!A:C,3,FALSE)</f>
        <v>Personnel services</v>
      </c>
      <c r="X1736" s="83"/>
    </row>
    <row r="1737" spans="1:24" ht="14.4" customHeight="1">
      <c r="A1737" s="608" t="s">
        <v>1037</v>
      </c>
      <c r="B1737" s="608" t="s">
        <v>1388</v>
      </c>
      <c r="C1737" s="608" t="s">
        <v>283</v>
      </c>
      <c r="D1737" s="609">
        <v>2734.82</v>
      </c>
      <c r="E1737" s="609">
        <v>2461.14</v>
      </c>
      <c r="F1737" s="609">
        <v>2033.5</v>
      </c>
      <c r="G1737" s="609">
        <v>1977.75</v>
      </c>
      <c r="H1737" s="609">
        <v>2300</v>
      </c>
      <c r="I1737" s="609">
        <v>1566</v>
      </c>
      <c r="J1737" s="609">
        <v>3085</v>
      </c>
      <c r="K1737" s="609">
        <v>2300</v>
      </c>
      <c r="L1737" s="609">
        <v>0</v>
      </c>
      <c r="M1737" s="609">
        <v>0</v>
      </c>
      <c r="N1737" s="587">
        <f t="shared" si="198"/>
        <v>2300</v>
      </c>
      <c r="O1737" s="125" t="str">
        <f>IF(COUNTIF($B$4:B1737,B1737)&gt;1,"repeat","ok")</f>
        <v>ok</v>
      </c>
      <c r="P1737" s="490">
        <f t="shared" ref="P1737:P1747" si="202">N1737-H1737</f>
        <v>0</v>
      </c>
      <c r="Q1737" t="str">
        <f t="shared" si="199"/>
        <v>50115</v>
      </c>
      <c r="R1737" s="126" t="str">
        <f t="shared" si="195"/>
        <v>INCENTIVE/CERTIFICATION PAY</v>
      </c>
      <c r="S1737" s="125" t="str">
        <f t="shared" si="196"/>
        <v>200</v>
      </c>
      <c r="T1737" s="125" t="str">
        <f t="shared" si="200"/>
        <v>75</v>
      </c>
      <c r="U1737" s="125" t="str">
        <f t="shared" si="201"/>
        <v>752</v>
      </c>
      <c r="V1737" s="125" t="str">
        <f>VLOOKUP(Q1737,'GL Category'!A:C,3,FALSE)</f>
        <v>Personnel services</v>
      </c>
      <c r="X1737" s="83"/>
    </row>
    <row r="1738" spans="1:24" ht="14.4" customHeight="1">
      <c r="A1738" s="608" t="s">
        <v>1037</v>
      </c>
      <c r="B1738" s="608" t="s">
        <v>1389</v>
      </c>
      <c r="C1738" s="608" t="s">
        <v>1</v>
      </c>
      <c r="D1738" s="609">
        <v>25717.49</v>
      </c>
      <c r="E1738" s="609">
        <v>27971.279999999999</v>
      </c>
      <c r="F1738" s="609">
        <v>23833.22</v>
      </c>
      <c r="G1738" s="609">
        <v>18401.509999999998</v>
      </c>
      <c r="H1738" s="609">
        <v>37510</v>
      </c>
      <c r="I1738" s="609">
        <v>23410.560000000001</v>
      </c>
      <c r="J1738" s="609">
        <v>32660</v>
      </c>
      <c r="K1738" s="609">
        <v>38710</v>
      </c>
      <c r="L1738" s="609">
        <v>0</v>
      </c>
      <c r="M1738" s="609">
        <v>0</v>
      </c>
      <c r="N1738" s="587">
        <f t="shared" si="198"/>
        <v>38710</v>
      </c>
      <c r="O1738" s="125" t="str">
        <f>IF(COUNTIF($B$4:B1738,B1738)&gt;1,"repeat","ok")</f>
        <v>ok</v>
      </c>
      <c r="P1738" s="490">
        <f t="shared" si="202"/>
        <v>1200</v>
      </c>
      <c r="Q1738" t="str">
        <f t="shared" si="199"/>
        <v>50610</v>
      </c>
      <c r="R1738" s="126" t="str">
        <f t="shared" si="195"/>
        <v>SOCIAL SECURITY</v>
      </c>
      <c r="S1738" s="125" t="str">
        <f t="shared" si="196"/>
        <v>200</v>
      </c>
      <c r="T1738" s="125" t="str">
        <f t="shared" si="200"/>
        <v>75</v>
      </c>
      <c r="U1738" s="125" t="str">
        <f t="shared" si="201"/>
        <v>752</v>
      </c>
      <c r="V1738" s="125" t="str">
        <f>VLOOKUP(Q1738,'GL Category'!A:C,3,FALSE)</f>
        <v>Personnel services</v>
      </c>
      <c r="X1738" s="83"/>
    </row>
    <row r="1739" spans="1:24" ht="14.4" customHeight="1">
      <c r="A1739" s="608" t="s">
        <v>1037</v>
      </c>
      <c r="B1739" s="608" t="s">
        <v>1390</v>
      </c>
      <c r="C1739" s="608" t="s">
        <v>142</v>
      </c>
      <c r="D1739" s="609">
        <v>101971.64</v>
      </c>
      <c r="E1739" s="609">
        <v>114899.32</v>
      </c>
      <c r="F1739" s="609">
        <v>120773.61</v>
      </c>
      <c r="G1739" s="609">
        <v>83960.46</v>
      </c>
      <c r="H1739" s="609">
        <v>164609</v>
      </c>
      <c r="I1739" s="609">
        <v>95632.9</v>
      </c>
      <c r="J1739" s="609">
        <v>149541</v>
      </c>
      <c r="K1739" s="609">
        <v>186877</v>
      </c>
      <c r="L1739" s="609">
        <v>0</v>
      </c>
      <c r="M1739" s="609">
        <v>0</v>
      </c>
      <c r="N1739" s="587">
        <f t="shared" si="198"/>
        <v>186877</v>
      </c>
      <c r="O1739" s="125" t="str">
        <f>IF(COUNTIF($B$4:B1739,B1739)&gt;1,"repeat","ok")</f>
        <v>ok</v>
      </c>
      <c r="P1739" s="490">
        <f t="shared" si="202"/>
        <v>22268</v>
      </c>
      <c r="Q1739" t="str">
        <f t="shared" si="199"/>
        <v>50620</v>
      </c>
      <c r="R1739" s="126" t="str">
        <f t="shared" si="195"/>
        <v>HEALTH/LIFE INSURANCE</v>
      </c>
      <c r="S1739" s="125" t="str">
        <f t="shared" si="196"/>
        <v>200</v>
      </c>
      <c r="T1739" s="125" t="str">
        <f t="shared" si="200"/>
        <v>75</v>
      </c>
      <c r="U1739" s="125" t="str">
        <f t="shared" si="201"/>
        <v>752</v>
      </c>
      <c r="V1739" s="125" t="str">
        <f>VLOOKUP(Q1739,'GL Category'!A:C,3,FALSE)</f>
        <v>Personnel services</v>
      </c>
      <c r="X1739" s="83"/>
    </row>
    <row r="1740" spans="1:24" ht="14.4" customHeight="1">
      <c r="A1740" s="608" t="s">
        <v>1037</v>
      </c>
      <c r="B1740" s="608" t="s">
        <v>1391</v>
      </c>
      <c r="C1740" s="608" t="s">
        <v>144</v>
      </c>
      <c r="D1740" s="609">
        <v>3533.76</v>
      </c>
      <c r="E1740" s="609">
        <v>3215.45</v>
      </c>
      <c r="F1740" s="609">
        <v>3568.53</v>
      </c>
      <c r="G1740" s="609">
        <v>6514.69</v>
      </c>
      <c r="H1740" s="609">
        <v>8313</v>
      </c>
      <c r="I1740" s="609">
        <v>8306.2099999999991</v>
      </c>
      <c r="J1740" s="609">
        <v>8306</v>
      </c>
      <c r="K1740" s="609">
        <v>8047</v>
      </c>
      <c r="L1740" s="609">
        <v>0</v>
      </c>
      <c r="M1740" s="609">
        <v>0</v>
      </c>
      <c r="N1740" s="587">
        <f t="shared" si="198"/>
        <v>8047</v>
      </c>
      <c r="O1740" s="125" t="str">
        <f>IF(COUNTIF($B$4:B1740,B1740)&gt;1,"repeat","ok")</f>
        <v>ok</v>
      </c>
      <c r="P1740" s="490">
        <f t="shared" si="202"/>
        <v>-266</v>
      </c>
      <c r="Q1740" t="str">
        <f t="shared" si="199"/>
        <v>50630</v>
      </c>
      <c r="R1740" s="126" t="str">
        <f t="shared" si="195"/>
        <v>WORKER COMPENSATION</v>
      </c>
      <c r="S1740" s="125" t="str">
        <f t="shared" si="196"/>
        <v>200</v>
      </c>
      <c r="T1740" s="125" t="str">
        <f t="shared" si="200"/>
        <v>75</v>
      </c>
      <c r="U1740" s="125" t="str">
        <f t="shared" si="201"/>
        <v>752</v>
      </c>
      <c r="V1740" s="125" t="str">
        <f>VLOOKUP(Q1740,'GL Category'!A:C,3,FALSE)</f>
        <v>Personnel services</v>
      </c>
      <c r="X1740" s="83"/>
    </row>
    <row r="1741" spans="1:24" ht="14.4" customHeight="1">
      <c r="A1741" s="608" t="s">
        <v>1037</v>
      </c>
      <c r="B1741" s="608" t="s">
        <v>1392</v>
      </c>
      <c r="C1741" s="608" t="s">
        <v>2</v>
      </c>
      <c r="D1741" s="609">
        <v>56322.400000000001</v>
      </c>
      <c r="E1741" s="609">
        <v>61974.55</v>
      </c>
      <c r="F1741" s="609">
        <v>53013.08</v>
      </c>
      <c r="G1741" s="609">
        <v>42034.34</v>
      </c>
      <c r="H1741" s="609">
        <v>80995</v>
      </c>
      <c r="I1741" s="609">
        <v>53425.41</v>
      </c>
      <c r="J1741" s="609">
        <v>73029</v>
      </c>
      <c r="K1741" s="609">
        <v>85583</v>
      </c>
      <c r="L1741" s="609">
        <v>0</v>
      </c>
      <c r="M1741" s="609">
        <v>0</v>
      </c>
      <c r="N1741" s="587">
        <f t="shared" si="198"/>
        <v>85583</v>
      </c>
      <c r="O1741" s="125" t="str">
        <f>IF(COUNTIF($B$4:B1741,B1741)&gt;1,"repeat","ok")</f>
        <v>ok</v>
      </c>
      <c r="P1741" s="490">
        <f t="shared" si="202"/>
        <v>4588</v>
      </c>
      <c r="Q1741" t="str">
        <f t="shared" si="199"/>
        <v>50650</v>
      </c>
      <c r="R1741" s="126" t="str">
        <f t="shared" si="195"/>
        <v>RETIREMENT</v>
      </c>
      <c r="S1741" s="125" t="str">
        <f t="shared" si="196"/>
        <v>200</v>
      </c>
      <c r="T1741" s="125" t="str">
        <f t="shared" si="200"/>
        <v>75</v>
      </c>
      <c r="U1741" s="125" t="str">
        <f t="shared" si="201"/>
        <v>752</v>
      </c>
      <c r="V1741" s="125" t="str">
        <f>VLOOKUP(Q1741,'GL Category'!A:C,3,FALSE)</f>
        <v>Personnel services</v>
      </c>
      <c r="X1741" s="83"/>
    </row>
    <row r="1742" spans="1:24" ht="14.4" customHeight="1">
      <c r="A1742" s="608" t="s">
        <v>1037</v>
      </c>
      <c r="B1742" s="608" t="s">
        <v>1393</v>
      </c>
      <c r="C1742" s="608" t="s">
        <v>4</v>
      </c>
      <c r="D1742" s="609">
        <v>733.15</v>
      </c>
      <c r="E1742" s="609">
        <v>817.02</v>
      </c>
      <c r="F1742" s="609">
        <v>3760.49</v>
      </c>
      <c r="G1742" s="609">
        <v>4029.27</v>
      </c>
      <c r="H1742" s="609">
        <v>5000</v>
      </c>
      <c r="I1742" s="609">
        <v>931.87</v>
      </c>
      <c r="J1742" s="609">
        <v>4000</v>
      </c>
      <c r="K1742" s="609">
        <v>4500</v>
      </c>
      <c r="L1742" s="609">
        <v>0</v>
      </c>
      <c r="M1742" s="609">
        <v>0</v>
      </c>
      <c r="N1742" s="587">
        <f t="shared" si="198"/>
        <v>4500</v>
      </c>
      <c r="O1742" s="125" t="str">
        <f>IF(COUNTIF($B$4:B1742,B1742)&gt;1,"repeat","ok")</f>
        <v>ok</v>
      </c>
      <c r="P1742" s="490">
        <f t="shared" si="202"/>
        <v>-500</v>
      </c>
      <c r="Q1742" t="str">
        <f t="shared" si="199"/>
        <v>51245</v>
      </c>
      <c r="R1742" s="126" t="str">
        <f t="shared" si="195"/>
        <v>SMALL TOOLS &amp; EQUIPMENT</v>
      </c>
      <c r="S1742" s="125" t="str">
        <f t="shared" si="196"/>
        <v>200</v>
      </c>
      <c r="T1742" s="125" t="str">
        <f t="shared" si="200"/>
        <v>75</v>
      </c>
      <c r="U1742" s="125" t="str">
        <f t="shared" si="201"/>
        <v>752</v>
      </c>
      <c r="V1742" s="125" t="str">
        <f>VLOOKUP(Q1742,'GL Category'!A:C,3,FALSE)</f>
        <v>Operations &amp; maintenance</v>
      </c>
      <c r="X1742" s="83"/>
    </row>
    <row r="1743" spans="1:24" ht="14.4" customHeight="1">
      <c r="A1743" s="608" t="s">
        <v>1037</v>
      </c>
      <c r="B1743" s="608" t="s">
        <v>1394</v>
      </c>
      <c r="C1743" s="608" t="s">
        <v>161</v>
      </c>
      <c r="D1743" s="609">
        <v>16512.21</v>
      </c>
      <c r="E1743" s="609">
        <v>20230.8</v>
      </c>
      <c r="F1743" s="609">
        <v>22607.91</v>
      </c>
      <c r="G1743" s="609">
        <v>11278.5</v>
      </c>
      <c r="H1743" s="609">
        <v>27650</v>
      </c>
      <c r="I1743" s="609">
        <v>12474.16</v>
      </c>
      <c r="J1743" s="609">
        <v>22000</v>
      </c>
      <c r="K1743" s="609">
        <v>25000</v>
      </c>
      <c r="L1743" s="609">
        <v>0</v>
      </c>
      <c r="M1743" s="609">
        <v>0</v>
      </c>
      <c r="N1743" s="587">
        <f t="shared" si="198"/>
        <v>25000</v>
      </c>
      <c r="O1743" s="125" t="str">
        <f>IF(COUNTIF($B$4:B1743,B1743)&gt;1,"repeat","ok")</f>
        <v>ok</v>
      </c>
      <c r="P1743" s="490">
        <f t="shared" si="202"/>
        <v>-2650</v>
      </c>
      <c r="Q1743" t="str">
        <f t="shared" si="199"/>
        <v>51255</v>
      </c>
      <c r="R1743" s="126" t="str">
        <f t="shared" si="195"/>
        <v>FUEL/OILS/LUBRICANTS</v>
      </c>
      <c r="S1743" s="125" t="str">
        <f t="shared" si="196"/>
        <v>200</v>
      </c>
      <c r="T1743" s="125" t="str">
        <f t="shared" si="200"/>
        <v>75</v>
      </c>
      <c r="U1743" s="125" t="str">
        <f t="shared" si="201"/>
        <v>752</v>
      </c>
      <c r="V1743" s="125" t="str">
        <f>VLOOKUP(Q1743,'GL Category'!A:C,3,FALSE)</f>
        <v>Operations &amp; maintenance</v>
      </c>
      <c r="X1743" s="83"/>
    </row>
    <row r="1744" spans="1:24" ht="14.4" customHeight="1">
      <c r="A1744" s="608" t="s">
        <v>1037</v>
      </c>
      <c r="B1744" s="608" t="s">
        <v>1395</v>
      </c>
      <c r="C1744" s="608" t="s">
        <v>234</v>
      </c>
      <c r="D1744" s="609">
        <v>0</v>
      </c>
      <c r="E1744" s="609">
        <v>0</v>
      </c>
      <c r="F1744" s="609">
        <v>0</v>
      </c>
      <c r="G1744" s="609">
        <v>0</v>
      </c>
      <c r="H1744" s="609">
        <v>0</v>
      </c>
      <c r="I1744" s="609">
        <v>0</v>
      </c>
      <c r="J1744" s="609">
        <v>0</v>
      </c>
      <c r="K1744" s="609">
        <v>0</v>
      </c>
      <c r="L1744" s="609">
        <v>0</v>
      </c>
      <c r="M1744" s="609">
        <v>0</v>
      </c>
      <c r="N1744" s="587">
        <f t="shared" si="198"/>
        <v>0</v>
      </c>
      <c r="O1744" s="125" t="str">
        <f>IF(COUNTIF($B$4:B1744,B1744)&gt;1,"repeat","ok")</f>
        <v>ok</v>
      </c>
      <c r="P1744" s="490">
        <f t="shared" si="202"/>
        <v>0</v>
      </c>
      <c r="Q1744" t="str">
        <f t="shared" si="199"/>
        <v>51265</v>
      </c>
      <c r="R1744" s="126" t="str">
        <f t="shared" si="195"/>
        <v>STREET SIGN/SIGNAL SUPPLIES</v>
      </c>
      <c r="S1744" s="125" t="str">
        <f t="shared" si="196"/>
        <v>200</v>
      </c>
      <c r="T1744" s="125" t="str">
        <f t="shared" si="200"/>
        <v>75</v>
      </c>
      <c r="U1744" s="125" t="str">
        <f t="shared" si="201"/>
        <v>752</v>
      </c>
      <c r="V1744" s="125" t="str">
        <f>VLOOKUP(Q1744,'GL Category'!A:C,3,FALSE)</f>
        <v>Operations &amp; maintenance</v>
      </c>
      <c r="X1744" s="83"/>
    </row>
    <row r="1745" spans="1:24" ht="14.4" customHeight="1">
      <c r="A1745" s="608" t="s">
        <v>1037</v>
      </c>
      <c r="B1745" s="608" t="s">
        <v>1396</v>
      </c>
      <c r="C1745" s="608" t="s">
        <v>276</v>
      </c>
      <c r="D1745" s="609">
        <v>1847.14</v>
      </c>
      <c r="E1745" s="609">
        <v>213.87</v>
      </c>
      <c r="F1745" s="609">
        <v>0</v>
      </c>
      <c r="G1745" s="609">
        <v>3520</v>
      </c>
      <c r="H1745" s="609">
        <v>1700</v>
      </c>
      <c r="I1745" s="609">
        <v>146.04</v>
      </c>
      <c r="J1745" s="609">
        <v>1500</v>
      </c>
      <c r="K1745" s="609">
        <v>1700</v>
      </c>
      <c r="L1745" s="609">
        <v>0</v>
      </c>
      <c r="M1745" s="609">
        <v>0</v>
      </c>
      <c r="N1745" s="587">
        <f t="shared" si="198"/>
        <v>1700</v>
      </c>
      <c r="O1745" s="125" t="str">
        <f>IF(COUNTIF($B$4:B1745,B1745)&gt;1,"repeat","ok")</f>
        <v>ok</v>
      </c>
      <c r="P1745" s="490">
        <f t="shared" si="202"/>
        <v>0</v>
      </c>
      <c r="Q1745" t="str">
        <f t="shared" si="199"/>
        <v>51270</v>
      </c>
      <c r="R1745" s="126" t="str">
        <f t="shared" si="195"/>
        <v>CHEMICAL SUPPLIES</v>
      </c>
      <c r="S1745" s="125" t="str">
        <f t="shared" si="196"/>
        <v>200</v>
      </c>
      <c r="T1745" s="125" t="str">
        <f t="shared" si="200"/>
        <v>75</v>
      </c>
      <c r="U1745" s="125" t="str">
        <f t="shared" si="201"/>
        <v>752</v>
      </c>
      <c r="V1745" s="125" t="str">
        <f>VLOOKUP(Q1745,'GL Category'!A:C,3,FALSE)</f>
        <v>Operations &amp; maintenance</v>
      </c>
      <c r="X1745" s="83"/>
    </row>
    <row r="1746" spans="1:24" ht="14.4" customHeight="1">
      <c r="A1746" s="608" t="s">
        <v>1037</v>
      </c>
      <c r="B1746" s="608" t="s">
        <v>1397</v>
      </c>
      <c r="C1746" s="608" t="s">
        <v>167</v>
      </c>
      <c r="D1746" s="609">
        <v>4778.0600000000004</v>
      </c>
      <c r="E1746" s="609">
        <v>2434.34</v>
      </c>
      <c r="F1746" s="609">
        <v>3134.91</v>
      </c>
      <c r="G1746" s="609">
        <v>3674.24</v>
      </c>
      <c r="H1746" s="609">
        <v>6000</v>
      </c>
      <c r="I1746" s="609">
        <v>4271.07</v>
      </c>
      <c r="J1746" s="609">
        <v>4000</v>
      </c>
      <c r="K1746" s="609">
        <v>5000</v>
      </c>
      <c r="L1746" s="609">
        <v>0</v>
      </c>
      <c r="M1746" s="609">
        <v>0</v>
      </c>
      <c r="N1746" s="587">
        <f t="shared" si="198"/>
        <v>5000</v>
      </c>
      <c r="O1746" s="125" t="str">
        <f>IF(COUNTIF($B$4:B1746,B1746)&gt;1,"repeat","ok")</f>
        <v>ok</v>
      </c>
      <c r="P1746" s="490">
        <f t="shared" si="202"/>
        <v>-1000</v>
      </c>
      <c r="Q1746" t="str">
        <f t="shared" si="199"/>
        <v>51285</v>
      </c>
      <c r="R1746" s="126" t="str">
        <f t="shared" si="195"/>
        <v>WEARING APPAREL</v>
      </c>
      <c r="S1746" s="125" t="str">
        <f t="shared" si="196"/>
        <v>200</v>
      </c>
      <c r="T1746" s="125" t="str">
        <f t="shared" si="200"/>
        <v>75</v>
      </c>
      <c r="U1746" s="125" t="str">
        <f t="shared" si="201"/>
        <v>752</v>
      </c>
      <c r="V1746" s="125" t="str">
        <f>VLOOKUP(Q1746,'GL Category'!A:C,3,FALSE)</f>
        <v>Operations &amp; maintenance</v>
      </c>
      <c r="X1746" s="83"/>
    </row>
    <row r="1747" spans="1:24" ht="14.4" customHeight="1">
      <c r="A1747" s="608" t="s">
        <v>1037</v>
      </c>
      <c r="B1747" s="608" t="s">
        <v>1398</v>
      </c>
      <c r="C1747" s="608" t="s">
        <v>274</v>
      </c>
      <c r="D1747" s="609">
        <v>8354.94</v>
      </c>
      <c r="E1747" s="609">
        <v>7994.87</v>
      </c>
      <c r="F1747" s="609">
        <v>5512.75</v>
      </c>
      <c r="G1747" s="609">
        <v>0</v>
      </c>
      <c r="H1747" s="609">
        <v>0</v>
      </c>
      <c r="I1747" s="609">
        <v>0</v>
      </c>
      <c r="J1747" s="609">
        <v>0</v>
      </c>
      <c r="K1747" s="609">
        <v>0</v>
      </c>
      <c r="L1747" s="609">
        <v>0</v>
      </c>
      <c r="M1747" s="609">
        <v>0</v>
      </c>
      <c r="N1747" s="587">
        <f t="shared" si="198"/>
        <v>0</v>
      </c>
      <c r="O1747" s="125" t="str">
        <f>IF(COUNTIF($B$4:B1747,B1747)&gt;1,"repeat","ok")</f>
        <v>ok</v>
      </c>
      <c r="P1747" s="490">
        <f t="shared" si="202"/>
        <v>0</v>
      </c>
      <c r="Q1747" t="str">
        <f t="shared" si="199"/>
        <v>51287</v>
      </c>
      <c r="R1747" s="126" t="str">
        <f t="shared" si="195"/>
        <v>SAFETY EQUIPMENT/SUPPLIES</v>
      </c>
      <c r="S1747" s="125" t="str">
        <f t="shared" si="196"/>
        <v>200</v>
      </c>
      <c r="T1747" s="125" t="str">
        <f t="shared" si="200"/>
        <v>75</v>
      </c>
      <c r="U1747" s="125" t="str">
        <f t="shared" si="201"/>
        <v>752</v>
      </c>
      <c r="V1747" s="125" t="str">
        <f>VLOOKUP(Q1747,'GL Category'!A:C,3,FALSE)</f>
        <v>Operations &amp; maintenance</v>
      </c>
      <c r="X1747" s="83"/>
    </row>
    <row r="1748" spans="1:24" ht="14.4" customHeight="1">
      <c r="A1748" s="608" t="s">
        <v>1037</v>
      </c>
      <c r="B1748" s="608" t="s">
        <v>1398</v>
      </c>
      <c r="C1748" s="608" t="s">
        <v>274</v>
      </c>
      <c r="D1748" s="609">
        <v>0</v>
      </c>
      <c r="E1748" s="609">
        <v>0</v>
      </c>
      <c r="F1748" s="609">
        <v>0</v>
      </c>
      <c r="G1748" s="609">
        <v>0</v>
      </c>
      <c r="H1748" s="609">
        <v>0</v>
      </c>
      <c r="I1748" s="609">
        <v>0</v>
      </c>
      <c r="J1748" s="609">
        <v>0</v>
      </c>
      <c r="K1748" s="609">
        <v>0</v>
      </c>
      <c r="L1748" s="609">
        <v>0</v>
      </c>
      <c r="M1748" s="609">
        <v>0</v>
      </c>
      <c r="N1748" s="587">
        <f t="shared" si="198"/>
        <v>0</v>
      </c>
      <c r="O1748" s="125" t="str">
        <f>IF(COUNTIF($B$4:B1748,B1748)&gt;1,"repeat","ok")</f>
        <v>repeat</v>
      </c>
      <c r="Q1748" t="str">
        <f t="shared" si="199"/>
        <v>51287</v>
      </c>
      <c r="R1748" s="126" t="str">
        <f t="shared" si="195"/>
        <v>SAFETY EQUIPMENT/SUPPLIES</v>
      </c>
      <c r="S1748" s="125" t="str">
        <f t="shared" si="196"/>
        <v>200</v>
      </c>
      <c r="T1748" s="125" t="str">
        <f t="shared" si="200"/>
        <v>75</v>
      </c>
      <c r="U1748" s="125" t="str">
        <f t="shared" si="201"/>
        <v>752</v>
      </c>
      <c r="V1748" s="125" t="str">
        <f>VLOOKUP(Q1748,'GL Category'!A:C,3,FALSE)</f>
        <v>Operations &amp; maintenance</v>
      </c>
      <c r="X1748" s="83"/>
    </row>
    <row r="1749" spans="1:24" ht="14.4" customHeight="1">
      <c r="A1749" s="608" t="s">
        <v>1037</v>
      </c>
      <c r="B1749" s="608" t="s">
        <v>1402</v>
      </c>
      <c r="C1749" s="608" t="s">
        <v>359</v>
      </c>
      <c r="D1749" s="609">
        <v>15656.24</v>
      </c>
      <c r="E1749" s="609">
        <v>65837.63</v>
      </c>
      <c r="F1749" s="609">
        <v>52059.96</v>
      </c>
      <c r="G1749" s="609">
        <v>53381.32</v>
      </c>
      <c r="H1749" s="609">
        <v>90000</v>
      </c>
      <c r="I1749" s="609">
        <v>58455.519999999997</v>
      </c>
      <c r="J1749" s="609">
        <v>90000</v>
      </c>
      <c r="K1749" s="609">
        <v>90000</v>
      </c>
      <c r="L1749" s="609">
        <v>0</v>
      </c>
      <c r="M1749" s="609">
        <v>0</v>
      </c>
      <c r="N1749" s="587">
        <f t="shared" si="198"/>
        <v>90000</v>
      </c>
      <c r="O1749" s="125" t="str">
        <f>IF(COUNTIF($B$4:B1749,B1749)&gt;1,"repeat","ok")</f>
        <v>ok</v>
      </c>
      <c r="Q1749" t="str">
        <f t="shared" si="199"/>
        <v>52330</v>
      </c>
      <c r="R1749" s="126" t="str">
        <f t="shared" si="195"/>
        <v>MAINS &amp; SERVICES MAINTENANCE</v>
      </c>
      <c r="S1749" s="125" t="str">
        <f t="shared" si="196"/>
        <v>200</v>
      </c>
      <c r="T1749" s="125" t="str">
        <f t="shared" si="200"/>
        <v>75</v>
      </c>
      <c r="U1749" s="125" t="str">
        <f t="shared" si="201"/>
        <v>752</v>
      </c>
      <c r="V1749" s="125" t="str">
        <f>VLOOKUP(Q1749,'GL Category'!A:C,3,FALSE)</f>
        <v>Operations &amp; maintenance</v>
      </c>
      <c r="X1749" s="83"/>
    </row>
    <row r="1750" spans="1:24" ht="14.4" customHeight="1">
      <c r="A1750" s="608" t="s">
        <v>1037</v>
      </c>
      <c r="B1750" s="608" t="s">
        <v>1403</v>
      </c>
      <c r="C1750" s="608" t="s">
        <v>361</v>
      </c>
      <c r="D1750" s="609">
        <v>33111.81</v>
      </c>
      <c r="E1750" s="609">
        <v>34080.22</v>
      </c>
      <c r="F1750" s="609">
        <v>16914.419999999998</v>
      </c>
      <c r="G1750" s="609">
        <v>26865.09</v>
      </c>
      <c r="H1750" s="609">
        <v>42000</v>
      </c>
      <c r="I1750" s="609">
        <v>25272.61</v>
      </c>
      <c r="J1750" s="609">
        <v>38000</v>
      </c>
      <c r="K1750" s="609">
        <v>40000</v>
      </c>
      <c r="L1750" s="609">
        <v>0</v>
      </c>
      <c r="M1750" s="609">
        <v>0</v>
      </c>
      <c r="N1750" s="587">
        <f t="shared" si="198"/>
        <v>40000</v>
      </c>
      <c r="O1750" s="125" t="str">
        <f>IF(COUNTIF($B$4:B1750,B1750)&gt;1,"repeat","ok")</f>
        <v>ok</v>
      </c>
      <c r="Q1750" t="str">
        <f t="shared" si="199"/>
        <v>52360</v>
      </c>
      <c r="R1750" s="126" t="str">
        <f t="shared" si="195"/>
        <v>LIFT STATION MAINTENANCE</v>
      </c>
      <c r="S1750" s="125" t="str">
        <f t="shared" si="196"/>
        <v>200</v>
      </c>
      <c r="T1750" s="125" t="str">
        <f t="shared" si="200"/>
        <v>75</v>
      </c>
      <c r="U1750" s="125" t="str">
        <f t="shared" si="201"/>
        <v>752</v>
      </c>
      <c r="V1750" s="125" t="str">
        <f>VLOOKUP(Q1750,'GL Category'!A:C,3,FALSE)</f>
        <v>Operations &amp; maintenance</v>
      </c>
      <c r="X1750" s="83"/>
    </row>
    <row r="1751" spans="1:24" ht="14.4" customHeight="1">
      <c r="A1751" s="608" t="s">
        <v>1037</v>
      </c>
      <c r="B1751" s="608" t="s">
        <v>1404</v>
      </c>
      <c r="C1751" s="608" t="s">
        <v>175</v>
      </c>
      <c r="D1751" s="609">
        <v>12328.28</v>
      </c>
      <c r="E1751" s="609">
        <v>1050.97</v>
      </c>
      <c r="F1751" s="609">
        <v>1021.44</v>
      </c>
      <c r="G1751" s="609">
        <v>1036.49</v>
      </c>
      <c r="H1751" s="609">
        <v>1000</v>
      </c>
      <c r="I1751" s="609">
        <v>1051.54</v>
      </c>
      <c r="J1751" s="609">
        <v>1000</v>
      </c>
      <c r="K1751" s="609">
        <v>1000</v>
      </c>
      <c r="L1751" s="609">
        <v>0</v>
      </c>
      <c r="M1751" s="609">
        <v>0</v>
      </c>
      <c r="N1751" s="587">
        <f t="shared" si="198"/>
        <v>1000</v>
      </c>
      <c r="O1751" s="125" t="str">
        <f>IF(COUNTIF($B$4:B1751,B1751)&gt;1,"repeat","ok")</f>
        <v>ok</v>
      </c>
      <c r="Q1751" t="str">
        <f t="shared" si="199"/>
        <v>52440</v>
      </c>
      <c r="R1751" s="126" t="str">
        <f t="shared" si="195"/>
        <v>RADIO MAINTENANCE</v>
      </c>
      <c r="S1751" s="125" t="str">
        <f t="shared" si="196"/>
        <v>200</v>
      </c>
      <c r="T1751" s="125" t="str">
        <f t="shared" si="200"/>
        <v>75</v>
      </c>
      <c r="U1751" s="125" t="str">
        <f t="shared" si="201"/>
        <v>752</v>
      </c>
      <c r="V1751" s="125" t="str">
        <f>VLOOKUP(Q1751,'GL Category'!A:C,3,FALSE)</f>
        <v>Operations &amp; maintenance</v>
      </c>
      <c r="X1751" s="83"/>
    </row>
    <row r="1752" spans="1:24" ht="14.4" customHeight="1">
      <c r="A1752" s="608" t="s">
        <v>1037</v>
      </c>
      <c r="B1752" s="608" t="s">
        <v>1405</v>
      </c>
      <c r="C1752" s="608" t="s">
        <v>241</v>
      </c>
      <c r="D1752" s="609">
        <v>36184.699999999997</v>
      </c>
      <c r="E1752" s="609">
        <v>23198.15</v>
      </c>
      <c r="F1752" s="609">
        <v>37109.81</v>
      </c>
      <c r="G1752" s="609">
        <v>58282.99</v>
      </c>
      <c r="H1752" s="609">
        <v>33000</v>
      </c>
      <c r="I1752" s="609">
        <v>81357.850000000006</v>
      </c>
      <c r="J1752" s="609">
        <v>79500</v>
      </c>
      <c r="K1752" s="609">
        <v>36500</v>
      </c>
      <c r="L1752" s="609">
        <v>0</v>
      </c>
      <c r="M1752" s="609">
        <v>0</v>
      </c>
      <c r="N1752" s="587">
        <f t="shared" si="198"/>
        <v>36500</v>
      </c>
      <c r="O1752" s="125" t="str">
        <f>IF(COUNTIF($B$4:B1752,B1752)&gt;1,"repeat","ok")</f>
        <v>ok</v>
      </c>
      <c r="Q1752" t="str">
        <f t="shared" si="199"/>
        <v>52460</v>
      </c>
      <c r="R1752" s="126" t="str">
        <f t="shared" si="195"/>
        <v>VEHICLE MAINTENANCE</v>
      </c>
      <c r="S1752" s="125" t="str">
        <f t="shared" si="196"/>
        <v>200</v>
      </c>
      <c r="T1752" s="125" t="str">
        <f t="shared" si="200"/>
        <v>75</v>
      </c>
      <c r="U1752" s="125" t="str">
        <f t="shared" si="201"/>
        <v>752</v>
      </c>
      <c r="V1752" s="125" t="str">
        <f>VLOOKUP(Q1752,'GL Category'!A:C,3,FALSE)</f>
        <v>Operations &amp; maintenance</v>
      </c>
      <c r="X1752" s="83"/>
    </row>
    <row r="1753" spans="1:24" ht="14.4" customHeight="1">
      <c r="A1753" s="608" t="s">
        <v>1037</v>
      </c>
      <c r="B1753" s="608" t="s">
        <v>1406</v>
      </c>
      <c r="C1753" s="608" t="s">
        <v>236</v>
      </c>
      <c r="D1753" s="609">
        <v>3561.55</v>
      </c>
      <c r="E1753" s="609">
        <v>2709.61</v>
      </c>
      <c r="F1753" s="609">
        <v>5425.36</v>
      </c>
      <c r="G1753" s="609">
        <v>5861.89</v>
      </c>
      <c r="H1753" s="609">
        <v>8000</v>
      </c>
      <c r="I1753" s="609">
        <v>9802.4599999999991</v>
      </c>
      <c r="J1753" s="609">
        <v>8000</v>
      </c>
      <c r="K1753" s="609">
        <v>8000</v>
      </c>
      <c r="L1753" s="609">
        <v>0</v>
      </c>
      <c r="M1753" s="609">
        <v>0</v>
      </c>
      <c r="N1753" s="587">
        <f t="shared" si="198"/>
        <v>8000</v>
      </c>
      <c r="O1753" s="125" t="str">
        <f>IF(COUNTIF($B$4:B1753,B1753)&gt;1,"repeat","ok")</f>
        <v>ok</v>
      </c>
      <c r="Q1753" t="str">
        <f t="shared" si="199"/>
        <v>52470</v>
      </c>
      <c r="R1753" s="126" t="str">
        <f t="shared" si="195"/>
        <v>EQUIPMENT MAINTENANCE</v>
      </c>
      <c r="S1753" s="125" t="str">
        <f t="shared" si="196"/>
        <v>200</v>
      </c>
      <c r="T1753" s="125" t="str">
        <f t="shared" si="200"/>
        <v>75</v>
      </c>
      <c r="U1753" s="125" t="str">
        <f t="shared" si="201"/>
        <v>752</v>
      </c>
      <c r="V1753" s="125" t="str">
        <f>VLOOKUP(Q1753,'GL Category'!A:C,3,FALSE)</f>
        <v>Operations &amp; maintenance</v>
      </c>
      <c r="X1753" s="83"/>
    </row>
    <row r="1754" spans="1:24" ht="14.4" customHeight="1">
      <c r="A1754" s="608" t="s">
        <v>1037</v>
      </c>
      <c r="B1754" s="608" t="s">
        <v>1409</v>
      </c>
      <c r="C1754" s="608" t="s">
        <v>190</v>
      </c>
      <c r="D1754" s="609">
        <v>71</v>
      </c>
      <c r="E1754" s="609">
        <v>241</v>
      </c>
      <c r="F1754" s="609">
        <v>100</v>
      </c>
      <c r="G1754" s="609">
        <v>628.71</v>
      </c>
      <c r="H1754" s="609">
        <v>500</v>
      </c>
      <c r="I1754" s="609">
        <v>97</v>
      </c>
      <c r="J1754" s="609">
        <v>500</v>
      </c>
      <c r="K1754" s="609">
        <v>500</v>
      </c>
      <c r="L1754" s="609">
        <v>0</v>
      </c>
      <c r="M1754" s="609">
        <v>0</v>
      </c>
      <c r="N1754" s="587">
        <f t="shared" si="198"/>
        <v>500</v>
      </c>
      <c r="O1754" s="125" t="str">
        <f>IF(COUNTIF($B$4:B1754,B1754)&gt;1,"repeat","ok")</f>
        <v>ok</v>
      </c>
      <c r="Q1754" t="str">
        <f t="shared" si="199"/>
        <v>53510</v>
      </c>
      <c r="R1754" s="126" t="str">
        <f t="shared" si="195"/>
        <v>DUES &amp; SUBSCRIPTIONS</v>
      </c>
      <c r="S1754" s="125" t="str">
        <f t="shared" si="196"/>
        <v>200</v>
      </c>
      <c r="T1754" s="125" t="str">
        <f t="shared" si="200"/>
        <v>75</v>
      </c>
      <c r="U1754" s="125" t="str">
        <f t="shared" si="201"/>
        <v>752</v>
      </c>
      <c r="V1754" s="125" t="str">
        <f>VLOOKUP(Q1754,'GL Category'!A:C,3,FALSE)</f>
        <v>Services &amp; other</v>
      </c>
      <c r="X1754" s="83"/>
    </row>
    <row r="1755" spans="1:24" ht="14.4" customHeight="1">
      <c r="A1755" s="608" t="s">
        <v>1037</v>
      </c>
      <c r="B1755" s="608" t="s">
        <v>1410</v>
      </c>
      <c r="C1755" s="608" t="s">
        <v>191</v>
      </c>
      <c r="D1755" s="609">
        <v>1474.2</v>
      </c>
      <c r="E1755" s="609">
        <v>2044.76</v>
      </c>
      <c r="F1755" s="609">
        <v>2135.75</v>
      </c>
      <c r="G1755" s="609">
        <v>189.09</v>
      </c>
      <c r="H1755" s="609">
        <v>8500</v>
      </c>
      <c r="I1755" s="609">
        <v>3002.56</v>
      </c>
      <c r="J1755" s="609">
        <v>4500</v>
      </c>
      <c r="K1755" s="609">
        <v>6500</v>
      </c>
      <c r="L1755" s="609">
        <v>0</v>
      </c>
      <c r="M1755" s="609">
        <v>0</v>
      </c>
      <c r="N1755" s="587">
        <f t="shared" si="198"/>
        <v>6500</v>
      </c>
      <c r="O1755" s="125" t="str">
        <f>IF(COUNTIF($B$4:B1755,B1755)&gt;1,"repeat","ok")</f>
        <v>ok</v>
      </c>
      <c r="Q1755" t="str">
        <f t="shared" si="199"/>
        <v>53515</v>
      </c>
      <c r="R1755" s="126" t="str">
        <f t="shared" si="195"/>
        <v>TRAVEL, TRAINING &amp; EDUCATION</v>
      </c>
      <c r="S1755" s="125" t="str">
        <f t="shared" si="196"/>
        <v>200</v>
      </c>
      <c r="T1755" s="125" t="str">
        <f t="shared" si="200"/>
        <v>75</v>
      </c>
      <c r="U1755" s="125" t="str">
        <f t="shared" si="201"/>
        <v>752</v>
      </c>
      <c r="V1755" s="125" t="str">
        <f>VLOOKUP(Q1755,'GL Category'!A:C,3,FALSE)</f>
        <v>Services &amp; other</v>
      </c>
      <c r="X1755" s="83"/>
    </row>
    <row r="1756" spans="1:24" ht="14.4" customHeight="1">
      <c r="A1756" s="608" t="s">
        <v>1037</v>
      </c>
      <c r="B1756" s="608" t="s">
        <v>1412</v>
      </c>
      <c r="C1756" s="608" t="s">
        <v>6</v>
      </c>
      <c r="D1756" s="609">
        <v>521.25</v>
      </c>
      <c r="E1756" s="609">
        <v>0</v>
      </c>
      <c r="F1756" s="609">
        <v>570</v>
      </c>
      <c r="G1756" s="609">
        <v>4705</v>
      </c>
      <c r="H1756" s="609">
        <v>4000</v>
      </c>
      <c r="I1756" s="609">
        <v>1856.86</v>
      </c>
      <c r="J1756" s="609">
        <v>4000</v>
      </c>
      <c r="K1756" s="609">
        <v>4000</v>
      </c>
      <c r="L1756" s="609">
        <v>0</v>
      </c>
      <c r="M1756" s="609">
        <v>0</v>
      </c>
      <c r="N1756" s="587">
        <f t="shared" si="198"/>
        <v>4000</v>
      </c>
      <c r="O1756" s="125" t="str">
        <f>IF(COUNTIF($B$4:B1756,B1756)&gt;1,"repeat","ok")</f>
        <v>ok</v>
      </c>
      <c r="Q1756" t="str">
        <f t="shared" si="199"/>
        <v>53524</v>
      </c>
      <c r="R1756" s="126" t="str">
        <f t="shared" si="195"/>
        <v>EQUIPMENT RENTAL</v>
      </c>
      <c r="S1756" s="125" t="str">
        <f t="shared" si="196"/>
        <v>200</v>
      </c>
      <c r="T1756" s="125" t="str">
        <f t="shared" si="200"/>
        <v>75</v>
      </c>
      <c r="U1756" s="125" t="str">
        <f t="shared" si="201"/>
        <v>752</v>
      </c>
      <c r="V1756" s="125" t="str">
        <f>VLOOKUP(Q1756,'GL Category'!A:C,3,FALSE)</f>
        <v>Services &amp; other</v>
      </c>
      <c r="X1756" s="83"/>
    </row>
    <row r="1757" spans="1:24" ht="14.4" customHeight="1">
      <c r="A1757" s="608" t="s">
        <v>1037</v>
      </c>
      <c r="B1757" s="608" t="s">
        <v>1413</v>
      </c>
      <c r="C1757" s="608" t="s">
        <v>839</v>
      </c>
      <c r="D1757" s="609">
        <v>468</v>
      </c>
      <c r="E1757" s="609">
        <v>260</v>
      </c>
      <c r="F1757" s="609">
        <v>716</v>
      </c>
      <c r="G1757" s="609">
        <v>4099.66</v>
      </c>
      <c r="H1757" s="609">
        <v>4500</v>
      </c>
      <c r="I1757" s="609">
        <v>2484</v>
      </c>
      <c r="J1757" s="609">
        <v>5000</v>
      </c>
      <c r="K1757" s="609">
        <v>4500</v>
      </c>
      <c r="L1757" s="609">
        <v>0</v>
      </c>
      <c r="M1757" s="609">
        <v>0</v>
      </c>
      <c r="N1757" s="587">
        <f t="shared" si="198"/>
        <v>4500</v>
      </c>
      <c r="O1757" s="125" t="str">
        <f>IF(COUNTIF($B$4:B1757,B1757)&gt;1,"repeat","ok")</f>
        <v>ok</v>
      </c>
      <c r="Q1757" t="str">
        <f t="shared" si="199"/>
        <v>53525</v>
      </c>
      <c r="R1757" s="126" t="str">
        <f t="shared" si="195"/>
        <v>LANDSCAPE SERVICES</v>
      </c>
      <c r="S1757" s="125" t="str">
        <f t="shared" si="196"/>
        <v>200</v>
      </c>
      <c r="T1757" s="125" t="str">
        <f t="shared" si="200"/>
        <v>75</v>
      </c>
      <c r="U1757" s="125" t="str">
        <f t="shared" si="201"/>
        <v>752</v>
      </c>
      <c r="V1757" s="125" t="str">
        <f>VLOOKUP(Q1757,'GL Category'!A:C,3,FALSE)</f>
        <v>Services &amp; other</v>
      </c>
      <c r="X1757" s="83"/>
    </row>
    <row r="1758" spans="1:24" ht="14.4" customHeight="1">
      <c r="A1758" s="608" t="s">
        <v>1037</v>
      </c>
      <c r="B1758" s="608" t="s">
        <v>1414</v>
      </c>
      <c r="C1758" s="608" t="s">
        <v>907</v>
      </c>
      <c r="D1758" s="609">
        <v>320</v>
      </c>
      <c r="E1758" s="609">
        <v>1060</v>
      </c>
      <c r="F1758" s="609">
        <v>0</v>
      </c>
      <c r="G1758" s="609">
        <v>4437</v>
      </c>
      <c r="H1758" s="609">
        <v>2000</v>
      </c>
      <c r="I1758" s="609">
        <v>0</v>
      </c>
      <c r="J1758" s="609">
        <v>2000</v>
      </c>
      <c r="K1758" s="609">
        <v>4000</v>
      </c>
      <c r="L1758" s="609">
        <v>0</v>
      </c>
      <c r="M1758" s="609">
        <v>0</v>
      </c>
      <c r="N1758" s="587">
        <f t="shared" si="198"/>
        <v>4000</v>
      </c>
      <c r="O1758" s="125" t="str">
        <f>IF(COUNTIF($B$4:B1758,B1758)&gt;1,"repeat","ok")</f>
        <v>ok</v>
      </c>
      <c r="Q1758" t="str">
        <f t="shared" si="199"/>
        <v>53530</v>
      </c>
      <c r="R1758" s="126" t="str">
        <f t="shared" si="195"/>
        <v>DEBRIS &amp; WASTE DISPOSAL SVCS</v>
      </c>
      <c r="S1758" s="125" t="str">
        <f t="shared" si="196"/>
        <v>200</v>
      </c>
      <c r="T1758" s="125" t="str">
        <f t="shared" si="200"/>
        <v>75</v>
      </c>
      <c r="U1758" s="125" t="str">
        <f t="shared" si="201"/>
        <v>752</v>
      </c>
      <c r="V1758" s="125" t="str">
        <f>VLOOKUP(Q1758,'GL Category'!A:C,3,FALSE)</f>
        <v>Services &amp; other</v>
      </c>
      <c r="X1758" s="83"/>
    </row>
    <row r="1759" spans="1:24" ht="14.4" customHeight="1">
      <c r="A1759" s="608" t="s">
        <v>1037</v>
      </c>
      <c r="B1759" s="608" t="s">
        <v>1415</v>
      </c>
      <c r="C1759" s="608" t="s">
        <v>215</v>
      </c>
      <c r="D1759" s="609">
        <v>10995.14</v>
      </c>
      <c r="E1759" s="609">
        <v>10115.969999999999</v>
      </c>
      <c r="F1759" s="609">
        <v>11025.57</v>
      </c>
      <c r="G1759" s="609">
        <v>13152.96</v>
      </c>
      <c r="H1759" s="609">
        <v>14020</v>
      </c>
      <c r="I1759" s="609">
        <v>9072.1</v>
      </c>
      <c r="J1759" s="609">
        <v>14020</v>
      </c>
      <c r="K1759" s="609">
        <v>14020</v>
      </c>
      <c r="L1759" s="609">
        <v>0</v>
      </c>
      <c r="M1759" s="609">
        <v>0</v>
      </c>
      <c r="N1759" s="587">
        <f t="shared" si="198"/>
        <v>14020</v>
      </c>
      <c r="O1759" s="125" t="str">
        <f>IF(COUNTIF($B$4:B1759,B1759)&gt;1,"repeat","ok")</f>
        <v>ok</v>
      </c>
      <c r="Q1759" t="str">
        <f t="shared" si="199"/>
        <v>53572</v>
      </c>
      <c r="R1759" s="126" t="str">
        <f t="shared" si="195"/>
        <v>ELECTRICAL UTILITY SERVICE</v>
      </c>
      <c r="S1759" s="125" t="str">
        <f t="shared" si="196"/>
        <v>200</v>
      </c>
      <c r="T1759" s="125" t="str">
        <f t="shared" si="200"/>
        <v>75</v>
      </c>
      <c r="U1759" s="125" t="str">
        <f t="shared" si="201"/>
        <v>752</v>
      </c>
      <c r="V1759" s="125" t="str">
        <f>VLOOKUP(Q1759,'GL Category'!A:C,3,FALSE)</f>
        <v>Services &amp; other</v>
      </c>
      <c r="X1759" s="83"/>
    </row>
    <row r="1760" spans="1:24" ht="14.4" customHeight="1">
      <c r="A1760" s="608" t="s">
        <v>1037</v>
      </c>
      <c r="B1760" s="608" t="s">
        <v>1415</v>
      </c>
      <c r="C1760" s="608" t="s">
        <v>215</v>
      </c>
      <c r="D1760" s="609">
        <v>0</v>
      </c>
      <c r="E1760" s="609">
        <v>20574.2</v>
      </c>
      <c r="F1760" s="609">
        <v>0</v>
      </c>
      <c r="G1760" s="609">
        <v>0</v>
      </c>
      <c r="H1760" s="609">
        <v>0</v>
      </c>
      <c r="I1760" s="609">
        <v>0</v>
      </c>
      <c r="J1760" s="609">
        <v>0</v>
      </c>
      <c r="K1760" s="609">
        <v>0</v>
      </c>
      <c r="L1760" s="609">
        <v>0</v>
      </c>
      <c r="M1760" s="609">
        <v>0</v>
      </c>
      <c r="N1760" s="587">
        <f t="shared" si="198"/>
        <v>0</v>
      </c>
      <c r="O1760" s="125" t="str">
        <f>IF(COUNTIF($B$4:B1760,B1760)&gt;1,"repeat","ok")</f>
        <v>repeat</v>
      </c>
      <c r="Q1760" t="str">
        <f t="shared" si="199"/>
        <v>53572</v>
      </c>
      <c r="R1760" s="126" t="str">
        <f t="shared" si="195"/>
        <v>ELECTRICAL UTILITY SERVICE</v>
      </c>
      <c r="S1760" s="125" t="str">
        <f t="shared" si="196"/>
        <v>200</v>
      </c>
      <c r="T1760" s="125" t="str">
        <f t="shared" si="200"/>
        <v>75</v>
      </c>
      <c r="U1760" s="125" t="str">
        <f t="shared" si="201"/>
        <v>752</v>
      </c>
      <c r="V1760" s="125" t="str">
        <f>VLOOKUP(Q1760,'GL Category'!A:C,3,FALSE)</f>
        <v>Services &amp; other</v>
      </c>
      <c r="X1760" s="83"/>
    </row>
    <row r="1761" spans="1:24" ht="14.25" customHeight="1">
      <c r="A1761" s="608" t="s">
        <v>1037</v>
      </c>
      <c r="B1761" s="608" t="s">
        <v>1416</v>
      </c>
      <c r="C1761" s="608" t="s">
        <v>217</v>
      </c>
      <c r="D1761" s="609">
        <v>921.44</v>
      </c>
      <c r="E1761" s="609">
        <v>992.23</v>
      </c>
      <c r="F1761" s="609">
        <v>1015.26</v>
      </c>
      <c r="G1761" s="609">
        <v>1141.25</v>
      </c>
      <c r="H1761" s="609">
        <v>1150</v>
      </c>
      <c r="I1761" s="609">
        <v>928.39</v>
      </c>
      <c r="J1761" s="609">
        <v>1150</v>
      </c>
      <c r="K1761" s="609">
        <v>1150</v>
      </c>
      <c r="L1761" s="609">
        <v>0</v>
      </c>
      <c r="M1761" s="609">
        <v>0</v>
      </c>
      <c r="N1761" s="587">
        <f t="shared" si="198"/>
        <v>1150</v>
      </c>
      <c r="O1761" s="125" t="str">
        <f>IF(COUNTIF($B$4:B1761,B1761)&gt;1,"repeat","ok")</f>
        <v>ok</v>
      </c>
      <c r="Q1761" t="str">
        <f t="shared" si="199"/>
        <v>53574</v>
      </c>
      <c r="R1761" s="126" t="str">
        <f t="shared" si="195"/>
        <v>WATER/SEWER UTILITY SERVICE</v>
      </c>
      <c r="S1761" s="125" t="str">
        <f t="shared" si="196"/>
        <v>200</v>
      </c>
      <c r="T1761" s="125" t="str">
        <f t="shared" si="200"/>
        <v>75</v>
      </c>
      <c r="U1761" s="125" t="str">
        <f t="shared" si="201"/>
        <v>752</v>
      </c>
      <c r="V1761" s="125" t="str">
        <f>VLOOKUP(Q1761,'GL Category'!A:C,3,FALSE)</f>
        <v>Services &amp; other</v>
      </c>
      <c r="X1761" s="83"/>
    </row>
    <row r="1762" spans="1:24" ht="14.4" customHeight="1">
      <c r="A1762" s="608" t="s">
        <v>1037</v>
      </c>
      <c r="B1762" s="608" t="s">
        <v>1408</v>
      </c>
      <c r="C1762" s="608" t="s">
        <v>238</v>
      </c>
      <c r="D1762" s="609">
        <v>0</v>
      </c>
      <c r="E1762" s="609">
        <v>612.08000000000004</v>
      </c>
      <c r="F1762" s="609">
        <v>0</v>
      </c>
      <c r="G1762" s="609">
        <v>0</v>
      </c>
      <c r="H1762" s="609">
        <v>0</v>
      </c>
      <c r="I1762" s="609">
        <v>0</v>
      </c>
      <c r="J1762" s="609">
        <v>0</v>
      </c>
      <c r="K1762" s="609">
        <v>0</v>
      </c>
      <c r="L1762" s="609">
        <v>0</v>
      </c>
      <c r="M1762" s="609">
        <v>0</v>
      </c>
      <c r="N1762" s="587">
        <f t="shared" si="198"/>
        <v>0</v>
      </c>
      <c r="O1762" s="125" t="str">
        <f>IF(COUNTIF($B$4:B1762,B1762)&gt;1,"repeat","ok")</f>
        <v>ok</v>
      </c>
      <c r="Q1762" t="str">
        <f t="shared" si="199"/>
        <v>53599</v>
      </c>
      <c r="R1762" s="126" t="str">
        <f t="shared" si="195"/>
        <v>MISCELLANEOUS SERVICES</v>
      </c>
      <c r="S1762" s="125" t="str">
        <f t="shared" si="196"/>
        <v>200</v>
      </c>
      <c r="T1762" s="125" t="str">
        <f t="shared" si="200"/>
        <v>75</v>
      </c>
      <c r="U1762" s="125" t="str">
        <f t="shared" si="201"/>
        <v>752</v>
      </c>
      <c r="V1762" s="125" t="str">
        <f>VLOOKUP(Q1762,'GL Category'!A:C,3,FALSE)</f>
        <v>Services &amp; other</v>
      </c>
      <c r="X1762" s="83"/>
    </row>
    <row r="1763" spans="1:24" ht="14.4" customHeight="1">
      <c r="A1763" s="608" t="s">
        <v>1037</v>
      </c>
      <c r="B1763" s="608" t="s">
        <v>1418</v>
      </c>
      <c r="C1763" s="608" t="s">
        <v>221</v>
      </c>
      <c r="D1763" s="609">
        <v>16634</v>
      </c>
      <c r="E1763" s="609">
        <v>18753</v>
      </c>
      <c r="F1763" s="609">
        <v>14554</v>
      </c>
      <c r="G1763" s="609">
        <v>16088</v>
      </c>
      <c r="H1763" s="609">
        <v>17880</v>
      </c>
      <c r="I1763" s="609">
        <v>13410</v>
      </c>
      <c r="J1763" s="609">
        <v>17880</v>
      </c>
      <c r="K1763" s="609">
        <v>20250</v>
      </c>
      <c r="L1763" s="609">
        <v>0</v>
      </c>
      <c r="M1763" s="609">
        <v>0</v>
      </c>
      <c r="N1763" s="587">
        <f t="shared" si="198"/>
        <v>20250</v>
      </c>
      <c r="O1763" s="125" t="str">
        <f>IF(COUNTIF($B$4:B1763,B1763)&gt;1,"repeat","ok")</f>
        <v>ok</v>
      </c>
      <c r="Q1763" t="str">
        <f t="shared" si="199"/>
        <v>55119</v>
      </c>
      <c r="R1763" s="126" t="str">
        <f t="shared" si="195"/>
        <v>OFFICE EQUIP LEASE EXP-CITY</v>
      </c>
      <c r="S1763" s="125" t="str">
        <f t="shared" si="196"/>
        <v>200</v>
      </c>
      <c r="T1763" s="125" t="str">
        <f t="shared" si="200"/>
        <v>75</v>
      </c>
      <c r="U1763" s="125" t="str">
        <f t="shared" si="201"/>
        <v>752</v>
      </c>
      <c r="V1763" s="125" t="str">
        <f>VLOOKUP(Q1763,'GL Category'!A:C,3,FALSE)</f>
        <v>Services &amp; other</v>
      </c>
      <c r="X1763" s="83"/>
    </row>
    <row r="1764" spans="1:24" ht="14.4" customHeight="1">
      <c r="A1764" s="608" t="s">
        <v>1037</v>
      </c>
      <c r="B1764" s="608" t="s">
        <v>1417</v>
      </c>
      <c r="C1764" s="608" t="s">
        <v>220</v>
      </c>
      <c r="D1764" s="609">
        <v>228146</v>
      </c>
      <c r="E1764" s="609">
        <v>104313</v>
      </c>
      <c r="F1764" s="609">
        <v>125490</v>
      </c>
      <c r="G1764" s="609">
        <v>213490</v>
      </c>
      <c r="H1764" s="609">
        <v>403970</v>
      </c>
      <c r="I1764" s="609">
        <v>302977.5</v>
      </c>
      <c r="J1764" s="609">
        <v>403970</v>
      </c>
      <c r="K1764" s="609">
        <v>218669</v>
      </c>
      <c r="L1764" s="609">
        <v>0</v>
      </c>
      <c r="M1764" s="609">
        <v>65000</v>
      </c>
      <c r="N1764" s="587">
        <f t="shared" si="198"/>
        <v>283669</v>
      </c>
      <c r="O1764" s="125" t="str">
        <f>IF(COUNTIF($B$4:B1764,B1764)&gt;1,"repeat","ok")</f>
        <v>ok</v>
      </c>
      <c r="Q1764" t="str">
        <f t="shared" si="199"/>
        <v>55175</v>
      </c>
      <c r="R1764" s="126" t="str">
        <f t="shared" ref="R1764:R1827" si="203">C1764</f>
        <v>VEHICLE/EQUIP LEASE EXP-CITY</v>
      </c>
      <c r="S1764" s="125" t="str">
        <f t="shared" ref="S1764:S1827" si="204">LEFT(B1764,3)</f>
        <v>200</v>
      </c>
      <c r="T1764" s="125" t="str">
        <f t="shared" si="200"/>
        <v>75</v>
      </c>
      <c r="U1764" s="125" t="str">
        <f t="shared" si="201"/>
        <v>752</v>
      </c>
      <c r="V1764" s="125" t="str">
        <f>VLOOKUP(Q1764,'GL Category'!A:C,3,FALSE)</f>
        <v>Services &amp; other</v>
      </c>
      <c r="X1764" s="83"/>
    </row>
    <row r="1765" spans="1:24" ht="14.4" customHeight="1">
      <c r="A1765" s="608" t="s">
        <v>1037</v>
      </c>
      <c r="B1765" s="608" t="s">
        <v>1423</v>
      </c>
      <c r="C1765" s="608" t="s">
        <v>838</v>
      </c>
      <c r="D1765" s="609">
        <v>0</v>
      </c>
      <c r="E1765" s="609">
        <v>65000</v>
      </c>
      <c r="F1765" s="609">
        <v>0</v>
      </c>
      <c r="G1765" s="609">
        <v>0</v>
      </c>
      <c r="H1765" s="609">
        <v>0</v>
      </c>
      <c r="I1765" s="609">
        <v>0</v>
      </c>
      <c r="J1765" s="609">
        <v>0</v>
      </c>
      <c r="K1765" s="609">
        <v>0</v>
      </c>
      <c r="L1765" s="609">
        <v>0</v>
      </c>
      <c r="M1765" s="609">
        <v>0</v>
      </c>
      <c r="N1765" s="587">
        <f t="shared" si="198"/>
        <v>0</v>
      </c>
      <c r="O1765" s="125" t="str">
        <f>IF(COUNTIF($B$4:B1765,B1765)&gt;1,"repeat","ok")</f>
        <v>ok</v>
      </c>
      <c r="Q1765" t="str">
        <f t="shared" si="199"/>
        <v>59170</v>
      </c>
      <c r="R1765" s="126" t="str">
        <f t="shared" si="203"/>
        <v>TRANSFER TO CIP-STREET IMPROVE</v>
      </c>
      <c r="S1765" s="125" t="str">
        <f t="shared" si="204"/>
        <v>200</v>
      </c>
      <c r="T1765" s="125" t="str">
        <f t="shared" si="200"/>
        <v>75</v>
      </c>
      <c r="U1765" s="125" t="str">
        <f t="shared" si="201"/>
        <v>752</v>
      </c>
      <c r="V1765" s="125" t="str">
        <f>VLOOKUP(Q1765,'GL Category'!A:C,3,FALSE)</f>
        <v>Transfers to other funds</v>
      </c>
      <c r="X1765" s="83"/>
    </row>
    <row r="1766" spans="1:24" ht="14.4" customHeight="1">
      <c r="A1766" s="608" t="s">
        <v>1037</v>
      </c>
      <c r="B1766" s="608" t="s">
        <v>1424</v>
      </c>
      <c r="C1766" s="608" t="s">
        <v>841</v>
      </c>
      <c r="D1766" s="609">
        <v>720000</v>
      </c>
      <c r="E1766" s="609">
        <v>800000</v>
      </c>
      <c r="F1766" s="609">
        <v>425000</v>
      </c>
      <c r="G1766" s="609">
        <v>275000</v>
      </c>
      <c r="H1766" s="609">
        <v>200000</v>
      </c>
      <c r="I1766" s="609">
        <v>150000</v>
      </c>
      <c r="J1766" s="609">
        <v>200000</v>
      </c>
      <c r="K1766" s="609">
        <v>200000</v>
      </c>
      <c r="L1766" s="609">
        <v>0</v>
      </c>
      <c r="M1766" s="609">
        <v>0</v>
      </c>
      <c r="N1766" s="587">
        <f t="shared" si="198"/>
        <v>200000</v>
      </c>
      <c r="O1766" s="125" t="str">
        <f>IF(COUNTIF($B$4:B1766,B1766)&gt;1,"repeat","ok")</f>
        <v>ok</v>
      </c>
      <c r="Q1766" t="str">
        <f t="shared" si="199"/>
        <v>59206</v>
      </c>
      <c r="R1766" s="126" t="str">
        <f t="shared" si="203"/>
        <v>TRANSFER TO CIP-WATER/WW</v>
      </c>
      <c r="S1766" s="125" t="str">
        <f t="shared" si="204"/>
        <v>200</v>
      </c>
      <c r="T1766" s="125" t="str">
        <f t="shared" si="200"/>
        <v>75</v>
      </c>
      <c r="U1766" s="125" t="str">
        <f t="shared" si="201"/>
        <v>752</v>
      </c>
      <c r="V1766" s="125" t="str">
        <f>VLOOKUP(Q1766,'GL Category'!A:C,3,FALSE)</f>
        <v>Transfers to other funds</v>
      </c>
      <c r="X1766" s="83"/>
    </row>
    <row r="1767" spans="1:24" ht="14.4" customHeight="1">
      <c r="A1767" s="608" t="s">
        <v>1037</v>
      </c>
      <c r="B1767" s="608" t="s">
        <v>1425</v>
      </c>
      <c r="C1767" s="608" t="s">
        <v>800</v>
      </c>
      <c r="D1767" s="609">
        <v>350000</v>
      </c>
      <c r="E1767" s="609">
        <v>0</v>
      </c>
      <c r="F1767" s="609">
        <v>0</v>
      </c>
      <c r="G1767" s="609">
        <v>0</v>
      </c>
      <c r="H1767" s="609">
        <v>0</v>
      </c>
      <c r="I1767" s="609">
        <v>0</v>
      </c>
      <c r="J1767" s="609">
        <v>0</v>
      </c>
      <c r="K1767" s="609">
        <v>0</v>
      </c>
      <c r="L1767" s="609">
        <v>0</v>
      </c>
      <c r="M1767" s="609">
        <v>0</v>
      </c>
      <c r="N1767" s="587">
        <f t="shared" si="198"/>
        <v>0</v>
      </c>
      <c r="O1767" s="125" t="str">
        <f>IF(COUNTIF($B$4:B1767,B1767)&gt;1,"repeat","ok")</f>
        <v>ok</v>
      </c>
      <c r="Q1767" t="str">
        <f t="shared" si="199"/>
        <v>59406</v>
      </c>
      <c r="R1767" s="126" t="str">
        <f t="shared" si="203"/>
        <v>TRANSFER TO CIP-DRAINAGE</v>
      </c>
      <c r="S1767" s="125" t="str">
        <f t="shared" si="204"/>
        <v>200</v>
      </c>
      <c r="T1767" s="125" t="str">
        <f t="shared" si="200"/>
        <v>75</v>
      </c>
      <c r="U1767" s="125" t="str">
        <f t="shared" si="201"/>
        <v>752</v>
      </c>
      <c r="V1767" s="125" t="str">
        <f>VLOOKUP(Q1767,'GL Category'!A:C,3,FALSE)</f>
        <v>Transfers to other funds</v>
      </c>
      <c r="X1767" s="83"/>
    </row>
    <row r="1768" spans="1:24" ht="14.4" customHeight="1">
      <c r="A1768" s="608" t="s">
        <v>1037</v>
      </c>
      <c r="B1768" s="608" t="s">
        <v>1426</v>
      </c>
      <c r="C1768" s="608" t="s">
        <v>366</v>
      </c>
      <c r="D1768" s="609">
        <v>3206121.92</v>
      </c>
      <c r="E1768" s="609">
        <v>3782394.84</v>
      </c>
      <c r="F1768" s="609">
        <v>4005267.8</v>
      </c>
      <c r="G1768" s="609">
        <v>4085013.62</v>
      </c>
      <c r="H1768" s="609">
        <v>5022787</v>
      </c>
      <c r="I1768" s="609">
        <v>3119080.51</v>
      </c>
      <c r="J1768" s="609">
        <v>4337195</v>
      </c>
      <c r="K1768" s="609">
        <v>5060458</v>
      </c>
      <c r="L1768" s="609">
        <v>0</v>
      </c>
      <c r="M1768" s="609">
        <v>0</v>
      </c>
      <c r="N1768" s="587">
        <f t="shared" si="198"/>
        <v>5060458</v>
      </c>
      <c r="O1768" s="125" t="str">
        <f>IF(COUNTIF($B$4:B1768,B1768)&gt;1,"repeat","ok")</f>
        <v>ok</v>
      </c>
      <c r="Q1768" t="str">
        <f t="shared" si="199"/>
        <v>53503</v>
      </c>
      <c r="R1768" s="126" t="str">
        <f t="shared" si="203"/>
        <v>TRA PAYMENT-WASTEWATER</v>
      </c>
      <c r="S1768" s="125" t="str">
        <f t="shared" si="204"/>
        <v>200</v>
      </c>
      <c r="T1768" s="125" t="str">
        <f t="shared" si="200"/>
        <v>75</v>
      </c>
      <c r="U1768" s="125" t="str">
        <f t="shared" si="201"/>
        <v>754</v>
      </c>
      <c r="V1768" s="125" t="e">
        <f>VLOOKUP(Q1768,'GL Category'!A:C,3,FALSE)</f>
        <v>#N/A</v>
      </c>
      <c r="X1768" s="83"/>
    </row>
    <row r="1769" spans="1:24" ht="14.4" customHeight="1">
      <c r="A1769" s="608" t="s">
        <v>1037</v>
      </c>
      <c r="B1769" s="608" t="s">
        <v>1427</v>
      </c>
      <c r="C1769" s="608" t="s">
        <v>130</v>
      </c>
      <c r="D1769" s="609">
        <v>65856.23</v>
      </c>
      <c r="E1769" s="609">
        <v>69455.320000000007</v>
      </c>
      <c r="F1769" s="609">
        <v>-2529</v>
      </c>
      <c r="G1769" s="609">
        <v>0</v>
      </c>
      <c r="H1769" s="609">
        <v>0</v>
      </c>
      <c r="I1769" s="609">
        <v>0</v>
      </c>
      <c r="J1769" s="609">
        <v>0</v>
      </c>
      <c r="K1769" s="609">
        <v>0</v>
      </c>
      <c r="L1769" s="609">
        <v>0</v>
      </c>
      <c r="M1769" s="609">
        <v>0</v>
      </c>
      <c r="N1769" s="587">
        <f t="shared" si="198"/>
        <v>0</v>
      </c>
      <c r="O1769" s="125" t="str">
        <f>IF(COUNTIF($B$4:B1769,B1769)&gt;1,"repeat","ok")</f>
        <v>ok</v>
      </c>
      <c r="Q1769" t="str">
        <f t="shared" si="199"/>
        <v>50101</v>
      </c>
      <c r="R1769" s="126" t="str">
        <f t="shared" si="203"/>
        <v>EXEMPT SALARIES</v>
      </c>
      <c r="S1769" s="125" t="str">
        <f t="shared" si="204"/>
        <v>200</v>
      </c>
      <c r="T1769" s="125" t="str">
        <f t="shared" si="200"/>
        <v>77</v>
      </c>
      <c r="U1769" s="125" t="str">
        <f t="shared" si="201"/>
        <v>772</v>
      </c>
      <c r="V1769" s="125" t="str">
        <f>VLOOKUP(Q1769,'GL Category'!A:C,3,FALSE)</f>
        <v>Personnel services</v>
      </c>
      <c r="X1769" s="83"/>
    </row>
    <row r="1770" spans="1:24" ht="14.4" customHeight="1">
      <c r="A1770" s="608" t="s">
        <v>1037</v>
      </c>
      <c r="B1770" s="608" t="s">
        <v>1428</v>
      </c>
      <c r="C1770" s="608" t="s">
        <v>132</v>
      </c>
      <c r="D1770" s="609">
        <v>57778.02</v>
      </c>
      <c r="E1770" s="609">
        <v>58776.29</v>
      </c>
      <c r="F1770" s="609">
        <v>65025.49</v>
      </c>
      <c r="G1770" s="609">
        <v>85776.77</v>
      </c>
      <c r="H1770" s="609">
        <v>104317</v>
      </c>
      <c r="I1770" s="609">
        <v>82734.47</v>
      </c>
      <c r="J1770" s="609">
        <v>107221</v>
      </c>
      <c r="K1770" s="609">
        <v>108876</v>
      </c>
      <c r="L1770" s="609">
        <v>0</v>
      </c>
      <c r="M1770" s="609">
        <v>0</v>
      </c>
      <c r="N1770" s="587">
        <f t="shared" si="198"/>
        <v>108876</v>
      </c>
      <c r="O1770" s="125" t="str">
        <f>IF(COUNTIF($B$4:B1770,B1770)&gt;1,"repeat","ok")</f>
        <v>ok</v>
      </c>
      <c r="Q1770" t="str">
        <f t="shared" si="199"/>
        <v>50102</v>
      </c>
      <c r="R1770" s="126" t="str">
        <f t="shared" si="203"/>
        <v>NON EXEMPT SALARIES</v>
      </c>
      <c r="S1770" s="125" t="str">
        <f t="shared" si="204"/>
        <v>200</v>
      </c>
      <c r="T1770" s="125" t="str">
        <f t="shared" si="200"/>
        <v>77</v>
      </c>
      <c r="U1770" s="125" t="str">
        <f t="shared" si="201"/>
        <v>772</v>
      </c>
      <c r="V1770" s="125" t="str">
        <f>VLOOKUP(Q1770,'GL Category'!A:C,3,FALSE)</f>
        <v>Personnel services</v>
      </c>
      <c r="X1770" s="83"/>
    </row>
    <row r="1771" spans="1:24" ht="14.4" customHeight="1">
      <c r="A1771" s="608" t="s">
        <v>1037</v>
      </c>
      <c r="B1771" s="608" t="s">
        <v>1429</v>
      </c>
      <c r="C1771" s="608" t="s">
        <v>0</v>
      </c>
      <c r="D1771" s="609">
        <v>0</v>
      </c>
      <c r="E1771" s="609">
        <v>109.13</v>
      </c>
      <c r="F1771" s="609">
        <v>412.91</v>
      </c>
      <c r="G1771" s="609">
        <v>0</v>
      </c>
      <c r="H1771" s="609">
        <v>1000</v>
      </c>
      <c r="I1771" s="609">
        <v>0</v>
      </c>
      <c r="J1771" s="609">
        <v>0</v>
      </c>
      <c r="K1771" s="609">
        <v>1000</v>
      </c>
      <c r="L1771" s="609">
        <v>0</v>
      </c>
      <c r="M1771" s="609">
        <v>0</v>
      </c>
      <c r="N1771" s="587">
        <f t="shared" si="198"/>
        <v>1000</v>
      </c>
      <c r="O1771" s="125" t="str">
        <f>IF(COUNTIF($B$4:B1771,B1771)&gt;1,"repeat","ok")</f>
        <v>ok</v>
      </c>
      <c r="Q1771" t="str">
        <f t="shared" si="199"/>
        <v>50109</v>
      </c>
      <c r="R1771" s="126" t="str">
        <f t="shared" si="203"/>
        <v>OVERTIME</v>
      </c>
      <c r="S1771" s="125" t="str">
        <f t="shared" si="204"/>
        <v>200</v>
      </c>
      <c r="T1771" s="125" t="str">
        <f t="shared" si="200"/>
        <v>77</v>
      </c>
      <c r="U1771" s="125" t="str">
        <f t="shared" si="201"/>
        <v>772</v>
      </c>
      <c r="V1771" s="125" t="str">
        <f>VLOOKUP(Q1771,'GL Category'!A:C,3,FALSE)</f>
        <v>Personnel services</v>
      </c>
      <c r="X1771" s="83"/>
    </row>
    <row r="1772" spans="1:24" ht="14.4" customHeight="1">
      <c r="A1772" s="608" t="s">
        <v>1037</v>
      </c>
      <c r="B1772" s="608" t="s">
        <v>3242</v>
      </c>
      <c r="C1772" s="608" t="s">
        <v>135</v>
      </c>
      <c r="D1772" s="609">
        <v>0</v>
      </c>
      <c r="E1772" s="609">
        <v>0</v>
      </c>
      <c r="F1772" s="609">
        <v>9766.68</v>
      </c>
      <c r="G1772" s="609">
        <v>8296.7000000000007</v>
      </c>
      <c r="H1772" s="609">
        <v>0</v>
      </c>
      <c r="I1772" s="609">
        <v>0</v>
      </c>
      <c r="J1772" s="609">
        <v>0</v>
      </c>
      <c r="K1772" s="609">
        <v>0</v>
      </c>
      <c r="L1772" s="609">
        <v>0</v>
      </c>
      <c r="M1772" s="609">
        <v>0</v>
      </c>
      <c r="N1772" s="587">
        <f t="shared" si="198"/>
        <v>0</v>
      </c>
      <c r="O1772" s="125" t="str">
        <f>IF(COUNTIF($B$4:B1772,B1772)&gt;1,"repeat","ok")</f>
        <v>ok</v>
      </c>
      <c r="Q1772" t="str">
        <f t="shared" si="199"/>
        <v>50110</v>
      </c>
      <c r="R1772" s="126" t="str">
        <f t="shared" si="203"/>
        <v>PART-TIME WAGES</v>
      </c>
      <c r="S1772" s="125" t="str">
        <f t="shared" si="204"/>
        <v>200</v>
      </c>
      <c r="T1772" s="125" t="str">
        <f t="shared" si="200"/>
        <v>77</v>
      </c>
      <c r="U1772" s="125" t="str">
        <f t="shared" si="201"/>
        <v>772</v>
      </c>
      <c r="V1772" s="125" t="str">
        <f>VLOOKUP(Q1772,'GL Category'!A:C,3,FALSE)</f>
        <v>Personnel services</v>
      </c>
      <c r="X1772" s="83"/>
    </row>
    <row r="1773" spans="1:24" ht="14.4" customHeight="1">
      <c r="A1773" s="608" t="s">
        <v>1037</v>
      </c>
      <c r="B1773" s="608" t="s">
        <v>1430</v>
      </c>
      <c r="C1773" s="608" t="s">
        <v>137</v>
      </c>
      <c r="D1773" s="609">
        <v>1905</v>
      </c>
      <c r="E1773" s="609">
        <v>2015</v>
      </c>
      <c r="F1773" s="609">
        <v>1500</v>
      </c>
      <c r="G1773" s="609">
        <v>1500</v>
      </c>
      <c r="H1773" s="609">
        <v>1614</v>
      </c>
      <c r="I1773" s="609">
        <v>1500</v>
      </c>
      <c r="J1773" s="609">
        <v>1500</v>
      </c>
      <c r="K1773" s="609">
        <v>1675</v>
      </c>
      <c r="L1773" s="609">
        <v>0</v>
      </c>
      <c r="M1773" s="609">
        <v>0</v>
      </c>
      <c r="N1773" s="587">
        <f t="shared" si="198"/>
        <v>1675</v>
      </c>
      <c r="O1773" s="125" t="str">
        <f>IF(COUNTIF($B$4:B1773,B1773)&gt;1,"repeat","ok")</f>
        <v>ok</v>
      </c>
      <c r="Q1773" t="str">
        <f t="shared" si="199"/>
        <v>50111</v>
      </c>
      <c r="R1773" s="126" t="str">
        <f t="shared" si="203"/>
        <v>LONGEVITY PAY</v>
      </c>
      <c r="S1773" s="125" t="str">
        <f t="shared" si="204"/>
        <v>200</v>
      </c>
      <c r="T1773" s="125" t="str">
        <f t="shared" si="200"/>
        <v>77</v>
      </c>
      <c r="U1773" s="125" t="str">
        <f t="shared" si="201"/>
        <v>772</v>
      </c>
      <c r="V1773" s="125" t="str">
        <f>VLOOKUP(Q1773,'GL Category'!A:C,3,FALSE)</f>
        <v>Personnel services</v>
      </c>
      <c r="X1773" s="83"/>
    </row>
    <row r="1774" spans="1:24" ht="14.4" customHeight="1">
      <c r="A1774" s="608" t="s">
        <v>1037</v>
      </c>
      <c r="B1774" s="608" t="s">
        <v>1431</v>
      </c>
      <c r="C1774" s="608" t="s">
        <v>1</v>
      </c>
      <c r="D1774" s="609">
        <v>9263.94</v>
      </c>
      <c r="E1774" s="609">
        <v>9492.1200000000008</v>
      </c>
      <c r="F1774" s="609">
        <v>5242.21</v>
      </c>
      <c r="G1774" s="609">
        <v>6848.22</v>
      </c>
      <c r="H1774" s="609">
        <v>8240</v>
      </c>
      <c r="I1774" s="609">
        <v>6083.32</v>
      </c>
      <c r="J1774" s="609">
        <v>8058</v>
      </c>
      <c r="K1774" s="609">
        <v>8590</v>
      </c>
      <c r="L1774" s="609">
        <v>0</v>
      </c>
      <c r="M1774" s="609">
        <v>0</v>
      </c>
      <c r="N1774" s="587">
        <f t="shared" si="198"/>
        <v>8590</v>
      </c>
      <c r="O1774" s="125" t="str">
        <f>IF(COUNTIF($B$4:B1774,B1774)&gt;1,"repeat","ok")</f>
        <v>ok</v>
      </c>
      <c r="Q1774" t="str">
        <f t="shared" si="199"/>
        <v>50610</v>
      </c>
      <c r="R1774" s="126" t="str">
        <f t="shared" si="203"/>
        <v>SOCIAL SECURITY</v>
      </c>
      <c r="S1774" s="125" t="str">
        <f t="shared" si="204"/>
        <v>200</v>
      </c>
      <c r="T1774" s="125" t="str">
        <f t="shared" si="200"/>
        <v>77</v>
      </c>
      <c r="U1774" s="125" t="str">
        <f t="shared" si="201"/>
        <v>772</v>
      </c>
      <c r="V1774" s="125" t="str">
        <f>VLOOKUP(Q1774,'GL Category'!A:C,3,FALSE)</f>
        <v>Personnel services</v>
      </c>
      <c r="X1774" s="83"/>
    </row>
    <row r="1775" spans="1:24" ht="14.4" customHeight="1">
      <c r="A1775" s="608" t="s">
        <v>1037</v>
      </c>
      <c r="B1775" s="608" t="s">
        <v>1432</v>
      </c>
      <c r="C1775" s="608" t="s">
        <v>142</v>
      </c>
      <c r="D1775" s="609">
        <v>20931.86</v>
      </c>
      <c r="E1775" s="609">
        <v>21771.72</v>
      </c>
      <c r="F1775" s="609">
        <v>16944.29</v>
      </c>
      <c r="G1775" s="609">
        <v>19398.310000000001</v>
      </c>
      <c r="H1775" s="609">
        <v>19557</v>
      </c>
      <c r="I1775" s="609">
        <v>16685.8</v>
      </c>
      <c r="J1775" s="609">
        <v>22088</v>
      </c>
      <c r="K1775" s="609">
        <v>20108</v>
      </c>
      <c r="L1775" s="609">
        <v>0</v>
      </c>
      <c r="M1775" s="609">
        <v>0</v>
      </c>
      <c r="N1775" s="587">
        <f t="shared" si="198"/>
        <v>20108</v>
      </c>
      <c r="O1775" s="125" t="str">
        <f>IF(COUNTIF($B$4:B1775,B1775)&gt;1,"repeat","ok")</f>
        <v>ok</v>
      </c>
      <c r="Q1775" t="str">
        <f t="shared" si="199"/>
        <v>50620</v>
      </c>
      <c r="R1775" s="126" t="str">
        <f t="shared" si="203"/>
        <v>HEALTH/LIFE INSURANCE</v>
      </c>
      <c r="S1775" s="125" t="str">
        <f t="shared" si="204"/>
        <v>200</v>
      </c>
      <c r="T1775" s="125" t="str">
        <f t="shared" si="200"/>
        <v>77</v>
      </c>
      <c r="U1775" s="125" t="str">
        <f t="shared" si="201"/>
        <v>772</v>
      </c>
      <c r="V1775" s="125" t="str">
        <f>VLOOKUP(Q1775,'GL Category'!A:C,3,FALSE)</f>
        <v>Personnel services</v>
      </c>
      <c r="X1775" s="83"/>
    </row>
    <row r="1776" spans="1:24" ht="14.4" customHeight="1">
      <c r="A1776" s="608" t="s">
        <v>1037</v>
      </c>
      <c r="B1776" s="608" t="s">
        <v>1433</v>
      </c>
      <c r="C1776" s="608" t="s">
        <v>144</v>
      </c>
      <c r="D1776" s="609">
        <v>878.63</v>
      </c>
      <c r="E1776" s="609">
        <v>841.24</v>
      </c>
      <c r="F1776" s="609">
        <v>418.12</v>
      </c>
      <c r="G1776" s="609">
        <v>1023.97</v>
      </c>
      <c r="H1776" s="609">
        <v>1458</v>
      </c>
      <c r="I1776" s="609">
        <v>1456.81</v>
      </c>
      <c r="J1776" s="609">
        <v>1457</v>
      </c>
      <c r="K1776" s="609">
        <v>1459</v>
      </c>
      <c r="L1776" s="609">
        <v>0</v>
      </c>
      <c r="M1776" s="609">
        <v>0</v>
      </c>
      <c r="N1776" s="587">
        <f t="shared" si="198"/>
        <v>1459</v>
      </c>
      <c r="O1776" s="125" t="str">
        <f>IF(COUNTIF($B$4:B1776,B1776)&gt;1,"repeat","ok")</f>
        <v>ok</v>
      </c>
      <c r="Q1776" t="str">
        <f t="shared" si="199"/>
        <v>50630</v>
      </c>
      <c r="R1776" s="126" t="str">
        <f t="shared" si="203"/>
        <v>WORKER COMPENSATION</v>
      </c>
      <c r="S1776" s="125" t="str">
        <f t="shared" si="204"/>
        <v>200</v>
      </c>
      <c r="T1776" s="125" t="str">
        <f t="shared" si="200"/>
        <v>77</v>
      </c>
      <c r="U1776" s="125" t="str">
        <f t="shared" si="201"/>
        <v>772</v>
      </c>
      <c r="V1776" s="125" t="str">
        <f>VLOOKUP(Q1776,'GL Category'!A:C,3,FALSE)</f>
        <v>Personnel services</v>
      </c>
      <c r="X1776" s="83"/>
    </row>
    <row r="1777" spans="1:24" ht="14.4" customHeight="1">
      <c r="A1777" s="608" t="s">
        <v>1037</v>
      </c>
      <c r="B1777" s="608" t="s">
        <v>1434</v>
      </c>
      <c r="C1777" s="608" t="s">
        <v>2</v>
      </c>
      <c r="D1777" s="609">
        <v>19939.53</v>
      </c>
      <c r="E1777" s="609">
        <v>20778.349999999999</v>
      </c>
      <c r="F1777" s="609">
        <v>10426.81</v>
      </c>
      <c r="G1777" s="609">
        <v>14156.45</v>
      </c>
      <c r="H1777" s="609">
        <v>17788</v>
      </c>
      <c r="I1777" s="609">
        <v>13986.59</v>
      </c>
      <c r="J1777" s="609">
        <v>18104</v>
      </c>
      <c r="K1777" s="609">
        <v>19001</v>
      </c>
      <c r="L1777" s="609">
        <v>0</v>
      </c>
      <c r="M1777" s="609">
        <v>0</v>
      </c>
      <c r="N1777" s="587">
        <f t="shared" si="198"/>
        <v>19001</v>
      </c>
      <c r="O1777" s="125" t="str">
        <f>IF(COUNTIF($B$4:B1777,B1777)&gt;1,"repeat","ok")</f>
        <v>ok</v>
      </c>
      <c r="P1777" s="490">
        <f t="shared" ref="P1777:P1786" si="205">N1777-H1777</f>
        <v>1213</v>
      </c>
      <c r="Q1777" t="str">
        <f t="shared" si="199"/>
        <v>50650</v>
      </c>
      <c r="R1777" s="126" t="str">
        <f t="shared" si="203"/>
        <v>RETIREMENT</v>
      </c>
      <c r="S1777" s="125" t="str">
        <f t="shared" si="204"/>
        <v>200</v>
      </c>
      <c r="T1777" s="125" t="str">
        <f t="shared" si="200"/>
        <v>77</v>
      </c>
      <c r="U1777" s="125" t="str">
        <f t="shared" si="201"/>
        <v>772</v>
      </c>
      <c r="V1777" s="125" t="str">
        <f>VLOOKUP(Q1777,'GL Category'!A:C,3,FALSE)</f>
        <v>Personnel services</v>
      </c>
      <c r="X1777" s="83"/>
    </row>
    <row r="1778" spans="1:24" ht="14.4" customHeight="1">
      <c r="A1778" s="608" t="s">
        <v>1037</v>
      </c>
      <c r="B1778" s="608" t="s">
        <v>1435</v>
      </c>
      <c r="C1778" s="608" t="s">
        <v>149</v>
      </c>
      <c r="D1778" s="609">
        <v>2994.82</v>
      </c>
      <c r="E1778" s="609">
        <v>2713.35</v>
      </c>
      <c r="F1778" s="609">
        <v>2215.77</v>
      </c>
      <c r="G1778" s="609">
        <v>2029.62</v>
      </c>
      <c r="H1778" s="609">
        <v>3600</v>
      </c>
      <c r="I1778" s="609">
        <v>1469.65</v>
      </c>
      <c r="J1778" s="609">
        <v>2200</v>
      </c>
      <c r="K1778" s="609">
        <v>3000</v>
      </c>
      <c r="L1778" s="609">
        <v>0</v>
      </c>
      <c r="M1778" s="609">
        <v>0</v>
      </c>
      <c r="N1778" s="587">
        <f t="shared" si="198"/>
        <v>3000</v>
      </c>
      <c r="O1778" s="125" t="str">
        <f>IF(COUNTIF($B$4:B1778,B1778)&gt;1,"repeat","ok")</f>
        <v>ok</v>
      </c>
      <c r="P1778" s="490">
        <f t="shared" si="205"/>
        <v>-600</v>
      </c>
      <c r="Q1778" t="str">
        <f t="shared" si="199"/>
        <v>51210</v>
      </c>
      <c r="R1778" s="126" t="str">
        <f t="shared" si="203"/>
        <v>OFFICE SUPPLIES</v>
      </c>
      <c r="S1778" s="125" t="str">
        <f t="shared" si="204"/>
        <v>200</v>
      </c>
      <c r="T1778" s="125" t="str">
        <f t="shared" si="200"/>
        <v>77</v>
      </c>
      <c r="U1778" s="125" t="str">
        <f t="shared" si="201"/>
        <v>772</v>
      </c>
      <c r="V1778" s="125" t="str">
        <f>VLOOKUP(Q1778,'GL Category'!A:C,3,FALSE)</f>
        <v>Operations &amp; maintenance</v>
      </c>
      <c r="X1778" s="83"/>
    </row>
    <row r="1779" spans="1:24" ht="14.4" customHeight="1">
      <c r="A1779" s="608" t="s">
        <v>1037</v>
      </c>
      <c r="B1779" s="608" t="s">
        <v>1435</v>
      </c>
      <c r="C1779" s="608" t="s">
        <v>149</v>
      </c>
      <c r="D1779" s="609">
        <v>0</v>
      </c>
      <c r="E1779" s="609">
        <v>0</v>
      </c>
      <c r="F1779" s="609">
        <v>0</v>
      </c>
      <c r="G1779" s="609">
        <v>0</v>
      </c>
      <c r="H1779" s="609">
        <v>0</v>
      </c>
      <c r="I1779" s="609">
        <v>0</v>
      </c>
      <c r="J1779" s="609">
        <v>0</v>
      </c>
      <c r="K1779" s="609">
        <v>0</v>
      </c>
      <c r="L1779" s="609">
        <v>0</v>
      </c>
      <c r="M1779" s="609">
        <v>0</v>
      </c>
      <c r="N1779" s="587">
        <f t="shared" si="198"/>
        <v>0</v>
      </c>
      <c r="O1779" s="125" t="str">
        <f>IF(COUNTIF($B$4:B1779,B1779)&gt;1,"repeat","ok")</f>
        <v>repeat</v>
      </c>
      <c r="P1779" s="490">
        <f t="shared" si="205"/>
        <v>0</v>
      </c>
      <c r="Q1779" t="str">
        <f t="shared" si="199"/>
        <v>51210</v>
      </c>
      <c r="R1779" s="126" t="str">
        <f t="shared" si="203"/>
        <v>OFFICE SUPPLIES</v>
      </c>
      <c r="S1779" s="125" t="str">
        <f t="shared" si="204"/>
        <v>200</v>
      </c>
      <c r="T1779" s="125" t="str">
        <f t="shared" si="200"/>
        <v>77</v>
      </c>
      <c r="U1779" s="125" t="str">
        <f t="shared" si="201"/>
        <v>772</v>
      </c>
      <c r="V1779" s="125" t="str">
        <f>VLOOKUP(Q1779,'GL Category'!A:C,3,FALSE)</f>
        <v>Operations &amp; maintenance</v>
      </c>
      <c r="X1779" s="83"/>
    </row>
    <row r="1780" spans="1:24" ht="14.4" customHeight="1">
      <c r="A1780" s="608" t="s">
        <v>1037</v>
      </c>
      <c r="B1780" s="608" t="s">
        <v>1436</v>
      </c>
      <c r="C1780" s="608" t="s">
        <v>155</v>
      </c>
      <c r="D1780" s="609">
        <v>1898.52</v>
      </c>
      <c r="E1780" s="609">
        <v>1585.49</v>
      </c>
      <c r="F1780" s="609">
        <v>2882.41</v>
      </c>
      <c r="G1780" s="609">
        <v>898.04</v>
      </c>
      <c r="H1780" s="609">
        <v>2500</v>
      </c>
      <c r="I1780" s="609">
        <v>1091.4000000000001</v>
      </c>
      <c r="J1780" s="609">
        <v>2000</v>
      </c>
      <c r="K1780" s="609">
        <v>2500</v>
      </c>
      <c r="L1780" s="609">
        <v>0</v>
      </c>
      <c r="M1780" s="609">
        <v>0</v>
      </c>
      <c r="N1780" s="587">
        <f t="shared" si="198"/>
        <v>2500</v>
      </c>
      <c r="O1780" s="125" t="str">
        <f>IF(COUNTIF($B$4:B1780,B1780)&gt;1,"repeat","ok")</f>
        <v>ok</v>
      </c>
      <c r="P1780" s="490">
        <f t="shared" si="205"/>
        <v>0</v>
      </c>
      <c r="Q1780" t="str">
        <f t="shared" si="199"/>
        <v>51225</v>
      </c>
      <c r="R1780" s="126" t="str">
        <f t="shared" si="203"/>
        <v>JANITORIAL SUPPLIES</v>
      </c>
      <c r="S1780" s="125" t="str">
        <f t="shared" si="204"/>
        <v>200</v>
      </c>
      <c r="T1780" s="125" t="str">
        <f t="shared" si="200"/>
        <v>77</v>
      </c>
      <c r="U1780" s="125" t="str">
        <f t="shared" si="201"/>
        <v>772</v>
      </c>
      <c r="V1780" s="125" t="str">
        <f>VLOOKUP(Q1780,'GL Category'!A:C,3,FALSE)</f>
        <v>Operations &amp; maintenance</v>
      </c>
      <c r="X1780" s="83"/>
    </row>
    <row r="1781" spans="1:24" ht="14.4" customHeight="1">
      <c r="A1781" s="608" t="s">
        <v>1037</v>
      </c>
      <c r="B1781" s="608" t="s">
        <v>1437</v>
      </c>
      <c r="C1781" s="608" t="s">
        <v>4</v>
      </c>
      <c r="D1781" s="609">
        <v>1064.8900000000001</v>
      </c>
      <c r="E1781" s="609">
        <v>495.68</v>
      </c>
      <c r="F1781" s="609">
        <v>830.91</v>
      </c>
      <c r="G1781" s="609">
        <v>1172.45</v>
      </c>
      <c r="H1781" s="609">
        <v>2000</v>
      </c>
      <c r="I1781" s="609">
        <v>818.29</v>
      </c>
      <c r="J1781" s="609">
        <v>1000</v>
      </c>
      <c r="K1781" s="609">
        <v>1200</v>
      </c>
      <c r="L1781" s="609">
        <v>0</v>
      </c>
      <c r="M1781" s="609">
        <v>0</v>
      </c>
      <c r="N1781" s="587">
        <f t="shared" si="198"/>
        <v>1200</v>
      </c>
      <c r="O1781" s="125" t="str">
        <f>IF(COUNTIF($B$4:B1781,B1781)&gt;1,"repeat","ok")</f>
        <v>ok</v>
      </c>
      <c r="P1781" s="490">
        <f t="shared" si="205"/>
        <v>-800</v>
      </c>
      <c r="Q1781" t="str">
        <f t="shared" si="199"/>
        <v>51245</v>
      </c>
      <c r="R1781" s="126" t="str">
        <f t="shared" si="203"/>
        <v>SMALL TOOLS &amp; EQUIPMENT</v>
      </c>
      <c r="S1781" s="125" t="str">
        <f t="shared" si="204"/>
        <v>200</v>
      </c>
      <c r="T1781" s="125" t="str">
        <f t="shared" si="200"/>
        <v>77</v>
      </c>
      <c r="U1781" s="125" t="str">
        <f t="shared" si="201"/>
        <v>772</v>
      </c>
      <c r="V1781" s="125" t="str">
        <f>VLOOKUP(Q1781,'GL Category'!A:C,3,FALSE)</f>
        <v>Operations &amp; maintenance</v>
      </c>
      <c r="X1781" s="83"/>
    </row>
    <row r="1782" spans="1:24" ht="20.399999999999999" customHeight="1">
      <c r="A1782" s="608" t="s">
        <v>1037</v>
      </c>
      <c r="B1782" s="608" t="s">
        <v>1438</v>
      </c>
      <c r="C1782" s="608" t="s">
        <v>161</v>
      </c>
      <c r="D1782" s="609">
        <v>1094.3900000000001</v>
      </c>
      <c r="E1782" s="609">
        <v>1102.9100000000001</v>
      </c>
      <c r="F1782" s="609">
        <v>2387.15</v>
      </c>
      <c r="G1782" s="609">
        <v>2192.7800000000002</v>
      </c>
      <c r="H1782" s="609">
        <v>1850</v>
      </c>
      <c r="I1782" s="609">
        <v>4362.9799999999996</v>
      </c>
      <c r="J1782" s="609">
        <v>4500</v>
      </c>
      <c r="K1782" s="609">
        <v>3000</v>
      </c>
      <c r="L1782" s="609">
        <v>0</v>
      </c>
      <c r="M1782" s="609">
        <v>0</v>
      </c>
      <c r="N1782" s="587">
        <f t="shared" si="198"/>
        <v>3000</v>
      </c>
      <c r="O1782" s="125" t="str">
        <f>IF(COUNTIF($B$4:B1782,B1782)&gt;1,"repeat","ok")</f>
        <v>ok</v>
      </c>
      <c r="P1782" s="490">
        <f t="shared" si="205"/>
        <v>1150</v>
      </c>
      <c r="Q1782" t="str">
        <f t="shared" si="199"/>
        <v>51255</v>
      </c>
      <c r="R1782" s="126" t="str">
        <f t="shared" si="203"/>
        <v>FUEL/OILS/LUBRICANTS</v>
      </c>
      <c r="S1782" s="125" t="str">
        <f t="shared" si="204"/>
        <v>200</v>
      </c>
      <c r="T1782" s="125" t="str">
        <f t="shared" si="200"/>
        <v>77</v>
      </c>
      <c r="U1782" s="125" t="str">
        <f t="shared" si="201"/>
        <v>772</v>
      </c>
      <c r="V1782" s="125" t="str">
        <f>VLOOKUP(Q1782,'GL Category'!A:C,3,FALSE)</f>
        <v>Operations &amp; maintenance</v>
      </c>
      <c r="X1782" s="83"/>
    </row>
    <row r="1783" spans="1:24" ht="14.4" customHeight="1">
      <c r="A1783" s="608" t="s">
        <v>1037</v>
      </c>
      <c r="B1783" s="608" t="s">
        <v>1439</v>
      </c>
      <c r="C1783" s="608" t="s">
        <v>276</v>
      </c>
      <c r="D1783" s="609">
        <v>1360.92</v>
      </c>
      <c r="E1783" s="609">
        <v>534.52</v>
      </c>
      <c r="F1783" s="609">
        <v>0</v>
      </c>
      <c r="G1783" s="609">
        <v>986.92</v>
      </c>
      <c r="H1783" s="609">
        <v>600</v>
      </c>
      <c r="I1783" s="609">
        <v>0</v>
      </c>
      <c r="J1783" s="609">
        <v>600</v>
      </c>
      <c r="K1783" s="609">
        <v>0</v>
      </c>
      <c r="L1783" s="609">
        <v>0</v>
      </c>
      <c r="M1783" s="609">
        <v>0</v>
      </c>
      <c r="N1783" s="587">
        <f t="shared" si="198"/>
        <v>0</v>
      </c>
      <c r="O1783" s="125" t="str">
        <f>IF(COUNTIF($B$4:B1783,B1783)&gt;1,"repeat","ok")</f>
        <v>ok</v>
      </c>
      <c r="P1783" s="490">
        <f t="shared" si="205"/>
        <v>-600</v>
      </c>
      <c r="Q1783" t="str">
        <f t="shared" si="199"/>
        <v>51270</v>
      </c>
      <c r="R1783" s="126" t="str">
        <f t="shared" si="203"/>
        <v>CHEMICAL SUPPLIES</v>
      </c>
      <c r="S1783" s="125" t="str">
        <f t="shared" si="204"/>
        <v>200</v>
      </c>
      <c r="T1783" s="125" t="str">
        <f t="shared" si="200"/>
        <v>77</v>
      </c>
      <c r="U1783" s="125" t="str">
        <f t="shared" si="201"/>
        <v>772</v>
      </c>
      <c r="V1783" s="125" t="str">
        <f>VLOOKUP(Q1783,'GL Category'!A:C,3,FALSE)</f>
        <v>Operations &amp; maintenance</v>
      </c>
      <c r="X1783" s="83"/>
    </row>
    <row r="1784" spans="1:24" ht="14.4" customHeight="1">
      <c r="A1784" s="608" t="s">
        <v>1037</v>
      </c>
      <c r="B1784" s="608" t="s">
        <v>1440</v>
      </c>
      <c r="C1784" s="608" t="s">
        <v>167</v>
      </c>
      <c r="D1784" s="609">
        <v>644.78</v>
      </c>
      <c r="E1784" s="609">
        <v>274.94</v>
      </c>
      <c r="F1784" s="609">
        <v>591.37</v>
      </c>
      <c r="G1784" s="609">
        <v>714.58</v>
      </c>
      <c r="H1784" s="609">
        <v>700</v>
      </c>
      <c r="I1784" s="609">
        <v>345.07</v>
      </c>
      <c r="J1784" s="609">
        <v>700</v>
      </c>
      <c r="K1784" s="609">
        <v>700</v>
      </c>
      <c r="L1784" s="609">
        <v>0</v>
      </c>
      <c r="M1784" s="609">
        <v>0</v>
      </c>
      <c r="N1784" s="587">
        <f t="shared" si="198"/>
        <v>700</v>
      </c>
      <c r="O1784" s="125" t="str">
        <f>IF(COUNTIF($B$4:B1784,B1784)&gt;1,"repeat","ok")</f>
        <v>ok</v>
      </c>
      <c r="P1784" s="490">
        <f t="shared" si="205"/>
        <v>0</v>
      </c>
      <c r="Q1784" t="str">
        <f t="shared" si="199"/>
        <v>51285</v>
      </c>
      <c r="R1784" s="126" t="str">
        <f t="shared" si="203"/>
        <v>WEARING APPAREL</v>
      </c>
      <c r="S1784" s="125" t="str">
        <f t="shared" si="204"/>
        <v>200</v>
      </c>
      <c r="T1784" s="125" t="str">
        <f t="shared" si="200"/>
        <v>77</v>
      </c>
      <c r="U1784" s="125" t="str">
        <f t="shared" si="201"/>
        <v>772</v>
      </c>
      <c r="V1784" s="125" t="str">
        <f>VLOOKUP(Q1784,'GL Category'!A:C,3,FALSE)</f>
        <v>Operations &amp; maintenance</v>
      </c>
      <c r="X1784" s="83"/>
    </row>
    <row r="1785" spans="1:24" ht="14.4" customHeight="1">
      <c r="A1785" s="608" t="s">
        <v>1037</v>
      </c>
      <c r="B1785" s="608" t="s">
        <v>1441</v>
      </c>
      <c r="C1785" s="608" t="s">
        <v>274</v>
      </c>
      <c r="D1785" s="609">
        <v>210.19</v>
      </c>
      <c r="E1785" s="609">
        <v>50.41</v>
      </c>
      <c r="F1785" s="609">
        <v>204.37</v>
      </c>
      <c r="G1785" s="609">
        <v>0</v>
      </c>
      <c r="H1785" s="609">
        <v>0</v>
      </c>
      <c r="I1785" s="609">
        <v>0</v>
      </c>
      <c r="J1785" s="609">
        <v>0</v>
      </c>
      <c r="K1785" s="609">
        <v>0</v>
      </c>
      <c r="L1785" s="609">
        <v>0</v>
      </c>
      <c r="M1785" s="609">
        <v>0</v>
      </c>
      <c r="N1785" s="587">
        <f t="shared" si="198"/>
        <v>0</v>
      </c>
      <c r="O1785" s="125" t="str">
        <f>IF(COUNTIF($B$4:B1785,B1785)&gt;1,"repeat","ok")</f>
        <v>ok</v>
      </c>
      <c r="P1785" s="490">
        <f t="shared" si="205"/>
        <v>0</v>
      </c>
      <c r="Q1785" t="str">
        <f t="shared" si="199"/>
        <v>51287</v>
      </c>
      <c r="R1785" s="126" t="str">
        <f t="shared" si="203"/>
        <v>SAFETY EQUIPMENT/SUPPLIES</v>
      </c>
      <c r="S1785" s="125" t="str">
        <f t="shared" si="204"/>
        <v>200</v>
      </c>
      <c r="T1785" s="125" t="str">
        <f t="shared" si="200"/>
        <v>77</v>
      </c>
      <c r="U1785" s="125" t="str">
        <f t="shared" si="201"/>
        <v>772</v>
      </c>
      <c r="V1785" s="125" t="str">
        <f>VLOOKUP(Q1785,'GL Category'!A:C,3,FALSE)</f>
        <v>Operations &amp; maintenance</v>
      </c>
      <c r="X1785" s="83"/>
    </row>
    <row r="1786" spans="1:24" ht="14.4" customHeight="1">
      <c r="A1786" s="608" t="s">
        <v>1037</v>
      </c>
      <c r="B1786" s="608" t="s">
        <v>1442</v>
      </c>
      <c r="C1786" s="608" t="s">
        <v>169</v>
      </c>
      <c r="D1786" s="609">
        <v>1915.1</v>
      </c>
      <c r="E1786" s="609">
        <v>1183.57</v>
      </c>
      <c r="F1786" s="609">
        <v>1908.83</v>
      </c>
      <c r="G1786" s="609">
        <v>2235.42</v>
      </c>
      <c r="H1786" s="609">
        <v>2750</v>
      </c>
      <c r="I1786" s="609">
        <v>1850.31</v>
      </c>
      <c r="J1786" s="609">
        <v>2100</v>
      </c>
      <c r="K1786" s="609">
        <v>2250</v>
      </c>
      <c r="L1786" s="609">
        <v>0</v>
      </c>
      <c r="M1786" s="609">
        <v>0</v>
      </c>
      <c r="N1786" s="587">
        <f t="shared" si="198"/>
        <v>2250</v>
      </c>
      <c r="O1786" s="125" t="str">
        <f>IF(COUNTIF($B$4:B1786,B1786)&gt;1,"repeat","ok")</f>
        <v>ok</v>
      </c>
      <c r="P1786" s="490">
        <f t="shared" si="205"/>
        <v>-500</v>
      </c>
      <c r="Q1786" t="str">
        <f t="shared" si="199"/>
        <v>51299</v>
      </c>
      <c r="R1786" s="126" t="str">
        <f t="shared" si="203"/>
        <v>MISCELLANEOUS SUPPLIES</v>
      </c>
      <c r="S1786" s="125" t="str">
        <f t="shared" si="204"/>
        <v>200</v>
      </c>
      <c r="T1786" s="125" t="str">
        <f t="shared" si="200"/>
        <v>77</v>
      </c>
      <c r="U1786" s="125" t="str">
        <f t="shared" si="201"/>
        <v>772</v>
      </c>
      <c r="V1786" s="125" t="str">
        <f>VLOOKUP(Q1786,'GL Category'!A:C,3,FALSE)</f>
        <v>Operations &amp; maintenance</v>
      </c>
      <c r="X1786" s="83"/>
    </row>
    <row r="1787" spans="1:24" ht="14.4" customHeight="1">
      <c r="A1787" s="608" t="s">
        <v>1037</v>
      </c>
      <c r="B1787" s="608" t="s">
        <v>1443</v>
      </c>
      <c r="C1787" s="608" t="s">
        <v>171</v>
      </c>
      <c r="D1787" s="609">
        <v>30018.14</v>
      </c>
      <c r="E1787" s="609">
        <v>32596.05</v>
      </c>
      <c r="F1787" s="609">
        <v>66248.070000000007</v>
      </c>
      <c r="G1787" s="609">
        <v>74183.02</v>
      </c>
      <c r="H1787" s="609">
        <v>37900</v>
      </c>
      <c r="I1787" s="609">
        <v>31617.75</v>
      </c>
      <c r="J1787" s="609">
        <v>37900</v>
      </c>
      <c r="K1787" s="609">
        <v>40000</v>
      </c>
      <c r="L1787" s="609">
        <v>0</v>
      </c>
      <c r="M1787" s="609">
        <v>0</v>
      </c>
      <c r="N1787" s="587">
        <f t="shared" si="198"/>
        <v>40000</v>
      </c>
      <c r="O1787" s="125" t="str">
        <f>IF(COUNTIF($B$4:B1787,B1787)&gt;1,"repeat","ok")</f>
        <v>ok</v>
      </c>
      <c r="Q1787" t="str">
        <f t="shared" si="199"/>
        <v>52310</v>
      </c>
      <c r="R1787" s="126" t="str">
        <f t="shared" si="203"/>
        <v>BUILDING MAINTENANCE</v>
      </c>
      <c r="S1787" s="125" t="str">
        <f t="shared" si="204"/>
        <v>200</v>
      </c>
      <c r="T1787" s="125" t="str">
        <f t="shared" si="200"/>
        <v>77</v>
      </c>
      <c r="U1787" s="125" t="str">
        <f t="shared" si="201"/>
        <v>772</v>
      </c>
      <c r="V1787" s="125" t="str">
        <f>VLOOKUP(Q1787,'GL Category'!A:C,3,FALSE)</f>
        <v>Operations &amp; maintenance</v>
      </c>
      <c r="X1787" s="83"/>
    </row>
    <row r="1788" spans="1:24" ht="14.4" customHeight="1">
      <c r="A1788" s="608" t="s">
        <v>1037</v>
      </c>
      <c r="B1788" s="608" t="s">
        <v>1443</v>
      </c>
      <c r="C1788" s="608" t="s">
        <v>171</v>
      </c>
      <c r="D1788" s="609">
        <v>0</v>
      </c>
      <c r="E1788" s="609">
        <v>31532</v>
      </c>
      <c r="F1788" s="609">
        <v>23954</v>
      </c>
      <c r="G1788" s="609">
        <v>456</v>
      </c>
      <c r="H1788" s="609">
        <v>0</v>
      </c>
      <c r="I1788" s="609">
        <v>152</v>
      </c>
      <c r="J1788" s="609">
        <v>0</v>
      </c>
      <c r="K1788" s="609">
        <v>0</v>
      </c>
      <c r="L1788" s="609">
        <v>0</v>
      </c>
      <c r="M1788" s="609">
        <v>0</v>
      </c>
      <c r="N1788" s="587">
        <f t="shared" si="198"/>
        <v>0</v>
      </c>
      <c r="O1788" s="125" t="str">
        <f>IF(COUNTIF($B$4:B1788,B1788)&gt;1,"repeat","ok")</f>
        <v>repeat</v>
      </c>
      <c r="Q1788" t="str">
        <f t="shared" si="199"/>
        <v>52310</v>
      </c>
      <c r="R1788" s="126" t="str">
        <f t="shared" si="203"/>
        <v>BUILDING MAINTENANCE</v>
      </c>
      <c r="S1788" s="125" t="str">
        <f t="shared" si="204"/>
        <v>200</v>
      </c>
      <c r="T1788" s="125" t="str">
        <f t="shared" si="200"/>
        <v>77</v>
      </c>
      <c r="U1788" s="125" t="str">
        <f t="shared" si="201"/>
        <v>772</v>
      </c>
      <c r="V1788" s="125" t="str">
        <f>VLOOKUP(Q1788,'GL Category'!A:C,3,FALSE)</f>
        <v>Operations &amp; maintenance</v>
      </c>
      <c r="X1788" s="83"/>
    </row>
    <row r="1789" spans="1:24" ht="14.4" customHeight="1">
      <c r="A1789" s="608" t="s">
        <v>1037</v>
      </c>
      <c r="B1789" s="608" t="s">
        <v>1444</v>
      </c>
      <c r="C1789" s="608" t="s">
        <v>173</v>
      </c>
      <c r="D1789" s="609">
        <v>17796.79</v>
      </c>
      <c r="E1789" s="609">
        <v>0</v>
      </c>
      <c r="F1789" s="609">
        <v>0</v>
      </c>
      <c r="G1789" s="609">
        <v>0</v>
      </c>
      <c r="H1789" s="609">
        <v>0</v>
      </c>
      <c r="I1789" s="609">
        <v>0</v>
      </c>
      <c r="J1789" s="609">
        <v>0</v>
      </c>
      <c r="K1789" s="609">
        <v>0</v>
      </c>
      <c r="L1789" s="609">
        <v>0</v>
      </c>
      <c r="M1789" s="609">
        <v>0</v>
      </c>
      <c r="N1789" s="587">
        <f t="shared" si="198"/>
        <v>0</v>
      </c>
      <c r="O1789" s="125" t="str">
        <f>IF(COUNTIF($B$4:B1789,B1789)&gt;1,"repeat","ok")</f>
        <v>ok</v>
      </c>
      <c r="P1789" s="490">
        <f>N1789-H1789</f>
        <v>0</v>
      </c>
      <c r="Q1789" t="str">
        <f t="shared" si="199"/>
        <v>52311</v>
      </c>
      <c r="R1789" s="126" t="str">
        <f t="shared" si="203"/>
        <v>GROUNDS MAINTENANCE</v>
      </c>
      <c r="S1789" s="125" t="str">
        <f t="shared" si="204"/>
        <v>200</v>
      </c>
      <c r="T1789" s="125" t="str">
        <f t="shared" si="200"/>
        <v>77</v>
      </c>
      <c r="U1789" s="125" t="str">
        <f t="shared" si="201"/>
        <v>772</v>
      </c>
      <c r="V1789" s="125" t="str">
        <f>VLOOKUP(Q1789,'GL Category'!A:C,3,FALSE)</f>
        <v>Operations &amp; maintenance</v>
      </c>
      <c r="X1789" s="83"/>
    </row>
    <row r="1790" spans="1:24" ht="14.4" customHeight="1">
      <c r="A1790" s="608" t="s">
        <v>1037</v>
      </c>
      <c r="B1790" s="608" t="s">
        <v>1445</v>
      </c>
      <c r="C1790" s="608" t="s">
        <v>288</v>
      </c>
      <c r="D1790" s="609">
        <v>0</v>
      </c>
      <c r="E1790" s="609">
        <v>0</v>
      </c>
      <c r="F1790" s="609">
        <v>0</v>
      </c>
      <c r="G1790" s="609">
        <v>0</v>
      </c>
      <c r="H1790" s="609">
        <v>0</v>
      </c>
      <c r="I1790" s="609">
        <v>0</v>
      </c>
      <c r="J1790" s="609">
        <v>0</v>
      </c>
      <c r="K1790" s="609">
        <v>0</v>
      </c>
      <c r="L1790" s="609">
        <v>0</v>
      </c>
      <c r="M1790" s="609">
        <v>0</v>
      </c>
      <c r="N1790" s="587">
        <f t="shared" si="198"/>
        <v>0</v>
      </c>
      <c r="O1790" s="125" t="str">
        <f>IF(COUNTIF($B$4:B1790,B1790)&gt;1,"repeat","ok")</f>
        <v>ok</v>
      </c>
      <c r="Q1790" t="str">
        <f t="shared" si="199"/>
        <v>52399</v>
      </c>
      <c r="R1790" s="126" t="str">
        <f t="shared" si="203"/>
        <v>MISCELLANEOUS MAINTENANCE</v>
      </c>
      <c r="S1790" s="125" t="str">
        <f t="shared" si="204"/>
        <v>200</v>
      </c>
      <c r="T1790" s="125" t="str">
        <f t="shared" si="200"/>
        <v>77</v>
      </c>
      <c r="U1790" s="125" t="str">
        <f t="shared" si="201"/>
        <v>772</v>
      </c>
      <c r="V1790" s="125" t="str">
        <f>VLOOKUP(Q1790,'GL Category'!A:C,3,FALSE)</f>
        <v>Operations &amp; maintenance</v>
      </c>
      <c r="X1790" s="83"/>
    </row>
    <row r="1791" spans="1:24" ht="14.4" customHeight="1">
      <c r="A1791" s="608" t="s">
        <v>1037</v>
      </c>
      <c r="B1791" s="608" t="s">
        <v>1446</v>
      </c>
      <c r="C1791" s="608" t="s">
        <v>241</v>
      </c>
      <c r="D1791" s="609">
        <v>253.76</v>
      </c>
      <c r="E1791" s="609">
        <v>62.1</v>
      </c>
      <c r="F1791" s="609">
        <v>1062.01</v>
      </c>
      <c r="G1791" s="609">
        <v>375.12</v>
      </c>
      <c r="H1791" s="609">
        <v>750</v>
      </c>
      <c r="I1791" s="609">
        <v>769.23</v>
      </c>
      <c r="J1791" s="609">
        <v>750</v>
      </c>
      <c r="K1791" s="609">
        <v>750</v>
      </c>
      <c r="L1791" s="609">
        <v>0</v>
      </c>
      <c r="M1791" s="609">
        <v>0</v>
      </c>
      <c r="N1791" s="587">
        <f t="shared" si="198"/>
        <v>750</v>
      </c>
      <c r="O1791" s="125" t="str">
        <f>IF(COUNTIF($B$4:B1791,B1791)&gt;1,"repeat","ok")</f>
        <v>ok</v>
      </c>
      <c r="Q1791" t="str">
        <f t="shared" si="199"/>
        <v>52460</v>
      </c>
      <c r="R1791" s="126" t="str">
        <f t="shared" si="203"/>
        <v>VEHICLE MAINTENANCE</v>
      </c>
      <c r="S1791" s="125" t="str">
        <f t="shared" si="204"/>
        <v>200</v>
      </c>
      <c r="T1791" s="125" t="str">
        <f t="shared" si="200"/>
        <v>77</v>
      </c>
      <c r="U1791" s="125" t="str">
        <f t="shared" si="201"/>
        <v>772</v>
      </c>
      <c r="V1791" s="125" t="str">
        <f>VLOOKUP(Q1791,'GL Category'!A:C,3,FALSE)</f>
        <v>Operations &amp; maintenance</v>
      </c>
      <c r="X1791" s="83"/>
    </row>
    <row r="1792" spans="1:24" ht="14.4" customHeight="1">
      <c r="A1792" s="608" t="s">
        <v>1037</v>
      </c>
      <c r="B1792" s="608" t="s">
        <v>1447</v>
      </c>
      <c r="C1792" s="608" t="s">
        <v>236</v>
      </c>
      <c r="D1792" s="609">
        <v>20772.54</v>
      </c>
      <c r="E1792" s="609">
        <v>10210.700000000001</v>
      </c>
      <c r="F1792" s="609">
        <v>14369.23</v>
      </c>
      <c r="G1792" s="609">
        <v>17423.07</v>
      </c>
      <c r="H1792" s="609">
        <v>22000</v>
      </c>
      <c r="I1792" s="609">
        <v>13032.69</v>
      </c>
      <c r="J1792" s="609">
        <v>16000</v>
      </c>
      <c r="K1792" s="609">
        <v>20000</v>
      </c>
      <c r="L1792" s="609">
        <v>0</v>
      </c>
      <c r="M1792" s="609">
        <v>0</v>
      </c>
      <c r="N1792" s="587">
        <f t="shared" si="198"/>
        <v>20000</v>
      </c>
      <c r="O1792" s="125" t="str">
        <f>IF(COUNTIF($B$4:B1792,B1792)&gt;1,"repeat","ok")</f>
        <v>ok</v>
      </c>
      <c r="Q1792" t="str">
        <f t="shared" si="199"/>
        <v>52470</v>
      </c>
      <c r="R1792" s="126" t="str">
        <f t="shared" si="203"/>
        <v>EQUIPMENT MAINTENANCE</v>
      </c>
      <c r="S1792" s="125" t="str">
        <f t="shared" si="204"/>
        <v>200</v>
      </c>
      <c r="T1792" s="125" t="str">
        <f t="shared" si="200"/>
        <v>77</v>
      </c>
      <c r="U1792" s="125" t="str">
        <f t="shared" si="201"/>
        <v>772</v>
      </c>
      <c r="V1792" s="125" t="str">
        <f>VLOOKUP(Q1792,'GL Category'!A:C,3,FALSE)</f>
        <v>Operations &amp; maintenance</v>
      </c>
      <c r="X1792" s="83"/>
    </row>
    <row r="1793" spans="1:24" ht="14.4" customHeight="1">
      <c r="A1793" s="608" t="s">
        <v>1037</v>
      </c>
      <c r="B1793" s="608" t="s">
        <v>1448</v>
      </c>
      <c r="C1793" s="608" t="s">
        <v>181</v>
      </c>
      <c r="D1793" s="609">
        <v>12504.31</v>
      </c>
      <c r="E1793" s="609">
        <v>14478.27</v>
      </c>
      <c r="F1793" s="609">
        <v>12173.69</v>
      </c>
      <c r="G1793" s="609">
        <v>7693.08</v>
      </c>
      <c r="H1793" s="609">
        <v>20000</v>
      </c>
      <c r="I1793" s="609">
        <v>7131</v>
      </c>
      <c r="J1793" s="609">
        <v>15000</v>
      </c>
      <c r="K1793" s="609">
        <v>18000</v>
      </c>
      <c r="L1793" s="609">
        <v>0</v>
      </c>
      <c r="M1793" s="609">
        <v>0</v>
      </c>
      <c r="N1793" s="587">
        <f t="shared" si="198"/>
        <v>18000</v>
      </c>
      <c r="O1793" s="125" t="str">
        <f>IF(COUNTIF($B$4:B1793,B1793)&gt;1,"repeat","ok")</f>
        <v>ok</v>
      </c>
      <c r="Q1793" t="str">
        <f t="shared" si="199"/>
        <v>52490</v>
      </c>
      <c r="R1793" s="126" t="str">
        <f t="shared" si="203"/>
        <v>A/C &amp; HEATING MAINTENANCE</v>
      </c>
      <c r="S1793" s="125" t="str">
        <f t="shared" si="204"/>
        <v>200</v>
      </c>
      <c r="T1793" s="125" t="str">
        <f t="shared" si="200"/>
        <v>77</v>
      </c>
      <c r="U1793" s="125" t="str">
        <f t="shared" si="201"/>
        <v>772</v>
      </c>
      <c r="V1793" s="125" t="str">
        <f>VLOOKUP(Q1793,'GL Category'!A:C,3,FALSE)</f>
        <v>Operations &amp; maintenance</v>
      </c>
      <c r="X1793" s="83"/>
    </row>
    <row r="1794" spans="1:24" ht="14.4" customHeight="1">
      <c r="A1794" s="608" t="s">
        <v>1037</v>
      </c>
      <c r="B1794" s="608" t="s">
        <v>1450</v>
      </c>
      <c r="C1794" s="608" t="s">
        <v>190</v>
      </c>
      <c r="D1794" s="609">
        <v>0</v>
      </c>
      <c r="E1794" s="609">
        <v>0</v>
      </c>
      <c r="F1794" s="609">
        <v>0</v>
      </c>
      <c r="G1794" s="609">
        <v>0</v>
      </c>
      <c r="H1794" s="609">
        <v>0</v>
      </c>
      <c r="I1794" s="609">
        <v>0</v>
      </c>
      <c r="J1794" s="609">
        <v>0</v>
      </c>
      <c r="K1794" s="609">
        <v>0</v>
      </c>
      <c r="L1794" s="609">
        <v>0</v>
      </c>
      <c r="M1794" s="609">
        <v>0</v>
      </c>
      <c r="N1794" s="587">
        <f t="shared" si="198"/>
        <v>0</v>
      </c>
      <c r="O1794" s="125" t="str">
        <f>IF(COUNTIF($B$4:B1794,B1794)&gt;1,"repeat","ok")</f>
        <v>ok</v>
      </c>
      <c r="Q1794" t="str">
        <f t="shared" si="199"/>
        <v>53510</v>
      </c>
      <c r="R1794" s="126" t="str">
        <f t="shared" si="203"/>
        <v>DUES &amp; SUBSCRIPTIONS</v>
      </c>
      <c r="S1794" s="125" t="str">
        <f t="shared" si="204"/>
        <v>200</v>
      </c>
      <c r="T1794" s="125" t="str">
        <f t="shared" si="200"/>
        <v>77</v>
      </c>
      <c r="U1794" s="125" t="str">
        <f t="shared" si="201"/>
        <v>772</v>
      </c>
      <c r="V1794" s="125" t="str">
        <f>VLOOKUP(Q1794,'GL Category'!A:C,3,FALSE)</f>
        <v>Services &amp; other</v>
      </c>
      <c r="X1794" s="83"/>
    </row>
    <row r="1795" spans="1:24" ht="14.4" customHeight="1">
      <c r="A1795" s="608" t="s">
        <v>1037</v>
      </c>
      <c r="B1795" s="608" t="s">
        <v>1451</v>
      </c>
      <c r="C1795" s="608" t="s">
        <v>191</v>
      </c>
      <c r="D1795" s="609">
        <v>1009.57</v>
      </c>
      <c r="E1795" s="609">
        <v>2829.52</v>
      </c>
      <c r="F1795" s="609">
        <v>140</v>
      </c>
      <c r="G1795" s="609">
        <v>228.59</v>
      </c>
      <c r="H1795" s="609">
        <v>1200</v>
      </c>
      <c r="I1795" s="609">
        <v>318</v>
      </c>
      <c r="J1795" s="609">
        <v>250</v>
      </c>
      <c r="K1795" s="609">
        <v>1200</v>
      </c>
      <c r="L1795" s="609">
        <v>0</v>
      </c>
      <c r="M1795" s="609">
        <v>0</v>
      </c>
      <c r="N1795" s="587">
        <f t="shared" si="198"/>
        <v>1200</v>
      </c>
      <c r="O1795" s="125" t="str">
        <f>IF(COUNTIF($B$4:B1795,B1795)&gt;1,"repeat","ok")</f>
        <v>ok</v>
      </c>
      <c r="Q1795" t="str">
        <f t="shared" si="199"/>
        <v>53515</v>
      </c>
      <c r="R1795" s="126" t="str">
        <f t="shared" si="203"/>
        <v>TRAVEL, TRAINING &amp; EDUCATION</v>
      </c>
      <c r="S1795" s="125" t="str">
        <f t="shared" si="204"/>
        <v>200</v>
      </c>
      <c r="T1795" s="125" t="str">
        <f t="shared" si="200"/>
        <v>77</v>
      </c>
      <c r="U1795" s="125" t="str">
        <f t="shared" si="201"/>
        <v>772</v>
      </c>
      <c r="V1795" s="125" t="str">
        <f>VLOOKUP(Q1795,'GL Category'!A:C,3,FALSE)</f>
        <v>Services &amp; other</v>
      </c>
      <c r="X1795" s="83"/>
    </row>
    <row r="1796" spans="1:24" ht="20.399999999999999" customHeight="1">
      <c r="A1796" s="608" t="s">
        <v>1037</v>
      </c>
      <c r="B1796" s="608" t="s">
        <v>1453</v>
      </c>
      <c r="C1796" s="608" t="s">
        <v>839</v>
      </c>
      <c r="D1796" s="609">
        <v>8309</v>
      </c>
      <c r="E1796" s="609">
        <v>17290.75</v>
      </c>
      <c r="F1796" s="609">
        <v>17953.8</v>
      </c>
      <c r="G1796" s="609">
        <v>10286.85</v>
      </c>
      <c r="H1796" s="609">
        <v>17700</v>
      </c>
      <c r="I1796" s="609">
        <v>7771</v>
      </c>
      <c r="J1796" s="609">
        <v>17700</v>
      </c>
      <c r="K1796" s="609">
        <v>17700</v>
      </c>
      <c r="L1796" s="609">
        <v>0</v>
      </c>
      <c r="M1796" s="609">
        <v>0</v>
      </c>
      <c r="N1796" s="587">
        <f t="shared" ref="N1796:N1859" si="206">SUM(K1796:M1796)</f>
        <v>17700</v>
      </c>
      <c r="O1796" s="125" t="str">
        <f>IF(COUNTIF($B$4:B1796,B1796)&gt;1,"repeat","ok")</f>
        <v>ok</v>
      </c>
      <c r="Q1796" t="str">
        <f t="shared" ref="Q1796:Q1859" si="207">MID(B1796,12,5)</f>
        <v>53525</v>
      </c>
      <c r="R1796" s="126" t="str">
        <f t="shared" si="203"/>
        <v>LANDSCAPE SERVICES</v>
      </c>
      <c r="S1796" s="125" t="str">
        <f t="shared" si="204"/>
        <v>200</v>
      </c>
      <c r="T1796" s="125" t="str">
        <f t="shared" ref="T1796:T1859" si="208">MID(B1796,5,2)</f>
        <v>77</v>
      </c>
      <c r="U1796" s="125" t="str">
        <f t="shared" ref="U1796:U1859" si="209">MID(B1796,8,3)</f>
        <v>772</v>
      </c>
      <c r="V1796" s="125" t="str">
        <f>VLOOKUP(Q1796,'GL Category'!A:C,3,FALSE)</f>
        <v>Services &amp; other</v>
      </c>
      <c r="X1796" s="83"/>
    </row>
    <row r="1797" spans="1:24" ht="20.399999999999999" customHeight="1">
      <c r="A1797" s="608" t="s">
        <v>1037</v>
      </c>
      <c r="B1797" s="608" t="s">
        <v>1454</v>
      </c>
      <c r="C1797" s="608" t="s">
        <v>906</v>
      </c>
      <c r="D1797" s="609">
        <v>7968.24</v>
      </c>
      <c r="E1797" s="609">
        <v>14356.23</v>
      </c>
      <c r="F1797" s="609">
        <v>15268.8</v>
      </c>
      <c r="G1797" s="609">
        <v>15268.8</v>
      </c>
      <c r="H1797" s="609">
        <v>15500</v>
      </c>
      <c r="I1797" s="609">
        <v>11451.6</v>
      </c>
      <c r="J1797" s="609">
        <v>15500</v>
      </c>
      <c r="K1797" s="609">
        <v>15500</v>
      </c>
      <c r="L1797" s="609">
        <v>0</v>
      </c>
      <c r="M1797" s="609">
        <v>0</v>
      </c>
      <c r="N1797" s="587">
        <f t="shared" si="206"/>
        <v>15500</v>
      </c>
      <c r="O1797" s="125" t="str">
        <f>IF(COUNTIF($B$4:B1797,B1797)&gt;1,"repeat","ok")</f>
        <v>ok</v>
      </c>
      <c r="P1797" s="490">
        <f t="shared" ref="P1797:P1804" si="210">N1797-H1797</f>
        <v>0</v>
      </c>
      <c r="Q1797" t="str">
        <f t="shared" si="207"/>
        <v>53529</v>
      </c>
      <c r="R1797" s="126" t="str">
        <f t="shared" si="203"/>
        <v>JANITORIAL SERVICES</v>
      </c>
      <c r="S1797" s="125" t="str">
        <f t="shared" si="204"/>
        <v>200</v>
      </c>
      <c r="T1797" s="125" t="str">
        <f t="shared" si="208"/>
        <v>77</v>
      </c>
      <c r="U1797" s="125" t="str">
        <f t="shared" si="209"/>
        <v>772</v>
      </c>
      <c r="V1797" s="125" t="str">
        <f>VLOOKUP(Q1797,'GL Category'!A:C,3,FALSE)</f>
        <v>Services &amp; other</v>
      </c>
      <c r="X1797" s="83"/>
    </row>
    <row r="1798" spans="1:24" ht="14.4" customHeight="1">
      <c r="A1798" s="608" t="s">
        <v>1037</v>
      </c>
      <c r="B1798" s="608" t="s">
        <v>1455</v>
      </c>
      <c r="C1798" s="608" t="s">
        <v>907</v>
      </c>
      <c r="D1798" s="609">
        <v>2113.3200000000002</v>
      </c>
      <c r="E1798" s="609">
        <v>2113.3200000000002</v>
      </c>
      <c r="F1798" s="609">
        <v>2118.5100000000002</v>
      </c>
      <c r="G1798" s="609">
        <v>2134.08</v>
      </c>
      <c r="H1798" s="609">
        <v>3500</v>
      </c>
      <c r="I1798" s="609">
        <v>1600.56</v>
      </c>
      <c r="J1798" s="609">
        <v>3500</v>
      </c>
      <c r="K1798" s="609">
        <v>3500</v>
      </c>
      <c r="L1798" s="609">
        <v>0</v>
      </c>
      <c r="M1798" s="609">
        <v>0</v>
      </c>
      <c r="N1798" s="587">
        <f t="shared" si="206"/>
        <v>3500</v>
      </c>
      <c r="O1798" s="125" t="str">
        <f>IF(COUNTIF($B$4:B1798,B1798)&gt;1,"repeat","ok")</f>
        <v>ok</v>
      </c>
      <c r="P1798" s="490">
        <f t="shared" si="210"/>
        <v>0</v>
      </c>
      <c r="Q1798" t="str">
        <f t="shared" si="207"/>
        <v>53530</v>
      </c>
      <c r="R1798" s="126" t="str">
        <f t="shared" si="203"/>
        <v>DEBRIS &amp; WASTE DISPOSAL SVCS</v>
      </c>
      <c r="S1798" s="125" t="str">
        <f t="shared" si="204"/>
        <v>200</v>
      </c>
      <c r="T1798" s="125" t="str">
        <f t="shared" si="208"/>
        <v>77</v>
      </c>
      <c r="U1798" s="125" t="str">
        <f t="shared" si="209"/>
        <v>772</v>
      </c>
      <c r="V1798" s="125" t="str">
        <f>VLOOKUP(Q1798,'GL Category'!A:C,3,FALSE)</f>
        <v>Services &amp; other</v>
      </c>
      <c r="X1798" s="83"/>
    </row>
    <row r="1799" spans="1:24" ht="14.4" customHeight="1">
      <c r="A1799" s="608" t="s">
        <v>1037</v>
      </c>
      <c r="B1799" s="608" t="s">
        <v>1456</v>
      </c>
      <c r="C1799" s="608" t="s">
        <v>213</v>
      </c>
      <c r="D1799" s="609">
        <v>4157</v>
      </c>
      <c r="E1799" s="609">
        <v>5589.73</v>
      </c>
      <c r="F1799" s="609">
        <v>6434.19</v>
      </c>
      <c r="G1799" s="609">
        <v>7389.13</v>
      </c>
      <c r="H1799" s="609">
        <v>8760</v>
      </c>
      <c r="I1799" s="609">
        <v>7328.62</v>
      </c>
      <c r="J1799" s="609">
        <v>8760</v>
      </c>
      <c r="K1799" s="609">
        <v>8760</v>
      </c>
      <c r="L1799" s="609">
        <v>0</v>
      </c>
      <c r="M1799" s="609">
        <v>0</v>
      </c>
      <c r="N1799" s="587">
        <f t="shared" si="206"/>
        <v>8760</v>
      </c>
      <c r="O1799" s="125" t="str">
        <f>IF(COUNTIF($B$4:B1799,B1799)&gt;1,"repeat","ok")</f>
        <v>ok</v>
      </c>
      <c r="P1799" s="490">
        <f t="shared" si="210"/>
        <v>0</v>
      </c>
      <c r="Q1799" t="str">
        <f t="shared" si="207"/>
        <v>53571</v>
      </c>
      <c r="R1799" s="126" t="str">
        <f t="shared" si="203"/>
        <v>NATURAL GAS UTILITY SERVICE</v>
      </c>
      <c r="S1799" s="125" t="str">
        <f t="shared" si="204"/>
        <v>200</v>
      </c>
      <c r="T1799" s="125" t="str">
        <f t="shared" si="208"/>
        <v>77</v>
      </c>
      <c r="U1799" s="125" t="str">
        <f t="shared" si="209"/>
        <v>772</v>
      </c>
      <c r="V1799" s="125" t="str">
        <f>VLOOKUP(Q1799,'GL Category'!A:C,3,FALSE)</f>
        <v>Services &amp; other</v>
      </c>
      <c r="X1799" s="83"/>
    </row>
    <row r="1800" spans="1:24" ht="14.4" customHeight="1">
      <c r="A1800" s="608" t="s">
        <v>1037</v>
      </c>
      <c r="B1800" s="608" t="s">
        <v>1457</v>
      </c>
      <c r="C1800" s="608" t="s">
        <v>215</v>
      </c>
      <c r="D1800" s="609">
        <v>21647.26</v>
      </c>
      <c r="E1800" s="609">
        <v>19842.66</v>
      </c>
      <c r="F1800" s="609">
        <v>35056.75</v>
      </c>
      <c r="G1800" s="609">
        <v>43166.69</v>
      </c>
      <c r="H1800" s="609">
        <v>51260</v>
      </c>
      <c r="I1800" s="609">
        <v>21776.799999999999</v>
      </c>
      <c r="J1800" s="609">
        <v>51260</v>
      </c>
      <c r="K1800" s="609">
        <v>51260</v>
      </c>
      <c r="L1800" s="609">
        <v>0</v>
      </c>
      <c r="M1800" s="609">
        <v>0</v>
      </c>
      <c r="N1800" s="587">
        <f t="shared" si="206"/>
        <v>51260</v>
      </c>
      <c r="O1800" s="125" t="str">
        <f>IF(COUNTIF($B$4:B1800,B1800)&gt;1,"repeat","ok")</f>
        <v>ok</v>
      </c>
      <c r="P1800" s="490">
        <f t="shared" si="210"/>
        <v>0</v>
      </c>
      <c r="Q1800" t="str">
        <f t="shared" si="207"/>
        <v>53572</v>
      </c>
      <c r="R1800" s="126" t="str">
        <f t="shared" si="203"/>
        <v>ELECTRICAL UTILITY SERVICE</v>
      </c>
      <c r="S1800" s="125" t="str">
        <f t="shared" si="204"/>
        <v>200</v>
      </c>
      <c r="T1800" s="125" t="str">
        <f t="shared" si="208"/>
        <v>77</v>
      </c>
      <c r="U1800" s="125" t="str">
        <f t="shared" si="209"/>
        <v>772</v>
      </c>
      <c r="V1800" s="125" t="str">
        <f>VLOOKUP(Q1800,'GL Category'!A:C,3,FALSE)</f>
        <v>Services &amp; other</v>
      </c>
      <c r="X1800" s="83"/>
    </row>
    <row r="1801" spans="1:24" ht="14.4" customHeight="1">
      <c r="A1801" s="608" t="s">
        <v>1037</v>
      </c>
      <c r="B1801" s="608" t="s">
        <v>1458</v>
      </c>
      <c r="C1801" s="608" t="s">
        <v>217</v>
      </c>
      <c r="D1801" s="609">
        <v>8087.26</v>
      </c>
      <c r="E1801" s="609">
        <v>6883.43</v>
      </c>
      <c r="F1801" s="609">
        <v>5765.1</v>
      </c>
      <c r="G1801" s="609">
        <v>5820.14</v>
      </c>
      <c r="H1801" s="609">
        <v>11500</v>
      </c>
      <c r="I1801" s="609">
        <v>4700.04</v>
      </c>
      <c r="J1801" s="609">
        <v>10000</v>
      </c>
      <c r="K1801" s="609">
        <v>11500</v>
      </c>
      <c r="L1801" s="609">
        <v>0</v>
      </c>
      <c r="M1801" s="609">
        <v>0</v>
      </c>
      <c r="N1801" s="587">
        <f t="shared" si="206"/>
        <v>11500</v>
      </c>
      <c r="O1801" s="125" t="str">
        <f>IF(COUNTIF($B$4:B1801,B1801)&gt;1,"repeat","ok")</f>
        <v>ok</v>
      </c>
      <c r="P1801" s="490">
        <f t="shared" si="210"/>
        <v>0</v>
      </c>
      <c r="Q1801" t="str">
        <f t="shared" si="207"/>
        <v>53574</v>
      </c>
      <c r="R1801" s="126" t="str">
        <f t="shared" si="203"/>
        <v>WATER/SEWER UTILITY SERVICE</v>
      </c>
      <c r="S1801" s="125" t="str">
        <f t="shared" si="204"/>
        <v>200</v>
      </c>
      <c r="T1801" s="125" t="str">
        <f t="shared" si="208"/>
        <v>77</v>
      </c>
      <c r="U1801" s="125" t="str">
        <f t="shared" si="209"/>
        <v>772</v>
      </c>
      <c r="V1801" s="125" t="str">
        <f>VLOOKUP(Q1801,'GL Category'!A:C,3,FALSE)</f>
        <v>Services &amp; other</v>
      </c>
      <c r="X1801" s="83"/>
    </row>
    <row r="1802" spans="1:24" ht="14.4" customHeight="1">
      <c r="A1802" s="608" t="s">
        <v>1037</v>
      </c>
      <c r="B1802" s="608" t="s">
        <v>1460</v>
      </c>
      <c r="C1802" s="608" t="s">
        <v>221</v>
      </c>
      <c r="D1802" s="609">
        <v>117093</v>
      </c>
      <c r="E1802" s="609">
        <v>107195</v>
      </c>
      <c r="F1802" s="609">
        <v>108954</v>
      </c>
      <c r="G1802" s="609">
        <v>108935</v>
      </c>
      <c r="H1802" s="609">
        <v>102760</v>
      </c>
      <c r="I1802" s="609">
        <v>77070</v>
      </c>
      <c r="J1802" s="609">
        <v>102760</v>
      </c>
      <c r="K1802" s="609">
        <v>109266</v>
      </c>
      <c r="L1802" s="609">
        <v>0</v>
      </c>
      <c r="M1802" s="609">
        <v>0</v>
      </c>
      <c r="N1802" s="587">
        <f t="shared" si="206"/>
        <v>109266</v>
      </c>
      <c r="O1802" s="125" t="str">
        <f>IF(COUNTIF($B$4:B1802,B1802)&gt;1,"repeat","ok")</f>
        <v>ok</v>
      </c>
      <c r="P1802" s="490">
        <f t="shared" si="210"/>
        <v>6506</v>
      </c>
      <c r="Q1802" t="str">
        <f t="shared" si="207"/>
        <v>55119</v>
      </c>
      <c r="R1802" s="126" t="str">
        <f t="shared" si="203"/>
        <v>OFFICE EQUIP LEASE EXP-CITY</v>
      </c>
      <c r="S1802" s="125" t="str">
        <f t="shared" si="204"/>
        <v>200</v>
      </c>
      <c r="T1802" s="125" t="str">
        <f t="shared" si="208"/>
        <v>77</v>
      </c>
      <c r="U1802" s="125" t="str">
        <f t="shared" si="209"/>
        <v>772</v>
      </c>
      <c r="V1802" s="125" t="str">
        <f>VLOOKUP(Q1802,'GL Category'!A:C,3,FALSE)</f>
        <v>Services &amp; other</v>
      </c>
      <c r="X1802" s="83"/>
    </row>
    <row r="1803" spans="1:24" ht="14.4" customHeight="1">
      <c r="A1803" s="608" t="s">
        <v>1037</v>
      </c>
      <c r="B1803" s="608" t="s">
        <v>1459</v>
      </c>
      <c r="C1803" s="608" t="s">
        <v>220</v>
      </c>
      <c r="D1803" s="609">
        <v>55396</v>
      </c>
      <c r="E1803" s="609">
        <v>24146</v>
      </c>
      <c r="F1803" s="609">
        <v>70220</v>
      </c>
      <c r="G1803" s="609">
        <v>30513</v>
      </c>
      <c r="H1803" s="609">
        <v>30201</v>
      </c>
      <c r="I1803" s="609">
        <v>22650.75</v>
      </c>
      <c r="J1803" s="609">
        <v>30201</v>
      </c>
      <c r="K1803" s="609">
        <v>30436</v>
      </c>
      <c r="L1803" s="609">
        <v>0</v>
      </c>
      <c r="M1803" s="609">
        <v>0</v>
      </c>
      <c r="N1803" s="587">
        <f t="shared" si="206"/>
        <v>30436</v>
      </c>
      <c r="O1803" s="125" t="str">
        <f>IF(COUNTIF($B$4:B1803,B1803)&gt;1,"repeat","ok")</f>
        <v>ok</v>
      </c>
      <c r="P1803" s="490">
        <f t="shared" si="210"/>
        <v>235</v>
      </c>
      <c r="Q1803" t="str">
        <f t="shared" si="207"/>
        <v>55175</v>
      </c>
      <c r="R1803" s="126" t="str">
        <f t="shared" si="203"/>
        <v>VEHICLE/EQUIP LEASE EXP-CITY</v>
      </c>
      <c r="S1803" s="125" t="str">
        <f t="shared" si="204"/>
        <v>200</v>
      </c>
      <c r="T1803" s="125" t="str">
        <f t="shared" si="208"/>
        <v>77</v>
      </c>
      <c r="U1803" s="125" t="str">
        <f t="shared" si="209"/>
        <v>772</v>
      </c>
      <c r="V1803" s="125" t="str">
        <f>VLOOKUP(Q1803,'GL Category'!A:C,3,FALSE)</f>
        <v>Services &amp; other</v>
      </c>
      <c r="X1803" s="83"/>
    </row>
    <row r="1804" spans="1:24" ht="14.4" customHeight="1">
      <c r="A1804" s="608" t="s">
        <v>1037</v>
      </c>
      <c r="B1804" s="608" t="s">
        <v>3239</v>
      </c>
      <c r="C1804" s="608" t="s">
        <v>266</v>
      </c>
      <c r="D1804" s="609">
        <v>0</v>
      </c>
      <c r="E1804" s="609">
        <v>0</v>
      </c>
      <c r="F1804" s="609">
        <v>12384.45</v>
      </c>
      <c r="G1804" s="609">
        <v>0</v>
      </c>
      <c r="H1804" s="609">
        <v>0</v>
      </c>
      <c r="I1804" s="609">
        <v>0</v>
      </c>
      <c r="J1804" s="609">
        <v>0</v>
      </c>
      <c r="K1804" s="609">
        <v>0</v>
      </c>
      <c r="L1804" s="609">
        <v>0</v>
      </c>
      <c r="M1804" s="609">
        <v>0</v>
      </c>
      <c r="N1804" s="587">
        <f t="shared" si="206"/>
        <v>0</v>
      </c>
      <c r="O1804" s="125" t="str">
        <f>IF(COUNTIF($B$4:B1804,B1804)&gt;1,"repeat","ok")</f>
        <v>ok</v>
      </c>
      <c r="P1804" s="490">
        <f t="shared" si="210"/>
        <v>0</v>
      </c>
      <c r="Q1804" t="str">
        <f t="shared" si="207"/>
        <v>58828</v>
      </c>
      <c r="R1804" s="126" t="str">
        <f t="shared" si="203"/>
        <v>BUILDINGS &amp; IMPROVEMENTS</v>
      </c>
      <c r="S1804" s="125" t="str">
        <f t="shared" si="204"/>
        <v>200</v>
      </c>
      <c r="T1804" s="125" t="str">
        <f t="shared" si="208"/>
        <v>77</v>
      </c>
      <c r="U1804" s="125" t="str">
        <f t="shared" si="209"/>
        <v>772</v>
      </c>
      <c r="V1804" s="125" t="str">
        <f>VLOOKUP(Q1804,'GL Category'!A:C,3,FALSE)</f>
        <v>Capital Outlay</v>
      </c>
      <c r="X1804" s="83"/>
    </row>
    <row r="1805" spans="1:24" ht="14.4" customHeight="1">
      <c r="A1805" s="608" t="s">
        <v>1037</v>
      </c>
      <c r="B1805" s="608" t="s">
        <v>1462</v>
      </c>
      <c r="C1805" s="608" t="s">
        <v>227</v>
      </c>
      <c r="D1805" s="609">
        <v>19790</v>
      </c>
      <c r="E1805" s="609">
        <v>62073.2</v>
      </c>
      <c r="F1805" s="609">
        <v>89560.35</v>
      </c>
      <c r="G1805" s="609">
        <v>59220</v>
      </c>
      <c r="H1805" s="609">
        <v>65000</v>
      </c>
      <c r="I1805" s="609">
        <v>57915</v>
      </c>
      <c r="J1805" s="609">
        <v>65000</v>
      </c>
      <c r="K1805" s="609">
        <v>65000</v>
      </c>
      <c r="L1805" s="609">
        <v>0</v>
      </c>
      <c r="M1805" s="609">
        <v>0</v>
      </c>
      <c r="N1805" s="587">
        <f t="shared" si="206"/>
        <v>65000</v>
      </c>
      <c r="O1805" s="125" t="str">
        <f>IF(COUNTIF($B$4:B1805,B1805)&gt;1,"repeat","ok")</f>
        <v>ok</v>
      </c>
      <c r="Q1805" t="str">
        <f t="shared" si="207"/>
        <v>58853</v>
      </c>
      <c r="R1805" s="126" t="str">
        <f t="shared" si="203"/>
        <v>IMPROVEMENTS OTHER THAN BLDGS</v>
      </c>
      <c r="S1805" s="125" t="str">
        <f t="shared" si="204"/>
        <v>200</v>
      </c>
      <c r="T1805" s="125" t="str">
        <f t="shared" si="208"/>
        <v>77</v>
      </c>
      <c r="U1805" s="125" t="str">
        <f t="shared" si="209"/>
        <v>772</v>
      </c>
      <c r="V1805" s="125" t="str">
        <f>VLOOKUP(Q1805,'GL Category'!A:C,3,FALSE)</f>
        <v>Capital Outlay</v>
      </c>
      <c r="X1805" s="83"/>
    </row>
    <row r="1806" spans="1:24" ht="20.399999999999999" customHeight="1">
      <c r="A1806" s="608" t="s">
        <v>1037</v>
      </c>
      <c r="B1806" s="608" t="s">
        <v>1466</v>
      </c>
      <c r="C1806" s="608" t="s">
        <v>238</v>
      </c>
      <c r="D1806" s="609">
        <v>0</v>
      </c>
      <c r="E1806" s="609">
        <v>0</v>
      </c>
      <c r="F1806" s="609">
        <v>0</v>
      </c>
      <c r="G1806" s="609">
        <v>0</v>
      </c>
      <c r="H1806" s="609">
        <v>1850</v>
      </c>
      <c r="I1806" s="609">
        <v>0</v>
      </c>
      <c r="J1806" s="609">
        <v>1850</v>
      </c>
      <c r="K1806" s="609">
        <v>1850</v>
      </c>
      <c r="L1806" s="609">
        <v>0</v>
      </c>
      <c r="M1806" s="609">
        <v>0</v>
      </c>
      <c r="N1806" s="587">
        <f t="shared" si="206"/>
        <v>1850</v>
      </c>
      <c r="O1806" s="125" t="str">
        <f>IF(COUNTIF($B$4:B1806,B1806)&gt;1,"repeat","ok")</f>
        <v>ok</v>
      </c>
      <c r="Q1806" t="str">
        <f t="shared" si="207"/>
        <v>53599</v>
      </c>
      <c r="R1806" s="126" t="str">
        <f t="shared" si="203"/>
        <v>MISCELLANEOUS SERVICES</v>
      </c>
      <c r="S1806" s="125" t="str">
        <f t="shared" si="204"/>
        <v>200</v>
      </c>
      <c r="T1806" s="125" t="str">
        <f t="shared" si="208"/>
        <v>79</v>
      </c>
      <c r="U1806" s="125" t="str">
        <f t="shared" si="209"/>
        <v>792</v>
      </c>
      <c r="V1806" s="125" t="str">
        <f>VLOOKUP(Q1806,'GL Category'!A:C,3,FALSE)</f>
        <v>Services &amp; other</v>
      </c>
      <c r="X1806" s="83"/>
    </row>
    <row r="1807" spans="1:24" ht="14.4" customHeight="1">
      <c r="A1807" s="608" t="s">
        <v>1037</v>
      </c>
      <c r="B1807" s="608" t="s">
        <v>1476</v>
      </c>
      <c r="C1807" s="608" t="s">
        <v>912</v>
      </c>
      <c r="D1807" s="609">
        <v>775295</v>
      </c>
      <c r="E1807" s="609">
        <v>692850.46</v>
      </c>
      <c r="F1807" s="609">
        <v>634204</v>
      </c>
      <c r="G1807" s="609">
        <v>561118.75</v>
      </c>
      <c r="H1807" s="609">
        <v>490998</v>
      </c>
      <c r="I1807" s="609">
        <v>293278.17</v>
      </c>
      <c r="J1807" s="609">
        <v>490998</v>
      </c>
      <c r="K1807" s="609">
        <v>542651</v>
      </c>
      <c r="L1807" s="609">
        <v>0</v>
      </c>
      <c r="M1807" s="609">
        <v>0</v>
      </c>
      <c r="N1807" s="587">
        <f t="shared" si="206"/>
        <v>542651</v>
      </c>
      <c r="O1807" s="125" t="str">
        <f>IF(COUNTIF($B$4:B1807,B1807)&gt;1,"repeat","ok")</f>
        <v>ok</v>
      </c>
      <c r="Q1807" t="str">
        <f t="shared" si="207"/>
        <v>56900</v>
      </c>
      <c r="R1807" s="126" t="str">
        <f t="shared" si="203"/>
        <v>INTEREST/OTHER DEBTAMORTIZATI</v>
      </c>
      <c r="S1807" s="125" t="str">
        <f t="shared" si="204"/>
        <v>200</v>
      </c>
      <c r="T1807" s="125" t="str">
        <f t="shared" si="208"/>
        <v>79</v>
      </c>
      <c r="U1807" s="125" t="str">
        <f t="shared" si="209"/>
        <v>792</v>
      </c>
      <c r="V1807" s="125" t="str">
        <f>VLOOKUP(Q1807,'GL Category'!A:C,3,FALSE)</f>
        <v>Debt Service</v>
      </c>
      <c r="X1807" s="83"/>
    </row>
    <row r="1808" spans="1:24" ht="14.4" customHeight="1">
      <c r="A1808" s="608" t="s">
        <v>1037</v>
      </c>
      <c r="B1808" s="608" t="s">
        <v>1477</v>
      </c>
      <c r="C1808" s="608" t="s">
        <v>313</v>
      </c>
      <c r="D1808" s="609">
        <v>2702.5</v>
      </c>
      <c r="E1808" s="609">
        <v>3177.5</v>
      </c>
      <c r="F1808" s="609">
        <v>4482.5</v>
      </c>
      <c r="G1808" s="609">
        <v>4790</v>
      </c>
      <c r="H1808" s="609">
        <v>3000</v>
      </c>
      <c r="I1808" s="609">
        <v>4817.75</v>
      </c>
      <c r="J1808" s="609">
        <v>3000</v>
      </c>
      <c r="K1808" s="609">
        <v>3000</v>
      </c>
      <c r="L1808" s="609">
        <v>0</v>
      </c>
      <c r="M1808" s="609">
        <v>0</v>
      </c>
      <c r="N1808" s="587">
        <f t="shared" si="206"/>
        <v>3000</v>
      </c>
      <c r="O1808" s="125" t="str">
        <f>IF(COUNTIF($B$4:B1808,B1808)&gt;1,"repeat","ok")</f>
        <v>ok</v>
      </c>
      <c r="Q1808" t="str">
        <f t="shared" si="207"/>
        <v>56901</v>
      </c>
      <c r="R1808" s="126" t="str">
        <f t="shared" si="203"/>
        <v>PAYING AGENT SERVICES</v>
      </c>
      <c r="S1808" s="125" t="str">
        <f t="shared" si="204"/>
        <v>200</v>
      </c>
      <c r="T1808" s="125" t="str">
        <f t="shared" si="208"/>
        <v>79</v>
      </c>
      <c r="U1808" s="125" t="str">
        <f t="shared" si="209"/>
        <v>792</v>
      </c>
      <c r="V1808" s="125" t="str">
        <f>VLOOKUP(Q1808,'GL Category'!A:C,3,FALSE)</f>
        <v>Debt Service</v>
      </c>
      <c r="X1808" s="83"/>
    </row>
    <row r="1809" spans="1:22" ht="20.399999999999999" customHeight="1">
      <c r="A1809" s="608" t="s">
        <v>1037</v>
      </c>
      <c r="B1809" s="608" t="s">
        <v>1478</v>
      </c>
      <c r="C1809" s="608" t="s">
        <v>3155</v>
      </c>
      <c r="D1809" s="609">
        <v>2478793</v>
      </c>
      <c r="E1809" s="609">
        <v>2540000</v>
      </c>
      <c r="F1809" s="609">
        <v>2615000</v>
      </c>
      <c r="G1809" s="609">
        <v>2400000</v>
      </c>
      <c r="H1809" s="609">
        <v>2801911</v>
      </c>
      <c r="I1809" s="609">
        <v>2730000</v>
      </c>
      <c r="J1809" s="609">
        <v>2801911</v>
      </c>
      <c r="K1809" s="609">
        <v>1940001</v>
      </c>
      <c r="L1809" s="609">
        <v>0</v>
      </c>
      <c r="M1809" s="609">
        <v>0</v>
      </c>
      <c r="N1809" s="587">
        <f t="shared" si="206"/>
        <v>1940001</v>
      </c>
      <c r="O1809" s="125" t="str">
        <f>IF(COUNTIF($B$4:B1809,B1809)&gt;1,"repeat","ok")</f>
        <v>ok</v>
      </c>
      <c r="Q1809" t="str">
        <f t="shared" si="207"/>
        <v>56902</v>
      </c>
      <c r="R1809" s="126" t="str">
        <f t="shared" si="203"/>
        <v>GO RETIREMENT</v>
      </c>
      <c r="S1809" s="125" t="str">
        <f t="shared" si="204"/>
        <v>200</v>
      </c>
      <c r="T1809" s="125" t="str">
        <f t="shared" si="208"/>
        <v>79</v>
      </c>
      <c r="U1809" s="125" t="str">
        <f t="shared" si="209"/>
        <v>792</v>
      </c>
      <c r="V1809" s="125" t="str">
        <f>VLOOKUP(Q1809,'GL Category'!A:C,3,FALSE)</f>
        <v>Debt Service</v>
      </c>
    </row>
    <row r="1810" spans="1:22" ht="14.4" customHeight="1">
      <c r="A1810" s="608" t="s">
        <v>1037</v>
      </c>
      <c r="B1810" s="608" t="s">
        <v>3221</v>
      </c>
      <c r="C1810" s="608" t="s">
        <v>841</v>
      </c>
      <c r="D1810" s="609">
        <v>0</v>
      </c>
      <c r="E1810" s="609">
        <v>0</v>
      </c>
      <c r="F1810" s="609">
        <v>0</v>
      </c>
      <c r="G1810" s="609">
        <v>0</v>
      </c>
      <c r="H1810" s="609">
        <v>0</v>
      </c>
      <c r="I1810" s="609">
        <v>0</v>
      </c>
      <c r="J1810" s="609">
        <v>0</v>
      </c>
      <c r="K1810" s="609">
        <v>0</v>
      </c>
      <c r="L1810" s="609">
        <v>0</v>
      </c>
      <c r="M1810" s="609">
        <v>0</v>
      </c>
      <c r="N1810" s="587">
        <f t="shared" si="206"/>
        <v>0</v>
      </c>
      <c r="O1810" s="125" t="str">
        <f>IF(COUNTIF($B$4:B1810,B1810)&gt;1,"repeat","ok")</f>
        <v>ok</v>
      </c>
      <c r="Q1810" t="str">
        <f t="shared" si="207"/>
        <v>59206</v>
      </c>
      <c r="R1810" s="126" t="str">
        <f t="shared" si="203"/>
        <v>TRANSFER TO CIP-WATER/WW</v>
      </c>
      <c r="S1810" s="125" t="str">
        <f t="shared" si="204"/>
        <v>200</v>
      </c>
      <c r="T1810" s="125" t="str">
        <f t="shared" si="208"/>
        <v>79</v>
      </c>
      <c r="U1810" s="125" t="str">
        <f t="shared" si="209"/>
        <v>798</v>
      </c>
      <c r="V1810" s="125" t="str">
        <f>VLOOKUP(Q1810,'GL Category'!A:C,3,FALSE)</f>
        <v>Transfers to other funds</v>
      </c>
    </row>
    <row r="1811" spans="1:22" ht="14.4" customHeight="1">
      <c r="A1811" s="608" t="s">
        <v>1037</v>
      </c>
      <c r="B1811" s="608" t="s">
        <v>3222</v>
      </c>
      <c r="C1811" s="608" t="s">
        <v>915</v>
      </c>
      <c r="D1811" s="609">
        <v>0</v>
      </c>
      <c r="E1811" s="609">
        <v>0</v>
      </c>
      <c r="F1811" s="609">
        <v>0</v>
      </c>
      <c r="G1811" s="609">
        <v>0</v>
      </c>
      <c r="H1811" s="609">
        <v>0</v>
      </c>
      <c r="I1811" s="609">
        <v>0</v>
      </c>
      <c r="J1811" s="609">
        <v>0</v>
      </c>
      <c r="K1811" s="609">
        <v>0</v>
      </c>
      <c r="L1811" s="609">
        <v>0</v>
      </c>
      <c r="M1811" s="609">
        <v>0</v>
      </c>
      <c r="N1811" s="587">
        <f t="shared" si="206"/>
        <v>0</v>
      </c>
      <c r="O1811" s="125" t="str">
        <f>IF(COUNTIF($B$4:B1811,B1811)&gt;1,"repeat","ok")</f>
        <v>ok</v>
      </c>
      <c r="Q1811" t="str">
        <f t="shared" si="207"/>
        <v>59400</v>
      </c>
      <c r="R1811" s="126" t="str">
        <f t="shared" si="203"/>
        <v>TRANSFER TO DRAINAGE FUND</v>
      </c>
      <c r="S1811" s="125" t="str">
        <f t="shared" si="204"/>
        <v>200</v>
      </c>
      <c r="T1811" s="125" t="str">
        <f t="shared" si="208"/>
        <v>79</v>
      </c>
      <c r="U1811" s="125" t="str">
        <f t="shared" si="209"/>
        <v>798</v>
      </c>
      <c r="V1811" s="125" t="str">
        <f>VLOOKUP(Q1811,'GL Category'!A:C,3,FALSE)</f>
        <v>Transfers to other funds</v>
      </c>
    </row>
    <row r="1812" spans="1:22" ht="20.399999999999999" customHeight="1">
      <c r="A1812" s="608" t="s">
        <v>1037</v>
      </c>
      <c r="B1812" s="608" t="s">
        <v>3354</v>
      </c>
      <c r="C1812" s="608" t="s">
        <v>3349</v>
      </c>
      <c r="D1812" s="609">
        <v>0</v>
      </c>
      <c r="E1812" s="609">
        <v>0</v>
      </c>
      <c r="F1812" s="609">
        <v>0</v>
      </c>
      <c r="G1812" s="609">
        <v>0</v>
      </c>
      <c r="H1812" s="609">
        <v>0</v>
      </c>
      <c r="I1812" s="609">
        <v>0</v>
      </c>
      <c r="J1812" s="609">
        <v>0</v>
      </c>
      <c r="K1812" s="609">
        <v>0</v>
      </c>
      <c r="L1812" s="609">
        <v>0</v>
      </c>
      <c r="M1812" s="609">
        <v>0</v>
      </c>
      <c r="N1812" s="587">
        <f t="shared" si="206"/>
        <v>0</v>
      </c>
      <c r="O1812" s="125" t="str">
        <f>IF(COUNTIF($B$4:B1812,B1812)&gt;1,"repeat","ok")</f>
        <v>ok</v>
      </c>
      <c r="Q1812" t="str">
        <f t="shared" si="207"/>
        <v>50660</v>
      </c>
      <c r="R1812" s="126" t="str">
        <f t="shared" si="203"/>
        <v>COMPENSATED ABSENCES</v>
      </c>
      <c r="S1812" s="125" t="str">
        <f t="shared" si="204"/>
        <v>200</v>
      </c>
      <c r="T1812" s="125" t="str">
        <f t="shared" si="208"/>
        <v>79</v>
      </c>
      <c r="U1812" s="125" t="str">
        <f t="shared" si="209"/>
        <v>799</v>
      </c>
      <c r="V1812" s="125" t="e">
        <f>VLOOKUP(Q1812,'GL Category'!A:C,3,FALSE)</f>
        <v>#N/A</v>
      </c>
    </row>
    <row r="1813" spans="1:22" ht="20.399999999999999" customHeight="1">
      <c r="A1813" s="608" t="s">
        <v>1037</v>
      </c>
      <c r="B1813" s="608" t="s">
        <v>3447</v>
      </c>
      <c r="C1813" s="608" t="s">
        <v>151</v>
      </c>
      <c r="D1813" s="609">
        <v>7432.03</v>
      </c>
      <c r="E1813" s="609">
        <v>7558.54</v>
      </c>
      <c r="F1813" s="609">
        <v>10662.7</v>
      </c>
      <c r="G1813" s="609">
        <v>10525</v>
      </c>
      <c r="H1813" s="609">
        <v>11800</v>
      </c>
      <c r="I1813" s="609">
        <v>10827.82</v>
      </c>
      <c r="J1813" s="609">
        <v>11800</v>
      </c>
      <c r="K1813" s="609">
        <v>11800</v>
      </c>
      <c r="L1813" s="609">
        <v>0</v>
      </c>
      <c r="M1813" s="609">
        <v>0</v>
      </c>
      <c r="N1813" s="587">
        <f t="shared" si="206"/>
        <v>11800</v>
      </c>
      <c r="O1813" s="125" t="str">
        <f>IF(COUNTIF($B$4:B1813,B1813)&gt;1,"repeat","ok")</f>
        <v>ok</v>
      </c>
      <c r="Q1813" t="str">
        <f t="shared" si="207"/>
        <v>51220</v>
      </c>
      <c r="R1813" s="126" t="str">
        <f t="shared" si="203"/>
        <v>POSTAGE SUPPLIES</v>
      </c>
      <c r="S1813" s="125" t="str">
        <f t="shared" si="204"/>
        <v>200</v>
      </c>
      <c r="T1813" s="125" t="str">
        <f t="shared" si="208"/>
        <v>79</v>
      </c>
      <c r="U1813" s="125" t="str">
        <f t="shared" si="209"/>
        <v>799</v>
      </c>
      <c r="V1813" s="125" t="str">
        <f>VLOOKUP(Q1813,'GL Category'!A:C,3,FALSE)</f>
        <v>Operations &amp; maintenance</v>
      </c>
    </row>
    <row r="1814" spans="1:22" ht="14.4" customHeight="1">
      <c r="A1814" s="608" t="s">
        <v>1037</v>
      </c>
      <c r="B1814" s="608" t="s">
        <v>3135</v>
      </c>
      <c r="C1814" s="608" t="s">
        <v>187</v>
      </c>
      <c r="D1814" s="609">
        <v>1640</v>
      </c>
      <c r="E1814" s="609">
        <v>850</v>
      </c>
      <c r="F1814" s="609">
        <v>0</v>
      </c>
      <c r="G1814" s="609">
        <v>0</v>
      </c>
      <c r="H1814" s="609">
        <v>12500</v>
      </c>
      <c r="I1814" s="609">
        <v>0</v>
      </c>
      <c r="J1814" s="609">
        <v>12500</v>
      </c>
      <c r="K1814" s="609">
        <v>10000</v>
      </c>
      <c r="L1814" s="609">
        <v>0</v>
      </c>
      <c r="M1814" s="609">
        <v>0</v>
      </c>
      <c r="N1814" s="587">
        <f t="shared" si="206"/>
        <v>10000</v>
      </c>
      <c r="O1814" s="125" t="str">
        <f>IF(COUNTIF($B$4:B1814,B1814)&gt;1,"repeat","ok")</f>
        <v>ok</v>
      </c>
      <c r="Q1814" t="str">
        <f t="shared" si="207"/>
        <v>53507</v>
      </c>
      <c r="R1814" s="126" t="str">
        <f t="shared" si="203"/>
        <v>ATTORNEY &amp; LEGAL SERVICES</v>
      </c>
      <c r="S1814" s="125" t="str">
        <f t="shared" si="204"/>
        <v>200</v>
      </c>
      <c r="T1814" s="125" t="str">
        <f t="shared" si="208"/>
        <v>79</v>
      </c>
      <c r="U1814" s="125" t="str">
        <f t="shared" si="209"/>
        <v>799</v>
      </c>
      <c r="V1814" s="125" t="str">
        <f>VLOOKUP(Q1814,'GL Category'!A:C,3,FALSE)</f>
        <v>Services &amp; other</v>
      </c>
    </row>
    <row r="1815" spans="1:22" ht="14.4" customHeight="1">
      <c r="A1815" s="608" t="s">
        <v>1037</v>
      </c>
      <c r="B1815" s="608" t="s">
        <v>1468</v>
      </c>
      <c r="C1815" s="608" t="s">
        <v>6</v>
      </c>
      <c r="D1815" s="609">
        <v>4828.9399999999996</v>
      </c>
      <c r="E1815" s="609">
        <v>4998.5</v>
      </c>
      <c r="F1815" s="609">
        <v>4828.9399999999996</v>
      </c>
      <c r="G1815" s="609">
        <v>4828.9399999999996</v>
      </c>
      <c r="H1815" s="609">
        <v>5376</v>
      </c>
      <c r="I1815" s="609">
        <v>4078.95</v>
      </c>
      <c r="J1815" s="609">
        <v>5376</v>
      </c>
      <c r="K1815" s="609">
        <v>5376</v>
      </c>
      <c r="L1815" s="609">
        <v>0</v>
      </c>
      <c r="M1815" s="609">
        <v>0</v>
      </c>
      <c r="N1815" s="587">
        <f t="shared" si="206"/>
        <v>5376</v>
      </c>
      <c r="O1815" s="125" t="str">
        <f>IF(COUNTIF($B$4:B1815,B1815)&gt;1,"repeat","ok")</f>
        <v>ok</v>
      </c>
      <c r="Q1815" t="str">
        <f t="shared" si="207"/>
        <v>53524</v>
      </c>
      <c r="R1815" s="126" t="str">
        <f t="shared" si="203"/>
        <v>EQUIPMENT RENTAL</v>
      </c>
      <c r="S1815" s="125" t="str">
        <f t="shared" si="204"/>
        <v>200</v>
      </c>
      <c r="T1815" s="125" t="str">
        <f t="shared" si="208"/>
        <v>79</v>
      </c>
      <c r="U1815" s="125" t="str">
        <f t="shared" si="209"/>
        <v>799</v>
      </c>
      <c r="V1815" s="125" t="str">
        <f>VLOOKUP(Q1815,'GL Category'!A:C,3,FALSE)</f>
        <v>Services &amp; other</v>
      </c>
    </row>
    <row r="1816" spans="1:22" ht="14.4" customHeight="1">
      <c r="A1816" s="608" t="s">
        <v>1037</v>
      </c>
      <c r="B1816" s="608" t="s">
        <v>1469</v>
      </c>
      <c r="C1816" s="608" t="s">
        <v>205</v>
      </c>
      <c r="D1816" s="609">
        <v>24085.38</v>
      </c>
      <c r="E1816" s="609">
        <v>48308.959999999999</v>
      </c>
      <c r="F1816" s="609">
        <v>50843.15</v>
      </c>
      <c r="G1816" s="609">
        <v>-82917.02</v>
      </c>
      <c r="H1816" s="609">
        <v>40000</v>
      </c>
      <c r="I1816" s="609">
        <v>1248.24</v>
      </c>
      <c r="J1816" s="609">
        <v>40000</v>
      </c>
      <c r="K1816" s="609">
        <v>40000</v>
      </c>
      <c r="L1816" s="609">
        <v>0</v>
      </c>
      <c r="M1816" s="609">
        <v>0</v>
      </c>
      <c r="N1816" s="587">
        <f t="shared" si="206"/>
        <v>40000</v>
      </c>
      <c r="O1816" s="125" t="str">
        <f>IF(COUNTIF($B$4:B1816,B1816)&gt;1,"repeat","ok")</f>
        <v>ok</v>
      </c>
      <c r="Q1816" t="str">
        <f t="shared" si="207"/>
        <v>53550</v>
      </c>
      <c r="R1816" s="126" t="str">
        <f t="shared" si="203"/>
        <v>BAD DEBT EXPENSE</v>
      </c>
      <c r="S1816" s="125" t="str">
        <f t="shared" si="204"/>
        <v>200</v>
      </c>
      <c r="T1816" s="125" t="str">
        <f t="shared" si="208"/>
        <v>79</v>
      </c>
      <c r="U1816" s="125" t="str">
        <f t="shared" si="209"/>
        <v>799</v>
      </c>
      <c r="V1816" s="125" t="str">
        <f>VLOOKUP(Q1816,'GL Category'!A:C,3,FALSE)</f>
        <v>Services &amp; other</v>
      </c>
    </row>
    <row r="1817" spans="1:22" ht="14.4" customHeight="1">
      <c r="A1817" s="608" t="s">
        <v>1037</v>
      </c>
      <c r="B1817" s="608" t="s">
        <v>1470</v>
      </c>
      <c r="C1817" s="608" t="s">
        <v>232</v>
      </c>
      <c r="D1817" s="609">
        <v>1451100</v>
      </c>
      <c r="E1817" s="609">
        <v>1514010</v>
      </c>
      <c r="F1817" s="609">
        <v>1574950</v>
      </c>
      <c r="G1817" s="609">
        <v>1557180</v>
      </c>
      <c r="H1817" s="609">
        <v>1638770</v>
      </c>
      <c r="I1817" s="609">
        <v>1229077.5</v>
      </c>
      <c r="J1817" s="609">
        <v>1638770</v>
      </c>
      <c r="K1817" s="609">
        <v>1870600</v>
      </c>
      <c r="L1817" s="609">
        <v>0</v>
      </c>
      <c r="M1817" s="609">
        <v>0</v>
      </c>
      <c r="N1817" s="587">
        <f t="shared" si="206"/>
        <v>1870600</v>
      </c>
      <c r="O1817" s="125"/>
      <c r="Q1817" t="str">
        <f t="shared" si="207"/>
        <v>53554</v>
      </c>
      <c r="R1817" s="126" t="str">
        <f t="shared" si="203"/>
        <v>ADMINISTRATIVE SERVICES</v>
      </c>
      <c r="S1817" s="125" t="str">
        <f t="shared" si="204"/>
        <v>200</v>
      </c>
      <c r="T1817" s="125" t="str">
        <f t="shared" si="208"/>
        <v>79</v>
      </c>
      <c r="U1817" s="125" t="str">
        <f t="shared" si="209"/>
        <v>799</v>
      </c>
      <c r="V1817" s="125" t="str">
        <f>VLOOKUP(Q1817,'GL Category'!A:C,3,FALSE)</f>
        <v>Services &amp; other</v>
      </c>
    </row>
    <row r="1818" spans="1:22" ht="14.4" customHeight="1">
      <c r="A1818" s="608" t="s">
        <v>1037</v>
      </c>
      <c r="B1818" s="608" t="s">
        <v>1472</v>
      </c>
      <c r="C1818" s="608" t="s">
        <v>209</v>
      </c>
      <c r="D1818" s="609">
        <v>39418.29</v>
      </c>
      <c r="E1818" s="609">
        <v>43263.62</v>
      </c>
      <c r="F1818" s="609">
        <v>52565.26</v>
      </c>
      <c r="G1818" s="609">
        <v>58889.41</v>
      </c>
      <c r="H1818" s="609">
        <v>67060</v>
      </c>
      <c r="I1818" s="609">
        <v>66186.28</v>
      </c>
      <c r="J1818" s="609">
        <v>67060</v>
      </c>
      <c r="K1818" s="609">
        <v>67060</v>
      </c>
      <c r="L1818" s="609">
        <v>0</v>
      </c>
      <c r="M1818" s="609">
        <v>0</v>
      </c>
      <c r="N1818" s="587">
        <f t="shared" si="206"/>
        <v>67060</v>
      </c>
      <c r="O1818" s="125"/>
      <c r="Q1818" t="str">
        <f t="shared" si="207"/>
        <v>53560</v>
      </c>
      <c r="R1818" s="126" t="str">
        <f t="shared" si="203"/>
        <v>GENERAL INSURANCE</v>
      </c>
      <c r="S1818" s="125" t="str">
        <f t="shared" si="204"/>
        <v>200</v>
      </c>
      <c r="T1818" s="125" t="str">
        <f t="shared" si="208"/>
        <v>79</v>
      </c>
      <c r="U1818" s="125" t="str">
        <f t="shared" si="209"/>
        <v>799</v>
      </c>
      <c r="V1818" s="125" t="str">
        <f>VLOOKUP(Q1818,'GL Category'!A:C,3,FALSE)</f>
        <v>Services &amp; other</v>
      </c>
    </row>
    <row r="1819" spans="1:22" ht="20.399999999999999" customHeight="1">
      <c r="A1819" s="608" t="s">
        <v>1037</v>
      </c>
      <c r="B1819" s="608" t="s">
        <v>1473</v>
      </c>
      <c r="C1819" s="608" t="s">
        <v>270</v>
      </c>
      <c r="D1819" s="609">
        <v>0</v>
      </c>
      <c r="E1819" s="609">
        <v>0</v>
      </c>
      <c r="F1819" s="609">
        <v>0</v>
      </c>
      <c r="G1819" s="609">
        <v>0</v>
      </c>
      <c r="H1819" s="609">
        <v>0</v>
      </c>
      <c r="I1819" s="609">
        <v>0</v>
      </c>
      <c r="J1819" s="609">
        <v>0</v>
      </c>
      <c r="K1819" s="609">
        <v>0</v>
      </c>
      <c r="L1819" s="609">
        <v>0</v>
      </c>
      <c r="M1819" s="609">
        <v>0</v>
      </c>
      <c r="N1819" s="587">
        <f t="shared" si="206"/>
        <v>0</v>
      </c>
      <c r="O1819" s="125"/>
      <c r="Q1819" t="str">
        <f t="shared" si="207"/>
        <v>53582</v>
      </c>
      <c r="R1819" s="126" t="str">
        <f t="shared" si="203"/>
        <v>JUDGMENTS/CLAIMS/DAMAGES</v>
      </c>
      <c r="S1819" s="125" t="str">
        <f t="shared" si="204"/>
        <v>200</v>
      </c>
      <c r="T1819" s="125" t="str">
        <f t="shared" si="208"/>
        <v>79</v>
      </c>
      <c r="U1819" s="125" t="str">
        <f t="shared" si="209"/>
        <v>799</v>
      </c>
      <c r="V1819" s="125" t="str">
        <f>VLOOKUP(Q1819,'GL Category'!A:C,3,FALSE)</f>
        <v>Services &amp; other</v>
      </c>
    </row>
    <row r="1820" spans="1:22" ht="14.4" customHeight="1">
      <c r="A1820" s="608" t="s">
        <v>1037</v>
      </c>
      <c r="B1820" s="608" t="s">
        <v>1467</v>
      </c>
      <c r="C1820" s="608" t="s">
        <v>238</v>
      </c>
      <c r="D1820" s="609">
        <v>44079.29</v>
      </c>
      <c r="E1820" s="609">
        <v>35289.699999999997</v>
      </c>
      <c r="F1820" s="609">
        <v>33427.14</v>
      </c>
      <c r="G1820" s="609">
        <v>73367.12</v>
      </c>
      <c r="H1820" s="609">
        <v>71080</v>
      </c>
      <c r="I1820" s="609">
        <v>67088.490000000005</v>
      </c>
      <c r="J1820" s="609">
        <v>71080</v>
      </c>
      <c r="K1820" s="609">
        <v>71080</v>
      </c>
      <c r="L1820" s="609">
        <v>0</v>
      </c>
      <c r="M1820" s="609">
        <v>0</v>
      </c>
      <c r="N1820" s="587">
        <f t="shared" si="206"/>
        <v>71080</v>
      </c>
      <c r="O1820" s="125"/>
      <c r="Q1820" t="str">
        <f t="shared" si="207"/>
        <v>53599</v>
      </c>
      <c r="R1820" s="126" t="str">
        <f t="shared" si="203"/>
        <v>MISCELLANEOUS SERVICES</v>
      </c>
      <c r="S1820" s="125" t="str">
        <f t="shared" si="204"/>
        <v>200</v>
      </c>
      <c r="T1820" s="125" t="str">
        <f t="shared" si="208"/>
        <v>79</v>
      </c>
      <c r="U1820" s="125" t="str">
        <f t="shared" si="209"/>
        <v>799</v>
      </c>
      <c r="V1820" s="125" t="str">
        <f>VLOOKUP(Q1820,'GL Category'!A:C,3,FALSE)</f>
        <v>Services &amp; other</v>
      </c>
    </row>
    <row r="1821" spans="1:22" ht="20.399999999999999" customHeight="1">
      <c r="A1821" s="608" t="s">
        <v>1037</v>
      </c>
      <c r="B1821" s="608" t="s">
        <v>1475</v>
      </c>
      <c r="C1821" s="608" t="s">
        <v>3158</v>
      </c>
      <c r="D1821" s="609">
        <v>1378039</v>
      </c>
      <c r="E1821" s="609">
        <v>1369250</v>
      </c>
      <c r="F1821" s="609">
        <v>1394585</v>
      </c>
      <c r="G1821" s="609">
        <v>1380075</v>
      </c>
      <c r="H1821" s="609">
        <v>1643681</v>
      </c>
      <c r="I1821" s="609">
        <v>1232760.75</v>
      </c>
      <c r="J1821" s="609">
        <v>1643681</v>
      </c>
      <c r="K1821" s="609">
        <v>1647281</v>
      </c>
      <c r="L1821" s="609">
        <v>0</v>
      </c>
      <c r="M1821" s="609">
        <v>0</v>
      </c>
      <c r="N1821" s="587">
        <f t="shared" si="206"/>
        <v>1647281</v>
      </c>
      <c r="O1821" s="125"/>
      <c r="Q1821" t="str">
        <f t="shared" si="207"/>
        <v>55370</v>
      </c>
      <c r="R1821" s="126" t="str">
        <f t="shared" si="203"/>
        <v>FRANCHISE/IN-LIEU OF TAXES-W/WW</v>
      </c>
      <c r="S1821" s="125" t="str">
        <f t="shared" si="204"/>
        <v>200</v>
      </c>
      <c r="T1821" s="125" t="str">
        <f t="shared" si="208"/>
        <v>79</v>
      </c>
      <c r="U1821" s="125" t="str">
        <f t="shared" si="209"/>
        <v>799</v>
      </c>
      <c r="V1821" s="125" t="str">
        <f>VLOOKUP(Q1821,'GL Category'!A:C,3,FALSE)</f>
        <v>Services &amp; other</v>
      </c>
    </row>
    <row r="1822" spans="1:22" ht="14.4" customHeight="1">
      <c r="A1822" s="608" t="s">
        <v>1037</v>
      </c>
      <c r="B1822" s="608" t="s">
        <v>3223</v>
      </c>
      <c r="C1822" s="608" t="s">
        <v>353</v>
      </c>
      <c r="D1822" s="609">
        <v>0</v>
      </c>
      <c r="E1822" s="609">
        <v>0</v>
      </c>
      <c r="F1822" s="609">
        <v>0</v>
      </c>
      <c r="G1822" s="609">
        <v>0</v>
      </c>
      <c r="H1822" s="609">
        <v>0</v>
      </c>
      <c r="I1822" s="609">
        <v>0</v>
      </c>
      <c r="J1822" s="609">
        <v>0</v>
      </c>
      <c r="K1822" s="609">
        <v>0</v>
      </c>
      <c r="L1822" s="609">
        <v>0</v>
      </c>
      <c r="M1822" s="609">
        <v>0</v>
      </c>
      <c r="N1822" s="587">
        <f t="shared" si="206"/>
        <v>0</v>
      </c>
      <c r="O1822" s="125"/>
      <c r="Q1822" t="str">
        <f t="shared" si="207"/>
        <v>58651</v>
      </c>
      <c r="R1822" s="126" t="str">
        <f t="shared" si="203"/>
        <v>DEPRECIATION EXPENSE</v>
      </c>
      <c r="S1822" s="125" t="str">
        <f t="shared" si="204"/>
        <v>200</v>
      </c>
      <c r="T1822" s="125" t="str">
        <f t="shared" si="208"/>
        <v>79</v>
      </c>
      <c r="U1822" s="125" t="str">
        <f t="shared" si="209"/>
        <v>799</v>
      </c>
      <c r="V1822" s="125" t="str">
        <f>VLOOKUP(Q1822,'GL Category'!A:C,3,FALSE)</f>
        <v>Capital Outlay</v>
      </c>
    </row>
    <row r="1823" spans="1:22" ht="14.4" customHeight="1">
      <c r="A1823" s="608" t="s">
        <v>1037</v>
      </c>
      <c r="B1823" s="608" t="s">
        <v>3193</v>
      </c>
      <c r="C1823" s="608" t="s">
        <v>353</v>
      </c>
      <c r="D1823" s="609">
        <v>0</v>
      </c>
      <c r="E1823" s="609">
        <v>0</v>
      </c>
      <c r="F1823" s="609">
        <v>2882721.94</v>
      </c>
      <c r="G1823" s="609">
        <v>3057104.56</v>
      </c>
      <c r="H1823" s="609">
        <v>0</v>
      </c>
      <c r="I1823" s="609">
        <v>0</v>
      </c>
      <c r="J1823" s="609">
        <v>0</v>
      </c>
      <c r="K1823" s="609">
        <v>0</v>
      </c>
      <c r="L1823" s="609">
        <v>0</v>
      </c>
      <c r="M1823" s="609">
        <v>0</v>
      </c>
      <c r="N1823" s="587">
        <f t="shared" si="206"/>
        <v>0</v>
      </c>
      <c r="O1823" s="125"/>
      <c r="Q1823" t="str">
        <f t="shared" si="207"/>
        <v>58651</v>
      </c>
      <c r="R1823" s="126" t="str">
        <f t="shared" si="203"/>
        <v>DEPRECIATION EXPENSE</v>
      </c>
      <c r="S1823" s="125" t="str">
        <f t="shared" si="204"/>
        <v>200</v>
      </c>
      <c r="T1823" s="125" t="str">
        <f t="shared" si="208"/>
        <v>99</v>
      </c>
      <c r="U1823" s="125" t="str">
        <f t="shared" si="209"/>
        <v>905</v>
      </c>
      <c r="V1823" s="125" t="str">
        <f>VLOOKUP(Q1823,'GL Category'!A:C,3,FALSE)</f>
        <v>Capital Outlay</v>
      </c>
    </row>
    <row r="1824" spans="1:22" ht="14.4" customHeight="1">
      <c r="A1824" s="608" t="s">
        <v>1037</v>
      </c>
      <c r="B1824" s="608" t="s">
        <v>3319</v>
      </c>
      <c r="C1824" s="608" t="s">
        <v>915</v>
      </c>
      <c r="D1824" s="609">
        <v>0</v>
      </c>
      <c r="E1824" s="609">
        <v>0</v>
      </c>
      <c r="F1824" s="609">
        <v>0</v>
      </c>
      <c r="G1824" s="609">
        <v>0</v>
      </c>
      <c r="H1824" s="609">
        <v>0</v>
      </c>
      <c r="I1824" s="609">
        <v>0</v>
      </c>
      <c r="J1824" s="609">
        <v>0</v>
      </c>
      <c r="K1824" s="609">
        <v>0</v>
      </c>
      <c r="L1824" s="609">
        <v>0</v>
      </c>
      <c r="M1824" s="609">
        <v>0</v>
      </c>
      <c r="N1824" s="587">
        <f t="shared" si="206"/>
        <v>0</v>
      </c>
      <c r="O1824" s="125"/>
      <c r="Q1824" t="str">
        <f t="shared" si="207"/>
        <v>59400</v>
      </c>
      <c r="R1824" s="126" t="str">
        <f t="shared" si="203"/>
        <v>TRANSFER TO DRAINAGE FUND</v>
      </c>
      <c r="S1824" s="125" t="str">
        <f t="shared" si="204"/>
        <v>200</v>
      </c>
      <c r="T1824" s="125" t="str">
        <f t="shared" si="208"/>
        <v>99</v>
      </c>
      <c r="U1824" s="125" t="str">
        <f t="shared" si="209"/>
        <v>905</v>
      </c>
      <c r="V1824" s="125" t="str">
        <f>VLOOKUP(Q1824,'GL Category'!A:C,3,FALSE)</f>
        <v>Transfers to other funds</v>
      </c>
    </row>
    <row r="1825" spans="1:22" ht="14.4" customHeight="1">
      <c r="A1825" s="608" t="s">
        <v>1038</v>
      </c>
      <c r="B1825" s="608" t="s">
        <v>1492</v>
      </c>
      <c r="C1825" s="608" t="s">
        <v>130</v>
      </c>
      <c r="D1825" s="609">
        <v>44109.04</v>
      </c>
      <c r="E1825" s="609">
        <v>45350.21</v>
      </c>
      <c r="F1825" s="609">
        <v>47565.25</v>
      </c>
      <c r="G1825" s="609">
        <v>26342.97</v>
      </c>
      <c r="H1825" s="609">
        <v>0</v>
      </c>
      <c r="I1825" s="609">
        <v>0</v>
      </c>
      <c r="J1825" s="609">
        <v>0</v>
      </c>
      <c r="K1825" s="609">
        <v>0</v>
      </c>
      <c r="L1825" s="609">
        <v>0</v>
      </c>
      <c r="M1825" s="609">
        <v>0</v>
      </c>
      <c r="N1825" s="587">
        <f t="shared" si="206"/>
        <v>0</v>
      </c>
      <c r="O1825" s="125"/>
      <c r="Q1825" t="str">
        <f t="shared" si="207"/>
        <v>50101</v>
      </c>
      <c r="R1825" s="126" t="str">
        <f t="shared" si="203"/>
        <v>EXEMPT SALARIES</v>
      </c>
      <c r="S1825" s="125" t="str">
        <f t="shared" si="204"/>
        <v>400</v>
      </c>
      <c r="T1825" s="125" t="str">
        <f t="shared" si="208"/>
        <v>81</v>
      </c>
      <c r="U1825" s="125" t="str">
        <f t="shared" si="209"/>
        <v>815</v>
      </c>
      <c r="V1825" s="125" t="str">
        <f>VLOOKUP(Q1825,'GL Category'!A:C,3,FALSE)</f>
        <v>Personnel services</v>
      </c>
    </row>
    <row r="1826" spans="1:22" ht="14.4" customHeight="1">
      <c r="A1826" s="608" t="s">
        <v>1038</v>
      </c>
      <c r="B1826" s="608" t="s">
        <v>1493</v>
      </c>
      <c r="C1826" s="608" t="s">
        <v>132</v>
      </c>
      <c r="D1826" s="609">
        <v>317747.01</v>
      </c>
      <c r="E1826" s="609">
        <v>282529.82</v>
      </c>
      <c r="F1826" s="609">
        <v>218259.29</v>
      </c>
      <c r="G1826" s="609">
        <v>262102.43</v>
      </c>
      <c r="H1826" s="609">
        <v>430437</v>
      </c>
      <c r="I1826" s="609">
        <v>325230.63</v>
      </c>
      <c r="J1826" s="609">
        <v>420647</v>
      </c>
      <c r="K1826" s="609">
        <v>436715</v>
      </c>
      <c r="L1826" s="609">
        <v>0</v>
      </c>
      <c r="M1826" s="609">
        <v>0</v>
      </c>
      <c r="N1826" s="587">
        <f t="shared" si="206"/>
        <v>436715</v>
      </c>
      <c r="O1826" s="125"/>
      <c r="Q1826" t="str">
        <f t="shared" si="207"/>
        <v>50102</v>
      </c>
      <c r="R1826" s="126" t="str">
        <f t="shared" si="203"/>
        <v>NON EXEMPT SALARIES</v>
      </c>
      <c r="S1826" s="125" t="str">
        <f t="shared" si="204"/>
        <v>400</v>
      </c>
      <c r="T1826" s="125" t="str">
        <f t="shared" si="208"/>
        <v>81</v>
      </c>
      <c r="U1826" s="125" t="str">
        <f t="shared" si="209"/>
        <v>815</v>
      </c>
      <c r="V1826" s="125" t="str">
        <f>VLOOKUP(Q1826,'GL Category'!A:C,3,FALSE)</f>
        <v>Personnel services</v>
      </c>
    </row>
    <row r="1827" spans="1:22" ht="14.4" customHeight="1">
      <c r="A1827" s="608" t="s">
        <v>1038</v>
      </c>
      <c r="B1827" s="608" t="s">
        <v>1494</v>
      </c>
      <c r="C1827" s="608" t="s">
        <v>0</v>
      </c>
      <c r="D1827" s="609">
        <v>40201</v>
      </c>
      <c r="E1827" s="609">
        <v>35137.89</v>
      </c>
      <c r="F1827" s="609">
        <v>27615.56</v>
      </c>
      <c r="G1827" s="609">
        <v>23185.74</v>
      </c>
      <c r="H1827" s="609">
        <v>31387</v>
      </c>
      <c r="I1827" s="609">
        <v>16633.12</v>
      </c>
      <c r="J1827" s="609">
        <v>17751</v>
      </c>
      <c r="K1827" s="609">
        <v>31353</v>
      </c>
      <c r="L1827" s="609">
        <v>0</v>
      </c>
      <c r="M1827" s="609">
        <v>0</v>
      </c>
      <c r="N1827" s="587">
        <f t="shared" si="206"/>
        <v>31353</v>
      </c>
      <c r="O1827" s="125"/>
      <c r="Q1827" t="str">
        <f t="shared" si="207"/>
        <v>50109</v>
      </c>
      <c r="R1827" s="126" t="str">
        <f t="shared" si="203"/>
        <v>OVERTIME</v>
      </c>
      <c r="S1827" s="125" t="str">
        <f t="shared" si="204"/>
        <v>400</v>
      </c>
      <c r="T1827" s="125" t="str">
        <f t="shared" si="208"/>
        <v>81</v>
      </c>
      <c r="U1827" s="125" t="str">
        <f t="shared" si="209"/>
        <v>815</v>
      </c>
      <c r="V1827" s="125" t="str">
        <f>VLOOKUP(Q1827,'GL Category'!A:C,3,FALSE)</f>
        <v>Personnel services</v>
      </c>
    </row>
    <row r="1828" spans="1:22" ht="14.4" customHeight="1">
      <c r="A1828" s="608" t="s">
        <v>1038</v>
      </c>
      <c r="B1828" s="608" t="s">
        <v>1495</v>
      </c>
      <c r="C1828" s="608" t="s">
        <v>137</v>
      </c>
      <c r="D1828" s="609">
        <v>3880</v>
      </c>
      <c r="E1828" s="609">
        <v>4330</v>
      </c>
      <c r="F1828" s="609">
        <v>3840</v>
      </c>
      <c r="G1828" s="609">
        <v>3975</v>
      </c>
      <c r="H1828" s="609">
        <v>4269</v>
      </c>
      <c r="I1828" s="609">
        <v>4290</v>
      </c>
      <c r="J1828" s="609">
        <v>4290</v>
      </c>
      <c r="K1828" s="609">
        <v>4835</v>
      </c>
      <c r="L1828" s="609">
        <v>0</v>
      </c>
      <c r="M1828" s="609">
        <v>0</v>
      </c>
      <c r="N1828" s="587">
        <f t="shared" si="206"/>
        <v>4835</v>
      </c>
      <c r="O1828" s="546">
        <f>N1828-H1828</f>
        <v>566</v>
      </c>
      <c r="P1828" s="490">
        <f t="shared" ref="P1828:P1839" si="211">N1828-H1828</f>
        <v>566</v>
      </c>
      <c r="Q1828" t="str">
        <f t="shared" si="207"/>
        <v>50111</v>
      </c>
      <c r="R1828" s="126" t="str">
        <f t="shared" ref="R1828:R1877" si="212">C1828</f>
        <v>LONGEVITY PAY</v>
      </c>
      <c r="S1828" s="125" t="str">
        <f t="shared" ref="S1828:S1877" si="213">LEFT(B1828,3)</f>
        <v>400</v>
      </c>
      <c r="T1828" s="125" t="str">
        <f t="shared" si="208"/>
        <v>81</v>
      </c>
      <c r="U1828" s="125" t="str">
        <f t="shared" si="209"/>
        <v>815</v>
      </c>
      <c r="V1828" s="125" t="str">
        <f>VLOOKUP(Q1828,'GL Category'!A:C,3,FALSE)</f>
        <v>Personnel services</v>
      </c>
    </row>
    <row r="1829" spans="1:22" ht="14.4" customHeight="1">
      <c r="A1829" s="608" t="s">
        <v>1038</v>
      </c>
      <c r="B1829" s="608" t="s">
        <v>1496</v>
      </c>
      <c r="C1829" s="608" t="s">
        <v>1</v>
      </c>
      <c r="D1829" s="609">
        <v>29797.22</v>
      </c>
      <c r="E1829" s="609">
        <v>26760.33</v>
      </c>
      <c r="F1829" s="609">
        <v>21508.3</v>
      </c>
      <c r="G1829" s="609">
        <v>23280.560000000001</v>
      </c>
      <c r="H1829" s="609">
        <v>35790</v>
      </c>
      <c r="I1829" s="609">
        <v>25524.11</v>
      </c>
      <c r="J1829" s="609">
        <v>33404</v>
      </c>
      <c r="K1829" s="609">
        <v>36400</v>
      </c>
      <c r="L1829" s="609">
        <v>0</v>
      </c>
      <c r="M1829" s="609">
        <v>0</v>
      </c>
      <c r="N1829" s="587">
        <f t="shared" si="206"/>
        <v>36400</v>
      </c>
      <c r="O1829" s="125"/>
      <c r="P1829" s="490">
        <f t="shared" si="211"/>
        <v>610</v>
      </c>
      <c r="Q1829" t="str">
        <f t="shared" si="207"/>
        <v>50610</v>
      </c>
      <c r="R1829" s="126" t="str">
        <f t="shared" si="212"/>
        <v>SOCIAL SECURITY</v>
      </c>
      <c r="S1829" s="125" t="str">
        <f t="shared" si="213"/>
        <v>400</v>
      </c>
      <c r="T1829" s="125" t="str">
        <f t="shared" si="208"/>
        <v>81</v>
      </c>
      <c r="U1829" s="125" t="str">
        <f t="shared" si="209"/>
        <v>815</v>
      </c>
      <c r="V1829" s="125" t="str">
        <f>VLOOKUP(Q1829,'GL Category'!A:C,3,FALSE)</f>
        <v>Personnel services</v>
      </c>
    </row>
    <row r="1830" spans="1:22" ht="14.4" customHeight="1">
      <c r="A1830" s="608" t="s">
        <v>1038</v>
      </c>
      <c r="B1830" s="608" t="s">
        <v>1497</v>
      </c>
      <c r="C1830" s="608" t="s">
        <v>142</v>
      </c>
      <c r="D1830" s="609">
        <v>82973.47</v>
      </c>
      <c r="E1830" s="609">
        <v>85134.88</v>
      </c>
      <c r="F1830" s="609">
        <v>61305.63</v>
      </c>
      <c r="G1830" s="609">
        <v>59042.34</v>
      </c>
      <c r="H1830" s="609">
        <v>105314</v>
      </c>
      <c r="I1830" s="609">
        <v>79467.740000000005</v>
      </c>
      <c r="J1830" s="609">
        <v>108359</v>
      </c>
      <c r="K1830" s="609">
        <v>111238</v>
      </c>
      <c r="L1830" s="609">
        <v>0</v>
      </c>
      <c r="M1830" s="609">
        <v>0</v>
      </c>
      <c r="N1830" s="587">
        <f t="shared" si="206"/>
        <v>111238</v>
      </c>
      <c r="O1830" s="543"/>
      <c r="P1830" s="490">
        <f t="shared" si="211"/>
        <v>5924</v>
      </c>
      <c r="Q1830" t="str">
        <f t="shared" si="207"/>
        <v>50620</v>
      </c>
      <c r="R1830" s="126" t="str">
        <f t="shared" si="212"/>
        <v>HEALTH/LIFE INSURANCE</v>
      </c>
      <c r="S1830" s="125" t="str">
        <f t="shared" si="213"/>
        <v>400</v>
      </c>
      <c r="T1830" s="125" t="str">
        <f t="shared" si="208"/>
        <v>81</v>
      </c>
      <c r="U1830" s="125" t="str">
        <f t="shared" si="209"/>
        <v>815</v>
      </c>
      <c r="V1830" s="125" t="str">
        <f>VLOOKUP(Q1830,'GL Category'!A:C,3,FALSE)</f>
        <v>Personnel services</v>
      </c>
    </row>
    <row r="1831" spans="1:22" ht="20.399999999999999" customHeight="1">
      <c r="A1831" s="608" t="s">
        <v>1038</v>
      </c>
      <c r="B1831" s="608" t="s">
        <v>1498</v>
      </c>
      <c r="C1831" s="608" t="s">
        <v>144</v>
      </c>
      <c r="D1831" s="609">
        <v>4886.97</v>
      </c>
      <c r="E1831" s="609">
        <v>4158.41</v>
      </c>
      <c r="F1831" s="609">
        <v>4431.9399999999996</v>
      </c>
      <c r="G1831" s="609">
        <v>8861.52</v>
      </c>
      <c r="H1831" s="609">
        <v>9989</v>
      </c>
      <c r="I1831" s="609">
        <v>9980.84</v>
      </c>
      <c r="J1831" s="609">
        <v>9981</v>
      </c>
      <c r="K1831" s="609">
        <v>9319</v>
      </c>
      <c r="L1831" s="609">
        <v>0</v>
      </c>
      <c r="M1831" s="609">
        <v>0</v>
      </c>
      <c r="N1831" s="587">
        <f t="shared" si="206"/>
        <v>9319</v>
      </c>
      <c r="O1831" s="125"/>
      <c r="P1831" s="490">
        <f t="shared" si="211"/>
        <v>-670</v>
      </c>
      <c r="Q1831" t="str">
        <f t="shared" si="207"/>
        <v>50630</v>
      </c>
      <c r="R1831" s="126" t="str">
        <f t="shared" si="212"/>
        <v>WORKER COMPENSATION</v>
      </c>
      <c r="S1831" s="125" t="str">
        <f t="shared" si="213"/>
        <v>400</v>
      </c>
      <c r="T1831" s="125" t="str">
        <f t="shared" si="208"/>
        <v>81</v>
      </c>
      <c r="U1831" s="125" t="str">
        <f t="shared" si="209"/>
        <v>815</v>
      </c>
      <c r="V1831" s="125" t="str">
        <f>VLOOKUP(Q1831,'GL Category'!A:C,3,FALSE)</f>
        <v>Personnel services</v>
      </c>
    </row>
    <row r="1832" spans="1:22" ht="20.399999999999999" customHeight="1">
      <c r="A1832" s="608" t="s">
        <v>1038</v>
      </c>
      <c r="B1832" s="608" t="s">
        <v>1499</v>
      </c>
      <c r="C1832" s="608" t="s">
        <v>2</v>
      </c>
      <c r="D1832" s="609">
        <v>75600.86</v>
      </c>
      <c r="E1832" s="609">
        <v>59313.919999999998</v>
      </c>
      <c r="F1832" s="609">
        <v>48151.85</v>
      </c>
      <c r="G1832" s="609">
        <v>51134.15</v>
      </c>
      <c r="H1832" s="609">
        <v>77293</v>
      </c>
      <c r="I1832" s="609">
        <v>57510.64</v>
      </c>
      <c r="J1832" s="609">
        <v>74259</v>
      </c>
      <c r="K1832" s="609">
        <v>80491</v>
      </c>
      <c r="L1832" s="609">
        <v>0</v>
      </c>
      <c r="M1832" s="609">
        <v>0</v>
      </c>
      <c r="N1832" s="587">
        <f t="shared" si="206"/>
        <v>80491</v>
      </c>
      <c r="O1832" s="125"/>
      <c r="P1832" s="490">
        <f t="shared" si="211"/>
        <v>3198</v>
      </c>
      <c r="Q1832" t="str">
        <f t="shared" si="207"/>
        <v>50650</v>
      </c>
      <c r="R1832" s="126" t="str">
        <f t="shared" si="212"/>
        <v>RETIREMENT</v>
      </c>
      <c r="S1832" s="125" t="str">
        <f t="shared" si="213"/>
        <v>400</v>
      </c>
      <c r="T1832" s="125" t="str">
        <f t="shared" si="208"/>
        <v>81</v>
      </c>
      <c r="U1832" s="125" t="str">
        <f t="shared" si="209"/>
        <v>815</v>
      </c>
      <c r="V1832" s="125" t="str">
        <f>VLOOKUP(Q1832,'GL Category'!A:C,3,FALSE)</f>
        <v>Personnel services</v>
      </c>
    </row>
    <row r="1833" spans="1:22" ht="20.399999999999999" customHeight="1">
      <c r="A1833" s="608" t="s">
        <v>1038</v>
      </c>
      <c r="B1833" s="608" t="s">
        <v>1500</v>
      </c>
      <c r="C1833" s="608" t="s">
        <v>149</v>
      </c>
      <c r="D1833" s="609">
        <v>0</v>
      </c>
      <c r="E1833" s="609">
        <v>10</v>
      </c>
      <c r="F1833" s="609">
        <v>0</v>
      </c>
      <c r="G1833" s="609">
        <v>0</v>
      </c>
      <c r="H1833" s="609">
        <v>0</v>
      </c>
      <c r="I1833" s="609">
        <v>69.45</v>
      </c>
      <c r="J1833" s="609">
        <v>0</v>
      </c>
      <c r="K1833" s="609">
        <v>0</v>
      </c>
      <c r="L1833" s="609">
        <v>0</v>
      </c>
      <c r="M1833" s="609">
        <v>0</v>
      </c>
      <c r="N1833" s="587">
        <f t="shared" si="206"/>
        <v>0</v>
      </c>
      <c r="O1833" s="125"/>
      <c r="P1833" s="490">
        <f t="shared" si="211"/>
        <v>0</v>
      </c>
      <c r="Q1833" t="str">
        <f t="shared" si="207"/>
        <v>51210</v>
      </c>
      <c r="R1833" s="126" t="str">
        <f t="shared" si="212"/>
        <v>OFFICE SUPPLIES</v>
      </c>
      <c r="S1833" s="125" t="str">
        <f t="shared" si="213"/>
        <v>400</v>
      </c>
      <c r="T1833" s="125" t="str">
        <f t="shared" si="208"/>
        <v>81</v>
      </c>
      <c r="U1833" s="125" t="str">
        <f t="shared" si="209"/>
        <v>815</v>
      </c>
      <c r="V1833" s="125" t="str">
        <f>VLOOKUP(Q1833,'GL Category'!A:C,3,FALSE)</f>
        <v>Operations &amp; maintenance</v>
      </c>
    </row>
    <row r="1834" spans="1:22" ht="20.399999999999999" customHeight="1">
      <c r="A1834" s="608" t="s">
        <v>1038</v>
      </c>
      <c r="B1834" s="608" t="s">
        <v>1501</v>
      </c>
      <c r="C1834" s="608" t="s">
        <v>4</v>
      </c>
      <c r="D1834" s="609">
        <v>6322.22</v>
      </c>
      <c r="E1834" s="609">
        <v>1256.99</v>
      </c>
      <c r="F1834" s="609">
        <v>1196.3599999999999</v>
      </c>
      <c r="G1834" s="609">
        <v>345.44</v>
      </c>
      <c r="H1834" s="609">
        <v>2600</v>
      </c>
      <c r="I1834" s="609">
        <v>677.06</v>
      </c>
      <c r="J1834" s="609">
        <v>500</v>
      </c>
      <c r="K1834" s="609">
        <v>1500</v>
      </c>
      <c r="L1834" s="609">
        <v>0</v>
      </c>
      <c r="M1834" s="609">
        <v>0</v>
      </c>
      <c r="N1834" s="587">
        <f t="shared" si="206"/>
        <v>1500</v>
      </c>
      <c r="O1834" s="125"/>
      <c r="P1834" s="490">
        <f t="shared" si="211"/>
        <v>-1100</v>
      </c>
      <c r="Q1834" t="str">
        <f t="shared" si="207"/>
        <v>51245</v>
      </c>
      <c r="R1834" s="126" t="str">
        <f t="shared" si="212"/>
        <v>SMALL TOOLS &amp; EQUIPMENT</v>
      </c>
      <c r="S1834" s="125" t="str">
        <f t="shared" si="213"/>
        <v>400</v>
      </c>
      <c r="T1834" s="125" t="str">
        <f t="shared" si="208"/>
        <v>81</v>
      </c>
      <c r="U1834" s="125" t="str">
        <f t="shared" si="209"/>
        <v>815</v>
      </c>
      <c r="V1834" s="125" t="str">
        <f>VLOOKUP(Q1834,'GL Category'!A:C,3,FALSE)</f>
        <v>Operations &amp; maintenance</v>
      </c>
    </row>
    <row r="1835" spans="1:22" ht="20.399999999999999" customHeight="1">
      <c r="A1835" s="608" t="s">
        <v>1038</v>
      </c>
      <c r="B1835" s="608" t="s">
        <v>1502</v>
      </c>
      <c r="C1835" s="608" t="s">
        <v>161</v>
      </c>
      <c r="D1835" s="609">
        <v>14841.55</v>
      </c>
      <c r="E1835" s="609">
        <v>15057.22</v>
      </c>
      <c r="F1835" s="609">
        <v>15790.75</v>
      </c>
      <c r="G1835" s="609">
        <v>16929.78</v>
      </c>
      <c r="H1835" s="609">
        <v>26000</v>
      </c>
      <c r="I1835" s="609">
        <v>9854.35</v>
      </c>
      <c r="J1835" s="609">
        <v>20000</v>
      </c>
      <c r="K1835" s="609">
        <v>26000</v>
      </c>
      <c r="L1835" s="609">
        <v>0</v>
      </c>
      <c r="M1835" s="609">
        <v>0</v>
      </c>
      <c r="N1835" s="587">
        <f t="shared" si="206"/>
        <v>26000</v>
      </c>
      <c r="O1835" s="125"/>
      <c r="P1835" s="490">
        <f t="shared" si="211"/>
        <v>0</v>
      </c>
      <c r="Q1835" t="str">
        <f t="shared" si="207"/>
        <v>51255</v>
      </c>
      <c r="R1835" s="126" t="str">
        <f t="shared" si="212"/>
        <v>FUEL/OILS/LUBRICANTS</v>
      </c>
      <c r="S1835" s="125" t="str">
        <f t="shared" si="213"/>
        <v>400</v>
      </c>
      <c r="T1835" s="125" t="str">
        <f t="shared" si="208"/>
        <v>81</v>
      </c>
      <c r="U1835" s="125" t="str">
        <f t="shared" si="209"/>
        <v>815</v>
      </c>
      <c r="V1835" s="125" t="str">
        <f>VLOOKUP(Q1835,'GL Category'!A:C,3,FALSE)</f>
        <v>Operations &amp; maintenance</v>
      </c>
    </row>
    <row r="1836" spans="1:22" ht="20.399999999999999" customHeight="1">
      <c r="A1836" s="608" t="s">
        <v>1038</v>
      </c>
      <c r="B1836" s="608" t="s">
        <v>1503</v>
      </c>
      <c r="C1836" s="608" t="s">
        <v>276</v>
      </c>
      <c r="D1836" s="609">
        <v>83.69</v>
      </c>
      <c r="E1836" s="609">
        <v>87.1</v>
      </c>
      <c r="F1836" s="609">
        <v>0</v>
      </c>
      <c r="G1836" s="609">
        <v>0</v>
      </c>
      <c r="H1836" s="609">
        <v>200</v>
      </c>
      <c r="I1836" s="609">
        <v>0</v>
      </c>
      <c r="J1836" s="609">
        <v>200</v>
      </c>
      <c r="K1836" s="609">
        <v>0</v>
      </c>
      <c r="L1836" s="609">
        <v>0</v>
      </c>
      <c r="M1836" s="609">
        <v>0</v>
      </c>
      <c r="N1836" s="587">
        <f t="shared" si="206"/>
        <v>0</v>
      </c>
      <c r="O1836" s="125"/>
      <c r="P1836" s="490">
        <f t="shared" si="211"/>
        <v>-200</v>
      </c>
      <c r="Q1836" t="str">
        <f t="shared" si="207"/>
        <v>51270</v>
      </c>
      <c r="R1836" s="126" t="str">
        <f t="shared" si="212"/>
        <v>CHEMICAL SUPPLIES</v>
      </c>
      <c r="S1836" s="125" t="str">
        <f t="shared" si="213"/>
        <v>400</v>
      </c>
      <c r="T1836" s="125" t="str">
        <f t="shared" si="208"/>
        <v>81</v>
      </c>
      <c r="U1836" s="125" t="str">
        <f t="shared" si="209"/>
        <v>815</v>
      </c>
      <c r="V1836" s="125" t="str">
        <f>VLOOKUP(Q1836,'GL Category'!A:C,3,FALSE)</f>
        <v>Operations &amp; maintenance</v>
      </c>
    </row>
    <row r="1837" spans="1:22" ht="14.4" customHeight="1">
      <c r="A1837" s="608" t="s">
        <v>1038</v>
      </c>
      <c r="B1837" s="608" t="s">
        <v>1504</v>
      </c>
      <c r="C1837" s="608" t="s">
        <v>167</v>
      </c>
      <c r="D1837" s="609">
        <v>3839.43</v>
      </c>
      <c r="E1837" s="609">
        <v>3560.76</v>
      </c>
      <c r="F1837" s="609">
        <v>3397.05</v>
      </c>
      <c r="G1837" s="609">
        <v>3647.59</v>
      </c>
      <c r="H1837" s="609">
        <v>5300</v>
      </c>
      <c r="I1837" s="609">
        <v>3081.49</v>
      </c>
      <c r="J1837" s="609">
        <v>3800</v>
      </c>
      <c r="K1837" s="609">
        <v>5300</v>
      </c>
      <c r="L1837" s="609">
        <v>0</v>
      </c>
      <c r="M1837" s="609">
        <v>0</v>
      </c>
      <c r="N1837" s="587">
        <f t="shared" si="206"/>
        <v>5300</v>
      </c>
      <c r="O1837" s="125"/>
      <c r="P1837" s="490">
        <f t="shared" si="211"/>
        <v>0</v>
      </c>
      <c r="Q1837" t="str">
        <f t="shared" si="207"/>
        <v>51285</v>
      </c>
      <c r="R1837" s="126" t="str">
        <f t="shared" si="212"/>
        <v>WEARING APPAREL</v>
      </c>
      <c r="S1837" s="125" t="str">
        <f t="shared" si="213"/>
        <v>400</v>
      </c>
      <c r="T1837" s="125" t="str">
        <f t="shared" si="208"/>
        <v>81</v>
      </c>
      <c r="U1837" s="125" t="str">
        <f t="shared" si="209"/>
        <v>815</v>
      </c>
      <c r="V1837" s="125" t="str">
        <f>VLOOKUP(Q1837,'GL Category'!A:C,3,FALSE)</f>
        <v>Operations &amp; maintenance</v>
      </c>
    </row>
    <row r="1838" spans="1:22" ht="14.4" customHeight="1">
      <c r="A1838" s="608" t="s">
        <v>1038</v>
      </c>
      <c r="B1838" s="608" t="s">
        <v>1505</v>
      </c>
      <c r="C1838" s="608" t="s">
        <v>274</v>
      </c>
      <c r="D1838" s="609">
        <v>3829.76</v>
      </c>
      <c r="E1838" s="609">
        <v>3645.67</v>
      </c>
      <c r="F1838" s="609">
        <v>4983.8</v>
      </c>
      <c r="G1838" s="609">
        <v>4675.1499999999996</v>
      </c>
      <c r="H1838" s="609">
        <v>3800</v>
      </c>
      <c r="I1838" s="609">
        <v>2393.0100000000002</v>
      </c>
      <c r="J1838" s="609">
        <v>3800</v>
      </c>
      <c r="K1838" s="609">
        <v>3800</v>
      </c>
      <c r="L1838" s="609">
        <v>0</v>
      </c>
      <c r="M1838" s="609">
        <v>0</v>
      </c>
      <c r="N1838" s="587">
        <f t="shared" si="206"/>
        <v>3800</v>
      </c>
      <c r="O1838" s="125"/>
      <c r="P1838" s="490">
        <f t="shared" si="211"/>
        <v>0</v>
      </c>
      <c r="Q1838" t="str">
        <f t="shared" si="207"/>
        <v>51287</v>
      </c>
      <c r="R1838" s="126" t="str">
        <f t="shared" si="212"/>
        <v>SAFETY EQUIPMENT/SUPPLIES</v>
      </c>
      <c r="S1838" s="125" t="str">
        <f t="shared" si="213"/>
        <v>400</v>
      </c>
      <c r="T1838" s="125" t="str">
        <f t="shared" si="208"/>
        <v>81</v>
      </c>
      <c r="U1838" s="125" t="str">
        <f t="shared" si="209"/>
        <v>815</v>
      </c>
      <c r="V1838" s="125" t="str">
        <f>VLOOKUP(Q1838,'GL Category'!A:C,3,FALSE)</f>
        <v>Operations &amp; maintenance</v>
      </c>
    </row>
    <row r="1839" spans="1:22" ht="20.399999999999999">
      <c r="A1839" s="608" t="s">
        <v>1038</v>
      </c>
      <c r="B1839" s="608" t="s">
        <v>1505</v>
      </c>
      <c r="C1839" s="608" t="s">
        <v>274</v>
      </c>
      <c r="D1839" s="609">
        <v>0</v>
      </c>
      <c r="E1839" s="609">
        <v>0</v>
      </c>
      <c r="F1839" s="609">
        <v>0</v>
      </c>
      <c r="G1839" s="609">
        <v>0</v>
      </c>
      <c r="H1839" s="609">
        <v>0</v>
      </c>
      <c r="I1839" s="609">
        <v>0</v>
      </c>
      <c r="J1839" s="609">
        <v>0</v>
      </c>
      <c r="K1839" s="609">
        <v>0</v>
      </c>
      <c r="L1839" s="609">
        <v>0</v>
      </c>
      <c r="M1839" s="609">
        <v>0</v>
      </c>
      <c r="N1839" s="587">
        <f t="shared" si="206"/>
        <v>0</v>
      </c>
      <c r="O1839" s="125"/>
      <c r="P1839" s="490">
        <f t="shared" si="211"/>
        <v>0</v>
      </c>
      <c r="Q1839" t="str">
        <f t="shared" si="207"/>
        <v>51287</v>
      </c>
      <c r="R1839" s="126" t="str">
        <f t="shared" si="212"/>
        <v>SAFETY EQUIPMENT/SUPPLIES</v>
      </c>
      <c r="S1839" s="125" t="str">
        <f t="shared" si="213"/>
        <v>400</v>
      </c>
      <c r="T1839" s="125" t="str">
        <f t="shared" si="208"/>
        <v>81</v>
      </c>
      <c r="U1839" s="125" t="str">
        <f t="shared" si="209"/>
        <v>815</v>
      </c>
      <c r="V1839" s="125" t="str">
        <f>VLOOKUP(Q1839,'GL Category'!A:C,3,FALSE)</f>
        <v>Operations &amp; maintenance</v>
      </c>
    </row>
    <row r="1840" spans="1:22" ht="20.399999999999999">
      <c r="A1840" s="608" t="s">
        <v>1038</v>
      </c>
      <c r="B1840" s="608" t="s">
        <v>1506</v>
      </c>
      <c r="C1840" s="608" t="s">
        <v>169</v>
      </c>
      <c r="D1840" s="609">
        <v>0</v>
      </c>
      <c r="E1840" s="609">
        <v>0</v>
      </c>
      <c r="F1840" s="609">
        <v>0</v>
      </c>
      <c r="G1840" s="609">
        <v>0</v>
      </c>
      <c r="H1840" s="609">
        <v>0</v>
      </c>
      <c r="I1840" s="609">
        <v>0</v>
      </c>
      <c r="J1840" s="609">
        <v>0</v>
      </c>
      <c r="K1840" s="609">
        <v>0</v>
      </c>
      <c r="L1840" s="609">
        <v>0</v>
      </c>
      <c r="M1840" s="609">
        <v>0</v>
      </c>
      <c r="N1840" s="587">
        <f t="shared" si="206"/>
        <v>0</v>
      </c>
      <c r="O1840" s="125"/>
      <c r="Q1840" t="str">
        <f t="shared" si="207"/>
        <v>51299</v>
      </c>
      <c r="R1840" s="126" t="str">
        <f t="shared" si="212"/>
        <v>MISCELLANEOUS SUPPLIES</v>
      </c>
      <c r="S1840" s="125" t="str">
        <f t="shared" si="213"/>
        <v>400</v>
      </c>
      <c r="T1840" s="125" t="str">
        <f t="shared" si="208"/>
        <v>81</v>
      </c>
      <c r="U1840" s="125" t="str">
        <f t="shared" si="209"/>
        <v>815</v>
      </c>
      <c r="V1840" s="125" t="str">
        <f>VLOOKUP(Q1840,'GL Category'!A:C,3,FALSE)</f>
        <v>Operations &amp; maintenance</v>
      </c>
    </row>
    <row r="1841" spans="1:22" ht="20.399999999999999">
      <c r="A1841" s="608" t="s">
        <v>1038</v>
      </c>
      <c r="B1841" s="608" t="s">
        <v>1507</v>
      </c>
      <c r="C1841" s="608" t="s">
        <v>390</v>
      </c>
      <c r="D1841" s="609">
        <v>73553.03</v>
      </c>
      <c r="E1841" s="609">
        <v>62770.65</v>
      </c>
      <c r="F1841" s="609">
        <v>19416.18</v>
      </c>
      <c r="G1841" s="609">
        <v>8709.89</v>
      </c>
      <c r="H1841" s="609">
        <v>80000</v>
      </c>
      <c r="I1841" s="609">
        <v>6622.36</v>
      </c>
      <c r="J1841" s="609">
        <v>76000</v>
      </c>
      <c r="K1841" s="609">
        <v>80000</v>
      </c>
      <c r="L1841" s="609">
        <v>0</v>
      </c>
      <c r="M1841" s="609">
        <v>0</v>
      </c>
      <c r="N1841" s="587">
        <f t="shared" si="206"/>
        <v>80000</v>
      </c>
      <c r="O1841" s="125"/>
      <c r="Q1841" t="str">
        <f t="shared" si="207"/>
        <v>52321</v>
      </c>
      <c r="R1841" s="126" t="str">
        <f t="shared" si="212"/>
        <v>CHANNEL MAINTENANCE</v>
      </c>
      <c r="S1841" s="125" t="str">
        <f t="shared" si="213"/>
        <v>400</v>
      </c>
      <c r="T1841" s="125" t="str">
        <f t="shared" si="208"/>
        <v>81</v>
      </c>
      <c r="U1841" s="125" t="str">
        <f t="shared" si="209"/>
        <v>815</v>
      </c>
      <c r="V1841" s="125" t="str">
        <f>VLOOKUP(Q1841,'GL Category'!A:C,3,FALSE)</f>
        <v>Operations &amp; maintenance</v>
      </c>
    </row>
    <row r="1842" spans="1:22" ht="20.399999999999999">
      <c r="A1842" s="608" t="s">
        <v>1038</v>
      </c>
      <c r="B1842" s="608" t="s">
        <v>1509</v>
      </c>
      <c r="C1842" s="608" t="s">
        <v>175</v>
      </c>
      <c r="D1842" s="609">
        <v>11801.6</v>
      </c>
      <c r="E1842" s="609">
        <v>216.6</v>
      </c>
      <c r="F1842" s="609">
        <v>219.79</v>
      </c>
      <c r="G1842" s="609">
        <v>407.66</v>
      </c>
      <c r="H1842" s="609">
        <v>500</v>
      </c>
      <c r="I1842" s="609">
        <v>226.18</v>
      </c>
      <c r="J1842" s="609">
        <v>500</v>
      </c>
      <c r="K1842" s="609">
        <v>0</v>
      </c>
      <c r="L1842" s="609">
        <v>0</v>
      </c>
      <c r="M1842" s="609">
        <v>0</v>
      </c>
      <c r="N1842" s="587">
        <f t="shared" si="206"/>
        <v>0</v>
      </c>
      <c r="O1842" s="125"/>
      <c r="P1842" s="490">
        <f t="shared" ref="P1842:P1864" si="214">N1842-H1842</f>
        <v>-500</v>
      </c>
      <c r="Q1842" t="str">
        <f t="shared" si="207"/>
        <v>52440</v>
      </c>
      <c r="R1842" s="126" t="str">
        <f t="shared" si="212"/>
        <v>RADIO MAINTENANCE</v>
      </c>
      <c r="S1842" s="125" t="str">
        <f t="shared" si="213"/>
        <v>400</v>
      </c>
      <c r="T1842" s="125" t="str">
        <f t="shared" si="208"/>
        <v>81</v>
      </c>
      <c r="U1842" s="125" t="str">
        <f t="shared" si="209"/>
        <v>815</v>
      </c>
      <c r="V1842" s="125" t="str">
        <f>VLOOKUP(Q1842,'GL Category'!A:C,3,FALSE)</f>
        <v>Operations &amp; maintenance</v>
      </c>
    </row>
    <row r="1843" spans="1:22" ht="20.399999999999999">
      <c r="A1843" s="608" t="s">
        <v>1038</v>
      </c>
      <c r="B1843" s="608" t="s">
        <v>1510</v>
      </c>
      <c r="C1843" s="608" t="s">
        <v>241</v>
      </c>
      <c r="D1843" s="609">
        <v>15945.27</v>
      </c>
      <c r="E1843" s="609">
        <v>8846.65</v>
      </c>
      <c r="F1843" s="609">
        <v>12885.42</v>
      </c>
      <c r="G1843" s="609">
        <v>18933.77</v>
      </c>
      <c r="H1843" s="609">
        <v>15000</v>
      </c>
      <c r="I1843" s="609">
        <v>18150.810000000001</v>
      </c>
      <c r="J1843" s="609">
        <v>15000</v>
      </c>
      <c r="K1843" s="609">
        <v>15000</v>
      </c>
      <c r="L1843" s="609">
        <v>0</v>
      </c>
      <c r="M1843" s="609">
        <v>0</v>
      </c>
      <c r="N1843" s="587">
        <f t="shared" si="206"/>
        <v>15000</v>
      </c>
      <c r="O1843" s="125"/>
      <c r="P1843" s="490">
        <f t="shared" si="214"/>
        <v>0</v>
      </c>
      <c r="Q1843" t="str">
        <f t="shared" si="207"/>
        <v>52460</v>
      </c>
      <c r="R1843" s="126" t="str">
        <f t="shared" si="212"/>
        <v>VEHICLE MAINTENANCE</v>
      </c>
      <c r="S1843" s="125" t="str">
        <f t="shared" si="213"/>
        <v>400</v>
      </c>
      <c r="T1843" s="125" t="str">
        <f t="shared" si="208"/>
        <v>81</v>
      </c>
      <c r="U1843" s="125" t="str">
        <f t="shared" si="209"/>
        <v>815</v>
      </c>
      <c r="V1843" s="125" t="str">
        <f>VLOOKUP(Q1843,'GL Category'!A:C,3,FALSE)</f>
        <v>Operations &amp; maintenance</v>
      </c>
    </row>
    <row r="1844" spans="1:22" ht="20.399999999999999">
      <c r="A1844" s="608" t="s">
        <v>1038</v>
      </c>
      <c r="B1844" s="608" t="s">
        <v>1511</v>
      </c>
      <c r="C1844" s="608" t="s">
        <v>236</v>
      </c>
      <c r="D1844" s="609">
        <v>2287.5500000000002</v>
      </c>
      <c r="E1844" s="609">
        <v>3422.9</v>
      </c>
      <c r="F1844" s="609">
        <v>2032.71</v>
      </c>
      <c r="G1844" s="609">
        <v>2417.59</v>
      </c>
      <c r="H1844" s="609">
        <v>13000</v>
      </c>
      <c r="I1844" s="609">
        <v>11018.38</v>
      </c>
      <c r="J1844" s="609">
        <v>15000</v>
      </c>
      <c r="K1844" s="609">
        <v>13000</v>
      </c>
      <c r="L1844" s="609">
        <v>0</v>
      </c>
      <c r="M1844" s="609">
        <v>0</v>
      </c>
      <c r="N1844" s="587">
        <f t="shared" si="206"/>
        <v>13000</v>
      </c>
      <c r="O1844" s="125"/>
      <c r="P1844" s="490">
        <f t="shared" si="214"/>
        <v>0</v>
      </c>
      <c r="Q1844" t="str">
        <f t="shared" si="207"/>
        <v>52470</v>
      </c>
      <c r="R1844" s="126" t="str">
        <f t="shared" si="212"/>
        <v>EQUIPMENT MAINTENANCE</v>
      </c>
      <c r="S1844" s="125" t="str">
        <f t="shared" si="213"/>
        <v>400</v>
      </c>
      <c r="T1844" s="125" t="str">
        <f t="shared" si="208"/>
        <v>81</v>
      </c>
      <c r="U1844" s="125" t="str">
        <f t="shared" si="209"/>
        <v>815</v>
      </c>
      <c r="V1844" s="125" t="str">
        <f>VLOOKUP(Q1844,'GL Category'!A:C,3,FALSE)</f>
        <v>Operations &amp; maintenance</v>
      </c>
    </row>
    <row r="1845" spans="1:22" ht="20.399999999999999">
      <c r="A1845" s="608" t="s">
        <v>1038</v>
      </c>
      <c r="B1845" s="608" t="s">
        <v>1512</v>
      </c>
      <c r="C1845" s="608" t="s">
        <v>185</v>
      </c>
      <c r="D1845" s="609">
        <v>3624.18</v>
      </c>
      <c r="E1845" s="609">
        <v>69.7</v>
      </c>
      <c r="F1845" s="609">
        <v>5426.44</v>
      </c>
      <c r="G1845" s="609">
        <v>965.38</v>
      </c>
      <c r="H1845" s="609">
        <v>3500</v>
      </c>
      <c r="I1845" s="609">
        <v>350.85</v>
      </c>
      <c r="J1845" s="609">
        <v>3500</v>
      </c>
      <c r="K1845" s="609">
        <v>3750</v>
      </c>
      <c r="L1845" s="609">
        <v>0</v>
      </c>
      <c r="M1845" s="609">
        <v>0</v>
      </c>
      <c r="N1845" s="587">
        <f t="shared" si="206"/>
        <v>3750</v>
      </c>
      <c r="O1845" s="125"/>
      <c r="P1845" s="490">
        <f t="shared" si="214"/>
        <v>250</v>
      </c>
      <c r="Q1845" t="str">
        <f t="shared" si="207"/>
        <v>53505</v>
      </c>
      <c r="R1845" s="126" t="str">
        <f t="shared" si="212"/>
        <v>PUBLIC EDUCATION SERVICES</v>
      </c>
      <c r="S1845" s="125" t="str">
        <f t="shared" si="213"/>
        <v>400</v>
      </c>
      <c r="T1845" s="125" t="str">
        <f t="shared" si="208"/>
        <v>81</v>
      </c>
      <c r="U1845" s="125" t="str">
        <f t="shared" si="209"/>
        <v>815</v>
      </c>
      <c r="V1845" s="125" t="str">
        <f>VLOOKUP(Q1845,'GL Category'!A:C,3,FALSE)</f>
        <v>Services &amp; other</v>
      </c>
    </row>
    <row r="1846" spans="1:22" ht="20.399999999999999">
      <c r="A1846" s="608" t="s">
        <v>1038</v>
      </c>
      <c r="B1846" s="608" t="s">
        <v>1514</v>
      </c>
      <c r="C1846" s="608" t="s">
        <v>190</v>
      </c>
      <c r="D1846" s="609">
        <v>139</v>
      </c>
      <c r="E1846" s="609">
        <v>0</v>
      </c>
      <c r="F1846" s="609">
        <v>105</v>
      </c>
      <c r="G1846" s="609">
        <v>0</v>
      </c>
      <c r="H1846" s="609">
        <v>200</v>
      </c>
      <c r="I1846" s="609">
        <v>51.38</v>
      </c>
      <c r="J1846" s="609">
        <v>200</v>
      </c>
      <c r="K1846" s="609">
        <v>200</v>
      </c>
      <c r="L1846" s="609">
        <v>0</v>
      </c>
      <c r="M1846" s="609">
        <v>0</v>
      </c>
      <c r="N1846" s="587">
        <f t="shared" si="206"/>
        <v>200</v>
      </c>
      <c r="O1846" s="125"/>
      <c r="P1846" s="490">
        <f t="shared" si="214"/>
        <v>0</v>
      </c>
      <c r="Q1846" t="str">
        <f t="shared" si="207"/>
        <v>53510</v>
      </c>
      <c r="R1846" s="126" t="str">
        <f t="shared" si="212"/>
        <v>DUES &amp; SUBSCRIPTIONS</v>
      </c>
      <c r="S1846" s="125" t="str">
        <f t="shared" si="213"/>
        <v>400</v>
      </c>
      <c r="T1846" s="125" t="str">
        <f t="shared" si="208"/>
        <v>81</v>
      </c>
      <c r="U1846" s="125" t="str">
        <f t="shared" si="209"/>
        <v>815</v>
      </c>
      <c r="V1846" s="125" t="str">
        <f>VLOOKUP(Q1846,'GL Category'!A:C,3,FALSE)</f>
        <v>Services &amp; other</v>
      </c>
    </row>
    <row r="1847" spans="1:22" ht="20.399999999999999">
      <c r="A1847" s="608" t="s">
        <v>1038</v>
      </c>
      <c r="B1847" s="608" t="s">
        <v>1517</v>
      </c>
      <c r="C1847" s="608" t="s">
        <v>193</v>
      </c>
      <c r="D1847" s="609">
        <v>8029.8</v>
      </c>
      <c r="E1847" s="609">
        <v>0</v>
      </c>
      <c r="F1847" s="609">
        <v>0</v>
      </c>
      <c r="G1847" s="609">
        <v>0</v>
      </c>
      <c r="H1847" s="609">
        <v>0</v>
      </c>
      <c r="I1847" s="609">
        <v>20298.29</v>
      </c>
      <c r="J1847" s="609">
        <v>49000</v>
      </c>
      <c r="K1847" s="609">
        <v>0</v>
      </c>
      <c r="L1847" s="609">
        <v>100000</v>
      </c>
      <c r="M1847" s="609">
        <v>0</v>
      </c>
      <c r="N1847" s="587">
        <f t="shared" si="206"/>
        <v>100000</v>
      </c>
      <c r="O1847" s="125"/>
      <c r="P1847" s="490">
        <f t="shared" si="214"/>
        <v>100000</v>
      </c>
      <c r="Q1847" t="str">
        <f t="shared" si="207"/>
        <v>53513</v>
      </c>
      <c r="R1847" s="126" t="str">
        <f t="shared" si="212"/>
        <v>CONSULTING SERVICES</v>
      </c>
      <c r="S1847" s="125" t="str">
        <f t="shared" si="213"/>
        <v>400</v>
      </c>
      <c r="T1847" s="125" t="str">
        <f t="shared" si="208"/>
        <v>81</v>
      </c>
      <c r="U1847" s="125" t="str">
        <f t="shared" si="209"/>
        <v>815</v>
      </c>
      <c r="V1847" s="125" t="str">
        <f>VLOOKUP(Q1847,'GL Category'!A:C,3,FALSE)</f>
        <v>Services &amp; other</v>
      </c>
    </row>
    <row r="1848" spans="1:22" ht="20.399999999999999">
      <c r="A1848" s="608" t="s">
        <v>1038</v>
      </c>
      <c r="B1848" s="608" t="s">
        <v>1515</v>
      </c>
      <c r="C1848" s="608" t="s">
        <v>191</v>
      </c>
      <c r="D1848" s="609">
        <v>906.54</v>
      </c>
      <c r="E1848" s="609">
        <v>154.09</v>
      </c>
      <c r="F1848" s="609">
        <v>1285.56</v>
      </c>
      <c r="G1848" s="609">
        <v>3766.92</v>
      </c>
      <c r="H1848" s="609">
        <v>10000</v>
      </c>
      <c r="I1848" s="609">
        <v>100</v>
      </c>
      <c r="J1848" s="609">
        <v>2500</v>
      </c>
      <c r="K1848" s="609">
        <v>10000</v>
      </c>
      <c r="L1848" s="609">
        <v>0</v>
      </c>
      <c r="M1848" s="609">
        <v>0</v>
      </c>
      <c r="N1848" s="587">
        <f t="shared" si="206"/>
        <v>10000</v>
      </c>
      <c r="O1848" s="125"/>
      <c r="P1848" s="490">
        <f t="shared" si="214"/>
        <v>0</v>
      </c>
      <c r="Q1848" t="str">
        <f t="shared" si="207"/>
        <v>53515</v>
      </c>
      <c r="R1848" s="126" t="str">
        <f t="shared" si="212"/>
        <v>TRAVEL, TRAINING &amp; EDUCATION</v>
      </c>
      <c r="S1848" s="125" t="str">
        <f t="shared" si="213"/>
        <v>400</v>
      </c>
      <c r="T1848" s="125" t="str">
        <f t="shared" si="208"/>
        <v>81</v>
      </c>
      <c r="U1848" s="125" t="str">
        <f t="shared" si="209"/>
        <v>815</v>
      </c>
      <c r="V1848" s="125" t="str">
        <f>VLOOKUP(Q1848,'GL Category'!A:C,3,FALSE)</f>
        <v>Services &amp; other</v>
      </c>
    </row>
    <row r="1849" spans="1:22" ht="20.399999999999999">
      <c r="A1849" s="608" t="s">
        <v>1038</v>
      </c>
      <c r="B1849" s="608" t="s">
        <v>1516</v>
      </c>
      <c r="C1849" s="608" t="s">
        <v>6</v>
      </c>
      <c r="D1849" s="609">
        <v>11480.04</v>
      </c>
      <c r="E1849" s="609">
        <v>6165.43</v>
      </c>
      <c r="F1849" s="609">
        <v>9112.59</v>
      </c>
      <c r="G1849" s="609">
        <v>705</v>
      </c>
      <c r="H1849" s="609">
        <v>11000</v>
      </c>
      <c r="I1849" s="609">
        <v>0</v>
      </c>
      <c r="J1849" s="609">
        <v>9000</v>
      </c>
      <c r="K1849" s="609">
        <v>11000</v>
      </c>
      <c r="L1849" s="609">
        <v>0</v>
      </c>
      <c r="M1849" s="609">
        <v>0</v>
      </c>
      <c r="N1849" s="587">
        <f t="shared" si="206"/>
        <v>11000</v>
      </c>
      <c r="O1849" s="125"/>
      <c r="P1849" s="490">
        <f t="shared" si="214"/>
        <v>0</v>
      </c>
      <c r="Q1849" t="str">
        <f t="shared" si="207"/>
        <v>53524</v>
      </c>
      <c r="R1849" s="126" t="str">
        <f t="shared" si="212"/>
        <v>EQUIPMENT RENTAL</v>
      </c>
      <c r="S1849" s="125" t="str">
        <f t="shared" si="213"/>
        <v>400</v>
      </c>
      <c r="T1849" s="125" t="str">
        <f t="shared" si="208"/>
        <v>81</v>
      </c>
      <c r="U1849" s="125" t="str">
        <f t="shared" si="209"/>
        <v>815</v>
      </c>
      <c r="V1849" s="125" t="str">
        <f>VLOOKUP(Q1849,'GL Category'!A:C,3,FALSE)</f>
        <v>Services &amp; other</v>
      </c>
    </row>
    <row r="1850" spans="1:22" ht="20.399999999999999">
      <c r="A1850" s="608" t="s">
        <v>1038</v>
      </c>
      <c r="B1850" s="608" t="s">
        <v>1518</v>
      </c>
      <c r="C1850" s="608" t="s">
        <v>839</v>
      </c>
      <c r="D1850" s="609">
        <v>24255</v>
      </c>
      <c r="E1850" s="609">
        <v>30133</v>
      </c>
      <c r="F1850" s="609">
        <v>22555</v>
      </c>
      <c r="G1850" s="609">
        <v>0</v>
      </c>
      <c r="H1850" s="609">
        <v>70500</v>
      </c>
      <c r="I1850" s="609">
        <v>0</v>
      </c>
      <c r="J1850" s="609">
        <v>70500</v>
      </c>
      <c r="K1850" s="609">
        <v>70500</v>
      </c>
      <c r="L1850" s="609">
        <v>0</v>
      </c>
      <c r="M1850" s="609">
        <v>0</v>
      </c>
      <c r="N1850" s="587">
        <f t="shared" si="206"/>
        <v>70500</v>
      </c>
      <c r="O1850" s="125"/>
      <c r="P1850" s="490">
        <f t="shared" si="214"/>
        <v>0</v>
      </c>
      <c r="Q1850" t="str">
        <f t="shared" si="207"/>
        <v>53525</v>
      </c>
      <c r="R1850" s="126" t="str">
        <f t="shared" si="212"/>
        <v>LANDSCAPE SERVICES</v>
      </c>
      <c r="S1850" s="125" t="str">
        <f t="shared" si="213"/>
        <v>400</v>
      </c>
      <c r="T1850" s="125" t="str">
        <f t="shared" si="208"/>
        <v>81</v>
      </c>
      <c r="U1850" s="125" t="str">
        <f t="shared" si="209"/>
        <v>815</v>
      </c>
      <c r="V1850" s="125" t="str">
        <f>VLOOKUP(Q1850,'GL Category'!A:C,3,FALSE)</f>
        <v>Services &amp; other</v>
      </c>
    </row>
    <row r="1851" spans="1:22" ht="20.399999999999999">
      <c r="A1851" s="608" t="s">
        <v>1038</v>
      </c>
      <c r="B1851" s="608" t="s">
        <v>3391</v>
      </c>
      <c r="C1851" s="608" t="s">
        <v>907</v>
      </c>
      <c r="D1851" s="609">
        <v>0</v>
      </c>
      <c r="E1851" s="609">
        <v>0</v>
      </c>
      <c r="F1851" s="609">
        <v>0</v>
      </c>
      <c r="G1851" s="609">
        <v>8700.31</v>
      </c>
      <c r="H1851" s="609">
        <v>0</v>
      </c>
      <c r="I1851" s="609">
        <v>0</v>
      </c>
      <c r="J1851" s="609">
        <v>800</v>
      </c>
      <c r="K1851" s="609">
        <v>0</v>
      </c>
      <c r="L1851" s="609">
        <v>0</v>
      </c>
      <c r="M1851" s="609">
        <v>0</v>
      </c>
      <c r="N1851" s="587">
        <f t="shared" si="206"/>
        <v>0</v>
      </c>
      <c r="O1851" s="125"/>
      <c r="P1851" s="490">
        <f t="shared" si="214"/>
        <v>0</v>
      </c>
      <c r="Q1851" t="str">
        <f t="shared" si="207"/>
        <v>53530</v>
      </c>
      <c r="R1851" s="126" t="str">
        <f t="shared" si="212"/>
        <v>DEBRIS &amp; WASTE DISPOSAL SVCS</v>
      </c>
      <c r="S1851" s="125" t="str">
        <f t="shared" si="213"/>
        <v>400</v>
      </c>
      <c r="T1851" s="125" t="str">
        <f t="shared" si="208"/>
        <v>81</v>
      </c>
      <c r="U1851" s="125" t="str">
        <f t="shared" si="209"/>
        <v>815</v>
      </c>
      <c r="V1851" s="125" t="str">
        <f>VLOOKUP(Q1851,'GL Category'!A:C,3,FALSE)</f>
        <v>Services &amp; other</v>
      </c>
    </row>
    <row r="1852" spans="1:22" ht="20.399999999999999">
      <c r="A1852" s="608" t="s">
        <v>1038</v>
      </c>
      <c r="B1852" s="608" t="s">
        <v>1519</v>
      </c>
      <c r="C1852" s="608" t="s">
        <v>305</v>
      </c>
      <c r="D1852" s="609">
        <v>0</v>
      </c>
      <c r="E1852" s="609">
        <v>0</v>
      </c>
      <c r="F1852" s="609">
        <v>8400</v>
      </c>
      <c r="G1852" s="609">
        <v>7690.24</v>
      </c>
      <c r="H1852" s="609">
        <v>4500</v>
      </c>
      <c r="I1852" s="609">
        <v>63306.26</v>
      </c>
      <c r="J1852" s="609">
        <v>4500</v>
      </c>
      <c r="K1852" s="609">
        <v>4500</v>
      </c>
      <c r="L1852" s="609">
        <v>20000</v>
      </c>
      <c r="M1852" s="609">
        <v>0</v>
      </c>
      <c r="N1852" s="587">
        <f t="shared" si="206"/>
        <v>24500</v>
      </c>
      <c r="O1852" s="125"/>
      <c r="P1852" s="490">
        <f t="shared" si="214"/>
        <v>20000</v>
      </c>
      <c r="Q1852" t="str">
        <f t="shared" si="207"/>
        <v>53543</v>
      </c>
      <c r="R1852" s="126" t="str">
        <f t="shared" si="212"/>
        <v>ENGINEERING/DESIGN SERVICES</v>
      </c>
      <c r="S1852" s="125" t="str">
        <f t="shared" si="213"/>
        <v>400</v>
      </c>
      <c r="T1852" s="125" t="str">
        <f t="shared" si="208"/>
        <v>81</v>
      </c>
      <c r="U1852" s="125" t="str">
        <f t="shared" si="209"/>
        <v>815</v>
      </c>
      <c r="V1852" s="125" t="str">
        <f>VLOOKUP(Q1852,'GL Category'!A:C,3,FALSE)</f>
        <v>Services &amp; other</v>
      </c>
    </row>
    <row r="1853" spans="1:22" ht="20.399999999999999">
      <c r="A1853" s="608" t="s">
        <v>1038</v>
      </c>
      <c r="B1853" s="608" t="s">
        <v>3224</v>
      </c>
      <c r="C1853" s="608" t="s">
        <v>215</v>
      </c>
      <c r="D1853" s="609">
        <v>0</v>
      </c>
      <c r="E1853" s="609">
        <v>189.95</v>
      </c>
      <c r="F1853" s="609">
        <v>188.49</v>
      </c>
      <c r="G1853" s="609">
        <v>222.48</v>
      </c>
      <c r="H1853" s="609">
        <v>240</v>
      </c>
      <c r="I1853" s="609">
        <v>111.24</v>
      </c>
      <c r="J1853" s="609">
        <v>240</v>
      </c>
      <c r="K1853" s="609">
        <v>240</v>
      </c>
      <c r="L1853" s="609">
        <v>0</v>
      </c>
      <c r="M1853" s="609">
        <v>0</v>
      </c>
      <c r="N1853" s="587">
        <f t="shared" si="206"/>
        <v>240</v>
      </c>
      <c r="O1853" s="125"/>
      <c r="P1853" s="490">
        <f t="shared" si="214"/>
        <v>0</v>
      </c>
      <c r="Q1853" t="str">
        <f t="shared" si="207"/>
        <v>53572</v>
      </c>
      <c r="R1853" s="126" t="str">
        <f t="shared" si="212"/>
        <v>ELECTRICAL UTILITY SERVICE</v>
      </c>
      <c r="S1853" s="125" t="str">
        <f t="shared" si="213"/>
        <v>400</v>
      </c>
      <c r="T1853" s="125" t="str">
        <f t="shared" si="208"/>
        <v>81</v>
      </c>
      <c r="U1853" s="125" t="str">
        <f t="shared" si="209"/>
        <v>815</v>
      </c>
      <c r="V1853" s="125" t="str">
        <f>VLOOKUP(Q1853,'GL Category'!A:C,3,FALSE)</f>
        <v>Services &amp; other</v>
      </c>
    </row>
    <row r="1854" spans="1:22" ht="20.399999999999999">
      <c r="A1854" s="608" t="s">
        <v>1038</v>
      </c>
      <c r="B1854" s="608" t="s">
        <v>1513</v>
      </c>
      <c r="C1854" s="608" t="s">
        <v>238</v>
      </c>
      <c r="D1854" s="609">
        <v>8474.2199999999993</v>
      </c>
      <c r="E1854" s="609">
        <v>3943.84</v>
      </c>
      <c r="F1854" s="609">
        <v>8984.81</v>
      </c>
      <c r="G1854" s="609">
        <v>11297.78</v>
      </c>
      <c r="H1854" s="609">
        <v>9200</v>
      </c>
      <c r="I1854" s="609">
        <v>11337.2</v>
      </c>
      <c r="J1854" s="609">
        <v>11500</v>
      </c>
      <c r="K1854" s="609">
        <v>9500</v>
      </c>
      <c r="L1854" s="609">
        <v>0</v>
      </c>
      <c r="M1854" s="609">
        <v>0</v>
      </c>
      <c r="N1854" s="587">
        <f t="shared" si="206"/>
        <v>9500</v>
      </c>
      <c r="O1854" s="125"/>
      <c r="P1854" s="490">
        <f t="shared" si="214"/>
        <v>300</v>
      </c>
      <c r="Q1854" t="str">
        <f t="shared" si="207"/>
        <v>53599</v>
      </c>
      <c r="R1854" s="126" t="str">
        <f t="shared" si="212"/>
        <v>MISCELLANEOUS SERVICES</v>
      </c>
      <c r="S1854" s="125" t="str">
        <f t="shared" si="213"/>
        <v>400</v>
      </c>
      <c r="T1854" s="125" t="str">
        <f t="shared" si="208"/>
        <v>81</v>
      </c>
      <c r="U1854" s="125" t="str">
        <f t="shared" si="209"/>
        <v>815</v>
      </c>
      <c r="V1854" s="125" t="str">
        <f>VLOOKUP(Q1854,'GL Category'!A:C,3,FALSE)</f>
        <v>Services &amp; other</v>
      </c>
    </row>
    <row r="1855" spans="1:22" ht="20.399999999999999">
      <c r="A1855" s="608" t="s">
        <v>1038</v>
      </c>
      <c r="B1855" s="608" t="s">
        <v>1523</v>
      </c>
      <c r="C1855" s="608" t="s">
        <v>221</v>
      </c>
      <c r="D1855" s="609">
        <v>20064</v>
      </c>
      <c r="E1855" s="609">
        <v>23356</v>
      </c>
      <c r="F1855" s="609">
        <v>21088</v>
      </c>
      <c r="G1855" s="609">
        <v>22262</v>
      </c>
      <c r="H1855" s="609">
        <v>25510</v>
      </c>
      <c r="I1855" s="609">
        <v>19132.5</v>
      </c>
      <c r="J1855" s="609">
        <v>25510</v>
      </c>
      <c r="K1855" s="609">
        <v>20787</v>
      </c>
      <c r="L1855" s="609">
        <v>0</v>
      </c>
      <c r="M1855" s="609">
        <v>0</v>
      </c>
      <c r="N1855" s="587">
        <f t="shared" si="206"/>
        <v>20787</v>
      </c>
      <c r="O1855" s="125"/>
      <c r="P1855" s="490">
        <f t="shared" si="214"/>
        <v>-4723</v>
      </c>
      <c r="Q1855" t="str">
        <f t="shared" si="207"/>
        <v>55119</v>
      </c>
      <c r="R1855" s="126" t="str">
        <f t="shared" si="212"/>
        <v>OFFICE EQUIP LEASE EXP-CITY</v>
      </c>
      <c r="S1855" s="125" t="str">
        <f t="shared" si="213"/>
        <v>400</v>
      </c>
      <c r="T1855" s="125" t="str">
        <f t="shared" si="208"/>
        <v>81</v>
      </c>
      <c r="U1855" s="125" t="str">
        <f t="shared" si="209"/>
        <v>815</v>
      </c>
      <c r="V1855" s="125" t="str">
        <f>VLOOKUP(Q1855,'GL Category'!A:C,3,FALSE)</f>
        <v>Services &amp; other</v>
      </c>
    </row>
    <row r="1856" spans="1:22" ht="20.399999999999999">
      <c r="A1856" s="608" t="s">
        <v>1038</v>
      </c>
      <c r="B1856" s="608" t="s">
        <v>1522</v>
      </c>
      <c r="C1856" s="608" t="s">
        <v>220</v>
      </c>
      <c r="D1856" s="609">
        <v>227484</v>
      </c>
      <c r="E1856" s="609">
        <v>83243</v>
      </c>
      <c r="F1856" s="609">
        <v>88999</v>
      </c>
      <c r="G1856" s="609">
        <v>91842</v>
      </c>
      <c r="H1856" s="609">
        <v>91842</v>
      </c>
      <c r="I1856" s="609">
        <v>68881.5</v>
      </c>
      <c r="J1856" s="609">
        <v>91842</v>
      </c>
      <c r="K1856" s="609">
        <v>91395</v>
      </c>
      <c r="L1856" s="609">
        <v>0</v>
      </c>
      <c r="M1856" s="609">
        <v>44000</v>
      </c>
      <c r="N1856" s="587">
        <f t="shared" si="206"/>
        <v>135395</v>
      </c>
      <c r="O1856" s="125"/>
      <c r="P1856" s="490">
        <f t="shared" si="214"/>
        <v>43553</v>
      </c>
      <c r="Q1856" t="str">
        <f t="shared" si="207"/>
        <v>55175</v>
      </c>
      <c r="R1856" s="126" t="str">
        <f t="shared" si="212"/>
        <v>VEHICLE/EQUIP LEASE EXP-CITY</v>
      </c>
      <c r="S1856" s="125" t="str">
        <f t="shared" si="213"/>
        <v>400</v>
      </c>
      <c r="T1856" s="125" t="str">
        <f t="shared" si="208"/>
        <v>81</v>
      </c>
      <c r="U1856" s="125" t="str">
        <f t="shared" si="209"/>
        <v>815</v>
      </c>
      <c r="V1856" s="125" t="str">
        <f>VLOOKUP(Q1856,'GL Category'!A:C,3,FALSE)</f>
        <v>Services &amp; other</v>
      </c>
    </row>
    <row r="1857" spans="1:22" ht="20.399999999999999">
      <c r="A1857" s="608" t="s">
        <v>1038</v>
      </c>
      <c r="B1857" s="608" t="s">
        <v>1541</v>
      </c>
      <c r="C1857" s="608" t="s">
        <v>800</v>
      </c>
      <c r="D1857" s="609">
        <v>595000</v>
      </c>
      <c r="E1857" s="609">
        <v>568000</v>
      </c>
      <c r="F1857" s="609">
        <v>425000</v>
      </c>
      <c r="G1857" s="609">
        <v>325000</v>
      </c>
      <c r="H1857" s="609">
        <v>250000</v>
      </c>
      <c r="I1857" s="609">
        <v>187500</v>
      </c>
      <c r="J1857" s="609">
        <v>250000</v>
      </c>
      <c r="K1857" s="609">
        <v>340000</v>
      </c>
      <c r="L1857" s="609">
        <v>0</v>
      </c>
      <c r="M1857" s="609">
        <v>0</v>
      </c>
      <c r="N1857" s="587">
        <f t="shared" si="206"/>
        <v>340000</v>
      </c>
      <c r="O1857" s="125"/>
      <c r="P1857" s="490">
        <f t="shared" si="214"/>
        <v>90000</v>
      </c>
      <c r="Q1857" t="str">
        <f t="shared" si="207"/>
        <v>59406</v>
      </c>
      <c r="R1857" s="126" t="str">
        <f t="shared" si="212"/>
        <v>TRANSFER TO CIP-DRAINAGE</v>
      </c>
      <c r="S1857" s="125" t="str">
        <f t="shared" si="213"/>
        <v>400</v>
      </c>
      <c r="T1857" s="125" t="str">
        <f t="shared" si="208"/>
        <v>89</v>
      </c>
      <c r="U1857" s="125" t="str">
        <f t="shared" si="209"/>
        <v>898</v>
      </c>
      <c r="V1857" s="125" t="str">
        <f>VLOOKUP(Q1857,'GL Category'!A:C,3,FALSE)</f>
        <v>Transfers to other funds</v>
      </c>
    </row>
    <row r="1858" spans="1:22">
      <c r="A1858" s="608" t="s">
        <v>1038</v>
      </c>
      <c r="B1858" s="608" t="s">
        <v>3355</v>
      </c>
      <c r="C1858" s="608" t="s">
        <v>3349</v>
      </c>
      <c r="D1858" s="609">
        <v>0</v>
      </c>
      <c r="E1858" s="609">
        <v>0</v>
      </c>
      <c r="F1858" s="609">
        <v>0</v>
      </c>
      <c r="G1858" s="609">
        <v>0</v>
      </c>
      <c r="H1858" s="609">
        <v>0</v>
      </c>
      <c r="I1858" s="609">
        <v>0</v>
      </c>
      <c r="J1858" s="609">
        <v>0</v>
      </c>
      <c r="K1858" s="609">
        <v>0</v>
      </c>
      <c r="L1858" s="609">
        <v>0</v>
      </c>
      <c r="M1858" s="609">
        <v>0</v>
      </c>
      <c r="N1858" s="587">
        <f t="shared" si="206"/>
        <v>0</v>
      </c>
      <c r="O1858" s="125"/>
      <c r="P1858" s="490">
        <f t="shared" si="214"/>
        <v>0</v>
      </c>
      <c r="Q1858" t="str">
        <f t="shared" si="207"/>
        <v>50660</v>
      </c>
      <c r="R1858" s="126" t="str">
        <f t="shared" si="212"/>
        <v>COMPENSATED ABSENCES</v>
      </c>
      <c r="S1858" s="125" t="str">
        <f t="shared" si="213"/>
        <v>400</v>
      </c>
      <c r="T1858" s="125" t="str">
        <f t="shared" si="208"/>
        <v>89</v>
      </c>
      <c r="U1858" s="125" t="str">
        <f t="shared" si="209"/>
        <v>899</v>
      </c>
      <c r="V1858" s="125" t="e">
        <f>VLOOKUP(Q1858,'GL Category'!A:C,3,FALSE)</f>
        <v>#N/A</v>
      </c>
    </row>
    <row r="1859" spans="1:22" ht="20.399999999999999">
      <c r="A1859" s="608" t="s">
        <v>1038</v>
      </c>
      <c r="B1859" s="608" t="s">
        <v>3237</v>
      </c>
      <c r="C1859" s="608" t="s">
        <v>205</v>
      </c>
      <c r="D1859" s="609">
        <v>3986.02</v>
      </c>
      <c r="E1859" s="609">
        <v>-6873.16</v>
      </c>
      <c r="F1859" s="609">
        <v>3080.97</v>
      </c>
      <c r="G1859" s="609">
        <v>-5497.33</v>
      </c>
      <c r="H1859" s="609">
        <v>0</v>
      </c>
      <c r="I1859" s="609">
        <v>1018.24</v>
      </c>
      <c r="J1859" s="609">
        <v>0</v>
      </c>
      <c r="K1859" s="609">
        <v>0</v>
      </c>
      <c r="L1859" s="609">
        <v>0</v>
      </c>
      <c r="M1859" s="609">
        <v>0</v>
      </c>
      <c r="N1859" s="587">
        <f t="shared" si="206"/>
        <v>0</v>
      </c>
      <c r="O1859" s="125"/>
      <c r="P1859" s="490">
        <f t="shared" si="214"/>
        <v>0</v>
      </c>
      <c r="Q1859" t="str">
        <f t="shared" si="207"/>
        <v>53550</v>
      </c>
      <c r="R1859" s="126" t="str">
        <f t="shared" si="212"/>
        <v>BAD DEBT EXPENSE</v>
      </c>
      <c r="S1859" s="125" t="str">
        <f t="shared" si="213"/>
        <v>400</v>
      </c>
      <c r="T1859" s="125" t="str">
        <f t="shared" si="208"/>
        <v>89</v>
      </c>
      <c r="U1859" s="125" t="str">
        <f t="shared" si="209"/>
        <v>899</v>
      </c>
      <c r="V1859" s="125" t="str">
        <f>VLOOKUP(Q1859,'GL Category'!A:C,3,FALSE)</f>
        <v>Services &amp; other</v>
      </c>
    </row>
    <row r="1860" spans="1:22" ht="20.399999999999999">
      <c r="A1860" s="608" t="s">
        <v>1038</v>
      </c>
      <c r="B1860" s="608" t="s">
        <v>1535</v>
      </c>
      <c r="C1860" s="608" t="s">
        <v>232</v>
      </c>
      <c r="D1860" s="609">
        <v>132880</v>
      </c>
      <c r="E1860" s="609">
        <v>105070</v>
      </c>
      <c r="F1860" s="609">
        <v>132880</v>
      </c>
      <c r="G1860" s="609">
        <v>134500</v>
      </c>
      <c r="H1860" s="609">
        <v>123560</v>
      </c>
      <c r="I1860" s="609">
        <v>92670</v>
      </c>
      <c r="J1860" s="609">
        <v>123560</v>
      </c>
      <c r="K1860" s="609">
        <v>113590</v>
      </c>
      <c r="L1860" s="609">
        <v>0</v>
      </c>
      <c r="M1860" s="609">
        <v>0</v>
      </c>
      <c r="N1860" s="587">
        <f t="shared" ref="N1860:N1867" si="215">SUM(K1860:M1860)</f>
        <v>113590</v>
      </c>
      <c r="O1860" s="125"/>
      <c r="P1860" s="490">
        <f t="shared" si="214"/>
        <v>-9970</v>
      </c>
      <c r="Q1860" t="str">
        <f t="shared" ref="Q1860:Q1877" si="216">MID(B1860,12,5)</f>
        <v>53554</v>
      </c>
      <c r="R1860" s="126" t="str">
        <f t="shared" si="212"/>
        <v>ADMINISTRATIVE SERVICES</v>
      </c>
      <c r="S1860" s="125" t="str">
        <f t="shared" si="213"/>
        <v>400</v>
      </c>
      <c r="T1860" s="125" t="str">
        <f t="shared" ref="T1860:T1877" si="217">MID(B1860,5,2)</f>
        <v>89</v>
      </c>
      <c r="U1860" s="125" t="str">
        <f t="shared" ref="U1860:U1877" si="218">MID(B1860,8,3)</f>
        <v>899</v>
      </c>
      <c r="V1860" s="125" t="str">
        <f>VLOOKUP(Q1860,'GL Category'!A:C,3,FALSE)</f>
        <v>Services &amp; other</v>
      </c>
    </row>
    <row r="1861" spans="1:22" ht="20.399999999999999">
      <c r="A1861" s="608" t="s">
        <v>1038</v>
      </c>
      <c r="B1861" s="608" t="s">
        <v>1536</v>
      </c>
      <c r="C1861" s="608" t="s">
        <v>209</v>
      </c>
      <c r="D1861" s="609">
        <v>7725.69</v>
      </c>
      <c r="E1861" s="609">
        <v>8487.92</v>
      </c>
      <c r="F1861" s="609">
        <v>10341.92</v>
      </c>
      <c r="G1861" s="609">
        <v>11600.14</v>
      </c>
      <c r="H1861" s="609">
        <v>14702</v>
      </c>
      <c r="I1861" s="609">
        <v>13043.4</v>
      </c>
      <c r="J1861" s="609">
        <v>14702</v>
      </c>
      <c r="K1861" s="609">
        <v>14702</v>
      </c>
      <c r="L1861" s="609">
        <v>0</v>
      </c>
      <c r="M1861" s="609">
        <v>0</v>
      </c>
      <c r="N1861" s="587">
        <f t="shared" si="215"/>
        <v>14702</v>
      </c>
      <c r="O1861" s="125"/>
      <c r="P1861" s="490">
        <f t="shared" si="214"/>
        <v>0</v>
      </c>
      <c r="Q1861" t="str">
        <f t="shared" si="216"/>
        <v>53560</v>
      </c>
      <c r="R1861" s="126" t="str">
        <f t="shared" si="212"/>
        <v>GENERAL INSURANCE</v>
      </c>
      <c r="S1861" s="125" t="str">
        <f t="shared" si="213"/>
        <v>400</v>
      </c>
      <c r="T1861" s="125" t="str">
        <f t="shared" si="217"/>
        <v>89</v>
      </c>
      <c r="U1861" s="125" t="str">
        <f t="shared" si="218"/>
        <v>899</v>
      </c>
      <c r="V1861" s="125" t="str">
        <f>VLOOKUP(Q1861,'GL Category'!A:C,3,FALSE)</f>
        <v>Services &amp; other</v>
      </c>
    </row>
    <row r="1862" spans="1:22" ht="20.399999999999999">
      <c r="A1862" s="608" t="s">
        <v>1038</v>
      </c>
      <c r="B1862" s="608" t="s">
        <v>1537</v>
      </c>
      <c r="C1862" s="608" t="s">
        <v>270</v>
      </c>
      <c r="D1862" s="609">
        <v>0</v>
      </c>
      <c r="E1862" s="609">
        <v>825</v>
      </c>
      <c r="F1862" s="609">
        <v>0</v>
      </c>
      <c r="G1862" s="609">
        <v>0</v>
      </c>
      <c r="H1862" s="609">
        <v>17500</v>
      </c>
      <c r="I1862" s="609">
        <v>0</v>
      </c>
      <c r="J1862" s="609">
        <v>17500</v>
      </c>
      <c r="K1862" s="609">
        <v>12500</v>
      </c>
      <c r="L1862" s="609">
        <v>0</v>
      </c>
      <c r="M1862" s="609">
        <v>0</v>
      </c>
      <c r="N1862" s="587">
        <f t="shared" si="215"/>
        <v>12500</v>
      </c>
      <c r="O1862" s="125"/>
      <c r="P1862" s="490">
        <f t="shared" si="214"/>
        <v>-5000</v>
      </c>
      <c r="Q1862" t="str">
        <f t="shared" si="216"/>
        <v>53582</v>
      </c>
      <c r="R1862" s="126" t="str">
        <f t="shared" si="212"/>
        <v>JUDGMENTS/CLAIMS/DAMAGES</v>
      </c>
      <c r="S1862" s="125" t="str">
        <f t="shared" si="213"/>
        <v>400</v>
      </c>
      <c r="T1862" s="125" t="str">
        <f t="shared" si="217"/>
        <v>89</v>
      </c>
      <c r="U1862" s="125" t="str">
        <f t="shared" si="218"/>
        <v>899</v>
      </c>
      <c r="V1862" s="125" t="str">
        <f>VLOOKUP(Q1862,'GL Category'!A:C,3,FALSE)</f>
        <v>Services &amp; other</v>
      </c>
    </row>
    <row r="1863" spans="1:22" ht="20.399999999999999">
      <c r="A1863" s="608" t="s">
        <v>1038</v>
      </c>
      <c r="B1863" s="608" t="s">
        <v>1534</v>
      </c>
      <c r="C1863" s="608" t="s">
        <v>238</v>
      </c>
      <c r="D1863" s="609">
        <v>0</v>
      </c>
      <c r="E1863" s="609">
        <v>4860.5200000000004</v>
      </c>
      <c r="F1863" s="609">
        <v>-276.56</v>
      </c>
      <c r="G1863" s="609">
        <v>6272.79</v>
      </c>
      <c r="H1863" s="609">
        <v>20000</v>
      </c>
      <c r="I1863" s="609">
        <v>6123.15</v>
      </c>
      <c r="J1863" s="609">
        <v>20000</v>
      </c>
      <c r="K1863" s="609">
        <v>17500</v>
      </c>
      <c r="L1863" s="609">
        <v>0</v>
      </c>
      <c r="M1863" s="609">
        <v>0</v>
      </c>
      <c r="N1863" s="587">
        <f t="shared" si="215"/>
        <v>17500</v>
      </c>
      <c r="O1863" s="125"/>
      <c r="P1863" s="490">
        <f t="shared" si="214"/>
        <v>-2500</v>
      </c>
      <c r="Q1863" t="str">
        <f t="shared" si="216"/>
        <v>53599</v>
      </c>
      <c r="R1863" s="126" t="str">
        <f t="shared" si="212"/>
        <v>MISCELLANEOUS SERVICES</v>
      </c>
      <c r="S1863" s="125" t="str">
        <f t="shared" si="213"/>
        <v>400</v>
      </c>
      <c r="T1863" s="125" t="str">
        <f t="shared" si="217"/>
        <v>89</v>
      </c>
      <c r="U1863" s="125" t="str">
        <f t="shared" si="218"/>
        <v>899</v>
      </c>
      <c r="V1863" s="125" t="str">
        <f>VLOOKUP(Q1863,'GL Category'!A:C,3,FALSE)</f>
        <v>Services &amp; other</v>
      </c>
    </row>
    <row r="1864" spans="1:22" ht="20.399999999999999">
      <c r="A1864" s="608" t="s">
        <v>1038</v>
      </c>
      <c r="B1864" s="608" t="s">
        <v>1538</v>
      </c>
      <c r="C1864" s="608" t="s">
        <v>3159</v>
      </c>
      <c r="D1864" s="609">
        <v>108550</v>
      </c>
      <c r="E1864" s="609">
        <v>107392</v>
      </c>
      <c r="F1864" s="609">
        <v>126430</v>
      </c>
      <c r="G1864" s="609">
        <v>125791</v>
      </c>
      <c r="H1864" s="609">
        <v>125123</v>
      </c>
      <c r="I1864" s="609">
        <v>93842.25</v>
      </c>
      <c r="J1864" s="609">
        <v>125123</v>
      </c>
      <c r="K1864" s="609">
        <v>115442</v>
      </c>
      <c r="L1864" s="609">
        <v>0</v>
      </c>
      <c r="M1864" s="609">
        <v>0</v>
      </c>
      <c r="N1864" s="587">
        <f t="shared" si="215"/>
        <v>115442</v>
      </c>
      <c r="O1864" s="125"/>
      <c r="P1864" s="490">
        <f t="shared" si="214"/>
        <v>-9681</v>
      </c>
      <c r="Q1864" t="str">
        <f t="shared" si="216"/>
        <v>55380</v>
      </c>
      <c r="R1864" s="126" t="str">
        <f t="shared" si="212"/>
        <v>FRANCHISE/IN-LIEU OF TAXES-DRNG</v>
      </c>
      <c r="S1864" s="125" t="str">
        <f t="shared" si="213"/>
        <v>400</v>
      </c>
      <c r="T1864" s="125" t="str">
        <f t="shared" si="217"/>
        <v>89</v>
      </c>
      <c r="U1864" s="125" t="str">
        <f t="shared" si="218"/>
        <v>899</v>
      </c>
      <c r="V1864" s="125" t="str">
        <f>VLOOKUP(Q1864,'GL Category'!A:C,3,FALSE)</f>
        <v>Services &amp; other</v>
      </c>
    </row>
    <row r="1865" spans="1:22">
      <c r="A1865" s="608" t="s">
        <v>1038</v>
      </c>
      <c r="B1865" s="608" t="s">
        <v>1539</v>
      </c>
      <c r="C1865" s="608" t="s">
        <v>353</v>
      </c>
      <c r="D1865" s="609">
        <v>0</v>
      </c>
      <c r="E1865" s="609">
        <v>0</v>
      </c>
      <c r="F1865" s="609">
        <v>0</v>
      </c>
      <c r="G1865" s="609">
        <v>0</v>
      </c>
      <c r="H1865" s="609">
        <v>0</v>
      </c>
      <c r="I1865" s="609">
        <v>0</v>
      </c>
      <c r="J1865" s="609">
        <v>0</v>
      </c>
      <c r="K1865" s="609">
        <v>0</v>
      </c>
      <c r="L1865" s="609">
        <v>0</v>
      </c>
      <c r="M1865" s="609">
        <v>0</v>
      </c>
      <c r="N1865" s="587">
        <f t="shared" si="215"/>
        <v>0</v>
      </c>
      <c r="O1865" s="125"/>
      <c r="Q1865" t="str">
        <f t="shared" si="216"/>
        <v>58651</v>
      </c>
      <c r="R1865" s="126" t="str">
        <f t="shared" si="212"/>
        <v>DEPRECIATION EXPENSE</v>
      </c>
      <c r="S1865" s="125" t="str">
        <f t="shared" si="213"/>
        <v>400</v>
      </c>
      <c r="T1865" s="125" t="str">
        <f t="shared" si="217"/>
        <v>89</v>
      </c>
      <c r="U1865" s="125" t="str">
        <f t="shared" si="218"/>
        <v>899</v>
      </c>
      <c r="V1865" s="125" t="str">
        <f>VLOOKUP(Q1865,'GL Category'!A:C,3,FALSE)</f>
        <v>Capital Outlay</v>
      </c>
    </row>
    <row r="1866" spans="1:22">
      <c r="A1866" s="608" t="s">
        <v>1038</v>
      </c>
      <c r="B1866" s="608" t="s">
        <v>3225</v>
      </c>
      <c r="C1866" s="608" t="s">
        <v>353</v>
      </c>
      <c r="D1866" s="609">
        <v>0</v>
      </c>
      <c r="E1866" s="609">
        <v>0</v>
      </c>
      <c r="F1866" s="609">
        <v>964577.48</v>
      </c>
      <c r="G1866" s="609">
        <v>1000688.29</v>
      </c>
      <c r="H1866" s="609">
        <v>0</v>
      </c>
      <c r="I1866" s="609">
        <v>0</v>
      </c>
      <c r="J1866" s="609">
        <v>0</v>
      </c>
      <c r="K1866" s="609">
        <v>0</v>
      </c>
      <c r="L1866" s="609">
        <v>0</v>
      </c>
      <c r="M1866" s="609">
        <v>0</v>
      </c>
      <c r="N1866" s="587">
        <f t="shared" si="215"/>
        <v>0</v>
      </c>
      <c r="O1866" s="125"/>
      <c r="Q1866" t="str">
        <f t="shared" si="216"/>
        <v>58651</v>
      </c>
      <c r="R1866" s="126" t="str">
        <f t="shared" si="212"/>
        <v>DEPRECIATION EXPENSE</v>
      </c>
      <c r="S1866" s="125" t="str">
        <f t="shared" si="213"/>
        <v>400</v>
      </c>
      <c r="T1866" s="125" t="str">
        <f t="shared" si="217"/>
        <v>99</v>
      </c>
      <c r="U1866" s="125" t="str">
        <f t="shared" si="218"/>
        <v>905</v>
      </c>
      <c r="V1866" s="125" t="str">
        <f>VLOOKUP(Q1866,'GL Category'!A:C,3,FALSE)</f>
        <v>Capital Outlay</v>
      </c>
    </row>
    <row r="1867" spans="1:22">
      <c r="A1867" s="599"/>
      <c r="B1867" s="599"/>
      <c r="C1867" s="599"/>
      <c r="D1867" s="600"/>
      <c r="E1867" s="600"/>
      <c r="F1867" s="600"/>
      <c r="G1867" s="600"/>
      <c r="H1867" s="600"/>
      <c r="I1867" s="600"/>
      <c r="J1867" s="600"/>
      <c r="K1867" s="600"/>
      <c r="L1867" s="600"/>
      <c r="M1867" s="600"/>
      <c r="N1867" s="587">
        <f t="shared" si="215"/>
        <v>0</v>
      </c>
      <c r="O1867" s="125"/>
      <c r="Q1867" t="str">
        <f t="shared" si="216"/>
        <v/>
      </c>
      <c r="R1867" s="126">
        <f t="shared" si="212"/>
        <v>0</v>
      </c>
      <c r="S1867" s="125" t="str">
        <f t="shared" si="213"/>
        <v/>
      </c>
      <c r="T1867" s="125" t="str">
        <f t="shared" si="217"/>
        <v/>
      </c>
      <c r="U1867" s="125" t="str">
        <f t="shared" si="218"/>
        <v/>
      </c>
      <c r="V1867" s="125" t="e">
        <f>VLOOKUP(Q1867,'GL Category'!A:C,3,FALSE)</f>
        <v>#N/A</v>
      </c>
    </row>
    <row r="1868" spans="1:22">
      <c r="B1868" s="203"/>
      <c r="C1868" s="203"/>
      <c r="D1868" s="203"/>
      <c r="E1868" s="249"/>
      <c r="F1868" s="565"/>
      <c r="G1868" s="565"/>
      <c r="H1868" s="566"/>
      <c r="I1868" s="566"/>
      <c r="J1868" s="566"/>
      <c r="K1868" s="565"/>
      <c r="L1868" s="544"/>
      <c r="M1868" s="544"/>
      <c r="N1868" s="489"/>
      <c r="O1868" s="125"/>
      <c r="Q1868" t="str">
        <f t="shared" si="216"/>
        <v/>
      </c>
      <c r="R1868" s="126">
        <f t="shared" si="212"/>
        <v>0</v>
      </c>
      <c r="S1868" s="125" t="str">
        <f t="shared" si="213"/>
        <v/>
      </c>
      <c r="T1868" s="125" t="str">
        <f t="shared" si="217"/>
        <v/>
      </c>
      <c r="U1868" s="125" t="str">
        <f t="shared" si="218"/>
        <v/>
      </c>
      <c r="V1868" s="125" t="e">
        <f>VLOOKUP(Q1868,'GL Category'!A:C,3,FALSE)</f>
        <v>#N/A</v>
      </c>
    </row>
    <row r="1869" spans="1:22">
      <c r="B1869" s="203"/>
      <c r="C1869" s="203"/>
      <c r="D1869" s="203"/>
      <c r="E1869" s="249"/>
      <c r="F1869" s="565"/>
      <c r="G1869" s="565"/>
      <c r="H1869" s="566"/>
      <c r="I1869" s="566"/>
      <c r="J1869" s="566"/>
      <c r="K1869" s="565"/>
      <c r="L1869" s="544"/>
      <c r="M1869" s="544"/>
      <c r="N1869" s="489"/>
      <c r="O1869" s="125"/>
      <c r="Q1869" t="str">
        <f t="shared" si="216"/>
        <v/>
      </c>
      <c r="R1869" s="126">
        <f t="shared" si="212"/>
        <v>0</v>
      </c>
      <c r="S1869" s="125" t="str">
        <f t="shared" si="213"/>
        <v/>
      </c>
      <c r="T1869" s="125" t="str">
        <f t="shared" si="217"/>
        <v/>
      </c>
      <c r="U1869" s="125" t="str">
        <f t="shared" si="218"/>
        <v/>
      </c>
      <c r="V1869" s="125" t="e">
        <f>VLOOKUP(Q1869,'GL Category'!A:C,3,FALSE)</f>
        <v>#N/A</v>
      </c>
    </row>
    <row r="1870" spans="1:22">
      <c r="B1870" s="203"/>
      <c r="C1870" s="203"/>
      <c r="D1870" s="203"/>
      <c r="E1870" s="249"/>
      <c r="F1870" s="565"/>
      <c r="G1870" s="565"/>
      <c r="H1870" s="566"/>
      <c r="I1870" s="566"/>
      <c r="J1870" s="566"/>
      <c r="K1870" s="565"/>
      <c r="L1870" s="544"/>
      <c r="M1870" s="544"/>
      <c r="N1870" s="489"/>
      <c r="O1870" s="125"/>
      <c r="Q1870" t="str">
        <f t="shared" si="216"/>
        <v/>
      </c>
      <c r="R1870" s="126">
        <f t="shared" si="212"/>
        <v>0</v>
      </c>
      <c r="S1870" s="125" t="str">
        <f t="shared" si="213"/>
        <v/>
      </c>
      <c r="T1870" s="125" t="str">
        <f t="shared" si="217"/>
        <v/>
      </c>
      <c r="U1870" s="125" t="str">
        <f t="shared" si="218"/>
        <v/>
      </c>
      <c r="V1870" s="125" t="e">
        <f>VLOOKUP(Q1870,'GL Category'!A:C,3,FALSE)</f>
        <v>#N/A</v>
      </c>
    </row>
    <row r="1871" spans="1:22">
      <c r="B1871" s="203"/>
      <c r="C1871" s="203"/>
      <c r="D1871" s="203"/>
      <c r="E1871" s="203"/>
      <c r="F1871" s="544"/>
      <c r="G1871" s="565"/>
      <c r="H1871" s="566"/>
      <c r="I1871" s="566"/>
      <c r="J1871" s="566"/>
      <c r="K1871" s="565"/>
      <c r="L1871" s="544"/>
      <c r="M1871" s="544"/>
      <c r="N1871" s="489"/>
      <c r="O1871" s="125"/>
      <c r="Q1871" t="str">
        <f t="shared" si="216"/>
        <v/>
      </c>
      <c r="R1871" s="126">
        <f t="shared" si="212"/>
        <v>0</v>
      </c>
      <c r="S1871" s="125" t="str">
        <f t="shared" si="213"/>
        <v/>
      </c>
      <c r="T1871" s="125" t="str">
        <f t="shared" si="217"/>
        <v/>
      </c>
      <c r="U1871" s="125" t="str">
        <f t="shared" si="218"/>
        <v/>
      </c>
      <c r="V1871" s="125" t="e">
        <f>VLOOKUP(Q1871,'GL Category'!A:C,3,FALSE)</f>
        <v>#N/A</v>
      </c>
    </row>
    <row r="1872" spans="1:22">
      <c r="B1872" s="203"/>
      <c r="C1872" s="203"/>
      <c r="D1872" s="203"/>
      <c r="E1872" s="203"/>
      <c r="F1872" s="544"/>
      <c r="G1872" s="565"/>
      <c r="H1872" s="566"/>
      <c r="I1872" s="566"/>
      <c r="J1872" s="566"/>
      <c r="K1872" s="565"/>
      <c r="L1872" s="544"/>
      <c r="M1872" s="544"/>
      <c r="N1872" s="489"/>
      <c r="O1872" s="125"/>
      <c r="Q1872" t="str">
        <f t="shared" si="216"/>
        <v/>
      </c>
      <c r="R1872" s="126">
        <f t="shared" si="212"/>
        <v>0</v>
      </c>
      <c r="S1872" s="125" t="str">
        <f t="shared" si="213"/>
        <v/>
      </c>
      <c r="T1872" s="125" t="str">
        <f t="shared" si="217"/>
        <v/>
      </c>
      <c r="U1872" s="125" t="str">
        <f t="shared" si="218"/>
        <v/>
      </c>
      <c r="V1872" s="125" t="e">
        <f>VLOOKUP(Q1872,'GL Category'!A:C,3,FALSE)</f>
        <v>#N/A</v>
      </c>
    </row>
    <row r="1873" spans="2:22">
      <c r="B1873" s="203"/>
      <c r="C1873" s="203"/>
      <c r="D1873" s="203"/>
      <c r="E1873" s="249"/>
      <c r="F1873" s="565"/>
      <c r="G1873" s="565"/>
      <c r="H1873" s="566"/>
      <c r="I1873" s="566"/>
      <c r="J1873" s="566"/>
      <c r="K1873" s="565"/>
      <c r="L1873" s="544"/>
      <c r="M1873" s="544"/>
      <c r="N1873" s="489"/>
      <c r="O1873" s="125"/>
      <c r="Q1873" t="str">
        <f t="shared" si="216"/>
        <v/>
      </c>
      <c r="R1873" s="126">
        <f t="shared" si="212"/>
        <v>0</v>
      </c>
      <c r="S1873" s="125" t="str">
        <f t="shared" si="213"/>
        <v/>
      </c>
      <c r="T1873" s="125" t="str">
        <f t="shared" si="217"/>
        <v/>
      </c>
      <c r="U1873" s="125" t="str">
        <f t="shared" si="218"/>
        <v/>
      </c>
      <c r="V1873" s="125" t="e">
        <f>VLOOKUP(Q1873,'GL Category'!A:C,3,FALSE)</f>
        <v>#N/A</v>
      </c>
    </row>
    <row r="1874" spans="2:22">
      <c r="B1874" s="203"/>
      <c r="C1874" s="203"/>
      <c r="D1874" s="203"/>
      <c r="E1874" s="249"/>
      <c r="F1874" s="565"/>
      <c r="G1874" s="565"/>
      <c r="H1874" s="566"/>
      <c r="I1874" s="566"/>
      <c r="J1874" s="566"/>
      <c r="K1874" s="544"/>
      <c r="L1874" s="544"/>
      <c r="M1874" s="544"/>
      <c r="N1874" s="489"/>
      <c r="O1874" s="125"/>
      <c r="Q1874" t="str">
        <f t="shared" si="216"/>
        <v/>
      </c>
      <c r="R1874" s="126">
        <f t="shared" si="212"/>
        <v>0</v>
      </c>
      <c r="S1874" s="125" t="str">
        <f t="shared" si="213"/>
        <v/>
      </c>
      <c r="T1874" s="125" t="str">
        <f t="shared" si="217"/>
        <v/>
      </c>
      <c r="U1874" s="125" t="str">
        <f t="shared" si="218"/>
        <v/>
      </c>
      <c r="V1874" s="125" t="e">
        <f>VLOOKUP(Q1874,'GL Category'!A:C,3,FALSE)</f>
        <v>#N/A</v>
      </c>
    </row>
    <row r="1875" spans="2:22">
      <c r="B1875" s="203"/>
      <c r="C1875" s="203"/>
      <c r="D1875" s="203"/>
      <c r="E1875" s="203"/>
      <c r="F1875" s="544"/>
      <c r="G1875" s="565"/>
      <c r="H1875" s="566"/>
      <c r="I1875" s="566"/>
      <c r="J1875" s="566"/>
      <c r="K1875" s="565"/>
      <c r="L1875" s="544"/>
      <c r="M1875" s="544"/>
      <c r="N1875" s="489"/>
      <c r="O1875" s="125"/>
      <c r="Q1875" t="str">
        <f t="shared" si="216"/>
        <v/>
      </c>
      <c r="R1875" s="126">
        <f t="shared" si="212"/>
        <v>0</v>
      </c>
      <c r="S1875" s="125" t="str">
        <f t="shared" si="213"/>
        <v/>
      </c>
      <c r="T1875" s="125" t="str">
        <f t="shared" si="217"/>
        <v/>
      </c>
      <c r="U1875" s="125" t="str">
        <f t="shared" si="218"/>
        <v/>
      </c>
      <c r="V1875" s="125" t="e">
        <f>VLOOKUP(Q1875,'GL Category'!A:C,3,FALSE)</f>
        <v>#N/A</v>
      </c>
    </row>
    <row r="1876" spans="2:22">
      <c r="B1876" s="203"/>
      <c r="C1876" s="203"/>
      <c r="D1876" s="203"/>
      <c r="E1876" s="249"/>
      <c r="F1876" s="565"/>
      <c r="G1876" s="565"/>
      <c r="H1876" s="566"/>
      <c r="I1876" s="566"/>
      <c r="J1876" s="566"/>
      <c r="K1876" s="544"/>
      <c r="L1876" s="544"/>
      <c r="M1876" s="544"/>
      <c r="N1876" s="489"/>
      <c r="O1876" s="125"/>
      <c r="Q1876" t="str">
        <f t="shared" si="216"/>
        <v/>
      </c>
      <c r="R1876" s="126">
        <f t="shared" si="212"/>
        <v>0</v>
      </c>
      <c r="S1876" s="125" t="str">
        <f t="shared" si="213"/>
        <v/>
      </c>
      <c r="T1876" s="125" t="str">
        <f t="shared" si="217"/>
        <v/>
      </c>
      <c r="U1876" s="125" t="str">
        <f t="shared" si="218"/>
        <v/>
      </c>
      <c r="V1876" s="125" t="e">
        <f>VLOOKUP(Q1876,'GL Category'!A:C,3,FALSE)</f>
        <v>#N/A</v>
      </c>
    </row>
    <row r="1877" spans="2:22">
      <c r="B1877" s="203"/>
      <c r="C1877" s="203"/>
      <c r="D1877" s="203"/>
      <c r="E1877" s="249"/>
      <c r="F1877" s="565"/>
      <c r="G1877" s="565"/>
      <c r="H1877" s="566"/>
      <c r="I1877" s="566"/>
      <c r="J1877" s="566"/>
      <c r="K1877" s="565"/>
      <c r="L1877" s="544"/>
      <c r="M1877" s="544"/>
      <c r="N1877" s="489"/>
      <c r="O1877" s="125"/>
      <c r="Q1877" t="str">
        <f t="shared" si="216"/>
        <v/>
      </c>
      <c r="R1877" s="126">
        <f t="shared" si="212"/>
        <v>0</v>
      </c>
      <c r="S1877" s="125" t="str">
        <f t="shared" si="213"/>
        <v/>
      </c>
      <c r="T1877" s="125" t="str">
        <f t="shared" si="217"/>
        <v/>
      </c>
      <c r="U1877" s="125" t="str">
        <f t="shared" si="218"/>
        <v/>
      </c>
      <c r="V1877" s="125" t="e">
        <f>VLOOKUP(Q1877,'GL Category'!A:C,3,FALSE)</f>
        <v>#N/A</v>
      </c>
    </row>
    <row r="1878" spans="2:22">
      <c r="B1878" s="203"/>
      <c r="C1878" s="203"/>
      <c r="D1878" s="203"/>
      <c r="E1878" s="249"/>
      <c r="F1878" s="565"/>
      <c r="G1878" s="565"/>
      <c r="H1878" s="566"/>
      <c r="I1878" s="566"/>
      <c r="J1878" s="566"/>
      <c r="K1878" s="565"/>
      <c r="L1878" s="544"/>
      <c r="M1878" s="544"/>
      <c r="N1878" s="489"/>
      <c r="O1878" s="125"/>
      <c r="R1878" s="126"/>
    </row>
    <row r="1879" spans="2:22">
      <c r="B1879" s="203"/>
      <c r="C1879" s="203"/>
      <c r="D1879" s="203"/>
      <c r="E1879" s="203"/>
      <c r="F1879" s="544"/>
      <c r="G1879" s="544"/>
      <c r="H1879" s="567"/>
      <c r="I1879" s="567"/>
      <c r="J1879" s="567"/>
      <c r="K1879" s="544"/>
      <c r="L1879" s="544"/>
      <c r="M1879" s="544"/>
      <c r="N1879" s="489"/>
      <c r="O1879" s="125"/>
      <c r="R1879" s="126"/>
    </row>
    <row r="1880" spans="2:22">
      <c r="B1880" s="203"/>
      <c r="C1880" s="203"/>
      <c r="D1880" s="203"/>
      <c r="E1880" s="203"/>
      <c r="F1880" s="544"/>
      <c r="G1880" s="544"/>
      <c r="H1880" s="567"/>
      <c r="I1880" s="567"/>
      <c r="J1880" s="567"/>
      <c r="K1880" s="544"/>
      <c r="L1880" s="544"/>
      <c r="M1880" s="544"/>
      <c r="N1880" s="489"/>
      <c r="O1880" s="125"/>
      <c r="R1880" s="126"/>
    </row>
    <row r="1881" spans="2:22">
      <c r="B1881" s="203"/>
      <c r="C1881" s="203"/>
      <c r="D1881" s="203"/>
      <c r="E1881" s="203"/>
      <c r="F1881" s="544"/>
      <c r="G1881" s="544"/>
      <c r="H1881" s="567"/>
      <c r="I1881" s="567"/>
      <c r="J1881" s="567"/>
      <c r="K1881" s="595"/>
      <c r="L1881" s="544"/>
      <c r="M1881" s="544"/>
      <c r="N1881" s="489"/>
      <c r="O1881" s="125"/>
      <c r="R1881" s="126"/>
    </row>
    <row r="1882" spans="2:22">
      <c r="B1882" s="203"/>
      <c r="C1882" s="203"/>
      <c r="D1882" s="203"/>
      <c r="E1882" s="249"/>
      <c r="F1882" s="565"/>
      <c r="G1882" s="544"/>
      <c r="H1882" s="567"/>
      <c r="I1882" s="567"/>
      <c r="J1882" s="567"/>
      <c r="K1882" s="544"/>
      <c r="L1882" s="544"/>
      <c r="M1882" s="544"/>
      <c r="N1882" s="489"/>
      <c r="O1882" s="125"/>
      <c r="R1882" s="126"/>
    </row>
    <row r="1883" spans="2:22">
      <c r="B1883" s="203"/>
      <c r="C1883" s="203"/>
      <c r="D1883" s="203"/>
      <c r="E1883" s="249"/>
      <c r="F1883" s="565"/>
      <c r="G1883" s="565"/>
      <c r="H1883" s="567"/>
      <c r="I1883" s="567"/>
      <c r="J1883" s="567"/>
      <c r="K1883" s="544"/>
      <c r="L1883" s="544"/>
      <c r="M1883" s="544"/>
      <c r="N1883" s="489"/>
      <c r="O1883" s="125"/>
      <c r="R1883" s="126"/>
    </row>
    <row r="1884" spans="2:22">
      <c r="B1884" s="203"/>
      <c r="C1884" s="203"/>
      <c r="D1884" s="203"/>
      <c r="E1884" s="249"/>
      <c r="F1884" s="565"/>
      <c r="G1884" s="565"/>
      <c r="H1884" s="567"/>
      <c r="I1884" s="567"/>
      <c r="J1884" s="566"/>
      <c r="K1884" s="565"/>
      <c r="L1884" s="544"/>
      <c r="M1884" s="544"/>
      <c r="N1884" s="489"/>
      <c r="O1884" s="125"/>
      <c r="R1884" s="126"/>
    </row>
    <row r="1885" spans="2:22">
      <c r="B1885" s="203"/>
      <c r="C1885" s="203"/>
      <c r="D1885" s="203"/>
      <c r="E1885" s="249"/>
      <c r="F1885" s="565"/>
      <c r="G1885" s="544"/>
      <c r="H1885" s="567"/>
      <c r="I1885" s="567"/>
      <c r="J1885" s="567"/>
      <c r="K1885" s="544"/>
      <c r="L1885" s="544"/>
      <c r="M1885" s="544"/>
      <c r="N1885" s="489"/>
      <c r="O1885" s="125"/>
      <c r="R1885" s="126"/>
    </row>
    <row r="1886" spans="2:22">
      <c r="B1886" s="203"/>
      <c r="C1886" s="203"/>
      <c r="D1886" s="203"/>
      <c r="E1886" s="203"/>
      <c r="F1886" s="544"/>
      <c r="G1886" s="565"/>
      <c r="H1886" s="567"/>
      <c r="I1886" s="567"/>
      <c r="J1886" s="567"/>
      <c r="K1886" s="544"/>
      <c r="L1886" s="544"/>
      <c r="M1886" s="544"/>
      <c r="N1886" s="489"/>
      <c r="O1886" s="125"/>
      <c r="R1886" s="126"/>
    </row>
    <row r="1887" spans="2:22">
      <c r="B1887" s="203"/>
      <c r="C1887" s="203"/>
      <c r="D1887" s="203"/>
      <c r="E1887" s="203"/>
      <c r="F1887" s="544"/>
      <c r="G1887" s="565"/>
      <c r="H1887" s="567"/>
      <c r="I1887" s="567"/>
      <c r="J1887" s="567"/>
      <c r="K1887" s="544"/>
      <c r="L1887" s="544"/>
      <c r="M1887" s="544"/>
      <c r="N1887" s="489"/>
      <c r="O1887" s="125"/>
      <c r="R1887" s="126"/>
    </row>
    <row r="1888" spans="2:22">
      <c r="B1888" s="203"/>
      <c r="C1888" s="203"/>
      <c r="D1888" s="203"/>
      <c r="E1888" s="203"/>
      <c r="F1888" s="544"/>
      <c r="G1888" s="565"/>
      <c r="H1888" s="567"/>
      <c r="I1888" s="567"/>
      <c r="J1888" s="567"/>
      <c r="K1888" s="544"/>
      <c r="L1888" s="544"/>
      <c r="M1888" s="544"/>
      <c r="N1888" s="489"/>
      <c r="O1888" s="125"/>
      <c r="R1888" s="126"/>
    </row>
    <row r="1889" spans="2:18">
      <c r="B1889" s="203"/>
      <c r="C1889" s="203"/>
      <c r="D1889" s="203"/>
      <c r="E1889" s="249"/>
      <c r="F1889" s="565"/>
      <c r="G1889" s="544"/>
      <c r="H1889" s="567"/>
      <c r="I1889" s="567"/>
      <c r="J1889" s="567"/>
      <c r="K1889" s="544"/>
      <c r="L1889" s="544"/>
      <c r="M1889" s="544"/>
      <c r="N1889" s="489"/>
      <c r="O1889" s="125"/>
      <c r="R1889" s="126"/>
    </row>
    <row r="1890" spans="2:18">
      <c r="B1890" s="203"/>
      <c r="C1890" s="203"/>
      <c r="D1890" s="203"/>
      <c r="E1890" s="203"/>
      <c r="F1890" s="544"/>
      <c r="G1890" s="565"/>
      <c r="H1890" s="567"/>
      <c r="I1890" s="567"/>
      <c r="J1890" s="567"/>
      <c r="K1890" s="544"/>
      <c r="L1890" s="544"/>
      <c r="M1890" s="544"/>
      <c r="N1890" s="489"/>
      <c r="O1890" s="125"/>
      <c r="R1890" s="126"/>
    </row>
    <row r="1891" spans="2:18">
      <c r="B1891" s="203"/>
      <c r="C1891" s="203"/>
      <c r="D1891" s="203"/>
      <c r="E1891" s="249"/>
      <c r="F1891" s="565"/>
      <c r="G1891" s="565"/>
      <c r="H1891" s="567"/>
      <c r="I1891" s="567"/>
      <c r="J1891" s="567"/>
      <c r="K1891" s="544"/>
      <c r="L1891" s="544"/>
      <c r="M1891" s="544"/>
      <c r="N1891" s="489"/>
      <c r="O1891" s="125"/>
      <c r="R1891" s="126"/>
    </row>
    <row r="1892" spans="2:18">
      <c r="B1892" s="203"/>
      <c r="C1892" s="203"/>
      <c r="D1892" s="203"/>
      <c r="E1892" s="203"/>
      <c r="F1892" s="544"/>
      <c r="G1892" s="544"/>
      <c r="H1892" s="567"/>
      <c r="I1892" s="567"/>
      <c r="J1892" s="567"/>
      <c r="K1892" s="544"/>
      <c r="L1892" s="544"/>
      <c r="M1892" s="544"/>
      <c r="N1892" s="489"/>
      <c r="O1892" s="125"/>
      <c r="R1892" s="126"/>
    </row>
    <row r="1893" spans="2:18">
      <c r="B1893" s="203"/>
      <c r="C1893" s="203"/>
      <c r="D1893" s="203"/>
      <c r="E1893" s="203"/>
      <c r="F1893" s="544"/>
      <c r="G1893" s="544"/>
      <c r="H1893" s="567"/>
      <c r="I1893" s="567"/>
      <c r="J1893" s="566"/>
      <c r="K1893" s="544"/>
      <c r="L1893" s="544"/>
      <c r="M1893" s="544"/>
      <c r="N1893" s="489"/>
      <c r="O1893" s="125"/>
      <c r="R1893" s="126"/>
    </row>
    <row r="1894" spans="2:18">
      <c r="B1894" s="203"/>
      <c r="C1894" s="203"/>
      <c r="D1894" s="203"/>
      <c r="E1894" s="203"/>
      <c r="F1894" s="544"/>
      <c r="G1894" s="544"/>
      <c r="H1894" s="566"/>
      <c r="I1894" s="566"/>
      <c r="J1894" s="567"/>
      <c r="K1894" s="544"/>
      <c r="L1894" s="544"/>
      <c r="M1894" s="544"/>
      <c r="N1894" s="489"/>
      <c r="O1894" s="125"/>
      <c r="R1894" s="126"/>
    </row>
    <row r="1895" spans="2:18">
      <c r="B1895" s="203"/>
      <c r="C1895" s="203"/>
      <c r="D1895" s="203"/>
      <c r="E1895" s="203"/>
      <c r="F1895" s="544"/>
      <c r="G1895" s="544"/>
      <c r="H1895" s="566"/>
      <c r="I1895" s="566"/>
      <c r="J1895" s="566"/>
      <c r="K1895" s="565"/>
      <c r="L1895" s="544"/>
      <c r="M1895" s="544"/>
      <c r="N1895" s="489"/>
      <c r="O1895" s="125"/>
      <c r="R1895" s="126"/>
    </row>
    <row r="1896" spans="2:18">
      <c r="B1896" s="203"/>
      <c r="C1896" s="203"/>
      <c r="D1896" s="203"/>
      <c r="E1896" s="249"/>
      <c r="F1896" s="565"/>
      <c r="G1896" s="565"/>
      <c r="H1896" s="566"/>
      <c r="I1896" s="566"/>
      <c r="J1896" s="566"/>
      <c r="K1896" s="565"/>
      <c r="L1896" s="544"/>
      <c r="M1896" s="544"/>
      <c r="N1896" s="489"/>
      <c r="O1896" s="125"/>
      <c r="R1896" s="126"/>
    </row>
    <row r="1897" spans="2:18">
      <c r="B1897" s="203"/>
      <c r="C1897" s="203"/>
      <c r="D1897" s="203"/>
      <c r="E1897" s="203"/>
      <c r="F1897" s="544"/>
      <c r="G1897" s="544"/>
      <c r="H1897" s="567"/>
      <c r="I1897" s="567"/>
      <c r="J1897" s="567"/>
      <c r="K1897" s="565"/>
      <c r="L1897" s="544"/>
      <c r="M1897" s="544"/>
      <c r="N1897" s="489"/>
      <c r="O1897" s="125"/>
      <c r="R1897" s="126"/>
    </row>
    <row r="1898" spans="2:18">
      <c r="B1898" s="203"/>
      <c r="C1898" s="203"/>
      <c r="D1898" s="203"/>
      <c r="E1898" s="203"/>
      <c r="F1898" s="544"/>
      <c r="G1898" s="544"/>
      <c r="H1898" s="567"/>
      <c r="I1898" s="567"/>
      <c r="J1898" s="567"/>
      <c r="K1898" s="565"/>
      <c r="L1898" s="544"/>
      <c r="M1898" s="544"/>
      <c r="N1898" s="489"/>
      <c r="O1898" s="125"/>
      <c r="R1898" s="126"/>
    </row>
    <row r="1899" spans="2:18">
      <c r="B1899" s="203"/>
      <c r="C1899" s="203"/>
      <c r="D1899" s="203"/>
      <c r="E1899" s="249"/>
      <c r="F1899" s="565"/>
      <c r="G1899" s="565"/>
      <c r="H1899" s="566"/>
      <c r="I1899" s="566"/>
      <c r="J1899" s="566"/>
      <c r="K1899" s="565"/>
      <c r="L1899" s="544"/>
      <c r="M1899" s="544"/>
      <c r="N1899" s="489"/>
      <c r="O1899" s="125"/>
      <c r="R1899" s="126"/>
    </row>
    <row r="1900" spans="2:18">
      <c r="B1900" s="203"/>
      <c r="C1900" s="203"/>
      <c r="D1900" s="203"/>
      <c r="E1900" s="203"/>
      <c r="F1900" s="544"/>
      <c r="G1900" s="544"/>
      <c r="H1900" s="567"/>
      <c r="I1900" s="567"/>
      <c r="J1900" s="567"/>
      <c r="K1900" s="544"/>
      <c r="L1900" s="544"/>
      <c r="M1900" s="544"/>
      <c r="N1900" s="489"/>
      <c r="O1900" s="125"/>
      <c r="R1900" s="126"/>
    </row>
    <row r="1901" spans="2:18">
      <c r="B1901" s="203"/>
      <c r="C1901" s="203"/>
      <c r="D1901" s="203"/>
      <c r="E1901" s="249"/>
      <c r="F1901" s="565"/>
      <c r="G1901" s="565"/>
      <c r="H1901" s="566"/>
      <c r="I1901" s="566"/>
      <c r="J1901" s="566"/>
      <c r="K1901" s="565"/>
      <c r="L1901" s="544"/>
      <c r="M1901" s="565"/>
      <c r="N1901" s="489"/>
      <c r="O1901" s="125"/>
      <c r="R1901" s="126"/>
    </row>
    <row r="1902" spans="2:18">
      <c r="B1902" s="203"/>
      <c r="C1902" s="203"/>
      <c r="D1902" s="203"/>
      <c r="E1902" s="203"/>
      <c r="F1902" s="544"/>
      <c r="G1902" s="565"/>
      <c r="H1902" s="567"/>
      <c r="I1902" s="567"/>
      <c r="J1902" s="567"/>
      <c r="K1902" s="544"/>
      <c r="L1902" s="544"/>
      <c r="M1902" s="565"/>
      <c r="N1902" s="489"/>
      <c r="O1902" s="125"/>
      <c r="R1902" s="126"/>
    </row>
    <row r="1903" spans="2:18">
      <c r="B1903" s="203"/>
      <c r="C1903" s="203"/>
      <c r="D1903" s="203"/>
      <c r="E1903" s="249"/>
      <c r="F1903" s="565"/>
      <c r="G1903" s="565"/>
      <c r="H1903" s="566"/>
      <c r="I1903" s="566"/>
      <c r="J1903" s="566"/>
      <c r="K1903" s="565"/>
      <c r="L1903" s="544"/>
      <c r="M1903" s="565"/>
      <c r="N1903" s="489"/>
      <c r="O1903" s="125"/>
      <c r="R1903" s="126"/>
    </row>
    <row r="1904" spans="2:18">
      <c r="B1904" s="203"/>
      <c r="C1904" s="203"/>
      <c r="D1904" s="203"/>
      <c r="E1904" s="249"/>
      <c r="F1904" s="565"/>
      <c r="G1904" s="565"/>
      <c r="H1904" s="566"/>
      <c r="I1904" s="566"/>
      <c r="J1904" s="566"/>
      <c r="K1904" s="565"/>
      <c r="L1904" s="544"/>
      <c r="M1904" s="565"/>
      <c r="N1904" s="489"/>
      <c r="O1904" s="125"/>
      <c r="R1904" s="126"/>
    </row>
    <row r="1905" spans="2:18">
      <c r="B1905" s="203"/>
      <c r="C1905" s="203"/>
      <c r="D1905" s="203"/>
      <c r="E1905" s="249"/>
      <c r="F1905" s="565"/>
      <c r="G1905" s="565"/>
      <c r="H1905" s="566"/>
      <c r="I1905" s="566"/>
      <c r="J1905" s="566"/>
      <c r="K1905" s="565"/>
      <c r="L1905" s="544"/>
      <c r="M1905" s="565"/>
      <c r="N1905" s="489"/>
      <c r="O1905" s="125"/>
      <c r="R1905" s="126"/>
    </row>
    <row r="1906" spans="2:18">
      <c r="B1906" s="203"/>
      <c r="C1906" s="203"/>
      <c r="D1906" s="203"/>
      <c r="E1906" s="203"/>
      <c r="F1906" s="544"/>
      <c r="G1906" s="544"/>
      <c r="H1906" s="566"/>
      <c r="I1906" s="566"/>
      <c r="J1906" s="567"/>
      <c r="K1906" s="544"/>
      <c r="L1906" s="544"/>
      <c r="M1906" s="565"/>
      <c r="N1906" s="489"/>
      <c r="O1906" s="125"/>
      <c r="R1906" s="126"/>
    </row>
    <row r="1907" spans="2:18">
      <c r="B1907" s="203"/>
      <c r="C1907" s="203"/>
      <c r="D1907" s="203"/>
      <c r="E1907" s="203"/>
      <c r="F1907" s="544"/>
      <c r="G1907" s="544"/>
      <c r="H1907" s="566"/>
      <c r="I1907" s="566"/>
      <c r="J1907" s="567"/>
      <c r="K1907" s="544"/>
      <c r="L1907" s="544"/>
      <c r="M1907" s="565"/>
      <c r="N1907" s="489"/>
      <c r="O1907" s="125"/>
      <c r="R1907" s="126"/>
    </row>
    <row r="1908" spans="2:18">
      <c r="B1908" s="203"/>
      <c r="C1908" s="203"/>
      <c r="D1908" s="203"/>
      <c r="E1908" s="249"/>
      <c r="F1908" s="565"/>
      <c r="G1908" s="565"/>
      <c r="H1908" s="566"/>
      <c r="I1908" s="566"/>
      <c r="J1908" s="566"/>
      <c r="K1908" s="565"/>
      <c r="L1908" s="544"/>
      <c r="M1908" s="565"/>
      <c r="N1908" s="489"/>
      <c r="O1908" s="125"/>
      <c r="R1908" s="126"/>
    </row>
    <row r="1909" spans="2:18">
      <c r="B1909" s="203"/>
      <c r="C1909" s="203"/>
      <c r="D1909" s="203"/>
      <c r="E1909" s="249"/>
      <c r="F1909" s="565"/>
      <c r="G1909" s="565"/>
      <c r="H1909" s="566"/>
      <c r="I1909" s="566"/>
      <c r="J1909" s="566"/>
      <c r="K1909" s="565"/>
      <c r="L1909" s="544"/>
      <c r="M1909" s="565"/>
      <c r="N1909" s="489"/>
      <c r="O1909" s="125"/>
      <c r="R1909" s="126"/>
    </row>
    <row r="1910" spans="2:18">
      <c r="B1910" s="203"/>
      <c r="C1910" s="203"/>
      <c r="D1910" s="203"/>
      <c r="E1910" s="249"/>
      <c r="F1910" s="565"/>
      <c r="G1910" s="565"/>
      <c r="H1910" s="566"/>
      <c r="I1910" s="566"/>
      <c r="J1910" s="566"/>
      <c r="K1910" s="565"/>
      <c r="L1910" s="544"/>
      <c r="M1910" s="565"/>
      <c r="N1910" s="489"/>
      <c r="O1910" s="125"/>
      <c r="R1910" s="126"/>
    </row>
    <row r="1911" spans="2:18">
      <c r="B1911" s="203"/>
      <c r="C1911" s="203"/>
      <c r="D1911" s="203"/>
      <c r="E1911" s="249"/>
      <c r="F1911" s="565"/>
      <c r="G1911" s="565"/>
      <c r="H1911" s="566"/>
      <c r="I1911" s="566"/>
      <c r="J1911" s="566"/>
      <c r="K1911" s="565"/>
      <c r="L1911" s="544"/>
      <c r="M1911" s="565"/>
      <c r="N1911" s="489"/>
      <c r="O1911" s="125"/>
      <c r="R1911" s="126"/>
    </row>
    <row r="1912" spans="2:18">
      <c r="B1912" s="203"/>
      <c r="C1912" s="203"/>
      <c r="D1912" s="203"/>
      <c r="E1912" s="249"/>
      <c r="F1912" s="565"/>
      <c r="G1912" s="565"/>
      <c r="H1912" s="566"/>
      <c r="I1912" s="566"/>
      <c r="J1912" s="566"/>
      <c r="K1912" s="565"/>
      <c r="L1912" s="544"/>
      <c r="M1912" s="565"/>
      <c r="N1912" s="489"/>
      <c r="O1912" s="125"/>
      <c r="R1912" s="126"/>
    </row>
    <row r="1913" spans="2:18">
      <c r="B1913" s="203"/>
      <c r="C1913" s="203"/>
      <c r="D1913" s="203"/>
      <c r="E1913" s="249"/>
      <c r="F1913" s="565"/>
      <c r="G1913" s="565"/>
      <c r="H1913" s="566"/>
      <c r="I1913" s="566"/>
      <c r="J1913" s="566"/>
      <c r="K1913" s="565"/>
      <c r="L1913" s="544"/>
      <c r="M1913" s="565"/>
      <c r="N1913" s="489"/>
      <c r="O1913" s="125"/>
      <c r="R1913" s="126"/>
    </row>
    <row r="1914" spans="2:18">
      <c r="B1914" s="203"/>
      <c r="C1914" s="203"/>
      <c r="D1914" s="203"/>
      <c r="E1914" s="249"/>
      <c r="F1914" s="565"/>
      <c r="G1914" s="565"/>
      <c r="H1914" s="566"/>
      <c r="I1914" s="566"/>
      <c r="J1914" s="566"/>
      <c r="K1914" s="565"/>
      <c r="L1914" s="544"/>
      <c r="M1914" s="565"/>
      <c r="N1914" s="489"/>
      <c r="O1914" s="125"/>
      <c r="R1914" s="126"/>
    </row>
    <row r="1915" spans="2:18">
      <c r="B1915" s="203"/>
      <c r="C1915" s="203"/>
      <c r="D1915" s="203"/>
      <c r="E1915" s="249"/>
      <c r="F1915" s="565"/>
      <c r="G1915" s="565"/>
      <c r="H1915" s="566"/>
      <c r="I1915" s="566"/>
      <c r="J1915" s="566"/>
      <c r="K1915" s="565"/>
      <c r="L1915" s="544"/>
      <c r="M1915" s="565"/>
      <c r="N1915" s="489"/>
      <c r="O1915" s="125"/>
      <c r="R1915" s="126"/>
    </row>
    <row r="1916" spans="2:18">
      <c r="B1916" s="203"/>
      <c r="C1916" s="203"/>
      <c r="D1916" s="203"/>
      <c r="E1916" s="203"/>
      <c r="F1916" s="544"/>
      <c r="G1916" s="544"/>
      <c r="H1916" s="566"/>
      <c r="I1916" s="566"/>
      <c r="J1916" s="566"/>
      <c r="K1916" s="565"/>
      <c r="L1916" s="544"/>
      <c r="M1916" s="565"/>
      <c r="N1916" s="489"/>
      <c r="O1916" s="125"/>
      <c r="R1916" s="126"/>
    </row>
    <row r="1917" spans="2:18">
      <c r="B1917" s="203"/>
      <c r="C1917" s="203"/>
      <c r="D1917" s="203"/>
      <c r="E1917" s="249"/>
      <c r="F1917" s="565"/>
      <c r="G1917" s="565"/>
      <c r="H1917" s="566"/>
      <c r="I1917" s="566"/>
      <c r="J1917" s="566"/>
      <c r="K1917" s="565"/>
      <c r="L1917" s="544"/>
      <c r="M1917" s="565"/>
      <c r="N1917" s="489"/>
      <c r="O1917" s="125"/>
      <c r="R1917" s="126"/>
    </row>
    <row r="1918" spans="2:18">
      <c r="B1918" s="203"/>
      <c r="C1918" s="203"/>
      <c r="D1918" s="203"/>
      <c r="E1918" s="249"/>
      <c r="F1918" s="565"/>
      <c r="G1918" s="565"/>
      <c r="H1918" s="566"/>
      <c r="I1918" s="566"/>
      <c r="J1918" s="566"/>
      <c r="K1918" s="565"/>
      <c r="L1918" s="544"/>
      <c r="M1918" s="565"/>
      <c r="N1918" s="489"/>
      <c r="O1918" s="125"/>
      <c r="R1918" s="126"/>
    </row>
    <row r="1919" spans="2:18">
      <c r="B1919" s="203"/>
      <c r="C1919" s="203"/>
      <c r="D1919" s="203"/>
      <c r="E1919" s="203"/>
      <c r="F1919" s="544"/>
      <c r="G1919" s="544"/>
      <c r="H1919" s="566"/>
      <c r="I1919" s="566"/>
      <c r="J1919" s="566"/>
      <c r="K1919" s="565"/>
      <c r="L1919" s="544"/>
      <c r="M1919" s="565"/>
      <c r="N1919" s="489"/>
      <c r="O1919" s="125"/>
      <c r="R1919" s="126"/>
    </row>
    <row r="1920" spans="2:18">
      <c r="B1920" s="203"/>
      <c r="C1920" s="203"/>
      <c r="D1920" s="203"/>
      <c r="E1920" s="249"/>
      <c r="F1920" s="565"/>
      <c r="G1920" s="565"/>
      <c r="H1920" s="566"/>
      <c r="I1920" s="566"/>
      <c r="J1920" s="566"/>
      <c r="K1920" s="565"/>
      <c r="L1920" s="544"/>
      <c r="M1920" s="565"/>
      <c r="N1920" s="489"/>
      <c r="O1920" s="125"/>
      <c r="R1920" s="126"/>
    </row>
    <row r="1921" spans="2:18">
      <c r="B1921" s="203"/>
      <c r="C1921" s="203"/>
      <c r="D1921" s="203"/>
      <c r="E1921" s="249"/>
      <c r="F1921" s="565"/>
      <c r="G1921" s="565"/>
      <c r="H1921" s="566"/>
      <c r="I1921" s="566"/>
      <c r="J1921" s="566"/>
      <c r="K1921" s="565"/>
      <c r="L1921" s="544"/>
      <c r="M1921" s="565"/>
      <c r="N1921" s="489"/>
      <c r="O1921" s="125"/>
      <c r="R1921" s="126"/>
    </row>
    <row r="1922" spans="2:18">
      <c r="B1922" s="203"/>
      <c r="C1922" s="203"/>
      <c r="D1922" s="203"/>
      <c r="E1922" s="249"/>
      <c r="F1922" s="565"/>
      <c r="G1922" s="565"/>
      <c r="H1922" s="566"/>
      <c r="I1922" s="566"/>
      <c r="J1922" s="566"/>
      <c r="K1922" s="565"/>
      <c r="L1922" s="544"/>
      <c r="M1922" s="565"/>
      <c r="N1922" s="489"/>
      <c r="O1922" s="125"/>
      <c r="R1922" s="126"/>
    </row>
    <row r="1923" spans="2:18">
      <c r="B1923" s="203"/>
      <c r="C1923" s="203"/>
      <c r="D1923" s="203"/>
      <c r="E1923" s="249"/>
      <c r="F1923" s="565"/>
      <c r="G1923" s="565"/>
      <c r="H1923" s="566"/>
      <c r="I1923" s="566"/>
      <c r="J1923" s="566"/>
      <c r="K1923" s="565"/>
      <c r="L1923" s="544"/>
      <c r="M1923" s="565"/>
      <c r="N1923" s="489"/>
      <c r="O1923" s="125"/>
      <c r="R1923" s="126"/>
    </row>
    <row r="1924" spans="2:18">
      <c r="B1924" s="203"/>
      <c r="C1924" s="203"/>
      <c r="D1924" s="203"/>
      <c r="E1924" s="249"/>
      <c r="F1924" s="565"/>
      <c r="G1924" s="565"/>
      <c r="H1924" s="566"/>
      <c r="I1924" s="566"/>
      <c r="J1924" s="566"/>
      <c r="K1924" s="565"/>
      <c r="L1924" s="544"/>
      <c r="M1924" s="565"/>
      <c r="N1924" s="489"/>
      <c r="O1924" s="125"/>
      <c r="R1924" s="126"/>
    </row>
    <row r="1925" spans="2:18">
      <c r="B1925" s="203"/>
      <c r="C1925" s="203"/>
      <c r="D1925" s="203"/>
      <c r="E1925" s="249"/>
      <c r="F1925" s="565"/>
      <c r="G1925" s="565"/>
      <c r="H1925" s="566"/>
      <c r="I1925" s="566"/>
      <c r="J1925" s="566"/>
      <c r="K1925" s="565"/>
      <c r="L1925" s="544"/>
      <c r="M1925" s="565"/>
      <c r="N1925" s="489"/>
      <c r="O1925" s="125"/>
      <c r="R1925" s="126"/>
    </row>
    <row r="1926" spans="2:18">
      <c r="B1926" s="203"/>
      <c r="C1926" s="203"/>
      <c r="D1926" s="203"/>
      <c r="E1926" s="249"/>
      <c r="F1926" s="565"/>
      <c r="G1926" s="565"/>
      <c r="H1926" s="566"/>
      <c r="I1926" s="566"/>
      <c r="J1926" s="566"/>
      <c r="K1926" s="565"/>
      <c r="L1926" s="544"/>
      <c r="M1926" s="565"/>
      <c r="N1926" s="489"/>
      <c r="O1926" s="125"/>
      <c r="R1926" s="126"/>
    </row>
    <row r="1927" spans="2:18">
      <c r="B1927" s="203"/>
      <c r="C1927" s="203"/>
      <c r="D1927" s="203"/>
      <c r="E1927" s="249"/>
      <c r="F1927" s="565"/>
      <c r="G1927" s="565"/>
      <c r="H1927" s="566"/>
      <c r="I1927" s="566"/>
      <c r="J1927" s="566"/>
      <c r="K1927" s="565"/>
      <c r="L1927" s="544"/>
      <c r="M1927" s="565"/>
      <c r="N1927" s="489"/>
      <c r="O1927" s="125"/>
      <c r="R1927" s="126"/>
    </row>
    <row r="1928" spans="2:18">
      <c r="B1928" s="203"/>
      <c r="C1928" s="203"/>
      <c r="D1928" s="203"/>
      <c r="E1928" s="249"/>
      <c r="F1928" s="565"/>
      <c r="G1928" s="565"/>
      <c r="H1928" s="566"/>
      <c r="I1928" s="566"/>
      <c r="J1928" s="566"/>
      <c r="K1928" s="565"/>
      <c r="L1928" s="544"/>
      <c r="M1928" s="565"/>
      <c r="N1928" s="489"/>
      <c r="O1928" s="125"/>
      <c r="R1928" s="126"/>
    </row>
    <row r="1929" spans="2:18">
      <c r="B1929" s="203"/>
      <c r="C1929" s="203"/>
      <c r="D1929" s="203"/>
      <c r="E1929" s="249"/>
      <c r="F1929" s="565"/>
      <c r="G1929" s="565"/>
      <c r="H1929" s="566"/>
      <c r="I1929" s="566"/>
      <c r="J1929" s="566"/>
      <c r="K1929" s="565"/>
      <c r="L1929" s="544"/>
      <c r="M1929" s="565"/>
      <c r="N1929" s="489"/>
      <c r="O1929" s="125"/>
      <c r="R1929" s="126"/>
    </row>
    <row r="1930" spans="2:18">
      <c r="B1930" s="203"/>
      <c r="C1930" s="203"/>
      <c r="D1930" s="203"/>
      <c r="E1930" s="249"/>
      <c r="F1930" s="565"/>
      <c r="G1930" s="544"/>
      <c r="H1930" s="566"/>
      <c r="I1930" s="566"/>
      <c r="J1930" s="566"/>
      <c r="K1930" s="565"/>
      <c r="L1930" s="544"/>
      <c r="M1930" s="565"/>
      <c r="N1930" s="489"/>
      <c r="O1930" s="125"/>
      <c r="R1930" s="126"/>
    </row>
    <row r="1931" spans="2:18">
      <c r="B1931" s="203"/>
      <c r="C1931" s="203"/>
      <c r="D1931" s="203"/>
      <c r="E1931" s="249"/>
      <c r="F1931" s="565"/>
      <c r="G1931" s="544"/>
      <c r="H1931" s="566"/>
      <c r="I1931" s="566"/>
      <c r="J1931" s="566"/>
      <c r="K1931" s="565"/>
      <c r="L1931" s="544"/>
      <c r="M1931" s="565"/>
      <c r="N1931" s="489"/>
      <c r="O1931" s="125"/>
      <c r="R1931" s="126"/>
    </row>
    <row r="1932" spans="2:18">
      <c r="B1932" s="203"/>
      <c r="C1932" s="203"/>
      <c r="D1932" s="203"/>
      <c r="E1932" s="249"/>
      <c r="F1932" s="565"/>
      <c r="G1932" s="565"/>
      <c r="H1932" s="566"/>
      <c r="I1932" s="566"/>
      <c r="J1932" s="566"/>
      <c r="K1932" s="565"/>
      <c r="L1932" s="544"/>
      <c r="M1932" s="565"/>
      <c r="N1932" s="489"/>
      <c r="O1932" s="125"/>
      <c r="R1932" s="126"/>
    </row>
    <row r="1933" spans="2:18">
      <c r="B1933" s="203"/>
      <c r="C1933" s="203"/>
      <c r="D1933" s="203"/>
      <c r="E1933" s="249"/>
      <c r="F1933" s="565"/>
      <c r="G1933" s="565"/>
      <c r="H1933" s="566"/>
      <c r="I1933" s="566"/>
      <c r="J1933" s="566"/>
      <c r="K1933" s="565"/>
      <c r="L1933" s="544"/>
      <c r="M1933" s="565"/>
      <c r="N1933" s="489"/>
      <c r="O1933" s="125"/>
      <c r="R1933" s="126"/>
    </row>
    <row r="1934" spans="2:18">
      <c r="B1934" s="203"/>
      <c r="C1934" s="203"/>
      <c r="D1934" s="203"/>
      <c r="E1934" s="249"/>
      <c r="F1934" s="565"/>
      <c r="G1934" s="544"/>
      <c r="H1934" s="566"/>
      <c r="I1934" s="566"/>
      <c r="J1934" s="566"/>
      <c r="K1934" s="565"/>
      <c r="L1934" s="544"/>
      <c r="M1934" s="565"/>
      <c r="N1934" s="489"/>
      <c r="O1934" s="125"/>
      <c r="R1934" s="126"/>
    </row>
    <row r="1935" spans="2:18">
      <c r="B1935" s="203"/>
      <c r="C1935" s="203"/>
      <c r="D1935" s="203"/>
      <c r="E1935" s="249"/>
      <c r="F1935" s="565"/>
      <c r="G1935" s="565"/>
      <c r="H1935" s="566"/>
      <c r="I1935" s="566"/>
      <c r="J1935" s="566"/>
      <c r="K1935" s="565"/>
      <c r="L1935" s="544"/>
      <c r="M1935" s="565"/>
      <c r="N1935" s="489"/>
      <c r="O1935" s="125"/>
      <c r="R1935" s="126"/>
    </row>
    <row r="1936" spans="2:18">
      <c r="B1936" s="203"/>
      <c r="C1936" s="203"/>
      <c r="D1936" s="203"/>
      <c r="E1936" s="249"/>
      <c r="F1936" s="565"/>
      <c r="G1936" s="565"/>
      <c r="H1936" s="566"/>
      <c r="I1936" s="566"/>
      <c r="J1936" s="566"/>
      <c r="K1936" s="565"/>
      <c r="L1936" s="544"/>
      <c r="M1936" s="565"/>
      <c r="N1936" s="489"/>
      <c r="O1936" s="125"/>
      <c r="R1936" s="126"/>
    </row>
    <row r="1937" spans="2:18">
      <c r="B1937" s="203"/>
      <c r="C1937" s="203"/>
      <c r="D1937" s="203"/>
      <c r="E1937" s="249"/>
      <c r="F1937" s="565"/>
      <c r="G1937" s="565"/>
      <c r="H1937" s="566"/>
      <c r="I1937" s="566"/>
      <c r="J1937" s="566"/>
      <c r="K1937" s="565"/>
      <c r="L1937" s="544"/>
      <c r="M1937" s="565"/>
      <c r="N1937" s="489"/>
      <c r="O1937" s="125"/>
      <c r="R1937" s="126"/>
    </row>
    <row r="1938" spans="2:18">
      <c r="B1938" s="203"/>
      <c r="C1938" s="203"/>
      <c r="D1938" s="203"/>
      <c r="E1938" s="249"/>
      <c r="F1938" s="565"/>
      <c r="G1938" s="544"/>
      <c r="H1938" s="567"/>
      <c r="I1938" s="567"/>
      <c r="J1938" s="567"/>
      <c r="K1938" s="544"/>
      <c r="L1938" s="544"/>
      <c r="M1938" s="565"/>
      <c r="N1938" s="489"/>
      <c r="O1938" s="125"/>
      <c r="R1938" s="126"/>
    </row>
    <row r="1939" spans="2:18">
      <c r="B1939" s="203"/>
      <c r="C1939" s="203"/>
      <c r="D1939" s="203"/>
      <c r="E1939" s="249"/>
      <c r="F1939" s="565"/>
      <c r="G1939" s="544"/>
      <c r="H1939" s="567"/>
      <c r="I1939" s="567"/>
      <c r="J1939" s="567"/>
      <c r="K1939" s="544"/>
      <c r="L1939" s="544"/>
      <c r="M1939" s="565"/>
      <c r="N1939" s="489"/>
      <c r="O1939" s="125"/>
      <c r="R1939" s="126"/>
    </row>
    <row r="1940" spans="2:18">
      <c r="B1940" s="203"/>
      <c r="C1940" s="203"/>
      <c r="D1940" s="203"/>
      <c r="E1940" s="249"/>
      <c r="F1940" s="565"/>
      <c r="G1940" s="544"/>
      <c r="H1940" s="567"/>
      <c r="I1940" s="567"/>
      <c r="J1940" s="567"/>
      <c r="K1940" s="544"/>
      <c r="L1940" s="544"/>
      <c r="M1940" s="543"/>
      <c r="N1940" s="489"/>
      <c r="O1940" s="125"/>
      <c r="R1940" s="126"/>
    </row>
    <row r="1941" spans="2:18">
      <c r="B1941" s="203"/>
      <c r="C1941" s="203"/>
      <c r="D1941" s="203"/>
      <c r="E1941" s="203"/>
      <c r="F1941" s="544"/>
      <c r="G1941" s="565"/>
      <c r="H1941" s="567"/>
      <c r="I1941" s="567"/>
      <c r="J1941" s="567"/>
      <c r="K1941" s="544"/>
      <c r="L1941" s="544"/>
      <c r="M1941" s="543"/>
      <c r="N1941" s="489"/>
      <c r="O1941" s="125"/>
      <c r="R1941" s="126"/>
    </row>
    <row r="1942" spans="2:18">
      <c r="B1942" s="203"/>
      <c r="C1942" s="203"/>
      <c r="D1942" s="203"/>
      <c r="E1942" s="203"/>
      <c r="F1942" s="544"/>
      <c r="G1942" s="565"/>
      <c r="H1942" s="567"/>
      <c r="I1942" s="567"/>
      <c r="J1942" s="567"/>
      <c r="K1942" s="544"/>
      <c r="L1942" s="544"/>
      <c r="N1942" s="489"/>
      <c r="O1942" s="125"/>
      <c r="R1942" s="126"/>
    </row>
    <row r="1943" spans="2:18">
      <c r="B1943" s="203"/>
      <c r="C1943" s="203"/>
      <c r="D1943" s="203"/>
      <c r="E1943" s="203"/>
      <c r="F1943" s="544"/>
      <c r="G1943" s="565"/>
      <c r="H1943" s="566"/>
      <c r="I1943" s="566"/>
      <c r="J1943" s="566"/>
      <c r="K1943" s="565"/>
      <c r="L1943" s="544"/>
      <c r="N1943" s="489"/>
      <c r="O1943" s="125"/>
      <c r="R1943" s="126"/>
    </row>
    <row r="1944" spans="2:18">
      <c r="B1944" s="203"/>
      <c r="C1944" s="203"/>
      <c r="D1944" s="203"/>
      <c r="E1944" s="203"/>
      <c r="F1944" s="544"/>
      <c r="G1944" s="565"/>
      <c r="H1944" s="567"/>
      <c r="I1944" s="567"/>
      <c r="J1944" s="567"/>
      <c r="K1944" s="544"/>
      <c r="L1944" s="544"/>
      <c r="M1944" s="565"/>
      <c r="N1944" s="489"/>
      <c r="O1944" s="125"/>
      <c r="R1944" s="126"/>
    </row>
    <row r="1945" spans="2:18">
      <c r="B1945" s="203"/>
      <c r="C1945" s="203"/>
      <c r="D1945" s="203"/>
      <c r="E1945" s="249"/>
      <c r="F1945" s="565"/>
      <c r="G1945" s="544"/>
      <c r="H1945" s="567"/>
      <c r="I1945" s="567"/>
      <c r="J1945" s="567"/>
      <c r="K1945" s="544"/>
      <c r="L1945" s="544"/>
      <c r="M1945" s="543"/>
      <c r="N1945" s="489"/>
      <c r="O1945" s="125"/>
      <c r="R1945" s="126"/>
    </row>
    <row r="1946" spans="2:18">
      <c r="B1946" s="203"/>
      <c r="C1946" s="203"/>
      <c r="D1946" s="203"/>
      <c r="E1946" s="203"/>
      <c r="F1946" s="544"/>
      <c r="G1946" s="544"/>
      <c r="H1946" s="567"/>
      <c r="I1946" s="567"/>
      <c r="J1946" s="567"/>
      <c r="K1946" s="544"/>
      <c r="L1946" s="544"/>
      <c r="M1946" s="542"/>
      <c r="N1946" s="489"/>
      <c r="O1946" s="125"/>
      <c r="R1946" s="126"/>
    </row>
    <row r="1947" spans="2:18">
      <c r="B1947" s="203"/>
      <c r="C1947" s="203"/>
      <c r="D1947" s="203"/>
      <c r="E1947" s="249"/>
      <c r="F1947" s="565"/>
      <c r="G1947" s="565"/>
      <c r="H1947" s="567"/>
      <c r="I1947" s="567"/>
      <c r="J1947" s="567"/>
      <c r="K1947" s="544"/>
      <c r="L1947" s="544"/>
      <c r="M1947" s="565"/>
      <c r="N1947" s="489"/>
      <c r="O1947" s="125"/>
    </row>
    <row r="1948" spans="2:18">
      <c r="B1948" s="203"/>
      <c r="C1948" s="203"/>
      <c r="D1948" s="203"/>
      <c r="E1948" s="249"/>
      <c r="F1948" s="565"/>
      <c r="G1948" s="544"/>
      <c r="H1948" s="566"/>
      <c r="I1948" s="566"/>
      <c r="J1948" s="567"/>
      <c r="K1948" s="544"/>
      <c r="L1948" s="544"/>
      <c r="M1948" s="565"/>
      <c r="N1948" s="489"/>
      <c r="O1948" s="125"/>
    </row>
    <row r="1949" spans="2:18">
      <c r="B1949" s="203"/>
      <c r="C1949" s="203"/>
      <c r="D1949" s="203"/>
      <c r="E1949" s="249"/>
      <c r="F1949" s="565"/>
      <c r="G1949" s="565"/>
      <c r="H1949" s="566"/>
      <c r="I1949" s="566"/>
      <c r="J1949" s="567"/>
      <c r="K1949" s="544"/>
      <c r="L1949" s="544"/>
      <c r="M1949" s="543"/>
      <c r="N1949" s="489"/>
      <c r="O1949" s="125"/>
    </row>
    <row r="1950" spans="2:18">
      <c r="B1950" s="203"/>
      <c r="C1950" s="203"/>
      <c r="D1950" s="203"/>
      <c r="E1950" s="249"/>
      <c r="F1950" s="565"/>
      <c r="G1950" s="544"/>
      <c r="H1950" s="567"/>
      <c r="I1950" s="567"/>
      <c r="J1950" s="567"/>
      <c r="K1950" s="544"/>
      <c r="L1950" s="544"/>
      <c r="M1950" s="543"/>
      <c r="N1950" s="489"/>
      <c r="O1950" s="125"/>
    </row>
    <row r="1951" spans="2:18">
      <c r="B1951" s="203"/>
      <c r="C1951" s="203"/>
      <c r="D1951" s="203"/>
      <c r="E1951" s="203"/>
      <c r="F1951" s="544"/>
      <c r="G1951" s="544"/>
      <c r="H1951" s="566"/>
      <c r="I1951" s="566"/>
      <c r="J1951" s="566"/>
      <c r="K1951" s="565"/>
      <c r="L1951" s="544"/>
      <c r="M1951" s="543"/>
      <c r="N1951" s="489"/>
      <c r="O1951" s="125"/>
    </row>
    <row r="1952" spans="2:18">
      <c r="B1952" s="203"/>
      <c r="C1952" s="203"/>
      <c r="D1952" s="203"/>
      <c r="E1952" s="203"/>
      <c r="F1952" s="544"/>
      <c r="G1952" s="544"/>
      <c r="H1952" s="567"/>
      <c r="I1952" s="567"/>
      <c r="J1952" s="567"/>
      <c r="K1952" s="544"/>
      <c r="L1952" s="544"/>
      <c r="M1952" s="565"/>
      <c r="N1952" s="489"/>
      <c r="O1952" s="125"/>
    </row>
    <row r="1953" spans="2:16">
      <c r="B1953" s="203"/>
      <c r="C1953" s="203"/>
      <c r="D1953" s="203"/>
      <c r="E1953" s="203"/>
      <c r="F1953" s="544"/>
      <c r="G1953" s="544"/>
      <c r="H1953" s="566"/>
      <c r="I1953" s="566"/>
      <c r="J1953" s="567"/>
      <c r="K1953" s="565"/>
      <c r="L1953" s="544"/>
      <c r="M1953" s="565"/>
      <c r="N1953" s="489"/>
      <c r="O1953" s="125"/>
    </row>
    <row r="1954" spans="2:16">
      <c r="B1954" s="203"/>
      <c r="C1954" s="203"/>
      <c r="D1954" s="203"/>
      <c r="E1954" s="249"/>
      <c r="F1954" s="565"/>
      <c r="G1954" s="565"/>
      <c r="H1954" s="566"/>
      <c r="I1954" s="566"/>
      <c r="J1954" s="566"/>
      <c r="K1954" s="565"/>
      <c r="L1954" s="544"/>
      <c r="M1954" s="565"/>
      <c r="N1954" s="489"/>
      <c r="O1954" s="125"/>
    </row>
    <row r="1955" spans="2:16">
      <c r="B1955" s="203"/>
      <c r="C1955" s="203"/>
      <c r="D1955" s="203"/>
      <c r="E1955" s="249"/>
      <c r="F1955" s="565"/>
      <c r="G1955" s="565"/>
      <c r="H1955" s="566"/>
      <c r="I1955" s="566"/>
      <c r="J1955" s="566"/>
      <c r="K1955" s="565"/>
      <c r="L1955" s="544"/>
      <c r="M1955" s="565"/>
      <c r="N1955" s="489"/>
      <c r="O1955" s="125"/>
    </row>
    <row r="1956" spans="2:16">
      <c r="B1956" s="203"/>
      <c r="C1956" s="203"/>
      <c r="D1956" s="203"/>
      <c r="E1956" s="249"/>
      <c r="F1956" s="565"/>
      <c r="G1956" s="544"/>
      <c r="H1956" s="567"/>
      <c r="I1956" s="567"/>
      <c r="J1956" s="567"/>
      <c r="K1956" s="544"/>
      <c r="L1956" s="544"/>
      <c r="M1956" s="543"/>
      <c r="N1956" s="489"/>
      <c r="O1956" s="125"/>
    </row>
    <row r="1957" spans="2:16">
      <c r="B1957" s="203"/>
      <c r="C1957" s="203"/>
      <c r="D1957" s="203"/>
      <c r="E1957" s="249"/>
      <c r="F1957" s="565"/>
      <c r="G1957" s="544"/>
      <c r="H1957" s="567"/>
      <c r="I1957" s="567"/>
      <c r="J1957" s="567"/>
      <c r="K1957" s="544"/>
      <c r="L1957" s="544"/>
      <c r="M1957" s="543"/>
      <c r="N1957" s="489"/>
      <c r="O1957" s="125"/>
    </row>
    <row r="1958" spans="2:16">
      <c r="B1958" s="203"/>
      <c r="C1958" s="203"/>
      <c r="D1958" s="203"/>
      <c r="E1958" s="249"/>
      <c r="F1958" s="565"/>
      <c r="G1958" s="565"/>
      <c r="H1958" s="566"/>
      <c r="I1958" s="566"/>
      <c r="J1958" s="566"/>
      <c r="K1958" s="565"/>
      <c r="L1958" s="544"/>
      <c r="M1958" s="543"/>
      <c r="N1958" s="489"/>
      <c r="O1958" s="125"/>
      <c r="P1958"/>
    </row>
    <row r="1959" spans="2:16">
      <c r="B1959" s="203"/>
      <c r="C1959" s="203"/>
      <c r="D1959" s="203"/>
      <c r="E1959" s="249"/>
      <c r="F1959" s="565"/>
      <c r="G1959" s="565"/>
      <c r="H1959" s="566"/>
      <c r="I1959" s="566"/>
      <c r="J1959" s="566"/>
      <c r="K1959" s="565"/>
      <c r="L1959" s="544"/>
      <c r="M1959" s="543"/>
      <c r="N1959" s="489"/>
      <c r="O1959" s="125"/>
      <c r="P1959"/>
    </row>
    <row r="1960" spans="2:16">
      <c r="B1960" s="203"/>
      <c r="C1960" s="203"/>
      <c r="D1960" s="203"/>
      <c r="E1960" s="249"/>
      <c r="F1960" s="565"/>
      <c r="G1960" s="565"/>
      <c r="H1960" s="566"/>
      <c r="I1960" s="566"/>
      <c r="J1960" s="566"/>
      <c r="K1960" s="565"/>
      <c r="L1960" s="544"/>
      <c r="M1960" s="543"/>
      <c r="N1960" s="489"/>
      <c r="O1960" s="125"/>
      <c r="P1960"/>
    </row>
    <row r="1961" spans="2:16">
      <c r="B1961" s="203"/>
      <c r="C1961" s="203"/>
      <c r="D1961" s="203"/>
      <c r="E1961" s="249"/>
      <c r="F1961" s="565"/>
      <c r="G1961" s="565"/>
      <c r="H1961" s="566"/>
      <c r="I1961" s="566"/>
      <c r="J1961" s="566"/>
      <c r="K1961" s="565"/>
      <c r="L1961" s="544"/>
      <c r="M1961" s="543"/>
      <c r="N1961" s="489"/>
      <c r="O1961" s="125"/>
      <c r="P1961"/>
    </row>
    <row r="1962" spans="2:16">
      <c r="B1962" s="203"/>
      <c r="C1962" s="203"/>
      <c r="D1962" s="203"/>
      <c r="E1962" s="281"/>
      <c r="F1962" s="568"/>
      <c r="G1962" s="568"/>
      <c r="H1962" s="569"/>
      <c r="I1962" s="569"/>
      <c r="J1962" s="569"/>
      <c r="K1962" s="570"/>
      <c r="L1962" s="570"/>
      <c r="M1962" s="570"/>
      <c r="N1962" s="570"/>
      <c r="O1962" s="125"/>
      <c r="P1962"/>
    </row>
    <row r="1963" spans="2:16">
      <c r="B1963" s="203"/>
      <c r="C1963" s="203"/>
      <c r="D1963" s="203"/>
      <c r="E1963" s="249"/>
      <c r="F1963" s="565"/>
      <c r="G1963" s="565"/>
      <c r="H1963" s="566"/>
      <c r="I1963" s="566"/>
      <c r="J1963" s="566"/>
      <c r="K1963" s="565"/>
      <c r="L1963" s="544"/>
      <c r="M1963" s="543"/>
      <c r="N1963" s="489"/>
      <c r="O1963" s="125"/>
      <c r="P1963"/>
    </row>
    <row r="1964" spans="2:16">
      <c r="B1964" s="203"/>
      <c r="C1964" s="203"/>
      <c r="D1964" s="203"/>
      <c r="E1964" s="249"/>
      <c r="F1964" s="565"/>
      <c r="G1964" s="565"/>
      <c r="H1964" s="566"/>
      <c r="I1964" s="566"/>
      <c r="J1964" s="566"/>
      <c r="K1964" s="565"/>
      <c r="L1964" s="544"/>
      <c r="M1964" s="543"/>
      <c r="N1964" s="489"/>
      <c r="O1964" s="125"/>
      <c r="P1964"/>
    </row>
    <row r="1965" spans="2:16">
      <c r="B1965" s="203"/>
      <c r="C1965" s="203"/>
      <c r="D1965" s="203"/>
      <c r="E1965" s="249"/>
      <c r="F1965" s="565"/>
      <c r="G1965" s="565"/>
      <c r="H1965" s="566"/>
      <c r="I1965" s="566"/>
      <c r="J1965" s="566"/>
      <c r="K1965" s="565"/>
      <c r="L1965" s="544"/>
      <c r="M1965" s="543"/>
      <c r="N1965" s="489"/>
      <c r="P1965"/>
    </row>
    <row r="1966" spans="2:16">
      <c r="B1966" s="203"/>
      <c r="C1966" s="203"/>
      <c r="D1966" s="203"/>
      <c r="E1966" s="249"/>
      <c r="F1966" s="565"/>
      <c r="G1966" s="565"/>
      <c r="H1966" s="566"/>
      <c r="I1966" s="566"/>
      <c r="J1966" s="566"/>
      <c r="K1966" s="565"/>
      <c r="L1966" s="544"/>
      <c r="M1966" s="543"/>
      <c r="N1966" s="489"/>
      <c r="P1966"/>
    </row>
    <row r="1967" spans="2:16">
      <c r="B1967" s="203"/>
      <c r="C1967" s="203"/>
      <c r="D1967" s="203"/>
      <c r="E1967" s="203"/>
      <c r="F1967" s="544"/>
      <c r="G1967" s="544"/>
      <c r="H1967" s="566"/>
      <c r="I1967" s="566"/>
      <c r="J1967" s="566"/>
      <c r="K1967" s="544"/>
      <c r="L1967" s="565"/>
      <c r="M1967" s="543"/>
      <c r="N1967" s="489"/>
      <c r="P1967"/>
    </row>
    <row r="1968" spans="2:16">
      <c r="B1968" s="203"/>
      <c r="C1968" s="203"/>
      <c r="D1968" s="203"/>
      <c r="E1968" s="249"/>
      <c r="F1968" s="565"/>
      <c r="G1968" s="544"/>
      <c r="H1968" s="567"/>
      <c r="I1968" s="567"/>
      <c r="J1968" s="567"/>
      <c r="K1968" s="544"/>
      <c r="L1968" s="544"/>
      <c r="M1968" s="543"/>
      <c r="N1968" s="489"/>
      <c r="P1968"/>
    </row>
    <row r="1969" spans="2:16">
      <c r="B1969" s="203"/>
      <c r="C1969" s="203"/>
      <c r="D1969" s="203"/>
      <c r="E1969" s="203"/>
      <c r="F1969" s="544"/>
      <c r="G1969" s="565"/>
      <c r="H1969" s="566"/>
      <c r="I1969" s="566"/>
      <c r="J1969" s="566"/>
      <c r="K1969" s="565"/>
      <c r="L1969" s="544"/>
      <c r="N1969" s="489"/>
      <c r="P1969"/>
    </row>
    <row r="1970" spans="2:16">
      <c r="B1970" s="203"/>
      <c r="C1970" s="203"/>
      <c r="D1970" s="203"/>
      <c r="E1970" s="249"/>
      <c r="F1970" s="565"/>
      <c r="G1970" s="565"/>
      <c r="H1970" s="566"/>
      <c r="I1970" s="566"/>
      <c r="J1970" s="567"/>
      <c r="K1970" s="565"/>
      <c r="L1970" s="544"/>
      <c r="N1970" s="489"/>
      <c r="P1970"/>
    </row>
    <row r="1971" spans="2:16">
      <c r="B1971" s="203"/>
      <c r="C1971" s="203"/>
      <c r="D1971" s="203"/>
      <c r="E1971" s="203"/>
      <c r="F1971" s="544"/>
      <c r="G1971" s="565"/>
      <c r="H1971" s="567"/>
      <c r="I1971" s="567"/>
      <c r="J1971" s="567"/>
      <c r="K1971" s="544"/>
      <c r="L1971" s="544"/>
      <c r="N1971" s="489"/>
      <c r="P1971"/>
    </row>
    <row r="1972" spans="2:16">
      <c r="B1972" s="203"/>
      <c r="C1972" s="203"/>
      <c r="D1972" s="203"/>
      <c r="E1972" s="249"/>
      <c r="F1972" s="565"/>
      <c r="G1972" s="565"/>
      <c r="H1972" s="566"/>
      <c r="I1972" s="566"/>
      <c r="J1972" s="567"/>
      <c r="K1972" s="565"/>
      <c r="L1972" s="544"/>
      <c r="N1972" s="489"/>
      <c r="P1972"/>
    </row>
    <row r="1973" spans="2:16">
      <c r="B1973" s="203"/>
      <c r="C1973" s="203"/>
      <c r="D1973" s="203"/>
      <c r="E1973" s="249"/>
      <c r="F1973" s="565"/>
      <c r="G1973" s="565"/>
      <c r="H1973" s="566"/>
      <c r="I1973" s="566"/>
      <c r="J1973" s="567"/>
      <c r="K1973" s="565"/>
      <c r="L1973" s="544"/>
      <c r="N1973" s="489"/>
      <c r="P1973"/>
    </row>
    <row r="1974" spans="2:16">
      <c r="B1974" s="203"/>
      <c r="C1974" s="203"/>
      <c r="D1974" s="203"/>
      <c r="E1974" s="249"/>
      <c r="F1974" s="565"/>
      <c r="G1974" s="565"/>
      <c r="H1974" s="566"/>
      <c r="I1974" s="566"/>
      <c r="J1974" s="567"/>
      <c r="K1974" s="565"/>
      <c r="L1974" s="544"/>
      <c r="N1974" s="489"/>
      <c r="P1974"/>
    </row>
    <row r="1975" spans="2:16">
      <c r="B1975" s="203"/>
      <c r="C1975" s="203"/>
      <c r="D1975" s="203"/>
      <c r="E1975" s="203"/>
      <c r="F1975" s="544"/>
      <c r="G1975" s="565"/>
      <c r="H1975" s="567"/>
      <c r="I1975" s="567"/>
      <c r="J1975" s="567"/>
      <c r="K1975" s="544"/>
      <c r="L1975" s="544"/>
      <c r="N1975" s="489"/>
      <c r="P1975"/>
    </row>
    <row r="1976" spans="2:16">
      <c r="B1976" s="203"/>
      <c r="C1976" s="203"/>
      <c r="D1976" s="203"/>
      <c r="E1976" s="203"/>
      <c r="F1976" s="544"/>
      <c r="G1976" s="544"/>
      <c r="H1976" s="567"/>
      <c r="I1976" s="567"/>
      <c r="J1976" s="567"/>
      <c r="K1976" s="544"/>
      <c r="L1976" s="544"/>
      <c r="N1976" s="489"/>
      <c r="P1976"/>
    </row>
    <row r="1977" spans="2:16">
      <c r="B1977" s="203"/>
      <c r="C1977" s="203"/>
      <c r="D1977" s="203"/>
      <c r="E1977" s="249"/>
      <c r="F1977" s="565"/>
      <c r="G1977" s="544"/>
      <c r="H1977" s="567"/>
      <c r="I1977" s="567"/>
      <c r="J1977" s="567"/>
      <c r="K1977" s="544"/>
      <c r="L1977" s="544"/>
      <c r="N1977" s="489"/>
      <c r="P1977"/>
    </row>
    <row r="1978" spans="2:16">
      <c r="B1978" s="203"/>
      <c r="C1978" s="203"/>
      <c r="D1978" s="203"/>
      <c r="E1978" s="203"/>
      <c r="F1978" s="544"/>
      <c r="G1978" s="544"/>
      <c r="H1978" s="567"/>
      <c r="I1978" s="567"/>
      <c r="J1978" s="567"/>
      <c r="K1978" s="544"/>
      <c r="L1978" s="544"/>
      <c r="N1978" s="489"/>
      <c r="P1978"/>
    </row>
    <row r="1979" spans="2:16">
      <c r="B1979" s="203"/>
      <c r="C1979" s="203"/>
      <c r="D1979" s="203"/>
      <c r="E1979" s="249"/>
      <c r="F1979" s="565"/>
      <c r="G1979" s="565"/>
      <c r="H1979" s="566"/>
      <c r="I1979" s="566"/>
      <c r="J1979" s="567"/>
      <c r="K1979" s="565"/>
      <c r="L1979" s="544"/>
      <c r="M1979" s="543"/>
      <c r="N1979" s="489"/>
      <c r="P1979"/>
    </row>
    <row r="1980" spans="2:16">
      <c r="B1980" s="203"/>
      <c r="C1980" s="203"/>
      <c r="D1980" s="203"/>
      <c r="E1980" s="249"/>
      <c r="F1980" s="565"/>
      <c r="G1980" s="565"/>
      <c r="H1980" s="566"/>
      <c r="I1980" s="566"/>
      <c r="J1980" s="567"/>
      <c r="K1980" s="565"/>
      <c r="L1980" s="544"/>
      <c r="N1980" s="489"/>
      <c r="P1980"/>
    </row>
    <row r="1981" spans="2:16">
      <c r="B1981" s="203"/>
      <c r="C1981" s="203"/>
      <c r="D1981" s="203"/>
      <c r="E1981" s="249"/>
      <c r="F1981" s="565"/>
      <c r="G1981" s="565"/>
      <c r="H1981" s="566"/>
      <c r="I1981" s="566"/>
      <c r="J1981" s="567"/>
      <c r="K1981" s="565"/>
      <c r="L1981" s="544"/>
      <c r="M1981" s="543"/>
      <c r="N1981" s="489"/>
      <c r="P1981"/>
    </row>
    <row r="1982" spans="2:16">
      <c r="B1982" s="203"/>
      <c r="C1982" s="203"/>
      <c r="D1982" s="203"/>
      <c r="E1982" s="249"/>
      <c r="F1982" s="565"/>
      <c r="G1982" s="565"/>
      <c r="H1982" s="566"/>
      <c r="I1982" s="566"/>
      <c r="J1982" s="567"/>
      <c r="K1982" s="565"/>
      <c r="L1982" s="544"/>
      <c r="M1982" s="543"/>
      <c r="N1982" s="489"/>
      <c r="P1982"/>
    </row>
    <row r="1983" spans="2:16">
      <c r="B1983" s="203"/>
      <c r="C1983" s="203"/>
      <c r="D1983" s="203"/>
      <c r="E1983" s="249"/>
      <c r="F1983" s="565"/>
      <c r="G1983" s="565"/>
      <c r="H1983" s="566"/>
      <c r="I1983" s="566"/>
      <c r="J1983" s="567"/>
      <c r="K1983" s="565"/>
      <c r="L1983" s="544"/>
      <c r="M1983" s="543"/>
      <c r="N1983" s="489"/>
      <c r="P1983"/>
    </row>
    <row r="1984" spans="2:16">
      <c r="B1984" s="203"/>
      <c r="C1984" s="203"/>
      <c r="D1984" s="203"/>
      <c r="E1984" s="249"/>
      <c r="F1984" s="565"/>
      <c r="G1984" s="565"/>
      <c r="H1984" s="566"/>
      <c r="I1984" s="566"/>
      <c r="J1984" s="567"/>
      <c r="K1984" s="565"/>
      <c r="L1984" s="544"/>
      <c r="N1984" s="489"/>
      <c r="P1984"/>
    </row>
    <row r="1985" spans="2:16">
      <c r="B1985" s="203"/>
      <c r="C1985" s="203"/>
      <c r="D1985" s="203"/>
      <c r="E1985" s="249"/>
      <c r="F1985" s="565"/>
      <c r="G1985" s="565"/>
      <c r="H1985" s="566"/>
      <c r="I1985" s="566"/>
      <c r="J1985" s="567"/>
      <c r="K1985" s="565"/>
      <c r="L1985" s="544"/>
      <c r="N1985" s="489"/>
      <c r="P1985"/>
    </row>
    <row r="1986" spans="2:16">
      <c r="B1986" s="203"/>
      <c r="C1986" s="203"/>
      <c r="D1986" s="203"/>
      <c r="E1986" s="249"/>
      <c r="F1986" s="565"/>
      <c r="G1986" s="565"/>
      <c r="H1986" s="566"/>
      <c r="I1986" s="566"/>
      <c r="J1986" s="567"/>
      <c r="K1986" s="565"/>
      <c r="L1986" s="544"/>
      <c r="N1986" s="489"/>
      <c r="P1986"/>
    </row>
    <row r="1987" spans="2:16">
      <c r="B1987" s="203"/>
      <c r="C1987" s="203"/>
      <c r="D1987" s="203"/>
      <c r="E1987" s="249"/>
      <c r="F1987" s="565"/>
      <c r="G1987" s="565"/>
      <c r="H1987" s="566"/>
      <c r="I1987" s="566"/>
      <c r="J1987" s="567"/>
      <c r="K1987" s="565"/>
      <c r="L1987" s="544"/>
      <c r="N1987" s="489"/>
      <c r="P1987"/>
    </row>
    <row r="1988" spans="2:16">
      <c r="B1988" s="203"/>
      <c r="C1988" s="203"/>
      <c r="D1988" s="203"/>
      <c r="E1988" s="203"/>
      <c r="F1988" s="544"/>
      <c r="G1988" s="565"/>
      <c r="H1988" s="567"/>
      <c r="I1988" s="567"/>
      <c r="J1988" s="567"/>
      <c r="K1988" s="544"/>
      <c r="L1988" s="544"/>
      <c r="N1988" s="489"/>
      <c r="P1988"/>
    </row>
    <row r="1989" spans="2:16">
      <c r="B1989" s="203"/>
      <c r="C1989" s="203"/>
      <c r="D1989" s="203"/>
      <c r="E1989" s="249"/>
      <c r="F1989" s="565"/>
      <c r="G1989" s="565"/>
      <c r="H1989" s="567"/>
      <c r="I1989" s="567"/>
      <c r="J1989" s="567"/>
      <c r="K1989" s="544"/>
      <c r="L1989" s="544"/>
      <c r="N1989" s="489"/>
      <c r="P1989"/>
    </row>
    <row r="1990" spans="2:16">
      <c r="B1990" s="203"/>
      <c r="C1990" s="203"/>
      <c r="D1990" s="203"/>
      <c r="E1990" s="203"/>
      <c r="F1990" s="544"/>
      <c r="G1990" s="544"/>
      <c r="H1990" s="566"/>
      <c r="I1990" s="566"/>
      <c r="J1990" s="567"/>
      <c r="K1990" s="544"/>
      <c r="L1990" s="544"/>
      <c r="N1990" s="489"/>
      <c r="P1990"/>
    </row>
    <row r="1991" spans="2:16">
      <c r="B1991" s="203"/>
      <c r="C1991" s="203"/>
      <c r="D1991" s="203"/>
      <c r="E1991" s="203"/>
      <c r="F1991" s="544"/>
      <c r="G1991" s="565"/>
      <c r="H1991" s="567"/>
      <c r="I1991" s="567"/>
      <c r="J1991" s="567"/>
      <c r="K1991" s="544"/>
      <c r="L1991" s="544"/>
      <c r="N1991" s="489"/>
      <c r="P1991"/>
    </row>
    <row r="1992" spans="2:16">
      <c r="B1992" s="203"/>
      <c r="C1992" s="203"/>
      <c r="D1992" s="203"/>
      <c r="E1992" s="203"/>
      <c r="F1992" s="544"/>
      <c r="G1992" s="565"/>
      <c r="H1992" s="566"/>
      <c r="I1992" s="566"/>
      <c r="J1992" s="567"/>
      <c r="K1992" s="544"/>
      <c r="L1992" s="544"/>
      <c r="N1992" s="489"/>
      <c r="P1992"/>
    </row>
    <row r="1993" spans="2:16">
      <c r="B1993" s="203"/>
      <c r="C1993" s="203"/>
      <c r="D1993" s="203"/>
      <c r="E1993" s="249"/>
      <c r="F1993" s="565"/>
      <c r="G1993" s="565"/>
      <c r="H1993" s="566"/>
      <c r="I1993" s="566"/>
      <c r="J1993" s="567"/>
      <c r="K1993" s="544"/>
      <c r="L1993" s="544"/>
      <c r="N1993" s="489"/>
      <c r="P1993"/>
    </row>
    <row r="1994" spans="2:16">
      <c r="B1994" s="203"/>
      <c r="C1994" s="203"/>
      <c r="D1994" s="203"/>
      <c r="E1994" s="249"/>
      <c r="F1994" s="565"/>
      <c r="G1994" s="544"/>
      <c r="H1994" s="567"/>
      <c r="I1994" s="567"/>
      <c r="J1994" s="567"/>
      <c r="K1994" s="544"/>
      <c r="L1994" s="544"/>
      <c r="N1994" s="489"/>
      <c r="P1994"/>
    </row>
    <row r="1995" spans="2:16">
      <c r="B1995" s="203"/>
      <c r="C1995" s="203"/>
      <c r="D1995" s="203"/>
      <c r="E1995" s="203"/>
      <c r="F1995" s="544"/>
      <c r="G1995" s="565"/>
      <c r="H1995" s="566"/>
      <c r="I1995" s="566"/>
      <c r="J1995" s="567"/>
      <c r="K1995" s="544"/>
      <c r="L1995" s="544"/>
      <c r="N1995" s="489"/>
      <c r="P1995"/>
    </row>
    <row r="1996" spans="2:16">
      <c r="B1996" s="203"/>
      <c r="C1996" s="203"/>
      <c r="D1996" s="203"/>
      <c r="E1996" s="249"/>
      <c r="F1996" s="565"/>
      <c r="G1996" s="565"/>
      <c r="H1996" s="567"/>
      <c r="I1996" s="567"/>
      <c r="J1996" s="567"/>
      <c r="K1996" s="544"/>
      <c r="L1996" s="544"/>
      <c r="N1996" s="489"/>
      <c r="P1996"/>
    </row>
    <row r="1997" spans="2:16">
      <c r="B1997" s="203"/>
      <c r="C1997" s="203"/>
      <c r="D1997" s="203"/>
      <c r="E1997" s="203"/>
      <c r="F1997" s="544"/>
      <c r="G1997" s="544"/>
      <c r="H1997" s="566"/>
      <c r="I1997" s="566"/>
      <c r="J1997" s="567"/>
      <c r="K1997" s="544"/>
      <c r="L1997" s="544"/>
      <c r="N1997" s="489"/>
      <c r="P1997"/>
    </row>
    <row r="1998" spans="2:16">
      <c r="B1998" s="203"/>
      <c r="C1998" s="203"/>
      <c r="D1998" s="203"/>
      <c r="E1998" s="203"/>
      <c r="F1998" s="544"/>
      <c r="G1998" s="565"/>
      <c r="H1998" s="566"/>
      <c r="I1998" s="566"/>
      <c r="J1998" s="567"/>
      <c r="K1998" s="544"/>
      <c r="L1998" s="544"/>
      <c r="N1998" s="489"/>
      <c r="P1998"/>
    </row>
    <row r="1999" spans="2:16">
      <c r="B1999" s="203"/>
      <c r="C1999" s="203"/>
      <c r="D1999" s="203"/>
      <c r="E1999" s="249"/>
      <c r="F1999" s="565"/>
      <c r="G1999" s="565"/>
      <c r="H1999" s="567"/>
      <c r="I1999" s="567"/>
      <c r="J1999" s="567"/>
      <c r="K1999" s="544"/>
      <c r="L1999" s="544"/>
      <c r="N1999" s="489"/>
      <c r="P1999"/>
    </row>
    <row r="2000" spans="2:16">
      <c r="B2000" s="203"/>
      <c r="C2000" s="203"/>
      <c r="D2000" s="203"/>
      <c r="E2000" s="249"/>
      <c r="F2000" s="565"/>
      <c r="G2000" s="565"/>
      <c r="H2000" s="567"/>
      <c r="I2000" s="567"/>
      <c r="J2000" s="567"/>
      <c r="K2000" s="544"/>
      <c r="L2000" s="544"/>
      <c r="N2000" s="489"/>
      <c r="P2000"/>
    </row>
    <row r="2001" spans="2:16">
      <c r="B2001" s="203"/>
      <c r="C2001" s="203"/>
      <c r="D2001" s="203"/>
      <c r="E2001" s="249"/>
      <c r="F2001" s="565"/>
      <c r="G2001" s="565"/>
      <c r="H2001" s="567"/>
      <c r="I2001" s="567"/>
      <c r="J2001" s="567"/>
      <c r="K2001" s="544"/>
      <c r="L2001" s="544"/>
      <c r="N2001" s="489"/>
      <c r="P2001"/>
    </row>
    <row r="2002" spans="2:16">
      <c r="B2002" s="203"/>
      <c r="C2002" s="203"/>
      <c r="D2002" s="203"/>
      <c r="E2002" s="249"/>
      <c r="F2002" s="565"/>
      <c r="G2002" s="544"/>
      <c r="H2002" s="567"/>
      <c r="I2002" s="567"/>
      <c r="J2002" s="567"/>
      <c r="K2002" s="544"/>
      <c r="L2002" s="544"/>
      <c r="N2002" s="489"/>
      <c r="P2002"/>
    </row>
    <row r="2003" spans="2:16">
      <c r="B2003" s="203"/>
      <c r="C2003" s="203"/>
      <c r="D2003" s="203"/>
      <c r="E2003" s="249"/>
      <c r="F2003" s="565"/>
      <c r="G2003" s="565"/>
      <c r="H2003" s="566"/>
      <c r="I2003" s="566"/>
      <c r="J2003" s="567"/>
      <c r="K2003" s="565"/>
      <c r="L2003" s="544"/>
      <c r="N2003" s="489"/>
      <c r="P2003"/>
    </row>
    <row r="2004" spans="2:16">
      <c r="B2004" s="203"/>
      <c r="C2004" s="203"/>
      <c r="D2004" s="203"/>
      <c r="E2004" s="249"/>
      <c r="F2004" s="565"/>
      <c r="G2004" s="565"/>
      <c r="H2004" s="567"/>
      <c r="I2004" s="567"/>
      <c r="J2004" s="567"/>
      <c r="K2004" s="544"/>
      <c r="L2004" s="544"/>
      <c r="N2004" s="489"/>
      <c r="P2004"/>
    </row>
    <row r="2005" spans="2:16">
      <c r="B2005" s="203"/>
      <c r="C2005" s="203"/>
      <c r="D2005" s="203"/>
      <c r="E2005" s="249"/>
      <c r="F2005" s="565"/>
      <c r="G2005" s="544"/>
      <c r="H2005" s="567"/>
      <c r="I2005" s="567"/>
      <c r="J2005" s="567"/>
      <c r="K2005" s="544"/>
      <c r="L2005" s="544"/>
      <c r="N2005" s="489"/>
      <c r="P2005"/>
    </row>
    <row r="2006" spans="2:16">
      <c r="B2006" s="203"/>
      <c r="C2006" s="203"/>
      <c r="D2006" s="203"/>
      <c r="E2006" s="249"/>
      <c r="F2006" s="565"/>
      <c r="G2006" s="565"/>
      <c r="H2006" s="566"/>
      <c r="I2006" s="566"/>
      <c r="J2006" s="567"/>
      <c r="K2006" s="565"/>
      <c r="L2006" s="544"/>
      <c r="N2006" s="489"/>
      <c r="P2006"/>
    </row>
    <row r="2007" spans="2:16">
      <c r="B2007" s="203"/>
      <c r="C2007" s="203"/>
      <c r="D2007" s="203"/>
      <c r="E2007" s="249"/>
      <c r="F2007" s="565"/>
      <c r="G2007" s="565"/>
      <c r="H2007" s="566"/>
      <c r="I2007" s="566"/>
      <c r="J2007" s="567"/>
      <c r="K2007" s="565"/>
      <c r="L2007" s="544"/>
      <c r="N2007" s="489"/>
      <c r="P2007"/>
    </row>
    <row r="2008" spans="2:16">
      <c r="B2008" s="203"/>
      <c r="C2008" s="203"/>
      <c r="D2008" s="203"/>
      <c r="E2008" s="203"/>
      <c r="F2008" s="544"/>
      <c r="G2008" s="565"/>
      <c r="H2008" s="566"/>
      <c r="I2008" s="566"/>
      <c r="J2008" s="567"/>
      <c r="K2008" s="544"/>
      <c r="L2008" s="544"/>
      <c r="N2008" s="489"/>
      <c r="P2008"/>
    </row>
    <row r="2009" spans="2:16">
      <c r="B2009" s="203"/>
      <c r="C2009" s="203"/>
      <c r="D2009" s="203"/>
      <c r="E2009" s="203"/>
      <c r="F2009" s="544"/>
      <c r="G2009" s="565"/>
      <c r="H2009" s="566"/>
      <c r="I2009" s="566"/>
      <c r="J2009" s="567"/>
      <c r="K2009" s="544"/>
      <c r="L2009" s="544"/>
      <c r="N2009" s="489"/>
      <c r="P2009"/>
    </row>
    <row r="2010" spans="2:16">
      <c r="B2010" s="203"/>
      <c r="C2010" s="203"/>
      <c r="D2010" s="203"/>
      <c r="E2010" s="249"/>
      <c r="F2010" s="565"/>
      <c r="G2010" s="565"/>
      <c r="H2010" s="567"/>
      <c r="I2010" s="567"/>
      <c r="J2010" s="567"/>
      <c r="K2010" s="544"/>
      <c r="L2010" s="544"/>
      <c r="N2010" s="489"/>
      <c r="P2010"/>
    </row>
    <row r="2011" spans="2:16">
      <c r="B2011" s="203"/>
      <c r="C2011" s="203"/>
      <c r="D2011" s="203"/>
      <c r="E2011" s="249"/>
      <c r="F2011" s="565"/>
      <c r="G2011" s="565"/>
      <c r="H2011" s="567"/>
      <c r="I2011" s="567"/>
      <c r="J2011" s="567"/>
      <c r="K2011" s="544"/>
      <c r="L2011" s="544"/>
      <c r="N2011" s="489"/>
      <c r="P2011"/>
    </row>
    <row r="2012" spans="2:16">
      <c r="B2012" s="203"/>
      <c r="C2012" s="203"/>
      <c r="D2012" s="203"/>
      <c r="E2012" s="249"/>
      <c r="F2012" s="565"/>
      <c r="G2012" s="544"/>
      <c r="H2012" s="567"/>
      <c r="I2012" s="567"/>
      <c r="J2012" s="567"/>
      <c r="K2012" s="544"/>
      <c r="L2012" s="544"/>
      <c r="N2012" s="489"/>
      <c r="P2012"/>
    </row>
    <row r="2013" spans="2:16">
      <c r="B2013" s="203"/>
      <c r="C2013" s="203"/>
      <c r="D2013" s="203"/>
      <c r="E2013" s="249"/>
      <c r="F2013" s="565"/>
      <c r="G2013" s="565"/>
      <c r="H2013" s="567"/>
      <c r="I2013" s="567"/>
      <c r="J2013" s="567"/>
      <c r="K2013" s="544"/>
      <c r="L2013" s="544"/>
      <c r="N2013" s="489"/>
      <c r="P2013"/>
    </row>
    <row r="2014" spans="2:16">
      <c r="B2014" s="203"/>
      <c r="C2014" s="203"/>
      <c r="D2014" s="203"/>
      <c r="E2014" s="249"/>
      <c r="F2014" s="565"/>
      <c r="G2014" s="565"/>
      <c r="H2014" s="567"/>
      <c r="I2014" s="567"/>
      <c r="J2014" s="567"/>
      <c r="K2014" s="544"/>
      <c r="L2014" s="544"/>
      <c r="N2014" s="489"/>
      <c r="P2014"/>
    </row>
    <row r="2015" spans="2:16">
      <c r="B2015" s="203"/>
      <c r="C2015" s="203"/>
      <c r="D2015" s="203"/>
      <c r="E2015" s="249"/>
      <c r="F2015" s="565"/>
      <c r="G2015" s="544"/>
      <c r="H2015" s="567"/>
      <c r="I2015" s="567"/>
      <c r="J2015" s="567"/>
      <c r="K2015" s="544"/>
      <c r="L2015" s="544"/>
      <c r="N2015" s="489"/>
      <c r="P2015"/>
    </row>
    <row r="2016" spans="2:16">
      <c r="B2016" s="203"/>
      <c r="C2016" s="203"/>
      <c r="D2016" s="203"/>
      <c r="E2016" s="249"/>
      <c r="F2016" s="565"/>
      <c r="G2016" s="565"/>
      <c r="H2016" s="567"/>
      <c r="I2016" s="567"/>
      <c r="J2016" s="567"/>
      <c r="K2016" s="544"/>
      <c r="L2016" s="544"/>
      <c r="N2016" s="489"/>
      <c r="P2016"/>
    </row>
    <row r="2017" spans="2:16">
      <c r="B2017" s="203"/>
      <c r="C2017" s="203"/>
      <c r="D2017" s="203"/>
      <c r="E2017" s="249"/>
      <c r="F2017" s="565"/>
      <c r="G2017" s="565"/>
      <c r="H2017" s="566"/>
      <c r="I2017" s="566"/>
      <c r="J2017" s="567"/>
      <c r="K2017" s="544"/>
      <c r="L2017" s="544"/>
      <c r="N2017" s="489"/>
      <c r="P2017"/>
    </row>
    <row r="2018" spans="2:16">
      <c r="B2018" s="203"/>
      <c r="C2018" s="203"/>
      <c r="D2018" s="203"/>
      <c r="E2018" s="249"/>
      <c r="F2018" s="565"/>
      <c r="G2018" s="565"/>
      <c r="H2018" s="567"/>
      <c r="I2018" s="567"/>
      <c r="J2018" s="567"/>
      <c r="K2018" s="544"/>
      <c r="L2018" s="544"/>
      <c r="N2018" s="489"/>
      <c r="P2018"/>
    </row>
    <row r="2019" spans="2:16">
      <c r="B2019" s="203"/>
      <c r="C2019" s="203"/>
      <c r="D2019" s="203"/>
      <c r="E2019" s="203"/>
      <c r="F2019" s="544"/>
      <c r="G2019" s="544"/>
      <c r="H2019" s="566"/>
      <c r="I2019" s="566"/>
      <c r="J2019" s="567"/>
      <c r="K2019" s="544"/>
      <c r="L2019" s="544"/>
      <c r="N2019" s="489"/>
      <c r="P2019"/>
    </row>
    <row r="2020" spans="2:16">
      <c r="B2020" s="203"/>
      <c r="C2020" s="203"/>
      <c r="D2020" s="203"/>
      <c r="E2020" s="249"/>
      <c r="F2020" s="565"/>
      <c r="G2020" s="565"/>
      <c r="H2020" s="566"/>
      <c r="I2020" s="566"/>
      <c r="J2020" s="567"/>
      <c r="K2020" s="544"/>
      <c r="L2020" s="544"/>
      <c r="N2020" s="489"/>
      <c r="P2020"/>
    </row>
    <row r="2021" spans="2:16">
      <c r="B2021" s="203"/>
      <c r="C2021" s="203"/>
      <c r="D2021" s="203"/>
      <c r="E2021" s="203"/>
      <c r="F2021" s="544"/>
      <c r="G2021" s="544"/>
      <c r="H2021" s="566"/>
      <c r="I2021" s="566"/>
      <c r="J2021" s="567"/>
      <c r="K2021" s="544"/>
      <c r="L2021" s="544"/>
      <c r="N2021" s="489"/>
      <c r="P2021"/>
    </row>
    <row r="2022" spans="2:16">
      <c r="B2022" s="203"/>
      <c r="C2022" s="203"/>
      <c r="D2022" s="203"/>
      <c r="E2022" s="249"/>
      <c r="F2022" s="565"/>
      <c r="G2022" s="565"/>
      <c r="H2022" s="566"/>
      <c r="I2022" s="566"/>
      <c r="J2022" s="567"/>
      <c r="K2022" s="565"/>
      <c r="L2022" s="544"/>
      <c r="M2022" s="544"/>
      <c r="N2022" s="489"/>
      <c r="P2022"/>
    </row>
    <row r="2023" spans="2:16">
      <c r="B2023" s="203"/>
      <c r="C2023" s="203"/>
      <c r="D2023" s="203"/>
      <c r="E2023" s="249"/>
      <c r="F2023" s="565"/>
      <c r="G2023" s="565"/>
      <c r="H2023" s="566"/>
      <c r="I2023" s="566"/>
      <c r="J2023" s="567"/>
      <c r="K2023" s="565"/>
      <c r="L2023" s="544"/>
      <c r="N2023" s="489"/>
      <c r="P2023"/>
    </row>
    <row r="2024" spans="2:16">
      <c r="B2024" s="203"/>
      <c r="C2024" s="203"/>
      <c r="D2024" s="203"/>
      <c r="E2024" s="249"/>
      <c r="F2024" s="565"/>
      <c r="G2024" s="565"/>
      <c r="H2024" s="566"/>
      <c r="I2024" s="566"/>
      <c r="J2024" s="567"/>
      <c r="K2024" s="565"/>
      <c r="L2024" s="544"/>
      <c r="N2024" s="489"/>
      <c r="P2024"/>
    </row>
    <row r="2025" spans="2:16">
      <c r="B2025" s="203"/>
      <c r="C2025" s="203"/>
      <c r="D2025" s="203"/>
      <c r="E2025" s="249"/>
      <c r="F2025" s="565"/>
      <c r="G2025" s="565"/>
      <c r="H2025" s="566"/>
      <c r="I2025" s="566"/>
      <c r="J2025" s="566"/>
      <c r="K2025" s="565"/>
      <c r="L2025" s="544"/>
      <c r="N2025" s="489"/>
      <c r="P2025"/>
    </row>
    <row r="2026" spans="2:16">
      <c r="B2026" s="203"/>
      <c r="C2026" s="203"/>
      <c r="D2026" s="203"/>
      <c r="E2026" s="249"/>
      <c r="F2026" s="565"/>
      <c r="G2026" s="565"/>
      <c r="H2026" s="566"/>
      <c r="I2026" s="566"/>
      <c r="J2026" s="566"/>
      <c r="K2026" s="565"/>
      <c r="L2026" s="544"/>
      <c r="N2026" s="489"/>
      <c r="P2026"/>
    </row>
    <row r="2027" spans="2:16">
      <c r="B2027" s="203"/>
      <c r="C2027" s="203"/>
      <c r="D2027" s="203"/>
      <c r="E2027" s="249"/>
      <c r="F2027" s="565"/>
      <c r="G2027" s="565"/>
      <c r="H2027" s="566"/>
      <c r="I2027" s="566"/>
      <c r="J2027" s="566"/>
      <c r="K2027" s="565"/>
      <c r="L2027" s="544"/>
      <c r="N2027" s="489"/>
      <c r="P2027"/>
    </row>
    <row r="2028" spans="2:16">
      <c r="B2028" s="203"/>
      <c r="C2028" s="203"/>
      <c r="D2028" s="203"/>
      <c r="E2028" s="249"/>
      <c r="F2028" s="565"/>
      <c r="G2028" s="565"/>
      <c r="H2028" s="566"/>
      <c r="I2028" s="566"/>
      <c r="J2028" s="566"/>
      <c r="K2028" s="565"/>
      <c r="L2028" s="544"/>
      <c r="N2028" s="489"/>
      <c r="P2028"/>
    </row>
    <row r="2029" spans="2:16">
      <c r="B2029" s="203"/>
      <c r="C2029" s="203"/>
      <c r="D2029" s="203"/>
      <c r="E2029" s="249"/>
      <c r="F2029" s="565"/>
      <c r="G2029" s="565"/>
      <c r="H2029" s="566"/>
      <c r="I2029" s="566"/>
      <c r="J2029" s="566"/>
      <c r="K2029" s="565"/>
      <c r="L2029" s="544"/>
      <c r="N2029" s="489"/>
      <c r="P2029"/>
    </row>
    <row r="2030" spans="2:16">
      <c r="B2030" s="203"/>
      <c r="C2030" s="203"/>
      <c r="D2030" s="203"/>
      <c r="E2030" s="249"/>
      <c r="F2030" s="565"/>
      <c r="G2030" s="565"/>
      <c r="H2030" s="566"/>
      <c r="I2030" s="566"/>
      <c r="J2030" s="566"/>
      <c r="K2030" s="565"/>
      <c r="L2030" s="544"/>
      <c r="N2030" s="489"/>
      <c r="P2030"/>
    </row>
    <row r="2031" spans="2:16">
      <c r="B2031" s="203"/>
      <c r="C2031" s="203"/>
      <c r="D2031" s="203"/>
      <c r="E2031" s="249"/>
      <c r="F2031" s="565"/>
      <c r="G2031" s="565"/>
      <c r="H2031" s="566"/>
      <c r="I2031" s="566"/>
      <c r="J2031" s="566"/>
      <c r="K2031" s="565"/>
      <c r="L2031" s="544"/>
      <c r="N2031" s="489"/>
      <c r="P2031"/>
    </row>
    <row r="2032" spans="2:16">
      <c r="B2032" s="203"/>
      <c r="C2032" s="203"/>
      <c r="D2032" s="203"/>
      <c r="E2032" s="249"/>
      <c r="F2032" s="565"/>
      <c r="G2032" s="565"/>
      <c r="H2032" s="566"/>
      <c r="I2032" s="566"/>
      <c r="J2032" s="566"/>
      <c r="K2032" s="565"/>
      <c r="L2032" s="544"/>
      <c r="N2032" s="489"/>
      <c r="P2032"/>
    </row>
    <row r="2033" spans="2:16">
      <c r="B2033" s="203"/>
      <c r="C2033" s="203"/>
      <c r="D2033" s="203"/>
      <c r="E2033" s="203"/>
      <c r="F2033" s="544"/>
      <c r="G2033" s="544"/>
      <c r="H2033" s="566"/>
      <c r="I2033" s="566"/>
      <c r="J2033" s="566"/>
      <c r="K2033" s="565"/>
      <c r="L2033" s="544"/>
      <c r="N2033" s="489"/>
      <c r="P2033"/>
    </row>
    <row r="2034" spans="2:16">
      <c r="B2034" s="203"/>
      <c r="C2034" s="203"/>
      <c r="D2034" s="203"/>
      <c r="E2034" s="249"/>
      <c r="F2034" s="565"/>
      <c r="G2034" s="565"/>
      <c r="H2034" s="566"/>
      <c r="I2034" s="566"/>
      <c r="J2034" s="566"/>
      <c r="K2034" s="565"/>
      <c r="L2034" s="544"/>
      <c r="N2034" s="489"/>
      <c r="P2034"/>
    </row>
    <row r="2035" spans="2:16">
      <c r="B2035" s="203"/>
      <c r="C2035" s="203"/>
      <c r="D2035" s="203"/>
      <c r="E2035" s="249"/>
      <c r="F2035" s="565"/>
      <c r="G2035" s="565"/>
      <c r="H2035" s="566"/>
      <c r="I2035" s="566"/>
      <c r="J2035" s="566"/>
      <c r="K2035" s="565"/>
      <c r="L2035" s="544"/>
      <c r="N2035" s="489"/>
      <c r="P2035"/>
    </row>
    <row r="2036" spans="2:16">
      <c r="B2036" s="203"/>
      <c r="C2036" s="203"/>
      <c r="D2036" s="203"/>
      <c r="E2036" s="203"/>
      <c r="F2036" s="544"/>
      <c r="G2036" s="544"/>
      <c r="H2036" s="566"/>
      <c r="I2036" s="566"/>
      <c r="J2036" s="566"/>
      <c r="K2036" s="565"/>
      <c r="L2036" s="544"/>
      <c r="N2036" s="489"/>
      <c r="P2036"/>
    </row>
    <row r="2037" spans="2:16">
      <c r="B2037" s="203"/>
      <c r="C2037" s="203"/>
      <c r="D2037" s="203"/>
      <c r="E2037" s="249"/>
      <c r="F2037" s="565"/>
      <c r="G2037" s="565"/>
      <c r="H2037" s="566"/>
      <c r="I2037" s="566"/>
      <c r="J2037" s="566"/>
      <c r="K2037" s="565"/>
      <c r="L2037" s="544"/>
      <c r="N2037" s="489"/>
      <c r="P2037"/>
    </row>
    <row r="2038" spans="2:16">
      <c r="B2038" s="203"/>
      <c r="C2038" s="203"/>
      <c r="D2038" s="203"/>
      <c r="E2038" s="249"/>
      <c r="F2038" s="565"/>
      <c r="G2038" s="565"/>
      <c r="H2038" s="566"/>
      <c r="I2038" s="566"/>
      <c r="J2038" s="566"/>
      <c r="K2038" s="565"/>
      <c r="L2038" s="544"/>
      <c r="N2038" s="489"/>
      <c r="P2038"/>
    </row>
    <row r="2039" spans="2:16">
      <c r="B2039" s="203"/>
      <c r="C2039" s="203"/>
      <c r="D2039" s="203"/>
      <c r="E2039" s="249"/>
      <c r="F2039" s="565"/>
      <c r="G2039" s="565"/>
      <c r="H2039" s="566"/>
      <c r="I2039" s="566"/>
      <c r="J2039" s="566"/>
      <c r="K2039" s="565"/>
      <c r="L2039" s="544"/>
      <c r="N2039" s="489"/>
      <c r="P2039"/>
    </row>
    <row r="2040" spans="2:16">
      <c r="B2040" s="203"/>
      <c r="C2040" s="203"/>
      <c r="D2040" s="203"/>
      <c r="E2040" s="249"/>
      <c r="F2040" s="565"/>
      <c r="G2040" s="565"/>
      <c r="H2040" s="566"/>
      <c r="I2040" s="566"/>
      <c r="J2040" s="566"/>
      <c r="K2040" s="565"/>
      <c r="L2040" s="544"/>
      <c r="N2040" s="489"/>
      <c r="P2040"/>
    </row>
    <row r="2041" spans="2:16">
      <c r="B2041" s="203"/>
      <c r="C2041" s="203"/>
      <c r="D2041" s="203"/>
      <c r="E2041" s="249"/>
      <c r="F2041" s="565"/>
      <c r="G2041" s="565"/>
      <c r="H2041" s="566"/>
      <c r="I2041" s="566"/>
      <c r="J2041" s="566"/>
      <c r="K2041" s="565"/>
      <c r="L2041" s="544"/>
      <c r="N2041" s="489"/>
      <c r="P2041"/>
    </row>
    <row r="2042" spans="2:16">
      <c r="B2042" s="203"/>
      <c r="C2042" s="203"/>
      <c r="D2042" s="203"/>
      <c r="E2042" s="249"/>
      <c r="F2042" s="565"/>
      <c r="G2042" s="565"/>
      <c r="H2042" s="566"/>
      <c r="I2042" s="566"/>
      <c r="J2042" s="566"/>
      <c r="K2042" s="565"/>
      <c r="L2042" s="544"/>
      <c r="N2042" s="489"/>
      <c r="P2042"/>
    </row>
    <row r="2043" spans="2:16">
      <c r="B2043" s="203"/>
      <c r="C2043" s="203"/>
      <c r="D2043" s="203"/>
      <c r="E2043" s="249"/>
      <c r="F2043" s="565"/>
      <c r="G2043" s="565"/>
      <c r="H2043" s="566"/>
      <c r="I2043" s="566"/>
      <c r="J2043" s="566"/>
      <c r="K2043" s="565"/>
      <c r="L2043" s="544"/>
      <c r="N2043" s="489"/>
      <c r="P2043"/>
    </row>
    <row r="2044" spans="2:16">
      <c r="B2044" s="203"/>
      <c r="C2044" s="203"/>
      <c r="D2044" s="203"/>
      <c r="E2044" s="249"/>
      <c r="F2044" s="565"/>
      <c r="G2044" s="565"/>
      <c r="H2044" s="566"/>
      <c r="I2044" s="566"/>
      <c r="J2044" s="566"/>
      <c r="K2044" s="565"/>
      <c r="L2044" s="544"/>
      <c r="N2044" s="489"/>
      <c r="P2044"/>
    </row>
    <row r="2045" spans="2:16">
      <c r="B2045" s="203"/>
      <c r="C2045" s="203"/>
      <c r="D2045" s="203"/>
      <c r="E2045" s="249"/>
      <c r="F2045" s="565"/>
      <c r="G2045" s="565"/>
      <c r="H2045" s="566"/>
      <c r="I2045" s="566"/>
      <c r="J2045" s="566"/>
      <c r="K2045" s="565"/>
      <c r="L2045" s="544"/>
      <c r="N2045" s="489"/>
      <c r="P2045"/>
    </row>
    <row r="2046" spans="2:16">
      <c r="B2046" s="203"/>
      <c r="C2046" s="203"/>
      <c r="D2046" s="203"/>
      <c r="E2046" s="249"/>
      <c r="F2046" s="565"/>
      <c r="G2046" s="565"/>
      <c r="H2046" s="566"/>
      <c r="I2046" s="566"/>
      <c r="J2046" s="566"/>
      <c r="K2046" s="565"/>
      <c r="L2046" s="544"/>
      <c r="N2046" s="489"/>
      <c r="P2046"/>
    </row>
    <row r="2047" spans="2:16">
      <c r="B2047" s="203"/>
      <c r="C2047" s="203"/>
      <c r="D2047" s="203"/>
      <c r="E2047" s="249"/>
      <c r="F2047" s="565"/>
      <c r="G2047" s="544"/>
      <c r="H2047" s="566"/>
      <c r="I2047" s="566"/>
      <c r="J2047" s="566"/>
      <c r="K2047" s="565"/>
      <c r="L2047" s="544"/>
      <c r="N2047" s="489"/>
      <c r="P2047"/>
    </row>
    <row r="2048" spans="2:16">
      <c r="B2048" s="203"/>
      <c r="C2048" s="203"/>
      <c r="D2048" s="203"/>
      <c r="E2048" s="249"/>
      <c r="F2048" s="565"/>
      <c r="G2048" s="544"/>
      <c r="H2048" s="566"/>
      <c r="I2048" s="566"/>
      <c r="J2048" s="566"/>
      <c r="K2048" s="565"/>
      <c r="L2048" s="544"/>
      <c r="N2048" s="489"/>
      <c r="P2048"/>
    </row>
    <row r="2049" spans="2:16">
      <c r="B2049" s="203"/>
      <c r="C2049" s="203"/>
      <c r="D2049" s="203"/>
      <c r="E2049" s="249"/>
      <c r="F2049" s="565"/>
      <c r="G2049" s="565"/>
      <c r="H2049" s="566"/>
      <c r="I2049" s="566"/>
      <c r="J2049" s="566"/>
      <c r="K2049" s="565"/>
      <c r="L2049" s="544"/>
      <c r="N2049" s="489"/>
      <c r="P2049"/>
    </row>
    <row r="2050" spans="2:16">
      <c r="B2050" s="203"/>
      <c r="C2050" s="203"/>
      <c r="D2050" s="203"/>
      <c r="E2050" s="249"/>
      <c r="F2050" s="565"/>
      <c r="G2050" s="565"/>
      <c r="H2050" s="566"/>
      <c r="I2050" s="566"/>
      <c r="J2050" s="566"/>
      <c r="K2050" s="565"/>
      <c r="L2050" s="544"/>
      <c r="N2050" s="489"/>
      <c r="P2050"/>
    </row>
    <row r="2051" spans="2:16">
      <c r="B2051" s="203"/>
      <c r="C2051" s="203"/>
      <c r="D2051" s="203"/>
      <c r="E2051" s="249"/>
      <c r="F2051" s="565"/>
      <c r="G2051" s="544"/>
      <c r="H2051" s="566"/>
      <c r="I2051" s="566"/>
      <c r="J2051" s="566"/>
      <c r="K2051" s="565"/>
      <c r="L2051" s="544"/>
      <c r="N2051" s="489"/>
      <c r="P2051"/>
    </row>
    <row r="2052" spans="2:16">
      <c r="B2052" s="203"/>
      <c r="C2052" s="203"/>
      <c r="D2052" s="203"/>
      <c r="E2052" s="249"/>
      <c r="F2052" s="565"/>
      <c r="G2052" s="565"/>
      <c r="H2052" s="566"/>
      <c r="I2052" s="566"/>
      <c r="J2052" s="566"/>
      <c r="K2052" s="565"/>
      <c r="L2052" s="544"/>
      <c r="N2052" s="489"/>
      <c r="P2052"/>
    </row>
    <row r="2053" spans="2:16">
      <c r="B2053" s="203"/>
      <c r="C2053" s="203"/>
      <c r="D2053" s="203"/>
      <c r="E2053" s="249"/>
      <c r="F2053" s="565"/>
      <c r="G2053" s="565"/>
      <c r="H2053" s="566"/>
      <c r="I2053" s="566"/>
      <c r="J2053" s="566"/>
      <c r="K2053" s="565"/>
      <c r="L2053" s="544"/>
      <c r="N2053" s="489"/>
      <c r="P2053"/>
    </row>
    <row r="2054" spans="2:16">
      <c r="B2054" s="203"/>
      <c r="C2054" s="203"/>
      <c r="D2054" s="203"/>
      <c r="E2054" s="249"/>
      <c r="F2054" s="565"/>
      <c r="G2054" s="565"/>
      <c r="H2054" s="566"/>
      <c r="I2054" s="566"/>
      <c r="J2054" s="566"/>
      <c r="K2054" s="565"/>
      <c r="L2054" s="544"/>
      <c r="N2054" s="489"/>
      <c r="P2054"/>
    </row>
    <row r="2055" spans="2:16">
      <c r="B2055" s="203"/>
      <c r="C2055" s="203"/>
      <c r="D2055" s="203"/>
      <c r="E2055" s="249"/>
      <c r="F2055" s="565"/>
      <c r="G2055" s="544"/>
      <c r="H2055" s="567"/>
      <c r="I2055" s="567"/>
      <c r="J2055" s="567"/>
      <c r="K2055" s="544"/>
      <c r="L2055" s="544"/>
      <c r="N2055" s="489"/>
      <c r="P2055"/>
    </row>
    <row r="2056" spans="2:16">
      <c r="B2056" s="203"/>
      <c r="C2056" s="203"/>
      <c r="D2056" s="203"/>
      <c r="E2056" s="249"/>
      <c r="F2056" s="565"/>
      <c r="G2056" s="544"/>
      <c r="H2056" s="567"/>
      <c r="I2056" s="567"/>
      <c r="J2056" s="567"/>
      <c r="K2056" s="544"/>
      <c r="L2056" s="544"/>
      <c r="N2056" s="489"/>
      <c r="P2056"/>
    </row>
    <row r="2057" spans="2:16">
      <c r="B2057" s="203"/>
      <c r="C2057" s="203"/>
      <c r="D2057" s="203"/>
      <c r="E2057" s="249"/>
      <c r="F2057" s="565"/>
      <c r="G2057" s="544"/>
      <c r="H2057" s="567"/>
      <c r="I2057" s="567"/>
      <c r="J2057" s="567"/>
      <c r="K2057" s="544"/>
      <c r="L2057" s="544"/>
      <c r="N2057" s="489"/>
      <c r="P2057"/>
    </row>
    <row r="2058" spans="2:16">
      <c r="B2058" s="203"/>
      <c r="C2058" s="203"/>
      <c r="D2058" s="203"/>
      <c r="E2058" s="203"/>
      <c r="F2058" s="544"/>
      <c r="G2058" s="565"/>
      <c r="H2058" s="567"/>
      <c r="I2058" s="567"/>
      <c r="J2058" s="567"/>
      <c r="K2058" s="544"/>
      <c r="L2058" s="544"/>
      <c r="N2058" s="489"/>
      <c r="P2058"/>
    </row>
    <row r="2059" spans="2:16">
      <c r="B2059" s="203"/>
      <c r="C2059" s="203"/>
      <c r="D2059" s="203"/>
      <c r="E2059" s="203"/>
      <c r="F2059" s="544"/>
      <c r="G2059" s="565"/>
      <c r="H2059" s="567"/>
      <c r="I2059" s="567"/>
      <c r="J2059" s="567"/>
      <c r="K2059" s="544"/>
      <c r="L2059" s="544"/>
      <c r="N2059" s="489"/>
      <c r="P2059"/>
    </row>
    <row r="2060" spans="2:16">
      <c r="B2060" s="203"/>
      <c r="C2060" s="203"/>
      <c r="D2060" s="203"/>
      <c r="E2060" s="203"/>
      <c r="F2060" s="544"/>
      <c r="G2060" s="565"/>
      <c r="H2060" s="566"/>
      <c r="I2060" s="566"/>
      <c r="J2060" s="566"/>
      <c r="K2060" s="565"/>
      <c r="L2060" s="544"/>
      <c r="N2060" s="489"/>
      <c r="P2060"/>
    </row>
    <row r="2061" spans="2:16">
      <c r="B2061" s="203"/>
      <c r="C2061" s="203"/>
      <c r="D2061" s="203"/>
      <c r="E2061" s="203"/>
      <c r="F2061" s="544"/>
      <c r="G2061" s="565"/>
      <c r="H2061" s="567"/>
      <c r="I2061" s="567"/>
      <c r="J2061" s="567"/>
      <c r="K2061" s="544"/>
      <c r="L2061" s="544"/>
      <c r="N2061" s="489"/>
      <c r="P2061"/>
    </row>
    <row r="2062" spans="2:16">
      <c r="B2062" s="203"/>
      <c r="C2062" s="203"/>
      <c r="D2062" s="203"/>
      <c r="E2062" s="249"/>
      <c r="F2062" s="565"/>
      <c r="G2062" s="544"/>
      <c r="H2062" s="567"/>
      <c r="I2062" s="567"/>
      <c r="J2062" s="567"/>
      <c r="K2062" s="544"/>
      <c r="L2062" s="544"/>
      <c r="N2062" s="489"/>
      <c r="P2062"/>
    </row>
    <row r="2063" spans="2:16">
      <c r="B2063" s="203"/>
      <c r="C2063" s="203"/>
      <c r="D2063" s="203"/>
      <c r="E2063" s="203"/>
      <c r="F2063" s="544"/>
      <c r="G2063" s="544"/>
      <c r="H2063" s="567"/>
      <c r="I2063" s="567"/>
      <c r="J2063" s="567"/>
      <c r="K2063" s="544"/>
      <c r="L2063" s="544"/>
      <c r="N2063" s="489"/>
      <c r="P2063"/>
    </row>
    <row r="2064" spans="2:16">
      <c r="B2064" s="203"/>
      <c r="C2064" s="203"/>
      <c r="D2064" s="203"/>
      <c r="E2064" s="249"/>
      <c r="F2064" s="565"/>
      <c r="G2064" s="565"/>
      <c r="H2064" s="567"/>
      <c r="I2064" s="567"/>
      <c r="J2064" s="567"/>
      <c r="K2064" s="544"/>
      <c r="L2064" s="544"/>
      <c r="N2064" s="489"/>
      <c r="P2064"/>
    </row>
    <row r="2065" spans="2:16">
      <c r="B2065" s="203"/>
      <c r="C2065" s="203"/>
      <c r="D2065" s="203"/>
      <c r="E2065" s="249"/>
      <c r="F2065" s="565"/>
      <c r="G2065" s="544"/>
      <c r="H2065" s="566"/>
      <c r="I2065" s="566"/>
      <c r="J2065" s="567"/>
      <c r="K2065" s="544"/>
      <c r="L2065" s="544"/>
      <c r="N2065" s="489"/>
      <c r="P2065"/>
    </row>
    <row r="2066" spans="2:16">
      <c r="B2066" s="203"/>
      <c r="C2066" s="203"/>
      <c r="D2066" s="203"/>
      <c r="E2066" s="249"/>
      <c r="F2066" s="565"/>
      <c r="G2066" s="565"/>
      <c r="H2066" s="566"/>
      <c r="I2066" s="566"/>
      <c r="J2066" s="567"/>
      <c r="K2066" s="544"/>
      <c r="L2066" s="544"/>
      <c r="N2066" s="489"/>
      <c r="P2066"/>
    </row>
    <row r="2067" spans="2:16">
      <c r="B2067" s="203"/>
      <c r="C2067" s="203"/>
      <c r="D2067" s="203"/>
      <c r="E2067" s="249"/>
      <c r="F2067" s="565"/>
      <c r="G2067" s="544"/>
      <c r="H2067" s="567"/>
      <c r="I2067" s="567"/>
      <c r="J2067" s="567"/>
      <c r="K2067" s="544"/>
      <c r="L2067" s="544"/>
      <c r="N2067" s="489"/>
      <c r="P2067"/>
    </row>
    <row r="2068" spans="2:16">
      <c r="B2068" s="203"/>
      <c r="C2068" s="203"/>
      <c r="D2068" s="203"/>
      <c r="E2068" s="203"/>
      <c r="F2068" s="544"/>
      <c r="G2068" s="544"/>
      <c r="H2068" s="566"/>
      <c r="I2068" s="566"/>
      <c r="J2068" s="567"/>
      <c r="K2068" s="565"/>
      <c r="L2068" s="544"/>
      <c r="N2068" s="489"/>
      <c r="P2068"/>
    </row>
    <row r="2069" spans="2:16">
      <c r="B2069" s="203"/>
      <c r="C2069" s="203"/>
      <c r="D2069" s="203"/>
      <c r="E2069" s="203"/>
      <c r="F2069" s="544"/>
      <c r="G2069" s="544"/>
      <c r="H2069" s="567"/>
      <c r="I2069" s="567"/>
      <c r="J2069" s="567"/>
      <c r="K2069" s="544"/>
      <c r="L2069" s="544"/>
      <c r="N2069" s="489"/>
      <c r="P2069"/>
    </row>
    <row r="2070" spans="2:16">
      <c r="B2070" s="203"/>
      <c r="C2070" s="203"/>
      <c r="D2070" s="203"/>
      <c r="E2070" s="203"/>
      <c r="F2070" s="544"/>
      <c r="G2070" s="544"/>
      <c r="H2070" s="566"/>
      <c r="I2070" s="566"/>
      <c r="J2070" s="567"/>
      <c r="K2070" s="565"/>
      <c r="L2070" s="544"/>
      <c r="N2070" s="489"/>
      <c r="P2070"/>
    </row>
    <row r="2071" spans="2:16">
      <c r="B2071" s="203"/>
      <c r="C2071" s="203"/>
      <c r="D2071" s="203"/>
      <c r="E2071" s="249"/>
      <c r="F2071" s="565"/>
      <c r="G2071" s="565"/>
      <c r="H2071" s="566"/>
      <c r="I2071" s="566"/>
      <c r="J2071" s="567"/>
      <c r="K2071" s="565"/>
      <c r="L2071" s="544"/>
      <c r="N2071" s="489"/>
      <c r="P2071"/>
    </row>
    <row r="2072" spans="2:16">
      <c r="B2072" s="203"/>
      <c r="C2072" s="203"/>
      <c r="D2072" s="203"/>
      <c r="E2072" s="249"/>
      <c r="F2072" s="565"/>
      <c r="G2072" s="565"/>
      <c r="H2072" s="566"/>
      <c r="I2072" s="566"/>
      <c r="J2072" s="567"/>
      <c r="K2072" s="565"/>
      <c r="L2072" s="544"/>
      <c r="N2072" s="489"/>
      <c r="P2072"/>
    </row>
    <row r="2073" spans="2:16">
      <c r="B2073" s="203"/>
      <c r="C2073" s="203"/>
      <c r="D2073" s="203"/>
      <c r="E2073" s="249"/>
      <c r="F2073" s="565"/>
      <c r="G2073" s="544"/>
      <c r="H2073" s="567"/>
      <c r="I2073" s="567"/>
      <c r="J2073" s="567"/>
      <c r="K2073" s="544"/>
      <c r="L2073" s="544"/>
      <c r="N2073" s="489"/>
      <c r="P2073"/>
    </row>
    <row r="2074" spans="2:16">
      <c r="N2074" s="489"/>
      <c r="P2074"/>
    </row>
    <row r="2075" spans="2:16">
      <c r="N2075" s="489"/>
      <c r="P2075"/>
    </row>
    <row r="2076" spans="2:16">
      <c r="N2076" s="489"/>
      <c r="P2076"/>
    </row>
    <row r="2077" spans="2:16">
      <c r="N2077" s="489"/>
      <c r="P2077"/>
    </row>
    <row r="2078" spans="2:16">
      <c r="N2078" s="489"/>
      <c r="P2078"/>
    </row>
    <row r="2079" spans="2:16">
      <c r="N2079" s="489"/>
      <c r="P2079"/>
    </row>
    <row r="2080" spans="2:16">
      <c r="N2080" s="489"/>
      <c r="P2080"/>
    </row>
    <row r="2081" spans="14:16">
      <c r="N2081" s="489"/>
      <c r="P2081"/>
    </row>
    <row r="2082" spans="14:16">
      <c r="N2082" s="489"/>
      <c r="P2082"/>
    </row>
    <row r="2083" spans="14:16">
      <c r="N2083" s="489"/>
      <c r="P2083"/>
    </row>
    <row r="2084" spans="14:16">
      <c r="N2084" s="489"/>
      <c r="P2084"/>
    </row>
    <row r="2085" spans="14:16">
      <c r="N2085" s="489"/>
      <c r="P2085"/>
    </row>
    <row r="2086" spans="14:16">
      <c r="N2086" s="489"/>
      <c r="P2086"/>
    </row>
    <row r="2087" spans="14:16">
      <c r="N2087" s="489"/>
      <c r="P2087"/>
    </row>
    <row r="2088" spans="14:16">
      <c r="N2088" s="489"/>
      <c r="P2088"/>
    </row>
    <row r="2089" spans="14:16">
      <c r="N2089" s="489"/>
      <c r="P2089"/>
    </row>
    <row r="2090" spans="14:16">
      <c r="N2090" s="489"/>
      <c r="P2090"/>
    </row>
    <row r="2091" spans="14:16">
      <c r="N2091" s="489"/>
      <c r="P2091"/>
    </row>
    <row r="2092" spans="14:16">
      <c r="N2092" s="489"/>
      <c r="P2092"/>
    </row>
    <row r="2093" spans="14:16">
      <c r="N2093" s="489"/>
      <c r="P2093"/>
    </row>
    <row r="2094" spans="14:16">
      <c r="N2094" s="489"/>
      <c r="P2094"/>
    </row>
    <row r="2095" spans="14:16">
      <c r="N2095" s="489"/>
      <c r="P2095"/>
    </row>
    <row r="2096" spans="14:16">
      <c r="N2096" s="489"/>
      <c r="P2096"/>
    </row>
    <row r="2097" spans="2:16">
      <c r="N2097" s="489"/>
      <c r="P2097"/>
    </row>
    <row r="2098" spans="2:16">
      <c r="B2098" s="187"/>
      <c r="N2098" s="489"/>
      <c r="P2098"/>
    </row>
    <row r="2099" spans="2:16">
      <c r="B2099" s="187"/>
      <c r="N2099" s="489"/>
      <c r="P2099"/>
    </row>
    <row r="2100" spans="2:16">
      <c r="B2100" s="187"/>
      <c r="N2100" s="489"/>
      <c r="P2100"/>
    </row>
    <row r="2101" spans="2:16">
      <c r="B2101" s="187"/>
      <c r="N2101" s="489"/>
      <c r="P2101"/>
    </row>
    <row r="2102" spans="2:16">
      <c r="B2102" s="187"/>
      <c r="N2102" s="489"/>
      <c r="P2102"/>
    </row>
    <row r="2103" spans="2:16">
      <c r="B2103" s="187"/>
      <c r="N2103" s="489"/>
      <c r="P2103"/>
    </row>
    <row r="2104" spans="2:16">
      <c r="B2104" s="187"/>
      <c r="N2104" s="489"/>
      <c r="P2104"/>
    </row>
    <row r="2105" spans="2:16">
      <c r="B2105" s="187"/>
      <c r="N2105" s="489"/>
      <c r="P2105"/>
    </row>
    <row r="2106" spans="2:16">
      <c r="B2106" s="187"/>
      <c r="N2106" s="489"/>
      <c r="P2106"/>
    </row>
    <row r="2107" spans="2:16">
      <c r="B2107" s="187"/>
      <c r="N2107" s="489"/>
      <c r="P2107"/>
    </row>
    <row r="2108" spans="2:16">
      <c r="B2108" s="187"/>
      <c r="N2108" s="489"/>
      <c r="P2108"/>
    </row>
    <row r="2109" spans="2:16">
      <c r="B2109" s="187"/>
      <c r="N2109" s="489"/>
      <c r="P2109"/>
    </row>
    <row r="2110" spans="2:16">
      <c r="B2110" s="187"/>
      <c r="N2110" s="489"/>
      <c r="P2110"/>
    </row>
    <row r="2111" spans="2:16">
      <c r="B2111" s="187"/>
      <c r="N2111" s="489"/>
      <c r="P2111"/>
    </row>
    <row r="2112" spans="2:16">
      <c r="B2112" s="187"/>
      <c r="N2112" s="489"/>
      <c r="P2112"/>
    </row>
    <row r="2113" spans="2:16">
      <c r="B2113" s="187"/>
      <c r="N2113" s="489"/>
      <c r="P2113"/>
    </row>
    <row r="2114" spans="2:16">
      <c r="B2114" s="187"/>
      <c r="N2114" s="489"/>
      <c r="P2114"/>
    </row>
    <row r="2115" spans="2:16">
      <c r="B2115" s="187"/>
      <c r="N2115" s="489"/>
      <c r="P2115"/>
    </row>
    <row r="2116" spans="2:16">
      <c r="B2116" s="187"/>
      <c r="N2116" s="489"/>
      <c r="P2116"/>
    </row>
    <row r="2117" spans="2:16">
      <c r="B2117" s="187"/>
      <c r="N2117" s="489">
        <f t="shared" ref="N2117:N2148" si="219">SUM(K2117:M2117)</f>
        <v>0</v>
      </c>
      <c r="P2117"/>
    </row>
    <row r="2118" spans="2:16">
      <c r="B2118" s="187"/>
      <c r="N2118" s="489">
        <f t="shared" si="219"/>
        <v>0</v>
      </c>
      <c r="P2118"/>
    </row>
    <row r="2119" spans="2:16">
      <c r="B2119" s="187"/>
      <c r="N2119" s="489">
        <f t="shared" si="219"/>
        <v>0</v>
      </c>
      <c r="P2119"/>
    </row>
    <row r="2120" spans="2:16">
      <c r="B2120" s="187"/>
      <c r="N2120" s="489">
        <f t="shared" si="219"/>
        <v>0</v>
      </c>
      <c r="P2120"/>
    </row>
    <row r="2121" spans="2:16">
      <c r="B2121" s="187"/>
      <c r="N2121" s="489">
        <f t="shared" si="219"/>
        <v>0</v>
      </c>
      <c r="P2121"/>
    </row>
    <row r="2122" spans="2:16">
      <c r="B2122" s="187"/>
      <c r="N2122" s="489">
        <f t="shared" si="219"/>
        <v>0</v>
      </c>
      <c r="P2122"/>
    </row>
    <row r="2123" spans="2:16">
      <c r="B2123" s="187"/>
      <c r="N2123" s="489">
        <f t="shared" si="219"/>
        <v>0</v>
      </c>
      <c r="P2123"/>
    </row>
    <row r="2124" spans="2:16">
      <c r="B2124" s="187"/>
      <c r="N2124" s="489">
        <f t="shared" si="219"/>
        <v>0</v>
      </c>
      <c r="P2124"/>
    </row>
    <row r="2125" spans="2:16">
      <c r="B2125" s="187"/>
      <c r="N2125" s="489">
        <f t="shared" si="219"/>
        <v>0</v>
      </c>
      <c r="P2125"/>
    </row>
    <row r="2126" spans="2:16">
      <c r="B2126" s="187"/>
      <c r="N2126" s="489">
        <f t="shared" si="219"/>
        <v>0</v>
      </c>
      <c r="P2126"/>
    </row>
    <row r="2127" spans="2:16">
      <c r="B2127" s="187"/>
      <c r="N2127" s="489">
        <f t="shared" si="219"/>
        <v>0</v>
      </c>
      <c r="P2127"/>
    </row>
    <row r="2128" spans="2:16">
      <c r="B2128" s="187"/>
      <c r="N2128" s="489">
        <f t="shared" si="219"/>
        <v>0</v>
      </c>
      <c r="P2128"/>
    </row>
    <row r="2129" spans="2:16">
      <c r="B2129" s="187"/>
      <c r="N2129" s="489">
        <f t="shared" si="219"/>
        <v>0</v>
      </c>
      <c r="P2129"/>
    </row>
    <row r="2130" spans="2:16">
      <c r="B2130" s="187"/>
      <c r="N2130" s="489">
        <f t="shared" si="219"/>
        <v>0</v>
      </c>
      <c r="P2130"/>
    </row>
    <row r="2131" spans="2:16">
      <c r="B2131" s="187"/>
      <c r="N2131" s="489">
        <f t="shared" si="219"/>
        <v>0</v>
      </c>
      <c r="P2131"/>
    </row>
    <row r="2132" spans="2:16">
      <c r="B2132" s="187"/>
      <c r="N2132" s="489">
        <f t="shared" si="219"/>
        <v>0</v>
      </c>
      <c r="P2132"/>
    </row>
    <row r="2133" spans="2:16">
      <c r="B2133" s="187"/>
      <c r="N2133" s="489">
        <f t="shared" si="219"/>
        <v>0</v>
      </c>
      <c r="P2133"/>
    </row>
    <row r="2134" spans="2:16">
      <c r="B2134" s="187"/>
      <c r="N2134" s="489">
        <f t="shared" si="219"/>
        <v>0</v>
      </c>
      <c r="P2134"/>
    </row>
    <row r="2135" spans="2:16">
      <c r="B2135" s="187"/>
      <c r="N2135" s="489">
        <f t="shared" si="219"/>
        <v>0</v>
      </c>
      <c r="P2135"/>
    </row>
    <row r="2136" spans="2:16">
      <c r="B2136" s="187"/>
      <c r="N2136" s="489">
        <f t="shared" si="219"/>
        <v>0</v>
      </c>
      <c r="P2136"/>
    </row>
    <row r="2137" spans="2:16">
      <c r="B2137" s="187"/>
      <c r="N2137" s="489">
        <f t="shared" si="219"/>
        <v>0</v>
      </c>
      <c r="P2137"/>
    </row>
    <row r="2138" spans="2:16">
      <c r="B2138" s="187"/>
      <c r="N2138" s="489">
        <f t="shared" si="219"/>
        <v>0</v>
      </c>
      <c r="P2138"/>
    </row>
    <row r="2139" spans="2:16">
      <c r="B2139" s="187"/>
      <c r="N2139" s="489">
        <f t="shared" si="219"/>
        <v>0</v>
      </c>
      <c r="P2139"/>
    </row>
    <row r="2140" spans="2:16">
      <c r="B2140" s="187"/>
      <c r="N2140" s="489">
        <f t="shared" si="219"/>
        <v>0</v>
      </c>
      <c r="P2140"/>
    </row>
    <row r="2141" spans="2:16">
      <c r="B2141" s="187"/>
      <c r="N2141" s="489">
        <f t="shared" si="219"/>
        <v>0</v>
      </c>
      <c r="P2141"/>
    </row>
    <row r="2142" spans="2:16">
      <c r="B2142" s="187"/>
      <c r="N2142" s="489">
        <f t="shared" si="219"/>
        <v>0</v>
      </c>
      <c r="P2142"/>
    </row>
    <row r="2143" spans="2:16">
      <c r="B2143" s="187"/>
      <c r="N2143" s="489">
        <f t="shared" si="219"/>
        <v>0</v>
      </c>
      <c r="P2143"/>
    </row>
    <row r="2144" spans="2:16">
      <c r="B2144" s="187"/>
      <c r="N2144" s="489">
        <f t="shared" si="219"/>
        <v>0</v>
      </c>
      <c r="P2144"/>
    </row>
    <row r="2145" spans="2:16">
      <c r="B2145" s="187"/>
      <c r="N2145" s="489">
        <f t="shared" si="219"/>
        <v>0</v>
      </c>
      <c r="P2145"/>
    </row>
    <row r="2146" spans="2:16">
      <c r="B2146" s="187"/>
      <c r="N2146" s="489">
        <f t="shared" si="219"/>
        <v>0</v>
      </c>
      <c r="P2146"/>
    </row>
    <row r="2147" spans="2:16">
      <c r="B2147" s="187"/>
      <c r="N2147" s="489">
        <f t="shared" si="219"/>
        <v>0</v>
      </c>
      <c r="P2147"/>
    </row>
    <row r="2148" spans="2:16">
      <c r="B2148" s="187"/>
      <c r="N2148" s="489">
        <f t="shared" si="219"/>
        <v>0</v>
      </c>
      <c r="P2148"/>
    </row>
    <row r="2149" spans="2:16">
      <c r="B2149" s="187"/>
      <c r="N2149" s="489">
        <f t="shared" ref="N2149:N2180" si="220">SUM(K2149:M2149)</f>
        <v>0</v>
      </c>
      <c r="P2149"/>
    </row>
    <row r="2150" spans="2:16">
      <c r="B2150" s="187"/>
      <c r="N2150" s="489">
        <f t="shared" si="220"/>
        <v>0</v>
      </c>
      <c r="P2150"/>
    </row>
    <row r="2151" spans="2:16">
      <c r="B2151" s="187"/>
      <c r="N2151" s="489">
        <f t="shared" si="220"/>
        <v>0</v>
      </c>
      <c r="P2151"/>
    </row>
    <row r="2152" spans="2:16">
      <c r="B2152" s="187"/>
      <c r="N2152" s="489">
        <f t="shared" si="220"/>
        <v>0</v>
      </c>
      <c r="P2152"/>
    </row>
    <row r="2153" spans="2:16">
      <c r="B2153" s="187"/>
      <c r="N2153" s="489">
        <f t="shared" si="220"/>
        <v>0</v>
      </c>
      <c r="P2153"/>
    </row>
    <row r="2154" spans="2:16">
      <c r="B2154" s="187"/>
      <c r="N2154" s="489">
        <f t="shared" si="220"/>
        <v>0</v>
      </c>
      <c r="P2154"/>
    </row>
    <row r="2155" spans="2:16">
      <c r="B2155" s="187"/>
      <c r="N2155" s="489">
        <f t="shared" si="220"/>
        <v>0</v>
      </c>
      <c r="P2155"/>
    </row>
    <row r="2156" spans="2:16">
      <c r="B2156" s="187"/>
      <c r="N2156" s="489">
        <f t="shared" si="220"/>
        <v>0</v>
      </c>
      <c r="P2156"/>
    </row>
    <row r="2157" spans="2:16">
      <c r="B2157" s="187"/>
      <c r="N2157" s="489">
        <f t="shared" si="220"/>
        <v>0</v>
      </c>
      <c r="P2157"/>
    </row>
    <row r="2158" spans="2:16">
      <c r="B2158" s="187"/>
      <c r="N2158" s="489">
        <f t="shared" si="220"/>
        <v>0</v>
      </c>
      <c r="P2158"/>
    </row>
    <row r="2159" spans="2:16">
      <c r="B2159" s="187"/>
      <c r="N2159" s="489">
        <f t="shared" si="220"/>
        <v>0</v>
      </c>
      <c r="P2159"/>
    </row>
    <row r="2160" spans="2:16">
      <c r="B2160" s="187"/>
      <c r="N2160" s="489">
        <f t="shared" si="220"/>
        <v>0</v>
      </c>
      <c r="P2160"/>
    </row>
    <row r="2161" spans="2:16">
      <c r="B2161" s="187"/>
      <c r="N2161" s="489">
        <f t="shared" si="220"/>
        <v>0</v>
      </c>
      <c r="P2161"/>
    </row>
    <row r="2162" spans="2:16">
      <c r="B2162" s="187"/>
      <c r="N2162" s="489">
        <f t="shared" si="220"/>
        <v>0</v>
      </c>
      <c r="P2162"/>
    </row>
    <row r="2163" spans="2:16">
      <c r="B2163" s="187"/>
      <c r="N2163" s="489">
        <f t="shared" si="220"/>
        <v>0</v>
      </c>
      <c r="P2163"/>
    </row>
    <row r="2164" spans="2:16">
      <c r="B2164" s="187"/>
      <c r="N2164" s="489">
        <f t="shared" si="220"/>
        <v>0</v>
      </c>
      <c r="P2164"/>
    </row>
    <row r="2165" spans="2:16">
      <c r="B2165" s="187"/>
      <c r="N2165" s="489">
        <f t="shared" si="220"/>
        <v>0</v>
      </c>
      <c r="P2165"/>
    </row>
    <row r="2166" spans="2:16">
      <c r="B2166" s="187"/>
      <c r="N2166" s="489">
        <f t="shared" si="220"/>
        <v>0</v>
      </c>
      <c r="P2166"/>
    </row>
    <row r="2167" spans="2:16">
      <c r="B2167" s="187"/>
      <c r="N2167" s="489">
        <f t="shared" si="220"/>
        <v>0</v>
      </c>
      <c r="P2167"/>
    </row>
    <row r="2168" spans="2:16">
      <c r="B2168" s="187"/>
      <c r="N2168" s="489">
        <f t="shared" si="220"/>
        <v>0</v>
      </c>
      <c r="P2168"/>
    </row>
    <row r="2169" spans="2:16">
      <c r="B2169" s="187"/>
      <c r="N2169" s="489">
        <f t="shared" si="220"/>
        <v>0</v>
      </c>
      <c r="P2169"/>
    </row>
    <row r="2170" spans="2:16">
      <c r="B2170" s="187"/>
      <c r="N2170" s="489">
        <f t="shared" si="220"/>
        <v>0</v>
      </c>
      <c r="P2170"/>
    </row>
    <row r="2171" spans="2:16">
      <c r="B2171" s="187"/>
      <c r="N2171" s="489">
        <f t="shared" si="220"/>
        <v>0</v>
      </c>
      <c r="P2171"/>
    </row>
    <row r="2172" spans="2:16">
      <c r="B2172" s="187"/>
      <c r="N2172" s="489">
        <f t="shared" si="220"/>
        <v>0</v>
      </c>
      <c r="P2172"/>
    </row>
    <row r="2173" spans="2:16">
      <c r="B2173" s="187"/>
      <c r="N2173" s="489">
        <f t="shared" si="220"/>
        <v>0</v>
      </c>
      <c r="P2173"/>
    </row>
    <row r="2174" spans="2:16">
      <c r="B2174" s="187"/>
      <c r="N2174" s="489">
        <f t="shared" si="220"/>
        <v>0</v>
      </c>
      <c r="P2174"/>
    </row>
    <row r="2175" spans="2:16">
      <c r="B2175" s="187"/>
      <c r="N2175" s="489">
        <f t="shared" si="220"/>
        <v>0</v>
      </c>
      <c r="P2175"/>
    </row>
    <row r="2176" spans="2:16">
      <c r="B2176" s="187"/>
      <c r="N2176" s="489">
        <f t="shared" si="220"/>
        <v>0</v>
      </c>
      <c r="P2176"/>
    </row>
    <row r="2177" spans="2:16">
      <c r="B2177" s="187"/>
      <c r="N2177" s="489">
        <f t="shared" si="220"/>
        <v>0</v>
      </c>
      <c r="P2177"/>
    </row>
    <row r="2178" spans="2:16">
      <c r="B2178" s="187"/>
      <c r="N2178" s="489">
        <f t="shared" si="220"/>
        <v>0</v>
      </c>
      <c r="P2178"/>
    </row>
    <row r="2179" spans="2:16">
      <c r="B2179" s="187"/>
      <c r="N2179" s="489">
        <f t="shared" si="220"/>
        <v>0</v>
      </c>
      <c r="P2179"/>
    </row>
    <row r="2180" spans="2:16">
      <c r="B2180" s="187"/>
      <c r="N2180" s="489">
        <f t="shared" si="220"/>
        <v>0</v>
      </c>
      <c r="P2180"/>
    </row>
    <row r="2181" spans="2:16">
      <c r="B2181" s="187"/>
      <c r="N2181" s="489">
        <f t="shared" ref="N2181:N2189" si="221">SUM(K2181:M2181)</f>
        <v>0</v>
      </c>
      <c r="P2181"/>
    </row>
    <row r="2182" spans="2:16">
      <c r="B2182" s="187"/>
      <c r="N2182" s="489">
        <f t="shared" si="221"/>
        <v>0</v>
      </c>
      <c r="P2182"/>
    </row>
    <row r="2183" spans="2:16">
      <c r="B2183" s="187"/>
      <c r="N2183" s="489">
        <f t="shared" si="221"/>
        <v>0</v>
      </c>
      <c r="P2183"/>
    </row>
    <row r="2184" spans="2:16">
      <c r="B2184" s="187"/>
      <c r="N2184" s="489">
        <f t="shared" si="221"/>
        <v>0</v>
      </c>
      <c r="P2184"/>
    </row>
    <row r="2185" spans="2:16">
      <c r="B2185" s="187"/>
      <c r="N2185" s="489">
        <f t="shared" si="221"/>
        <v>0</v>
      </c>
      <c r="P2185"/>
    </row>
    <row r="2186" spans="2:16">
      <c r="B2186" s="187"/>
      <c r="N2186" s="489">
        <f t="shared" si="221"/>
        <v>0</v>
      </c>
      <c r="P2186"/>
    </row>
    <row r="2187" spans="2:16">
      <c r="B2187" s="187"/>
      <c r="N2187" s="489">
        <f t="shared" si="221"/>
        <v>0</v>
      </c>
      <c r="P2187"/>
    </row>
    <row r="2188" spans="2:16">
      <c r="B2188" s="187"/>
      <c r="N2188" s="489">
        <f t="shared" si="221"/>
        <v>0</v>
      </c>
      <c r="P2188"/>
    </row>
    <row r="2189" spans="2:16">
      <c r="B2189" s="187"/>
      <c r="N2189" s="489">
        <f t="shared" si="221"/>
        <v>0</v>
      </c>
      <c r="P2189"/>
    </row>
    <row r="2190" spans="2:16">
      <c r="B2190" s="187"/>
      <c r="N2190" s="489"/>
      <c r="P2190"/>
    </row>
    <row r="2191" spans="2:16">
      <c r="B2191" s="187"/>
      <c r="N2191" s="489"/>
      <c r="P2191"/>
    </row>
    <row r="2192" spans="2:16">
      <c r="B2192" s="187"/>
      <c r="N2192" s="489"/>
      <c r="P2192"/>
    </row>
    <row r="2193" spans="2:16">
      <c r="B2193" s="187"/>
      <c r="N2193" s="489"/>
      <c r="P2193"/>
    </row>
    <row r="2194" spans="2:16">
      <c r="B2194" s="187"/>
      <c r="N2194" s="489"/>
      <c r="P2194"/>
    </row>
    <row r="2195" spans="2:16">
      <c r="B2195" s="187"/>
      <c r="N2195" s="489"/>
      <c r="P2195"/>
    </row>
    <row r="2196" spans="2:16">
      <c r="B2196" s="187"/>
      <c r="N2196" s="489"/>
      <c r="P2196"/>
    </row>
    <row r="2197" spans="2:16">
      <c r="B2197" s="187"/>
      <c r="N2197" s="489"/>
      <c r="P2197"/>
    </row>
    <row r="2198" spans="2:16">
      <c r="B2198" s="187"/>
      <c r="N2198" s="489"/>
      <c r="P2198"/>
    </row>
    <row r="2199" spans="2:16">
      <c r="B2199" s="187"/>
      <c r="N2199" s="489"/>
      <c r="P2199"/>
    </row>
    <row r="2200" spans="2:16">
      <c r="B2200" s="187"/>
      <c r="N2200" s="489"/>
      <c r="P2200"/>
    </row>
    <row r="2201" spans="2:16">
      <c r="B2201" s="187"/>
      <c r="N2201" s="489"/>
      <c r="P2201"/>
    </row>
    <row r="2202" spans="2:16">
      <c r="B2202" s="187"/>
      <c r="N2202" s="489"/>
      <c r="P2202"/>
    </row>
    <row r="2203" spans="2:16">
      <c r="B2203" s="187"/>
      <c r="N2203" s="489"/>
      <c r="P2203"/>
    </row>
    <row r="2204" spans="2:16">
      <c r="B2204" s="187"/>
      <c r="N2204" s="489"/>
      <c r="P2204"/>
    </row>
    <row r="2205" spans="2:16">
      <c r="B2205" s="187"/>
      <c r="N2205" s="489"/>
      <c r="P2205"/>
    </row>
    <row r="2206" spans="2:16">
      <c r="B2206" s="187"/>
      <c r="N2206" s="489"/>
      <c r="P2206"/>
    </row>
    <row r="2207" spans="2:16">
      <c r="B2207" s="187"/>
      <c r="N2207" s="489"/>
      <c r="P2207"/>
    </row>
    <row r="2208" spans="2:16">
      <c r="B2208" s="187"/>
      <c r="N2208" s="489"/>
      <c r="P2208"/>
    </row>
    <row r="2209" spans="2:16">
      <c r="B2209" s="187"/>
      <c r="N2209" s="489"/>
      <c r="P2209"/>
    </row>
    <row r="2210" spans="2:16">
      <c r="B2210" s="187"/>
      <c r="N2210" s="489"/>
      <c r="P2210"/>
    </row>
    <row r="2211" spans="2:16">
      <c r="B2211" s="187"/>
      <c r="N2211" s="489"/>
      <c r="P2211"/>
    </row>
    <row r="2212" spans="2:16">
      <c r="B2212" s="187"/>
      <c r="N2212" s="489"/>
      <c r="P2212"/>
    </row>
    <row r="2213" spans="2:16">
      <c r="B2213" s="187"/>
      <c r="N2213" s="489"/>
      <c r="P2213"/>
    </row>
    <row r="2214" spans="2:16">
      <c r="B2214" s="187"/>
      <c r="N2214" s="489">
        <f t="shared" ref="N2214:N2277" si="222">SUM(K2214:M2214)</f>
        <v>0</v>
      </c>
      <c r="P2214"/>
    </row>
    <row r="2215" spans="2:16">
      <c r="B2215" s="187"/>
      <c r="N2215" s="489">
        <f t="shared" si="222"/>
        <v>0</v>
      </c>
      <c r="P2215"/>
    </row>
    <row r="2216" spans="2:16">
      <c r="B2216" s="187"/>
      <c r="N2216" s="489">
        <f t="shared" si="222"/>
        <v>0</v>
      </c>
      <c r="P2216"/>
    </row>
    <row r="2217" spans="2:16">
      <c r="B2217" s="187"/>
      <c r="N2217" s="489">
        <f t="shared" si="222"/>
        <v>0</v>
      </c>
      <c r="P2217"/>
    </row>
    <row r="2218" spans="2:16">
      <c r="B2218" s="187"/>
      <c r="N2218" s="489">
        <f t="shared" si="222"/>
        <v>0</v>
      </c>
      <c r="P2218"/>
    </row>
    <row r="2219" spans="2:16">
      <c r="B2219" s="187"/>
      <c r="N2219" s="489">
        <f t="shared" si="222"/>
        <v>0</v>
      </c>
      <c r="P2219"/>
    </row>
    <row r="2220" spans="2:16">
      <c r="B2220" s="187"/>
      <c r="N2220" s="489">
        <f t="shared" si="222"/>
        <v>0</v>
      </c>
      <c r="P2220"/>
    </row>
    <row r="2221" spans="2:16">
      <c r="B2221" s="187"/>
      <c r="N2221" s="489">
        <f t="shared" si="222"/>
        <v>0</v>
      </c>
      <c r="P2221"/>
    </row>
    <row r="2222" spans="2:16">
      <c r="B2222" s="187"/>
      <c r="N2222" s="489">
        <f t="shared" si="222"/>
        <v>0</v>
      </c>
      <c r="P2222"/>
    </row>
    <row r="2223" spans="2:16">
      <c r="B2223" s="187"/>
      <c r="N2223" s="489">
        <f t="shared" si="222"/>
        <v>0</v>
      </c>
      <c r="P2223"/>
    </row>
    <row r="2224" spans="2:16">
      <c r="B2224" s="187"/>
      <c r="N2224" s="489">
        <f t="shared" si="222"/>
        <v>0</v>
      </c>
      <c r="P2224"/>
    </row>
    <row r="2225" spans="2:16">
      <c r="B2225" s="187"/>
      <c r="N2225" s="489">
        <f t="shared" si="222"/>
        <v>0</v>
      </c>
      <c r="P2225"/>
    </row>
    <row r="2226" spans="2:16">
      <c r="B2226" s="187"/>
      <c r="N2226" s="489">
        <f t="shared" si="222"/>
        <v>0</v>
      </c>
      <c r="P2226"/>
    </row>
    <row r="2227" spans="2:16">
      <c r="B2227" s="187"/>
      <c r="N2227" s="489">
        <f t="shared" si="222"/>
        <v>0</v>
      </c>
      <c r="P2227"/>
    </row>
    <row r="2228" spans="2:16">
      <c r="B2228" s="187"/>
      <c r="N2228" s="489">
        <f t="shared" si="222"/>
        <v>0</v>
      </c>
      <c r="P2228"/>
    </row>
    <row r="2229" spans="2:16">
      <c r="B2229" s="187"/>
      <c r="N2229" s="489">
        <f t="shared" si="222"/>
        <v>0</v>
      </c>
      <c r="P2229"/>
    </row>
    <row r="2230" spans="2:16">
      <c r="B2230" s="187"/>
      <c r="N2230" s="489">
        <f t="shared" si="222"/>
        <v>0</v>
      </c>
      <c r="P2230"/>
    </row>
    <row r="2231" spans="2:16">
      <c r="B2231" s="187"/>
      <c r="N2231" s="489">
        <f t="shared" si="222"/>
        <v>0</v>
      </c>
      <c r="P2231"/>
    </row>
    <row r="2232" spans="2:16">
      <c r="B2232" s="187"/>
      <c r="N2232" s="489">
        <f t="shared" si="222"/>
        <v>0</v>
      </c>
      <c r="P2232"/>
    </row>
    <row r="2233" spans="2:16">
      <c r="B2233" s="187"/>
      <c r="N2233" s="489">
        <f t="shared" si="222"/>
        <v>0</v>
      </c>
      <c r="P2233"/>
    </row>
    <row r="2234" spans="2:16">
      <c r="B2234" s="187"/>
      <c r="N2234" s="489">
        <f t="shared" si="222"/>
        <v>0</v>
      </c>
      <c r="P2234"/>
    </row>
    <row r="2235" spans="2:16">
      <c r="B2235" s="187"/>
      <c r="N2235" s="489">
        <f t="shared" si="222"/>
        <v>0</v>
      </c>
      <c r="P2235"/>
    </row>
    <row r="2236" spans="2:16">
      <c r="B2236" s="187"/>
      <c r="N2236" s="489">
        <f t="shared" si="222"/>
        <v>0</v>
      </c>
      <c r="P2236"/>
    </row>
    <row r="2237" spans="2:16">
      <c r="B2237" s="187"/>
      <c r="N2237" s="489">
        <f t="shared" si="222"/>
        <v>0</v>
      </c>
      <c r="P2237"/>
    </row>
    <row r="2238" spans="2:16">
      <c r="B2238" s="187"/>
      <c r="N2238" s="489">
        <f t="shared" si="222"/>
        <v>0</v>
      </c>
      <c r="P2238"/>
    </row>
    <row r="2239" spans="2:16">
      <c r="B2239" s="187"/>
      <c r="N2239" s="489">
        <f t="shared" si="222"/>
        <v>0</v>
      </c>
      <c r="P2239"/>
    </row>
    <row r="2240" spans="2:16">
      <c r="B2240" s="187"/>
      <c r="N2240" s="489">
        <f t="shared" si="222"/>
        <v>0</v>
      </c>
      <c r="P2240"/>
    </row>
    <row r="2241" spans="2:16">
      <c r="B2241" s="187"/>
      <c r="N2241" s="489">
        <f t="shared" si="222"/>
        <v>0</v>
      </c>
      <c r="P2241"/>
    </row>
    <row r="2242" spans="2:16">
      <c r="B2242" s="187"/>
      <c r="N2242" s="489">
        <f t="shared" si="222"/>
        <v>0</v>
      </c>
      <c r="P2242"/>
    </row>
    <row r="2243" spans="2:16">
      <c r="B2243" s="187"/>
      <c r="N2243" s="489">
        <f t="shared" si="222"/>
        <v>0</v>
      </c>
      <c r="P2243"/>
    </row>
    <row r="2244" spans="2:16">
      <c r="B2244" s="187"/>
      <c r="N2244" s="489">
        <f t="shared" si="222"/>
        <v>0</v>
      </c>
      <c r="P2244"/>
    </row>
    <row r="2245" spans="2:16">
      <c r="B2245" s="187"/>
      <c r="N2245" s="489">
        <f t="shared" si="222"/>
        <v>0</v>
      </c>
      <c r="P2245"/>
    </row>
    <row r="2246" spans="2:16">
      <c r="B2246" s="187"/>
      <c r="N2246" s="489">
        <f t="shared" si="222"/>
        <v>0</v>
      </c>
      <c r="P2246"/>
    </row>
    <row r="2247" spans="2:16">
      <c r="B2247" s="187"/>
      <c r="N2247" s="489">
        <f t="shared" si="222"/>
        <v>0</v>
      </c>
      <c r="P2247"/>
    </row>
    <row r="2248" spans="2:16">
      <c r="B2248" s="187"/>
      <c r="N2248" s="489">
        <f t="shared" si="222"/>
        <v>0</v>
      </c>
      <c r="P2248"/>
    </row>
    <row r="2249" spans="2:16">
      <c r="B2249" s="187"/>
      <c r="N2249" s="489">
        <f t="shared" si="222"/>
        <v>0</v>
      </c>
      <c r="P2249"/>
    </row>
    <row r="2250" spans="2:16">
      <c r="B2250" s="187"/>
      <c r="N2250" s="489">
        <f t="shared" si="222"/>
        <v>0</v>
      </c>
      <c r="P2250"/>
    </row>
    <row r="2251" spans="2:16">
      <c r="B2251" s="187"/>
      <c r="N2251" s="489">
        <f t="shared" si="222"/>
        <v>0</v>
      </c>
      <c r="P2251"/>
    </row>
    <row r="2252" spans="2:16">
      <c r="B2252" s="187"/>
      <c r="N2252" s="489">
        <f t="shared" si="222"/>
        <v>0</v>
      </c>
      <c r="P2252"/>
    </row>
    <row r="2253" spans="2:16">
      <c r="B2253" s="187"/>
      <c r="N2253" s="489">
        <f t="shared" si="222"/>
        <v>0</v>
      </c>
      <c r="P2253"/>
    </row>
    <row r="2254" spans="2:16">
      <c r="B2254" s="187"/>
      <c r="N2254" s="489">
        <f t="shared" si="222"/>
        <v>0</v>
      </c>
      <c r="P2254"/>
    </row>
    <row r="2255" spans="2:16">
      <c r="B2255" s="187"/>
      <c r="N2255" s="489">
        <f t="shared" si="222"/>
        <v>0</v>
      </c>
      <c r="P2255"/>
    </row>
    <row r="2256" spans="2:16">
      <c r="B2256" s="187"/>
      <c r="N2256" s="489">
        <f t="shared" si="222"/>
        <v>0</v>
      </c>
      <c r="P2256"/>
    </row>
    <row r="2257" spans="2:16">
      <c r="B2257" s="187"/>
      <c r="N2257" s="489">
        <f t="shared" si="222"/>
        <v>0</v>
      </c>
      <c r="P2257"/>
    </row>
    <row r="2258" spans="2:16">
      <c r="B2258" s="187"/>
      <c r="N2258" s="489">
        <f t="shared" si="222"/>
        <v>0</v>
      </c>
      <c r="P2258"/>
    </row>
    <row r="2259" spans="2:16">
      <c r="B2259" s="187"/>
      <c r="N2259" s="489">
        <f t="shared" si="222"/>
        <v>0</v>
      </c>
      <c r="P2259"/>
    </row>
    <row r="2260" spans="2:16">
      <c r="B2260" s="187"/>
      <c r="N2260" s="489">
        <f t="shared" si="222"/>
        <v>0</v>
      </c>
      <c r="P2260"/>
    </row>
    <row r="2261" spans="2:16">
      <c r="B2261" s="187"/>
      <c r="N2261" s="489">
        <f t="shared" si="222"/>
        <v>0</v>
      </c>
      <c r="P2261"/>
    </row>
    <row r="2262" spans="2:16">
      <c r="B2262" s="187"/>
      <c r="N2262" s="489">
        <f t="shared" si="222"/>
        <v>0</v>
      </c>
      <c r="P2262"/>
    </row>
    <row r="2263" spans="2:16">
      <c r="B2263" s="187"/>
      <c r="N2263" s="489">
        <f t="shared" si="222"/>
        <v>0</v>
      </c>
      <c r="P2263"/>
    </row>
    <row r="2264" spans="2:16">
      <c r="B2264" s="187"/>
      <c r="N2264" s="489">
        <f t="shared" si="222"/>
        <v>0</v>
      </c>
      <c r="P2264"/>
    </row>
    <row r="2265" spans="2:16">
      <c r="B2265" s="187"/>
      <c r="N2265" s="489">
        <f t="shared" si="222"/>
        <v>0</v>
      </c>
      <c r="P2265"/>
    </row>
    <row r="2266" spans="2:16">
      <c r="B2266" s="187"/>
      <c r="N2266" s="489">
        <f t="shared" si="222"/>
        <v>0</v>
      </c>
      <c r="P2266"/>
    </row>
    <row r="2267" spans="2:16">
      <c r="B2267" s="187"/>
      <c r="N2267" s="489">
        <f t="shared" si="222"/>
        <v>0</v>
      </c>
      <c r="P2267"/>
    </row>
    <row r="2268" spans="2:16">
      <c r="B2268" s="187"/>
      <c r="N2268" s="489">
        <f t="shared" si="222"/>
        <v>0</v>
      </c>
      <c r="P2268"/>
    </row>
    <row r="2269" spans="2:16">
      <c r="B2269" s="187"/>
      <c r="N2269" s="489">
        <f t="shared" si="222"/>
        <v>0</v>
      </c>
      <c r="P2269"/>
    </row>
    <row r="2270" spans="2:16">
      <c r="B2270" s="187"/>
      <c r="N2270" s="489">
        <f t="shared" si="222"/>
        <v>0</v>
      </c>
      <c r="P2270"/>
    </row>
    <row r="2271" spans="2:16">
      <c r="B2271" s="187"/>
      <c r="N2271" s="489">
        <f t="shared" si="222"/>
        <v>0</v>
      </c>
      <c r="P2271"/>
    </row>
    <row r="2272" spans="2:16">
      <c r="B2272" s="187"/>
      <c r="N2272" s="489">
        <f t="shared" si="222"/>
        <v>0</v>
      </c>
      <c r="P2272"/>
    </row>
    <row r="2273" spans="2:16">
      <c r="B2273" s="187"/>
      <c r="N2273" s="489">
        <f t="shared" si="222"/>
        <v>0</v>
      </c>
      <c r="P2273"/>
    </row>
    <row r="2274" spans="2:16">
      <c r="B2274" s="187"/>
      <c r="N2274" s="489">
        <f t="shared" si="222"/>
        <v>0</v>
      </c>
      <c r="P2274"/>
    </row>
    <row r="2275" spans="2:16">
      <c r="B2275" s="187"/>
      <c r="N2275" s="489">
        <f t="shared" si="222"/>
        <v>0</v>
      </c>
      <c r="P2275"/>
    </row>
    <row r="2276" spans="2:16">
      <c r="B2276" s="187"/>
      <c r="N2276" s="489">
        <f t="shared" si="222"/>
        <v>0</v>
      </c>
      <c r="P2276"/>
    </row>
    <row r="2277" spans="2:16">
      <c r="B2277" s="187"/>
      <c r="N2277" s="489">
        <f t="shared" si="222"/>
        <v>0</v>
      </c>
      <c r="P2277"/>
    </row>
    <row r="2278" spans="2:16">
      <c r="B2278" s="187"/>
      <c r="N2278" s="489">
        <f t="shared" ref="N2278:N2341" si="223">SUM(K2278:M2278)</f>
        <v>0</v>
      </c>
      <c r="P2278"/>
    </row>
    <row r="2279" spans="2:16">
      <c r="B2279" s="187"/>
      <c r="N2279" s="489">
        <f t="shared" si="223"/>
        <v>0</v>
      </c>
      <c r="P2279"/>
    </row>
    <row r="2280" spans="2:16">
      <c r="B2280" s="187"/>
      <c r="N2280" s="489">
        <f t="shared" si="223"/>
        <v>0</v>
      </c>
      <c r="P2280"/>
    </row>
    <row r="2281" spans="2:16">
      <c r="B2281" s="187"/>
      <c r="N2281" s="489">
        <f t="shared" si="223"/>
        <v>0</v>
      </c>
      <c r="P2281"/>
    </row>
    <row r="2282" spans="2:16">
      <c r="B2282" s="187"/>
      <c r="N2282" s="489">
        <f t="shared" si="223"/>
        <v>0</v>
      </c>
      <c r="P2282"/>
    </row>
    <row r="2283" spans="2:16">
      <c r="B2283" s="187"/>
      <c r="N2283" s="489">
        <f t="shared" si="223"/>
        <v>0</v>
      </c>
      <c r="P2283"/>
    </row>
    <row r="2284" spans="2:16">
      <c r="B2284" s="187"/>
      <c r="N2284" s="489">
        <f t="shared" si="223"/>
        <v>0</v>
      </c>
      <c r="P2284"/>
    </row>
    <row r="2285" spans="2:16">
      <c r="B2285" s="187"/>
      <c r="N2285" s="489">
        <f t="shared" si="223"/>
        <v>0</v>
      </c>
      <c r="P2285"/>
    </row>
    <row r="2286" spans="2:16">
      <c r="B2286" s="187"/>
      <c r="N2286" s="489">
        <f t="shared" si="223"/>
        <v>0</v>
      </c>
      <c r="P2286"/>
    </row>
    <row r="2287" spans="2:16">
      <c r="B2287" s="187"/>
      <c r="N2287" s="489">
        <f t="shared" si="223"/>
        <v>0</v>
      </c>
      <c r="P2287"/>
    </row>
    <row r="2288" spans="2:16">
      <c r="B2288" s="187"/>
      <c r="N2288" s="489">
        <f t="shared" si="223"/>
        <v>0</v>
      </c>
      <c r="P2288"/>
    </row>
    <row r="2289" spans="2:16">
      <c r="B2289" s="187"/>
      <c r="N2289" s="489">
        <f t="shared" si="223"/>
        <v>0</v>
      </c>
      <c r="P2289"/>
    </row>
    <row r="2290" spans="2:16">
      <c r="B2290" s="187"/>
      <c r="N2290" s="489">
        <f t="shared" si="223"/>
        <v>0</v>
      </c>
      <c r="P2290"/>
    </row>
    <row r="2291" spans="2:16">
      <c r="B2291" s="187"/>
      <c r="N2291" s="489">
        <f t="shared" si="223"/>
        <v>0</v>
      </c>
      <c r="P2291"/>
    </row>
    <row r="2292" spans="2:16">
      <c r="B2292" s="187"/>
      <c r="N2292" s="489">
        <f t="shared" si="223"/>
        <v>0</v>
      </c>
      <c r="P2292"/>
    </row>
    <row r="2293" spans="2:16">
      <c r="B2293" s="187"/>
      <c r="N2293" s="489">
        <f t="shared" si="223"/>
        <v>0</v>
      </c>
      <c r="P2293"/>
    </row>
    <row r="2294" spans="2:16">
      <c r="B2294" s="187"/>
      <c r="N2294" s="489">
        <f t="shared" si="223"/>
        <v>0</v>
      </c>
      <c r="P2294"/>
    </row>
    <row r="2295" spans="2:16">
      <c r="B2295" s="187"/>
      <c r="N2295" s="489">
        <f t="shared" si="223"/>
        <v>0</v>
      </c>
      <c r="P2295"/>
    </row>
    <row r="2296" spans="2:16">
      <c r="B2296" s="187"/>
      <c r="N2296" s="489">
        <f t="shared" si="223"/>
        <v>0</v>
      </c>
      <c r="P2296"/>
    </row>
    <row r="2297" spans="2:16">
      <c r="B2297" s="187"/>
      <c r="N2297" s="489">
        <f t="shared" si="223"/>
        <v>0</v>
      </c>
      <c r="P2297"/>
    </row>
    <row r="2298" spans="2:16">
      <c r="B2298" s="187"/>
      <c r="N2298" s="489">
        <f t="shared" si="223"/>
        <v>0</v>
      </c>
      <c r="P2298"/>
    </row>
    <row r="2299" spans="2:16">
      <c r="B2299" s="187"/>
      <c r="N2299" s="489">
        <f t="shared" si="223"/>
        <v>0</v>
      </c>
      <c r="P2299"/>
    </row>
    <row r="2300" spans="2:16">
      <c r="B2300" s="187"/>
      <c r="N2300" s="489">
        <f t="shared" si="223"/>
        <v>0</v>
      </c>
      <c r="P2300"/>
    </row>
    <row r="2301" spans="2:16">
      <c r="B2301" s="187"/>
      <c r="N2301" s="489">
        <f t="shared" si="223"/>
        <v>0</v>
      </c>
      <c r="P2301"/>
    </row>
    <row r="2302" spans="2:16">
      <c r="B2302" s="187"/>
      <c r="N2302" s="489">
        <f t="shared" si="223"/>
        <v>0</v>
      </c>
      <c r="P2302"/>
    </row>
    <row r="2303" spans="2:16">
      <c r="B2303" s="187"/>
      <c r="N2303" s="489">
        <f t="shared" si="223"/>
        <v>0</v>
      </c>
      <c r="P2303"/>
    </row>
    <row r="2304" spans="2:16">
      <c r="B2304" s="187"/>
      <c r="N2304" s="489">
        <f t="shared" si="223"/>
        <v>0</v>
      </c>
      <c r="P2304"/>
    </row>
    <row r="2305" spans="2:16">
      <c r="B2305" s="187"/>
      <c r="N2305" s="489">
        <f t="shared" si="223"/>
        <v>0</v>
      </c>
      <c r="P2305"/>
    </row>
    <row r="2306" spans="2:16">
      <c r="N2306" s="489">
        <f t="shared" si="223"/>
        <v>0</v>
      </c>
      <c r="P2306"/>
    </row>
    <row r="2307" spans="2:16">
      <c r="N2307" s="489">
        <f t="shared" si="223"/>
        <v>0</v>
      </c>
      <c r="P2307"/>
    </row>
    <row r="2308" spans="2:16">
      <c r="N2308" s="489">
        <f t="shared" si="223"/>
        <v>0</v>
      </c>
      <c r="P2308"/>
    </row>
    <row r="2309" spans="2:16">
      <c r="N2309" s="489">
        <f t="shared" si="223"/>
        <v>0</v>
      </c>
      <c r="P2309"/>
    </row>
    <row r="2310" spans="2:16">
      <c r="N2310" s="489">
        <f t="shared" si="223"/>
        <v>0</v>
      </c>
      <c r="P2310"/>
    </row>
    <row r="2311" spans="2:16">
      <c r="N2311" s="489">
        <f t="shared" si="223"/>
        <v>0</v>
      </c>
      <c r="P2311"/>
    </row>
    <row r="2312" spans="2:16">
      <c r="N2312" s="489">
        <f t="shared" si="223"/>
        <v>0</v>
      </c>
      <c r="P2312"/>
    </row>
    <row r="2313" spans="2:16">
      <c r="N2313" s="489">
        <f t="shared" si="223"/>
        <v>0</v>
      </c>
      <c r="P2313"/>
    </row>
    <row r="2314" spans="2:16">
      <c r="N2314" s="489">
        <f t="shared" si="223"/>
        <v>0</v>
      </c>
      <c r="P2314"/>
    </row>
    <row r="2315" spans="2:16">
      <c r="B2315" s="187"/>
      <c r="N2315" s="489">
        <f t="shared" si="223"/>
        <v>0</v>
      </c>
      <c r="P2315"/>
    </row>
    <row r="2316" spans="2:16">
      <c r="B2316" s="187"/>
      <c r="N2316" s="489">
        <f t="shared" si="223"/>
        <v>0</v>
      </c>
      <c r="P2316"/>
    </row>
    <row r="2317" spans="2:16">
      <c r="B2317" s="187"/>
      <c r="N2317" s="489">
        <f t="shared" si="223"/>
        <v>0</v>
      </c>
      <c r="P2317"/>
    </row>
    <row r="2318" spans="2:16">
      <c r="B2318" s="187"/>
      <c r="N2318" s="489">
        <f t="shared" si="223"/>
        <v>0</v>
      </c>
      <c r="P2318"/>
    </row>
    <row r="2319" spans="2:16">
      <c r="B2319" s="187"/>
      <c r="N2319" s="489">
        <f t="shared" si="223"/>
        <v>0</v>
      </c>
      <c r="P2319"/>
    </row>
    <row r="2320" spans="2:16">
      <c r="B2320" s="187"/>
      <c r="N2320" s="489">
        <f t="shared" si="223"/>
        <v>0</v>
      </c>
      <c r="P2320"/>
    </row>
    <row r="2321" spans="2:16">
      <c r="B2321" s="187"/>
      <c r="N2321" s="489">
        <f t="shared" si="223"/>
        <v>0</v>
      </c>
      <c r="P2321"/>
    </row>
    <row r="2322" spans="2:16">
      <c r="B2322" s="187"/>
      <c r="N2322" s="489">
        <f t="shared" si="223"/>
        <v>0</v>
      </c>
      <c r="P2322"/>
    </row>
    <row r="2323" spans="2:16">
      <c r="B2323" s="187"/>
      <c r="N2323" s="489">
        <f t="shared" si="223"/>
        <v>0</v>
      </c>
      <c r="P2323"/>
    </row>
    <row r="2324" spans="2:16">
      <c r="B2324" s="187"/>
      <c r="N2324" s="489">
        <f t="shared" si="223"/>
        <v>0</v>
      </c>
      <c r="P2324"/>
    </row>
    <row r="2325" spans="2:16">
      <c r="B2325" s="187"/>
      <c r="N2325" s="489">
        <f t="shared" si="223"/>
        <v>0</v>
      </c>
      <c r="P2325"/>
    </row>
    <row r="2326" spans="2:16">
      <c r="B2326" s="187"/>
      <c r="N2326" s="489">
        <f t="shared" si="223"/>
        <v>0</v>
      </c>
      <c r="P2326"/>
    </row>
    <row r="2327" spans="2:16">
      <c r="B2327" s="187"/>
      <c r="N2327" s="489">
        <f t="shared" si="223"/>
        <v>0</v>
      </c>
      <c r="P2327"/>
    </row>
    <row r="2328" spans="2:16">
      <c r="B2328" s="187"/>
      <c r="N2328" s="489">
        <f t="shared" si="223"/>
        <v>0</v>
      </c>
      <c r="P2328"/>
    </row>
    <row r="2329" spans="2:16">
      <c r="B2329" s="187"/>
      <c r="N2329" s="489">
        <f t="shared" si="223"/>
        <v>0</v>
      </c>
      <c r="P2329"/>
    </row>
    <row r="2330" spans="2:16">
      <c r="B2330" s="187"/>
      <c r="N2330" s="489">
        <f t="shared" si="223"/>
        <v>0</v>
      </c>
      <c r="P2330"/>
    </row>
    <row r="2331" spans="2:16">
      <c r="B2331" s="187"/>
      <c r="N2331" s="489">
        <f t="shared" si="223"/>
        <v>0</v>
      </c>
      <c r="P2331"/>
    </row>
    <row r="2332" spans="2:16">
      <c r="B2332" s="187"/>
      <c r="N2332" s="489">
        <f t="shared" si="223"/>
        <v>0</v>
      </c>
      <c r="P2332"/>
    </row>
    <row r="2333" spans="2:16">
      <c r="B2333" s="187"/>
      <c r="N2333" s="489">
        <f t="shared" si="223"/>
        <v>0</v>
      </c>
      <c r="P2333"/>
    </row>
    <row r="2334" spans="2:16">
      <c r="B2334" s="187"/>
      <c r="N2334" s="489">
        <f t="shared" si="223"/>
        <v>0</v>
      </c>
      <c r="P2334"/>
    </row>
    <row r="2335" spans="2:16">
      <c r="B2335" s="187"/>
      <c r="N2335" s="489">
        <f t="shared" si="223"/>
        <v>0</v>
      </c>
      <c r="P2335"/>
    </row>
    <row r="2336" spans="2:16">
      <c r="B2336" s="187"/>
      <c r="N2336" s="489">
        <f t="shared" si="223"/>
        <v>0</v>
      </c>
      <c r="P2336"/>
    </row>
    <row r="2337" spans="2:16">
      <c r="B2337" s="187"/>
      <c r="N2337" s="489">
        <f t="shared" si="223"/>
        <v>0</v>
      </c>
      <c r="P2337"/>
    </row>
    <row r="2338" spans="2:16">
      <c r="B2338" s="187"/>
      <c r="N2338" s="489">
        <f t="shared" si="223"/>
        <v>0</v>
      </c>
      <c r="P2338"/>
    </row>
    <row r="2339" spans="2:16">
      <c r="B2339" s="187"/>
      <c r="N2339" s="489">
        <f t="shared" si="223"/>
        <v>0</v>
      </c>
      <c r="P2339"/>
    </row>
    <row r="2340" spans="2:16">
      <c r="B2340" s="187"/>
      <c r="N2340" s="489">
        <f t="shared" si="223"/>
        <v>0</v>
      </c>
      <c r="P2340"/>
    </row>
    <row r="2341" spans="2:16">
      <c r="B2341" s="187"/>
      <c r="N2341" s="489">
        <f t="shared" si="223"/>
        <v>0</v>
      </c>
      <c r="P2341"/>
    </row>
    <row r="2342" spans="2:16">
      <c r="B2342" s="187"/>
      <c r="N2342" s="489">
        <f t="shared" ref="N2342:N2405" si="224">SUM(K2342:M2342)</f>
        <v>0</v>
      </c>
      <c r="P2342"/>
    </row>
    <row r="2343" spans="2:16">
      <c r="B2343" s="187"/>
      <c r="N2343" s="489">
        <f t="shared" si="224"/>
        <v>0</v>
      </c>
      <c r="P2343"/>
    </row>
    <row r="2344" spans="2:16">
      <c r="B2344" s="187"/>
      <c r="N2344" s="489">
        <f t="shared" si="224"/>
        <v>0</v>
      </c>
      <c r="P2344"/>
    </row>
    <row r="2345" spans="2:16">
      <c r="B2345" s="187"/>
      <c r="N2345" s="489">
        <f t="shared" si="224"/>
        <v>0</v>
      </c>
      <c r="P2345"/>
    </row>
    <row r="2346" spans="2:16">
      <c r="B2346" s="187"/>
      <c r="N2346" s="489">
        <f t="shared" si="224"/>
        <v>0</v>
      </c>
      <c r="P2346"/>
    </row>
    <row r="2347" spans="2:16">
      <c r="B2347" s="187"/>
      <c r="N2347" s="489">
        <f t="shared" si="224"/>
        <v>0</v>
      </c>
      <c r="P2347"/>
    </row>
    <row r="2348" spans="2:16">
      <c r="B2348" s="187"/>
      <c r="N2348" s="489">
        <f t="shared" si="224"/>
        <v>0</v>
      </c>
      <c r="P2348"/>
    </row>
    <row r="2349" spans="2:16">
      <c r="B2349" s="187"/>
      <c r="N2349" s="489">
        <f t="shared" si="224"/>
        <v>0</v>
      </c>
      <c r="P2349"/>
    </row>
    <row r="2350" spans="2:16">
      <c r="B2350" s="187"/>
      <c r="N2350" s="489">
        <f t="shared" si="224"/>
        <v>0</v>
      </c>
      <c r="P2350"/>
    </row>
    <row r="2351" spans="2:16">
      <c r="B2351" s="187"/>
      <c r="N2351" s="489">
        <f t="shared" si="224"/>
        <v>0</v>
      </c>
      <c r="P2351"/>
    </row>
    <row r="2352" spans="2:16">
      <c r="B2352" s="187"/>
      <c r="N2352" s="489">
        <f t="shared" si="224"/>
        <v>0</v>
      </c>
      <c r="P2352"/>
    </row>
    <row r="2353" spans="2:16">
      <c r="B2353" s="187"/>
      <c r="N2353" s="489">
        <f t="shared" si="224"/>
        <v>0</v>
      </c>
      <c r="P2353"/>
    </row>
    <row r="2354" spans="2:16">
      <c r="B2354" s="187"/>
      <c r="N2354" s="489">
        <f t="shared" si="224"/>
        <v>0</v>
      </c>
      <c r="P2354"/>
    </row>
    <row r="2355" spans="2:16">
      <c r="B2355" s="187"/>
      <c r="N2355" s="489">
        <f t="shared" si="224"/>
        <v>0</v>
      </c>
      <c r="P2355"/>
    </row>
    <row r="2356" spans="2:16">
      <c r="B2356" s="187"/>
      <c r="N2356" s="489">
        <f t="shared" si="224"/>
        <v>0</v>
      </c>
      <c r="P2356"/>
    </row>
    <row r="2357" spans="2:16">
      <c r="B2357" s="187"/>
      <c r="N2357" s="489">
        <f t="shared" si="224"/>
        <v>0</v>
      </c>
      <c r="P2357"/>
    </row>
    <row r="2358" spans="2:16">
      <c r="B2358" s="187"/>
      <c r="N2358" s="489">
        <f t="shared" si="224"/>
        <v>0</v>
      </c>
      <c r="P2358"/>
    </row>
    <row r="2359" spans="2:16">
      <c r="B2359" s="187"/>
      <c r="N2359" s="489">
        <f t="shared" si="224"/>
        <v>0</v>
      </c>
      <c r="P2359"/>
    </row>
    <row r="2360" spans="2:16">
      <c r="B2360" s="187"/>
      <c r="N2360" s="489">
        <f t="shared" si="224"/>
        <v>0</v>
      </c>
      <c r="P2360"/>
    </row>
    <row r="2361" spans="2:16">
      <c r="B2361" s="187"/>
      <c r="N2361" s="489">
        <f t="shared" si="224"/>
        <v>0</v>
      </c>
      <c r="P2361"/>
    </row>
    <row r="2362" spans="2:16">
      <c r="B2362" s="187"/>
      <c r="N2362" s="489">
        <f t="shared" si="224"/>
        <v>0</v>
      </c>
      <c r="P2362"/>
    </row>
    <row r="2363" spans="2:16">
      <c r="B2363" s="187"/>
      <c r="N2363" s="489">
        <f t="shared" si="224"/>
        <v>0</v>
      </c>
      <c r="P2363"/>
    </row>
    <row r="2364" spans="2:16">
      <c r="B2364" s="187"/>
      <c r="N2364" s="489">
        <f t="shared" si="224"/>
        <v>0</v>
      </c>
      <c r="P2364"/>
    </row>
    <row r="2365" spans="2:16">
      <c r="B2365" s="187"/>
      <c r="N2365" s="489">
        <f t="shared" si="224"/>
        <v>0</v>
      </c>
      <c r="P2365"/>
    </row>
    <row r="2366" spans="2:16">
      <c r="B2366" s="187"/>
      <c r="N2366" s="489">
        <f t="shared" si="224"/>
        <v>0</v>
      </c>
      <c r="P2366"/>
    </row>
    <row r="2367" spans="2:16">
      <c r="B2367" s="187"/>
      <c r="N2367" s="489">
        <f t="shared" si="224"/>
        <v>0</v>
      </c>
      <c r="P2367"/>
    </row>
    <row r="2368" spans="2:16">
      <c r="B2368" s="187"/>
      <c r="N2368" s="489">
        <f t="shared" si="224"/>
        <v>0</v>
      </c>
      <c r="P2368"/>
    </row>
    <row r="2369" spans="2:16">
      <c r="B2369" s="187"/>
      <c r="N2369" s="489">
        <f t="shared" si="224"/>
        <v>0</v>
      </c>
      <c r="P2369"/>
    </row>
    <row r="2370" spans="2:16">
      <c r="B2370" s="187"/>
      <c r="N2370" s="489">
        <f t="shared" si="224"/>
        <v>0</v>
      </c>
      <c r="P2370"/>
    </row>
    <row r="2371" spans="2:16">
      <c r="B2371" s="187"/>
      <c r="N2371" s="489">
        <f t="shared" si="224"/>
        <v>0</v>
      </c>
      <c r="P2371"/>
    </row>
    <row r="2372" spans="2:16">
      <c r="B2372" s="187"/>
      <c r="N2372" s="489">
        <f t="shared" si="224"/>
        <v>0</v>
      </c>
      <c r="P2372"/>
    </row>
    <row r="2373" spans="2:16">
      <c r="B2373" s="187"/>
      <c r="N2373" s="489">
        <f t="shared" si="224"/>
        <v>0</v>
      </c>
      <c r="P2373"/>
    </row>
    <row r="2374" spans="2:16">
      <c r="B2374" s="187"/>
      <c r="N2374" s="489">
        <f t="shared" si="224"/>
        <v>0</v>
      </c>
      <c r="P2374"/>
    </row>
    <row r="2375" spans="2:16">
      <c r="B2375" s="187"/>
      <c r="N2375" s="489">
        <f t="shared" si="224"/>
        <v>0</v>
      </c>
      <c r="P2375"/>
    </row>
    <row r="2376" spans="2:16">
      <c r="B2376" s="187"/>
      <c r="N2376" s="489">
        <f t="shared" si="224"/>
        <v>0</v>
      </c>
      <c r="P2376"/>
    </row>
    <row r="2377" spans="2:16">
      <c r="B2377" s="187"/>
      <c r="N2377" s="489">
        <f t="shared" si="224"/>
        <v>0</v>
      </c>
      <c r="P2377"/>
    </row>
    <row r="2378" spans="2:16">
      <c r="B2378" s="187"/>
      <c r="N2378" s="489">
        <f t="shared" si="224"/>
        <v>0</v>
      </c>
      <c r="P2378"/>
    </row>
    <row r="2379" spans="2:16">
      <c r="B2379" s="187"/>
      <c r="N2379" s="489">
        <f t="shared" si="224"/>
        <v>0</v>
      </c>
      <c r="P2379"/>
    </row>
    <row r="2380" spans="2:16">
      <c r="B2380" s="187"/>
      <c r="N2380" s="489">
        <f t="shared" si="224"/>
        <v>0</v>
      </c>
      <c r="P2380"/>
    </row>
    <row r="2381" spans="2:16">
      <c r="B2381" s="187"/>
      <c r="N2381" s="489">
        <f t="shared" si="224"/>
        <v>0</v>
      </c>
      <c r="P2381"/>
    </row>
    <row r="2382" spans="2:16">
      <c r="B2382" s="187"/>
      <c r="N2382" s="489">
        <f t="shared" si="224"/>
        <v>0</v>
      </c>
      <c r="P2382"/>
    </row>
    <row r="2383" spans="2:16">
      <c r="B2383" s="187"/>
      <c r="N2383" s="489">
        <f t="shared" si="224"/>
        <v>0</v>
      </c>
      <c r="P2383"/>
    </row>
    <row r="2384" spans="2:16">
      <c r="B2384" s="187"/>
      <c r="N2384" s="489">
        <f t="shared" si="224"/>
        <v>0</v>
      </c>
      <c r="P2384"/>
    </row>
    <row r="2385" spans="2:16">
      <c r="B2385" s="187"/>
      <c r="N2385" s="489">
        <f t="shared" si="224"/>
        <v>0</v>
      </c>
      <c r="P2385"/>
    </row>
    <row r="2386" spans="2:16">
      <c r="B2386" s="187"/>
      <c r="N2386" s="489">
        <f t="shared" si="224"/>
        <v>0</v>
      </c>
      <c r="P2386"/>
    </row>
    <row r="2387" spans="2:16">
      <c r="B2387" s="187"/>
      <c r="N2387" s="489">
        <f t="shared" si="224"/>
        <v>0</v>
      </c>
      <c r="P2387"/>
    </row>
    <row r="2388" spans="2:16">
      <c r="B2388" s="187"/>
      <c r="N2388" s="489">
        <f t="shared" si="224"/>
        <v>0</v>
      </c>
      <c r="P2388"/>
    </row>
    <row r="2389" spans="2:16">
      <c r="B2389" s="187"/>
      <c r="N2389" s="489">
        <f t="shared" si="224"/>
        <v>0</v>
      </c>
      <c r="P2389"/>
    </row>
    <row r="2390" spans="2:16">
      <c r="B2390" s="187"/>
      <c r="N2390" s="489">
        <f t="shared" si="224"/>
        <v>0</v>
      </c>
      <c r="P2390"/>
    </row>
    <row r="2391" spans="2:16">
      <c r="B2391" s="187"/>
      <c r="N2391" s="489">
        <f t="shared" si="224"/>
        <v>0</v>
      </c>
      <c r="P2391"/>
    </row>
    <row r="2392" spans="2:16">
      <c r="B2392" s="187"/>
      <c r="N2392" s="489">
        <f t="shared" si="224"/>
        <v>0</v>
      </c>
      <c r="P2392"/>
    </row>
    <row r="2393" spans="2:16">
      <c r="B2393" s="187"/>
      <c r="N2393" s="489">
        <f t="shared" si="224"/>
        <v>0</v>
      </c>
      <c r="P2393"/>
    </row>
    <row r="2394" spans="2:16">
      <c r="B2394" s="187"/>
      <c r="N2394" s="489">
        <f t="shared" si="224"/>
        <v>0</v>
      </c>
      <c r="P2394"/>
    </row>
    <row r="2395" spans="2:16">
      <c r="B2395" s="187"/>
      <c r="N2395" s="489">
        <f t="shared" si="224"/>
        <v>0</v>
      </c>
      <c r="P2395"/>
    </row>
    <row r="2396" spans="2:16">
      <c r="B2396" s="187"/>
      <c r="N2396" s="489">
        <f t="shared" si="224"/>
        <v>0</v>
      </c>
      <c r="P2396"/>
    </row>
    <row r="2397" spans="2:16">
      <c r="B2397" s="187"/>
      <c r="N2397" s="489">
        <f t="shared" si="224"/>
        <v>0</v>
      </c>
      <c r="P2397"/>
    </row>
    <row r="2398" spans="2:16">
      <c r="B2398" s="187"/>
      <c r="N2398" s="489">
        <f t="shared" si="224"/>
        <v>0</v>
      </c>
      <c r="P2398"/>
    </row>
    <row r="2399" spans="2:16">
      <c r="B2399" s="187"/>
      <c r="N2399" s="489">
        <f t="shared" si="224"/>
        <v>0</v>
      </c>
      <c r="P2399"/>
    </row>
    <row r="2400" spans="2:16">
      <c r="B2400" s="187"/>
      <c r="N2400" s="489">
        <f t="shared" si="224"/>
        <v>0</v>
      </c>
      <c r="P2400"/>
    </row>
    <row r="2401" spans="2:16">
      <c r="B2401" s="187"/>
      <c r="N2401" s="489">
        <f t="shared" si="224"/>
        <v>0</v>
      </c>
      <c r="P2401"/>
    </row>
    <row r="2402" spans="2:16">
      <c r="B2402" s="187"/>
      <c r="N2402" s="489">
        <f t="shared" si="224"/>
        <v>0</v>
      </c>
      <c r="P2402"/>
    </row>
    <row r="2403" spans="2:16">
      <c r="B2403" s="187"/>
      <c r="N2403" s="489">
        <f t="shared" si="224"/>
        <v>0</v>
      </c>
      <c r="P2403"/>
    </row>
    <row r="2404" spans="2:16">
      <c r="B2404" s="187"/>
      <c r="N2404" s="489">
        <f t="shared" si="224"/>
        <v>0</v>
      </c>
      <c r="P2404"/>
    </row>
    <row r="2405" spans="2:16">
      <c r="B2405" s="187"/>
      <c r="N2405" s="489">
        <f t="shared" si="224"/>
        <v>0</v>
      </c>
      <c r="P2405"/>
    </row>
    <row r="2406" spans="2:16">
      <c r="B2406" s="187"/>
      <c r="N2406" s="489">
        <f t="shared" ref="N2406:N2469" si="225">SUM(K2406:M2406)</f>
        <v>0</v>
      </c>
      <c r="P2406"/>
    </row>
    <row r="2407" spans="2:16">
      <c r="B2407" s="187"/>
      <c r="N2407" s="489">
        <f t="shared" si="225"/>
        <v>0</v>
      </c>
      <c r="P2407"/>
    </row>
    <row r="2408" spans="2:16">
      <c r="B2408" s="187"/>
      <c r="N2408" s="489">
        <f t="shared" si="225"/>
        <v>0</v>
      </c>
      <c r="P2408"/>
    </row>
    <row r="2409" spans="2:16">
      <c r="B2409" s="187"/>
      <c r="N2409" s="489">
        <f t="shared" si="225"/>
        <v>0</v>
      </c>
      <c r="P2409"/>
    </row>
    <row r="2410" spans="2:16">
      <c r="B2410" s="187"/>
      <c r="N2410" s="489">
        <f t="shared" si="225"/>
        <v>0</v>
      </c>
      <c r="P2410"/>
    </row>
    <row r="2411" spans="2:16">
      <c r="B2411" s="187"/>
      <c r="N2411" s="489">
        <f t="shared" si="225"/>
        <v>0</v>
      </c>
      <c r="P2411"/>
    </row>
    <row r="2412" spans="2:16">
      <c r="B2412" s="187"/>
      <c r="N2412" s="489">
        <f t="shared" si="225"/>
        <v>0</v>
      </c>
      <c r="P2412"/>
    </row>
    <row r="2413" spans="2:16">
      <c r="B2413" s="187"/>
      <c r="N2413" s="489">
        <f t="shared" si="225"/>
        <v>0</v>
      </c>
      <c r="P2413"/>
    </row>
    <row r="2414" spans="2:16">
      <c r="B2414" s="187"/>
      <c r="N2414" s="489">
        <f t="shared" si="225"/>
        <v>0</v>
      </c>
      <c r="P2414"/>
    </row>
    <row r="2415" spans="2:16">
      <c r="B2415" s="187"/>
      <c r="N2415" s="489">
        <f t="shared" si="225"/>
        <v>0</v>
      </c>
      <c r="P2415"/>
    </row>
    <row r="2416" spans="2:16">
      <c r="B2416" s="187"/>
      <c r="N2416" s="489">
        <f t="shared" si="225"/>
        <v>0</v>
      </c>
      <c r="P2416"/>
    </row>
    <row r="2417" spans="2:16">
      <c r="B2417" s="187"/>
      <c r="N2417" s="489">
        <f t="shared" si="225"/>
        <v>0</v>
      </c>
      <c r="P2417"/>
    </row>
    <row r="2418" spans="2:16">
      <c r="B2418" s="187"/>
      <c r="N2418" s="489">
        <f t="shared" si="225"/>
        <v>0</v>
      </c>
      <c r="P2418"/>
    </row>
    <row r="2419" spans="2:16">
      <c r="B2419" s="187"/>
      <c r="N2419" s="489">
        <f t="shared" si="225"/>
        <v>0</v>
      </c>
      <c r="P2419"/>
    </row>
    <row r="2420" spans="2:16">
      <c r="B2420" s="187"/>
      <c r="N2420" s="489">
        <f t="shared" si="225"/>
        <v>0</v>
      </c>
      <c r="P2420"/>
    </row>
    <row r="2421" spans="2:16">
      <c r="B2421" s="187"/>
      <c r="N2421" s="489">
        <f t="shared" si="225"/>
        <v>0</v>
      </c>
      <c r="P2421"/>
    </row>
    <row r="2422" spans="2:16">
      <c r="B2422" s="187"/>
      <c r="N2422" s="489">
        <f t="shared" si="225"/>
        <v>0</v>
      </c>
      <c r="P2422"/>
    </row>
    <row r="2423" spans="2:16">
      <c r="B2423" s="187"/>
      <c r="N2423" s="489">
        <f t="shared" si="225"/>
        <v>0</v>
      </c>
      <c r="P2423"/>
    </row>
    <row r="2424" spans="2:16">
      <c r="B2424" s="187"/>
      <c r="N2424" s="489">
        <f t="shared" si="225"/>
        <v>0</v>
      </c>
      <c r="P2424"/>
    </row>
    <row r="2425" spans="2:16">
      <c r="B2425" s="187"/>
      <c r="N2425" s="489">
        <f t="shared" si="225"/>
        <v>0</v>
      </c>
      <c r="P2425"/>
    </row>
    <row r="2426" spans="2:16">
      <c r="B2426" s="187"/>
      <c r="N2426" s="489">
        <f t="shared" si="225"/>
        <v>0</v>
      </c>
      <c r="P2426"/>
    </row>
    <row r="2427" spans="2:16">
      <c r="B2427" s="187"/>
      <c r="N2427" s="489">
        <f t="shared" si="225"/>
        <v>0</v>
      </c>
      <c r="P2427"/>
    </row>
    <row r="2428" spans="2:16">
      <c r="B2428" s="187"/>
      <c r="N2428" s="489">
        <f t="shared" si="225"/>
        <v>0</v>
      </c>
      <c r="P2428"/>
    </row>
    <row r="2429" spans="2:16">
      <c r="B2429" s="187"/>
      <c r="N2429" s="489">
        <f t="shared" si="225"/>
        <v>0</v>
      </c>
      <c r="P2429"/>
    </row>
    <row r="2430" spans="2:16">
      <c r="B2430" s="187"/>
      <c r="N2430" s="489">
        <f t="shared" si="225"/>
        <v>0</v>
      </c>
      <c r="P2430"/>
    </row>
    <row r="2431" spans="2:16">
      <c r="B2431" s="187"/>
      <c r="N2431" s="489">
        <f t="shared" si="225"/>
        <v>0</v>
      </c>
      <c r="P2431"/>
    </row>
    <row r="2432" spans="2:16">
      <c r="B2432" s="187"/>
      <c r="N2432" s="489">
        <f t="shared" si="225"/>
        <v>0</v>
      </c>
      <c r="P2432"/>
    </row>
    <row r="2433" spans="2:16">
      <c r="B2433" s="187"/>
      <c r="N2433" s="489">
        <f t="shared" si="225"/>
        <v>0</v>
      </c>
      <c r="P2433"/>
    </row>
    <row r="2434" spans="2:16">
      <c r="B2434" s="187"/>
      <c r="N2434" s="489">
        <f t="shared" si="225"/>
        <v>0</v>
      </c>
      <c r="P2434"/>
    </row>
    <row r="2435" spans="2:16">
      <c r="B2435" s="187"/>
      <c r="N2435" s="489">
        <f t="shared" si="225"/>
        <v>0</v>
      </c>
      <c r="P2435"/>
    </row>
    <row r="2436" spans="2:16">
      <c r="B2436" s="187"/>
      <c r="N2436" s="489">
        <f t="shared" si="225"/>
        <v>0</v>
      </c>
      <c r="P2436"/>
    </row>
    <row r="2437" spans="2:16">
      <c r="B2437" s="187"/>
      <c r="N2437" s="489">
        <f t="shared" si="225"/>
        <v>0</v>
      </c>
      <c r="P2437"/>
    </row>
    <row r="2438" spans="2:16">
      <c r="B2438" s="187"/>
      <c r="N2438" s="489">
        <f t="shared" si="225"/>
        <v>0</v>
      </c>
      <c r="P2438"/>
    </row>
    <row r="2439" spans="2:16">
      <c r="B2439" s="187"/>
      <c r="N2439" s="489">
        <f t="shared" si="225"/>
        <v>0</v>
      </c>
      <c r="P2439"/>
    </row>
    <row r="2440" spans="2:16">
      <c r="B2440" s="187"/>
      <c r="N2440" s="489">
        <f t="shared" si="225"/>
        <v>0</v>
      </c>
      <c r="P2440"/>
    </row>
    <row r="2441" spans="2:16">
      <c r="B2441" s="187"/>
      <c r="N2441" s="489">
        <f t="shared" si="225"/>
        <v>0</v>
      </c>
      <c r="P2441"/>
    </row>
    <row r="2442" spans="2:16">
      <c r="B2442" s="187"/>
      <c r="N2442" s="489">
        <f t="shared" si="225"/>
        <v>0</v>
      </c>
      <c r="P2442"/>
    </row>
    <row r="2443" spans="2:16">
      <c r="B2443" s="187"/>
      <c r="N2443" s="489">
        <f t="shared" si="225"/>
        <v>0</v>
      </c>
      <c r="P2443"/>
    </row>
    <row r="2444" spans="2:16">
      <c r="B2444" s="187"/>
      <c r="N2444" s="489">
        <f t="shared" si="225"/>
        <v>0</v>
      </c>
      <c r="P2444"/>
    </row>
    <row r="2445" spans="2:16">
      <c r="B2445" s="187"/>
      <c r="N2445" s="489">
        <f t="shared" si="225"/>
        <v>0</v>
      </c>
      <c r="P2445"/>
    </row>
    <row r="2446" spans="2:16">
      <c r="B2446" s="187"/>
      <c r="N2446" s="489">
        <f t="shared" si="225"/>
        <v>0</v>
      </c>
      <c r="P2446"/>
    </row>
    <row r="2447" spans="2:16">
      <c r="B2447" s="187"/>
      <c r="N2447" s="489">
        <f t="shared" si="225"/>
        <v>0</v>
      </c>
      <c r="P2447"/>
    </row>
    <row r="2448" spans="2:16">
      <c r="B2448" s="187"/>
      <c r="N2448" s="489">
        <f t="shared" si="225"/>
        <v>0</v>
      </c>
      <c r="P2448"/>
    </row>
    <row r="2449" spans="2:16">
      <c r="B2449" s="187"/>
      <c r="N2449" s="489">
        <f t="shared" si="225"/>
        <v>0</v>
      </c>
      <c r="P2449"/>
    </row>
    <row r="2450" spans="2:16">
      <c r="B2450" s="187"/>
      <c r="N2450" s="489">
        <f t="shared" si="225"/>
        <v>0</v>
      </c>
      <c r="P2450"/>
    </row>
    <row r="2451" spans="2:16">
      <c r="B2451" s="187"/>
      <c r="N2451" s="489">
        <f t="shared" si="225"/>
        <v>0</v>
      </c>
      <c r="P2451"/>
    </row>
    <row r="2452" spans="2:16">
      <c r="B2452" s="187"/>
      <c r="N2452" s="489">
        <f t="shared" si="225"/>
        <v>0</v>
      </c>
      <c r="P2452"/>
    </row>
    <row r="2453" spans="2:16">
      <c r="B2453" s="187"/>
      <c r="N2453" s="489">
        <f t="shared" si="225"/>
        <v>0</v>
      </c>
      <c r="P2453"/>
    </row>
    <row r="2454" spans="2:16">
      <c r="B2454" s="187"/>
      <c r="N2454" s="489">
        <f t="shared" si="225"/>
        <v>0</v>
      </c>
      <c r="P2454"/>
    </row>
    <row r="2455" spans="2:16">
      <c r="B2455" s="187"/>
      <c r="N2455" s="489">
        <f t="shared" si="225"/>
        <v>0</v>
      </c>
      <c r="P2455"/>
    </row>
    <row r="2456" spans="2:16">
      <c r="B2456" s="187"/>
      <c r="N2456" s="489">
        <f t="shared" si="225"/>
        <v>0</v>
      </c>
      <c r="P2456"/>
    </row>
    <row r="2457" spans="2:16">
      <c r="B2457" s="187"/>
      <c r="N2457" s="489">
        <f t="shared" si="225"/>
        <v>0</v>
      </c>
      <c r="P2457"/>
    </row>
    <row r="2458" spans="2:16">
      <c r="B2458" s="187"/>
      <c r="N2458" s="489">
        <f t="shared" si="225"/>
        <v>0</v>
      </c>
      <c r="P2458"/>
    </row>
    <row r="2459" spans="2:16">
      <c r="B2459" s="187"/>
      <c r="N2459" s="489">
        <f t="shared" si="225"/>
        <v>0</v>
      </c>
      <c r="P2459"/>
    </row>
    <row r="2460" spans="2:16">
      <c r="B2460" s="187"/>
      <c r="N2460" s="489">
        <f t="shared" si="225"/>
        <v>0</v>
      </c>
      <c r="P2460"/>
    </row>
    <row r="2461" spans="2:16">
      <c r="B2461" s="187"/>
      <c r="N2461" s="489">
        <f t="shared" si="225"/>
        <v>0</v>
      </c>
      <c r="P2461"/>
    </row>
    <row r="2462" spans="2:16">
      <c r="B2462" s="187"/>
      <c r="N2462" s="489">
        <f t="shared" si="225"/>
        <v>0</v>
      </c>
      <c r="P2462"/>
    </row>
    <row r="2463" spans="2:16">
      <c r="B2463" s="187"/>
      <c r="N2463" s="489">
        <f t="shared" si="225"/>
        <v>0</v>
      </c>
      <c r="P2463"/>
    </row>
    <row r="2464" spans="2:16">
      <c r="B2464" s="187"/>
      <c r="N2464" s="489">
        <f t="shared" si="225"/>
        <v>0</v>
      </c>
      <c r="P2464"/>
    </row>
    <row r="2465" spans="2:16">
      <c r="B2465" s="187"/>
      <c r="N2465" s="489">
        <f t="shared" si="225"/>
        <v>0</v>
      </c>
      <c r="P2465"/>
    </row>
    <row r="2466" spans="2:16">
      <c r="B2466" s="187"/>
      <c r="N2466" s="489">
        <f t="shared" si="225"/>
        <v>0</v>
      </c>
      <c r="P2466"/>
    </row>
    <row r="2467" spans="2:16">
      <c r="B2467" s="187"/>
      <c r="N2467" s="489">
        <f t="shared" si="225"/>
        <v>0</v>
      </c>
      <c r="P2467"/>
    </row>
    <row r="2468" spans="2:16">
      <c r="B2468" s="187"/>
      <c r="N2468" s="489">
        <f t="shared" si="225"/>
        <v>0</v>
      </c>
      <c r="P2468"/>
    </row>
    <row r="2469" spans="2:16">
      <c r="B2469" s="187"/>
      <c r="N2469" s="489">
        <f t="shared" si="225"/>
        <v>0</v>
      </c>
      <c r="P2469"/>
    </row>
    <row r="2470" spans="2:16">
      <c r="B2470" s="187"/>
      <c r="N2470" s="489">
        <f t="shared" ref="N2470:N2533" si="226">SUM(K2470:M2470)</f>
        <v>0</v>
      </c>
      <c r="P2470"/>
    </row>
    <row r="2471" spans="2:16">
      <c r="B2471" s="187"/>
      <c r="N2471" s="489">
        <f t="shared" si="226"/>
        <v>0</v>
      </c>
      <c r="P2471"/>
    </row>
    <row r="2472" spans="2:16">
      <c r="B2472" s="187"/>
      <c r="N2472" s="489">
        <f t="shared" si="226"/>
        <v>0</v>
      </c>
      <c r="P2472"/>
    </row>
    <row r="2473" spans="2:16">
      <c r="B2473" s="187"/>
      <c r="N2473" s="489">
        <f t="shared" si="226"/>
        <v>0</v>
      </c>
      <c r="P2473"/>
    </row>
    <row r="2474" spans="2:16">
      <c r="B2474" s="187"/>
      <c r="N2474" s="489">
        <f t="shared" si="226"/>
        <v>0</v>
      </c>
      <c r="P2474"/>
    </row>
    <row r="2475" spans="2:16">
      <c r="B2475" s="187"/>
      <c r="N2475" s="489">
        <f t="shared" si="226"/>
        <v>0</v>
      </c>
      <c r="P2475"/>
    </row>
    <row r="2476" spans="2:16">
      <c r="B2476" s="187"/>
      <c r="N2476" s="489">
        <f t="shared" si="226"/>
        <v>0</v>
      </c>
      <c r="P2476"/>
    </row>
    <row r="2477" spans="2:16">
      <c r="B2477" s="187"/>
      <c r="N2477" s="489">
        <f t="shared" si="226"/>
        <v>0</v>
      </c>
      <c r="P2477"/>
    </row>
    <row r="2478" spans="2:16">
      <c r="B2478" s="187"/>
      <c r="N2478" s="489">
        <f t="shared" si="226"/>
        <v>0</v>
      </c>
      <c r="P2478"/>
    </row>
    <row r="2479" spans="2:16">
      <c r="B2479" s="187"/>
      <c r="N2479" s="489">
        <f t="shared" si="226"/>
        <v>0</v>
      </c>
      <c r="P2479"/>
    </row>
    <row r="2480" spans="2:16">
      <c r="B2480" s="187"/>
      <c r="N2480" s="489">
        <f t="shared" si="226"/>
        <v>0</v>
      </c>
      <c r="P2480"/>
    </row>
    <row r="2481" spans="2:16">
      <c r="B2481" s="187"/>
      <c r="N2481" s="489">
        <f t="shared" si="226"/>
        <v>0</v>
      </c>
      <c r="P2481"/>
    </row>
    <row r="2482" spans="2:16">
      <c r="B2482" s="187"/>
      <c r="N2482" s="489">
        <f t="shared" si="226"/>
        <v>0</v>
      </c>
      <c r="P2482"/>
    </row>
    <row r="2483" spans="2:16">
      <c r="B2483" s="187"/>
      <c r="N2483" s="489">
        <f t="shared" si="226"/>
        <v>0</v>
      </c>
      <c r="P2483"/>
    </row>
    <row r="2484" spans="2:16">
      <c r="B2484" s="187"/>
      <c r="N2484" s="489">
        <f t="shared" si="226"/>
        <v>0</v>
      </c>
      <c r="P2484"/>
    </row>
    <row r="2485" spans="2:16">
      <c r="B2485" s="187"/>
      <c r="N2485" s="489">
        <f t="shared" si="226"/>
        <v>0</v>
      </c>
      <c r="P2485"/>
    </row>
    <row r="2486" spans="2:16">
      <c r="B2486" s="187"/>
      <c r="N2486" s="489">
        <f t="shared" si="226"/>
        <v>0</v>
      </c>
      <c r="P2486"/>
    </row>
    <row r="2487" spans="2:16">
      <c r="B2487" s="187"/>
      <c r="N2487" s="489">
        <f t="shared" si="226"/>
        <v>0</v>
      </c>
      <c r="P2487"/>
    </row>
    <row r="2488" spans="2:16">
      <c r="B2488" s="187"/>
      <c r="N2488" s="489">
        <f t="shared" si="226"/>
        <v>0</v>
      </c>
      <c r="P2488"/>
    </row>
    <row r="2489" spans="2:16">
      <c r="B2489" s="187"/>
      <c r="N2489" s="489">
        <f t="shared" si="226"/>
        <v>0</v>
      </c>
      <c r="P2489"/>
    </row>
    <row r="2490" spans="2:16">
      <c r="B2490" s="187"/>
      <c r="N2490" s="489">
        <f t="shared" si="226"/>
        <v>0</v>
      </c>
      <c r="P2490"/>
    </row>
    <row r="2491" spans="2:16">
      <c r="B2491" s="187"/>
      <c r="N2491" s="489">
        <f t="shared" si="226"/>
        <v>0</v>
      </c>
      <c r="P2491"/>
    </row>
    <row r="2492" spans="2:16">
      <c r="B2492" s="187"/>
      <c r="N2492" s="489">
        <f t="shared" si="226"/>
        <v>0</v>
      </c>
      <c r="P2492"/>
    </row>
    <row r="2493" spans="2:16">
      <c r="N2493" s="489">
        <f t="shared" si="226"/>
        <v>0</v>
      </c>
      <c r="P2493"/>
    </row>
    <row r="2494" spans="2:16">
      <c r="N2494" s="489">
        <f t="shared" si="226"/>
        <v>0</v>
      </c>
      <c r="P2494"/>
    </row>
    <row r="2495" spans="2:16">
      <c r="N2495" s="489">
        <f t="shared" si="226"/>
        <v>0</v>
      </c>
      <c r="P2495"/>
    </row>
    <row r="2496" spans="2:16">
      <c r="N2496" s="489">
        <f t="shared" si="226"/>
        <v>0</v>
      </c>
      <c r="P2496"/>
    </row>
    <row r="2497" spans="2:16">
      <c r="N2497" s="489">
        <f t="shared" si="226"/>
        <v>0</v>
      </c>
      <c r="P2497"/>
    </row>
    <row r="2498" spans="2:16">
      <c r="N2498" s="489">
        <f t="shared" si="226"/>
        <v>0</v>
      </c>
      <c r="P2498"/>
    </row>
    <row r="2499" spans="2:16">
      <c r="N2499" s="489">
        <f t="shared" si="226"/>
        <v>0</v>
      </c>
      <c r="P2499"/>
    </row>
    <row r="2500" spans="2:16">
      <c r="N2500" s="489">
        <f t="shared" si="226"/>
        <v>0</v>
      </c>
      <c r="P2500"/>
    </row>
    <row r="2501" spans="2:16">
      <c r="N2501" s="489">
        <f t="shared" si="226"/>
        <v>0</v>
      </c>
      <c r="P2501"/>
    </row>
    <row r="2502" spans="2:16">
      <c r="N2502" s="489">
        <f t="shared" si="226"/>
        <v>0</v>
      </c>
      <c r="P2502"/>
    </row>
    <row r="2503" spans="2:16">
      <c r="N2503" s="489">
        <f t="shared" si="226"/>
        <v>0</v>
      </c>
      <c r="P2503"/>
    </row>
    <row r="2504" spans="2:16">
      <c r="N2504" s="489">
        <f t="shared" si="226"/>
        <v>0</v>
      </c>
      <c r="P2504"/>
    </row>
    <row r="2505" spans="2:16">
      <c r="N2505" s="489">
        <f t="shared" si="226"/>
        <v>0</v>
      </c>
      <c r="P2505"/>
    </row>
    <row r="2506" spans="2:16">
      <c r="N2506" s="489">
        <f t="shared" si="226"/>
        <v>0</v>
      </c>
      <c r="P2506"/>
    </row>
    <row r="2507" spans="2:16">
      <c r="N2507" s="489">
        <f t="shared" si="226"/>
        <v>0</v>
      </c>
      <c r="P2507"/>
    </row>
    <row r="2508" spans="2:16">
      <c r="B2508" s="187"/>
      <c r="N2508" s="489">
        <f t="shared" si="226"/>
        <v>0</v>
      </c>
      <c r="P2508"/>
    </row>
    <row r="2509" spans="2:16">
      <c r="B2509" s="187"/>
      <c r="N2509" s="489">
        <f t="shared" si="226"/>
        <v>0</v>
      </c>
      <c r="P2509"/>
    </row>
    <row r="2510" spans="2:16">
      <c r="B2510" s="187"/>
      <c r="N2510" s="489">
        <f t="shared" si="226"/>
        <v>0</v>
      </c>
      <c r="P2510"/>
    </row>
    <row r="2511" spans="2:16">
      <c r="B2511" s="187"/>
      <c r="N2511" s="489">
        <f t="shared" si="226"/>
        <v>0</v>
      </c>
      <c r="P2511"/>
    </row>
    <row r="2512" spans="2:16">
      <c r="B2512" s="187"/>
      <c r="N2512" s="489">
        <f t="shared" si="226"/>
        <v>0</v>
      </c>
      <c r="P2512"/>
    </row>
    <row r="2513" spans="2:16">
      <c r="B2513" s="187"/>
      <c r="N2513" s="489">
        <f t="shared" si="226"/>
        <v>0</v>
      </c>
      <c r="P2513"/>
    </row>
    <row r="2514" spans="2:16">
      <c r="B2514" s="187"/>
      <c r="N2514" s="489">
        <f t="shared" si="226"/>
        <v>0</v>
      </c>
      <c r="P2514"/>
    </row>
    <row r="2515" spans="2:16">
      <c r="B2515" s="187"/>
      <c r="N2515" s="489">
        <f t="shared" si="226"/>
        <v>0</v>
      </c>
      <c r="P2515"/>
    </row>
    <row r="2516" spans="2:16">
      <c r="B2516" s="187"/>
      <c r="N2516" s="489">
        <f t="shared" si="226"/>
        <v>0</v>
      </c>
      <c r="P2516"/>
    </row>
    <row r="2517" spans="2:16">
      <c r="B2517" s="187"/>
      <c r="N2517" s="489">
        <f t="shared" si="226"/>
        <v>0</v>
      </c>
      <c r="P2517"/>
    </row>
    <row r="2518" spans="2:16">
      <c r="B2518" s="187"/>
      <c r="N2518" s="489">
        <f t="shared" si="226"/>
        <v>0</v>
      </c>
      <c r="P2518"/>
    </row>
    <row r="2519" spans="2:16">
      <c r="B2519" s="187"/>
      <c r="N2519" s="489">
        <f t="shared" si="226"/>
        <v>0</v>
      </c>
      <c r="P2519"/>
    </row>
    <row r="2520" spans="2:16">
      <c r="B2520" s="187"/>
      <c r="N2520" s="489">
        <f t="shared" si="226"/>
        <v>0</v>
      </c>
      <c r="P2520"/>
    </row>
    <row r="2521" spans="2:16">
      <c r="B2521" s="187"/>
      <c r="N2521" s="489">
        <f t="shared" si="226"/>
        <v>0</v>
      </c>
      <c r="P2521"/>
    </row>
    <row r="2522" spans="2:16">
      <c r="B2522" s="187"/>
      <c r="N2522" s="489">
        <f t="shared" si="226"/>
        <v>0</v>
      </c>
      <c r="P2522"/>
    </row>
    <row r="2523" spans="2:16">
      <c r="B2523" s="187"/>
      <c r="N2523" s="489">
        <f t="shared" si="226"/>
        <v>0</v>
      </c>
      <c r="P2523"/>
    </row>
    <row r="2524" spans="2:16">
      <c r="B2524" s="187"/>
      <c r="N2524" s="489">
        <f t="shared" si="226"/>
        <v>0</v>
      </c>
      <c r="P2524"/>
    </row>
    <row r="2525" spans="2:16">
      <c r="B2525" s="187"/>
      <c r="N2525" s="489">
        <f t="shared" si="226"/>
        <v>0</v>
      </c>
      <c r="P2525"/>
    </row>
    <row r="2526" spans="2:16">
      <c r="B2526" s="187"/>
      <c r="N2526" s="489">
        <f t="shared" si="226"/>
        <v>0</v>
      </c>
      <c r="P2526"/>
    </row>
    <row r="2527" spans="2:16">
      <c r="B2527" s="187"/>
      <c r="N2527" s="489">
        <f t="shared" si="226"/>
        <v>0</v>
      </c>
      <c r="P2527"/>
    </row>
    <row r="2528" spans="2:16">
      <c r="B2528" s="187"/>
      <c r="N2528" s="489">
        <f t="shared" si="226"/>
        <v>0</v>
      </c>
      <c r="P2528"/>
    </row>
    <row r="2529" spans="2:16">
      <c r="B2529" s="187"/>
      <c r="N2529" s="489">
        <f t="shared" si="226"/>
        <v>0</v>
      </c>
      <c r="P2529"/>
    </row>
    <row r="2530" spans="2:16">
      <c r="B2530" s="187"/>
      <c r="N2530" s="489">
        <f t="shared" si="226"/>
        <v>0</v>
      </c>
      <c r="P2530"/>
    </row>
    <row r="2531" spans="2:16">
      <c r="B2531" s="187"/>
      <c r="N2531" s="489">
        <f t="shared" si="226"/>
        <v>0</v>
      </c>
      <c r="P2531"/>
    </row>
    <row r="2532" spans="2:16">
      <c r="B2532" s="187"/>
      <c r="N2532" s="489">
        <f t="shared" si="226"/>
        <v>0</v>
      </c>
      <c r="P2532"/>
    </row>
    <row r="2533" spans="2:16">
      <c r="B2533" s="187"/>
      <c r="N2533" s="489">
        <f t="shared" si="226"/>
        <v>0</v>
      </c>
      <c r="P2533"/>
    </row>
    <row r="2534" spans="2:16">
      <c r="B2534" s="187"/>
      <c r="N2534" s="489">
        <f t="shared" ref="N2534:N2597" si="227">SUM(K2534:M2534)</f>
        <v>0</v>
      </c>
      <c r="P2534"/>
    </row>
    <row r="2535" spans="2:16">
      <c r="B2535" s="187"/>
      <c r="N2535" s="489">
        <f t="shared" si="227"/>
        <v>0</v>
      </c>
      <c r="P2535"/>
    </row>
    <row r="2536" spans="2:16">
      <c r="B2536" s="187"/>
      <c r="N2536" s="489">
        <f t="shared" si="227"/>
        <v>0</v>
      </c>
      <c r="P2536"/>
    </row>
    <row r="2537" spans="2:16">
      <c r="B2537" s="187"/>
      <c r="N2537" s="489">
        <f t="shared" si="227"/>
        <v>0</v>
      </c>
      <c r="P2537"/>
    </row>
    <row r="2538" spans="2:16">
      <c r="B2538" s="187"/>
      <c r="N2538" s="489">
        <f t="shared" si="227"/>
        <v>0</v>
      </c>
      <c r="P2538"/>
    </row>
    <row r="2539" spans="2:16">
      <c r="B2539" s="187"/>
      <c r="N2539" s="489">
        <f t="shared" si="227"/>
        <v>0</v>
      </c>
      <c r="P2539"/>
    </row>
    <row r="2540" spans="2:16">
      <c r="B2540" s="187"/>
      <c r="N2540" s="489">
        <f t="shared" si="227"/>
        <v>0</v>
      </c>
      <c r="P2540"/>
    </row>
    <row r="2541" spans="2:16">
      <c r="B2541" s="187"/>
      <c r="N2541" s="489">
        <f t="shared" si="227"/>
        <v>0</v>
      </c>
      <c r="P2541"/>
    </row>
    <row r="2542" spans="2:16">
      <c r="B2542" s="187"/>
      <c r="N2542" s="489">
        <f t="shared" si="227"/>
        <v>0</v>
      </c>
      <c r="P2542"/>
    </row>
    <row r="2543" spans="2:16">
      <c r="B2543" s="187"/>
      <c r="N2543" s="489">
        <f t="shared" si="227"/>
        <v>0</v>
      </c>
      <c r="P2543"/>
    </row>
    <row r="2544" spans="2:16">
      <c r="B2544" s="187"/>
      <c r="N2544" s="489">
        <f t="shared" si="227"/>
        <v>0</v>
      </c>
      <c r="P2544"/>
    </row>
    <row r="2545" spans="2:16">
      <c r="B2545" s="187"/>
      <c r="N2545" s="489">
        <f t="shared" si="227"/>
        <v>0</v>
      </c>
      <c r="P2545"/>
    </row>
    <row r="2546" spans="2:16">
      <c r="B2546" s="187"/>
      <c r="N2546" s="489">
        <f t="shared" si="227"/>
        <v>0</v>
      </c>
      <c r="P2546"/>
    </row>
    <row r="2547" spans="2:16">
      <c r="B2547" s="187"/>
      <c r="N2547" s="489">
        <f t="shared" si="227"/>
        <v>0</v>
      </c>
      <c r="P2547"/>
    </row>
    <row r="2548" spans="2:16">
      <c r="B2548" s="187"/>
      <c r="N2548" s="489">
        <f t="shared" si="227"/>
        <v>0</v>
      </c>
      <c r="P2548"/>
    </row>
    <row r="2549" spans="2:16">
      <c r="B2549" s="187"/>
      <c r="N2549" s="489">
        <f t="shared" si="227"/>
        <v>0</v>
      </c>
      <c r="P2549"/>
    </row>
    <row r="2550" spans="2:16">
      <c r="B2550" s="187"/>
      <c r="N2550" s="489">
        <f t="shared" si="227"/>
        <v>0</v>
      </c>
      <c r="P2550"/>
    </row>
    <row r="2551" spans="2:16">
      <c r="B2551" s="187"/>
      <c r="N2551" s="489">
        <f t="shared" si="227"/>
        <v>0</v>
      </c>
      <c r="P2551"/>
    </row>
    <row r="2552" spans="2:16">
      <c r="B2552" s="187"/>
      <c r="N2552" s="489">
        <f t="shared" si="227"/>
        <v>0</v>
      </c>
      <c r="P2552"/>
    </row>
    <row r="2553" spans="2:16">
      <c r="B2553" s="187"/>
      <c r="N2553" s="489">
        <f t="shared" si="227"/>
        <v>0</v>
      </c>
      <c r="P2553"/>
    </row>
    <row r="2554" spans="2:16">
      <c r="B2554" s="187"/>
      <c r="N2554" s="489">
        <f t="shared" si="227"/>
        <v>0</v>
      </c>
      <c r="P2554"/>
    </row>
    <row r="2555" spans="2:16">
      <c r="B2555" s="187"/>
      <c r="N2555" s="489">
        <f t="shared" si="227"/>
        <v>0</v>
      </c>
      <c r="P2555"/>
    </row>
    <row r="2556" spans="2:16">
      <c r="B2556" s="187"/>
      <c r="N2556" s="489">
        <f t="shared" si="227"/>
        <v>0</v>
      </c>
      <c r="P2556"/>
    </row>
    <row r="2557" spans="2:16">
      <c r="B2557" s="187"/>
      <c r="N2557" s="489">
        <f t="shared" si="227"/>
        <v>0</v>
      </c>
      <c r="P2557"/>
    </row>
    <row r="2558" spans="2:16">
      <c r="B2558" s="187"/>
      <c r="N2558" s="489">
        <f t="shared" si="227"/>
        <v>0</v>
      </c>
      <c r="P2558"/>
    </row>
    <row r="2559" spans="2:16">
      <c r="B2559" s="187"/>
      <c r="N2559" s="489">
        <f t="shared" si="227"/>
        <v>0</v>
      </c>
      <c r="P2559"/>
    </row>
    <row r="2560" spans="2:16">
      <c r="B2560" s="187"/>
      <c r="N2560" s="489">
        <f t="shared" si="227"/>
        <v>0</v>
      </c>
      <c r="P2560"/>
    </row>
    <row r="2561" spans="2:16">
      <c r="B2561" s="187"/>
      <c r="N2561" s="489">
        <f t="shared" si="227"/>
        <v>0</v>
      </c>
      <c r="P2561"/>
    </row>
    <row r="2562" spans="2:16">
      <c r="B2562" s="187"/>
      <c r="N2562" s="489">
        <f t="shared" si="227"/>
        <v>0</v>
      </c>
      <c r="P2562"/>
    </row>
    <row r="2563" spans="2:16">
      <c r="B2563" s="187"/>
      <c r="N2563" s="489">
        <f t="shared" si="227"/>
        <v>0</v>
      </c>
      <c r="P2563"/>
    </row>
    <row r="2564" spans="2:16">
      <c r="B2564" s="187"/>
      <c r="N2564" s="489">
        <f t="shared" si="227"/>
        <v>0</v>
      </c>
      <c r="P2564"/>
    </row>
    <row r="2565" spans="2:16">
      <c r="B2565" s="187"/>
      <c r="N2565" s="489">
        <f t="shared" si="227"/>
        <v>0</v>
      </c>
      <c r="P2565"/>
    </row>
    <row r="2566" spans="2:16">
      <c r="B2566" s="187"/>
      <c r="N2566" s="489">
        <f t="shared" si="227"/>
        <v>0</v>
      </c>
      <c r="P2566"/>
    </row>
    <row r="2567" spans="2:16">
      <c r="B2567" s="187"/>
      <c r="N2567" s="489">
        <f t="shared" si="227"/>
        <v>0</v>
      </c>
      <c r="P2567"/>
    </row>
    <row r="2568" spans="2:16">
      <c r="B2568" s="187"/>
      <c r="N2568" s="489">
        <f t="shared" si="227"/>
        <v>0</v>
      </c>
      <c r="P2568"/>
    </row>
    <row r="2569" spans="2:16">
      <c r="B2569" s="187"/>
      <c r="N2569" s="489">
        <f t="shared" si="227"/>
        <v>0</v>
      </c>
      <c r="P2569"/>
    </row>
    <row r="2570" spans="2:16">
      <c r="B2570" s="187"/>
      <c r="N2570" s="489">
        <f t="shared" si="227"/>
        <v>0</v>
      </c>
      <c r="P2570"/>
    </row>
    <row r="2571" spans="2:16">
      <c r="B2571" s="187"/>
      <c r="N2571" s="489">
        <f t="shared" si="227"/>
        <v>0</v>
      </c>
      <c r="P2571"/>
    </row>
    <row r="2572" spans="2:16">
      <c r="B2572" s="187"/>
      <c r="N2572" s="489">
        <f t="shared" si="227"/>
        <v>0</v>
      </c>
      <c r="P2572"/>
    </row>
    <row r="2573" spans="2:16">
      <c r="B2573" s="187"/>
      <c r="N2573" s="489">
        <f t="shared" si="227"/>
        <v>0</v>
      </c>
      <c r="P2573"/>
    </row>
    <row r="2574" spans="2:16">
      <c r="B2574" s="187"/>
      <c r="N2574" s="489">
        <f t="shared" si="227"/>
        <v>0</v>
      </c>
      <c r="P2574"/>
    </row>
    <row r="2575" spans="2:16">
      <c r="B2575" s="187"/>
      <c r="N2575" s="489">
        <f t="shared" si="227"/>
        <v>0</v>
      </c>
      <c r="P2575"/>
    </row>
    <row r="2576" spans="2:16">
      <c r="B2576" s="187"/>
      <c r="N2576" s="489">
        <f t="shared" si="227"/>
        <v>0</v>
      </c>
      <c r="P2576"/>
    </row>
    <row r="2577" spans="2:16">
      <c r="B2577" s="187"/>
      <c r="N2577" s="489">
        <f t="shared" si="227"/>
        <v>0</v>
      </c>
      <c r="P2577"/>
    </row>
    <row r="2578" spans="2:16">
      <c r="B2578" s="187"/>
      <c r="N2578" s="489">
        <f t="shared" si="227"/>
        <v>0</v>
      </c>
      <c r="P2578"/>
    </row>
    <row r="2579" spans="2:16">
      <c r="N2579" s="489">
        <f t="shared" si="227"/>
        <v>0</v>
      </c>
      <c r="P2579"/>
    </row>
    <row r="2580" spans="2:16">
      <c r="N2580" s="489">
        <f t="shared" si="227"/>
        <v>0</v>
      </c>
      <c r="P2580"/>
    </row>
    <row r="2581" spans="2:16">
      <c r="N2581" s="489">
        <f t="shared" si="227"/>
        <v>0</v>
      </c>
      <c r="P2581"/>
    </row>
    <row r="2582" spans="2:16">
      <c r="N2582" s="489">
        <f t="shared" si="227"/>
        <v>0</v>
      </c>
      <c r="P2582"/>
    </row>
    <row r="2583" spans="2:16">
      <c r="N2583" s="489">
        <f t="shared" si="227"/>
        <v>0</v>
      </c>
      <c r="P2583"/>
    </row>
    <row r="2584" spans="2:16">
      <c r="N2584" s="489">
        <f t="shared" si="227"/>
        <v>0</v>
      </c>
      <c r="P2584"/>
    </row>
    <row r="2585" spans="2:16">
      <c r="N2585" s="489">
        <f t="shared" si="227"/>
        <v>0</v>
      </c>
      <c r="P2585"/>
    </row>
    <row r="2586" spans="2:16">
      <c r="N2586" s="489">
        <f t="shared" si="227"/>
        <v>0</v>
      </c>
      <c r="P2586"/>
    </row>
    <row r="2587" spans="2:16">
      <c r="N2587" s="489">
        <f t="shared" si="227"/>
        <v>0</v>
      </c>
      <c r="P2587"/>
    </row>
    <row r="2588" spans="2:16">
      <c r="N2588" s="489">
        <f t="shared" si="227"/>
        <v>0</v>
      </c>
      <c r="P2588"/>
    </row>
    <row r="2589" spans="2:16">
      <c r="N2589" s="489">
        <f t="shared" si="227"/>
        <v>0</v>
      </c>
      <c r="P2589"/>
    </row>
    <row r="2590" spans="2:16">
      <c r="N2590" s="489">
        <f t="shared" si="227"/>
        <v>0</v>
      </c>
      <c r="P2590"/>
    </row>
    <row r="2591" spans="2:16">
      <c r="N2591" s="489">
        <f t="shared" si="227"/>
        <v>0</v>
      </c>
      <c r="P2591"/>
    </row>
    <row r="2592" spans="2:16">
      <c r="N2592" s="489">
        <f t="shared" si="227"/>
        <v>0</v>
      </c>
      <c r="P2592"/>
    </row>
    <row r="2593" spans="2:16">
      <c r="B2593" s="187"/>
      <c r="N2593" s="489">
        <f t="shared" si="227"/>
        <v>0</v>
      </c>
      <c r="P2593"/>
    </row>
    <row r="2594" spans="2:16">
      <c r="B2594" s="187"/>
      <c r="N2594" s="489">
        <f t="shared" si="227"/>
        <v>0</v>
      </c>
      <c r="P2594"/>
    </row>
    <row r="2595" spans="2:16">
      <c r="B2595" s="187"/>
      <c r="N2595" s="489">
        <f t="shared" si="227"/>
        <v>0</v>
      </c>
      <c r="P2595"/>
    </row>
    <row r="2596" spans="2:16">
      <c r="B2596" s="187"/>
      <c r="N2596" s="489">
        <f t="shared" si="227"/>
        <v>0</v>
      </c>
      <c r="P2596"/>
    </row>
    <row r="2597" spans="2:16">
      <c r="B2597" s="187"/>
      <c r="N2597" s="489">
        <f t="shared" si="227"/>
        <v>0</v>
      </c>
      <c r="P2597"/>
    </row>
    <row r="2598" spans="2:16">
      <c r="B2598" s="187"/>
      <c r="N2598" s="489">
        <f t="shared" ref="N2598:N2661" si="228">SUM(K2598:M2598)</f>
        <v>0</v>
      </c>
      <c r="P2598"/>
    </row>
    <row r="2599" spans="2:16">
      <c r="B2599" s="187"/>
      <c r="N2599" s="489">
        <f t="shared" si="228"/>
        <v>0</v>
      </c>
      <c r="P2599"/>
    </row>
    <row r="2600" spans="2:16">
      <c r="B2600" s="187"/>
      <c r="N2600" s="489">
        <f t="shared" si="228"/>
        <v>0</v>
      </c>
      <c r="P2600"/>
    </row>
    <row r="2601" spans="2:16">
      <c r="B2601" s="187"/>
      <c r="N2601" s="489">
        <f t="shared" si="228"/>
        <v>0</v>
      </c>
      <c r="P2601"/>
    </row>
    <row r="2602" spans="2:16">
      <c r="B2602" s="187"/>
      <c r="N2602" s="489">
        <f t="shared" si="228"/>
        <v>0</v>
      </c>
      <c r="P2602"/>
    </row>
    <row r="2603" spans="2:16">
      <c r="B2603" s="187"/>
      <c r="N2603" s="489">
        <f t="shared" si="228"/>
        <v>0</v>
      </c>
      <c r="P2603"/>
    </row>
    <row r="2604" spans="2:16">
      <c r="B2604" s="187"/>
      <c r="N2604" s="489">
        <f t="shared" si="228"/>
        <v>0</v>
      </c>
      <c r="P2604"/>
    </row>
    <row r="2605" spans="2:16">
      <c r="B2605" s="187"/>
      <c r="N2605" s="489">
        <f t="shared" si="228"/>
        <v>0</v>
      </c>
      <c r="P2605"/>
    </row>
    <row r="2606" spans="2:16">
      <c r="B2606" s="187"/>
      <c r="N2606" s="489">
        <f t="shared" si="228"/>
        <v>0</v>
      </c>
      <c r="P2606"/>
    </row>
    <row r="2607" spans="2:16">
      <c r="B2607" s="187"/>
      <c r="N2607" s="489">
        <f t="shared" si="228"/>
        <v>0</v>
      </c>
      <c r="P2607"/>
    </row>
    <row r="2608" spans="2:16">
      <c r="B2608" s="187"/>
      <c r="N2608" s="489">
        <f t="shared" si="228"/>
        <v>0</v>
      </c>
      <c r="P2608"/>
    </row>
    <row r="2609" spans="2:16">
      <c r="B2609" s="187"/>
      <c r="N2609" s="489">
        <f t="shared" si="228"/>
        <v>0</v>
      </c>
      <c r="P2609"/>
    </row>
    <row r="2610" spans="2:16">
      <c r="B2610" s="187"/>
      <c r="N2610" s="489">
        <f t="shared" si="228"/>
        <v>0</v>
      </c>
      <c r="P2610"/>
    </row>
    <row r="2611" spans="2:16">
      <c r="B2611" s="187"/>
      <c r="N2611" s="489">
        <f t="shared" si="228"/>
        <v>0</v>
      </c>
      <c r="P2611"/>
    </row>
    <row r="2612" spans="2:16">
      <c r="B2612" s="187"/>
      <c r="N2612" s="489">
        <f t="shared" si="228"/>
        <v>0</v>
      </c>
      <c r="P2612"/>
    </row>
    <row r="2613" spans="2:16">
      <c r="B2613" s="187"/>
      <c r="N2613" s="489">
        <f t="shared" si="228"/>
        <v>0</v>
      </c>
      <c r="P2613"/>
    </row>
    <row r="2614" spans="2:16">
      <c r="B2614" s="187"/>
      <c r="N2614" s="489">
        <f t="shared" si="228"/>
        <v>0</v>
      </c>
      <c r="P2614"/>
    </row>
    <row r="2615" spans="2:16">
      <c r="B2615" s="187"/>
      <c r="N2615" s="489">
        <f t="shared" si="228"/>
        <v>0</v>
      </c>
      <c r="P2615"/>
    </row>
    <row r="2616" spans="2:16">
      <c r="B2616" s="187"/>
      <c r="N2616" s="489">
        <f t="shared" si="228"/>
        <v>0</v>
      </c>
      <c r="P2616"/>
    </row>
    <row r="2617" spans="2:16">
      <c r="B2617" s="187"/>
      <c r="N2617" s="489">
        <f t="shared" si="228"/>
        <v>0</v>
      </c>
      <c r="P2617"/>
    </row>
    <row r="2618" spans="2:16">
      <c r="B2618" s="187"/>
      <c r="N2618" s="489">
        <f t="shared" si="228"/>
        <v>0</v>
      </c>
      <c r="P2618"/>
    </row>
    <row r="2619" spans="2:16">
      <c r="B2619" s="187"/>
      <c r="N2619" s="489">
        <f t="shared" si="228"/>
        <v>0</v>
      </c>
      <c r="P2619"/>
    </row>
    <row r="2620" spans="2:16">
      <c r="B2620" s="187"/>
      <c r="N2620" s="489">
        <f t="shared" si="228"/>
        <v>0</v>
      </c>
      <c r="P2620"/>
    </row>
    <row r="2621" spans="2:16">
      <c r="B2621" s="187"/>
      <c r="N2621" s="489">
        <f t="shared" si="228"/>
        <v>0</v>
      </c>
      <c r="P2621"/>
    </row>
    <row r="2622" spans="2:16">
      <c r="B2622" s="187"/>
      <c r="N2622" s="489">
        <f t="shared" si="228"/>
        <v>0</v>
      </c>
      <c r="P2622"/>
    </row>
    <row r="2623" spans="2:16">
      <c r="B2623" s="187"/>
      <c r="N2623" s="489">
        <f t="shared" si="228"/>
        <v>0</v>
      </c>
      <c r="P2623"/>
    </row>
    <row r="2624" spans="2:16">
      <c r="B2624" s="187"/>
      <c r="N2624" s="489">
        <f t="shared" si="228"/>
        <v>0</v>
      </c>
      <c r="P2624"/>
    </row>
    <row r="2625" spans="2:16">
      <c r="B2625" s="187"/>
      <c r="N2625" s="489">
        <f t="shared" si="228"/>
        <v>0</v>
      </c>
      <c r="P2625"/>
    </row>
    <row r="2626" spans="2:16">
      <c r="B2626" s="187"/>
      <c r="N2626" s="489">
        <f t="shared" si="228"/>
        <v>0</v>
      </c>
      <c r="P2626"/>
    </row>
    <row r="2627" spans="2:16">
      <c r="B2627" s="187"/>
      <c r="N2627" s="489">
        <f t="shared" si="228"/>
        <v>0</v>
      </c>
      <c r="P2627"/>
    </row>
    <row r="2628" spans="2:16">
      <c r="B2628" s="187"/>
      <c r="N2628" s="489">
        <f t="shared" si="228"/>
        <v>0</v>
      </c>
      <c r="P2628"/>
    </row>
    <row r="2629" spans="2:16">
      <c r="B2629" s="187"/>
      <c r="N2629" s="489">
        <f t="shared" si="228"/>
        <v>0</v>
      </c>
      <c r="P2629"/>
    </row>
    <row r="2630" spans="2:16">
      <c r="B2630" s="187"/>
      <c r="N2630" s="489">
        <f t="shared" si="228"/>
        <v>0</v>
      </c>
      <c r="P2630"/>
    </row>
    <row r="2631" spans="2:16">
      <c r="B2631" s="187"/>
      <c r="N2631" s="489">
        <f t="shared" si="228"/>
        <v>0</v>
      </c>
      <c r="P2631"/>
    </row>
    <row r="2632" spans="2:16">
      <c r="B2632" s="187"/>
      <c r="N2632" s="489">
        <f t="shared" si="228"/>
        <v>0</v>
      </c>
      <c r="P2632"/>
    </row>
    <row r="2633" spans="2:16">
      <c r="B2633" s="187"/>
      <c r="N2633" s="489">
        <f t="shared" si="228"/>
        <v>0</v>
      </c>
      <c r="P2633"/>
    </row>
    <row r="2634" spans="2:16">
      <c r="B2634" s="187"/>
      <c r="N2634" s="489">
        <f t="shared" si="228"/>
        <v>0</v>
      </c>
      <c r="P2634"/>
    </row>
    <row r="2635" spans="2:16">
      <c r="B2635" s="187"/>
      <c r="N2635" s="489">
        <f t="shared" si="228"/>
        <v>0</v>
      </c>
      <c r="P2635"/>
    </row>
    <row r="2636" spans="2:16">
      <c r="B2636" s="187"/>
      <c r="N2636" s="489">
        <f t="shared" si="228"/>
        <v>0</v>
      </c>
      <c r="P2636"/>
    </row>
    <row r="2637" spans="2:16">
      <c r="B2637" s="187"/>
      <c r="N2637" s="489">
        <f t="shared" si="228"/>
        <v>0</v>
      </c>
      <c r="P2637"/>
    </row>
    <row r="2638" spans="2:16">
      <c r="B2638" s="187"/>
      <c r="N2638" s="489">
        <f t="shared" si="228"/>
        <v>0</v>
      </c>
      <c r="P2638"/>
    </row>
    <row r="2639" spans="2:16">
      <c r="B2639" s="187"/>
      <c r="N2639" s="489">
        <f t="shared" si="228"/>
        <v>0</v>
      </c>
      <c r="P2639"/>
    </row>
    <row r="2640" spans="2:16">
      <c r="B2640" s="187"/>
      <c r="N2640" s="489">
        <f t="shared" si="228"/>
        <v>0</v>
      </c>
      <c r="P2640"/>
    </row>
    <row r="2641" spans="2:16">
      <c r="B2641" s="187"/>
      <c r="N2641" s="489">
        <f t="shared" si="228"/>
        <v>0</v>
      </c>
      <c r="P2641"/>
    </row>
    <row r="2642" spans="2:16">
      <c r="B2642" s="187"/>
      <c r="N2642" s="489">
        <f t="shared" si="228"/>
        <v>0</v>
      </c>
      <c r="P2642"/>
    </row>
    <row r="2643" spans="2:16">
      <c r="B2643" s="187"/>
      <c r="N2643" s="489">
        <f t="shared" si="228"/>
        <v>0</v>
      </c>
      <c r="P2643"/>
    </row>
    <row r="2644" spans="2:16">
      <c r="B2644" s="187"/>
      <c r="N2644" s="489">
        <f t="shared" si="228"/>
        <v>0</v>
      </c>
      <c r="P2644"/>
    </row>
    <row r="2645" spans="2:16">
      <c r="B2645" s="187"/>
      <c r="N2645" s="489">
        <f t="shared" si="228"/>
        <v>0</v>
      </c>
      <c r="P2645"/>
    </row>
    <row r="2646" spans="2:16">
      <c r="B2646" s="187"/>
      <c r="N2646" s="489">
        <f t="shared" si="228"/>
        <v>0</v>
      </c>
      <c r="P2646"/>
    </row>
    <row r="2647" spans="2:16">
      <c r="B2647" s="187"/>
      <c r="N2647" s="489">
        <f t="shared" si="228"/>
        <v>0</v>
      </c>
      <c r="P2647"/>
    </row>
    <row r="2648" spans="2:16">
      <c r="B2648" s="187"/>
      <c r="N2648" s="489">
        <f t="shared" si="228"/>
        <v>0</v>
      </c>
      <c r="P2648"/>
    </row>
    <row r="2649" spans="2:16">
      <c r="B2649" s="187"/>
      <c r="N2649" s="489">
        <f t="shared" si="228"/>
        <v>0</v>
      </c>
      <c r="P2649"/>
    </row>
    <row r="2650" spans="2:16">
      <c r="B2650" s="187"/>
      <c r="N2650" s="489">
        <f t="shared" si="228"/>
        <v>0</v>
      </c>
      <c r="P2650"/>
    </row>
    <row r="2651" spans="2:16">
      <c r="B2651" s="187"/>
      <c r="N2651" s="489">
        <f t="shared" si="228"/>
        <v>0</v>
      </c>
      <c r="P2651"/>
    </row>
    <row r="2652" spans="2:16">
      <c r="B2652" s="187"/>
      <c r="N2652" s="489">
        <f t="shared" si="228"/>
        <v>0</v>
      </c>
      <c r="P2652"/>
    </row>
    <row r="2653" spans="2:16">
      <c r="B2653" s="187"/>
      <c r="N2653" s="489">
        <f t="shared" si="228"/>
        <v>0</v>
      </c>
      <c r="P2653"/>
    </row>
    <row r="2654" spans="2:16">
      <c r="B2654" s="187"/>
      <c r="N2654" s="489">
        <f t="shared" si="228"/>
        <v>0</v>
      </c>
      <c r="P2654"/>
    </row>
    <row r="2655" spans="2:16">
      <c r="B2655" s="187"/>
      <c r="N2655" s="489">
        <f t="shared" si="228"/>
        <v>0</v>
      </c>
      <c r="P2655"/>
    </row>
    <row r="2656" spans="2:16">
      <c r="B2656" s="187"/>
      <c r="N2656" s="489">
        <f t="shared" si="228"/>
        <v>0</v>
      </c>
      <c r="P2656"/>
    </row>
    <row r="2657" spans="2:16">
      <c r="B2657" s="187"/>
      <c r="N2657" s="489">
        <f t="shared" si="228"/>
        <v>0</v>
      </c>
      <c r="P2657"/>
    </row>
    <row r="2658" spans="2:16">
      <c r="B2658" s="187"/>
      <c r="N2658" s="489">
        <f t="shared" si="228"/>
        <v>0</v>
      </c>
      <c r="P2658"/>
    </row>
    <row r="2659" spans="2:16">
      <c r="B2659" s="187"/>
      <c r="N2659" s="489">
        <f t="shared" si="228"/>
        <v>0</v>
      </c>
      <c r="P2659"/>
    </row>
    <row r="2660" spans="2:16">
      <c r="B2660" s="187"/>
      <c r="N2660" s="489">
        <f t="shared" si="228"/>
        <v>0</v>
      </c>
      <c r="P2660"/>
    </row>
    <row r="2661" spans="2:16">
      <c r="B2661" s="187"/>
      <c r="N2661" s="489">
        <f t="shared" si="228"/>
        <v>0</v>
      </c>
      <c r="P2661"/>
    </row>
    <row r="2662" spans="2:16">
      <c r="B2662" s="187"/>
      <c r="N2662" s="489">
        <f t="shared" ref="N2662:N2717" si="229">SUM(K2662:M2662)</f>
        <v>0</v>
      </c>
      <c r="P2662"/>
    </row>
    <row r="2663" spans="2:16">
      <c r="B2663" s="187"/>
      <c r="N2663" s="489">
        <f t="shared" si="229"/>
        <v>0</v>
      </c>
      <c r="P2663"/>
    </row>
    <row r="2664" spans="2:16">
      <c r="B2664" s="187"/>
      <c r="N2664" s="489">
        <f t="shared" si="229"/>
        <v>0</v>
      </c>
      <c r="P2664"/>
    </row>
    <row r="2665" spans="2:16">
      <c r="B2665" s="187"/>
      <c r="N2665" s="489">
        <f t="shared" si="229"/>
        <v>0</v>
      </c>
      <c r="P2665"/>
    </row>
    <row r="2666" spans="2:16">
      <c r="B2666" s="187"/>
      <c r="N2666" s="489">
        <f t="shared" si="229"/>
        <v>0</v>
      </c>
      <c r="P2666"/>
    </row>
    <row r="2667" spans="2:16">
      <c r="B2667" s="187"/>
      <c r="N2667" s="489">
        <f t="shared" si="229"/>
        <v>0</v>
      </c>
      <c r="P2667"/>
    </row>
    <row r="2668" spans="2:16">
      <c r="B2668" s="187"/>
      <c r="N2668" s="489">
        <f t="shared" si="229"/>
        <v>0</v>
      </c>
      <c r="P2668"/>
    </row>
    <row r="2669" spans="2:16">
      <c r="B2669" s="187"/>
      <c r="N2669" s="489">
        <f t="shared" si="229"/>
        <v>0</v>
      </c>
      <c r="P2669"/>
    </row>
    <row r="2670" spans="2:16">
      <c r="B2670" s="187"/>
      <c r="N2670" s="489">
        <f t="shared" si="229"/>
        <v>0</v>
      </c>
      <c r="P2670"/>
    </row>
    <row r="2671" spans="2:16">
      <c r="B2671" s="187"/>
      <c r="N2671" s="489">
        <f t="shared" si="229"/>
        <v>0</v>
      </c>
      <c r="P2671"/>
    </row>
    <row r="2672" spans="2:16">
      <c r="B2672" s="187"/>
      <c r="N2672" s="489">
        <f t="shared" si="229"/>
        <v>0</v>
      </c>
      <c r="P2672"/>
    </row>
    <row r="2673" spans="2:16">
      <c r="B2673" s="187"/>
      <c r="N2673" s="489">
        <f t="shared" si="229"/>
        <v>0</v>
      </c>
      <c r="P2673"/>
    </row>
    <row r="2674" spans="2:16">
      <c r="B2674" s="187"/>
      <c r="N2674" s="489">
        <f t="shared" si="229"/>
        <v>0</v>
      </c>
      <c r="P2674"/>
    </row>
    <row r="2675" spans="2:16">
      <c r="B2675" s="187"/>
      <c r="N2675" s="489">
        <f t="shared" si="229"/>
        <v>0</v>
      </c>
      <c r="P2675"/>
    </row>
    <row r="2676" spans="2:16">
      <c r="B2676" s="187"/>
      <c r="N2676" s="489">
        <f t="shared" si="229"/>
        <v>0</v>
      </c>
      <c r="P2676"/>
    </row>
    <row r="2677" spans="2:16">
      <c r="B2677" s="187"/>
      <c r="N2677" s="489">
        <f t="shared" si="229"/>
        <v>0</v>
      </c>
      <c r="P2677"/>
    </row>
    <row r="2678" spans="2:16">
      <c r="B2678" s="187"/>
      <c r="N2678" s="489">
        <f t="shared" si="229"/>
        <v>0</v>
      </c>
      <c r="P2678"/>
    </row>
    <row r="2679" spans="2:16">
      <c r="B2679" s="187"/>
      <c r="N2679" s="489">
        <f t="shared" si="229"/>
        <v>0</v>
      </c>
      <c r="P2679"/>
    </row>
    <row r="2680" spans="2:16">
      <c r="B2680" s="187"/>
      <c r="N2680" s="489">
        <f t="shared" si="229"/>
        <v>0</v>
      </c>
      <c r="P2680"/>
    </row>
    <row r="2681" spans="2:16">
      <c r="B2681" s="187"/>
      <c r="N2681" s="489">
        <f t="shared" si="229"/>
        <v>0</v>
      </c>
      <c r="P2681"/>
    </row>
    <row r="2682" spans="2:16">
      <c r="B2682" s="187"/>
      <c r="N2682" s="489">
        <f t="shared" si="229"/>
        <v>0</v>
      </c>
      <c r="P2682"/>
    </row>
    <row r="2683" spans="2:16">
      <c r="B2683" s="187"/>
      <c r="N2683" s="489">
        <f t="shared" si="229"/>
        <v>0</v>
      </c>
      <c r="P2683"/>
    </row>
    <row r="2684" spans="2:16">
      <c r="B2684" s="187"/>
      <c r="N2684" s="489">
        <f t="shared" si="229"/>
        <v>0</v>
      </c>
      <c r="P2684"/>
    </row>
    <row r="2685" spans="2:16">
      <c r="B2685" s="187"/>
      <c r="N2685" s="489">
        <f t="shared" si="229"/>
        <v>0</v>
      </c>
      <c r="P2685"/>
    </row>
    <row r="2686" spans="2:16">
      <c r="B2686" s="187"/>
      <c r="N2686" s="489">
        <f t="shared" si="229"/>
        <v>0</v>
      </c>
      <c r="P2686"/>
    </row>
    <row r="2687" spans="2:16">
      <c r="B2687" s="187"/>
      <c r="N2687" s="489">
        <f t="shared" si="229"/>
        <v>0</v>
      </c>
      <c r="P2687"/>
    </row>
    <row r="2688" spans="2:16">
      <c r="B2688" s="187"/>
      <c r="N2688" s="489">
        <f t="shared" si="229"/>
        <v>0</v>
      </c>
      <c r="P2688"/>
    </row>
    <row r="2689" spans="2:16">
      <c r="B2689" s="187"/>
      <c r="N2689" s="489">
        <f t="shared" si="229"/>
        <v>0</v>
      </c>
      <c r="P2689"/>
    </row>
    <row r="2690" spans="2:16">
      <c r="B2690" s="187"/>
      <c r="N2690" s="489">
        <f t="shared" si="229"/>
        <v>0</v>
      </c>
      <c r="P2690"/>
    </row>
    <row r="2691" spans="2:16">
      <c r="B2691" s="187"/>
      <c r="N2691" s="489">
        <f t="shared" si="229"/>
        <v>0</v>
      </c>
      <c r="P2691"/>
    </row>
    <row r="2692" spans="2:16">
      <c r="B2692" s="187"/>
      <c r="N2692" s="489">
        <f t="shared" si="229"/>
        <v>0</v>
      </c>
      <c r="P2692"/>
    </row>
    <row r="2693" spans="2:16">
      <c r="B2693" s="187"/>
      <c r="N2693" s="489">
        <f t="shared" si="229"/>
        <v>0</v>
      </c>
      <c r="P2693"/>
    </row>
    <row r="2694" spans="2:16">
      <c r="B2694" s="187"/>
      <c r="N2694" s="489">
        <f t="shared" si="229"/>
        <v>0</v>
      </c>
      <c r="P2694"/>
    </row>
    <row r="2695" spans="2:16">
      <c r="B2695" s="187"/>
      <c r="N2695" s="489">
        <f t="shared" si="229"/>
        <v>0</v>
      </c>
      <c r="P2695"/>
    </row>
    <row r="2696" spans="2:16">
      <c r="B2696" s="187"/>
      <c r="N2696" s="489">
        <f t="shared" si="229"/>
        <v>0</v>
      </c>
      <c r="P2696"/>
    </row>
    <row r="2697" spans="2:16">
      <c r="B2697" s="187"/>
      <c r="N2697" s="489">
        <f t="shared" si="229"/>
        <v>0</v>
      </c>
      <c r="P2697"/>
    </row>
    <row r="2698" spans="2:16">
      <c r="B2698" s="187"/>
      <c r="N2698" s="489">
        <f t="shared" si="229"/>
        <v>0</v>
      </c>
      <c r="P2698"/>
    </row>
    <row r="2699" spans="2:16">
      <c r="B2699" s="187"/>
      <c r="N2699" s="489">
        <f t="shared" si="229"/>
        <v>0</v>
      </c>
      <c r="P2699"/>
    </row>
    <row r="2700" spans="2:16">
      <c r="B2700" s="187"/>
      <c r="N2700" s="489">
        <f t="shared" si="229"/>
        <v>0</v>
      </c>
      <c r="P2700"/>
    </row>
    <row r="2701" spans="2:16">
      <c r="B2701" s="187"/>
      <c r="N2701" s="489">
        <f t="shared" si="229"/>
        <v>0</v>
      </c>
      <c r="P2701"/>
    </row>
    <row r="2702" spans="2:16">
      <c r="B2702" s="187"/>
      <c r="N2702" s="489">
        <f t="shared" si="229"/>
        <v>0</v>
      </c>
      <c r="P2702"/>
    </row>
    <row r="2703" spans="2:16">
      <c r="B2703" s="187"/>
      <c r="N2703" s="489">
        <f t="shared" si="229"/>
        <v>0</v>
      </c>
      <c r="P2703"/>
    </row>
    <row r="2704" spans="2:16">
      <c r="B2704" s="187"/>
      <c r="N2704" s="489">
        <f t="shared" si="229"/>
        <v>0</v>
      </c>
      <c r="P2704"/>
    </row>
    <row r="2705" spans="2:16">
      <c r="B2705" s="187"/>
      <c r="N2705" s="489">
        <f t="shared" si="229"/>
        <v>0</v>
      </c>
      <c r="P2705"/>
    </row>
    <row r="2706" spans="2:16">
      <c r="B2706" s="187"/>
      <c r="N2706" s="489">
        <f t="shared" si="229"/>
        <v>0</v>
      </c>
      <c r="P2706"/>
    </row>
    <row r="2707" spans="2:16">
      <c r="B2707" s="187"/>
      <c r="N2707" s="489">
        <f t="shared" si="229"/>
        <v>0</v>
      </c>
      <c r="P2707"/>
    </row>
    <row r="2708" spans="2:16">
      <c r="B2708" s="187"/>
      <c r="N2708" s="489">
        <f t="shared" si="229"/>
        <v>0</v>
      </c>
      <c r="P2708"/>
    </row>
    <row r="2709" spans="2:16">
      <c r="B2709" s="187"/>
      <c r="N2709" s="489">
        <f t="shared" si="229"/>
        <v>0</v>
      </c>
      <c r="P2709"/>
    </row>
    <row r="2710" spans="2:16">
      <c r="B2710" s="187"/>
      <c r="N2710" s="489">
        <f t="shared" si="229"/>
        <v>0</v>
      </c>
      <c r="P2710"/>
    </row>
    <row r="2711" spans="2:16">
      <c r="B2711" s="187"/>
      <c r="N2711" s="489">
        <f t="shared" si="229"/>
        <v>0</v>
      </c>
      <c r="P2711"/>
    </row>
    <row r="2712" spans="2:16">
      <c r="B2712" s="187"/>
      <c r="N2712" s="489">
        <f t="shared" si="229"/>
        <v>0</v>
      </c>
      <c r="P2712"/>
    </row>
    <row r="2713" spans="2:16">
      <c r="N2713" s="489">
        <f t="shared" si="229"/>
        <v>0</v>
      </c>
      <c r="P2713"/>
    </row>
    <row r="2714" spans="2:16">
      <c r="N2714" s="489">
        <f t="shared" si="229"/>
        <v>0</v>
      </c>
      <c r="P2714"/>
    </row>
    <row r="2715" spans="2:16">
      <c r="B2715" s="187"/>
      <c r="N2715" s="489">
        <f t="shared" si="229"/>
        <v>0</v>
      </c>
      <c r="P2715"/>
    </row>
    <row r="2716" spans="2:16">
      <c r="B2716" s="187"/>
      <c r="N2716" s="489">
        <f t="shared" si="229"/>
        <v>0</v>
      </c>
      <c r="P2716"/>
    </row>
    <row r="2717" spans="2:16">
      <c r="B2717" s="187"/>
      <c r="N2717" s="489">
        <f t="shared" si="229"/>
        <v>0</v>
      </c>
      <c r="P2717"/>
    </row>
    <row r="2718" spans="2:16">
      <c r="B2718" s="187"/>
      <c r="E2718" s="76">
        <v>0</v>
      </c>
      <c r="G2718" s="76">
        <v>0</v>
      </c>
      <c r="H2718" s="533">
        <v>0</v>
      </c>
      <c r="J2718" s="533">
        <v>0</v>
      </c>
      <c r="K2718" s="76">
        <v>0</v>
      </c>
      <c r="L2718" s="76">
        <v>0</v>
      </c>
      <c r="M2718" s="76">
        <v>0</v>
      </c>
      <c r="N2718" s="76">
        <v>0</v>
      </c>
      <c r="P2718"/>
    </row>
    <row r="2719" spans="2:16">
      <c r="B2719" s="187"/>
      <c r="P2719"/>
    </row>
    <row r="2720" spans="2:16">
      <c r="B2720" s="187"/>
      <c r="P2720"/>
    </row>
    <row r="2721" spans="2:16">
      <c r="B2721" s="187"/>
      <c r="P2721"/>
    </row>
    <row r="2722" spans="2:16">
      <c r="B2722" s="187"/>
      <c r="P2722"/>
    </row>
    <row r="2723" spans="2:16">
      <c r="B2723" s="187"/>
      <c r="P2723"/>
    </row>
    <row r="2724" spans="2:16">
      <c r="B2724" s="187"/>
      <c r="P2724"/>
    </row>
    <row r="2725" spans="2:16">
      <c r="B2725" s="187"/>
      <c r="P2725"/>
    </row>
    <row r="2726" spans="2:16">
      <c r="B2726" s="187"/>
      <c r="E2726"/>
      <c r="P2726"/>
    </row>
    <row r="2727" spans="2:16">
      <c r="B2727" s="187"/>
      <c r="E2727"/>
      <c r="P2727"/>
    </row>
    <row r="2728" spans="2:16">
      <c r="B2728" s="187"/>
      <c r="E2728"/>
      <c r="P2728"/>
    </row>
    <row r="2729" spans="2:16">
      <c r="B2729" s="187"/>
      <c r="E2729"/>
      <c r="P2729"/>
    </row>
    <row r="2730" spans="2:16">
      <c r="B2730" s="187"/>
      <c r="E2730"/>
      <c r="P2730"/>
    </row>
    <row r="2731" spans="2:16">
      <c r="B2731" s="187"/>
      <c r="E2731"/>
      <c r="P2731"/>
    </row>
    <row r="2732" spans="2:16">
      <c r="B2732" s="187"/>
      <c r="E2732"/>
      <c r="P2732"/>
    </row>
    <row r="2733" spans="2:16">
      <c r="B2733" s="187"/>
      <c r="E2733"/>
      <c r="P2733"/>
    </row>
    <row r="2734" spans="2:16">
      <c r="B2734" s="187"/>
      <c r="E2734"/>
      <c r="P2734"/>
    </row>
    <row r="2735" spans="2:16">
      <c r="B2735" s="187"/>
      <c r="E2735"/>
      <c r="P2735"/>
    </row>
    <row r="2736" spans="2:16">
      <c r="B2736" s="187"/>
      <c r="E2736"/>
      <c r="P2736"/>
    </row>
    <row r="2737" spans="2:16">
      <c r="B2737" s="187"/>
      <c r="E2737"/>
      <c r="P2737"/>
    </row>
    <row r="2738" spans="2:16">
      <c r="B2738" s="187"/>
      <c r="E2738"/>
      <c r="P2738"/>
    </row>
    <row r="2739" spans="2:16">
      <c r="B2739" s="187"/>
      <c r="E2739"/>
      <c r="P2739"/>
    </row>
    <row r="2740" spans="2:16">
      <c r="B2740" s="187"/>
      <c r="E2740"/>
      <c r="P2740"/>
    </row>
    <row r="2741" spans="2:16">
      <c r="B2741" s="187"/>
      <c r="E2741"/>
      <c r="P2741"/>
    </row>
    <row r="2742" spans="2:16">
      <c r="B2742" s="187"/>
      <c r="E2742"/>
      <c r="P2742"/>
    </row>
    <row r="2743" spans="2:16">
      <c r="B2743" s="187"/>
      <c r="E2743"/>
      <c r="P2743"/>
    </row>
    <row r="2744" spans="2:16">
      <c r="B2744" s="187"/>
      <c r="E2744"/>
      <c r="P2744"/>
    </row>
    <row r="2745" spans="2:16">
      <c r="B2745" s="187"/>
      <c r="E2745"/>
      <c r="P2745"/>
    </row>
    <row r="2746" spans="2:16">
      <c r="B2746" s="187"/>
      <c r="E2746"/>
      <c r="P2746"/>
    </row>
    <row r="2747" spans="2:16">
      <c r="B2747" s="187"/>
      <c r="E2747"/>
      <c r="P2747"/>
    </row>
    <row r="2748" spans="2:16">
      <c r="B2748" s="187"/>
      <c r="E2748"/>
      <c r="P2748"/>
    </row>
    <row r="2749" spans="2:16">
      <c r="B2749" s="187"/>
      <c r="E2749"/>
      <c r="P2749"/>
    </row>
    <row r="2750" spans="2:16">
      <c r="B2750" s="187"/>
      <c r="E2750"/>
      <c r="P2750"/>
    </row>
    <row r="2751" spans="2:16">
      <c r="B2751" s="187"/>
      <c r="E2751"/>
      <c r="P2751"/>
    </row>
    <row r="2752" spans="2:16">
      <c r="B2752" s="187"/>
      <c r="E2752"/>
      <c r="P2752"/>
    </row>
    <row r="2753" spans="2:16">
      <c r="B2753" s="187"/>
      <c r="E2753"/>
      <c r="P2753"/>
    </row>
    <row r="2754" spans="2:16">
      <c r="B2754" s="187"/>
      <c r="E2754"/>
      <c r="P2754"/>
    </row>
    <row r="2755" spans="2:16">
      <c r="B2755" s="187"/>
      <c r="E2755"/>
      <c r="P2755"/>
    </row>
    <row r="2756" spans="2:16">
      <c r="B2756" s="187"/>
      <c r="E2756"/>
      <c r="P2756"/>
    </row>
    <row r="2757" spans="2:16">
      <c r="B2757" s="187"/>
      <c r="E2757"/>
      <c r="P2757"/>
    </row>
    <row r="2758" spans="2:16">
      <c r="B2758" s="187"/>
      <c r="E2758"/>
      <c r="P2758"/>
    </row>
    <row r="2759" spans="2:16">
      <c r="B2759" s="187"/>
      <c r="E2759"/>
      <c r="P2759"/>
    </row>
    <row r="2760" spans="2:16">
      <c r="B2760" s="187"/>
      <c r="E2760"/>
      <c r="P2760"/>
    </row>
    <row r="2761" spans="2:16">
      <c r="B2761" s="187"/>
      <c r="E2761"/>
      <c r="P2761"/>
    </row>
    <row r="2762" spans="2:16">
      <c r="B2762" s="187"/>
      <c r="E2762"/>
      <c r="P2762"/>
    </row>
    <row r="2763" spans="2:16">
      <c r="B2763" s="187"/>
      <c r="E2763"/>
      <c r="P2763"/>
    </row>
    <row r="2764" spans="2:16">
      <c r="B2764" s="187"/>
      <c r="E2764"/>
      <c r="P2764"/>
    </row>
    <row r="2765" spans="2:16">
      <c r="B2765" s="187"/>
      <c r="E2765"/>
      <c r="P2765"/>
    </row>
    <row r="2766" spans="2:16">
      <c r="B2766" s="187"/>
      <c r="E2766"/>
      <c r="P2766"/>
    </row>
    <row r="2767" spans="2:16">
      <c r="B2767" s="187"/>
      <c r="E2767"/>
      <c r="P2767"/>
    </row>
    <row r="2768" spans="2:16">
      <c r="B2768" s="187"/>
      <c r="E2768"/>
      <c r="P2768"/>
    </row>
    <row r="2769" spans="2:16">
      <c r="B2769" s="187"/>
      <c r="E2769"/>
      <c r="P2769"/>
    </row>
    <row r="2770" spans="2:16">
      <c r="B2770" s="187"/>
      <c r="E2770"/>
      <c r="P2770"/>
    </row>
    <row r="2771" spans="2:16">
      <c r="B2771" s="187"/>
      <c r="E2771"/>
      <c r="P2771"/>
    </row>
    <row r="2772" spans="2:16">
      <c r="B2772" s="187"/>
      <c r="E2772"/>
      <c r="P2772"/>
    </row>
    <row r="2773" spans="2:16">
      <c r="B2773" s="187"/>
      <c r="E2773"/>
      <c r="P2773"/>
    </row>
    <row r="2774" spans="2:16">
      <c r="B2774" s="187"/>
      <c r="E2774"/>
      <c r="P2774"/>
    </row>
    <row r="2775" spans="2:16">
      <c r="B2775" s="187"/>
      <c r="E2775"/>
      <c r="P2775"/>
    </row>
    <row r="2776" spans="2:16">
      <c r="B2776" s="187"/>
      <c r="E2776"/>
      <c r="P2776"/>
    </row>
    <row r="2777" spans="2:16">
      <c r="B2777" s="187"/>
      <c r="E2777"/>
      <c r="P2777"/>
    </row>
    <row r="2778" spans="2:16">
      <c r="B2778" s="187"/>
      <c r="E2778"/>
      <c r="P2778"/>
    </row>
    <row r="2779" spans="2:16">
      <c r="B2779" s="187"/>
      <c r="E2779"/>
      <c r="P2779"/>
    </row>
    <row r="2780" spans="2:16">
      <c r="B2780" s="187"/>
      <c r="E2780"/>
      <c r="P2780"/>
    </row>
    <row r="2781" spans="2:16">
      <c r="B2781" s="187"/>
      <c r="E2781"/>
      <c r="P2781"/>
    </row>
    <row r="2782" spans="2:16">
      <c r="B2782" s="187"/>
      <c r="E2782"/>
      <c r="P2782"/>
    </row>
    <row r="2783" spans="2:16">
      <c r="B2783" s="187"/>
      <c r="E2783"/>
      <c r="P2783"/>
    </row>
    <row r="2784" spans="2:16">
      <c r="B2784" s="187"/>
      <c r="E2784"/>
      <c r="P2784"/>
    </row>
    <row r="2785" spans="2:16">
      <c r="B2785" s="187"/>
      <c r="E2785"/>
      <c r="P2785"/>
    </row>
    <row r="2786" spans="2:16">
      <c r="B2786" s="187"/>
      <c r="E2786"/>
      <c r="P2786"/>
    </row>
    <row r="2787" spans="2:16">
      <c r="B2787" s="187"/>
      <c r="E2787"/>
      <c r="P2787"/>
    </row>
    <row r="2788" spans="2:16">
      <c r="B2788" s="187"/>
      <c r="E2788"/>
      <c r="P2788"/>
    </row>
    <row r="2789" spans="2:16">
      <c r="B2789" s="187"/>
      <c r="E2789"/>
      <c r="P2789"/>
    </row>
    <row r="2790" spans="2:16">
      <c r="B2790" s="187"/>
      <c r="E2790"/>
      <c r="P2790"/>
    </row>
    <row r="2791" spans="2:16">
      <c r="B2791" s="187"/>
      <c r="E2791"/>
      <c r="P2791"/>
    </row>
    <row r="2792" spans="2:16">
      <c r="B2792" s="187"/>
      <c r="E2792"/>
      <c r="P2792"/>
    </row>
    <row r="2793" spans="2:16">
      <c r="B2793" s="187"/>
      <c r="E2793"/>
      <c r="P2793"/>
    </row>
    <row r="2794" spans="2:16">
      <c r="B2794" s="187"/>
      <c r="E2794"/>
      <c r="P2794"/>
    </row>
    <row r="2795" spans="2:16">
      <c r="B2795" s="187"/>
      <c r="E2795"/>
      <c r="P2795"/>
    </row>
    <row r="2796" spans="2:16">
      <c r="B2796" s="187"/>
      <c r="E2796"/>
      <c r="P2796"/>
    </row>
    <row r="2797" spans="2:16">
      <c r="B2797" s="187"/>
      <c r="E2797"/>
      <c r="P2797"/>
    </row>
    <row r="2798" spans="2:16">
      <c r="B2798" s="187"/>
      <c r="E2798"/>
      <c r="P2798"/>
    </row>
    <row r="2799" spans="2:16">
      <c r="B2799" s="187"/>
      <c r="E2799"/>
      <c r="P2799"/>
    </row>
    <row r="2800" spans="2:16">
      <c r="B2800" s="187"/>
      <c r="E2800"/>
      <c r="P2800"/>
    </row>
    <row r="2801" spans="2:16">
      <c r="B2801" s="187"/>
      <c r="E2801"/>
      <c r="P2801"/>
    </row>
    <row r="2802" spans="2:16">
      <c r="B2802" s="187"/>
      <c r="E2802"/>
      <c r="P2802"/>
    </row>
    <row r="2803" spans="2:16">
      <c r="B2803" s="187"/>
      <c r="E2803"/>
      <c r="P2803"/>
    </row>
    <row r="2804" spans="2:16">
      <c r="B2804" s="187"/>
      <c r="E2804"/>
      <c r="P2804"/>
    </row>
    <row r="2805" spans="2:16">
      <c r="B2805" s="187"/>
      <c r="E2805"/>
      <c r="P2805"/>
    </row>
    <row r="2806" spans="2:16">
      <c r="B2806" s="187"/>
      <c r="E2806"/>
      <c r="P2806"/>
    </row>
    <row r="2807" spans="2:16">
      <c r="B2807" s="187"/>
      <c r="E2807"/>
      <c r="P2807"/>
    </row>
    <row r="2808" spans="2:16">
      <c r="B2808" s="187"/>
      <c r="E2808"/>
      <c r="P2808"/>
    </row>
    <row r="2809" spans="2:16">
      <c r="B2809" s="187"/>
      <c r="E2809"/>
      <c r="P2809"/>
    </row>
    <row r="2810" spans="2:16">
      <c r="B2810" s="187"/>
      <c r="E2810"/>
      <c r="P2810"/>
    </row>
    <row r="2811" spans="2:16">
      <c r="B2811" s="187"/>
      <c r="E2811"/>
      <c r="P2811"/>
    </row>
    <row r="2812" spans="2:16">
      <c r="B2812" s="187"/>
      <c r="E2812"/>
      <c r="P2812"/>
    </row>
    <row r="2813" spans="2:16">
      <c r="B2813" s="187"/>
      <c r="E2813"/>
      <c r="P2813"/>
    </row>
    <row r="2814" spans="2:16">
      <c r="B2814" s="187"/>
      <c r="E2814"/>
      <c r="P2814"/>
    </row>
    <row r="2815" spans="2:16">
      <c r="B2815" s="187"/>
      <c r="E2815"/>
      <c r="P2815"/>
    </row>
    <row r="2816" spans="2:16">
      <c r="B2816" s="187"/>
      <c r="E2816"/>
      <c r="P2816"/>
    </row>
    <row r="2817" spans="2:16">
      <c r="B2817" s="187"/>
      <c r="E2817"/>
      <c r="P2817"/>
    </row>
    <row r="2818" spans="2:16">
      <c r="B2818" s="187"/>
      <c r="E2818"/>
      <c r="P2818"/>
    </row>
    <row r="2819" spans="2:16">
      <c r="B2819" s="187"/>
      <c r="E2819"/>
      <c r="P2819"/>
    </row>
    <row r="2820" spans="2:16">
      <c r="B2820" s="187"/>
      <c r="E2820"/>
      <c r="P2820"/>
    </row>
    <row r="2821" spans="2:16">
      <c r="B2821" s="187"/>
      <c r="E2821"/>
      <c r="P2821"/>
    </row>
    <row r="2822" spans="2:16">
      <c r="B2822" s="187"/>
      <c r="E2822"/>
      <c r="P2822"/>
    </row>
    <row r="2823" spans="2:16">
      <c r="B2823" s="187"/>
      <c r="E2823"/>
      <c r="P2823"/>
    </row>
    <row r="2824" spans="2:16">
      <c r="B2824" s="187"/>
      <c r="E2824"/>
      <c r="P2824"/>
    </row>
    <row r="2825" spans="2:16">
      <c r="B2825" s="187"/>
      <c r="E2825"/>
      <c r="P2825"/>
    </row>
    <row r="2826" spans="2:16">
      <c r="B2826" s="187"/>
      <c r="E2826"/>
      <c r="P2826"/>
    </row>
    <row r="2827" spans="2:16">
      <c r="B2827" s="187"/>
      <c r="E2827"/>
      <c r="P2827"/>
    </row>
    <row r="2828" spans="2:16">
      <c r="B2828" s="187"/>
      <c r="E2828"/>
      <c r="P2828"/>
    </row>
    <row r="2829" spans="2:16">
      <c r="B2829" s="187"/>
      <c r="E2829"/>
      <c r="P2829"/>
    </row>
    <row r="2830" spans="2:16">
      <c r="B2830" s="187"/>
      <c r="E2830"/>
      <c r="P2830"/>
    </row>
    <row r="2831" spans="2:16">
      <c r="B2831" s="187"/>
      <c r="E2831"/>
      <c r="P2831"/>
    </row>
    <row r="2832" spans="2:16">
      <c r="B2832" s="187"/>
      <c r="E2832"/>
      <c r="P2832"/>
    </row>
    <row r="2833" spans="2:16">
      <c r="B2833" s="187"/>
      <c r="E2833"/>
      <c r="P2833"/>
    </row>
    <row r="2834" spans="2:16">
      <c r="B2834" s="187"/>
      <c r="E2834"/>
      <c r="P2834"/>
    </row>
    <row r="2835" spans="2:16">
      <c r="B2835" s="187"/>
      <c r="E2835"/>
      <c r="P2835"/>
    </row>
    <row r="2836" spans="2:16">
      <c r="B2836" s="187"/>
      <c r="E2836"/>
      <c r="P2836"/>
    </row>
    <row r="2837" spans="2:16">
      <c r="B2837" s="187"/>
      <c r="E2837"/>
      <c r="P2837"/>
    </row>
    <row r="2838" spans="2:16">
      <c r="B2838" s="187"/>
      <c r="E2838"/>
      <c r="P2838"/>
    </row>
    <row r="2839" spans="2:16">
      <c r="B2839" s="187"/>
      <c r="E2839"/>
      <c r="P2839"/>
    </row>
    <row r="2840" spans="2:16">
      <c r="B2840" s="187"/>
      <c r="E2840"/>
      <c r="P2840"/>
    </row>
    <row r="2841" spans="2:16">
      <c r="B2841" s="187"/>
      <c r="E2841"/>
      <c r="P2841"/>
    </row>
    <row r="2842" spans="2:16">
      <c r="B2842" s="187"/>
      <c r="E2842"/>
      <c r="P2842"/>
    </row>
    <row r="2843" spans="2:16">
      <c r="B2843" s="187"/>
      <c r="E2843"/>
      <c r="P2843"/>
    </row>
    <row r="2844" spans="2:16">
      <c r="B2844" s="187"/>
      <c r="E2844"/>
      <c r="P2844"/>
    </row>
    <row r="2845" spans="2:16">
      <c r="B2845" s="187"/>
      <c r="E2845"/>
      <c r="P2845"/>
    </row>
    <row r="2846" spans="2:16">
      <c r="B2846" s="187"/>
      <c r="E2846"/>
      <c r="P2846"/>
    </row>
    <row r="2847" spans="2:16">
      <c r="B2847" s="187"/>
      <c r="E2847"/>
      <c r="P2847"/>
    </row>
    <row r="2848" spans="2:16">
      <c r="B2848" s="187"/>
      <c r="E2848"/>
      <c r="P2848"/>
    </row>
    <row r="2849" spans="2:16">
      <c r="B2849" s="187"/>
      <c r="E2849"/>
      <c r="P2849"/>
    </row>
    <row r="2850" spans="2:16">
      <c r="B2850" s="187"/>
      <c r="E2850"/>
      <c r="P2850"/>
    </row>
    <row r="2851" spans="2:16">
      <c r="B2851" s="187"/>
      <c r="E2851"/>
      <c r="P2851"/>
    </row>
    <row r="2852" spans="2:16">
      <c r="B2852" s="187"/>
      <c r="E2852"/>
      <c r="P2852"/>
    </row>
    <row r="2853" spans="2:16">
      <c r="B2853" s="187"/>
      <c r="E2853"/>
      <c r="P2853"/>
    </row>
    <row r="2854" spans="2:16">
      <c r="B2854" s="187"/>
      <c r="E2854"/>
      <c r="P2854"/>
    </row>
    <row r="2855" spans="2:16">
      <c r="B2855" s="187"/>
      <c r="E2855"/>
      <c r="P2855"/>
    </row>
    <row r="2856" spans="2:16">
      <c r="B2856" s="187"/>
      <c r="E2856"/>
      <c r="P2856"/>
    </row>
    <row r="2857" spans="2:16">
      <c r="B2857" s="187"/>
      <c r="E2857"/>
      <c r="P2857"/>
    </row>
    <row r="2858" spans="2:16">
      <c r="B2858" s="187"/>
      <c r="E2858"/>
      <c r="P2858"/>
    </row>
    <row r="2859" spans="2:16">
      <c r="B2859" s="187"/>
      <c r="E2859"/>
      <c r="P2859"/>
    </row>
    <row r="2860" spans="2:16">
      <c r="B2860" s="187"/>
      <c r="E2860"/>
      <c r="P2860"/>
    </row>
    <row r="2861" spans="2:16">
      <c r="B2861" s="187"/>
      <c r="E2861"/>
      <c r="P2861"/>
    </row>
    <row r="2862" spans="2:16">
      <c r="B2862" s="187"/>
      <c r="E2862"/>
      <c r="P2862"/>
    </row>
    <row r="2863" spans="2:16">
      <c r="B2863" s="187"/>
      <c r="E2863"/>
      <c r="P2863"/>
    </row>
    <row r="2864" spans="2:16">
      <c r="B2864" s="187"/>
      <c r="E2864"/>
      <c r="P2864"/>
    </row>
    <row r="2865" spans="2:16">
      <c r="B2865" s="187"/>
      <c r="E2865"/>
      <c r="P2865"/>
    </row>
    <row r="2866" spans="2:16">
      <c r="B2866" s="187"/>
      <c r="E2866"/>
      <c r="P2866"/>
    </row>
    <row r="2867" spans="2:16">
      <c r="B2867" s="187"/>
      <c r="E2867"/>
      <c r="P2867"/>
    </row>
    <row r="2868" spans="2:16">
      <c r="B2868" s="187"/>
      <c r="E2868"/>
      <c r="P2868"/>
    </row>
    <row r="2869" spans="2:16">
      <c r="B2869" s="187"/>
      <c r="E2869"/>
      <c r="P2869"/>
    </row>
    <row r="2870" spans="2:16">
      <c r="B2870" s="187"/>
      <c r="E2870"/>
      <c r="P2870"/>
    </row>
    <row r="2871" spans="2:16">
      <c r="B2871" s="187"/>
      <c r="E2871"/>
      <c r="P2871"/>
    </row>
    <row r="2872" spans="2:16">
      <c r="B2872" s="187"/>
      <c r="E2872"/>
      <c r="P2872"/>
    </row>
    <row r="2873" spans="2:16">
      <c r="B2873" s="187"/>
      <c r="E2873"/>
      <c r="P2873"/>
    </row>
    <row r="2874" spans="2:16">
      <c r="B2874" s="187"/>
      <c r="E2874"/>
      <c r="P2874"/>
    </row>
    <row r="2875" spans="2:16">
      <c r="B2875" s="187"/>
      <c r="E2875"/>
      <c r="P2875"/>
    </row>
    <row r="2876" spans="2:16">
      <c r="B2876" s="187"/>
      <c r="E2876"/>
      <c r="P2876"/>
    </row>
    <row r="2877" spans="2:16">
      <c r="B2877" s="187"/>
      <c r="E2877"/>
      <c r="P2877"/>
    </row>
    <row r="2878" spans="2:16">
      <c r="B2878" s="187"/>
      <c r="E2878"/>
      <c r="P2878"/>
    </row>
    <row r="2879" spans="2:16">
      <c r="B2879" s="187"/>
      <c r="E2879"/>
      <c r="P2879"/>
    </row>
    <row r="2880" spans="2:16">
      <c r="B2880" s="187"/>
      <c r="E2880"/>
      <c r="P2880"/>
    </row>
    <row r="2881" spans="2:16">
      <c r="B2881" s="187"/>
      <c r="E2881"/>
      <c r="P2881"/>
    </row>
    <row r="2882" spans="2:16">
      <c r="B2882" s="187"/>
      <c r="E2882"/>
      <c r="P2882"/>
    </row>
    <row r="2883" spans="2:16">
      <c r="B2883" s="187"/>
      <c r="E2883"/>
      <c r="P2883"/>
    </row>
    <row r="2884" spans="2:16">
      <c r="B2884" s="187"/>
      <c r="E2884"/>
      <c r="P2884"/>
    </row>
    <row r="2885" spans="2:16">
      <c r="B2885" s="187"/>
      <c r="E2885"/>
      <c r="P2885"/>
    </row>
    <row r="2886" spans="2:16">
      <c r="B2886" s="187"/>
      <c r="E2886"/>
      <c r="P2886"/>
    </row>
    <row r="2887" spans="2:16">
      <c r="B2887" s="187"/>
      <c r="E2887"/>
      <c r="P2887"/>
    </row>
    <row r="2888" spans="2:16">
      <c r="B2888" s="187"/>
      <c r="E2888"/>
      <c r="P2888"/>
    </row>
    <row r="2889" spans="2:16">
      <c r="B2889" s="187"/>
      <c r="E2889"/>
      <c r="P2889"/>
    </row>
    <row r="2890" spans="2:16">
      <c r="B2890" s="187"/>
      <c r="E2890"/>
      <c r="P2890"/>
    </row>
    <row r="2891" spans="2:16">
      <c r="B2891" s="187"/>
      <c r="E2891"/>
      <c r="P2891"/>
    </row>
    <row r="2892" spans="2:16">
      <c r="B2892" s="187"/>
      <c r="E2892"/>
      <c r="P2892"/>
    </row>
    <row r="2893" spans="2:16">
      <c r="B2893" s="187"/>
      <c r="E2893"/>
      <c r="P2893"/>
    </row>
    <row r="2894" spans="2:16">
      <c r="B2894" s="187"/>
      <c r="E2894"/>
      <c r="P2894"/>
    </row>
    <row r="2895" spans="2:16">
      <c r="B2895" s="187"/>
      <c r="E2895"/>
      <c r="P2895"/>
    </row>
    <row r="2896" spans="2:16">
      <c r="B2896" s="187"/>
      <c r="E2896"/>
      <c r="P2896"/>
    </row>
    <row r="2897" spans="2:16">
      <c r="B2897" s="187"/>
      <c r="E2897"/>
      <c r="P2897"/>
    </row>
    <row r="2898" spans="2:16">
      <c r="B2898" s="187"/>
      <c r="E2898"/>
      <c r="P2898"/>
    </row>
    <row r="2899" spans="2:16">
      <c r="B2899" s="187"/>
      <c r="E2899"/>
      <c r="P2899"/>
    </row>
    <row r="2900" spans="2:16">
      <c r="B2900" s="187"/>
      <c r="E2900"/>
      <c r="P2900"/>
    </row>
    <row r="2901" spans="2:16">
      <c r="B2901" s="187"/>
      <c r="E2901"/>
      <c r="P2901"/>
    </row>
    <row r="2902" spans="2:16">
      <c r="B2902" s="187"/>
      <c r="E2902"/>
      <c r="P2902"/>
    </row>
    <row r="2903" spans="2:16">
      <c r="B2903" s="187"/>
      <c r="E2903"/>
      <c r="P2903"/>
    </row>
    <row r="2904" spans="2:16">
      <c r="B2904" s="187"/>
      <c r="E2904"/>
      <c r="P2904"/>
    </row>
    <row r="2905" spans="2:16">
      <c r="B2905" s="187"/>
      <c r="E2905"/>
      <c r="P2905"/>
    </row>
    <row r="2906" spans="2:16">
      <c r="B2906" s="187"/>
      <c r="E2906"/>
      <c r="P2906"/>
    </row>
    <row r="2907" spans="2:16">
      <c r="B2907" s="187"/>
      <c r="E2907"/>
      <c r="P2907"/>
    </row>
    <row r="2908" spans="2:16">
      <c r="B2908" s="187"/>
      <c r="E2908"/>
      <c r="P2908"/>
    </row>
    <row r="2909" spans="2:16">
      <c r="B2909" s="187"/>
      <c r="E2909"/>
      <c r="P2909"/>
    </row>
    <row r="2910" spans="2:16">
      <c r="B2910" s="187"/>
      <c r="E2910"/>
      <c r="P2910"/>
    </row>
    <row r="2911" spans="2:16">
      <c r="B2911" s="187"/>
      <c r="E2911"/>
      <c r="P2911"/>
    </row>
    <row r="2912" spans="2:16">
      <c r="B2912" s="187"/>
      <c r="E2912"/>
      <c r="P2912"/>
    </row>
    <row r="2913" spans="2:16">
      <c r="B2913" s="187"/>
      <c r="E2913"/>
      <c r="P2913"/>
    </row>
    <row r="2914" spans="2:16">
      <c r="B2914" s="187"/>
      <c r="E2914"/>
      <c r="P2914"/>
    </row>
    <row r="2915" spans="2:16">
      <c r="B2915" s="187"/>
      <c r="E2915"/>
      <c r="P2915"/>
    </row>
    <row r="2916" spans="2:16">
      <c r="B2916" s="187"/>
      <c r="E2916"/>
      <c r="P2916"/>
    </row>
    <row r="2917" spans="2:16">
      <c r="B2917" s="187"/>
      <c r="E2917"/>
      <c r="P2917"/>
    </row>
    <row r="2918" spans="2:16">
      <c r="B2918" s="187"/>
      <c r="E2918"/>
      <c r="P2918"/>
    </row>
    <row r="2919" spans="2:16">
      <c r="B2919" s="187"/>
      <c r="E2919"/>
      <c r="P2919"/>
    </row>
    <row r="2920" spans="2:16">
      <c r="B2920" s="187"/>
      <c r="E2920"/>
      <c r="P2920"/>
    </row>
    <row r="2921" spans="2:16">
      <c r="B2921" s="187"/>
      <c r="E2921"/>
      <c r="P2921"/>
    </row>
    <row r="2922" spans="2:16">
      <c r="B2922" s="187"/>
      <c r="E2922"/>
      <c r="P2922"/>
    </row>
    <row r="2923" spans="2:16">
      <c r="B2923" s="187"/>
      <c r="E2923"/>
      <c r="P2923"/>
    </row>
    <row r="2924" spans="2:16">
      <c r="B2924" s="187"/>
      <c r="E2924"/>
      <c r="P2924"/>
    </row>
    <row r="2925" spans="2:16">
      <c r="B2925" s="187"/>
      <c r="E2925"/>
      <c r="P2925"/>
    </row>
    <row r="2926" spans="2:16">
      <c r="B2926" s="187"/>
      <c r="E2926"/>
      <c r="P2926"/>
    </row>
    <row r="2927" spans="2:16">
      <c r="B2927" s="187"/>
      <c r="E2927"/>
      <c r="P2927"/>
    </row>
    <row r="2928" spans="2:16">
      <c r="B2928" s="187"/>
      <c r="E2928"/>
      <c r="P2928"/>
    </row>
    <row r="2929" spans="2:16">
      <c r="B2929" s="187"/>
      <c r="E2929"/>
      <c r="P2929"/>
    </row>
    <row r="2930" spans="2:16">
      <c r="B2930" s="187"/>
      <c r="E2930"/>
      <c r="P2930"/>
    </row>
    <row r="2931" spans="2:16">
      <c r="B2931" s="187"/>
      <c r="E2931"/>
      <c r="P2931"/>
    </row>
    <row r="2932" spans="2:16">
      <c r="B2932" s="187"/>
      <c r="E2932"/>
      <c r="P2932"/>
    </row>
    <row r="2933" spans="2:16">
      <c r="B2933" s="187"/>
      <c r="E2933"/>
      <c r="P2933"/>
    </row>
    <row r="2934" spans="2:16">
      <c r="B2934" s="187"/>
      <c r="E2934"/>
      <c r="P2934"/>
    </row>
    <row r="2935" spans="2:16">
      <c r="B2935" s="187"/>
      <c r="E2935"/>
      <c r="P2935"/>
    </row>
    <row r="2936" spans="2:16">
      <c r="B2936" s="187"/>
      <c r="E2936"/>
      <c r="P2936"/>
    </row>
    <row r="2937" spans="2:16">
      <c r="B2937" s="187"/>
      <c r="E2937"/>
      <c r="P2937"/>
    </row>
    <row r="2938" spans="2:16">
      <c r="B2938" s="187"/>
      <c r="E2938"/>
      <c r="P2938"/>
    </row>
    <row r="2939" spans="2:16">
      <c r="B2939" s="187"/>
      <c r="E2939"/>
      <c r="P2939"/>
    </row>
    <row r="2940" spans="2:16">
      <c r="B2940" s="187"/>
      <c r="E2940"/>
      <c r="P2940"/>
    </row>
    <row r="2941" spans="2:16">
      <c r="B2941" s="187"/>
      <c r="E2941"/>
      <c r="P2941"/>
    </row>
    <row r="2942" spans="2:16">
      <c r="B2942" s="187"/>
      <c r="E2942"/>
      <c r="P2942"/>
    </row>
    <row r="2943" spans="2:16">
      <c r="B2943" s="187"/>
      <c r="E2943"/>
      <c r="P2943"/>
    </row>
    <row r="2944" spans="2:16">
      <c r="B2944" s="187"/>
      <c r="E2944"/>
      <c r="P2944"/>
    </row>
    <row r="2945" spans="2:16">
      <c r="B2945" s="187"/>
      <c r="E2945"/>
      <c r="P2945"/>
    </row>
    <row r="2946" spans="2:16">
      <c r="B2946" s="187"/>
      <c r="E2946"/>
      <c r="P2946"/>
    </row>
    <row r="2947" spans="2:16">
      <c r="E2947"/>
      <c r="P2947"/>
    </row>
    <row r="2948" spans="2:16">
      <c r="E2948"/>
      <c r="P2948"/>
    </row>
    <row r="2949" spans="2:16">
      <c r="E2949"/>
      <c r="P2949"/>
    </row>
    <row r="2950" spans="2:16">
      <c r="E2950"/>
      <c r="P2950"/>
    </row>
    <row r="2951" spans="2:16">
      <c r="E2951"/>
      <c r="P2951"/>
    </row>
    <row r="2952" spans="2:16">
      <c r="E2952"/>
      <c r="P2952"/>
    </row>
    <row r="2953" spans="2:16">
      <c r="E2953"/>
      <c r="P2953"/>
    </row>
    <row r="2954" spans="2:16">
      <c r="E2954"/>
      <c r="P2954"/>
    </row>
    <row r="2955" spans="2:16">
      <c r="E2955"/>
      <c r="P2955"/>
    </row>
    <row r="2956" spans="2:16">
      <c r="E2956"/>
      <c r="P2956"/>
    </row>
    <row r="2957" spans="2:16">
      <c r="E2957"/>
      <c r="P2957"/>
    </row>
    <row r="2958" spans="2:16">
      <c r="E2958"/>
      <c r="P2958"/>
    </row>
    <row r="2959" spans="2:16">
      <c r="E2959"/>
      <c r="P2959"/>
    </row>
    <row r="2960" spans="2:16">
      <c r="E2960"/>
      <c r="P2960"/>
    </row>
    <row r="2961" spans="2:16">
      <c r="E2961"/>
      <c r="P2961"/>
    </row>
    <row r="2962" spans="2:16">
      <c r="E2962"/>
      <c r="P2962"/>
    </row>
    <row r="2963" spans="2:16">
      <c r="E2963"/>
      <c r="P2963"/>
    </row>
    <row r="2964" spans="2:16">
      <c r="E2964"/>
      <c r="P2964"/>
    </row>
    <row r="2965" spans="2:16">
      <c r="B2965" s="187"/>
      <c r="E2965"/>
      <c r="P2965"/>
    </row>
    <row r="2966" spans="2:16">
      <c r="B2966" s="187"/>
      <c r="E2966"/>
      <c r="P2966"/>
    </row>
    <row r="2967" spans="2:16">
      <c r="B2967" s="187"/>
      <c r="E2967"/>
      <c r="P2967"/>
    </row>
    <row r="2968" spans="2:16">
      <c r="B2968" s="187"/>
      <c r="E2968"/>
      <c r="P2968"/>
    </row>
    <row r="2969" spans="2:16">
      <c r="B2969" s="187"/>
      <c r="E2969"/>
      <c r="P2969"/>
    </row>
    <row r="2970" spans="2:16">
      <c r="B2970" s="187"/>
      <c r="E2970"/>
      <c r="P2970"/>
    </row>
    <row r="2971" spans="2:16">
      <c r="B2971" s="187"/>
      <c r="E2971"/>
      <c r="P2971"/>
    </row>
    <row r="2972" spans="2:16">
      <c r="B2972" s="187"/>
      <c r="E2972"/>
      <c r="P2972"/>
    </row>
    <row r="2973" spans="2:16">
      <c r="B2973" s="187"/>
      <c r="E2973"/>
      <c r="P2973"/>
    </row>
    <row r="2974" spans="2:16">
      <c r="B2974" s="187"/>
      <c r="E2974"/>
      <c r="P2974"/>
    </row>
    <row r="2975" spans="2:16">
      <c r="B2975" s="187"/>
      <c r="E2975"/>
      <c r="P2975"/>
    </row>
    <row r="2976" spans="2:16">
      <c r="B2976" s="187"/>
      <c r="E2976"/>
      <c r="P2976"/>
    </row>
    <row r="2977" spans="2:16">
      <c r="B2977" s="187"/>
      <c r="E2977"/>
      <c r="P2977"/>
    </row>
    <row r="2978" spans="2:16">
      <c r="B2978" s="187"/>
      <c r="E2978"/>
      <c r="P2978"/>
    </row>
    <row r="2979" spans="2:16">
      <c r="B2979" s="187"/>
      <c r="E2979"/>
      <c r="P2979"/>
    </row>
    <row r="2980" spans="2:16">
      <c r="B2980" s="187"/>
      <c r="E2980"/>
      <c r="P2980"/>
    </row>
    <row r="2981" spans="2:16">
      <c r="B2981" s="187"/>
      <c r="E2981"/>
      <c r="P2981"/>
    </row>
    <row r="2982" spans="2:16">
      <c r="B2982" s="187"/>
      <c r="E2982"/>
      <c r="P2982"/>
    </row>
    <row r="2983" spans="2:16">
      <c r="B2983" s="187"/>
      <c r="E2983"/>
      <c r="P2983"/>
    </row>
    <row r="2984" spans="2:16">
      <c r="B2984" s="187"/>
      <c r="E2984"/>
      <c r="P2984"/>
    </row>
    <row r="2985" spans="2:16">
      <c r="B2985" s="187"/>
      <c r="E2985"/>
      <c r="P2985"/>
    </row>
    <row r="2986" spans="2:16">
      <c r="B2986" s="187"/>
      <c r="E2986"/>
      <c r="P2986"/>
    </row>
    <row r="2987" spans="2:16">
      <c r="B2987" s="187"/>
      <c r="E2987"/>
      <c r="P2987"/>
    </row>
    <row r="2988" spans="2:16">
      <c r="B2988" s="187"/>
      <c r="E2988"/>
      <c r="P2988"/>
    </row>
    <row r="2989" spans="2:16">
      <c r="B2989" s="187"/>
      <c r="E2989"/>
      <c r="P2989"/>
    </row>
    <row r="2990" spans="2:16">
      <c r="B2990" s="187"/>
      <c r="E2990"/>
      <c r="P2990"/>
    </row>
    <row r="2991" spans="2:16">
      <c r="B2991" s="187"/>
      <c r="E2991"/>
      <c r="P2991"/>
    </row>
    <row r="2992" spans="2:16">
      <c r="B2992" s="187"/>
      <c r="E2992"/>
      <c r="P2992"/>
    </row>
    <row r="2993" spans="2:16">
      <c r="B2993" s="187"/>
      <c r="E2993"/>
      <c r="P2993"/>
    </row>
    <row r="2994" spans="2:16">
      <c r="B2994" s="187"/>
      <c r="E2994"/>
      <c r="P2994"/>
    </row>
    <row r="2995" spans="2:16">
      <c r="B2995" s="187"/>
      <c r="E2995"/>
      <c r="P2995"/>
    </row>
    <row r="2996" spans="2:16">
      <c r="B2996" s="187"/>
      <c r="E2996"/>
      <c r="P2996"/>
    </row>
    <row r="2997" spans="2:16">
      <c r="B2997" s="187"/>
      <c r="E2997"/>
      <c r="P2997"/>
    </row>
    <row r="2998" spans="2:16">
      <c r="B2998" s="187"/>
      <c r="E2998"/>
      <c r="P2998"/>
    </row>
    <row r="2999" spans="2:16">
      <c r="B2999" s="187"/>
      <c r="E2999"/>
      <c r="P2999"/>
    </row>
    <row r="3000" spans="2:16">
      <c r="B3000" s="187"/>
      <c r="E3000"/>
      <c r="P3000"/>
    </row>
    <row r="3001" spans="2:16">
      <c r="B3001" s="187"/>
      <c r="E3001"/>
      <c r="P3001"/>
    </row>
    <row r="3002" spans="2:16">
      <c r="B3002" s="187"/>
      <c r="E3002"/>
      <c r="P3002"/>
    </row>
    <row r="3003" spans="2:16">
      <c r="B3003" s="187"/>
      <c r="E3003"/>
      <c r="P3003"/>
    </row>
    <row r="3004" spans="2:16">
      <c r="B3004" s="187"/>
      <c r="E3004"/>
      <c r="P3004"/>
    </row>
    <row r="3005" spans="2:16">
      <c r="B3005" s="187"/>
      <c r="E3005"/>
      <c r="P3005"/>
    </row>
    <row r="3006" spans="2:16">
      <c r="B3006" s="187"/>
      <c r="E3006"/>
      <c r="P3006"/>
    </row>
    <row r="3007" spans="2:16">
      <c r="B3007" s="187"/>
      <c r="E3007"/>
      <c r="P3007"/>
    </row>
    <row r="3008" spans="2:16">
      <c r="B3008" s="187"/>
      <c r="E3008"/>
      <c r="P3008"/>
    </row>
    <row r="3009" spans="2:16">
      <c r="B3009" s="187"/>
      <c r="E3009"/>
      <c r="P3009"/>
    </row>
    <row r="3010" spans="2:16">
      <c r="B3010" s="187"/>
      <c r="E3010"/>
      <c r="P3010"/>
    </row>
    <row r="3011" spans="2:16">
      <c r="B3011" s="187"/>
      <c r="E3011"/>
      <c r="P3011"/>
    </row>
    <row r="3012" spans="2:16">
      <c r="B3012" s="187"/>
      <c r="E3012"/>
      <c r="P3012"/>
    </row>
    <row r="3013" spans="2:16">
      <c r="B3013" s="187"/>
      <c r="E3013"/>
      <c r="P3013"/>
    </row>
    <row r="3014" spans="2:16">
      <c r="B3014" s="187"/>
      <c r="E3014"/>
      <c r="P3014"/>
    </row>
    <row r="3015" spans="2:16">
      <c r="B3015" s="187"/>
      <c r="E3015"/>
      <c r="P3015"/>
    </row>
    <row r="3016" spans="2:16">
      <c r="B3016" s="187"/>
      <c r="E3016"/>
      <c r="P3016"/>
    </row>
    <row r="3017" spans="2:16">
      <c r="B3017" s="187"/>
      <c r="E3017"/>
      <c r="P3017"/>
    </row>
    <row r="3018" spans="2:16">
      <c r="B3018" s="187"/>
      <c r="E3018"/>
      <c r="P3018"/>
    </row>
    <row r="3019" spans="2:16">
      <c r="B3019" s="187"/>
      <c r="E3019"/>
      <c r="P3019"/>
    </row>
    <row r="3020" spans="2:16">
      <c r="B3020" s="187"/>
      <c r="E3020"/>
      <c r="P3020"/>
    </row>
    <row r="3021" spans="2:16">
      <c r="B3021" s="187"/>
      <c r="E3021"/>
      <c r="P3021"/>
    </row>
    <row r="3022" spans="2:16">
      <c r="B3022" s="187"/>
      <c r="E3022"/>
      <c r="P3022"/>
    </row>
    <row r="3023" spans="2:16">
      <c r="B3023" s="187"/>
      <c r="E3023"/>
      <c r="P3023"/>
    </row>
    <row r="3024" spans="2:16">
      <c r="B3024" s="187"/>
      <c r="E3024"/>
      <c r="P3024"/>
    </row>
    <row r="3025" spans="2:16">
      <c r="B3025" s="187"/>
      <c r="E3025"/>
      <c r="P3025"/>
    </row>
    <row r="3026" spans="2:16">
      <c r="B3026" s="187"/>
      <c r="E3026"/>
      <c r="P3026"/>
    </row>
    <row r="3027" spans="2:16">
      <c r="B3027" s="187"/>
      <c r="E3027"/>
      <c r="P3027"/>
    </row>
    <row r="3028" spans="2:16">
      <c r="B3028" s="187"/>
      <c r="E3028"/>
      <c r="P3028"/>
    </row>
    <row r="3029" spans="2:16">
      <c r="B3029" s="187"/>
      <c r="E3029"/>
      <c r="P3029"/>
    </row>
    <row r="3030" spans="2:16">
      <c r="B3030" s="187"/>
      <c r="E3030"/>
      <c r="P3030"/>
    </row>
    <row r="3031" spans="2:16">
      <c r="B3031" s="187"/>
      <c r="E3031"/>
      <c r="P3031"/>
    </row>
    <row r="3032" spans="2:16">
      <c r="B3032" s="187"/>
      <c r="E3032"/>
      <c r="P3032"/>
    </row>
    <row r="3033" spans="2:16">
      <c r="B3033" s="187"/>
      <c r="E3033"/>
      <c r="P3033"/>
    </row>
    <row r="3034" spans="2:16">
      <c r="B3034" s="187"/>
      <c r="E3034"/>
      <c r="P3034"/>
    </row>
    <row r="3035" spans="2:16">
      <c r="B3035" s="187"/>
      <c r="E3035"/>
      <c r="P3035"/>
    </row>
    <row r="3036" spans="2:16">
      <c r="B3036" s="187"/>
      <c r="E3036"/>
      <c r="P3036"/>
    </row>
    <row r="3037" spans="2:16">
      <c r="B3037" s="187"/>
      <c r="E3037"/>
      <c r="P3037"/>
    </row>
    <row r="3038" spans="2:16">
      <c r="B3038" s="187"/>
      <c r="E3038"/>
      <c r="P3038"/>
    </row>
    <row r="3039" spans="2:16">
      <c r="B3039" s="187"/>
      <c r="E3039"/>
      <c r="P3039"/>
    </row>
    <row r="3040" spans="2:16">
      <c r="B3040" s="187"/>
      <c r="E3040"/>
      <c r="P3040"/>
    </row>
    <row r="3041" spans="2:16">
      <c r="B3041" s="187"/>
      <c r="E3041"/>
      <c r="P3041"/>
    </row>
    <row r="3042" spans="2:16">
      <c r="B3042" s="187"/>
      <c r="E3042"/>
      <c r="P3042"/>
    </row>
    <row r="3043" spans="2:16">
      <c r="B3043" s="187"/>
      <c r="E3043"/>
      <c r="P3043"/>
    </row>
    <row r="3044" spans="2:16">
      <c r="B3044" s="187"/>
      <c r="E3044"/>
      <c r="P3044"/>
    </row>
    <row r="3045" spans="2:16">
      <c r="B3045" s="187"/>
      <c r="E3045"/>
      <c r="P3045"/>
    </row>
    <row r="3046" spans="2:16">
      <c r="B3046" s="187"/>
      <c r="E3046"/>
      <c r="P3046"/>
    </row>
    <row r="3047" spans="2:16">
      <c r="B3047" s="187"/>
      <c r="E3047"/>
      <c r="P3047"/>
    </row>
    <row r="3048" spans="2:16">
      <c r="B3048" s="187"/>
      <c r="E3048"/>
      <c r="P3048"/>
    </row>
    <row r="3049" spans="2:16">
      <c r="B3049" s="187"/>
      <c r="E3049"/>
      <c r="P3049"/>
    </row>
    <row r="3050" spans="2:16">
      <c r="B3050" s="187"/>
      <c r="E3050"/>
      <c r="P3050"/>
    </row>
    <row r="3051" spans="2:16">
      <c r="B3051" s="187"/>
      <c r="E3051"/>
      <c r="P3051"/>
    </row>
    <row r="3052" spans="2:16">
      <c r="B3052" s="187"/>
      <c r="E3052"/>
      <c r="P3052"/>
    </row>
    <row r="3053" spans="2:16">
      <c r="B3053" s="187"/>
      <c r="E3053"/>
      <c r="P3053"/>
    </row>
    <row r="3054" spans="2:16">
      <c r="B3054" s="187"/>
      <c r="E3054"/>
      <c r="P3054"/>
    </row>
    <row r="3055" spans="2:16">
      <c r="B3055" s="187"/>
      <c r="E3055"/>
      <c r="P3055"/>
    </row>
    <row r="3056" spans="2:16">
      <c r="B3056" s="187"/>
      <c r="E3056"/>
      <c r="P3056"/>
    </row>
    <row r="3057" spans="2:16">
      <c r="B3057" s="187"/>
      <c r="E3057"/>
      <c r="P3057"/>
    </row>
    <row r="3058" spans="2:16">
      <c r="B3058" s="187"/>
      <c r="E3058"/>
      <c r="P3058"/>
    </row>
    <row r="3059" spans="2:16">
      <c r="B3059" s="187"/>
      <c r="E3059"/>
      <c r="P3059"/>
    </row>
    <row r="3060" spans="2:16">
      <c r="B3060" s="187"/>
      <c r="E3060"/>
      <c r="P3060"/>
    </row>
    <row r="3061" spans="2:16">
      <c r="B3061" s="187"/>
      <c r="E3061"/>
      <c r="P3061"/>
    </row>
    <row r="3062" spans="2:16">
      <c r="B3062" s="187"/>
      <c r="E3062"/>
      <c r="P3062"/>
    </row>
    <row r="3063" spans="2:16">
      <c r="B3063" s="187"/>
      <c r="E3063"/>
      <c r="P3063"/>
    </row>
    <row r="3064" spans="2:16">
      <c r="B3064" s="187"/>
      <c r="E3064"/>
      <c r="P3064"/>
    </row>
    <row r="3065" spans="2:16">
      <c r="B3065" s="187"/>
      <c r="E3065"/>
      <c r="P3065"/>
    </row>
    <row r="3066" spans="2:16">
      <c r="B3066" s="187"/>
      <c r="E3066"/>
      <c r="P3066"/>
    </row>
    <row r="3067" spans="2:16">
      <c r="B3067" s="187"/>
      <c r="E3067"/>
      <c r="P3067"/>
    </row>
    <row r="3068" spans="2:16">
      <c r="B3068" s="187"/>
      <c r="E3068"/>
      <c r="P3068"/>
    </row>
    <row r="3069" spans="2:16">
      <c r="B3069" s="187"/>
      <c r="E3069"/>
      <c r="P3069"/>
    </row>
    <row r="3070" spans="2:16">
      <c r="B3070" s="187"/>
      <c r="E3070"/>
      <c r="P3070"/>
    </row>
    <row r="3071" spans="2:16">
      <c r="B3071" s="187"/>
      <c r="E3071"/>
      <c r="P3071"/>
    </row>
    <row r="3072" spans="2:16">
      <c r="B3072" s="187"/>
      <c r="E3072"/>
      <c r="P3072"/>
    </row>
    <row r="3073" spans="2:16">
      <c r="B3073" s="187"/>
      <c r="E3073"/>
      <c r="P3073"/>
    </row>
    <row r="3074" spans="2:16">
      <c r="B3074" s="187"/>
      <c r="E3074"/>
      <c r="P3074"/>
    </row>
    <row r="3075" spans="2:16">
      <c r="B3075" s="187"/>
      <c r="E3075"/>
      <c r="P3075"/>
    </row>
    <row r="3076" spans="2:16">
      <c r="B3076" s="187"/>
      <c r="E3076"/>
      <c r="P3076"/>
    </row>
    <row r="3077" spans="2:16">
      <c r="B3077" s="187"/>
      <c r="E3077"/>
      <c r="P3077"/>
    </row>
    <row r="3078" spans="2:16">
      <c r="B3078" s="187"/>
      <c r="E3078"/>
      <c r="P3078"/>
    </row>
    <row r="3079" spans="2:16">
      <c r="B3079" s="187"/>
      <c r="E3079"/>
      <c r="P3079"/>
    </row>
    <row r="3080" spans="2:16">
      <c r="B3080" s="187"/>
      <c r="E3080"/>
      <c r="P3080"/>
    </row>
    <row r="3081" spans="2:16">
      <c r="B3081" s="187"/>
      <c r="E3081"/>
      <c r="P3081"/>
    </row>
    <row r="3082" spans="2:16">
      <c r="B3082" s="187"/>
      <c r="E3082"/>
      <c r="P3082"/>
    </row>
    <row r="3083" spans="2:16">
      <c r="B3083" s="187"/>
      <c r="E3083"/>
      <c r="P3083"/>
    </row>
    <row r="3084" spans="2:16">
      <c r="B3084" s="187"/>
      <c r="E3084"/>
      <c r="P3084"/>
    </row>
    <row r="3085" spans="2:16">
      <c r="B3085" s="187"/>
      <c r="E3085"/>
      <c r="P3085"/>
    </row>
    <row r="3086" spans="2:16">
      <c r="B3086" s="187"/>
      <c r="E3086"/>
      <c r="P3086"/>
    </row>
    <row r="3087" spans="2:16">
      <c r="B3087" s="187"/>
      <c r="E3087"/>
      <c r="P3087"/>
    </row>
    <row r="3088" spans="2:16">
      <c r="B3088" s="187"/>
      <c r="E3088"/>
      <c r="P3088"/>
    </row>
    <row r="3089" spans="2:16">
      <c r="B3089" s="187"/>
      <c r="E3089"/>
      <c r="P3089"/>
    </row>
    <row r="3090" spans="2:16">
      <c r="B3090" s="187"/>
      <c r="E3090"/>
      <c r="P3090"/>
    </row>
    <row r="3091" spans="2:16">
      <c r="B3091" s="187"/>
      <c r="E3091"/>
      <c r="P3091"/>
    </row>
    <row r="3092" spans="2:16">
      <c r="B3092" s="187"/>
      <c r="E3092"/>
      <c r="P3092"/>
    </row>
    <row r="3093" spans="2:16">
      <c r="B3093" s="187"/>
      <c r="E3093"/>
      <c r="P3093"/>
    </row>
    <row r="3094" spans="2:16">
      <c r="B3094" s="187"/>
      <c r="E3094"/>
      <c r="P3094"/>
    </row>
    <row r="3095" spans="2:16">
      <c r="B3095" s="187"/>
      <c r="E3095"/>
      <c r="P3095"/>
    </row>
    <row r="3096" spans="2:16">
      <c r="B3096" s="187"/>
      <c r="E3096"/>
      <c r="P3096"/>
    </row>
    <row r="3097" spans="2:16">
      <c r="B3097" s="187"/>
      <c r="E3097"/>
      <c r="P3097"/>
    </row>
    <row r="3098" spans="2:16">
      <c r="B3098" s="187"/>
      <c r="E3098"/>
      <c r="P3098"/>
    </row>
    <row r="3099" spans="2:16">
      <c r="B3099" s="187"/>
      <c r="E3099"/>
      <c r="P3099"/>
    </row>
    <row r="3100" spans="2:16">
      <c r="B3100" s="187"/>
      <c r="E3100"/>
      <c r="P3100"/>
    </row>
    <row r="3101" spans="2:16">
      <c r="B3101" s="187"/>
      <c r="E3101"/>
      <c r="P3101"/>
    </row>
    <row r="3102" spans="2:16">
      <c r="B3102" s="187"/>
      <c r="E3102"/>
      <c r="P3102"/>
    </row>
    <row r="3103" spans="2:16">
      <c r="B3103" s="187"/>
      <c r="E3103"/>
      <c r="P3103"/>
    </row>
    <row r="3104" spans="2:16">
      <c r="B3104" s="187"/>
      <c r="E3104"/>
      <c r="P3104"/>
    </row>
    <row r="3105" spans="2:16">
      <c r="B3105" s="187"/>
      <c r="E3105"/>
      <c r="P3105"/>
    </row>
    <row r="3106" spans="2:16">
      <c r="B3106" s="187"/>
      <c r="E3106"/>
      <c r="P3106"/>
    </row>
    <row r="3107" spans="2:16">
      <c r="B3107" s="187"/>
      <c r="E3107"/>
      <c r="P3107"/>
    </row>
    <row r="3108" spans="2:16">
      <c r="B3108" s="187"/>
      <c r="E3108"/>
      <c r="P3108"/>
    </row>
    <row r="3109" spans="2:16">
      <c r="B3109" s="187"/>
      <c r="E3109"/>
      <c r="P3109"/>
    </row>
    <row r="3110" spans="2:16">
      <c r="B3110" s="187"/>
      <c r="E3110"/>
      <c r="P3110"/>
    </row>
    <row r="3111" spans="2:16">
      <c r="B3111" s="187"/>
      <c r="E3111"/>
      <c r="P3111"/>
    </row>
    <row r="3112" spans="2:16">
      <c r="B3112" s="187"/>
      <c r="E3112"/>
      <c r="P3112"/>
    </row>
    <row r="3113" spans="2:16">
      <c r="B3113" s="187"/>
      <c r="E3113"/>
      <c r="P3113"/>
    </row>
    <row r="3114" spans="2:16">
      <c r="B3114" s="187"/>
      <c r="E3114"/>
      <c r="P3114"/>
    </row>
    <row r="3115" spans="2:16">
      <c r="B3115" s="187"/>
      <c r="E3115"/>
      <c r="P3115"/>
    </row>
    <row r="3116" spans="2:16">
      <c r="B3116" s="187"/>
      <c r="E3116"/>
      <c r="P3116"/>
    </row>
    <row r="3117" spans="2:16">
      <c r="B3117" s="187"/>
      <c r="E3117"/>
      <c r="P3117"/>
    </row>
    <row r="3118" spans="2:16">
      <c r="B3118" s="187"/>
      <c r="E3118"/>
      <c r="P3118"/>
    </row>
    <row r="3119" spans="2:16">
      <c r="B3119" s="187"/>
      <c r="E3119"/>
      <c r="P3119"/>
    </row>
    <row r="3120" spans="2:16">
      <c r="B3120" s="187"/>
      <c r="E3120"/>
      <c r="P3120"/>
    </row>
    <row r="3121" spans="2:16">
      <c r="B3121" s="187"/>
      <c r="E3121"/>
      <c r="P3121"/>
    </row>
    <row r="3122" spans="2:16">
      <c r="B3122" s="187"/>
      <c r="E3122"/>
      <c r="P3122"/>
    </row>
    <row r="3123" spans="2:16">
      <c r="B3123" s="187"/>
      <c r="E3123"/>
      <c r="P3123"/>
    </row>
    <row r="3124" spans="2:16">
      <c r="B3124" s="187"/>
      <c r="E3124"/>
      <c r="P3124"/>
    </row>
    <row r="3125" spans="2:16">
      <c r="B3125" s="187"/>
      <c r="E3125"/>
      <c r="P3125"/>
    </row>
    <row r="3126" spans="2:16">
      <c r="B3126" s="187"/>
      <c r="E3126"/>
      <c r="P3126"/>
    </row>
    <row r="3127" spans="2:16">
      <c r="B3127" s="187"/>
      <c r="E3127"/>
      <c r="P3127"/>
    </row>
    <row r="3128" spans="2:16">
      <c r="B3128" s="187"/>
      <c r="E3128"/>
      <c r="P3128"/>
    </row>
    <row r="3129" spans="2:16">
      <c r="B3129" s="187"/>
      <c r="E3129"/>
      <c r="P3129"/>
    </row>
    <row r="3130" spans="2:16">
      <c r="B3130" s="187"/>
      <c r="E3130"/>
      <c r="P3130"/>
    </row>
    <row r="3131" spans="2:16">
      <c r="B3131" s="187"/>
      <c r="E3131"/>
      <c r="P3131"/>
    </row>
    <row r="3132" spans="2:16">
      <c r="B3132" s="187"/>
      <c r="E3132"/>
      <c r="P3132"/>
    </row>
    <row r="3133" spans="2:16">
      <c r="B3133" s="187"/>
      <c r="E3133"/>
      <c r="P3133"/>
    </row>
    <row r="3134" spans="2:16">
      <c r="B3134" s="187"/>
      <c r="E3134"/>
      <c r="P3134"/>
    </row>
    <row r="3135" spans="2:16">
      <c r="B3135" s="187"/>
      <c r="E3135"/>
      <c r="P3135"/>
    </row>
    <row r="3136" spans="2:16">
      <c r="B3136" s="187"/>
      <c r="E3136"/>
      <c r="P3136"/>
    </row>
    <row r="3137" spans="2:16">
      <c r="B3137" s="187"/>
      <c r="E3137"/>
      <c r="P3137"/>
    </row>
    <row r="3138" spans="2:16">
      <c r="B3138" s="187"/>
      <c r="E3138"/>
      <c r="P3138"/>
    </row>
    <row r="3139" spans="2:16">
      <c r="B3139" s="187"/>
      <c r="E3139"/>
      <c r="P3139"/>
    </row>
    <row r="3140" spans="2:16">
      <c r="B3140" s="187"/>
      <c r="E3140"/>
      <c r="P3140"/>
    </row>
    <row r="3141" spans="2:16">
      <c r="B3141" s="187"/>
      <c r="E3141"/>
      <c r="P3141"/>
    </row>
    <row r="3142" spans="2:16">
      <c r="B3142" s="187"/>
      <c r="E3142"/>
      <c r="P3142"/>
    </row>
    <row r="3143" spans="2:16">
      <c r="B3143" s="187"/>
      <c r="E3143"/>
      <c r="P3143"/>
    </row>
    <row r="3144" spans="2:16">
      <c r="B3144" s="187"/>
      <c r="E3144"/>
      <c r="P3144"/>
    </row>
    <row r="3145" spans="2:16">
      <c r="B3145" s="187"/>
      <c r="E3145"/>
      <c r="P3145"/>
    </row>
    <row r="3146" spans="2:16">
      <c r="B3146" s="187"/>
      <c r="E3146"/>
      <c r="P3146"/>
    </row>
    <row r="3147" spans="2:16">
      <c r="B3147" s="187"/>
      <c r="E3147"/>
      <c r="P3147"/>
    </row>
    <row r="3148" spans="2:16">
      <c r="B3148" s="187"/>
      <c r="E3148"/>
      <c r="P3148"/>
    </row>
    <row r="3149" spans="2:16">
      <c r="B3149" s="187"/>
      <c r="E3149"/>
      <c r="P3149"/>
    </row>
    <row r="3150" spans="2:16">
      <c r="B3150" s="187"/>
      <c r="E3150"/>
      <c r="P3150"/>
    </row>
    <row r="3151" spans="2:16">
      <c r="B3151" s="187"/>
      <c r="E3151"/>
      <c r="P3151"/>
    </row>
    <row r="3152" spans="2:16">
      <c r="B3152" s="187"/>
      <c r="E3152"/>
      <c r="P3152"/>
    </row>
    <row r="3153" spans="2:16">
      <c r="B3153" s="187"/>
      <c r="E3153"/>
      <c r="P3153"/>
    </row>
    <row r="3154" spans="2:16">
      <c r="B3154" s="187"/>
      <c r="E3154"/>
      <c r="P3154"/>
    </row>
    <row r="3155" spans="2:16">
      <c r="B3155" s="187"/>
      <c r="E3155"/>
      <c r="P3155"/>
    </row>
    <row r="3156" spans="2:16">
      <c r="B3156" s="187"/>
      <c r="E3156"/>
      <c r="P3156"/>
    </row>
    <row r="3157" spans="2:16">
      <c r="B3157" s="187"/>
      <c r="E3157"/>
      <c r="P3157"/>
    </row>
    <row r="3158" spans="2:16">
      <c r="B3158" s="187"/>
      <c r="E3158"/>
      <c r="P3158"/>
    </row>
    <row r="3159" spans="2:16">
      <c r="B3159" s="187"/>
      <c r="E3159"/>
      <c r="P3159"/>
    </row>
    <row r="3160" spans="2:16">
      <c r="B3160" s="187"/>
      <c r="E3160"/>
      <c r="P3160"/>
    </row>
    <row r="3161" spans="2:16">
      <c r="B3161" s="187"/>
      <c r="E3161"/>
      <c r="P3161"/>
    </row>
    <row r="3162" spans="2:16">
      <c r="B3162" s="187"/>
      <c r="E3162"/>
      <c r="P3162"/>
    </row>
    <row r="3163" spans="2:16">
      <c r="B3163" s="187"/>
      <c r="E3163"/>
      <c r="P3163"/>
    </row>
    <row r="3164" spans="2:16">
      <c r="B3164" s="187"/>
      <c r="E3164"/>
      <c r="P3164"/>
    </row>
    <row r="3165" spans="2:16">
      <c r="B3165" s="187"/>
      <c r="E3165"/>
      <c r="P3165"/>
    </row>
    <row r="3166" spans="2:16">
      <c r="B3166" s="187"/>
      <c r="E3166"/>
      <c r="P3166"/>
    </row>
    <row r="3167" spans="2:16">
      <c r="B3167" s="187"/>
      <c r="E3167"/>
      <c r="P3167"/>
    </row>
    <row r="3168" spans="2:16">
      <c r="B3168" s="187"/>
      <c r="E3168"/>
      <c r="P3168"/>
    </row>
    <row r="3169" spans="2:16">
      <c r="B3169" s="187"/>
      <c r="E3169"/>
      <c r="P3169"/>
    </row>
    <row r="3170" spans="2:16">
      <c r="B3170" s="187"/>
      <c r="E3170"/>
      <c r="P3170"/>
    </row>
    <row r="3171" spans="2:16">
      <c r="B3171" s="187"/>
      <c r="E3171"/>
      <c r="P3171"/>
    </row>
    <row r="3172" spans="2:16">
      <c r="B3172" s="187"/>
      <c r="E3172"/>
      <c r="P3172"/>
    </row>
    <row r="3173" spans="2:16">
      <c r="B3173" s="187"/>
      <c r="E3173"/>
      <c r="P3173"/>
    </row>
    <row r="3174" spans="2:16">
      <c r="B3174" s="187"/>
      <c r="E3174"/>
      <c r="P3174"/>
    </row>
    <row r="3175" spans="2:16">
      <c r="B3175" s="187"/>
      <c r="E3175"/>
      <c r="P3175"/>
    </row>
    <row r="3176" spans="2:16">
      <c r="B3176" s="187"/>
      <c r="E3176"/>
      <c r="P3176"/>
    </row>
    <row r="3177" spans="2:16">
      <c r="B3177" s="187"/>
      <c r="E3177"/>
      <c r="P3177"/>
    </row>
    <row r="3178" spans="2:16">
      <c r="B3178" s="187"/>
      <c r="E3178"/>
      <c r="P3178"/>
    </row>
    <row r="3179" spans="2:16">
      <c r="B3179" s="187"/>
      <c r="E3179"/>
      <c r="P3179"/>
    </row>
    <row r="3180" spans="2:16">
      <c r="B3180" s="187"/>
      <c r="E3180"/>
      <c r="P3180"/>
    </row>
    <row r="3181" spans="2:16">
      <c r="B3181" s="187"/>
      <c r="E3181"/>
      <c r="P3181"/>
    </row>
    <row r="3182" spans="2:16">
      <c r="B3182" s="187"/>
      <c r="E3182"/>
      <c r="P3182"/>
    </row>
    <row r="3183" spans="2:16">
      <c r="B3183" s="187"/>
      <c r="E3183"/>
      <c r="P3183"/>
    </row>
    <row r="3184" spans="2:16">
      <c r="B3184" s="187"/>
      <c r="E3184"/>
      <c r="P3184"/>
    </row>
    <row r="3185" spans="2:16">
      <c r="B3185" s="187"/>
      <c r="E3185"/>
      <c r="P3185"/>
    </row>
    <row r="3186" spans="2:16">
      <c r="B3186" s="187"/>
      <c r="E3186"/>
      <c r="P3186"/>
    </row>
    <row r="3187" spans="2:16">
      <c r="B3187" s="187"/>
      <c r="E3187"/>
      <c r="P3187"/>
    </row>
    <row r="3188" spans="2:16">
      <c r="B3188" s="187"/>
      <c r="E3188"/>
      <c r="P3188"/>
    </row>
    <row r="3189" spans="2:16">
      <c r="B3189" s="187"/>
      <c r="E3189"/>
      <c r="P3189"/>
    </row>
    <row r="3190" spans="2:16">
      <c r="B3190" s="187"/>
      <c r="E3190"/>
      <c r="P3190"/>
    </row>
    <row r="3191" spans="2:16">
      <c r="B3191" s="187"/>
      <c r="E3191"/>
      <c r="P3191"/>
    </row>
    <row r="3192" spans="2:16">
      <c r="B3192" s="187"/>
      <c r="E3192"/>
      <c r="P3192"/>
    </row>
    <row r="3193" spans="2:16">
      <c r="B3193" s="187"/>
      <c r="E3193"/>
      <c r="P3193"/>
    </row>
    <row r="3194" spans="2:16">
      <c r="B3194" s="187"/>
      <c r="E3194"/>
      <c r="P3194"/>
    </row>
    <row r="3195" spans="2:16">
      <c r="B3195" s="187"/>
      <c r="E3195"/>
      <c r="P3195"/>
    </row>
    <row r="3196" spans="2:16">
      <c r="B3196" s="187"/>
      <c r="E3196"/>
      <c r="P3196"/>
    </row>
    <row r="3197" spans="2:16">
      <c r="B3197" s="187"/>
      <c r="E3197"/>
      <c r="P3197"/>
    </row>
    <row r="3198" spans="2:16">
      <c r="B3198" s="187"/>
      <c r="E3198"/>
      <c r="P3198"/>
    </row>
    <row r="3199" spans="2:16">
      <c r="B3199" s="187"/>
      <c r="E3199"/>
      <c r="P3199"/>
    </row>
    <row r="3200" spans="2:16">
      <c r="B3200" s="187"/>
      <c r="E3200"/>
      <c r="P3200"/>
    </row>
    <row r="3201" spans="2:16">
      <c r="B3201" s="187"/>
      <c r="E3201"/>
      <c r="P3201"/>
    </row>
    <row r="3202" spans="2:16">
      <c r="B3202" s="187"/>
      <c r="E3202"/>
      <c r="P3202"/>
    </row>
    <row r="3203" spans="2:16">
      <c r="B3203" s="187"/>
      <c r="E3203"/>
      <c r="P3203"/>
    </row>
    <row r="3204" spans="2:16">
      <c r="B3204" s="187"/>
      <c r="E3204"/>
      <c r="P3204"/>
    </row>
    <row r="3205" spans="2:16">
      <c r="B3205" s="187"/>
      <c r="E3205"/>
      <c r="P3205"/>
    </row>
    <row r="3206" spans="2:16">
      <c r="B3206" s="187"/>
      <c r="E3206"/>
      <c r="P3206"/>
    </row>
    <row r="3207" spans="2:16">
      <c r="B3207" s="187"/>
      <c r="E3207"/>
      <c r="P3207"/>
    </row>
    <row r="3208" spans="2:16">
      <c r="B3208" s="187"/>
      <c r="E3208"/>
      <c r="P3208"/>
    </row>
    <row r="3209" spans="2:16">
      <c r="B3209" s="187"/>
      <c r="E3209"/>
      <c r="P3209"/>
    </row>
    <row r="3210" spans="2:16">
      <c r="B3210" s="187"/>
      <c r="E3210"/>
      <c r="P3210"/>
    </row>
    <row r="3211" spans="2:16">
      <c r="B3211" s="187"/>
      <c r="E3211"/>
      <c r="P3211"/>
    </row>
    <row r="3212" spans="2:16">
      <c r="B3212" s="187"/>
      <c r="E3212"/>
      <c r="P3212"/>
    </row>
    <row r="3213" spans="2:16">
      <c r="B3213" s="187"/>
      <c r="E3213"/>
      <c r="P3213"/>
    </row>
    <row r="3214" spans="2:16">
      <c r="B3214" s="187"/>
      <c r="E3214"/>
      <c r="P3214"/>
    </row>
    <row r="3215" spans="2:16">
      <c r="B3215" s="187"/>
      <c r="E3215"/>
      <c r="P3215"/>
    </row>
    <row r="3216" spans="2:16">
      <c r="B3216" s="187"/>
      <c r="E3216"/>
      <c r="P3216"/>
    </row>
    <row r="3217" spans="2:16">
      <c r="B3217" s="187"/>
      <c r="E3217"/>
      <c r="P3217"/>
    </row>
    <row r="3218" spans="2:16">
      <c r="B3218" s="187"/>
      <c r="E3218"/>
      <c r="P3218"/>
    </row>
    <row r="3219" spans="2:16">
      <c r="B3219" s="187"/>
      <c r="E3219"/>
      <c r="P3219"/>
    </row>
    <row r="3220" spans="2:16">
      <c r="B3220" s="187"/>
      <c r="E3220"/>
      <c r="P3220"/>
    </row>
    <row r="3221" spans="2:16">
      <c r="B3221" s="187"/>
      <c r="E3221"/>
      <c r="P3221"/>
    </row>
    <row r="3222" spans="2:16">
      <c r="B3222" s="187"/>
      <c r="E3222"/>
      <c r="P3222"/>
    </row>
    <row r="3223" spans="2:16">
      <c r="B3223" s="187"/>
      <c r="E3223"/>
      <c r="P3223"/>
    </row>
    <row r="3224" spans="2:16">
      <c r="B3224" s="187"/>
      <c r="E3224"/>
      <c r="P3224"/>
    </row>
    <row r="3225" spans="2:16">
      <c r="B3225" s="187"/>
      <c r="E3225"/>
      <c r="P3225"/>
    </row>
    <row r="3226" spans="2:16">
      <c r="B3226" s="187"/>
      <c r="E3226"/>
      <c r="P3226"/>
    </row>
    <row r="3227" spans="2:16">
      <c r="B3227" s="187"/>
      <c r="E3227"/>
      <c r="P3227"/>
    </row>
    <row r="3228" spans="2:16">
      <c r="B3228" s="187"/>
      <c r="E3228"/>
      <c r="P3228"/>
    </row>
    <row r="3229" spans="2:16">
      <c r="B3229" s="187"/>
      <c r="E3229"/>
      <c r="P3229"/>
    </row>
    <row r="3230" spans="2:16">
      <c r="B3230" s="187"/>
      <c r="E3230"/>
      <c r="P3230"/>
    </row>
    <row r="3231" spans="2:16">
      <c r="B3231" s="187"/>
      <c r="E3231"/>
      <c r="P3231"/>
    </row>
    <row r="3232" spans="2:16">
      <c r="B3232" s="187"/>
      <c r="E3232"/>
      <c r="P3232"/>
    </row>
    <row r="3233" spans="2:16">
      <c r="B3233" s="187"/>
      <c r="E3233"/>
      <c r="P3233"/>
    </row>
    <row r="3234" spans="2:16">
      <c r="B3234" s="187"/>
      <c r="E3234"/>
      <c r="P3234"/>
    </row>
    <row r="3235" spans="2:16">
      <c r="B3235" s="187"/>
      <c r="E3235"/>
      <c r="P3235"/>
    </row>
    <row r="3236" spans="2:16">
      <c r="B3236" s="187"/>
      <c r="E3236"/>
      <c r="P3236"/>
    </row>
    <row r="3237" spans="2:16">
      <c r="B3237" s="187"/>
      <c r="E3237"/>
      <c r="P3237"/>
    </row>
    <row r="3238" spans="2:16">
      <c r="B3238" s="187"/>
      <c r="E3238"/>
      <c r="P3238"/>
    </row>
    <row r="3239" spans="2:16">
      <c r="B3239" s="187"/>
      <c r="E3239"/>
      <c r="P3239"/>
    </row>
    <row r="3240" spans="2:16">
      <c r="B3240" s="187"/>
      <c r="E3240"/>
      <c r="P3240"/>
    </row>
    <row r="3241" spans="2:16">
      <c r="B3241" s="187"/>
      <c r="E3241"/>
      <c r="P3241"/>
    </row>
    <row r="3242" spans="2:16">
      <c r="B3242" s="187"/>
      <c r="E3242"/>
      <c r="P3242"/>
    </row>
    <row r="3243" spans="2:16">
      <c r="B3243" s="187"/>
      <c r="E3243"/>
      <c r="P3243"/>
    </row>
    <row r="3244" spans="2:16">
      <c r="B3244" s="187"/>
      <c r="E3244"/>
      <c r="P3244"/>
    </row>
    <row r="3245" spans="2:16">
      <c r="B3245" s="187"/>
      <c r="E3245"/>
      <c r="P3245"/>
    </row>
    <row r="3246" spans="2:16">
      <c r="B3246" s="187"/>
      <c r="E3246"/>
      <c r="P3246"/>
    </row>
    <row r="3247" spans="2:16">
      <c r="B3247" s="187"/>
      <c r="E3247"/>
      <c r="P3247"/>
    </row>
    <row r="3248" spans="2:16">
      <c r="B3248" s="187"/>
      <c r="E3248"/>
      <c r="P3248"/>
    </row>
    <row r="3249" spans="2:16">
      <c r="B3249" s="187"/>
      <c r="E3249"/>
      <c r="P3249"/>
    </row>
    <row r="3250" spans="2:16">
      <c r="B3250" s="187"/>
      <c r="E3250"/>
      <c r="P3250"/>
    </row>
    <row r="3251" spans="2:16">
      <c r="B3251" s="187"/>
      <c r="E3251"/>
      <c r="P3251"/>
    </row>
    <row r="3252" spans="2:16">
      <c r="B3252" s="187"/>
      <c r="E3252"/>
      <c r="P3252"/>
    </row>
    <row r="3253" spans="2:16">
      <c r="B3253" s="187"/>
      <c r="E3253"/>
      <c r="P3253"/>
    </row>
    <row r="3254" spans="2:16">
      <c r="B3254" s="187"/>
      <c r="E3254"/>
      <c r="P3254"/>
    </row>
    <row r="3255" spans="2:16">
      <c r="B3255" s="187"/>
      <c r="E3255"/>
      <c r="P3255"/>
    </row>
    <row r="3256" spans="2:16">
      <c r="B3256" s="187"/>
      <c r="E3256"/>
      <c r="P3256"/>
    </row>
    <row r="3257" spans="2:16">
      <c r="B3257" s="187"/>
      <c r="E3257"/>
      <c r="P3257"/>
    </row>
    <row r="3258" spans="2:16">
      <c r="B3258" s="187"/>
      <c r="E3258"/>
      <c r="P3258"/>
    </row>
    <row r="3259" spans="2:16">
      <c r="B3259" s="187"/>
      <c r="E3259"/>
      <c r="P3259"/>
    </row>
    <row r="3260" spans="2:16">
      <c r="B3260" s="187"/>
      <c r="E3260"/>
      <c r="P3260"/>
    </row>
    <row r="3261" spans="2:16">
      <c r="B3261" s="187"/>
      <c r="E3261"/>
      <c r="P3261"/>
    </row>
    <row r="3262" spans="2:16">
      <c r="B3262" s="187"/>
      <c r="E3262"/>
      <c r="P3262"/>
    </row>
    <row r="3263" spans="2:16">
      <c r="B3263" s="187"/>
      <c r="E3263"/>
      <c r="P3263"/>
    </row>
    <row r="3264" spans="2:16">
      <c r="B3264" s="187"/>
      <c r="E3264"/>
      <c r="P3264"/>
    </row>
    <row r="3265" spans="2:16">
      <c r="B3265" s="187"/>
      <c r="E3265"/>
      <c r="P3265"/>
    </row>
    <row r="3266" spans="2:16">
      <c r="B3266" s="187"/>
      <c r="E3266"/>
      <c r="P3266"/>
    </row>
    <row r="3267" spans="2:16">
      <c r="B3267" s="187"/>
      <c r="E3267"/>
      <c r="P3267"/>
    </row>
    <row r="3268" spans="2:16">
      <c r="B3268" s="187"/>
      <c r="E3268"/>
      <c r="P3268"/>
    </row>
    <row r="3269" spans="2:16">
      <c r="B3269" s="187"/>
      <c r="E3269"/>
      <c r="P3269"/>
    </row>
    <row r="3270" spans="2:16">
      <c r="B3270" s="187"/>
      <c r="E3270"/>
      <c r="P3270"/>
    </row>
    <row r="3271" spans="2:16">
      <c r="B3271" s="187"/>
      <c r="E3271"/>
      <c r="P3271"/>
    </row>
    <row r="3272" spans="2:16">
      <c r="B3272" s="187"/>
      <c r="E3272"/>
      <c r="P3272"/>
    </row>
    <row r="3273" spans="2:16">
      <c r="B3273" s="187"/>
      <c r="E3273"/>
      <c r="P3273"/>
    </row>
    <row r="3274" spans="2:16">
      <c r="B3274" s="187"/>
      <c r="E3274"/>
      <c r="P3274"/>
    </row>
    <row r="3275" spans="2:16">
      <c r="B3275" s="187"/>
      <c r="E3275"/>
      <c r="P3275"/>
    </row>
    <row r="3276" spans="2:16">
      <c r="B3276" s="187"/>
      <c r="E3276"/>
      <c r="P3276"/>
    </row>
    <row r="3277" spans="2:16">
      <c r="B3277" s="187"/>
      <c r="E3277"/>
      <c r="P3277"/>
    </row>
    <row r="3278" spans="2:16">
      <c r="B3278" s="187"/>
      <c r="E3278"/>
      <c r="P3278"/>
    </row>
    <row r="3279" spans="2:16">
      <c r="B3279" s="187"/>
      <c r="E3279"/>
      <c r="P3279"/>
    </row>
    <row r="3280" spans="2:16">
      <c r="B3280" s="187"/>
      <c r="E3280"/>
      <c r="P3280"/>
    </row>
    <row r="3281" spans="2:16">
      <c r="B3281" s="187"/>
      <c r="E3281"/>
      <c r="P3281"/>
    </row>
    <row r="3282" spans="2:16">
      <c r="B3282" s="187"/>
      <c r="E3282"/>
      <c r="P3282"/>
    </row>
    <row r="3283" spans="2:16">
      <c r="B3283" s="187"/>
      <c r="E3283"/>
      <c r="P3283"/>
    </row>
    <row r="3284" spans="2:16">
      <c r="B3284" s="187"/>
      <c r="E3284"/>
      <c r="P3284"/>
    </row>
    <row r="3285" spans="2:16">
      <c r="B3285" s="187"/>
      <c r="E3285"/>
      <c r="P3285"/>
    </row>
    <row r="3286" spans="2:16">
      <c r="B3286" s="187"/>
      <c r="E3286"/>
      <c r="P3286"/>
    </row>
    <row r="3287" spans="2:16">
      <c r="B3287" s="187"/>
      <c r="E3287"/>
      <c r="P3287"/>
    </row>
    <row r="3288" spans="2:16">
      <c r="B3288" s="187"/>
      <c r="E3288"/>
      <c r="P3288"/>
    </row>
    <row r="3289" spans="2:16">
      <c r="B3289" s="187"/>
      <c r="E3289"/>
      <c r="P3289"/>
    </row>
    <row r="3290" spans="2:16">
      <c r="B3290" s="187"/>
      <c r="E3290"/>
      <c r="P3290"/>
    </row>
    <row r="3291" spans="2:16">
      <c r="B3291" s="187"/>
      <c r="E3291"/>
      <c r="P3291"/>
    </row>
    <row r="3292" spans="2:16">
      <c r="B3292" s="187"/>
      <c r="E3292"/>
      <c r="P3292"/>
    </row>
    <row r="3293" spans="2:16">
      <c r="B3293" s="187"/>
      <c r="E3293"/>
      <c r="P3293"/>
    </row>
    <row r="3294" spans="2:16">
      <c r="B3294" s="187"/>
      <c r="E3294"/>
      <c r="P3294"/>
    </row>
    <row r="3295" spans="2:16">
      <c r="B3295" s="187"/>
      <c r="E3295"/>
      <c r="P3295"/>
    </row>
    <row r="3296" spans="2:16">
      <c r="B3296" s="187"/>
      <c r="E3296"/>
      <c r="P3296"/>
    </row>
    <row r="3297" spans="2:16">
      <c r="B3297" s="187"/>
      <c r="E3297"/>
      <c r="P3297"/>
    </row>
    <row r="3298" spans="2:16">
      <c r="B3298" s="187"/>
      <c r="E3298"/>
      <c r="P3298"/>
    </row>
    <row r="3299" spans="2:16">
      <c r="B3299" s="187"/>
      <c r="E3299"/>
      <c r="P3299"/>
    </row>
    <row r="3300" spans="2:16">
      <c r="B3300" s="187"/>
      <c r="E3300"/>
      <c r="P3300"/>
    </row>
    <row r="3301" spans="2:16">
      <c r="B3301" s="187"/>
      <c r="E3301"/>
      <c r="P3301"/>
    </row>
    <row r="3302" spans="2:16">
      <c r="B3302" s="187"/>
      <c r="E3302"/>
      <c r="P3302"/>
    </row>
    <row r="3303" spans="2:16">
      <c r="B3303" s="187"/>
      <c r="E3303"/>
      <c r="P3303"/>
    </row>
    <row r="3304" spans="2:16">
      <c r="B3304" s="187"/>
      <c r="E3304"/>
      <c r="P3304"/>
    </row>
    <row r="3305" spans="2:16">
      <c r="B3305" s="187"/>
      <c r="E3305"/>
      <c r="P3305"/>
    </row>
    <row r="3306" spans="2:16">
      <c r="B3306" s="187"/>
      <c r="E3306"/>
      <c r="P3306"/>
    </row>
    <row r="3307" spans="2:16">
      <c r="B3307" s="187"/>
      <c r="E3307"/>
      <c r="P3307"/>
    </row>
    <row r="3308" spans="2:16">
      <c r="B3308" s="187"/>
      <c r="E3308"/>
      <c r="P3308"/>
    </row>
    <row r="3309" spans="2:16">
      <c r="B3309" s="187"/>
      <c r="E3309"/>
      <c r="P3309"/>
    </row>
    <row r="3310" spans="2:16">
      <c r="B3310" s="187"/>
      <c r="E3310"/>
      <c r="P3310"/>
    </row>
    <row r="3311" spans="2:16">
      <c r="B3311" s="187"/>
      <c r="E3311"/>
      <c r="P3311"/>
    </row>
    <row r="3312" spans="2:16">
      <c r="B3312" s="187"/>
      <c r="E3312"/>
      <c r="P3312"/>
    </row>
    <row r="3313" spans="2:16">
      <c r="B3313" s="187"/>
      <c r="E3313"/>
      <c r="P3313"/>
    </row>
    <row r="3314" spans="2:16">
      <c r="B3314" s="187"/>
      <c r="E3314"/>
      <c r="P3314"/>
    </row>
    <row r="3315" spans="2:16">
      <c r="B3315" s="187"/>
      <c r="E3315"/>
      <c r="P3315"/>
    </row>
    <row r="3316" spans="2:16">
      <c r="B3316" s="187"/>
      <c r="E3316"/>
      <c r="P3316"/>
    </row>
    <row r="3317" spans="2:16">
      <c r="B3317" s="187"/>
      <c r="E3317"/>
      <c r="P3317"/>
    </row>
    <row r="3318" spans="2:16">
      <c r="B3318" s="187"/>
      <c r="E3318"/>
      <c r="P3318"/>
    </row>
    <row r="3319" spans="2:16">
      <c r="B3319" s="187"/>
      <c r="E3319"/>
      <c r="P3319"/>
    </row>
    <row r="3320" spans="2:16">
      <c r="B3320" s="187"/>
      <c r="E3320"/>
      <c r="P3320"/>
    </row>
    <row r="3321" spans="2:16">
      <c r="B3321" s="187"/>
      <c r="E3321"/>
      <c r="P3321"/>
    </row>
    <row r="3322" spans="2:16">
      <c r="B3322" s="187"/>
      <c r="E3322"/>
      <c r="P3322"/>
    </row>
    <row r="3323" spans="2:16">
      <c r="B3323" s="187"/>
      <c r="E3323"/>
      <c r="P3323"/>
    </row>
    <row r="3324" spans="2:16">
      <c r="B3324" s="187"/>
      <c r="E3324"/>
      <c r="P3324"/>
    </row>
    <row r="3325" spans="2:16">
      <c r="B3325" s="187"/>
      <c r="E3325"/>
      <c r="P3325"/>
    </row>
    <row r="3326" spans="2:16">
      <c r="B3326" s="187"/>
      <c r="E3326"/>
      <c r="P3326"/>
    </row>
    <row r="3327" spans="2:16">
      <c r="B3327" s="187"/>
      <c r="E3327"/>
      <c r="P3327"/>
    </row>
    <row r="3328" spans="2:16">
      <c r="B3328" s="187"/>
      <c r="E3328"/>
      <c r="P3328"/>
    </row>
    <row r="3329" spans="2:16">
      <c r="B3329" s="187"/>
      <c r="E3329"/>
      <c r="P3329"/>
    </row>
    <row r="3330" spans="2:16">
      <c r="B3330" s="187"/>
      <c r="E3330"/>
      <c r="P3330"/>
    </row>
    <row r="3331" spans="2:16">
      <c r="B3331" s="187"/>
      <c r="E3331"/>
      <c r="P3331"/>
    </row>
    <row r="3332" spans="2:16">
      <c r="B3332" s="187"/>
      <c r="E3332"/>
      <c r="P3332"/>
    </row>
    <row r="3333" spans="2:16">
      <c r="B3333" s="187"/>
      <c r="E3333"/>
      <c r="P3333"/>
    </row>
    <row r="3334" spans="2:16">
      <c r="B3334" s="187"/>
      <c r="E3334"/>
      <c r="P3334"/>
    </row>
    <row r="3335" spans="2:16">
      <c r="B3335" s="187"/>
      <c r="E3335"/>
      <c r="P3335"/>
    </row>
    <row r="3336" spans="2:16">
      <c r="B3336" s="187"/>
      <c r="E3336"/>
      <c r="P3336"/>
    </row>
    <row r="3337" spans="2:16">
      <c r="B3337" s="187"/>
      <c r="E3337"/>
      <c r="P3337"/>
    </row>
    <row r="3338" spans="2:16">
      <c r="B3338" s="187"/>
      <c r="E3338"/>
      <c r="P3338"/>
    </row>
    <row r="3339" spans="2:16">
      <c r="B3339" s="187"/>
      <c r="E3339"/>
      <c r="P3339"/>
    </row>
    <row r="3340" spans="2:16">
      <c r="B3340" s="187"/>
      <c r="E3340"/>
      <c r="P3340"/>
    </row>
    <row r="3341" spans="2:16">
      <c r="B3341" s="187"/>
      <c r="E3341"/>
      <c r="P3341"/>
    </row>
    <row r="3342" spans="2:16">
      <c r="B3342" s="187"/>
      <c r="E3342"/>
      <c r="P3342"/>
    </row>
    <row r="3343" spans="2:16">
      <c r="B3343" s="187"/>
      <c r="E3343"/>
      <c r="P3343"/>
    </row>
    <row r="3344" spans="2:16">
      <c r="B3344" s="187"/>
      <c r="E3344"/>
      <c r="P3344"/>
    </row>
    <row r="3345" spans="2:16">
      <c r="B3345" s="187"/>
      <c r="E3345"/>
      <c r="P3345"/>
    </row>
    <row r="3346" spans="2:16">
      <c r="B3346" s="187"/>
      <c r="E3346"/>
      <c r="P3346"/>
    </row>
    <row r="3347" spans="2:16">
      <c r="B3347" s="187"/>
      <c r="E3347"/>
      <c r="P3347"/>
    </row>
    <row r="3348" spans="2:16">
      <c r="B3348" s="187"/>
      <c r="E3348"/>
      <c r="P3348"/>
    </row>
    <row r="3349" spans="2:16">
      <c r="B3349" s="187"/>
      <c r="E3349"/>
      <c r="P3349"/>
    </row>
    <row r="3350" spans="2:16">
      <c r="B3350" s="187"/>
      <c r="E3350"/>
      <c r="P3350"/>
    </row>
    <row r="3351" spans="2:16">
      <c r="B3351" s="187"/>
      <c r="E3351"/>
      <c r="P3351"/>
    </row>
    <row r="3352" spans="2:16">
      <c r="B3352" s="187"/>
      <c r="E3352"/>
      <c r="P3352"/>
    </row>
    <row r="3353" spans="2:16">
      <c r="B3353" s="187"/>
      <c r="E3353"/>
      <c r="P3353"/>
    </row>
    <row r="3354" spans="2:16">
      <c r="B3354" s="187"/>
      <c r="E3354"/>
      <c r="P3354"/>
    </row>
    <row r="3355" spans="2:16">
      <c r="B3355" s="187"/>
      <c r="E3355"/>
      <c r="P3355"/>
    </row>
    <row r="3356" spans="2:16">
      <c r="B3356" s="187"/>
      <c r="E3356"/>
      <c r="P3356"/>
    </row>
    <row r="3357" spans="2:16">
      <c r="B3357" s="187"/>
      <c r="E3357"/>
      <c r="P3357"/>
    </row>
    <row r="3358" spans="2:16">
      <c r="B3358" s="187"/>
      <c r="E3358"/>
      <c r="P3358"/>
    </row>
    <row r="3359" spans="2:16">
      <c r="B3359" s="187"/>
      <c r="E3359"/>
      <c r="P3359"/>
    </row>
    <row r="3360" spans="2:16">
      <c r="B3360" s="187"/>
      <c r="E3360"/>
      <c r="P3360"/>
    </row>
    <row r="3361" spans="2:16">
      <c r="B3361" s="187"/>
      <c r="E3361"/>
      <c r="P3361"/>
    </row>
    <row r="3362" spans="2:16">
      <c r="B3362" s="187"/>
      <c r="E3362"/>
      <c r="P3362"/>
    </row>
    <row r="3363" spans="2:16">
      <c r="B3363" s="187"/>
      <c r="E3363"/>
      <c r="P3363"/>
    </row>
    <row r="3364" spans="2:16">
      <c r="B3364" s="187"/>
      <c r="E3364"/>
      <c r="P3364"/>
    </row>
    <row r="3365" spans="2:16">
      <c r="B3365" s="187"/>
      <c r="E3365"/>
      <c r="P3365"/>
    </row>
    <row r="3366" spans="2:16">
      <c r="B3366" s="187"/>
      <c r="E3366"/>
      <c r="P3366"/>
    </row>
    <row r="3367" spans="2:16">
      <c r="B3367" s="187"/>
      <c r="E3367"/>
      <c r="P3367"/>
    </row>
    <row r="3368" spans="2:16">
      <c r="B3368" s="187"/>
      <c r="E3368"/>
      <c r="P3368"/>
    </row>
    <row r="3369" spans="2:16">
      <c r="B3369" s="187"/>
      <c r="E3369"/>
      <c r="P3369"/>
    </row>
    <row r="3370" spans="2:16">
      <c r="B3370" s="187"/>
      <c r="E3370"/>
      <c r="P3370"/>
    </row>
    <row r="3371" spans="2:16">
      <c r="B3371" s="187"/>
      <c r="E3371"/>
      <c r="P3371"/>
    </row>
    <row r="3372" spans="2:16">
      <c r="B3372" s="187"/>
      <c r="E3372"/>
      <c r="P3372"/>
    </row>
    <row r="3373" spans="2:16">
      <c r="B3373" s="187"/>
      <c r="E3373"/>
      <c r="P3373"/>
    </row>
    <row r="3374" spans="2:16">
      <c r="B3374" s="187"/>
      <c r="E3374"/>
      <c r="P3374"/>
    </row>
    <row r="3375" spans="2:16">
      <c r="B3375" s="187"/>
      <c r="E3375"/>
      <c r="P3375"/>
    </row>
    <row r="3376" spans="2:16">
      <c r="B3376" s="187"/>
      <c r="E3376"/>
      <c r="P3376"/>
    </row>
    <row r="3377" spans="2:16">
      <c r="B3377" s="187"/>
      <c r="E3377"/>
      <c r="P3377"/>
    </row>
    <row r="3378" spans="2:16">
      <c r="B3378" s="187"/>
      <c r="E3378"/>
      <c r="P3378"/>
    </row>
    <row r="3379" spans="2:16">
      <c r="B3379" s="187"/>
      <c r="E3379"/>
      <c r="P3379"/>
    </row>
    <row r="3380" spans="2:16">
      <c r="B3380" s="187"/>
      <c r="E3380"/>
      <c r="P3380"/>
    </row>
    <row r="3381" spans="2:16">
      <c r="B3381" s="187"/>
      <c r="E3381"/>
      <c r="P3381"/>
    </row>
    <row r="3382" spans="2:16">
      <c r="B3382" s="187"/>
      <c r="E3382"/>
      <c r="P3382"/>
    </row>
    <row r="3383" spans="2:16">
      <c r="B3383" s="187"/>
      <c r="E3383"/>
      <c r="P3383"/>
    </row>
    <row r="3384" spans="2:16">
      <c r="B3384" s="187"/>
      <c r="E3384"/>
      <c r="P3384"/>
    </row>
    <row r="3385" spans="2:16">
      <c r="B3385" s="187"/>
      <c r="E3385"/>
      <c r="P3385"/>
    </row>
    <row r="3386" spans="2:16">
      <c r="B3386" s="187"/>
      <c r="E3386"/>
      <c r="P3386"/>
    </row>
    <row r="3387" spans="2:16">
      <c r="B3387" s="187"/>
      <c r="E3387"/>
      <c r="P3387"/>
    </row>
    <row r="3388" spans="2:16">
      <c r="B3388" s="187"/>
      <c r="E3388"/>
      <c r="P3388"/>
    </row>
    <row r="3389" spans="2:16">
      <c r="B3389" s="187"/>
      <c r="E3389"/>
      <c r="P3389"/>
    </row>
    <row r="3390" spans="2:16">
      <c r="B3390" s="187"/>
      <c r="E3390"/>
      <c r="P3390"/>
    </row>
    <row r="3391" spans="2:16">
      <c r="B3391" s="187"/>
      <c r="E3391"/>
      <c r="P3391"/>
    </row>
    <row r="3392" spans="2:16">
      <c r="B3392" s="187"/>
      <c r="E3392"/>
      <c r="P3392"/>
    </row>
    <row r="3393" spans="2:16">
      <c r="B3393" s="187"/>
      <c r="E3393"/>
      <c r="P3393"/>
    </row>
    <row r="3394" spans="2:16">
      <c r="B3394" s="187"/>
      <c r="E3394"/>
      <c r="P3394"/>
    </row>
    <row r="3395" spans="2:16">
      <c r="B3395" s="187"/>
      <c r="E3395"/>
      <c r="P3395"/>
    </row>
    <row r="3396" spans="2:16">
      <c r="B3396" s="187"/>
      <c r="E3396"/>
      <c r="P3396"/>
    </row>
    <row r="3397" spans="2:16">
      <c r="B3397" s="187"/>
      <c r="E3397"/>
      <c r="P3397"/>
    </row>
    <row r="3398" spans="2:16">
      <c r="B3398" s="187"/>
      <c r="E3398"/>
      <c r="P3398"/>
    </row>
    <row r="3399" spans="2:16">
      <c r="B3399" s="187"/>
      <c r="E3399"/>
      <c r="P3399"/>
    </row>
    <row r="3400" spans="2:16">
      <c r="B3400" s="187"/>
      <c r="E3400"/>
      <c r="P3400"/>
    </row>
    <row r="3401" spans="2:16">
      <c r="B3401" s="187"/>
      <c r="E3401"/>
      <c r="P3401"/>
    </row>
    <row r="3402" spans="2:16">
      <c r="B3402" s="187"/>
      <c r="E3402"/>
      <c r="P3402"/>
    </row>
    <row r="3403" spans="2:16">
      <c r="B3403" s="187"/>
      <c r="E3403"/>
      <c r="P3403"/>
    </row>
    <row r="3404" spans="2:16">
      <c r="B3404" s="187"/>
      <c r="E3404"/>
      <c r="P3404"/>
    </row>
    <row r="3405" spans="2:16">
      <c r="B3405" s="187"/>
      <c r="E3405"/>
      <c r="P3405"/>
    </row>
    <row r="3406" spans="2:16">
      <c r="B3406" s="187"/>
      <c r="E3406"/>
      <c r="P3406"/>
    </row>
    <row r="3407" spans="2:16">
      <c r="B3407" s="187"/>
      <c r="E3407"/>
      <c r="P3407"/>
    </row>
    <row r="3408" spans="2:16">
      <c r="B3408" s="187"/>
      <c r="E3408"/>
      <c r="P3408"/>
    </row>
    <row r="3409" spans="2:16">
      <c r="B3409" s="187"/>
      <c r="E3409"/>
      <c r="P3409"/>
    </row>
    <row r="3410" spans="2:16">
      <c r="B3410" s="187"/>
      <c r="E3410"/>
      <c r="P3410"/>
    </row>
    <row r="3411" spans="2:16">
      <c r="B3411" s="187"/>
      <c r="E3411"/>
      <c r="P3411"/>
    </row>
    <row r="3412" spans="2:16">
      <c r="B3412" s="187"/>
      <c r="E3412"/>
      <c r="P3412"/>
    </row>
    <row r="3413" spans="2:16">
      <c r="B3413" s="187"/>
      <c r="E3413"/>
      <c r="P3413"/>
    </row>
    <row r="3414" spans="2:16">
      <c r="B3414" s="187"/>
      <c r="E3414"/>
      <c r="P3414"/>
    </row>
    <row r="3415" spans="2:16">
      <c r="B3415" s="187"/>
      <c r="E3415"/>
      <c r="P3415"/>
    </row>
    <row r="3416" spans="2:16">
      <c r="B3416" s="187"/>
      <c r="E3416"/>
      <c r="P3416"/>
    </row>
    <row r="3417" spans="2:16">
      <c r="B3417" s="187"/>
      <c r="E3417"/>
      <c r="P3417"/>
    </row>
    <row r="3418" spans="2:16">
      <c r="B3418" s="187"/>
      <c r="E3418"/>
      <c r="P3418"/>
    </row>
    <row r="3419" spans="2:16">
      <c r="B3419" s="187"/>
      <c r="E3419"/>
      <c r="P3419"/>
    </row>
    <row r="3420" spans="2:16">
      <c r="B3420" s="187"/>
      <c r="E3420"/>
      <c r="P3420"/>
    </row>
    <row r="3421" spans="2:16">
      <c r="B3421" s="187"/>
      <c r="E3421"/>
      <c r="P3421"/>
    </row>
    <row r="3422" spans="2:16">
      <c r="B3422" s="187"/>
      <c r="E3422"/>
      <c r="P3422"/>
    </row>
    <row r="3423" spans="2:16">
      <c r="B3423" s="187"/>
      <c r="E3423"/>
      <c r="P3423"/>
    </row>
    <row r="3424" spans="2:16">
      <c r="B3424" s="187"/>
      <c r="E3424"/>
      <c r="P3424"/>
    </row>
    <row r="3425" spans="2:16">
      <c r="B3425" s="187"/>
      <c r="E3425"/>
      <c r="P3425"/>
    </row>
    <row r="3426" spans="2:16">
      <c r="B3426" s="187"/>
      <c r="E3426"/>
      <c r="P3426"/>
    </row>
    <row r="3427" spans="2:16">
      <c r="B3427" s="187"/>
      <c r="E3427"/>
      <c r="P3427"/>
    </row>
    <row r="3428" spans="2:16">
      <c r="B3428" s="187"/>
      <c r="E3428"/>
      <c r="P3428"/>
    </row>
    <row r="3429" spans="2:16">
      <c r="B3429" s="187"/>
      <c r="E3429"/>
      <c r="P3429"/>
    </row>
    <row r="3430" spans="2:16">
      <c r="B3430" s="187"/>
      <c r="E3430"/>
      <c r="P3430"/>
    </row>
    <row r="3431" spans="2:16">
      <c r="B3431" s="187"/>
      <c r="E3431"/>
      <c r="P3431"/>
    </row>
    <row r="3432" spans="2:16">
      <c r="B3432" s="187"/>
      <c r="E3432"/>
      <c r="P3432"/>
    </row>
    <row r="3433" spans="2:16">
      <c r="B3433" s="187"/>
      <c r="E3433"/>
      <c r="P3433"/>
    </row>
    <row r="3434" spans="2:16">
      <c r="B3434" s="187"/>
      <c r="E3434"/>
      <c r="P3434"/>
    </row>
    <row r="3435" spans="2:16">
      <c r="B3435" s="187"/>
      <c r="E3435"/>
      <c r="P3435"/>
    </row>
    <row r="3436" spans="2:16">
      <c r="B3436" s="187"/>
      <c r="E3436"/>
      <c r="P3436"/>
    </row>
    <row r="3437" spans="2:16">
      <c r="B3437" s="187"/>
      <c r="E3437"/>
      <c r="P3437"/>
    </row>
    <row r="3438" spans="2:16">
      <c r="B3438" s="187"/>
      <c r="E3438"/>
      <c r="P3438"/>
    </row>
    <row r="3439" spans="2:16">
      <c r="B3439" s="187"/>
      <c r="E3439"/>
      <c r="P3439"/>
    </row>
    <row r="3440" spans="2:16">
      <c r="B3440" s="187"/>
      <c r="E3440"/>
      <c r="P3440"/>
    </row>
    <row r="3441" spans="2:16">
      <c r="B3441" s="187"/>
      <c r="E3441"/>
      <c r="P3441"/>
    </row>
    <row r="3442" spans="2:16">
      <c r="B3442" s="187"/>
      <c r="E3442"/>
      <c r="P3442"/>
    </row>
    <row r="3443" spans="2:16">
      <c r="B3443" s="187"/>
      <c r="E3443"/>
      <c r="P3443"/>
    </row>
    <row r="3444" spans="2:16">
      <c r="B3444" s="187"/>
      <c r="E3444"/>
      <c r="P3444"/>
    </row>
    <row r="3445" spans="2:16">
      <c r="B3445" s="187"/>
      <c r="E3445"/>
      <c r="P3445"/>
    </row>
    <row r="3446" spans="2:16">
      <c r="B3446" s="187"/>
      <c r="E3446"/>
      <c r="P3446"/>
    </row>
    <row r="3447" spans="2:16">
      <c r="B3447" s="187"/>
      <c r="E3447"/>
      <c r="P3447"/>
    </row>
    <row r="3448" spans="2:16">
      <c r="B3448" s="187"/>
      <c r="E3448"/>
      <c r="P3448"/>
    </row>
    <row r="3449" spans="2:16">
      <c r="B3449" s="187"/>
      <c r="E3449"/>
      <c r="P3449"/>
    </row>
    <row r="3450" spans="2:16">
      <c r="B3450" s="187"/>
      <c r="E3450"/>
      <c r="P3450"/>
    </row>
    <row r="3451" spans="2:16">
      <c r="B3451" s="187"/>
      <c r="E3451"/>
      <c r="P3451"/>
    </row>
    <row r="3452" spans="2:16">
      <c r="B3452" s="187"/>
      <c r="E3452"/>
      <c r="P3452"/>
    </row>
    <row r="3453" spans="2:16">
      <c r="B3453" s="187"/>
      <c r="E3453"/>
      <c r="P3453"/>
    </row>
    <row r="3454" spans="2:16">
      <c r="B3454" s="187"/>
      <c r="E3454"/>
      <c r="P3454"/>
    </row>
    <row r="3455" spans="2:16">
      <c r="B3455" s="187"/>
      <c r="E3455"/>
      <c r="P3455"/>
    </row>
    <row r="3456" spans="2:16">
      <c r="B3456" s="187"/>
      <c r="E3456"/>
      <c r="P3456"/>
    </row>
    <row r="3457" spans="2:16">
      <c r="B3457" s="187"/>
      <c r="E3457"/>
      <c r="P3457"/>
    </row>
    <row r="3458" spans="2:16">
      <c r="B3458" s="187"/>
      <c r="E3458"/>
      <c r="P3458"/>
    </row>
    <row r="3459" spans="2:16">
      <c r="B3459" s="187"/>
      <c r="E3459"/>
      <c r="P3459"/>
    </row>
    <row r="3460" spans="2:16">
      <c r="B3460" s="187"/>
      <c r="E3460"/>
      <c r="P3460"/>
    </row>
    <row r="3461" spans="2:16">
      <c r="B3461" s="187"/>
      <c r="E3461"/>
      <c r="P3461"/>
    </row>
    <row r="3462" spans="2:16">
      <c r="B3462" s="187"/>
      <c r="E3462"/>
      <c r="P3462"/>
    </row>
    <row r="3463" spans="2:16">
      <c r="B3463" s="187"/>
      <c r="E3463"/>
      <c r="P3463"/>
    </row>
    <row r="3464" spans="2:16">
      <c r="B3464" s="187"/>
      <c r="E3464"/>
      <c r="P3464"/>
    </row>
    <row r="3465" spans="2:16">
      <c r="B3465" s="187"/>
      <c r="E3465"/>
      <c r="P3465"/>
    </row>
    <row r="3466" spans="2:16">
      <c r="B3466" s="187"/>
      <c r="E3466"/>
      <c r="P3466"/>
    </row>
    <row r="3467" spans="2:16">
      <c r="B3467" s="187"/>
      <c r="E3467"/>
      <c r="P3467"/>
    </row>
    <row r="3468" spans="2:16">
      <c r="B3468" s="187"/>
      <c r="E3468"/>
      <c r="P3468"/>
    </row>
    <row r="3469" spans="2:16">
      <c r="B3469" s="187"/>
      <c r="E3469"/>
      <c r="P3469"/>
    </row>
    <row r="3470" spans="2:16">
      <c r="B3470" s="187"/>
      <c r="E3470"/>
      <c r="P3470"/>
    </row>
    <row r="3471" spans="2:16">
      <c r="B3471" s="187"/>
      <c r="E3471"/>
      <c r="P3471"/>
    </row>
    <row r="3472" spans="2:16">
      <c r="B3472" s="187"/>
      <c r="E3472"/>
      <c r="P3472"/>
    </row>
    <row r="3473" spans="2:16">
      <c r="B3473" s="187"/>
      <c r="E3473"/>
      <c r="P3473"/>
    </row>
    <row r="3474" spans="2:16">
      <c r="B3474" s="187"/>
      <c r="E3474"/>
      <c r="P3474"/>
    </row>
    <row r="3475" spans="2:16">
      <c r="B3475" s="187"/>
      <c r="E3475"/>
      <c r="P3475"/>
    </row>
    <row r="3476" spans="2:16">
      <c r="B3476" s="187"/>
      <c r="E3476"/>
      <c r="P3476"/>
    </row>
    <row r="3477" spans="2:16">
      <c r="B3477" s="187"/>
      <c r="E3477"/>
      <c r="P3477"/>
    </row>
    <row r="3478" spans="2:16">
      <c r="B3478" s="187"/>
      <c r="E3478"/>
      <c r="P3478"/>
    </row>
    <row r="3479" spans="2:16">
      <c r="B3479" s="187"/>
      <c r="E3479"/>
      <c r="P3479"/>
    </row>
    <row r="3480" spans="2:16">
      <c r="B3480" s="187"/>
      <c r="E3480"/>
      <c r="P3480"/>
    </row>
    <row r="3481" spans="2:16">
      <c r="B3481" s="187"/>
      <c r="E3481"/>
      <c r="P3481"/>
    </row>
    <row r="3482" spans="2:16">
      <c r="B3482" s="187"/>
      <c r="E3482"/>
      <c r="P3482"/>
    </row>
    <row r="3483" spans="2:16">
      <c r="B3483" s="187"/>
      <c r="E3483"/>
      <c r="P3483"/>
    </row>
    <row r="3484" spans="2:16">
      <c r="B3484" s="187"/>
      <c r="E3484"/>
      <c r="P3484"/>
    </row>
    <row r="3485" spans="2:16">
      <c r="B3485" s="187"/>
      <c r="E3485"/>
      <c r="P3485"/>
    </row>
    <row r="3486" spans="2:16">
      <c r="B3486" s="187"/>
      <c r="E3486"/>
      <c r="P3486"/>
    </row>
    <row r="3487" spans="2:16">
      <c r="B3487" s="187"/>
      <c r="E3487"/>
      <c r="P3487"/>
    </row>
    <row r="3488" spans="2:16">
      <c r="B3488" s="187"/>
      <c r="E3488"/>
      <c r="P3488"/>
    </row>
    <row r="3489" spans="2:16">
      <c r="B3489" s="187"/>
      <c r="E3489"/>
      <c r="P3489"/>
    </row>
    <row r="3490" spans="2:16">
      <c r="B3490" s="187"/>
      <c r="E3490"/>
      <c r="P3490"/>
    </row>
    <row r="3491" spans="2:16">
      <c r="B3491" s="187"/>
      <c r="E3491"/>
      <c r="P3491"/>
    </row>
    <row r="3492" spans="2:16">
      <c r="B3492" s="187"/>
      <c r="E3492"/>
      <c r="P3492"/>
    </row>
    <row r="3493" spans="2:16">
      <c r="B3493" s="187"/>
      <c r="E3493"/>
      <c r="P3493"/>
    </row>
    <row r="3494" spans="2:16">
      <c r="B3494" s="187"/>
      <c r="E3494"/>
      <c r="P3494"/>
    </row>
    <row r="3495" spans="2:16">
      <c r="B3495" s="187"/>
      <c r="E3495"/>
      <c r="P3495"/>
    </row>
    <row r="3496" spans="2:16">
      <c r="B3496" s="187"/>
      <c r="E3496"/>
      <c r="P3496"/>
    </row>
    <row r="3497" spans="2:16">
      <c r="B3497" s="187"/>
      <c r="E3497"/>
      <c r="P3497"/>
    </row>
    <row r="3498" spans="2:16">
      <c r="B3498" s="187"/>
      <c r="E3498"/>
      <c r="P3498"/>
    </row>
    <row r="3499" spans="2:16">
      <c r="B3499" s="187"/>
      <c r="E3499"/>
      <c r="P3499"/>
    </row>
    <row r="3500" spans="2:16">
      <c r="B3500" s="187"/>
      <c r="E3500"/>
      <c r="P3500"/>
    </row>
    <row r="3501" spans="2:16">
      <c r="B3501" s="187"/>
      <c r="E3501"/>
      <c r="P3501"/>
    </row>
    <row r="3502" spans="2:16">
      <c r="B3502" s="187"/>
      <c r="E3502"/>
      <c r="P3502"/>
    </row>
    <row r="3503" spans="2:16">
      <c r="B3503" s="187"/>
      <c r="E3503"/>
      <c r="P3503"/>
    </row>
    <row r="3504" spans="2:16">
      <c r="B3504" s="187"/>
      <c r="E3504"/>
      <c r="P3504"/>
    </row>
    <row r="3505" spans="2:16">
      <c r="B3505" s="187"/>
      <c r="E3505"/>
      <c r="P3505"/>
    </row>
    <row r="3506" spans="2:16">
      <c r="B3506" s="187"/>
      <c r="E3506"/>
      <c r="P3506"/>
    </row>
    <row r="3507" spans="2:16">
      <c r="B3507" s="187"/>
      <c r="E3507"/>
      <c r="P3507"/>
    </row>
    <row r="3508" spans="2:16">
      <c r="B3508" s="187"/>
      <c r="E3508"/>
      <c r="P3508"/>
    </row>
    <row r="3509" spans="2:16">
      <c r="B3509" s="187"/>
      <c r="E3509"/>
      <c r="P3509"/>
    </row>
    <row r="3510" spans="2:16">
      <c r="B3510" s="187"/>
      <c r="E3510"/>
      <c r="P3510"/>
    </row>
    <row r="3511" spans="2:16">
      <c r="B3511" s="187"/>
      <c r="E3511"/>
      <c r="P3511"/>
    </row>
    <row r="3512" spans="2:16">
      <c r="B3512" s="187"/>
      <c r="E3512"/>
      <c r="P3512"/>
    </row>
    <row r="3513" spans="2:16">
      <c r="B3513" s="187"/>
      <c r="E3513"/>
      <c r="P3513"/>
    </row>
    <row r="3514" spans="2:16">
      <c r="B3514" s="187"/>
      <c r="E3514"/>
      <c r="P3514"/>
    </row>
    <row r="3515" spans="2:16">
      <c r="B3515" s="187"/>
      <c r="E3515"/>
      <c r="P3515"/>
    </row>
    <row r="3516" spans="2:16">
      <c r="B3516" s="187"/>
      <c r="E3516"/>
      <c r="P3516"/>
    </row>
    <row r="3517" spans="2:16">
      <c r="B3517" s="187"/>
      <c r="E3517"/>
      <c r="P3517"/>
    </row>
    <row r="3518" spans="2:16">
      <c r="B3518" s="187"/>
      <c r="E3518"/>
      <c r="P3518"/>
    </row>
    <row r="3519" spans="2:16">
      <c r="B3519" s="187"/>
      <c r="E3519"/>
      <c r="P3519"/>
    </row>
    <row r="3520" spans="2:16">
      <c r="B3520" s="187"/>
      <c r="E3520"/>
      <c r="P3520"/>
    </row>
    <row r="3521" spans="2:16">
      <c r="B3521" s="187"/>
      <c r="E3521"/>
      <c r="P3521"/>
    </row>
    <row r="3522" spans="2:16">
      <c r="B3522" s="187"/>
      <c r="E3522"/>
      <c r="P3522"/>
    </row>
    <row r="3523" spans="2:16">
      <c r="B3523" s="187"/>
      <c r="E3523"/>
      <c r="P3523"/>
    </row>
    <row r="3524" spans="2:16">
      <c r="B3524" s="187"/>
      <c r="E3524"/>
      <c r="P3524"/>
    </row>
    <row r="3525" spans="2:16">
      <c r="B3525" s="187"/>
      <c r="E3525"/>
      <c r="P3525"/>
    </row>
    <row r="3526" spans="2:16">
      <c r="B3526" s="187"/>
      <c r="E3526"/>
      <c r="P3526"/>
    </row>
    <row r="3527" spans="2:16">
      <c r="B3527" s="187"/>
      <c r="E3527"/>
      <c r="P3527"/>
    </row>
    <row r="3528" spans="2:16">
      <c r="B3528" s="187"/>
      <c r="E3528"/>
      <c r="P3528"/>
    </row>
    <row r="3529" spans="2:16">
      <c r="B3529" s="187"/>
      <c r="E3529"/>
      <c r="P3529"/>
    </row>
    <row r="3530" spans="2:16">
      <c r="B3530" s="187"/>
      <c r="E3530"/>
      <c r="P3530"/>
    </row>
    <row r="3531" spans="2:16">
      <c r="B3531" s="187"/>
      <c r="E3531"/>
      <c r="P3531"/>
    </row>
    <row r="3532" spans="2:16">
      <c r="B3532" s="187"/>
      <c r="E3532"/>
      <c r="P3532"/>
    </row>
    <row r="3533" spans="2:16">
      <c r="B3533" s="187"/>
      <c r="E3533"/>
      <c r="P3533"/>
    </row>
    <row r="3534" spans="2:16">
      <c r="B3534" s="187"/>
      <c r="E3534"/>
      <c r="P3534"/>
    </row>
    <row r="3535" spans="2:16">
      <c r="B3535" s="187"/>
      <c r="E3535"/>
      <c r="P3535"/>
    </row>
    <row r="3536" spans="2:16">
      <c r="B3536" s="187"/>
      <c r="E3536"/>
      <c r="P3536"/>
    </row>
    <row r="3537" spans="2:16">
      <c r="B3537" s="187"/>
      <c r="E3537"/>
      <c r="P3537"/>
    </row>
    <row r="3538" spans="2:16">
      <c r="B3538" s="187"/>
      <c r="E3538"/>
      <c r="P3538"/>
    </row>
    <row r="3539" spans="2:16">
      <c r="B3539" s="187"/>
      <c r="E3539"/>
      <c r="P3539"/>
    </row>
    <row r="3540" spans="2:16">
      <c r="B3540" s="187"/>
      <c r="E3540"/>
      <c r="P3540"/>
    </row>
    <row r="3541" spans="2:16">
      <c r="B3541" s="187"/>
      <c r="E3541"/>
      <c r="P3541"/>
    </row>
    <row r="3542" spans="2:16">
      <c r="B3542" s="187"/>
      <c r="E3542"/>
      <c r="P3542"/>
    </row>
    <row r="3543" spans="2:16">
      <c r="B3543" s="187"/>
      <c r="E3543"/>
      <c r="P3543"/>
    </row>
    <row r="3544" spans="2:16">
      <c r="B3544" s="187"/>
      <c r="E3544"/>
      <c r="P3544"/>
    </row>
    <row r="3545" spans="2:16">
      <c r="E3545"/>
      <c r="P3545"/>
    </row>
    <row r="3546" spans="2:16">
      <c r="E3546"/>
      <c r="P3546"/>
    </row>
    <row r="3547" spans="2:16">
      <c r="E3547"/>
      <c r="P3547"/>
    </row>
    <row r="3548" spans="2:16">
      <c r="E3548"/>
      <c r="P3548"/>
    </row>
    <row r="3549" spans="2:16">
      <c r="E3549"/>
      <c r="P3549"/>
    </row>
    <row r="3550" spans="2:16">
      <c r="E3550"/>
      <c r="P3550"/>
    </row>
    <row r="3551" spans="2:16">
      <c r="E3551"/>
      <c r="P3551"/>
    </row>
    <row r="3552" spans="2:16">
      <c r="E3552"/>
      <c r="P3552"/>
    </row>
    <row r="3553" spans="2:16">
      <c r="E3553"/>
      <c r="P3553"/>
    </row>
    <row r="3554" spans="2:16">
      <c r="E3554"/>
      <c r="P3554"/>
    </row>
    <row r="3555" spans="2:16">
      <c r="E3555"/>
      <c r="P3555"/>
    </row>
    <row r="3556" spans="2:16">
      <c r="E3556"/>
      <c r="P3556"/>
    </row>
    <row r="3557" spans="2:16">
      <c r="E3557"/>
      <c r="P3557"/>
    </row>
    <row r="3558" spans="2:16">
      <c r="B3558" s="187"/>
      <c r="E3558"/>
      <c r="P3558"/>
    </row>
    <row r="3559" spans="2:16">
      <c r="B3559" s="187"/>
      <c r="E3559"/>
      <c r="P3559"/>
    </row>
    <row r="3560" spans="2:16">
      <c r="B3560" s="187"/>
      <c r="E3560"/>
      <c r="P3560"/>
    </row>
    <row r="3561" spans="2:16">
      <c r="B3561" s="187"/>
      <c r="E3561"/>
      <c r="P3561"/>
    </row>
    <row r="3562" spans="2:16">
      <c r="B3562" s="187"/>
      <c r="E3562"/>
      <c r="P3562"/>
    </row>
    <row r="3563" spans="2:16">
      <c r="B3563" s="187"/>
      <c r="E3563"/>
      <c r="P3563"/>
    </row>
    <row r="3564" spans="2:16">
      <c r="B3564" s="187"/>
      <c r="E3564"/>
      <c r="P3564"/>
    </row>
    <row r="3565" spans="2:16">
      <c r="B3565" s="187"/>
      <c r="E3565"/>
      <c r="P3565"/>
    </row>
    <row r="3566" spans="2:16">
      <c r="B3566" s="187"/>
      <c r="E3566"/>
      <c r="P3566"/>
    </row>
    <row r="3567" spans="2:16">
      <c r="B3567" s="187"/>
      <c r="E3567"/>
      <c r="P3567"/>
    </row>
    <row r="3568" spans="2:16">
      <c r="B3568" s="187"/>
      <c r="E3568"/>
      <c r="P3568"/>
    </row>
    <row r="3569" spans="2:16">
      <c r="B3569" s="187"/>
      <c r="E3569"/>
      <c r="P3569"/>
    </row>
    <row r="3570" spans="2:16">
      <c r="B3570" s="187"/>
      <c r="E3570"/>
      <c r="P3570"/>
    </row>
    <row r="3571" spans="2:16">
      <c r="B3571" s="187"/>
      <c r="E3571"/>
      <c r="P3571"/>
    </row>
    <row r="3572" spans="2:16">
      <c r="B3572" s="187"/>
      <c r="E3572"/>
      <c r="P3572"/>
    </row>
    <row r="3573" spans="2:16">
      <c r="B3573" s="187"/>
      <c r="E3573"/>
      <c r="P3573"/>
    </row>
    <row r="3574" spans="2:16">
      <c r="B3574" s="187"/>
      <c r="E3574"/>
      <c r="P3574"/>
    </row>
    <row r="3575" spans="2:16">
      <c r="B3575" s="187"/>
      <c r="E3575"/>
      <c r="P3575"/>
    </row>
    <row r="3576" spans="2:16">
      <c r="B3576" s="187"/>
      <c r="E3576"/>
      <c r="P3576"/>
    </row>
    <row r="3577" spans="2:16">
      <c r="B3577" s="187"/>
      <c r="E3577"/>
      <c r="P3577"/>
    </row>
    <row r="3578" spans="2:16">
      <c r="B3578" s="187"/>
      <c r="E3578"/>
      <c r="P3578"/>
    </row>
    <row r="3579" spans="2:16">
      <c r="B3579" s="187"/>
      <c r="E3579"/>
      <c r="P3579"/>
    </row>
    <row r="3580" spans="2:16">
      <c r="B3580" s="187"/>
      <c r="E3580"/>
      <c r="P3580"/>
    </row>
    <row r="3581" spans="2:16">
      <c r="B3581" s="187"/>
      <c r="E3581"/>
      <c r="P3581"/>
    </row>
    <row r="3582" spans="2:16">
      <c r="B3582" s="187"/>
      <c r="E3582"/>
      <c r="P3582"/>
    </row>
    <row r="3583" spans="2:16">
      <c r="B3583" s="187"/>
      <c r="E3583"/>
      <c r="P3583"/>
    </row>
    <row r="3584" spans="2:16">
      <c r="B3584" s="187"/>
      <c r="E3584"/>
      <c r="P3584"/>
    </row>
    <row r="3585" spans="2:16">
      <c r="B3585" s="187"/>
      <c r="E3585"/>
      <c r="P3585"/>
    </row>
    <row r="3586" spans="2:16">
      <c r="B3586" s="187"/>
      <c r="E3586"/>
      <c r="P3586"/>
    </row>
    <row r="3587" spans="2:16">
      <c r="B3587" s="187"/>
      <c r="E3587"/>
      <c r="P3587"/>
    </row>
    <row r="3588" spans="2:16">
      <c r="B3588" s="187"/>
      <c r="E3588"/>
      <c r="P3588"/>
    </row>
    <row r="3589" spans="2:16">
      <c r="B3589" s="187"/>
      <c r="E3589"/>
      <c r="P3589"/>
    </row>
    <row r="3590" spans="2:16">
      <c r="B3590" s="187"/>
      <c r="E3590"/>
      <c r="P3590"/>
    </row>
    <row r="3591" spans="2:16">
      <c r="B3591" s="187"/>
      <c r="E3591"/>
      <c r="P3591"/>
    </row>
    <row r="3592" spans="2:16">
      <c r="B3592" s="187"/>
      <c r="E3592"/>
      <c r="P3592"/>
    </row>
    <row r="3593" spans="2:16">
      <c r="B3593" s="187"/>
      <c r="E3593"/>
      <c r="P3593"/>
    </row>
    <row r="3594" spans="2:16">
      <c r="B3594" s="187"/>
      <c r="E3594"/>
      <c r="P3594"/>
    </row>
    <row r="3595" spans="2:16">
      <c r="B3595" s="187"/>
      <c r="E3595"/>
      <c r="P3595"/>
    </row>
    <row r="3596" spans="2:16">
      <c r="B3596" s="187"/>
      <c r="E3596"/>
      <c r="P3596"/>
    </row>
    <row r="3597" spans="2:16">
      <c r="B3597" s="187"/>
      <c r="E3597"/>
      <c r="P3597"/>
    </row>
    <row r="3598" spans="2:16">
      <c r="B3598" s="187"/>
      <c r="E3598"/>
      <c r="P3598"/>
    </row>
    <row r="3599" spans="2:16">
      <c r="B3599" s="187"/>
      <c r="E3599"/>
      <c r="P3599"/>
    </row>
    <row r="3600" spans="2:16">
      <c r="B3600" s="187"/>
      <c r="E3600"/>
      <c r="P3600"/>
    </row>
    <row r="3601" spans="2:16">
      <c r="B3601" s="187"/>
      <c r="E3601"/>
      <c r="P3601"/>
    </row>
    <row r="3602" spans="2:16">
      <c r="B3602" s="187"/>
      <c r="E3602"/>
      <c r="P3602"/>
    </row>
    <row r="3603" spans="2:16">
      <c r="B3603" s="187"/>
      <c r="E3603"/>
      <c r="P3603"/>
    </row>
    <row r="3604" spans="2:16">
      <c r="B3604" s="187"/>
      <c r="E3604"/>
      <c r="P3604"/>
    </row>
    <row r="3605" spans="2:16">
      <c r="B3605" s="187"/>
      <c r="E3605"/>
      <c r="P3605"/>
    </row>
    <row r="3606" spans="2:16">
      <c r="B3606" s="187"/>
      <c r="E3606"/>
      <c r="P3606"/>
    </row>
    <row r="3607" spans="2:16">
      <c r="B3607" s="187"/>
      <c r="E3607"/>
      <c r="P3607"/>
    </row>
    <row r="3608" spans="2:16">
      <c r="B3608" s="187"/>
      <c r="E3608"/>
      <c r="P3608"/>
    </row>
    <row r="3609" spans="2:16">
      <c r="B3609" s="187"/>
      <c r="E3609"/>
      <c r="P3609"/>
    </row>
    <row r="3610" spans="2:16">
      <c r="B3610" s="187"/>
      <c r="E3610"/>
      <c r="P3610"/>
    </row>
    <row r="3611" spans="2:16">
      <c r="B3611" s="187"/>
      <c r="E3611"/>
      <c r="P3611"/>
    </row>
    <row r="3612" spans="2:16">
      <c r="B3612" s="187"/>
      <c r="E3612"/>
      <c r="P3612"/>
    </row>
    <row r="3613" spans="2:16">
      <c r="B3613" s="187"/>
      <c r="E3613"/>
      <c r="P3613"/>
    </row>
    <row r="3614" spans="2:16">
      <c r="B3614" s="187"/>
      <c r="E3614"/>
      <c r="P3614"/>
    </row>
    <row r="3615" spans="2:16">
      <c r="B3615" s="187"/>
      <c r="E3615"/>
      <c r="P3615"/>
    </row>
    <row r="3616" spans="2:16">
      <c r="B3616" s="187"/>
      <c r="E3616"/>
      <c r="P3616"/>
    </row>
    <row r="3617" spans="2:16">
      <c r="B3617" s="187"/>
      <c r="E3617"/>
      <c r="P3617"/>
    </row>
    <row r="3618" spans="2:16">
      <c r="B3618" s="187"/>
      <c r="E3618"/>
      <c r="P3618"/>
    </row>
    <row r="3619" spans="2:16">
      <c r="B3619" s="187"/>
      <c r="E3619"/>
      <c r="P3619"/>
    </row>
    <row r="3620" spans="2:16">
      <c r="B3620" s="187"/>
      <c r="E3620"/>
      <c r="P3620"/>
    </row>
    <row r="3621" spans="2:16">
      <c r="B3621" s="187"/>
      <c r="E3621"/>
      <c r="P3621"/>
    </row>
    <row r="3622" spans="2:16">
      <c r="B3622" s="187"/>
      <c r="E3622"/>
      <c r="P3622"/>
    </row>
    <row r="3623" spans="2:16">
      <c r="B3623" s="187"/>
      <c r="E3623"/>
      <c r="P3623"/>
    </row>
    <row r="3624" spans="2:16">
      <c r="B3624" s="187"/>
      <c r="E3624"/>
      <c r="P3624"/>
    </row>
    <row r="3625" spans="2:16">
      <c r="B3625" s="187"/>
      <c r="E3625"/>
      <c r="P3625"/>
    </row>
    <row r="3626" spans="2:16">
      <c r="B3626" s="187"/>
      <c r="E3626"/>
      <c r="P3626"/>
    </row>
    <row r="3627" spans="2:16">
      <c r="B3627" s="187"/>
      <c r="E3627"/>
      <c r="P3627"/>
    </row>
    <row r="3628" spans="2:16">
      <c r="B3628" s="187"/>
      <c r="E3628"/>
      <c r="P3628"/>
    </row>
    <row r="3629" spans="2:16">
      <c r="B3629" s="187"/>
      <c r="E3629"/>
      <c r="P3629"/>
    </row>
    <row r="3630" spans="2:16">
      <c r="B3630" s="187"/>
      <c r="E3630"/>
      <c r="P3630"/>
    </row>
    <row r="3631" spans="2:16">
      <c r="B3631" s="187"/>
      <c r="E3631"/>
      <c r="P3631"/>
    </row>
    <row r="3632" spans="2:16">
      <c r="B3632" s="187"/>
      <c r="E3632"/>
      <c r="P3632"/>
    </row>
    <row r="3633" spans="2:16">
      <c r="B3633" s="187"/>
      <c r="E3633"/>
      <c r="P3633"/>
    </row>
    <row r="3634" spans="2:16">
      <c r="B3634" s="187"/>
      <c r="E3634"/>
      <c r="P3634"/>
    </row>
    <row r="3635" spans="2:16">
      <c r="B3635" s="187"/>
      <c r="E3635"/>
      <c r="P3635"/>
    </row>
    <row r="3636" spans="2:16">
      <c r="B3636" s="187"/>
      <c r="E3636"/>
      <c r="P3636"/>
    </row>
    <row r="3637" spans="2:16">
      <c r="B3637" s="187"/>
      <c r="E3637"/>
      <c r="P3637"/>
    </row>
    <row r="3638" spans="2:16">
      <c r="B3638" s="187"/>
      <c r="E3638"/>
      <c r="P3638"/>
    </row>
    <row r="3639" spans="2:16">
      <c r="B3639" s="187"/>
      <c r="E3639"/>
      <c r="P3639"/>
    </row>
    <row r="3640" spans="2:16">
      <c r="B3640" s="187"/>
      <c r="E3640"/>
      <c r="P3640"/>
    </row>
    <row r="3641" spans="2:16">
      <c r="B3641" s="187"/>
      <c r="E3641"/>
      <c r="P3641"/>
    </row>
    <row r="3642" spans="2:16">
      <c r="B3642" s="187"/>
      <c r="E3642"/>
      <c r="P3642"/>
    </row>
    <row r="3643" spans="2:16">
      <c r="B3643" s="187"/>
      <c r="E3643"/>
      <c r="P3643"/>
    </row>
    <row r="3644" spans="2:16">
      <c r="B3644" s="187"/>
      <c r="E3644"/>
      <c r="P3644"/>
    </row>
    <row r="3645" spans="2:16">
      <c r="B3645" s="187"/>
      <c r="E3645"/>
      <c r="P3645"/>
    </row>
    <row r="3646" spans="2:16">
      <c r="B3646" s="187"/>
      <c r="E3646"/>
      <c r="P3646"/>
    </row>
    <row r="3647" spans="2:16">
      <c r="B3647" s="187"/>
      <c r="E3647"/>
      <c r="P3647"/>
    </row>
    <row r="3648" spans="2:16">
      <c r="B3648" s="187"/>
      <c r="E3648"/>
      <c r="P3648"/>
    </row>
    <row r="3649" spans="2:16">
      <c r="B3649" s="187"/>
      <c r="E3649"/>
      <c r="P3649"/>
    </row>
    <row r="3650" spans="2:16">
      <c r="B3650" s="187"/>
      <c r="E3650"/>
      <c r="P3650"/>
    </row>
    <row r="3651" spans="2:16">
      <c r="B3651" s="187"/>
      <c r="E3651"/>
      <c r="P3651"/>
    </row>
    <row r="3652" spans="2:16">
      <c r="B3652" s="187"/>
      <c r="E3652"/>
      <c r="P3652"/>
    </row>
    <row r="3653" spans="2:16">
      <c r="B3653" s="187"/>
      <c r="E3653"/>
      <c r="P3653"/>
    </row>
    <row r="3654" spans="2:16">
      <c r="B3654" s="187"/>
      <c r="E3654"/>
      <c r="P3654"/>
    </row>
    <row r="3655" spans="2:16">
      <c r="B3655" s="187"/>
      <c r="E3655"/>
      <c r="P3655"/>
    </row>
    <row r="3656" spans="2:16">
      <c r="B3656" s="187"/>
      <c r="E3656"/>
      <c r="P3656"/>
    </row>
    <row r="3657" spans="2:16">
      <c r="B3657" s="187"/>
      <c r="E3657"/>
      <c r="P3657"/>
    </row>
    <row r="3658" spans="2:16">
      <c r="B3658" s="187"/>
      <c r="E3658"/>
      <c r="P3658"/>
    </row>
    <row r="3659" spans="2:16">
      <c r="B3659" s="187"/>
      <c r="E3659"/>
      <c r="P3659"/>
    </row>
    <row r="3660" spans="2:16">
      <c r="B3660" s="187"/>
      <c r="E3660"/>
      <c r="P3660"/>
    </row>
    <row r="3661" spans="2:16">
      <c r="B3661" s="187"/>
      <c r="E3661"/>
      <c r="P3661"/>
    </row>
    <row r="3662" spans="2:16">
      <c r="B3662" s="187"/>
      <c r="E3662"/>
      <c r="P3662"/>
    </row>
    <row r="3663" spans="2:16">
      <c r="B3663" s="187"/>
      <c r="E3663"/>
      <c r="P3663"/>
    </row>
    <row r="3664" spans="2:16">
      <c r="B3664" s="187"/>
      <c r="E3664"/>
      <c r="P3664"/>
    </row>
    <row r="3665" spans="2:16">
      <c r="B3665" s="187"/>
      <c r="E3665"/>
      <c r="P3665"/>
    </row>
    <row r="3666" spans="2:16">
      <c r="B3666" s="187"/>
      <c r="E3666"/>
      <c r="P3666"/>
    </row>
    <row r="3667" spans="2:16">
      <c r="B3667" s="187"/>
      <c r="E3667"/>
      <c r="P3667"/>
    </row>
    <row r="3668" spans="2:16">
      <c r="B3668" s="187"/>
      <c r="E3668"/>
      <c r="P3668"/>
    </row>
    <row r="3669" spans="2:16">
      <c r="B3669" s="187"/>
      <c r="E3669"/>
      <c r="P3669"/>
    </row>
    <row r="3670" spans="2:16">
      <c r="B3670" s="187"/>
      <c r="E3670"/>
      <c r="P3670"/>
    </row>
    <row r="3671" spans="2:16">
      <c r="B3671" s="187"/>
      <c r="E3671"/>
      <c r="P3671"/>
    </row>
    <row r="3672" spans="2:16">
      <c r="B3672" s="187"/>
      <c r="E3672"/>
      <c r="P3672"/>
    </row>
    <row r="3673" spans="2:16">
      <c r="B3673" s="187"/>
      <c r="E3673"/>
      <c r="P3673"/>
    </row>
    <row r="3674" spans="2:16">
      <c r="B3674" s="187"/>
      <c r="E3674"/>
      <c r="P3674"/>
    </row>
    <row r="3675" spans="2:16">
      <c r="B3675" s="187"/>
      <c r="E3675"/>
      <c r="P3675"/>
    </row>
    <row r="3676" spans="2:16">
      <c r="B3676" s="187"/>
      <c r="E3676"/>
      <c r="P3676"/>
    </row>
    <row r="3677" spans="2:16">
      <c r="B3677" s="187"/>
      <c r="E3677"/>
      <c r="P3677"/>
    </row>
    <row r="3678" spans="2:16">
      <c r="B3678" s="187"/>
      <c r="E3678"/>
      <c r="P3678"/>
    </row>
    <row r="3679" spans="2:16">
      <c r="B3679" s="187"/>
      <c r="E3679"/>
      <c r="P3679"/>
    </row>
    <row r="3680" spans="2:16">
      <c r="B3680" s="187"/>
      <c r="E3680"/>
      <c r="P3680"/>
    </row>
    <row r="3681" spans="2:16">
      <c r="B3681" s="187"/>
      <c r="E3681"/>
      <c r="P3681"/>
    </row>
    <row r="3682" spans="2:16">
      <c r="B3682" s="187"/>
      <c r="E3682"/>
      <c r="P3682"/>
    </row>
    <row r="3683" spans="2:16">
      <c r="B3683" s="187"/>
      <c r="E3683"/>
      <c r="P3683"/>
    </row>
    <row r="3684" spans="2:16">
      <c r="B3684" s="187"/>
      <c r="E3684"/>
      <c r="P3684"/>
    </row>
    <row r="3685" spans="2:16">
      <c r="B3685" s="187"/>
      <c r="E3685"/>
      <c r="P3685"/>
    </row>
    <row r="3686" spans="2:16">
      <c r="B3686" s="187"/>
      <c r="E3686"/>
      <c r="P3686"/>
    </row>
    <row r="3687" spans="2:16">
      <c r="B3687" s="187"/>
      <c r="E3687"/>
      <c r="P3687"/>
    </row>
    <row r="3688" spans="2:16">
      <c r="B3688" s="187"/>
      <c r="E3688"/>
      <c r="P3688"/>
    </row>
    <row r="3689" spans="2:16">
      <c r="B3689" s="187"/>
      <c r="E3689"/>
      <c r="P3689"/>
    </row>
    <row r="3690" spans="2:16">
      <c r="B3690" s="187"/>
      <c r="E3690"/>
      <c r="P3690"/>
    </row>
    <row r="3691" spans="2:16">
      <c r="B3691" s="187"/>
      <c r="E3691"/>
      <c r="P3691"/>
    </row>
    <row r="3692" spans="2:16">
      <c r="B3692" s="187"/>
      <c r="E3692"/>
      <c r="P3692"/>
    </row>
    <row r="3693" spans="2:16">
      <c r="B3693" s="187"/>
      <c r="E3693"/>
      <c r="P3693"/>
    </row>
    <row r="3694" spans="2:16">
      <c r="B3694" s="187"/>
      <c r="E3694"/>
      <c r="P3694"/>
    </row>
    <row r="3695" spans="2:16">
      <c r="B3695" s="187"/>
      <c r="E3695"/>
      <c r="P3695"/>
    </row>
    <row r="3696" spans="2:16">
      <c r="B3696" s="187"/>
      <c r="E3696"/>
      <c r="P3696"/>
    </row>
    <row r="3697" spans="2:16">
      <c r="B3697" s="187"/>
      <c r="E3697"/>
      <c r="P3697"/>
    </row>
    <row r="3698" spans="2:16">
      <c r="B3698" s="187"/>
      <c r="E3698"/>
      <c r="P3698"/>
    </row>
    <row r="3699" spans="2:16">
      <c r="B3699" s="187"/>
      <c r="E3699"/>
      <c r="P3699"/>
    </row>
    <row r="3700" spans="2:16">
      <c r="B3700" s="187"/>
      <c r="E3700"/>
      <c r="P3700"/>
    </row>
    <row r="3701" spans="2:16">
      <c r="B3701" s="187"/>
      <c r="E3701"/>
      <c r="P3701"/>
    </row>
    <row r="3702" spans="2:16">
      <c r="B3702" s="187"/>
      <c r="E3702"/>
      <c r="P3702"/>
    </row>
    <row r="3703" spans="2:16">
      <c r="B3703" s="187"/>
      <c r="E3703"/>
      <c r="P3703"/>
    </row>
    <row r="3704" spans="2:16">
      <c r="B3704" s="187"/>
      <c r="E3704"/>
      <c r="P3704"/>
    </row>
    <row r="3705" spans="2:16">
      <c r="B3705" s="187"/>
      <c r="E3705"/>
      <c r="P3705"/>
    </row>
    <row r="3706" spans="2:16">
      <c r="B3706" s="187"/>
      <c r="E3706"/>
      <c r="P3706"/>
    </row>
    <row r="3707" spans="2:16">
      <c r="B3707" s="187"/>
      <c r="E3707"/>
      <c r="P3707"/>
    </row>
    <row r="3708" spans="2:16">
      <c r="B3708" s="187"/>
      <c r="E3708"/>
      <c r="P3708"/>
    </row>
    <row r="3709" spans="2:16">
      <c r="B3709" s="187"/>
      <c r="E3709"/>
      <c r="P3709"/>
    </row>
    <row r="3710" spans="2:16">
      <c r="B3710" s="187"/>
      <c r="E3710"/>
      <c r="P3710"/>
    </row>
    <row r="3711" spans="2:16">
      <c r="B3711" s="187"/>
      <c r="E3711"/>
      <c r="P3711"/>
    </row>
    <row r="3712" spans="2:16">
      <c r="B3712" s="187"/>
      <c r="E3712"/>
      <c r="P3712"/>
    </row>
    <row r="3713" spans="2:16">
      <c r="B3713" s="187"/>
      <c r="E3713"/>
      <c r="P3713"/>
    </row>
    <row r="3714" spans="2:16">
      <c r="B3714" s="187"/>
      <c r="E3714"/>
      <c r="P3714"/>
    </row>
    <row r="3715" spans="2:16">
      <c r="B3715" s="187"/>
      <c r="E3715"/>
      <c r="P3715"/>
    </row>
    <row r="3716" spans="2:16">
      <c r="B3716" s="187"/>
      <c r="E3716"/>
      <c r="P3716"/>
    </row>
    <row r="3717" spans="2:16">
      <c r="B3717" s="187"/>
      <c r="E3717"/>
      <c r="P3717"/>
    </row>
    <row r="3718" spans="2:16">
      <c r="B3718" s="187"/>
      <c r="E3718"/>
      <c r="P3718"/>
    </row>
    <row r="3719" spans="2:16">
      <c r="B3719" s="187"/>
      <c r="E3719"/>
      <c r="P3719"/>
    </row>
    <row r="3720" spans="2:16">
      <c r="B3720" s="187"/>
      <c r="E3720"/>
      <c r="P3720"/>
    </row>
    <row r="3721" spans="2:16">
      <c r="B3721" s="187"/>
      <c r="E3721"/>
      <c r="P3721"/>
    </row>
    <row r="3722" spans="2:16">
      <c r="B3722" s="187"/>
      <c r="E3722"/>
      <c r="P3722"/>
    </row>
    <row r="3723" spans="2:16">
      <c r="B3723" s="187"/>
      <c r="E3723"/>
      <c r="P3723"/>
    </row>
    <row r="3724" spans="2:16">
      <c r="B3724" s="187"/>
      <c r="E3724"/>
      <c r="P3724"/>
    </row>
    <row r="3725" spans="2:16">
      <c r="B3725" s="187"/>
      <c r="E3725"/>
      <c r="P3725"/>
    </row>
    <row r="3726" spans="2:16">
      <c r="B3726" s="187"/>
      <c r="E3726"/>
      <c r="P3726"/>
    </row>
    <row r="3727" spans="2:16">
      <c r="B3727" s="187"/>
      <c r="E3727"/>
      <c r="P3727"/>
    </row>
    <row r="3728" spans="2:16">
      <c r="B3728" s="187"/>
      <c r="E3728"/>
      <c r="P3728"/>
    </row>
    <row r="3729" spans="2:16">
      <c r="B3729" s="187"/>
      <c r="E3729"/>
      <c r="P3729"/>
    </row>
    <row r="3730" spans="2:16">
      <c r="B3730" s="187"/>
      <c r="E3730"/>
      <c r="P3730"/>
    </row>
    <row r="3731" spans="2:16">
      <c r="B3731" s="187"/>
      <c r="E3731"/>
      <c r="P3731"/>
    </row>
    <row r="3732" spans="2:16">
      <c r="B3732" s="187"/>
      <c r="E3732"/>
      <c r="P3732"/>
    </row>
    <row r="3733" spans="2:16">
      <c r="B3733" s="187"/>
      <c r="E3733"/>
      <c r="P3733"/>
    </row>
    <row r="3734" spans="2:16">
      <c r="B3734" s="187"/>
      <c r="E3734"/>
      <c r="P3734"/>
    </row>
    <row r="3735" spans="2:16">
      <c r="B3735" s="187"/>
      <c r="E3735"/>
      <c r="P3735"/>
    </row>
    <row r="3736" spans="2:16">
      <c r="B3736" s="187"/>
      <c r="E3736"/>
      <c r="P3736"/>
    </row>
    <row r="3737" spans="2:16">
      <c r="B3737" s="187"/>
      <c r="E3737"/>
      <c r="P3737"/>
    </row>
    <row r="3738" spans="2:16">
      <c r="B3738" s="187"/>
      <c r="E3738"/>
      <c r="P3738"/>
    </row>
    <row r="3739" spans="2:16">
      <c r="B3739" s="187"/>
      <c r="E3739"/>
      <c r="P3739"/>
    </row>
    <row r="3740" spans="2:16">
      <c r="B3740" s="187"/>
      <c r="E3740"/>
      <c r="P3740"/>
    </row>
    <row r="3741" spans="2:16">
      <c r="B3741" s="187"/>
      <c r="E3741"/>
      <c r="P3741"/>
    </row>
    <row r="3742" spans="2:16">
      <c r="B3742" s="187"/>
      <c r="E3742"/>
      <c r="P3742"/>
    </row>
    <row r="3743" spans="2:16">
      <c r="B3743" s="187"/>
      <c r="E3743"/>
      <c r="P3743"/>
    </row>
    <row r="3744" spans="2:16">
      <c r="B3744" s="187"/>
      <c r="E3744"/>
      <c r="P3744"/>
    </row>
    <row r="3745" spans="2:16">
      <c r="B3745" s="187"/>
      <c r="E3745"/>
      <c r="P3745"/>
    </row>
    <row r="3746" spans="2:16">
      <c r="B3746" s="187"/>
      <c r="E3746"/>
      <c r="P3746"/>
    </row>
    <row r="3747" spans="2:16">
      <c r="B3747" s="187"/>
      <c r="E3747"/>
      <c r="P3747"/>
    </row>
    <row r="3748" spans="2:16">
      <c r="B3748" s="187"/>
      <c r="E3748"/>
      <c r="P3748"/>
    </row>
    <row r="3749" spans="2:16">
      <c r="B3749" s="187"/>
      <c r="E3749"/>
      <c r="P3749"/>
    </row>
    <row r="3750" spans="2:16">
      <c r="B3750" s="187"/>
      <c r="E3750"/>
      <c r="P3750"/>
    </row>
    <row r="3751" spans="2:16">
      <c r="B3751" s="187"/>
      <c r="E3751"/>
      <c r="P3751"/>
    </row>
    <row r="3752" spans="2:16">
      <c r="B3752" s="187"/>
      <c r="E3752"/>
      <c r="P3752"/>
    </row>
    <row r="3753" spans="2:16">
      <c r="B3753" s="187"/>
      <c r="E3753"/>
      <c r="P3753"/>
    </row>
    <row r="3754" spans="2:16">
      <c r="B3754" s="187"/>
      <c r="E3754"/>
      <c r="P3754"/>
    </row>
    <row r="3755" spans="2:16">
      <c r="B3755" s="187"/>
      <c r="E3755"/>
      <c r="P3755"/>
    </row>
    <row r="3756" spans="2:16">
      <c r="B3756" s="187"/>
      <c r="E3756"/>
      <c r="P3756"/>
    </row>
    <row r="3757" spans="2:16">
      <c r="B3757" s="187"/>
      <c r="E3757"/>
      <c r="P3757"/>
    </row>
    <row r="3758" spans="2:16">
      <c r="B3758" s="187"/>
      <c r="E3758"/>
      <c r="P3758"/>
    </row>
    <row r="3759" spans="2:16">
      <c r="B3759" s="187"/>
      <c r="E3759"/>
      <c r="P3759"/>
    </row>
    <row r="3760" spans="2:16">
      <c r="B3760" s="187"/>
      <c r="E3760"/>
      <c r="P3760"/>
    </row>
    <row r="3761" spans="2:16">
      <c r="B3761" s="187"/>
      <c r="E3761"/>
      <c r="P3761"/>
    </row>
    <row r="3762" spans="2:16">
      <c r="B3762" s="187"/>
      <c r="E3762"/>
      <c r="P3762"/>
    </row>
    <row r="3763" spans="2:16">
      <c r="B3763" s="187"/>
      <c r="E3763"/>
      <c r="P3763"/>
    </row>
    <row r="3764" spans="2:16">
      <c r="B3764" s="187"/>
      <c r="E3764"/>
      <c r="P3764"/>
    </row>
    <row r="3765" spans="2:16">
      <c r="B3765" s="187"/>
      <c r="E3765"/>
      <c r="P3765"/>
    </row>
    <row r="3766" spans="2:16">
      <c r="B3766" s="187"/>
      <c r="E3766"/>
      <c r="P3766"/>
    </row>
    <row r="3767" spans="2:16">
      <c r="B3767" s="187"/>
      <c r="E3767"/>
      <c r="P3767"/>
    </row>
    <row r="3768" spans="2:16">
      <c r="B3768" s="187"/>
      <c r="E3768"/>
      <c r="P3768"/>
    </row>
    <row r="3769" spans="2:16">
      <c r="B3769" s="187"/>
      <c r="E3769"/>
      <c r="P3769"/>
    </row>
    <row r="3770" spans="2:16">
      <c r="B3770" s="187"/>
      <c r="E3770"/>
      <c r="P3770"/>
    </row>
    <row r="3771" spans="2:16">
      <c r="B3771" s="187"/>
      <c r="E3771"/>
      <c r="P3771"/>
    </row>
    <row r="3772" spans="2:16">
      <c r="B3772" s="187"/>
      <c r="E3772"/>
      <c r="P3772"/>
    </row>
    <row r="3773" spans="2:16">
      <c r="B3773" s="187"/>
      <c r="E3773"/>
      <c r="P3773"/>
    </row>
    <row r="3774" spans="2:16">
      <c r="B3774" s="187"/>
      <c r="E3774"/>
      <c r="P3774"/>
    </row>
    <row r="3775" spans="2:16">
      <c r="B3775" s="187"/>
      <c r="E3775"/>
      <c r="P3775"/>
    </row>
    <row r="3776" spans="2:16">
      <c r="B3776" s="187"/>
      <c r="E3776"/>
      <c r="P3776"/>
    </row>
    <row r="3777" spans="2:16">
      <c r="B3777" s="187"/>
      <c r="E3777"/>
      <c r="P3777"/>
    </row>
    <row r="3778" spans="2:16">
      <c r="B3778" s="187"/>
      <c r="E3778"/>
      <c r="P3778"/>
    </row>
    <row r="3779" spans="2:16">
      <c r="B3779" s="187"/>
      <c r="E3779"/>
      <c r="P3779"/>
    </row>
    <row r="3780" spans="2:16">
      <c r="B3780" s="187"/>
      <c r="E3780"/>
      <c r="P3780"/>
    </row>
    <row r="3781" spans="2:16">
      <c r="B3781" s="187"/>
      <c r="E3781"/>
      <c r="P3781"/>
    </row>
    <row r="3782" spans="2:16">
      <c r="B3782" s="187"/>
      <c r="E3782"/>
      <c r="P3782"/>
    </row>
    <row r="3783" spans="2:16">
      <c r="B3783" s="187"/>
      <c r="E3783"/>
      <c r="P3783"/>
    </row>
    <row r="3784" spans="2:16">
      <c r="B3784" s="187"/>
      <c r="E3784"/>
      <c r="P3784"/>
    </row>
    <row r="3785" spans="2:16">
      <c r="B3785" s="187"/>
      <c r="E3785"/>
      <c r="P3785"/>
    </row>
    <row r="3786" spans="2:16">
      <c r="B3786" s="187"/>
      <c r="E3786"/>
      <c r="P3786"/>
    </row>
    <row r="3787" spans="2:16">
      <c r="B3787" s="187"/>
      <c r="E3787"/>
      <c r="P3787"/>
    </row>
    <row r="3788" spans="2:16">
      <c r="B3788" s="187"/>
      <c r="E3788"/>
      <c r="P3788"/>
    </row>
    <row r="3789" spans="2:16">
      <c r="B3789" s="187"/>
      <c r="E3789"/>
      <c r="P3789"/>
    </row>
    <row r="3790" spans="2:16">
      <c r="B3790" s="187"/>
      <c r="E3790"/>
      <c r="P3790"/>
    </row>
    <row r="3791" spans="2:16">
      <c r="B3791" s="187"/>
      <c r="E3791"/>
      <c r="P3791"/>
    </row>
    <row r="3792" spans="2:16">
      <c r="B3792" s="187"/>
      <c r="E3792"/>
      <c r="P3792"/>
    </row>
    <row r="3793" spans="2:16">
      <c r="B3793" s="187"/>
      <c r="E3793"/>
      <c r="P3793"/>
    </row>
    <row r="3794" spans="2:16">
      <c r="B3794" s="187"/>
      <c r="E3794"/>
      <c r="P3794"/>
    </row>
    <row r="3795" spans="2:16">
      <c r="B3795" s="187"/>
      <c r="E3795"/>
      <c r="P3795"/>
    </row>
    <row r="3796" spans="2:16">
      <c r="B3796" s="187"/>
      <c r="E3796"/>
      <c r="P3796"/>
    </row>
    <row r="3797" spans="2:16">
      <c r="B3797" s="187"/>
      <c r="E3797"/>
      <c r="P3797"/>
    </row>
    <row r="3798" spans="2:16">
      <c r="B3798" s="187"/>
      <c r="E3798"/>
      <c r="P3798"/>
    </row>
    <row r="3799" spans="2:16">
      <c r="B3799" s="187"/>
      <c r="E3799"/>
      <c r="P3799"/>
    </row>
    <row r="3800" spans="2:16">
      <c r="B3800" s="187"/>
      <c r="E3800"/>
      <c r="P3800"/>
    </row>
    <row r="3801" spans="2:16">
      <c r="B3801" s="187"/>
      <c r="E3801"/>
      <c r="P3801"/>
    </row>
    <row r="3802" spans="2:16">
      <c r="B3802" s="187"/>
      <c r="E3802"/>
      <c r="P3802"/>
    </row>
    <row r="3803" spans="2:16">
      <c r="B3803" s="187"/>
      <c r="E3803"/>
      <c r="P3803"/>
    </row>
    <row r="3804" spans="2:16">
      <c r="B3804" s="187"/>
      <c r="E3804"/>
      <c r="P3804"/>
    </row>
    <row r="3805" spans="2:16">
      <c r="B3805" s="187"/>
      <c r="E3805"/>
      <c r="P3805"/>
    </row>
    <row r="3806" spans="2:16">
      <c r="B3806" s="187"/>
      <c r="E3806"/>
      <c r="P3806"/>
    </row>
    <row r="3807" spans="2:16">
      <c r="B3807" s="187"/>
      <c r="E3807"/>
      <c r="P3807"/>
    </row>
    <row r="3808" spans="2:16">
      <c r="B3808" s="187"/>
      <c r="E3808"/>
      <c r="P3808"/>
    </row>
    <row r="3809" spans="2:16">
      <c r="B3809" s="187"/>
      <c r="E3809"/>
      <c r="P3809"/>
    </row>
    <row r="3810" spans="2:16">
      <c r="B3810" s="187"/>
      <c r="E3810"/>
      <c r="P3810"/>
    </row>
    <row r="3811" spans="2:16">
      <c r="B3811" s="187"/>
      <c r="E3811"/>
      <c r="P3811"/>
    </row>
    <row r="3812" spans="2:16">
      <c r="B3812" s="187"/>
      <c r="E3812"/>
      <c r="P3812"/>
    </row>
    <row r="3813" spans="2:16">
      <c r="B3813" s="187"/>
      <c r="E3813"/>
      <c r="P3813"/>
    </row>
    <row r="3814" spans="2:16">
      <c r="B3814" s="187"/>
      <c r="E3814"/>
      <c r="P3814"/>
    </row>
    <row r="3815" spans="2:16">
      <c r="B3815" s="187"/>
      <c r="E3815"/>
      <c r="P3815"/>
    </row>
    <row r="3816" spans="2:16">
      <c r="B3816" s="187"/>
      <c r="E3816"/>
      <c r="P3816"/>
    </row>
    <row r="3817" spans="2:16">
      <c r="E3817"/>
      <c r="P3817"/>
    </row>
    <row r="3818" spans="2:16">
      <c r="E3818"/>
      <c r="P3818"/>
    </row>
    <row r="3819" spans="2:16">
      <c r="E3819"/>
      <c r="P3819"/>
    </row>
    <row r="3820" spans="2:16">
      <c r="E3820"/>
      <c r="P3820"/>
    </row>
    <row r="3821" spans="2:16">
      <c r="E3821"/>
      <c r="P3821"/>
    </row>
    <row r="3822" spans="2:16">
      <c r="E3822"/>
      <c r="P3822"/>
    </row>
    <row r="3823" spans="2:16">
      <c r="E3823"/>
      <c r="P3823"/>
    </row>
    <row r="3824" spans="2:16">
      <c r="E3824"/>
      <c r="P3824"/>
    </row>
    <row r="3825" spans="5:16">
      <c r="E3825"/>
      <c r="P3825"/>
    </row>
    <row r="3826" spans="5:16">
      <c r="E3826"/>
      <c r="P3826"/>
    </row>
    <row r="3827" spans="5:16">
      <c r="E3827"/>
      <c r="P3827"/>
    </row>
    <row r="3828" spans="5:16">
      <c r="E3828"/>
      <c r="P3828"/>
    </row>
    <row r="3829" spans="5:16">
      <c r="E3829"/>
      <c r="P3829"/>
    </row>
    <row r="3830" spans="5:16">
      <c r="E3830"/>
      <c r="P3830"/>
    </row>
    <row r="3831" spans="5:16">
      <c r="E3831"/>
      <c r="P3831"/>
    </row>
    <row r="3832" spans="5:16">
      <c r="E3832"/>
      <c r="P3832"/>
    </row>
    <row r="3833" spans="5:16">
      <c r="E3833"/>
      <c r="P3833"/>
    </row>
    <row r="3834" spans="5:16">
      <c r="E3834"/>
      <c r="P3834"/>
    </row>
    <row r="3835" spans="5:16">
      <c r="E3835"/>
      <c r="P3835"/>
    </row>
    <row r="3836" spans="5:16">
      <c r="E3836"/>
      <c r="P3836"/>
    </row>
    <row r="3837" spans="5:16">
      <c r="E3837"/>
      <c r="P3837"/>
    </row>
    <row r="3838" spans="5:16">
      <c r="E3838"/>
      <c r="P3838"/>
    </row>
    <row r="3839" spans="5:16">
      <c r="E3839"/>
      <c r="P3839"/>
    </row>
    <row r="3840" spans="5:16">
      <c r="E3840"/>
      <c r="P3840"/>
    </row>
    <row r="3841" spans="5:16">
      <c r="E3841"/>
      <c r="P3841"/>
    </row>
    <row r="3842" spans="5:16">
      <c r="E3842"/>
      <c r="P3842"/>
    </row>
    <row r="3843" spans="5:16">
      <c r="E3843"/>
      <c r="P3843"/>
    </row>
    <row r="3844" spans="5:16">
      <c r="E3844"/>
      <c r="P3844"/>
    </row>
    <row r="3845" spans="5:16">
      <c r="E3845"/>
      <c r="P3845"/>
    </row>
    <row r="3846" spans="5:16">
      <c r="E3846"/>
      <c r="P3846"/>
    </row>
    <row r="3847" spans="5:16">
      <c r="E3847"/>
      <c r="P3847"/>
    </row>
    <row r="3848" spans="5:16">
      <c r="E3848"/>
      <c r="P3848"/>
    </row>
    <row r="3849" spans="5:16">
      <c r="E3849"/>
      <c r="P3849"/>
    </row>
    <row r="3850" spans="5:16">
      <c r="E3850"/>
      <c r="P3850"/>
    </row>
    <row r="3851" spans="5:16">
      <c r="E3851"/>
      <c r="P3851"/>
    </row>
    <row r="3852" spans="5:16">
      <c r="E3852"/>
      <c r="P3852"/>
    </row>
    <row r="3853" spans="5:16">
      <c r="E3853"/>
      <c r="P3853"/>
    </row>
    <row r="3854" spans="5:16">
      <c r="E3854"/>
      <c r="P3854"/>
    </row>
    <row r="3855" spans="5:16">
      <c r="E3855"/>
      <c r="P3855"/>
    </row>
    <row r="3856" spans="5:16">
      <c r="E3856"/>
      <c r="P3856"/>
    </row>
    <row r="3857" spans="2:16">
      <c r="B3857" s="187"/>
      <c r="E3857"/>
      <c r="P3857"/>
    </row>
    <row r="3858" spans="2:16">
      <c r="B3858" s="187"/>
      <c r="E3858"/>
      <c r="P3858"/>
    </row>
    <row r="3859" spans="2:16">
      <c r="B3859" s="187"/>
      <c r="E3859"/>
      <c r="P3859"/>
    </row>
    <row r="3860" spans="2:16">
      <c r="B3860" s="187"/>
      <c r="E3860"/>
      <c r="P3860"/>
    </row>
    <row r="3861" spans="2:16">
      <c r="B3861" s="187"/>
      <c r="E3861"/>
      <c r="P3861"/>
    </row>
    <row r="3862" spans="2:16">
      <c r="B3862" s="187"/>
      <c r="E3862"/>
      <c r="P3862"/>
    </row>
    <row r="3863" spans="2:16">
      <c r="B3863" s="187"/>
      <c r="E3863"/>
      <c r="P3863"/>
    </row>
    <row r="3864" spans="2:16">
      <c r="B3864" s="187"/>
      <c r="E3864"/>
      <c r="P3864"/>
    </row>
    <row r="3865" spans="2:16">
      <c r="B3865" s="187"/>
      <c r="E3865"/>
      <c r="P3865"/>
    </row>
    <row r="3866" spans="2:16">
      <c r="B3866" s="187"/>
      <c r="E3866"/>
      <c r="P3866"/>
    </row>
    <row r="3867" spans="2:16">
      <c r="B3867" s="187"/>
      <c r="E3867"/>
      <c r="P3867"/>
    </row>
    <row r="3868" spans="2:16">
      <c r="B3868" s="187"/>
      <c r="E3868"/>
      <c r="P3868"/>
    </row>
    <row r="3869" spans="2:16">
      <c r="B3869" s="187"/>
      <c r="E3869"/>
      <c r="P3869"/>
    </row>
    <row r="3870" spans="2:16">
      <c r="B3870" s="187"/>
      <c r="E3870"/>
      <c r="P3870"/>
    </row>
    <row r="3871" spans="2:16">
      <c r="B3871" s="187"/>
      <c r="E3871"/>
      <c r="P3871"/>
    </row>
    <row r="3872" spans="2:16">
      <c r="B3872" s="187"/>
      <c r="E3872"/>
      <c r="P3872"/>
    </row>
    <row r="3873" spans="2:16">
      <c r="B3873" s="187"/>
      <c r="E3873"/>
      <c r="P3873"/>
    </row>
    <row r="3874" spans="2:16">
      <c r="B3874" s="187"/>
      <c r="E3874"/>
      <c r="P3874"/>
    </row>
    <row r="3875" spans="2:16">
      <c r="B3875" s="187"/>
      <c r="E3875"/>
      <c r="P3875"/>
    </row>
    <row r="3876" spans="2:16">
      <c r="B3876" s="187"/>
      <c r="E3876"/>
      <c r="P3876"/>
    </row>
    <row r="3877" spans="2:16">
      <c r="B3877" s="187"/>
      <c r="E3877"/>
      <c r="P3877"/>
    </row>
    <row r="3878" spans="2:16">
      <c r="B3878" s="187"/>
      <c r="E3878"/>
      <c r="P3878"/>
    </row>
    <row r="3879" spans="2:16">
      <c r="B3879" s="187"/>
      <c r="E3879"/>
      <c r="P3879"/>
    </row>
    <row r="3880" spans="2:16">
      <c r="B3880" s="187"/>
      <c r="E3880"/>
      <c r="P3880"/>
    </row>
    <row r="3881" spans="2:16">
      <c r="B3881" s="187"/>
      <c r="E3881"/>
      <c r="P3881"/>
    </row>
    <row r="3882" spans="2:16">
      <c r="B3882" s="187"/>
      <c r="E3882"/>
      <c r="P3882"/>
    </row>
    <row r="3883" spans="2:16">
      <c r="B3883" s="187"/>
      <c r="E3883"/>
      <c r="P3883"/>
    </row>
    <row r="3884" spans="2:16">
      <c r="B3884" s="187"/>
      <c r="E3884"/>
      <c r="P3884"/>
    </row>
    <row r="3885" spans="2:16">
      <c r="B3885" s="187"/>
      <c r="E3885"/>
      <c r="P3885"/>
    </row>
    <row r="3886" spans="2:16">
      <c r="B3886" s="187"/>
      <c r="E3886"/>
      <c r="P3886"/>
    </row>
    <row r="3887" spans="2:16">
      <c r="B3887" s="187"/>
      <c r="E3887"/>
      <c r="P3887"/>
    </row>
    <row r="3888" spans="2:16">
      <c r="B3888" s="187"/>
      <c r="E3888"/>
      <c r="P3888"/>
    </row>
    <row r="3889" spans="2:16">
      <c r="B3889" s="187"/>
      <c r="E3889"/>
      <c r="P3889"/>
    </row>
    <row r="3890" spans="2:16">
      <c r="B3890" s="187"/>
      <c r="E3890"/>
      <c r="P3890"/>
    </row>
    <row r="3891" spans="2:16">
      <c r="B3891" s="187"/>
      <c r="E3891"/>
      <c r="P3891"/>
    </row>
    <row r="3892" spans="2:16">
      <c r="B3892" s="187"/>
      <c r="E3892"/>
      <c r="P3892"/>
    </row>
    <row r="3893" spans="2:16">
      <c r="B3893" s="187"/>
      <c r="E3893"/>
      <c r="P3893"/>
    </row>
    <row r="3894" spans="2:16">
      <c r="B3894" s="187"/>
      <c r="E3894"/>
      <c r="P3894"/>
    </row>
    <row r="3895" spans="2:16">
      <c r="B3895" s="187"/>
      <c r="E3895"/>
      <c r="P3895"/>
    </row>
    <row r="3896" spans="2:16">
      <c r="B3896" s="187"/>
      <c r="E3896"/>
      <c r="P3896"/>
    </row>
    <row r="3897" spans="2:16">
      <c r="B3897" s="187"/>
      <c r="E3897"/>
      <c r="P3897"/>
    </row>
    <row r="3898" spans="2:16">
      <c r="B3898" s="187"/>
      <c r="E3898"/>
      <c r="P3898"/>
    </row>
    <row r="3899" spans="2:16">
      <c r="B3899" s="187"/>
      <c r="E3899"/>
      <c r="P3899"/>
    </row>
    <row r="3900" spans="2:16">
      <c r="B3900" s="187"/>
      <c r="E3900"/>
      <c r="P3900"/>
    </row>
    <row r="3901" spans="2:16">
      <c r="B3901" s="187"/>
      <c r="E3901"/>
      <c r="P3901"/>
    </row>
    <row r="3902" spans="2:16">
      <c r="B3902" s="187"/>
      <c r="E3902"/>
      <c r="P3902"/>
    </row>
    <row r="3903" spans="2:16">
      <c r="B3903" s="187"/>
      <c r="E3903"/>
      <c r="P3903"/>
    </row>
    <row r="3904" spans="2:16">
      <c r="B3904" s="187"/>
      <c r="E3904"/>
      <c r="P3904"/>
    </row>
    <row r="3905" spans="2:16">
      <c r="B3905" s="187"/>
      <c r="E3905"/>
      <c r="P3905"/>
    </row>
    <row r="3906" spans="2:16">
      <c r="B3906" s="187"/>
      <c r="E3906"/>
      <c r="P3906"/>
    </row>
    <row r="3907" spans="2:16">
      <c r="B3907" s="187"/>
      <c r="E3907"/>
      <c r="P3907"/>
    </row>
    <row r="3908" spans="2:16">
      <c r="B3908" s="187"/>
      <c r="E3908"/>
      <c r="P3908"/>
    </row>
    <row r="3909" spans="2:16">
      <c r="B3909" s="187"/>
      <c r="E3909"/>
      <c r="P3909"/>
    </row>
    <row r="3910" spans="2:16">
      <c r="B3910" s="187"/>
      <c r="E3910"/>
      <c r="P3910"/>
    </row>
    <row r="3911" spans="2:16">
      <c r="B3911" s="187"/>
      <c r="E3911"/>
      <c r="P3911"/>
    </row>
    <row r="3912" spans="2:16">
      <c r="B3912" s="187"/>
      <c r="E3912"/>
      <c r="P3912"/>
    </row>
    <row r="3913" spans="2:16">
      <c r="B3913" s="187"/>
      <c r="E3913"/>
      <c r="P3913"/>
    </row>
    <row r="3914" spans="2:16">
      <c r="B3914" s="187"/>
      <c r="E3914"/>
      <c r="P3914"/>
    </row>
    <row r="3915" spans="2:16">
      <c r="B3915" s="187"/>
      <c r="E3915"/>
      <c r="P3915"/>
    </row>
    <row r="3916" spans="2:16">
      <c r="B3916" s="187"/>
      <c r="E3916"/>
      <c r="P3916"/>
    </row>
    <row r="3917" spans="2:16">
      <c r="B3917" s="187"/>
      <c r="E3917"/>
      <c r="P3917"/>
    </row>
    <row r="3918" spans="2:16">
      <c r="B3918" s="187"/>
      <c r="E3918"/>
      <c r="P3918"/>
    </row>
    <row r="3919" spans="2:16">
      <c r="B3919" s="187"/>
      <c r="E3919"/>
      <c r="P3919"/>
    </row>
    <row r="3920" spans="2:16">
      <c r="B3920" s="187"/>
      <c r="E3920"/>
      <c r="P3920"/>
    </row>
    <row r="3921" spans="2:16">
      <c r="B3921" s="187"/>
      <c r="E3921"/>
      <c r="P3921"/>
    </row>
    <row r="3922" spans="2:16">
      <c r="B3922" s="187"/>
      <c r="E3922"/>
      <c r="P3922"/>
    </row>
    <row r="3923" spans="2:16">
      <c r="B3923" s="187"/>
      <c r="E3923"/>
      <c r="P3923"/>
    </row>
    <row r="3924" spans="2:16">
      <c r="B3924" s="187"/>
      <c r="E3924"/>
      <c r="P3924"/>
    </row>
    <row r="3925" spans="2:16">
      <c r="B3925" s="187"/>
      <c r="E3925"/>
      <c r="P3925"/>
    </row>
    <row r="3926" spans="2:16">
      <c r="B3926" s="187"/>
      <c r="E3926"/>
      <c r="P3926"/>
    </row>
    <row r="3927" spans="2:16">
      <c r="B3927" s="187"/>
      <c r="E3927"/>
      <c r="P3927"/>
    </row>
    <row r="3928" spans="2:16">
      <c r="B3928" s="187"/>
      <c r="E3928"/>
      <c r="P3928"/>
    </row>
    <row r="3929" spans="2:16">
      <c r="B3929" s="187"/>
      <c r="E3929"/>
      <c r="P3929"/>
    </row>
    <row r="3930" spans="2:16">
      <c r="B3930" s="187"/>
      <c r="E3930"/>
      <c r="P3930"/>
    </row>
    <row r="3931" spans="2:16">
      <c r="B3931" s="187"/>
      <c r="E3931"/>
      <c r="P3931"/>
    </row>
    <row r="3932" spans="2:16">
      <c r="B3932" s="187"/>
      <c r="E3932"/>
      <c r="P3932"/>
    </row>
    <row r="3933" spans="2:16">
      <c r="B3933" s="187"/>
      <c r="E3933"/>
      <c r="P3933"/>
    </row>
    <row r="3934" spans="2:16">
      <c r="B3934" s="187"/>
      <c r="E3934"/>
      <c r="P3934"/>
    </row>
    <row r="3935" spans="2:16">
      <c r="B3935" s="187"/>
      <c r="E3935"/>
      <c r="P3935"/>
    </row>
    <row r="3936" spans="2:16">
      <c r="B3936" s="187"/>
      <c r="E3936"/>
      <c r="P3936"/>
    </row>
    <row r="3937" spans="2:16">
      <c r="B3937" s="187"/>
      <c r="E3937"/>
      <c r="P3937"/>
    </row>
    <row r="3938" spans="2:16">
      <c r="B3938" s="187"/>
      <c r="E3938"/>
      <c r="P3938"/>
    </row>
    <row r="3939" spans="2:16">
      <c r="B3939" s="187"/>
      <c r="E3939"/>
      <c r="P3939"/>
    </row>
    <row r="3940" spans="2:16">
      <c r="B3940" s="187"/>
      <c r="E3940"/>
      <c r="P3940"/>
    </row>
    <row r="3941" spans="2:16">
      <c r="B3941" s="187"/>
      <c r="E3941"/>
      <c r="P3941"/>
    </row>
    <row r="3942" spans="2:16">
      <c r="B3942" s="187"/>
      <c r="E3942"/>
      <c r="P3942"/>
    </row>
    <row r="3943" spans="2:16">
      <c r="B3943" s="187"/>
      <c r="E3943"/>
      <c r="P3943"/>
    </row>
    <row r="3944" spans="2:16">
      <c r="B3944" s="187"/>
      <c r="E3944"/>
      <c r="P3944"/>
    </row>
    <row r="3945" spans="2:16">
      <c r="B3945" s="187"/>
      <c r="E3945"/>
      <c r="P3945"/>
    </row>
    <row r="3946" spans="2:16">
      <c r="B3946" s="187"/>
      <c r="E3946"/>
      <c r="P3946"/>
    </row>
    <row r="3947" spans="2:16">
      <c r="B3947" s="187"/>
      <c r="E3947"/>
      <c r="P3947"/>
    </row>
    <row r="3948" spans="2:16">
      <c r="B3948" s="187"/>
      <c r="E3948"/>
      <c r="P3948"/>
    </row>
    <row r="3949" spans="2:16">
      <c r="B3949" s="187"/>
      <c r="E3949"/>
      <c r="P3949"/>
    </row>
    <row r="3950" spans="2:16">
      <c r="B3950" s="187"/>
      <c r="E3950"/>
      <c r="P3950"/>
    </row>
    <row r="3951" spans="2:16">
      <c r="B3951" s="187"/>
      <c r="E3951"/>
      <c r="P3951"/>
    </row>
    <row r="3952" spans="2:16">
      <c r="B3952" s="187"/>
      <c r="E3952"/>
      <c r="P3952"/>
    </row>
    <row r="3953" spans="2:16">
      <c r="B3953" s="187"/>
      <c r="E3953"/>
      <c r="P3953"/>
    </row>
    <row r="3954" spans="2:16">
      <c r="B3954" s="187"/>
      <c r="E3954"/>
      <c r="P3954"/>
    </row>
    <row r="3955" spans="2:16">
      <c r="B3955" s="187"/>
      <c r="E3955"/>
      <c r="P3955"/>
    </row>
    <row r="3956" spans="2:16">
      <c r="B3956" s="187"/>
      <c r="E3956"/>
      <c r="P3956"/>
    </row>
    <row r="3957" spans="2:16">
      <c r="B3957" s="187"/>
      <c r="E3957"/>
      <c r="P3957"/>
    </row>
    <row r="3958" spans="2:16">
      <c r="B3958" s="187"/>
      <c r="E3958"/>
      <c r="P3958"/>
    </row>
    <row r="3959" spans="2:16">
      <c r="B3959" s="187"/>
      <c r="E3959"/>
      <c r="P3959"/>
    </row>
    <row r="3960" spans="2:16">
      <c r="B3960" s="187"/>
      <c r="E3960"/>
      <c r="P3960"/>
    </row>
    <row r="3961" spans="2:16">
      <c r="B3961" s="187"/>
      <c r="E3961"/>
      <c r="P3961"/>
    </row>
    <row r="3962" spans="2:16">
      <c r="B3962" s="187"/>
      <c r="E3962"/>
      <c r="P3962"/>
    </row>
    <row r="3963" spans="2:16">
      <c r="B3963" s="187"/>
      <c r="E3963"/>
      <c r="P3963"/>
    </row>
    <row r="3964" spans="2:16">
      <c r="B3964" s="187"/>
      <c r="E3964"/>
      <c r="P3964"/>
    </row>
    <row r="3965" spans="2:16">
      <c r="B3965" s="187"/>
      <c r="E3965"/>
      <c r="P3965"/>
    </row>
    <row r="3966" spans="2:16">
      <c r="B3966" s="187"/>
      <c r="E3966"/>
      <c r="P3966"/>
    </row>
    <row r="3967" spans="2:16">
      <c r="B3967" s="187"/>
      <c r="E3967"/>
      <c r="P3967"/>
    </row>
    <row r="3968" spans="2:16">
      <c r="B3968" s="187"/>
      <c r="E3968"/>
      <c r="P3968"/>
    </row>
    <row r="3969" spans="2:16">
      <c r="B3969" s="187"/>
      <c r="E3969"/>
      <c r="P3969"/>
    </row>
    <row r="3970" spans="2:16">
      <c r="B3970" s="187"/>
      <c r="E3970"/>
      <c r="P3970"/>
    </row>
    <row r="3971" spans="2:16">
      <c r="B3971" s="187"/>
      <c r="E3971"/>
      <c r="P3971"/>
    </row>
    <row r="3972" spans="2:16">
      <c r="B3972" s="187"/>
      <c r="E3972"/>
      <c r="P3972"/>
    </row>
    <row r="3973" spans="2:16">
      <c r="B3973" s="187"/>
      <c r="E3973"/>
      <c r="P3973"/>
    </row>
    <row r="3974" spans="2:16">
      <c r="B3974" s="187"/>
      <c r="E3974"/>
      <c r="P3974"/>
    </row>
    <row r="3975" spans="2:16">
      <c r="B3975" s="187"/>
      <c r="E3975"/>
      <c r="P3975"/>
    </row>
    <row r="3976" spans="2:16">
      <c r="B3976" s="187"/>
      <c r="E3976"/>
      <c r="P3976"/>
    </row>
    <row r="3977" spans="2:16">
      <c r="B3977" s="187"/>
      <c r="E3977"/>
      <c r="P3977"/>
    </row>
    <row r="3978" spans="2:16">
      <c r="B3978" s="187"/>
      <c r="E3978"/>
      <c r="P3978"/>
    </row>
    <row r="3979" spans="2:16">
      <c r="B3979" s="187"/>
      <c r="E3979"/>
      <c r="P3979"/>
    </row>
    <row r="3980" spans="2:16">
      <c r="B3980" s="187"/>
      <c r="E3980"/>
      <c r="P3980"/>
    </row>
    <row r="3981" spans="2:16">
      <c r="B3981" s="187"/>
      <c r="E3981"/>
      <c r="P3981"/>
    </row>
    <row r="3982" spans="2:16">
      <c r="B3982" s="187"/>
      <c r="E3982"/>
      <c r="P3982"/>
    </row>
    <row r="3983" spans="2:16">
      <c r="B3983" s="187"/>
      <c r="E3983"/>
      <c r="P3983"/>
    </row>
    <row r="3984" spans="2:16">
      <c r="B3984" s="187"/>
      <c r="E3984"/>
      <c r="P3984"/>
    </row>
    <row r="3985" spans="2:16">
      <c r="B3985" s="187"/>
      <c r="E3985"/>
      <c r="P3985"/>
    </row>
    <row r="3986" spans="2:16">
      <c r="B3986" s="187"/>
      <c r="E3986"/>
      <c r="P3986"/>
    </row>
    <row r="3987" spans="2:16">
      <c r="B3987" s="187"/>
      <c r="E3987"/>
      <c r="P3987"/>
    </row>
    <row r="3988" spans="2:16">
      <c r="B3988" s="187"/>
      <c r="E3988"/>
      <c r="P3988"/>
    </row>
    <row r="3989" spans="2:16">
      <c r="B3989" s="187"/>
      <c r="E3989"/>
      <c r="P3989"/>
    </row>
    <row r="3990" spans="2:16">
      <c r="B3990" s="187"/>
      <c r="E3990"/>
      <c r="P3990"/>
    </row>
    <row r="3991" spans="2:16">
      <c r="B3991" s="187"/>
      <c r="E3991"/>
      <c r="P3991"/>
    </row>
    <row r="3992" spans="2:16">
      <c r="B3992" s="187"/>
      <c r="E3992"/>
      <c r="P3992"/>
    </row>
    <row r="3993" spans="2:16">
      <c r="B3993" s="187"/>
      <c r="E3993"/>
      <c r="P3993"/>
    </row>
    <row r="3994" spans="2:16">
      <c r="B3994" s="187"/>
      <c r="E3994"/>
      <c r="P3994"/>
    </row>
    <row r="3995" spans="2:16">
      <c r="B3995" s="187"/>
      <c r="E3995"/>
      <c r="P3995"/>
    </row>
    <row r="3996" spans="2:16">
      <c r="B3996" s="187"/>
      <c r="E3996"/>
      <c r="P3996"/>
    </row>
    <row r="3997" spans="2:16">
      <c r="B3997" s="187"/>
      <c r="E3997"/>
      <c r="P3997"/>
    </row>
    <row r="3998" spans="2:16">
      <c r="B3998" s="187"/>
      <c r="E3998"/>
      <c r="P3998"/>
    </row>
    <row r="3999" spans="2:16">
      <c r="B3999" s="187"/>
      <c r="E3999"/>
      <c r="P3999"/>
    </row>
    <row r="4000" spans="2:16">
      <c r="B4000" s="187"/>
      <c r="E4000"/>
      <c r="P4000"/>
    </row>
    <row r="4001" spans="2:16">
      <c r="B4001" s="187"/>
      <c r="E4001"/>
      <c r="P4001"/>
    </row>
    <row r="4002" spans="2:16">
      <c r="B4002" s="187"/>
      <c r="E4002"/>
      <c r="P4002"/>
    </row>
    <row r="4003" spans="2:16">
      <c r="B4003" s="187"/>
      <c r="E4003"/>
      <c r="P4003"/>
    </row>
    <row r="4004" spans="2:16">
      <c r="B4004" s="187"/>
      <c r="E4004"/>
      <c r="P4004"/>
    </row>
    <row r="4005" spans="2:16">
      <c r="B4005" s="187"/>
      <c r="E4005"/>
      <c r="P4005"/>
    </row>
    <row r="4006" spans="2:16">
      <c r="B4006" s="187"/>
      <c r="E4006"/>
      <c r="P4006"/>
    </row>
    <row r="4007" spans="2:16">
      <c r="B4007" s="187"/>
      <c r="E4007"/>
      <c r="P4007"/>
    </row>
    <row r="4008" spans="2:16">
      <c r="B4008" s="187"/>
      <c r="E4008"/>
      <c r="P4008"/>
    </row>
    <row r="4009" spans="2:16">
      <c r="B4009" s="187"/>
      <c r="E4009"/>
      <c r="P4009"/>
    </row>
    <row r="4010" spans="2:16">
      <c r="B4010" s="187"/>
      <c r="E4010"/>
      <c r="P4010"/>
    </row>
    <row r="4011" spans="2:16">
      <c r="B4011" s="187"/>
      <c r="E4011"/>
      <c r="P4011"/>
    </row>
    <row r="4012" spans="2:16">
      <c r="B4012" s="187"/>
      <c r="E4012"/>
      <c r="P4012"/>
    </row>
    <row r="4013" spans="2:16">
      <c r="B4013" s="187"/>
      <c r="E4013"/>
      <c r="P4013"/>
    </row>
    <row r="4014" spans="2:16">
      <c r="B4014" s="187"/>
      <c r="E4014"/>
      <c r="P4014"/>
    </row>
    <row r="4015" spans="2:16">
      <c r="B4015" s="187"/>
      <c r="E4015"/>
      <c r="P4015"/>
    </row>
    <row r="4016" spans="2:16">
      <c r="B4016" s="187"/>
      <c r="E4016"/>
      <c r="P4016"/>
    </row>
    <row r="4017" spans="2:16">
      <c r="B4017" s="187"/>
      <c r="E4017"/>
      <c r="P4017"/>
    </row>
    <row r="4018" spans="2:16">
      <c r="B4018" s="187"/>
      <c r="E4018"/>
      <c r="P4018"/>
    </row>
    <row r="4019" spans="2:16">
      <c r="B4019" s="187"/>
      <c r="E4019"/>
      <c r="P4019"/>
    </row>
    <row r="4020" spans="2:16">
      <c r="B4020" s="187"/>
      <c r="E4020"/>
      <c r="P4020"/>
    </row>
    <row r="4021" spans="2:16">
      <c r="B4021" s="187"/>
      <c r="E4021"/>
      <c r="P4021"/>
    </row>
    <row r="4022" spans="2:16">
      <c r="B4022" s="187"/>
      <c r="E4022"/>
      <c r="P4022"/>
    </row>
    <row r="4023" spans="2:16">
      <c r="B4023" s="187"/>
      <c r="E4023"/>
      <c r="P4023"/>
    </row>
    <row r="4024" spans="2:16">
      <c r="B4024" s="187"/>
      <c r="E4024"/>
      <c r="P4024"/>
    </row>
    <row r="4025" spans="2:16">
      <c r="B4025" s="187"/>
      <c r="E4025"/>
      <c r="P4025"/>
    </row>
    <row r="4026" spans="2:16">
      <c r="B4026" s="187"/>
      <c r="E4026"/>
      <c r="P4026"/>
    </row>
    <row r="4027" spans="2:16">
      <c r="B4027" s="187"/>
      <c r="E4027"/>
      <c r="P4027"/>
    </row>
    <row r="4028" spans="2:16">
      <c r="B4028" s="187"/>
      <c r="E4028"/>
      <c r="P4028"/>
    </row>
    <row r="4029" spans="2:16">
      <c r="B4029" s="187"/>
      <c r="E4029"/>
      <c r="P4029"/>
    </row>
    <row r="4030" spans="2:16">
      <c r="B4030" s="187"/>
      <c r="E4030"/>
      <c r="P4030"/>
    </row>
    <row r="4031" spans="2:16">
      <c r="B4031" s="187"/>
      <c r="E4031"/>
      <c r="P4031"/>
    </row>
    <row r="4032" spans="2:16">
      <c r="B4032" s="187"/>
      <c r="E4032"/>
      <c r="P4032"/>
    </row>
    <row r="4033" spans="2:16">
      <c r="B4033" s="187"/>
      <c r="E4033"/>
      <c r="P4033"/>
    </row>
    <row r="4034" spans="2:16">
      <c r="B4034" s="187"/>
      <c r="E4034"/>
      <c r="P4034"/>
    </row>
    <row r="4035" spans="2:16">
      <c r="B4035" s="187"/>
      <c r="E4035"/>
      <c r="P4035"/>
    </row>
    <row r="4036" spans="2:16">
      <c r="B4036" s="187"/>
      <c r="E4036"/>
      <c r="P4036"/>
    </row>
    <row r="4037" spans="2:16">
      <c r="B4037" s="187"/>
      <c r="E4037"/>
      <c r="P4037"/>
    </row>
    <row r="4038" spans="2:16">
      <c r="B4038" s="187"/>
      <c r="E4038"/>
      <c r="P4038"/>
    </row>
    <row r="4039" spans="2:16">
      <c r="B4039" s="187"/>
      <c r="E4039"/>
      <c r="P4039"/>
    </row>
    <row r="4040" spans="2:16">
      <c r="B4040" s="187"/>
      <c r="E4040"/>
      <c r="P4040"/>
    </row>
    <row r="4041" spans="2:16">
      <c r="B4041" s="187"/>
      <c r="E4041"/>
      <c r="P4041"/>
    </row>
    <row r="4042" spans="2:16">
      <c r="B4042" s="187"/>
      <c r="E4042"/>
      <c r="P4042"/>
    </row>
    <row r="4043" spans="2:16">
      <c r="B4043" s="187"/>
      <c r="E4043"/>
      <c r="P4043"/>
    </row>
    <row r="4044" spans="2:16">
      <c r="B4044" s="187"/>
      <c r="E4044"/>
      <c r="P4044"/>
    </row>
    <row r="4045" spans="2:16">
      <c r="B4045" s="187"/>
      <c r="E4045"/>
      <c r="P4045"/>
    </row>
    <row r="4046" spans="2:16">
      <c r="B4046" s="187"/>
      <c r="E4046"/>
      <c r="P4046"/>
    </row>
    <row r="4047" spans="2:16">
      <c r="B4047" s="187"/>
      <c r="E4047"/>
      <c r="P4047"/>
    </row>
    <row r="4048" spans="2:16">
      <c r="B4048" s="187"/>
      <c r="E4048"/>
      <c r="P4048"/>
    </row>
    <row r="4049" spans="2:16">
      <c r="B4049" s="187"/>
      <c r="E4049"/>
      <c r="P4049"/>
    </row>
    <row r="4050" spans="2:16">
      <c r="B4050" s="187"/>
      <c r="E4050"/>
      <c r="P4050"/>
    </row>
    <row r="4051" spans="2:16">
      <c r="B4051" s="187"/>
      <c r="E4051"/>
      <c r="P4051"/>
    </row>
    <row r="4052" spans="2:16">
      <c r="B4052" s="187"/>
      <c r="E4052"/>
      <c r="P4052"/>
    </row>
    <row r="4053" spans="2:16">
      <c r="B4053" s="187"/>
      <c r="E4053"/>
      <c r="P4053"/>
    </row>
    <row r="4054" spans="2:16">
      <c r="B4054" s="187"/>
      <c r="E4054"/>
      <c r="P4054"/>
    </row>
    <row r="4055" spans="2:16">
      <c r="B4055" s="187"/>
      <c r="E4055"/>
      <c r="P4055"/>
    </row>
    <row r="4056" spans="2:16">
      <c r="B4056" s="187"/>
      <c r="E4056"/>
      <c r="P4056"/>
    </row>
    <row r="4057" spans="2:16">
      <c r="B4057" s="187"/>
      <c r="E4057"/>
      <c r="P4057"/>
    </row>
    <row r="4058" spans="2:16">
      <c r="B4058" s="187"/>
      <c r="E4058"/>
      <c r="P4058"/>
    </row>
    <row r="4059" spans="2:16">
      <c r="B4059" s="187"/>
      <c r="E4059"/>
      <c r="P4059"/>
    </row>
    <row r="4060" spans="2:16">
      <c r="B4060" s="187"/>
      <c r="E4060"/>
      <c r="P4060"/>
    </row>
    <row r="4061" spans="2:16">
      <c r="B4061" s="187"/>
      <c r="E4061"/>
      <c r="P4061"/>
    </row>
    <row r="4062" spans="2:16">
      <c r="B4062" s="187"/>
      <c r="E4062"/>
      <c r="P4062"/>
    </row>
    <row r="4063" spans="2:16">
      <c r="B4063" s="187"/>
      <c r="E4063"/>
      <c r="P4063"/>
    </row>
    <row r="4064" spans="2:16">
      <c r="B4064" s="187"/>
      <c r="E4064"/>
      <c r="P4064"/>
    </row>
    <row r="4065" spans="2:16">
      <c r="B4065" s="187"/>
      <c r="E4065"/>
      <c r="P4065"/>
    </row>
    <row r="4066" spans="2:16">
      <c r="B4066" s="187"/>
      <c r="E4066"/>
      <c r="P4066"/>
    </row>
    <row r="4067" spans="2:16">
      <c r="B4067" s="187"/>
      <c r="E4067"/>
      <c r="P4067"/>
    </row>
    <row r="4068" spans="2:16">
      <c r="B4068" s="187"/>
      <c r="E4068"/>
      <c r="P4068"/>
    </row>
    <row r="4069" spans="2:16">
      <c r="B4069" s="187"/>
      <c r="E4069"/>
      <c r="P4069"/>
    </row>
    <row r="4070" spans="2:16">
      <c r="B4070" s="187"/>
      <c r="E4070"/>
      <c r="P4070"/>
    </row>
    <row r="4071" spans="2:16">
      <c r="B4071" s="187"/>
      <c r="E4071"/>
      <c r="P4071"/>
    </row>
    <row r="4072" spans="2:16">
      <c r="B4072" s="187"/>
      <c r="E4072"/>
      <c r="P4072"/>
    </row>
    <row r="4073" spans="2:16">
      <c r="B4073" s="187"/>
      <c r="E4073"/>
      <c r="P4073"/>
    </row>
    <row r="4074" spans="2:16">
      <c r="B4074" s="187"/>
      <c r="E4074"/>
      <c r="P4074"/>
    </row>
    <row r="4075" spans="2:16">
      <c r="B4075" s="187"/>
      <c r="E4075"/>
      <c r="P4075"/>
    </row>
    <row r="4076" spans="2:16">
      <c r="B4076" s="187"/>
      <c r="E4076"/>
      <c r="P4076"/>
    </row>
    <row r="4077" spans="2:16">
      <c r="B4077" s="187"/>
      <c r="E4077"/>
      <c r="P4077"/>
    </row>
    <row r="4078" spans="2:16">
      <c r="B4078" s="187"/>
      <c r="E4078"/>
      <c r="P4078"/>
    </row>
    <row r="4079" spans="2:16">
      <c r="B4079" s="187"/>
      <c r="E4079"/>
      <c r="P4079"/>
    </row>
    <row r="4080" spans="2:16">
      <c r="B4080" s="187"/>
      <c r="E4080"/>
      <c r="P4080"/>
    </row>
    <row r="4081" spans="2:16">
      <c r="B4081" s="187"/>
      <c r="E4081"/>
      <c r="P4081"/>
    </row>
    <row r="4082" spans="2:16">
      <c r="B4082" s="187"/>
      <c r="E4082"/>
      <c r="P4082"/>
    </row>
    <row r="4083" spans="2:16">
      <c r="B4083" s="187"/>
      <c r="E4083"/>
      <c r="P4083"/>
    </row>
    <row r="4084" spans="2:16">
      <c r="B4084" s="187"/>
      <c r="E4084"/>
      <c r="P4084"/>
    </row>
    <row r="4085" spans="2:16">
      <c r="B4085" s="187"/>
      <c r="E4085"/>
      <c r="P4085"/>
    </row>
    <row r="4086" spans="2:16">
      <c r="B4086" s="187"/>
      <c r="E4086"/>
      <c r="P4086"/>
    </row>
    <row r="4087" spans="2:16">
      <c r="B4087" s="187"/>
      <c r="E4087"/>
      <c r="P4087"/>
    </row>
    <row r="4088" spans="2:16">
      <c r="B4088" s="187"/>
      <c r="E4088"/>
      <c r="P4088"/>
    </row>
    <row r="4089" spans="2:16">
      <c r="B4089" s="187"/>
      <c r="E4089"/>
      <c r="P4089"/>
    </row>
    <row r="4090" spans="2:16">
      <c r="B4090" s="187"/>
      <c r="E4090"/>
      <c r="P4090"/>
    </row>
    <row r="4091" spans="2:16">
      <c r="B4091" s="187"/>
      <c r="E4091"/>
      <c r="P4091"/>
    </row>
    <row r="4092" spans="2:16">
      <c r="B4092" s="187"/>
      <c r="E4092"/>
      <c r="P4092"/>
    </row>
    <row r="4093" spans="2:16">
      <c r="B4093" s="187"/>
      <c r="E4093"/>
      <c r="P4093"/>
    </row>
    <row r="4094" spans="2:16">
      <c r="B4094" s="187"/>
      <c r="E4094"/>
      <c r="P4094"/>
    </row>
    <row r="4095" spans="2:16">
      <c r="B4095" s="187"/>
      <c r="E4095"/>
      <c r="P4095"/>
    </row>
    <row r="4096" spans="2:16">
      <c r="B4096" s="187"/>
      <c r="E4096"/>
      <c r="P4096"/>
    </row>
    <row r="4097" spans="2:16">
      <c r="B4097" s="187"/>
      <c r="E4097"/>
      <c r="P4097"/>
    </row>
    <row r="4098" spans="2:16">
      <c r="B4098" s="187"/>
      <c r="E4098"/>
      <c r="P4098"/>
    </row>
    <row r="4099" spans="2:16">
      <c r="B4099" s="187"/>
      <c r="E4099"/>
      <c r="P4099"/>
    </row>
    <row r="4100" spans="2:16">
      <c r="B4100" s="187"/>
      <c r="E4100"/>
      <c r="P4100"/>
    </row>
    <row r="4101" spans="2:16">
      <c r="B4101" s="187"/>
      <c r="E4101"/>
      <c r="P4101"/>
    </row>
    <row r="4102" spans="2:16">
      <c r="B4102" s="187"/>
      <c r="E4102"/>
      <c r="P4102"/>
    </row>
    <row r="4103" spans="2:16">
      <c r="B4103" s="187"/>
      <c r="E4103"/>
      <c r="P4103"/>
    </row>
    <row r="4104" spans="2:16">
      <c r="B4104" s="187"/>
      <c r="E4104"/>
      <c r="P4104"/>
    </row>
    <row r="4105" spans="2:16">
      <c r="B4105" s="187"/>
      <c r="E4105"/>
      <c r="P4105"/>
    </row>
    <row r="4106" spans="2:16">
      <c r="B4106" s="187"/>
      <c r="E4106"/>
      <c r="P4106"/>
    </row>
    <row r="4107" spans="2:16">
      <c r="B4107" s="187"/>
      <c r="E4107"/>
      <c r="P4107"/>
    </row>
    <row r="4108" spans="2:16">
      <c r="B4108" s="187"/>
      <c r="E4108"/>
      <c r="P4108"/>
    </row>
    <row r="4109" spans="2:16">
      <c r="B4109" s="187"/>
      <c r="E4109"/>
      <c r="P4109"/>
    </row>
    <row r="4110" spans="2:16">
      <c r="B4110" s="187"/>
      <c r="E4110"/>
      <c r="P4110"/>
    </row>
    <row r="4111" spans="2:16">
      <c r="B4111" s="187"/>
      <c r="E4111"/>
      <c r="P4111"/>
    </row>
    <row r="4112" spans="2:16">
      <c r="B4112" s="187"/>
      <c r="E4112"/>
      <c r="P4112"/>
    </row>
    <row r="4113" spans="2:16">
      <c r="B4113" s="187"/>
      <c r="E4113"/>
      <c r="P4113"/>
    </row>
    <row r="4114" spans="2:16">
      <c r="B4114" s="187"/>
      <c r="E4114"/>
      <c r="P4114"/>
    </row>
    <row r="4115" spans="2:16">
      <c r="B4115" s="187"/>
      <c r="E4115"/>
      <c r="P4115"/>
    </row>
    <row r="4116" spans="2:16">
      <c r="B4116" s="187"/>
      <c r="E4116"/>
      <c r="P4116"/>
    </row>
    <row r="4117" spans="2:16">
      <c r="B4117" s="187"/>
      <c r="E4117"/>
      <c r="P4117"/>
    </row>
    <row r="4118" spans="2:16">
      <c r="B4118" s="187"/>
      <c r="E4118"/>
      <c r="P4118"/>
    </row>
    <row r="4119" spans="2:16">
      <c r="B4119" s="187"/>
      <c r="E4119"/>
      <c r="P4119"/>
    </row>
    <row r="4120" spans="2:16">
      <c r="B4120" s="187"/>
      <c r="E4120"/>
      <c r="P4120"/>
    </row>
    <row r="4121" spans="2:16">
      <c r="B4121" s="187"/>
      <c r="E4121"/>
      <c r="P4121"/>
    </row>
    <row r="4122" spans="2:16">
      <c r="B4122" s="187"/>
      <c r="E4122"/>
      <c r="P4122"/>
    </row>
    <row r="4123" spans="2:16">
      <c r="B4123" s="187"/>
      <c r="E4123"/>
      <c r="P4123"/>
    </row>
    <row r="4124" spans="2:16">
      <c r="B4124" s="187"/>
      <c r="E4124"/>
      <c r="P4124"/>
    </row>
    <row r="4125" spans="2:16">
      <c r="B4125" s="187"/>
      <c r="E4125"/>
      <c r="P4125"/>
    </row>
    <row r="4126" spans="2:16">
      <c r="B4126" s="187"/>
      <c r="E4126"/>
      <c r="P4126"/>
    </row>
    <row r="4127" spans="2:16">
      <c r="B4127" s="187"/>
      <c r="E4127"/>
      <c r="P4127"/>
    </row>
    <row r="4128" spans="2:16">
      <c r="B4128" s="187"/>
      <c r="E4128"/>
      <c r="P4128"/>
    </row>
    <row r="4129" spans="2:16">
      <c r="B4129" s="187"/>
      <c r="E4129"/>
      <c r="P4129"/>
    </row>
    <row r="4130" spans="2:16">
      <c r="B4130" s="187"/>
      <c r="E4130"/>
      <c r="P4130"/>
    </row>
    <row r="4131" spans="2:16">
      <c r="B4131" s="187"/>
      <c r="E4131"/>
      <c r="P4131"/>
    </row>
    <row r="4132" spans="2:16">
      <c r="B4132" s="187"/>
      <c r="E4132"/>
      <c r="P4132"/>
    </row>
    <row r="4133" spans="2:16">
      <c r="B4133" s="187"/>
      <c r="E4133"/>
      <c r="P4133"/>
    </row>
    <row r="4134" spans="2:16">
      <c r="B4134" s="187"/>
      <c r="E4134"/>
      <c r="P4134"/>
    </row>
    <row r="4135" spans="2:16">
      <c r="B4135" s="187"/>
      <c r="E4135"/>
      <c r="P4135"/>
    </row>
    <row r="4136" spans="2:16">
      <c r="B4136" s="187"/>
      <c r="E4136"/>
      <c r="P4136"/>
    </row>
    <row r="4137" spans="2:16">
      <c r="B4137" s="187"/>
      <c r="E4137"/>
      <c r="P4137"/>
    </row>
    <row r="4138" spans="2:16">
      <c r="B4138" s="187"/>
      <c r="E4138"/>
      <c r="P4138"/>
    </row>
    <row r="4139" spans="2:16">
      <c r="B4139" s="187"/>
      <c r="E4139"/>
      <c r="P4139"/>
    </row>
    <row r="4140" spans="2:16">
      <c r="B4140" s="187"/>
      <c r="E4140"/>
      <c r="P4140"/>
    </row>
    <row r="4141" spans="2:16">
      <c r="B4141" s="187"/>
      <c r="E4141"/>
      <c r="P4141"/>
    </row>
    <row r="4142" spans="2:16">
      <c r="B4142" s="187"/>
      <c r="E4142"/>
      <c r="P4142"/>
    </row>
    <row r="4143" spans="2:16">
      <c r="B4143" s="187"/>
      <c r="E4143"/>
      <c r="P4143"/>
    </row>
    <row r="4144" spans="2:16">
      <c r="B4144" s="187"/>
      <c r="E4144"/>
      <c r="P4144"/>
    </row>
    <row r="4145" spans="2:16">
      <c r="B4145" s="187"/>
      <c r="E4145"/>
      <c r="P4145"/>
    </row>
    <row r="4146" spans="2:16">
      <c r="B4146" s="187"/>
      <c r="E4146"/>
      <c r="P4146"/>
    </row>
    <row r="4147" spans="2:16">
      <c r="B4147" s="187"/>
      <c r="E4147"/>
      <c r="P4147"/>
    </row>
    <row r="4148" spans="2:16">
      <c r="B4148" s="187"/>
      <c r="E4148"/>
      <c r="P4148"/>
    </row>
    <row r="4149" spans="2:16">
      <c r="B4149" s="187"/>
      <c r="E4149"/>
      <c r="P4149"/>
    </row>
    <row r="4150" spans="2:16">
      <c r="B4150" s="187"/>
      <c r="E4150"/>
      <c r="P4150"/>
    </row>
    <row r="4151" spans="2:16">
      <c r="B4151" s="187"/>
      <c r="E4151"/>
      <c r="P4151"/>
    </row>
    <row r="4152" spans="2:16">
      <c r="B4152" s="187"/>
      <c r="E4152"/>
      <c r="P4152"/>
    </row>
    <row r="4153" spans="2:16">
      <c r="B4153" s="187"/>
      <c r="E4153"/>
      <c r="P4153"/>
    </row>
    <row r="4154" spans="2:16">
      <c r="B4154" s="187"/>
      <c r="E4154"/>
      <c r="P4154"/>
    </row>
    <row r="4155" spans="2:16">
      <c r="B4155" s="187"/>
      <c r="E4155"/>
      <c r="P4155"/>
    </row>
    <row r="4156" spans="2:16">
      <c r="B4156" s="187"/>
      <c r="E4156"/>
      <c r="P4156"/>
    </row>
    <row r="4157" spans="2:16">
      <c r="B4157" s="187"/>
      <c r="E4157"/>
      <c r="P4157"/>
    </row>
    <row r="4158" spans="2:16">
      <c r="B4158" s="187"/>
      <c r="E4158"/>
      <c r="P4158"/>
    </row>
    <row r="4159" spans="2:16">
      <c r="B4159" s="187"/>
      <c r="E4159"/>
      <c r="P4159"/>
    </row>
    <row r="4160" spans="2:16">
      <c r="B4160" s="187"/>
      <c r="E4160"/>
      <c r="P4160"/>
    </row>
    <row r="4161" spans="2:16">
      <c r="B4161" s="187"/>
      <c r="E4161"/>
      <c r="P4161"/>
    </row>
    <row r="4162" spans="2:16">
      <c r="B4162" s="187"/>
      <c r="E4162"/>
      <c r="P4162"/>
    </row>
    <row r="4163" spans="2:16">
      <c r="B4163" s="187"/>
      <c r="E4163"/>
      <c r="P4163"/>
    </row>
    <row r="4164" spans="2:16">
      <c r="B4164" s="187"/>
      <c r="E4164"/>
      <c r="P4164"/>
    </row>
    <row r="4165" spans="2:16">
      <c r="B4165" s="187"/>
      <c r="E4165"/>
      <c r="P4165"/>
    </row>
    <row r="4166" spans="2:16">
      <c r="B4166" s="187"/>
      <c r="E4166"/>
      <c r="P4166"/>
    </row>
    <row r="4167" spans="2:16">
      <c r="B4167" s="187"/>
      <c r="E4167"/>
      <c r="P4167"/>
    </row>
    <row r="4168" spans="2:16">
      <c r="B4168" s="187"/>
      <c r="E4168"/>
      <c r="P4168"/>
    </row>
    <row r="4169" spans="2:16">
      <c r="B4169" s="187"/>
      <c r="E4169"/>
      <c r="P4169"/>
    </row>
    <row r="4170" spans="2:16">
      <c r="B4170" s="187"/>
      <c r="E4170"/>
      <c r="P4170"/>
    </row>
    <row r="4171" spans="2:16">
      <c r="B4171" s="187"/>
      <c r="E4171"/>
      <c r="P4171"/>
    </row>
    <row r="4172" spans="2:16">
      <c r="B4172" s="187"/>
      <c r="E4172"/>
      <c r="P4172"/>
    </row>
    <row r="4173" spans="2:16">
      <c r="B4173" s="187"/>
      <c r="E4173"/>
      <c r="P4173"/>
    </row>
    <row r="4174" spans="2:16">
      <c r="B4174" s="187"/>
      <c r="E4174"/>
      <c r="P4174"/>
    </row>
    <row r="4175" spans="2:16">
      <c r="B4175" s="187"/>
      <c r="E4175"/>
      <c r="P4175"/>
    </row>
    <row r="4176" spans="2:16">
      <c r="B4176" s="187"/>
      <c r="E4176"/>
      <c r="P4176"/>
    </row>
    <row r="4177" spans="2:16">
      <c r="B4177" s="187"/>
      <c r="E4177"/>
      <c r="P4177"/>
    </row>
    <row r="4178" spans="2:16">
      <c r="B4178" s="187"/>
      <c r="E4178"/>
      <c r="P4178"/>
    </row>
    <row r="4179" spans="2:16">
      <c r="B4179" s="187"/>
      <c r="E4179"/>
      <c r="P4179"/>
    </row>
    <row r="4180" spans="2:16">
      <c r="B4180" s="187"/>
      <c r="E4180"/>
      <c r="P4180"/>
    </row>
    <row r="4181" spans="2:16">
      <c r="B4181" s="187"/>
      <c r="E4181"/>
      <c r="P4181"/>
    </row>
    <row r="4182" spans="2:16">
      <c r="B4182" s="187"/>
      <c r="E4182"/>
      <c r="P4182"/>
    </row>
    <row r="4183" spans="2:16">
      <c r="B4183" s="187"/>
      <c r="E4183"/>
      <c r="P4183"/>
    </row>
    <row r="4184" spans="2:16">
      <c r="B4184" s="187"/>
      <c r="E4184"/>
      <c r="P4184"/>
    </row>
    <row r="4185" spans="2:16">
      <c r="B4185" s="187"/>
      <c r="E4185"/>
      <c r="P4185"/>
    </row>
    <row r="4186" spans="2:16">
      <c r="B4186" s="187"/>
      <c r="E4186"/>
      <c r="P4186"/>
    </row>
    <row r="4187" spans="2:16">
      <c r="B4187" s="187"/>
      <c r="E4187"/>
      <c r="P4187"/>
    </row>
    <row r="4188" spans="2:16">
      <c r="B4188" s="187"/>
      <c r="E4188"/>
      <c r="P4188"/>
    </row>
    <row r="4189" spans="2:16">
      <c r="B4189" s="187"/>
      <c r="E4189"/>
      <c r="P4189"/>
    </row>
    <row r="4190" spans="2:16">
      <c r="B4190" s="187"/>
      <c r="E4190"/>
      <c r="P4190"/>
    </row>
    <row r="4191" spans="2:16">
      <c r="B4191" s="187"/>
      <c r="E4191"/>
      <c r="P4191"/>
    </row>
    <row r="4192" spans="2:16">
      <c r="B4192" s="187"/>
      <c r="E4192"/>
      <c r="P4192"/>
    </row>
    <row r="4193" spans="2:16">
      <c r="B4193" s="187"/>
      <c r="E4193"/>
      <c r="P4193"/>
    </row>
    <row r="4194" spans="2:16">
      <c r="B4194" s="187"/>
      <c r="E4194"/>
      <c r="P4194"/>
    </row>
    <row r="4195" spans="2:16">
      <c r="B4195" s="187"/>
      <c r="E4195"/>
      <c r="P4195"/>
    </row>
    <row r="4196" spans="2:16">
      <c r="B4196" s="187"/>
      <c r="E4196"/>
      <c r="P4196"/>
    </row>
    <row r="4197" spans="2:16">
      <c r="B4197" s="187"/>
      <c r="E4197"/>
      <c r="P4197"/>
    </row>
    <row r="4198" spans="2:16">
      <c r="B4198" s="187"/>
      <c r="E4198"/>
      <c r="P4198"/>
    </row>
    <row r="4199" spans="2:16">
      <c r="B4199" s="187"/>
      <c r="E4199"/>
      <c r="P4199"/>
    </row>
    <row r="4200" spans="2:16">
      <c r="B4200" s="187"/>
      <c r="E4200"/>
      <c r="P4200"/>
    </row>
    <row r="4201" spans="2:16">
      <c r="B4201" s="187"/>
      <c r="E4201"/>
      <c r="P4201"/>
    </row>
    <row r="4202" spans="2:16">
      <c r="B4202" s="187"/>
      <c r="E4202"/>
      <c r="P4202"/>
    </row>
    <row r="4203" spans="2:16">
      <c r="B4203" s="187"/>
      <c r="E4203"/>
      <c r="P4203"/>
    </row>
    <row r="4204" spans="2:16">
      <c r="B4204" s="187"/>
      <c r="E4204"/>
      <c r="P4204"/>
    </row>
    <row r="4205" spans="2:16">
      <c r="B4205" s="187"/>
      <c r="E4205"/>
      <c r="P4205"/>
    </row>
    <row r="4206" spans="2:16">
      <c r="B4206" s="187"/>
      <c r="E4206"/>
      <c r="P4206"/>
    </row>
    <row r="4207" spans="2:16">
      <c r="B4207" s="187"/>
      <c r="E4207"/>
      <c r="P4207"/>
    </row>
    <row r="4208" spans="2:16">
      <c r="B4208" s="187"/>
      <c r="E4208"/>
      <c r="P4208"/>
    </row>
    <row r="4209" spans="2:16">
      <c r="B4209" s="187"/>
      <c r="E4209"/>
      <c r="P4209"/>
    </row>
    <row r="4210" spans="2:16">
      <c r="B4210" s="187"/>
      <c r="E4210"/>
      <c r="P4210"/>
    </row>
    <row r="4211" spans="2:16">
      <c r="B4211" s="187"/>
      <c r="E4211"/>
      <c r="P4211"/>
    </row>
    <row r="4212" spans="2:16">
      <c r="B4212" s="187"/>
      <c r="E4212"/>
      <c r="P4212"/>
    </row>
    <row r="4213" spans="2:16">
      <c r="B4213" s="187"/>
      <c r="E4213"/>
      <c r="P4213"/>
    </row>
    <row r="4214" spans="2:16">
      <c r="B4214" s="187"/>
      <c r="E4214"/>
      <c r="P4214"/>
    </row>
    <row r="4215" spans="2:16">
      <c r="B4215" s="187"/>
      <c r="E4215"/>
      <c r="P4215"/>
    </row>
    <row r="4216" spans="2:16">
      <c r="B4216" s="187"/>
      <c r="E4216"/>
      <c r="P4216"/>
    </row>
    <row r="4217" spans="2:16">
      <c r="B4217" s="187"/>
      <c r="E4217"/>
      <c r="P4217"/>
    </row>
    <row r="4218" spans="2:16">
      <c r="B4218" s="187"/>
      <c r="E4218"/>
      <c r="P4218"/>
    </row>
    <row r="4219" spans="2:16">
      <c r="B4219" s="187"/>
      <c r="E4219"/>
      <c r="P4219"/>
    </row>
    <row r="4220" spans="2:16">
      <c r="B4220" s="187"/>
      <c r="E4220"/>
      <c r="P4220"/>
    </row>
    <row r="4221" spans="2:16">
      <c r="B4221" s="187"/>
      <c r="E4221"/>
      <c r="P4221"/>
    </row>
    <row r="4222" spans="2:16">
      <c r="B4222" s="187"/>
      <c r="E4222"/>
      <c r="P4222"/>
    </row>
    <row r="4223" spans="2:16">
      <c r="B4223" s="187"/>
      <c r="E4223"/>
      <c r="P4223"/>
    </row>
    <row r="4224" spans="2:16">
      <c r="B4224" s="187"/>
      <c r="E4224"/>
      <c r="P4224"/>
    </row>
    <row r="4225" spans="2:16">
      <c r="B4225" s="187"/>
      <c r="E4225"/>
      <c r="P4225"/>
    </row>
    <row r="4226" spans="2:16">
      <c r="B4226" s="187"/>
      <c r="E4226"/>
      <c r="P4226"/>
    </row>
    <row r="4227" spans="2:16">
      <c r="B4227" s="187"/>
      <c r="E4227"/>
      <c r="P4227"/>
    </row>
    <row r="4228" spans="2:16">
      <c r="B4228" s="187"/>
      <c r="E4228"/>
      <c r="P4228"/>
    </row>
    <row r="4229" spans="2:16">
      <c r="B4229" s="187"/>
      <c r="E4229"/>
      <c r="P4229"/>
    </row>
    <row r="4230" spans="2:16">
      <c r="B4230" s="187"/>
      <c r="E4230"/>
      <c r="P4230"/>
    </row>
    <row r="4231" spans="2:16">
      <c r="B4231" s="187"/>
      <c r="E4231"/>
      <c r="P4231"/>
    </row>
    <row r="4232" spans="2:16">
      <c r="B4232" s="187"/>
      <c r="E4232"/>
      <c r="P4232"/>
    </row>
    <row r="4233" spans="2:16">
      <c r="B4233" s="187"/>
      <c r="E4233"/>
      <c r="P4233"/>
    </row>
    <row r="4234" spans="2:16">
      <c r="B4234" s="187"/>
      <c r="E4234"/>
      <c r="P4234"/>
    </row>
    <row r="4235" spans="2:16">
      <c r="B4235" s="187"/>
      <c r="E4235"/>
      <c r="P4235"/>
    </row>
    <row r="4236" spans="2:16">
      <c r="B4236" s="187"/>
      <c r="E4236"/>
      <c r="P4236"/>
    </row>
    <row r="4237" spans="2:16">
      <c r="B4237" s="187"/>
      <c r="E4237"/>
      <c r="P4237"/>
    </row>
    <row r="4238" spans="2:16">
      <c r="B4238" s="187"/>
      <c r="E4238"/>
      <c r="P4238"/>
    </row>
    <row r="4239" spans="2:16">
      <c r="B4239" s="187"/>
      <c r="E4239"/>
      <c r="P4239"/>
    </row>
    <row r="4240" spans="2:16">
      <c r="B4240" s="187"/>
      <c r="E4240"/>
      <c r="P4240"/>
    </row>
    <row r="4241" spans="2:16">
      <c r="B4241" s="187"/>
      <c r="E4241"/>
      <c r="P4241"/>
    </row>
    <row r="4242" spans="2:16">
      <c r="B4242" s="187"/>
      <c r="E4242"/>
      <c r="P4242"/>
    </row>
    <row r="4243" spans="2:16">
      <c r="B4243" s="187"/>
      <c r="E4243"/>
      <c r="P4243"/>
    </row>
    <row r="4244" spans="2:16">
      <c r="B4244" s="187"/>
      <c r="E4244"/>
      <c r="P4244"/>
    </row>
    <row r="4245" spans="2:16">
      <c r="B4245" s="187"/>
      <c r="E4245"/>
      <c r="P4245"/>
    </row>
    <row r="4246" spans="2:16">
      <c r="B4246" s="187"/>
      <c r="E4246"/>
      <c r="P4246"/>
    </row>
    <row r="4247" spans="2:16">
      <c r="B4247" s="187"/>
      <c r="E4247"/>
      <c r="P4247"/>
    </row>
    <row r="4248" spans="2:16">
      <c r="B4248" s="187"/>
      <c r="E4248"/>
      <c r="P4248"/>
    </row>
    <row r="4249" spans="2:16">
      <c r="B4249" s="187"/>
      <c r="E4249"/>
      <c r="P4249"/>
    </row>
    <row r="4250" spans="2:16">
      <c r="B4250" s="187"/>
      <c r="E4250"/>
      <c r="P4250"/>
    </row>
    <row r="4251" spans="2:16">
      <c r="B4251" s="187"/>
      <c r="E4251"/>
      <c r="P4251"/>
    </row>
    <row r="4252" spans="2:16">
      <c r="B4252" s="187"/>
      <c r="E4252"/>
      <c r="P4252"/>
    </row>
    <row r="4253" spans="2:16">
      <c r="B4253" s="187"/>
      <c r="E4253"/>
      <c r="P4253"/>
    </row>
    <row r="4254" spans="2:16">
      <c r="B4254" s="187"/>
      <c r="E4254"/>
      <c r="P4254"/>
    </row>
    <row r="4255" spans="2:16">
      <c r="B4255" s="187"/>
      <c r="E4255"/>
      <c r="P4255"/>
    </row>
    <row r="4256" spans="2:16">
      <c r="B4256" s="187"/>
      <c r="E4256"/>
      <c r="P4256"/>
    </row>
    <row r="4257" spans="2:16">
      <c r="B4257" s="187"/>
      <c r="E4257"/>
      <c r="P4257"/>
    </row>
    <row r="4258" spans="2:16">
      <c r="B4258" s="187"/>
      <c r="E4258"/>
      <c r="P4258"/>
    </row>
    <row r="4259" spans="2:16">
      <c r="B4259" s="187"/>
      <c r="E4259"/>
      <c r="P4259"/>
    </row>
    <row r="4260" spans="2:16">
      <c r="B4260" s="187"/>
      <c r="E4260"/>
      <c r="P4260"/>
    </row>
    <row r="4261" spans="2:16">
      <c r="B4261" s="187"/>
      <c r="E4261"/>
      <c r="P4261"/>
    </row>
    <row r="4262" spans="2:16">
      <c r="B4262" s="187"/>
      <c r="E4262"/>
      <c r="P4262"/>
    </row>
    <row r="4263" spans="2:16">
      <c r="B4263" s="187"/>
      <c r="E4263"/>
      <c r="P4263"/>
    </row>
    <row r="4264" spans="2:16">
      <c r="B4264" s="187"/>
      <c r="E4264"/>
      <c r="P4264"/>
    </row>
    <row r="4265" spans="2:16">
      <c r="B4265" s="187"/>
      <c r="E4265"/>
      <c r="P4265"/>
    </row>
    <row r="4266" spans="2:16">
      <c r="B4266" s="187"/>
      <c r="E4266"/>
      <c r="P4266"/>
    </row>
    <row r="4267" spans="2:16">
      <c r="B4267" s="187"/>
      <c r="E4267"/>
      <c r="P4267"/>
    </row>
    <row r="4268" spans="2:16">
      <c r="B4268" s="187"/>
      <c r="E4268"/>
      <c r="P4268"/>
    </row>
    <row r="4269" spans="2:16">
      <c r="B4269" s="187"/>
      <c r="E4269"/>
      <c r="P4269"/>
    </row>
    <row r="4270" spans="2:16">
      <c r="B4270" s="187"/>
      <c r="E4270"/>
      <c r="P4270"/>
    </row>
    <row r="4271" spans="2:16">
      <c r="B4271" s="187"/>
      <c r="E4271"/>
      <c r="P4271"/>
    </row>
    <row r="4272" spans="2:16">
      <c r="B4272" s="187"/>
      <c r="E4272"/>
      <c r="P4272"/>
    </row>
    <row r="4273" spans="2:16">
      <c r="B4273" s="187"/>
      <c r="E4273"/>
      <c r="P4273"/>
    </row>
    <row r="4274" spans="2:16">
      <c r="B4274" s="187"/>
      <c r="E4274"/>
      <c r="P4274"/>
    </row>
    <row r="4275" spans="2:16">
      <c r="B4275" s="187"/>
      <c r="E4275"/>
      <c r="P4275"/>
    </row>
    <row r="4276" spans="2:16">
      <c r="B4276" s="187"/>
      <c r="E4276"/>
      <c r="P4276"/>
    </row>
    <row r="4277" spans="2:16">
      <c r="B4277" s="187"/>
      <c r="E4277"/>
      <c r="P4277"/>
    </row>
    <row r="4278" spans="2:16">
      <c r="B4278" s="187"/>
      <c r="E4278"/>
      <c r="P4278"/>
    </row>
    <row r="4279" spans="2:16">
      <c r="B4279" s="187"/>
      <c r="E4279"/>
      <c r="P4279"/>
    </row>
    <row r="4280" spans="2:16">
      <c r="B4280" s="187"/>
      <c r="E4280"/>
      <c r="P4280"/>
    </row>
    <row r="4281" spans="2:16">
      <c r="B4281" s="187"/>
      <c r="E4281"/>
      <c r="P4281"/>
    </row>
    <row r="4282" spans="2:16">
      <c r="B4282" s="187"/>
      <c r="E4282"/>
      <c r="P4282"/>
    </row>
    <row r="4283" spans="2:16">
      <c r="B4283" s="187"/>
      <c r="E4283"/>
      <c r="P4283"/>
    </row>
    <row r="4284" spans="2:16">
      <c r="B4284" s="187"/>
      <c r="E4284"/>
      <c r="P4284"/>
    </row>
    <row r="4285" spans="2:16">
      <c r="B4285" s="187"/>
      <c r="E4285"/>
      <c r="P4285"/>
    </row>
    <row r="4286" spans="2:16">
      <c r="B4286" s="187"/>
      <c r="E4286"/>
      <c r="P4286"/>
    </row>
    <row r="4287" spans="2:16">
      <c r="B4287" s="187"/>
      <c r="E4287"/>
      <c r="P4287"/>
    </row>
    <row r="4288" spans="2:16">
      <c r="B4288" s="187"/>
      <c r="E4288"/>
      <c r="P4288"/>
    </row>
    <row r="4289" spans="2:16">
      <c r="B4289" s="187"/>
      <c r="E4289"/>
      <c r="P4289"/>
    </row>
    <row r="4290" spans="2:16">
      <c r="B4290" s="187"/>
      <c r="E4290"/>
      <c r="P4290"/>
    </row>
    <row r="4291" spans="2:16">
      <c r="B4291" s="187"/>
      <c r="E4291"/>
      <c r="P4291"/>
    </row>
    <row r="4292" spans="2:16">
      <c r="B4292" s="187"/>
      <c r="E4292"/>
      <c r="P4292"/>
    </row>
    <row r="4293" spans="2:16">
      <c r="B4293" s="187"/>
      <c r="E4293"/>
      <c r="P4293"/>
    </row>
    <row r="4294" spans="2:16">
      <c r="B4294" s="187"/>
      <c r="E4294"/>
      <c r="P4294"/>
    </row>
    <row r="4295" spans="2:16">
      <c r="B4295" s="187"/>
      <c r="E4295"/>
      <c r="P4295"/>
    </row>
    <row r="4296" spans="2:16">
      <c r="B4296" s="187"/>
      <c r="E4296"/>
      <c r="P4296"/>
    </row>
    <row r="4297" spans="2:16">
      <c r="B4297" s="187"/>
      <c r="E4297"/>
      <c r="P4297"/>
    </row>
    <row r="4298" spans="2:16">
      <c r="B4298" s="187"/>
      <c r="E4298"/>
      <c r="P4298"/>
    </row>
    <row r="4299" spans="2:16">
      <c r="B4299" s="187"/>
      <c r="E4299"/>
      <c r="P4299"/>
    </row>
    <row r="4300" spans="2:16">
      <c r="B4300" s="187"/>
      <c r="E4300"/>
      <c r="P4300"/>
    </row>
    <row r="4301" spans="2:16">
      <c r="B4301" s="187"/>
      <c r="E4301"/>
      <c r="P4301"/>
    </row>
    <row r="4302" spans="2:16">
      <c r="B4302" s="187"/>
      <c r="E4302"/>
      <c r="P4302"/>
    </row>
    <row r="4303" spans="2:16">
      <c r="B4303" s="187"/>
      <c r="E4303"/>
      <c r="P4303"/>
    </row>
    <row r="4304" spans="2:16">
      <c r="B4304" s="187"/>
      <c r="E4304"/>
      <c r="P4304"/>
    </row>
    <row r="4305" spans="2:16">
      <c r="B4305" s="187"/>
      <c r="E4305"/>
      <c r="P4305"/>
    </row>
    <row r="4306" spans="2:16">
      <c r="B4306" s="187"/>
      <c r="E4306"/>
      <c r="P4306"/>
    </row>
    <row r="4307" spans="2:16">
      <c r="B4307" s="187"/>
      <c r="E4307"/>
      <c r="P4307"/>
    </row>
    <row r="4308" spans="2:16">
      <c r="B4308" s="187"/>
      <c r="E4308"/>
      <c r="P4308"/>
    </row>
    <row r="4309" spans="2:16">
      <c r="B4309" s="187"/>
      <c r="E4309"/>
      <c r="P4309"/>
    </row>
    <row r="4310" spans="2:16">
      <c r="B4310" s="187"/>
      <c r="E4310"/>
      <c r="P4310"/>
    </row>
    <row r="4311" spans="2:16">
      <c r="B4311" s="187"/>
      <c r="E4311"/>
      <c r="P4311"/>
    </row>
    <row r="4312" spans="2:16">
      <c r="B4312" s="187"/>
      <c r="E4312"/>
      <c r="P4312"/>
    </row>
    <row r="4313" spans="2:16">
      <c r="B4313" s="187"/>
      <c r="E4313"/>
      <c r="P4313"/>
    </row>
    <row r="4314" spans="2:16">
      <c r="B4314" s="187"/>
      <c r="E4314"/>
      <c r="P4314"/>
    </row>
    <row r="4315" spans="2:16">
      <c r="B4315" s="187"/>
      <c r="E4315"/>
      <c r="P4315"/>
    </row>
    <row r="4316" spans="2:16">
      <c r="B4316" s="187"/>
      <c r="E4316"/>
      <c r="P4316"/>
    </row>
    <row r="4317" spans="2:16">
      <c r="B4317" s="187"/>
      <c r="E4317"/>
      <c r="P4317"/>
    </row>
    <row r="4318" spans="2:16">
      <c r="B4318" s="187"/>
      <c r="E4318"/>
      <c r="P4318"/>
    </row>
    <row r="4319" spans="2:16">
      <c r="B4319" s="187"/>
      <c r="E4319"/>
      <c r="P4319"/>
    </row>
    <row r="4320" spans="2:16">
      <c r="B4320" s="187"/>
      <c r="E4320"/>
      <c r="P4320"/>
    </row>
    <row r="4321" spans="2:16">
      <c r="B4321" s="187"/>
      <c r="E4321"/>
      <c r="P4321"/>
    </row>
    <row r="4322" spans="2:16">
      <c r="B4322" s="187"/>
      <c r="E4322"/>
      <c r="P4322"/>
    </row>
    <row r="4323" spans="2:16">
      <c r="B4323" s="187"/>
      <c r="E4323"/>
      <c r="P4323"/>
    </row>
    <row r="4324" spans="2:16">
      <c r="B4324" s="187"/>
      <c r="E4324"/>
      <c r="P4324"/>
    </row>
    <row r="4325" spans="2:16">
      <c r="B4325" s="187"/>
      <c r="E4325"/>
      <c r="P4325"/>
    </row>
    <row r="4326" spans="2:16">
      <c r="B4326" s="187"/>
      <c r="E4326"/>
      <c r="P4326"/>
    </row>
    <row r="4327" spans="2:16">
      <c r="B4327" s="187"/>
      <c r="E4327"/>
      <c r="P4327"/>
    </row>
    <row r="4328" spans="2:16">
      <c r="B4328" s="187"/>
      <c r="E4328"/>
      <c r="P4328"/>
    </row>
    <row r="4329" spans="2:16">
      <c r="B4329" s="187"/>
      <c r="E4329"/>
      <c r="P4329"/>
    </row>
    <row r="4330" spans="2:16">
      <c r="B4330" s="187"/>
      <c r="E4330"/>
      <c r="P4330"/>
    </row>
    <row r="4331" spans="2:16">
      <c r="B4331" s="187"/>
      <c r="E4331"/>
      <c r="P4331"/>
    </row>
    <row r="4332" spans="2:16">
      <c r="B4332" s="187"/>
      <c r="E4332"/>
      <c r="P4332"/>
    </row>
    <row r="4333" spans="2:16">
      <c r="B4333" s="187"/>
      <c r="E4333"/>
      <c r="P4333"/>
    </row>
    <row r="4334" spans="2:16">
      <c r="B4334" s="187"/>
      <c r="E4334"/>
      <c r="P4334"/>
    </row>
    <row r="4335" spans="2:16">
      <c r="B4335" s="187"/>
      <c r="E4335"/>
      <c r="P4335"/>
    </row>
    <row r="4336" spans="2:16">
      <c r="B4336" s="187"/>
      <c r="E4336"/>
      <c r="P4336"/>
    </row>
    <row r="4337" spans="2:16">
      <c r="B4337" s="187"/>
      <c r="E4337"/>
      <c r="P4337"/>
    </row>
    <row r="4338" spans="2:16">
      <c r="B4338" s="187"/>
      <c r="E4338"/>
      <c r="P4338"/>
    </row>
    <row r="4339" spans="2:16">
      <c r="B4339" s="187"/>
      <c r="E4339"/>
      <c r="P4339"/>
    </row>
    <row r="4340" spans="2:16">
      <c r="B4340" s="187"/>
      <c r="E4340"/>
      <c r="P4340"/>
    </row>
    <row r="4341" spans="2:16">
      <c r="B4341" s="187"/>
      <c r="E4341"/>
      <c r="P4341"/>
    </row>
    <row r="4342" spans="2:16">
      <c r="B4342" s="187"/>
      <c r="E4342"/>
      <c r="P4342"/>
    </row>
    <row r="4343" spans="2:16">
      <c r="B4343" s="187"/>
      <c r="E4343"/>
      <c r="P4343"/>
    </row>
    <row r="4344" spans="2:16">
      <c r="B4344" s="187"/>
      <c r="E4344"/>
      <c r="P4344"/>
    </row>
    <row r="4345" spans="2:16">
      <c r="B4345" s="187"/>
      <c r="E4345"/>
      <c r="P4345"/>
    </row>
    <row r="4346" spans="2:16">
      <c r="B4346" s="187"/>
      <c r="E4346"/>
      <c r="P4346"/>
    </row>
    <row r="4347" spans="2:16">
      <c r="B4347" s="187"/>
      <c r="E4347"/>
      <c r="P4347"/>
    </row>
    <row r="4348" spans="2:16">
      <c r="B4348" s="187"/>
      <c r="E4348"/>
      <c r="P4348"/>
    </row>
    <row r="4349" spans="2:16">
      <c r="B4349" s="187"/>
      <c r="E4349"/>
      <c r="P4349"/>
    </row>
    <row r="4350" spans="2:16">
      <c r="B4350" s="187"/>
      <c r="E4350"/>
      <c r="P4350"/>
    </row>
    <row r="4351" spans="2:16">
      <c r="B4351" s="187"/>
      <c r="E4351"/>
      <c r="P4351"/>
    </row>
    <row r="4352" spans="2:16">
      <c r="B4352" s="187"/>
      <c r="E4352"/>
      <c r="P4352"/>
    </row>
    <row r="4353" spans="2:16">
      <c r="B4353" s="187"/>
      <c r="E4353"/>
      <c r="P4353"/>
    </row>
    <row r="4354" spans="2:16">
      <c r="B4354" s="187"/>
      <c r="E4354"/>
      <c r="P4354"/>
    </row>
    <row r="4355" spans="2:16">
      <c r="B4355" s="187"/>
      <c r="E4355"/>
      <c r="P4355"/>
    </row>
    <row r="4356" spans="2:16">
      <c r="B4356" s="187"/>
      <c r="E4356"/>
      <c r="P4356"/>
    </row>
    <row r="4357" spans="2:16">
      <c r="B4357" s="187"/>
      <c r="E4357"/>
      <c r="P4357"/>
    </row>
    <row r="4358" spans="2:16">
      <c r="B4358" s="187"/>
      <c r="E4358"/>
      <c r="P4358"/>
    </row>
    <row r="4359" spans="2:16">
      <c r="B4359" s="187"/>
      <c r="E4359"/>
      <c r="P4359"/>
    </row>
    <row r="4360" spans="2:16">
      <c r="B4360" s="187"/>
      <c r="E4360"/>
      <c r="P4360"/>
    </row>
    <row r="4361" spans="2:16">
      <c r="B4361" s="187"/>
      <c r="E4361"/>
      <c r="P4361"/>
    </row>
    <row r="4362" spans="2:16">
      <c r="B4362" s="187"/>
      <c r="E4362"/>
      <c r="P4362"/>
    </row>
    <row r="4363" spans="2:16">
      <c r="B4363" s="187"/>
      <c r="E4363"/>
      <c r="P4363"/>
    </row>
    <row r="4364" spans="2:16">
      <c r="B4364" s="187"/>
      <c r="E4364"/>
      <c r="P4364"/>
    </row>
    <row r="4365" spans="2:16">
      <c r="B4365" s="187"/>
      <c r="E4365"/>
      <c r="P4365"/>
    </row>
    <row r="4366" spans="2:16">
      <c r="B4366" s="187"/>
      <c r="E4366"/>
      <c r="P4366"/>
    </row>
    <row r="4367" spans="2:16">
      <c r="B4367" s="187"/>
      <c r="E4367"/>
      <c r="P4367"/>
    </row>
    <row r="4368" spans="2:16">
      <c r="B4368" s="187"/>
      <c r="E4368"/>
      <c r="P4368"/>
    </row>
    <row r="4369" spans="2:16">
      <c r="B4369" s="187"/>
      <c r="E4369"/>
      <c r="P4369"/>
    </row>
    <row r="4370" spans="2:16">
      <c r="B4370" s="187"/>
      <c r="E4370"/>
      <c r="P4370"/>
    </row>
    <row r="4371" spans="2:16">
      <c r="B4371" s="187"/>
      <c r="E4371"/>
      <c r="P4371"/>
    </row>
    <row r="4372" spans="2:16">
      <c r="B4372" s="187"/>
      <c r="E4372"/>
      <c r="P4372"/>
    </row>
    <row r="4373" spans="2:16">
      <c r="B4373" s="187"/>
      <c r="E4373"/>
      <c r="P4373"/>
    </row>
    <row r="4374" spans="2:16">
      <c r="B4374" s="187"/>
      <c r="E4374"/>
      <c r="P4374"/>
    </row>
    <row r="4375" spans="2:16">
      <c r="B4375" s="187"/>
      <c r="E4375"/>
      <c r="P4375"/>
    </row>
    <row r="4376" spans="2:16">
      <c r="B4376" s="187"/>
      <c r="E4376"/>
      <c r="P4376"/>
    </row>
    <row r="4377" spans="2:16">
      <c r="B4377" s="187"/>
      <c r="E4377"/>
      <c r="P4377"/>
    </row>
    <row r="4378" spans="2:16">
      <c r="B4378" s="187"/>
      <c r="E4378"/>
      <c r="P4378"/>
    </row>
    <row r="4379" spans="2:16">
      <c r="B4379" s="187"/>
      <c r="E4379"/>
      <c r="P4379"/>
    </row>
    <row r="4380" spans="2:16">
      <c r="B4380" s="187"/>
      <c r="E4380"/>
      <c r="P4380"/>
    </row>
    <row r="4381" spans="2:16">
      <c r="B4381" s="187"/>
      <c r="E4381"/>
      <c r="P4381"/>
    </row>
    <row r="4382" spans="2:16">
      <c r="B4382" s="187"/>
      <c r="E4382"/>
      <c r="P4382"/>
    </row>
    <row r="4383" spans="2:16">
      <c r="B4383" s="187"/>
      <c r="E4383"/>
      <c r="P4383"/>
    </row>
    <row r="4384" spans="2:16">
      <c r="B4384" s="187"/>
      <c r="E4384"/>
      <c r="P4384"/>
    </row>
    <row r="4385" spans="2:16">
      <c r="B4385" s="187"/>
      <c r="E4385"/>
      <c r="P4385"/>
    </row>
    <row r="4386" spans="2:16">
      <c r="B4386" s="187"/>
      <c r="E4386"/>
      <c r="P4386"/>
    </row>
    <row r="4387" spans="2:16">
      <c r="B4387" s="187"/>
      <c r="E4387"/>
      <c r="P4387"/>
    </row>
    <row r="4388" spans="2:16">
      <c r="B4388" s="187"/>
      <c r="E4388"/>
      <c r="P4388"/>
    </row>
    <row r="4389" spans="2:16">
      <c r="B4389" s="187"/>
      <c r="E4389"/>
      <c r="P4389"/>
    </row>
    <row r="4390" spans="2:16">
      <c r="B4390" s="187"/>
      <c r="E4390"/>
      <c r="P4390"/>
    </row>
    <row r="4391" spans="2:16">
      <c r="B4391" s="187"/>
      <c r="E4391"/>
      <c r="P4391"/>
    </row>
    <row r="4392" spans="2:16">
      <c r="B4392" s="187"/>
      <c r="E4392"/>
      <c r="P4392"/>
    </row>
    <row r="4393" spans="2:16">
      <c r="B4393" s="187"/>
      <c r="E4393"/>
      <c r="P4393"/>
    </row>
    <row r="4394" spans="2:16">
      <c r="B4394" s="187"/>
      <c r="E4394"/>
      <c r="P4394"/>
    </row>
    <row r="4395" spans="2:16">
      <c r="B4395" s="187"/>
      <c r="E4395"/>
      <c r="P4395"/>
    </row>
    <row r="4396" spans="2:16">
      <c r="B4396" s="187"/>
      <c r="E4396"/>
      <c r="P4396"/>
    </row>
    <row r="4397" spans="2:16">
      <c r="B4397" s="187"/>
      <c r="E4397"/>
      <c r="P4397"/>
    </row>
    <row r="4398" spans="2:16">
      <c r="B4398" s="187"/>
      <c r="E4398"/>
      <c r="P4398"/>
    </row>
    <row r="4399" spans="2:16">
      <c r="B4399" s="187"/>
      <c r="E4399"/>
      <c r="P4399"/>
    </row>
    <row r="4400" spans="2:16">
      <c r="B4400" s="187"/>
      <c r="E4400"/>
      <c r="P4400"/>
    </row>
    <row r="4401" spans="2:16">
      <c r="B4401" s="187"/>
      <c r="E4401"/>
      <c r="P4401"/>
    </row>
    <row r="4402" spans="2:16">
      <c r="B4402" s="187"/>
      <c r="E4402"/>
      <c r="P4402"/>
    </row>
    <row r="4403" spans="2:16">
      <c r="B4403" s="187"/>
      <c r="E4403"/>
      <c r="P4403"/>
    </row>
    <row r="4404" spans="2:16">
      <c r="B4404" s="187"/>
      <c r="E4404"/>
      <c r="P4404"/>
    </row>
    <row r="4405" spans="2:16">
      <c r="B4405" s="187"/>
      <c r="E4405"/>
      <c r="P4405"/>
    </row>
    <row r="4406" spans="2:16">
      <c r="B4406" s="187"/>
      <c r="E4406"/>
      <c r="P4406"/>
    </row>
    <row r="4407" spans="2:16">
      <c r="B4407" s="187"/>
      <c r="E4407"/>
      <c r="P4407"/>
    </row>
    <row r="4408" spans="2:16">
      <c r="B4408" s="187"/>
      <c r="E4408"/>
      <c r="P4408"/>
    </row>
    <row r="4409" spans="2:16">
      <c r="B4409" s="187"/>
      <c r="E4409"/>
      <c r="P4409"/>
    </row>
    <row r="4410" spans="2:16">
      <c r="B4410" s="187"/>
      <c r="E4410"/>
      <c r="P4410"/>
    </row>
    <row r="4411" spans="2:16">
      <c r="B4411" s="187"/>
      <c r="E4411"/>
      <c r="P4411"/>
    </row>
    <row r="4412" spans="2:16">
      <c r="B4412" s="187"/>
      <c r="E4412"/>
      <c r="P4412"/>
    </row>
    <row r="4413" spans="2:16">
      <c r="B4413" s="187"/>
      <c r="E4413"/>
      <c r="P4413"/>
    </row>
    <row r="4414" spans="2:16">
      <c r="B4414" s="187"/>
      <c r="E4414"/>
      <c r="P4414"/>
    </row>
    <row r="4415" spans="2:16">
      <c r="B4415" s="187"/>
      <c r="E4415"/>
      <c r="P4415"/>
    </row>
    <row r="4416" spans="2:16">
      <c r="B4416" s="187"/>
      <c r="E4416"/>
      <c r="P4416"/>
    </row>
    <row r="4417" spans="2:16">
      <c r="B4417" s="187"/>
      <c r="E4417"/>
      <c r="P4417"/>
    </row>
    <row r="4418" spans="2:16">
      <c r="B4418" s="187"/>
      <c r="E4418"/>
      <c r="P4418"/>
    </row>
    <row r="4419" spans="2:16">
      <c r="B4419" s="187"/>
      <c r="E4419"/>
      <c r="P4419"/>
    </row>
    <row r="4420" spans="2:16">
      <c r="B4420" s="187"/>
      <c r="E4420"/>
      <c r="P4420"/>
    </row>
    <row r="4421" spans="2:16">
      <c r="B4421" s="187"/>
      <c r="E4421"/>
      <c r="P4421"/>
    </row>
    <row r="4422" spans="2:16">
      <c r="B4422" s="187"/>
      <c r="E4422"/>
      <c r="P4422"/>
    </row>
    <row r="4423" spans="2:16">
      <c r="B4423" s="187"/>
      <c r="E4423"/>
      <c r="P4423"/>
    </row>
    <row r="4424" spans="2:16">
      <c r="B4424" s="187"/>
      <c r="E4424"/>
      <c r="P4424"/>
    </row>
    <row r="4425" spans="2:16">
      <c r="B4425" s="187"/>
      <c r="E4425"/>
      <c r="P4425"/>
    </row>
    <row r="4426" spans="2:16">
      <c r="B4426" s="187"/>
      <c r="E4426"/>
      <c r="P4426"/>
    </row>
    <row r="4427" spans="2:16">
      <c r="B4427" s="187"/>
      <c r="E4427"/>
      <c r="P4427"/>
    </row>
    <row r="4428" spans="2:16">
      <c r="B4428" s="187"/>
      <c r="E4428"/>
      <c r="P4428"/>
    </row>
    <row r="4429" spans="2:16">
      <c r="B4429" s="187"/>
      <c r="E4429"/>
      <c r="P4429"/>
    </row>
    <row r="4430" spans="2:16">
      <c r="B4430" s="187"/>
      <c r="E4430"/>
      <c r="P4430"/>
    </row>
    <row r="4431" spans="2:16">
      <c r="B4431" s="187"/>
      <c r="E4431"/>
      <c r="P4431"/>
    </row>
    <row r="4432" spans="2:16">
      <c r="B4432" s="187"/>
      <c r="E4432"/>
      <c r="P4432"/>
    </row>
    <row r="4433" spans="2:16">
      <c r="B4433" s="187"/>
      <c r="E4433"/>
      <c r="P4433"/>
    </row>
    <row r="4434" spans="2:16">
      <c r="B4434" s="187"/>
      <c r="E4434"/>
      <c r="P4434"/>
    </row>
    <row r="4435" spans="2:16">
      <c r="B4435" s="187"/>
      <c r="E4435"/>
      <c r="P4435"/>
    </row>
    <row r="4436" spans="2:16">
      <c r="B4436" s="187"/>
      <c r="E4436"/>
      <c r="P4436"/>
    </row>
    <row r="4437" spans="2:16">
      <c r="B4437" s="187"/>
      <c r="E4437"/>
      <c r="P4437"/>
    </row>
    <row r="4438" spans="2:16">
      <c r="B4438" s="187"/>
      <c r="E4438"/>
      <c r="P4438"/>
    </row>
    <row r="4439" spans="2:16">
      <c r="B4439" s="187"/>
      <c r="E4439"/>
      <c r="P4439"/>
    </row>
    <row r="4440" spans="2:16">
      <c r="B4440" s="187"/>
      <c r="E4440"/>
      <c r="P4440"/>
    </row>
    <row r="4441" spans="2:16">
      <c r="B4441" s="187"/>
      <c r="E4441"/>
      <c r="P4441"/>
    </row>
    <row r="4442" spans="2:16">
      <c r="B4442" s="187"/>
      <c r="E4442"/>
      <c r="P4442"/>
    </row>
    <row r="4443" spans="2:16">
      <c r="B4443" s="187"/>
      <c r="E4443"/>
      <c r="P4443"/>
    </row>
    <row r="4444" spans="2:16">
      <c r="B4444" s="187"/>
      <c r="E4444"/>
      <c r="P4444"/>
    </row>
    <row r="4445" spans="2:16">
      <c r="B4445" s="187"/>
      <c r="E4445"/>
      <c r="P4445"/>
    </row>
    <row r="4446" spans="2:16">
      <c r="B4446" s="187"/>
      <c r="E4446"/>
      <c r="P4446"/>
    </row>
    <row r="4447" spans="2:16">
      <c r="B4447" s="187"/>
      <c r="E4447"/>
      <c r="P4447"/>
    </row>
    <row r="4448" spans="2:16">
      <c r="B4448" s="187"/>
      <c r="E4448"/>
      <c r="P4448"/>
    </row>
    <row r="4449" spans="2:16">
      <c r="B4449" s="187"/>
      <c r="E4449"/>
      <c r="P4449"/>
    </row>
    <row r="4450" spans="2:16">
      <c r="B4450" s="187"/>
      <c r="E4450"/>
      <c r="P4450"/>
    </row>
    <row r="4451" spans="2:16">
      <c r="B4451" s="187"/>
      <c r="E4451"/>
      <c r="P4451"/>
    </row>
    <row r="4452" spans="2:16">
      <c r="B4452" s="187"/>
      <c r="E4452"/>
      <c r="P4452"/>
    </row>
    <row r="4453" spans="2:16">
      <c r="B4453" s="187"/>
      <c r="E4453"/>
      <c r="P4453"/>
    </row>
    <row r="4454" spans="2:16">
      <c r="B4454" s="187"/>
      <c r="E4454"/>
      <c r="P4454"/>
    </row>
    <row r="4455" spans="2:16">
      <c r="B4455" s="187"/>
      <c r="E4455"/>
      <c r="P4455"/>
    </row>
    <row r="4456" spans="2:16">
      <c r="B4456" s="187"/>
      <c r="E4456"/>
      <c r="P4456"/>
    </row>
    <row r="4457" spans="2:16">
      <c r="B4457" s="187"/>
      <c r="E4457"/>
      <c r="P4457"/>
    </row>
    <row r="4458" spans="2:16">
      <c r="B4458" s="187"/>
      <c r="E4458"/>
      <c r="P4458"/>
    </row>
    <row r="4459" spans="2:16">
      <c r="B4459" s="187"/>
      <c r="E4459"/>
      <c r="P4459"/>
    </row>
    <row r="4460" spans="2:16">
      <c r="B4460" s="187"/>
      <c r="E4460"/>
      <c r="P4460"/>
    </row>
    <row r="4461" spans="2:16">
      <c r="B4461" s="187"/>
      <c r="E4461"/>
      <c r="P4461"/>
    </row>
    <row r="4462" spans="2:16">
      <c r="B4462" s="187"/>
      <c r="E4462"/>
      <c r="P4462"/>
    </row>
    <row r="4463" spans="2:16">
      <c r="B4463" s="187"/>
      <c r="E4463"/>
      <c r="P4463"/>
    </row>
    <row r="4464" spans="2:16">
      <c r="B4464" s="187"/>
      <c r="E4464"/>
      <c r="P4464"/>
    </row>
    <row r="4465" spans="2:16">
      <c r="B4465" s="187"/>
      <c r="E4465"/>
      <c r="P4465"/>
    </row>
    <row r="4466" spans="2:16">
      <c r="B4466" s="187"/>
      <c r="E4466"/>
      <c r="P4466"/>
    </row>
    <row r="4467" spans="2:16">
      <c r="B4467" s="187"/>
      <c r="E4467"/>
      <c r="P4467"/>
    </row>
    <row r="4468" spans="2:16">
      <c r="B4468" s="187"/>
      <c r="E4468"/>
      <c r="P4468"/>
    </row>
    <row r="4469" spans="2:16">
      <c r="B4469" s="187"/>
      <c r="E4469"/>
      <c r="P4469"/>
    </row>
    <row r="4470" spans="2:16">
      <c r="B4470" s="187"/>
      <c r="E4470"/>
      <c r="P4470"/>
    </row>
    <row r="4471" spans="2:16">
      <c r="B4471" s="187"/>
      <c r="E4471"/>
      <c r="P4471"/>
    </row>
    <row r="4472" spans="2:16">
      <c r="B4472" s="187"/>
      <c r="E4472"/>
      <c r="P4472"/>
    </row>
    <row r="4473" spans="2:16">
      <c r="B4473" s="187"/>
      <c r="E4473"/>
      <c r="P4473"/>
    </row>
    <row r="4474" spans="2:16">
      <c r="B4474" s="187"/>
      <c r="E4474"/>
      <c r="P4474"/>
    </row>
    <row r="4475" spans="2:16">
      <c r="B4475" s="187"/>
      <c r="E4475"/>
      <c r="P4475"/>
    </row>
    <row r="4476" spans="2:16">
      <c r="B4476" s="187"/>
      <c r="E4476"/>
      <c r="P4476"/>
    </row>
    <row r="4477" spans="2:16">
      <c r="B4477" s="187"/>
      <c r="E4477"/>
      <c r="P4477"/>
    </row>
    <row r="4478" spans="2:16">
      <c r="B4478" s="187"/>
      <c r="E4478"/>
      <c r="P4478"/>
    </row>
    <row r="4479" spans="2:16">
      <c r="B4479" s="187"/>
      <c r="E4479"/>
      <c r="P4479"/>
    </row>
    <row r="4480" spans="2:16">
      <c r="B4480" s="187"/>
      <c r="E4480"/>
      <c r="P4480"/>
    </row>
    <row r="4481" spans="2:16">
      <c r="B4481" s="187"/>
      <c r="E4481"/>
      <c r="P4481"/>
    </row>
    <row r="4482" spans="2:16">
      <c r="B4482" s="187"/>
      <c r="E4482"/>
      <c r="P4482"/>
    </row>
    <row r="4483" spans="2:16">
      <c r="B4483" s="187"/>
      <c r="E4483"/>
      <c r="P4483"/>
    </row>
    <row r="4484" spans="2:16">
      <c r="B4484" s="187"/>
      <c r="E4484"/>
      <c r="P4484"/>
    </row>
    <row r="4485" spans="2:16">
      <c r="B4485" s="187"/>
      <c r="E4485"/>
      <c r="P4485"/>
    </row>
    <row r="4486" spans="2:16">
      <c r="B4486" s="187"/>
      <c r="E4486"/>
      <c r="P4486"/>
    </row>
    <row r="4487" spans="2:16">
      <c r="B4487" s="187"/>
      <c r="E4487"/>
      <c r="P4487"/>
    </row>
    <row r="4488" spans="2:16">
      <c r="B4488" s="187"/>
      <c r="E4488"/>
      <c r="P4488"/>
    </row>
    <row r="4489" spans="2:16">
      <c r="B4489" s="187"/>
      <c r="E4489"/>
      <c r="P4489"/>
    </row>
    <row r="4490" spans="2:16">
      <c r="B4490" s="187"/>
      <c r="E4490"/>
      <c r="P4490"/>
    </row>
    <row r="4491" spans="2:16">
      <c r="B4491" s="187"/>
      <c r="E4491"/>
      <c r="P4491"/>
    </row>
    <row r="4492" spans="2:16">
      <c r="B4492" s="187"/>
      <c r="E4492"/>
      <c r="P4492"/>
    </row>
    <row r="4493" spans="2:16">
      <c r="B4493" s="187"/>
      <c r="E4493"/>
      <c r="P4493"/>
    </row>
    <row r="4494" spans="2:16">
      <c r="B4494" s="187"/>
      <c r="E4494"/>
      <c r="P4494"/>
    </row>
    <row r="4495" spans="2:16">
      <c r="B4495" s="187"/>
      <c r="E4495"/>
      <c r="P4495"/>
    </row>
    <row r="4496" spans="2:16">
      <c r="B4496" s="187"/>
      <c r="E4496"/>
      <c r="P4496"/>
    </row>
    <row r="4497" spans="2:16">
      <c r="B4497" s="187"/>
      <c r="E4497"/>
      <c r="P4497"/>
    </row>
    <row r="4498" spans="2:16">
      <c r="B4498" s="187"/>
      <c r="E4498"/>
      <c r="P4498"/>
    </row>
    <row r="4499" spans="2:16">
      <c r="B4499" s="187"/>
      <c r="E4499"/>
      <c r="P4499"/>
    </row>
    <row r="4500" spans="2:16">
      <c r="B4500" s="187"/>
      <c r="E4500"/>
      <c r="P4500"/>
    </row>
    <row r="4501" spans="2:16">
      <c r="B4501" s="187"/>
      <c r="E4501"/>
      <c r="P4501"/>
    </row>
    <row r="4502" spans="2:16">
      <c r="B4502" s="187"/>
      <c r="E4502"/>
      <c r="P4502"/>
    </row>
    <row r="4503" spans="2:16">
      <c r="B4503" s="187"/>
      <c r="E4503"/>
      <c r="P4503"/>
    </row>
    <row r="4504" spans="2:16">
      <c r="B4504" s="187"/>
      <c r="E4504"/>
      <c r="P4504"/>
    </row>
    <row r="4505" spans="2:16">
      <c r="B4505" s="187"/>
      <c r="E4505"/>
      <c r="P4505"/>
    </row>
    <row r="4506" spans="2:16">
      <c r="B4506" s="187"/>
      <c r="E4506"/>
      <c r="P4506"/>
    </row>
    <row r="4507" spans="2:16">
      <c r="B4507" s="187"/>
      <c r="E4507"/>
      <c r="P4507"/>
    </row>
    <row r="4508" spans="2:16">
      <c r="B4508" s="187"/>
      <c r="E4508"/>
      <c r="P4508"/>
    </row>
    <row r="4509" spans="2:16">
      <c r="B4509" s="187"/>
      <c r="E4509"/>
      <c r="P4509"/>
    </row>
    <row r="4510" spans="2:16">
      <c r="B4510" s="187"/>
      <c r="E4510"/>
      <c r="P4510"/>
    </row>
    <row r="4511" spans="2:16">
      <c r="B4511" s="187"/>
      <c r="E4511"/>
      <c r="P4511"/>
    </row>
    <row r="4512" spans="2:16">
      <c r="B4512" s="187"/>
      <c r="E4512"/>
      <c r="P4512"/>
    </row>
    <row r="4513" spans="2:16">
      <c r="B4513" s="187"/>
      <c r="E4513"/>
      <c r="P4513"/>
    </row>
    <row r="4514" spans="2:16">
      <c r="B4514" s="187"/>
      <c r="E4514"/>
      <c r="P4514"/>
    </row>
    <row r="4515" spans="2:16">
      <c r="B4515" s="187"/>
      <c r="E4515"/>
      <c r="P4515"/>
    </row>
    <row r="4516" spans="2:16">
      <c r="B4516" s="187"/>
      <c r="E4516"/>
      <c r="P4516"/>
    </row>
    <row r="4517" spans="2:16">
      <c r="B4517" s="187"/>
      <c r="E4517"/>
      <c r="P4517"/>
    </row>
    <row r="4518" spans="2:16">
      <c r="B4518" s="187"/>
      <c r="E4518"/>
      <c r="P4518"/>
    </row>
    <row r="4519" spans="2:16">
      <c r="B4519" s="187"/>
      <c r="E4519"/>
      <c r="P4519"/>
    </row>
    <row r="4520" spans="2:16">
      <c r="B4520" s="187"/>
      <c r="E4520"/>
      <c r="P4520"/>
    </row>
    <row r="4521" spans="2:16">
      <c r="B4521" s="187"/>
      <c r="E4521"/>
      <c r="P4521"/>
    </row>
    <row r="4522" spans="2:16">
      <c r="B4522" s="187"/>
      <c r="E4522"/>
      <c r="P4522"/>
    </row>
    <row r="4523" spans="2:16">
      <c r="B4523" s="187"/>
      <c r="E4523"/>
      <c r="P4523"/>
    </row>
    <row r="4524" spans="2:16">
      <c r="B4524" s="187"/>
      <c r="E4524"/>
      <c r="P4524"/>
    </row>
    <row r="4525" spans="2:16">
      <c r="B4525" s="187"/>
      <c r="E4525"/>
      <c r="P4525"/>
    </row>
    <row r="4526" spans="2:16">
      <c r="B4526" s="187"/>
      <c r="E4526"/>
      <c r="P4526"/>
    </row>
    <row r="4527" spans="2:16">
      <c r="B4527" s="187"/>
      <c r="E4527"/>
      <c r="P4527"/>
    </row>
    <row r="4528" spans="2:16">
      <c r="B4528" s="187"/>
      <c r="E4528"/>
      <c r="P4528"/>
    </row>
    <row r="4529" spans="2:16">
      <c r="B4529" s="187"/>
      <c r="E4529"/>
      <c r="P4529"/>
    </row>
    <row r="4530" spans="2:16">
      <c r="B4530" s="187"/>
      <c r="E4530"/>
      <c r="P4530"/>
    </row>
    <row r="4531" spans="2:16">
      <c r="B4531" s="187"/>
      <c r="E4531"/>
      <c r="P4531"/>
    </row>
    <row r="4532" spans="2:16">
      <c r="B4532" s="187"/>
      <c r="E4532"/>
      <c r="P4532"/>
    </row>
    <row r="4533" spans="2:16">
      <c r="B4533" s="187"/>
      <c r="E4533"/>
      <c r="P4533"/>
    </row>
    <row r="4534" spans="2:16">
      <c r="B4534" s="187"/>
      <c r="P4534"/>
    </row>
    <row r="4535" spans="2:16">
      <c r="B4535" s="187"/>
      <c r="P4535"/>
    </row>
    <row r="4536" spans="2:16">
      <c r="B4536" s="187"/>
      <c r="P4536"/>
    </row>
    <row r="4537" spans="2:16">
      <c r="B4537" s="187"/>
      <c r="P4537"/>
    </row>
    <row r="4538" spans="2:16">
      <c r="B4538" s="187"/>
      <c r="P4538"/>
    </row>
    <row r="4539" spans="2:16">
      <c r="B4539" s="187"/>
      <c r="P4539"/>
    </row>
    <row r="4540" spans="2:16">
      <c r="B4540" s="187"/>
      <c r="P4540"/>
    </row>
    <row r="4541" spans="2:16">
      <c r="B4541" s="187"/>
      <c r="P4541"/>
    </row>
    <row r="4542" spans="2:16">
      <c r="B4542" s="187"/>
      <c r="P4542"/>
    </row>
    <row r="4543" spans="2:16">
      <c r="B4543" s="187"/>
      <c r="P4543"/>
    </row>
    <row r="4544" spans="2:16">
      <c r="B4544" s="187"/>
      <c r="P4544"/>
    </row>
    <row r="4545" spans="2:16">
      <c r="B4545" s="187"/>
      <c r="E4545" s="204"/>
      <c r="F4545" s="557"/>
      <c r="G4545" s="204"/>
      <c r="H4545" s="534"/>
      <c r="P4545"/>
    </row>
    <row r="4546" spans="2:16">
      <c r="B4546" s="187"/>
      <c r="P4546"/>
    </row>
    <row r="4547" spans="2:16">
      <c r="B4547" s="187"/>
      <c r="P4547"/>
    </row>
    <row r="4548" spans="2:16">
      <c r="B4548" s="187"/>
      <c r="P4548"/>
    </row>
    <row r="4549" spans="2:16">
      <c r="B4549" s="187"/>
      <c r="P4549"/>
    </row>
    <row r="4550" spans="2:16">
      <c r="B4550" s="187"/>
      <c r="E4550"/>
      <c r="P4550"/>
    </row>
    <row r="4551" spans="2:16">
      <c r="B4551" s="187"/>
      <c r="E4551"/>
      <c r="P4551"/>
    </row>
    <row r="4552" spans="2:16">
      <c r="B4552" s="187"/>
      <c r="E4552"/>
      <c r="P4552"/>
    </row>
    <row r="4553" spans="2:16">
      <c r="B4553" s="187"/>
      <c r="E4553"/>
      <c r="P4553"/>
    </row>
    <row r="4554" spans="2:16">
      <c r="B4554" s="187"/>
      <c r="E4554"/>
      <c r="P4554"/>
    </row>
    <row r="4555" spans="2:16">
      <c r="B4555" s="187"/>
      <c r="E4555"/>
      <c r="P4555"/>
    </row>
    <row r="4556" spans="2:16">
      <c r="B4556" s="187"/>
      <c r="E4556"/>
      <c r="P4556"/>
    </row>
    <row r="4557" spans="2:16">
      <c r="B4557" s="187"/>
      <c r="E4557"/>
      <c r="P4557"/>
    </row>
    <row r="4558" spans="2:16">
      <c r="B4558" s="187"/>
      <c r="E4558"/>
      <c r="P4558"/>
    </row>
    <row r="4559" spans="2:16">
      <c r="B4559" s="187"/>
      <c r="E4559"/>
      <c r="P4559"/>
    </row>
    <row r="4560" spans="2:16">
      <c r="B4560" s="187"/>
      <c r="E4560"/>
      <c r="P4560"/>
    </row>
    <row r="4561" spans="2:16">
      <c r="B4561" s="187"/>
      <c r="E4561"/>
      <c r="P4561"/>
    </row>
    <row r="4562" spans="2:16">
      <c r="B4562" s="187"/>
      <c r="E4562"/>
      <c r="P4562"/>
    </row>
    <row r="4563" spans="2:16">
      <c r="B4563" s="187"/>
      <c r="E4563"/>
      <c r="P4563"/>
    </row>
    <row r="4564" spans="2:16">
      <c r="B4564" s="187"/>
      <c r="E4564"/>
      <c r="P4564"/>
    </row>
    <row r="4565" spans="2:16">
      <c r="B4565" s="187"/>
      <c r="E4565"/>
      <c r="P4565"/>
    </row>
    <row r="4566" spans="2:16">
      <c r="E4566"/>
      <c r="P4566"/>
    </row>
    <row r="4567" spans="2:16">
      <c r="E4567"/>
      <c r="P4567"/>
    </row>
    <row r="4568" spans="2:16">
      <c r="E4568"/>
      <c r="P4568"/>
    </row>
    <row r="4569" spans="2:16">
      <c r="E4569"/>
      <c r="P4569"/>
    </row>
    <row r="4570" spans="2:16">
      <c r="E4570"/>
      <c r="P4570"/>
    </row>
    <row r="4571" spans="2:16">
      <c r="E4571"/>
      <c r="P4571"/>
    </row>
    <row r="4572" spans="2:16">
      <c r="E4572"/>
      <c r="P4572"/>
    </row>
    <row r="4573" spans="2:16">
      <c r="E4573"/>
      <c r="P4573"/>
    </row>
    <row r="4574" spans="2:16">
      <c r="E4574"/>
      <c r="P4574"/>
    </row>
    <row r="4575" spans="2:16">
      <c r="E4575"/>
      <c r="P4575"/>
    </row>
    <row r="4576" spans="2:16">
      <c r="E4576"/>
      <c r="P4576"/>
    </row>
    <row r="4577" spans="2:16">
      <c r="E4577"/>
      <c r="P4577"/>
    </row>
    <row r="4578" spans="2:16">
      <c r="E4578"/>
      <c r="P4578"/>
    </row>
    <row r="4579" spans="2:16">
      <c r="E4579"/>
      <c r="P4579"/>
    </row>
    <row r="4580" spans="2:16">
      <c r="E4580"/>
      <c r="P4580"/>
    </row>
    <row r="4581" spans="2:16">
      <c r="E4581"/>
      <c r="P4581"/>
    </row>
    <row r="4582" spans="2:16">
      <c r="E4582"/>
      <c r="P4582"/>
    </row>
    <row r="4583" spans="2:16">
      <c r="B4583" s="187"/>
      <c r="E4583"/>
      <c r="P4583"/>
    </row>
    <row r="4584" spans="2:16">
      <c r="B4584" s="187"/>
      <c r="E4584"/>
      <c r="P4584"/>
    </row>
    <row r="4585" spans="2:16">
      <c r="B4585" s="187"/>
      <c r="E4585"/>
      <c r="P4585"/>
    </row>
    <row r="4586" spans="2:16">
      <c r="B4586" s="187"/>
      <c r="E4586"/>
      <c r="P4586"/>
    </row>
    <row r="4587" spans="2:16">
      <c r="B4587" s="187"/>
      <c r="E4587"/>
      <c r="P4587"/>
    </row>
    <row r="4588" spans="2:16">
      <c r="B4588" s="187"/>
      <c r="E4588"/>
      <c r="P4588"/>
    </row>
    <row r="4589" spans="2:16">
      <c r="B4589" s="187"/>
      <c r="E4589"/>
      <c r="P4589"/>
    </row>
    <row r="4590" spans="2:16">
      <c r="B4590" s="187"/>
      <c r="E4590"/>
      <c r="P4590"/>
    </row>
    <row r="4591" spans="2:16">
      <c r="B4591" s="187"/>
      <c r="E4591"/>
      <c r="P4591"/>
    </row>
    <row r="4592" spans="2:16">
      <c r="B4592" s="187"/>
      <c r="E4592"/>
      <c r="P4592"/>
    </row>
    <row r="4593" spans="2:16">
      <c r="B4593" s="187"/>
      <c r="E4593"/>
      <c r="P4593"/>
    </row>
    <row r="4594" spans="2:16">
      <c r="B4594" s="187"/>
      <c r="E4594"/>
      <c r="P4594"/>
    </row>
    <row r="4595" spans="2:16">
      <c r="B4595" s="187"/>
      <c r="E4595"/>
      <c r="P4595"/>
    </row>
    <row r="4596" spans="2:16">
      <c r="B4596" s="187"/>
      <c r="E4596"/>
      <c r="P4596"/>
    </row>
    <row r="4597" spans="2:16">
      <c r="B4597" s="187"/>
      <c r="E4597"/>
      <c r="P4597"/>
    </row>
    <row r="4598" spans="2:16">
      <c r="B4598" s="187"/>
      <c r="E4598"/>
      <c r="P4598"/>
    </row>
    <row r="4599" spans="2:16">
      <c r="B4599" s="187"/>
      <c r="E4599"/>
      <c r="P4599"/>
    </row>
    <row r="4600" spans="2:16">
      <c r="B4600" s="187"/>
      <c r="E4600"/>
      <c r="P4600"/>
    </row>
    <row r="4601" spans="2:16">
      <c r="B4601" s="187"/>
      <c r="E4601"/>
      <c r="P4601"/>
    </row>
    <row r="4602" spans="2:16">
      <c r="B4602" s="187"/>
      <c r="E4602"/>
      <c r="P4602"/>
    </row>
    <row r="4603" spans="2:16">
      <c r="B4603" s="187"/>
      <c r="E4603"/>
      <c r="P4603"/>
    </row>
    <row r="4604" spans="2:16">
      <c r="B4604" s="187"/>
      <c r="E4604"/>
      <c r="P4604"/>
    </row>
    <row r="4605" spans="2:16">
      <c r="B4605" s="187"/>
      <c r="E4605"/>
      <c r="P4605"/>
    </row>
    <row r="4606" spans="2:16">
      <c r="B4606" s="187"/>
      <c r="E4606"/>
      <c r="P4606"/>
    </row>
    <row r="4607" spans="2:16">
      <c r="B4607" s="187"/>
      <c r="E4607"/>
      <c r="P4607"/>
    </row>
    <row r="4608" spans="2:16">
      <c r="B4608" s="187"/>
      <c r="E4608"/>
      <c r="P4608"/>
    </row>
    <row r="4609" spans="2:16">
      <c r="B4609" s="187"/>
      <c r="E4609"/>
      <c r="P4609"/>
    </row>
    <row r="4610" spans="2:16">
      <c r="B4610" s="187"/>
      <c r="E4610"/>
      <c r="P4610"/>
    </row>
    <row r="4611" spans="2:16">
      <c r="B4611" s="187"/>
      <c r="E4611"/>
      <c r="P4611"/>
    </row>
    <row r="4612" spans="2:16">
      <c r="B4612" s="187"/>
      <c r="E4612"/>
      <c r="P4612"/>
    </row>
    <row r="4613" spans="2:16">
      <c r="B4613" s="187"/>
      <c r="E4613"/>
      <c r="P4613"/>
    </row>
    <row r="4614" spans="2:16">
      <c r="B4614" s="187"/>
      <c r="E4614"/>
      <c r="P4614"/>
    </row>
    <row r="4615" spans="2:16">
      <c r="B4615" s="187"/>
      <c r="E4615"/>
      <c r="P4615"/>
    </row>
    <row r="4616" spans="2:16">
      <c r="B4616" s="187"/>
      <c r="E4616"/>
      <c r="P4616"/>
    </row>
    <row r="4617" spans="2:16">
      <c r="B4617" s="187"/>
      <c r="E4617"/>
      <c r="P4617"/>
    </row>
    <row r="4618" spans="2:16">
      <c r="B4618" s="187"/>
      <c r="E4618"/>
      <c r="P4618"/>
    </row>
    <row r="4619" spans="2:16">
      <c r="B4619" s="187"/>
      <c r="E4619"/>
      <c r="P4619"/>
    </row>
    <row r="4620" spans="2:16">
      <c r="B4620" s="187"/>
      <c r="E4620"/>
      <c r="P4620"/>
    </row>
    <row r="4621" spans="2:16">
      <c r="B4621" s="187"/>
      <c r="E4621"/>
      <c r="P4621"/>
    </row>
    <row r="4622" spans="2:16">
      <c r="B4622" s="187"/>
      <c r="E4622"/>
      <c r="P4622"/>
    </row>
    <row r="4623" spans="2:16">
      <c r="B4623" s="187"/>
      <c r="E4623"/>
      <c r="P4623"/>
    </row>
    <row r="4624" spans="2:16">
      <c r="B4624" s="187"/>
      <c r="E4624"/>
      <c r="P4624"/>
    </row>
    <row r="4625" spans="2:16">
      <c r="B4625" s="187"/>
      <c r="E4625"/>
      <c r="P4625"/>
    </row>
    <row r="4626" spans="2:16">
      <c r="B4626" s="187"/>
      <c r="E4626"/>
      <c r="P4626"/>
    </row>
    <row r="4627" spans="2:16">
      <c r="B4627" s="187"/>
      <c r="E4627"/>
      <c r="P4627"/>
    </row>
    <row r="4628" spans="2:16">
      <c r="B4628" s="187"/>
      <c r="E4628"/>
      <c r="P4628"/>
    </row>
    <row r="4629" spans="2:16">
      <c r="B4629" s="187"/>
      <c r="E4629"/>
      <c r="P4629"/>
    </row>
    <row r="4630" spans="2:16">
      <c r="B4630" s="187"/>
      <c r="E4630"/>
      <c r="P4630"/>
    </row>
    <row r="4631" spans="2:16">
      <c r="B4631" s="187"/>
      <c r="E4631"/>
      <c r="P4631"/>
    </row>
    <row r="4632" spans="2:16">
      <c r="B4632" s="187"/>
      <c r="E4632"/>
      <c r="P4632"/>
    </row>
    <row r="4633" spans="2:16">
      <c r="B4633" s="187"/>
      <c r="E4633"/>
      <c r="P4633"/>
    </row>
    <row r="4634" spans="2:16">
      <c r="B4634" s="187"/>
      <c r="E4634"/>
      <c r="P4634"/>
    </row>
    <row r="4635" spans="2:16">
      <c r="B4635" s="187"/>
      <c r="E4635"/>
      <c r="P4635"/>
    </row>
    <row r="4636" spans="2:16">
      <c r="B4636" s="187"/>
      <c r="E4636"/>
      <c r="P4636"/>
    </row>
    <row r="4637" spans="2:16">
      <c r="B4637" s="187"/>
      <c r="E4637"/>
      <c r="P4637"/>
    </row>
    <row r="4638" spans="2:16">
      <c r="B4638" s="187"/>
      <c r="E4638"/>
      <c r="P4638"/>
    </row>
    <row r="4639" spans="2:16">
      <c r="B4639" s="187"/>
      <c r="E4639"/>
      <c r="P4639"/>
    </row>
    <row r="4640" spans="2:16">
      <c r="B4640" s="187"/>
      <c r="E4640"/>
      <c r="P4640"/>
    </row>
    <row r="4641" spans="2:16">
      <c r="B4641" s="187"/>
      <c r="E4641"/>
      <c r="P4641"/>
    </row>
    <row r="4642" spans="2:16">
      <c r="B4642" s="187"/>
      <c r="E4642"/>
      <c r="P4642"/>
    </row>
    <row r="4643" spans="2:16">
      <c r="B4643" s="187"/>
      <c r="E4643"/>
      <c r="P4643"/>
    </row>
    <row r="4644" spans="2:16">
      <c r="B4644" s="187"/>
      <c r="E4644"/>
      <c r="P4644"/>
    </row>
    <row r="4645" spans="2:16">
      <c r="B4645" s="187"/>
      <c r="E4645"/>
      <c r="P4645"/>
    </row>
    <row r="4646" spans="2:16">
      <c r="B4646" s="187"/>
      <c r="E4646"/>
      <c r="P4646"/>
    </row>
    <row r="4647" spans="2:16">
      <c r="B4647" s="187"/>
      <c r="E4647"/>
      <c r="P4647"/>
    </row>
    <row r="4648" spans="2:16">
      <c r="B4648" s="187"/>
      <c r="E4648"/>
      <c r="P4648"/>
    </row>
    <row r="4649" spans="2:16">
      <c r="B4649" s="187"/>
      <c r="E4649"/>
      <c r="P4649"/>
    </row>
    <row r="4650" spans="2:16">
      <c r="B4650" s="187"/>
      <c r="E4650"/>
      <c r="P4650"/>
    </row>
    <row r="4651" spans="2:16">
      <c r="B4651" s="187"/>
      <c r="E4651"/>
      <c r="P4651"/>
    </row>
    <row r="4652" spans="2:16">
      <c r="B4652" s="187"/>
      <c r="E4652"/>
      <c r="P4652"/>
    </row>
    <row r="4653" spans="2:16">
      <c r="B4653" s="187"/>
      <c r="E4653"/>
      <c r="P4653"/>
    </row>
    <row r="4654" spans="2:16">
      <c r="B4654" s="187"/>
      <c r="E4654"/>
      <c r="P4654"/>
    </row>
    <row r="4655" spans="2:16">
      <c r="B4655" s="187"/>
      <c r="E4655"/>
      <c r="P4655"/>
    </row>
    <row r="4656" spans="2:16">
      <c r="B4656" s="187"/>
      <c r="E4656"/>
      <c r="P4656"/>
    </row>
    <row r="4657" spans="2:16">
      <c r="B4657" s="187"/>
      <c r="E4657"/>
      <c r="P4657"/>
    </row>
    <row r="4658" spans="2:16">
      <c r="B4658" s="187"/>
      <c r="E4658"/>
      <c r="P4658"/>
    </row>
    <row r="4659" spans="2:16">
      <c r="B4659" s="187"/>
      <c r="E4659"/>
      <c r="P4659"/>
    </row>
    <row r="4660" spans="2:16">
      <c r="B4660" s="187"/>
      <c r="E4660"/>
      <c r="P4660"/>
    </row>
    <row r="4661" spans="2:16">
      <c r="B4661" s="187"/>
      <c r="E4661"/>
      <c r="P4661"/>
    </row>
    <row r="4662" spans="2:16">
      <c r="B4662" s="187"/>
      <c r="E4662"/>
      <c r="P4662"/>
    </row>
    <row r="4663" spans="2:16">
      <c r="B4663" s="187"/>
      <c r="E4663"/>
      <c r="P4663"/>
    </row>
    <row r="4664" spans="2:16">
      <c r="B4664" s="187"/>
      <c r="E4664"/>
      <c r="P4664"/>
    </row>
    <row r="4665" spans="2:16">
      <c r="B4665" s="187"/>
      <c r="E4665"/>
      <c r="P4665"/>
    </row>
    <row r="4666" spans="2:16">
      <c r="B4666" s="187"/>
      <c r="E4666"/>
      <c r="P4666"/>
    </row>
    <row r="4667" spans="2:16">
      <c r="B4667" s="187"/>
      <c r="E4667"/>
      <c r="P4667"/>
    </row>
    <row r="4668" spans="2:16">
      <c r="B4668" s="187"/>
      <c r="E4668"/>
      <c r="P4668"/>
    </row>
    <row r="4669" spans="2:16">
      <c r="B4669" s="187"/>
      <c r="E4669"/>
      <c r="P4669"/>
    </row>
    <row r="4670" spans="2:16">
      <c r="B4670" s="187"/>
      <c r="E4670"/>
      <c r="P4670"/>
    </row>
    <row r="4671" spans="2:16">
      <c r="B4671" s="187"/>
      <c r="E4671"/>
      <c r="P4671"/>
    </row>
    <row r="4672" spans="2:16">
      <c r="B4672" s="187"/>
      <c r="E4672"/>
      <c r="P4672"/>
    </row>
    <row r="4673" spans="2:16">
      <c r="B4673" s="187"/>
      <c r="E4673"/>
      <c r="P4673"/>
    </row>
    <row r="4674" spans="2:16">
      <c r="B4674" s="187"/>
      <c r="E4674"/>
      <c r="P4674"/>
    </row>
    <row r="4675" spans="2:16">
      <c r="B4675" s="187"/>
      <c r="E4675"/>
      <c r="P4675"/>
    </row>
    <row r="4676" spans="2:16">
      <c r="B4676" s="187"/>
      <c r="E4676"/>
      <c r="P4676"/>
    </row>
    <row r="4677" spans="2:16">
      <c r="B4677" s="187"/>
      <c r="E4677"/>
      <c r="P4677"/>
    </row>
    <row r="4678" spans="2:16">
      <c r="B4678" s="187"/>
      <c r="E4678"/>
      <c r="P4678"/>
    </row>
  </sheetData>
  <autoFilter ref="A3:AA1877" xr:uid="{00000000-0009-0000-0000-00000A000000}"/>
  <sortState xmlns:xlrd2="http://schemas.microsoft.com/office/spreadsheetml/2017/richdata2" ref="B4:Z1896">
    <sortCondition ref="P4:P1896"/>
    <sortCondition ref="Q4:Q1896"/>
  </sortState>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C00000"/>
  </sheetPr>
  <dimension ref="A1:BE1154"/>
  <sheetViews>
    <sheetView view="pageBreakPreview" topLeftCell="H5" zoomScale="80" zoomScaleNormal="100" zoomScaleSheetLayoutView="80" workbookViewId="0">
      <pane ySplit="1" topLeftCell="A6" activePane="bottomLeft" state="frozen"/>
      <selection activeCell="A292" sqref="A292"/>
      <selection pane="bottomLeft" activeCell="U352" sqref="U352"/>
    </sheetView>
  </sheetViews>
  <sheetFormatPr defaultColWidth="8.88671875" defaultRowHeight="13.8"/>
  <cols>
    <col min="1" max="1" width="28" style="68" customWidth="1"/>
    <col min="2" max="2" width="16.109375" style="68" customWidth="1"/>
    <col min="3" max="3" width="10.5546875" style="68" customWidth="1"/>
    <col min="4" max="4" width="21.109375" style="68" customWidth="1"/>
    <col min="5" max="5" width="15.109375" style="68" customWidth="1"/>
    <col min="6" max="6" width="6.109375" style="148" customWidth="1"/>
    <col min="7" max="7" width="25" style="148" customWidth="1"/>
    <col min="8" max="8" width="34.88671875" style="95" customWidth="1"/>
    <col min="9" max="12" width="16.5546875" style="245" customWidth="1"/>
    <col min="13" max="13" width="15.88671875" style="96" customWidth="1"/>
    <col min="14" max="15" width="16.88671875" style="96" customWidth="1"/>
    <col min="16" max="16" width="12.88671875" style="96" customWidth="1"/>
    <col min="17" max="17" width="16" style="212" customWidth="1"/>
    <col min="18" max="18" width="12.88671875" style="212" customWidth="1"/>
    <col min="19" max="19" width="13" style="212" customWidth="1"/>
    <col min="20" max="20" width="16.109375" style="212" customWidth="1"/>
    <col min="21" max="21" width="13" style="212" customWidth="1"/>
    <col min="22" max="22" width="13.109375" style="113" customWidth="1"/>
    <col min="23" max="23" width="26.88671875" style="115" customWidth="1"/>
    <col min="24" max="24" width="28.88671875" style="148" customWidth="1"/>
    <col min="25" max="25" width="41.5546875" style="267" customWidth="1"/>
    <col min="26" max="26" width="12.109375" style="121" customWidth="1"/>
    <col min="27" max="27" width="15.5546875" style="121" customWidth="1"/>
    <col min="28" max="28" width="12.109375" style="121" customWidth="1"/>
    <col min="29" max="29" width="13.5546875" style="121" customWidth="1"/>
    <col min="30" max="30" width="15.88671875" style="121" customWidth="1"/>
    <col min="31" max="31" width="12.5546875" style="121" customWidth="1"/>
    <col min="32" max="32" width="18" style="121" customWidth="1"/>
    <col min="33" max="33" width="16.109375" style="121" customWidth="1"/>
    <col min="34" max="34" width="22.109375" style="121" customWidth="1"/>
    <col min="35" max="35" width="20.109375" style="121" customWidth="1"/>
    <col min="36" max="36" width="19" style="121" customWidth="1"/>
    <col min="37" max="37" width="22.109375" style="121" customWidth="1"/>
    <col min="38" max="38" width="20.88671875" style="121" customWidth="1"/>
    <col min="39" max="39" width="17.88671875" style="115" customWidth="1"/>
    <col min="40" max="40" width="22.109375" style="115" customWidth="1"/>
    <col min="41" max="41" width="26.109375" style="115" customWidth="1"/>
    <col min="42" max="42" width="21.44140625" style="115" customWidth="1"/>
    <col min="43" max="43" width="13.109375" style="115" customWidth="1"/>
    <col min="44" max="44" width="12.88671875" style="115" customWidth="1"/>
    <col min="45" max="45" width="12.44140625" style="115" customWidth="1"/>
    <col min="46" max="51" width="8.88671875" style="115" customWidth="1"/>
    <col min="52" max="57" width="8.88671875" style="115"/>
    <col min="58" max="16384" width="8.88671875" style="68"/>
  </cols>
  <sheetData>
    <row r="1" spans="1:57" ht="18" hidden="1" customHeight="1" thickBot="1">
      <c r="H1" s="671" t="str">
        <f>A2&amp;" ENTERPRISE FUNDS WORKING BUDGET"</f>
        <v>FY 2024-25 ENTERPRISE FUNDS WORKING BUDGET</v>
      </c>
      <c r="I1" s="672"/>
      <c r="J1" s="673"/>
      <c r="K1" s="672"/>
      <c r="L1" s="672"/>
      <c r="M1" s="673"/>
      <c r="N1" s="672"/>
      <c r="O1" s="673"/>
      <c r="P1" s="673"/>
      <c r="Q1" s="673"/>
      <c r="R1" s="673"/>
      <c r="S1" s="673"/>
      <c r="T1" s="674"/>
      <c r="U1" s="469"/>
      <c r="V1" s="470"/>
      <c r="W1" s="681" t="s">
        <v>38</v>
      </c>
      <c r="X1" s="682"/>
      <c r="Y1" s="266"/>
      <c r="AF1" s="84" t="s">
        <v>63</v>
      </c>
      <c r="BE1" s="68"/>
    </row>
    <row r="2" spans="1:57" ht="18" hidden="1" customHeight="1" thickBot="1">
      <c r="A2" s="46" t="str">
        <f>'General Fund Line-Item Details'!A2</f>
        <v>FY 2024-25</v>
      </c>
      <c r="B2" s="46"/>
      <c r="C2" s="46"/>
      <c r="D2" s="46"/>
      <c r="E2" s="46"/>
      <c r="H2" s="675"/>
      <c r="I2" s="676"/>
      <c r="J2" s="676"/>
      <c r="K2" s="676"/>
      <c r="L2" s="676"/>
      <c r="M2" s="676"/>
      <c r="N2" s="676"/>
      <c r="O2" s="676"/>
      <c r="P2" s="676"/>
      <c r="Q2" s="676"/>
      <c r="R2" s="676"/>
      <c r="S2" s="676"/>
      <c r="T2" s="677"/>
      <c r="U2" s="86"/>
      <c r="V2" s="258"/>
      <c r="W2" s="681" t="s">
        <v>61</v>
      </c>
      <c r="X2" s="682"/>
      <c r="Y2" s="266"/>
      <c r="AF2" s="84" t="s">
        <v>64</v>
      </c>
      <c r="BE2" s="68"/>
    </row>
    <row r="3" spans="1:57" ht="18" hidden="1" customHeight="1" thickBot="1">
      <c r="A3" s="47"/>
      <c r="B3" s="46"/>
      <c r="C3" s="46"/>
      <c r="D3" s="46"/>
      <c r="E3" s="46"/>
      <c r="H3" s="678"/>
      <c r="I3" s="679"/>
      <c r="J3" s="679"/>
      <c r="K3" s="679"/>
      <c r="L3" s="679"/>
      <c r="M3" s="679"/>
      <c r="N3" s="679"/>
      <c r="O3" s="679"/>
      <c r="P3" s="679"/>
      <c r="Q3" s="679"/>
      <c r="R3" s="679"/>
      <c r="S3" s="679"/>
      <c r="T3" s="680"/>
      <c r="U3" s="471"/>
      <c r="V3" s="472"/>
      <c r="W3" s="681" t="s">
        <v>62</v>
      </c>
      <c r="X3" s="682"/>
      <c r="Y3" s="266"/>
      <c r="AI3" s="121" t="s">
        <v>116</v>
      </c>
      <c r="BE3" s="68"/>
    </row>
    <row r="4" spans="1:57" ht="24.6" hidden="1" customHeight="1" thickBot="1">
      <c r="A4" s="48"/>
      <c r="B4" s="48"/>
      <c r="C4" s="48"/>
      <c r="D4" s="48"/>
      <c r="E4" s="48"/>
      <c r="H4" s="86"/>
      <c r="I4" s="86"/>
      <c r="J4" s="86"/>
      <c r="K4" s="86"/>
      <c r="L4" s="86"/>
      <c r="M4" s="86"/>
      <c r="N4" s="87"/>
      <c r="O4" s="87"/>
      <c r="P4" s="87"/>
      <c r="Q4" s="86"/>
      <c r="R4" s="86"/>
      <c r="S4" s="86"/>
      <c r="T4" s="86"/>
      <c r="U4" s="86"/>
      <c r="V4" s="258"/>
    </row>
    <row r="5" spans="1:57" s="61" customFormat="1" ht="63.6" customHeight="1" thickBot="1">
      <c r="A5" s="58"/>
      <c r="B5" s="191"/>
      <c r="C5" s="191"/>
      <c r="D5" s="191"/>
      <c r="E5" s="191"/>
      <c r="F5" s="59"/>
      <c r="G5" s="59"/>
      <c r="H5" s="487" t="s">
        <v>47</v>
      </c>
      <c r="I5" s="466" t="str">
        <f>'General Fund Line-Item Details'!I5</f>
        <v>FY 2019-20 Actual</v>
      </c>
      <c r="J5" s="466" t="str">
        <f>'General Fund Line-Item Details'!J5</f>
        <v>FY 2020-21 Actual</v>
      </c>
      <c r="K5" s="466" t="str">
        <f>'General Fund Line-Item Details'!K5</f>
        <v>FY 2021-22 Actual</v>
      </c>
      <c r="L5" s="466" t="str">
        <f>'General Fund Line-Item Details'!L5</f>
        <v>FY 2022-23 Actual</v>
      </c>
      <c r="M5" s="466" t="str">
        <f>'General Fund Line-Item Details'!M5</f>
        <v>FY 2023-24 Budget</v>
      </c>
      <c r="N5" s="466" t="str">
        <f>'General Fund Line-Item Details'!N5</f>
        <v>FY 2023-24 
YTD</v>
      </c>
      <c r="O5" s="466" t="str">
        <f>'General Fund Line-Item Details'!O5</f>
        <v>FY 2023-24 
YE Proj.</v>
      </c>
      <c r="P5" s="466" t="str">
        <f>'General Fund Line-Item Details'!P5</f>
        <v>Adopted vs. YEP</v>
      </c>
      <c r="Q5" s="467" t="str">
        <f>'General Fund Line-Item Details'!Q5</f>
        <v>FY 2024-25 
Base</v>
      </c>
      <c r="R5" s="467" t="str">
        <f>'General Fund Line-Item Details'!R5</f>
        <v>FY 2024-25 ATB</v>
      </c>
      <c r="S5" s="467" t="str">
        <f>'General Fund Line-Item Details'!S5</f>
        <v>FY 2024-25 
Enct.</v>
      </c>
      <c r="T5" s="571" t="str">
        <f>'General Fund Line-Item Details'!T5</f>
        <v>FY 2024-25 
Proposed Budget</v>
      </c>
      <c r="U5" s="495" t="str">
        <f>'General Fund Line-Item Details'!U5</f>
        <v>Budget Variance ($)</v>
      </c>
      <c r="V5" s="496" t="str">
        <f>'General Fund Line-Item Details'!V5</f>
        <v>Budget Variance (%)</v>
      </c>
      <c r="W5" s="60"/>
      <c r="X5" s="59"/>
      <c r="Y5" s="268"/>
      <c r="Z5" s="121"/>
      <c r="AA5" s="121" t="s">
        <v>74</v>
      </c>
      <c r="AB5" s="121" t="s">
        <v>75</v>
      </c>
      <c r="AC5" s="121" t="s">
        <v>76</v>
      </c>
      <c r="AD5" s="121" t="s">
        <v>77</v>
      </c>
      <c r="AE5" s="121" t="s">
        <v>78</v>
      </c>
      <c r="AF5" s="121"/>
      <c r="AG5" s="121"/>
      <c r="AH5" s="121" t="s">
        <v>104</v>
      </c>
      <c r="AI5" s="121" t="s">
        <v>79</v>
      </c>
      <c r="AJ5" s="121" t="s">
        <v>80</v>
      </c>
      <c r="AK5" s="121" t="s">
        <v>81</v>
      </c>
      <c r="AL5" s="121" t="s">
        <v>82</v>
      </c>
      <c r="AM5" s="121" t="s">
        <v>100</v>
      </c>
      <c r="AN5" s="121" t="s">
        <v>101</v>
      </c>
      <c r="AO5" s="121" t="s">
        <v>102</v>
      </c>
      <c r="AP5" s="121" t="s">
        <v>108</v>
      </c>
      <c r="AQ5" s="121" t="s">
        <v>109</v>
      </c>
      <c r="AR5" s="121" t="s">
        <v>110</v>
      </c>
      <c r="AS5" s="121" t="s">
        <v>111</v>
      </c>
      <c r="AT5" s="115"/>
      <c r="AU5" s="115"/>
      <c r="AV5" s="115"/>
      <c r="AW5" s="115"/>
      <c r="AX5" s="115"/>
      <c r="AY5" s="115"/>
      <c r="AZ5" s="115"/>
      <c r="BA5" s="115"/>
      <c r="BB5" s="115"/>
      <c r="BC5" s="60"/>
      <c r="BD5" s="60"/>
      <c r="BE5" s="60"/>
    </row>
    <row r="6" spans="1:57" ht="15" customHeight="1" thickBot="1">
      <c r="A6" s="210">
        <v>1</v>
      </c>
      <c r="B6" s="211">
        <f>A6+1</f>
        <v>2</v>
      </c>
      <c r="C6" s="211">
        <f t="shared" ref="C6:X6" si="0">B6+1</f>
        <v>3</v>
      </c>
      <c r="D6" s="211">
        <f t="shared" si="0"/>
        <v>4</v>
      </c>
      <c r="E6" s="211">
        <f t="shared" si="0"/>
        <v>5</v>
      </c>
      <c r="F6" s="211">
        <f t="shared" si="0"/>
        <v>6</v>
      </c>
      <c r="G6" s="211">
        <f t="shared" si="0"/>
        <v>7</v>
      </c>
      <c r="H6" s="329">
        <f t="shared" ref="H6" si="1">G6+1</f>
        <v>8</v>
      </c>
      <c r="I6" s="329" t="e">
        <f>#REF!+1</f>
        <v>#REF!</v>
      </c>
      <c r="J6" s="329" t="e">
        <f t="shared" ref="J6:K6" si="2">I6+1</f>
        <v>#REF!</v>
      </c>
      <c r="K6" s="329" t="e">
        <f t="shared" si="2"/>
        <v>#REF!</v>
      </c>
      <c r="L6" s="329" t="e">
        <f t="shared" ref="L6" si="3">J6+1</f>
        <v>#REF!</v>
      </c>
      <c r="M6" s="329" t="e">
        <f t="shared" ref="M6" si="4">L6+1</f>
        <v>#REF!</v>
      </c>
      <c r="N6" s="329" t="e">
        <f t="shared" ref="N6" si="5">M6+1</f>
        <v>#REF!</v>
      </c>
      <c r="O6" s="329" t="e">
        <f t="shared" ref="O6" si="6">N6+1</f>
        <v>#REF!</v>
      </c>
      <c r="P6" s="329" t="e">
        <f t="shared" ref="P6" si="7">O6+1</f>
        <v>#REF!</v>
      </c>
      <c r="Q6" s="329" t="e">
        <f t="shared" ref="Q6" si="8">P6+1</f>
        <v>#REF!</v>
      </c>
      <c r="R6" s="329" t="e">
        <f t="shared" ref="R6" si="9">Q6+1</f>
        <v>#REF!</v>
      </c>
      <c r="S6" s="329" t="e">
        <f t="shared" ref="S6" si="10">R6+1</f>
        <v>#REF!</v>
      </c>
      <c r="T6" s="329" t="e">
        <f t="shared" ref="T6" si="11">S6+1</f>
        <v>#REF!</v>
      </c>
      <c r="U6" s="329"/>
      <c r="V6" s="329"/>
      <c r="W6" s="211" t="e">
        <f>T6+1</f>
        <v>#REF!</v>
      </c>
      <c r="X6" s="211" t="e">
        <f t="shared" si="0"/>
        <v>#REF!</v>
      </c>
      <c r="Y6" s="269"/>
    </row>
    <row r="7" spans="1:57" ht="15" customHeight="1" thickBot="1">
      <c r="A7" s="211"/>
      <c r="B7" s="211"/>
      <c r="C7" s="211"/>
      <c r="D7" s="211"/>
      <c r="E7" s="211"/>
      <c r="F7" s="211"/>
      <c r="G7" s="211"/>
      <c r="H7" s="329"/>
      <c r="I7" s="329"/>
      <c r="J7" s="329"/>
      <c r="K7" s="329"/>
      <c r="L7" s="329"/>
      <c r="M7" s="329"/>
      <c r="N7" s="329"/>
      <c r="O7" s="329"/>
      <c r="P7" s="329"/>
      <c r="Q7" s="329"/>
      <c r="R7" s="329"/>
      <c r="S7" s="329"/>
      <c r="T7" s="329"/>
      <c r="U7" s="329"/>
      <c r="V7" s="329"/>
      <c r="W7" s="211"/>
      <c r="X7" s="211"/>
      <c r="Y7" s="269"/>
    </row>
    <row r="8" spans="1:57" ht="23.25" customHeight="1" thickBot="1">
      <c r="A8" s="213"/>
      <c r="B8" s="213"/>
      <c r="C8" s="213"/>
      <c r="D8" s="213"/>
      <c r="E8" s="213"/>
      <c r="F8" s="103"/>
      <c r="G8" s="103"/>
      <c r="H8" s="683" t="s">
        <v>757</v>
      </c>
      <c r="I8" s="684"/>
      <c r="J8" s="684"/>
      <c r="K8" s="684"/>
      <c r="L8" s="684"/>
      <c r="M8" s="684"/>
      <c r="N8" s="684"/>
      <c r="O8" s="684"/>
      <c r="P8" s="684"/>
      <c r="Q8" s="684"/>
      <c r="R8" s="684"/>
      <c r="S8" s="684"/>
      <c r="T8" s="685"/>
      <c r="U8" s="333"/>
      <c r="V8" s="333"/>
      <c r="W8" s="104"/>
    </row>
    <row r="9" spans="1:57" ht="18.75" customHeight="1" thickBot="1">
      <c r="A9" s="213"/>
      <c r="B9" s="213"/>
      <c r="C9" s="213"/>
      <c r="D9" s="213"/>
      <c r="E9" s="213"/>
      <c r="F9" s="103"/>
      <c r="G9" s="103"/>
      <c r="H9" s="330">
        <v>2</v>
      </c>
      <c r="I9" s="331">
        <f>Import!F2</f>
        <v>6</v>
      </c>
      <c r="J9" s="331">
        <f>Import!G2</f>
        <v>7</v>
      </c>
      <c r="K9" s="331">
        <f>Import!H2</f>
        <v>8</v>
      </c>
      <c r="L9" s="331">
        <f>Import!H2</f>
        <v>8</v>
      </c>
      <c r="M9" s="331">
        <f>Import!H2</f>
        <v>8</v>
      </c>
      <c r="N9" s="331">
        <f>Import!I2</f>
        <v>9</v>
      </c>
      <c r="O9" s="331">
        <f>Import!J2</f>
        <v>10</v>
      </c>
      <c r="P9" s="332"/>
      <c r="Q9" s="331">
        <f>Import!K2</f>
        <v>11</v>
      </c>
      <c r="R9" s="331">
        <f>Import!L2</f>
        <v>12</v>
      </c>
      <c r="S9" s="331">
        <f>Import!M2</f>
        <v>13</v>
      </c>
      <c r="T9" s="331">
        <f>Import!N2</f>
        <v>14</v>
      </c>
      <c r="U9" s="333"/>
      <c r="V9" s="333"/>
      <c r="W9" s="104"/>
    </row>
    <row r="10" spans="1:57" s="75" customFormat="1" ht="18" customHeight="1" thickBot="1">
      <c r="A10" s="72"/>
      <c r="B10" s="72"/>
      <c r="C10" s="72"/>
      <c r="D10" s="72"/>
      <c r="E10" s="72"/>
      <c r="F10" s="73"/>
      <c r="G10" s="73"/>
      <c r="H10" s="683" t="s">
        <v>9</v>
      </c>
      <c r="I10" s="684"/>
      <c r="J10" s="684"/>
      <c r="K10" s="684"/>
      <c r="L10" s="684"/>
      <c r="M10" s="684"/>
      <c r="N10" s="684"/>
      <c r="O10" s="684"/>
      <c r="P10" s="684"/>
      <c r="Q10" s="684"/>
      <c r="R10" s="684"/>
      <c r="S10" s="684"/>
      <c r="T10" s="685"/>
      <c r="U10" s="473"/>
      <c r="V10" s="474"/>
      <c r="W10" s="74"/>
      <c r="X10" s="73"/>
      <c r="Y10" s="270"/>
      <c r="Z10" s="121"/>
      <c r="AA10" s="121"/>
      <c r="AB10" s="121"/>
      <c r="AC10" s="121"/>
      <c r="AD10" s="121"/>
      <c r="AE10" s="121"/>
      <c r="AF10" s="121"/>
      <c r="AG10" s="121"/>
      <c r="AH10" s="121"/>
      <c r="AI10" s="121"/>
      <c r="AJ10" s="121"/>
      <c r="AK10" s="121"/>
      <c r="AL10" s="121"/>
      <c r="AM10" s="115"/>
      <c r="AN10" s="115"/>
      <c r="AO10" s="115"/>
      <c r="AP10" s="115"/>
      <c r="AQ10" s="115"/>
      <c r="AR10" s="115"/>
      <c r="AS10" s="115"/>
      <c r="AT10" s="115"/>
      <c r="AU10" s="115"/>
      <c r="AV10" s="115"/>
      <c r="AW10" s="115"/>
      <c r="AX10" s="115"/>
      <c r="AY10" s="115"/>
      <c r="AZ10" s="115"/>
      <c r="BA10" s="115"/>
      <c r="BB10" s="115"/>
      <c r="BC10" s="74"/>
      <c r="BD10" s="74"/>
      <c r="BE10" s="74"/>
    </row>
    <row r="11" spans="1:57" ht="15" customHeight="1">
      <c r="A11" s="555" t="s">
        <v>1210</v>
      </c>
      <c r="B11" s="217" t="str">
        <f t="shared" ref="B11" si="12">LEFT(A11,3)</f>
        <v>200</v>
      </c>
      <c r="C11" s="217" t="str">
        <f t="shared" ref="C11" si="13">MID(A11,5,2)</f>
        <v>00</v>
      </c>
      <c r="D11" s="101" t="str">
        <f t="shared" ref="D11" si="14">MID(A11,8,3)</f>
        <v>000</v>
      </c>
      <c r="E11" s="217" t="str">
        <f t="shared" ref="E11" si="15">LEFT(A11,10)</f>
        <v>200-00-000</v>
      </c>
      <c r="F11" s="294" t="str">
        <f t="shared" ref="F11" si="16">RIGHT(A11,5)</f>
        <v>43010</v>
      </c>
      <c r="G11" s="295" t="str">
        <f>VLOOKUP(F11,'GL Category'!A:C,3,FALSE)</f>
        <v>CHARGES FOR SERVICE</v>
      </c>
      <c r="H11" s="98" t="str">
        <f>VLOOKUP(F11,'GL Category'!A:C,2,FALSE)</f>
        <v>OTHER SERVICES</v>
      </c>
      <c r="I11" s="99">
        <f>SUMIF(Import!$B:$B,$A11,Import!D:D)</f>
        <v>-9537.5</v>
      </c>
      <c r="J11" s="99">
        <f>SUMIF(Import!$B:$B,$A11,Import!E:E)</f>
        <v>-5250</v>
      </c>
      <c r="K11" s="99">
        <f>SUMIF(Import!$B:$B,$A11,Import!F:F)</f>
        <v>-4285.8900000000003</v>
      </c>
      <c r="L11" s="99">
        <f>SUMIF(Import!$B:$B,$A11,Import!G:G)</f>
        <v>-19101.61</v>
      </c>
      <c r="M11" s="99">
        <f>SUMIF(Import!$B:$B,$A11,Import!H:H)</f>
        <v>-8356</v>
      </c>
      <c r="N11" s="99">
        <f>SUMIF(Import!$B:$B,$A11,Import!I:I)</f>
        <v>0</v>
      </c>
      <c r="O11" s="99">
        <f>SUMIF(Import!$B:$B,$A11,Import!J:J)</f>
        <v>0</v>
      </c>
      <c r="P11" s="99">
        <f t="shared" ref="P11" si="17">O11-M11</f>
        <v>8356</v>
      </c>
      <c r="Q11" s="99">
        <f>SUMIF(Import!$B:$B,$A11,Import!K:K)</f>
        <v>-3877</v>
      </c>
      <c r="R11" s="99">
        <f>SUMIF(Import!$B:$B,$A11,Import!L:L)</f>
        <v>0</v>
      </c>
      <c r="S11" s="99">
        <f>SUMIF(Import!$B:$B,$A11,Import!M:M)</f>
        <v>0</v>
      </c>
      <c r="T11" s="99">
        <f>SUMIF(Import!$B:$B,$A11,Import!N:N)</f>
        <v>-3877</v>
      </c>
      <c r="U11" s="99">
        <f t="shared" ref="U11" si="18">T11-M11</f>
        <v>4479</v>
      </c>
      <c r="V11" s="255">
        <f t="shared" ref="V11" si="19">IF(M11=0,"N/A",T11/M11-1)</f>
        <v>-0.53602202010531352</v>
      </c>
      <c r="W11" s="102" t="s">
        <v>1210</v>
      </c>
      <c r="X11" s="103" t="str">
        <f t="shared" ref="X11:X42" si="20">IF(Q11="","",IF(T11=SUM(Q11:S11),"OK","NO"))</f>
        <v>OK</v>
      </c>
      <c r="Y11" s="271"/>
      <c r="AA11" s="162"/>
    </row>
    <row r="12" spans="1:57" ht="15" customHeight="1">
      <c r="A12" s="555" t="s">
        <v>1211</v>
      </c>
      <c r="B12" s="217" t="str">
        <f t="shared" ref="B12:B70" si="21">LEFT(A12,3)</f>
        <v>200</v>
      </c>
      <c r="C12" s="217" t="str">
        <f t="shared" ref="C12:C70" si="22">MID(A12,5,2)</f>
        <v>00</v>
      </c>
      <c r="D12" s="101" t="str">
        <f t="shared" ref="D12:D70" si="23">MID(A12,8,3)</f>
        <v>000</v>
      </c>
      <c r="E12" s="217" t="str">
        <f t="shared" ref="E12:E70" si="24">LEFT(A12,10)</f>
        <v>200-00-000</v>
      </c>
      <c r="F12" s="294" t="str">
        <f t="shared" ref="F12:F70" si="25">RIGHT(A12,5)</f>
        <v>43040</v>
      </c>
      <c r="G12" s="295" t="str">
        <f>VLOOKUP(F12,'GL Category'!A:C,3,FALSE)</f>
        <v>INTRAGOVERNMENTAL</v>
      </c>
      <c r="H12" s="98" t="str">
        <f>VLOOKUP(F12,'GL Category'!A:C,2,FALSE)</f>
        <v>ADMINISTRATIVE SVCS-DRAINAGE</v>
      </c>
      <c r="I12" s="99">
        <f>SUMIF(Import!$B:$B,$A12,Import!D:D)</f>
        <v>-132880</v>
      </c>
      <c r="J12" s="99">
        <f>SUMIF(Import!$B:$B,$A12,Import!E:E)</f>
        <v>-105070</v>
      </c>
      <c r="K12" s="99">
        <f>SUMIF(Import!$B:$B,$A12,Import!F:F)</f>
        <v>-132880</v>
      </c>
      <c r="L12" s="99">
        <f>SUMIF(Import!$B:$B,$A12,Import!G:G)</f>
        <v>-134500</v>
      </c>
      <c r="M12" s="99">
        <f>SUMIF(Import!$B:$B,$A12,Import!H:H)</f>
        <v>-123560</v>
      </c>
      <c r="N12" s="99">
        <f>SUMIF(Import!$B:$B,$A12,Import!I:I)</f>
        <v>-92670</v>
      </c>
      <c r="O12" s="99">
        <f>SUMIF(Import!$B:$B,$A12,Import!J:J)</f>
        <v>-112327</v>
      </c>
      <c r="P12" s="99">
        <f t="shared" ref="P12:P36" si="26">O12-M12</f>
        <v>11233</v>
      </c>
      <c r="Q12" s="99">
        <f>SUMIF(Import!$B:$B,$A12,Import!K:K)</f>
        <v>-113590</v>
      </c>
      <c r="R12" s="99">
        <f>SUMIF(Import!$B:$B,$A12,Import!L:L)</f>
        <v>0</v>
      </c>
      <c r="S12" s="99">
        <f>SUMIF(Import!$B:$B,$A12,Import!M:M)</f>
        <v>0</v>
      </c>
      <c r="T12" s="99">
        <f>SUMIF(Import!$B:$B,$A12,Import!N:N)</f>
        <v>-113590</v>
      </c>
      <c r="U12" s="99">
        <f t="shared" ref="U12:U36" si="27">T12-M12</f>
        <v>9970</v>
      </c>
      <c r="V12" s="255">
        <f t="shared" ref="V12:V36" si="28">IF(M12=0,"N/A",T12/M12-1)</f>
        <v>-8.0689543541599185E-2</v>
      </c>
      <c r="W12" s="102" t="s">
        <v>1211</v>
      </c>
      <c r="X12" s="103" t="str">
        <f t="shared" si="20"/>
        <v>OK</v>
      </c>
      <c r="Y12" s="271"/>
    </row>
    <row r="13" spans="1:57" ht="15" customHeight="1">
      <c r="A13" s="555" t="s">
        <v>3169</v>
      </c>
      <c r="B13" s="217" t="str">
        <f t="shared" si="21"/>
        <v>200</v>
      </c>
      <c r="C13" s="217" t="str">
        <f t="shared" si="22"/>
        <v>00</v>
      </c>
      <c r="D13" s="101" t="str">
        <f t="shared" si="23"/>
        <v>000</v>
      </c>
      <c r="E13" s="217" t="str">
        <f t="shared" si="24"/>
        <v>200-00-000</v>
      </c>
      <c r="F13" s="294" t="str">
        <f t="shared" si="25"/>
        <v>41350</v>
      </c>
      <c r="G13" s="295" t="str">
        <f>VLOOKUP(F13,'GL Category'!A:C,3,FALSE)</f>
        <v>DEVELOPMENT FEES</v>
      </c>
      <c r="H13" s="98" t="str">
        <f>VLOOKUP(F13,'GL Category'!A:C,2,FALSE)</f>
        <v>CONTRIBUTIONS-DEVELOPER</v>
      </c>
      <c r="I13" s="99">
        <f>SUMIF(Import!$B:$B,$A13,Import!D:D)</f>
        <v>0</v>
      </c>
      <c r="J13" s="99">
        <f>SUMIF(Import!$B:$B,$A13,Import!E:E)</f>
        <v>0</v>
      </c>
      <c r="K13" s="99">
        <f>SUMIF(Import!$B:$B,$A13,Import!F:F)</f>
        <v>0</v>
      </c>
      <c r="L13" s="99">
        <f>SUMIF(Import!$B:$B,$A13,Import!G:G)</f>
        <v>-114311</v>
      </c>
      <c r="M13" s="99">
        <f>SUMIF(Import!$B:$B,$A13,Import!H:H)</f>
        <v>0</v>
      </c>
      <c r="N13" s="99">
        <f>SUMIF(Import!$B:$B,$A13,Import!I:I)</f>
        <v>0</v>
      </c>
      <c r="O13" s="99">
        <f>SUMIF(Import!$B:$B,$A13,Import!J:J)</f>
        <v>0</v>
      </c>
      <c r="P13" s="99">
        <f t="shared" si="26"/>
        <v>0</v>
      </c>
      <c r="Q13" s="99">
        <f>SUMIF(Import!$B:$B,$A13,Import!K:K)</f>
        <v>0</v>
      </c>
      <c r="R13" s="99">
        <f>SUMIF(Import!$B:$B,$A13,Import!L:L)</f>
        <v>0</v>
      </c>
      <c r="S13" s="99">
        <f>SUMIF(Import!$B:$B,$A13,Import!M:M)</f>
        <v>0</v>
      </c>
      <c r="T13" s="99">
        <f>SUMIF(Import!$B:$B,$A13,Import!N:N)</f>
        <v>0</v>
      </c>
      <c r="U13" s="99">
        <f t="shared" si="27"/>
        <v>0</v>
      </c>
      <c r="V13" s="255" t="str">
        <f t="shared" si="28"/>
        <v>N/A</v>
      </c>
      <c r="W13" s="102" t="s">
        <v>1212</v>
      </c>
      <c r="X13" s="103" t="str">
        <f t="shared" si="20"/>
        <v>OK</v>
      </c>
      <c r="Y13" s="271"/>
    </row>
    <row r="14" spans="1:57" ht="15" customHeight="1">
      <c r="A14" s="555" t="s">
        <v>1213</v>
      </c>
      <c r="B14" s="217" t="str">
        <f t="shared" si="21"/>
        <v>200</v>
      </c>
      <c r="C14" s="217" t="str">
        <f t="shared" si="22"/>
        <v>00</v>
      </c>
      <c r="D14" s="101" t="str">
        <f t="shared" si="23"/>
        <v>000</v>
      </c>
      <c r="E14" s="217" t="str">
        <f t="shared" si="24"/>
        <v>200-00-000</v>
      </c>
      <c r="F14" s="294" t="str">
        <f t="shared" si="25"/>
        <v>44010</v>
      </c>
      <c r="G14" s="295" t="e">
        <f>VLOOKUP(F14,'GL Category'!A:C,3,FALSE)</f>
        <v>#N/A</v>
      </c>
      <c r="H14" s="98" t="str">
        <f>VLOOKUP(F14,'GL Category'!A:C,2,FALSE)</f>
        <v>WATER SALES &amp; SERVICE</v>
      </c>
      <c r="I14" s="99">
        <f>SUMIF(Import!$B:$B,$A14,Import!D:D)</f>
        <v>-18325802.93</v>
      </c>
      <c r="J14" s="99">
        <f>SUMIF(Import!$B:$B,$A14,Import!E:E)</f>
        <v>-17578134.690000001</v>
      </c>
      <c r="K14" s="99">
        <f>SUMIF(Import!$B:$B,$A14,Import!F:F)</f>
        <v>-23268917.649999999</v>
      </c>
      <c r="L14" s="99">
        <f>SUMIF(Import!$B:$B,$A14,Import!G:G)</f>
        <v>-22988260.870000001</v>
      </c>
      <c r="M14" s="99">
        <f>SUMIF(Import!$B:$B,$A14,Import!H:H)</f>
        <v>-20012988</v>
      </c>
      <c r="N14" s="99">
        <f>SUMIF(Import!$B:$B,$A14,Import!I:I)</f>
        <v>-16018603.220000001</v>
      </c>
      <c r="O14" s="99">
        <f>SUMIF(Import!$B:$B,$A14,Import!J:J)</f>
        <v>-19495906</v>
      </c>
      <c r="P14" s="99">
        <f t="shared" si="26"/>
        <v>517082</v>
      </c>
      <c r="Q14" s="99">
        <f>SUMIF(Import!$B:$B,$A14,Import!K:K)</f>
        <v>-20151713</v>
      </c>
      <c r="R14" s="99">
        <f>SUMIF(Import!$B:$B,$A14,Import!L:L)</f>
        <v>0</v>
      </c>
      <c r="S14" s="99">
        <f>SUMIF(Import!$B:$B,$A14,Import!M:M)</f>
        <v>0</v>
      </c>
      <c r="T14" s="99">
        <f>SUMIF(Import!$B:$B,$A14,Import!N:N)</f>
        <v>-20151713</v>
      </c>
      <c r="U14" s="99">
        <f t="shared" si="27"/>
        <v>-138725</v>
      </c>
      <c r="V14" s="255">
        <f t="shared" si="28"/>
        <v>6.931748522509551E-3</v>
      </c>
      <c r="W14" s="102" t="s">
        <v>1213</v>
      </c>
      <c r="X14" s="103" t="str">
        <f t="shared" si="20"/>
        <v>OK</v>
      </c>
      <c r="Y14" s="271"/>
      <c r="Z14" s="123">
        <f>T14/O14-1</f>
        <v>3.3638190500097753E-2</v>
      </c>
      <c r="AA14" s="165"/>
    </row>
    <row r="15" spans="1:57" ht="15" customHeight="1">
      <c r="A15" s="555" t="s">
        <v>1214</v>
      </c>
      <c r="B15" s="217" t="str">
        <f t="shared" si="21"/>
        <v>200</v>
      </c>
      <c r="C15" s="217" t="str">
        <f t="shared" si="22"/>
        <v>00</v>
      </c>
      <c r="D15" s="101" t="str">
        <f t="shared" si="23"/>
        <v>000</v>
      </c>
      <c r="E15" s="217" t="str">
        <f t="shared" si="24"/>
        <v>200-00-000</v>
      </c>
      <c r="F15" s="294" t="str">
        <f t="shared" si="25"/>
        <v>44050</v>
      </c>
      <c r="G15" s="295" t="str">
        <f>VLOOKUP(F15,'GL Category'!A:C,3,FALSE)</f>
        <v>CHARGES FOR SERVICE</v>
      </c>
      <c r="H15" s="98" t="str">
        <f>VLOOKUP(F15,'GL Category'!A:C,2,FALSE)</f>
        <v>WATER TAPS &amp; CONNECT FEES</v>
      </c>
      <c r="I15" s="99">
        <f>SUMIF(Import!$B:$B,$A15,Import!D:D)</f>
        <v>-44863.25</v>
      </c>
      <c r="J15" s="99">
        <f>SUMIF(Import!$B:$B,$A15,Import!E:E)</f>
        <v>-88830</v>
      </c>
      <c r="K15" s="99">
        <f>SUMIF(Import!$B:$B,$A15,Import!F:F)</f>
        <v>-69365.19</v>
      </c>
      <c r="L15" s="99">
        <f>SUMIF(Import!$B:$B,$A15,Import!G:G)</f>
        <v>-114181.75999999999</v>
      </c>
      <c r="M15" s="99">
        <f>SUMIF(Import!$B:$B,$A15,Import!H:H)</f>
        <v>-70278</v>
      </c>
      <c r="N15" s="99">
        <f>SUMIF(Import!$B:$B,$A15,Import!I:I)</f>
        <v>-90348.5</v>
      </c>
      <c r="O15" s="99">
        <f>SUMIF(Import!$B:$B,$A15,Import!J:J)</f>
        <v>-111308</v>
      </c>
      <c r="P15" s="99">
        <f t="shared" si="26"/>
        <v>-41030</v>
      </c>
      <c r="Q15" s="99">
        <f>SUMIF(Import!$B:$B,$A15,Import!K:K)</f>
        <v>-79677</v>
      </c>
      <c r="R15" s="99">
        <f>SUMIF(Import!$B:$B,$A15,Import!L:L)</f>
        <v>0</v>
      </c>
      <c r="S15" s="99">
        <f>SUMIF(Import!$B:$B,$A15,Import!M:M)</f>
        <v>0</v>
      </c>
      <c r="T15" s="99">
        <f>SUMIF(Import!$B:$B,$A15,Import!N:N)</f>
        <v>-79677</v>
      </c>
      <c r="U15" s="99">
        <f t="shared" si="27"/>
        <v>-9399</v>
      </c>
      <c r="V15" s="255">
        <f t="shared" si="28"/>
        <v>0.13374028856825748</v>
      </c>
      <c r="W15" s="102" t="s">
        <v>1214</v>
      </c>
      <c r="X15" s="103" t="str">
        <f t="shared" si="20"/>
        <v>OK</v>
      </c>
      <c r="Y15" s="271"/>
    </row>
    <row r="16" spans="1:57" ht="15" customHeight="1">
      <c r="A16" s="555" t="s">
        <v>1215</v>
      </c>
      <c r="B16" s="217" t="str">
        <f t="shared" si="21"/>
        <v>200</v>
      </c>
      <c r="C16" s="217" t="str">
        <f t="shared" si="22"/>
        <v>00</v>
      </c>
      <c r="D16" s="101" t="str">
        <f t="shared" si="23"/>
        <v>000</v>
      </c>
      <c r="E16" s="217" t="str">
        <f t="shared" si="24"/>
        <v>200-00-000</v>
      </c>
      <c r="F16" s="294" t="str">
        <f t="shared" si="25"/>
        <v>44100</v>
      </c>
      <c r="G16" s="295" t="str">
        <f>VLOOKUP(F16,'GL Category'!A:C,3,FALSE)</f>
        <v>CHARGES FOR SERVICE</v>
      </c>
      <c r="H16" s="98" t="str">
        <f>VLOOKUP(F16,'GL Category'!A:C,2,FALSE)</f>
        <v>UNCLASSIFIED WATER REVENUE</v>
      </c>
      <c r="I16" s="99">
        <f>SUMIF(Import!$B:$B,$A16,Import!D:D)</f>
        <v>-2865.15</v>
      </c>
      <c r="J16" s="99">
        <f>SUMIF(Import!$B:$B,$A16,Import!E:E)</f>
        <v>-2831.97</v>
      </c>
      <c r="K16" s="99">
        <f>SUMIF(Import!$B:$B,$A16,Import!F:F)</f>
        <v>0</v>
      </c>
      <c r="L16" s="99">
        <f>SUMIF(Import!$B:$B,$A16,Import!G:G)</f>
        <v>0</v>
      </c>
      <c r="M16" s="99">
        <f>SUMIF(Import!$B:$B,$A16,Import!H:H)</f>
        <v>0</v>
      </c>
      <c r="N16" s="99">
        <f>SUMIF(Import!$B:$B,$A16,Import!I:I)</f>
        <v>0</v>
      </c>
      <c r="O16" s="99">
        <f>SUMIF(Import!$B:$B,$A16,Import!J:J)</f>
        <v>0</v>
      </c>
      <c r="P16" s="99">
        <f t="shared" si="26"/>
        <v>0</v>
      </c>
      <c r="Q16" s="99">
        <f>SUMIF(Import!$B:$B,$A16,Import!K:K)</f>
        <v>0</v>
      </c>
      <c r="R16" s="99">
        <f>SUMIF(Import!$B:$B,$A16,Import!L:L)</f>
        <v>0</v>
      </c>
      <c r="S16" s="99">
        <f>SUMIF(Import!$B:$B,$A16,Import!M:M)</f>
        <v>0</v>
      </c>
      <c r="T16" s="99">
        <f>SUMIF(Import!$B:$B,$A16,Import!N:N)</f>
        <v>0</v>
      </c>
      <c r="U16" s="99">
        <f t="shared" si="27"/>
        <v>0</v>
      </c>
      <c r="V16" s="255" t="str">
        <f t="shared" si="28"/>
        <v>N/A</v>
      </c>
      <c r="W16" s="102" t="s">
        <v>1215</v>
      </c>
      <c r="X16" s="103" t="str">
        <f t="shared" si="20"/>
        <v>OK</v>
      </c>
      <c r="Y16" s="271"/>
    </row>
    <row r="17" spans="1:25" ht="15" customHeight="1">
      <c r="A17" s="555" t="s">
        <v>1216</v>
      </c>
      <c r="B17" s="217" t="str">
        <f t="shared" si="21"/>
        <v>200</v>
      </c>
      <c r="C17" s="217" t="str">
        <f t="shared" si="22"/>
        <v>00</v>
      </c>
      <c r="D17" s="101" t="str">
        <f t="shared" si="23"/>
        <v>000</v>
      </c>
      <c r="E17" s="217" t="str">
        <f t="shared" si="24"/>
        <v>200-00-000</v>
      </c>
      <c r="F17" s="294" t="str">
        <f t="shared" si="25"/>
        <v>44200</v>
      </c>
      <c r="G17" s="295" t="str">
        <f>VLOOKUP(F17,'GL Category'!A:C,3,FALSE)</f>
        <v>CHARGES FOR SERVICE</v>
      </c>
      <c r="H17" s="98" t="str">
        <f>VLOOKUP(F17,'GL Category'!A:C,2,FALSE)</f>
        <v>HYDRANT METER RENTAL/PENALTY</v>
      </c>
      <c r="I17" s="99">
        <f>SUMIF(Import!$B:$B,$A17,Import!D:D)</f>
        <v>-6175</v>
      </c>
      <c r="J17" s="99">
        <f>SUMIF(Import!$B:$B,$A17,Import!E:E)</f>
        <v>-8219.7900000000009</v>
      </c>
      <c r="K17" s="99">
        <f>SUMIF(Import!$B:$B,$A17,Import!F:F)</f>
        <v>-9025</v>
      </c>
      <c r="L17" s="99">
        <f>SUMIF(Import!$B:$B,$A17,Import!G:G)</f>
        <v>-7675</v>
      </c>
      <c r="M17" s="99">
        <f>SUMIF(Import!$B:$B,$A17,Import!H:H)</f>
        <v>-8217</v>
      </c>
      <c r="N17" s="99">
        <f>SUMIF(Import!$B:$B,$A17,Import!I:I)</f>
        <v>1111683.76</v>
      </c>
      <c r="O17" s="99">
        <f>SUMIF(Import!$B:$B,$A17,Import!J:J)</f>
        <v>-6474</v>
      </c>
      <c r="P17" s="99">
        <f t="shared" si="26"/>
        <v>1743</v>
      </c>
      <c r="Q17" s="99">
        <f>SUMIF(Import!$B:$B,$A17,Import!K:K)</f>
        <v>-7779</v>
      </c>
      <c r="R17" s="99">
        <f>SUMIF(Import!$B:$B,$A17,Import!L:L)</f>
        <v>0</v>
      </c>
      <c r="S17" s="99">
        <f>SUMIF(Import!$B:$B,$A17,Import!M:M)</f>
        <v>0</v>
      </c>
      <c r="T17" s="99">
        <f>SUMIF(Import!$B:$B,$A17,Import!N:N)</f>
        <v>-7779</v>
      </c>
      <c r="U17" s="99">
        <f t="shared" si="27"/>
        <v>438</v>
      </c>
      <c r="V17" s="255">
        <f t="shared" si="28"/>
        <v>-5.3304125593282237E-2</v>
      </c>
      <c r="W17" s="102" t="s">
        <v>1216</v>
      </c>
      <c r="X17" s="103" t="str">
        <f t="shared" si="20"/>
        <v>OK</v>
      </c>
      <c r="Y17" s="271"/>
    </row>
    <row r="18" spans="1:25" ht="15" customHeight="1">
      <c r="A18" s="555" t="s">
        <v>1217</v>
      </c>
      <c r="B18" s="217" t="str">
        <f t="shared" si="21"/>
        <v>200</v>
      </c>
      <c r="C18" s="217" t="str">
        <f t="shared" si="22"/>
        <v>00</v>
      </c>
      <c r="D18" s="101" t="str">
        <f t="shared" si="23"/>
        <v>000</v>
      </c>
      <c r="E18" s="217" t="str">
        <f t="shared" si="24"/>
        <v>200-00-000</v>
      </c>
      <c r="F18" s="294" t="str">
        <f t="shared" si="25"/>
        <v>44510</v>
      </c>
      <c r="G18" s="295" t="e">
        <f>VLOOKUP(F18,'GL Category'!A:C,3,FALSE)</f>
        <v>#N/A</v>
      </c>
      <c r="H18" s="98" t="str">
        <f>VLOOKUP(F18,'GL Category'!A:C,2,FALSE)</f>
        <v>SEWER SALES &amp; SERVICE</v>
      </c>
      <c r="I18" s="99">
        <f>SUMIF(Import!$B:$B,$A18,Import!D:D)</f>
        <v>-7439485.5800000001</v>
      </c>
      <c r="J18" s="99">
        <f>SUMIF(Import!$B:$B,$A18,Import!E:E)</f>
        <v>-7475580.5899999999</v>
      </c>
      <c r="K18" s="99">
        <f>SUMIF(Import!$B:$B,$A18,Import!F:F)</f>
        <v>-8818091.4900000002</v>
      </c>
      <c r="L18" s="99">
        <f>SUMIF(Import!$B:$B,$A18,Import!G:G)</f>
        <v>-9466649.8000000007</v>
      </c>
      <c r="M18" s="99">
        <f>SUMIF(Import!$B:$B,$A18,Import!H:H)</f>
        <v>-9186535</v>
      </c>
      <c r="N18" s="99">
        <f>SUMIF(Import!$B:$B,$A18,Import!I:I)</f>
        <v>-7511383.5</v>
      </c>
      <c r="O18" s="99">
        <f>SUMIF(Import!$B:$B,$A18,Import!J:J)</f>
        <v>-9888175</v>
      </c>
      <c r="P18" s="99">
        <f t="shared" si="26"/>
        <v>-701640</v>
      </c>
      <c r="Q18" s="99">
        <f>SUMIF(Import!$B:$B,$A18,Import!K:K)</f>
        <v>-9341037</v>
      </c>
      <c r="R18" s="99">
        <f>SUMIF(Import!$B:$B,$A18,Import!L:L)</f>
        <v>0</v>
      </c>
      <c r="S18" s="99">
        <f>SUMIF(Import!$B:$B,$A18,Import!M:M)</f>
        <v>0</v>
      </c>
      <c r="T18" s="99">
        <f>SUMIF(Import!$B:$B,$A18,Import!N:N)</f>
        <v>-9341037</v>
      </c>
      <c r="U18" s="99">
        <f t="shared" si="27"/>
        <v>-154502</v>
      </c>
      <c r="V18" s="255">
        <f t="shared" si="28"/>
        <v>1.6818310712363171E-2</v>
      </c>
      <c r="W18" s="102" t="s">
        <v>1217</v>
      </c>
      <c r="X18" s="103" t="str">
        <f t="shared" si="20"/>
        <v>OK</v>
      </c>
      <c r="Y18" s="271"/>
    </row>
    <row r="19" spans="1:25" ht="15" customHeight="1">
      <c r="A19" s="555" t="s">
        <v>1218</v>
      </c>
      <c r="B19" s="217" t="str">
        <f t="shared" si="21"/>
        <v>200</v>
      </c>
      <c r="C19" s="217" t="str">
        <f t="shared" si="22"/>
        <v>00</v>
      </c>
      <c r="D19" s="101" t="str">
        <f t="shared" si="23"/>
        <v>000</v>
      </c>
      <c r="E19" s="217" t="str">
        <f t="shared" si="24"/>
        <v>200-00-000</v>
      </c>
      <c r="F19" s="294" t="str">
        <f t="shared" si="25"/>
        <v>44550</v>
      </c>
      <c r="G19" s="295" t="str">
        <f>VLOOKUP(F19,'GL Category'!A:C,3,FALSE)</f>
        <v>CHARGES FOR SERVICE</v>
      </c>
      <c r="H19" s="98" t="str">
        <f>VLOOKUP(F19,'GL Category'!A:C,2,FALSE)</f>
        <v>SEWER TAP FEES</v>
      </c>
      <c r="I19" s="99">
        <f>SUMIF(Import!$B:$B,$A19,Import!D:D)</f>
        <v>-4813.5</v>
      </c>
      <c r="J19" s="99">
        <f>SUMIF(Import!$B:$B,$A19,Import!E:E)</f>
        <v>-18518</v>
      </c>
      <c r="K19" s="99">
        <f>SUMIF(Import!$B:$B,$A19,Import!F:F)</f>
        <v>-4068</v>
      </c>
      <c r="L19" s="99">
        <f>SUMIF(Import!$B:$B,$A19,Import!G:G)</f>
        <v>-10479</v>
      </c>
      <c r="M19" s="99">
        <f>SUMIF(Import!$B:$B,$A19,Import!H:H)</f>
        <v>-9586</v>
      </c>
      <c r="N19" s="99">
        <f>SUMIF(Import!$B:$B,$A19,Import!I:I)</f>
        <v>-17365</v>
      </c>
      <c r="O19" s="99">
        <f>SUMIF(Import!$B:$B,$A19,Import!J:J)</f>
        <v>-21094</v>
      </c>
      <c r="P19" s="99">
        <f t="shared" si="26"/>
        <v>-11508</v>
      </c>
      <c r="Q19" s="99">
        <f>SUMIF(Import!$B:$B,$A19,Import!K:K)</f>
        <v>-11112</v>
      </c>
      <c r="R19" s="99">
        <f>SUMIF(Import!$B:$B,$A19,Import!L:L)</f>
        <v>0</v>
      </c>
      <c r="S19" s="99">
        <f>SUMIF(Import!$B:$B,$A19,Import!M:M)</f>
        <v>0</v>
      </c>
      <c r="T19" s="99">
        <f>SUMIF(Import!$B:$B,$A19,Import!N:N)</f>
        <v>-11112</v>
      </c>
      <c r="U19" s="99">
        <f t="shared" si="27"/>
        <v>-1526</v>
      </c>
      <c r="V19" s="255">
        <f t="shared" si="28"/>
        <v>0.15919048612559994</v>
      </c>
      <c r="W19" s="102" t="s">
        <v>1218</v>
      </c>
      <c r="X19" s="103" t="str">
        <f t="shared" si="20"/>
        <v>OK</v>
      </c>
      <c r="Y19" s="271"/>
    </row>
    <row r="20" spans="1:25" ht="15" customHeight="1">
      <c r="A20" s="555" t="s">
        <v>1219</v>
      </c>
      <c r="B20" s="217" t="str">
        <f t="shared" si="21"/>
        <v>200</v>
      </c>
      <c r="C20" s="217" t="str">
        <f t="shared" si="22"/>
        <v>00</v>
      </c>
      <c r="D20" s="101" t="str">
        <f t="shared" si="23"/>
        <v>000</v>
      </c>
      <c r="E20" s="217" t="str">
        <f t="shared" si="24"/>
        <v>200-00-000</v>
      </c>
      <c r="F20" s="294" t="str">
        <f t="shared" si="25"/>
        <v>44700</v>
      </c>
      <c r="G20" s="295" t="str">
        <f>VLOOKUP(F20,'GL Category'!A:C,3,FALSE)</f>
        <v>CHARGES FOR SERVICE</v>
      </c>
      <c r="H20" s="98" t="str">
        <f>VLOOKUP(F20,'GL Category'!A:C,2,FALSE)</f>
        <v>SEWER CAMERA SYSTEM SERVICES</v>
      </c>
      <c r="I20" s="99">
        <f>SUMIF(Import!$B:$B,$A20,Import!D:D)</f>
        <v>-22950</v>
      </c>
      <c r="J20" s="99">
        <f>SUMIF(Import!$B:$B,$A20,Import!E:E)</f>
        <v>-30150</v>
      </c>
      <c r="K20" s="99">
        <f>SUMIF(Import!$B:$B,$A20,Import!F:F)</f>
        <v>-16650</v>
      </c>
      <c r="L20" s="99">
        <f>SUMIF(Import!$B:$B,$A20,Import!G:G)</f>
        <v>-13500</v>
      </c>
      <c r="M20" s="99">
        <f>SUMIF(Import!$B:$B,$A20,Import!H:H)</f>
        <v>-16454</v>
      </c>
      <c r="N20" s="99">
        <f>SUMIF(Import!$B:$B,$A20,Import!I:I)</f>
        <v>-9450</v>
      </c>
      <c r="O20" s="99">
        <f>SUMIF(Import!$B:$B,$A20,Import!J:J)</f>
        <v>-11392</v>
      </c>
      <c r="P20" s="99">
        <f t="shared" si="26"/>
        <v>5062</v>
      </c>
      <c r="Q20" s="99">
        <f>SUMIF(Import!$B:$B,$A20,Import!K:K)</f>
        <v>-13515</v>
      </c>
      <c r="R20" s="99">
        <f>SUMIF(Import!$B:$B,$A20,Import!L:L)</f>
        <v>0</v>
      </c>
      <c r="S20" s="99">
        <f>SUMIF(Import!$B:$B,$A20,Import!M:M)</f>
        <v>0</v>
      </c>
      <c r="T20" s="99">
        <f>SUMIF(Import!$B:$B,$A20,Import!N:N)</f>
        <v>-13515</v>
      </c>
      <c r="U20" s="99">
        <f t="shared" si="27"/>
        <v>2939</v>
      </c>
      <c r="V20" s="255">
        <f t="shared" si="28"/>
        <v>-0.1786191807463231</v>
      </c>
      <c r="W20" s="102" t="s">
        <v>1219</v>
      </c>
      <c r="X20" s="103" t="str">
        <f t="shared" si="20"/>
        <v>OK</v>
      </c>
      <c r="Y20" s="271"/>
    </row>
    <row r="21" spans="1:25" ht="15" customHeight="1">
      <c r="A21" s="555" t="s">
        <v>1220</v>
      </c>
      <c r="B21" s="217" t="str">
        <f t="shared" si="21"/>
        <v>200</v>
      </c>
      <c r="C21" s="217" t="str">
        <f t="shared" si="22"/>
        <v>00</v>
      </c>
      <c r="D21" s="101" t="str">
        <f t="shared" si="23"/>
        <v>000</v>
      </c>
      <c r="E21" s="217" t="str">
        <f t="shared" si="24"/>
        <v>200-00-000</v>
      </c>
      <c r="F21" s="294" t="str">
        <f t="shared" si="25"/>
        <v>44702</v>
      </c>
      <c r="G21" s="295" t="str">
        <f>VLOOKUP(F21,'GL Category'!A:C,3,FALSE)</f>
        <v>CHARGES FOR SERVICE</v>
      </c>
      <c r="H21" s="98" t="str">
        <f>VLOOKUP(F21,'GL Category'!A:C,2,FALSE)</f>
        <v>RECONNECT FEES</v>
      </c>
      <c r="I21" s="99">
        <f>SUMIF(Import!$B:$B,$A21,Import!D:D)</f>
        <v>-26650</v>
      </c>
      <c r="J21" s="99">
        <f>SUMIF(Import!$B:$B,$A21,Import!E:E)</f>
        <v>-19775</v>
      </c>
      <c r="K21" s="99">
        <f>SUMIF(Import!$B:$B,$A21,Import!F:F)</f>
        <v>-35000</v>
      </c>
      <c r="L21" s="99">
        <f>SUMIF(Import!$B:$B,$A21,Import!G:G)</f>
        <v>-33200</v>
      </c>
      <c r="M21" s="99">
        <f>SUMIF(Import!$B:$B,$A21,Import!H:H)</f>
        <v>-32616</v>
      </c>
      <c r="N21" s="99">
        <f>SUMIF(Import!$B:$B,$A21,Import!I:I)</f>
        <v>-31850</v>
      </c>
      <c r="O21" s="99">
        <f>SUMIF(Import!$B:$B,$A21,Import!J:J)</f>
        <v>-34517</v>
      </c>
      <c r="P21" s="99">
        <f t="shared" si="26"/>
        <v>-1901</v>
      </c>
      <c r="Q21" s="99">
        <f>SUMIF(Import!$B:$B,$A21,Import!K:K)</f>
        <v>-31061</v>
      </c>
      <c r="R21" s="99">
        <f>SUMIF(Import!$B:$B,$A21,Import!L:L)</f>
        <v>0</v>
      </c>
      <c r="S21" s="99">
        <f>SUMIF(Import!$B:$B,$A21,Import!M:M)</f>
        <v>0</v>
      </c>
      <c r="T21" s="99">
        <f>SUMIF(Import!$B:$B,$A21,Import!N:N)</f>
        <v>-31061</v>
      </c>
      <c r="U21" s="99">
        <f t="shared" si="27"/>
        <v>1555</v>
      </c>
      <c r="V21" s="255">
        <f t="shared" si="28"/>
        <v>-4.7675987245523688E-2</v>
      </c>
      <c r="W21" s="102" t="s">
        <v>1220</v>
      </c>
      <c r="X21" s="103" t="str">
        <f t="shared" si="20"/>
        <v>OK</v>
      </c>
      <c r="Y21" s="271"/>
    </row>
    <row r="22" spans="1:25" ht="15" customHeight="1">
      <c r="A22" s="555" t="s">
        <v>1221</v>
      </c>
      <c r="B22" s="217" t="str">
        <f t="shared" si="21"/>
        <v>200</v>
      </c>
      <c r="C22" s="217" t="str">
        <f t="shared" si="22"/>
        <v>00</v>
      </c>
      <c r="D22" s="101" t="str">
        <f t="shared" si="23"/>
        <v>000</v>
      </c>
      <c r="E22" s="217" t="str">
        <f t="shared" si="24"/>
        <v>200-00-000</v>
      </c>
      <c r="F22" s="294" t="str">
        <f t="shared" si="25"/>
        <v>44705</v>
      </c>
      <c r="G22" s="295" t="str">
        <f>VLOOKUP(F22,'GL Category'!A:C,3,FALSE)</f>
        <v>CHARGES FOR SERVICE</v>
      </c>
      <c r="H22" s="98" t="str">
        <f>VLOOKUP(F22,'GL Category'!A:C,2,FALSE)</f>
        <v>ACCOUNT ACTIVATION FEE</v>
      </c>
      <c r="I22" s="99">
        <f>SUMIF(Import!$B:$B,$A22,Import!D:D)</f>
        <v>-26245</v>
      </c>
      <c r="J22" s="99">
        <f>SUMIF(Import!$B:$B,$A22,Import!E:E)</f>
        <v>-26655</v>
      </c>
      <c r="K22" s="99">
        <f>SUMIF(Import!$B:$B,$A22,Import!F:F)</f>
        <v>-24885</v>
      </c>
      <c r="L22" s="99">
        <f>SUMIF(Import!$B:$B,$A22,Import!G:G)</f>
        <v>-21180</v>
      </c>
      <c r="M22" s="99">
        <f>SUMIF(Import!$B:$B,$A22,Import!H:H)</f>
        <v>-22130</v>
      </c>
      <c r="N22" s="99">
        <f>SUMIF(Import!$B:$B,$A22,Import!I:I)</f>
        <v>-15390</v>
      </c>
      <c r="O22" s="99">
        <f>SUMIF(Import!$B:$B,$A22,Import!J:J)</f>
        <v>-19328</v>
      </c>
      <c r="P22" s="99">
        <f t="shared" si="26"/>
        <v>2802</v>
      </c>
      <c r="Q22" s="99">
        <f>SUMIF(Import!$B:$B,$A22,Import!K:K)</f>
        <v>-20027</v>
      </c>
      <c r="R22" s="99">
        <f>SUMIF(Import!$B:$B,$A22,Import!L:L)</f>
        <v>0</v>
      </c>
      <c r="S22" s="99">
        <f>SUMIF(Import!$B:$B,$A22,Import!M:M)</f>
        <v>0</v>
      </c>
      <c r="T22" s="99">
        <f>SUMIF(Import!$B:$B,$A22,Import!N:N)</f>
        <v>-20027</v>
      </c>
      <c r="U22" s="99">
        <f t="shared" si="27"/>
        <v>2103</v>
      </c>
      <c r="V22" s="255">
        <f t="shared" si="28"/>
        <v>-9.5029371893357473E-2</v>
      </c>
      <c r="W22" s="102" t="s">
        <v>1221</v>
      </c>
      <c r="X22" s="103" t="str">
        <f t="shared" si="20"/>
        <v>OK</v>
      </c>
      <c r="Y22" s="271"/>
    </row>
    <row r="23" spans="1:25" ht="15" customHeight="1">
      <c r="A23" s="555" t="s">
        <v>1222</v>
      </c>
      <c r="B23" s="217" t="str">
        <f t="shared" si="21"/>
        <v>200</v>
      </c>
      <c r="C23" s="217" t="str">
        <f t="shared" si="22"/>
        <v>00</v>
      </c>
      <c r="D23" s="101" t="str">
        <f t="shared" si="23"/>
        <v>000</v>
      </c>
      <c r="E23" s="217" t="str">
        <f t="shared" si="24"/>
        <v>200-00-000</v>
      </c>
      <c r="F23" s="294" t="str">
        <f t="shared" si="25"/>
        <v>44710</v>
      </c>
      <c r="G23" s="295" t="str">
        <f>VLOOKUP(F23,'GL Category'!A:C,3,FALSE)</f>
        <v>CHARGES FOR SERVICE</v>
      </c>
      <c r="H23" s="98" t="str">
        <f>VLOOKUP(F23,'GL Category'!A:C,2,FALSE)</f>
        <v>ACCOUNT TRANSFER FEE</v>
      </c>
      <c r="I23" s="99">
        <f>SUMIF(Import!$B:$B,$A23,Import!D:D)</f>
        <v>-1245</v>
      </c>
      <c r="J23" s="99">
        <f>SUMIF(Import!$B:$B,$A23,Import!E:E)</f>
        <v>-480</v>
      </c>
      <c r="K23" s="99">
        <f>SUMIF(Import!$B:$B,$A23,Import!F:F)</f>
        <v>0</v>
      </c>
      <c r="L23" s="99">
        <f>SUMIF(Import!$B:$B,$A23,Import!G:G)</f>
        <v>0</v>
      </c>
      <c r="M23" s="99">
        <f>SUMIF(Import!$B:$B,$A23,Import!H:H)</f>
        <v>-663</v>
      </c>
      <c r="N23" s="99">
        <f>SUMIF(Import!$B:$B,$A23,Import!I:I)</f>
        <v>0</v>
      </c>
      <c r="O23" s="99">
        <f>SUMIF(Import!$B:$B,$A23,Import!J:J)</f>
        <v>0</v>
      </c>
      <c r="P23" s="99">
        <f t="shared" si="26"/>
        <v>663</v>
      </c>
      <c r="Q23" s="99">
        <f>SUMIF(Import!$B:$B,$A23,Import!K:K)</f>
        <v>0</v>
      </c>
      <c r="R23" s="99">
        <f>SUMIF(Import!$B:$B,$A23,Import!L:L)</f>
        <v>0</v>
      </c>
      <c r="S23" s="99">
        <f>SUMIF(Import!$B:$B,$A23,Import!M:M)</f>
        <v>0</v>
      </c>
      <c r="T23" s="99">
        <f>SUMIF(Import!$B:$B,$A23,Import!N:N)</f>
        <v>0</v>
      </c>
      <c r="U23" s="99">
        <f t="shared" si="27"/>
        <v>663</v>
      </c>
      <c r="V23" s="255">
        <f t="shared" si="28"/>
        <v>-1</v>
      </c>
      <c r="W23" s="102" t="s">
        <v>1222</v>
      </c>
      <c r="X23" s="103" t="str">
        <f t="shared" si="20"/>
        <v>OK</v>
      </c>
      <c r="Y23" s="271"/>
    </row>
    <row r="24" spans="1:25" ht="15" customHeight="1">
      <c r="A24" s="555" t="s">
        <v>1223</v>
      </c>
      <c r="B24" s="217" t="str">
        <f t="shared" si="21"/>
        <v>200</v>
      </c>
      <c r="C24" s="217" t="str">
        <f t="shared" si="22"/>
        <v>00</v>
      </c>
      <c r="D24" s="101" t="str">
        <f t="shared" si="23"/>
        <v>000</v>
      </c>
      <c r="E24" s="217" t="str">
        <f t="shared" si="24"/>
        <v>200-00-000</v>
      </c>
      <c r="F24" s="294" t="str">
        <f t="shared" si="25"/>
        <v>44730</v>
      </c>
      <c r="G24" s="295" t="str">
        <f>VLOOKUP(F24,'GL Category'!A:C,3,FALSE)</f>
        <v>CHARGES FOR SERVICE</v>
      </c>
      <c r="H24" s="98" t="str">
        <f>VLOOKUP(F24,'GL Category'!A:C,2,FALSE)</f>
        <v>INSPECTION FEES-W&amp;S</v>
      </c>
      <c r="I24" s="99">
        <f>SUMIF(Import!$B:$B,$A24,Import!D:D)</f>
        <v>-26396.400000000001</v>
      </c>
      <c r="J24" s="99">
        <f>SUMIF(Import!$B:$B,$A24,Import!E:E)</f>
        <v>-38261.5</v>
      </c>
      <c r="K24" s="99">
        <f>SUMIF(Import!$B:$B,$A24,Import!F:F)</f>
        <v>-21475.32</v>
      </c>
      <c r="L24" s="99">
        <f>SUMIF(Import!$B:$B,$A24,Import!G:G)</f>
        <v>-65129.120000000003</v>
      </c>
      <c r="M24" s="99">
        <f>SUMIF(Import!$B:$B,$A24,Import!H:H)</f>
        <v>-51819</v>
      </c>
      <c r="N24" s="99">
        <f>SUMIF(Import!$B:$B,$A24,Import!I:I)</f>
        <v>0</v>
      </c>
      <c r="O24" s="99">
        <f>SUMIF(Import!$B:$B,$A24,Import!J:J)</f>
        <v>0</v>
      </c>
      <c r="P24" s="99">
        <f t="shared" si="26"/>
        <v>51819</v>
      </c>
      <c r="Q24" s="99">
        <f>SUMIF(Import!$B:$B,$A24,Import!K:K)</f>
        <v>-38926</v>
      </c>
      <c r="R24" s="99">
        <f>SUMIF(Import!$B:$B,$A24,Import!L:L)</f>
        <v>0</v>
      </c>
      <c r="S24" s="99">
        <f>SUMIF(Import!$B:$B,$A24,Import!M:M)</f>
        <v>0</v>
      </c>
      <c r="T24" s="99">
        <f>SUMIF(Import!$B:$B,$A24,Import!N:N)</f>
        <v>-38926</v>
      </c>
      <c r="U24" s="99">
        <f t="shared" si="27"/>
        <v>12893</v>
      </c>
      <c r="V24" s="255">
        <f t="shared" si="28"/>
        <v>-0.24880835214882568</v>
      </c>
      <c r="W24" s="102" t="s">
        <v>1223</v>
      </c>
      <c r="X24" s="103" t="str">
        <f t="shared" si="20"/>
        <v>OK</v>
      </c>
      <c r="Y24" s="271"/>
    </row>
    <row r="25" spans="1:25" ht="15" customHeight="1">
      <c r="A25" s="555" t="s">
        <v>1224</v>
      </c>
      <c r="B25" s="217" t="str">
        <f t="shared" si="21"/>
        <v>200</v>
      </c>
      <c r="C25" s="217" t="str">
        <f t="shared" si="22"/>
        <v>00</v>
      </c>
      <c r="D25" s="101" t="str">
        <f t="shared" si="23"/>
        <v>000</v>
      </c>
      <c r="E25" s="217" t="str">
        <f t="shared" si="24"/>
        <v>200-00-000</v>
      </c>
      <c r="F25" s="294" t="str">
        <f t="shared" si="25"/>
        <v>44740</v>
      </c>
      <c r="G25" s="295" t="str">
        <f>VLOOKUP(F25,'GL Category'!A:C,3,FALSE)</f>
        <v>CHARGES FOR SERVICE</v>
      </c>
      <c r="H25" s="98" t="str">
        <f>VLOOKUP(F25,'GL Category'!A:C,2,FALSE)</f>
        <v>PENALTY REVENUE</v>
      </c>
      <c r="I25" s="99">
        <f>SUMIF(Import!$B:$B,$A25,Import!D:D)</f>
        <v>-129466.47</v>
      </c>
      <c r="J25" s="99">
        <f>SUMIF(Import!$B:$B,$A25,Import!E:E)</f>
        <v>-137686.79</v>
      </c>
      <c r="K25" s="99">
        <f>SUMIF(Import!$B:$B,$A25,Import!F:F)</f>
        <v>-227544.1</v>
      </c>
      <c r="L25" s="99">
        <f>SUMIF(Import!$B:$B,$A25,Import!G:G)</f>
        <v>-249967.63</v>
      </c>
      <c r="M25" s="99">
        <f>SUMIF(Import!$B:$B,$A25,Import!H:H)</f>
        <v>-205365</v>
      </c>
      <c r="N25" s="99">
        <f>SUMIF(Import!$B:$B,$A25,Import!I:I)</f>
        <v>-169733.55</v>
      </c>
      <c r="O25" s="99">
        <f>SUMIF(Import!$B:$B,$A25,Import!J:J)</f>
        <v>-237666</v>
      </c>
      <c r="P25" s="99">
        <f t="shared" si="26"/>
        <v>-32301</v>
      </c>
      <c r="Q25" s="99">
        <f>SUMIF(Import!$B:$B,$A25,Import!K:K)</f>
        <v>-205365</v>
      </c>
      <c r="R25" s="99">
        <f>SUMIF(Import!$B:$B,$A25,Import!L:L)</f>
        <v>0</v>
      </c>
      <c r="S25" s="99">
        <f>SUMIF(Import!$B:$B,$A25,Import!M:M)</f>
        <v>0</v>
      </c>
      <c r="T25" s="99">
        <f>SUMIF(Import!$B:$B,$A25,Import!N:N)</f>
        <v>-205365</v>
      </c>
      <c r="U25" s="99">
        <f t="shared" si="27"/>
        <v>0</v>
      </c>
      <c r="V25" s="255">
        <f t="shared" si="28"/>
        <v>0</v>
      </c>
      <c r="W25" s="102" t="s">
        <v>1224</v>
      </c>
      <c r="X25" s="103" t="str">
        <f t="shared" si="20"/>
        <v>OK</v>
      </c>
      <c r="Y25" s="271"/>
    </row>
    <row r="26" spans="1:25" ht="15" customHeight="1">
      <c r="A26" s="555" t="s">
        <v>1225</v>
      </c>
      <c r="B26" s="217" t="str">
        <f t="shared" si="21"/>
        <v>200</v>
      </c>
      <c r="C26" s="217" t="str">
        <f t="shared" si="22"/>
        <v>00</v>
      </c>
      <c r="D26" s="101" t="str">
        <f t="shared" si="23"/>
        <v>000</v>
      </c>
      <c r="E26" s="217" t="str">
        <f t="shared" si="24"/>
        <v>200-00-000</v>
      </c>
      <c r="F26" s="294" t="str">
        <f t="shared" si="25"/>
        <v>44790</v>
      </c>
      <c r="G26" s="295" t="str">
        <f>VLOOKUP(F26,'GL Category'!A:C,3,FALSE)</f>
        <v>CHARGES FOR SERVICE</v>
      </c>
      <c r="H26" s="98" t="str">
        <f>VLOOKUP(F26,'GL Category'!A:C,2,FALSE)</f>
        <v>WRITE OFF RECOVERY</v>
      </c>
      <c r="I26" s="99">
        <f>SUMIF(Import!$B:$B,$A26,Import!D:D)</f>
        <v>-5424.68</v>
      </c>
      <c r="J26" s="99">
        <f>SUMIF(Import!$B:$B,$A26,Import!E:E)</f>
        <v>-9601.4599999999991</v>
      </c>
      <c r="K26" s="99">
        <f>SUMIF(Import!$B:$B,$A26,Import!F:F)</f>
        <v>-1348.32</v>
      </c>
      <c r="L26" s="99">
        <f>SUMIF(Import!$B:$B,$A26,Import!G:G)</f>
        <v>38265.43</v>
      </c>
      <c r="M26" s="99">
        <f>SUMIF(Import!$B:$B,$A26,Import!H:H)</f>
        <v>-2796</v>
      </c>
      <c r="N26" s="99">
        <f>SUMIF(Import!$B:$B,$A26,Import!I:I)</f>
        <v>11646.71</v>
      </c>
      <c r="O26" s="99">
        <f>SUMIF(Import!$B:$B,$A26,Import!J:J)</f>
        <v>14156</v>
      </c>
      <c r="P26" s="99">
        <f t="shared" si="26"/>
        <v>16952</v>
      </c>
      <c r="Q26" s="99">
        <f>SUMIF(Import!$B:$B,$A26,Import!K:K)</f>
        <v>-2796</v>
      </c>
      <c r="R26" s="99">
        <f>SUMIF(Import!$B:$B,$A26,Import!L:L)</f>
        <v>0</v>
      </c>
      <c r="S26" s="99">
        <f>SUMIF(Import!$B:$B,$A26,Import!M:M)</f>
        <v>0</v>
      </c>
      <c r="T26" s="99">
        <f>SUMIF(Import!$B:$B,$A26,Import!N:N)</f>
        <v>-2796</v>
      </c>
      <c r="U26" s="99">
        <f t="shared" si="27"/>
        <v>0</v>
      </c>
      <c r="V26" s="255">
        <f t="shared" si="28"/>
        <v>0</v>
      </c>
      <c r="W26" s="102" t="s">
        <v>1225</v>
      </c>
      <c r="X26" s="103" t="str">
        <f t="shared" si="20"/>
        <v>OK</v>
      </c>
      <c r="Y26" s="271"/>
    </row>
    <row r="27" spans="1:25" ht="15" customHeight="1">
      <c r="A27" s="555" t="s">
        <v>1226</v>
      </c>
      <c r="B27" s="217" t="str">
        <f t="shared" si="21"/>
        <v>200</v>
      </c>
      <c r="C27" s="217" t="str">
        <f t="shared" si="22"/>
        <v>00</v>
      </c>
      <c r="D27" s="101" t="str">
        <f t="shared" si="23"/>
        <v>000</v>
      </c>
      <c r="E27" s="217" t="str">
        <f t="shared" si="24"/>
        <v>200-00-000</v>
      </c>
      <c r="F27" s="294" t="str">
        <f t="shared" si="25"/>
        <v>45100</v>
      </c>
      <c r="G27" s="295" t="str">
        <f>VLOOKUP(F27,'GL Category'!A:C,3,FALSE)</f>
        <v>DEBT ISSUANCES</v>
      </c>
      <c r="H27" s="98" t="str">
        <f>VLOOKUP(F27,'GL Category'!A:C,2,FALSE)</f>
        <v>PREMIUM ON DEBT ISSUANCE</v>
      </c>
      <c r="I27" s="99">
        <f>SUMIF(Import!$B:$B,$A27,Import!D:D)</f>
        <v>0</v>
      </c>
      <c r="J27" s="99">
        <f>SUMIF(Import!$B:$B,$A27,Import!E:E)</f>
        <v>1.87</v>
      </c>
      <c r="K27" s="99">
        <f>SUMIF(Import!$B:$B,$A27,Import!F:F)</f>
        <v>0</v>
      </c>
      <c r="L27" s="99">
        <f>SUMIF(Import!$B:$B,$A27,Import!G:G)</f>
        <v>0</v>
      </c>
      <c r="M27" s="99">
        <f>SUMIF(Import!$B:$B,$A27,Import!H:H)</f>
        <v>0</v>
      </c>
      <c r="N27" s="99">
        <f>SUMIF(Import!$B:$B,$A27,Import!I:I)</f>
        <v>0</v>
      </c>
      <c r="O27" s="99">
        <f>SUMIF(Import!$B:$B,$A27,Import!J:J)</f>
        <v>0</v>
      </c>
      <c r="P27" s="99">
        <f t="shared" si="26"/>
        <v>0</v>
      </c>
      <c r="Q27" s="99">
        <f>SUMIF(Import!$B:$B,$A27,Import!K:K)</f>
        <v>0</v>
      </c>
      <c r="R27" s="99">
        <f>SUMIF(Import!$B:$B,$A27,Import!L:L)</f>
        <v>0</v>
      </c>
      <c r="S27" s="99">
        <f>SUMIF(Import!$B:$B,$A27,Import!M:M)</f>
        <v>0</v>
      </c>
      <c r="T27" s="99">
        <f>SUMIF(Import!$B:$B,$A27,Import!N:N)</f>
        <v>0</v>
      </c>
      <c r="U27" s="99">
        <f t="shared" si="27"/>
        <v>0</v>
      </c>
      <c r="V27" s="255" t="str">
        <f t="shared" si="28"/>
        <v>N/A</v>
      </c>
      <c r="W27" s="102" t="s">
        <v>1226</v>
      </c>
      <c r="X27" s="103" t="str">
        <f t="shared" si="20"/>
        <v>OK</v>
      </c>
      <c r="Y27" s="271"/>
    </row>
    <row r="28" spans="1:25" ht="15" customHeight="1">
      <c r="A28" s="555" t="s">
        <v>1227</v>
      </c>
      <c r="B28" s="217" t="str">
        <f t="shared" si="21"/>
        <v>200</v>
      </c>
      <c r="C28" s="217" t="str">
        <f t="shared" si="22"/>
        <v>00</v>
      </c>
      <c r="D28" s="101" t="str">
        <f t="shared" si="23"/>
        <v>000</v>
      </c>
      <c r="E28" s="217" t="str">
        <f t="shared" si="24"/>
        <v>200-00-000</v>
      </c>
      <c r="F28" s="294" t="str">
        <f t="shared" si="25"/>
        <v>46160</v>
      </c>
      <c r="G28" s="295" t="str">
        <f>VLOOKUP(F28,'GL Category'!A:C,3,FALSE)</f>
        <v>INTERGOVERNMENTAL</v>
      </c>
      <c r="H28" s="98" t="str">
        <f>VLOOKUP(F28,'GL Category'!A:C,2,FALSE)</f>
        <v>I/G REV-SOUTHLAKE</v>
      </c>
      <c r="I28" s="99">
        <f>SUMIF(Import!$B:$B,$A28,Import!D:D)</f>
        <v>-50514.26</v>
      </c>
      <c r="J28" s="99">
        <f>SUMIF(Import!$B:$B,$A28,Import!E:E)</f>
        <v>-57881.3</v>
      </c>
      <c r="K28" s="99">
        <f>SUMIF(Import!$B:$B,$A28,Import!F:F)</f>
        <v>-44076.21</v>
      </c>
      <c r="L28" s="99">
        <f>SUMIF(Import!$B:$B,$A28,Import!G:G)</f>
        <v>-54260.14</v>
      </c>
      <c r="M28" s="99">
        <f>SUMIF(Import!$B:$B,$A28,Import!H:H)</f>
        <v>-58706</v>
      </c>
      <c r="N28" s="99">
        <f>SUMIF(Import!$B:$B,$A28,Import!I:I)</f>
        <v>-44630.85</v>
      </c>
      <c r="O28" s="99">
        <f>SUMIF(Import!$B:$B,$A28,Import!J:J)</f>
        <v>-49018</v>
      </c>
      <c r="P28" s="99">
        <f t="shared" si="26"/>
        <v>9688</v>
      </c>
      <c r="Q28" s="99">
        <f>SUMIF(Import!$B:$B,$A28,Import!K:K)</f>
        <v>-49018</v>
      </c>
      <c r="R28" s="99">
        <f>SUMIF(Import!$B:$B,$A28,Import!L:L)</f>
        <v>0</v>
      </c>
      <c r="S28" s="99">
        <f>SUMIF(Import!$B:$B,$A28,Import!M:M)</f>
        <v>0</v>
      </c>
      <c r="T28" s="99">
        <f>SUMIF(Import!$B:$B,$A28,Import!N:N)</f>
        <v>-49018</v>
      </c>
      <c r="U28" s="99">
        <f t="shared" si="27"/>
        <v>9688</v>
      </c>
      <c r="V28" s="255">
        <f t="shared" si="28"/>
        <v>-0.16502572139133986</v>
      </c>
      <c r="W28" s="102" t="s">
        <v>1227</v>
      </c>
      <c r="X28" s="103" t="str">
        <f t="shared" si="20"/>
        <v>OK</v>
      </c>
      <c r="Y28" s="271"/>
    </row>
    <row r="29" spans="1:25" ht="15" customHeight="1">
      <c r="A29" s="555" t="s">
        <v>1228</v>
      </c>
      <c r="B29" s="217" t="str">
        <f t="shared" si="21"/>
        <v>200</v>
      </c>
      <c r="C29" s="217" t="str">
        <f t="shared" si="22"/>
        <v>00</v>
      </c>
      <c r="D29" s="101" t="str">
        <f t="shared" si="23"/>
        <v>000</v>
      </c>
      <c r="E29" s="217" t="str">
        <f t="shared" si="24"/>
        <v>200-00-000</v>
      </c>
      <c r="F29" s="294" t="str">
        <f t="shared" si="25"/>
        <v>46190</v>
      </c>
      <c r="G29" s="295" t="str">
        <f>VLOOKUP(F29,'GL Category'!A:C,3,FALSE)</f>
        <v>INTERGOVERNMENTAL</v>
      </c>
      <c r="H29" s="98" t="str">
        <f>VLOOKUP(F29,'GL Category'!A:C,2,FALSE)</f>
        <v>I/G REV-LAKE TURNER M.U.D.</v>
      </c>
      <c r="I29" s="99">
        <f>SUMIF(Import!$B:$B,$A29,Import!D:D)</f>
        <v>0</v>
      </c>
      <c r="J29" s="99">
        <f>SUMIF(Import!$B:$B,$A29,Import!E:E)</f>
        <v>0</v>
      </c>
      <c r="K29" s="99">
        <f>SUMIF(Import!$B:$B,$A29,Import!F:F)</f>
        <v>0</v>
      </c>
      <c r="L29" s="99">
        <f>SUMIF(Import!$B:$B,$A29,Import!G:G)</f>
        <v>0</v>
      </c>
      <c r="M29" s="99">
        <f>SUMIF(Import!$B:$B,$A29,Import!H:H)</f>
        <v>0</v>
      </c>
      <c r="N29" s="99">
        <f>SUMIF(Import!$B:$B,$A29,Import!I:I)</f>
        <v>0</v>
      </c>
      <c r="O29" s="99">
        <f>SUMIF(Import!$B:$B,$A29,Import!J:J)</f>
        <v>0</v>
      </c>
      <c r="P29" s="99">
        <f t="shared" si="26"/>
        <v>0</v>
      </c>
      <c r="Q29" s="99">
        <f>SUMIF(Import!$B:$B,$A29,Import!K:K)</f>
        <v>0</v>
      </c>
      <c r="R29" s="99">
        <f>SUMIF(Import!$B:$B,$A29,Import!L:L)</f>
        <v>0</v>
      </c>
      <c r="S29" s="99">
        <f>SUMIF(Import!$B:$B,$A29,Import!M:M)</f>
        <v>0</v>
      </c>
      <c r="T29" s="99">
        <f>SUMIF(Import!$B:$B,$A29,Import!N:N)</f>
        <v>0</v>
      </c>
      <c r="U29" s="99">
        <f t="shared" si="27"/>
        <v>0</v>
      </c>
      <c r="V29" s="255" t="str">
        <f t="shared" si="28"/>
        <v>N/A</v>
      </c>
      <c r="W29" s="102" t="s">
        <v>1228</v>
      </c>
      <c r="X29" s="103" t="str">
        <f t="shared" si="20"/>
        <v>OK</v>
      </c>
      <c r="Y29" s="271"/>
    </row>
    <row r="30" spans="1:25" ht="15" customHeight="1">
      <c r="A30" s="555" t="s">
        <v>1229</v>
      </c>
      <c r="B30" s="217" t="str">
        <f t="shared" si="21"/>
        <v>200</v>
      </c>
      <c r="C30" s="217" t="str">
        <f t="shared" si="22"/>
        <v>00</v>
      </c>
      <c r="D30" s="101" t="str">
        <f t="shared" si="23"/>
        <v>000</v>
      </c>
      <c r="E30" s="217" t="str">
        <f t="shared" si="24"/>
        <v>200-00-000</v>
      </c>
      <c r="F30" s="294" t="str">
        <f t="shared" si="25"/>
        <v>47010</v>
      </c>
      <c r="G30" s="295" t="str">
        <f>VLOOKUP(F30,'GL Category'!A:C,3,FALSE)</f>
        <v>OTHER REVENUE</v>
      </c>
      <c r="H30" s="98" t="str">
        <f>VLOOKUP(F30,'GL Category'!A:C,2,FALSE)</f>
        <v>MISCELLANEOUS REVENUE</v>
      </c>
      <c r="I30" s="99">
        <f>SUMIF(Import!$B:$B,$A30,Import!D:D)</f>
        <v>-4572.5200000000004</v>
      </c>
      <c r="J30" s="99">
        <f>SUMIF(Import!$B:$B,$A30,Import!E:E)</f>
        <v>-1546.87</v>
      </c>
      <c r="K30" s="99">
        <f>SUMIF(Import!$B:$B,$A30,Import!F:F)</f>
        <v>-9547.98</v>
      </c>
      <c r="L30" s="99">
        <f>SUMIF(Import!$B:$B,$A30,Import!G:G)</f>
        <v>-593.75</v>
      </c>
      <c r="M30" s="99">
        <f>SUMIF(Import!$B:$B,$A30,Import!H:H)</f>
        <v>-2808</v>
      </c>
      <c r="N30" s="99">
        <f>SUMIF(Import!$B:$B,$A30,Import!I:I)</f>
        <v>-471592.05</v>
      </c>
      <c r="O30" s="99">
        <f>SUMIF(Import!$B:$B,$A30,Import!J:J)</f>
        <v>3872</v>
      </c>
      <c r="P30" s="99">
        <f t="shared" si="26"/>
        <v>6680</v>
      </c>
      <c r="Q30" s="99">
        <f>SUMIF(Import!$B:$B,$A30,Import!K:K)</f>
        <v>-9918</v>
      </c>
      <c r="R30" s="99">
        <f>SUMIF(Import!$B:$B,$A30,Import!L:L)</f>
        <v>0</v>
      </c>
      <c r="S30" s="99">
        <f>SUMIF(Import!$B:$B,$A30,Import!M:M)</f>
        <v>0</v>
      </c>
      <c r="T30" s="99">
        <f>SUMIF(Import!$B:$B,$A30,Import!N:N)</f>
        <v>-9918</v>
      </c>
      <c r="U30" s="99">
        <f t="shared" si="27"/>
        <v>-7110</v>
      </c>
      <c r="V30" s="255">
        <f t="shared" si="28"/>
        <v>2.5320512820512819</v>
      </c>
      <c r="W30" s="102" t="s">
        <v>1229</v>
      </c>
      <c r="X30" s="103" t="str">
        <f t="shared" si="20"/>
        <v>OK</v>
      </c>
      <c r="Y30" s="271"/>
    </row>
    <row r="31" spans="1:25" ht="15" customHeight="1">
      <c r="A31" s="555" t="s">
        <v>1230</v>
      </c>
      <c r="B31" s="217" t="str">
        <f t="shared" si="21"/>
        <v>200</v>
      </c>
      <c r="C31" s="217" t="str">
        <f t="shared" si="22"/>
        <v>00</v>
      </c>
      <c r="D31" s="101" t="str">
        <f t="shared" si="23"/>
        <v>000</v>
      </c>
      <c r="E31" s="217" t="str">
        <f t="shared" si="24"/>
        <v>200-00-000</v>
      </c>
      <c r="F31" s="294" t="str">
        <f t="shared" si="25"/>
        <v>47020</v>
      </c>
      <c r="G31" s="295" t="str">
        <f>VLOOKUP(F31,'GL Category'!A:C,3,FALSE)</f>
        <v>OTHER REVENUE</v>
      </c>
      <c r="H31" s="98" t="str">
        <f>VLOOKUP(F31,'GL Category'!A:C,2,FALSE)</f>
        <v>AUCTION PROCEEDS</v>
      </c>
      <c r="I31" s="99">
        <f>SUMIF(Import!$B:$B,$A31,Import!D:D)</f>
        <v>0</v>
      </c>
      <c r="J31" s="99">
        <f>SUMIF(Import!$B:$B,$A31,Import!E:E)</f>
        <v>0</v>
      </c>
      <c r="K31" s="99">
        <f>SUMIF(Import!$B:$B,$A31,Import!F:F)</f>
        <v>36940</v>
      </c>
      <c r="L31" s="99">
        <f>SUMIF(Import!$B:$B,$A31,Import!G:G)</f>
        <v>0</v>
      </c>
      <c r="M31" s="99">
        <f>SUMIF(Import!$B:$B,$A31,Import!H:H)</f>
        <v>0</v>
      </c>
      <c r="N31" s="99">
        <f>SUMIF(Import!$B:$B,$A31,Import!I:I)</f>
        <v>-740</v>
      </c>
      <c r="O31" s="99">
        <f>SUMIF(Import!$B:$B,$A31,Import!J:J)</f>
        <v>0</v>
      </c>
      <c r="P31" s="99">
        <f t="shared" si="26"/>
        <v>0</v>
      </c>
      <c r="Q31" s="99">
        <f>SUMIF(Import!$B:$B,$A31,Import!K:K)</f>
        <v>0</v>
      </c>
      <c r="R31" s="99">
        <f>SUMIF(Import!$B:$B,$A31,Import!L:L)</f>
        <v>0</v>
      </c>
      <c r="S31" s="99">
        <f>SUMIF(Import!$B:$B,$A31,Import!M:M)</f>
        <v>0</v>
      </c>
      <c r="T31" s="99">
        <f>SUMIF(Import!$B:$B,$A31,Import!N:N)</f>
        <v>0</v>
      </c>
      <c r="U31" s="99">
        <f t="shared" si="27"/>
        <v>0</v>
      </c>
      <c r="V31" s="255" t="str">
        <f t="shared" si="28"/>
        <v>N/A</v>
      </c>
      <c r="W31" s="102" t="s">
        <v>1230</v>
      </c>
      <c r="X31" s="103" t="str">
        <f t="shared" si="20"/>
        <v>OK</v>
      </c>
      <c r="Y31" s="271"/>
    </row>
    <row r="32" spans="1:25" ht="15" customHeight="1">
      <c r="A32" s="555" t="s">
        <v>1231</v>
      </c>
      <c r="B32" s="217" t="str">
        <f t="shared" si="21"/>
        <v>200</v>
      </c>
      <c r="C32" s="217" t="str">
        <f t="shared" si="22"/>
        <v>00</v>
      </c>
      <c r="D32" s="101" t="str">
        <f t="shared" si="23"/>
        <v>000</v>
      </c>
      <c r="E32" s="217" t="str">
        <f t="shared" si="24"/>
        <v>200-00-000</v>
      </c>
      <c r="F32" s="294" t="str">
        <f t="shared" si="25"/>
        <v>47030</v>
      </c>
      <c r="G32" s="295" t="str">
        <f>VLOOKUP(F32,'GL Category'!A:C,3,FALSE)</f>
        <v>OTHER REVENUE</v>
      </c>
      <c r="H32" s="98" t="str">
        <f>VLOOKUP(F32,'GL Category'!A:C,2,FALSE)</f>
        <v>GAIN/LOSS ON DISP OF ASSETS</v>
      </c>
      <c r="I32" s="99">
        <f>SUMIF(Import!$B:$B,$A32,Import!D:D)</f>
        <v>-6613.75</v>
      </c>
      <c r="J32" s="99">
        <f>SUMIF(Import!$B:$B,$A32,Import!E:E)</f>
        <v>0</v>
      </c>
      <c r="K32" s="99">
        <f>SUMIF(Import!$B:$B,$A32,Import!F:F)</f>
        <v>-80506.28</v>
      </c>
      <c r="L32" s="99">
        <f>SUMIF(Import!$B:$B,$A32,Import!G:G)</f>
        <v>0</v>
      </c>
      <c r="M32" s="99">
        <f>SUMIF(Import!$B:$B,$A32,Import!H:H)</f>
        <v>0</v>
      </c>
      <c r="N32" s="99">
        <f>SUMIF(Import!$B:$B,$A32,Import!I:I)</f>
        <v>0</v>
      </c>
      <c r="O32" s="99">
        <f>SUMIF(Import!$B:$B,$A32,Import!J:J)</f>
        <v>0</v>
      </c>
      <c r="P32" s="99">
        <f t="shared" si="26"/>
        <v>0</v>
      </c>
      <c r="Q32" s="99">
        <f>SUMIF(Import!$B:$B,$A32,Import!K:K)</f>
        <v>0</v>
      </c>
      <c r="R32" s="99">
        <f>SUMIF(Import!$B:$B,$A32,Import!L:L)</f>
        <v>0</v>
      </c>
      <c r="S32" s="99">
        <f>SUMIF(Import!$B:$B,$A32,Import!M:M)</f>
        <v>0</v>
      </c>
      <c r="T32" s="99">
        <f>SUMIF(Import!$B:$B,$A32,Import!N:N)</f>
        <v>0</v>
      </c>
      <c r="U32" s="99">
        <f t="shared" si="27"/>
        <v>0</v>
      </c>
      <c r="V32" s="255" t="str">
        <f t="shared" si="28"/>
        <v>N/A</v>
      </c>
      <c r="W32" s="102" t="s">
        <v>1231</v>
      </c>
      <c r="X32" s="103" t="str">
        <f t="shared" si="20"/>
        <v>OK</v>
      </c>
      <c r="Y32" s="271"/>
    </row>
    <row r="33" spans="1:38" ht="15" customHeight="1">
      <c r="A33" s="555" t="s">
        <v>1232</v>
      </c>
      <c r="B33" s="217" t="str">
        <f t="shared" si="21"/>
        <v>200</v>
      </c>
      <c r="C33" s="217" t="str">
        <f t="shared" si="22"/>
        <v>00</v>
      </c>
      <c r="D33" s="101" t="str">
        <f t="shared" si="23"/>
        <v>000</v>
      </c>
      <c r="E33" s="217" t="str">
        <f t="shared" si="24"/>
        <v>200-00-000</v>
      </c>
      <c r="F33" s="294" t="str">
        <f t="shared" si="25"/>
        <v>47070</v>
      </c>
      <c r="G33" s="295" t="str">
        <f>VLOOKUP(F33,'GL Category'!A:C,3,FALSE)</f>
        <v>OTHER REVENUE</v>
      </c>
      <c r="H33" s="98" t="str">
        <f>VLOOKUP(F33,'GL Category'!A:C,2,FALSE)</f>
        <v>CASH OVER/SHORT</v>
      </c>
      <c r="I33" s="99">
        <f>SUMIF(Import!$B:$B,$A33,Import!D:D)</f>
        <v>91.7</v>
      </c>
      <c r="J33" s="99">
        <f>SUMIF(Import!$B:$B,$A33,Import!E:E)</f>
        <v>56.08</v>
      </c>
      <c r="K33" s="99">
        <f>SUMIF(Import!$B:$B,$A33,Import!F:F)</f>
        <v>-0.2</v>
      </c>
      <c r="L33" s="99">
        <f>SUMIF(Import!$B:$B,$A33,Import!G:G)</f>
        <v>0</v>
      </c>
      <c r="M33" s="99">
        <f>SUMIF(Import!$B:$B,$A33,Import!H:H)</f>
        <v>0</v>
      </c>
      <c r="N33" s="99">
        <f>SUMIF(Import!$B:$B,$A33,Import!I:I)</f>
        <v>0</v>
      </c>
      <c r="O33" s="99">
        <f>SUMIF(Import!$B:$B,$A33,Import!J:J)</f>
        <v>0</v>
      </c>
      <c r="P33" s="99">
        <f t="shared" si="26"/>
        <v>0</v>
      </c>
      <c r="Q33" s="99">
        <f>SUMIF(Import!$B:$B,$A33,Import!K:K)</f>
        <v>0</v>
      </c>
      <c r="R33" s="99">
        <f>SUMIF(Import!$B:$B,$A33,Import!L:L)</f>
        <v>0</v>
      </c>
      <c r="S33" s="99">
        <f>SUMIF(Import!$B:$B,$A33,Import!M:M)</f>
        <v>0</v>
      </c>
      <c r="T33" s="99">
        <f>SUMIF(Import!$B:$B,$A33,Import!N:N)</f>
        <v>0</v>
      </c>
      <c r="U33" s="99">
        <f t="shared" si="27"/>
        <v>0</v>
      </c>
      <c r="V33" s="255" t="str">
        <f t="shared" si="28"/>
        <v>N/A</v>
      </c>
      <c r="W33" s="102" t="s">
        <v>1232</v>
      </c>
      <c r="X33" s="103" t="str">
        <f t="shared" si="20"/>
        <v>OK</v>
      </c>
      <c r="Y33" s="271"/>
      <c r="AB33" s="121" t="s">
        <v>48</v>
      </c>
    </row>
    <row r="34" spans="1:38" ht="15" customHeight="1">
      <c r="A34" s="555" t="s">
        <v>1233</v>
      </c>
      <c r="B34" s="217" t="str">
        <f t="shared" si="21"/>
        <v>200</v>
      </c>
      <c r="C34" s="217" t="str">
        <f t="shared" si="22"/>
        <v>00</v>
      </c>
      <c r="D34" s="101" t="str">
        <f t="shared" si="23"/>
        <v>000</v>
      </c>
      <c r="E34" s="217" t="str">
        <f t="shared" si="24"/>
        <v>200-00-000</v>
      </c>
      <c r="F34" s="294" t="str">
        <f t="shared" si="25"/>
        <v>47090</v>
      </c>
      <c r="G34" s="295" t="str">
        <f>VLOOKUP(F34,'GL Category'!A:C,3,FALSE)</f>
        <v>OTHER REVENUE</v>
      </c>
      <c r="H34" s="98" t="str">
        <f>VLOOKUP(F34,'GL Category'!A:C,2,FALSE)</f>
        <v>INTEREST REVENUE-INVESTMENTS</v>
      </c>
      <c r="I34" s="99">
        <f>SUMIF(Import!$B:$B,$A34,Import!D:D)</f>
        <v>-123852.45</v>
      </c>
      <c r="J34" s="99">
        <f>SUMIF(Import!$B:$B,$A34,Import!E:E)</f>
        <v>-38754.11</v>
      </c>
      <c r="K34" s="99">
        <f>SUMIF(Import!$B:$B,$A34,Import!F:F)</f>
        <v>-60484.38</v>
      </c>
      <c r="L34" s="99">
        <f>SUMIF(Import!$B:$B,$A34,Import!G:G)</f>
        <v>-515845.84</v>
      </c>
      <c r="M34" s="99">
        <f>SUMIF(Import!$B:$B,$A34,Import!H:H)</f>
        <v>-124972</v>
      </c>
      <c r="N34" s="99">
        <f>SUMIF(Import!$B:$B,$A34,Import!I:I)</f>
        <v>-520964.56</v>
      </c>
      <c r="O34" s="99">
        <f>SUMIF(Import!$B:$B,$A34,Import!J:J)</f>
        <v>-554041</v>
      </c>
      <c r="P34" s="99">
        <f t="shared" si="26"/>
        <v>-429069</v>
      </c>
      <c r="Q34" s="99">
        <f>SUMIF(Import!$B:$B,$A34,Import!K:K)</f>
        <v>-554041</v>
      </c>
      <c r="R34" s="99">
        <f>SUMIF(Import!$B:$B,$A34,Import!L:L)</f>
        <v>0</v>
      </c>
      <c r="S34" s="99">
        <f>SUMIF(Import!$B:$B,$A34,Import!M:M)</f>
        <v>0</v>
      </c>
      <c r="T34" s="99">
        <f>SUMIF(Import!$B:$B,$A34,Import!N:N)</f>
        <v>-554041</v>
      </c>
      <c r="U34" s="99">
        <f t="shared" si="27"/>
        <v>-429069</v>
      </c>
      <c r="V34" s="255">
        <f t="shared" si="28"/>
        <v>3.433321063918318</v>
      </c>
      <c r="W34" s="102" t="s">
        <v>1233</v>
      </c>
      <c r="X34" s="103" t="str">
        <f t="shared" si="20"/>
        <v>OK</v>
      </c>
      <c r="Y34" s="271"/>
    </row>
    <row r="35" spans="1:38" ht="15" customHeight="1">
      <c r="A35" s="555" t="s">
        <v>1234</v>
      </c>
      <c r="B35" s="217" t="str">
        <f t="shared" si="21"/>
        <v>200</v>
      </c>
      <c r="C35" s="217" t="str">
        <f t="shared" si="22"/>
        <v>00</v>
      </c>
      <c r="D35" s="101" t="str">
        <f t="shared" si="23"/>
        <v>000</v>
      </c>
      <c r="E35" s="217" t="str">
        <f t="shared" si="24"/>
        <v>200-00-000</v>
      </c>
      <c r="F35" s="294" t="str">
        <f t="shared" si="25"/>
        <v>47099</v>
      </c>
      <c r="G35" s="295" t="str">
        <f>VLOOKUP(F35,'GL Category'!A:C,3,FALSE)</f>
        <v>OTHER REVENUE</v>
      </c>
      <c r="H35" s="98" t="str">
        <f>VLOOKUP(F35,'GL Category'!A:C,2,FALSE)</f>
        <v>INCR/DECR IN FAIR VALUE OF INV</v>
      </c>
      <c r="I35" s="99">
        <f>SUMIF(Import!$B:$B,$A35,Import!D:D)</f>
        <v>0</v>
      </c>
      <c r="J35" s="99">
        <f>SUMIF(Import!$B:$B,$A35,Import!E:E)</f>
        <v>0</v>
      </c>
      <c r="K35" s="99">
        <f>SUMIF(Import!$B:$B,$A35,Import!F:F)</f>
        <v>0</v>
      </c>
      <c r="L35" s="99">
        <f>SUMIF(Import!$B:$B,$A35,Import!G:G)</f>
        <v>0</v>
      </c>
      <c r="M35" s="99">
        <f>SUMIF(Import!$B:$B,$A35,Import!H:H)</f>
        <v>0</v>
      </c>
      <c r="N35" s="99">
        <f>SUMIF(Import!$B:$B,$A35,Import!I:I)</f>
        <v>0</v>
      </c>
      <c r="O35" s="99">
        <f>SUMIF(Import!$B:$B,$A35,Import!J:J)</f>
        <v>0</v>
      </c>
      <c r="P35" s="99">
        <f t="shared" si="26"/>
        <v>0</v>
      </c>
      <c r="Q35" s="99">
        <f>SUMIF(Import!$B:$B,$A35,Import!K:K)</f>
        <v>0</v>
      </c>
      <c r="R35" s="99">
        <f>SUMIF(Import!$B:$B,$A35,Import!L:L)</f>
        <v>0</v>
      </c>
      <c r="S35" s="99">
        <f>SUMIF(Import!$B:$B,$A35,Import!M:M)</f>
        <v>0</v>
      </c>
      <c r="T35" s="99">
        <f>SUMIF(Import!$B:$B,$A35,Import!N:N)</f>
        <v>0</v>
      </c>
      <c r="U35" s="99">
        <f t="shared" si="27"/>
        <v>0</v>
      </c>
      <c r="V35" s="255" t="str">
        <f t="shared" si="28"/>
        <v>N/A</v>
      </c>
      <c r="W35" s="102" t="s">
        <v>1234</v>
      </c>
      <c r="X35" s="103" t="str">
        <f t="shared" si="20"/>
        <v>OK</v>
      </c>
      <c r="Y35" s="271"/>
    </row>
    <row r="36" spans="1:38" ht="15" customHeight="1">
      <c r="A36" s="555" t="s">
        <v>1235</v>
      </c>
      <c r="B36" s="217" t="str">
        <f t="shared" si="21"/>
        <v>200</v>
      </c>
      <c r="C36" s="217" t="str">
        <f t="shared" si="22"/>
        <v>00</v>
      </c>
      <c r="D36" s="101" t="str">
        <f t="shared" si="23"/>
        <v>000</v>
      </c>
      <c r="E36" s="217" t="str">
        <f t="shared" si="24"/>
        <v>200-00-000</v>
      </c>
      <c r="F36" s="294" t="str">
        <f t="shared" si="25"/>
        <v>49999</v>
      </c>
      <c r="G36" s="295" t="str">
        <f>VLOOKUP(F36,'GL Category'!A:C,3,FALSE)</f>
        <v>TRANSFERS IN</v>
      </c>
      <c r="H36" s="98" t="str">
        <f>VLOOKUP(F36,'GL Category'!A:C,2,FALSE)</f>
        <v>USE OF FUND BALANCE</v>
      </c>
      <c r="I36" s="99">
        <f>SUMIF(Import!$B:$B,$A36,Import!D:D)</f>
        <v>2185923</v>
      </c>
      <c r="J36" s="99">
        <f>SUMIF(Import!$B:$B,$A36,Import!E:E)</f>
        <v>-47445.13</v>
      </c>
      <c r="K36" s="99">
        <f>SUMIF(Import!$B:$B,$A36,Import!F:F)</f>
        <v>-3355474.13</v>
      </c>
      <c r="L36" s="99">
        <f>SUMIF(Import!$B:$B,$A36,Import!G:G)</f>
        <v>-5115551.96</v>
      </c>
      <c r="M36" s="99">
        <f>SUMIF(Import!$B:$B,$A36,Import!H:H)</f>
        <v>0</v>
      </c>
      <c r="N36" s="99">
        <f>SUMIF(Import!$B:$B,$A36,Import!I:I)</f>
        <v>0</v>
      </c>
      <c r="O36" s="99">
        <f>SUMIF(Import!$B:$B,$A36,Import!J:J)</f>
        <v>0</v>
      </c>
      <c r="P36" s="99">
        <f t="shared" si="26"/>
        <v>0</v>
      </c>
      <c r="Q36" s="99">
        <f>SUMIF(Import!$B:$B,$A36,Import!K:K)</f>
        <v>0</v>
      </c>
      <c r="R36" s="99">
        <f>SUMIF(Import!$B:$B,$A36,Import!L:L)</f>
        <v>0</v>
      </c>
      <c r="S36" s="99">
        <f>SUMIF(Import!$B:$B,$A36,Import!M:M)</f>
        <v>0</v>
      </c>
      <c r="T36" s="99">
        <f>SUMIF(Import!$B:$B,$A36,Import!N:N)</f>
        <v>0</v>
      </c>
      <c r="U36" s="99">
        <f t="shared" si="27"/>
        <v>0</v>
      </c>
      <c r="V36" s="255" t="str">
        <f t="shared" si="28"/>
        <v>N/A</v>
      </c>
      <c r="W36" s="102" t="s">
        <v>1235</v>
      </c>
      <c r="X36" s="103" t="str">
        <f t="shared" si="20"/>
        <v>OK</v>
      </c>
      <c r="Y36" s="271"/>
    </row>
    <row r="37" spans="1:38" ht="15" customHeight="1">
      <c r="A37" s="555"/>
      <c r="B37" s="217"/>
      <c r="C37" s="217"/>
      <c r="D37" s="101"/>
      <c r="E37" s="217"/>
      <c r="F37" s="294"/>
      <c r="H37" s="98"/>
      <c r="I37" s="218"/>
      <c r="J37" s="218"/>
      <c r="K37" s="218"/>
      <c r="L37" s="218"/>
      <c r="M37" s="218"/>
      <c r="N37" s="219"/>
      <c r="O37" s="219"/>
      <c r="P37" s="99"/>
      <c r="Q37" s="219"/>
      <c r="R37" s="100"/>
      <c r="S37" s="100"/>
      <c r="T37" s="100"/>
      <c r="U37" s="100"/>
      <c r="V37" s="111"/>
      <c r="W37" s="102"/>
      <c r="X37" s="103" t="str">
        <f t="shared" si="20"/>
        <v/>
      </c>
      <c r="Y37" s="271"/>
    </row>
    <row r="38" spans="1:38" ht="15" customHeight="1">
      <c r="A38" s="555"/>
      <c r="B38" s="217"/>
      <c r="C38" s="217"/>
      <c r="D38" s="101"/>
      <c r="E38" s="217"/>
      <c r="F38" s="294"/>
      <c r="H38" s="220" t="s">
        <v>50</v>
      </c>
      <c r="I38" s="221">
        <f t="shared" ref="I38" si="29">SUM(I11:I37)</f>
        <v>-24204338.739999995</v>
      </c>
      <c r="J38" s="221">
        <f t="shared" ref="J38:T38" si="30">SUM(J11:J37)</f>
        <v>-25690614.25</v>
      </c>
      <c r="K38" s="221">
        <f t="shared" ref="K38" si="31">SUM(K11:K37)</f>
        <v>-36146685.140000001</v>
      </c>
      <c r="L38" s="221">
        <f t="shared" ref="L38" si="32">SUM(L11:L37)</f>
        <v>-38886122.050000004</v>
      </c>
      <c r="M38" s="221">
        <f t="shared" si="30"/>
        <v>-29937849</v>
      </c>
      <c r="N38" s="221">
        <f t="shared" ref="N38" si="33">SUM(N11:N37)</f>
        <v>-23871390.760000002</v>
      </c>
      <c r="O38" s="221">
        <f t="shared" si="30"/>
        <v>-30523218</v>
      </c>
      <c r="P38" s="221">
        <f t="shared" si="30"/>
        <v>-585369</v>
      </c>
      <c r="Q38" s="221">
        <f t="shared" si="30"/>
        <v>-30633452</v>
      </c>
      <c r="R38" s="221">
        <f t="shared" si="30"/>
        <v>0</v>
      </c>
      <c r="S38" s="221">
        <f t="shared" si="30"/>
        <v>0</v>
      </c>
      <c r="T38" s="221">
        <f t="shared" si="30"/>
        <v>-30633452</v>
      </c>
      <c r="U38" s="99">
        <f>T38-M38</f>
        <v>-695603</v>
      </c>
      <c r="V38" s="259">
        <f>IF(M38=0,"N/A",T38/M38-1)</f>
        <v>2.3234902413997727E-2</v>
      </c>
      <c r="W38" s="102"/>
      <c r="X38" s="103" t="str">
        <f t="shared" si="20"/>
        <v>OK</v>
      </c>
      <c r="Y38" s="271"/>
      <c r="AC38" s="121" t="s">
        <v>98</v>
      </c>
      <c r="AD38" s="150" t="e">
        <f>#REF!+#REF!</f>
        <v>#REF!</v>
      </c>
    </row>
    <row r="39" spans="1:38" ht="15" customHeight="1">
      <c r="A39" s="555"/>
      <c r="B39" s="217"/>
      <c r="C39" s="217"/>
      <c r="D39" s="101"/>
      <c r="E39" s="217"/>
      <c r="F39" s="294"/>
      <c r="H39" s="222"/>
      <c r="I39" s="223"/>
      <c r="J39" s="223"/>
      <c r="K39" s="223"/>
      <c r="L39" s="223"/>
      <c r="M39" s="223"/>
      <c r="N39" s="223"/>
      <c r="O39" s="223"/>
      <c r="P39" s="223"/>
      <c r="Q39" s="223"/>
      <c r="R39" s="223"/>
      <c r="S39" s="223"/>
      <c r="T39" s="223"/>
      <c r="U39" s="223"/>
      <c r="V39" s="223"/>
      <c r="W39" s="102"/>
      <c r="X39" s="103" t="str">
        <f t="shared" si="20"/>
        <v/>
      </c>
      <c r="Y39" s="271"/>
    </row>
    <row r="40" spans="1:38" s="115" customFormat="1" ht="14.4" thickBot="1">
      <c r="A40" s="555"/>
      <c r="B40" s="217"/>
      <c r="C40" s="217"/>
      <c r="D40" s="101"/>
      <c r="E40" s="217"/>
      <c r="F40" s="294"/>
      <c r="G40" s="146"/>
      <c r="H40" s="98"/>
      <c r="I40" s="218"/>
      <c r="J40" s="218"/>
      <c r="K40" s="218"/>
      <c r="L40" s="218"/>
      <c r="M40" s="218"/>
      <c r="N40" s="96"/>
      <c r="O40" s="96"/>
      <c r="P40" s="96"/>
      <c r="Q40" s="212"/>
      <c r="R40" s="212"/>
      <c r="S40" s="212"/>
      <c r="T40" s="212"/>
      <c r="U40" s="212"/>
      <c r="V40" s="113"/>
      <c r="W40" s="102"/>
      <c r="X40" s="103" t="str">
        <f t="shared" si="20"/>
        <v/>
      </c>
      <c r="Y40" s="271"/>
      <c r="Z40" s="121"/>
      <c r="AA40" s="121"/>
      <c r="AB40" s="121"/>
      <c r="AC40" s="121"/>
      <c r="AD40" s="121"/>
      <c r="AE40" s="121"/>
      <c r="AF40" s="121"/>
      <c r="AG40" s="121"/>
      <c r="AH40" s="121"/>
      <c r="AI40" s="121"/>
      <c r="AJ40" s="121"/>
      <c r="AK40" s="121"/>
      <c r="AL40" s="121"/>
    </row>
    <row r="41" spans="1:38" s="115" customFormat="1" ht="24" customHeight="1" thickBot="1">
      <c r="A41" s="555"/>
      <c r="B41" s="217"/>
      <c r="C41" s="217"/>
      <c r="D41" s="101"/>
      <c r="E41" s="217"/>
      <c r="F41" s="294"/>
      <c r="G41" s="146"/>
      <c r="H41" s="668" t="s">
        <v>119</v>
      </c>
      <c r="I41" s="669"/>
      <c r="J41" s="669"/>
      <c r="K41" s="669"/>
      <c r="L41" s="669"/>
      <c r="M41" s="669"/>
      <c r="N41" s="669"/>
      <c r="O41" s="669"/>
      <c r="P41" s="669"/>
      <c r="Q41" s="669"/>
      <c r="R41" s="669"/>
      <c r="S41" s="669"/>
      <c r="T41" s="670"/>
      <c r="U41" s="247"/>
      <c r="V41" s="261"/>
      <c r="W41" s="102"/>
      <c r="X41" s="103" t="str">
        <f t="shared" si="20"/>
        <v/>
      </c>
      <c r="Y41" s="271"/>
      <c r="Z41" s="121"/>
      <c r="AA41" s="121"/>
      <c r="AB41" s="121"/>
      <c r="AC41" s="121"/>
      <c r="AD41" s="121"/>
      <c r="AE41" s="121"/>
      <c r="AF41" s="121"/>
      <c r="AG41" s="121"/>
      <c r="AH41" s="121"/>
      <c r="AI41" s="121"/>
      <c r="AJ41" s="121"/>
      <c r="AK41" s="121"/>
      <c r="AL41" s="121"/>
    </row>
    <row r="42" spans="1:38" s="115" customFormat="1" ht="22.8">
      <c r="A42" s="555"/>
      <c r="B42" s="217"/>
      <c r="C42" s="217"/>
      <c r="D42" s="101"/>
      <c r="E42" s="217"/>
      <c r="F42" s="294"/>
      <c r="G42" s="146"/>
      <c r="H42" s="225"/>
      <c r="I42" s="225"/>
      <c r="J42" s="225"/>
      <c r="K42" s="225"/>
      <c r="L42" s="225"/>
      <c r="M42" s="225"/>
      <c r="N42" s="225"/>
      <c r="O42" s="225"/>
      <c r="P42" s="225"/>
      <c r="Q42" s="225"/>
      <c r="R42" s="225"/>
      <c r="S42" s="225"/>
      <c r="T42" s="225"/>
      <c r="U42" s="225"/>
      <c r="V42" s="260"/>
      <c r="W42" s="102"/>
      <c r="X42" s="103" t="str">
        <f t="shared" si="20"/>
        <v/>
      </c>
      <c r="Y42" s="271"/>
      <c r="Z42" s="121"/>
      <c r="AA42" s="121"/>
      <c r="AB42" s="121"/>
      <c r="AC42" s="121"/>
      <c r="AD42" s="121"/>
      <c r="AE42" s="121"/>
      <c r="AF42" s="121"/>
      <c r="AG42" s="121"/>
      <c r="AH42" s="121"/>
      <c r="AI42" s="121"/>
      <c r="AJ42" s="121"/>
      <c r="AK42" s="121"/>
      <c r="AL42" s="121"/>
    </row>
    <row r="43" spans="1:38" s="115" customFormat="1">
      <c r="A43" s="555" t="s">
        <v>1236</v>
      </c>
      <c r="B43" s="217" t="str">
        <f t="shared" si="21"/>
        <v>200</v>
      </c>
      <c r="C43" s="217" t="str">
        <f t="shared" si="22"/>
        <v>70</v>
      </c>
      <c r="D43" s="101" t="str">
        <f t="shared" si="23"/>
        <v>701</v>
      </c>
      <c r="E43" s="217" t="str">
        <f t="shared" si="24"/>
        <v>200-70-701</v>
      </c>
      <c r="F43" s="294" t="str">
        <f t="shared" si="25"/>
        <v>50101</v>
      </c>
      <c r="G43" s="295" t="str">
        <f>VLOOKUP(F43,'GL Category'!A:C,3,FALSE)</f>
        <v>Personnel services</v>
      </c>
      <c r="H43" s="98" t="str">
        <f>VLOOKUP(F43,'GL Category'!A:C,2,FALSE)</f>
        <v>EXEMPT SALARIES</v>
      </c>
      <c r="I43" s="99">
        <f>SUMIF(Import!$B:$B,$A43,Import!D:D)</f>
        <v>149717.67000000001</v>
      </c>
      <c r="J43" s="99">
        <f>SUMIF(Import!$B:$B,$A43,Import!E:E)</f>
        <v>167435.92000000001</v>
      </c>
      <c r="K43" s="99">
        <f>SUMIF(Import!$B:$B,$A43,Import!F:F)</f>
        <v>183412.94</v>
      </c>
      <c r="L43" s="99">
        <f>SUMIF(Import!$B:$B,$A43,Import!G:G)</f>
        <v>246271.93</v>
      </c>
      <c r="M43" s="99">
        <f>SUMIF(Import!$B:$B,$A43,Import!H:H)</f>
        <v>171465</v>
      </c>
      <c r="N43" s="99">
        <f>SUMIF(Import!$B:$B,$A43,Import!I:I)</f>
        <v>109022.16</v>
      </c>
      <c r="O43" s="99">
        <f>SUMIF(Import!$B:$B,$A43,Import!J:J)</f>
        <v>143118</v>
      </c>
      <c r="P43" s="99">
        <f t="shared" ref="P43:P53" si="34">O43-M43</f>
        <v>-28347</v>
      </c>
      <c r="Q43" s="99">
        <f>SUMIF(Import!$B:$B,$A43,Import!K:K)</f>
        <v>148003</v>
      </c>
      <c r="R43" s="99">
        <f>SUMIF(Import!$B:$B,$A43,Import!L:L)</f>
        <v>0</v>
      </c>
      <c r="S43" s="99">
        <f>SUMIF(Import!$B:$B,$A43,Import!M:M)</f>
        <v>0</v>
      </c>
      <c r="T43" s="99">
        <f>SUMIF(Import!$B:$B,$A43,Import!N:N)</f>
        <v>148003</v>
      </c>
      <c r="U43" s="99">
        <f t="shared" ref="U43:U53" si="35">T43-M43</f>
        <v>-23462</v>
      </c>
      <c r="V43" s="255">
        <f t="shared" ref="V43:V53" si="36">IF(M43=0,"N/A",T43/M43-1)</f>
        <v>-0.1368325897413466</v>
      </c>
      <c r="W43" s="102" t="s">
        <v>1236</v>
      </c>
      <c r="X43" s="103" t="str">
        <f t="shared" ref="X43:X74" si="37">IF(Q43="","",IF(T43=SUM(Q43:S43),"OK","NO"))</f>
        <v>OK</v>
      </c>
      <c r="Y43" s="271"/>
      <c r="Z43" s="121"/>
      <c r="AA43" s="121"/>
      <c r="AB43" s="121"/>
      <c r="AC43" s="121"/>
      <c r="AD43" s="121"/>
      <c r="AE43" s="121"/>
      <c r="AF43" s="121"/>
      <c r="AG43" s="121"/>
      <c r="AH43" s="121"/>
      <c r="AI43" s="121"/>
      <c r="AJ43" s="121"/>
      <c r="AK43" s="121"/>
      <c r="AL43" s="121"/>
    </row>
    <row r="44" spans="1:38" s="115" customFormat="1">
      <c r="A44" s="555" t="s">
        <v>1237</v>
      </c>
      <c r="B44" s="217" t="str">
        <f t="shared" si="21"/>
        <v>200</v>
      </c>
      <c r="C44" s="217" t="str">
        <f t="shared" si="22"/>
        <v>70</v>
      </c>
      <c r="D44" s="101" t="str">
        <f t="shared" si="23"/>
        <v>701</v>
      </c>
      <c r="E44" s="217" t="str">
        <f t="shared" si="24"/>
        <v>200-70-701</v>
      </c>
      <c r="F44" s="294" t="str">
        <f t="shared" si="25"/>
        <v>50102</v>
      </c>
      <c r="G44" s="295" t="str">
        <f>VLOOKUP(F44,'GL Category'!A:C,3,FALSE)</f>
        <v>Personnel services</v>
      </c>
      <c r="H44" s="98" t="str">
        <f>VLOOKUP(F44,'GL Category'!A:C,2,FALSE)</f>
        <v>NON EXEMPT SALARIES</v>
      </c>
      <c r="I44" s="99">
        <f>SUMIF(Import!$B:$B,$A44,Import!D:D)</f>
        <v>210894.61</v>
      </c>
      <c r="J44" s="99">
        <f>SUMIF(Import!$B:$B,$A44,Import!E:E)</f>
        <v>221497.58</v>
      </c>
      <c r="K44" s="99">
        <f>SUMIF(Import!$B:$B,$A44,Import!F:F)</f>
        <v>210440.31</v>
      </c>
      <c r="L44" s="99">
        <f>SUMIF(Import!$B:$B,$A44,Import!G:G)</f>
        <v>222727.72</v>
      </c>
      <c r="M44" s="99">
        <f>SUMIF(Import!$B:$B,$A44,Import!H:H)</f>
        <v>223468</v>
      </c>
      <c r="N44" s="99">
        <f>SUMIF(Import!$B:$B,$A44,Import!I:I)</f>
        <v>169447.47</v>
      </c>
      <c r="O44" s="99">
        <f>SUMIF(Import!$B:$B,$A44,Import!J:J)</f>
        <v>221373</v>
      </c>
      <c r="P44" s="99">
        <f t="shared" si="34"/>
        <v>-2095</v>
      </c>
      <c r="Q44" s="99">
        <f>SUMIF(Import!$B:$B,$A44,Import!K:K)</f>
        <v>226801</v>
      </c>
      <c r="R44" s="99">
        <f>SUMIF(Import!$B:$B,$A44,Import!L:L)</f>
        <v>0</v>
      </c>
      <c r="S44" s="99">
        <f>SUMIF(Import!$B:$B,$A44,Import!M:M)</f>
        <v>0</v>
      </c>
      <c r="T44" s="99">
        <f>SUMIF(Import!$B:$B,$A44,Import!N:N)</f>
        <v>226801</v>
      </c>
      <c r="U44" s="99">
        <f t="shared" si="35"/>
        <v>3333</v>
      </c>
      <c r="V44" s="255">
        <f t="shared" si="36"/>
        <v>1.4914887142678079E-2</v>
      </c>
      <c r="W44" s="102" t="s">
        <v>1237</v>
      </c>
      <c r="X44" s="103" t="str">
        <f t="shared" si="37"/>
        <v>OK</v>
      </c>
      <c r="Y44" s="271"/>
      <c r="Z44" s="121"/>
      <c r="AA44" s="121"/>
      <c r="AB44" s="121"/>
      <c r="AC44" s="121"/>
      <c r="AD44" s="121"/>
      <c r="AE44" s="121"/>
      <c r="AF44" s="121"/>
      <c r="AG44" s="121"/>
      <c r="AH44" s="121"/>
      <c r="AI44" s="121"/>
      <c r="AJ44" s="121"/>
      <c r="AK44" s="121"/>
      <c r="AL44" s="121"/>
    </row>
    <row r="45" spans="1:38" s="115" customFormat="1">
      <c r="A45" s="555" t="s">
        <v>1238</v>
      </c>
      <c r="B45" s="217" t="str">
        <f t="shared" si="21"/>
        <v>200</v>
      </c>
      <c r="C45" s="217" t="str">
        <f t="shared" si="22"/>
        <v>70</v>
      </c>
      <c r="D45" s="101" t="str">
        <f t="shared" si="23"/>
        <v>701</v>
      </c>
      <c r="E45" s="217" t="str">
        <f t="shared" si="24"/>
        <v>200-70-701</v>
      </c>
      <c r="F45" s="294" t="str">
        <f t="shared" si="25"/>
        <v>50109</v>
      </c>
      <c r="G45" s="295" t="str">
        <f>VLOOKUP(F45,'GL Category'!A:C,3,FALSE)</f>
        <v>Personnel services</v>
      </c>
      <c r="H45" s="98" t="str">
        <f>VLOOKUP(F45,'GL Category'!A:C,2,FALSE)</f>
        <v>OVERTIME</v>
      </c>
      <c r="I45" s="99">
        <f>SUMIF(Import!$B:$B,$A45,Import!D:D)</f>
        <v>17059.32</v>
      </c>
      <c r="J45" s="99">
        <f>SUMIF(Import!$B:$B,$A45,Import!E:E)</f>
        <v>16447.88</v>
      </c>
      <c r="K45" s="99">
        <f>SUMIF(Import!$B:$B,$A45,Import!F:F)</f>
        <v>13142.45</v>
      </c>
      <c r="L45" s="99">
        <f>SUMIF(Import!$B:$B,$A45,Import!G:G)</f>
        <v>33092.06</v>
      </c>
      <c r="M45" s="99">
        <f>SUMIF(Import!$B:$B,$A45,Import!H:H)</f>
        <v>40000</v>
      </c>
      <c r="N45" s="99">
        <f>SUMIF(Import!$B:$B,$A45,Import!I:I)</f>
        <v>27367.48</v>
      </c>
      <c r="O45" s="99">
        <f>SUMIF(Import!$B:$B,$A45,Import!J:J)</f>
        <v>34470</v>
      </c>
      <c r="P45" s="99">
        <f t="shared" si="34"/>
        <v>-5530</v>
      </c>
      <c r="Q45" s="99">
        <f>SUMIF(Import!$B:$B,$A45,Import!K:K)</f>
        <v>40000</v>
      </c>
      <c r="R45" s="99">
        <f>SUMIF(Import!$B:$B,$A45,Import!L:L)</f>
        <v>0</v>
      </c>
      <c r="S45" s="99">
        <f>SUMIF(Import!$B:$B,$A45,Import!M:M)</f>
        <v>0</v>
      </c>
      <c r="T45" s="99">
        <f>SUMIF(Import!$B:$B,$A45,Import!N:N)</f>
        <v>40000</v>
      </c>
      <c r="U45" s="99">
        <f t="shared" si="35"/>
        <v>0</v>
      </c>
      <c r="V45" s="255">
        <f t="shared" si="36"/>
        <v>0</v>
      </c>
      <c r="W45" s="102" t="s">
        <v>1238</v>
      </c>
      <c r="X45" s="103" t="str">
        <f t="shared" si="37"/>
        <v>OK</v>
      </c>
      <c r="Y45" s="271"/>
      <c r="Z45" s="121"/>
      <c r="AA45" s="121"/>
      <c r="AB45" s="121"/>
      <c r="AC45" s="121"/>
      <c r="AD45" s="121"/>
      <c r="AE45" s="121"/>
      <c r="AF45" s="121"/>
      <c r="AG45" s="121"/>
      <c r="AH45" s="121"/>
      <c r="AI45" s="121"/>
      <c r="AJ45" s="121"/>
      <c r="AK45" s="121"/>
      <c r="AL45" s="121"/>
    </row>
    <row r="46" spans="1:38" s="115" customFormat="1">
      <c r="A46" s="555" t="s">
        <v>1239</v>
      </c>
      <c r="B46" s="217" t="str">
        <f t="shared" si="21"/>
        <v>200</v>
      </c>
      <c r="C46" s="217" t="str">
        <f t="shared" si="22"/>
        <v>70</v>
      </c>
      <c r="D46" s="101" t="str">
        <f t="shared" si="23"/>
        <v>701</v>
      </c>
      <c r="E46" s="217" t="str">
        <f t="shared" si="24"/>
        <v>200-70-701</v>
      </c>
      <c r="F46" s="294" t="str">
        <f t="shared" si="25"/>
        <v>50110</v>
      </c>
      <c r="G46" s="295" t="str">
        <f>VLOOKUP(F46,'GL Category'!A:C,3,FALSE)</f>
        <v>Personnel services</v>
      </c>
      <c r="H46" s="98" t="str">
        <f>VLOOKUP(F46,'GL Category'!A:C,2,FALSE)</f>
        <v>PART-TIME WAGES</v>
      </c>
      <c r="I46" s="99">
        <f>SUMIF(Import!$B:$B,$A46,Import!D:D)</f>
        <v>0</v>
      </c>
      <c r="J46" s="99">
        <f>SUMIF(Import!$B:$B,$A46,Import!E:E)</f>
        <v>1518.27</v>
      </c>
      <c r="K46" s="99">
        <f>SUMIF(Import!$B:$B,$A46,Import!F:F)</f>
        <v>0</v>
      </c>
      <c r="L46" s="99">
        <f>SUMIF(Import!$B:$B,$A46,Import!G:G)</f>
        <v>5294.88</v>
      </c>
      <c r="M46" s="99">
        <f>SUMIF(Import!$B:$B,$A46,Import!H:H)</f>
        <v>16755</v>
      </c>
      <c r="N46" s="99">
        <f>SUMIF(Import!$B:$B,$A46,Import!I:I)</f>
        <v>12124.48</v>
      </c>
      <c r="O46" s="99">
        <f>SUMIF(Import!$B:$B,$A46,Import!J:J)</f>
        <v>16168</v>
      </c>
      <c r="P46" s="99">
        <f t="shared" si="34"/>
        <v>-587</v>
      </c>
      <c r="Q46" s="99">
        <f>SUMIF(Import!$B:$B,$A46,Import!K:K)</f>
        <v>17088</v>
      </c>
      <c r="R46" s="99">
        <f>SUMIF(Import!$B:$B,$A46,Import!L:L)</f>
        <v>0</v>
      </c>
      <c r="S46" s="99">
        <f>SUMIF(Import!$B:$B,$A46,Import!M:M)</f>
        <v>0</v>
      </c>
      <c r="T46" s="99">
        <f>SUMIF(Import!$B:$B,$A46,Import!N:N)</f>
        <v>17088</v>
      </c>
      <c r="U46" s="99">
        <f t="shared" si="35"/>
        <v>333</v>
      </c>
      <c r="V46" s="255">
        <f t="shared" si="36"/>
        <v>1.9874664279319498E-2</v>
      </c>
      <c r="W46" s="102" t="s">
        <v>1239</v>
      </c>
      <c r="X46" s="103" t="str">
        <f t="shared" si="37"/>
        <v>OK</v>
      </c>
      <c r="Y46" s="271"/>
      <c r="Z46" s="121"/>
      <c r="AA46" s="121"/>
      <c r="AB46" s="121"/>
      <c r="AC46" s="121"/>
      <c r="AD46" s="121"/>
      <c r="AE46" s="121"/>
      <c r="AF46" s="121"/>
      <c r="AG46" s="121"/>
      <c r="AH46" s="121"/>
      <c r="AI46" s="121"/>
      <c r="AJ46" s="121"/>
      <c r="AK46" s="121"/>
      <c r="AL46" s="121"/>
    </row>
    <row r="47" spans="1:38" s="115" customFormat="1">
      <c r="A47" s="555" t="s">
        <v>1240</v>
      </c>
      <c r="B47" s="217" t="str">
        <f t="shared" si="21"/>
        <v>200</v>
      </c>
      <c r="C47" s="217" t="str">
        <f t="shared" si="22"/>
        <v>70</v>
      </c>
      <c r="D47" s="101" t="str">
        <f t="shared" si="23"/>
        <v>701</v>
      </c>
      <c r="E47" s="217" t="str">
        <f t="shared" si="24"/>
        <v>200-70-701</v>
      </c>
      <c r="F47" s="294" t="str">
        <f t="shared" si="25"/>
        <v>50111</v>
      </c>
      <c r="G47" s="295" t="str">
        <f>VLOOKUP(F47,'GL Category'!A:C,3,FALSE)</f>
        <v>Personnel services</v>
      </c>
      <c r="H47" s="98" t="str">
        <f>VLOOKUP(F47,'GL Category'!A:C,2,FALSE)</f>
        <v>LONGEVITY PAY</v>
      </c>
      <c r="I47" s="99">
        <f>SUMIF(Import!$B:$B,$A47,Import!D:D)</f>
        <v>3760</v>
      </c>
      <c r="J47" s="99">
        <f>SUMIF(Import!$B:$B,$A47,Import!E:E)</f>
        <v>3760</v>
      </c>
      <c r="K47" s="99">
        <f>SUMIF(Import!$B:$B,$A47,Import!F:F)</f>
        <v>4455</v>
      </c>
      <c r="L47" s="99">
        <f>SUMIF(Import!$B:$B,$A47,Import!G:G)</f>
        <v>4500</v>
      </c>
      <c r="M47" s="99">
        <f>SUMIF(Import!$B:$B,$A47,Import!H:H)</f>
        <v>3799</v>
      </c>
      <c r="N47" s="99">
        <f>SUMIF(Import!$B:$B,$A47,Import!I:I)</f>
        <v>3695</v>
      </c>
      <c r="O47" s="99">
        <f>SUMIF(Import!$B:$B,$A47,Import!J:J)</f>
        <v>3695</v>
      </c>
      <c r="P47" s="99">
        <f t="shared" si="34"/>
        <v>-104</v>
      </c>
      <c r="Q47" s="99">
        <f>SUMIF(Import!$B:$B,$A47,Import!K:K)</f>
        <v>5390</v>
      </c>
      <c r="R47" s="99">
        <f>SUMIF(Import!$B:$B,$A47,Import!L:L)</f>
        <v>0</v>
      </c>
      <c r="S47" s="99">
        <f>SUMIF(Import!$B:$B,$A47,Import!M:M)</f>
        <v>0</v>
      </c>
      <c r="T47" s="99">
        <f>SUMIF(Import!$B:$B,$A47,Import!N:N)</f>
        <v>5390</v>
      </c>
      <c r="U47" s="99">
        <f t="shared" si="35"/>
        <v>1591</v>
      </c>
      <c r="V47" s="255">
        <f t="shared" si="36"/>
        <v>0.41879441958410113</v>
      </c>
      <c r="W47" s="102" t="s">
        <v>1240</v>
      </c>
      <c r="X47" s="103" t="str">
        <f t="shared" si="37"/>
        <v>OK</v>
      </c>
      <c r="Y47" s="271"/>
      <c r="Z47" s="121"/>
      <c r="AA47" s="121"/>
      <c r="AB47" s="121"/>
      <c r="AC47" s="121"/>
      <c r="AD47" s="121"/>
      <c r="AE47" s="121"/>
      <c r="AF47" s="121"/>
      <c r="AG47" s="121"/>
      <c r="AH47" s="121"/>
      <c r="AI47" s="121"/>
      <c r="AJ47" s="121"/>
      <c r="AK47" s="121"/>
      <c r="AL47" s="121"/>
    </row>
    <row r="48" spans="1:38" s="115" customFormat="1">
      <c r="A48" s="555" t="s">
        <v>1241</v>
      </c>
      <c r="B48" s="217" t="str">
        <f t="shared" si="21"/>
        <v>200</v>
      </c>
      <c r="C48" s="217" t="str">
        <f t="shared" si="22"/>
        <v>70</v>
      </c>
      <c r="D48" s="101" t="str">
        <f t="shared" si="23"/>
        <v>701</v>
      </c>
      <c r="E48" s="217" t="str">
        <f t="shared" si="24"/>
        <v>200-70-701</v>
      </c>
      <c r="F48" s="294" t="str">
        <f t="shared" si="25"/>
        <v>50112</v>
      </c>
      <c r="G48" s="295" t="str">
        <f>VLOOKUP(F48,'GL Category'!A:C,3,FALSE)</f>
        <v>Personnel services</v>
      </c>
      <c r="H48" s="98" t="str">
        <f>VLOOKUP(F48,'GL Category'!A:C,2,FALSE)</f>
        <v>TEMPORARY/SEASONAL WAGES</v>
      </c>
      <c r="I48" s="99">
        <f>SUMIF(Import!$B:$B,$A48,Import!D:D)</f>
        <v>0</v>
      </c>
      <c r="J48" s="99">
        <f>SUMIF(Import!$B:$B,$A48,Import!E:E)</f>
        <v>0</v>
      </c>
      <c r="K48" s="99">
        <f>SUMIF(Import!$B:$B,$A48,Import!F:F)</f>
        <v>0</v>
      </c>
      <c r="L48" s="99">
        <f>SUMIF(Import!$B:$B,$A48,Import!G:G)</f>
        <v>0</v>
      </c>
      <c r="M48" s="99">
        <f>SUMIF(Import!$B:$B,$A48,Import!H:H)</f>
        <v>0</v>
      </c>
      <c r="N48" s="99">
        <f>SUMIF(Import!$B:$B,$A48,Import!I:I)</f>
        <v>0</v>
      </c>
      <c r="O48" s="99">
        <f>SUMIF(Import!$B:$B,$A48,Import!J:J)</f>
        <v>0</v>
      </c>
      <c r="P48" s="99">
        <f t="shared" si="34"/>
        <v>0</v>
      </c>
      <c r="Q48" s="99">
        <f>SUMIF(Import!$B:$B,$A48,Import!K:K)</f>
        <v>0</v>
      </c>
      <c r="R48" s="99">
        <f>SUMIF(Import!$B:$B,$A48,Import!L:L)</f>
        <v>0</v>
      </c>
      <c r="S48" s="99">
        <f>SUMIF(Import!$B:$B,$A48,Import!M:M)</f>
        <v>0</v>
      </c>
      <c r="T48" s="99">
        <f>SUMIF(Import!$B:$B,$A48,Import!N:N)</f>
        <v>0</v>
      </c>
      <c r="U48" s="99">
        <f t="shared" si="35"/>
        <v>0</v>
      </c>
      <c r="V48" s="255" t="str">
        <f t="shared" si="36"/>
        <v>N/A</v>
      </c>
      <c r="W48" s="102" t="s">
        <v>1241</v>
      </c>
      <c r="X48" s="103" t="str">
        <f t="shared" si="37"/>
        <v>OK</v>
      </c>
      <c r="Y48" s="271"/>
      <c r="Z48" s="121"/>
      <c r="AA48" s="121"/>
      <c r="AB48" s="121"/>
      <c r="AC48" s="121"/>
      <c r="AD48" s="121"/>
      <c r="AE48" s="121"/>
      <c r="AF48" s="121"/>
      <c r="AG48" s="121"/>
      <c r="AH48" s="121"/>
      <c r="AI48" s="121"/>
      <c r="AJ48" s="121"/>
      <c r="AK48" s="121"/>
      <c r="AL48" s="121"/>
    </row>
    <row r="49" spans="1:38" s="115" customFormat="1">
      <c r="A49" s="555" t="s">
        <v>1242</v>
      </c>
      <c r="B49" s="217" t="str">
        <f t="shared" si="21"/>
        <v>200</v>
      </c>
      <c r="C49" s="217" t="str">
        <f t="shared" si="22"/>
        <v>70</v>
      </c>
      <c r="D49" s="101" t="str">
        <f t="shared" si="23"/>
        <v>701</v>
      </c>
      <c r="E49" s="217" t="str">
        <f t="shared" si="24"/>
        <v>200-70-701</v>
      </c>
      <c r="F49" s="294" t="str">
        <f t="shared" si="25"/>
        <v>50115</v>
      </c>
      <c r="G49" s="295" t="str">
        <f>VLOOKUP(F49,'GL Category'!A:C,3,FALSE)</f>
        <v>Personnel services</v>
      </c>
      <c r="H49" s="98" t="str">
        <f>VLOOKUP(F49,'GL Category'!A:C,2,FALSE)</f>
        <v>INCENTIVE/CERTIFICATION PAY</v>
      </c>
      <c r="I49" s="99">
        <f>SUMIF(Import!$B:$B,$A49,Import!D:D)</f>
        <v>1056.25</v>
      </c>
      <c r="J49" s="99">
        <f>SUMIF(Import!$B:$B,$A49,Import!E:E)</f>
        <v>1053.5</v>
      </c>
      <c r="K49" s="99">
        <f>SUMIF(Import!$B:$B,$A49,Import!F:F)</f>
        <v>1052.75</v>
      </c>
      <c r="L49" s="99">
        <f>SUMIF(Import!$B:$B,$A49,Import!G:G)</f>
        <v>525</v>
      </c>
      <c r="M49" s="99">
        <f>SUMIF(Import!$B:$B,$A49,Import!H:H)</f>
        <v>600</v>
      </c>
      <c r="N49" s="99">
        <f>SUMIF(Import!$B:$B,$A49,Import!I:I)</f>
        <v>0</v>
      </c>
      <c r="O49" s="99">
        <f>SUMIF(Import!$B:$B,$A49,Import!J:J)</f>
        <v>0</v>
      </c>
      <c r="P49" s="99">
        <f t="shared" si="34"/>
        <v>-600</v>
      </c>
      <c r="Q49" s="99">
        <f>SUMIF(Import!$B:$B,$A49,Import!K:K)</f>
        <v>0</v>
      </c>
      <c r="R49" s="99">
        <f>SUMIF(Import!$B:$B,$A49,Import!L:L)</f>
        <v>0</v>
      </c>
      <c r="S49" s="99">
        <f>SUMIF(Import!$B:$B,$A49,Import!M:M)</f>
        <v>0</v>
      </c>
      <c r="T49" s="99">
        <f>SUMIF(Import!$B:$B,$A49,Import!N:N)</f>
        <v>0</v>
      </c>
      <c r="U49" s="99">
        <f t="shared" si="35"/>
        <v>-600</v>
      </c>
      <c r="V49" s="255">
        <f t="shared" si="36"/>
        <v>-1</v>
      </c>
      <c r="W49" s="102" t="s">
        <v>1242</v>
      </c>
      <c r="X49" s="103" t="str">
        <f t="shared" si="37"/>
        <v>OK</v>
      </c>
      <c r="Y49" s="271"/>
      <c r="Z49" s="121"/>
      <c r="AA49" s="121"/>
      <c r="AB49" s="121"/>
      <c r="AC49" s="121"/>
      <c r="AD49" s="121"/>
      <c r="AE49" s="121"/>
      <c r="AF49" s="121"/>
      <c r="AG49" s="121"/>
      <c r="AH49" s="121"/>
      <c r="AI49" s="121"/>
      <c r="AJ49" s="121"/>
      <c r="AK49" s="121"/>
      <c r="AL49" s="121"/>
    </row>
    <row r="50" spans="1:38" s="115" customFormat="1">
      <c r="A50" s="555" t="s">
        <v>1243</v>
      </c>
      <c r="B50" s="217" t="str">
        <f t="shared" si="21"/>
        <v>200</v>
      </c>
      <c r="C50" s="217" t="str">
        <f t="shared" si="22"/>
        <v>70</v>
      </c>
      <c r="D50" s="101" t="str">
        <f t="shared" si="23"/>
        <v>701</v>
      </c>
      <c r="E50" s="217" t="str">
        <f t="shared" si="24"/>
        <v>200-70-701</v>
      </c>
      <c r="F50" s="294" t="str">
        <f t="shared" si="25"/>
        <v>50610</v>
      </c>
      <c r="G50" s="295" t="str">
        <f>VLOOKUP(F50,'GL Category'!A:C,3,FALSE)</f>
        <v>Personnel services</v>
      </c>
      <c r="H50" s="98" t="str">
        <f>VLOOKUP(F50,'GL Category'!A:C,2,FALSE)</f>
        <v>SOCIAL SECURITY</v>
      </c>
      <c r="I50" s="99">
        <f>SUMIF(Import!$B:$B,$A50,Import!D:D)</f>
        <v>26898.74</v>
      </c>
      <c r="J50" s="99">
        <f>SUMIF(Import!$B:$B,$A50,Import!E:E)</f>
        <v>29391.96</v>
      </c>
      <c r="K50" s="99">
        <f>SUMIF(Import!$B:$B,$A50,Import!F:F)</f>
        <v>29276.47</v>
      </c>
      <c r="L50" s="99">
        <f>SUMIF(Import!$B:$B,$A50,Import!G:G)</f>
        <v>29720.78</v>
      </c>
      <c r="M50" s="99">
        <f>SUMIF(Import!$B:$B,$A50,Import!H:H)</f>
        <v>35120</v>
      </c>
      <c r="N50" s="99">
        <f>SUMIF(Import!$B:$B,$A50,Import!I:I)</f>
        <v>23480.45</v>
      </c>
      <c r="O50" s="99">
        <f>SUMIF(Import!$B:$B,$A50,Import!J:J)</f>
        <v>31230</v>
      </c>
      <c r="P50" s="99">
        <f t="shared" si="34"/>
        <v>-3890</v>
      </c>
      <c r="Q50" s="99">
        <f>SUMIF(Import!$B:$B,$A50,Import!K:K)</f>
        <v>33780</v>
      </c>
      <c r="R50" s="99">
        <f>SUMIF(Import!$B:$B,$A50,Import!L:L)</f>
        <v>0</v>
      </c>
      <c r="S50" s="99">
        <f>SUMIF(Import!$B:$B,$A50,Import!M:M)</f>
        <v>0</v>
      </c>
      <c r="T50" s="99">
        <f>SUMIF(Import!$B:$B,$A50,Import!N:N)</f>
        <v>33780</v>
      </c>
      <c r="U50" s="99">
        <f t="shared" si="35"/>
        <v>-1340</v>
      </c>
      <c r="V50" s="255">
        <f t="shared" si="36"/>
        <v>-3.8154897494305229E-2</v>
      </c>
      <c r="W50" s="102" t="s">
        <v>1243</v>
      </c>
      <c r="X50" s="103" t="str">
        <f t="shared" si="37"/>
        <v>OK</v>
      </c>
      <c r="Y50" s="271"/>
      <c r="Z50" s="121"/>
      <c r="AA50" s="121"/>
      <c r="AB50" s="121"/>
      <c r="AC50" s="121"/>
      <c r="AD50" s="121"/>
      <c r="AE50" s="121"/>
      <c r="AF50" s="121"/>
      <c r="AG50" s="121"/>
      <c r="AH50" s="121"/>
      <c r="AI50" s="121"/>
      <c r="AJ50" s="121"/>
      <c r="AK50" s="121"/>
      <c r="AL50" s="121"/>
    </row>
    <row r="51" spans="1:38" s="115" customFormat="1">
      <c r="A51" s="555" t="s">
        <v>1244</v>
      </c>
      <c r="B51" s="217" t="str">
        <f t="shared" si="21"/>
        <v>200</v>
      </c>
      <c r="C51" s="217" t="str">
        <f t="shared" si="22"/>
        <v>70</v>
      </c>
      <c r="D51" s="101" t="str">
        <f t="shared" si="23"/>
        <v>701</v>
      </c>
      <c r="E51" s="217" t="str">
        <f t="shared" si="24"/>
        <v>200-70-701</v>
      </c>
      <c r="F51" s="294" t="str">
        <f t="shared" si="25"/>
        <v>50620</v>
      </c>
      <c r="G51" s="295" t="str">
        <f>VLOOKUP(F51,'GL Category'!A:C,3,FALSE)</f>
        <v>Personnel services</v>
      </c>
      <c r="H51" s="98" t="str">
        <f>VLOOKUP(F51,'GL Category'!A:C,2,FALSE)</f>
        <v>HEALTH/LIFE INSURANCE</v>
      </c>
      <c r="I51" s="99">
        <f>SUMIF(Import!$B:$B,$A51,Import!D:D)</f>
        <v>96987.25</v>
      </c>
      <c r="J51" s="99">
        <f>SUMIF(Import!$B:$B,$A51,Import!E:E)</f>
        <v>85179.24</v>
      </c>
      <c r="K51" s="99">
        <f>SUMIF(Import!$B:$B,$A51,Import!F:F)</f>
        <v>88944</v>
      </c>
      <c r="L51" s="99">
        <f>SUMIF(Import!$B:$B,$A51,Import!G:G)</f>
        <v>87695.87</v>
      </c>
      <c r="M51" s="99">
        <f>SUMIF(Import!$B:$B,$A51,Import!H:H)</f>
        <v>97445</v>
      </c>
      <c r="N51" s="99">
        <f>SUMIF(Import!$B:$B,$A51,Import!I:I)</f>
        <v>65944.86</v>
      </c>
      <c r="O51" s="99">
        <f>SUMIF(Import!$B:$B,$A51,Import!J:J)</f>
        <v>89253</v>
      </c>
      <c r="P51" s="99">
        <f t="shared" si="34"/>
        <v>-8192</v>
      </c>
      <c r="Q51" s="99">
        <f>SUMIF(Import!$B:$B,$A51,Import!K:K)</f>
        <v>87429</v>
      </c>
      <c r="R51" s="99">
        <f>SUMIF(Import!$B:$B,$A51,Import!L:L)</f>
        <v>0</v>
      </c>
      <c r="S51" s="99">
        <f>SUMIF(Import!$B:$B,$A51,Import!M:M)</f>
        <v>0</v>
      </c>
      <c r="T51" s="99">
        <f>SUMIF(Import!$B:$B,$A51,Import!N:N)</f>
        <v>87429</v>
      </c>
      <c r="U51" s="99">
        <f t="shared" si="35"/>
        <v>-10016</v>
      </c>
      <c r="V51" s="255">
        <f t="shared" si="36"/>
        <v>-0.10278618707989118</v>
      </c>
      <c r="W51" s="102" t="s">
        <v>1244</v>
      </c>
      <c r="X51" s="103" t="str">
        <f t="shared" si="37"/>
        <v>OK</v>
      </c>
      <c r="Y51" s="271"/>
      <c r="Z51" s="121"/>
      <c r="AA51" s="121"/>
      <c r="AB51" s="121"/>
      <c r="AC51" s="121"/>
      <c r="AD51" s="121"/>
      <c r="AE51" s="121"/>
      <c r="AF51" s="121"/>
      <c r="AG51" s="121"/>
      <c r="AH51" s="121"/>
      <c r="AI51" s="121"/>
      <c r="AJ51" s="121"/>
      <c r="AK51" s="121"/>
      <c r="AL51" s="121"/>
    </row>
    <row r="52" spans="1:38" s="115" customFormat="1">
      <c r="A52" s="555" t="s">
        <v>1245</v>
      </c>
      <c r="B52" s="217" t="str">
        <f t="shared" si="21"/>
        <v>200</v>
      </c>
      <c r="C52" s="217" t="str">
        <f t="shared" si="22"/>
        <v>70</v>
      </c>
      <c r="D52" s="101" t="str">
        <f t="shared" si="23"/>
        <v>701</v>
      </c>
      <c r="E52" s="217" t="str">
        <f t="shared" si="24"/>
        <v>200-70-701</v>
      </c>
      <c r="F52" s="294" t="str">
        <f t="shared" si="25"/>
        <v>50630</v>
      </c>
      <c r="G52" s="295" t="str">
        <f>VLOOKUP(F52,'GL Category'!A:C,3,FALSE)</f>
        <v>Personnel services</v>
      </c>
      <c r="H52" s="98" t="str">
        <f>VLOOKUP(F52,'GL Category'!A:C,2,FALSE)</f>
        <v>WORKER COMPENSATION</v>
      </c>
      <c r="I52" s="99">
        <f>SUMIF(Import!$B:$B,$A52,Import!D:D)</f>
        <v>1481.48</v>
      </c>
      <c r="J52" s="99">
        <f>SUMIF(Import!$B:$B,$A52,Import!E:E)</f>
        <v>1354.29</v>
      </c>
      <c r="K52" s="99">
        <f>SUMIF(Import!$B:$B,$A52,Import!F:F)</f>
        <v>1924.16</v>
      </c>
      <c r="L52" s="99">
        <f>SUMIF(Import!$B:$B,$A52,Import!G:G)</f>
        <v>1974.15</v>
      </c>
      <c r="M52" s="99">
        <f>SUMIF(Import!$B:$B,$A52,Import!H:H)</f>
        <v>1624</v>
      </c>
      <c r="N52" s="99">
        <f>SUMIF(Import!$B:$B,$A52,Import!I:I)</f>
        <v>1622.68</v>
      </c>
      <c r="O52" s="99">
        <f>SUMIF(Import!$B:$B,$A52,Import!J:J)</f>
        <v>1623</v>
      </c>
      <c r="P52" s="99">
        <f t="shared" si="34"/>
        <v>-1</v>
      </c>
      <c r="Q52" s="99">
        <f>SUMIF(Import!$B:$B,$A52,Import!K:K)</f>
        <v>1734</v>
      </c>
      <c r="R52" s="99">
        <f>SUMIF(Import!$B:$B,$A52,Import!L:L)</f>
        <v>0</v>
      </c>
      <c r="S52" s="99">
        <f>SUMIF(Import!$B:$B,$A52,Import!M:M)</f>
        <v>0</v>
      </c>
      <c r="T52" s="99">
        <f>SUMIF(Import!$B:$B,$A52,Import!N:N)</f>
        <v>1734</v>
      </c>
      <c r="U52" s="99">
        <f t="shared" si="35"/>
        <v>110</v>
      </c>
      <c r="V52" s="255">
        <f t="shared" si="36"/>
        <v>6.7733990147783141E-2</v>
      </c>
      <c r="W52" s="102" t="s">
        <v>1245</v>
      </c>
      <c r="X52" s="103" t="str">
        <f t="shared" si="37"/>
        <v>OK</v>
      </c>
      <c r="Y52" s="271"/>
      <c r="Z52" s="121"/>
      <c r="AA52" s="121"/>
      <c r="AB52" s="121"/>
      <c r="AC52" s="121"/>
      <c r="AD52" s="121"/>
      <c r="AE52" s="121"/>
      <c r="AF52" s="121"/>
      <c r="AG52" s="121"/>
      <c r="AH52" s="121"/>
      <c r="AI52" s="121"/>
      <c r="AJ52" s="121"/>
      <c r="AK52" s="121"/>
      <c r="AL52" s="121"/>
    </row>
    <row r="53" spans="1:38" s="115" customFormat="1">
      <c r="A53" s="555" t="s">
        <v>1246</v>
      </c>
      <c r="B53" s="217" t="str">
        <f t="shared" si="21"/>
        <v>200</v>
      </c>
      <c r="C53" s="217" t="str">
        <f t="shared" si="22"/>
        <v>70</v>
      </c>
      <c r="D53" s="101" t="str">
        <f t="shared" si="23"/>
        <v>701</v>
      </c>
      <c r="E53" s="217" t="str">
        <f t="shared" si="24"/>
        <v>200-70-701</v>
      </c>
      <c r="F53" s="294" t="str">
        <f t="shared" si="25"/>
        <v>50650</v>
      </c>
      <c r="G53" s="295" t="str">
        <f>VLOOKUP(F53,'GL Category'!A:C,3,FALSE)</f>
        <v>Personnel services</v>
      </c>
      <c r="H53" s="98" t="str">
        <f>VLOOKUP(F53,'GL Category'!A:C,2,FALSE)</f>
        <v>RETIREMENT</v>
      </c>
      <c r="I53" s="99">
        <f>SUMIF(Import!$B:$B,$A53,Import!D:D)</f>
        <v>113816.47</v>
      </c>
      <c r="J53" s="99">
        <f>SUMIF(Import!$B:$B,$A53,Import!E:E)</f>
        <v>66284.289999999994</v>
      </c>
      <c r="K53" s="99">
        <f>SUMIF(Import!$B:$B,$A53,Import!F:F)</f>
        <v>66786.429999999993</v>
      </c>
      <c r="L53" s="99">
        <f>SUMIF(Import!$B:$B,$A53,Import!G:G)</f>
        <v>66077.119999999995</v>
      </c>
      <c r="M53" s="99">
        <f>SUMIF(Import!$B:$B,$A53,Import!H:H)</f>
        <v>73110</v>
      </c>
      <c r="N53" s="99">
        <f>SUMIF(Import!$B:$B,$A53,Import!I:I)</f>
        <v>51543.13</v>
      </c>
      <c r="O53" s="99">
        <f>SUMIF(Import!$B:$B,$A53,Import!J:J)</f>
        <v>67273</v>
      </c>
      <c r="P53" s="99">
        <f t="shared" si="34"/>
        <v>-5837</v>
      </c>
      <c r="Q53" s="99">
        <f>SUMIF(Import!$B:$B,$A53,Import!K:K)</f>
        <v>71811</v>
      </c>
      <c r="R53" s="99">
        <f>SUMIF(Import!$B:$B,$A53,Import!L:L)</f>
        <v>0</v>
      </c>
      <c r="S53" s="99">
        <f>SUMIF(Import!$B:$B,$A53,Import!M:M)</f>
        <v>0</v>
      </c>
      <c r="T53" s="99">
        <f>SUMIF(Import!$B:$B,$A53,Import!N:N)</f>
        <v>71811</v>
      </c>
      <c r="U53" s="99">
        <f t="shared" si="35"/>
        <v>-1299</v>
      </c>
      <c r="V53" s="255">
        <f t="shared" si="36"/>
        <v>-1.7767747230201025E-2</v>
      </c>
      <c r="W53" s="102" t="s">
        <v>1246</v>
      </c>
      <c r="X53" s="103" t="str">
        <f t="shared" si="37"/>
        <v>OK</v>
      </c>
      <c r="Y53" s="271"/>
      <c r="Z53" s="121"/>
      <c r="AA53" s="121"/>
      <c r="AB53" s="121"/>
      <c r="AC53" s="121"/>
      <c r="AD53" s="121"/>
      <c r="AE53" s="121"/>
      <c r="AF53" s="121"/>
      <c r="AG53" s="121"/>
      <c r="AH53" s="121"/>
      <c r="AI53" s="121"/>
      <c r="AJ53" s="121"/>
      <c r="AK53" s="121"/>
      <c r="AL53" s="121"/>
    </row>
    <row r="54" spans="1:38" s="115" customFormat="1">
      <c r="A54" s="555"/>
      <c r="B54" s="217"/>
      <c r="C54" s="217"/>
      <c r="D54" s="101"/>
      <c r="E54" s="217"/>
      <c r="F54" s="294"/>
      <c r="G54" s="146"/>
      <c r="H54" s="107" t="str">
        <f>UPPER(G53)&amp;" TOTAL"</f>
        <v>PERSONNEL SERVICES TOTAL</v>
      </c>
      <c r="I54" s="108">
        <f t="shared" ref="I54" si="38">SUBTOTAL(9,I43:I53)</f>
        <v>621671.79</v>
      </c>
      <c r="J54" s="108">
        <f t="shared" ref="J54:P54" si="39">SUBTOTAL(9,J43:J53)</f>
        <v>593922.93000000017</v>
      </c>
      <c r="K54" s="108">
        <f t="shared" ref="K54" si="40">SUBTOTAL(9,K43:K53)</f>
        <v>599434.51</v>
      </c>
      <c r="L54" s="108">
        <f t="shared" ref="L54" si="41">SUBTOTAL(9,L43:L53)</f>
        <v>697879.51</v>
      </c>
      <c r="M54" s="108">
        <f t="shared" si="39"/>
        <v>663386</v>
      </c>
      <c r="N54" s="108">
        <f t="shared" ref="N54" si="42">SUBTOTAL(9,N43:N53)</f>
        <v>464247.70999999996</v>
      </c>
      <c r="O54" s="108">
        <f t="shared" si="39"/>
        <v>608203</v>
      </c>
      <c r="P54" s="108">
        <f t="shared" si="39"/>
        <v>-55183</v>
      </c>
      <c r="Q54" s="108">
        <f t="shared" ref="Q54:T54" si="43">SUBTOTAL(9,Q43:Q53)</f>
        <v>632036</v>
      </c>
      <c r="R54" s="108">
        <f t="shared" si="43"/>
        <v>0</v>
      </c>
      <c r="S54" s="108">
        <f t="shared" si="43"/>
        <v>0</v>
      </c>
      <c r="T54" s="108">
        <f t="shared" si="43"/>
        <v>632036</v>
      </c>
      <c r="U54" s="99">
        <f>T54-M54</f>
        <v>-31350</v>
      </c>
      <c r="V54" s="259">
        <f>IF(M54=0,"N/A",T54/M54-1)</f>
        <v>-4.7257554425327086E-2</v>
      </c>
      <c r="W54" s="102"/>
      <c r="X54" s="103" t="str">
        <f t="shared" si="37"/>
        <v>OK</v>
      </c>
      <c r="Y54" s="271"/>
      <c r="Z54" s="121"/>
      <c r="AA54" s="121"/>
      <c r="AB54" s="121"/>
      <c r="AC54" s="121"/>
      <c r="AD54" s="121"/>
      <c r="AE54" s="121"/>
      <c r="AF54" s="121"/>
      <c r="AG54" s="121"/>
      <c r="AH54" s="121"/>
      <c r="AI54" s="121"/>
      <c r="AJ54" s="121"/>
      <c r="AK54" s="121"/>
      <c r="AL54" s="121"/>
    </row>
    <row r="55" spans="1:38" s="115" customFormat="1">
      <c r="A55" s="555"/>
      <c r="B55" s="217"/>
      <c r="C55" s="217"/>
      <c r="D55" s="101"/>
      <c r="E55" s="217"/>
      <c r="F55" s="294"/>
      <c r="G55" s="146"/>
      <c r="H55" s="98"/>
      <c r="I55" s="218"/>
      <c r="J55" s="218"/>
      <c r="K55" s="218"/>
      <c r="L55" s="218"/>
      <c r="M55" s="218"/>
      <c r="N55" s="226"/>
      <c r="O55" s="226"/>
      <c r="P55" s="226"/>
      <c r="Q55" s="111"/>
      <c r="R55" s="111"/>
      <c r="S55" s="111"/>
      <c r="T55" s="111"/>
      <c r="U55" s="111"/>
      <c r="V55" s="111"/>
      <c r="W55" s="102"/>
      <c r="X55" s="103" t="str">
        <f t="shared" si="37"/>
        <v/>
      </c>
      <c r="Y55" s="271"/>
      <c r="Z55" s="121"/>
      <c r="AA55" s="121"/>
      <c r="AB55" s="121"/>
      <c r="AC55" s="121"/>
      <c r="AD55" s="121"/>
      <c r="AE55" s="121"/>
      <c r="AF55" s="121"/>
      <c r="AG55" s="121"/>
      <c r="AH55" s="121"/>
      <c r="AI55" s="121"/>
      <c r="AJ55" s="121"/>
      <c r="AK55" s="121"/>
      <c r="AL55" s="121"/>
    </row>
    <row r="56" spans="1:38" s="115" customFormat="1" ht="15" customHeight="1">
      <c r="A56" s="555" t="s">
        <v>1247</v>
      </c>
      <c r="B56" s="217" t="str">
        <f t="shared" si="21"/>
        <v>200</v>
      </c>
      <c r="C56" s="217" t="str">
        <f t="shared" si="22"/>
        <v>70</v>
      </c>
      <c r="D56" s="101" t="str">
        <f t="shared" si="23"/>
        <v>701</v>
      </c>
      <c r="E56" s="217" t="str">
        <f t="shared" si="24"/>
        <v>200-70-701</v>
      </c>
      <c r="F56" s="294" t="str">
        <f t="shared" si="25"/>
        <v>51210</v>
      </c>
      <c r="G56" s="295" t="str">
        <f>VLOOKUP(F56,'GL Category'!A:C,3,FALSE)</f>
        <v>Operations &amp; maintenance</v>
      </c>
      <c r="H56" s="98" t="str">
        <f>VLOOKUP(F56,'GL Category'!A:C,2,FALSE)</f>
        <v>OFFICE SUPPLIES</v>
      </c>
      <c r="I56" s="99">
        <f>SUMIF(Import!$B:$B,$A56,Import!D:D)</f>
        <v>1072.92</v>
      </c>
      <c r="J56" s="99">
        <f>SUMIF(Import!$B:$B,$A56,Import!E:E)</f>
        <v>937.07</v>
      </c>
      <c r="K56" s="99">
        <f>SUMIF(Import!$B:$B,$A56,Import!F:F)</f>
        <v>1299.93</v>
      </c>
      <c r="L56" s="99">
        <f>SUMIF(Import!$B:$B,$A56,Import!G:G)</f>
        <v>458.19</v>
      </c>
      <c r="M56" s="99">
        <f>SUMIF(Import!$B:$B,$A56,Import!H:H)</f>
        <v>1000</v>
      </c>
      <c r="N56" s="99">
        <f>SUMIF(Import!$B:$B,$A56,Import!I:I)</f>
        <v>372.62</v>
      </c>
      <c r="O56" s="99">
        <f>SUMIF(Import!$B:$B,$A56,Import!J:J)</f>
        <v>1000</v>
      </c>
      <c r="P56" s="99">
        <f t="shared" ref="P56:P63" si="44">O56-M56</f>
        <v>0</v>
      </c>
      <c r="Q56" s="99">
        <f>SUMIF(Import!$B:$B,$A56,Import!K:K)</f>
        <v>1000</v>
      </c>
      <c r="R56" s="99">
        <f>SUMIF(Import!$B:$B,$A56,Import!L:L)</f>
        <v>0</v>
      </c>
      <c r="S56" s="99">
        <f>SUMIF(Import!$B:$B,$A56,Import!M:M)</f>
        <v>0</v>
      </c>
      <c r="T56" s="99">
        <f>SUMIF(Import!$B:$B,$A56,Import!N:N)</f>
        <v>1000</v>
      </c>
      <c r="U56" s="99">
        <f t="shared" ref="U56:U63" si="45">T56-M56</f>
        <v>0</v>
      </c>
      <c r="V56" s="255">
        <f t="shared" ref="V56:V63" si="46">IF(M56=0,"N/A",T56/M56-1)</f>
        <v>0</v>
      </c>
      <c r="W56" s="102" t="s">
        <v>1247</v>
      </c>
      <c r="X56" s="103" t="str">
        <f t="shared" si="37"/>
        <v>OK</v>
      </c>
      <c r="Y56" s="271"/>
      <c r="Z56" s="121"/>
      <c r="AA56" s="121"/>
      <c r="AB56" s="121"/>
      <c r="AC56" s="121"/>
      <c r="AD56" s="121"/>
      <c r="AE56" s="121"/>
      <c r="AF56" s="121"/>
      <c r="AG56" s="121"/>
      <c r="AH56" s="121"/>
      <c r="AI56" s="121"/>
      <c r="AJ56" s="121"/>
      <c r="AK56" s="121"/>
      <c r="AL56" s="121"/>
    </row>
    <row r="57" spans="1:38" s="115" customFormat="1" ht="15" customHeight="1">
      <c r="A57" s="555" t="s">
        <v>1248</v>
      </c>
      <c r="B57" s="217" t="str">
        <f t="shared" si="21"/>
        <v>200</v>
      </c>
      <c r="C57" s="217" t="str">
        <f t="shared" si="22"/>
        <v>70</v>
      </c>
      <c r="D57" s="101" t="str">
        <f t="shared" si="23"/>
        <v>701</v>
      </c>
      <c r="E57" s="217" t="str">
        <f t="shared" si="24"/>
        <v>200-70-701</v>
      </c>
      <c r="F57" s="294" t="str">
        <f t="shared" si="25"/>
        <v>51245</v>
      </c>
      <c r="G57" s="295" t="str">
        <f>VLOOKUP(F57,'GL Category'!A:C,3,FALSE)</f>
        <v>Operations &amp; maintenance</v>
      </c>
      <c r="H57" s="98" t="str">
        <f>VLOOKUP(F57,'GL Category'!A:C,2,FALSE)</f>
        <v>SMALL TOOLS &amp; EQUIPMENT</v>
      </c>
      <c r="I57" s="99">
        <f>SUMIF(Import!$B:$B,$A57,Import!D:D)</f>
        <v>32.14</v>
      </c>
      <c r="J57" s="99">
        <f>SUMIF(Import!$B:$B,$A57,Import!E:E)</f>
        <v>0</v>
      </c>
      <c r="K57" s="99">
        <f>SUMIF(Import!$B:$B,$A57,Import!F:F)</f>
        <v>53.25</v>
      </c>
      <c r="L57" s="99">
        <f>SUMIF(Import!$B:$B,$A57,Import!G:G)</f>
        <v>158.84</v>
      </c>
      <c r="M57" s="99">
        <f>SUMIF(Import!$B:$B,$A57,Import!H:H)</f>
        <v>0</v>
      </c>
      <c r="N57" s="99">
        <f>SUMIF(Import!$B:$B,$A57,Import!I:I)</f>
        <v>0</v>
      </c>
      <c r="O57" s="99">
        <f>SUMIF(Import!$B:$B,$A57,Import!J:J)</f>
        <v>0</v>
      </c>
      <c r="P57" s="99">
        <f t="shared" si="44"/>
        <v>0</v>
      </c>
      <c r="Q57" s="99">
        <f>SUMIF(Import!$B:$B,$A57,Import!K:K)</f>
        <v>0</v>
      </c>
      <c r="R57" s="99">
        <f>SUMIF(Import!$B:$B,$A57,Import!L:L)</f>
        <v>0</v>
      </c>
      <c r="S57" s="99">
        <f>SUMIF(Import!$B:$B,$A57,Import!M:M)</f>
        <v>0</v>
      </c>
      <c r="T57" s="99">
        <f>SUMIF(Import!$B:$B,$A57,Import!N:N)</f>
        <v>0</v>
      </c>
      <c r="U57" s="99">
        <f t="shared" si="45"/>
        <v>0</v>
      </c>
      <c r="V57" s="255" t="str">
        <f t="shared" si="46"/>
        <v>N/A</v>
      </c>
      <c r="W57" s="102" t="s">
        <v>1248</v>
      </c>
      <c r="X57" s="103" t="str">
        <f t="shared" si="37"/>
        <v>OK</v>
      </c>
      <c r="Y57" s="271"/>
      <c r="Z57" s="121"/>
      <c r="AA57" s="121"/>
      <c r="AB57" s="121"/>
      <c r="AC57" s="121"/>
      <c r="AD57" s="121"/>
      <c r="AE57" s="121"/>
      <c r="AF57" s="121"/>
      <c r="AG57" s="121"/>
      <c r="AH57" s="121"/>
      <c r="AI57" s="121"/>
      <c r="AJ57" s="121"/>
      <c r="AK57" s="121"/>
      <c r="AL57" s="121"/>
    </row>
    <row r="58" spans="1:38" s="115" customFormat="1" ht="15" customHeight="1">
      <c r="A58" s="555" t="s">
        <v>1249</v>
      </c>
      <c r="B58" s="217" t="str">
        <f t="shared" si="21"/>
        <v>200</v>
      </c>
      <c r="C58" s="217" t="str">
        <f t="shared" si="22"/>
        <v>70</v>
      </c>
      <c r="D58" s="101" t="str">
        <f t="shared" si="23"/>
        <v>701</v>
      </c>
      <c r="E58" s="217" t="str">
        <f t="shared" si="24"/>
        <v>200-70-701</v>
      </c>
      <c r="F58" s="294" t="str">
        <f t="shared" si="25"/>
        <v>51255</v>
      </c>
      <c r="G58" s="295" t="str">
        <f>VLOOKUP(F58,'GL Category'!A:C,3,FALSE)</f>
        <v>Operations &amp; maintenance</v>
      </c>
      <c r="H58" s="98" t="str">
        <f>VLOOKUP(F58,'GL Category'!A:C,2,FALSE)</f>
        <v>FUEL/OILS/LUBRICANTS</v>
      </c>
      <c r="I58" s="99">
        <f>SUMIF(Import!$B:$B,$A58,Import!D:D)</f>
        <v>1520.21</v>
      </c>
      <c r="J58" s="99">
        <f>SUMIF(Import!$B:$B,$A58,Import!E:E)</f>
        <v>2466.5700000000002</v>
      </c>
      <c r="K58" s="99">
        <f>SUMIF(Import!$B:$B,$A58,Import!F:F)</f>
        <v>2640.3</v>
      </c>
      <c r="L58" s="99">
        <f>SUMIF(Import!$B:$B,$A58,Import!G:G)</f>
        <v>3327.85</v>
      </c>
      <c r="M58" s="99">
        <f>SUMIF(Import!$B:$B,$A58,Import!H:H)</f>
        <v>4000</v>
      </c>
      <c r="N58" s="99">
        <f>SUMIF(Import!$B:$B,$A58,Import!I:I)</f>
        <v>2088.44</v>
      </c>
      <c r="O58" s="99">
        <f>SUMIF(Import!$B:$B,$A58,Import!J:J)</f>
        <v>3500</v>
      </c>
      <c r="P58" s="99">
        <f t="shared" si="44"/>
        <v>-500</v>
      </c>
      <c r="Q58" s="99">
        <f>SUMIF(Import!$B:$B,$A58,Import!K:K)</f>
        <v>4000</v>
      </c>
      <c r="R58" s="99">
        <f>SUMIF(Import!$B:$B,$A58,Import!L:L)</f>
        <v>0</v>
      </c>
      <c r="S58" s="99">
        <f>SUMIF(Import!$B:$B,$A58,Import!M:M)</f>
        <v>0</v>
      </c>
      <c r="T58" s="99">
        <f>SUMIF(Import!$B:$B,$A58,Import!N:N)</f>
        <v>4000</v>
      </c>
      <c r="U58" s="99">
        <f t="shared" si="45"/>
        <v>0</v>
      </c>
      <c r="V58" s="255">
        <f t="shared" si="46"/>
        <v>0</v>
      </c>
      <c r="W58" s="102" t="s">
        <v>1249</v>
      </c>
      <c r="X58" s="103" t="str">
        <f t="shared" si="37"/>
        <v>OK</v>
      </c>
      <c r="Y58" s="271"/>
      <c r="Z58" s="121"/>
      <c r="AA58" s="121"/>
      <c r="AB58" s="121"/>
      <c r="AC58" s="121"/>
      <c r="AD58" s="121"/>
      <c r="AE58" s="121"/>
      <c r="AF58" s="121"/>
      <c r="AG58" s="121"/>
      <c r="AH58" s="121"/>
      <c r="AI58" s="121"/>
      <c r="AJ58" s="121"/>
      <c r="AK58" s="121"/>
      <c r="AL58" s="121"/>
    </row>
    <row r="59" spans="1:38" s="115" customFormat="1" ht="15" customHeight="1">
      <c r="A59" s="555" t="s">
        <v>1250</v>
      </c>
      <c r="B59" s="217" t="str">
        <f t="shared" si="21"/>
        <v>200</v>
      </c>
      <c r="C59" s="217" t="str">
        <f t="shared" si="22"/>
        <v>70</v>
      </c>
      <c r="D59" s="101" t="str">
        <f t="shared" si="23"/>
        <v>701</v>
      </c>
      <c r="E59" s="217" t="str">
        <f t="shared" si="24"/>
        <v>200-70-701</v>
      </c>
      <c r="F59" s="294" t="str">
        <f t="shared" si="25"/>
        <v>51285</v>
      </c>
      <c r="G59" s="295" t="str">
        <f>VLOOKUP(F59,'GL Category'!A:C,3,FALSE)</f>
        <v>Operations &amp; maintenance</v>
      </c>
      <c r="H59" s="98" t="str">
        <f>VLOOKUP(F59,'GL Category'!A:C,2,FALSE)</f>
        <v>WEARING APPAREL</v>
      </c>
      <c r="I59" s="99">
        <f>SUMIF(Import!$B:$B,$A59,Import!D:D)</f>
        <v>288.14999999999998</v>
      </c>
      <c r="J59" s="99">
        <f>SUMIF(Import!$B:$B,$A59,Import!E:E)</f>
        <v>461.7</v>
      </c>
      <c r="K59" s="99">
        <f>SUMIF(Import!$B:$B,$A59,Import!F:F)</f>
        <v>766.38</v>
      </c>
      <c r="L59" s="99">
        <f>SUMIF(Import!$B:$B,$A59,Import!G:G)</f>
        <v>1357.35</v>
      </c>
      <c r="M59" s="99">
        <f>SUMIF(Import!$B:$B,$A59,Import!H:H)</f>
        <v>1000</v>
      </c>
      <c r="N59" s="99">
        <f>SUMIF(Import!$B:$B,$A59,Import!I:I)</f>
        <v>773.79</v>
      </c>
      <c r="O59" s="99">
        <f>SUMIF(Import!$B:$B,$A59,Import!J:J)</f>
        <v>1000</v>
      </c>
      <c r="P59" s="99">
        <f t="shared" si="44"/>
        <v>0</v>
      </c>
      <c r="Q59" s="99">
        <f>SUMIF(Import!$B:$B,$A59,Import!K:K)</f>
        <v>1000</v>
      </c>
      <c r="R59" s="99">
        <f>SUMIF(Import!$B:$B,$A59,Import!L:L)</f>
        <v>0</v>
      </c>
      <c r="S59" s="99">
        <f>SUMIF(Import!$B:$B,$A59,Import!M:M)</f>
        <v>0</v>
      </c>
      <c r="T59" s="99">
        <f>SUMIF(Import!$B:$B,$A59,Import!N:N)</f>
        <v>1000</v>
      </c>
      <c r="U59" s="99">
        <f t="shared" si="45"/>
        <v>0</v>
      </c>
      <c r="V59" s="255">
        <f t="shared" si="46"/>
        <v>0</v>
      </c>
      <c r="W59" s="102" t="s">
        <v>1250</v>
      </c>
      <c r="X59" s="103" t="str">
        <f t="shared" si="37"/>
        <v>OK</v>
      </c>
      <c r="Y59" s="271"/>
      <c r="Z59" s="121"/>
      <c r="AA59" s="121"/>
      <c r="AB59" s="121"/>
      <c r="AC59" s="121"/>
      <c r="AD59" s="121"/>
      <c r="AE59" s="121"/>
      <c r="AF59" s="121"/>
      <c r="AG59" s="121"/>
      <c r="AH59" s="121"/>
      <c r="AI59" s="121"/>
      <c r="AJ59" s="121"/>
      <c r="AK59" s="121"/>
      <c r="AL59" s="121"/>
    </row>
    <row r="60" spans="1:38" s="115" customFormat="1" ht="15" customHeight="1">
      <c r="A60" s="555" t="s">
        <v>1251</v>
      </c>
      <c r="B60" s="217" t="str">
        <f t="shared" si="21"/>
        <v>200</v>
      </c>
      <c r="C60" s="217" t="str">
        <f t="shared" si="22"/>
        <v>70</v>
      </c>
      <c r="D60" s="101" t="str">
        <f t="shared" si="23"/>
        <v>701</v>
      </c>
      <c r="E60" s="217" t="str">
        <f t="shared" si="24"/>
        <v>200-70-701</v>
      </c>
      <c r="F60" s="294" t="str">
        <f t="shared" si="25"/>
        <v>51287</v>
      </c>
      <c r="G60" s="295" t="str">
        <f>VLOOKUP(F60,'GL Category'!A:C,3,FALSE)</f>
        <v>Operations &amp; maintenance</v>
      </c>
      <c r="H60" s="98" t="str">
        <f>VLOOKUP(F60,'GL Category'!A:C,2,FALSE)</f>
        <v>SAFETY EQUIPMENT/SUPPLIES</v>
      </c>
      <c r="I60" s="99">
        <f>SUMIF(Import!$B:$B,$A60,Import!D:D)</f>
        <v>344.76</v>
      </c>
      <c r="J60" s="99">
        <f>SUMIF(Import!$B:$B,$A60,Import!E:E)</f>
        <v>143.72</v>
      </c>
      <c r="K60" s="99">
        <f>SUMIF(Import!$B:$B,$A60,Import!F:F)</f>
        <v>4364.58</v>
      </c>
      <c r="L60" s="99">
        <f>SUMIF(Import!$B:$B,$A60,Import!G:G)</f>
        <v>18828.599999999999</v>
      </c>
      <c r="M60" s="99">
        <f>SUMIF(Import!$B:$B,$A60,Import!H:H)</f>
        <v>14000</v>
      </c>
      <c r="N60" s="99">
        <f>SUMIF(Import!$B:$B,$A60,Import!I:I)</f>
        <v>17560.669999999998</v>
      </c>
      <c r="O60" s="99">
        <f>SUMIF(Import!$B:$B,$A60,Import!J:J)</f>
        <v>14000</v>
      </c>
      <c r="P60" s="99">
        <f t="shared" si="44"/>
        <v>0</v>
      </c>
      <c r="Q60" s="99">
        <f>SUMIF(Import!$B:$B,$A60,Import!K:K)</f>
        <v>14000</v>
      </c>
      <c r="R60" s="99">
        <f>SUMIF(Import!$B:$B,$A60,Import!L:L)</f>
        <v>0</v>
      </c>
      <c r="S60" s="99">
        <f>SUMIF(Import!$B:$B,$A60,Import!M:M)</f>
        <v>0</v>
      </c>
      <c r="T60" s="99">
        <f>SUMIF(Import!$B:$B,$A60,Import!N:N)</f>
        <v>14000</v>
      </c>
      <c r="U60" s="99">
        <f t="shared" si="45"/>
        <v>0</v>
      </c>
      <c r="V60" s="255">
        <f t="shared" si="46"/>
        <v>0</v>
      </c>
      <c r="W60" s="102" t="s">
        <v>1251</v>
      </c>
      <c r="X60" s="103" t="str">
        <f t="shared" si="37"/>
        <v>OK</v>
      </c>
      <c r="Y60" s="271"/>
      <c r="Z60" s="121"/>
      <c r="AA60" s="121"/>
      <c r="AB60" s="121"/>
      <c r="AC60" s="121"/>
      <c r="AD60" s="121"/>
      <c r="AE60" s="121"/>
      <c r="AF60" s="121"/>
      <c r="AG60" s="121"/>
      <c r="AH60" s="121"/>
      <c r="AI60" s="121"/>
      <c r="AJ60" s="121"/>
      <c r="AK60" s="121"/>
      <c r="AL60" s="121"/>
    </row>
    <row r="61" spans="1:38" s="115" customFormat="1" ht="15" customHeight="1">
      <c r="A61" s="555" t="s">
        <v>1252</v>
      </c>
      <c r="B61" s="217" t="str">
        <f t="shared" si="21"/>
        <v>200</v>
      </c>
      <c r="C61" s="217" t="str">
        <f t="shared" si="22"/>
        <v>70</v>
      </c>
      <c r="D61" s="101" t="str">
        <f t="shared" si="23"/>
        <v>701</v>
      </c>
      <c r="E61" s="217" t="str">
        <f t="shared" si="24"/>
        <v>200-70-701</v>
      </c>
      <c r="F61" s="294" t="str">
        <f t="shared" si="25"/>
        <v>51299</v>
      </c>
      <c r="G61" s="295" t="str">
        <f>VLOOKUP(F61,'GL Category'!A:C,3,FALSE)</f>
        <v>Operations &amp; maintenance</v>
      </c>
      <c r="H61" s="98" t="str">
        <f>VLOOKUP(F61,'GL Category'!A:C,2,FALSE)</f>
        <v>MISCELLANEOUS SUPPLIES</v>
      </c>
      <c r="I61" s="99">
        <f>SUMIF(Import!$B:$B,$A61,Import!D:D)</f>
        <v>0</v>
      </c>
      <c r="J61" s="99">
        <f>SUMIF(Import!$B:$B,$A61,Import!E:E)</f>
        <v>0</v>
      </c>
      <c r="K61" s="99">
        <f>SUMIF(Import!$B:$B,$A61,Import!F:F)</f>
        <v>917.82</v>
      </c>
      <c r="L61" s="99">
        <f>SUMIF(Import!$B:$B,$A61,Import!G:G)</f>
        <v>0</v>
      </c>
      <c r="M61" s="99">
        <f>SUMIF(Import!$B:$B,$A61,Import!H:H)</f>
        <v>0</v>
      </c>
      <c r="N61" s="99">
        <f>SUMIF(Import!$B:$B,$A61,Import!I:I)</f>
        <v>0</v>
      </c>
      <c r="O61" s="99">
        <f>SUMIF(Import!$B:$B,$A61,Import!J:J)</f>
        <v>0</v>
      </c>
      <c r="P61" s="99">
        <f t="shared" si="44"/>
        <v>0</v>
      </c>
      <c r="Q61" s="99">
        <f>SUMIF(Import!$B:$B,$A61,Import!K:K)</f>
        <v>0</v>
      </c>
      <c r="R61" s="99">
        <f>SUMIF(Import!$B:$B,$A61,Import!L:L)</f>
        <v>0</v>
      </c>
      <c r="S61" s="99">
        <f>SUMIF(Import!$B:$B,$A61,Import!M:M)</f>
        <v>0</v>
      </c>
      <c r="T61" s="99">
        <f>SUMIF(Import!$B:$B,$A61,Import!N:N)</f>
        <v>0</v>
      </c>
      <c r="U61" s="99">
        <f t="shared" si="45"/>
        <v>0</v>
      </c>
      <c r="V61" s="255" t="str">
        <f t="shared" si="46"/>
        <v>N/A</v>
      </c>
      <c r="W61" s="102" t="s">
        <v>1252</v>
      </c>
      <c r="X61" s="103" t="str">
        <f t="shared" si="37"/>
        <v>OK</v>
      </c>
      <c r="Y61" s="271"/>
      <c r="Z61" s="121"/>
      <c r="AA61" s="121"/>
      <c r="AB61" s="121"/>
      <c r="AC61" s="121"/>
      <c r="AD61" s="121"/>
      <c r="AE61" s="121"/>
      <c r="AF61" s="121"/>
      <c r="AG61" s="121"/>
      <c r="AH61" s="121"/>
      <c r="AI61" s="121"/>
      <c r="AJ61" s="121"/>
      <c r="AK61" s="121"/>
      <c r="AL61" s="121"/>
    </row>
    <row r="62" spans="1:38" s="115" customFormat="1" ht="15" customHeight="1">
      <c r="A62" s="555" t="s">
        <v>1253</v>
      </c>
      <c r="B62" s="217" t="str">
        <f t="shared" si="21"/>
        <v>200</v>
      </c>
      <c r="C62" s="217" t="str">
        <f t="shared" si="22"/>
        <v>70</v>
      </c>
      <c r="D62" s="101" t="str">
        <f t="shared" si="23"/>
        <v>701</v>
      </c>
      <c r="E62" s="217" t="str">
        <f t="shared" si="24"/>
        <v>200-70-701</v>
      </c>
      <c r="F62" s="294" t="str">
        <f t="shared" si="25"/>
        <v>52440</v>
      </c>
      <c r="G62" s="295" t="str">
        <f>VLOOKUP(F62,'GL Category'!A:C,3,FALSE)</f>
        <v>Operations &amp; maintenance</v>
      </c>
      <c r="H62" s="98" t="str">
        <f>VLOOKUP(F62,'GL Category'!A:C,2,FALSE)</f>
        <v>RADIO MAINTENANCE</v>
      </c>
      <c r="I62" s="99">
        <f>SUMIF(Import!$B:$B,$A62,Import!D:D)</f>
        <v>97.24</v>
      </c>
      <c r="J62" s="99">
        <f>SUMIF(Import!$B:$B,$A62,Import!E:E)</f>
        <v>108.3</v>
      </c>
      <c r="K62" s="99">
        <f>SUMIF(Import!$B:$B,$A62,Import!F:F)</f>
        <v>109.9</v>
      </c>
      <c r="L62" s="99">
        <f>SUMIF(Import!$B:$B,$A62,Import!G:G)</f>
        <v>111.49</v>
      </c>
      <c r="M62" s="99">
        <f>SUMIF(Import!$B:$B,$A62,Import!H:H)</f>
        <v>355</v>
      </c>
      <c r="N62" s="99">
        <f>SUMIF(Import!$B:$B,$A62,Import!I:I)</f>
        <v>113.09</v>
      </c>
      <c r="O62" s="99">
        <f>SUMIF(Import!$B:$B,$A62,Import!J:J)</f>
        <v>355</v>
      </c>
      <c r="P62" s="99">
        <f t="shared" si="44"/>
        <v>0</v>
      </c>
      <c r="Q62" s="99">
        <f>SUMIF(Import!$B:$B,$A62,Import!K:K)</f>
        <v>355</v>
      </c>
      <c r="R62" s="99">
        <f>SUMIF(Import!$B:$B,$A62,Import!L:L)</f>
        <v>0</v>
      </c>
      <c r="S62" s="99">
        <f>SUMIF(Import!$B:$B,$A62,Import!M:M)</f>
        <v>0</v>
      </c>
      <c r="T62" s="99">
        <f>SUMIF(Import!$B:$B,$A62,Import!N:N)</f>
        <v>355</v>
      </c>
      <c r="U62" s="99">
        <f t="shared" si="45"/>
        <v>0</v>
      </c>
      <c r="V62" s="255">
        <f t="shared" si="46"/>
        <v>0</v>
      </c>
      <c r="W62" s="102" t="s">
        <v>1253</v>
      </c>
      <c r="X62" s="103" t="str">
        <f t="shared" si="37"/>
        <v>OK</v>
      </c>
      <c r="Y62" s="271"/>
      <c r="Z62" s="121"/>
      <c r="AA62" s="121"/>
      <c r="AB62" s="121"/>
      <c r="AC62" s="121"/>
      <c r="AD62" s="121"/>
      <c r="AE62" s="121"/>
      <c r="AF62" s="121"/>
      <c r="AG62" s="121"/>
      <c r="AH62" s="121"/>
      <c r="AI62" s="121"/>
      <c r="AJ62" s="121"/>
      <c r="AK62" s="121"/>
      <c r="AL62" s="121"/>
    </row>
    <row r="63" spans="1:38" s="115" customFormat="1" ht="15" customHeight="1">
      <c r="A63" s="555" t="s">
        <v>1254</v>
      </c>
      <c r="B63" s="217" t="str">
        <f t="shared" si="21"/>
        <v>200</v>
      </c>
      <c r="C63" s="217" t="str">
        <f t="shared" si="22"/>
        <v>70</v>
      </c>
      <c r="D63" s="101" t="str">
        <f t="shared" si="23"/>
        <v>701</v>
      </c>
      <c r="E63" s="217" t="str">
        <f t="shared" si="24"/>
        <v>200-70-701</v>
      </c>
      <c r="F63" s="294" t="str">
        <f t="shared" si="25"/>
        <v>52460</v>
      </c>
      <c r="G63" s="295" t="str">
        <f>VLOOKUP(F63,'GL Category'!A:C,3,FALSE)</f>
        <v>Operations &amp; maintenance</v>
      </c>
      <c r="H63" s="98" t="str">
        <f>VLOOKUP(F63,'GL Category'!A:C,2,FALSE)</f>
        <v>VEHICLE MAINTENANCE</v>
      </c>
      <c r="I63" s="99">
        <f>SUMIF(Import!$B:$B,$A63,Import!D:D)</f>
        <v>1048.25</v>
      </c>
      <c r="J63" s="99">
        <f>SUMIF(Import!$B:$B,$A63,Import!E:E)</f>
        <v>922.31</v>
      </c>
      <c r="K63" s="99">
        <f>SUMIF(Import!$B:$B,$A63,Import!F:F)</f>
        <v>2759.6</v>
      </c>
      <c r="L63" s="99">
        <f>SUMIF(Import!$B:$B,$A63,Import!G:G)</f>
        <v>750.9</v>
      </c>
      <c r="M63" s="99">
        <f>SUMIF(Import!$B:$B,$A63,Import!H:H)</f>
        <v>2500</v>
      </c>
      <c r="N63" s="99">
        <f>SUMIF(Import!$B:$B,$A63,Import!I:I)</f>
        <v>292.2</v>
      </c>
      <c r="O63" s="99">
        <f>SUMIF(Import!$B:$B,$A63,Import!J:J)</f>
        <v>1000</v>
      </c>
      <c r="P63" s="99">
        <f t="shared" si="44"/>
        <v>-1500</v>
      </c>
      <c r="Q63" s="99">
        <f>SUMIF(Import!$B:$B,$A63,Import!K:K)</f>
        <v>2500</v>
      </c>
      <c r="R63" s="99">
        <f>SUMIF(Import!$B:$B,$A63,Import!L:L)</f>
        <v>0</v>
      </c>
      <c r="S63" s="99">
        <f>SUMIF(Import!$B:$B,$A63,Import!M:M)</f>
        <v>0</v>
      </c>
      <c r="T63" s="99">
        <f>SUMIF(Import!$B:$B,$A63,Import!N:N)</f>
        <v>2500</v>
      </c>
      <c r="U63" s="99">
        <f t="shared" si="45"/>
        <v>0</v>
      </c>
      <c r="V63" s="255">
        <f t="shared" si="46"/>
        <v>0</v>
      </c>
      <c r="W63" s="102" t="s">
        <v>1254</v>
      </c>
      <c r="X63" s="103" t="str">
        <f t="shared" si="37"/>
        <v>OK</v>
      </c>
      <c r="Y63" s="271"/>
      <c r="Z63" s="121"/>
      <c r="AA63" s="121"/>
      <c r="AB63" s="121"/>
      <c r="AC63" s="121"/>
      <c r="AD63" s="121"/>
      <c r="AE63" s="121"/>
      <c r="AF63" s="121"/>
      <c r="AG63" s="121"/>
      <c r="AH63" s="121"/>
      <c r="AI63" s="121"/>
      <c r="AJ63" s="121"/>
      <c r="AK63" s="121"/>
      <c r="AL63" s="121"/>
    </row>
    <row r="64" spans="1:38" s="115" customFormat="1" ht="26.4">
      <c r="A64" s="555"/>
      <c r="B64" s="217"/>
      <c r="C64" s="217"/>
      <c r="D64" s="101"/>
      <c r="E64" s="217"/>
      <c r="F64" s="294"/>
      <c r="G64" s="146"/>
      <c r="H64" s="107" t="str">
        <f>UPPER(G63)&amp;" TOTAL"</f>
        <v>OPERATIONS &amp; MAINTENANCE TOTAL</v>
      </c>
      <c r="I64" s="108">
        <f t="shared" ref="I64" si="47">SUBTOTAL(9,I56:I63)</f>
        <v>4403.67</v>
      </c>
      <c r="J64" s="108">
        <f t="shared" ref="J64:T64" si="48">SUBTOTAL(9,J56:J63)</f>
        <v>5039.67</v>
      </c>
      <c r="K64" s="108">
        <f t="shared" ref="K64" si="49">SUBTOTAL(9,K56:K63)</f>
        <v>12911.76</v>
      </c>
      <c r="L64" s="108">
        <f t="shared" ref="L64" si="50">SUBTOTAL(9,L56:L63)</f>
        <v>24993.22</v>
      </c>
      <c r="M64" s="108">
        <f t="shared" si="48"/>
        <v>22855</v>
      </c>
      <c r="N64" s="108">
        <f t="shared" ref="N64" si="51">SUBTOTAL(9,N56:N63)</f>
        <v>21200.809999999998</v>
      </c>
      <c r="O64" s="108">
        <f t="shared" si="48"/>
        <v>20855</v>
      </c>
      <c r="P64" s="108">
        <f t="shared" si="48"/>
        <v>-2000</v>
      </c>
      <c r="Q64" s="108">
        <f t="shared" si="48"/>
        <v>22855</v>
      </c>
      <c r="R64" s="108">
        <f t="shared" si="48"/>
        <v>0</v>
      </c>
      <c r="S64" s="108">
        <f t="shared" si="48"/>
        <v>0</v>
      </c>
      <c r="T64" s="108">
        <f t="shared" si="48"/>
        <v>22855</v>
      </c>
      <c r="U64" s="99">
        <f>T64-M64</f>
        <v>0</v>
      </c>
      <c r="V64" s="259">
        <f>IF(M64=0,"N/A",T64/M64-1)</f>
        <v>0</v>
      </c>
      <c r="W64" s="102"/>
      <c r="X64" s="103" t="str">
        <f t="shared" si="37"/>
        <v>OK</v>
      </c>
      <c r="Y64" s="271"/>
      <c r="Z64" s="121"/>
      <c r="AA64" s="121"/>
      <c r="AB64" s="121"/>
      <c r="AC64" s="121"/>
      <c r="AD64" s="121"/>
      <c r="AE64" s="121"/>
      <c r="AF64" s="121"/>
      <c r="AG64" s="121"/>
      <c r="AH64" s="121"/>
      <c r="AI64" s="121"/>
      <c r="AJ64" s="121"/>
      <c r="AK64" s="121"/>
      <c r="AL64" s="121"/>
    </row>
    <row r="65" spans="1:38" s="115" customFormat="1">
      <c r="A65" s="555"/>
      <c r="B65" s="217"/>
      <c r="C65" s="217"/>
      <c r="D65" s="101"/>
      <c r="E65" s="217"/>
      <c r="F65" s="294"/>
      <c r="G65" s="146"/>
      <c r="H65" s="98"/>
      <c r="I65" s="99"/>
      <c r="J65" s="99"/>
      <c r="K65" s="99"/>
      <c r="L65" s="99"/>
      <c r="M65" s="99"/>
      <c r="N65" s="99"/>
      <c r="O65" s="99"/>
      <c r="P65" s="99"/>
      <c r="Q65" s="99"/>
      <c r="R65" s="99"/>
      <c r="S65" s="99"/>
      <c r="T65" s="100"/>
      <c r="U65" s="100"/>
      <c r="V65" s="111"/>
      <c r="W65" s="102"/>
      <c r="X65" s="103" t="str">
        <f t="shared" si="37"/>
        <v/>
      </c>
      <c r="Y65" s="271"/>
      <c r="Z65" s="121"/>
      <c r="AA65" s="121"/>
      <c r="AB65" s="121"/>
      <c r="AC65" s="121"/>
      <c r="AD65" s="121"/>
      <c r="AE65" s="121"/>
      <c r="AF65" s="121"/>
      <c r="AG65" s="121"/>
      <c r="AH65" s="121"/>
      <c r="AI65" s="121"/>
      <c r="AJ65" s="121"/>
      <c r="AK65" s="121"/>
      <c r="AL65" s="121"/>
    </row>
    <row r="66" spans="1:38" s="115" customFormat="1">
      <c r="A66" s="555" t="s">
        <v>1255</v>
      </c>
      <c r="B66" s="217" t="str">
        <f t="shared" si="21"/>
        <v>200</v>
      </c>
      <c r="C66" s="217" t="str">
        <f t="shared" si="22"/>
        <v>70</v>
      </c>
      <c r="D66" s="101" t="str">
        <f t="shared" si="23"/>
        <v>701</v>
      </c>
      <c r="E66" s="217" t="str">
        <f t="shared" si="24"/>
        <v>200-70-701</v>
      </c>
      <c r="F66" s="294" t="str">
        <f t="shared" si="25"/>
        <v>53505</v>
      </c>
      <c r="G66" s="295" t="str">
        <f>VLOOKUP(F66,'GL Category'!A:C,3,FALSE)</f>
        <v>Services &amp; other</v>
      </c>
      <c r="H66" s="98" t="str">
        <f>VLOOKUP(F66,'GL Category'!A:C,2,FALSE)</f>
        <v>PUBLIC EDUCATION SERVICES</v>
      </c>
      <c r="I66" s="99">
        <f>SUMIF(Import!$B:$B,$A66,Import!D:D)</f>
        <v>7571.51</v>
      </c>
      <c r="J66" s="99">
        <f>SUMIF(Import!$B:$B,$A66,Import!E:E)</f>
        <v>5940.68</v>
      </c>
      <c r="K66" s="99">
        <f>SUMIF(Import!$B:$B,$A66,Import!F:F)</f>
        <v>6899.74</v>
      </c>
      <c r="L66" s="99">
        <f>SUMIF(Import!$B:$B,$A66,Import!G:G)</f>
        <v>5484.18</v>
      </c>
      <c r="M66" s="99">
        <f>SUMIF(Import!$B:$B,$A66,Import!H:H)</f>
        <v>8750</v>
      </c>
      <c r="N66" s="99">
        <f>SUMIF(Import!$B:$B,$A66,Import!I:I)</f>
        <v>5926.27</v>
      </c>
      <c r="O66" s="99">
        <f>SUMIF(Import!$B:$B,$A66,Import!J:J)</f>
        <v>8750</v>
      </c>
      <c r="P66" s="99">
        <f t="shared" ref="P66:P77" si="52">O66-M66</f>
        <v>0</v>
      </c>
      <c r="Q66" s="99">
        <f>SUMIF(Import!$B:$B,$A66,Import!K:K)</f>
        <v>8750</v>
      </c>
      <c r="R66" s="99">
        <f>SUMIF(Import!$B:$B,$A66,Import!L:L)</f>
        <v>0</v>
      </c>
      <c r="S66" s="99">
        <f>SUMIF(Import!$B:$B,$A66,Import!M:M)</f>
        <v>0</v>
      </c>
      <c r="T66" s="99">
        <f>SUMIF(Import!$B:$B,$A66,Import!N:N)</f>
        <v>8750</v>
      </c>
      <c r="U66" s="99">
        <f t="shared" ref="U66:U77" si="53">T66-M66</f>
        <v>0</v>
      </c>
      <c r="V66" s="255">
        <f t="shared" ref="V66:V77" si="54">IF(M66=0,"N/A",T66/M66-1)</f>
        <v>0</v>
      </c>
      <c r="W66" s="102" t="s">
        <v>1255</v>
      </c>
      <c r="X66" s="103" t="str">
        <f t="shared" si="37"/>
        <v>OK</v>
      </c>
      <c r="Y66" s="271"/>
      <c r="Z66" s="121"/>
      <c r="AA66" s="121"/>
      <c r="AB66" s="121"/>
      <c r="AC66" s="121"/>
      <c r="AD66" s="121"/>
      <c r="AE66" s="121"/>
      <c r="AF66" s="121"/>
      <c r="AG66" s="121"/>
      <c r="AH66" s="121"/>
      <c r="AI66" s="121"/>
      <c r="AJ66" s="121"/>
      <c r="AK66" s="121"/>
      <c r="AL66" s="121"/>
    </row>
    <row r="67" spans="1:38" s="115" customFormat="1">
      <c r="A67" s="555" t="s">
        <v>1256</v>
      </c>
      <c r="B67" s="217" t="str">
        <f t="shared" si="21"/>
        <v>200</v>
      </c>
      <c r="C67" s="217" t="str">
        <f t="shared" si="22"/>
        <v>70</v>
      </c>
      <c r="D67" s="101" t="str">
        <f t="shared" si="23"/>
        <v>701</v>
      </c>
      <c r="E67" s="217" t="str">
        <f t="shared" si="24"/>
        <v>200-70-701</v>
      </c>
      <c r="F67" s="294" t="str">
        <f t="shared" si="25"/>
        <v>53507</v>
      </c>
      <c r="G67" s="295" t="str">
        <f>VLOOKUP(F67,'GL Category'!A:C,3,FALSE)</f>
        <v>Services &amp; other</v>
      </c>
      <c r="H67" s="98" t="str">
        <f>VLOOKUP(F67,'GL Category'!A:C,2,FALSE)</f>
        <v>ATTORNEY &amp; LEGAL SERVICES</v>
      </c>
      <c r="I67" s="99">
        <f>SUMIF(Import!$B:$B,$A67,Import!D:D)</f>
        <v>0</v>
      </c>
      <c r="J67" s="99">
        <f>SUMIF(Import!$B:$B,$A67,Import!E:E)</f>
        <v>0</v>
      </c>
      <c r="K67" s="99">
        <f>SUMIF(Import!$B:$B,$A67,Import!F:F)</f>
        <v>0</v>
      </c>
      <c r="L67" s="99">
        <f>SUMIF(Import!$B:$B,$A67,Import!G:G)</f>
        <v>0</v>
      </c>
      <c r="M67" s="99">
        <f>SUMIF(Import!$B:$B,$A67,Import!H:H)</f>
        <v>0</v>
      </c>
      <c r="N67" s="99">
        <f>SUMIF(Import!$B:$B,$A67,Import!I:I)</f>
        <v>0</v>
      </c>
      <c r="O67" s="99">
        <f>SUMIF(Import!$B:$B,$A67,Import!J:J)</f>
        <v>0</v>
      </c>
      <c r="P67" s="99">
        <f t="shared" si="52"/>
        <v>0</v>
      </c>
      <c r="Q67" s="99">
        <f>SUMIF(Import!$B:$B,$A67,Import!K:K)</f>
        <v>0</v>
      </c>
      <c r="R67" s="99">
        <f>SUMIF(Import!$B:$B,$A67,Import!L:L)</f>
        <v>0</v>
      </c>
      <c r="S67" s="99">
        <f>SUMIF(Import!$B:$B,$A67,Import!M:M)</f>
        <v>0</v>
      </c>
      <c r="T67" s="99">
        <f>SUMIF(Import!$B:$B,$A67,Import!N:N)</f>
        <v>0</v>
      </c>
      <c r="U67" s="99">
        <f t="shared" si="53"/>
        <v>0</v>
      </c>
      <c r="V67" s="255" t="str">
        <f t="shared" si="54"/>
        <v>N/A</v>
      </c>
      <c r="W67" s="102" t="s">
        <v>1256</v>
      </c>
      <c r="X67" s="103" t="str">
        <f t="shared" si="37"/>
        <v>OK</v>
      </c>
      <c r="Y67" s="271"/>
      <c r="Z67" s="121"/>
      <c r="AA67" s="121"/>
      <c r="AB67" s="121"/>
      <c r="AC67" s="121"/>
      <c r="AD67" s="121"/>
      <c r="AE67" s="121"/>
      <c r="AF67" s="121"/>
      <c r="AG67" s="121"/>
      <c r="AH67" s="121"/>
      <c r="AI67" s="121"/>
      <c r="AJ67" s="121"/>
      <c r="AK67" s="121"/>
      <c r="AL67" s="121"/>
    </row>
    <row r="68" spans="1:38" s="115" customFormat="1">
      <c r="A68" s="555" t="s">
        <v>1258</v>
      </c>
      <c r="B68" s="217" t="str">
        <f t="shared" si="21"/>
        <v>200</v>
      </c>
      <c r="C68" s="217" t="str">
        <f t="shared" si="22"/>
        <v>70</v>
      </c>
      <c r="D68" s="101" t="str">
        <f t="shared" si="23"/>
        <v>701</v>
      </c>
      <c r="E68" s="217" t="str">
        <f t="shared" si="24"/>
        <v>200-70-701</v>
      </c>
      <c r="F68" s="294" t="str">
        <f t="shared" si="25"/>
        <v>53510</v>
      </c>
      <c r="G68" s="295" t="str">
        <f>VLOOKUP(F68,'GL Category'!A:C,3,FALSE)</f>
        <v>Services &amp; other</v>
      </c>
      <c r="H68" s="98" t="str">
        <f>VLOOKUP(F68,'GL Category'!A:C,2,FALSE)</f>
        <v>DUES &amp; SUBSCRIPTIONS</v>
      </c>
      <c r="I68" s="99">
        <f>SUMIF(Import!$B:$B,$A68,Import!D:D)</f>
        <v>665</v>
      </c>
      <c r="J68" s="99">
        <f>SUMIF(Import!$B:$B,$A68,Import!E:E)</f>
        <v>572.97</v>
      </c>
      <c r="K68" s="99">
        <f>SUMIF(Import!$B:$B,$A68,Import!F:F)</f>
        <v>350.14</v>
      </c>
      <c r="L68" s="99">
        <f>SUMIF(Import!$B:$B,$A68,Import!G:G)</f>
        <v>327.38</v>
      </c>
      <c r="M68" s="99">
        <f>SUMIF(Import!$B:$B,$A68,Import!H:H)</f>
        <v>1070</v>
      </c>
      <c r="N68" s="99">
        <f>SUMIF(Import!$B:$B,$A68,Import!I:I)</f>
        <v>0</v>
      </c>
      <c r="O68" s="99">
        <f>SUMIF(Import!$B:$B,$A68,Import!J:J)</f>
        <v>600</v>
      </c>
      <c r="P68" s="99">
        <f t="shared" si="52"/>
        <v>-470</v>
      </c>
      <c r="Q68" s="99">
        <f>SUMIF(Import!$B:$B,$A68,Import!K:K)</f>
        <v>1070</v>
      </c>
      <c r="R68" s="99">
        <f>SUMIF(Import!$B:$B,$A68,Import!L:L)</f>
        <v>0</v>
      </c>
      <c r="S68" s="99">
        <f>SUMIF(Import!$B:$B,$A68,Import!M:M)</f>
        <v>0</v>
      </c>
      <c r="T68" s="99">
        <f>SUMIF(Import!$B:$B,$A68,Import!N:N)</f>
        <v>1070</v>
      </c>
      <c r="U68" s="99">
        <f t="shared" si="53"/>
        <v>0</v>
      </c>
      <c r="V68" s="255">
        <f t="shared" si="54"/>
        <v>0</v>
      </c>
      <c r="W68" s="102" t="s">
        <v>1258</v>
      </c>
      <c r="X68" s="103" t="str">
        <f t="shared" si="37"/>
        <v>OK</v>
      </c>
      <c r="Y68" s="271"/>
      <c r="Z68" s="121"/>
      <c r="AA68" s="121"/>
      <c r="AB68" s="121"/>
      <c r="AC68" s="121"/>
      <c r="AD68" s="121"/>
      <c r="AE68" s="121"/>
      <c r="AF68" s="121"/>
      <c r="AG68" s="121"/>
      <c r="AH68" s="121"/>
      <c r="AI68" s="121"/>
      <c r="AJ68" s="121"/>
      <c r="AK68" s="121"/>
      <c r="AL68" s="121"/>
    </row>
    <row r="69" spans="1:38" s="115" customFormat="1">
      <c r="A69" s="555" t="s">
        <v>1259</v>
      </c>
      <c r="B69" s="217" t="str">
        <f t="shared" si="21"/>
        <v>200</v>
      </c>
      <c r="C69" s="217" t="str">
        <f t="shared" si="22"/>
        <v>70</v>
      </c>
      <c r="D69" s="101" t="str">
        <f t="shared" si="23"/>
        <v>701</v>
      </c>
      <c r="E69" s="217" t="str">
        <f t="shared" si="24"/>
        <v>200-70-701</v>
      </c>
      <c r="F69" s="294" t="str">
        <f t="shared" si="25"/>
        <v>53515</v>
      </c>
      <c r="G69" s="295" t="str">
        <f>VLOOKUP(F69,'GL Category'!A:C,3,FALSE)</f>
        <v>Services &amp; other</v>
      </c>
      <c r="H69" s="98" t="str">
        <f>VLOOKUP(F69,'GL Category'!A:C,2,FALSE)</f>
        <v>TRAVEL, TRAINING &amp; EDUCATION</v>
      </c>
      <c r="I69" s="99">
        <f>SUMIF(Import!$B:$B,$A69,Import!D:D)</f>
        <v>4629.1899999999996</v>
      </c>
      <c r="J69" s="99">
        <f>SUMIF(Import!$B:$B,$A69,Import!E:E)</f>
        <v>2598.7600000000002</v>
      </c>
      <c r="K69" s="99">
        <f>SUMIF(Import!$B:$B,$A69,Import!F:F)</f>
        <v>2951.6</v>
      </c>
      <c r="L69" s="99">
        <f>SUMIF(Import!$B:$B,$A69,Import!G:G)</f>
        <v>2332.84</v>
      </c>
      <c r="M69" s="99">
        <f>SUMIF(Import!$B:$B,$A69,Import!H:H)</f>
        <v>9000</v>
      </c>
      <c r="N69" s="99">
        <f>SUMIF(Import!$B:$B,$A69,Import!I:I)</f>
        <v>4708.17</v>
      </c>
      <c r="O69" s="99">
        <f>SUMIF(Import!$B:$B,$A69,Import!J:J)</f>
        <v>3500</v>
      </c>
      <c r="P69" s="99">
        <f t="shared" si="52"/>
        <v>-5500</v>
      </c>
      <c r="Q69" s="99">
        <f>SUMIF(Import!$B:$B,$A69,Import!K:K)</f>
        <v>9000</v>
      </c>
      <c r="R69" s="99">
        <f>SUMIF(Import!$B:$B,$A69,Import!L:L)</f>
        <v>0</v>
      </c>
      <c r="S69" s="99">
        <f>SUMIF(Import!$B:$B,$A69,Import!M:M)</f>
        <v>0</v>
      </c>
      <c r="T69" s="99">
        <f>SUMIF(Import!$B:$B,$A69,Import!N:N)</f>
        <v>9000</v>
      </c>
      <c r="U69" s="99">
        <f t="shared" si="53"/>
        <v>0</v>
      </c>
      <c r="V69" s="255">
        <f t="shared" si="54"/>
        <v>0</v>
      </c>
      <c r="W69" s="102" t="s">
        <v>1259</v>
      </c>
      <c r="X69" s="103" t="str">
        <f t="shared" si="37"/>
        <v>OK</v>
      </c>
      <c r="Y69" s="271"/>
      <c r="Z69" s="121"/>
      <c r="AA69" s="121"/>
      <c r="AB69" s="121"/>
      <c r="AC69" s="121"/>
      <c r="AD69" s="121"/>
      <c r="AE69" s="121"/>
      <c r="AF69" s="121"/>
      <c r="AG69" s="121"/>
      <c r="AH69" s="121"/>
      <c r="AI69" s="121"/>
      <c r="AJ69" s="121"/>
      <c r="AK69" s="121"/>
      <c r="AL69" s="121"/>
    </row>
    <row r="70" spans="1:38" s="115" customFormat="1">
      <c r="A70" s="555" t="s">
        <v>1260</v>
      </c>
      <c r="B70" s="217" t="str">
        <f t="shared" si="21"/>
        <v>200</v>
      </c>
      <c r="C70" s="217" t="str">
        <f t="shared" si="22"/>
        <v>70</v>
      </c>
      <c r="D70" s="101" t="str">
        <f t="shared" si="23"/>
        <v>701</v>
      </c>
      <c r="E70" s="217" t="str">
        <f t="shared" si="24"/>
        <v>200-70-701</v>
      </c>
      <c r="F70" s="294" t="str">
        <f t="shared" si="25"/>
        <v>53513</v>
      </c>
      <c r="G70" s="295" t="str">
        <f>VLOOKUP(F70,'GL Category'!A:C,3,FALSE)</f>
        <v>Services &amp; other</v>
      </c>
      <c r="H70" s="98" t="str">
        <f>VLOOKUP(F70,'GL Category'!A:C,2,FALSE)</f>
        <v>CONSULTING SERVICES</v>
      </c>
      <c r="I70" s="99">
        <f>SUMIF(Import!$B:$B,$A70,Import!D:D)</f>
        <v>129156.4</v>
      </c>
      <c r="J70" s="99">
        <f>SUMIF(Import!$B:$B,$A70,Import!E:E)</f>
        <v>144453.22</v>
      </c>
      <c r="K70" s="99">
        <f>SUMIF(Import!$B:$B,$A70,Import!F:F)</f>
        <v>135574.91</v>
      </c>
      <c r="L70" s="99">
        <f>SUMIF(Import!$B:$B,$A70,Import!G:G)</f>
        <v>121405.78</v>
      </c>
      <c r="M70" s="99">
        <f>SUMIF(Import!$B:$B,$A70,Import!H:H)</f>
        <v>125000</v>
      </c>
      <c r="N70" s="99">
        <f>SUMIF(Import!$B:$B,$A70,Import!I:I)</f>
        <v>36620.65</v>
      </c>
      <c r="O70" s="99">
        <f>SUMIF(Import!$B:$B,$A70,Import!J:J)</f>
        <v>125000</v>
      </c>
      <c r="P70" s="99">
        <f t="shared" si="52"/>
        <v>0</v>
      </c>
      <c r="Q70" s="99">
        <f>SUMIF(Import!$B:$B,$A70,Import!K:K)</f>
        <v>125000</v>
      </c>
      <c r="R70" s="99">
        <f>SUMIF(Import!$B:$B,$A70,Import!L:L)</f>
        <v>100000</v>
      </c>
      <c r="S70" s="99">
        <f>SUMIF(Import!$B:$B,$A70,Import!M:M)</f>
        <v>0</v>
      </c>
      <c r="T70" s="99">
        <f>SUMIF(Import!$B:$B,$A70,Import!N:N)</f>
        <v>225000</v>
      </c>
      <c r="U70" s="99">
        <f t="shared" si="53"/>
        <v>100000</v>
      </c>
      <c r="V70" s="255">
        <f t="shared" si="54"/>
        <v>0.8</v>
      </c>
      <c r="W70" s="102" t="s">
        <v>1260</v>
      </c>
      <c r="X70" s="103" t="str">
        <f t="shared" si="37"/>
        <v>OK</v>
      </c>
      <c r="Y70" s="271"/>
      <c r="Z70" s="121"/>
      <c r="AA70" s="121"/>
      <c r="AB70" s="121"/>
      <c r="AC70" s="121"/>
      <c r="AD70" s="121"/>
      <c r="AE70" s="121"/>
      <c r="AF70" s="121"/>
      <c r="AG70" s="121"/>
      <c r="AH70" s="121"/>
      <c r="AI70" s="121"/>
      <c r="AJ70" s="121"/>
      <c r="AK70" s="121"/>
      <c r="AL70" s="121"/>
    </row>
    <row r="71" spans="1:38" s="115" customFormat="1">
      <c r="A71" s="555" t="s">
        <v>1261</v>
      </c>
      <c r="B71" s="217" t="str">
        <f t="shared" ref="B71:B127" si="55">LEFT(A71,3)</f>
        <v>200</v>
      </c>
      <c r="C71" s="217" t="str">
        <f t="shared" ref="C71:C127" si="56">MID(A71,5,2)</f>
        <v>70</v>
      </c>
      <c r="D71" s="101" t="str">
        <f t="shared" ref="D71:D127" si="57">MID(A71,8,3)</f>
        <v>701</v>
      </c>
      <c r="E71" s="217" t="str">
        <f t="shared" ref="E71:E127" si="58">LEFT(A71,10)</f>
        <v>200-70-701</v>
      </c>
      <c r="F71" s="294" t="str">
        <f t="shared" ref="F71:F127" si="59">RIGHT(A71,5)</f>
        <v>53526</v>
      </c>
      <c r="G71" s="295" t="str">
        <f>VLOOKUP(F71,'GL Category'!A:C,3,FALSE)</f>
        <v>Services &amp; other</v>
      </c>
      <c r="H71" s="98" t="str">
        <f>VLOOKUP(F71,'GL Category'!A:C,2,FALSE)</f>
        <v>LABORATORY SERVICES</v>
      </c>
      <c r="I71" s="99">
        <f>SUMIF(Import!$B:$B,$A71,Import!D:D)</f>
        <v>0</v>
      </c>
      <c r="J71" s="99">
        <f>SUMIF(Import!$B:$B,$A71,Import!E:E)</f>
        <v>0</v>
      </c>
      <c r="K71" s="99">
        <f>SUMIF(Import!$B:$B,$A71,Import!F:F)</f>
        <v>0</v>
      </c>
      <c r="L71" s="99">
        <f>SUMIF(Import!$B:$B,$A71,Import!G:G)</f>
        <v>0</v>
      </c>
      <c r="M71" s="99">
        <f>SUMIF(Import!$B:$B,$A71,Import!H:H)</f>
        <v>0</v>
      </c>
      <c r="N71" s="99">
        <f>SUMIF(Import!$B:$B,$A71,Import!I:I)</f>
        <v>0</v>
      </c>
      <c r="O71" s="99">
        <f>SUMIF(Import!$B:$B,$A71,Import!J:J)</f>
        <v>0</v>
      </c>
      <c r="P71" s="99">
        <f t="shared" si="52"/>
        <v>0</v>
      </c>
      <c r="Q71" s="99">
        <f>SUMIF(Import!$B:$B,$A71,Import!K:K)</f>
        <v>0</v>
      </c>
      <c r="R71" s="99">
        <f>SUMIF(Import!$B:$B,$A71,Import!L:L)</f>
        <v>0</v>
      </c>
      <c r="S71" s="99">
        <f>SUMIF(Import!$B:$B,$A71,Import!M:M)</f>
        <v>0</v>
      </c>
      <c r="T71" s="99">
        <f>SUMIF(Import!$B:$B,$A71,Import!N:N)</f>
        <v>0</v>
      </c>
      <c r="U71" s="99">
        <f t="shared" si="53"/>
        <v>0</v>
      </c>
      <c r="V71" s="255" t="str">
        <f t="shared" si="54"/>
        <v>N/A</v>
      </c>
      <c r="W71" s="102" t="s">
        <v>1261</v>
      </c>
      <c r="X71" s="103" t="str">
        <f t="shared" si="37"/>
        <v>OK</v>
      </c>
      <c r="Y71" s="271"/>
      <c r="Z71" s="121"/>
      <c r="AA71" s="121"/>
      <c r="AB71" s="121"/>
      <c r="AC71" s="121"/>
      <c r="AD71" s="121"/>
      <c r="AE71" s="121"/>
      <c r="AF71" s="121"/>
      <c r="AG71" s="121"/>
      <c r="AH71" s="121"/>
      <c r="AI71" s="121"/>
      <c r="AJ71" s="121"/>
      <c r="AK71" s="121"/>
      <c r="AL71" s="121"/>
    </row>
    <row r="72" spans="1:38" s="115" customFormat="1" ht="16.350000000000001" customHeight="1">
      <c r="A72" s="555" t="s">
        <v>1262</v>
      </c>
      <c r="B72" s="217" t="str">
        <f t="shared" si="55"/>
        <v>200</v>
      </c>
      <c r="C72" s="217" t="str">
        <f t="shared" si="56"/>
        <v>70</v>
      </c>
      <c r="D72" s="101" t="str">
        <f t="shared" si="57"/>
        <v>701</v>
      </c>
      <c r="E72" s="217" t="str">
        <f t="shared" si="58"/>
        <v>200-70-701</v>
      </c>
      <c r="F72" s="294" t="str">
        <f t="shared" si="59"/>
        <v>53532</v>
      </c>
      <c r="G72" s="295" t="str">
        <f>VLOOKUP(F72,'GL Category'!A:C,3,FALSE)</f>
        <v>Services &amp; other</v>
      </c>
      <c r="H72" s="98" t="str">
        <f>VLOOKUP(F72,'GL Category'!A:C,2,FALSE)</f>
        <v>INDUSTRIAL SAMPLING SURCHARGES</v>
      </c>
      <c r="I72" s="99">
        <f>SUMIF(Import!$B:$B,$A72,Import!D:D)</f>
        <v>0</v>
      </c>
      <c r="J72" s="99">
        <f>SUMIF(Import!$B:$B,$A72,Import!E:E)</f>
        <v>0</v>
      </c>
      <c r="K72" s="99">
        <f>SUMIF(Import!$B:$B,$A72,Import!F:F)</f>
        <v>0</v>
      </c>
      <c r="L72" s="99">
        <f>SUMIF(Import!$B:$B,$A72,Import!G:G)</f>
        <v>0</v>
      </c>
      <c r="M72" s="99">
        <f>SUMIF(Import!$B:$B,$A72,Import!H:H)</f>
        <v>0</v>
      </c>
      <c r="N72" s="99">
        <f>SUMIF(Import!$B:$B,$A72,Import!I:I)</f>
        <v>0</v>
      </c>
      <c r="O72" s="99">
        <f>SUMIF(Import!$B:$B,$A72,Import!J:J)</f>
        <v>0</v>
      </c>
      <c r="P72" s="99">
        <f t="shared" si="52"/>
        <v>0</v>
      </c>
      <c r="Q72" s="99">
        <f>SUMIF(Import!$B:$B,$A72,Import!K:K)</f>
        <v>0</v>
      </c>
      <c r="R72" s="99">
        <f>SUMIF(Import!$B:$B,$A72,Import!L:L)</f>
        <v>0</v>
      </c>
      <c r="S72" s="99">
        <f>SUMIF(Import!$B:$B,$A72,Import!M:M)</f>
        <v>0</v>
      </c>
      <c r="T72" s="99">
        <f>SUMIF(Import!$B:$B,$A72,Import!N:N)</f>
        <v>0</v>
      </c>
      <c r="U72" s="99">
        <f t="shared" si="53"/>
        <v>0</v>
      </c>
      <c r="V72" s="255" t="str">
        <f t="shared" si="54"/>
        <v>N/A</v>
      </c>
      <c r="W72" s="102" t="s">
        <v>1262</v>
      </c>
      <c r="X72" s="103" t="str">
        <f t="shared" si="37"/>
        <v>OK</v>
      </c>
      <c r="Y72" s="271"/>
      <c r="Z72" s="121"/>
      <c r="AA72" s="121"/>
      <c r="AB72" s="121"/>
      <c r="AC72" s="121"/>
      <c r="AD72" s="121"/>
      <c r="AE72" s="121"/>
      <c r="AF72" s="121"/>
      <c r="AG72" s="121"/>
      <c r="AH72" s="121"/>
      <c r="AI72" s="121"/>
      <c r="AJ72" s="121"/>
      <c r="AK72" s="121"/>
      <c r="AL72" s="121"/>
    </row>
    <row r="73" spans="1:38" s="115" customFormat="1">
      <c r="A73" s="555" t="s">
        <v>1263</v>
      </c>
      <c r="B73" s="217" t="str">
        <f t="shared" si="55"/>
        <v>200</v>
      </c>
      <c r="C73" s="217" t="str">
        <f t="shared" si="56"/>
        <v>70</v>
      </c>
      <c r="D73" s="101" t="str">
        <f t="shared" si="57"/>
        <v>701</v>
      </c>
      <c r="E73" s="217" t="str">
        <f t="shared" si="58"/>
        <v>200-70-701</v>
      </c>
      <c r="F73" s="294" t="str">
        <f t="shared" si="59"/>
        <v>53540</v>
      </c>
      <c r="G73" s="295" t="str">
        <f>VLOOKUP(F73,'GL Category'!A:C,3,FALSE)</f>
        <v>Services &amp; other</v>
      </c>
      <c r="H73" s="98" t="str">
        <f>VLOOKUP(F73,'GL Category'!A:C,2,FALSE)</f>
        <v>PRINTING &amp; BINDING SERVICES</v>
      </c>
      <c r="I73" s="99">
        <f>SUMIF(Import!$B:$B,$A73,Import!D:D)</f>
        <v>570</v>
      </c>
      <c r="J73" s="99">
        <f>SUMIF(Import!$B:$B,$A73,Import!E:E)</f>
        <v>0</v>
      </c>
      <c r="K73" s="99">
        <f>SUMIF(Import!$B:$B,$A73,Import!F:F)</f>
        <v>0</v>
      </c>
      <c r="L73" s="99">
        <f>SUMIF(Import!$B:$B,$A73,Import!G:G)</f>
        <v>0</v>
      </c>
      <c r="M73" s="99">
        <f>SUMIF(Import!$B:$B,$A73,Import!H:H)</f>
        <v>0</v>
      </c>
      <c r="N73" s="99">
        <f>SUMIF(Import!$B:$B,$A73,Import!I:I)</f>
        <v>0</v>
      </c>
      <c r="O73" s="99">
        <f>SUMIF(Import!$B:$B,$A73,Import!J:J)</f>
        <v>0</v>
      </c>
      <c r="P73" s="99">
        <f t="shared" si="52"/>
        <v>0</v>
      </c>
      <c r="Q73" s="99">
        <f>SUMIF(Import!$B:$B,$A73,Import!K:K)</f>
        <v>0</v>
      </c>
      <c r="R73" s="99">
        <f>SUMIF(Import!$B:$B,$A73,Import!L:L)</f>
        <v>0</v>
      </c>
      <c r="S73" s="99">
        <f>SUMIF(Import!$B:$B,$A73,Import!M:M)</f>
        <v>0</v>
      </c>
      <c r="T73" s="99">
        <f>SUMIF(Import!$B:$B,$A73,Import!N:N)</f>
        <v>0</v>
      </c>
      <c r="U73" s="99">
        <f t="shared" si="53"/>
        <v>0</v>
      </c>
      <c r="V73" s="255" t="str">
        <f t="shared" si="54"/>
        <v>N/A</v>
      </c>
      <c r="W73" s="102" t="s">
        <v>1263</v>
      </c>
      <c r="X73" s="103" t="str">
        <f t="shared" si="37"/>
        <v>OK</v>
      </c>
      <c r="Y73" s="271"/>
      <c r="Z73" s="121"/>
      <c r="AA73" s="121"/>
      <c r="AB73" s="121"/>
      <c r="AC73" s="121"/>
      <c r="AD73" s="121"/>
      <c r="AE73" s="121"/>
      <c r="AF73" s="121"/>
      <c r="AG73" s="121"/>
      <c r="AH73" s="121"/>
      <c r="AI73" s="121"/>
      <c r="AJ73" s="121"/>
      <c r="AK73" s="121"/>
      <c r="AL73" s="121"/>
    </row>
    <row r="74" spans="1:38" s="115" customFormat="1">
      <c r="A74" s="555" t="s">
        <v>1264</v>
      </c>
      <c r="B74" s="217" t="str">
        <f t="shared" si="55"/>
        <v>200</v>
      </c>
      <c r="C74" s="217" t="str">
        <f t="shared" si="56"/>
        <v>70</v>
      </c>
      <c r="D74" s="101" t="str">
        <f t="shared" si="57"/>
        <v>701</v>
      </c>
      <c r="E74" s="217" t="str">
        <f t="shared" si="58"/>
        <v>200-70-701</v>
      </c>
      <c r="F74" s="294" t="str">
        <f t="shared" si="59"/>
        <v>53543</v>
      </c>
      <c r="G74" s="295" t="str">
        <f>VLOOKUP(F74,'GL Category'!A:C,3,FALSE)</f>
        <v>Services &amp; other</v>
      </c>
      <c r="H74" s="98" t="str">
        <f>VLOOKUP(F74,'GL Category'!A:C,2,FALSE)</f>
        <v>ENGINEERING/DESIGN SERVICES</v>
      </c>
      <c r="I74" s="99">
        <f>SUMIF(Import!$B:$B,$A74,Import!D:D)</f>
        <v>8528</v>
      </c>
      <c r="J74" s="99">
        <f>SUMIF(Import!$B:$B,$A74,Import!E:E)</f>
        <v>44636.32</v>
      </c>
      <c r="K74" s="99">
        <f>SUMIF(Import!$B:$B,$A74,Import!F:F)</f>
        <v>109342.75</v>
      </c>
      <c r="L74" s="99">
        <f>SUMIF(Import!$B:$B,$A74,Import!G:G)</f>
        <v>34331.67</v>
      </c>
      <c r="M74" s="99">
        <f>SUMIF(Import!$B:$B,$A74,Import!H:H)</f>
        <v>88500</v>
      </c>
      <c r="N74" s="99">
        <f>SUMIF(Import!$B:$B,$A74,Import!I:I)</f>
        <v>50537.26</v>
      </c>
      <c r="O74" s="99">
        <f>SUMIF(Import!$B:$B,$A74,Import!J:J)</f>
        <v>90000</v>
      </c>
      <c r="P74" s="99">
        <f t="shared" si="52"/>
        <v>1500</v>
      </c>
      <c r="Q74" s="99">
        <f>SUMIF(Import!$B:$B,$A74,Import!K:K)</f>
        <v>20000</v>
      </c>
      <c r="R74" s="99">
        <f>SUMIF(Import!$B:$B,$A74,Import!L:L)</f>
        <v>0</v>
      </c>
      <c r="S74" s="99">
        <f>SUMIF(Import!$B:$B,$A74,Import!M:M)</f>
        <v>0</v>
      </c>
      <c r="T74" s="99">
        <f>SUMIF(Import!$B:$B,$A74,Import!N:N)</f>
        <v>20000</v>
      </c>
      <c r="U74" s="99">
        <f t="shared" si="53"/>
        <v>-68500</v>
      </c>
      <c r="V74" s="255">
        <f t="shared" si="54"/>
        <v>-0.77401129943502822</v>
      </c>
      <c r="W74" s="102" t="s">
        <v>1264</v>
      </c>
      <c r="X74" s="103" t="str">
        <f t="shared" si="37"/>
        <v>OK</v>
      </c>
      <c r="Y74" s="271"/>
      <c r="Z74" s="121"/>
      <c r="AA74" s="121"/>
      <c r="AB74" s="121"/>
      <c r="AC74" s="121"/>
      <c r="AD74" s="121"/>
      <c r="AE74" s="121"/>
      <c r="AF74" s="121"/>
      <c r="AG74" s="121"/>
      <c r="AH74" s="121"/>
      <c r="AI74" s="121"/>
      <c r="AJ74" s="121"/>
      <c r="AK74" s="121"/>
      <c r="AL74" s="121"/>
    </row>
    <row r="75" spans="1:38" s="115" customFormat="1">
      <c r="A75" s="555" t="s">
        <v>1257</v>
      </c>
      <c r="B75" s="217" t="str">
        <f t="shared" si="55"/>
        <v>200</v>
      </c>
      <c r="C75" s="217" t="str">
        <f t="shared" si="56"/>
        <v>70</v>
      </c>
      <c r="D75" s="101" t="str">
        <f t="shared" si="57"/>
        <v>701</v>
      </c>
      <c r="E75" s="217" t="str">
        <f t="shared" si="58"/>
        <v>200-70-701</v>
      </c>
      <c r="F75" s="294" t="str">
        <f t="shared" si="59"/>
        <v>53599</v>
      </c>
      <c r="G75" s="295" t="str">
        <f>VLOOKUP(F75,'GL Category'!A:C,3,FALSE)</f>
        <v>Services &amp; other</v>
      </c>
      <c r="H75" s="98" t="str">
        <f>VLOOKUP(F75,'GL Category'!A:C,2,FALSE)</f>
        <v>MISCELLANEOUS SERVICES</v>
      </c>
      <c r="I75" s="99">
        <f>SUMIF(Import!$B:$B,$A75,Import!D:D)</f>
        <v>32218.400000000001</v>
      </c>
      <c r="J75" s="99">
        <f>SUMIF(Import!$B:$B,$A75,Import!E:E)</f>
        <v>9893.8700000000008</v>
      </c>
      <c r="K75" s="99">
        <f>SUMIF(Import!$B:$B,$A75,Import!F:F)</f>
        <v>19867.509999999998</v>
      </c>
      <c r="L75" s="99">
        <f>SUMIF(Import!$B:$B,$A75,Import!G:G)</f>
        <v>31477.13</v>
      </c>
      <c r="M75" s="99">
        <f>SUMIF(Import!$B:$B,$A75,Import!H:H)</f>
        <v>243000</v>
      </c>
      <c r="N75" s="99">
        <f>SUMIF(Import!$B:$B,$A75,Import!I:I)</f>
        <v>48009.599999999999</v>
      </c>
      <c r="O75" s="99">
        <f>SUMIF(Import!$B:$B,$A75,Import!J:J)</f>
        <v>243000</v>
      </c>
      <c r="P75" s="99">
        <f t="shared" si="52"/>
        <v>0</v>
      </c>
      <c r="Q75" s="99">
        <f>SUMIF(Import!$B:$B,$A75,Import!K:K)</f>
        <v>18000</v>
      </c>
      <c r="R75" s="99">
        <f>SUMIF(Import!$B:$B,$A75,Import!L:L)</f>
        <v>0</v>
      </c>
      <c r="S75" s="99">
        <f>SUMIF(Import!$B:$B,$A75,Import!M:M)</f>
        <v>0</v>
      </c>
      <c r="T75" s="99">
        <f>SUMIF(Import!$B:$B,$A75,Import!N:N)</f>
        <v>18000</v>
      </c>
      <c r="U75" s="99">
        <f t="shared" si="53"/>
        <v>-225000</v>
      </c>
      <c r="V75" s="255">
        <f t="shared" si="54"/>
        <v>-0.92592592592592593</v>
      </c>
      <c r="W75" s="102" t="s">
        <v>1257</v>
      </c>
      <c r="X75" s="103" t="str">
        <f t="shared" ref="X75:X106" si="60">IF(Q75="","",IF(T75=SUM(Q75:S75),"OK","NO"))</f>
        <v>OK</v>
      </c>
      <c r="Y75" s="271"/>
      <c r="Z75" s="121"/>
      <c r="AA75" s="121"/>
      <c r="AB75" s="121"/>
      <c r="AC75" s="121"/>
      <c r="AD75" s="121"/>
      <c r="AE75" s="121"/>
      <c r="AF75" s="121"/>
      <c r="AG75" s="121"/>
      <c r="AH75" s="121"/>
      <c r="AI75" s="121"/>
      <c r="AJ75" s="121"/>
      <c r="AK75" s="121"/>
      <c r="AL75" s="121"/>
    </row>
    <row r="76" spans="1:38" s="115" customFormat="1">
      <c r="A76" s="555" t="s">
        <v>1265</v>
      </c>
      <c r="B76" s="217" t="str">
        <f t="shared" si="55"/>
        <v>200</v>
      </c>
      <c r="C76" s="217" t="str">
        <f t="shared" si="56"/>
        <v>70</v>
      </c>
      <c r="D76" s="101" t="str">
        <f t="shared" si="57"/>
        <v>701</v>
      </c>
      <c r="E76" s="217" t="str">
        <f t="shared" si="58"/>
        <v>200-70-701</v>
      </c>
      <c r="F76" s="294" t="str">
        <f t="shared" si="59"/>
        <v>55175</v>
      </c>
      <c r="G76" s="295" t="str">
        <f>VLOOKUP(F76,'GL Category'!A:C,3,FALSE)</f>
        <v>Services &amp; other</v>
      </c>
      <c r="H76" s="98" t="str">
        <f>VLOOKUP(F76,'GL Category'!A:C,2,FALSE)</f>
        <v>VEHICLE/EQUIP LEASE EXP-CITY</v>
      </c>
      <c r="I76" s="99">
        <f>SUMIF(Import!$B:$B,$A76,Import!D:D)</f>
        <v>18824</v>
      </c>
      <c r="J76" s="99">
        <f>SUMIF(Import!$B:$B,$A76,Import!E:E)</f>
        <v>17794</v>
      </c>
      <c r="K76" s="99">
        <f>SUMIF(Import!$B:$B,$A76,Import!F:F)</f>
        <v>23798</v>
      </c>
      <c r="L76" s="99">
        <f>SUMIF(Import!$B:$B,$A76,Import!G:G)</f>
        <v>29816</v>
      </c>
      <c r="M76" s="99">
        <f>SUMIF(Import!$B:$B,$A76,Import!H:H)</f>
        <v>32233</v>
      </c>
      <c r="N76" s="99">
        <f>SUMIF(Import!$B:$B,$A76,Import!I:I)</f>
        <v>24174.75</v>
      </c>
      <c r="O76" s="99">
        <f>SUMIF(Import!$B:$B,$A76,Import!J:J)</f>
        <v>32233</v>
      </c>
      <c r="P76" s="99">
        <f t="shared" si="52"/>
        <v>0</v>
      </c>
      <c r="Q76" s="99">
        <f>SUMIF(Import!$B:$B,$A76,Import!K:K)</f>
        <v>28318</v>
      </c>
      <c r="R76" s="99">
        <f>SUMIF(Import!$B:$B,$A76,Import!L:L)</f>
        <v>0</v>
      </c>
      <c r="S76" s="99">
        <f>SUMIF(Import!$B:$B,$A76,Import!M:M)</f>
        <v>0</v>
      </c>
      <c r="T76" s="99">
        <f>SUMIF(Import!$B:$B,$A76,Import!N:N)</f>
        <v>28318</v>
      </c>
      <c r="U76" s="99">
        <f t="shared" si="53"/>
        <v>-3915</v>
      </c>
      <c r="V76" s="255">
        <f t="shared" si="54"/>
        <v>-0.12145937393354633</v>
      </c>
      <c r="W76" s="102" t="s">
        <v>1265</v>
      </c>
      <c r="X76" s="103" t="str">
        <f t="shared" si="60"/>
        <v>OK</v>
      </c>
      <c r="Y76" s="271"/>
      <c r="Z76" s="121"/>
      <c r="AA76" s="121"/>
      <c r="AB76" s="121"/>
      <c r="AC76" s="121"/>
      <c r="AD76" s="121"/>
      <c r="AE76" s="121"/>
      <c r="AF76" s="121"/>
      <c r="AG76" s="121"/>
      <c r="AH76" s="121"/>
      <c r="AI76" s="121"/>
      <c r="AJ76" s="121"/>
      <c r="AK76" s="121"/>
      <c r="AL76" s="121"/>
    </row>
    <row r="77" spans="1:38" s="115" customFormat="1">
      <c r="A77" s="555" t="s">
        <v>1266</v>
      </c>
      <c r="B77" s="217" t="str">
        <f t="shared" si="55"/>
        <v>200</v>
      </c>
      <c r="C77" s="217" t="str">
        <f t="shared" si="56"/>
        <v>70</v>
      </c>
      <c r="D77" s="101" t="str">
        <f t="shared" si="57"/>
        <v>701</v>
      </c>
      <c r="E77" s="217" t="str">
        <f t="shared" si="58"/>
        <v>200-70-701</v>
      </c>
      <c r="F77" s="294" t="str">
        <f t="shared" si="59"/>
        <v>55119</v>
      </c>
      <c r="G77" s="295" t="str">
        <f>VLOOKUP(F77,'GL Category'!A:C,3,FALSE)</f>
        <v>Services &amp; other</v>
      </c>
      <c r="H77" s="98" t="str">
        <f>VLOOKUP(F77,'GL Category'!A:C,2,FALSE)</f>
        <v>OFFICE EQUIP LEASE EXP-CITY</v>
      </c>
      <c r="I77" s="99">
        <f>SUMIF(Import!$B:$B,$A77,Import!D:D)</f>
        <v>92880</v>
      </c>
      <c r="J77" s="99">
        <f>SUMIF(Import!$B:$B,$A77,Import!E:E)</f>
        <v>85160</v>
      </c>
      <c r="K77" s="99">
        <f>SUMIF(Import!$B:$B,$A77,Import!F:F)</f>
        <v>105000</v>
      </c>
      <c r="L77" s="99">
        <f>SUMIF(Import!$B:$B,$A77,Import!G:G)</f>
        <v>106448</v>
      </c>
      <c r="M77" s="99">
        <f>SUMIF(Import!$B:$B,$A77,Import!H:H)</f>
        <v>122530</v>
      </c>
      <c r="N77" s="99">
        <f>SUMIF(Import!$B:$B,$A77,Import!I:I)</f>
        <v>91897.5</v>
      </c>
      <c r="O77" s="99">
        <f>SUMIF(Import!$B:$B,$A77,Import!J:J)</f>
        <v>122530</v>
      </c>
      <c r="P77" s="99">
        <f t="shared" si="52"/>
        <v>0</v>
      </c>
      <c r="Q77" s="99">
        <f>SUMIF(Import!$B:$B,$A77,Import!K:K)</f>
        <v>134015</v>
      </c>
      <c r="R77" s="99">
        <f>SUMIF(Import!$B:$B,$A77,Import!L:L)</f>
        <v>0</v>
      </c>
      <c r="S77" s="99">
        <f>SUMIF(Import!$B:$B,$A77,Import!M:M)</f>
        <v>450000</v>
      </c>
      <c r="T77" s="99">
        <f>SUMIF(Import!$B:$B,$A77,Import!N:N)</f>
        <v>584015</v>
      </c>
      <c r="U77" s="99">
        <f t="shared" si="53"/>
        <v>461485</v>
      </c>
      <c r="V77" s="255">
        <f t="shared" si="54"/>
        <v>3.7663021300905903</v>
      </c>
      <c r="W77" s="102" t="s">
        <v>1266</v>
      </c>
      <c r="X77" s="103" t="str">
        <f t="shared" si="60"/>
        <v>OK</v>
      </c>
      <c r="Y77" s="271"/>
      <c r="Z77" s="121"/>
      <c r="AA77" s="121"/>
      <c r="AB77" s="121"/>
      <c r="AC77" s="121"/>
      <c r="AD77" s="121"/>
      <c r="AE77" s="121"/>
      <c r="AF77" s="121"/>
      <c r="AG77" s="121"/>
      <c r="AH77" s="121"/>
      <c r="AI77" s="121"/>
      <c r="AJ77" s="121"/>
      <c r="AK77" s="121"/>
      <c r="AL77" s="121"/>
    </row>
    <row r="78" spans="1:38" s="115" customFormat="1">
      <c r="A78" s="555"/>
      <c r="B78" s="217"/>
      <c r="C78" s="217"/>
      <c r="D78" s="101"/>
      <c r="E78" s="217"/>
      <c r="F78" s="294"/>
      <c r="G78" s="146"/>
      <c r="H78" s="107" t="str">
        <f>UPPER(G77)&amp;" TOTAL"</f>
        <v>SERVICES &amp; OTHER TOTAL</v>
      </c>
      <c r="I78" s="108">
        <f t="shared" ref="I78" si="61">SUBTOTAL(9,I66:I77)</f>
        <v>295042.5</v>
      </c>
      <c r="J78" s="108">
        <f t="shared" ref="J78:T78" si="62">SUBTOTAL(9,J66:J77)</f>
        <v>311049.82</v>
      </c>
      <c r="K78" s="108">
        <f t="shared" ref="K78" si="63">SUBTOTAL(9,K66:K77)</f>
        <v>403784.65</v>
      </c>
      <c r="L78" s="108">
        <f t="shared" ref="L78" si="64">SUBTOTAL(9,L66:L77)</f>
        <v>331622.98</v>
      </c>
      <c r="M78" s="108">
        <f t="shared" si="62"/>
        <v>630083</v>
      </c>
      <c r="N78" s="108">
        <f t="shared" ref="N78" si="65">SUBTOTAL(9,N66:N77)</f>
        <v>261874.2</v>
      </c>
      <c r="O78" s="108">
        <f t="shared" si="62"/>
        <v>625613</v>
      </c>
      <c r="P78" s="108">
        <f t="shared" si="62"/>
        <v>-4470</v>
      </c>
      <c r="Q78" s="108">
        <f t="shared" si="62"/>
        <v>344153</v>
      </c>
      <c r="R78" s="108">
        <f t="shared" si="62"/>
        <v>100000</v>
      </c>
      <c r="S78" s="108">
        <f t="shared" si="62"/>
        <v>450000</v>
      </c>
      <c r="T78" s="108">
        <f t="shared" si="62"/>
        <v>894153</v>
      </c>
      <c r="U78" s="99">
        <f>T78-M78</f>
        <v>264070</v>
      </c>
      <c r="V78" s="259">
        <f>IF(M78=0,"N/A",T78/M78-1)</f>
        <v>0.41910351493374676</v>
      </c>
      <c r="W78" s="102"/>
      <c r="X78" s="103" t="str">
        <f t="shared" si="60"/>
        <v>OK</v>
      </c>
      <c r="Y78" s="271"/>
      <c r="Z78" s="121"/>
      <c r="AA78" s="121"/>
      <c r="AB78" s="121"/>
      <c r="AC78" s="121"/>
      <c r="AD78" s="121"/>
      <c r="AE78" s="121"/>
      <c r="AF78" s="121"/>
      <c r="AG78" s="121"/>
      <c r="AH78" s="121"/>
      <c r="AI78" s="121"/>
      <c r="AJ78" s="121"/>
      <c r="AK78" s="121"/>
      <c r="AL78" s="121"/>
    </row>
    <row r="79" spans="1:38" s="115" customFormat="1">
      <c r="A79" s="555"/>
      <c r="B79" s="217"/>
      <c r="C79" s="217"/>
      <c r="D79" s="101"/>
      <c r="E79" s="217"/>
      <c r="F79" s="294"/>
      <c r="G79" s="146"/>
      <c r="H79" s="98"/>
      <c r="I79" s="218"/>
      <c r="J79" s="218"/>
      <c r="K79" s="218"/>
      <c r="L79" s="218"/>
      <c r="M79" s="218"/>
      <c r="N79" s="226"/>
      <c r="O79" s="226"/>
      <c r="P79" s="226"/>
      <c r="Q79" s="111"/>
      <c r="R79" s="111"/>
      <c r="S79" s="111"/>
      <c r="T79" s="111"/>
      <c r="U79" s="111"/>
      <c r="V79" s="111"/>
      <c r="W79" s="102"/>
      <c r="X79" s="103" t="str">
        <f t="shared" si="60"/>
        <v/>
      </c>
      <c r="Y79" s="271"/>
      <c r="Z79" s="121"/>
      <c r="AA79" s="121"/>
      <c r="AB79" s="121"/>
      <c r="AC79" s="121"/>
      <c r="AD79" s="121"/>
      <c r="AE79" s="121"/>
      <c r="AF79" s="121"/>
      <c r="AG79" s="121"/>
      <c r="AH79" s="121"/>
      <c r="AI79" s="121"/>
      <c r="AJ79" s="121"/>
      <c r="AK79" s="121"/>
      <c r="AL79" s="121"/>
    </row>
    <row r="80" spans="1:38" s="115" customFormat="1">
      <c r="A80" s="555"/>
      <c r="B80" s="217"/>
      <c r="C80" s="217"/>
      <c r="D80" s="101"/>
      <c r="E80" s="217"/>
      <c r="F80" s="294"/>
      <c r="G80" s="146"/>
      <c r="H80" s="114" t="s">
        <v>51</v>
      </c>
      <c r="I80" s="108">
        <f t="shared" ref="I80" si="66">SUBTOTAL(9,I43:I79)</f>
        <v>921117.96000000008</v>
      </c>
      <c r="J80" s="108">
        <f t="shared" ref="J80:T80" si="67">SUBTOTAL(9,J43:J79)</f>
        <v>910012.42</v>
      </c>
      <c r="K80" s="108">
        <f t="shared" ref="K80" si="68">SUBTOTAL(9,K43:K79)</f>
        <v>1016130.92</v>
      </c>
      <c r="L80" s="108">
        <f t="shared" ref="L80" si="69">SUBTOTAL(9,L43:L79)</f>
        <v>1054495.71</v>
      </c>
      <c r="M80" s="108">
        <f t="shared" si="67"/>
        <v>1316324</v>
      </c>
      <c r="N80" s="108">
        <f t="shared" ref="N80" si="70">SUBTOTAL(9,N43:N79)</f>
        <v>747322.72</v>
      </c>
      <c r="O80" s="108">
        <f t="shared" si="67"/>
        <v>1254671</v>
      </c>
      <c r="P80" s="108">
        <f t="shared" si="67"/>
        <v>-61653</v>
      </c>
      <c r="Q80" s="108">
        <f t="shared" si="67"/>
        <v>999044</v>
      </c>
      <c r="R80" s="108">
        <f t="shared" si="67"/>
        <v>100000</v>
      </c>
      <c r="S80" s="108">
        <f t="shared" si="67"/>
        <v>450000</v>
      </c>
      <c r="T80" s="108">
        <f t="shared" si="67"/>
        <v>1549044</v>
      </c>
      <c r="U80" s="99">
        <f>T80-M80</f>
        <v>232720</v>
      </c>
      <c r="V80" s="259">
        <f>IF(M80=0,"N/A",T80/M80-1)</f>
        <v>0.17679537864537909</v>
      </c>
      <c r="W80" s="102"/>
      <c r="X80" s="103" t="str">
        <f t="shared" si="60"/>
        <v>OK</v>
      </c>
      <c r="Y80" s="271"/>
      <c r="Z80" s="121"/>
      <c r="AA80" s="121"/>
      <c r="AB80" s="121"/>
      <c r="AC80" s="121"/>
      <c r="AD80" s="121"/>
      <c r="AE80" s="121"/>
      <c r="AF80" s="121"/>
      <c r="AG80" s="121"/>
      <c r="AH80" s="121"/>
      <c r="AI80" s="121"/>
      <c r="AJ80" s="121"/>
      <c r="AK80" s="121"/>
      <c r="AL80" s="121"/>
    </row>
    <row r="81" spans="1:38" s="115" customFormat="1">
      <c r="A81" s="555"/>
      <c r="B81" s="217"/>
      <c r="C81" s="217"/>
      <c r="D81" s="101"/>
      <c r="E81" s="217"/>
      <c r="F81" s="294"/>
      <c r="G81" s="146"/>
      <c r="H81" s="227"/>
      <c r="I81" s="218"/>
      <c r="J81" s="218"/>
      <c r="K81" s="218"/>
      <c r="L81" s="218"/>
      <c r="M81" s="218"/>
      <c r="N81" s="219"/>
      <c r="O81" s="219"/>
      <c r="P81" s="219"/>
      <c r="Q81" s="100"/>
      <c r="R81" s="100"/>
      <c r="S81" s="100"/>
      <c r="T81" s="100"/>
      <c r="U81" s="100"/>
      <c r="V81" s="111"/>
      <c r="W81" s="102"/>
      <c r="X81" s="103" t="str">
        <f t="shared" si="60"/>
        <v/>
      </c>
      <c r="Y81" s="271"/>
      <c r="Z81" s="121"/>
      <c r="AA81" s="121"/>
      <c r="AB81" s="121"/>
      <c r="AC81" s="121"/>
      <c r="AD81" s="121"/>
      <c r="AE81" s="121"/>
      <c r="AF81" s="121"/>
      <c r="AG81" s="121"/>
      <c r="AH81" s="121"/>
      <c r="AI81" s="121"/>
      <c r="AJ81" s="121"/>
      <c r="AK81" s="121"/>
      <c r="AL81" s="121"/>
    </row>
    <row r="82" spans="1:38" s="115" customFormat="1" ht="14.4" thickBot="1">
      <c r="A82" s="555"/>
      <c r="B82" s="217"/>
      <c r="C82" s="217"/>
      <c r="D82" s="101"/>
      <c r="E82" s="217"/>
      <c r="F82" s="294"/>
      <c r="G82" s="146"/>
      <c r="H82" s="98"/>
      <c r="I82" s="218"/>
      <c r="J82" s="218"/>
      <c r="K82" s="218"/>
      <c r="L82" s="218"/>
      <c r="M82" s="218"/>
      <c r="N82" s="219"/>
      <c r="O82" s="219"/>
      <c r="P82" s="219"/>
      <c r="Q82" s="100"/>
      <c r="R82" s="100"/>
      <c r="S82" s="100"/>
      <c r="T82" s="100"/>
      <c r="U82" s="100"/>
      <c r="V82" s="111"/>
      <c r="W82" s="102"/>
      <c r="X82" s="103" t="str">
        <f t="shared" si="60"/>
        <v/>
      </c>
      <c r="Y82" s="271"/>
      <c r="Z82" s="121"/>
      <c r="AA82" s="121"/>
      <c r="AB82" s="121"/>
      <c r="AC82" s="121"/>
      <c r="AD82" s="121"/>
      <c r="AE82" s="121"/>
      <c r="AF82" s="121"/>
      <c r="AG82" s="121"/>
      <c r="AH82" s="121"/>
      <c r="AI82" s="121"/>
      <c r="AJ82" s="121"/>
      <c r="AK82" s="121"/>
      <c r="AL82" s="121"/>
    </row>
    <row r="83" spans="1:38" s="115" customFormat="1" ht="24" customHeight="1" thickBot="1">
      <c r="A83" s="555"/>
      <c r="B83" s="217"/>
      <c r="C83" s="217"/>
      <c r="D83" s="101"/>
      <c r="E83" s="217"/>
      <c r="F83" s="294"/>
      <c r="G83" s="146"/>
      <c r="H83" s="665" t="s">
        <v>665</v>
      </c>
      <c r="I83" s="666"/>
      <c r="J83" s="666"/>
      <c r="K83" s="666"/>
      <c r="L83" s="666"/>
      <c r="M83" s="666"/>
      <c r="N83" s="666"/>
      <c r="O83" s="666"/>
      <c r="P83" s="666"/>
      <c r="Q83" s="666"/>
      <c r="R83" s="666"/>
      <c r="S83" s="666"/>
      <c r="T83" s="667"/>
      <c r="U83" s="247"/>
      <c r="V83" s="261"/>
      <c r="W83" s="102"/>
      <c r="X83" s="103" t="str">
        <f t="shared" si="60"/>
        <v/>
      </c>
      <c r="Y83" s="271"/>
      <c r="Z83" s="121"/>
      <c r="AA83" s="121"/>
      <c r="AB83" s="121"/>
      <c r="AC83" s="121"/>
      <c r="AD83" s="121"/>
      <c r="AE83" s="121"/>
      <c r="AF83" s="121"/>
      <c r="AG83" s="121"/>
      <c r="AH83" s="121"/>
      <c r="AI83" s="121"/>
      <c r="AJ83" s="121"/>
      <c r="AK83" s="121"/>
      <c r="AL83" s="121"/>
    </row>
    <row r="84" spans="1:38" s="115" customFormat="1" ht="22.8">
      <c r="A84" s="555"/>
      <c r="B84" s="217"/>
      <c r="C84" s="217"/>
      <c r="D84" s="101"/>
      <c r="E84" s="217"/>
      <c r="F84" s="294"/>
      <c r="G84" s="146"/>
      <c r="H84" s="225"/>
      <c r="I84" s="225"/>
      <c r="J84" s="225"/>
      <c r="K84" s="225"/>
      <c r="L84" s="225"/>
      <c r="M84" s="225"/>
      <c r="N84" s="225"/>
      <c r="O84" s="225"/>
      <c r="P84" s="225"/>
      <c r="Q84" s="225"/>
      <c r="R84" s="225"/>
      <c r="S84" s="225"/>
      <c r="T84" s="225"/>
      <c r="U84" s="225"/>
      <c r="V84" s="260"/>
      <c r="W84" s="102"/>
      <c r="X84" s="103" t="str">
        <f t="shared" si="60"/>
        <v/>
      </c>
      <c r="Y84" s="271"/>
      <c r="Z84" s="121"/>
      <c r="AA84" s="121"/>
      <c r="AB84" s="121"/>
      <c r="AC84" s="121"/>
      <c r="AD84" s="121"/>
      <c r="AE84" s="121"/>
      <c r="AF84" s="121"/>
      <c r="AG84" s="121"/>
      <c r="AH84" s="121"/>
      <c r="AI84" s="121"/>
      <c r="AJ84" s="121"/>
      <c r="AK84" s="121"/>
      <c r="AL84" s="121"/>
    </row>
    <row r="85" spans="1:38" s="115" customFormat="1">
      <c r="A85" s="555" t="s">
        <v>1267</v>
      </c>
      <c r="B85" s="217" t="str">
        <f t="shared" si="55"/>
        <v>200</v>
      </c>
      <c r="C85" s="217" t="str">
        <f t="shared" si="56"/>
        <v>71</v>
      </c>
      <c r="D85" s="101" t="str">
        <f t="shared" si="57"/>
        <v>711</v>
      </c>
      <c r="E85" s="217" t="str">
        <f t="shared" si="58"/>
        <v>200-71-711</v>
      </c>
      <c r="F85" s="294" t="str">
        <f t="shared" si="59"/>
        <v>50101</v>
      </c>
      <c r="G85" s="295" t="str">
        <f>VLOOKUP(F85,'GL Category'!A:C,3,FALSE)</f>
        <v>Personnel services</v>
      </c>
      <c r="H85" s="98" t="str">
        <f>VLOOKUP(F85,'GL Category'!A:C,2,FALSE)</f>
        <v>EXEMPT SALARIES</v>
      </c>
      <c r="I85" s="99">
        <f>SUMIF(Import!$B:$B,$A85,Import!D:D)</f>
        <v>146238.06</v>
      </c>
      <c r="J85" s="99">
        <f>SUMIF(Import!$B:$B,$A85,Import!E:E)</f>
        <v>179955.98</v>
      </c>
      <c r="K85" s="99">
        <f>SUMIF(Import!$B:$B,$A85,Import!F:F)</f>
        <v>209762.88</v>
      </c>
      <c r="L85" s="99">
        <f>SUMIF(Import!$B:$B,$A85,Import!G:G)</f>
        <v>217288.98</v>
      </c>
      <c r="M85" s="99">
        <f>SUMIF(Import!$B:$B,$A85,Import!H:H)</f>
        <v>225455</v>
      </c>
      <c r="N85" s="99">
        <f>SUMIF(Import!$B:$B,$A85,Import!I:I)</f>
        <v>177542.9</v>
      </c>
      <c r="O85" s="99">
        <f>SUMIF(Import!$B:$B,$A85,Import!J:J)</f>
        <v>242051</v>
      </c>
      <c r="P85" s="99">
        <f t="shared" ref="P85:P92" si="71">O85-M85</f>
        <v>16596</v>
      </c>
      <c r="Q85" s="99">
        <f>SUMIF(Import!$B:$B,$A85,Import!K:K)</f>
        <v>234621</v>
      </c>
      <c r="R85" s="99">
        <f>SUMIF(Import!$B:$B,$A85,Import!L:L)</f>
        <v>0</v>
      </c>
      <c r="S85" s="99">
        <f>SUMIF(Import!$B:$B,$A85,Import!M:M)</f>
        <v>0</v>
      </c>
      <c r="T85" s="99">
        <f>SUMIF(Import!$B:$B,$A85,Import!N:N)</f>
        <v>234621</v>
      </c>
      <c r="U85" s="99">
        <f t="shared" ref="U85:U92" si="72">T85-M85</f>
        <v>9166</v>
      </c>
      <c r="V85" s="255">
        <f t="shared" ref="V85:V92" si="73">IF(M85=0,"N/A",T85/M85-1)</f>
        <v>4.0655563194428979E-2</v>
      </c>
      <c r="W85" s="102" t="s">
        <v>1267</v>
      </c>
      <c r="X85" s="103" t="str">
        <f t="shared" si="60"/>
        <v>OK</v>
      </c>
      <c r="Y85" s="271"/>
      <c r="Z85" s="121"/>
      <c r="AA85" s="121"/>
      <c r="AB85" s="121"/>
      <c r="AC85" s="121"/>
      <c r="AD85" s="121"/>
      <c r="AE85" s="121"/>
      <c r="AF85" s="121"/>
      <c r="AG85" s="121"/>
      <c r="AH85" s="121"/>
      <c r="AI85" s="121"/>
      <c r="AJ85" s="121"/>
      <c r="AK85" s="121"/>
      <c r="AL85" s="121"/>
    </row>
    <row r="86" spans="1:38" s="115" customFormat="1">
      <c r="A86" s="555" t="s">
        <v>1268</v>
      </c>
      <c r="B86" s="217" t="str">
        <f t="shared" si="55"/>
        <v>200</v>
      </c>
      <c r="C86" s="217" t="str">
        <f t="shared" si="56"/>
        <v>71</v>
      </c>
      <c r="D86" s="101" t="str">
        <f t="shared" si="57"/>
        <v>711</v>
      </c>
      <c r="E86" s="217" t="str">
        <f t="shared" si="58"/>
        <v>200-71-711</v>
      </c>
      <c r="F86" s="294" t="str">
        <f t="shared" si="59"/>
        <v>50102</v>
      </c>
      <c r="G86" s="295" t="str">
        <f>VLOOKUP(F86,'GL Category'!A:C,3,FALSE)</f>
        <v>Personnel services</v>
      </c>
      <c r="H86" s="98" t="str">
        <f>VLOOKUP(F86,'GL Category'!A:C,2,FALSE)</f>
        <v>NON EXEMPT SALARIES</v>
      </c>
      <c r="I86" s="99">
        <f>SUMIF(Import!$B:$B,$A86,Import!D:D)</f>
        <v>205818.23</v>
      </c>
      <c r="J86" s="99">
        <f>SUMIF(Import!$B:$B,$A86,Import!E:E)</f>
        <v>176162.83</v>
      </c>
      <c r="K86" s="99">
        <f>SUMIF(Import!$B:$B,$A86,Import!F:F)</f>
        <v>118208.08</v>
      </c>
      <c r="L86" s="99">
        <f>SUMIF(Import!$B:$B,$A86,Import!G:G)</f>
        <v>115313.33</v>
      </c>
      <c r="M86" s="99">
        <f>SUMIF(Import!$B:$B,$A86,Import!H:H)</f>
        <v>121011</v>
      </c>
      <c r="N86" s="99">
        <f>SUMIF(Import!$B:$B,$A86,Import!I:I)</f>
        <v>92799.78</v>
      </c>
      <c r="O86" s="99">
        <f>SUMIF(Import!$B:$B,$A86,Import!J:J)</f>
        <v>121796</v>
      </c>
      <c r="P86" s="99">
        <f t="shared" si="71"/>
        <v>785</v>
      </c>
      <c r="Q86" s="99">
        <f>SUMIF(Import!$B:$B,$A86,Import!K:K)</f>
        <v>126966</v>
      </c>
      <c r="R86" s="99">
        <f>SUMIF(Import!$B:$B,$A86,Import!L:L)</f>
        <v>0</v>
      </c>
      <c r="S86" s="99">
        <f>SUMIF(Import!$B:$B,$A86,Import!M:M)</f>
        <v>0</v>
      </c>
      <c r="T86" s="99">
        <f>SUMIF(Import!$B:$B,$A86,Import!N:N)</f>
        <v>126966</v>
      </c>
      <c r="U86" s="99">
        <f t="shared" si="72"/>
        <v>5955</v>
      </c>
      <c r="V86" s="255">
        <f t="shared" si="73"/>
        <v>4.921040236011609E-2</v>
      </c>
      <c r="W86" s="102" t="s">
        <v>1268</v>
      </c>
      <c r="X86" s="103" t="str">
        <f t="shared" si="60"/>
        <v>OK</v>
      </c>
      <c r="Y86" s="271"/>
      <c r="Z86" s="121"/>
      <c r="AA86" s="121"/>
      <c r="AB86" s="121"/>
      <c r="AC86" s="121"/>
      <c r="AD86" s="121"/>
      <c r="AE86" s="121"/>
      <c r="AF86" s="121"/>
      <c r="AG86" s="121"/>
      <c r="AH86" s="121"/>
      <c r="AI86" s="121"/>
      <c r="AJ86" s="121"/>
      <c r="AK86" s="121"/>
      <c r="AL86" s="121"/>
    </row>
    <row r="87" spans="1:38" s="115" customFormat="1">
      <c r="A87" s="555" t="s">
        <v>1269</v>
      </c>
      <c r="B87" s="217" t="str">
        <f t="shared" si="55"/>
        <v>200</v>
      </c>
      <c r="C87" s="217" t="str">
        <f t="shared" si="56"/>
        <v>71</v>
      </c>
      <c r="D87" s="101" t="str">
        <f t="shared" si="57"/>
        <v>711</v>
      </c>
      <c r="E87" s="217" t="str">
        <f t="shared" si="58"/>
        <v>200-71-711</v>
      </c>
      <c r="F87" s="294" t="str">
        <f t="shared" si="59"/>
        <v>50109</v>
      </c>
      <c r="G87" s="295" t="str">
        <f>VLOOKUP(F87,'GL Category'!A:C,3,FALSE)</f>
        <v>Personnel services</v>
      </c>
      <c r="H87" s="98" t="str">
        <f>VLOOKUP(F87,'GL Category'!A:C,2,FALSE)</f>
        <v>OVERTIME</v>
      </c>
      <c r="I87" s="99">
        <f>SUMIF(Import!$B:$B,$A87,Import!D:D)</f>
        <v>63.72</v>
      </c>
      <c r="J87" s="99">
        <f>SUMIF(Import!$B:$B,$A87,Import!E:E)</f>
        <v>379.24</v>
      </c>
      <c r="K87" s="99">
        <f>SUMIF(Import!$B:$B,$A87,Import!F:F)</f>
        <v>367.47</v>
      </c>
      <c r="L87" s="99">
        <f>SUMIF(Import!$B:$B,$A87,Import!G:G)</f>
        <v>0</v>
      </c>
      <c r="M87" s="99">
        <f>SUMIF(Import!$B:$B,$A87,Import!H:H)</f>
        <v>1000</v>
      </c>
      <c r="N87" s="99">
        <f>SUMIF(Import!$B:$B,$A87,Import!I:I)</f>
        <v>29.16</v>
      </c>
      <c r="O87" s="99">
        <f>SUMIF(Import!$B:$B,$A87,Import!J:J)</f>
        <v>45</v>
      </c>
      <c r="P87" s="99">
        <f t="shared" si="71"/>
        <v>-955</v>
      </c>
      <c r="Q87" s="99">
        <f>SUMIF(Import!$B:$B,$A87,Import!K:K)</f>
        <v>1000</v>
      </c>
      <c r="R87" s="99">
        <f>SUMIF(Import!$B:$B,$A87,Import!L:L)</f>
        <v>0</v>
      </c>
      <c r="S87" s="99">
        <f>SUMIF(Import!$B:$B,$A87,Import!M:M)</f>
        <v>0</v>
      </c>
      <c r="T87" s="99">
        <f>SUMIF(Import!$B:$B,$A87,Import!N:N)</f>
        <v>1000</v>
      </c>
      <c r="U87" s="99">
        <f t="shared" si="72"/>
        <v>0</v>
      </c>
      <c r="V87" s="255">
        <f t="shared" si="73"/>
        <v>0</v>
      </c>
      <c r="W87" s="102" t="s">
        <v>1269</v>
      </c>
      <c r="X87" s="103" t="str">
        <f t="shared" si="60"/>
        <v>OK</v>
      </c>
      <c r="Y87" s="271"/>
      <c r="Z87" s="121"/>
      <c r="AA87" s="121"/>
      <c r="AB87" s="121"/>
      <c r="AC87" s="121"/>
      <c r="AD87" s="121"/>
      <c r="AE87" s="121"/>
      <c r="AF87" s="121"/>
      <c r="AG87" s="121"/>
      <c r="AH87" s="121"/>
      <c r="AI87" s="121"/>
      <c r="AJ87" s="121"/>
      <c r="AK87" s="121"/>
      <c r="AL87" s="121"/>
    </row>
    <row r="88" spans="1:38" s="115" customFormat="1">
      <c r="A88" s="555" t="s">
        <v>1270</v>
      </c>
      <c r="B88" s="217" t="str">
        <f t="shared" si="55"/>
        <v>200</v>
      </c>
      <c r="C88" s="217" t="str">
        <f t="shared" si="56"/>
        <v>71</v>
      </c>
      <c r="D88" s="101" t="str">
        <f t="shared" si="57"/>
        <v>711</v>
      </c>
      <c r="E88" s="217" t="str">
        <f t="shared" si="58"/>
        <v>200-71-711</v>
      </c>
      <c r="F88" s="294" t="str">
        <f t="shared" si="59"/>
        <v>50111</v>
      </c>
      <c r="G88" s="295" t="str">
        <f>VLOOKUP(F88,'GL Category'!A:C,3,FALSE)</f>
        <v>Personnel services</v>
      </c>
      <c r="H88" s="98" t="str">
        <f>VLOOKUP(F88,'GL Category'!A:C,2,FALSE)</f>
        <v>LONGEVITY PAY</v>
      </c>
      <c r="I88" s="99">
        <f>SUMIF(Import!$B:$B,$A88,Import!D:D)</f>
        <v>3335</v>
      </c>
      <c r="J88" s="99">
        <f>SUMIF(Import!$B:$B,$A88,Import!E:E)</f>
        <v>3635</v>
      </c>
      <c r="K88" s="99">
        <f>SUMIF(Import!$B:$B,$A88,Import!F:F)</f>
        <v>4670</v>
      </c>
      <c r="L88" s="99">
        <f>SUMIF(Import!$B:$B,$A88,Import!G:G)</f>
        <v>2260</v>
      </c>
      <c r="M88" s="99">
        <f>SUMIF(Import!$B:$B,$A88,Import!H:H)</f>
        <v>2622</v>
      </c>
      <c r="N88" s="99">
        <f>SUMIF(Import!$B:$B,$A88,Import!I:I)</f>
        <v>2610</v>
      </c>
      <c r="O88" s="99">
        <f>SUMIF(Import!$B:$B,$A88,Import!J:J)</f>
        <v>2610</v>
      </c>
      <c r="P88" s="99">
        <f t="shared" si="71"/>
        <v>-12</v>
      </c>
      <c r="Q88" s="99">
        <f>SUMIF(Import!$B:$B,$A88,Import!K:K)</f>
        <v>2927</v>
      </c>
      <c r="R88" s="99">
        <f>SUMIF(Import!$B:$B,$A88,Import!L:L)</f>
        <v>0</v>
      </c>
      <c r="S88" s="99">
        <f>SUMIF(Import!$B:$B,$A88,Import!M:M)</f>
        <v>0</v>
      </c>
      <c r="T88" s="99">
        <f>SUMIF(Import!$B:$B,$A88,Import!N:N)</f>
        <v>2927</v>
      </c>
      <c r="U88" s="99">
        <f t="shared" si="72"/>
        <v>305</v>
      </c>
      <c r="V88" s="255">
        <f t="shared" si="73"/>
        <v>0.11632341723874906</v>
      </c>
      <c r="W88" s="102" t="s">
        <v>1270</v>
      </c>
      <c r="X88" s="103" t="str">
        <f t="shared" si="60"/>
        <v>OK</v>
      </c>
      <c r="Y88" s="271"/>
      <c r="Z88" s="121"/>
      <c r="AA88" s="121"/>
      <c r="AB88" s="121"/>
      <c r="AC88" s="121"/>
      <c r="AD88" s="121"/>
      <c r="AE88" s="121"/>
      <c r="AF88" s="121"/>
      <c r="AG88" s="121"/>
      <c r="AH88" s="121"/>
      <c r="AI88" s="121"/>
      <c r="AJ88" s="121"/>
      <c r="AK88" s="121"/>
      <c r="AL88" s="121"/>
    </row>
    <row r="89" spans="1:38" s="115" customFormat="1">
      <c r="A89" s="555" t="s">
        <v>1271</v>
      </c>
      <c r="B89" s="217" t="str">
        <f t="shared" si="55"/>
        <v>200</v>
      </c>
      <c r="C89" s="217" t="str">
        <f t="shared" si="56"/>
        <v>71</v>
      </c>
      <c r="D89" s="101" t="str">
        <f t="shared" si="57"/>
        <v>711</v>
      </c>
      <c r="E89" s="217" t="str">
        <f t="shared" si="58"/>
        <v>200-71-711</v>
      </c>
      <c r="F89" s="294" t="str">
        <f t="shared" si="59"/>
        <v>50610</v>
      </c>
      <c r="G89" s="295" t="str">
        <f>VLOOKUP(F89,'GL Category'!A:C,3,FALSE)</f>
        <v>Personnel services</v>
      </c>
      <c r="H89" s="98" t="str">
        <f>VLOOKUP(F89,'GL Category'!A:C,2,FALSE)</f>
        <v>SOCIAL SECURITY</v>
      </c>
      <c r="I89" s="99">
        <f>SUMIF(Import!$B:$B,$A89,Import!D:D)</f>
        <v>25447.24</v>
      </c>
      <c r="J89" s="99">
        <f>SUMIF(Import!$B:$B,$A89,Import!E:E)</f>
        <v>25866.05</v>
      </c>
      <c r="K89" s="99">
        <f>SUMIF(Import!$B:$B,$A89,Import!F:F)</f>
        <v>24163.64</v>
      </c>
      <c r="L89" s="99">
        <f>SUMIF(Import!$B:$B,$A89,Import!G:G)</f>
        <v>24753.77</v>
      </c>
      <c r="M89" s="99">
        <f>SUMIF(Import!$B:$B,$A89,Import!H:H)</f>
        <v>26810</v>
      </c>
      <c r="N89" s="99">
        <f>SUMIF(Import!$B:$B,$A89,Import!I:I)</f>
        <v>20159.89</v>
      </c>
      <c r="O89" s="99">
        <f>SUMIF(Import!$B:$B,$A89,Import!J:J)</f>
        <v>27446</v>
      </c>
      <c r="P89" s="99">
        <f t="shared" si="71"/>
        <v>636</v>
      </c>
      <c r="Q89" s="99">
        <f>SUMIF(Import!$B:$B,$A89,Import!K:K)</f>
        <v>28000</v>
      </c>
      <c r="R89" s="99">
        <f>SUMIF(Import!$B:$B,$A89,Import!L:L)</f>
        <v>0</v>
      </c>
      <c r="S89" s="99">
        <f>SUMIF(Import!$B:$B,$A89,Import!M:M)</f>
        <v>0</v>
      </c>
      <c r="T89" s="99">
        <f>SUMIF(Import!$B:$B,$A89,Import!N:N)</f>
        <v>28000</v>
      </c>
      <c r="U89" s="99">
        <f t="shared" si="72"/>
        <v>1190</v>
      </c>
      <c r="V89" s="255">
        <f t="shared" si="73"/>
        <v>4.4386422976501416E-2</v>
      </c>
      <c r="W89" s="102" t="s">
        <v>1271</v>
      </c>
      <c r="X89" s="103" t="str">
        <f t="shared" si="60"/>
        <v>OK</v>
      </c>
      <c r="Y89" s="271"/>
      <c r="Z89" s="121"/>
      <c r="AA89" s="121"/>
      <c r="AB89" s="121"/>
      <c r="AC89" s="121"/>
      <c r="AD89" s="121"/>
      <c r="AE89" s="121"/>
      <c r="AF89" s="121"/>
      <c r="AG89" s="121"/>
      <c r="AH89" s="121"/>
      <c r="AI89" s="121"/>
      <c r="AJ89" s="121"/>
      <c r="AK89" s="121"/>
      <c r="AL89" s="121"/>
    </row>
    <row r="90" spans="1:38" s="115" customFormat="1">
      <c r="A90" s="555" t="s">
        <v>1272</v>
      </c>
      <c r="B90" s="217" t="str">
        <f t="shared" si="55"/>
        <v>200</v>
      </c>
      <c r="C90" s="217" t="str">
        <f t="shared" si="56"/>
        <v>71</v>
      </c>
      <c r="D90" s="101" t="str">
        <f t="shared" si="57"/>
        <v>711</v>
      </c>
      <c r="E90" s="217" t="str">
        <f t="shared" si="58"/>
        <v>200-71-711</v>
      </c>
      <c r="F90" s="294" t="str">
        <f t="shared" si="59"/>
        <v>50620</v>
      </c>
      <c r="G90" s="295" t="str">
        <f>VLOOKUP(F90,'GL Category'!A:C,3,FALSE)</f>
        <v>Personnel services</v>
      </c>
      <c r="H90" s="98" t="str">
        <f>VLOOKUP(F90,'GL Category'!A:C,2,FALSE)</f>
        <v>HEALTH/LIFE INSURANCE</v>
      </c>
      <c r="I90" s="99">
        <f>SUMIF(Import!$B:$B,$A90,Import!D:D)</f>
        <v>88206.59</v>
      </c>
      <c r="J90" s="99">
        <f>SUMIF(Import!$B:$B,$A90,Import!E:E)</f>
        <v>90414.77</v>
      </c>
      <c r="K90" s="99">
        <f>SUMIF(Import!$B:$B,$A90,Import!F:F)</f>
        <v>84684.37</v>
      </c>
      <c r="L90" s="99">
        <f>SUMIF(Import!$B:$B,$A90,Import!G:G)</f>
        <v>71828.2</v>
      </c>
      <c r="M90" s="99">
        <f>SUMIF(Import!$B:$B,$A90,Import!H:H)</f>
        <v>69849</v>
      </c>
      <c r="N90" s="99">
        <f>SUMIF(Import!$B:$B,$A90,Import!I:I)</f>
        <v>52333.06</v>
      </c>
      <c r="O90" s="99">
        <f>SUMIF(Import!$B:$B,$A90,Import!J:J)</f>
        <v>68438</v>
      </c>
      <c r="P90" s="99">
        <f t="shared" si="71"/>
        <v>-1411</v>
      </c>
      <c r="Q90" s="99">
        <f>SUMIF(Import!$B:$B,$A90,Import!K:K)</f>
        <v>59917</v>
      </c>
      <c r="R90" s="99">
        <f>SUMIF(Import!$B:$B,$A90,Import!L:L)</f>
        <v>0</v>
      </c>
      <c r="S90" s="99">
        <f>SUMIF(Import!$B:$B,$A90,Import!M:M)</f>
        <v>0</v>
      </c>
      <c r="T90" s="99">
        <f>SUMIF(Import!$B:$B,$A90,Import!N:N)</f>
        <v>59917</v>
      </c>
      <c r="U90" s="99">
        <f t="shared" si="72"/>
        <v>-9932</v>
      </c>
      <c r="V90" s="255">
        <f t="shared" si="73"/>
        <v>-0.14219244369998141</v>
      </c>
      <c r="W90" s="102" t="s">
        <v>1272</v>
      </c>
      <c r="X90" s="103" t="str">
        <f t="shared" si="60"/>
        <v>OK</v>
      </c>
      <c r="Y90" s="271"/>
      <c r="Z90" s="121"/>
      <c r="AA90" s="121"/>
      <c r="AB90" s="121"/>
      <c r="AC90" s="121"/>
      <c r="AD90" s="121"/>
      <c r="AE90" s="121"/>
      <c r="AF90" s="121"/>
      <c r="AG90" s="121"/>
      <c r="AH90" s="121"/>
      <c r="AI90" s="121"/>
      <c r="AJ90" s="121"/>
      <c r="AK90" s="121"/>
      <c r="AL90" s="121"/>
    </row>
    <row r="91" spans="1:38" s="115" customFormat="1">
      <c r="A91" s="555" t="s">
        <v>1273</v>
      </c>
      <c r="B91" s="217" t="str">
        <f t="shared" si="55"/>
        <v>200</v>
      </c>
      <c r="C91" s="217" t="str">
        <f t="shared" si="56"/>
        <v>71</v>
      </c>
      <c r="D91" s="101" t="str">
        <f t="shared" si="57"/>
        <v>711</v>
      </c>
      <c r="E91" s="217" t="str">
        <f t="shared" si="58"/>
        <v>200-71-711</v>
      </c>
      <c r="F91" s="294" t="str">
        <f t="shared" si="59"/>
        <v>50630</v>
      </c>
      <c r="G91" s="295" t="str">
        <f>VLOOKUP(F91,'GL Category'!A:C,3,FALSE)</f>
        <v>Personnel services</v>
      </c>
      <c r="H91" s="98" t="str">
        <f>VLOOKUP(F91,'GL Category'!A:C,2,FALSE)</f>
        <v>WORKER COMPENSATION</v>
      </c>
      <c r="I91" s="99">
        <f>SUMIF(Import!$B:$B,$A91,Import!D:D)</f>
        <v>233.63</v>
      </c>
      <c r="J91" s="99">
        <f>SUMIF(Import!$B:$B,$A91,Import!E:E)</f>
        <v>219.38</v>
      </c>
      <c r="K91" s="99">
        <f>SUMIF(Import!$B:$B,$A91,Import!F:F)</f>
        <v>248.28</v>
      </c>
      <c r="L91" s="99">
        <f>SUMIF(Import!$B:$B,$A91,Import!G:G)</f>
        <v>378.22</v>
      </c>
      <c r="M91" s="99">
        <f>SUMIF(Import!$B:$B,$A91,Import!H:H)</f>
        <v>500</v>
      </c>
      <c r="N91" s="99">
        <f>SUMIF(Import!$B:$B,$A91,Import!I:I)</f>
        <v>499.6</v>
      </c>
      <c r="O91" s="99">
        <f>SUMIF(Import!$B:$B,$A91,Import!J:J)</f>
        <v>500</v>
      </c>
      <c r="P91" s="99">
        <f t="shared" si="71"/>
        <v>0</v>
      </c>
      <c r="Q91" s="99">
        <f>SUMIF(Import!$B:$B,$A91,Import!K:K)</f>
        <v>504</v>
      </c>
      <c r="R91" s="99">
        <f>SUMIF(Import!$B:$B,$A91,Import!L:L)</f>
        <v>0</v>
      </c>
      <c r="S91" s="99">
        <f>SUMIF(Import!$B:$B,$A91,Import!M:M)</f>
        <v>0</v>
      </c>
      <c r="T91" s="99">
        <f>SUMIF(Import!$B:$B,$A91,Import!N:N)</f>
        <v>504</v>
      </c>
      <c r="U91" s="99">
        <f t="shared" si="72"/>
        <v>4</v>
      </c>
      <c r="V91" s="255">
        <f t="shared" si="73"/>
        <v>8.0000000000000071E-3</v>
      </c>
      <c r="W91" s="102" t="s">
        <v>1273</v>
      </c>
      <c r="X91" s="103" t="str">
        <f t="shared" si="60"/>
        <v>OK</v>
      </c>
      <c r="Y91" s="271"/>
      <c r="Z91" s="121"/>
      <c r="AA91" s="121"/>
      <c r="AB91" s="121"/>
      <c r="AC91" s="121"/>
      <c r="AD91" s="121"/>
      <c r="AE91" s="121"/>
      <c r="AF91" s="121"/>
      <c r="AG91" s="121"/>
      <c r="AH91" s="121"/>
      <c r="AI91" s="121"/>
      <c r="AJ91" s="121"/>
      <c r="AK91" s="121"/>
      <c r="AL91" s="121"/>
    </row>
    <row r="92" spans="1:38" s="115" customFormat="1">
      <c r="A92" s="555" t="s">
        <v>1274</v>
      </c>
      <c r="B92" s="217" t="str">
        <f t="shared" si="55"/>
        <v>200</v>
      </c>
      <c r="C92" s="217" t="str">
        <f t="shared" si="56"/>
        <v>71</v>
      </c>
      <c r="D92" s="101" t="str">
        <f t="shared" si="57"/>
        <v>711</v>
      </c>
      <c r="E92" s="217" t="str">
        <f t="shared" si="58"/>
        <v>200-71-711</v>
      </c>
      <c r="F92" s="294" t="str">
        <f t="shared" si="59"/>
        <v>50650</v>
      </c>
      <c r="G92" s="295" t="str">
        <f>VLOOKUP(F92,'GL Category'!A:C,3,FALSE)</f>
        <v>Personnel services</v>
      </c>
      <c r="H92" s="98" t="str">
        <f>VLOOKUP(F92,'GL Category'!A:C,2,FALSE)</f>
        <v>RETIREMENT</v>
      </c>
      <c r="I92" s="99">
        <f>SUMIF(Import!$B:$B,$A92,Import!D:D)</f>
        <v>56461.1</v>
      </c>
      <c r="J92" s="99">
        <f>SUMIF(Import!$B:$B,$A92,Import!E:E)</f>
        <v>58210.25</v>
      </c>
      <c r="K92" s="99">
        <f>SUMIF(Import!$B:$B,$A92,Import!F:F)</f>
        <v>53918.85</v>
      </c>
      <c r="L92" s="99">
        <f>SUMIF(Import!$B:$B,$A92,Import!G:G)</f>
        <v>54165.83</v>
      </c>
      <c r="M92" s="99">
        <f>SUMIF(Import!$B:$B,$A92,Import!H:H)</f>
        <v>57904</v>
      </c>
      <c r="N92" s="99">
        <f>SUMIF(Import!$B:$B,$A92,Import!I:I)</f>
        <v>45118.7</v>
      </c>
      <c r="O92" s="99">
        <f>SUMIF(Import!$B:$B,$A92,Import!J:J)</f>
        <v>60763</v>
      </c>
      <c r="P92" s="99">
        <f t="shared" si="71"/>
        <v>2859</v>
      </c>
      <c r="Q92" s="99">
        <f>SUMIF(Import!$B:$B,$A92,Import!K:K)</f>
        <v>61918</v>
      </c>
      <c r="R92" s="99">
        <f>SUMIF(Import!$B:$B,$A92,Import!L:L)</f>
        <v>0</v>
      </c>
      <c r="S92" s="99">
        <f>SUMIF(Import!$B:$B,$A92,Import!M:M)</f>
        <v>0</v>
      </c>
      <c r="T92" s="99">
        <f>SUMIF(Import!$B:$B,$A92,Import!N:N)</f>
        <v>61918</v>
      </c>
      <c r="U92" s="99">
        <f t="shared" si="72"/>
        <v>4014</v>
      </c>
      <c r="V92" s="255">
        <f t="shared" si="73"/>
        <v>6.9321635810997595E-2</v>
      </c>
      <c r="W92" s="102" t="s">
        <v>1274</v>
      </c>
      <c r="X92" s="103" t="str">
        <f t="shared" si="60"/>
        <v>OK</v>
      </c>
      <c r="Y92" s="271"/>
      <c r="Z92" s="121"/>
      <c r="AA92" s="121"/>
      <c r="AB92" s="121"/>
      <c r="AC92" s="121"/>
      <c r="AD92" s="121"/>
      <c r="AE92" s="121"/>
      <c r="AF92" s="121"/>
      <c r="AG92" s="121"/>
      <c r="AH92" s="121"/>
      <c r="AI92" s="121"/>
      <c r="AJ92" s="121"/>
      <c r="AK92" s="121"/>
      <c r="AL92" s="121"/>
    </row>
    <row r="93" spans="1:38" s="115" customFormat="1">
      <c r="A93" s="555"/>
      <c r="B93" s="217"/>
      <c r="C93" s="217"/>
      <c r="D93" s="101"/>
      <c r="E93" s="217"/>
      <c r="F93" s="294"/>
      <c r="G93" s="146"/>
      <c r="H93" s="107" t="str">
        <f>UPPER(G92)&amp;" TOTAL"</f>
        <v>PERSONNEL SERVICES TOTAL</v>
      </c>
      <c r="I93" s="108">
        <f t="shared" ref="I93" si="74">SUBTOTAL(9,I85:I92)</f>
        <v>525803.56999999995</v>
      </c>
      <c r="J93" s="108">
        <f t="shared" ref="J93:T93" si="75">SUBTOTAL(9,J85:J92)</f>
        <v>534843.5</v>
      </c>
      <c r="K93" s="108">
        <f t="shared" ref="K93" si="76">SUBTOTAL(9,K85:K92)</f>
        <v>496023.57</v>
      </c>
      <c r="L93" s="108">
        <f t="shared" ref="L93" si="77">SUBTOTAL(9,L85:L92)</f>
        <v>485988.33</v>
      </c>
      <c r="M93" s="108">
        <f t="shared" si="75"/>
        <v>505151</v>
      </c>
      <c r="N93" s="108">
        <f t="shared" ref="N93" si="78">SUBTOTAL(9,N85:N92)</f>
        <v>391093.08999999997</v>
      </c>
      <c r="O93" s="108">
        <f t="shared" si="75"/>
        <v>523649</v>
      </c>
      <c r="P93" s="108">
        <f t="shared" si="75"/>
        <v>18498</v>
      </c>
      <c r="Q93" s="108">
        <f t="shared" si="75"/>
        <v>515853</v>
      </c>
      <c r="R93" s="108">
        <f t="shared" si="75"/>
        <v>0</v>
      </c>
      <c r="S93" s="108">
        <f t="shared" si="75"/>
        <v>0</v>
      </c>
      <c r="T93" s="108">
        <f t="shared" si="75"/>
        <v>515853</v>
      </c>
      <c r="U93" s="99">
        <f>T93-M93</f>
        <v>10702</v>
      </c>
      <c r="V93" s="259">
        <f>IF(M93=0,"N/A",T93/M93-1)</f>
        <v>2.1185744460567202E-2</v>
      </c>
      <c r="W93" s="102" t="e">
        <v>#N/A</v>
      </c>
      <c r="X93" s="103" t="str">
        <f t="shared" si="60"/>
        <v>OK</v>
      </c>
      <c r="Y93" s="271"/>
      <c r="Z93" s="121"/>
      <c r="AA93" s="121"/>
      <c r="AB93" s="121"/>
      <c r="AC93" s="121"/>
      <c r="AD93" s="121"/>
      <c r="AE93" s="121"/>
      <c r="AF93" s="121"/>
      <c r="AG93" s="121"/>
      <c r="AH93" s="121"/>
      <c r="AI93" s="121"/>
      <c r="AJ93" s="121"/>
      <c r="AK93" s="121"/>
      <c r="AL93" s="121"/>
    </row>
    <row r="94" spans="1:38" s="115" customFormat="1">
      <c r="A94" s="555"/>
      <c r="B94" s="217"/>
      <c r="C94" s="217"/>
      <c r="D94" s="101"/>
      <c r="E94" s="217"/>
      <c r="F94" s="294"/>
      <c r="G94" s="146"/>
      <c r="H94" s="98"/>
      <c r="I94" s="228"/>
      <c r="J94" s="228"/>
      <c r="K94" s="228"/>
      <c r="L94" s="228"/>
      <c r="M94" s="228"/>
      <c r="N94" s="229"/>
      <c r="O94" s="229"/>
      <c r="P94" s="229"/>
      <c r="Q94" s="230"/>
      <c r="R94" s="231"/>
      <c r="S94" s="231"/>
      <c r="T94" s="230"/>
      <c r="U94" s="230"/>
      <c r="V94" s="230"/>
      <c r="W94" s="102"/>
      <c r="X94" s="103" t="str">
        <f t="shared" si="60"/>
        <v/>
      </c>
      <c r="Y94" s="271"/>
      <c r="Z94" s="121"/>
      <c r="AA94" s="121"/>
      <c r="AB94" s="121"/>
      <c r="AC94" s="121"/>
      <c r="AD94" s="121"/>
      <c r="AE94" s="121"/>
      <c r="AF94" s="121"/>
      <c r="AG94" s="121"/>
      <c r="AH94" s="121"/>
      <c r="AI94" s="121"/>
      <c r="AJ94" s="121"/>
      <c r="AK94" s="121"/>
      <c r="AL94" s="121"/>
    </row>
    <row r="95" spans="1:38" s="115" customFormat="1" ht="15" customHeight="1">
      <c r="A95" s="555" t="s">
        <v>1275</v>
      </c>
      <c r="B95" s="217" t="str">
        <f t="shared" si="55"/>
        <v>200</v>
      </c>
      <c r="C95" s="217" t="str">
        <f t="shared" si="56"/>
        <v>71</v>
      </c>
      <c r="D95" s="101" t="str">
        <f t="shared" si="57"/>
        <v>711</v>
      </c>
      <c r="E95" s="217" t="str">
        <f t="shared" si="58"/>
        <v>200-71-711</v>
      </c>
      <c r="F95" s="294" t="str">
        <f t="shared" si="59"/>
        <v>51210</v>
      </c>
      <c r="G95" s="295" t="str">
        <f>VLOOKUP(F95,'GL Category'!A:C,3,FALSE)</f>
        <v>Operations &amp; maintenance</v>
      </c>
      <c r="H95" s="98" t="str">
        <f>VLOOKUP(F95,'GL Category'!A:C,2,FALSE)</f>
        <v>OFFICE SUPPLIES</v>
      </c>
      <c r="I95" s="99">
        <f>SUMIF(Import!$B:$B,$A95,Import!D:D)</f>
        <v>1690.07</v>
      </c>
      <c r="J95" s="99">
        <f>SUMIF(Import!$B:$B,$A95,Import!E:E)</f>
        <v>10005.4</v>
      </c>
      <c r="K95" s="99">
        <f>SUMIF(Import!$B:$B,$A95,Import!F:F)</f>
        <v>1200.3699999999999</v>
      </c>
      <c r="L95" s="99">
        <f>SUMIF(Import!$B:$B,$A95,Import!G:G)</f>
        <v>726.76</v>
      </c>
      <c r="M95" s="99">
        <f>SUMIF(Import!$B:$B,$A95,Import!H:H)</f>
        <v>1000</v>
      </c>
      <c r="N95" s="99">
        <f>SUMIF(Import!$B:$B,$A95,Import!I:I)</f>
        <v>591.54</v>
      </c>
      <c r="O95" s="99">
        <f>SUMIF(Import!$B:$B,$A95,Import!J:J)</f>
        <v>1000</v>
      </c>
      <c r="P95" s="99">
        <f t="shared" ref="P95:P101" si="79">O95-M95</f>
        <v>0</v>
      </c>
      <c r="Q95" s="99">
        <f>SUMIF(Import!$B:$B,$A95,Import!K:K)</f>
        <v>1000</v>
      </c>
      <c r="R95" s="576">
        <f>SUMIF(Import!$B:$B,$A95,Import!L:L)</f>
        <v>0</v>
      </c>
      <c r="S95" s="99">
        <f>SUMIF(Import!$B:$B,$A95,Import!M:M)</f>
        <v>0</v>
      </c>
      <c r="T95" s="99">
        <f>SUMIF(Import!$B:$B,$A95,Import!N:N)</f>
        <v>1000</v>
      </c>
      <c r="U95" s="99">
        <f t="shared" ref="U95:U101" si="80">T95-M95</f>
        <v>0</v>
      </c>
      <c r="V95" s="255">
        <f t="shared" ref="V95:V101" si="81">IF(M95=0,"N/A",T95/M95-1)</f>
        <v>0</v>
      </c>
      <c r="W95" s="102" t="s">
        <v>1275</v>
      </c>
      <c r="X95" s="103" t="str">
        <f t="shared" si="60"/>
        <v>OK</v>
      </c>
      <c r="Y95" s="271"/>
      <c r="Z95" s="121"/>
      <c r="AA95" s="121"/>
      <c r="AB95" s="121"/>
      <c r="AC95" s="121"/>
      <c r="AD95" s="121"/>
      <c r="AE95" s="121"/>
      <c r="AF95" s="121"/>
      <c r="AG95" s="121"/>
      <c r="AH95" s="121"/>
      <c r="AI95" s="121"/>
      <c r="AJ95" s="121"/>
      <c r="AK95" s="121"/>
      <c r="AL95" s="121"/>
    </row>
    <row r="96" spans="1:38" s="115" customFormat="1" ht="15" customHeight="1">
      <c r="A96" s="555" t="s">
        <v>1276</v>
      </c>
      <c r="B96" s="217" t="str">
        <f t="shared" si="55"/>
        <v>200</v>
      </c>
      <c r="C96" s="217" t="str">
        <f t="shared" si="56"/>
        <v>71</v>
      </c>
      <c r="D96" s="101" t="str">
        <f t="shared" si="57"/>
        <v>711</v>
      </c>
      <c r="E96" s="217" t="str">
        <f t="shared" si="58"/>
        <v>200-71-711</v>
      </c>
      <c r="F96" s="294" t="str">
        <f t="shared" si="59"/>
        <v>51220</v>
      </c>
      <c r="G96" s="295" t="str">
        <f>VLOOKUP(F96,'GL Category'!A:C,3,FALSE)</f>
        <v>Operations &amp; maintenance</v>
      </c>
      <c r="H96" s="98" t="str">
        <f>VLOOKUP(F96,'GL Category'!A:C,2,FALSE)</f>
        <v>POSTAGE SUPPLIES</v>
      </c>
      <c r="I96" s="99">
        <f>SUMIF(Import!$B:$B,$A96,Import!D:D)</f>
        <v>65564.84</v>
      </c>
      <c r="J96" s="99">
        <f>SUMIF(Import!$B:$B,$A96,Import!E:E)</f>
        <v>65824.11</v>
      </c>
      <c r="K96" s="99">
        <f>SUMIF(Import!$B:$B,$A96,Import!F:F)</f>
        <v>68314.53</v>
      </c>
      <c r="L96" s="99">
        <f>SUMIF(Import!$B:$B,$A96,Import!G:G)</f>
        <v>71120.31</v>
      </c>
      <c r="M96" s="99">
        <f>SUMIF(Import!$B:$B,$A96,Import!H:H)</f>
        <v>71810</v>
      </c>
      <c r="N96" s="99">
        <f>SUMIF(Import!$B:$B,$A96,Import!I:I)</f>
        <v>49663.519999999997</v>
      </c>
      <c r="O96" s="99">
        <f>SUMIF(Import!$B:$B,$A96,Import!J:J)</f>
        <v>71810</v>
      </c>
      <c r="P96" s="99">
        <f t="shared" si="79"/>
        <v>0</v>
      </c>
      <c r="Q96" s="99">
        <f>SUMIF(Import!$B:$B,$A96,Import!K:K)</f>
        <v>71810</v>
      </c>
      <c r="R96" s="576">
        <f>SUMIF(Import!$B:$B,$A96,Import!L:L)</f>
        <v>0</v>
      </c>
      <c r="S96" s="99">
        <f>SUMIF(Import!$B:$B,$A96,Import!M:M)</f>
        <v>0</v>
      </c>
      <c r="T96" s="99">
        <f>SUMIF(Import!$B:$B,$A96,Import!N:N)</f>
        <v>71810</v>
      </c>
      <c r="U96" s="99">
        <f t="shared" si="80"/>
        <v>0</v>
      </c>
      <c r="V96" s="255">
        <f t="shared" si="81"/>
        <v>0</v>
      </c>
      <c r="W96" s="102" t="s">
        <v>1276</v>
      </c>
      <c r="X96" s="103" t="str">
        <f t="shared" si="60"/>
        <v>OK</v>
      </c>
      <c r="Y96" s="271"/>
      <c r="Z96" s="121"/>
      <c r="AA96" s="121"/>
      <c r="AB96" s="121"/>
      <c r="AC96" s="121"/>
      <c r="AD96" s="121"/>
      <c r="AE96" s="121"/>
      <c r="AF96" s="121"/>
      <c r="AG96" s="121"/>
      <c r="AH96" s="121"/>
      <c r="AI96" s="121"/>
      <c r="AJ96" s="121"/>
      <c r="AK96" s="121"/>
      <c r="AL96" s="121"/>
    </row>
    <row r="97" spans="1:38" s="115" customFormat="1" ht="15" customHeight="1">
      <c r="A97" s="555" t="s">
        <v>1277</v>
      </c>
      <c r="B97" s="217" t="str">
        <f t="shared" si="55"/>
        <v>200</v>
      </c>
      <c r="C97" s="217" t="str">
        <f t="shared" si="56"/>
        <v>71</v>
      </c>
      <c r="D97" s="101" t="str">
        <f t="shared" si="57"/>
        <v>711</v>
      </c>
      <c r="E97" s="217" t="str">
        <f t="shared" si="58"/>
        <v>200-71-711</v>
      </c>
      <c r="F97" s="294" t="str">
        <f t="shared" si="59"/>
        <v>51285</v>
      </c>
      <c r="G97" s="295" t="str">
        <f>VLOOKUP(F97,'GL Category'!A:C,3,FALSE)</f>
        <v>Operations &amp; maintenance</v>
      </c>
      <c r="H97" s="98" t="str">
        <f>VLOOKUP(F97,'GL Category'!A:C,2,FALSE)</f>
        <v>WEARING APPAREL</v>
      </c>
      <c r="I97" s="99">
        <f>SUMIF(Import!$B:$B,$A97,Import!D:D)</f>
        <v>42.99</v>
      </c>
      <c r="J97" s="99">
        <f>SUMIF(Import!$B:$B,$A97,Import!E:E)</f>
        <v>243.02</v>
      </c>
      <c r="K97" s="99">
        <f>SUMIF(Import!$B:$B,$A97,Import!F:F)</f>
        <v>25.56</v>
      </c>
      <c r="L97" s="99">
        <f>SUMIF(Import!$B:$B,$A97,Import!G:G)</f>
        <v>36.35</v>
      </c>
      <c r="M97" s="99">
        <f>SUMIF(Import!$B:$B,$A97,Import!H:H)</f>
        <v>420</v>
      </c>
      <c r="N97" s="99">
        <f>SUMIF(Import!$B:$B,$A97,Import!I:I)</f>
        <v>175.68</v>
      </c>
      <c r="O97" s="99">
        <f>SUMIF(Import!$B:$B,$A97,Import!J:J)</f>
        <v>420</v>
      </c>
      <c r="P97" s="99">
        <f t="shared" si="79"/>
        <v>0</v>
      </c>
      <c r="Q97" s="99">
        <f>SUMIF(Import!$B:$B,$A97,Import!K:K)</f>
        <v>420</v>
      </c>
      <c r="R97" s="99">
        <f>SUMIF(Import!$B:$B,$A97,Import!L:L)</f>
        <v>0</v>
      </c>
      <c r="S97" s="99">
        <f>SUMIF(Import!$B:$B,$A97,Import!M:M)</f>
        <v>0</v>
      </c>
      <c r="T97" s="99">
        <f>SUMIF(Import!$B:$B,$A97,Import!N:N)</f>
        <v>420</v>
      </c>
      <c r="U97" s="99">
        <f t="shared" si="80"/>
        <v>0</v>
      </c>
      <c r="V97" s="255">
        <f t="shared" si="81"/>
        <v>0</v>
      </c>
      <c r="W97" s="102" t="s">
        <v>1277</v>
      </c>
      <c r="X97" s="103" t="str">
        <f t="shared" si="60"/>
        <v>OK</v>
      </c>
      <c r="Y97" s="271"/>
      <c r="Z97" s="121"/>
      <c r="AA97" s="121"/>
      <c r="AB97" s="121"/>
      <c r="AC97" s="121"/>
      <c r="AD97" s="121"/>
      <c r="AE97" s="121"/>
      <c r="AF97" s="121"/>
      <c r="AG97" s="121"/>
      <c r="AH97" s="121"/>
      <c r="AI97" s="121"/>
      <c r="AJ97" s="121"/>
      <c r="AK97" s="121"/>
      <c r="AL97" s="121"/>
    </row>
    <row r="98" spans="1:38" s="115" customFormat="1" ht="15" customHeight="1">
      <c r="A98" s="555" t="s">
        <v>1278</v>
      </c>
      <c r="B98" s="217" t="str">
        <f t="shared" si="55"/>
        <v>200</v>
      </c>
      <c r="C98" s="217" t="str">
        <f t="shared" si="56"/>
        <v>71</v>
      </c>
      <c r="D98" s="101" t="str">
        <f t="shared" si="57"/>
        <v>711</v>
      </c>
      <c r="E98" s="217" t="str">
        <f t="shared" si="58"/>
        <v>200-71-711</v>
      </c>
      <c r="F98" s="294" t="str">
        <f t="shared" si="59"/>
        <v>51299</v>
      </c>
      <c r="G98" s="295" t="str">
        <f>VLOOKUP(F98,'GL Category'!A:C,3,FALSE)</f>
        <v>Operations &amp; maintenance</v>
      </c>
      <c r="H98" s="98" t="str">
        <f>VLOOKUP(F98,'GL Category'!A:C,2,FALSE)</f>
        <v>MISCELLANEOUS SUPPLIES</v>
      </c>
      <c r="I98" s="99">
        <f>SUMIF(Import!$B:$B,$A98,Import!D:D)</f>
        <v>0</v>
      </c>
      <c r="J98" s="99">
        <f>SUMIF(Import!$B:$B,$A98,Import!E:E)</f>
        <v>0</v>
      </c>
      <c r="K98" s="99">
        <f>SUMIF(Import!$B:$B,$A98,Import!F:F)</f>
        <v>0</v>
      </c>
      <c r="L98" s="99">
        <f>SUMIF(Import!$B:$B,$A98,Import!G:G)</f>
        <v>0</v>
      </c>
      <c r="M98" s="99">
        <f>SUMIF(Import!$B:$B,$A98,Import!H:H)</f>
        <v>0</v>
      </c>
      <c r="N98" s="99">
        <f>SUMIF(Import!$B:$B,$A98,Import!I:I)</f>
        <v>0</v>
      </c>
      <c r="O98" s="99">
        <f>SUMIF(Import!$B:$B,$A98,Import!J:J)</f>
        <v>0</v>
      </c>
      <c r="P98" s="99">
        <f t="shared" si="79"/>
        <v>0</v>
      </c>
      <c r="Q98" s="99">
        <f>SUMIF(Import!$B:$B,$A98,Import!K:K)</f>
        <v>0</v>
      </c>
      <c r="R98" s="99">
        <f>SUMIF(Import!$B:$B,$A98,Import!L:L)</f>
        <v>0</v>
      </c>
      <c r="S98" s="99">
        <f>SUMIF(Import!$B:$B,$A98,Import!M:M)</f>
        <v>0</v>
      </c>
      <c r="T98" s="99">
        <f>SUMIF(Import!$B:$B,$A98,Import!N:N)</f>
        <v>0</v>
      </c>
      <c r="U98" s="99">
        <f t="shared" si="80"/>
        <v>0</v>
      </c>
      <c r="V98" s="255" t="str">
        <f t="shared" si="81"/>
        <v>N/A</v>
      </c>
      <c r="W98" s="102" t="s">
        <v>1278</v>
      </c>
      <c r="X98" s="103" t="str">
        <f t="shared" si="60"/>
        <v>OK</v>
      </c>
      <c r="Y98" s="271"/>
      <c r="Z98" s="121"/>
      <c r="AA98" s="121"/>
      <c r="AB98" s="121"/>
      <c r="AC98" s="121"/>
      <c r="AD98" s="121"/>
      <c r="AE98" s="121"/>
      <c r="AF98" s="121"/>
      <c r="AG98" s="121"/>
      <c r="AH98" s="121"/>
      <c r="AI98" s="121"/>
      <c r="AJ98" s="121"/>
      <c r="AK98" s="121"/>
      <c r="AL98" s="121"/>
    </row>
    <row r="99" spans="1:38" s="115" customFormat="1" ht="15" customHeight="1">
      <c r="A99" s="555" t="s">
        <v>1279</v>
      </c>
      <c r="B99" s="217" t="str">
        <f t="shared" si="55"/>
        <v>200</v>
      </c>
      <c r="C99" s="217" t="str">
        <f t="shared" si="56"/>
        <v>71</v>
      </c>
      <c r="D99" s="101" t="str">
        <f t="shared" si="57"/>
        <v>711</v>
      </c>
      <c r="E99" s="217" t="str">
        <f t="shared" si="58"/>
        <v>200-71-711</v>
      </c>
      <c r="F99" s="294" t="str">
        <f t="shared" si="59"/>
        <v>52310</v>
      </c>
      <c r="G99" s="295" t="str">
        <f>VLOOKUP(F99,'GL Category'!A:C,3,FALSE)</f>
        <v>Operations &amp; maintenance</v>
      </c>
      <c r="H99" s="98" t="str">
        <f>VLOOKUP(F99,'GL Category'!A:C,2,FALSE)</f>
        <v>BUILDING MAINTENANCE</v>
      </c>
      <c r="I99" s="99">
        <f>SUMIF(Import!$B:$B,$A99,Import!D:D)</f>
        <v>0</v>
      </c>
      <c r="J99" s="99">
        <f>SUMIF(Import!$B:$B,$A99,Import!E:E)</f>
        <v>0</v>
      </c>
      <c r="K99" s="99">
        <f>SUMIF(Import!$B:$B,$A99,Import!F:F)</f>
        <v>0</v>
      </c>
      <c r="L99" s="99">
        <f>SUMIF(Import!$B:$B,$A99,Import!G:G)</f>
        <v>0</v>
      </c>
      <c r="M99" s="99">
        <f>SUMIF(Import!$B:$B,$A99,Import!H:H)</f>
        <v>0</v>
      </c>
      <c r="N99" s="99">
        <f>SUMIF(Import!$B:$B,$A99,Import!I:I)</f>
        <v>0</v>
      </c>
      <c r="O99" s="99">
        <f>SUMIF(Import!$B:$B,$A99,Import!J:J)</f>
        <v>0</v>
      </c>
      <c r="P99" s="99">
        <f t="shared" si="79"/>
        <v>0</v>
      </c>
      <c r="Q99" s="99">
        <f>SUMIF(Import!$B:$B,$A99,Import!K:K)</f>
        <v>0</v>
      </c>
      <c r="R99" s="99">
        <f>SUMIF(Import!$B:$B,$A99,Import!L:L)</f>
        <v>0</v>
      </c>
      <c r="S99" s="99">
        <f>SUMIF(Import!$B:$B,$A99,Import!M:M)</f>
        <v>0</v>
      </c>
      <c r="T99" s="99">
        <f>SUMIF(Import!$B:$B,$A99,Import!N:N)</f>
        <v>0</v>
      </c>
      <c r="U99" s="99">
        <f t="shared" si="80"/>
        <v>0</v>
      </c>
      <c r="V99" s="255" t="str">
        <f t="shared" si="81"/>
        <v>N/A</v>
      </c>
      <c r="W99" s="102" t="s">
        <v>1279</v>
      </c>
      <c r="X99" s="103" t="str">
        <f t="shared" si="60"/>
        <v>OK</v>
      </c>
      <c r="Y99" s="271"/>
      <c r="Z99" s="121"/>
      <c r="AA99" s="121"/>
      <c r="AB99" s="121"/>
      <c r="AC99" s="121"/>
      <c r="AD99" s="121"/>
      <c r="AE99" s="121"/>
      <c r="AF99" s="121"/>
      <c r="AG99" s="121"/>
      <c r="AH99" s="121"/>
      <c r="AI99" s="121"/>
      <c r="AJ99" s="121"/>
      <c r="AK99" s="121"/>
      <c r="AL99" s="121"/>
    </row>
    <row r="100" spans="1:38" s="115" customFormat="1" ht="15" customHeight="1">
      <c r="A100" s="555" t="s">
        <v>1280</v>
      </c>
      <c r="B100" s="217" t="str">
        <f t="shared" si="55"/>
        <v>200</v>
      </c>
      <c r="C100" s="217" t="str">
        <f t="shared" si="56"/>
        <v>71</v>
      </c>
      <c r="D100" s="101" t="str">
        <f t="shared" si="57"/>
        <v>711</v>
      </c>
      <c r="E100" s="217" t="str">
        <f t="shared" si="58"/>
        <v>200-71-711</v>
      </c>
      <c r="F100" s="294" t="str">
        <f t="shared" si="59"/>
        <v>52440</v>
      </c>
      <c r="G100" s="295" t="str">
        <f>VLOOKUP(F100,'GL Category'!A:C,3,FALSE)</f>
        <v>Operations &amp; maintenance</v>
      </c>
      <c r="H100" s="98" t="str">
        <f>VLOOKUP(F100,'GL Category'!A:C,2,FALSE)</f>
        <v>RADIO MAINTENANCE</v>
      </c>
      <c r="I100" s="99">
        <f>SUMIF(Import!$B:$B,$A100,Import!D:D)</f>
        <v>0</v>
      </c>
      <c r="J100" s="99">
        <f>SUMIF(Import!$B:$B,$A100,Import!E:E)</f>
        <v>0</v>
      </c>
      <c r="K100" s="99">
        <f>SUMIF(Import!$B:$B,$A100,Import!F:F)</f>
        <v>0</v>
      </c>
      <c r="L100" s="99">
        <f>SUMIF(Import!$B:$B,$A100,Import!G:G)</f>
        <v>0</v>
      </c>
      <c r="M100" s="99">
        <f>SUMIF(Import!$B:$B,$A100,Import!H:H)</f>
        <v>0</v>
      </c>
      <c r="N100" s="99">
        <f>SUMIF(Import!$B:$B,$A100,Import!I:I)</f>
        <v>0</v>
      </c>
      <c r="O100" s="99">
        <f>SUMIF(Import!$B:$B,$A100,Import!J:J)</f>
        <v>0</v>
      </c>
      <c r="P100" s="99">
        <f t="shared" si="79"/>
        <v>0</v>
      </c>
      <c r="Q100" s="99">
        <f>SUMIF(Import!$B:$B,$A100,Import!K:K)</f>
        <v>0</v>
      </c>
      <c r="R100" s="99">
        <f>SUMIF(Import!$B:$B,$A100,Import!L:L)</f>
        <v>0</v>
      </c>
      <c r="S100" s="99">
        <f>SUMIF(Import!$B:$B,$A100,Import!M:M)</f>
        <v>0</v>
      </c>
      <c r="T100" s="99">
        <f>SUMIF(Import!$B:$B,$A100,Import!N:N)</f>
        <v>0</v>
      </c>
      <c r="U100" s="99">
        <f t="shared" si="80"/>
        <v>0</v>
      </c>
      <c r="V100" s="255" t="str">
        <f t="shared" si="81"/>
        <v>N/A</v>
      </c>
      <c r="W100" s="102" t="s">
        <v>1280</v>
      </c>
      <c r="X100" s="103" t="str">
        <f t="shared" si="60"/>
        <v>OK</v>
      </c>
      <c r="Y100" s="271"/>
      <c r="Z100" s="121"/>
      <c r="AA100" s="121"/>
      <c r="AB100" s="121"/>
      <c r="AC100" s="121"/>
      <c r="AD100" s="121"/>
      <c r="AE100" s="121"/>
      <c r="AF100" s="121"/>
      <c r="AG100" s="121"/>
      <c r="AH100" s="121"/>
      <c r="AI100" s="121"/>
      <c r="AJ100" s="121"/>
      <c r="AK100" s="121"/>
      <c r="AL100" s="121"/>
    </row>
    <row r="101" spans="1:38" s="115" customFormat="1" ht="15" customHeight="1">
      <c r="A101" s="555" t="s">
        <v>1281</v>
      </c>
      <c r="B101" s="217" t="str">
        <f t="shared" si="55"/>
        <v>200</v>
      </c>
      <c r="C101" s="217" t="str">
        <f t="shared" si="56"/>
        <v>71</v>
      </c>
      <c r="D101" s="101" t="str">
        <f t="shared" si="57"/>
        <v>711</v>
      </c>
      <c r="E101" s="217" t="str">
        <f t="shared" si="58"/>
        <v>200-71-711</v>
      </c>
      <c r="F101" s="294" t="str">
        <f t="shared" si="59"/>
        <v>52480</v>
      </c>
      <c r="G101" s="295" t="str">
        <f>VLOOKUP(F101,'GL Category'!A:C,3,FALSE)</f>
        <v>Operations &amp; maintenance</v>
      </c>
      <c r="H101" s="98" t="str">
        <f>VLOOKUP(F101,'GL Category'!A:C,2,FALSE)</f>
        <v>OFFICE EQUIPMENT MAINTENANCE</v>
      </c>
      <c r="I101" s="99">
        <f>SUMIF(Import!$B:$B,$A101,Import!D:D)</f>
        <v>0</v>
      </c>
      <c r="J101" s="99">
        <f>SUMIF(Import!$B:$B,$A101,Import!E:E)</f>
        <v>0</v>
      </c>
      <c r="K101" s="99">
        <f>SUMIF(Import!$B:$B,$A101,Import!F:F)</f>
        <v>0</v>
      </c>
      <c r="L101" s="99">
        <f>SUMIF(Import!$B:$B,$A101,Import!G:G)</f>
        <v>0</v>
      </c>
      <c r="M101" s="99">
        <f>SUMIF(Import!$B:$B,$A101,Import!H:H)</f>
        <v>0</v>
      </c>
      <c r="N101" s="99">
        <f>SUMIF(Import!$B:$B,$A101,Import!I:I)</f>
        <v>0</v>
      </c>
      <c r="O101" s="99">
        <f>SUMIF(Import!$B:$B,$A101,Import!J:J)</f>
        <v>0</v>
      </c>
      <c r="P101" s="99">
        <f t="shared" si="79"/>
        <v>0</v>
      </c>
      <c r="Q101" s="99">
        <f>SUMIF(Import!$B:$B,$A101,Import!K:K)</f>
        <v>0</v>
      </c>
      <c r="R101" s="99">
        <f>SUMIF(Import!$B:$B,$A101,Import!L:L)</f>
        <v>0</v>
      </c>
      <c r="S101" s="99">
        <f>SUMIF(Import!$B:$B,$A101,Import!M:M)</f>
        <v>0</v>
      </c>
      <c r="T101" s="99">
        <f>SUMIF(Import!$B:$B,$A101,Import!N:N)</f>
        <v>0</v>
      </c>
      <c r="U101" s="99">
        <f t="shared" si="80"/>
        <v>0</v>
      </c>
      <c r="V101" s="255" t="str">
        <f t="shared" si="81"/>
        <v>N/A</v>
      </c>
      <c r="W101" s="102" t="s">
        <v>1281</v>
      </c>
      <c r="X101" s="103" t="str">
        <f t="shared" si="60"/>
        <v>OK</v>
      </c>
      <c r="Y101" s="271"/>
      <c r="Z101" s="121"/>
      <c r="AA101" s="121"/>
      <c r="AB101" s="121"/>
      <c r="AC101" s="121"/>
      <c r="AD101" s="121"/>
      <c r="AE101" s="121"/>
      <c r="AF101" s="121"/>
      <c r="AG101" s="121"/>
      <c r="AH101" s="121"/>
      <c r="AI101" s="121"/>
      <c r="AJ101" s="121"/>
      <c r="AK101" s="121"/>
      <c r="AL101" s="121"/>
    </row>
    <row r="102" spans="1:38" s="115" customFormat="1" ht="26.4">
      <c r="A102" s="555"/>
      <c r="B102" s="217"/>
      <c r="C102" s="217"/>
      <c r="D102" s="101"/>
      <c r="E102" s="217"/>
      <c r="F102" s="294"/>
      <c r="G102" s="146"/>
      <c r="H102" s="107" t="str">
        <f>UPPER(G101)&amp;" TOTAL"</f>
        <v>OPERATIONS &amp; MAINTENANCE TOTAL</v>
      </c>
      <c r="I102" s="108">
        <f t="shared" ref="I102" si="82">SUBTOTAL(9,I95:I101)</f>
        <v>67297.900000000009</v>
      </c>
      <c r="J102" s="108">
        <f t="shared" ref="J102:T102" si="83">SUBTOTAL(9,J95:J101)</f>
        <v>76072.53</v>
      </c>
      <c r="K102" s="108">
        <f t="shared" ref="K102" si="84">SUBTOTAL(9,K95:K101)</f>
        <v>69540.459999999992</v>
      </c>
      <c r="L102" s="108">
        <f t="shared" ref="L102" si="85">SUBTOTAL(9,L95:L101)</f>
        <v>71883.42</v>
      </c>
      <c r="M102" s="108">
        <f t="shared" si="83"/>
        <v>73230</v>
      </c>
      <c r="N102" s="108">
        <f t="shared" ref="N102" si="86">SUBTOTAL(9,N95:N101)</f>
        <v>50430.74</v>
      </c>
      <c r="O102" s="108">
        <f t="shared" si="83"/>
        <v>73230</v>
      </c>
      <c r="P102" s="108">
        <f t="shared" si="83"/>
        <v>0</v>
      </c>
      <c r="Q102" s="108">
        <f t="shared" si="83"/>
        <v>73230</v>
      </c>
      <c r="R102" s="108">
        <f t="shared" si="83"/>
        <v>0</v>
      </c>
      <c r="S102" s="108">
        <f t="shared" si="83"/>
        <v>0</v>
      </c>
      <c r="T102" s="108">
        <f t="shared" si="83"/>
        <v>73230</v>
      </c>
      <c r="U102" s="99">
        <f>T102-M102</f>
        <v>0</v>
      </c>
      <c r="V102" s="259">
        <f>IF(M102=0,"N/A",T102/M102-1)</f>
        <v>0</v>
      </c>
      <c r="W102" s="102" t="e">
        <v>#N/A</v>
      </c>
      <c r="X102" s="103" t="str">
        <f t="shared" si="60"/>
        <v>OK</v>
      </c>
      <c r="Y102" s="271"/>
      <c r="Z102" s="121"/>
      <c r="AA102" s="121"/>
      <c r="AB102" s="121"/>
      <c r="AC102" s="121"/>
      <c r="AD102" s="121"/>
      <c r="AE102" s="121"/>
      <c r="AF102" s="121"/>
      <c r="AG102" s="121"/>
      <c r="AH102" s="121"/>
      <c r="AI102" s="121"/>
      <c r="AJ102" s="121"/>
      <c r="AK102" s="121"/>
      <c r="AL102" s="121"/>
    </row>
    <row r="103" spans="1:38" s="115" customFormat="1">
      <c r="A103" s="555"/>
      <c r="B103" s="217"/>
      <c r="C103" s="217"/>
      <c r="D103" s="101"/>
      <c r="E103" s="217"/>
      <c r="F103" s="294"/>
      <c r="G103" s="146"/>
      <c r="H103" s="98"/>
      <c r="I103" s="228"/>
      <c r="J103" s="228"/>
      <c r="K103" s="228"/>
      <c r="L103" s="228"/>
      <c r="M103" s="228"/>
      <c r="N103" s="229"/>
      <c r="O103" s="229"/>
      <c r="P103" s="229"/>
      <c r="Q103" s="230"/>
      <c r="R103" s="231"/>
      <c r="S103" s="231"/>
      <c r="T103" s="230"/>
      <c r="U103" s="230"/>
      <c r="V103" s="230"/>
      <c r="W103" s="102"/>
      <c r="X103" s="103" t="str">
        <f t="shared" si="60"/>
        <v/>
      </c>
      <c r="Y103" s="271"/>
      <c r="Z103" s="121"/>
      <c r="AA103" s="121"/>
      <c r="AB103" s="121"/>
      <c r="AC103" s="121"/>
      <c r="AD103" s="121"/>
      <c r="AE103" s="121"/>
      <c r="AF103" s="121"/>
      <c r="AG103" s="121"/>
      <c r="AH103" s="121"/>
      <c r="AI103" s="121"/>
      <c r="AJ103" s="121"/>
      <c r="AK103" s="121"/>
      <c r="AL103" s="121"/>
    </row>
    <row r="104" spans="1:38" s="115" customFormat="1">
      <c r="A104" s="555" t="s">
        <v>1282</v>
      </c>
      <c r="B104" s="217" t="str">
        <f t="shared" si="55"/>
        <v>200</v>
      </c>
      <c r="C104" s="217" t="str">
        <f t="shared" si="56"/>
        <v>71</v>
      </c>
      <c r="D104" s="101" t="str">
        <f t="shared" si="57"/>
        <v>711</v>
      </c>
      <c r="E104" s="217" t="str">
        <f t="shared" si="58"/>
        <v>200-71-711</v>
      </c>
      <c r="F104" s="294" t="str">
        <f t="shared" si="59"/>
        <v>53505</v>
      </c>
      <c r="G104" s="295" t="str">
        <f>VLOOKUP(F104,'GL Category'!A:C,3,FALSE)</f>
        <v>Services &amp; other</v>
      </c>
      <c r="H104" s="98" t="str">
        <f>VLOOKUP(F104,'GL Category'!A:C,2,FALSE)</f>
        <v>PUBLIC EDUCATION SERVICES</v>
      </c>
      <c r="I104" s="99">
        <f>SUMIF(Import!$B:$B,$A104,Import!D:D)</f>
        <v>0</v>
      </c>
      <c r="J104" s="99">
        <f>SUMIF(Import!$B:$B,$A104,Import!E:E)</f>
        <v>0</v>
      </c>
      <c r="K104" s="99">
        <f>SUMIF(Import!$B:$B,$A104,Import!F:F)</f>
        <v>0</v>
      </c>
      <c r="L104" s="99">
        <f>SUMIF(Import!$B:$B,$A104,Import!G:G)</f>
        <v>0</v>
      </c>
      <c r="M104" s="99">
        <f>SUMIF(Import!$B:$B,$A104,Import!H:H)</f>
        <v>0</v>
      </c>
      <c r="N104" s="99">
        <f>SUMIF(Import!$B:$B,$A104,Import!I:I)</f>
        <v>0</v>
      </c>
      <c r="O104" s="99">
        <f>SUMIF(Import!$B:$B,$A104,Import!J:J)</f>
        <v>0</v>
      </c>
      <c r="P104" s="99">
        <f t="shared" ref="P104:P112" si="87">O104-M104</f>
        <v>0</v>
      </c>
      <c r="Q104" s="99">
        <f>SUMIF(Import!$B:$B,$A104,Import!K:K)</f>
        <v>0</v>
      </c>
      <c r="R104" s="99">
        <f>SUMIF(Import!$B:$B,$A104,Import!L:L)</f>
        <v>0</v>
      </c>
      <c r="S104" s="99">
        <f>SUMIF(Import!$B:$B,$A104,Import!M:M)</f>
        <v>0</v>
      </c>
      <c r="T104" s="99">
        <f>SUMIF(Import!$B:$B,$A104,Import!N:N)</f>
        <v>0</v>
      </c>
      <c r="U104" s="99">
        <f t="shared" ref="U104:U112" si="88">T104-M104</f>
        <v>0</v>
      </c>
      <c r="V104" s="255" t="str">
        <f t="shared" ref="V104:V112" si="89">IF(M104=0,"N/A",T104/M104-1)</f>
        <v>N/A</v>
      </c>
      <c r="W104" s="102" t="s">
        <v>1282</v>
      </c>
      <c r="X104" s="103" t="str">
        <f t="shared" si="60"/>
        <v>OK</v>
      </c>
      <c r="Y104" s="271"/>
      <c r="Z104" s="121"/>
      <c r="AA104" s="121"/>
      <c r="AB104" s="121"/>
      <c r="AC104" s="121"/>
      <c r="AD104" s="121"/>
      <c r="AE104" s="121"/>
      <c r="AF104" s="121"/>
      <c r="AG104" s="121"/>
      <c r="AH104" s="121"/>
      <c r="AI104" s="121"/>
      <c r="AJ104" s="121"/>
      <c r="AK104" s="121"/>
      <c r="AL104" s="121"/>
    </row>
    <row r="105" spans="1:38" s="115" customFormat="1">
      <c r="A105" s="555" t="s">
        <v>1284</v>
      </c>
      <c r="B105" s="217" t="str">
        <f t="shared" si="55"/>
        <v>200</v>
      </c>
      <c r="C105" s="217" t="str">
        <f t="shared" si="56"/>
        <v>71</v>
      </c>
      <c r="D105" s="101" t="str">
        <f t="shared" si="57"/>
        <v>711</v>
      </c>
      <c r="E105" s="217" t="str">
        <f t="shared" si="58"/>
        <v>200-71-711</v>
      </c>
      <c r="F105" s="294" t="str">
        <f t="shared" si="59"/>
        <v>53510</v>
      </c>
      <c r="G105" s="295" t="str">
        <f>VLOOKUP(F105,'GL Category'!A:C,3,FALSE)</f>
        <v>Services &amp; other</v>
      </c>
      <c r="H105" s="98" t="str">
        <f>VLOOKUP(F105,'GL Category'!A:C,2,FALSE)</f>
        <v>DUES &amp; SUBSCRIPTIONS</v>
      </c>
      <c r="I105" s="99">
        <f>SUMIF(Import!$B:$B,$A105,Import!D:D)</f>
        <v>398</v>
      </c>
      <c r="J105" s="99">
        <f>SUMIF(Import!$B:$B,$A105,Import!E:E)</f>
        <v>313</v>
      </c>
      <c r="K105" s="99">
        <f>SUMIF(Import!$B:$B,$A105,Import!F:F)</f>
        <v>315</v>
      </c>
      <c r="L105" s="99">
        <f>SUMIF(Import!$B:$B,$A105,Import!G:G)</f>
        <v>230</v>
      </c>
      <c r="M105" s="99">
        <f>SUMIF(Import!$B:$B,$A105,Import!H:H)</f>
        <v>405</v>
      </c>
      <c r="N105" s="99">
        <f>SUMIF(Import!$B:$B,$A105,Import!I:I)</f>
        <v>250</v>
      </c>
      <c r="O105" s="99">
        <f>SUMIF(Import!$B:$B,$A105,Import!J:J)</f>
        <v>405</v>
      </c>
      <c r="P105" s="99">
        <f t="shared" si="87"/>
        <v>0</v>
      </c>
      <c r="Q105" s="99">
        <f>SUMIF(Import!$B:$B,$A105,Import!K:K)</f>
        <v>405</v>
      </c>
      <c r="R105" s="99">
        <f>SUMIF(Import!$B:$B,$A105,Import!L:L)</f>
        <v>0</v>
      </c>
      <c r="S105" s="99">
        <f>SUMIF(Import!$B:$B,$A105,Import!M:M)</f>
        <v>0</v>
      </c>
      <c r="T105" s="99">
        <f>SUMIF(Import!$B:$B,$A105,Import!N:N)</f>
        <v>405</v>
      </c>
      <c r="U105" s="99">
        <f t="shared" si="88"/>
        <v>0</v>
      </c>
      <c r="V105" s="255">
        <f t="shared" si="89"/>
        <v>0</v>
      </c>
      <c r="W105" s="102" t="s">
        <v>1284</v>
      </c>
      <c r="X105" s="103" t="str">
        <f t="shared" si="60"/>
        <v>OK</v>
      </c>
      <c r="Y105" s="271"/>
      <c r="Z105" s="121"/>
      <c r="AA105" s="121"/>
      <c r="AB105" s="121"/>
      <c r="AC105" s="121"/>
      <c r="AD105" s="121"/>
      <c r="AE105" s="121"/>
      <c r="AF105" s="121"/>
      <c r="AG105" s="121"/>
      <c r="AH105" s="121"/>
      <c r="AI105" s="121"/>
      <c r="AJ105" s="121"/>
      <c r="AK105" s="121"/>
      <c r="AL105" s="121"/>
    </row>
    <row r="106" spans="1:38" s="115" customFormat="1">
      <c r="A106" s="555" t="s">
        <v>1285</v>
      </c>
      <c r="B106" s="217" t="str">
        <f t="shared" si="55"/>
        <v>200</v>
      </c>
      <c r="C106" s="217" t="str">
        <f t="shared" si="56"/>
        <v>71</v>
      </c>
      <c r="D106" s="101" t="str">
        <f t="shared" si="57"/>
        <v>711</v>
      </c>
      <c r="E106" s="217" t="str">
        <f t="shared" si="58"/>
        <v>200-71-711</v>
      </c>
      <c r="F106" s="294" t="str">
        <f t="shared" si="59"/>
        <v>53515</v>
      </c>
      <c r="G106" s="295" t="str">
        <f>VLOOKUP(F106,'GL Category'!A:C,3,FALSE)</f>
        <v>Services &amp; other</v>
      </c>
      <c r="H106" s="98" t="str">
        <f>VLOOKUP(F106,'GL Category'!A:C,2,FALSE)</f>
        <v>TRAVEL, TRAINING &amp; EDUCATION</v>
      </c>
      <c r="I106" s="99">
        <f>SUMIF(Import!$B:$B,$A106,Import!D:D)</f>
        <v>2147.89</v>
      </c>
      <c r="J106" s="99">
        <f>SUMIF(Import!$B:$B,$A106,Import!E:E)</f>
        <v>1759.25</v>
      </c>
      <c r="K106" s="99">
        <f>SUMIF(Import!$B:$B,$A106,Import!F:F)</f>
        <v>4071.83</v>
      </c>
      <c r="L106" s="99">
        <f>SUMIF(Import!$B:$B,$A106,Import!G:G)</f>
        <v>5358.08</v>
      </c>
      <c r="M106" s="99">
        <f>SUMIF(Import!$B:$B,$A106,Import!H:H)</f>
        <v>2850</v>
      </c>
      <c r="N106" s="99">
        <f>SUMIF(Import!$B:$B,$A106,Import!I:I)</f>
        <v>2701.43</v>
      </c>
      <c r="O106" s="99">
        <f>SUMIF(Import!$B:$B,$A106,Import!J:J)</f>
        <v>2850</v>
      </c>
      <c r="P106" s="99">
        <f t="shared" si="87"/>
        <v>0</v>
      </c>
      <c r="Q106" s="99">
        <f>SUMIF(Import!$B:$B,$A106,Import!K:K)</f>
        <v>2850</v>
      </c>
      <c r="R106" s="99">
        <f>SUMIF(Import!$B:$B,$A106,Import!L:L)</f>
        <v>0</v>
      </c>
      <c r="S106" s="99">
        <f>SUMIF(Import!$B:$B,$A106,Import!M:M)</f>
        <v>0</v>
      </c>
      <c r="T106" s="99">
        <f>SUMIF(Import!$B:$B,$A106,Import!N:N)</f>
        <v>2850</v>
      </c>
      <c r="U106" s="99">
        <f t="shared" si="88"/>
        <v>0</v>
      </c>
      <c r="V106" s="255">
        <f t="shared" si="89"/>
        <v>0</v>
      </c>
      <c r="W106" s="102" t="s">
        <v>1285</v>
      </c>
      <c r="X106" s="103" t="str">
        <f t="shared" si="60"/>
        <v>OK</v>
      </c>
      <c r="Y106" s="271"/>
      <c r="Z106" s="121"/>
      <c r="AA106" s="121"/>
      <c r="AB106" s="121"/>
      <c r="AC106" s="121"/>
      <c r="AD106" s="121"/>
      <c r="AE106" s="121"/>
      <c r="AF106" s="121"/>
      <c r="AG106" s="121"/>
      <c r="AH106" s="121"/>
      <c r="AI106" s="121"/>
      <c r="AJ106" s="121"/>
      <c r="AK106" s="121"/>
      <c r="AL106" s="121"/>
    </row>
    <row r="107" spans="1:38" s="115" customFormat="1">
      <c r="A107" s="555" t="s">
        <v>1286</v>
      </c>
      <c r="B107" s="217" t="str">
        <f t="shared" si="55"/>
        <v>200</v>
      </c>
      <c r="C107" s="217" t="str">
        <f t="shared" si="56"/>
        <v>71</v>
      </c>
      <c r="D107" s="101" t="str">
        <f t="shared" si="57"/>
        <v>711</v>
      </c>
      <c r="E107" s="217" t="str">
        <f t="shared" si="58"/>
        <v>200-71-711</v>
      </c>
      <c r="F107" s="294" t="str">
        <f t="shared" si="59"/>
        <v>53513</v>
      </c>
      <c r="G107" s="295" t="str">
        <f>VLOOKUP(F107,'GL Category'!A:C,3,FALSE)</f>
        <v>Services &amp; other</v>
      </c>
      <c r="H107" s="98" t="str">
        <f>VLOOKUP(F107,'GL Category'!A:C,2,FALSE)</f>
        <v>CONSULTING SERVICES</v>
      </c>
      <c r="I107" s="99">
        <f>SUMIF(Import!$B:$B,$A107,Import!D:D)</f>
        <v>572.75</v>
      </c>
      <c r="J107" s="99">
        <f>SUMIF(Import!$B:$B,$A107,Import!E:E)</f>
        <v>537.5</v>
      </c>
      <c r="K107" s="99">
        <f>SUMIF(Import!$B:$B,$A107,Import!F:F)</f>
        <v>23184.62</v>
      </c>
      <c r="L107" s="99">
        <f>SUMIF(Import!$B:$B,$A107,Import!G:G)</f>
        <v>0</v>
      </c>
      <c r="M107" s="99">
        <f>SUMIF(Import!$B:$B,$A107,Import!H:H)</f>
        <v>0</v>
      </c>
      <c r="N107" s="99">
        <f>SUMIF(Import!$B:$B,$A107,Import!I:I)</f>
        <v>0</v>
      </c>
      <c r="O107" s="99">
        <f>SUMIF(Import!$B:$B,$A107,Import!J:J)</f>
        <v>0</v>
      </c>
      <c r="P107" s="99">
        <f t="shared" si="87"/>
        <v>0</v>
      </c>
      <c r="Q107" s="99">
        <f>SUMIF(Import!$B:$B,$A107,Import!K:K)</f>
        <v>0</v>
      </c>
      <c r="R107" s="99">
        <f>SUMIF(Import!$B:$B,$A107,Import!L:L)</f>
        <v>0</v>
      </c>
      <c r="S107" s="99">
        <f>SUMIF(Import!$B:$B,$A107,Import!M:M)</f>
        <v>0</v>
      </c>
      <c r="T107" s="99">
        <f>SUMIF(Import!$B:$B,$A107,Import!N:N)</f>
        <v>0</v>
      </c>
      <c r="U107" s="99">
        <f t="shared" si="88"/>
        <v>0</v>
      </c>
      <c r="V107" s="255" t="str">
        <f t="shared" si="89"/>
        <v>N/A</v>
      </c>
      <c r="W107" s="102" t="s">
        <v>1286</v>
      </c>
      <c r="X107" s="103" t="str">
        <f t="shared" ref="X107:X115" si="90">IF(Q107="","",IF(T107=SUM(Q107:S107),"OK","NO"))</f>
        <v>OK</v>
      </c>
      <c r="Y107" s="271"/>
      <c r="Z107" s="121"/>
      <c r="AA107" s="121"/>
      <c r="AB107" s="121"/>
      <c r="AC107" s="121"/>
      <c r="AD107" s="121"/>
      <c r="AE107" s="121"/>
      <c r="AF107" s="121"/>
      <c r="AG107" s="121"/>
      <c r="AH107" s="121"/>
      <c r="AI107" s="121"/>
      <c r="AJ107" s="121"/>
      <c r="AK107" s="121"/>
      <c r="AL107" s="121"/>
    </row>
    <row r="108" spans="1:38" s="115" customFormat="1">
      <c r="A108" s="555" t="s">
        <v>1287</v>
      </c>
      <c r="B108" s="217" t="str">
        <f t="shared" si="55"/>
        <v>200</v>
      </c>
      <c r="C108" s="217" t="str">
        <f t="shared" si="56"/>
        <v>71</v>
      </c>
      <c r="D108" s="101" t="str">
        <f t="shared" si="57"/>
        <v>711</v>
      </c>
      <c r="E108" s="217" t="str">
        <f t="shared" si="58"/>
        <v>200-71-711</v>
      </c>
      <c r="F108" s="294" t="str">
        <f t="shared" si="59"/>
        <v>53524</v>
      </c>
      <c r="G108" s="295" t="str">
        <f>VLOOKUP(F108,'GL Category'!A:C,3,FALSE)</f>
        <v>Services &amp; other</v>
      </c>
      <c r="H108" s="98" t="str">
        <f>VLOOKUP(F108,'GL Category'!A:C,2,FALSE)</f>
        <v>EQUIPMENT RENTAL</v>
      </c>
      <c r="I108" s="99">
        <f>SUMIF(Import!$B:$B,$A108,Import!D:D)</f>
        <v>908</v>
      </c>
      <c r="J108" s="99">
        <f>SUMIF(Import!$B:$B,$A108,Import!E:E)</f>
        <v>908</v>
      </c>
      <c r="K108" s="99">
        <f>SUMIF(Import!$B:$B,$A108,Import!F:F)</f>
        <v>908</v>
      </c>
      <c r="L108" s="99">
        <f>SUMIF(Import!$B:$B,$A108,Import!G:G)</f>
        <v>908</v>
      </c>
      <c r="M108" s="99">
        <f>SUMIF(Import!$B:$B,$A108,Import!H:H)</f>
        <v>1000</v>
      </c>
      <c r="N108" s="99">
        <f>SUMIF(Import!$B:$B,$A108,Import!I:I)</f>
        <v>771.48</v>
      </c>
      <c r="O108" s="99">
        <f>SUMIF(Import!$B:$B,$A108,Import!J:J)</f>
        <v>1000</v>
      </c>
      <c r="P108" s="99">
        <f t="shared" si="87"/>
        <v>0</v>
      </c>
      <c r="Q108" s="99">
        <f>SUMIF(Import!$B:$B,$A108,Import!K:K)</f>
        <v>1000</v>
      </c>
      <c r="R108" s="99">
        <f>SUMIF(Import!$B:$B,$A108,Import!L:L)</f>
        <v>0</v>
      </c>
      <c r="S108" s="99">
        <f>SUMIF(Import!$B:$B,$A108,Import!M:M)</f>
        <v>0</v>
      </c>
      <c r="T108" s="99">
        <f>SUMIF(Import!$B:$B,$A108,Import!N:N)</f>
        <v>1000</v>
      </c>
      <c r="U108" s="99">
        <f t="shared" si="88"/>
        <v>0</v>
      </c>
      <c r="V108" s="255">
        <f t="shared" si="89"/>
        <v>0</v>
      </c>
      <c r="W108" s="102" t="s">
        <v>1287</v>
      </c>
      <c r="X108" s="103" t="str">
        <f t="shared" si="90"/>
        <v>OK</v>
      </c>
      <c r="Y108" s="271"/>
      <c r="Z108" s="121"/>
      <c r="AA108" s="121"/>
      <c r="AB108" s="121"/>
      <c r="AC108" s="121"/>
      <c r="AD108" s="121"/>
      <c r="AE108" s="121"/>
      <c r="AF108" s="121"/>
      <c r="AG108" s="121"/>
      <c r="AH108" s="121"/>
      <c r="AI108" s="121"/>
      <c r="AJ108" s="121"/>
      <c r="AK108" s="121"/>
      <c r="AL108" s="121"/>
    </row>
    <row r="109" spans="1:38" s="115" customFormat="1">
      <c r="A109" s="555" t="s">
        <v>1288</v>
      </c>
      <c r="B109" s="217" t="str">
        <f t="shared" si="55"/>
        <v>200</v>
      </c>
      <c r="C109" s="217" t="str">
        <f t="shared" si="56"/>
        <v>71</v>
      </c>
      <c r="D109" s="101" t="str">
        <f t="shared" si="57"/>
        <v>711</v>
      </c>
      <c r="E109" s="217" t="str">
        <f t="shared" si="58"/>
        <v>200-71-711</v>
      </c>
      <c r="F109" s="294" t="str">
        <f t="shared" si="59"/>
        <v>53540</v>
      </c>
      <c r="G109" s="295" t="str">
        <f>VLOOKUP(F109,'GL Category'!A:C,3,FALSE)</f>
        <v>Services &amp; other</v>
      </c>
      <c r="H109" s="98" t="str">
        <f>VLOOKUP(F109,'GL Category'!A:C,2,FALSE)</f>
        <v>PRINTING &amp; BINDING SERVICES</v>
      </c>
      <c r="I109" s="99">
        <f>SUMIF(Import!$B:$B,$A109,Import!D:D)</f>
        <v>24629.14</v>
      </c>
      <c r="J109" s="99">
        <f>SUMIF(Import!$B:$B,$A109,Import!E:E)</f>
        <v>18205.259999999998</v>
      </c>
      <c r="K109" s="99">
        <f>SUMIF(Import!$B:$B,$A109,Import!F:F)</f>
        <v>14559.43</v>
      </c>
      <c r="L109" s="99">
        <f>SUMIF(Import!$B:$B,$A109,Import!G:G)</f>
        <v>15624.61</v>
      </c>
      <c r="M109" s="99">
        <f>SUMIF(Import!$B:$B,$A109,Import!H:H)</f>
        <v>26253</v>
      </c>
      <c r="N109" s="99">
        <f>SUMIF(Import!$B:$B,$A109,Import!I:I)</f>
        <v>11226.22</v>
      </c>
      <c r="O109" s="99">
        <f>SUMIF(Import!$B:$B,$A109,Import!J:J)</f>
        <v>26253</v>
      </c>
      <c r="P109" s="99">
        <f t="shared" si="87"/>
        <v>0</v>
      </c>
      <c r="Q109" s="99">
        <f>SUMIF(Import!$B:$B,$A109,Import!K:K)</f>
        <v>26253</v>
      </c>
      <c r="R109" s="99">
        <f>SUMIF(Import!$B:$B,$A109,Import!L:L)</f>
        <v>0</v>
      </c>
      <c r="S109" s="99">
        <f>SUMIF(Import!$B:$B,$A109,Import!M:M)</f>
        <v>0</v>
      </c>
      <c r="T109" s="99">
        <f>SUMIF(Import!$B:$B,$A109,Import!N:N)</f>
        <v>26253</v>
      </c>
      <c r="U109" s="99">
        <f t="shared" si="88"/>
        <v>0</v>
      </c>
      <c r="V109" s="255">
        <f t="shared" si="89"/>
        <v>0</v>
      </c>
      <c r="W109" s="102" t="s">
        <v>1288</v>
      </c>
      <c r="X109" s="103" t="str">
        <f t="shared" si="90"/>
        <v>OK</v>
      </c>
      <c r="Y109" s="271"/>
      <c r="Z109" s="121"/>
      <c r="AA109" s="121"/>
      <c r="AB109" s="121"/>
      <c r="AC109" s="121"/>
      <c r="AD109" s="121"/>
      <c r="AE109" s="121"/>
      <c r="AF109" s="121"/>
      <c r="AG109" s="121"/>
      <c r="AH109" s="121"/>
      <c r="AI109" s="121"/>
      <c r="AJ109" s="121"/>
      <c r="AK109" s="121"/>
      <c r="AL109" s="121"/>
    </row>
    <row r="110" spans="1:38" s="115" customFormat="1">
      <c r="A110" s="555" t="s">
        <v>1283</v>
      </c>
      <c r="B110" s="217" t="str">
        <f t="shared" si="55"/>
        <v>200</v>
      </c>
      <c r="C110" s="217" t="str">
        <f t="shared" si="56"/>
        <v>71</v>
      </c>
      <c r="D110" s="101" t="str">
        <f t="shared" si="57"/>
        <v>711</v>
      </c>
      <c r="E110" s="217" t="str">
        <f t="shared" si="58"/>
        <v>200-71-711</v>
      </c>
      <c r="F110" s="294" t="str">
        <f t="shared" si="59"/>
        <v>53599</v>
      </c>
      <c r="G110" s="295" t="str">
        <f>VLOOKUP(F110,'GL Category'!A:C,3,FALSE)</f>
        <v>Services &amp; other</v>
      </c>
      <c r="H110" s="98" t="str">
        <f>VLOOKUP(F110,'GL Category'!A:C,2,FALSE)</f>
        <v>MISCELLANEOUS SERVICES</v>
      </c>
      <c r="I110" s="99">
        <f>SUMIF(Import!$B:$B,$A110,Import!D:D)</f>
        <v>2291.4699999999998</v>
      </c>
      <c r="J110" s="99">
        <f>SUMIF(Import!$B:$B,$A110,Import!E:E)</f>
        <v>2887.9</v>
      </c>
      <c r="K110" s="99">
        <f>SUMIF(Import!$B:$B,$A110,Import!F:F)</f>
        <v>10439.280000000001</v>
      </c>
      <c r="L110" s="99">
        <f>SUMIF(Import!$B:$B,$A110,Import!G:G)</f>
        <v>7569.45</v>
      </c>
      <c r="M110" s="99">
        <f>SUMIF(Import!$B:$B,$A110,Import!H:H)</f>
        <v>8132</v>
      </c>
      <c r="N110" s="99">
        <f>SUMIF(Import!$B:$B,$A110,Import!I:I)</f>
        <v>4061.72</v>
      </c>
      <c r="O110" s="99">
        <f>SUMIF(Import!$B:$B,$A110,Import!J:J)</f>
        <v>8132</v>
      </c>
      <c r="P110" s="99">
        <f t="shared" si="87"/>
        <v>0</v>
      </c>
      <c r="Q110" s="99">
        <f>SUMIF(Import!$B:$B,$A110,Import!K:K)</f>
        <v>8132</v>
      </c>
      <c r="R110" s="99">
        <f>SUMIF(Import!$B:$B,$A110,Import!L:L)</f>
        <v>0</v>
      </c>
      <c r="S110" s="99">
        <f>SUMIF(Import!$B:$B,$A110,Import!M:M)</f>
        <v>0</v>
      </c>
      <c r="T110" s="99">
        <f>SUMIF(Import!$B:$B,$A110,Import!N:N)</f>
        <v>8132</v>
      </c>
      <c r="U110" s="99">
        <f t="shared" si="88"/>
        <v>0</v>
      </c>
      <c r="V110" s="255">
        <f t="shared" si="89"/>
        <v>0</v>
      </c>
      <c r="W110" s="102" t="s">
        <v>1283</v>
      </c>
      <c r="X110" s="103" t="str">
        <f t="shared" si="90"/>
        <v>OK</v>
      </c>
      <c r="Y110" s="271"/>
      <c r="Z110" s="121"/>
      <c r="AA110" s="121"/>
      <c r="AB110" s="121"/>
      <c r="AC110" s="121"/>
      <c r="AD110" s="121"/>
      <c r="AE110" s="121"/>
      <c r="AF110" s="121"/>
      <c r="AG110" s="121"/>
      <c r="AH110" s="121"/>
      <c r="AI110" s="121"/>
      <c r="AJ110" s="121"/>
      <c r="AK110" s="121"/>
      <c r="AL110" s="121"/>
    </row>
    <row r="111" spans="1:38" s="115" customFormat="1">
      <c r="A111" s="555" t="s">
        <v>1289</v>
      </c>
      <c r="B111" s="217" t="str">
        <f t="shared" si="55"/>
        <v>200</v>
      </c>
      <c r="C111" s="217" t="str">
        <f t="shared" si="56"/>
        <v>71</v>
      </c>
      <c r="D111" s="101" t="str">
        <f t="shared" si="57"/>
        <v>711</v>
      </c>
      <c r="E111" s="217" t="str">
        <f t="shared" si="58"/>
        <v>200-71-711</v>
      </c>
      <c r="F111" s="294" t="str">
        <f t="shared" si="59"/>
        <v>53585</v>
      </c>
      <c r="G111" s="295" t="str">
        <f>VLOOKUP(F111,'GL Category'!A:C,3,FALSE)</f>
        <v>Services &amp; other</v>
      </c>
      <c r="H111" s="590" t="str">
        <f>VLOOKUP(F111,'GL Category'!A:C,2,FALSE)</f>
        <v>BANKING SERVICES CHARGES</v>
      </c>
      <c r="I111" s="561">
        <f>SUMIF(Import!$B:$B,$A111,Import!D:D)</f>
        <v>321042.67</v>
      </c>
      <c r="J111" s="561">
        <f>SUMIF(Import!$B:$B,$A111,Import!E:E)</f>
        <v>353062.51</v>
      </c>
      <c r="K111" s="561">
        <f>SUMIF(Import!$B:$B,$A111,Import!F:F)</f>
        <v>480986.96</v>
      </c>
      <c r="L111" s="561">
        <f>SUMIF(Import!$B:$B,$A111,Import!G:G)</f>
        <v>680601.63</v>
      </c>
      <c r="M111" s="561">
        <f>SUMIF(Import!$B:$B,$A111,Import!H:H)</f>
        <v>679951</v>
      </c>
      <c r="N111" s="561">
        <f>SUMIF(Import!$B:$B,$A111,Import!I:I)</f>
        <v>879581.52</v>
      </c>
      <c r="O111" s="561">
        <f>SUMIF(Import!$B:$B,$A111,Import!J:J)</f>
        <v>979951</v>
      </c>
      <c r="P111" s="561">
        <f t="shared" si="87"/>
        <v>300000</v>
      </c>
      <c r="Q111" s="561">
        <f>SUMIF(Import!$B:$B,$A111,Import!K:K)</f>
        <v>979951</v>
      </c>
      <c r="R111" s="561">
        <f>SUMIF(Import!$B:$B,$A111,Import!L:L)</f>
        <v>0</v>
      </c>
      <c r="S111" s="561">
        <f>SUMIF(Import!$B:$B,$A111,Import!M:M)</f>
        <v>0</v>
      </c>
      <c r="T111" s="561">
        <f>SUMIF(Import!$B:$B,$A111,Import!N:N)</f>
        <v>979951</v>
      </c>
      <c r="U111" s="561">
        <f t="shared" si="88"/>
        <v>300000</v>
      </c>
      <c r="V111" s="255">
        <f t="shared" si="89"/>
        <v>0.44120826353663722</v>
      </c>
      <c r="W111" s="102" t="s">
        <v>1289</v>
      </c>
      <c r="X111" s="103" t="str">
        <f t="shared" si="90"/>
        <v>OK</v>
      </c>
      <c r="Y111" s="271"/>
      <c r="Z111" s="121"/>
      <c r="AA111" s="121"/>
      <c r="AB111" s="121"/>
      <c r="AC111" s="121"/>
      <c r="AD111" s="121"/>
      <c r="AE111" s="121"/>
      <c r="AF111" s="121"/>
      <c r="AG111" s="121"/>
      <c r="AH111" s="121"/>
      <c r="AI111" s="121"/>
      <c r="AJ111" s="121"/>
      <c r="AK111" s="121"/>
      <c r="AL111" s="121"/>
    </row>
    <row r="112" spans="1:38" s="115" customFormat="1">
      <c r="A112" s="555" t="s">
        <v>1290</v>
      </c>
      <c r="B112" s="217" t="str">
        <f t="shared" si="55"/>
        <v>200</v>
      </c>
      <c r="C112" s="217" t="str">
        <f t="shared" si="56"/>
        <v>71</v>
      </c>
      <c r="D112" s="101" t="str">
        <f t="shared" si="57"/>
        <v>711</v>
      </c>
      <c r="E112" s="217" t="str">
        <f t="shared" si="58"/>
        <v>200-71-711</v>
      </c>
      <c r="F112" s="294" t="str">
        <f t="shared" si="59"/>
        <v>55119</v>
      </c>
      <c r="G112" s="295" t="str">
        <f>VLOOKUP(F112,'GL Category'!A:C,3,FALSE)</f>
        <v>Services &amp; other</v>
      </c>
      <c r="H112" s="98" t="str">
        <f>VLOOKUP(F112,'GL Category'!A:C,2,FALSE)</f>
        <v>OFFICE EQUIP LEASE EXP-CITY</v>
      </c>
      <c r="I112" s="99">
        <f>SUMIF(Import!$B:$B,$A112,Import!D:D)</f>
        <v>123802</v>
      </c>
      <c r="J112" s="99">
        <f>SUMIF(Import!$B:$B,$A112,Import!E:E)</f>
        <v>108693</v>
      </c>
      <c r="K112" s="99">
        <f>SUMIF(Import!$B:$B,$A112,Import!F:F)</f>
        <v>98800</v>
      </c>
      <c r="L112" s="99">
        <f>SUMIF(Import!$B:$B,$A112,Import!G:G)</f>
        <v>100468</v>
      </c>
      <c r="M112" s="99">
        <f>SUMIF(Import!$B:$B,$A112,Import!H:H)</f>
        <v>87090</v>
      </c>
      <c r="N112" s="99">
        <f>SUMIF(Import!$B:$B,$A112,Import!I:I)</f>
        <v>65317.5</v>
      </c>
      <c r="O112" s="99">
        <f>SUMIF(Import!$B:$B,$A112,Import!J:J)</f>
        <v>87090</v>
      </c>
      <c r="P112" s="99">
        <f t="shared" si="87"/>
        <v>0</v>
      </c>
      <c r="Q112" s="99">
        <f>SUMIF(Import!$B:$B,$A112,Import!K:K)</f>
        <v>95657</v>
      </c>
      <c r="R112" s="99">
        <f>SUMIF(Import!$B:$B,$A112,Import!L:L)</f>
        <v>0</v>
      </c>
      <c r="S112" s="99">
        <f>SUMIF(Import!$B:$B,$A112,Import!M:M)</f>
        <v>0</v>
      </c>
      <c r="T112" s="99">
        <f>SUMIF(Import!$B:$B,$A112,Import!N:N)</f>
        <v>95657</v>
      </c>
      <c r="U112" s="99">
        <f t="shared" si="88"/>
        <v>8567</v>
      </c>
      <c r="V112" s="255">
        <f t="shared" si="89"/>
        <v>9.8369502813181686E-2</v>
      </c>
      <c r="W112" s="102" t="s">
        <v>1290</v>
      </c>
      <c r="X112" s="103" t="str">
        <f t="shared" si="90"/>
        <v>OK</v>
      </c>
      <c r="Y112" s="271"/>
      <c r="Z112" s="121"/>
      <c r="AA112" s="121"/>
      <c r="AB112" s="121"/>
      <c r="AC112" s="121"/>
      <c r="AD112" s="121"/>
      <c r="AE112" s="121"/>
      <c r="AF112" s="121"/>
      <c r="AG112" s="121"/>
      <c r="AH112" s="121"/>
      <c r="AI112" s="121"/>
      <c r="AJ112" s="121"/>
      <c r="AK112" s="121"/>
      <c r="AL112" s="121"/>
    </row>
    <row r="113" spans="1:38" s="115" customFormat="1">
      <c r="A113" s="555"/>
      <c r="B113" s="217"/>
      <c r="C113" s="217"/>
      <c r="D113" s="101"/>
      <c r="E113" s="217"/>
      <c r="F113" s="294"/>
      <c r="G113" s="146"/>
      <c r="H113" s="107" t="str">
        <f>UPPER(G112)&amp;" TOTAL"</f>
        <v>SERVICES &amp; OTHER TOTAL</v>
      </c>
      <c r="I113" s="108">
        <f t="shared" ref="I113" si="91">SUBTOTAL(9,I104:I112)</f>
        <v>475791.92</v>
      </c>
      <c r="J113" s="108">
        <f t="shared" ref="J113:T113" si="92">SUBTOTAL(9,J104:J112)</f>
        <v>486366.42</v>
      </c>
      <c r="K113" s="108">
        <f t="shared" ref="K113" si="93">SUBTOTAL(9,K104:K112)</f>
        <v>633265.12</v>
      </c>
      <c r="L113" s="108">
        <f t="shared" ref="L113" si="94">SUBTOTAL(9,L104:L112)</f>
        <v>810759.77</v>
      </c>
      <c r="M113" s="108">
        <f t="shared" si="92"/>
        <v>805681</v>
      </c>
      <c r="N113" s="108">
        <f t="shared" ref="N113" si="95">SUBTOTAL(9,N104:N112)</f>
        <v>963909.87</v>
      </c>
      <c r="O113" s="108">
        <f t="shared" si="92"/>
        <v>1105681</v>
      </c>
      <c r="P113" s="108">
        <f t="shared" si="92"/>
        <v>300000</v>
      </c>
      <c r="Q113" s="108">
        <f t="shared" si="92"/>
        <v>1114248</v>
      </c>
      <c r="R113" s="108">
        <f t="shared" si="92"/>
        <v>0</v>
      </c>
      <c r="S113" s="108">
        <f t="shared" si="92"/>
        <v>0</v>
      </c>
      <c r="T113" s="108">
        <f t="shared" si="92"/>
        <v>1114248</v>
      </c>
      <c r="U113" s="99">
        <f>T113-M113</f>
        <v>308567</v>
      </c>
      <c r="V113" s="259">
        <f>IF(M113=0,"N/A",T113/M113-1)</f>
        <v>0.38298904901567732</v>
      </c>
      <c r="W113" s="102"/>
      <c r="X113" s="103" t="str">
        <f t="shared" si="90"/>
        <v>OK</v>
      </c>
      <c r="Y113" s="271"/>
      <c r="Z113" s="121"/>
      <c r="AA113" s="121"/>
      <c r="AB113" s="121"/>
      <c r="AC113" s="121"/>
      <c r="AD113" s="121"/>
      <c r="AE113" s="121"/>
      <c r="AF113" s="121"/>
      <c r="AG113" s="121"/>
      <c r="AH113" s="121"/>
      <c r="AI113" s="121"/>
      <c r="AJ113" s="121"/>
      <c r="AK113" s="121"/>
      <c r="AL113" s="121"/>
    </row>
    <row r="114" spans="1:38" s="115" customFormat="1">
      <c r="A114" s="555"/>
      <c r="B114" s="217"/>
      <c r="C114" s="217"/>
      <c r="D114" s="101"/>
      <c r="E114" s="217"/>
      <c r="F114" s="294"/>
      <c r="G114" s="146"/>
      <c r="H114" s="98"/>
      <c r="I114" s="218"/>
      <c r="J114" s="218"/>
      <c r="K114" s="218"/>
      <c r="L114" s="218"/>
      <c r="M114" s="218"/>
      <c r="N114" s="226"/>
      <c r="O114" s="226"/>
      <c r="P114" s="226"/>
      <c r="Q114" s="111"/>
      <c r="R114" s="111"/>
      <c r="S114" s="111"/>
      <c r="T114" s="230"/>
      <c r="U114" s="230"/>
      <c r="V114" s="230"/>
      <c r="W114" s="102"/>
      <c r="X114" s="103" t="str">
        <f t="shared" si="90"/>
        <v/>
      </c>
      <c r="Y114" s="271"/>
      <c r="Z114" s="121"/>
      <c r="AA114" s="121"/>
      <c r="AB114" s="121"/>
      <c r="AC114" s="121"/>
      <c r="AD114" s="121"/>
      <c r="AE114" s="121"/>
      <c r="AF114" s="121"/>
      <c r="AG114" s="121"/>
      <c r="AH114" s="121"/>
      <c r="AI114" s="121"/>
      <c r="AJ114" s="121"/>
      <c r="AK114" s="121"/>
      <c r="AL114" s="121"/>
    </row>
    <row r="115" spans="1:38" s="115" customFormat="1">
      <c r="A115" s="555"/>
      <c r="B115" s="217"/>
      <c r="C115" s="217"/>
      <c r="D115" s="101"/>
      <c r="E115" s="217"/>
      <c r="F115" s="294"/>
      <c r="G115" s="146"/>
      <c r="H115" s="114" t="s">
        <v>763</v>
      </c>
      <c r="I115" s="221">
        <f t="shared" ref="I115" si="96">SUBTOTAL(9,I85:I114)</f>
        <v>1068893.3899999999</v>
      </c>
      <c r="J115" s="221">
        <f t="shared" ref="J115:T115" si="97">SUBTOTAL(9,J85:J114)</f>
        <v>1097282.4500000002</v>
      </c>
      <c r="K115" s="221">
        <f t="shared" ref="K115" si="98">SUBTOTAL(9,K85:K114)</f>
        <v>1198829.1500000001</v>
      </c>
      <c r="L115" s="221">
        <f t="shared" ref="L115" si="99">SUBTOTAL(9,L85:L114)</f>
        <v>1368631.52</v>
      </c>
      <c r="M115" s="221">
        <f t="shared" si="97"/>
        <v>1384062</v>
      </c>
      <c r="N115" s="221">
        <f t="shared" ref="N115" si="100">SUBTOTAL(9,N85:N114)</f>
        <v>1405433.7</v>
      </c>
      <c r="O115" s="221">
        <f t="shared" si="97"/>
        <v>1702560</v>
      </c>
      <c r="P115" s="221">
        <f t="shared" si="97"/>
        <v>318498</v>
      </c>
      <c r="Q115" s="221">
        <f t="shared" si="97"/>
        <v>1703331</v>
      </c>
      <c r="R115" s="221">
        <f t="shared" si="97"/>
        <v>0</v>
      </c>
      <c r="S115" s="221">
        <f t="shared" si="97"/>
        <v>0</v>
      </c>
      <c r="T115" s="221">
        <f t="shared" si="97"/>
        <v>1703331</v>
      </c>
      <c r="U115" s="99">
        <f>T115-M115</f>
        <v>319269</v>
      </c>
      <c r="V115" s="259">
        <f>IF(M115=0,"N/A",T115/M115-1)</f>
        <v>0.23067535991884758</v>
      </c>
      <c r="W115" s="102"/>
      <c r="X115" s="103" t="str">
        <f t="shared" si="90"/>
        <v>OK</v>
      </c>
      <c r="Y115" s="271"/>
      <c r="Z115" s="121"/>
      <c r="AA115" s="121"/>
      <c r="AB115" s="121"/>
      <c r="AC115" s="121"/>
      <c r="AD115" s="121"/>
      <c r="AE115" s="121"/>
      <c r="AF115" s="121"/>
      <c r="AG115" s="121"/>
      <c r="AH115" s="121"/>
      <c r="AI115" s="121"/>
      <c r="AJ115" s="121"/>
      <c r="AK115" s="121"/>
      <c r="AL115" s="121"/>
    </row>
    <row r="116" spans="1:38" s="115" customFormat="1">
      <c r="A116" s="555"/>
      <c r="B116" s="217"/>
      <c r="C116" s="217"/>
      <c r="D116" s="101"/>
      <c r="E116" s="217"/>
      <c r="F116" s="294"/>
      <c r="G116" s="146"/>
      <c r="H116" s="89"/>
      <c r="I116" s="223"/>
      <c r="J116" s="223"/>
      <c r="K116" s="223"/>
      <c r="L116" s="223"/>
      <c r="M116" s="223"/>
      <c r="N116" s="223"/>
      <c r="O116" s="223"/>
      <c r="P116" s="223"/>
      <c r="Q116" s="223"/>
      <c r="R116" s="223"/>
      <c r="S116" s="223"/>
      <c r="T116" s="223"/>
      <c r="U116" s="223"/>
      <c r="V116" s="223"/>
      <c r="W116" s="102"/>
      <c r="X116" s="103"/>
      <c r="Y116" s="271"/>
      <c r="Z116" s="121"/>
      <c r="AA116" s="121"/>
      <c r="AB116" s="121"/>
      <c r="AC116" s="121"/>
      <c r="AD116" s="121"/>
      <c r="AE116" s="121"/>
      <c r="AF116" s="121"/>
      <c r="AG116" s="121"/>
      <c r="AH116" s="121"/>
      <c r="AI116" s="121"/>
      <c r="AJ116" s="121"/>
      <c r="AK116" s="121"/>
      <c r="AL116" s="121"/>
    </row>
    <row r="117" spans="1:38" s="115" customFormat="1" ht="14.4" thickBot="1">
      <c r="A117" s="555"/>
      <c r="B117" s="217"/>
      <c r="C117" s="217"/>
      <c r="D117" s="101"/>
      <c r="E117" s="217"/>
      <c r="F117" s="294"/>
      <c r="G117" s="146"/>
      <c r="H117" s="98"/>
      <c r="I117" s="218"/>
      <c r="J117" s="218"/>
      <c r="K117" s="218"/>
      <c r="L117" s="218"/>
      <c r="M117" s="218"/>
      <c r="N117" s="96"/>
      <c r="O117" s="96"/>
      <c r="P117" s="96"/>
      <c r="Q117" s="212"/>
      <c r="R117" s="212"/>
      <c r="S117" s="212"/>
      <c r="T117" s="212"/>
      <c r="U117" s="212"/>
      <c r="V117" s="113"/>
      <c r="W117" s="102"/>
      <c r="X117" s="103" t="str">
        <f t="shared" ref="X117:X146" si="101">IF(Q117="","",IF(T117=SUM(Q117:S117),"OK","NO"))</f>
        <v/>
      </c>
      <c r="Y117" s="271"/>
      <c r="Z117" s="121"/>
      <c r="AA117" s="121"/>
      <c r="AB117" s="121"/>
      <c r="AC117" s="121"/>
      <c r="AD117" s="121"/>
      <c r="AE117" s="121"/>
      <c r="AF117" s="121"/>
      <c r="AG117" s="121"/>
      <c r="AH117" s="121"/>
      <c r="AI117" s="121"/>
      <c r="AJ117" s="121"/>
      <c r="AK117" s="121"/>
      <c r="AL117" s="121"/>
    </row>
    <row r="118" spans="1:38" s="115" customFormat="1" ht="22.5" customHeight="1" thickBot="1">
      <c r="A118" s="555"/>
      <c r="B118" s="217"/>
      <c r="C118" s="217"/>
      <c r="D118" s="101"/>
      <c r="E118" s="217"/>
      <c r="F118" s="294"/>
      <c r="G118" s="146"/>
      <c r="H118" s="665" t="s">
        <v>666</v>
      </c>
      <c r="I118" s="666"/>
      <c r="J118" s="666"/>
      <c r="K118" s="666"/>
      <c r="L118" s="666"/>
      <c r="M118" s="666"/>
      <c r="N118" s="666"/>
      <c r="O118" s="666"/>
      <c r="P118" s="666"/>
      <c r="Q118" s="666"/>
      <c r="R118" s="666"/>
      <c r="S118" s="666"/>
      <c r="T118" s="667"/>
      <c r="U118" s="247"/>
      <c r="V118" s="261"/>
      <c r="W118" s="102"/>
      <c r="X118" s="103" t="str">
        <f t="shared" si="101"/>
        <v/>
      </c>
      <c r="Y118" s="271"/>
      <c r="Z118" s="121"/>
      <c r="AA118" s="121"/>
      <c r="AB118" s="121"/>
      <c r="AC118" s="121"/>
      <c r="AD118" s="121"/>
      <c r="AE118" s="121"/>
      <c r="AF118" s="121"/>
      <c r="AG118" s="121"/>
      <c r="AH118" s="121"/>
      <c r="AI118" s="121"/>
      <c r="AJ118" s="121"/>
      <c r="AK118" s="121"/>
      <c r="AL118" s="121"/>
    </row>
    <row r="119" spans="1:38" s="115" customFormat="1" ht="22.8">
      <c r="A119" s="555"/>
      <c r="B119" s="217"/>
      <c r="C119" s="217"/>
      <c r="D119" s="101"/>
      <c r="E119" s="217"/>
      <c r="F119" s="294"/>
      <c r="G119" s="146"/>
      <c r="H119" s="225"/>
      <c r="I119" s="225"/>
      <c r="J119" s="225"/>
      <c r="K119" s="225"/>
      <c r="L119" s="225"/>
      <c r="M119" s="225"/>
      <c r="N119" s="225"/>
      <c r="O119" s="225"/>
      <c r="P119" s="225"/>
      <c r="Q119" s="225"/>
      <c r="R119" s="225"/>
      <c r="S119" s="225"/>
      <c r="T119" s="225"/>
      <c r="U119" s="225"/>
      <c r="V119" s="260"/>
      <c r="W119" s="102"/>
      <c r="X119" s="103" t="str">
        <f t="shared" si="101"/>
        <v/>
      </c>
      <c r="Y119" s="271"/>
      <c r="Z119" s="121"/>
      <c r="AA119" s="121"/>
      <c r="AB119" s="121"/>
      <c r="AC119" s="121"/>
      <c r="AD119" s="121"/>
      <c r="AE119" s="121"/>
      <c r="AF119" s="121"/>
      <c r="AG119" s="121"/>
      <c r="AH119" s="121"/>
      <c r="AI119" s="121"/>
      <c r="AJ119" s="121"/>
      <c r="AK119" s="121"/>
      <c r="AL119" s="121"/>
    </row>
    <row r="120" spans="1:38" s="115" customFormat="1">
      <c r="A120" s="555" t="s">
        <v>1291</v>
      </c>
      <c r="B120" s="217" t="str">
        <f t="shared" si="55"/>
        <v>200</v>
      </c>
      <c r="C120" s="217" t="str">
        <f t="shared" si="56"/>
        <v>71</v>
      </c>
      <c r="D120" s="101" t="str">
        <f t="shared" si="57"/>
        <v>712</v>
      </c>
      <c r="E120" s="217" t="str">
        <f t="shared" si="58"/>
        <v>200-71-712</v>
      </c>
      <c r="F120" s="294" t="str">
        <f t="shared" si="59"/>
        <v>50102</v>
      </c>
      <c r="G120" s="295" t="str">
        <f>VLOOKUP(F120,'GL Category'!A:C,3,FALSE)</f>
        <v>Personnel services</v>
      </c>
      <c r="H120" s="98" t="str">
        <f>VLOOKUP(F120,'GL Category'!A:C,2,FALSE)</f>
        <v>NON EXEMPT SALARIES</v>
      </c>
      <c r="I120" s="99">
        <f>SUMIF(Import!$B:$B,$A120,Import!D:D)</f>
        <v>182868.18</v>
      </c>
      <c r="J120" s="99">
        <f>SUMIF(Import!$B:$B,$A120,Import!E:E)</f>
        <v>187809.68</v>
      </c>
      <c r="K120" s="99">
        <f>SUMIF(Import!$B:$B,$A120,Import!F:F)</f>
        <v>189433.5</v>
      </c>
      <c r="L120" s="99">
        <f>SUMIF(Import!$B:$B,$A120,Import!G:G)</f>
        <v>200803.31</v>
      </c>
      <c r="M120" s="99">
        <f>SUMIF(Import!$B:$B,$A120,Import!H:H)</f>
        <v>194877</v>
      </c>
      <c r="N120" s="99">
        <f>SUMIF(Import!$B:$B,$A120,Import!I:I)</f>
        <v>149203.93</v>
      </c>
      <c r="O120" s="99">
        <f>SUMIF(Import!$B:$B,$A120,Import!J:J)</f>
        <v>194613</v>
      </c>
      <c r="P120" s="99">
        <f t="shared" ref="P120:P127" si="102">O120-M120</f>
        <v>-264</v>
      </c>
      <c r="Q120" s="99">
        <f>SUMIF(Import!$B:$B,$A120,Import!K:K)</f>
        <v>199932</v>
      </c>
      <c r="R120" s="99">
        <f>SUMIF(Import!$B:$B,$A120,Import!L:L)</f>
        <v>0</v>
      </c>
      <c r="S120" s="99">
        <f>SUMIF(Import!$B:$B,$A120,Import!M:M)</f>
        <v>0</v>
      </c>
      <c r="T120" s="99">
        <f>SUMIF(Import!$B:$B,$A120,Import!N:N)</f>
        <v>199932</v>
      </c>
      <c r="U120" s="99">
        <f t="shared" ref="U120:U127" si="103">T120-M120</f>
        <v>5055</v>
      </c>
      <c r="V120" s="255">
        <f t="shared" ref="V120:V127" si="104">IF(M120=0,"N/A",T120/M120-1)</f>
        <v>2.5939438722886843E-2</v>
      </c>
      <c r="W120" s="102" t="s">
        <v>1291</v>
      </c>
      <c r="X120" s="103" t="str">
        <f t="shared" si="101"/>
        <v>OK</v>
      </c>
      <c r="Y120" s="271"/>
      <c r="Z120" s="121"/>
      <c r="AA120" s="121"/>
      <c r="AB120" s="121"/>
      <c r="AC120" s="121"/>
      <c r="AD120" s="121"/>
      <c r="AE120" s="121"/>
      <c r="AF120" s="121"/>
      <c r="AG120" s="121"/>
      <c r="AH120" s="121"/>
      <c r="AI120" s="121"/>
      <c r="AJ120" s="121"/>
      <c r="AK120" s="121"/>
      <c r="AL120" s="121"/>
    </row>
    <row r="121" spans="1:38" s="115" customFormat="1">
      <c r="A121" s="555" t="s">
        <v>1292</v>
      </c>
      <c r="B121" s="217" t="str">
        <f t="shared" si="55"/>
        <v>200</v>
      </c>
      <c r="C121" s="217" t="str">
        <f t="shared" si="56"/>
        <v>71</v>
      </c>
      <c r="D121" s="101" t="str">
        <f t="shared" si="57"/>
        <v>712</v>
      </c>
      <c r="E121" s="217" t="str">
        <f t="shared" si="58"/>
        <v>200-71-712</v>
      </c>
      <c r="F121" s="294" t="str">
        <f t="shared" si="59"/>
        <v>50109</v>
      </c>
      <c r="G121" s="295" t="str">
        <f>VLOOKUP(F121,'GL Category'!A:C,3,FALSE)</f>
        <v>Personnel services</v>
      </c>
      <c r="H121" s="98" t="str">
        <f>VLOOKUP(F121,'GL Category'!A:C,2,FALSE)</f>
        <v>OVERTIME</v>
      </c>
      <c r="I121" s="99">
        <f>SUMIF(Import!$B:$B,$A121,Import!D:D)</f>
        <v>842.15</v>
      </c>
      <c r="J121" s="99">
        <f>SUMIF(Import!$B:$B,$A121,Import!E:E)</f>
        <v>1241.18</v>
      </c>
      <c r="K121" s="99">
        <f>SUMIF(Import!$B:$B,$A121,Import!F:F)</f>
        <v>2750.26</v>
      </c>
      <c r="L121" s="99">
        <f>SUMIF(Import!$B:$B,$A121,Import!G:G)</f>
        <v>2127.85</v>
      </c>
      <c r="M121" s="99">
        <f>SUMIF(Import!$B:$B,$A121,Import!H:H)</f>
        <v>2000</v>
      </c>
      <c r="N121" s="99">
        <f>SUMIF(Import!$B:$B,$A121,Import!I:I)</f>
        <v>707.79</v>
      </c>
      <c r="O121" s="99">
        <f>SUMIF(Import!$B:$B,$A121,Import!J:J)</f>
        <v>1085</v>
      </c>
      <c r="P121" s="99">
        <f t="shared" si="102"/>
        <v>-915</v>
      </c>
      <c r="Q121" s="99">
        <f>SUMIF(Import!$B:$B,$A121,Import!K:K)</f>
        <v>2000</v>
      </c>
      <c r="R121" s="99">
        <f>SUMIF(Import!$B:$B,$A121,Import!L:L)</f>
        <v>0</v>
      </c>
      <c r="S121" s="99">
        <f>SUMIF(Import!$B:$B,$A121,Import!M:M)</f>
        <v>0</v>
      </c>
      <c r="T121" s="99">
        <f>SUMIF(Import!$B:$B,$A121,Import!N:N)</f>
        <v>2000</v>
      </c>
      <c r="U121" s="99">
        <f t="shared" si="103"/>
        <v>0</v>
      </c>
      <c r="V121" s="255">
        <f t="shared" si="104"/>
        <v>0</v>
      </c>
      <c r="W121" s="102" t="s">
        <v>1292</v>
      </c>
      <c r="X121" s="103" t="str">
        <f t="shared" si="101"/>
        <v>OK</v>
      </c>
      <c r="Y121" s="271"/>
      <c r="Z121" s="121"/>
      <c r="AA121" s="121"/>
      <c r="AB121" s="121"/>
      <c r="AC121" s="121"/>
      <c r="AD121" s="121"/>
      <c r="AE121" s="121"/>
      <c r="AF121" s="121"/>
      <c r="AG121" s="121"/>
      <c r="AH121" s="121"/>
      <c r="AI121" s="121"/>
      <c r="AJ121" s="121"/>
      <c r="AK121" s="121"/>
      <c r="AL121" s="121"/>
    </row>
    <row r="122" spans="1:38" s="115" customFormat="1">
      <c r="A122" s="555" t="s">
        <v>1293</v>
      </c>
      <c r="B122" s="217" t="str">
        <f t="shared" si="55"/>
        <v>200</v>
      </c>
      <c r="C122" s="217" t="str">
        <f t="shared" si="56"/>
        <v>71</v>
      </c>
      <c r="D122" s="101" t="str">
        <f t="shared" si="57"/>
        <v>712</v>
      </c>
      <c r="E122" s="217" t="str">
        <f t="shared" si="58"/>
        <v>200-71-712</v>
      </c>
      <c r="F122" s="294" t="str">
        <f t="shared" si="59"/>
        <v>50111</v>
      </c>
      <c r="G122" s="295" t="str">
        <f>VLOOKUP(F122,'GL Category'!A:C,3,FALSE)</f>
        <v>Personnel services</v>
      </c>
      <c r="H122" s="98" t="str">
        <f>VLOOKUP(F122,'GL Category'!A:C,2,FALSE)</f>
        <v>LONGEVITY PAY</v>
      </c>
      <c r="I122" s="99">
        <f>SUMIF(Import!$B:$B,$A122,Import!D:D)</f>
        <v>2910</v>
      </c>
      <c r="J122" s="99">
        <f>SUMIF(Import!$B:$B,$A122,Import!E:E)</f>
        <v>3150</v>
      </c>
      <c r="K122" s="99">
        <f>SUMIF(Import!$B:$B,$A122,Import!F:F)</f>
        <v>3090</v>
      </c>
      <c r="L122" s="99">
        <f>SUMIF(Import!$B:$B,$A122,Import!G:G)</f>
        <v>3335</v>
      </c>
      <c r="M122" s="99">
        <f>SUMIF(Import!$B:$B,$A122,Import!H:H)</f>
        <v>2076</v>
      </c>
      <c r="N122" s="99">
        <f>SUMIF(Import!$B:$B,$A122,Import!I:I)</f>
        <v>2045</v>
      </c>
      <c r="O122" s="99">
        <f>SUMIF(Import!$B:$B,$A122,Import!J:J)</f>
        <v>2045</v>
      </c>
      <c r="P122" s="99">
        <f t="shared" si="102"/>
        <v>-31</v>
      </c>
      <c r="Q122" s="99">
        <f>SUMIF(Import!$B:$B,$A122,Import!K:K)</f>
        <v>2718</v>
      </c>
      <c r="R122" s="99">
        <f>SUMIF(Import!$B:$B,$A122,Import!L:L)</f>
        <v>0</v>
      </c>
      <c r="S122" s="99">
        <f>SUMIF(Import!$B:$B,$A122,Import!M:M)</f>
        <v>0</v>
      </c>
      <c r="T122" s="99">
        <f>SUMIF(Import!$B:$B,$A122,Import!N:N)</f>
        <v>2718</v>
      </c>
      <c r="U122" s="99">
        <f t="shared" si="103"/>
        <v>642</v>
      </c>
      <c r="V122" s="255">
        <f t="shared" si="104"/>
        <v>0.30924855491329484</v>
      </c>
      <c r="W122" s="102" t="s">
        <v>1293</v>
      </c>
      <c r="X122" s="103" t="str">
        <f t="shared" si="101"/>
        <v>OK</v>
      </c>
      <c r="Y122" s="271"/>
      <c r="Z122" s="121"/>
      <c r="AA122" s="121"/>
      <c r="AB122" s="121"/>
      <c r="AC122" s="121"/>
      <c r="AD122" s="121"/>
      <c r="AE122" s="121"/>
      <c r="AF122" s="121"/>
      <c r="AG122" s="121"/>
      <c r="AH122" s="121"/>
      <c r="AI122" s="121"/>
      <c r="AJ122" s="121"/>
      <c r="AK122" s="121"/>
      <c r="AL122" s="121"/>
    </row>
    <row r="123" spans="1:38" s="115" customFormat="1">
      <c r="A123" s="555" t="s">
        <v>1294</v>
      </c>
      <c r="B123" s="217" t="str">
        <f t="shared" si="55"/>
        <v>200</v>
      </c>
      <c r="C123" s="217" t="str">
        <f t="shared" si="56"/>
        <v>71</v>
      </c>
      <c r="D123" s="101" t="str">
        <f t="shared" si="57"/>
        <v>712</v>
      </c>
      <c r="E123" s="217" t="str">
        <f t="shared" si="58"/>
        <v>200-71-712</v>
      </c>
      <c r="F123" s="294" t="str">
        <f t="shared" si="59"/>
        <v>50115</v>
      </c>
      <c r="G123" s="295" t="str">
        <f>VLOOKUP(F123,'GL Category'!A:C,3,FALSE)</f>
        <v>Personnel services</v>
      </c>
      <c r="H123" s="98" t="str">
        <f>VLOOKUP(F123,'GL Category'!A:C,2,FALSE)</f>
        <v>INCENTIVE/CERTIFICATION PAY</v>
      </c>
      <c r="I123" s="99">
        <f>SUMIF(Import!$B:$B,$A123,Import!D:D)</f>
        <v>905.35</v>
      </c>
      <c r="J123" s="99">
        <f>SUMIF(Import!$B:$B,$A123,Import!E:E)</f>
        <v>902.86</v>
      </c>
      <c r="K123" s="99">
        <f>SUMIF(Import!$B:$B,$A123,Import!F:F)</f>
        <v>902.5</v>
      </c>
      <c r="L123" s="99">
        <f>SUMIF(Import!$B:$B,$A123,Import!G:G)</f>
        <v>903</v>
      </c>
      <c r="M123" s="99">
        <f>SUMIF(Import!$B:$B,$A123,Import!H:H)</f>
        <v>900</v>
      </c>
      <c r="N123" s="99">
        <f>SUMIF(Import!$B:$B,$A123,Import!I:I)</f>
        <v>672</v>
      </c>
      <c r="O123" s="99">
        <f>SUMIF(Import!$B:$B,$A123,Import!J:J)</f>
        <v>1242</v>
      </c>
      <c r="P123" s="99">
        <f t="shared" si="102"/>
        <v>342</v>
      </c>
      <c r="Q123" s="99">
        <f>SUMIF(Import!$B:$B,$A123,Import!K:K)</f>
        <v>900</v>
      </c>
      <c r="R123" s="99">
        <f>SUMIF(Import!$B:$B,$A123,Import!L:L)</f>
        <v>0</v>
      </c>
      <c r="S123" s="99">
        <f>SUMIF(Import!$B:$B,$A123,Import!M:M)</f>
        <v>0</v>
      </c>
      <c r="T123" s="99">
        <f>SUMIF(Import!$B:$B,$A123,Import!N:N)</f>
        <v>900</v>
      </c>
      <c r="U123" s="99">
        <f t="shared" si="103"/>
        <v>0</v>
      </c>
      <c r="V123" s="255">
        <f t="shared" si="104"/>
        <v>0</v>
      </c>
      <c r="W123" s="102" t="s">
        <v>1294</v>
      </c>
      <c r="X123" s="103" t="str">
        <f t="shared" si="101"/>
        <v>OK</v>
      </c>
      <c r="Y123" s="271"/>
      <c r="Z123" s="121"/>
      <c r="AA123" s="121"/>
      <c r="AB123" s="121"/>
      <c r="AC123" s="121"/>
      <c r="AD123" s="121"/>
      <c r="AE123" s="121"/>
      <c r="AF123" s="121"/>
      <c r="AG123" s="121"/>
      <c r="AH123" s="121"/>
      <c r="AI123" s="121"/>
      <c r="AJ123" s="121"/>
      <c r="AK123" s="121"/>
      <c r="AL123" s="121"/>
    </row>
    <row r="124" spans="1:38" s="115" customFormat="1">
      <c r="A124" s="555" t="s">
        <v>1295</v>
      </c>
      <c r="B124" s="217" t="str">
        <f t="shared" si="55"/>
        <v>200</v>
      </c>
      <c r="C124" s="217" t="str">
        <f t="shared" si="56"/>
        <v>71</v>
      </c>
      <c r="D124" s="101" t="str">
        <f t="shared" si="57"/>
        <v>712</v>
      </c>
      <c r="E124" s="217" t="str">
        <f t="shared" si="58"/>
        <v>200-71-712</v>
      </c>
      <c r="F124" s="294" t="str">
        <f t="shared" si="59"/>
        <v>50610</v>
      </c>
      <c r="G124" s="295" t="str">
        <f>VLOOKUP(F124,'GL Category'!A:C,3,FALSE)</f>
        <v>Personnel services</v>
      </c>
      <c r="H124" s="98" t="str">
        <f>VLOOKUP(F124,'GL Category'!A:C,2,FALSE)</f>
        <v>SOCIAL SECURITY</v>
      </c>
      <c r="I124" s="99">
        <f>SUMIF(Import!$B:$B,$A124,Import!D:D)</f>
        <v>12823.09</v>
      </c>
      <c r="J124" s="99">
        <f>SUMIF(Import!$B:$B,$A124,Import!E:E)</f>
        <v>12969.29</v>
      </c>
      <c r="K124" s="99">
        <f>SUMIF(Import!$B:$B,$A124,Import!F:F)</f>
        <v>13245.8</v>
      </c>
      <c r="L124" s="99">
        <f>SUMIF(Import!$B:$B,$A124,Import!G:G)</f>
        <v>13913.33</v>
      </c>
      <c r="M124" s="99">
        <f>SUMIF(Import!$B:$B,$A124,Import!H:H)</f>
        <v>15330</v>
      </c>
      <c r="N124" s="99">
        <f>SUMIF(Import!$B:$B,$A124,Import!I:I)</f>
        <v>10634.84</v>
      </c>
      <c r="O124" s="99">
        <f>SUMIF(Import!$B:$B,$A124,Import!J:J)</f>
        <v>14407</v>
      </c>
      <c r="P124" s="99">
        <f t="shared" si="102"/>
        <v>-923</v>
      </c>
      <c r="Q124" s="99">
        <f>SUMIF(Import!$B:$B,$A124,Import!K:K)</f>
        <v>15760</v>
      </c>
      <c r="R124" s="99">
        <f>SUMIF(Import!$B:$B,$A124,Import!L:L)</f>
        <v>0</v>
      </c>
      <c r="S124" s="99">
        <f>SUMIF(Import!$B:$B,$A124,Import!M:M)</f>
        <v>0</v>
      </c>
      <c r="T124" s="99">
        <f>SUMIF(Import!$B:$B,$A124,Import!N:N)</f>
        <v>15760</v>
      </c>
      <c r="U124" s="99">
        <f t="shared" si="103"/>
        <v>430</v>
      </c>
      <c r="V124" s="255">
        <f t="shared" si="104"/>
        <v>2.8049575994781417E-2</v>
      </c>
      <c r="W124" s="102" t="s">
        <v>1295</v>
      </c>
      <c r="X124" s="103" t="str">
        <f t="shared" si="101"/>
        <v>OK</v>
      </c>
      <c r="Y124" s="271"/>
      <c r="Z124" s="121"/>
      <c r="AA124" s="121"/>
      <c r="AB124" s="121"/>
      <c r="AC124" s="121"/>
      <c r="AD124" s="121"/>
      <c r="AE124" s="121"/>
      <c r="AF124" s="121"/>
      <c r="AG124" s="121"/>
      <c r="AH124" s="121"/>
      <c r="AI124" s="121"/>
      <c r="AJ124" s="121"/>
      <c r="AK124" s="121"/>
      <c r="AL124" s="121"/>
    </row>
    <row r="125" spans="1:38" s="115" customFormat="1">
      <c r="A125" s="555" t="s">
        <v>1296</v>
      </c>
      <c r="B125" s="217" t="str">
        <f t="shared" si="55"/>
        <v>200</v>
      </c>
      <c r="C125" s="217" t="str">
        <f t="shared" si="56"/>
        <v>71</v>
      </c>
      <c r="D125" s="101" t="str">
        <f t="shared" si="57"/>
        <v>712</v>
      </c>
      <c r="E125" s="217" t="str">
        <f t="shared" si="58"/>
        <v>200-71-712</v>
      </c>
      <c r="F125" s="294" t="str">
        <f t="shared" si="59"/>
        <v>50620</v>
      </c>
      <c r="G125" s="295" t="str">
        <f>VLOOKUP(F125,'GL Category'!A:C,3,FALSE)</f>
        <v>Personnel services</v>
      </c>
      <c r="H125" s="98" t="str">
        <f>VLOOKUP(F125,'GL Category'!A:C,2,FALSE)</f>
        <v>HEALTH/LIFE INSURANCE</v>
      </c>
      <c r="I125" s="99">
        <f>SUMIF(Import!$B:$B,$A125,Import!D:D)</f>
        <v>78413.759999999995</v>
      </c>
      <c r="J125" s="99">
        <f>SUMIF(Import!$B:$B,$A125,Import!E:E)</f>
        <v>80177.009999999995</v>
      </c>
      <c r="K125" s="99">
        <f>SUMIF(Import!$B:$B,$A125,Import!F:F)</f>
        <v>88062.27</v>
      </c>
      <c r="L125" s="99">
        <f>SUMIF(Import!$B:$B,$A125,Import!G:G)</f>
        <v>87089.99</v>
      </c>
      <c r="M125" s="99">
        <f>SUMIF(Import!$B:$B,$A125,Import!H:H)</f>
        <v>83394</v>
      </c>
      <c r="N125" s="99">
        <f>SUMIF(Import!$B:$B,$A125,Import!I:I)</f>
        <v>57793.14</v>
      </c>
      <c r="O125" s="99">
        <f>SUMIF(Import!$B:$B,$A125,Import!J:J)</f>
        <v>78163</v>
      </c>
      <c r="P125" s="99">
        <f t="shared" si="102"/>
        <v>-5231</v>
      </c>
      <c r="Q125" s="99">
        <f>SUMIF(Import!$B:$B,$A125,Import!K:K)</f>
        <v>77484</v>
      </c>
      <c r="R125" s="99">
        <f>SUMIF(Import!$B:$B,$A125,Import!L:L)</f>
        <v>0</v>
      </c>
      <c r="S125" s="99">
        <f>SUMIF(Import!$B:$B,$A125,Import!M:M)</f>
        <v>0</v>
      </c>
      <c r="T125" s="99">
        <f>SUMIF(Import!$B:$B,$A125,Import!N:N)</f>
        <v>77484</v>
      </c>
      <c r="U125" s="99">
        <f t="shared" si="103"/>
        <v>-5910</v>
      </c>
      <c r="V125" s="255">
        <f t="shared" si="104"/>
        <v>-7.086840779912229E-2</v>
      </c>
      <c r="W125" s="102" t="s">
        <v>1296</v>
      </c>
      <c r="X125" s="103" t="str">
        <f t="shared" si="101"/>
        <v>OK</v>
      </c>
      <c r="Y125" s="271"/>
      <c r="Z125" s="121"/>
      <c r="AA125" s="121"/>
      <c r="AB125" s="121"/>
      <c r="AC125" s="121"/>
      <c r="AD125" s="121"/>
      <c r="AE125" s="121"/>
      <c r="AF125" s="121"/>
      <c r="AG125" s="121"/>
      <c r="AH125" s="121"/>
      <c r="AI125" s="121"/>
      <c r="AJ125" s="121"/>
      <c r="AK125" s="121"/>
      <c r="AL125" s="121"/>
    </row>
    <row r="126" spans="1:38" s="115" customFormat="1">
      <c r="A126" s="555" t="s">
        <v>1297</v>
      </c>
      <c r="B126" s="217" t="str">
        <f t="shared" si="55"/>
        <v>200</v>
      </c>
      <c r="C126" s="217" t="str">
        <f t="shared" si="56"/>
        <v>71</v>
      </c>
      <c r="D126" s="101" t="str">
        <f t="shared" si="57"/>
        <v>712</v>
      </c>
      <c r="E126" s="217" t="str">
        <f t="shared" si="58"/>
        <v>200-71-712</v>
      </c>
      <c r="F126" s="294" t="str">
        <f t="shared" si="59"/>
        <v>50630</v>
      </c>
      <c r="G126" s="295" t="str">
        <f>VLOOKUP(F126,'GL Category'!A:C,3,FALSE)</f>
        <v>Personnel services</v>
      </c>
      <c r="H126" s="98" t="str">
        <f>VLOOKUP(F126,'GL Category'!A:C,2,FALSE)</f>
        <v>WORKER COMPENSATION</v>
      </c>
      <c r="I126" s="99">
        <f>SUMIF(Import!$B:$B,$A126,Import!D:D)</f>
        <v>1432.93</v>
      </c>
      <c r="J126" s="99">
        <f>SUMIF(Import!$B:$B,$A126,Import!E:E)</f>
        <v>1305.6400000000001</v>
      </c>
      <c r="K126" s="99">
        <f>SUMIF(Import!$B:$B,$A126,Import!F:F)</f>
        <v>1480.12</v>
      </c>
      <c r="L126" s="99">
        <f>SUMIF(Import!$B:$B,$A126,Import!G:G)</f>
        <v>2643.88</v>
      </c>
      <c r="M126" s="99">
        <f>SUMIF(Import!$B:$B,$A126,Import!H:H)</f>
        <v>3212</v>
      </c>
      <c r="N126" s="99">
        <f>SUMIF(Import!$B:$B,$A126,Import!I:I)</f>
        <v>3209.37</v>
      </c>
      <c r="O126" s="99">
        <f>SUMIF(Import!$B:$B,$A126,Import!J:J)</f>
        <v>3209</v>
      </c>
      <c r="P126" s="99">
        <f t="shared" si="102"/>
        <v>-3</v>
      </c>
      <c r="Q126" s="99">
        <f>SUMIF(Import!$B:$B,$A126,Import!K:K)</f>
        <v>3108</v>
      </c>
      <c r="R126" s="99">
        <f>SUMIF(Import!$B:$B,$A126,Import!L:L)</f>
        <v>0</v>
      </c>
      <c r="S126" s="99">
        <f>SUMIF(Import!$B:$B,$A126,Import!M:M)</f>
        <v>0</v>
      </c>
      <c r="T126" s="99">
        <f>SUMIF(Import!$B:$B,$A126,Import!N:N)</f>
        <v>3108</v>
      </c>
      <c r="U126" s="99">
        <f t="shared" si="103"/>
        <v>-104</v>
      </c>
      <c r="V126" s="255">
        <f t="shared" si="104"/>
        <v>-3.2378580323785822E-2</v>
      </c>
      <c r="W126" s="102" t="s">
        <v>1297</v>
      </c>
      <c r="X126" s="103" t="str">
        <f t="shared" si="101"/>
        <v>OK</v>
      </c>
      <c r="Y126" s="271"/>
      <c r="Z126" s="121"/>
      <c r="AA126" s="121"/>
      <c r="AB126" s="121"/>
      <c r="AC126" s="121"/>
      <c r="AD126" s="121"/>
      <c r="AE126" s="121"/>
      <c r="AF126" s="121"/>
      <c r="AG126" s="121"/>
      <c r="AH126" s="121"/>
      <c r="AI126" s="121"/>
      <c r="AJ126" s="121"/>
      <c r="AK126" s="121"/>
      <c r="AL126" s="121"/>
    </row>
    <row r="127" spans="1:38" s="115" customFormat="1">
      <c r="A127" s="555" t="s">
        <v>1298</v>
      </c>
      <c r="B127" s="217" t="str">
        <f t="shared" si="55"/>
        <v>200</v>
      </c>
      <c r="C127" s="217" t="str">
        <f t="shared" si="56"/>
        <v>71</v>
      </c>
      <c r="D127" s="101" t="str">
        <f t="shared" si="57"/>
        <v>712</v>
      </c>
      <c r="E127" s="217" t="str">
        <f t="shared" si="58"/>
        <v>200-71-712</v>
      </c>
      <c r="F127" s="294" t="str">
        <f t="shared" si="59"/>
        <v>50650</v>
      </c>
      <c r="G127" s="295" t="str">
        <f>VLOOKUP(F127,'GL Category'!A:C,3,FALSE)</f>
        <v>Personnel services</v>
      </c>
      <c r="H127" s="98" t="str">
        <f>VLOOKUP(F127,'GL Category'!A:C,2,FALSE)</f>
        <v>RETIREMENT</v>
      </c>
      <c r="I127" s="99">
        <f>SUMIF(Import!$B:$B,$A127,Import!D:D)</f>
        <v>30104.31</v>
      </c>
      <c r="J127" s="99">
        <f>SUMIF(Import!$B:$B,$A127,Import!E:E)</f>
        <v>30864.92</v>
      </c>
      <c r="K127" s="99">
        <f>SUMIF(Import!$B:$B,$A127,Import!F:F)</f>
        <v>31762.16</v>
      </c>
      <c r="L127" s="99">
        <f>SUMIF(Import!$B:$B,$A127,Import!G:G)</f>
        <v>33478.639999999999</v>
      </c>
      <c r="M127" s="99">
        <f>SUMIF(Import!$B:$B,$A127,Import!H:H)</f>
        <v>33056</v>
      </c>
      <c r="N127" s="99">
        <f>SUMIF(Import!$B:$B,$A127,Import!I:I)</f>
        <v>25507.41</v>
      </c>
      <c r="O127" s="99">
        <f>SUMIF(Import!$B:$B,$A127,Import!J:J)</f>
        <v>33289</v>
      </c>
      <c r="P127" s="99">
        <f t="shared" si="102"/>
        <v>233</v>
      </c>
      <c r="Q127" s="99">
        <f>SUMIF(Import!$B:$B,$A127,Import!K:K)</f>
        <v>34820</v>
      </c>
      <c r="R127" s="99">
        <f>SUMIF(Import!$B:$B,$A127,Import!L:L)</f>
        <v>0</v>
      </c>
      <c r="S127" s="99">
        <f>SUMIF(Import!$B:$B,$A127,Import!M:M)</f>
        <v>0</v>
      </c>
      <c r="T127" s="99">
        <f>SUMIF(Import!$B:$B,$A127,Import!N:N)</f>
        <v>34820</v>
      </c>
      <c r="U127" s="99">
        <f t="shared" si="103"/>
        <v>1764</v>
      </c>
      <c r="V127" s="255">
        <f t="shared" si="104"/>
        <v>5.3363988383349437E-2</v>
      </c>
      <c r="W127" s="102" t="s">
        <v>1298</v>
      </c>
      <c r="X127" s="103" t="str">
        <f t="shared" si="101"/>
        <v>OK</v>
      </c>
      <c r="Y127" s="271"/>
      <c r="Z127" s="121"/>
      <c r="AA127" s="121"/>
      <c r="AB127" s="121"/>
      <c r="AC127" s="121"/>
      <c r="AD127" s="121"/>
      <c r="AE127" s="121"/>
      <c r="AF127" s="121"/>
      <c r="AG127" s="121"/>
      <c r="AH127" s="121"/>
      <c r="AI127" s="121"/>
      <c r="AJ127" s="121"/>
      <c r="AK127" s="121"/>
      <c r="AL127" s="121"/>
    </row>
    <row r="128" spans="1:38" s="115" customFormat="1">
      <c r="A128" s="555"/>
      <c r="B128" s="217"/>
      <c r="C128" s="217"/>
      <c r="D128" s="101"/>
      <c r="E128" s="217"/>
      <c r="F128" s="294"/>
      <c r="G128" s="146"/>
      <c r="H128" s="107" t="str">
        <f>UPPER(G127)&amp;" TOTAL"</f>
        <v>PERSONNEL SERVICES TOTAL</v>
      </c>
      <c r="I128" s="108">
        <f t="shared" ref="I128" si="105">SUBTOTAL(9,I120:I127)</f>
        <v>310299.76999999996</v>
      </c>
      <c r="J128" s="108">
        <f t="shared" ref="J128:P128" si="106">SUBTOTAL(9,J120:J127)</f>
        <v>318420.57999999996</v>
      </c>
      <c r="K128" s="108">
        <f t="shared" ref="K128" si="107">SUBTOTAL(9,K120:K127)</f>
        <v>330726.61</v>
      </c>
      <c r="L128" s="108">
        <f t="shared" ref="L128" si="108">SUBTOTAL(9,L120:L127)</f>
        <v>344295</v>
      </c>
      <c r="M128" s="108">
        <f t="shared" si="106"/>
        <v>334845</v>
      </c>
      <c r="N128" s="108">
        <f t="shared" ref="N128" si="109">SUBTOTAL(9,N120:N127)</f>
        <v>249773.48</v>
      </c>
      <c r="O128" s="108">
        <f t="shared" si="106"/>
        <v>328053</v>
      </c>
      <c r="P128" s="108">
        <f t="shared" si="106"/>
        <v>-6792</v>
      </c>
      <c r="Q128" s="108">
        <f t="shared" ref="Q128:T128" si="110">SUBTOTAL(9,Q120:Q127)</f>
        <v>336722</v>
      </c>
      <c r="R128" s="108">
        <f t="shared" si="110"/>
        <v>0</v>
      </c>
      <c r="S128" s="108">
        <f t="shared" si="110"/>
        <v>0</v>
      </c>
      <c r="T128" s="108">
        <f t="shared" si="110"/>
        <v>336722</v>
      </c>
      <c r="U128" s="99">
        <f>T128-M128</f>
        <v>1877</v>
      </c>
      <c r="V128" s="259">
        <f>IF(M128=0,"N/A",T128/M128-1)</f>
        <v>5.6055787005928615E-3</v>
      </c>
      <c r="W128" s="102"/>
      <c r="X128" s="103" t="str">
        <f t="shared" si="101"/>
        <v>OK</v>
      </c>
      <c r="Y128" s="271"/>
      <c r="Z128" s="121"/>
      <c r="AA128" s="121"/>
      <c r="AB128" s="121"/>
      <c r="AC128" s="121"/>
      <c r="AD128" s="121"/>
      <c r="AE128" s="121"/>
      <c r="AF128" s="121"/>
      <c r="AG128" s="121"/>
      <c r="AH128" s="121"/>
      <c r="AI128" s="121"/>
      <c r="AJ128" s="121"/>
      <c r="AK128" s="121"/>
      <c r="AL128" s="121"/>
    </row>
    <row r="129" spans="1:38" s="115" customFormat="1">
      <c r="A129" s="555"/>
      <c r="B129" s="217"/>
      <c r="C129" s="217"/>
      <c r="D129" s="101"/>
      <c r="E129" s="217"/>
      <c r="F129" s="294"/>
      <c r="G129" s="146"/>
      <c r="H129" s="232"/>
      <c r="I129" s="233"/>
      <c r="J129" s="233"/>
      <c r="K129" s="233"/>
      <c r="L129" s="233"/>
      <c r="M129" s="233"/>
      <c r="N129" s="233"/>
      <c r="O129" s="233"/>
      <c r="P129" s="233"/>
      <c r="Q129" s="233"/>
      <c r="R129" s="233"/>
      <c r="S129" s="233"/>
      <c r="T129" s="233"/>
      <c r="U129" s="233"/>
      <c r="V129" s="233"/>
      <c r="W129" s="102"/>
      <c r="X129" s="103" t="str">
        <f t="shared" si="101"/>
        <v/>
      </c>
      <c r="Y129" s="271"/>
      <c r="Z129" s="121"/>
      <c r="AA129" s="121"/>
      <c r="AB129" s="121"/>
      <c r="AC129" s="121"/>
      <c r="AD129" s="121"/>
      <c r="AE129" s="121"/>
      <c r="AF129" s="121"/>
      <c r="AG129" s="121"/>
      <c r="AH129" s="121"/>
      <c r="AI129" s="121"/>
      <c r="AJ129" s="121"/>
      <c r="AK129" s="121"/>
      <c r="AL129" s="121"/>
    </row>
    <row r="130" spans="1:38" s="115" customFormat="1" ht="15.75" customHeight="1">
      <c r="A130" s="555" t="s">
        <v>1299</v>
      </c>
      <c r="B130" s="217" t="str">
        <f t="shared" ref="B130:B143" si="111">LEFT(A130,3)</f>
        <v>200</v>
      </c>
      <c r="C130" s="217" t="str">
        <f t="shared" ref="C130:C143" si="112">MID(A130,5,2)</f>
        <v>71</v>
      </c>
      <c r="D130" s="101" t="str">
        <f t="shared" ref="D130:D143" si="113">MID(A130,8,3)</f>
        <v>712</v>
      </c>
      <c r="E130" s="217" t="str">
        <f t="shared" ref="E130:E143" si="114">LEFT(A130,10)</f>
        <v>200-71-712</v>
      </c>
      <c r="F130" s="294" t="str">
        <f t="shared" ref="F130:F143" si="115">RIGHT(A130,5)</f>
        <v>51210</v>
      </c>
      <c r="G130" s="295" t="str">
        <f>VLOOKUP(F130,'GL Category'!A:C,3,FALSE)</f>
        <v>Operations &amp; maintenance</v>
      </c>
      <c r="H130" s="98" t="str">
        <f>VLOOKUP(F130,'GL Category'!A:C,2,FALSE)</f>
        <v>OFFICE SUPPLIES</v>
      </c>
      <c r="I130" s="99">
        <f>SUMIF(Import!$B:$B,$A130,Import!D:D)</f>
        <v>0</v>
      </c>
      <c r="J130" s="99">
        <f>SUMIF(Import!$B:$B,$A130,Import!E:E)</f>
        <v>0</v>
      </c>
      <c r="K130" s="99">
        <f>SUMIF(Import!$B:$B,$A130,Import!F:F)</f>
        <v>0</v>
      </c>
      <c r="L130" s="99">
        <f>SUMIF(Import!$B:$B,$A130,Import!G:G)</f>
        <v>0</v>
      </c>
      <c r="M130" s="99">
        <f>SUMIF(Import!$B:$B,$A130,Import!H:H)</f>
        <v>0</v>
      </c>
      <c r="N130" s="99">
        <f>SUMIF(Import!$B:$B,$A130,Import!I:I)</f>
        <v>0</v>
      </c>
      <c r="O130" s="99">
        <f>SUMIF(Import!$B:$B,$A130,Import!J:J)</f>
        <v>0</v>
      </c>
      <c r="P130" s="99">
        <f t="shared" ref="P130:P136" si="116">O130-M130</f>
        <v>0</v>
      </c>
      <c r="Q130" s="99">
        <f>SUMIF(Import!$B:$B,$A130,Import!K:K)</f>
        <v>0</v>
      </c>
      <c r="R130" s="99">
        <f>SUMIF(Import!$B:$B,$A130,Import!L:L)</f>
        <v>0</v>
      </c>
      <c r="S130" s="99">
        <f>SUMIF(Import!$B:$B,$A130,Import!M:M)</f>
        <v>0</v>
      </c>
      <c r="T130" s="99">
        <f>SUMIF(Import!$B:$B,$A130,Import!N:N)</f>
        <v>0</v>
      </c>
      <c r="U130" s="99">
        <f t="shared" ref="U130:U136" si="117">T130-M130</f>
        <v>0</v>
      </c>
      <c r="V130" s="255" t="str">
        <f t="shared" ref="V130:V136" si="118">IF(M130=0,"N/A",T130/M130-1)</f>
        <v>N/A</v>
      </c>
      <c r="W130" s="102" t="s">
        <v>1299</v>
      </c>
      <c r="X130" s="103" t="str">
        <f t="shared" si="101"/>
        <v>OK</v>
      </c>
      <c r="Y130" s="271"/>
      <c r="Z130" s="121"/>
      <c r="AA130" s="121"/>
      <c r="AB130" s="121"/>
      <c r="AC130" s="121"/>
      <c r="AD130" s="121"/>
      <c r="AE130" s="121"/>
      <c r="AF130" s="121"/>
      <c r="AG130" s="121"/>
      <c r="AH130" s="121"/>
      <c r="AI130" s="121"/>
      <c r="AJ130" s="121"/>
      <c r="AK130" s="121"/>
      <c r="AL130" s="121"/>
    </row>
    <row r="131" spans="1:38" s="115" customFormat="1" ht="15.75" customHeight="1">
      <c r="A131" s="555" t="s">
        <v>1300</v>
      </c>
      <c r="B131" s="217" t="str">
        <f t="shared" si="111"/>
        <v>200</v>
      </c>
      <c r="C131" s="217" t="str">
        <f t="shared" si="112"/>
        <v>71</v>
      </c>
      <c r="D131" s="101" t="str">
        <f t="shared" si="113"/>
        <v>712</v>
      </c>
      <c r="E131" s="217" t="str">
        <f t="shared" si="114"/>
        <v>200-71-712</v>
      </c>
      <c r="F131" s="294" t="str">
        <f t="shared" si="115"/>
        <v>51245</v>
      </c>
      <c r="G131" s="295" t="str">
        <f>VLOOKUP(F131,'GL Category'!A:C,3,FALSE)</f>
        <v>Operations &amp; maintenance</v>
      </c>
      <c r="H131" s="98" t="str">
        <f>VLOOKUP(F131,'GL Category'!A:C,2,FALSE)</f>
        <v>SMALL TOOLS &amp; EQUIPMENT</v>
      </c>
      <c r="I131" s="99">
        <f>SUMIF(Import!$B:$B,$A131,Import!D:D)</f>
        <v>5235.72</v>
      </c>
      <c r="J131" s="99">
        <f>SUMIF(Import!$B:$B,$A131,Import!E:E)</f>
        <v>1282.81</v>
      </c>
      <c r="K131" s="99">
        <f>SUMIF(Import!$B:$B,$A131,Import!F:F)</f>
        <v>1957.08</v>
      </c>
      <c r="L131" s="99">
        <f>SUMIF(Import!$B:$B,$A131,Import!G:G)</f>
        <v>2585.7199999999998</v>
      </c>
      <c r="M131" s="99">
        <f>SUMIF(Import!$B:$B,$A131,Import!H:H)</f>
        <v>1500</v>
      </c>
      <c r="N131" s="99">
        <f>SUMIF(Import!$B:$B,$A131,Import!I:I)</f>
        <v>1946.49</v>
      </c>
      <c r="O131" s="99">
        <f>SUMIF(Import!$B:$B,$A131,Import!J:J)</f>
        <v>1500</v>
      </c>
      <c r="P131" s="99">
        <f t="shared" si="116"/>
        <v>0</v>
      </c>
      <c r="Q131" s="99">
        <f>SUMIF(Import!$B:$B,$A131,Import!K:K)</f>
        <v>1500</v>
      </c>
      <c r="R131" s="576">
        <f>SUMIF(Import!$B:$B,$A131,Import!L:L)</f>
        <v>0</v>
      </c>
      <c r="S131" s="99">
        <f>SUMIF(Import!$B:$B,$A131,Import!M:M)</f>
        <v>0</v>
      </c>
      <c r="T131" s="99">
        <f>SUMIF(Import!$B:$B,$A131,Import!N:N)</f>
        <v>1500</v>
      </c>
      <c r="U131" s="99">
        <f t="shared" si="117"/>
        <v>0</v>
      </c>
      <c r="V131" s="255">
        <f t="shared" si="118"/>
        <v>0</v>
      </c>
      <c r="W131" s="102" t="s">
        <v>1300</v>
      </c>
      <c r="X131" s="103" t="str">
        <f t="shared" si="101"/>
        <v>OK</v>
      </c>
      <c r="Y131" s="271"/>
      <c r="Z131" s="121"/>
      <c r="AA131" s="121"/>
      <c r="AB131" s="121"/>
      <c r="AC131" s="121"/>
      <c r="AD131" s="121"/>
      <c r="AE131" s="121"/>
      <c r="AF131" s="121"/>
      <c r="AG131" s="121"/>
      <c r="AH131" s="121"/>
      <c r="AI131" s="121"/>
      <c r="AJ131" s="121"/>
      <c r="AK131" s="121"/>
      <c r="AL131" s="121"/>
    </row>
    <row r="132" spans="1:38" s="115" customFormat="1" ht="15.75" customHeight="1">
      <c r="A132" s="555" t="s">
        <v>1301</v>
      </c>
      <c r="B132" s="217" t="str">
        <f t="shared" si="111"/>
        <v>200</v>
      </c>
      <c r="C132" s="217" t="str">
        <f t="shared" si="112"/>
        <v>71</v>
      </c>
      <c r="D132" s="101" t="str">
        <f t="shared" si="113"/>
        <v>712</v>
      </c>
      <c r="E132" s="217" t="str">
        <f t="shared" si="114"/>
        <v>200-71-712</v>
      </c>
      <c r="F132" s="294" t="str">
        <f t="shared" si="115"/>
        <v>51255</v>
      </c>
      <c r="G132" s="295" t="str">
        <f>VLOOKUP(F132,'GL Category'!A:C,3,FALSE)</f>
        <v>Operations &amp; maintenance</v>
      </c>
      <c r="H132" s="98" t="str">
        <f>VLOOKUP(F132,'GL Category'!A:C,2,FALSE)</f>
        <v>FUEL/OILS/LUBRICANTS</v>
      </c>
      <c r="I132" s="99">
        <f>SUMIF(Import!$B:$B,$A132,Import!D:D)</f>
        <v>5498.56</v>
      </c>
      <c r="J132" s="99">
        <f>SUMIF(Import!$B:$B,$A132,Import!E:E)</f>
        <v>7587.54</v>
      </c>
      <c r="K132" s="99">
        <f>SUMIF(Import!$B:$B,$A132,Import!F:F)</f>
        <v>11334.76</v>
      </c>
      <c r="L132" s="99">
        <f>SUMIF(Import!$B:$B,$A132,Import!G:G)</f>
        <v>9467.17</v>
      </c>
      <c r="M132" s="99">
        <f>SUMIF(Import!$B:$B,$A132,Import!H:H)</f>
        <v>14000</v>
      </c>
      <c r="N132" s="99">
        <f>SUMIF(Import!$B:$B,$A132,Import!I:I)</f>
        <v>6452.79</v>
      </c>
      <c r="O132" s="99">
        <f>SUMIF(Import!$B:$B,$A132,Import!J:J)</f>
        <v>14000</v>
      </c>
      <c r="P132" s="99">
        <f t="shared" si="116"/>
        <v>0</v>
      </c>
      <c r="Q132" s="99">
        <f>SUMIF(Import!$B:$B,$A132,Import!K:K)</f>
        <v>14000</v>
      </c>
      <c r="R132" s="99">
        <f>SUMIF(Import!$B:$B,$A132,Import!L:L)</f>
        <v>0</v>
      </c>
      <c r="S132" s="99">
        <f>SUMIF(Import!$B:$B,$A132,Import!M:M)</f>
        <v>0</v>
      </c>
      <c r="T132" s="99">
        <f>SUMIF(Import!$B:$B,$A132,Import!N:N)</f>
        <v>14000</v>
      </c>
      <c r="U132" s="99">
        <f t="shared" si="117"/>
        <v>0</v>
      </c>
      <c r="V132" s="255">
        <f t="shared" si="118"/>
        <v>0</v>
      </c>
      <c r="W132" s="102" t="s">
        <v>1301</v>
      </c>
      <c r="X132" s="103" t="str">
        <f t="shared" si="101"/>
        <v>OK</v>
      </c>
      <c r="Y132" s="271"/>
      <c r="Z132" s="121"/>
      <c r="AA132" s="121"/>
      <c r="AB132" s="121"/>
      <c r="AC132" s="121"/>
      <c r="AD132" s="121"/>
      <c r="AE132" s="121"/>
      <c r="AF132" s="121"/>
      <c r="AG132" s="121"/>
      <c r="AH132" s="121"/>
      <c r="AI132" s="121"/>
      <c r="AJ132" s="121"/>
      <c r="AK132" s="121"/>
      <c r="AL132" s="121"/>
    </row>
    <row r="133" spans="1:38" s="115" customFormat="1" ht="15.75" customHeight="1">
      <c r="A133" s="555" t="s">
        <v>1302</v>
      </c>
      <c r="B133" s="217" t="str">
        <f t="shared" si="111"/>
        <v>200</v>
      </c>
      <c r="C133" s="217" t="str">
        <f t="shared" si="112"/>
        <v>71</v>
      </c>
      <c r="D133" s="101" t="str">
        <f t="shared" si="113"/>
        <v>712</v>
      </c>
      <c r="E133" s="217" t="str">
        <f t="shared" si="114"/>
        <v>200-71-712</v>
      </c>
      <c r="F133" s="294" t="str">
        <f t="shared" si="115"/>
        <v>51285</v>
      </c>
      <c r="G133" s="295" t="str">
        <f>VLOOKUP(F133,'GL Category'!A:C,3,FALSE)</f>
        <v>Operations &amp; maintenance</v>
      </c>
      <c r="H133" s="98" t="str">
        <f>VLOOKUP(F133,'GL Category'!A:C,2,FALSE)</f>
        <v>WEARING APPAREL</v>
      </c>
      <c r="I133" s="99">
        <f>SUMIF(Import!$B:$B,$A133,Import!D:D)</f>
        <v>1127.73</v>
      </c>
      <c r="J133" s="99">
        <f>SUMIF(Import!$B:$B,$A133,Import!E:E)</f>
        <v>762.56</v>
      </c>
      <c r="K133" s="99">
        <f>SUMIF(Import!$B:$B,$A133,Import!F:F)</f>
        <v>1248.01</v>
      </c>
      <c r="L133" s="99">
        <f>SUMIF(Import!$B:$B,$A133,Import!G:G)</f>
        <v>1943.56</v>
      </c>
      <c r="M133" s="99">
        <f>SUMIF(Import!$B:$B,$A133,Import!H:H)</f>
        <v>2000</v>
      </c>
      <c r="N133" s="99">
        <f>SUMIF(Import!$B:$B,$A133,Import!I:I)</f>
        <v>1668.15</v>
      </c>
      <c r="O133" s="99">
        <f>SUMIF(Import!$B:$B,$A133,Import!J:J)</f>
        <v>2000</v>
      </c>
      <c r="P133" s="99">
        <f t="shared" si="116"/>
        <v>0</v>
      </c>
      <c r="Q133" s="99">
        <f>SUMIF(Import!$B:$B,$A133,Import!K:K)</f>
        <v>2000</v>
      </c>
      <c r="R133" s="99">
        <f>SUMIF(Import!$B:$B,$A133,Import!L:L)</f>
        <v>0</v>
      </c>
      <c r="S133" s="99">
        <f>SUMIF(Import!$B:$B,$A133,Import!M:M)</f>
        <v>0</v>
      </c>
      <c r="T133" s="99">
        <f>SUMIF(Import!$B:$B,$A133,Import!N:N)</f>
        <v>2000</v>
      </c>
      <c r="U133" s="99">
        <f t="shared" si="117"/>
        <v>0</v>
      </c>
      <c r="V133" s="255">
        <f t="shared" si="118"/>
        <v>0</v>
      </c>
      <c r="W133" s="102" t="s">
        <v>1302</v>
      </c>
      <c r="X133" s="103" t="str">
        <f t="shared" si="101"/>
        <v>OK</v>
      </c>
      <c r="Y133" s="271"/>
      <c r="Z133" s="121"/>
      <c r="AA133" s="121"/>
      <c r="AB133" s="121"/>
      <c r="AC133" s="121"/>
      <c r="AD133" s="121"/>
      <c r="AE133" s="121"/>
      <c r="AF133" s="121"/>
      <c r="AG133" s="121"/>
      <c r="AH133" s="121"/>
      <c r="AI133" s="121"/>
      <c r="AJ133" s="121"/>
      <c r="AK133" s="121"/>
      <c r="AL133" s="121"/>
    </row>
    <row r="134" spans="1:38" s="115" customFormat="1" ht="15.75" customHeight="1">
      <c r="A134" s="555" t="s">
        <v>1303</v>
      </c>
      <c r="B134" s="217" t="str">
        <f t="shared" si="111"/>
        <v>200</v>
      </c>
      <c r="C134" s="217" t="str">
        <f t="shared" si="112"/>
        <v>71</v>
      </c>
      <c r="D134" s="101" t="str">
        <f t="shared" si="113"/>
        <v>712</v>
      </c>
      <c r="E134" s="217" t="str">
        <f t="shared" si="114"/>
        <v>200-71-712</v>
      </c>
      <c r="F134" s="294" t="str">
        <f t="shared" si="115"/>
        <v>52440</v>
      </c>
      <c r="G134" s="295" t="str">
        <f>VLOOKUP(F134,'GL Category'!A:C,3,FALSE)</f>
        <v>Operations &amp; maintenance</v>
      </c>
      <c r="H134" s="98" t="str">
        <f>VLOOKUP(F134,'GL Category'!A:C,2,FALSE)</f>
        <v>RADIO MAINTENANCE</v>
      </c>
      <c r="I134" s="99">
        <f>SUMIF(Import!$B:$B,$A134,Import!D:D)</f>
        <v>0</v>
      </c>
      <c r="J134" s="99">
        <f>SUMIF(Import!$B:$B,$A134,Import!E:E)</f>
        <v>0</v>
      </c>
      <c r="K134" s="99">
        <f>SUMIF(Import!$B:$B,$A134,Import!F:F)</f>
        <v>0</v>
      </c>
      <c r="L134" s="99">
        <f>SUMIF(Import!$B:$B,$A134,Import!G:G)</f>
        <v>0</v>
      </c>
      <c r="M134" s="99">
        <f>SUMIF(Import!$B:$B,$A134,Import!H:H)</f>
        <v>0</v>
      </c>
      <c r="N134" s="99">
        <f>SUMIF(Import!$B:$B,$A134,Import!I:I)</f>
        <v>0</v>
      </c>
      <c r="O134" s="99">
        <f>SUMIF(Import!$B:$B,$A134,Import!J:J)</f>
        <v>0</v>
      </c>
      <c r="P134" s="99">
        <f t="shared" si="116"/>
        <v>0</v>
      </c>
      <c r="Q134" s="99">
        <f>SUMIF(Import!$B:$B,$A134,Import!K:K)</f>
        <v>0</v>
      </c>
      <c r="R134" s="99">
        <f>SUMIF(Import!$B:$B,$A134,Import!L:L)</f>
        <v>0</v>
      </c>
      <c r="S134" s="99">
        <f>SUMIF(Import!$B:$B,$A134,Import!M:M)</f>
        <v>0</v>
      </c>
      <c r="T134" s="99">
        <f>SUMIF(Import!$B:$B,$A134,Import!N:N)</f>
        <v>0</v>
      </c>
      <c r="U134" s="99">
        <f t="shared" si="117"/>
        <v>0</v>
      </c>
      <c r="V134" s="255" t="str">
        <f t="shared" si="118"/>
        <v>N/A</v>
      </c>
      <c r="W134" s="102" t="s">
        <v>1303</v>
      </c>
      <c r="X134" s="103" t="str">
        <f t="shared" si="101"/>
        <v>OK</v>
      </c>
      <c r="Y134" s="271"/>
      <c r="Z134" s="121"/>
      <c r="AA134" s="121"/>
      <c r="AB134" s="121"/>
      <c r="AC134" s="121"/>
      <c r="AD134" s="121"/>
      <c r="AE134" s="121"/>
      <c r="AF134" s="121"/>
      <c r="AG134" s="121"/>
      <c r="AH134" s="121"/>
      <c r="AI134" s="121"/>
      <c r="AJ134" s="121"/>
      <c r="AK134" s="121"/>
      <c r="AL134" s="121"/>
    </row>
    <row r="135" spans="1:38" s="115" customFormat="1" ht="15.75" customHeight="1">
      <c r="A135" s="555" t="s">
        <v>1304</v>
      </c>
      <c r="B135" s="217" t="str">
        <f t="shared" si="111"/>
        <v>200</v>
      </c>
      <c r="C135" s="217" t="str">
        <f t="shared" si="112"/>
        <v>71</v>
      </c>
      <c r="D135" s="101" t="str">
        <f t="shared" si="113"/>
        <v>712</v>
      </c>
      <c r="E135" s="217" t="str">
        <f t="shared" si="114"/>
        <v>200-71-712</v>
      </c>
      <c r="F135" s="294" t="str">
        <f t="shared" si="115"/>
        <v>52430</v>
      </c>
      <c r="G135" s="295" t="str">
        <f>VLOOKUP(F135,'GL Category'!A:C,3,FALSE)</f>
        <v>Operations &amp; maintenance</v>
      </c>
      <c r="H135" s="98" t="str">
        <f>VLOOKUP(F135,'GL Category'!A:C,2,FALSE)</f>
        <v>METER MAINTENANCE</v>
      </c>
      <c r="I135" s="99">
        <f>SUMIF(Import!$B:$B,$A135,Import!D:D)</f>
        <v>391334.6</v>
      </c>
      <c r="J135" s="99">
        <f>SUMIF(Import!$B:$B,$A135,Import!E:E)</f>
        <v>410362.25</v>
      </c>
      <c r="K135" s="99">
        <f>SUMIF(Import!$B:$B,$A135,Import!F:F)</f>
        <v>366078.51</v>
      </c>
      <c r="L135" s="99">
        <f>SUMIF(Import!$B:$B,$A135,Import!G:G)</f>
        <v>422840.63</v>
      </c>
      <c r="M135" s="99">
        <f>SUMIF(Import!$B:$B,$A135,Import!H:H)</f>
        <v>389143</v>
      </c>
      <c r="N135" s="99">
        <f>SUMIF(Import!$B:$B,$A135,Import!I:I)</f>
        <v>160246.37</v>
      </c>
      <c r="O135" s="99">
        <f>SUMIF(Import!$B:$B,$A135,Import!J:J)</f>
        <v>389143</v>
      </c>
      <c r="P135" s="99">
        <f t="shared" si="116"/>
        <v>0</v>
      </c>
      <c r="Q135" s="99">
        <f>SUMIF(Import!$B:$B,$A135,Import!K:K)</f>
        <v>389143</v>
      </c>
      <c r="R135" s="99">
        <f>SUMIF(Import!$B:$B,$A135,Import!L:L)</f>
        <v>0</v>
      </c>
      <c r="S135" s="99">
        <f>SUMIF(Import!$B:$B,$A135,Import!M:M)</f>
        <v>0</v>
      </c>
      <c r="T135" s="99">
        <f>SUMIF(Import!$B:$B,$A135,Import!N:N)</f>
        <v>389143</v>
      </c>
      <c r="U135" s="99">
        <f t="shared" si="117"/>
        <v>0</v>
      </c>
      <c r="V135" s="255">
        <f t="shared" si="118"/>
        <v>0</v>
      </c>
      <c r="W135" s="102" t="s">
        <v>1304</v>
      </c>
      <c r="X135" s="103" t="str">
        <f t="shared" si="101"/>
        <v>OK</v>
      </c>
      <c r="Y135" s="271"/>
      <c r="Z135" s="121"/>
      <c r="AA135" s="121"/>
      <c r="AB135" s="121"/>
      <c r="AC135" s="121"/>
      <c r="AD135" s="121"/>
      <c r="AE135" s="121"/>
      <c r="AF135" s="121"/>
      <c r="AG135" s="121"/>
      <c r="AH135" s="121"/>
      <c r="AI135" s="121"/>
      <c r="AJ135" s="121"/>
      <c r="AK135" s="121"/>
      <c r="AL135" s="121"/>
    </row>
    <row r="136" spans="1:38" s="115" customFormat="1" ht="15.75" customHeight="1">
      <c r="A136" s="555" t="s">
        <v>1305</v>
      </c>
      <c r="B136" s="217" t="str">
        <f t="shared" si="111"/>
        <v>200</v>
      </c>
      <c r="C136" s="217" t="str">
        <f t="shared" si="112"/>
        <v>71</v>
      </c>
      <c r="D136" s="101" t="str">
        <f t="shared" si="113"/>
        <v>712</v>
      </c>
      <c r="E136" s="217" t="str">
        <f t="shared" si="114"/>
        <v>200-71-712</v>
      </c>
      <c r="F136" s="294" t="str">
        <f t="shared" si="115"/>
        <v>52460</v>
      </c>
      <c r="G136" s="295" t="str">
        <f>VLOOKUP(F136,'GL Category'!A:C,3,FALSE)</f>
        <v>Operations &amp; maintenance</v>
      </c>
      <c r="H136" s="98" t="str">
        <f>VLOOKUP(F136,'GL Category'!A:C,2,FALSE)</f>
        <v>VEHICLE MAINTENANCE</v>
      </c>
      <c r="I136" s="99">
        <f>SUMIF(Import!$B:$B,$A136,Import!D:D)</f>
        <v>3397.89</v>
      </c>
      <c r="J136" s="99">
        <f>SUMIF(Import!$B:$B,$A136,Import!E:E)</f>
        <v>3696.82</v>
      </c>
      <c r="K136" s="99">
        <f>SUMIF(Import!$B:$B,$A136,Import!F:F)</f>
        <v>2914.28</v>
      </c>
      <c r="L136" s="99">
        <f>SUMIF(Import!$B:$B,$A136,Import!G:G)</f>
        <v>782.5</v>
      </c>
      <c r="M136" s="99">
        <f>SUMIF(Import!$B:$B,$A136,Import!H:H)</f>
        <v>0</v>
      </c>
      <c r="N136" s="99">
        <f>SUMIF(Import!$B:$B,$A136,Import!I:I)</f>
        <v>2765.38</v>
      </c>
      <c r="O136" s="99">
        <f>SUMIF(Import!$B:$B,$A136,Import!J:J)</f>
        <v>2850</v>
      </c>
      <c r="P136" s="99">
        <f t="shared" si="116"/>
        <v>2850</v>
      </c>
      <c r="Q136" s="99">
        <f>SUMIF(Import!$B:$B,$A136,Import!K:K)</f>
        <v>0</v>
      </c>
      <c r="R136" s="99">
        <f>SUMIF(Import!$B:$B,$A136,Import!L:L)</f>
        <v>0</v>
      </c>
      <c r="S136" s="99">
        <f>SUMIF(Import!$B:$B,$A136,Import!M:M)</f>
        <v>0</v>
      </c>
      <c r="T136" s="99">
        <f>SUMIF(Import!$B:$B,$A136,Import!N:N)</f>
        <v>0</v>
      </c>
      <c r="U136" s="99">
        <f t="shared" si="117"/>
        <v>0</v>
      </c>
      <c r="V136" s="255" t="str">
        <f t="shared" si="118"/>
        <v>N/A</v>
      </c>
      <c r="W136" s="102" t="s">
        <v>1305</v>
      </c>
      <c r="X136" s="103" t="str">
        <f t="shared" si="101"/>
        <v>OK</v>
      </c>
      <c r="Y136" s="271"/>
      <c r="Z136" s="121"/>
      <c r="AA136" s="121"/>
      <c r="AB136" s="121"/>
      <c r="AC136" s="121"/>
      <c r="AD136" s="121"/>
      <c r="AE136" s="121"/>
      <c r="AF136" s="121"/>
      <c r="AG136" s="121"/>
      <c r="AH136" s="121"/>
      <c r="AI136" s="121"/>
      <c r="AJ136" s="121"/>
      <c r="AK136" s="121"/>
      <c r="AL136" s="121"/>
    </row>
    <row r="137" spans="1:38" s="115" customFormat="1" ht="26.4">
      <c r="A137" s="555"/>
      <c r="B137" s="217"/>
      <c r="C137" s="217"/>
      <c r="D137" s="101"/>
      <c r="E137" s="217"/>
      <c r="F137" s="294"/>
      <c r="G137" s="146"/>
      <c r="H137" s="107" t="str">
        <f>UPPER(G136)&amp;" TOTAL"</f>
        <v>OPERATIONS &amp; MAINTENANCE TOTAL</v>
      </c>
      <c r="I137" s="108">
        <f t="shared" ref="I137" si="119">SUBTOTAL(9,I130:I136)</f>
        <v>406594.5</v>
      </c>
      <c r="J137" s="108">
        <f t="shared" ref="J137:P137" si="120">SUBTOTAL(9,J130:J136)</f>
        <v>423691.98</v>
      </c>
      <c r="K137" s="108">
        <f t="shared" ref="K137" si="121">SUBTOTAL(9,K130:K136)</f>
        <v>383532.64</v>
      </c>
      <c r="L137" s="108">
        <f t="shared" ref="L137" si="122">SUBTOTAL(9,L130:L136)</f>
        <v>437619.58</v>
      </c>
      <c r="M137" s="108">
        <f t="shared" si="120"/>
        <v>406643</v>
      </c>
      <c r="N137" s="108">
        <f t="shared" ref="N137" si="123">SUBTOTAL(9,N130:N136)</f>
        <v>173079.18</v>
      </c>
      <c r="O137" s="108">
        <f t="shared" si="120"/>
        <v>409493</v>
      </c>
      <c r="P137" s="108">
        <f t="shared" si="120"/>
        <v>2850</v>
      </c>
      <c r="Q137" s="108">
        <f t="shared" ref="Q137:T137" si="124">SUBTOTAL(9,Q130:Q136)</f>
        <v>406643</v>
      </c>
      <c r="R137" s="108">
        <f t="shared" si="124"/>
        <v>0</v>
      </c>
      <c r="S137" s="108">
        <f t="shared" si="124"/>
        <v>0</v>
      </c>
      <c r="T137" s="108">
        <f t="shared" si="124"/>
        <v>406643</v>
      </c>
      <c r="U137" s="99">
        <f>T137-M137</f>
        <v>0</v>
      </c>
      <c r="V137" s="259">
        <f>IF(M137=0,"N/A",T137/M137-1)</f>
        <v>0</v>
      </c>
      <c r="W137" s="102"/>
      <c r="X137" s="103" t="str">
        <f t="shared" si="101"/>
        <v>OK</v>
      </c>
      <c r="Y137" s="271"/>
      <c r="Z137" s="121"/>
      <c r="AA137" s="121"/>
      <c r="AB137" s="121"/>
      <c r="AC137" s="121"/>
      <c r="AD137" s="121"/>
      <c r="AE137" s="121"/>
      <c r="AF137" s="121"/>
      <c r="AG137" s="121"/>
      <c r="AH137" s="121"/>
      <c r="AI137" s="121"/>
      <c r="AJ137" s="121"/>
      <c r="AK137" s="121"/>
      <c r="AL137" s="121"/>
    </row>
    <row r="138" spans="1:38" s="115" customFormat="1">
      <c r="A138" s="555"/>
      <c r="B138" s="217"/>
      <c r="C138" s="217"/>
      <c r="D138" s="101"/>
      <c r="E138" s="217"/>
      <c r="F138" s="294"/>
      <c r="G138" s="146"/>
      <c r="H138" s="232"/>
      <c r="I138" s="233"/>
      <c r="J138" s="233"/>
      <c r="K138" s="233"/>
      <c r="L138" s="233"/>
      <c r="M138" s="233"/>
      <c r="N138" s="233"/>
      <c r="O138" s="233"/>
      <c r="P138" s="233"/>
      <c r="Q138" s="233"/>
      <c r="R138" s="233"/>
      <c r="S138" s="233"/>
      <c r="T138" s="233"/>
      <c r="U138" s="233"/>
      <c r="V138" s="233"/>
      <c r="W138" s="102"/>
      <c r="X138" s="103" t="str">
        <f t="shared" si="101"/>
        <v/>
      </c>
      <c r="Y138" s="271"/>
      <c r="Z138" s="121"/>
      <c r="AA138" s="121"/>
      <c r="AB138" s="121"/>
      <c r="AC138" s="121"/>
      <c r="AD138" s="121"/>
      <c r="AE138" s="121"/>
      <c r="AF138" s="121"/>
      <c r="AG138" s="121"/>
      <c r="AH138" s="121"/>
      <c r="AI138" s="121"/>
      <c r="AJ138" s="121"/>
      <c r="AK138" s="121"/>
      <c r="AL138" s="121"/>
    </row>
    <row r="139" spans="1:38" s="115" customFormat="1">
      <c r="A139" s="555" t="s">
        <v>1306</v>
      </c>
      <c r="B139" s="217" t="str">
        <f t="shared" si="111"/>
        <v>200</v>
      </c>
      <c r="C139" s="217" t="str">
        <f t="shared" si="112"/>
        <v>71</v>
      </c>
      <c r="D139" s="101" t="str">
        <f t="shared" si="113"/>
        <v>712</v>
      </c>
      <c r="E139" s="217" t="str">
        <f t="shared" si="114"/>
        <v>200-71-712</v>
      </c>
      <c r="F139" s="294" t="str">
        <f t="shared" si="115"/>
        <v>53510</v>
      </c>
      <c r="G139" s="295" t="str">
        <f>VLOOKUP(F139,'GL Category'!A:C,3,FALSE)</f>
        <v>Services &amp; other</v>
      </c>
      <c r="H139" s="98" t="str">
        <f>VLOOKUP(F139,'GL Category'!A:C,2,FALSE)</f>
        <v>DUES &amp; SUBSCRIPTIONS</v>
      </c>
      <c r="I139" s="99">
        <f>SUMIF(Import!$B:$B,$A139,Import!D:D)</f>
        <v>0</v>
      </c>
      <c r="J139" s="99">
        <f>SUMIF(Import!$B:$B,$A139,Import!E:E)</f>
        <v>0</v>
      </c>
      <c r="K139" s="99">
        <f>SUMIF(Import!$B:$B,$A139,Import!F:F)</f>
        <v>0</v>
      </c>
      <c r="L139" s="99">
        <f>SUMIF(Import!$B:$B,$A139,Import!G:G)</f>
        <v>0</v>
      </c>
      <c r="M139" s="99">
        <f>SUMIF(Import!$B:$B,$A139,Import!H:H)</f>
        <v>0</v>
      </c>
      <c r="N139" s="99">
        <f>SUMIF(Import!$B:$B,$A139,Import!I:I)</f>
        <v>0</v>
      </c>
      <c r="O139" s="99">
        <f>SUMIF(Import!$B:$B,$A139,Import!J:J)</f>
        <v>0</v>
      </c>
      <c r="P139" s="99">
        <f t="shared" ref="P139:P143" si="125">O139-M139</f>
        <v>0</v>
      </c>
      <c r="Q139" s="99">
        <f>SUMIF(Import!$B:$B,$A139,Import!K:K)</f>
        <v>0</v>
      </c>
      <c r="R139" s="99">
        <f>SUMIF(Import!$B:$B,$A139,Import!L:L)</f>
        <v>0</v>
      </c>
      <c r="S139" s="99">
        <f>SUMIF(Import!$B:$B,$A139,Import!M:M)</f>
        <v>0</v>
      </c>
      <c r="T139" s="99">
        <f>SUMIF(Import!$B:$B,$A139,Import!N:N)</f>
        <v>0</v>
      </c>
      <c r="U139" s="99">
        <f t="shared" ref="U139:U143" si="126">T139-M139</f>
        <v>0</v>
      </c>
      <c r="V139" s="255" t="str">
        <f t="shared" ref="V139:V143" si="127">IF(M139=0,"N/A",T139/M139-1)</f>
        <v>N/A</v>
      </c>
      <c r="W139" s="102" t="s">
        <v>1306</v>
      </c>
      <c r="X139" s="103" t="str">
        <f t="shared" si="101"/>
        <v>OK</v>
      </c>
      <c r="Y139" s="271"/>
      <c r="Z139" s="121"/>
      <c r="AA139" s="121"/>
      <c r="AB139" s="121"/>
      <c r="AC139" s="121"/>
      <c r="AD139" s="121"/>
      <c r="AE139" s="121"/>
      <c r="AF139" s="121"/>
      <c r="AG139" s="121"/>
      <c r="AH139" s="121"/>
      <c r="AI139" s="121"/>
      <c r="AJ139" s="121"/>
      <c r="AK139" s="121"/>
      <c r="AL139" s="121"/>
    </row>
    <row r="140" spans="1:38" s="115" customFormat="1">
      <c r="A140" s="555" t="s">
        <v>1307</v>
      </c>
      <c r="B140" s="217" t="str">
        <f t="shared" si="111"/>
        <v>200</v>
      </c>
      <c r="C140" s="217" t="str">
        <f t="shared" si="112"/>
        <v>71</v>
      </c>
      <c r="D140" s="101" t="str">
        <f t="shared" si="113"/>
        <v>712</v>
      </c>
      <c r="E140" s="217" t="str">
        <f t="shared" si="114"/>
        <v>200-71-712</v>
      </c>
      <c r="F140" s="294" t="str">
        <f t="shared" si="115"/>
        <v>53515</v>
      </c>
      <c r="G140" s="295" t="str">
        <f>VLOOKUP(F140,'GL Category'!A:C,3,FALSE)</f>
        <v>Services &amp; other</v>
      </c>
      <c r="H140" s="98" t="str">
        <f>VLOOKUP(F140,'GL Category'!A:C,2,FALSE)</f>
        <v>TRAVEL, TRAINING &amp; EDUCATION</v>
      </c>
      <c r="I140" s="99">
        <f>SUMIF(Import!$B:$B,$A140,Import!D:D)</f>
        <v>0</v>
      </c>
      <c r="J140" s="99">
        <f>SUMIF(Import!$B:$B,$A140,Import!E:E)</f>
        <v>0</v>
      </c>
      <c r="K140" s="99">
        <f>SUMIF(Import!$B:$B,$A140,Import!F:F)</f>
        <v>0</v>
      </c>
      <c r="L140" s="99">
        <f>SUMIF(Import!$B:$B,$A140,Import!G:G)</f>
        <v>0</v>
      </c>
      <c r="M140" s="99">
        <f>SUMIF(Import!$B:$B,$A140,Import!H:H)</f>
        <v>0</v>
      </c>
      <c r="N140" s="99">
        <f>SUMIF(Import!$B:$B,$A140,Import!I:I)</f>
        <v>0</v>
      </c>
      <c r="O140" s="99">
        <f>SUMIF(Import!$B:$B,$A140,Import!J:J)</f>
        <v>0</v>
      </c>
      <c r="P140" s="99">
        <f t="shared" si="125"/>
        <v>0</v>
      </c>
      <c r="Q140" s="99">
        <f>SUMIF(Import!$B:$B,$A140,Import!K:K)</f>
        <v>0</v>
      </c>
      <c r="R140" s="99">
        <f>SUMIF(Import!$B:$B,$A140,Import!L:L)</f>
        <v>0</v>
      </c>
      <c r="S140" s="99">
        <f>SUMIF(Import!$B:$B,$A140,Import!M:M)</f>
        <v>0</v>
      </c>
      <c r="T140" s="99">
        <f>SUMIF(Import!$B:$B,$A140,Import!N:N)</f>
        <v>0</v>
      </c>
      <c r="U140" s="99">
        <f t="shared" si="126"/>
        <v>0</v>
      </c>
      <c r="V140" s="255" t="str">
        <f t="shared" si="127"/>
        <v>N/A</v>
      </c>
      <c r="W140" s="102" t="s">
        <v>1307</v>
      </c>
      <c r="X140" s="103" t="str">
        <f t="shared" si="101"/>
        <v>OK</v>
      </c>
      <c r="Y140" s="271"/>
      <c r="Z140" s="121"/>
      <c r="AA140" s="121"/>
      <c r="AB140" s="121"/>
      <c r="AC140" s="121"/>
      <c r="AD140" s="121"/>
      <c r="AE140" s="121"/>
      <c r="AF140" s="121"/>
      <c r="AG140" s="121"/>
      <c r="AH140" s="121"/>
      <c r="AI140" s="121"/>
      <c r="AJ140" s="121"/>
      <c r="AK140" s="121"/>
      <c r="AL140" s="121"/>
    </row>
    <row r="141" spans="1:38" s="115" customFormat="1">
      <c r="A141" s="555" t="s">
        <v>1308</v>
      </c>
      <c r="B141" s="217" t="str">
        <f t="shared" si="111"/>
        <v>200</v>
      </c>
      <c r="C141" s="217" t="str">
        <f t="shared" si="112"/>
        <v>71</v>
      </c>
      <c r="D141" s="101" t="str">
        <f t="shared" si="113"/>
        <v>712</v>
      </c>
      <c r="E141" s="217" t="str">
        <f t="shared" si="114"/>
        <v>200-71-712</v>
      </c>
      <c r="F141" s="294" t="str">
        <f t="shared" si="115"/>
        <v>53599</v>
      </c>
      <c r="G141" s="295" t="str">
        <f>VLOOKUP(F141,'GL Category'!A:C,3,FALSE)</f>
        <v>Services &amp; other</v>
      </c>
      <c r="H141" s="98" t="str">
        <f>VLOOKUP(F141,'GL Category'!A:C,2,FALSE)</f>
        <v>MISCELLANEOUS SERVICES</v>
      </c>
      <c r="I141" s="99">
        <f>SUMIF(Import!$B:$B,$A141,Import!D:D)</f>
        <v>0</v>
      </c>
      <c r="J141" s="99">
        <f>SUMIF(Import!$B:$B,$A141,Import!E:E)</f>
        <v>0</v>
      </c>
      <c r="K141" s="99">
        <f>SUMIF(Import!$B:$B,$A141,Import!F:F)</f>
        <v>0</v>
      </c>
      <c r="L141" s="99">
        <f>SUMIF(Import!$B:$B,$A141,Import!G:G)</f>
        <v>0</v>
      </c>
      <c r="M141" s="99">
        <f>SUMIF(Import!$B:$B,$A141,Import!H:H)</f>
        <v>0</v>
      </c>
      <c r="N141" s="99">
        <f>SUMIF(Import!$B:$B,$A141,Import!I:I)</f>
        <v>0</v>
      </c>
      <c r="O141" s="99">
        <f>SUMIF(Import!$B:$B,$A141,Import!J:J)</f>
        <v>0</v>
      </c>
      <c r="P141" s="99">
        <f t="shared" si="125"/>
        <v>0</v>
      </c>
      <c r="Q141" s="99">
        <f>SUMIF(Import!$B:$B,$A141,Import!K:K)</f>
        <v>0</v>
      </c>
      <c r="R141" s="99">
        <f>SUMIF(Import!$B:$B,$A141,Import!L:L)</f>
        <v>0</v>
      </c>
      <c r="S141" s="99">
        <f>SUMIF(Import!$B:$B,$A141,Import!M:M)</f>
        <v>0</v>
      </c>
      <c r="T141" s="99">
        <f>SUMIF(Import!$B:$B,$A141,Import!N:N)</f>
        <v>0</v>
      </c>
      <c r="U141" s="99">
        <f t="shared" si="126"/>
        <v>0</v>
      </c>
      <c r="V141" s="255" t="str">
        <f t="shared" si="127"/>
        <v>N/A</v>
      </c>
      <c r="W141" s="102" t="s">
        <v>1308</v>
      </c>
      <c r="X141" s="103" t="str">
        <f t="shared" si="101"/>
        <v>OK</v>
      </c>
      <c r="Y141" s="271"/>
      <c r="Z141" s="121"/>
      <c r="AA141" s="121"/>
      <c r="AB141" s="121"/>
      <c r="AC141" s="121"/>
      <c r="AD141" s="121"/>
      <c r="AE141" s="121"/>
      <c r="AF141" s="121"/>
      <c r="AG141" s="121"/>
      <c r="AH141" s="121"/>
      <c r="AI141" s="121"/>
      <c r="AJ141" s="121"/>
      <c r="AK141" s="121"/>
      <c r="AL141" s="121"/>
    </row>
    <row r="142" spans="1:38" s="115" customFormat="1">
      <c r="A142" s="555" t="s">
        <v>1309</v>
      </c>
      <c r="B142" s="217" t="str">
        <f t="shared" si="111"/>
        <v>200</v>
      </c>
      <c r="C142" s="217" t="str">
        <f t="shared" si="112"/>
        <v>71</v>
      </c>
      <c r="D142" s="101" t="str">
        <f t="shared" si="113"/>
        <v>712</v>
      </c>
      <c r="E142" s="217" t="str">
        <f t="shared" si="114"/>
        <v>200-71-712</v>
      </c>
      <c r="F142" s="294" t="str">
        <f t="shared" si="115"/>
        <v>55175</v>
      </c>
      <c r="G142" s="295" t="str">
        <f>VLOOKUP(F142,'GL Category'!A:C,3,FALSE)</f>
        <v>Services &amp; other</v>
      </c>
      <c r="H142" s="98" t="str">
        <f>VLOOKUP(F142,'GL Category'!A:C,2,FALSE)</f>
        <v>VEHICLE/EQUIP LEASE EXP-CITY</v>
      </c>
      <c r="I142" s="99">
        <f>SUMIF(Import!$B:$B,$A142,Import!D:D)</f>
        <v>18350</v>
      </c>
      <c r="J142" s="99">
        <f>SUMIF(Import!$B:$B,$A142,Import!E:E)</f>
        <v>20066</v>
      </c>
      <c r="K142" s="99">
        <f>SUMIF(Import!$B:$B,$A142,Import!F:F)</f>
        <v>23765</v>
      </c>
      <c r="L142" s="99">
        <f>SUMIF(Import!$B:$B,$A142,Import!G:G)</f>
        <v>26173</v>
      </c>
      <c r="M142" s="99">
        <f>SUMIF(Import!$B:$B,$A142,Import!H:H)</f>
        <v>27581</v>
      </c>
      <c r="N142" s="99">
        <f>SUMIF(Import!$B:$B,$A142,Import!I:I)</f>
        <v>20685.75</v>
      </c>
      <c r="O142" s="99">
        <f>SUMIF(Import!$B:$B,$A142,Import!J:J)</f>
        <v>27581</v>
      </c>
      <c r="P142" s="99">
        <f t="shared" si="125"/>
        <v>0</v>
      </c>
      <c r="Q142" s="99">
        <f>SUMIF(Import!$B:$B,$A142,Import!K:K)</f>
        <v>27743</v>
      </c>
      <c r="R142" s="99">
        <f>SUMIF(Import!$B:$B,$A142,Import!L:L)</f>
        <v>0</v>
      </c>
      <c r="S142" s="99">
        <f>SUMIF(Import!$B:$B,$A142,Import!M:M)</f>
        <v>0</v>
      </c>
      <c r="T142" s="99">
        <f>SUMIF(Import!$B:$B,$A142,Import!N:N)</f>
        <v>27743</v>
      </c>
      <c r="U142" s="99">
        <f t="shared" si="126"/>
        <v>162</v>
      </c>
      <c r="V142" s="255">
        <f t="shared" si="127"/>
        <v>5.8736086436315116E-3</v>
      </c>
      <c r="W142" s="102" t="s">
        <v>1309</v>
      </c>
      <c r="X142" s="103" t="str">
        <f t="shared" si="101"/>
        <v>OK</v>
      </c>
      <c r="Y142" s="271"/>
      <c r="Z142" s="121"/>
      <c r="AA142" s="121"/>
      <c r="AB142" s="121"/>
      <c r="AC142" s="121"/>
      <c r="AD142" s="121"/>
      <c r="AE142" s="121"/>
      <c r="AF142" s="121"/>
      <c r="AG142" s="121"/>
      <c r="AH142" s="121"/>
      <c r="AI142" s="121"/>
      <c r="AJ142" s="121"/>
      <c r="AK142" s="121"/>
      <c r="AL142" s="121"/>
    </row>
    <row r="143" spans="1:38" s="115" customFormat="1">
      <c r="A143" s="555" t="s">
        <v>1310</v>
      </c>
      <c r="B143" s="217" t="str">
        <f t="shared" si="111"/>
        <v>200</v>
      </c>
      <c r="C143" s="217" t="str">
        <f t="shared" si="112"/>
        <v>71</v>
      </c>
      <c r="D143" s="101" t="str">
        <f t="shared" si="113"/>
        <v>712</v>
      </c>
      <c r="E143" s="217" t="str">
        <f t="shared" si="114"/>
        <v>200-71-712</v>
      </c>
      <c r="F143" s="294" t="str">
        <f t="shared" si="115"/>
        <v>55119</v>
      </c>
      <c r="G143" s="295" t="str">
        <f>VLOOKUP(F143,'GL Category'!A:C,3,FALSE)</f>
        <v>Services &amp; other</v>
      </c>
      <c r="H143" s="98" t="str">
        <f>VLOOKUP(F143,'GL Category'!A:C,2,FALSE)</f>
        <v>OFFICE EQUIP LEASE EXP-CITY</v>
      </c>
      <c r="I143" s="99">
        <f>SUMIF(Import!$B:$B,$A143,Import!D:D)</f>
        <v>27001</v>
      </c>
      <c r="J143" s="99">
        <f>SUMIF(Import!$B:$B,$A143,Import!E:E)</f>
        <v>25917</v>
      </c>
      <c r="K143" s="99">
        <f>SUMIF(Import!$B:$B,$A143,Import!F:F)</f>
        <v>25183</v>
      </c>
      <c r="L143" s="99">
        <f>SUMIF(Import!$B:$B,$A143,Import!G:G)</f>
        <v>25889</v>
      </c>
      <c r="M143" s="99">
        <f>SUMIF(Import!$B:$B,$A143,Import!H:H)</f>
        <v>30220</v>
      </c>
      <c r="N143" s="99">
        <f>SUMIF(Import!$B:$B,$A143,Import!I:I)</f>
        <v>22665</v>
      </c>
      <c r="O143" s="99">
        <f>SUMIF(Import!$B:$B,$A143,Import!J:J)</f>
        <v>30220</v>
      </c>
      <c r="P143" s="99">
        <f t="shared" si="125"/>
        <v>0</v>
      </c>
      <c r="Q143" s="99">
        <f>SUMIF(Import!$B:$B,$A143,Import!K:K)</f>
        <v>32657</v>
      </c>
      <c r="R143" s="99">
        <f>SUMIF(Import!$B:$B,$A143,Import!L:L)</f>
        <v>0</v>
      </c>
      <c r="S143" s="99">
        <f>SUMIF(Import!$B:$B,$A143,Import!M:M)</f>
        <v>0</v>
      </c>
      <c r="T143" s="99">
        <f>SUMIF(Import!$B:$B,$A143,Import!N:N)</f>
        <v>32657</v>
      </c>
      <c r="U143" s="99">
        <f t="shared" si="126"/>
        <v>2437</v>
      </c>
      <c r="V143" s="255">
        <f t="shared" si="127"/>
        <v>8.0641958967571092E-2</v>
      </c>
      <c r="W143" s="102" t="s">
        <v>1310</v>
      </c>
      <c r="X143" s="103" t="str">
        <f t="shared" si="101"/>
        <v>OK</v>
      </c>
      <c r="Y143" s="271"/>
      <c r="Z143" s="121"/>
      <c r="AA143" s="121"/>
      <c r="AB143" s="121"/>
      <c r="AC143" s="121"/>
      <c r="AD143" s="121"/>
      <c r="AE143" s="121"/>
      <c r="AF143" s="121"/>
      <c r="AG143" s="121"/>
      <c r="AH143" s="121"/>
      <c r="AI143" s="121"/>
      <c r="AJ143" s="121"/>
      <c r="AK143" s="121"/>
      <c r="AL143" s="121"/>
    </row>
    <row r="144" spans="1:38" s="115" customFormat="1">
      <c r="A144" s="555"/>
      <c r="B144" s="217"/>
      <c r="C144" s="217"/>
      <c r="D144" s="101"/>
      <c r="E144" s="217"/>
      <c r="F144" s="294"/>
      <c r="G144" s="146"/>
      <c r="H144" s="107" t="str">
        <f>UPPER(G143)&amp;" TOTAL"</f>
        <v>SERVICES &amp; OTHER TOTAL</v>
      </c>
      <c r="I144" s="108">
        <f t="shared" ref="I144" si="128">SUBTOTAL(9,I139:I143)</f>
        <v>45351</v>
      </c>
      <c r="J144" s="108">
        <f t="shared" ref="J144:T144" si="129">SUBTOTAL(9,J139:J143)</f>
        <v>45983</v>
      </c>
      <c r="K144" s="108">
        <f t="shared" ref="K144" si="130">SUBTOTAL(9,K139:K143)</f>
        <v>48948</v>
      </c>
      <c r="L144" s="108">
        <f t="shared" ref="L144" si="131">SUBTOTAL(9,L139:L143)</f>
        <v>52062</v>
      </c>
      <c r="M144" s="108">
        <f t="shared" si="129"/>
        <v>57801</v>
      </c>
      <c r="N144" s="108">
        <f t="shared" si="129"/>
        <v>43350.75</v>
      </c>
      <c r="O144" s="108">
        <f t="shared" si="129"/>
        <v>57801</v>
      </c>
      <c r="P144" s="108">
        <f t="shared" si="129"/>
        <v>0</v>
      </c>
      <c r="Q144" s="108">
        <f t="shared" si="129"/>
        <v>60400</v>
      </c>
      <c r="R144" s="108">
        <f t="shared" si="129"/>
        <v>0</v>
      </c>
      <c r="S144" s="108">
        <f t="shared" si="129"/>
        <v>0</v>
      </c>
      <c r="T144" s="108">
        <f t="shared" si="129"/>
        <v>60400</v>
      </c>
      <c r="U144" s="99">
        <f>T144-M144</f>
        <v>2599</v>
      </c>
      <c r="V144" s="259">
        <f>IF(M144=0,"N/A",T144/M144-1)</f>
        <v>4.496461998927348E-2</v>
      </c>
      <c r="W144" s="102"/>
      <c r="X144" s="103" t="str">
        <f t="shared" si="101"/>
        <v>OK</v>
      </c>
      <c r="Y144" s="271"/>
      <c r="Z144" s="121"/>
      <c r="AA144" s="121"/>
      <c r="AB144" s="121"/>
      <c r="AC144" s="121"/>
      <c r="AD144" s="121"/>
      <c r="AE144" s="121"/>
      <c r="AF144" s="121"/>
      <c r="AG144" s="121"/>
      <c r="AH144" s="121"/>
      <c r="AI144" s="121"/>
      <c r="AJ144" s="121"/>
      <c r="AK144" s="121"/>
      <c r="AL144" s="121"/>
    </row>
    <row r="145" spans="1:38" s="115" customFormat="1">
      <c r="A145" s="555"/>
      <c r="B145" s="217"/>
      <c r="C145" s="217"/>
      <c r="D145" s="101"/>
      <c r="E145" s="217"/>
      <c r="F145" s="294"/>
      <c r="G145" s="146"/>
      <c r="H145" s="98"/>
      <c r="I145" s="218"/>
      <c r="J145" s="218"/>
      <c r="K145" s="218"/>
      <c r="L145" s="218"/>
      <c r="M145" s="218"/>
      <c r="N145" s="226"/>
      <c r="O145" s="226"/>
      <c r="P145" s="226"/>
      <c r="Q145" s="111"/>
      <c r="R145" s="111"/>
      <c r="S145" s="111"/>
      <c r="T145" s="111"/>
      <c r="U145" s="111"/>
      <c r="V145" s="111"/>
      <c r="W145" s="102"/>
      <c r="X145" s="103" t="str">
        <f t="shared" si="101"/>
        <v/>
      </c>
      <c r="Y145" s="271"/>
      <c r="Z145" s="121"/>
      <c r="AA145" s="121"/>
      <c r="AB145" s="121"/>
      <c r="AC145" s="121"/>
      <c r="AD145" s="121"/>
      <c r="AE145" s="121"/>
      <c r="AF145" s="121"/>
      <c r="AG145" s="121"/>
      <c r="AH145" s="121"/>
      <c r="AI145" s="121"/>
      <c r="AJ145" s="121"/>
      <c r="AK145" s="121"/>
      <c r="AL145" s="121"/>
    </row>
    <row r="146" spans="1:38" s="115" customFormat="1">
      <c r="A146" s="555"/>
      <c r="B146" s="217"/>
      <c r="C146" s="217"/>
      <c r="D146" s="101"/>
      <c r="E146" s="217"/>
      <c r="F146" s="294"/>
      <c r="G146" s="146"/>
      <c r="H146" s="114" t="s">
        <v>763</v>
      </c>
      <c r="I146" s="221">
        <f t="shared" ref="I146" si="132">SUBTOTAL(9,I120:I144)</f>
        <v>762245.2699999999</v>
      </c>
      <c r="J146" s="221">
        <f t="shared" ref="J146:T146" si="133">SUBTOTAL(9,J120:J144)</f>
        <v>788095.55999999994</v>
      </c>
      <c r="K146" s="221">
        <f t="shared" ref="K146" si="134">SUBTOTAL(9,K120:K144)</f>
        <v>763207.25</v>
      </c>
      <c r="L146" s="221">
        <f t="shared" ref="L146" si="135">SUBTOTAL(9,L120:L144)</f>
        <v>833976.58</v>
      </c>
      <c r="M146" s="221">
        <f t="shared" si="133"/>
        <v>799289</v>
      </c>
      <c r="N146" s="221">
        <f t="shared" si="133"/>
        <v>466203.41000000003</v>
      </c>
      <c r="O146" s="221">
        <f t="shared" si="133"/>
        <v>795347</v>
      </c>
      <c r="P146" s="221">
        <f t="shared" si="133"/>
        <v>-3942</v>
      </c>
      <c r="Q146" s="221">
        <f t="shared" si="133"/>
        <v>803765</v>
      </c>
      <c r="R146" s="221">
        <f t="shared" si="133"/>
        <v>0</v>
      </c>
      <c r="S146" s="221">
        <f t="shared" si="133"/>
        <v>0</v>
      </c>
      <c r="T146" s="221">
        <f t="shared" si="133"/>
        <v>803765</v>
      </c>
      <c r="U146" s="99">
        <f>T146-M146</f>
        <v>4476</v>
      </c>
      <c r="V146" s="259">
        <f>IF(M146=0,"N/A",T146/M146-1)</f>
        <v>5.5999769795405108E-3</v>
      </c>
      <c r="W146" s="102"/>
      <c r="X146" s="103" t="str">
        <f t="shared" si="101"/>
        <v>OK</v>
      </c>
      <c r="Y146" s="271"/>
      <c r="Z146" s="121"/>
      <c r="AA146" s="121"/>
      <c r="AB146" s="121"/>
      <c r="AC146" s="121"/>
      <c r="AD146" s="121"/>
      <c r="AE146" s="121"/>
      <c r="AF146" s="121"/>
      <c r="AG146" s="121"/>
      <c r="AH146" s="121"/>
      <c r="AI146" s="121"/>
      <c r="AJ146" s="121"/>
      <c r="AK146" s="121"/>
      <c r="AL146" s="121"/>
    </row>
    <row r="147" spans="1:38" s="115" customFormat="1">
      <c r="A147" s="555"/>
      <c r="B147" s="217"/>
      <c r="C147" s="217"/>
      <c r="D147" s="101"/>
      <c r="E147" s="217"/>
      <c r="F147" s="294"/>
      <c r="G147" s="146"/>
      <c r="H147" s="89"/>
      <c r="I147" s="223"/>
      <c r="J147" s="223"/>
      <c r="K147" s="223"/>
      <c r="L147" s="223"/>
      <c r="M147" s="223"/>
      <c r="N147" s="223"/>
      <c r="O147" s="223"/>
      <c r="P147" s="223"/>
      <c r="Q147" s="223"/>
      <c r="R147" s="223"/>
      <c r="S147" s="223"/>
      <c r="T147" s="223"/>
      <c r="U147" s="223"/>
      <c r="V147" s="223"/>
      <c r="W147" s="102"/>
      <c r="X147" s="103"/>
      <c r="Y147" s="271"/>
      <c r="Z147" s="121"/>
      <c r="AA147" s="121"/>
      <c r="AB147" s="121"/>
      <c r="AC147" s="121"/>
      <c r="AD147" s="121"/>
      <c r="AE147" s="121"/>
      <c r="AF147" s="121"/>
      <c r="AG147" s="121"/>
      <c r="AH147" s="121"/>
      <c r="AI147" s="121"/>
      <c r="AJ147" s="121"/>
      <c r="AK147" s="121"/>
      <c r="AL147" s="121"/>
    </row>
    <row r="148" spans="1:38" s="115" customFormat="1" ht="14.4" thickBot="1">
      <c r="A148" s="555"/>
      <c r="B148" s="217"/>
      <c r="C148" s="217"/>
      <c r="D148" s="101"/>
      <c r="E148" s="217"/>
      <c r="F148" s="294"/>
      <c r="G148" s="146"/>
      <c r="H148" s="98"/>
      <c r="I148" s="218"/>
      <c r="J148" s="218"/>
      <c r="K148" s="218"/>
      <c r="L148" s="218"/>
      <c r="M148" s="218"/>
      <c r="N148" s="219"/>
      <c r="O148" s="219"/>
      <c r="P148" s="219"/>
      <c r="Q148" s="100"/>
      <c r="R148" s="100"/>
      <c r="S148" s="100"/>
      <c r="T148" s="100"/>
      <c r="U148" s="100"/>
      <c r="V148" s="111"/>
      <c r="W148" s="102"/>
      <c r="X148" s="103" t="str">
        <f t="shared" ref="X148:X179" si="136">IF(Q148="","",IF(T148=SUM(Q148:S148),"OK","NO"))</f>
        <v/>
      </c>
      <c r="Y148" s="271"/>
      <c r="Z148" s="121"/>
      <c r="AA148" s="121"/>
      <c r="AB148" s="121"/>
      <c r="AC148" s="121"/>
      <c r="AD148" s="121"/>
      <c r="AE148" s="121"/>
      <c r="AF148" s="121"/>
      <c r="AG148" s="121"/>
      <c r="AH148" s="121"/>
      <c r="AI148" s="121"/>
      <c r="AJ148" s="121"/>
      <c r="AK148" s="121"/>
      <c r="AL148" s="121"/>
    </row>
    <row r="149" spans="1:38" s="115" customFormat="1" ht="24" customHeight="1" thickBot="1">
      <c r="A149" s="555"/>
      <c r="B149" s="217"/>
      <c r="C149" s="217"/>
      <c r="D149" s="101"/>
      <c r="E149" s="217"/>
      <c r="F149" s="294"/>
      <c r="G149" s="146"/>
      <c r="H149" s="668" t="s">
        <v>667</v>
      </c>
      <c r="I149" s="669"/>
      <c r="J149" s="669"/>
      <c r="K149" s="669"/>
      <c r="L149" s="669"/>
      <c r="M149" s="669"/>
      <c r="N149" s="669"/>
      <c r="O149" s="669"/>
      <c r="P149" s="669"/>
      <c r="Q149" s="669"/>
      <c r="R149" s="669"/>
      <c r="S149" s="669"/>
      <c r="T149" s="670"/>
      <c r="U149" s="247"/>
      <c r="V149" s="261"/>
      <c r="W149" s="102"/>
      <c r="X149" s="103" t="str">
        <f t="shared" si="136"/>
        <v/>
      </c>
      <c r="Y149" s="271"/>
      <c r="Z149" s="121"/>
      <c r="AA149" s="121"/>
      <c r="AB149" s="121"/>
      <c r="AC149" s="121"/>
      <c r="AD149" s="121"/>
      <c r="AE149" s="121"/>
      <c r="AF149" s="121"/>
      <c r="AG149" s="121"/>
      <c r="AH149" s="121"/>
      <c r="AI149" s="121"/>
      <c r="AJ149" s="121"/>
      <c r="AK149" s="121"/>
      <c r="AL149" s="121"/>
    </row>
    <row r="150" spans="1:38" s="115" customFormat="1" ht="22.8">
      <c r="A150" s="555"/>
      <c r="B150" s="217"/>
      <c r="C150" s="217"/>
      <c r="D150" s="101"/>
      <c r="E150" s="217"/>
      <c r="F150" s="294"/>
      <c r="G150" s="146"/>
      <c r="H150" s="225"/>
      <c r="I150" s="225"/>
      <c r="J150" s="225"/>
      <c r="K150" s="225"/>
      <c r="L150" s="225"/>
      <c r="M150" s="225"/>
      <c r="N150" s="225"/>
      <c r="O150" s="225"/>
      <c r="P150" s="225"/>
      <c r="Q150" s="225"/>
      <c r="R150" s="225"/>
      <c r="S150" s="225"/>
      <c r="T150" s="225"/>
      <c r="U150" s="225"/>
      <c r="V150" s="260"/>
      <c r="W150" s="102"/>
      <c r="X150" s="103" t="str">
        <f t="shared" si="136"/>
        <v/>
      </c>
      <c r="Y150" s="271"/>
      <c r="Z150" s="121"/>
      <c r="AA150" s="121"/>
      <c r="AB150" s="121"/>
      <c r="AC150" s="121"/>
      <c r="AD150" s="121"/>
      <c r="AE150" s="121"/>
      <c r="AF150" s="121"/>
      <c r="AG150" s="121"/>
      <c r="AH150" s="121"/>
      <c r="AI150" s="121"/>
      <c r="AJ150" s="121"/>
      <c r="AK150" s="121"/>
      <c r="AL150" s="121"/>
    </row>
    <row r="151" spans="1:38" s="115" customFormat="1">
      <c r="A151" s="555"/>
      <c r="B151" s="217"/>
      <c r="C151" s="217">
        <v>71</v>
      </c>
      <c r="D151" s="101"/>
      <c r="E151" s="217"/>
      <c r="F151" s="294" t="s">
        <v>129</v>
      </c>
      <c r="G151" s="295" t="str">
        <f>VLOOKUP(F151,'GL Category'!A:C,3,FALSE)</f>
        <v>Personnel services</v>
      </c>
      <c r="H151" s="98" t="str">
        <f>VLOOKUP(F151,'GL Category'!A:C,2,FALSE)</f>
        <v>EXEMPT SALARIES</v>
      </c>
      <c r="I151" s="99">
        <f>SUMIFS(I$1:I120,$C$1:$C120,$C151,$F$1:$F120,$F151)</f>
        <v>146238.06</v>
      </c>
      <c r="J151" s="99">
        <f>SUMIFS(J$1:J120,$C$1:$C120,$C151,$F$1:$F120,$F151)</f>
        <v>179955.98</v>
      </c>
      <c r="K151" s="99">
        <f>SUMIFS(K$1:K120,$C$1:$C120,$C151,$F$1:$F120,$F151)</f>
        <v>209762.88</v>
      </c>
      <c r="L151" s="99">
        <f>SUMIFS(L$1:L120,$C$1:$C120,$C151,$F$1:$F120,$F151)</f>
        <v>217288.98</v>
      </c>
      <c r="M151" s="99">
        <f>SUMIFS(M$1:M120,$C$1:$C120,$C151,$F$1:$F120,$F151)</f>
        <v>225455</v>
      </c>
      <c r="N151" s="99">
        <f>SUMIFS(N$1:N120,$C$1:$C120,$C151,$F$1:$F120,$F151)</f>
        <v>177542.9</v>
      </c>
      <c r="O151" s="99">
        <f>SUMIFS(O$1:O120,$C$1:$C120,$C151,$F$1:$F120,$F151)</f>
        <v>242051</v>
      </c>
      <c r="P151" s="99">
        <f>SUMIFS(P$1:P117,$C$1:$C117,$C151,$F$1:$F117,$F151)</f>
        <v>16596</v>
      </c>
      <c r="Q151" s="99">
        <f>SUMIFS(Q$1:Q120,$C$1:$C120,$C151,$F$1:$F120,$F151)</f>
        <v>234621</v>
      </c>
      <c r="R151" s="99">
        <f>SUMIFS(R$1:R120,$C$1:$C120,$C151,$F$1:$F120,$F151)</f>
        <v>0</v>
      </c>
      <c r="S151" s="99">
        <f>SUMIFS(S$1:S120,$C$1:$C120,$C151,$F$1:$F120,$F151)</f>
        <v>0</v>
      </c>
      <c r="T151" s="99">
        <f>SUMIFS(T$1:T120,$C$1:$C120,$C151,$F$1:$F120,$F151)</f>
        <v>234621</v>
      </c>
      <c r="U151" s="99">
        <f t="shared" ref="U151:U160" si="137">T151-M151</f>
        <v>9166</v>
      </c>
      <c r="V151" s="259">
        <f t="shared" ref="V151:V160" si="138">IF(M151=0,"N/A",T151/M151-1)</f>
        <v>4.0655563194428979E-2</v>
      </c>
      <c r="W151" s="102"/>
      <c r="X151" s="103" t="str">
        <f t="shared" si="136"/>
        <v>OK</v>
      </c>
      <c r="Y151" s="271"/>
      <c r="Z151" s="121"/>
      <c r="AA151" s="121"/>
      <c r="AB151" s="121"/>
      <c r="AC151" s="121"/>
      <c r="AD151" s="121"/>
      <c r="AE151" s="121"/>
      <c r="AF151" s="121"/>
      <c r="AG151" s="121"/>
      <c r="AH151" s="121"/>
      <c r="AI151" s="121"/>
      <c r="AJ151" s="121"/>
      <c r="AK151" s="121"/>
      <c r="AL151" s="121"/>
    </row>
    <row r="152" spans="1:38" s="115" customFormat="1">
      <c r="A152" s="555"/>
      <c r="B152" s="217"/>
      <c r="C152" s="217">
        <v>71</v>
      </c>
      <c r="D152" s="101"/>
      <c r="E152" s="217"/>
      <c r="F152" s="294" t="s">
        <v>131</v>
      </c>
      <c r="G152" s="295" t="str">
        <f>VLOOKUP(F152,'GL Category'!A:C,3,FALSE)</f>
        <v>Personnel services</v>
      </c>
      <c r="H152" s="98" t="str">
        <f>VLOOKUP(F152,'GL Category'!A:C,2,FALSE)</f>
        <v>NON EXEMPT SALARIES</v>
      </c>
      <c r="I152" s="99">
        <f>SUMIFS(I$1:I121,$C$1:$C121,$C152,$F$1:$F121,$F152)</f>
        <v>388686.41000000003</v>
      </c>
      <c r="J152" s="99">
        <f>SUMIFS(J$1:J121,$C$1:$C121,$C152,$F$1:$F121,$F152)</f>
        <v>363972.51</v>
      </c>
      <c r="K152" s="99">
        <f>SUMIFS(K$1:K121,$C$1:$C121,$C152,$F$1:$F121,$F152)</f>
        <v>307641.58</v>
      </c>
      <c r="L152" s="99">
        <f>SUMIFS(L$1:L121,$C$1:$C121,$C152,$F$1:$F121,$F152)</f>
        <v>316116.64</v>
      </c>
      <c r="M152" s="99">
        <f>SUMIFS(M$1:M121,$C$1:$C121,$C152,$F$1:$F121,$F152)</f>
        <v>315888</v>
      </c>
      <c r="N152" s="99">
        <f>SUMIFS(N$1:N121,$C$1:$C121,$C152,$F$1:$F121,$F152)</f>
        <v>242003.71</v>
      </c>
      <c r="O152" s="99">
        <f>SUMIFS(O$1:O121,$C$1:$C121,$C152,$F$1:$F121,$F152)</f>
        <v>316409</v>
      </c>
      <c r="P152" s="99">
        <f>SUMIFS(P$1:P118,$C$1:$C118,$C152,$F$1:$F118,$F152)</f>
        <v>785</v>
      </c>
      <c r="Q152" s="99">
        <f>SUMIFS(Q$1:Q121,$C$1:$C121,$C152,$F$1:$F121,$F152)</f>
        <v>326898</v>
      </c>
      <c r="R152" s="99">
        <f>SUMIFS(R$1:R121,$C$1:$C121,$C152,$F$1:$F121,$F152)</f>
        <v>0</v>
      </c>
      <c r="S152" s="99">
        <f>SUMIFS(S$1:S121,$C$1:$C121,$C152,$F$1:$F121,$F152)</f>
        <v>0</v>
      </c>
      <c r="T152" s="99">
        <f>SUMIFS(T$1:T121,$C$1:$C121,$C152,$F$1:$F121,$F152)</f>
        <v>326898</v>
      </c>
      <c r="U152" s="99">
        <f t="shared" si="137"/>
        <v>11010</v>
      </c>
      <c r="V152" s="259">
        <f t="shared" si="138"/>
        <v>3.4854125512840062E-2</v>
      </c>
      <c r="W152" s="102"/>
      <c r="X152" s="103" t="str">
        <f t="shared" si="136"/>
        <v>OK</v>
      </c>
      <c r="Y152" s="271"/>
      <c r="Z152" s="121"/>
      <c r="AA152" s="121"/>
      <c r="AB152" s="121"/>
      <c r="AC152" s="121"/>
      <c r="AD152" s="121"/>
      <c r="AE152" s="121"/>
      <c r="AF152" s="121"/>
      <c r="AG152" s="121"/>
      <c r="AH152" s="121"/>
      <c r="AI152" s="121"/>
      <c r="AJ152" s="121"/>
      <c r="AK152" s="121"/>
      <c r="AL152" s="121"/>
    </row>
    <row r="153" spans="1:38" s="115" customFormat="1">
      <c r="A153" s="555"/>
      <c r="B153" s="217"/>
      <c r="C153" s="217">
        <v>71</v>
      </c>
      <c r="D153" s="101"/>
      <c r="E153" s="217"/>
      <c r="F153" s="294" t="s">
        <v>133</v>
      </c>
      <c r="G153" s="295" t="str">
        <f>VLOOKUP(F153,'GL Category'!A:C,3,FALSE)</f>
        <v>Personnel services</v>
      </c>
      <c r="H153" s="98" t="str">
        <f>VLOOKUP(F153,'GL Category'!A:C,2,FALSE)</f>
        <v>OVERTIME</v>
      </c>
      <c r="I153" s="99">
        <f>SUMIFS(I$1:I122,$C$1:$C122,$C153,$F$1:$F122,$F153)</f>
        <v>905.87</v>
      </c>
      <c r="J153" s="99">
        <f>SUMIFS(J$1:J122,$C$1:$C122,$C153,$F$1:$F122,$F153)</f>
        <v>1620.42</v>
      </c>
      <c r="K153" s="99">
        <f>SUMIFS(K$1:K122,$C$1:$C122,$C153,$F$1:$F122,$F153)</f>
        <v>3117.7300000000005</v>
      </c>
      <c r="L153" s="99">
        <f>SUMIFS(L$1:L122,$C$1:$C122,$C153,$F$1:$F122,$F153)</f>
        <v>2127.85</v>
      </c>
      <c r="M153" s="99">
        <f>SUMIFS(M$1:M122,$C$1:$C122,$C153,$F$1:$F122,$F153)</f>
        <v>3000</v>
      </c>
      <c r="N153" s="99">
        <f>SUMIFS(N$1:N122,$C$1:$C122,$C153,$F$1:$F122,$F153)</f>
        <v>736.94999999999993</v>
      </c>
      <c r="O153" s="99">
        <f>SUMIFS(O$1:O122,$C$1:$C122,$C153,$F$1:$F122,$F153)</f>
        <v>1130</v>
      </c>
      <c r="P153" s="99">
        <f>SUMIFS(P$1:P119,$C$1:$C119,$C153,$F$1:$F119,$F153)</f>
        <v>-955</v>
      </c>
      <c r="Q153" s="99">
        <f>SUMIFS(Q$1:Q122,$C$1:$C122,$C153,$F$1:$F122,$F153)</f>
        <v>3000</v>
      </c>
      <c r="R153" s="99">
        <f>SUMIFS(R$1:R122,$C$1:$C122,$C153,$F$1:$F122,$F153)</f>
        <v>0</v>
      </c>
      <c r="S153" s="99">
        <f>SUMIFS(S$1:S122,$C$1:$C122,$C153,$F$1:$F122,$F153)</f>
        <v>0</v>
      </c>
      <c r="T153" s="99">
        <f>SUMIFS(T$1:T122,$C$1:$C122,$C153,$F$1:$F122,$F153)</f>
        <v>3000</v>
      </c>
      <c r="U153" s="99">
        <f t="shared" si="137"/>
        <v>0</v>
      </c>
      <c r="V153" s="259">
        <f t="shared" si="138"/>
        <v>0</v>
      </c>
      <c r="W153" s="102"/>
      <c r="X153" s="103" t="str">
        <f t="shared" si="136"/>
        <v>OK</v>
      </c>
      <c r="Y153" s="271"/>
      <c r="Z153" s="121"/>
      <c r="AA153" s="121"/>
      <c r="AB153" s="121"/>
      <c r="AC153" s="121"/>
      <c r="AD153" s="121"/>
      <c r="AE153" s="121"/>
      <c r="AF153" s="121"/>
      <c r="AG153" s="121"/>
      <c r="AH153" s="121"/>
      <c r="AI153" s="121"/>
      <c r="AJ153" s="121"/>
      <c r="AK153" s="121"/>
      <c r="AL153" s="121"/>
    </row>
    <row r="154" spans="1:38" s="115" customFormat="1">
      <c r="A154" s="555"/>
      <c r="B154" s="217"/>
      <c r="C154" s="217">
        <v>71</v>
      </c>
      <c r="D154" s="101"/>
      <c r="E154" s="217"/>
      <c r="F154" s="294" t="s">
        <v>136</v>
      </c>
      <c r="G154" s="295" t="str">
        <f>VLOOKUP(F154,'GL Category'!A:C,3,FALSE)</f>
        <v>Personnel services</v>
      </c>
      <c r="H154" s="98" t="str">
        <f>VLOOKUP(F154,'GL Category'!A:C,2,FALSE)</f>
        <v>LONGEVITY PAY</v>
      </c>
      <c r="I154" s="99">
        <f>SUMIFS(I$1:I123,$C$1:$C123,$C154,$F$1:$F123,$F154)</f>
        <v>6245</v>
      </c>
      <c r="J154" s="99">
        <f>SUMIFS(J$1:J123,$C$1:$C123,$C154,$F$1:$F123,$F154)</f>
        <v>6785</v>
      </c>
      <c r="K154" s="99">
        <f>SUMIFS(K$1:K123,$C$1:$C123,$C154,$F$1:$F123,$F154)</f>
        <v>7760</v>
      </c>
      <c r="L154" s="99">
        <f>SUMIFS(L$1:L123,$C$1:$C123,$C154,$F$1:$F123,$F154)</f>
        <v>5595</v>
      </c>
      <c r="M154" s="99">
        <f>SUMIFS(M$1:M123,$C$1:$C123,$C154,$F$1:$F123,$F154)</f>
        <v>4698</v>
      </c>
      <c r="N154" s="99">
        <f>SUMIFS(N$1:N123,$C$1:$C123,$C154,$F$1:$F123,$F154)</f>
        <v>4655</v>
      </c>
      <c r="O154" s="99">
        <f>SUMIFS(O$1:O123,$C$1:$C123,$C154,$F$1:$F123,$F154)</f>
        <v>4655</v>
      </c>
      <c r="P154" s="99">
        <f>SUMIFS(P$1:P120,$C$1:$C120,$C154,$F$1:$F120,$F154)</f>
        <v>-12</v>
      </c>
      <c r="Q154" s="99">
        <f>SUMIFS(Q$1:Q123,$C$1:$C123,$C154,$F$1:$F123,$F154)</f>
        <v>5645</v>
      </c>
      <c r="R154" s="99">
        <f>SUMIFS(R$1:R123,$C$1:$C123,$C154,$F$1:$F123,$F154)</f>
        <v>0</v>
      </c>
      <c r="S154" s="99">
        <f>SUMIFS(S$1:S123,$C$1:$C123,$C154,$F$1:$F123,$F154)</f>
        <v>0</v>
      </c>
      <c r="T154" s="99">
        <f>SUMIFS(T$1:T123,$C$1:$C123,$C154,$F$1:$F123,$F154)</f>
        <v>5645</v>
      </c>
      <c r="U154" s="99">
        <f t="shared" si="137"/>
        <v>947</v>
      </c>
      <c r="V154" s="259">
        <f t="shared" si="138"/>
        <v>0.20157513835674745</v>
      </c>
      <c r="W154" s="102"/>
      <c r="X154" s="103" t="str">
        <f t="shared" si="136"/>
        <v>OK</v>
      </c>
      <c r="Y154" s="271"/>
      <c r="Z154" s="121"/>
      <c r="AA154" s="121"/>
      <c r="AB154" s="121"/>
      <c r="AC154" s="121"/>
      <c r="AD154" s="121"/>
      <c r="AE154" s="121"/>
      <c r="AF154" s="121"/>
      <c r="AG154" s="121"/>
      <c r="AH154" s="121"/>
      <c r="AI154" s="121"/>
      <c r="AJ154" s="121"/>
      <c r="AK154" s="121"/>
      <c r="AL154" s="121"/>
    </row>
    <row r="155" spans="1:38" s="115" customFormat="1">
      <c r="A155" s="555"/>
      <c r="B155" s="217"/>
      <c r="C155" s="217">
        <v>71</v>
      </c>
      <c r="D155" s="101"/>
      <c r="E155" s="217"/>
      <c r="F155" s="294" t="s">
        <v>138</v>
      </c>
      <c r="G155" s="295" t="str">
        <f>VLOOKUP(F155,'GL Category'!A:C,3,FALSE)</f>
        <v>Personnel services</v>
      </c>
      <c r="H155" s="98" t="str">
        <f>VLOOKUP(F155,'GL Category'!A:C,2,FALSE)</f>
        <v>INCENTIVE/CERTIFICATION PAY</v>
      </c>
      <c r="I155" s="99">
        <f>SUMIFS(I$1:I124,$C$1:$C124,$C155,$F$1:$F124,$F155)</f>
        <v>905.35</v>
      </c>
      <c r="J155" s="99">
        <f>SUMIFS(J$1:J124,$C$1:$C124,$C155,$F$1:$F124,$F155)</f>
        <v>902.86</v>
      </c>
      <c r="K155" s="99">
        <f>SUMIFS(K$1:K124,$C$1:$C124,$C155,$F$1:$F124,$F155)</f>
        <v>902.5</v>
      </c>
      <c r="L155" s="99">
        <f>SUMIFS(L$1:L124,$C$1:$C124,$C155,$F$1:$F124,$F155)</f>
        <v>903</v>
      </c>
      <c r="M155" s="99">
        <f>SUMIFS(M$1:M124,$C$1:$C124,$C155,$F$1:$F124,$F155)</f>
        <v>900</v>
      </c>
      <c r="N155" s="99">
        <f>SUMIFS(N$1:N124,$C$1:$C124,$C155,$F$1:$F124,$F155)</f>
        <v>672</v>
      </c>
      <c r="O155" s="99">
        <f>SUMIFS(O$1:O124,$C$1:$C124,$C155,$F$1:$F124,$F155)</f>
        <v>1242</v>
      </c>
      <c r="P155" s="99">
        <f>SUMIFS(P$1:P121,$C$1:$C121,$C155,$F$1:$F121,$F155)</f>
        <v>0</v>
      </c>
      <c r="Q155" s="99">
        <f>SUMIFS(Q$1:Q124,$C$1:$C124,$C155,$F$1:$F124,$F155)</f>
        <v>900</v>
      </c>
      <c r="R155" s="99">
        <f>SUMIFS(R$1:R124,$C$1:$C124,$C155,$F$1:$F124,$F155)</f>
        <v>0</v>
      </c>
      <c r="S155" s="99">
        <f>SUMIFS(S$1:S124,$C$1:$C124,$C155,$F$1:$F124,$F155)</f>
        <v>0</v>
      </c>
      <c r="T155" s="99">
        <f>SUMIFS(T$1:T124,$C$1:$C124,$C155,$F$1:$F124,$F155)</f>
        <v>900</v>
      </c>
      <c r="U155" s="99">
        <f t="shared" si="137"/>
        <v>0</v>
      </c>
      <c r="V155" s="259">
        <f t="shared" si="138"/>
        <v>0</v>
      </c>
      <c r="W155" s="102"/>
      <c r="X155" s="103" t="str">
        <f t="shared" si="136"/>
        <v>OK</v>
      </c>
      <c r="Y155" s="271"/>
      <c r="Z155" s="121"/>
      <c r="AA155" s="121"/>
      <c r="AB155" s="121"/>
      <c r="AC155" s="121"/>
      <c r="AD155" s="121"/>
      <c r="AE155" s="121"/>
      <c r="AF155" s="121"/>
      <c r="AG155" s="121"/>
      <c r="AH155" s="121"/>
      <c r="AI155" s="121"/>
      <c r="AJ155" s="121"/>
      <c r="AK155" s="121"/>
      <c r="AL155" s="121"/>
    </row>
    <row r="156" spans="1:38" s="115" customFormat="1">
      <c r="A156" s="555"/>
      <c r="B156" s="217"/>
      <c r="C156" s="217">
        <v>71</v>
      </c>
      <c r="D156" s="101"/>
      <c r="E156" s="217"/>
      <c r="F156" s="294" t="s">
        <v>140</v>
      </c>
      <c r="G156" s="295" t="str">
        <f>VLOOKUP(F156,'GL Category'!A:C,3,FALSE)</f>
        <v>Personnel services</v>
      </c>
      <c r="H156" s="98" t="str">
        <f>VLOOKUP(F156,'GL Category'!A:C,2,FALSE)</f>
        <v>SOCIAL SECURITY</v>
      </c>
      <c r="I156" s="99">
        <f>SUMIFS(I$1:I125,$C$1:$C125,$C156,$F$1:$F125,$F156)</f>
        <v>38270.33</v>
      </c>
      <c r="J156" s="99">
        <f>SUMIFS(J$1:J125,$C$1:$C125,$C156,$F$1:$F125,$F156)</f>
        <v>38835.339999999997</v>
      </c>
      <c r="K156" s="99">
        <f>SUMIFS(K$1:K125,$C$1:$C125,$C156,$F$1:$F125,$F156)</f>
        <v>37409.440000000002</v>
      </c>
      <c r="L156" s="99">
        <f>SUMIFS(L$1:L125,$C$1:$C125,$C156,$F$1:$F125,$F156)</f>
        <v>38667.1</v>
      </c>
      <c r="M156" s="99">
        <f>SUMIFS(M$1:M125,$C$1:$C125,$C156,$F$1:$F125,$F156)</f>
        <v>42140</v>
      </c>
      <c r="N156" s="99">
        <f>SUMIFS(N$1:N125,$C$1:$C125,$C156,$F$1:$F125,$F156)</f>
        <v>30794.73</v>
      </c>
      <c r="O156" s="99">
        <f>SUMIFS(O$1:O125,$C$1:$C125,$C156,$F$1:$F125,$F156)</f>
        <v>41853</v>
      </c>
      <c r="P156" s="99">
        <f>SUMIFS(P$1:P122,$C$1:$C122,$C156,$F$1:$F122,$F156)</f>
        <v>636</v>
      </c>
      <c r="Q156" s="99">
        <f>SUMIFS(Q$1:Q125,$C$1:$C125,$C156,$F$1:$F125,$F156)</f>
        <v>43760</v>
      </c>
      <c r="R156" s="99">
        <f>SUMIFS(R$1:R125,$C$1:$C125,$C156,$F$1:$F125,$F156)</f>
        <v>0</v>
      </c>
      <c r="S156" s="99">
        <f>SUMIFS(S$1:S125,$C$1:$C125,$C156,$F$1:$F125,$F156)</f>
        <v>0</v>
      </c>
      <c r="T156" s="99">
        <f>SUMIFS(T$1:T125,$C$1:$C125,$C156,$F$1:$F125,$F156)</f>
        <v>43760</v>
      </c>
      <c r="U156" s="99">
        <f t="shared" si="137"/>
        <v>1620</v>
      </c>
      <c r="V156" s="259">
        <f t="shared" si="138"/>
        <v>3.8443284290460289E-2</v>
      </c>
      <c r="W156" s="102"/>
      <c r="X156" s="103" t="str">
        <f t="shared" si="136"/>
        <v>OK</v>
      </c>
      <c r="Y156" s="271"/>
      <c r="Z156" s="121"/>
      <c r="AA156" s="121"/>
      <c r="AB156" s="121"/>
      <c r="AC156" s="121"/>
      <c r="AD156" s="121"/>
      <c r="AE156" s="121"/>
      <c r="AF156" s="121"/>
      <c r="AG156" s="121"/>
      <c r="AH156" s="121"/>
      <c r="AI156" s="121"/>
      <c r="AJ156" s="121"/>
      <c r="AK156" s="121"/>
      <c r="AL156" s="121"/>
    </row>
    <row r="157" spans="1:38" s="115" customFormat="1">
      <c r="A157" s="555"/>
      <c r="B157" s="217"/>
      <c r="C157" s="217">
        <v>71</v>
      </c>
      <c r="D157" s="101"/>
      <c r="E157" s="217"/>
      <c r="F157" s="294" t="s">
        <v>141</v>
      </c>
      <c r="G157" s="295" t="str">
        <f>VLOOKUP(F157,'GL Category'!A:C,3,FALSE)</f>
        <v>Personnel services</v>
      </c>
      <c r="H157" s="98" t="str">
        <f>VLOOKUP(F157,'GL Category'!A:C,2,FALSE)</f>
        <v>HEALTH/LIFE INSURANCE</v>
      </c>
      <c r="I157" s="99">
        <f>SUMIFS(I$1:I126,$C$1:$C126,$C157,$F$1:$F126,$F157)</f>
        <v>166620.34999999998</v>
      </c>
      <c r="J157" s="99">
        <f>SUMIFS(J$1:J126,$C$1:$C126,$C157,$F$1:$F126,$F157)</f>
        <v>170591.78</v>
      </c>
      <c r="K157" s="99">
        <f>SUMIFS(K$1:K126,$C$1:$C126,$C157,$F$1:$F126,$F157)</f>
        <v>172746.64</v>
      </c>
      <c r="L157" s="99">
        <f>SUMIFS(L$1:L126,$C$1:$C126,$C157,$F$1:$F126,$F157)</f>
        <v>158918.19</v>
      </c>
      <c r="M157" s="99">
        <f>SUMIFS(M$1:M126,$C$1:$C126,$C157,$F$1:$F126,$F157)</f>
        <v>153243</v>
      </c>
      <c r="N157" s="99">
        <f>SUMIFS(N$1:N126,$C$1:$C126,$C157,$F$1:$F126,$F157)</f>
        <v>110126.2</v>
      </c>
      <c r="O157" s="99">
        <f>SUMIFS(O$1:O126,$C$1:$C126,$C157,$F$1:$F126,$F157)</f>
        <v>146601</v>
      </c>
      <c r="P157" s="99">
        <f>SUMIFS(P$1:P123,$C$1:$C123,$C157,$F$1:$F123,$F157)</f>
        <v>-1411</v>
      </c>
      <c r="Q157" s="99">
        <f>SUMIFS(Q$1:Q126,$C$1:$C126,$C157,$F$1:$F126,$F157)</f>
        <v>137401</v>
      </c>
      <c r="R157" s="99">
        <f>SUMIFS(R$1:R126,$C$1:$C126,$C157,$F$1:$F126,$F157)</f>
        <v>0</v>
      </c>
      <c r="S157" s="99">
        <f>SUMIFS(S$1:S126,$C$1:$C126,$C157,$F$1:$F126,$F157)</f>
        <v>0</v>
      </c>
      <c r="T157" s="99">
        <f>SUMIFS(T$1:T126,$C$1:$C126,$C157,$F$1:$F126,$F157)</f>
        <v>137401</v>
      </c>
      <c r="U157" s="99">
        <f t="shared" si="137"/>
        <v>-15842</v>
      </c>
      <c r="V157" s="259">
        <f t="shared" si="138"/>
        <v>-0.10337829460399495</v>
      </c>
      <c r="W157" s="102"/>
      <c r="X157" s="103" t="str">
        <f t="shared" si="136"/>
        <v>OK</v>
      </c>
      <c r="Y157" s="271"/>
      <c r="Z157" s="121"/>
      <c r="AA157" s="121"/>
      <c r="AB157" s="121"/>
      <c r="AC157" s="121"/>
      <c r="AD157" s="121"/>
      <c r="AE157" s="121"/>
      <c r="AF157" s="121"/>
      <c r="AG157" s="121"/>
      <c r="AH157" s="121"/>
      <c r="AI157" s="121"/>
      <c r="AJ157" s="121"/>
      <c r="AK157" s="121"/>
      <c r="AL157" s="121"/>
    </row>
    <row r="158" spans="1:38" s="115" customFormat="1">
      <c r="A158" s="555"/>
      <c r="B158" s="217"/>
      <c r="C158" s="217">
        <v>71</v>
      </c>
      <c r="D158" s="101"/>
      <c r="E158" s="217"/>
      <c r="F158" s="294" t="s">
        <v>143</v>
      </c>
      <c r="G158" s="295" t="str">
        <f>VLOOKUP(F158,'GL Category'!A:C,3,FALSE)</f>
        <v>Personnel services</v>
      </c>
      <c r="H158" s="98" t="str">
        <f>VLOOKUP(F158,'GL Category'!A:C,2,FALSE)</f>
        <v>WORKER COMPENSATION</v>
      </c>
      <c r="I158" s="99">
        <f>SUMIFS(I$1:I127,$C$1:$C127,$C158,$F$1:$F127,$F158)</f>
        <v>1666.56</v>
      </c>
      <c r="J158" s="99">
        <f>SUMIFS(J$1:J127,$C$1:$C127,$C158,$F$1:$F127,$F158)</f>
        <v>1525.02</v>
      </c>
      <c r="K158" s="99">
        <f>SUMIFS(K$1:K127,$C$1:$C127,$C158,$F$1:$F127,$F158)</f>
        <v>1728.3999999999999</v>
      </c>
      <c r="L158" s="99">
        <f>SUMIFS(L$1:L127,$C$1:$C127,$C158,$F$1:$F127,$F158)</f>
        <v>3022.1000000000004</v>
      </c>
      <c r="M158" s="99">
        <f>SUMIFS(M$1:M127,$C$1:$C127,$C158,$F$1:$F127,$F158)</f>
        <v>3712</v>
      </c>
      <c r="N158" s="99">
        <f>SUMIFS(N$1:N127,$C$1:$C127,$C158,$F$1:$F127,$F158)</f>
        <v>3708.97</v>
      </c>
      <c r="O158" s="99">
        <f>SUMIFS(O$1:O127,$C$1:$C127,$C158,$F$1:$F127,$F158)</f>
        <v>3709</v>
      </c>
      <c r="P158" s="99">
        <f>SUMIFS(P$1:P124,$C$1:$C124,$C158,$F$1:$F124,$F158)</f>
        <v>0</v>
      </c>
      <c r="Q158" s="99">
        <f>SUMIFS(Q$1:Q127,$C$1:$C127,$C158,$F$1:$F127,$F158)</f>
        <v>3612</v>
      </c>
      <c r="R158" s="99">
        <f>SUMIFS(R$1:R127,$C$1:$C127,$C158,$F$1:$F127,$F158)</f>
        <v>0</v>
      </c>
      <c r="S158" s="99">
        <f>SUMIFS(S$1:S127,$C$1:$C127,$C158,$F$1:$F127,$F158)</f>
        <v>0</v>
      </c>
      <c r="T158" s="99">
        <f>SUMIFS(T$1:T127,$C$1:$C127,$C158,$F$1:$F127,$F158)</f>
        <v>3612</v>
      </c>
      <c r="U158" s="99">
        <f t="shared" si="137"/>
        <v>-100</v>
      </c>
      <c r="V158" s="259">
        <f t="shared" si="138"/>
        <v>-2.6939655172413812E-2</v>
      </c>
      <c r="W158" s="102"/>
      <c r="X158" s="103" t="str">
        <f t="shared" si="136"/>
        <v>OK</v>
      </c>
      <c r="Y158" s="271"/>
      <c r="Z158" s="121"/>
      <c r="AA158" s="121"/>
      <c r="AB158" s="121"/>
      <c r="AC158" s="121"/>
      <c r="AD158" s="121"/>
      <c r="AE158" s="121"/>
      <c r="AF158" s="121"/>
      <c r="AG158" s="121"/>
      <c r="AH158" s="121"/>
      <c r="AI158" s="121"/>
      <c r="AJ158" s="121"/>
      <c r="AK158" s="121"/>
      <c r="AL158" s="121"/>
    </row>
    <row r="159" spans="1:38" s="115" customFormat="1">
      <c r="A159" s="555"/>
      <c r="B159" s="217"/>
      <c r="C159" s="217">
        <v>71</v>
      </c>
      <c r="D159" s="101"/>
      <c r="E159" s="217"/>
      <c r="F159" s="294" t="s">
        <v>147</v>
      </c>
      <c r="G159" s="295" t="str">
        <f>VLOOKUP(F159,'GL Category'!A:C,3,FALSE)</f>
        <v>Personnel services</v>
      </c>
      <c r="H159" s="98" t="str">
        <f>VLOOKUP(F159,'GL Category'!A:C,2,FALSE)</f>
        <v>RETIREMENT</v>
      </c>
      <c r="I159" s="99">
        <f>SUMIFS(I$1:I128,$C$1:$C128,$C159,$F$1:$F128,$F159)</f>
        <v>86565.41</v>
      </c>
      <c r="J159" s="99">
        <f>SUMIFS(J$1:J128,$C$1:$C128,$C159,$F$1:$F128,$F159)</f>
        <v>89075.17</v>
      </c>
      <c r="K159" s="99">
        <f>SUMIFS(K$1:K128,$C$1:$C128,$C159,$F$1:$F128,$F159)</f>
        <v>85681.01</v>
      </c>
      <c r="L159" s="99">
        <f>SUMIFS(L$1:L128,$C$1:$C128,$C159,$F$1:$F128,$F159)</f>
        <v>87644.47</v>
      </c>
      <c r="M159" s="99">
        <f>SUMIFS(M$1:M128,$C$1:$C128,$C159,$F$1:$F128,$F159)</f>
        <v>90960</v>
      </c>
      <c r="N159" s="99">
        <f>SUMIFS(N$1:N128,$C$1:$C128,$C159,$F$1:$F128,$F159)</f>
        <v>70626.11</v>
      </c>
      <c r="O159" s="99">
        <f>SUMIFS(O$1:O128,$C$1:$C128,$C159,$F$1:$F128,$F159)</f>
        <v>94052</v>
      </c>
      <c r="P159" s="99">
        <f>SUMIFS(P$1:P125,$C$1:$C125,$C159,$F$1:$F125,$F159)</f>
        <v>2859</v>
      </c>
      <c r="Q159" s="99">
        <f>SUMIFS(Q$1:Q128,$C$1:$C128,$C159,$F$1:$F128,$F159)</f>
        <v>96738</v>
      </c>
      <c r="R159" s="99">
        <f>SUMIFS(R$1:R128,$C$1:$C128,$C159,$F$1:$F128,$F159)</f>
        <v>0</v>
      </c>
      <c r="S159" s="99">
        <f>SUMIFS(S$1:S128,$C$1:$C128,$C159,$F$1:$F128,$F159)</f>
        <v>0</v>
      </c>
      <c r="T159" s="99">
        <f>SUMIFS(T$1:T128,$C$1:$C128,$C159,$F$1:$F128,$F159)</f>
        <v>96738</v>
      </c>
      <c r="U159" s="99">
        <f t="shared" si="137"/>
        <v>5778</v>
      </c>
      <c r="V159" s="259">
        <f t="shared" si="138"/>
        <v>6.3522427440633189E-2</v>
      </c>
      <c r="W159" s="102"/>
      <c r="X159" s="103" t="str">
        <f t="shared" si="136"/>
        <v>OK</v>
      </c>
      <c r="Y159" s="271"/>
      <c r="Z159" s="121"/>
      <c r="AA159" s="121"/>
      <c r="AB159" s="121"/>
      <c r="AC159" s="121"/>
      <c r="AD159" s="121"/>
      <c r="AE159" s="121"/>
      <c r="AF159" s="121"/>
      <c r="AG159" s="121"/>
      <c r="AH159" s="121"/>
      <c r="AI159" s="121"/>
      <c r="AJ159" s="121"/>
      <c r="AK159" s="121"/>
      <c r="AL159" s="121"/>
    </row>
    <row r="160" spans="1:38" s="115" customFormat="1">
      <c r="A160" s="555"/>
      <c r="B160" s="217"/>
      <c r="C160" s="217"/>
      <c r="D160" s="101"/>
      <c r="E160" s="217"/>
      <c r="F160" s="294"/>
      <c r="G160" s="146"/>
      <c r="H160" s="107" t="str">
        <f>UPPER(G159)&amp;" TOTAL"</f>
        <v>PERSONNEL SERVICES TOTAL</v>
      </c>
      <c r="I160" s="108">
        <f t="shared" ref="I160" si="139">SUBTOTAL(9,I151:I159)</f>
        <v>836103.34</v>
      </c>
      <c r="J160" s="108">
        <f t="shared" ref="J160:S160" si="140">SUBTOTAL(9,J151:J159)</f>
        <v>853264.08000000007</v>
      </c>
      <c r="K160" s="108">
        <f t="shared" ref="K160" si="141">SUBTOTAL(9,K151:K159)</f>
        <v>826750.17999999993</v>
      </c>
      <c r="L160" s="108">
        <f t="shared" ref="L160" si="142">SUBTOTAL(9,L151:L159)</f>
        <v>830283.33</v>
      </c>
      <c r="M160" s="108">
        <f t="shared" si="140"/>
        <v>839996</v>
      </c>
      <c r="N160" s="108">
        <f t="shared" ref="N160" si="143">SUBTOTAL(9,N151:N159)</f>
        <v>640866.56999999995</v>
      </c>
      <c r="O160" s="108">
        <f t="shared" si="140"/>
        <v>851702</v>
      </c>
      <c r="P160" s="108">
        <f t="shared" si="140"/>
        <v>18498</v>
      </c>
      <c r="Q160" s="108">
        <f t="shared" si="140"/>
        <v>852575</v>
      </c>
      <c r="R160" s="108">
        <f t="shared" si="140"/>
        <v>0</v>
      </c>
      <c r="S160" s="108">
        <f t="shared" si="140"/>
        <v>0</v>
      </c>
      <c r="T160" s="108">
        <f>SUBTOTAL(9,T151:T159)</f>
        <v>852575</v>
      </c>
      <c r="U160" s="99">
        <f t="shared" si="137"/>
        <v>12579</v>
      </c>
      <c r="V160" s="259">
        <f t="shared" si="138"/>
        <v>1.4975071309863308E-2</v>
      </c>
      <c r="W160" s="102"/>
      <c r="X160" s="103" t="str">
        <f t="shared" si="136"/>
        <v>OK</v>
      </c>
      <c r="Y160" s="271"/>
      <c r="Z160" s="121"/>
      <c r="AA160" s="121"/>
      <c r="AB160" s="121"/>
      <c r="AC160" s="121"/>
      <c r="AD160" s="121"/>
      <c r="AE160" s="121"/>
      <c r="AF160" s="121"/>
      <c r="AG160" s="121"/>
      <c r="AH160" s="121"/>
      <c r="AI160" s="121"/>
      <c r="AJ160" s="121"/>
      <c r="AK160" s="121"/>
      <c r="AL160" s="121"/>
    </row>
    <row r="161" spans="1:38" s="115" customFormat="1">
      <c r="A161" s="555"/>
      <c r="B161" s="217"/>
      <c r="C161" s="217"/>
      <c r="D161" s="101"/>
      <c r="E161" s="217"/>
      <c r="F161" s="294"/>
      <c r="G161" s="146"/>
      <c r="H161" s="98"/>
      <c r="I161" s="228"/>
      <c r="J161" s="228"/>
      <c r="K161" s="228"/>
      <c r="L161" s="228"/>
      <c r="M161" s="228"/>
      <c r="N161" s="229"/>
      <c r="O161" s="229"/>
      <c r="P161" s="229"/>
      <c r="Q161" s="230"/>
      <c r="R161" s="231"/>
      <c r="S161" s="231"/>
      <c r="T161" s="230"/>
      <c r="U161" s="230"/>
      <c r="V161" s="230"/>
      <c r="W161" s="102"/>
      <c r="X161" s="103" t="str">
        <f t="shared" si="136"/>
        <v/>
      </c>
      <c r="Y161" s="271"/>
      <c r="Z161" s="121"/>
      <c r="AA161" s="121"/>
      <c r="AB161" s="121"/>
      <c r="AC161" s="121"/>
      <c r="AD161" s="121"/>
      <c r="AE161" s="121"/>
      <c r="AF161" s="121"/>
      <c r="AG161" s="121"/>
      <c r="AH161" s="121"/>
      <c r="AI161" s="121"/>
      <c r="AJ161" s="121"/>
      <c r="AK161" s="121"/>
      <c r="AL161" s="121"/>
    </row>
    <row r="162" spans="1:38" s="115" customFormat="1" ht="15" customHeight="1">
      <c r="A162" s="555"/>
      <c r="B162" s="217"/>
      <c r="C162" s="217">
        <v>71</v>
      </c>
      <c r="D162" s="101"/>
      <c r="E162" s="217"/>
      <c r="F162" s="294" t="s">
        <v>148</v>
      </c>
      <c r="G162" s="295" t="str">
        <f>VLOOKUP(F162,'GL Category'!A:C,3,FALSE)</f>
        <v>Operations &amp; maintenance</v>
      </c>
      <c r="H162" s="98" t="str">
        <f>VLOOKUP(F162,'GL Category'!A:C,2,FALSE)</f>
        <v>OFFICE SUPPLIES</v>
      </c>
      <c r="I162" s="99">
        <f>SUMIFS(I$1:I131,$C$1:$C131,$C162,$F$1:$F131,$F162)</f>
        <v>1690.07</v>
      </c>
      <c r="J162" s="99">
        <f>SUMIFS(J$1:J131,$C$1:$C131,$C162,$F$1:$F131,$F162)</f>
        <v>10005.4</v>
      </c>
      <c r="K162" s="99">
        <f>SUMIFS(K$1:K131,$C$1:$C131,$C162,$F$1:$F131,$F162)</f>
        <v>1200.3699999999999</v>
      </c>
      <c r="L162" s="99">
        <f>SUMIFS(L$1:L131,$C$1:$C131,$C162,$F$1:$F131,$F162)</f>
        <v>726.76</v>
      </c>
      <c r="M162" s="99">
        <f>SUMIFS(M$1:M131,$C$1:$C131,$C162,$F$1:$F131,$F162)</f>
        <v>1000</v>
      </c>
      <c r="N162" s="99">
        <f>SUMIFS(N$1:N131,$C$1:$C131,$C162,$F$1:$F131,$F162)</f>
        <v>591.54</v>
      </c>
      <c r="O162" s="99">
        <f>SUMIFS(O$1:O131,$C$1:$C131,$C162,$F$1:$F131,$F162)</f>
        <v>1000</v>
      </c>
      <c r="P162" s="99">
        <f>SUMIFS(P$1:P128,$C$1:$C128,$C162,$F$1:$F128,$F162)</f>
        <v>0</v>
      </c>
      <c r="Q162" s="99">
        <f>SUMIFS(Q$1:Q131,$C$1:$C131,$C162,$F$1:$F131,$F162)</f>
        <v>1000</v>
      </c>
      <c r="R162" s="99">
        <f>SUMIFS(R$1:R131,$C$1:$C131,$C162,$F$1:$F131,$F162)</f>
        <v>0</v>
      </c>
      <c r="S162" s="99">
        <f>SUMIFS(S$1:S131,$C$1:$C131,$C162,$F$1:$F131,$F162)</f>
        <v>0</v>
      </c>
      <c r="T162" s="99">
        <f>SUMIFS(T$1:T131,$C$1:$C131,$C162,$F$1:$F131,$F162)</f>
        <v>1000</v>
      </c>
      <c r="U162" s="99">
        <f t="shared" ref="U162:U176" si="144">T162-M162</f>
        <v>0</v>
      </c>
      <c r="V162" s="259">
        <f t="shared" ref="V162:V176" si="145">IF(M162=0,"N/A",T162/M162-1)</f>
        <v>0</v>
      </c>
      <c r="W162" s="102"/>
      <c r="X162" s="103" t="str">
        <f t="shared" si="136"/>
        <v>OK</v>
      </c>
      <c r="Y162" s="271"/>
      <c r="Z162" s="121"/>
      <c r="AA162" s="121"/>
      <c r="AB162" s="121"/>
      <c r="AC162" s="121"/>
      <c r="AD162" s="121"/>
      <c r="AE162" s="121"/>
      <c r="AF162" s="121"/>
      <c r="AG162" s="121"/>
      <c r="AH162" s="121"/>
      <c r="AI162" s="121"/>
      <c r="AJ162" s="121"/>
      <c r="AK162" s="121"/>
      <c r="AL162" s="121"/>
    </row>
    <row r="163" spans="1:38" s="115" customFormat="1" ht="15" customHeight="1">
      <c r="A163" s="555"/>
      <c r="B163" s="217"/>
      <c r="C163" s="217">
        <v>71</v>
      </c>
      <c r="D163" s="101"/>
      <c r="E163" s="217"/>
      <c r="F163" s="294" t="s">
        <v>150</v>
      </c>
      <c r="G163" s="295" t="str">
        <f>VLOOKUP(F163,'GL Category'!A:C,3,FALSE)</f>
        <v>Operations &amp; maintenance</v>
      </c>
      <c r="H163" s="98" t="str">
        <f>VLOOKUP(F163,'GL Category'!A:C,2,FALSE)</f>
        <v>POSTAGE SUPPLIES</v>
      </c>
      <c r="I163" s="99">
        <f>SUMIFS(I$1:I132,$C$1:$C132,$C163,$F$1:$F132,$F163)</f>
        <v>65564.84</v>
      </c>
      <c r="J163" s="99">
        <f>SUMIFS(J$1:J132,$C$1:$C132,$C163,$F$1:$F132,$F163)</f>
        <v>65824.11</v>
      </c>
      <c r="K163" s="99">
        <f>SUMIFS(K$1:K132,$C$1:$C132,$C163,$F$1:$F132,$F163)</f>
        <v>68314.53</v>
      </c>
      <c r="L163" s="99">
        <f>SUMIFS(L$1:L132,$C$1:$C132,$C163,$F$1:$F132,$F163)</f>
        <v>71120.31</v>
      </c>
      <c r="M163" s="99">
        <f>SUMIFS(M$1:M132,$C$1:$C132,$C163,$F$1:$F132,$F163)</f>
        <v>71810</v>
      </c>
      <c r="N163" s="99">
        <f>SUMIFS(N$1:N132,$C$1:$C132,$C163,$F$1:$F132,$F163)</f>
        <v>49663.519999999997</v>
      </c>
      <c r="O163" s="99">
        <f>SUMIFS(O$1:O132,$C$1:$C132,$C163,$F$1:$F132,$F163)</f>
        <v>71810</v>
      </c>
      <c r="P163" s="99">
        <f>SUMIFS(P$1:P129,$C$1:$C129,$C163,$F$1:$F129,$F163)</f>
        <v>0</v>
      </c>
      <c r="Q163" s="99">
        <f>SUMIFS(Q$1:Q132,$C$1:$C132,$C163,$F$1:$F132,$F163)</f>
        <v>71810</v>
      </c>
      <c r="R163" s="99">
        <f>SUMIFS(R$1:R132,$C$1:$C132,$C163,$F$1:$F132,$F163)</f>
        <v>0</v>
      </c>
      <c r="S163" s="99">
        <f>SUMIFS(S$1:S132,$C$1:$C132,$C163,$F$1:$F132,$F163)</f>
        <v>0</v>
      </c>
      <c r="T163" s="99">
        <f>SUMIFS(T$1:T132,$C$1:$C132,$C163,$F$1:$F132,$F163)</f>
        <v>71810</v>
      </c>
      <c r="U163" s="99">
        <f t="shared" si="144"/>
        <v>0</v>
      </c>
      <c r="V163" s="259">
        <f t="shared" si="145"/>
        <v>0</v>
      </c>
      <c r="W163" s="102"/>
      <c r="X163" s="103" t="str">
        <f t="shared" si="136"/>
        <v>OK</v>
      </c>
      <c r="Y163" s="271"/>
      <c r="Z163" s="121"/>
      <c r="AA163" s="121"/>
      <c r="AB163" s="121"/>
      <c r="AC163" s="121"/>
      <c r="AD163" s="121"/>
      <c r="AE163" s="121"/>
      <c r="AF163" s="121"/>
      <c r="AG163" s="121"/>
      <c r="AH163" s="121"/>
      <c r="AI163" s="121"/>
      <c r="AJ163" s="121"/>
      <c r="AK163" s="121"/>
      <c r="AL163" s="121"/>
    </row>
    <row r="164" spans="1:38" s="115" customFormat="1" ht="15" customHeight="1">
      <c r="A164" s="555"/>
      <c r="B164" s="217"/>
      <c r="C164" s="217">
        <v>71</v>
      </c>
      <c r="D164" s="101"/>
      <c r="E164" s="217"/>
      <c r="F164" s="294" t="s">
        <v>251</v>
      </c>
      <c r="G164" s="295" t="str">
        <f>VLOOKUP(F164,'GL Category'!A:C,3,FALSE)</f>
        <v>Operations &amp; maintenance</v>
      </c>
      <c r="H164" s="98" t="str">
        <f>VLOOKUP(F164,'GL Category'!A:C,2,FALSE)</f>
        <v>MEDICAL SUPPLIES</v>
      </c>
      <c r="I164" s="99">
        <f>SUMIFS(I$1:I133,$C$1:$C133,$C164,$F$1:$F133,$F164)</f>
        <v>0</v>
      </c>
      <c r="J164" s="99">
        <f>SUMIFS(J$1:J133,$C$1:$C133,$C164,$F$1:$F133,$F164)</f>
        <v>0</v>
      </c>
      <c r="K164" s="99">
        <f>SUMIFS(K$1:K133,$C$1:$C133,$C164,$F$1:$F133,$F164)</f>
        <v>0</v>
      </c>
      <c r="L164" s="99">
        <f>SUMIFS(L$1:L133,$C$1:$C133,$C164,$F$1:$F133,$F164)</f>
        <v>0</v>
      </c>
      <c r="M164" s="99">
        <f>SUMIFS(M$1:M133,$C$1:$C133,$C164,$F$1:$F133,$F164)</f>
        <v>0</v>
      </c>
      <c r="N164" s="99">
        <f>SUMIFS(N$1:N133,$C$1:$C133,$C164,$F$1:$F133,$F164)</f>
        <v>0</v>
      </c>
      <c r="O164" s="99">
        <f>SUMIFS(O$1:O133,$C$1:$C133,$C164,$F$1:$F133,$F164)</f>
        <v>0</v>
      </c>
      <c r="P164" s="99">
        <f>SUMIFS(P$1:P130,$C$1:$C130,$C164,$F$1:$F130,$F164)</f>
        <v>0</v>
      </c>
      <c r="Q164" s="99">
        <f>SUMIFS(Q$1:Q133,$C$1:$C133,$C164,$F$1:$F133,$F164)</f>
        <v>0</v>
      </c>
      <c r="R164" s="99">
        <f>SUMIFS(R$1:R133,$C$1:$C133,$C164,$F$1:$F133,$F164)</f>
        <v>0</v>
      </c>
      <c r="S164" s="99">
        <f>SUMIFS(S$1:S133,$C$1:$C133,$C164,$F$1:$F133,$F164)</f>
        <v>0</v>
      </c>
      <c r="T164" s="99">
        <f>SUMIFS(T$1:T133,$C$1:$C133,$C164,$F$1:$F133,$F164)</f>
        <v>0</v>
      </c>
      <c r="U164" s="99">
        <f t="shared" si="144"/>
        <v>0</v>
      </c>
      <c r="V164" s="259" t="str">
        <f t="shared" si="145"/>
        <v>N/A</v>
      </c>
      <c r="W164" s="102"/>
      <c r="X164" s="103" t="str">
        <f t="shared" si="136"/>
        <v>OK</v>
      </c>
      <c r="Y164" s="271"/>
      <c r="Z164" s="121"/>
      <c r="AA164" s="121"/>
      <c r="AB164" s="121"/>
      <c r="AC164" s="121"/>
      <c r="AD164" s="121"/>
      <c r="AE164" s="121"/>
      <c r="AF164" s="121"/>
      <c r="AG164" s="121"/>
      <c r="AH164" s="121"/>
      <c r="AI164" s="121"/>
      <c r="AJ164" s="121"/>
      <c r="AK164" s="121"/>
      <c r="AL164" s="121"/>
    </row>
    <row r="165" spans="1:38" s="115" customFormat="1" ht="15" customHeight="1">
      <c r="A165" s="555"/>
      <c r="B165" s="217"/>
      <c r="C165" s="217">
        <v>71</v>
      </c>
      <c r="D165" s="101"/>
      <c r="E165" s="217"/>
      <c r="F165" s="294" t="s">
        <v>158</v>
      </c>
      <c r="G165" s="295" t="e">
        <f>VLOOKUP(F165,'GL Category'!A:C,3,FALSE)</f>
        <v>#N/A</v>
      </c>
      <c r="H165" s="98" t="e">
        <f>VLOOKUP(F165,'GL Category'!A:C,2,FALSE)</f>
        <v>#N/A</v>
      </c>
      <c r="I165" s="99">
        <f>SUMIFS(I$1:I136,$C$1:$C136,$C165,$F$1:$F136,$F165)</f>
        <v>0</v>
      </c>
      <c r="J165" s="99">
        <f>SUMIFS(J$1:J136,$C$1:$C136,$C165,$F$1:$F136,$F165)</f>
        <v>0</v>
      </c>
      <c r="K165" s="99">
        <f>SUMIFS(K$1:K136,$C$1:$C136,$C165,$F$1:$F136,$F165)</f>
        <v>0</v>
      </c>
      <c r="L165" s="99">
        <f>SUMIFS(L$1:L136,$C$1:$C136,$C165,$F$1:$F136,$F165)</f>
        <v>0</v>
      </c>
      <c r="M165" s="99">
        <f>SUMIFS(M$1:M136,$C$1:$C136,$C165,$F$1:$F136,$F165)</f>
        <v>0</v>
      </c>
      <c r="N165" s="99">
        <f>SUMIFS(N$1:N136,$C$1:$C136,$C165,$F$1:$F136,$F165)</f>
        <v>0</v>
      </c>
      <c r="O165" s="99">
        <f>SUMIFS(O$1:O136,$C$1:$C136,$C165,$F$1:$F136,$F165)</f>
        <v>0</v>
      </c>
      <c r="P165" s="99">
        <f>SUMIFS(P$1:P131,$C$1:$C131,$C165,$F$1:$F131,$F165)</f>
        <v>0</v>
      </c>
      <c r="Q165" s="99">
        <f>SUMIFS(Q$1:Q136,$C$1:$C136,$C165,$F$1:$F136,$F165)</f>
        <v>0</v>
      </c>
      <c r="R165" s="99">
        <f>SUMIFS(R$1:R136,$C$1:$C136,$C165,$F$1:$F136,$F165)</f>
        <v>0</v>
      </c>
      <c r="S165" s="99">
        <f>SUMIFS(S$1:S136,$C$1:$C136,$C165,$F$1:$F136,$F165)</f>
        <v>0</v>
      </c>
      <c r="T165" s="99">
        <f>SUMIFS(T$1:T136,$C$1:$C136,$C165,$F$1:$F136,$F165)</f>
        <v>0</v>
      </c>
      <c r="U165" s="99">
        <f t="shared" si="144"/>
        <v>0</v>
      </c>
      <c r="V165" s="259" t="str">
        <f t="shared" si="145"/>
        <v>N/A</v>
      </c>
      <c r="W165" s="102"/>
      <c r="X165" s="103" t="str">
        <f t="shared" si="136"/>
        <v>OK</v>
      </c>
      <c r="Y165" s="271"/>
      <c r="Z165" s="121"/>
      <c r="AA165" s="121"/>
      <c r="AB165" s="121"/>
      <c r="AC165" s="121"/>
      <c r="AD165" s="121"/>
      <c r="AE165" s="121"/>
      <c r="AF165" s="121"/>
      <c r="AG165" s="121"/>
      <c r="AH165" s="121"/>
      <c r="AI165" s="121"/>
      <c r="AJ165" s="121"/>
      <c r="AK165" s="121"/>
      <c r="AL165" s="121"/>
    </row>
    <row r="166" spans="1:38" s="115" customFormat="1" ht="15" customHeight="1">
      <c r="A166" s="555"/>
      <c r="B166" s="217"/>
      <c r="C166" s="217">
        <v>71</v>
      </c>
      <c r="D166" s="101"/>
      <c r="E166" s="217"/>
      <c r="F166" s="294" t="s">
        <v>159</v>
      </c>
      <c r="G166" s="295" t="str">
        <f>VLOOKUP(F166,'GL Category'!A:C,3,FALSE)</f>
        <v>Operations &amp; maintenance</v>
      </c>
      <c r="H166" s="98" t="str">
        <f>VLOOKUP(F166,'GL Category'!A:C,2,FALSE)</f>
        <v>SMALL TOOLS &amp; EQUIPMENT</v>
      </c>
      <c r="I166" s="99">
        <f>SUMIFS(I$1:I137,$C$1:$C137,$C166,$F$1:$F137,$F166)</f>
        <v>5235.72</v>
      </c>
      <c r="J166" s="99">
        <f>SUMIFS(J$1:J137,$C$1:$C137,$C166,$F$1:$F137,$F166)</f>
        <v>1282.81</v>
      </c>
      <c r="K166" s="99">
        <f>SUMIFS(K$1:K137,$C$1:$C137,$C166,$F$1:$F137,$F166)</f>
        <v>1957.08</v>
      </c>
      <c r="L166" s="99">
        <f>SUMIFS(L$1:L137,$C$1:$C137,$C166,$F$1:$F137,$F166)</f>
        <v>2585.7199999999998</v>
      </c>
      <c r="M166" s="99">
        <f>SUMIFS(M$1:M137,$C$1:$C137,$C166,$F$1:$F137,$F166)</f>
        <v>1500</v>
      </c>
      <c r="N166" s="99">
        <f>SUMIFS(N$1:N137,$C$1:$C137,$C166,$F$1:$F137,$F166)</f>
        <v>1946.49</v>
      </c>
      <c r="O166" s="99">
        <f>SUMIFS(O$1:O137,$C$1:$C137,$C166,$F$1:$F137,$F166)</f>
        <v>1500</v>
      </c>
      <c r="P166" s="99">
        <f>SUMIFS(P$1:P132,$C$1:$C132,$C166,$F$1:$F132,$F166)</f>
        <v>0</v>
      </c>
      <c r="Q166" s="99">
        <f>SUMIFS(Q$1:Q137,$C$1:$C137,$C166,$F$1:$F137,$F166)</f>
        <v>1500</v>
      </c>
      <c r="R166" s="99">
        <f>SUMIFS(R$1:R137,$C$1:$C137,$C166,$F$1:$F137,$F166)</f>
        <v>0</v>
      </c>
      <c r="S166" s="99">
        <f>SUMIFS(S$1:S137,$C$1:$C137,$C166,$F$1:$F137,$F166)</f>
        <v>0</v>
      </c>
      <c r="T166" s="99">
        <f>SUMIFS(T$1:T137,$C$1:$C137,$C166,$F$1:$F137,$F166)</f>
        <v>1500</v>
      </c>
      <c r="U166" s="99">
        <f t="shared" si="144"/>
        <v>0</v>
      </c>
      <c r="V166" s="259">
        <f t="shared" si="145"/>
        <v>0</v>
      </c>
      <c r="W166" s="102"/>
      <c r="X166" s="103" t="str">
        <f t="shared" si="136"/>
        <v>OK</v>
      </c>
      <c r="Y166" s="271"/>
      <c r="Z166" s="121"/>
      <c r="AA166" s="121"/>
      <c r="AB166" s="121"/>
      <c r="AC166" s="121"/>
      <c r="AD166" s="121"/>
      <c r="AE166" s="121"/>
      <c r="AF166" s="121"/>
      <c r="AG166" s="121"/>
      <c r="AH166" s="121"/>
      <c r="AI166" s="121"/>
      <c r="AJ166" s="121"/>
      <c r="AK166" s="121"/>
      <c r="AL166" s="121"/>
    </row>
    <row r="167" spans="1:38" s="115" customFormat="1" ht="15" customHeight="1">
      <c r="A167" s="555"/>
      <c r="B167" s="217"/>
      <c r="C167" s="217">
        <v>71</v>
      </c>
      <c r="D167" s="101"/>
      <c r="E167" s="217"/>
      <c r="F167" s="294" t="s">
        <v>160</v>
      </c>
      <c r="G167" s="295" t="str">
        <f>VLOOKUP(F167,'GL Category'!A:C,3,FALSE)</f>
        <v>Operations &amp; maintenance</v>
      </c>
      <c r="H167" s="98" t="str">
        <f>VLOOKUP(F167,'GL Category'!A:C,2,FALSE)</f>
        <v>FUEL/OILS/LUBRICANTS</v>
      </c>
      <c r="I167" s="99">
        <f>SUMIFS(I$1:I138,$C$1:$C138,$C167,$F$1:$F138,$F167)</f>
        <v>5498.56</v>
      </c>
      <c r="J167" s="99">
        <f>SUMIFS(J$1:J138,$C$1:$C138,$C167,$F$1:$F138,$F167)</f>
        <v>7587.54</v>
      </c>
      <c r="K167" s="99">
        <f>SUMIFS(K$1:K138,$C$1:$C138,$C167,$F$1:$F138,$F167)</f>
        <v>11334.76</v>
      </c>
      <c r="L167" s="99">
        <f>SUMIFS(L$1:L138,$C$1:$C138,$C167,$F$1:$F138,$F167)</f>
        <v>9467.17</v>
      </c>
      <c r="M167" s="99">
        <f>SUMIFS(M$1:M138,$C$1:$C138,$C167,$F$1:$F138,$F167)</f>
        <v>14000</v>
      </c>
      <c r="N167" s="99">
        <f>SUMIFS(N$1:N138,$C$1:$C138,$C167,$F$1:$F138,$F167)</f>
        <v>6452.79</v>
      </c>
      <c r="O167" s="99">
        <f>SUMIFS(O$1:O138,$C$1:$C138,$C167,$F$1:$F138,$F167)</f>
        <v>14000</v>
      </c>
      <c r="P167" s="99">
        <f>SUMIFS(P$1:P133,$C$1:$C133,$C167,$F$1:$F133,$F167)</f>
        <v>0</v>
      </c>
      <c r="Q167" s="99">
        <f>SUMIFS(Q$1:Q138,$C$1:$C138,$C167,$F$1:$F138,$F167)</f>
        <v>14000</v>
      </c>
      <c r="R167" s="99">
        <f>SUMIFS(R$1:R138,$C$1:$C138,$C167,$F$1:$F138,$F167)</f>
        <v>0</v>
      </c>
      <c r="S167" s="99">
        <f>SUMIFS(S$1:S138,$C$1:$C138,$C167,$F$1:$F138,$F167)</f>
        <v>0</v>
      </c>
      <c r="T167" s="99">
        <f>SUMIFS(T$1:T138,$C$1:$C138,$C167,$F$1:$F138,$F167)</f>
        <v>14000</v>
      </c>
      <c r="U167" s="99">
        <f t="shared" si="144"/>
        <v>0</v>
      </c>
      <c r="V167" s="259">
        <f t="shared" si="145"/>
        <v>0</v>
      </c>
      <c r="W167" s="102"/>
      <c r="X167" s="103" t="str">
        <f t="shared" si="136"/>
        <v>OK</v>
      </c>
      <c r="Y167" s="271"/>
      <c r="Z167" s="121"/>
      <c r="AA167" s="121"/>
      <c r="AB167" s="121"/>
      <c r="AC167" s="121"/>
      <c r="AD167" s="121"/>
      <c r="AE167" s="121"/>
      <c r="AF167" s="121"/>
      <c r="AG167" s="121"/>
      <c r="AH167" s="121"/>
      <c r="AI167" s="121"/>
      <c r="AJ167" s="121"/>
      <c r="AK167" s="121"/>
      <c r="AL167" s="121"/>
    </row>
    <row r="168" spans="1:38" s="115" customFormat="1" ht="15" customHeight="1">
      <c r="A168" s="555"/>
      <c r="B168" s="217"/>
      <c r="C168" s="217">
        <v>71</v>
      </c>
      <c r="D168" s="101"/>
      <c r="E168" s="217"/>
      <c r="F168" s="294" t="s">
        <v>166</v>
      </c>
      <c r="G168" s="295" t="str">
        <f>VLOOKUP(F168,'GL Category'!A:C,3,FALSE)</f>
        <v>Operations &amp; maintenance</v>
      </c>
      <c r="H168" s="98" t="str">
        <f>VLOOKUP(F168,'GL Category'!A:C,2,FALSE)</f>
        <v>WEARING APPAREL</v>
      </c>
      <c r="I168" s="99">
        <f>SUMIFS(I$1:I139,$C$1:$C139,$C168,$F$1:$F139,$F168)</f>
        <v>1170.72</v>
      </c>
      <c r="J168" s="99">
        <f>SUMIFS(J$1:J139,$C$1:$C139,$C168,$F$1:$F139,$F168)</f>
        <v>1005.5799999999999</v>
      </c>
      <c r="K168" s="99">
        <f>SUMIFS(K$1:K139,$C$1:$C139,$C168,$F$1:$F139,$F168)</f>
        <v>1273.57</v>
      </c>
      <c r="L168" s="99">
        <f>SUMIFS(L$1:L139,$C$1:$C139,$C168,$F$1:$F139,$F168)</f>
        <v>1979.9099999999999</v>
      </c>
      <c r="M168" s="99">
        <f>SUMIFS(M$1:M139,$C$1:$C139,$C168,$F$1:$F139,$F168)</f>
        <v>2420</v>
      </c>
      <c r="N168" s="99">
        <f>SUMIFS(N$1:N139,$C$1:$C139,$C168,$F$1:$F139,$F168)</f>
        <v>1843.8300000000002</v>
      </c>
      <c r="O168" s="99">
        <f>SUMIFS(O$1:O139,$C$1:$C139,$C168,$F$1:$F139,$F168)</f>
        <v>2420</v>
      </c>
      <c r="P168" s="99">
        <f>SUMIFS(P$1:P136,$C$1:$C136,$C168,$F$1:$F136,$F168)</f>
        <v>0</v>
      </c>
      <c r="Q168" s="99">
        <f>SUMIFS(Q$1:Q139,$C$1:$C139,$C168,$F$1:$F139,$F168)</f>
        <v>2420</v>
      </c>
      <c r="R168" s="99">
        <f>SUMIFS(R$1:R139,$C$1:$C139,$C168,$F$1:$F139,$F168)</f>
        <v>0</v>
      </c>
      <c r="S168" s="99">
        <f>SUMIFS(S$1:S139,$C$1:$C139,$C168,$F$1:$F139,$F168)</f>
        <v>0</v>
      </c>
      <c r="T168" s="99">
        <f>SUMIFS(T$1:T139,$C$1:$C139,$C168,$F$1:$F139,$F168)</f>
        <v>2420</v>
      </c>
      <c r="U168" s="99">
        <f t="shared" si="144"/>
        <v>0</v>
      </c>
      <c r="V168" s="259">
        <f t="shared" si="145"/>
        <v>0</v>
      </c>
      <c r="W168" s="102"/>
      <c r="X168" s="103" t="str">
        <f t="shared" si="136"/>
        <v>OK</v>
      </c>
      <c r="Y168" s="271"/>
      <c r="Z168" s="121"/>
      <c r="AA168" s="121"/>
      <c r="AB168" s="121"/>
      <c r="AC168" s="121"/>
      <c r="AD168" s="121"/>
      <c r="AE168" s="121"/>
      <c r="AF168" s="121"/>
      <c r="AG168" s="121"/>
      <c r="AH168" s="121"/>
      <c r="AI168" s="121"/>
      <c r="AJ168" s="121"/>
      <c r="AK168" s="121"/>
      <c r="AL168" s="121"/>
    </row>
    <row r="169" spans="1:38" s="115" customFormat="1" ht="15" customHeight="1">
      <c r="A169" s="555"/>
      <c r="B169" s="217"/>
      <c r="C169" s="217">
        <v>71</v>
      </c>
      <c r="D169" s="101"/>
      <c r="E169" s="217"/>
      <c r="F169" s="294" t="s">
        <v>168</v>
      </c>
      <c r="G169" s="295" t="str">
        <f>VLOOKUP(F169,'GL Category'!A:C,3,FALSE)</f>
        <v>Operations &amp; maintenance</v>
      </c>
      <c r="H169" s="98" t="str">
        <f>VLOOKUP(F169,'GL Category'!A:C,2,FALSE)</f>
        <v>MISCELLANEOUS SUPPLIES</v>
      </c>
      <c r="I169" s="99">
        <f>SUMIFS(I$1:I139,$C$1:$C139,$C169,$F$1:$F139,$F169)</f>
        <v>0</v>
      </c>
      <c r="J169" s="99">
        <f>SUMIFS(J$1:J139,$C$1:$C139,$C169,$F$1:$F139,$F169)</f>
        <v>0</v>
      </c>
      <c r="K169" s="99">
        <f>SUMIFS(K$1:K139,$C$1:$C139,$C169,$F$1:$F139,$F169)</f>
        <v>0</v>
      </c>
      <c r="L169" s="99">
        <f>SUMIFS(L$1:L139,$C$1:$C139,$C169,$F$1:$F139,$F169)</f>
        <v>0</v>
      </c>
      <c r="M169" s="99">
        <f>SUMIFS(M$1:M139,$C$1:$C139,$C169,$F$1:$F139,$F169)</f>
        <v>0</v>
      </c>
      <c r="N169" s="99">
        <f>SUMIFS(N$1:N139,$C$1:$C139,$C169,$F$1:$F139,$F169)</f>
        <v>0</v>
      </c>
      <c r="O169" s="99">
        <f>SUMIFS(O$1:O139,$C$1:$C139,$C169,$F$1:$F139,$F169)</f>
        <v>0</v>
      </c>
      <c r="P169" s="99">
        <f>SUMIFS(P$1:P136,$C$1:$C136,$C169,$F$1:$F136,$F169)</f>
        <v>0</v>
      </c>
      <c r="Q169" s="99">
        <f>SUMIFS(Q$1:Q139,$C$1:$C139,$C169,$F$1:$F139,$F169)</f>
        <v>0</v>
      </c>
      <c r="R169" s="99">
        <f>SUMIFS(R$1:R139,$C$1:$C139,$C169,$F$1:$F139,$F169)</f>
        <v>0</v>
      </c>
      <c r="S169" s="99">
        <f>SUMIFS(S$1:S139,$C$1:$C139,$C169,$F$1:$F139,$F169)</f>
        <v>0</v>
      </c>
      <c r="T169" s="99">
        <f>SUMIFS(T$1:T139,$C$1:$C139,$C169,$F$1:$F139,$F169)</f>
        <v>0</v>
      </c>
      <c r="U169" s="99">
        <f t="shared" si="144"/>
        <v>0</v>
      </c>
      <c r="V169" s="259" t="str">
        <f t="shared" si="145"/>
        <v>N/A</v>
      </c>
      <c r="W169" s="102"/>
      <c r="X169" s="103" t="str">
        <f t="shared" si="136"/>
        <v>OK</v>
      </c>
      <c r="Y169" s="271"/>
      <c r="Z169" s="121"/>
      <c r="AA169" s="121"/>
      <c r="AB169" s="121"/>
      <c r="AC169" s="121"/>
      <c r="AD169" s="121"/>
      <c r="AE169" s="121"/>
      <c r="AF169" s="121"/>
      <c r="AG169" s="121"/>
      <c r="AH169" s="121"/>
      <c r="AI169" s="121"/>
      <c r="AJ169" s="121"/>
      <c r="AK169" s="121"/>
      <c r="AL169" s="121"/>
    </row>
    <row r="170" spans="1:38" s="115" customFormat="1" ht="15" customHeight="1">
      <c r="A170" s="555"/>
      <c r="B170" s="217"/>
      <c r="C170" s="217">
        <v>71</v>
      </c>
      <c r="D170" s="101"/>
      <c r="E170" s="217"/>
      <c r="F170" s="294" t="s">
        <v>170</v>
      </c>
      <c r="G170" s="295" t="str">
        <f>VLOOKUP(F170,'GL Category'!A:C,3,FALSE)</f>
        <v>Operations &amp; maintenance</v>
      </c>
      <c r="H170" s="98" t="str">
        <f>VLOOKUP(F170,'GL Category'!A:C,2,FALSE)</f>
        <v>BUILDING MAINTENANCE</v>
      </c>
      <c r="I170" s="99">
        <f>SUMIFS(I$1:I140,$C$1:$C140,$C170,$F$1:$F140,$F170)</f>
        <v>0</v>
      </c>
      <c r="J170" s="99">
        <f>SUMIFS(J$1:J140,$C$1:$C140,$C170,$F$1:$F140,$F170)</f>
        <v>0</v>
      </c>
      <c r="K170" s="99">
        <f>SUMIFS(K$1:K140,$C$1:$C140,$C170,$F$1:$F140,$F170)</f>
        <v>0</v>
      </c>
      <c r="L170" s="99">
        <f>SUMIFS(L$1:L140,$C$1:$C140,$C170,$F$1:$F140,$F170)</f>
        <v>0</v>
      </c>
      <c r="M170" s="99">
        <f>SUMIFS(M$1:M140,$C$1:$C140,$C170,$F$1:$F140,$F170)</f>
        <v>0</v>
      </c>
      <c r="N170" s="99">
        <f>SUMIFS(N$1:N140,$C$1:$C140,$C170,$F$1:$F140,$F170)</f>
        <v>0</v>
      </c>
      <c r="O170" s="99">
        <f>SUMIFS(O$1:O140,$C$1:$C140,$C170,$F$1:$F140,$F170)</f>
        <v>0</v>
      </c>
      <c r="P170" s="99">
        <f>SUMIFS(P$1:P137,$C$1:$C137,$C170,$F$1:$F137,$F170)</f>
        <v>0</v>
      </c>
      <c r="Q170" s="99">
        <f>SUMIFS(Q$1:Q140,$C$1:$C140,$C170,$F$1:$F140,$F170)</f>
        <v>0</v>
      </c>
      <c r="R170" s="99">
        <f>SUMIFS(R$1:R140,$C$1:$C140,$C170,$F$1:$F140,$F170)</f>
        <v>0</v>
      </c>
      <c r="S170" s="99">
        <f>SUMIFS(S$1:S140,$C$1:$C140,$C170,$F$1:$F140,$F170)</f>
        <v>0</v>
      </c>
      <c r="T170" s="99">
        <f>SUMIFS(T$1:T140,$C$1:$C140,$C170,$F$1:$F140,$F170)</f>
        <v>0</v>
      </c>
      <c r="U170" s="99">
        <f t="shared" si="144"/>
        <v>0</v>
      </c>
      <c r="V170" s="259" t="str">
        <f t="shared" si="145"/>
        <v>N/A</v>
      </c>
      <c r="W170" s="102"/>
      <c r="X170" s="103" t="str">
        <f t="shared" si="136"/>
        <v>OK</v>
      </c>
      <c r="Y170" s="271"/>
      <c r="Z170" s="121"/>
      <c r="AA170" s="121"/>
      <c r="AB170" s="121"/>
      <c r="AC170" s="121"/>
      <c r="AD170" s="121"/>
      <c r="AE170" s="121"/>
      <c r="AF170" s="121"/>
      <c r="AG170" s="121"/>
      <c r="AH170" s="121"/>
      <c r="AI170" s="121"/>
      <c r="AJ170" s="121"/>
      <c r="AK170" s="121"/>
      <c r="AL170" s="121"/>
    </row>
    <row r="171" spans="1:38" s="115" customFormat="1" ht="15" customHeight="1">
      <c r="A171" s="555"/>
      <c r="B171" s="217"/>
      <c r="C171" s="217">
        <v>71</v>
      </c>
      <c r="D171" s="101"/>
      <c r="E171" s="217"/>
      <c r="F171" s="294" t="s">
        <v>362</v>
      </c>
      <c r="G171" s="295" t="str">
        <f>VLOOKUP(F171,'GL Category'!A:C,3,FALSE)</f>
        <v>Operations &amp; maintenance</v>
      </c>
      <c r="H171" s="98" t="str">
        <f>VLOOKUP(F171,'GL Category'!A:C,2,FALSE)</f>
        <v>METER MAINTENANCE</v>
      </c>
      <c r="I171" s="99">
        <f>SUMIFS(I$1:I140,$C$1:$C140,$C171,$F$1:$F140,$F171)</f>
        <v>391334.6</v>
      </c>
      <c r="J171" s="99">
        <f>SUMIFS(J$1:J140,$C$1:$C140,$C171,$F$1:$F140,$F171)</f>
        <v>410362.25</v>
      </c>
      <c r="K171" s="99">
        <f>SUMIFS(K$1:K140,$C$1:$C140,$C171,$F$1:$F140,$F171)</f>
        <v>366078.51</v>
      </c>
      <c r="L171" s="99">
        <f>SUMIFS(L$1:L140,$C$1:$C140,$C171,$F$1:$F140,$F171)</f>
        <v>422840.63</v>
      </c>
      <c r="M171" s="99">
        <f>SUMIFS(M$1:M140,$C$1:$C140,$C171,$F$1:$F140,$F171)</f>
        <v>389143</v>
      </c>
      <c r="N171" s="99">
        <f>SUMIFS(N$1:N140,$C$1:$C140,$C171,$F$1:$F140,$F171)</f>
        <v>160246.37</v>
      </c>
      <c r="O171" s="99">
        <f>SUMIFS(O$1:O140,$C$1:$C140,$C171,$F$1:$F140,$F171)</f>
        <v>389143</v>
      </c>
      <c r="P171" s="99">
        <f>SUMIFS(P$1:P137,$C$1:$C137,$C171,$F$1:$F137,$F171)</f>
        <v>0</v>
      </c>
      <c r="Q171" s="99">
        <f>SUMIFS(Q$1:Q140,$C$1:$C140,$C171,$F$1:$F140,$F171)</f>
        <v>389143</v>
      </c>
      <c r="R171" s="99">
        <f>SUMIFS(R$1:R140,$C$1:$C140,$C171,$F$1:$F140,$F171)</f>
        <v>0</v>
      </c>
      <c r="S171" s="99">
        <f>SUMIFS(S$1:S140,$C$1:$C140,$C171,$F$1:$F140,$F171)</f>
        <v>0</v>
      </c>
      <c r="T171" s="99">
        <f>SUMIFS(T$1:T140,$C$1:$C140,$C171,$F$1:$F140,$F171)</f>
        <v>389143</v>
      </c>
      <c r="U171" s="99">
        <f t="shared" si="144"/>
        <v>0</v>
      </c>
      <c r="V171" s="259">
        <f t="shared" si="145"/>
        <v>0</v>
      </c>
      <c r="W171" s="102"/>
      <c r="X171" s="103" t="str">
        <f t="shared" si="136"/>
        <v>OK</v>
      </c>
      <c r="Y171" s="271"/>
      <c r="Z171" s="121"/>
      <c r="AA171" s="121"/>
      <c r="AB171" s="121"/>
      <c r="AC171" s="121"/>
      <c r="AD171" s="121"/>
      <c r="AE171" s="121"/>
      <c r="AF171" s="121"/>
      <c r="AG171" s="121"/>
      <c r="AH171" s="121"/>
      <c r="AI171" s="121"/>
      <c r="AJ171" s="121"/>
      <c r="AK171" s="121"/>
      <c r="AL171" s="121"/>
    </row>
    <row r="172" spans="1:38" s="115" customFormat="1" ht="15" customHeight="1">
      <c r="A172" s="555"/>
      <c r="B172" s="217"/>
      <c r="C172" s="217">
        <v>71</v>
      </c>
      <c r="D172" s="101"/>
      <c r="E172" s="217"/>
      <c r="F172" s="294" t="s">
        <v>174</v>
      </c>
      <c r="G172" s="295" t="str">
        <f>VLOOKUP(F172,'GL Category'!A:C,3,FALSE)</f>
        <v>Operations &amp; maintenance</v>
      </c>
      <c r="H172" s="98" t="str">
        <f>VLOOKUP(F172,'GL Category'!A:C,2,FALSE)</f>
        <v>RADIO MAINTENANCE</v>
      </c>
      <c r="I172" s="99">
        <f>SUMIFS(I$1:I140,$C$1:$C140,$C172,$F$1:$F140,$F172)</f>
        <v>0</v>
      </c>
      <c r="J172" s="99">
        <f>SUMIFS(J$1:J140,$C$1:$C140,$C172,$F$1:$F140,$F172)</f>
        <v>0</v>
      </c>
      <c r="K172" s="99">
        <f>SUMIFS(K$1:K140,$C$1:$C140,$C172,$F$1:$F140,$F172)</f>
        <v>0</v>
      </c>
      <c r="L172" s="99">
        <f>SUMIFS(L$1:L140,$C$1:$C140,$C172,$F$1:$F140,$F172)</f>
        <v>0</v>
      </c>
      <c r="M172" s="99">
        <f>SUMIFS(M$1:M140,$C$1:$C140,$C172,$F$1:$F140,$F172)</f>
        <v>0</v>
      </c>
      <c r="N172" s="99">
        <f>SUMIFS(N$1:N140,$C$1:$C140,$C172,$F$1:$F140,$F172)</f>
        <v>0</v>
      </c>
      <c r="O172" s="99">
        <f>SUMIFS(O$1:O140,$C$1:$C140,$C172,$F$1:$F140,$F172)</f>
        <v>0</v>
      </c>
      <c r="P172" s="99">
        <f>SUMIFS(P$1:P138,$C$1:$C138,$C172,$F$1:$F138,$F172)</f>
        <v>0</v>
      </c>
      <c r="Q172" s="99">
        <f>SUMIFS(Q$1:Q140,$C$1:$C140,$C172,$F$1:$F140,$F172)</f>
        <v>0</v>
      </c>
      <c r="R172" s="99">
        <f>SUMIFS(R$1:R140,$C$1:$C140,$C172,$F$1:$F140,$F172)</f>
        <v>0</v>
      </c>
      <c r="S172" s="99">
        <f>SUMIFS(S$1:S140,$C$1:$C140,$C172,$F$1:$F140,$F172)</f>
        <v>0</v>
      </c>
      <c r="T172" s="99">
        <f>SUMIFS(T$1:T140,$C$1:$C140,$C172,$F$1:$F140,$F172)</f>
        <v>0</v>
      </c>
      <c r="U172" s="99">
        <f t="shared" si="144"/>
        <v>0</v>
      </c>
      <c r="V172" s="259" t="str">
        <f t="shared" si="145"/>
        <v>N/A</v>
      </c>
      <c r="W172" s="102"/>
      <c r="X172" s="103" t="str">
        <f t="shared" si="136"/>
        <v>OK</v>
      </c>
      <c r="Y172" s="271"/>
      <c r="Z172" s="121"/>
      <c r="AA172" s="121"/>
      <c r="AB172" s="121"/>
      <c r="AC172" s="121"/>
      <c r="AD172" s="121"/>
      <c r="AE172" s="121"/>
      <c r="AF172" s="121"/>
      <c r="AG172" s="121"/>
      <c r="AH172" s="121"/>
      <c r="AI172" s="121"/>
      <c r="AJ172" s="121"/>
      <c r="AK172" s="121"/>
      <c r="AL172" s="121"/>
    </row>
    <row r="173" spans="1:38" s="115" customFormat="1" ht="15" customHeight="1">
      <c r="A173" s="555"/>
      <c r="B173" s="217"/>
      <c r="C173" s="217">
        <v>71</v>
      </c>
      <c r="D173" s="101"/>
      <c r="E173" s="217"/>
      <c r="F173" s="294" t="s">
        <v>240</v>
      </c>
      <c r="G173" s="295" t="str">
        <f>VLOOKUP(F173,'GL Category'!A:C,3,FALSE)</f>
        <v>Operations &amp; maintenance</v>
      </c>
      <c r="H173" s="98" t="str">
        <f>VLOOKUP(F173,'GL Category'!A:C,2,FALSE)</f>
        <v>VEHICLE MAINTENANCE</v>
      </c>
      <c r="I173" s="99">
        <f>SUMIFS(I$1:I141,$C$1:$C141,$C173,$F$1:$F141,$F173)</f>
        <v>3397.89</v>
      </c>
      <c r="J173" s="99">
        <f>SUMIFS(J$1:J141,$C$1:$C141,$C173,$F$1:$F141,$F173)</f>
        <v>3696.82</v>
      </c>
      <c r="K173" s="99">
        <f>SUMIFS(K$1:K141,$C$1:$C141,$C173,$F$1:$F141,$F173)</f>
        <v>2914.28</v>
      </c>
      <c r="L173" s="99">
        <f>SUMIFS(L$1:L141,$C$1:$C141,$C173,$F$1:$F141,$F173)</f>
        <v>782.5</v>
      </c>
      <c r="M173" s="99">
        <f>SUMIFS(M$1:M141,$C$1:$C141,$C173,$F$1:$F141,$F173)</f>
        <v>0</v>
      </c>
      <c r="N173" s="99">
        <f>SUMIFS(N$1:N141,$C$1:$C141,$C173,$F$1:$F141,$F173)</f>
        <v>2765.38</v>
      </c>
      <c r="O173" s="99">
        <f>SUMIFS(O$1:O141,$C$1:$C141,$C173,$F$1:$F141,$F173)</f>
        <v>2850</v>
      </c>
      <c r="P173" s="99">
        <f>SUMIFS(P$1:P139,$C$1:$C139,$C173,$F$1:$F139,$F173)</f>
        <v>2850</v>
      </c>
      <c r="Q173" s="99">
        <f>SUMIFS(Q$1:Q141,$C$1:$C141,$C173,$F$1:$F141,$F173)</f>
        <v>0</v>
      </c>
      <c r="R173" s="99">
        <f>SUMIFS(R$1:R141,$C$1:$C141,$C173,$F$1:$F141,$F173)</f>
        <v>0</v>
      </c>
      <c r="S173" s="99">
        <f>SUMIFS(S$1:S141,$C$1:$C141,$C173,$F$1:$F141,$F173)</f>
        <v>0</v>
      </c>
      <c r="T173" s="99">
        <f>SUMIFS(T$1:T141,$C$1:$C141,$C173,$F$1:$F141,$F173)</f>
        <v>0</v>
      </c>
      <c r="U173" s="99">
        <f t="shared" si="144"/>
        <v>0</v>
      </c>
      <c r="V173" s="259" t="str">
        <f t="shared" si="145"/>
        <v>N/A</v>
      </c>
      <c r="W173" s="102"/>
      <c r="X173" s="103" t="str">
        <f t="shared" si="136"/>
        <v>OK</v>
      </c>
      <c r="Y173" s="271"/>
      <c r="Z173" s="121"/>
      <c r="AA173" s="121"/>
      <c r="AB173" s="121"/>
      <c r="AC173" s="121"/>
      <c r="AD173" s="121"/>
      <c r="AE173" s="121"/>
      <c r="AF173" s="121"/>
      <c r="AG173" s="121"/>
      <c r="AH173" s="121"/>
      <c r="AI173" s="121"/>
      <c r="AJ173" s="121"/>
      <c r="AK173" s="121"/>
      <c r="AL173" s="121"/>
    </row>
    <row r="174" spans="1:38" s="115" customFormat="1" ht="15" customHeight="1">
      <c r="A174" s="555"/>
      <c r="B174" s="217"/>
      <c r="C174" s="217">
        <v>71</v>
      </c>
      <c r="D174" s="101"/>
      <c r="E174" s="217"/>
      <c r="F174" s="294" t="s">
        <v>176</v>
      </c>
      <c r="G174" s="295" t="str">
        <f>VLOOKUP(F174,'GL Category'!A:C,3,FALSE)</f>
        <v>Operations &amp; maintenance</v>
      </c>
      <c r="H174" s="98" t="str">
        <f>VLOOKUP(F174,'GL Category'!A:C,2,FALSE)</f>
        <v>OFFICE EQUIPMENT MAINTENANCE</v>
      </c>
      <c r="I174" s="99">
        <f>SUMIFS(I$1:I142,$C$1:$C142,$C174,$F$1:$F142,$F174)</f>
        <v>0</v>
      </c>
      <c r="J174" s="99">
        <f>SUMIFS(J$1:J142,$C$1:$C142,$C174,$F$1:$F142,$F174)</f>
        <v>0</v>
      </c>
      <c r="K174" s="99">
        <f>SUMIFS(K$1:K142,$C$1:$C142,$C174,$F$1:$F142,$F174)</f>
        <v>0</v>
      </c>
      <c r="L174" s="99">
        <f>SUMIFS(L$1:L142,$C$1:$C142,$C174,$F$1:$F142,$F174)</f>
        <v>0</v>
      </c>
      <c r="M174" s="99">
        <f>SUMIFS(M$1:M142,$C$1:$C142,$C174,$F$1:$F142,$F174)</f>
        <v>0</v>
      </c>
      <c r="N174" s="99">
        <f>SUMIFS(N$1:N142,$C$1:$C142,$C174,$F$1:$F142,$F174)</f>
        <v>0</v>
      </c>
      <c r="O174" s="99">
        <f>SUMIFS(O$1:O142,$C$1:$C142,$C174,$F$1:$F142,$F174)</f>
        <v>0</v>
      </c>
      <c r="P174" s="99">
        <f>SUMIFS(P$1:P140,$C$1:$C140,$C174,$F$1:$F140,$F174)</f>
        <v>0</v>
      </c>
      <c r="Q174" s="99">
        <f>SUMIFS(Q$1:Q142,$C$1:$C142,$C174,$F$1:$F142,$F174)</f>
        <v>0</v>
      </c>
      <c r="R174" s="99">
        <f>SUMIFS(R$1:R142,$C$1:$C142,$C174,$F$1:$F142,$F174)</f>
        <v>0</v>
      </c>
      <c r="S174" s="99">
        <f>SUMIFS(S$1:S142,$C$1:$C142,$C174,$F$1:$F142,$F174)</f>
        <v>0</v>
      </c>
      <c r="T174" s="99">
        <f>SUMIFS(T$1:T142,$C$1:$C142,$C174,$F$1:$F142,$F174)</f>
        <v>0</v>
      </c>
      <c r="U174" s="99">
        <f t="shared" si="144"/>
        <v>0</v>
      </c>
      <c r="V174" s="259" t="str">
        <f t="shared" si="145"/>
        <v>N/A</v>
      </c>
      <c r="W174" s="102"/>
      <c r="X174" s="103" t="str">
        <f t="shared" si="136"/>
        <v>OK</v>
      </c>
      <c r="Y174" s="271"/>
      <c r="Z174" s="121"/>
      <c r="AA174" s="121"/>
      <c r="AB174" s="121"/>
      <c r="AC174" s="121"/>
      <c r="AD174" s="121"/>
      <c r="AE174" s="121"/>
      <c r="AF174" s="121"/>
      <c r="AG174" s="121"/>
      <c r="AH174" s="121"/>
      <c r="AI174" s="121"/>
      <c r="AJ174" s="121"/>
      <c r="AK174" s="121"/>
      <c r="AL174" s="121"/>
    </row>
    <row r="175" spans="1:38" s="115" customFormat="1" ht="15" customHeight="1">
      <c r="A175" s="555"/>
      <c r="B175" s="217"/>
      <c r="C175" s="217">
        <v>71</v>
      </c>
      <c r="D175" s="101"/>
      <c r="E175" s="217"/>
      <c r="F175" s="294" t="s">
        <v>178</v>
      </c>
      <c r="G175" s="295" t="str">
        <f>VLOOKUP(F175,'GL Category'!A:C,3,FALSE)</f>
        <v>Operations &amp; maintenance</v>
      </c>
      <c r="H175" s="98" t="str">
        <f>VLOOKUP(F175,'GL Category'!A:C,2,FALSE)</f>
        <v>SOFTWARE LICENSE &amp; MAINTENANCE</v>
      </c>
      <c r="I175" s="99">
        <f>SUMIFS(I$1:I143,$C$1:$C143,$C175,$F$1:$F143,$F175)</f>
        <v>0</v>
      </c>
      <c r="J175" s="99">
        <f>SUMIFS(J$1:J143,$C$1:$C143,$C175,$F$1:$F143,$F175)</f>
        <v>0</v>
      </c>
      <c r="K175" s="99">
        <f>SUMIFS(K$1:K143,$C$1:$C143,$C175,$F$1:$F143,$F175)</f>
        <v>0</v>
      </c>
      <c r="L175" s="99">
        <f>SUMIFS(L$1:L143,$C$1:$C143,$C175,$F$1:$F143,$F175)</f>
        <v>0</v>
      </c>
      <c r="M175" s="99">
        <f>SUMIFS(M$1:M143,$C$1:$C143,$C175,$F$1:$F143,$F175)</f>
        <v>0</v>
      </c>
      <c r="N175" s="99">
        <f>SUMIFS(N$1:N143,$C$1:$C143,$C175,$F$1:$F143,$F175)</f>
        <v>0</v>
      </c>
      <c r="O175" s="99">
        <f>SUMIFS(O$1:O143,$C$1:$C143,$C175,$F$1:$F143,$F175)</f>
        <v>0</v>
      </c>
      <c r="P175" s="99">
        <f>SUMIFS(P$1:P140,$C$1:$C140,$C175,$F$1:$F140,$F175)</f>
        <v>0</v>
      </c>
      <c r="Q175" s="99">
        <f>SUMIFS(Q$1:Q143,$C$1:$C143,$C175,$F$1:$F143,$F175)</f>
        <v>0</v>
      </c>
      <c r="R175" s="99">
        <f>SUMIFS(R$1:R143,$C$1:$C143,$C175,$F$1:$F143,$F175)</f>
        <v>0</v>
      </c>
      <c r="S175" s="99">
        <f>SUMIFS(S$1:S143,$C$1:$C143,$C175,$F$1:$F143,$F175)</f>
        <v>0</v>
      </c>
      <c r="T175" s="99">
        <f>SUMIFS(T$1:T143,$C$1:$C143,$C175,$F$1:$F143,$F175)</f>
        <v>0</v>
      </c>
      <c r="U175" s="99">
        <f t="shared" si="144"/>
        <v>0</v>
      </c>
      <c r="V175" s="259" t="str">
        <f t="shared" si="145"/>
        <v>N/A</v>
      </c>
      <c r="W175" s="102"/>
      <c r="X175" s="103" t="str">
        <f t="shared" si="136"/>
        <v>OK</v>
      </c>
      <c r="Y175" s="271"/>
      <c r="Z175" s="121"/>
      <c r="AA175" s="121"/>
      <c r="AB175" s="121"/>
      <c r="AC175" s="121"/>
      <c r="AD175" s="121"/>
      <c r="AE175" s="121"/>
      <c r="AF175" s="121"/>
      <c r="AG175" s="121"/>
      <c r="AH175" s="121"/>
      <c r="AI175" s="121"/>
      <c r="AJ175" s="121"/>
      <c r="AK175" s="121"/>
      <c r="AL175" s="121"/>
    </row>
    <row r="176" spans="1:38" s="115" customFormat="1" ht="26.4">
      <c r="A176" s="555"/>
      <c r="B176" s="217"/>
      <c r="C176" s="217"/>
      <c r="D176" s="101"/>
      <c r="E176" s="217"/>
      <c r="F176" s="294"/>
      <c r="G176" s="146"/>
      <c r="H176" s="107" t="str">
        <f>UPPER(G175)&amp;" TOTAL"</f>
        <v>OPERATIONS &amp; MAINTENANCE TOTAL</v>
      </c>
      <c r="I176" s="108">
        <f t="shared" ref="I176" si="146">SUBTOTAL(9,I162:I175)</f>
        <v>473892.4</v>
      </c>
      <c r="J176" s="108">
        <f t="shared" ref="J176:S176" si="147">SUBTOTAL(9,J162:J175)</f>
        <v>499764.51</v>
      </c>
      <c r="K176" s="108">
        <f t="shared" ref="K176" si="148">SUBTOTAL(9,K162:K175)</f>
        <v>453073.10000000003</v>
      </c>
      <c r="L176" s="108">
        <f t="shared" ref="L176" si="149">SUBTOTAL(9,L162:L175)</f>
        <v>509503</v>
      </c>
      <c r="M176" s="108">
        <f t="shared" si="147"/>
        <v>479873</v>
      </c>
      <c r="N176" s="108">
        <f t="shared" ref="N176" si="150">SUBTOTAL(9,N162:N175)</f>
        <v>223509.91999999998</v>
      </c>
      <c r="O176" s="108">
        <f t="shared" si="147"/>
        <v>482723</v>
      </c>
      <c r="P176" s="108">
        <f t="shared" si="147"/>
        <v>2850</v>
      </c>
      <c r="Q176" s="108">
        <f t="shared" si="147"/>
        <v>479873</v>
      </c>
      <c r="R176" s="108">
        <f t="shared" si="147"/>
        <v>0</v>
      </c>
      <c r="S176" s="108">
        <f t="shared" si="147"/>
        <v>0</v>
      </c>
      <c r="T176" s="108">
        <f>SUBTOTAL(9,T162:T175)</f>
        <v>479873</v>
      </c>
      <c r="U176" s="99">
        <f t="shared" si="144"/>
        <v>0</v>
      </c>
      <c r="V176" s="259">
        <f t="shared" si="145"/>
        <v>0</v>
      </c>
      <c r="W176" s="102"/>
      <c r="X176" s="103" t="str">
        <f t="shared" si="136"/>
        <v>OK</v>
      </c>
      <c r="Y176" s="271"/>
      <c r="Z176" s="121"/>
      <c r="AA176" s="121"/>
      <c r="AB176" s="121"/>
      <c r="AC176" s="121"/>
      <c r="AD176" s="121"/>
      <c r="AE176" s="121"/>
      <c r="AF176" s="121"/>
      <c r="AG176" s="121"/>
      <c r="AH176" s="121"/>
      <c r="AI176" s="121"/>
      <c r="AJ176" s="121"/>
      <c r="AK176" s="121"/>
      <c r="AL176" s="121"/>
    </row>
    <row r="177" spans="1:38" s="115" customFormat="1">
      <c r="A177" s="555"/>
      <c r="B177" s="217"/>
      <c r="C177" s="217"/>
      <c r="D177" s="101"/>
      <c r="E177" s="217"/>
      <c r="F177" s="294"/>
      <c r="G177" s="146"/>
      <c r="H177" s="98"/>
      <c r="I177" s="228"/>
      <c r="J177" s="228"/>
      <c r="K177" s="228"/>
      <c r="L177" s="228"/>
      <c r="M177" s="228"/>
      <c r="N177" s="229"/>
      <c r="O177" s="229"/>
      <c r="P177" s="229"/>
      <c r="Q177" s="230"/>
      <c r="R177" s="231"/>
      <c r="S177" s="231"/>
      <c r="T177" s="230"/>
      <c r="U177" s="230"/>
      <c r="V177" s="230"/>
      <c r="W177" s="102"/>
      <c r="X177" s="103" t="str">
        <f t="shared" si="136"/>
        <v/>
      </c>
      <c r="Y177" s="271"/>
      <c r="Z177" s="121"/>
      <c r="AA177" s="121"/>
      <c r="AB177" s="121"/>
      <c r="AC177" s="121"/>
      <c r="AD177" s="121"/>
      <c r="AE177" s="121"/>
      <c r="AF177" s="121"/>
      <c r="AG177" s="121"/>
      <c r="AH177" s="121"/>
      <c r="AI177" s="121"/>
      <c r="AJ177" s="121"/>
      <c r="AK177" s="121"/>
      <c r="AL177" s="121"/>
    </row>
    <row r="178" spans="1:38" s="115" customFormat="1">
      <c r="A178" s="555"/>
      <c r="B178" s="217"/>
      <c r="C178" s="217">
        <v>71</v>
      </c>
      <c r="D178" s="101"/>
      <c r="E178" s="217"/>
      <c r="F178" s="294" t="s">
        <v>184</v>
      </c>
      <c r="G178" s="295" t="str">
        <f>VLOOKUP(F178,'GL Category'!A:C,3,FALSE)</f>
        <v>Services &amp; other</v>
      </c>
      <c r="H178" s="98" t="str">
        <f>VLOOKUP(F178,'GL Category'!A:C,2,FALSE)</f>
        <v>PUBLIC EDUCATION SERVICES</v>
      </c>
      <c r="I178" s="99">
        <f>SUMIFS(I$1:I146,$C$1:$C146,$C178,$F$1:$F146,$F178)</f>
        <v>0</v>
      </c>
      <c r="J178" s="99">
        <f>SUMIFS(J$1:J146,$C$1:$C146,$C178,$F$1:$F146,$F178)</f>
        <v>0</v>
      </c>
      <c r="K178" s="99">
        <f>SUMIFS(K$1:K146,$C$1:$C146,$C178,$F$1:$F146,$F178)</f>
        <v>0</v>
      </c>
      <c r="L178" s="99">
        <f>SUMIFS(L$1:L146,$C$1:$C146,$C178,$F$1:$F146,$F178)</f>
        <v>0</v>
      </c>
      <c r="M178" s="99">
        <f>SUMIFS(M$1:M146,$C$1:$C146,$C178,$F$1:$F146,$F178)</f>
        <v>0</v>
      </c>
      <c r="N178" s="99">
        <f>SUMIFS(N$1:N146,$C$1:$C146,$C178,$F$1:$F146,$F178)</f>
        <v>0</v>
      </c>
      <c r="O178" s="99">
        <f>SUMIFS(O$1:O146,$C$1:$C146,$C178,$F$1:$F146,$F178)</f>
        <v>0</v>
      </c>
      <c r="P178" s="99">
        <f>SUMIFS(P$1:P143,$C$1:$C143,$C178,$F$1:$F143,$F178)</f>
        <v>0</v>
      </c>
      <c r="Q178" s="99">
        <f>SUMIFS(Q$1:Q146,$C$1:$C146,$C178,$F$1:$F146,$F178)</f>
        <v>0</v>
      </c>
      <c r="R178" s="99">
        <f>SUMIFS(R$1:R146,$C$1:$C146,$C178,$F$1:$F146,$F178)</f>
        <v>0</v>
      </c>
      <c r="S178" s="99">
        <f>SUMIFS(S$1:S146,$C$1:$C146,$C178,$F$1:$F146,$F178)</f>
        <v>0</v>
      </c>
      <c r="T178" s="99">
        <f>SUMIFS(T$1:T146,$C$1:$C146,$C178,$F$1:$F146,$F178)</f>
        <v>0</v>
      </c>
      <c r="U178" s="99">
        <f t="shared" ref="U178:U190" si="151">T178-M178</f>
        <v>0</v>
      </c>
      <c r="V178" s="259" t="str">
        <f t="shared" ref="V178:V190" si="152">IF(M178=0,"N/A",T178/M178-1)</f>
        <v>N/A</v>
      </c>
      <c r="W178" s="102"/>
      <c r="X178" s="103" t="str">
        <f t="shared" si="136"/>
        <v>OK</v>
      </c>
      <c r="Y178" s="271"/>
      <c r="Z178" s="121"/>
      <c r="AA178" s="121"/>
      <c r="AB178" s="121"/>
      <c r="AC178" s="121"/>
      <c r="AD178" s="121"/>
      <c r="AE178" s="121"/>
      <c r="AF178" s="121"/>
      <c r="AG178" s="121"/>
      <c r="AH178" s="121"/>
      <c r="AI178" s="121"/>
      <c r="AJ178" s="121"/>
      <c r="AK178" s="121"/>
      <c r="AL178" s="121"/>
    </row>
    <row r="179" spans="1:38" s="115" customFormat="1">
      <c r="A179" s="555"/>
      <c r="B179" s="217"/>
      <c r="C179" s="217">
        <v>71</v>
      </c>
      <c r="D179" s="101"/>
      <c r="E179" s="217"/>
      <c r="F179" s="556" t="s">
        <v>237</v>
      </c>
      <c r="G179" s="295" t="str">
        <f>VLOOKUP(F179,'GL Category'!A:C,3,FALSE)</f>
        <v>Services &amp; other</v>
      </c>
      <c r="H179" s="98" t="str">
        <f>VLOOKUP(F179,'GL Category'!A:C,2,FALSE)</f>
        <v>MISCELLANEOUS SERVICES</v>
      </c>
      <c r="I179" s="99">
        <f>SUMIFS(I$1:I147,$C$1:$C147,$C179,$F$1:$F147,$F179)</f>
        <v>2291.4699999999998</v>
      </c>
      <c r="J179" s="99">
        <f>SUMIFS(J$1:J147,$C$1:$C147,$C179,$F$1:$F147,$F179)</f>
        <v>2887.9</v>
      </c>
      <c r="K179" s="99">
        <f>SUMIFS(K$1:K147,$C$1:$C147,$C179,$F$1:$F147,$F179)</f>
        <v>10439.280000000001</v>
      </c>
      <c r="L179" s="99">
        <f>SUMIFS(L$1:L147,$C$1:$C147,$C179,$F$1:$F147,$F179)</f>
        <v>7569.45</v>
      </c>
      <c r="M179" s="99">
        <f>SUMIFS(M$1:M147,$C$1:$C147,$C179,$F$1:$F147,$F179)</f>
        <v>8132</v>
      </c>
      <c r="N179" s="99">
        <f>SUMIFS(N$1:N147,$C$1:$C147,$C179,$F$1:$F147,$F179)</f>
        <v>4061.72</v>
      </c>
      <c r="O179" s="99">
        <f>SUMIFS(O$1:O147,$C$1:$C147,$C179,$F$1:$F147,$F179)</f>
        <v>8132</v>
      </c>
      <c r="P179" s="99">
        <f>SUMIFS(P$1:P144,$C$1:$C144,$C179,$F$1:$F144,$F179)</f>
        <v>0</v>
      </c>
      <c r="Q179" s="99">
        <f>SUMIFS(Q$1:Q147,$C$1:$C147,$C179,$F$1:$F147,$F179)</f>
        <v>8132</v>
      </c>
      <c r="R179" s="99">
        <f>SUMIFS(R$1:R147,$C$1:$C147,$C179,$F$1:$F147,$F179)</f>
        <v>0</v>
      </c>
      <c r="S179" s="99">
        <f>SUMIFS(S$1:S147,$C$1:$C147,$C179,$F$1:$F147,$F179)</f>
        <v>0</v>
      </c>
      <c r="T179" s="99">
        <f>SUMIFS(T$1:T147,$C$1:$C147,$C179,$F$1:$F147,$F179)</f>
        <v>8132</v>
      </c>
      <c r="U179" s="99">
        <f t="shared" si="151"/>
        <v>0</v>
      </c>
      <c r="V179" s="259">
        <f t="shared" si="152"/>
        <v>0</v>
      </c>
      <c r="W179" s="102"/>
      <c r="X179" s="103" t="str">
        <f t="shared" si="136"/>
        <v>OK</v>
      </c>
      <c r="Y179" s="271"/>
      <c r="Z179" s="121"/>
      <c r="AA179" s="121"/>
      <c r="AB179" s="121"/>
      <c r="AC179" s="121"/>
      <c r="AD179" s="121"/>
      <c r="AE179" s="121"/>
      <c r="AF179" s="121"/>
      <c r="AG179" s="121"/>
      <c r="AH179" s="121"/>
      <c r="AI179" s="121"/>
      <c r="AJ179" s="121"/>
      <c r="AK179" s="121"/>
      <c r="AL179" s="121"/>
    </row>
    <row r="180" spans="1:38" s="115" customFormat="1">
      <c r="A180" s="555"/>
      <c r="B180" s="217"/>
      <c r="C180" s="217">
        <v>71</v>
      </c>
      <c r="D180" s="101"/>
      <c r="E180" s="217"/>
      <c r="F180" s="294" t="s">
        <v>189</v>
      </c>
      <c r="G180" s="295" t="str">
        <f>VLOOKUP(F180,'GL Category'!A:C,3,FALSE)</f>
        <v>Services &amp; other</v>
      </c>
      <c r="H180" s="98" t="str">
        <f>VLOOKUP(F180,'GL Category'!A:C,2,FALSE)</f>
        <v>DUES &amp; SUBSCRIPTIONS</v>
      </c>
      <c r="I180" s="99">
        <f>SUMIFS(I$1:I148,$C$1:$C148,$C180,$F$1:$F148,$F180)</f>
        <v>398</v>
      </c>
      <c r="J180" s="99">
        <f>SUMIFS(J$1:J148,$C$1:$C148,$C180,$F$1:$F148,$F180)</f>
        <v>313</v>
      </c>
      <c r="K180" s="99">
        <f>SUMIFS(K$1:K148,$C$1:$C148,$C180,$F$1:$F148,$F180)</f>
        <v>315</v>
      </c>
      <c r="L180" s="99">
        <f>SUMIFS(L$1:L148,$C$1:$C148,$C180,$F$1:$F148,$F180)</f>
        <v>230</v>
      </c>
      <c r="M180" s="99">
        <f>SUMIFS(M$1:M148,$C$1:$C148,$C180,$F$1:$F148,$F180)</f>
        <v>405</v>
      </c>
      <c r="N180" s="99">
        <f>SUMIFS(N$1:N148,$C$1:$C148,$C180,$F$1:$F148,$F180)</f>
        <v>250</v>
      </c>
      <c r="O180" s="99">
        <f>SUMIFS(O$1:O148,$C$1:$C148,$C180,$F$1:$F148,$F180)</f>
        <v>405</v>
      </c>
      <c r="P180" s="99">
        <f>SUMIFS(P$1:P145,$C$1:$C145,$C180,$F$1:$F145,$F180)</f>
        <v>0</v>
      </c>
      <c r="Q180" s="99">
        <f>SUMIFS(Q$1:Q148,$C$1:$C148,$C180,$F$1:$F148,$F180)</f>
        <v>405</v>
      </c>
      <c r="R180" s="99">
        <f>SUMIFS(R$1:R148,$C$1:$C148,$C180,$F$1:$F148,$F180)</f>
        <v>0</v>
      </c>
      <c r="S180" s="99">
        <f>SUMIFS(S$1:S148,$C$1:$C148,$C180,$F$1:$F148,$F180)</f>
        <v>0</v>
      </c>
      <c r="T180" s="99">
        <f>SUMIFS(T$1:T148,$C$1:$C148,$C180,$F$1:$F148,$F180)</f>
        <v>405</v>
      </c>
      <c r="U180" s="99">
        <f t="shared" si="151"/>
        <v>0</v>
      </c>
      <c r="V180" s="259">
        <f t="shared" si="152"/>
        <v>0</v>
      </c>
      <c r="W180" s="102"/>
      <c r="X180" s="103" t="str">
        <f t="shared" ref="X180:X210" si="153">IF(Q180="","",IF(T180=SUM(Q180:S180),"OK","NO"))</f>
        <v>OK</v>
      </c>
      <c r="Y180" s="271"/>
      <c r="Z180" s="121"/>
      <c r="AA180" s="121"/>
      <c r="AB180" s="121"/>
      <c r="AC180" s="121"/>
      <c r="AD180" s="121"/>
      <c r="AE180" s="121"/>
      <c r="AF180" s="121"/>
      <c r="AG180" s="121"/>
      <c r="AH180" s="121"/>
      <c r="AI180" s="121"/>
      <c r="AJ180" s="121"/>
      <c r="AK180" s="121"/>
      <c r="AL180" s="121"/>
    </row>
    <row r="181" spans="1:38" s="115" customFormat="1">
      <c r="A181" s="555"/>
      <c r="B181" s="217"/>
      <c r="C181" s="217">
        <v>71</v>
      </c>
      <c r="D181" s="101"/>
      <c r="E181" s="217"/>
      <c r="F181" s="556" t="s">
        <v>264</v>
      </c>
      <c r="G181" s="295" t="str">
        <f>VLOOKUP(F181,'GL Category'!A:C,3,FALSE)</f>
        <v>Services &amp; other</v>
      </c>
      <c r="H181" s="98" t="str">
        <f>VLOOKUP(F181,'GL Category'!A:C,2,FALSE)</f>
        <v>TRAVEL, TRAINING &amp; EDUCATION</v>
      </c>
      <c r="I181" s="99">
        <f>SUMIFS(I$1:I149,$C$1:$C149,$C181,$F$1:$F149,$F181)</f>
        <v>2147.89</v>
      </c>
      <c r="J181" s="99">
        <f>SUMIFS(J$1:J149,$C$1:$C149,$C181,$F$1:$F149,$F181)</f>
        <v>1759.25</v>
      </c>
      <c r="K181" s="99">
        <f>SUMIFS(K$1:K149,$C$1:$C149,$C181,$F$1:$F149,$F181)</f>
        <v>4071.83</v>
      </c>
      <c r="L181" s="99">
        <f>SUMIFS(L$1:L149,$C$1:$C149,$C181,$F$1:$F149,$F181)</f>
        <v>5358.08</v>
      </c>
      <c r="M181" s="99">
        <f>SUMIFS(M$1:M149,$C$1:$C149,$C181,$F$1:$F149,$F181)</f>
        <v>2850</v>
      </c>
      <c r="N181" s="99">
        <f>SUMIFS(N$1:N149,$C$1:$C149,$C181,$F$1:$F149,$F181)</f>
        <v>2701.43</v>
      </c>
      <c r="O181" s="99">
        <f>SUMIFS(O$1:O149,$C$1:$C149,$C181,$F$1:$F149,$F181)</f>
        <v>2850</v>
      </c>
      <c r="P181" s="99">
        <f>SUMIFS(P$1:P146,$C$1:$C146,$C181,$F$1:$F146,$F181)</f>
        <v>0</v>
      </c>
      <c r="Q181" s="99">
        <f>SUMIFS(Q$1:Q149,$C$1:$C149,$C181,$F$1:$F149,$F181)</f>
        <v>2850</v>
      </c>
      <c r="R181" s="99">
        <f>SUMIFS(R$1:R149,$C$1:$C149,$C181,$F$1:$F149,$F181)</f>
        <v>0</v>
      </c>
      <c r="S181" s="99">
        <f>SUMIFS(S$1:S149,$C$1:$C149,$C181,$F$1:$F149,$F181)</f>
        <v>0</v>
      </c>
      <c r="T181" s="99">
        <f>SUMIFS(T$1:T149,$C$1:$C149,$C181,$F$1:$F149,$F181)</f>
        <v>2850</v>
      </c>
      <c r="U181" s="99">
        <f t="shared" si="151"/>
        <v>0</v>
      </c>
      <c r="V181" s="259">
        <f t="shared" si="152"/>
        <v>0</v>
      </c>
      <c r="W181" s="102"/>
      <c r="X181" s="103" t="str">
        <f t="shared" si="153"/>
        <v>OK</v>
      </c>
      <c r="Y181" s="271"/>
      <c r="Z181" s="121"/>
      <c r="AA181" s="121"/>
      <c r="AB181" s="121"/>
      <c r="AC181" s="121"/>
      <c r="AD181" s="121"/>
      <c r="AE181" s="121"/>
      <c r="AF181" s="121"/>
      <c r="AG181" s="121"/>
      <c r="AH181" s="121"/>
      <c r="AI181" s="121"/>
      <c r="AJ181" s="121"/>
      <c r="AK181" s="121"/>
      <c r="AL181" s="121"/>
    </row>
    <row r="182" spans="1:38" s="115" customFormat="1">
      <c r="A182" s="555"/>
      <c r="B182" s="217"/>
      <c r="C182" s="217">
        <v>71</v>
      </c>
      <c r="D182" s="101"/>
      <c r="E182" s="217"/>
      <c r="F182" s="294" t="s">
        <v>192</v>
      </c>
      <c r="G182" s="295" t="str">
        <f>VLOOKUP(F182,'GL Category'!A:C,3,FALSE)</f>
        <v>Services &amp; other</v>
      </c>
      <c r="H182" s="98" t="str">
        <f>VLOOKUP(F182,'GL Category'!A:C,2,FALSE)</f>
        <v>CONSULTING SERVICES</v>
      </c>
      <c r="I182" s="99">
        <f>SUMIFS(I$1:I150,$C$1:$C150,$C182,$F$1:$F150,$F182)</f>
        <v>572.75</v>
      </c>
      <c r="J182" s="99">
        <f>SUMIFS(J$1:J150,$C$1:$C150,$C182,$F$1:$F150,$F182)</f>
        <v>537.5</v>
      </c>
      <c r="K182" s="99">
        <f>SUMIFS(K$1:K150,$C$1:$C150,$C182,$F$1:$F150,$F182)</f>
        <v>23184.62</v>
      </c>
      <c r="L182" s="99">
        <f>SUMIFS(L$1:L150,$C$1:$C150,$C182,$F$1:$F150,$F182)</f>
        <v>0</v>
      </c>
      <c r="M182" s="99">
        <f>SUMIFS(M$1:M150,$C$1:$C150,$C182,$F$1:$F150,$F182)</f>
        <v>0</v>
      </c>
      <c r="N182" s="99">
        <f>SUMIFS(N$1:N150,$C$1:$C150,$C182,$F$1:$F150,$F182)</f>
        <v>0</v>
      </c>
      <c r="O182" s="99">
        <f>SUMIFS(O$1:O150,$C$1:$C150,$C182,$F$1:$F150,$F182)</f>
        <v>0</v>
      </c>
      <c r="P182" s="99">
        <f>SUMIFS(P$1:P148,$C$1:$C148,$C182,$F$1:$F148,$F182)</f>
        <v>0</v>
      </c>
      <c r="Q182" s="99">
        <f>SUMIFS(Q$1:Q150,$C$1:$C150,$C182,$F$1:$F150,$F182)</f>
        <v>0</v>
      </c>
      <c r="R182" s="99">
        <f>SUMIFS(R$1:R150,$C$1:$C150,$C182,$F$1:$F150,$F182)</f>
        <v>0</v>
      </c>
      <c r="S182" s="99">
        <f>SUMIFS(S$1:S150,$C$1:$C150,$C182,$F$1:$F150,$F182)</f>
        <v>0</v>
      </c>
      <c r="T182" s="99">
        <f>SUMIFS(T$1:T150,$C$1:$C150,$C182,$F$1:$F150,$F182)</f>
        <v>0</v>
      </c>
      <c r="U182" s="99">
        <f t="shared" si="151"/>
        <v>0</v>
      </c>
      <c r="V182" s="259" t="str">
        <f t="shared" si="152"/>
        <v>N/A</v>
      </c>
      <c r="W182" s="102"/>
      <c r="X182" s="103" t="str">
        <f t="shared" si="153"/>
        <v>OK</v>
      </c>
      <c r="Y182" s="271"/>
      <c r="Z182" s="121"/>
      <c r="AA182" s="121"/>
      <c r="AB182" s="121"/>
      <c r="AC182" s="121"/>
      <c r="AD182" s="121"/>
      <c r="AE182" s="121"/>
      <c r="AF182" s="121"/>
      <c r="AG182" s="121"/>
      <c r="AH182" s="121"/>
      <c r="AI182" s="121"/>
      <c r="AJ182" s="121"/>
      <c r="AK182" s="121"/>
      <c r="AL182" s="121"/>
    </row>
    <row r="183" spans="1:38" s="115" customFormat="1">
      <c r="A183" s="555"/>
      <c r="B183" s="217"/>
      <c r="C183" s="217">
        <v>71</v>
      </c>
      <c r="D183" s="101"/>
      <c r="E183" s="217"/>
      <c r="F183" s="294" t="s">
        <v>198</v>
      </c>
      <c r="G183" s="295" t="str">
        <f>VLOOKUP(F183,'GL Category'!A:C,3,FALSE)</f>
        <v>Services &amp; other</v>
      </c>
      <c r="H183" s="98" t="str">
        <f>VLOOKUP(F183,'GL Category'!A:C,2,FALSE)</f>
        <v>EQUIPMENT RENTAL</v>
      </c>
      <c r="I183" s="99">
        <f>SUMIFS(I$1:I151,$C$1:$C151,$C183,$F$1:$F151,$F183)</f>
        <v>908</v>
      </c>
      <c r="J183" s="99">
        <f>SUMIFS(J$1:J151,$C$1:$C151,$C183,$F$1:$F151,$F183)</f>
        <v>908</v>
      </c>
      <c r="K183" s="99">
        <f>SUMIFS(K$1:K151,$C$1:$C151,$C183,$F$1:$F151,$F183)</f>
        <v>908</v>
      </c>
      <c r="L183" s="99">
        <f>SUMIFS(L$1:L151,$C$1:$C151,$C183,$F$1:$F151,$F183)</f>
        <v>908</v>
      </c>
      <c r="M183" s="99">
        <f>SUMIFS(M$1:M151,$C$1:$C151,$C183,$F$1:$F151,$F183)</f>
        <v>1000</v>
      </c>
      <c r="N183" s="99">
        <f>SUMIFS(N$1:N151,$C$1:$C151,$C183,$F$1:$F151,$F183)</f>
        <v>771.48</v>
      </c>
      <c r="O183" s="99">
        <f>SUMIFS(O$1:O151,$C$1:$C151,$C183,$F$1:$F151,$F183)</f>
        <v>1000</v>
      </c>
      <c r="P183" s="99">
        <f>SUMIFS(P$1:P149,$C$1:$C149,$C183,$F$1:$F149,$F183)</f>
        <v>0</v>
      </c>
      <c r="Q183" s="99">
        <f>SUMIFS(Q$1:Q151,$C$1:$C151,$C183,$F$1:$F151,$F183)</f>
        <v>1000</v>
      </c>
      <c r="R183" s="99">
        <f>SUMIFS(R$1:R151,$C$1:$C151,$C183,$F$1:$F151,$F183)</f>
        <v>0</v>
      </c>
      <c r="S183" s="99">
        <f>SUMIFS(S$1:S151,$C$1:$C151,$C183,$F$1:$F151,$F183)</f>
        <v>0</v>
      </c>
      <c r="T183" s="99">
        <f>SUMIFS(T$1:T151,$C$1:$C151,$C183,$F$1:$F151,$F183)</f>
        <v>1000</v>
      </c>
      <c r="U183" s="99">
        <f t="shared" si="151"/>
        <v>0</v>
      </c>
      <c r="V183" s="259">
        <f t="shared" si="152"/>
        <v>0</v>
      </c>
      <c r="W183" s="102"/>
      <c r="X183" s="103" t="str">
        <f t="shared" si="153"/>
        <v>OK</v>
      </c>
      <c r="Y183" s="271"/>
      <c r="Z183" s="121"/>
      <c r="AA183" s="121"/>
      <c r="AB183" s="121"/>
      <c r="AC183" s="121"/>
      <c r="AD183" s="121"/>
      <c r="AE183" s="121"/>
      <c r="AF183" s="121"/>
      <c r="AG183" s="121"/>
      <c r="AH183" s="121"/>
      <c r="AI183" s="121"/>
      <c r="AJ183" s="121"/>
      <c r="AK183" s="121"/>
      <c r="AL183" s="121"/>
    </row>
    <row r="184" spans="1:38" s="115" customFormat="1">
      <c r="A184" s="555"/>
      <c r="B184" s="217"/>
      <c r="C184" s="217">
        <v>71</v>
      </c>
      <c r="D184" s="101"/>
      <c r="E184" s="217"/>
      <c r="F184" s="294" t="s">
        <v>202</v>
      </c>
      <c r="G184" s="295" t="str">
        <f>VLOOKUP(F184,'GL Category'!A:C,3,FALSE)</f>
        <v>Services &amp; other</v>
      </c>
      <c r="H184" s="98" t="str">
        <f>VLOOKUP(F184,'GL Category'!A:C,2,FALSE)</f>
        <v>PRINTING &amp; BINDING SERVICES</v>
      </c>
      <c r="I184" s="99">
        <f>SUMIFS(I$1:I152,$C$1:$C152,$C184,$F$1:$F152,$F184)</f>
        <v>24629.14</v>
      </c>
      <c r="J184" s="99">
        <f>SUMIFS(J$1:J152,$C$1:$C152,$C184,$F$1:$F152,$F184)</f>
        <v>18205.259999999998</v>
      </c>
      <c r="K184" s="99">
        <f>SUMIFS(K$1:K152,$C$1:$C152,$C184,$F$1:$F152,$F184)</f>
        <v>14559.43</v>
      </c>
      <c r="L184" s="99">
        <f>SUMIFS(L$1:L152,$C$1:$C152,$C184,$F$1:$F152,$F184)</f>
        <v>15624.61</v>
      </c>
      <c r="M184" s="99">
        <f>SUMIFS(M$1:M152,$C$1:$C152,$C184,$F$1:$F152,$F184)</f>
        <v>26253</v>
      </c>
      <c r="N184" s="99">
        <f>SUMIFS(N$1:N152,$C$1:$C152,$C184,$F$1:$F152,$F184)</f>
        <v>11226.22</v>
      </c>
      <c r="O184" s="99">
        <f>SUMIFS(O$1:O152,$C$1:$C152,$C184,$F$1:$F152,$F184)</f>
        <v>26253</v>
      </c>
      <c r="P184" s="99">
        <f>SUMIFS(P$1:P150,$C$1:$C150,$C184,$F$1:$F150,$F184)</f>
        <v>0</v>
      </c>
      <c r="Q184" s="99">
        <f>SUMIFS(Q$1:Q152,$C$1:$C152,$C184,$F$1:$F152,$F184)</f>
        <v>26253</v>
      </c>
      <c r="R184" s="99">
        <f>SUMIFS(R$1:R152,$C$1:$C152,$C184,$F$1:$F152,$F184)</f>
        <v>0</v>
      </c>
      <c r="S184" s="99">
        <f>SUMIFS(S$1:S152,$C$1:$C152,$C184,$F$1:$F152,$F184)</f>
        <v>0</v>
      </c>
      <c r="T184" s="99">
        <f>SUMIFS(T$1:T152,$C$1:$C152,$C184,$F$1:$F152,$F184)</f>
        <v>26253</v>
      </c>
      <c r="U184" s="99">
        <f t="shared" si="151"/>
        <v>0</v>
      </c>
      <c r="V184" s="259">
        <f t="shared" si="152"/>
        <v>0</v>
      </c>
      <c r="W184" s="102"/>
      <c r="X184" s="103" t="str">
        <f t="shared" si="153"/>
        <v>OK</v>
      </c>
      <c r="Y184" s="271"/>
      <c r="Z184" s="121"/>
      <c r="AA184" s="121"/>
      <c r="AB184" s="121"/>
      <c r="AC184" s="121"/>
      <c r="AD184" s="121"/>
      <c r="AE184" s="121"/>
      <c r="AF184" s="121"/>
      <c r="AG184" s="121"/>
      <c r="AH184" s="121"/>
      <c r="AI184" s="121"/>
      <c r="AJ184" s="121"/>
      <c r="AK184" s="121"/>
      <c r="AL184" s="121"/>
    </row>
    <row r="185" spans="1:38" s="115" customFormat="1">
      <c r="A185" s="555"/>
      <c r="B185" s="217"/>
      <c r="C185" s="217">
        <v>71</v>
      </c>
      <c r="D185" s="101"/>
      <c r="E185" s="217"/>
      <c r="F185" s="294" t="s">
        <v>208</v>
      </c>
      <c r="G185" s="295" t="str">
        <f>VLOOKUP(F185,'GL Category'!A:C,3,FALSE)</f>
        <v>Services &amp; other</v>
      </c>
      <c r="H185" s="98" t="str">
        <f>VLOOKUP(F185,'GL Category'!A:C,2,FALSE)</f>
        <v>GENERAL INSURANCE</v>
      </c>
      <c r="I185" s="99">
        <f>SUMIFS(I$1:I153,$C$1:$C153,$C185,$F$1:$F153,$F185)</f>
        <v>0</v>
      </c>
      <c r="J185" s="99">
        <f>SUMIFS(J$1:J153,$C$1:$C153,$C185,$F$1:$F153,$F185)</f>
        <v>0</v>
      </c>
      <c r="K185" s="99">
        <f>SUMIFS(K$1:K153,$C$1:$C153,$C185,$F$1:$F153,$F185)</f>
        <v>0</v>
      </c>
      <c r="L185" s="99">
        <f>SUMIFS(L$1:L153,$C$1:$C153,$C185,$F$1:$F153,$F185)</f>
        <v>0</v>
      </c>
      <c r="M185" s="99">
        <f>SUMIFS(M$1:M153,$C$1:$C153,$C185,$F$1:$F153,$F185)</f>
        <v>0</v>
      </c>
      <c r="N185" s="99">
        <f>SUMIFS(N$1:N153,$C$1:$C153,$C185,$F$1:$F153,$F185)</f>
        <v>0</v>
      </c>
      <c r="O185" s="99">
        <f>SUMIFS(O$1:O153,$C$1:$C153,$C185,$F$1:$F153,$F185)</f>
        <v>0</v>
      </c>
      <c r="P185" s="99">
        <f>SUMIFS(P$1:P151,$C$1:$C151,$C185,$F$1:$F151,$F185)</f>
        <v>0</v>
      </c>
      <c r="Q185" s="99">
        <f>SUMIFS(Q$1:Q153,$C$1:$C153,$C185,$F$1:$F153,$F185)</f>
        <v>0</v>
      </c>
      <c r="R185" s="99">
        <f>SUMIFS(R$1:R153,$C$1:$C153,$C185,$F$1:$F153,$F185)</f>
        <v>0</v>
      </c>
      <c r="S185" s="99">
        <f>SUMIFS(S$1:S153,$C$1:$C153,$C185,$F$1:$F153,$F185)</f>
        <v>0</v>
      </c>
      <c r="T185" s="99">
        <f>SUMIFS(T$1:T153,$C$1:$C153,$C185,$F$1:$F153,$F185)</f>
        <v>0</v>
      </c>
      <c r="U185" s="99">
        <f t="shared" si="151"/>
        <v>0</v>
      </c>
      <c r="V185" s="259" t="str">
        <f t="shared" si="152"/>
        <v>N/A</v>
      </c>
      <c r="W185" s="102"/>
      <c r="X185" s="103" t="str">
        <f t="shared" si="153"/>
        <v>OK</v>
      </c>
      <c r="Y185" s="271"/>
      <c r="Z185" s="121"/>
      <c r="AA185" s="121"/>
      <c r="AB185" s="121"/>
      <c r="AC185" s="121"/>
      <c r="AD185" s="121"/>
      <c r="AE185" s="121"/>
      <c r="AF185" s="121"/>
      <c r="AG185" s="121"/>
      <c r="AH185" s="121"/>
      <c r="AI185" s="121"/>
      <c r="AJ185" s="121"/>
      <c r="AK185" s="121"/>
      <c r="AL185" s="121"/>
    </row>
    <row r="186" spans="1:38" s="115" customFormat="1">
      <c r="A186" s="555"/>
      <c r="B186" s="217"/>
      <c r="C186" s="217">
        <v>71</v>
      </c>
      <c r="D186" s="101"/>
      <c r="E186" s="217"/>
      <c r="F186" s="294" t="s">
        <v>210</v>
      </c>
      <c r="G186" s="295" t="str">
        <f>VLOOKUP(F186,'GL Category'!A:C,3,FALSE)</f>
        <v>Services &amp; other</v>
      </c>
      <c r="H186" s="98" t="str">
        <f>VLOOKUP(F186,'GL Category'!A:C,2,FALSE)</f>
        <v>TELEPHONE/COMMUNICATIONS</v>
      </c>
      <c r="I186" s="99">
        <f>SUMIFS(I$1:I154,$C$1:$C154,$C186,$F$1:$F154,$F186)</f>
        <v>0</v>
      </c>
      <c r="J186" s="99">
        <f>SUMIFS(J$1:J154,$C$1:$C154,$C186,$F$1:$F154,$F186)</f>
        <v>0</v>
      </c>
      <c r="K186" s="99">
        <f>SUMIFS(K$1:K154,$C$1:$C154,$C186,$F$1:$F154,$F186)</f>
        <v>0</v>
      </c>
      <c r="L186" s="99">
        <f>SUMIFS(L$1:L154,$C$1:$C154,$C186,$F$1:$F154,$F186)</f>
        <v>0</v>
      </c>
      <c r="M186" s="99">
        <f>SUMIFS(M$1:M154,$C$1:$C154,$C186,$F$1:$F154,$F186)</f>
        <v>0</v>
      </c>
      <c r="N186" s="99">
        <f>SUMIFS(N$1:N154,$C$1:$C154,$C186,$F$1:$F154,$F186)</f>
        <v>0</v>
      </c>
      <c r="O186" s="99">
        <f>SUMIFS(O$1:O154,$C$1:$C154,$C186,$F$1:$F154,$F186)</f>
        <v>0</v>
      </c>
      <c r="P186" s="99">
        <f>SUMIFS(P$1:P152,$C$1:$C152,$C186,$F$1:$F152,$F186)</f>
        <v>0</v>
      </c>
      <c r="Q186" s="99">
        <f>SUMIFS(Q$1:Q154,$C$1:$C154,$C186,$F$1:$F154,$F186)</f>
        <v>0</v>
      </c>
      <c r="R186" s="99">
        <f>SUMIFS(R$1:R154,$C$1:$C154,$C186,$F$1:$F154,$F186)</f>
        <v>0</v>
      </c>
      <c r="S186" s="99">
        <f>SUMIFS(S$1:S154,$C$1:$C154,$C186,$F$1:$F154,$F186)</f>
        <v>0</v>
      </c>
      <c r="T186" s="99">
        <f>SUMIFS(T$1:T154,$C$1:$C154,$C186,$F$1:$F154,$F186)</f>
        <v>0</v>
      </c>
      <c r="U186" s="99">
        <f t="shared" si="151"/>
        <v>0</v>
      </c>
      <c r="V186" s="259" t="str">
        <f t="shared" si="152"/>
        <v>N/A</v>
      </c>
      <c r="W186" s="102"/>
      <c r="X186" s="103" t="str">
        <f t="shared" si="153"/>
        <v>OK</v>
      </c>
      <c r="Y186" s="271"/>
      <c r="Z186" s="121"/>
      <c r="AA186" s="121"/>
      <c r="AB186" s="121"/>
      <c r="AC186" s="121"/>
      <c r="AD186" s="121"/>
      <c r="AE186" s="121"/>
      <c r="AF186" s="121"/>
      <c r="AG186" s="121"/>
      <c r="AH186" s="121"/>
      <c r="AI186" s="121"/>
      <c r="AJ186" s="121"/>
      <c r="AK186" s="121"/>
      <c r="AL186" s="121"/>
    </row>
    <row r="187" spans="1:38" s="115" customFormat="1">
      <c r="A187" s="555"/>
      <c r="B187" s="217"/>
      <c r="C187" s="217">
        <v>71</v>
      </c>
      <c r="D187" s="101"/>
      <c r="E187" s="217"/>
      <c r="F187" s="294" t="s">
        <v>218</v>
      </c>
      <c r="G187" s="295" t="str">
        <f>VLOOKUP(F187,'GL Category'!A:C,3,FALSE)</f>
        <v>Services &amp; other</v>
      </c>
      <c r="H187" s="98" t="str">
        <f>VLOOKUP(F187,'GL Category'!A:C,2,FALSE)</f>
        <v>BANKING SERVICES CHARGES</v>
      </c>
      <c r="I187" s="99">
        <f>SUMIFS(I$1:I155,$C$1:$C155,$C187,$F$1:$F155,$F187)</f>
        <v>321042.67</v>
      </c>
      <c r="J187" s="99">
        <f>SUMIFS(J$1:J155,$C$1:$C155,$C187,$F$1:$F155,$F187)</f>
        <v>353062.51</v>
      </c>
      <c r="K187" s="99">
        <f>SUMIFS(K$1:K155,$C$1:$C155,$C187,$F$1:$F155,$F187)</f>
        <v>480986.96</v>
      </c>
      <c r="L187" s="99">
        <f>SUMIFS(L$1:L155,$C$1:$C155,$C187,$F$1:$F155,$F187)</f>
        <v>680601.63</v>
      </c>
      <c r="M187" s="99">
        <f>SUMIFS(M$1:M155,$C$1:$C155,$C187,$F$1:$F155,$F187)</f>
        <v>679951</v>
      </c>
      <c r="N187" s="99">
        <f>SUMIFS(N$1:N155,$C$1:$C155,$C187,$F$1:$F155,$F187)</f>
        <v>879581.52</v>
      </c>
      <c r="O187" s="99">
        <f>SUMIFS(O$1:O155,$C$1:$C155,$C187,$F$1:$F155,$F187)</f>
        <v>979951</v>
      </c>
      <c r="P187" s="99">
        <f>SUMIFS(P$1:P153,$C$1:$C153,$C187,$F$1:$F153,$F187)</f>
        <v>300000</v>
      </c>
      <c r="Q187" s="99">
        <f>SUMIFS(Q$1:Q155,$C$1:$C155,$C187,$F$1:$F155,$F187)</f>
        <v>979951</v>
      </c>
      <c r="R187" s="99">
        <f>SUMIFS(R$1:R155,$C$1:$C155,$C187,$F$1:$F155,$F187)</f>
        <v>0</v>
      </c>
      <c r="S187" s="99">
        <f>SUMIFS(S$1:S155,$C$1:$C155,$C187,$F$1:$F155,$F187)</f>
        <v>0</v>
      </c>
      <c r="T187" s="99">
        <f>SUMIFS(T$1:T155,$C$1:$C155,$C187,$F$1:$F155,$F187)</f>
        <v>979951</v>
      </c>
      <c r="U187" s="99">
        <f t="shared" si="151"/>
        <v>300000</v>
      </c>
      <c r="V187" s="259">
        <f t="shared" si="152"/>
        <v>0.44120826353663722</v>
      </c>
      <c r="W187" s="334">
        <v>-0.38026465130303255</v>
      </c>
      <c r="X187" s="103" t="str">
        <f t="shared" si="153"/>
        <v>OK</v>
      </c>
      <c r="Y187" s="271"/>
      <c r="Z187" s="121"/>
      <c r="AA187" s="121"/>
      <c r="AB187" s="121"/>
      <c r="AC187" s="121"/>
      <c r="AD187" s="121"/>
      <c r="AE187" s="121"/>
      <c r="AF187" s="121"/>
      <c r="AG187" s="121"/>
      <c r="AH187" s="121"/>
      <c r="AI187" s="121"/>
      <c r="AJ187" s="121"/>
      <c r="AK187" s="121"/>
      <c r="AL187" s="121"/>
    </row>
    <row r="188" spans="1:38" s="115" customFormat="1">
      <c r="A188" s="555"/>
      <c r="B188" s="217"/>
      <c r="C188" s="217">
        <v>71</v>
      </c>
      <c r="D188" s="101"/>
      <c r="E188" s="217"/>
      <c r="F188" s="556" t="s">
        <v>3124</v>
      </c>
      <c r="G188" s="295" t="str">
        <f>VLOOKUP(F188,'GL Category'!A:C,3,FALSE)</f>
        <v>Services &amp; other</v>
      </c>
      <c r="H188" s="98" t="str">
        <f>VLOOKUP(F188,'GL Category'!A:C,2,FALSE)</f>
        <v>VEHICLE/EQUIP LEASE EXP-CITY</v>
      </c>
      <c r="I188" s="99">
        <f>SUMIFS(I$1:I156,$C$1:$C156,$C188,$F$1:$F156,$F188)</f>
        <v>18350</v>
      </c>
      <c r="J188" s="99">
        <f>SUMIFS(J$1:J156,$C$1:$C156,$C188,$F$1:$F156,$F188)</f>
        <v>20066</v>
      </c>
      <c r="K188" s="99">
        <f>SUMIFS(K$1:K156,$C$1:$C156,$C188,$F$1:$F156,$F188)</f>
        <v>23765</v>
      </c>
      <c r="L188" s="99">
        <f>SUMIFS(L$1:L156,$C$1:$C156,$C188,$F$1:$F156,$F188)</f>
        <v>26173</v>
      </c>
      <c r="M188" s="99">
        <f>SUMIFS(M$1:M156,$C$1:$C156,$C188,$F$1:$F156,$F188)</f>
        <v>27581</v>
      </c>
      <c r="N188" s="99">
        <f>SUMIFS(N$1:N156,$C$1:$C156,$C188,$F$1:$F156,$F188)</f>
        <v>20685.75</v>
      </c>
      <c r="O188" s="99">
        <f>SUMIFS(O$1:O156,$C$1:$C156,$C188,$F$1:$F156,$F188)</f>
        <v>27581</v>
      </c>
      <c r="P188" s="99">
        <f>SUMIFS(P$1:P154,$C$1:$C154,$C188,$F$1:$F154,$F188)</f>
        <v>0</v>
      </c>
      <c r="Q188" s="99">
        <f>SUMIFS(Q$1:Q156,$C$1:$C156,$C188,$F$1:$F156,$F188)</f>
        <v>27743</v>
      </c>
      <c r="R188" s="99">
        <f>SUMIFS(R$1:R156,$C$1:$C156,$C188,$F$1:$F156,$F188)</f>
        <v>0</v>
      </c>
      <c r="S188" s="99">
        <f>SUMIFS(S$1:S156,$C$1:$C156,$C188,$F$1:$F156,$F188)</f>
        <v>0</v>
      </c>
      <c r="T188" s="99">
        <f>SUMIFS(T$1:T156,$C$1:$C156,$C188,$F$1:$F156,$F188)</f>
        <v>27743</v>
      </c>
      <c r="U188" s="99">
        <f t="shared" si="151"/>
        <v>162</v>
      </c>
      <c r="V188" s="259">
        <f t="shared" si="152"/>
        <v>5.8736086436315116E-3</v>
      </c>
      <c r="W188" s="102"/>
      <c r="X188" s="103" t="str">
        <f t="shared" si="153"/>
        <v>OK</v>
      </c>
      <c r="Y188" s="271"/>
      <c r="Z188" s="121"/>
      <c r="AA188" s="121"/>
      <c r="AB188" s="121"/>
      <c r="AC188" s="121"/>
      <c r="AD188" s="121"/>
      <c r="AE188" s="121"/>
      <c r="AF188" s="121"/>
      <c r="AG188" s="121"/>
      <c r="AH188" s="121"/>
      <c r="AI188" s="121"/>
      <c r="AJ188" s="121"/>
      <c r="AK188" s="121"/>
      <c r="AL188" s="121"/>
    </row>
    <row r="189" spans="1:38" s="115" customFormat="1">
      <c r="A189" s="555"/>
      <c r="B189" s="217"/>
      <c r="C189" s="217">
        <v>71</v>
      </c>
      <c r="D189" s="101"/>
      <c r="E189" s="217"/>
      <c r="F189" s="556" t="s">
        <v>3122</v>
      </c>
      <c r="G189" s="295" t="str">
        <f>VLOOKUP(F189,'GL Category'!A:C,3,FALSE)</f>
        <v>Services &amp; other</v>
      </c>
      <c r="H189" s="98" t="str">
        <f>VLOOKUP(F189,'GL Category'!A:C,2,FALSE)</f>
        <v>OFFICE EQUIP LEASE EXP-CITY</v>
      </c>
      <c r="I189" s="99">
        <f>SUMIFS(I$1:I157,$C$1:$C157,$C189,$F$1:$F157,$F189)</f>
        <v>150803</v>
      </c>
      <c r="J189" s="99">
        <f>SUMIFS(J$1:J157,$C$1:$C157,$C189,$F$1:$F157,$F189)</f>
        <v>134610</v>
      </c>
      <c r="K189" s="99">
        <f>SUMIFS(K$1:K157,$C$1:$C157,$C189,$F$1:$F157,$F189)</f>
        <v>123983</v>
      </c>
      <c r="L189" s="99">
        <f>SUMIFS(L$1:L157,$C$1:$C157,$C189,$F$1:$F157,$F189)</f>
        <v>126357</v>
      </c>
      <c r="M189" s="99">
        <f>SUMIFS(M$1:M157,$C$1:$C157,$C189,$F$1:$F157,$F189)</f>
        <v>117310</v>
      </c>
      <c r="N189" s="99">
        <f>SUMIFS(N$1:N157,$C$1:$C157,$C189,$F$1:$F157,$F189)</f>
        <v>87982.5</v>
      </c>
      <c r="O189" s="99">
        <f>SUMIFS(O$1:O157,$C$1:$C157,$C189,$F$1:$F157,$F189)</f>
        <v>117310</v>
      </c>
      <c r="P189" s="99">
        <f>SUMIFS(P$1:P155,$C$1:$C155,$C189,$F$1:$F155,$F189)</f>
        <v>0</v>
      </c>
      <c r="Q189" s="99">
        <f>SUMIFS(Q$1:Q157,$C$1:$C157,$C189,$F$1:$F157,$F189)</f>
        <v>128314</v>
      </c>
      <c r="R189" s="99">
        <f>SUMIFS(R$1:R157,$C$1:$C157,$C189,$F$1:$F157,$F189)</f>
        <v>0</v>
      </c>
      <c r="S189" s="99">
        <f>SUMIFS(S$1:S157,$C$1:$C157,$C189,$F$1:$F157,$F189)</f>
        <v>0</v>
      </c>
      <c r="T189" s="99">
        <f>SUMIFS(T$1:T157,$C$1:$C157,$C189,$F$1:$F157,$F189)</f>
        <v>128314</v>
      </c>
      <c r="U189" s="99">
        <f t="shared" si="151"/>
        <v>11004</v>
      </c>
      <c r="V189" s="259">
        <f t="shared" si="152"/>
        <v>9.3802744864035503E-2</v>
      </c>
      <c r="W189" s="102"/>
      <c r="X189" s="103" t="str">
        <f t="shared" si="153"/>
        <v>OK</v>
      </c>
      <c r="Y189" s="271"/>
      <c r="Z189" s="121"/>
      <c r="AA189" s="121"/>
      <c r="AB189" s="121"/>
      <c r="AC189" s="121"/>
      <c r="AD189" s="121"/>
      <c r="AE189" s="121"/>
      <c r="AF189" s="121"/>
      <c r="AG189" s="121"/>
      <c r="AH189" s="121"/>
      <c r="AI189" s="121"/>
      <c r="AJ189" s="121"/>
      <c r="AK189" s="121"/>
      <c r="AL189" s="121"/>
    </row>
    <row r="190" spans="1:38" s="115" customFormat="1">
      <c r="A190" s="555"/>
      <c r="B190" s="217"/>
      <c r="C190" s="217"/>
      <c r="D190" s="101"/>
      <c r="E190" s="217"/>
      <c r="F190" s="294"/>
      <c r="G190" s="146"/>
      <c r="H190" s="107" t="str">
        <f>UPPER(G189)&amp;" TOTAL"</f>
        <v>SERVICES &amp; OTHER TOTAL</v>
      </c>
      <c r="I190" s="108">
        <f t="shared" ref="I190" si="154">SUBTOTAL(9,I188:I189)</f>
        <v>169153</v>
      </c>
      <c r="J190" s="108">
        <f t="shared" ref="J190:P190" si="155">SUBTOTAL(9,J188:J189)</f>
        <v>154676</v>
      </c>
      <c r="K190" s="108">
        <f t="shared" ref="K190" si="156">SUBTOTAL(9,K188:K189)</f>
        <v>147748</v>
      </c>
      <c r="L190" s="108">
        <f t="shared" ref="L190" si="157">SUBTOTAL(9,L188:L189)</f>
        <v>152530</v>
      </c>
      <c r="M190" s="108">
        <f t="shared" si="155"/>
        <v>144891</v>
      </c>
      <c r="N190" s="108">
        <f t="shared" ref="N190" si="158">SUBTOTAL(9,N188:N189)</f>
        <v>108668.25</v>
      </c>
      <c r="O190" s="108">
        <f t="shared" si="155"/>
        <v>144891</v>
      </c>
      <c r="P190" s="108">
        <f t="shared" si="155"/>
        <v>0</v>
      </c>
      <c r="Q190" s="108">
        <f>SUBTOTAL(9,Q188:Q189)</f>
        <v>156057</v>
      </c>
      <c r="R190" s="108">
        <f>SUBTOTAL(9,R188:R189)</f>
        <v>0</v>
      </c>
      <c r="S190" s="108">
        <f>SUBTOTAL(9,S188:S189)</f>
        <v>0</v>
      </c>
      <c r="T190" s="108">
        <f>SUBTOTAL(9,T178:T189)</f>
        <v>1174648</v>
      </c>
      <c r="U190" s="99">
        <f t="shared" si="151"/>
        <v>1029757</v>
      </c>
      <c r="V190" s="259">
        <f t="shared" si="152"/>
        <v>7.1071150036924315</v>
      </c>
      <c r="W190" s="102"/>
      <c r="X190" s="103" t="str">
        <f t="shared" si="153"/>
        <v>NO</v>
      </c>
      <c r="Y190" s="271"/>
      <c r="Z190" s="121"/>
      <c r="AA190" s="121"/>
      <c r="AB190" s="121"/>
      <c r="AC190" s="121"/>
      <c r="AD190" s="121"/>
      <c r="AE190" s="121"/>
      <c r="AF190" s="121"/>
      <c r="AG190" s="121"/>
      <c r="AH190" s="121"/>
      <c r="AI190" s="121"/>
      <c r="AJ190" s="121"/>
      <c r="AK190" s="121"/>
      <c r="AL190" s="121"/>
    </row>
    <row r="191" spans="1:38" s="115" customFormat="1">
      <c r="A191" s="555"/>
      <c r="B191" s="217"/>
      <c r="C191" s="217"/>
      <c r="D191" s="101"/>
      <c r="E191" s="217"/>
      <c r="F191" s="294"/>
      <c r="G191" s="146"/>
      <c r="H191" s="98"/>
      <c r="I191" s="218"/>
      <c r="J191" s="218"/>
      <c r="K191" s="218"/>
      <c r="L191" s="218"/>
      <c r="M191" s="218"/>
      <c r="N191" s="226"/>
      <c r="O191" s="226"/>
      <c r="P191" s="226"/>
      <c r="Q191" s="111"/>
      <c r="R191" s="111"/>
      <c r="S191" s="111"/>
      <c r="T191" s="230"/>
      <c r="U191" s="230"/>
      <c r="V191" s="230"/>
      <c r="W191" s="102"/>
      <c r="X191" s="103" t="str">
        <f t="shared" si="153"/>
        <v/>
      </c>
      <c r="Y191" s="271"/>
      <c r="Z191" s="121"/>
      <c r="AA191" s="121"/>
      <c r="AB191" s="121"/>
      <c r="AC191" s="121"/>
      <c r="AD191" s="121"/>
      <c r="AE191" s="121"/>
      <c r="AF191" s="121"/>
      <c r="AG191" s="121"/>
      <c r="AH191" s="121"/>
      <c r="AI191" s="121"/>
      <c r="AJ191" s="121"/>
      <c r="AK191" s="121"/>
      <c r="AL191" s="121"/>
    </row>
    <row r="192" spans="1:38" s="115" customFormat="1">
      <c r="A192" s="555"/>
      <c r="B192" s="217"/>
      <c r="C192" s="217"/>
      <c r="D192" s="101"/>
      <c r="E192" s="217"/>
      <c r="F192" s="294"/>
      <c r="G192" s="146"/>
      <c r="H192" s="114" t="s">
        <v>51</v>
      </c>
      <c r="I192" s="221">
        <f t="shared" ref="I192" si="159">SUBTOTAL(9,I151:I191)</f>
        <v>1831138.6599999995</v>
      </c>
      <c r="J192" s="221">
        <f t="shared" ref="J192:T192" si="160">SUBTOTAL(9,J151:J191)</f>
        <v>1885378.01</v>
      </c>
      <c r="K192" s="221">
        <f t="shared" ref="K192" si="161">SUBTOTAL(9,K151:K191)</f>
        <v>1962036.4000000001</v>
      </c>
      <c r="L192" s="221">
        <f t="shared" ref="L192" si="162">SUBTOTAL(9,L151:L191)</f>
        <v>2202608.1</v>
      </c>
      <c r="M192" s="221">
        <f t="shared" si="160"/>
        <v>2183351</v>
      </c>
      <c r="N192" s="221">
        <f t="shared" ref="N192" si="163">SUBTOTAL(9,N151:N191)</f>
        <v>1871637.1099999999</v>
      </c>
      <c r="O192" s="221">
        <f t="shared" si="160"/>
        <v>2497907</v>
      </c>
      <c r="P192" s="221">
        <f t="shared" si="160"/>
        <v>321348</v>
      </c>
      <c r="Q192" s="221">
        <f t="shared" si="160"/>
        <v>2507096</v>
      </c>
      <c r="R192" s="221">
        <f t="shared" si="160"/>
        <v>0</v>
      </c>
      <c r="S192" s="221">
        <f t="shared" si="160"/>
        <v>0</v>
      </c>
      <c r="T192" s="221">
        <f t="shared" si="160"/>
        <v>2507096</v>
      </c>
      <c r="U192" s="99">
        <f>T192-M192</f>
        <v>323745</v>
      </c>
      <c r="V192" s="259">
        <f>IF(M192=0,"N/A",T192/M192-1)</f>
        <v>0.14827895285732806</v>
      </c>
      <c r="W192" s="102"/>
      <c r="X192" s="103" t="str">
        <f t="shared" si="153"/>
        <v>OK</v>
      </c>
      <c r="Y192" s="271"/>
      <c r="Z192" s="121"/>
      <c r="AA192" s="121"/>
      <c r="AB192" s="121"/>
      <c r="AC192" s="121"/>
      <c r="AD192" s="121"/>
      <c r="AE192" s="121"/>
      <c r="AF192" s="121"/>
      <c r="AG192" s="121"/>
      <c r="AH192" s="121"/>
      <c r="AI192" s="121"/>
      <c r="AJ192" s="121"/>
      <c r="AK192" s="121"/>
      <c r="AL192" s="121"/>
    </row>
    <row r="193" spans="1:38" s="115" customFormat="1">
      <c r="A193" s="555"/>
      <c r="B193" s="217"/>
      <c r="C193" s="217"/>
      <c r="D193" s="101"/>
      <c r="E193" s="217"/>
      <c r="F193" s="294"/>
      <c r="G193" s="146"/>
      <c r="H193" s="98"/>
      <c r="I193" s="218"/>
      <c r="J193" s="218"/>
      <c r="K193" s="218"/>
      <c r="L193" s="218"/>
      <c r="M193" s="218"/>
      <c r="N193" s="96"/>
      <c r="O193" s="96"/>
      <c r="P193" s="96"/>
      <c r="Q193" s="212"/>
      <c r="R193" s="212"/>
      <c r="S193" s="212"/>
      <c r="T193" s="212"/>
      <c r="U193" s="212"/>
      <c r="V193" s="113"/>
      <c r="W193" s="102"/>
      <c r="X193" s="103" t="str">
        <f t="shared" si="153"/>
        <v/>
      </c>
      <c r="Y193" s="271"/>
      <c r="Z193" s="121"/>
      <c r="AA193" s="121"/>
      <c r="AB193" s="121"/>
      <c r="AC193" s="121"/>
      <c r="AD193" s="121"/>
      <c r="AE193" s="121"/>
      <c r="AF193" s="121"/>
      <c r="AG193" s="121"/>
      <c r="AH193" s="121"/>
      <c r="AI193" s="121"/>
      <c r="AJ193" s="121"/>
      <c r="AK193" s="121"/>
      <c r="AL193" s="121"/>
    </row>
    <row r="194" spans="1:38" s="115" customFormat="1" ht="14.4" thickBot="1">
      <c r="A194" s="555"/>
      <c r="B194" s="217"/>
      <c r="C194" s="217"/>
      <c r="D194" s="101"/>
      <c r="E194" s="217"/>
      <c r="F194" s="294"/>
      <c r="G194" s="146"/>
      <c r="H194" s="89"/>
      <c r="I194" s="223"/>
      <c r="J194" s="223"/>
      <c r="K194" s="223"/>
      <c r="L194" s="223"/>
      <c r="M194" s="223"/>
      <c r="N194" s="234"/>
      <c r="O194" s="234"/>
      <c r="P194" s="234"/>
      <c r="Q194" s="223"/>
      <c r="R194" s="223"/>
      <c r="S194" s="223"/>
      <c r="T194" s="223"/>
      <c r="U194" s="223"/>
      <c r="V194" s="223"/>
      <c r="W194" s="102"/>
      <c r="X194" s="103" t="str">
        <f t="shared" si="153"/>
        <v/>
      </c>
      <c r="Y194" s="271"/>
      <c r="Z194" s="121"/>
      <c r="AA194" s="121"/>
      <c r="AB194" s="121"/>
      <c r="AC194" s="121"/>
      <c r="AD194" s="121"/>
      <c r="AE194" s="121"/>
      <c r="AF194" s="121"/>
      <c r="AG194" s="121"/>
      <c r="AH194" s="121"/>
      <c r="AI194" s="121"/>
      <c r="AJ194" s="121"/>
      <c r="AK194" s="121"/>
      <c r="AL194" s="121"/>
    </row>
    <row r="195" spans="1:38" s="115" customFormat="1" ht="21.6" thickBot="1">
      <c r="A195" s="555"/>
      <c r="B195" s="217"/>
      <c r="C195" s="217"/>
      <c r="D195" s="101"/>
      <c r="E195" s="217"/>
      <c r="F195" s="294"/>
      <c r="G195" s="146"/>
      <c r="H195" s="665" t="s">
        <v>668</v>
      </c>
      <c r="I195" s="666"/>
      <c r="J195" s="666"/>
      <c r="K195" s="666"/>
      <c r="L195" s="666"/>
      <c r="M195" s="666"/>
      <c r="N195" s="666"/>
      <c r="O195" s="666"/>
      <c r="P195" s="666"/>
      <c r="Q195" s="666"/>
      <c r="R195" s="666"/>
      <c r="S195" s="666"/>
      <c r="T195" s="667"/>
      <c r="U195" s="247"/>
      <c r="V195" s="261"/>
      <c r="W195" s="102"/>
      <c r="X195" s="103" t="str">
        <f t="shared" si="153"/>
        <v/>
      </c>
      <c r="Y195" s="271"/>
      <c r="Z195" s="121"/>
      <c r="AA195" s="121"/>
      <c r="AB195" s="121"/>
      <c r="AC195" s="121"/>
      <c r="AD195" s="121"/>
      <c r="AE195" s="121"/>
      <c r="AF195" s="121"/>
      <c r="AG195" s="121"/>
      <c r="AH195" s="121"/>
      <c r="AI195" s="121"/>
      <c r="AJ195" s="121"/>
      <c r="AK195" s="121"/>
      <c r="AL195" s="121"/>
    </row>
    <row r="196" spans="1:38" s="115" customFormat="1" ht="22.8">
      <c r="A196" s="555"/>
      <c r="B196" s="217"/>
      <c r="C196" s="217"/>
      <c r="D196" s="101"/>
      <c r="E196" s="217"/>
      <c r="F196" s="294"/>
      <c r="G196" s="146"/>
      <c r="H196" s="225"/>
      <c r="I196" s="225"/>
      <c r="J196" s="225"/>
      <c r="K196" s="225"/>
      <c r="L196" s="225"/>
      <c r="M196" s="225"/>
      <c r="N196" s="225"/>
      <c r="O196" s="225"/>
      <c r="P196" s="225"/>
      <c r="Q196" s="225"/>
      <c r="R196" s="225"/>
      <c r="S196" s="225"/>
      <c r="T196" s="225"/>
      <c r="U196" s="225"/>
      <c r="V196" s="260"/>
      <c r="W196" s="102"/>
      <c r="X196" s="103" t="str">
        <f t="shared" si="153"/>
        <v/>
      </c>
      <c r="Y196" s="271"/>
      <c r="Z196" s="121"/>
      <c r="AA196" s="121"/>
      <c r="AB196" s="121"/>
      <c r="AC196" s="121"/>
      <c r="AD196" s="121"/>
      <c r="AE196" s="121"/>
      <c r="AF196" s="121"/>
      <c r="AG196" s="121"/>
      <c r="AH196" s="121"/>
      <c r="AI196" s="121"/>
      <c r="AJ196" s="121"/>
      <c r="AK196" s="121"/>
      <c r="AL196" s="121"/>
    </row>
    <row r="197" spans="1:38" s="115" customFormat="1">
      <c r="A197" s="555" t="s">
        <v>1311</v>
      </c>
      <c r="B197" s="217" t="str">
        <f t="shared" ref="B197:B250" si="164">LEFT(A197,3)</f>
        <v>200</v>
      </c>
      <c r="C197" s="217" t="str">
        <f t="shared" ref="C197:C250" si="165">MID(A197,5,2)</f>
        <v>73</v>
      </c>
      <c r="D197" s="101" t="str">
        <f t="shared" ref="D197:D250" si="166">MID(A197,8,3)</f>
        <v>734</v>
      </c>
      <c r="E197" s="217" t="str">
        <f t="shared" ref="E197:E250" si="167">LEFT(A197,10)</f>
        <v>200-73-734</v>
      </c>
      <c r="F197" s="294" t="str">
        <f t="shared" ref="F197:F250" si="168">RIGHT(A197,5)</f>
        <v>50102</v>
      </c>
      <c r="G197" s="295" t="str">
        <f>VLOOKUP(F197,'GL Category'!A:C,3,FALSE)</f>
        <v>Personnel services</v>
      </c>
      <c r="H197" s="98" t="str">
        <f>VLOOKUP(F197,'GL Category'!A:C,2,FALSE)</f>
        <v>NON EXEMPT SALARIES</v>
      </c>
      <c r="I197" s="99">
        <f>SUMIF(Import!$B:$B,$A197,Import!D:D)</f>
        <v>255762.12</v>
      </c>
      <c r="J197" s="99">
        <f>SUMIF(Import!$B:$B,$A197,Import!E:E)</f>
        <v>261393.18</v>
      </c>
      <c r="K197" s="99">
        <f>SUMIF(Import!$B:$B,$A197,Import!F:F)</f>
        <v>281456.68</v>
      </c>
      <c r="L197" s="99">
        <f>SUMIF(Import!$B:$B,$A197,Import!G:G)</f>
        <v>302869.52</v>
      </c>
      <c r="M197" s="99">
        <f>SUMIF(Import!$B:$B,$A197,Import!H:H)</f>
        <v>299528</v>
      </c>
      <c r="N197" s="99">
        <f>SUMIF(Import!$B:$B,$A197,Import!I:I)</f>
        <v>262019.52</v>
      </c>
      <c r="O197" s="99">
        <f>SUMIF(Import!$B:$B,$A197,Import!J:J)</f>
        <v>331027</v>
      </c>
      <c r="P197" s="99">
        <f t="shared" ref="P197:P204" si="169">O197-M197</f>
        <v>31499</v>
      </c>
      <c r="Q197" s="99">
        <f>SUMIF(Import!$B:$B,$A197,Import!K:K)</f>
        <v>310279</v>
      </c>
      <c r="R197" s="99">
        <f>SUMIF(Import!$B:$B,$A197,Import!L:L)</f>
        <v>0</v>
      </c>
      <c r="S197" s="99">
        <f>SUMIF(Import!$B:$B,$A197,Import!M:M)</f>
        <v>0</v>
      </c>
      <c r="T197" s="99">
        <f>SUMIF(Import!$B:$B,$A197,Import!N:N)</f>
        <v>310279</v>
      </c>
      <c r="U197" s="99">
        <f t="shared" ref="U197:U204" si="170">T197-M197</f>
        <v>10751</v>
      </c>
      <c r="V197" s="255">
        <f t="shared" ref="V197:V204" si="171">IF(M197=0,"N/A",T197/M197-1)</f>
        <v>3.5893138537966385E-2</v>
      </c>
      <c r="W197" s="102" t="s">
        <v>1311</v>
      </c>
      <c r="X197" s="103" t="str">
        <f t="shared" si="153"/>
        <v>OK</v>
      </c>
      <c r="Y197" s="271"/>
      <c r="Z197" s="121"/>
      <c r="AA197" s="121"/>
      <c r="AB197" s="121"/>
      <c r="AC197" s="121"/>
      <c r="AD197" s="121"/>
      <c r="AE197" s="121"/>
      <c r="AF197" s="121"/>
      <c r="AG197" s="121"/>
      <c r="AH197" s="121"/>
      <c r="AI197" s="121"/>
      <c r="AJ197" s="121"/>
      <c r="AK197" s="121"/>
      <c r="AL197" s="121"/>
    </row>
    <row r="198" spans="1:38" s="115" customFormat="1">
      <c r="A198" s="555" t="s">
        <v>1312</v>
      </c>
      <c r="B198" s="217" t="str">
        <f t="shared" si="164"/>
        <v>200</v>
      </c>
      <c r="C198" s="217" t="str">
        <f t="shared" si="165"/>
        <v>73</v>
      </c>
      <c r="D198" s="101" t="str">
        <f t="shared" si="166"/>
        <v>734</v>
      </c>
      <c r="E198" s="217" t="str">
        <f t="shared" si="167"/>
        <v>200-73-734</v>
      </c>
      <c r="F198" s="294" t="str">
        <f t="shared" si="168"/>
        <v>50109</v>
      </c>
      <c r="G198" s="295" t="str">
        <f>VLOOKUP(F198,'GL Category'!A:C,3,FALSE)</f>
        <v>Personnel services</v>
      </c>
      <c r="H198" s="98" t="str">
        <f>VLOOKUP(F198,'GL Category'!A:C,2,FALSE)</f>
        <v>OVERTIME</v>
      </c>
      <c r="I198" s="99">
        <f>SUMIF(Import!$B:$B,$A198,Import!D:D)</f>
        <v>20693.580000000002</v>
      </c>
      <c r="J198" s="99">
        <f>SUMIF(Import!$B:$B,$A198,Import!E:E)</f>
        <v>31484.59</v>
      </c>
      <c r="K198" s="99">
        <f>SUMIF(Import!$B:$B,$A198,Import!F:F)</f>
        <v>20622.939999999999</v>
      </c>
      <c r="L198" s="99">
        <f>SUMIF(Import!$B:$B,$A198,Import!G:G)</f>
        <v>23830.95</v>
      </c>
      <c r="M198" s="99">
        <f>SUMIF(Import!$B:$B,$A198,Import!H:H)</f>
        <v>22937</v>
      </c>
      <c r="N198" s="99">
        <f>SUMIF(Import!$B:$B,$A198,Import!I:I)</f>
        <v>17934.48</v>
      </c>
      <c r="O198" s="99">
        <f>SUMIF(Import!$B:$B,$A198,Import!J:J)</f>
        <v>25056</v>
      </c>
      <c r="P198" s="99">
        <f t="shared" si="169"/>
        <v>2119</v>
      </c>
      <c r="Q198" s="99">
        <f>SUMIF(Import!$B:$B,$A198,Import!K:K)</f>
        <v>22902</v>
      </c>
      <c r="R198" s="99">
        <f>SUMIF(Import!$B:$B,$A198,Import!L:L)</f>
        <v>0</v>
      </c>
      <c r="S198" s="99">
        <f>SUMIF(Import!$B:$B,$A198,Import!M:M)</f>
        <v>0</v>
      </c>
      <c r="T198" s="99">
        <f>SUMIF(Import!$B:$B,$A198,Import!N:N)</f>
        <v>22902</v>
      </c>
      <c r="U198" s="99">
        <f t="shared" si="170"/>
        <v>-35</v>
      </c>
      <c r="V198" s="255">
        <f t="shared" si="171"/>
        <v>-1.5259188211187436E-3</v>
      </c>
      <c r="W198" s="102" t="s">
        <v>1312</v>
      </c>
      <c r="X198" s="103" t="str">
        <f t="shared" si="153"/>
        <v>OK</v>
      </c>
      <c r="Y198" s="271"/>
      <c r="Z198" s="121"/>
      <c r="AA198" s="121"/>
      <c r="AB198" s="121"/>
      <c r="AC198" s="121"/>
      <c r="AD198" s="121"/>
      <c r="AE198" s="121"/>
      <c r="AF198" s="121"/>
      <c r="AG198" s="121"/>
      <c r="AH198" s="121"/>
      <c r="AI198" s="121"/>
      <c r="AJ198" s="121"/>
      <c r="AK198" s="121"/>
      <c r="AL198" s="121"/>
    </row>
    <row r="199" spans="1:38" s="115" customFormat="1">
      <c r="A199" s="555" t="s">
        <v>1313</v>
      </c>
      <c r="B199" s="217" t="str">
        <f t="shared" si="164"/>
        <v>200</v>
      </c>
      <c r="C199" s="217" t="str">
        <f t="shared" si="165"/>
        <v>73</v>
      </c>
      <c r="D199" s="101" t="str">
        <f t="shared" si="166"/>
        <v>734</v>
      </c>
      <c r="E199" s="217" t="str">
        <f t="shared" si="167"/>
        <v>200-73-734</v>
      </c>
      <c r="F199" s="294" t="str">
        <f t="shared" si="168"/>
        <v>50111</v>
      </c>
      <c r="G199" s="295" t="str">
        <f>VLOOKUP(F199,'GL Category'!A:C,3,FALSE)</f>
        <v>Personnel services</v>
      </c>
      <c r="H199" s="98" t="str">
        <f>VLOOKUP(F199,'GL Category'!A:C,2,FALSE)</f>
        <v>LONGEVITY PAY</v>
      </c>
      <c r="I199" s="99">
        <f>SUMIF(Import!$B:$B,$A199,Import!D:D)</f>
        <v>4780</v>
      </c>
      <c r="J199" s="99">
        <f>SUMIF(Import!$B:$B,$A199,Import!E:E)</f>
        <v>5080</v>
      </c>
      <c r="K199" s="99">
        <f>SUMIF(Import!$B:$B,$A199,Import!F:F)</f>
        <v>5380</v>
      </c>
      <c r="L199" s="99">
        <f>SUMIF(Import!$B:$B,$A199,Import!G:G)</f>
        <v>5680</v>
      </c>
      <c r="M199" s="99">
        <f>SUMIF(Import!$B:$B,$A199,Import!H:H)</f>
        <v>6062</v>
      </c>
      <c r="N199" s="99">
        <f>SUMIF(Import!$B:$B,$A199,Import!I:I)</f>
        <v>5980</v>
      </c>
      <c r="O199" s="99">
        <f>SUMIF(Import!$B:$B,$A199,Import!J:J)</f>
        <v>5980</v>
      </c>
      <c r="P199" s="99">
        <f t="shared" si="169"/>
        <v>-82</v>
      </c>
      <c r="Q199" s="99">
        <f>SUMIF(Import!$B:$B,$A199,Import!K:K)</f>
        <v>6173</v>
      </c>
      <c r="R199" s="99">
        <f>SUMIF(Import!$B:$B,$A199,Import!L:L)</f>
        <v>0</v>
      </c>
      <c r="S199" s="99">
        <f>SUMIF(Import!$B:$B,$A199,Import!M:M)</f>
        <v>0</v>
      </c>
      <c r="T199" s="99">
        <f>SUMIF(Import!$B:$B,$A199,Import!N:N)</f>
        <v>6173</v>
      </c>
      <c r="U199" s="99">
        <f t="shared" si="170"/>
        <v>111</v>
      </c>
      <c r="V199" s="255">
        <f t="shared" si="171"/>
        <v>1.8310788518640653E-2</v>
      </c>
      <c r="W199" s="102" t="s">
        <v>1313</v>
      </c>
      <c r="X199" s="103" t="str">
        <f t="shared" si="153"/>
        <v>OK</v>
      </c>
      <c r="Y199" s="271"/>
      <c r="Z199" s="121"/>
      <c r="AA199" s="121"/>
      <c r="AB199" s="121"/>
      <c r="AC199" s="121"/>
      <c r="AD199" s="121"/>
      <c r="AE199" s="121"/>
      <c r="AF199" s="121"/>
      <c r="AG199" s="121"/>
      <c r="AH199" s="121"/>
      <c r="AI199" s="121"/>
      <c r="AJ199" s="121"/>
      <c r="AK199" s="121"/>
      <c r="AL199" s="121"/>
    </row>
    <row r="200" spans="1:38" s="115" customFormat="1">
      <c r="A200" s="555" t="s">
        <v>1314</v>
      </c>
      <c r="B200" s="217" t="str">
        <f t="shared" si="164"/>
        <v>200</v>
      </c>
      <c r="C200" s="217" t="str">
        <f t="shared" si="165"/>
        <v>73</v>
      </c>
      <c r="D200" s="101" t="str">
        <f t="shared" si="166"/>
        <v>734</v>
      </c>
      <c r="E200" s="217" t="str">
        <f t="shared" si="167"/>
        <v>200-73-734</v>
      </c>
      <c r="F200" s="294" t="str">
        <f t="shared" si="168"/>
        <v>50115</v>
      </c>
      <c r="G200" s="295" t="str">
        <f>VLOOKUP(F200,'GL Category'!A:C,3,FALSE)</f>
        <v>Personnel services</v>
      </c>
      <c r="H200" s="98" t="str">
        <f>VLOOKUP(F200,'GL Category'!A:C,2,FALSE)</f>
        <v>INCENTIVE/CERTIFICATION PAY</v>
      </c>
      <c r="I200" s="99">
        <f>SUMIF(Import!$B:$B,$A200,Import!D:D)</f>
        <v>2414.2800000000002</v>
      </c>
      <c r="J200" s="99">
        <f>SUMIF(Import!$B:$B,$A200,Import!E:E)</f>
        <v>2407.29</v>
      </c>
      <c r="K200" s="99">
        <f>SUMIF(Import!$B:$B,$A200,Import!F:F)</f>
        <v>2407</v>
      </c>
      <c r="L200" s="99">
        <f>SUMIF(Import!$B:$B,$A200,Import!G:G)</f>
        <v>2408</v>
      </c>
      <c r="M200" s="99">
        <f>SUMIF(Import!$B:$B,$A200,Import!H:H)</f>
        <v>2400</v>
      </c>
      <c r="N200" s="99">
        <f>SUMIF(Import!$B:$B,$A200,Import!I:I)</f>
        <v>2242</v>
      </c>
      <c r="O200" s="99">
        <f>SUMIF(Import!$B:$B,$A200,Import!J:J)</f>
        <v>4332</v>
      </c>
      <c r="P200" s="99">
        <f t="shared" si="169"/>
        <v>1932</v>
      </c>
      <c r="Q200" s="99">
        <f>SUMIF(Import!$B:$B,$A200,Import!K:K)</f>
        <v>3300</v>
      </c>
      <c r="R200" s="99">
        <f>SUMIF(Import!$B:$B,$A200,Import!L:L)</f>
        <v>0</v>
      </c>
      <c r="S200" s="99">
        <f>SUMIF(Import!$B:$B,$A200,Import!M:M)</f>
        <v>0</v>
      </c>
      <c r="T200" s="99">
        <f>SUMIF(Import!$B:$B,$A200,Import!N:N)</f>
        <v>3300</v>
      </c>
      <c r="U200" s="99">
        <f t="shared" si="170"/>
        <v>900</v>
      </c>
      <c r="V200" s="255">
        <f t="shared" si="171"/>
        <v>0.375</v>
      </c>
      <c r="W200" s="102" t="s">
        <v>1314</v>
      </c>
      <c r="X200" s="103" t="str">
        <f t="shared" si="153"/>
        <v>OK</v>
      </c>
      <c r="Y200" s="271"/>
      <c r="Z200" s="121"/>
      <c r="AA200" s="121"/>
      <c r="AB200" s="121"/>
      <c r="AC200" s="121"/>
      <c r="AD200" s="121"/>
      <c r="AE200" s="121"/>
      <c r="AF200" s="121"/>
      <c r="AG200" s="121"/>
      <c r="AH200" s="121"/>
      <c r="AI200" s="121"/>
      <c r="AJ200" s="121"/>
      <c r="AK200" s="121"/>
      <c r="AL200" s="121"/>
    </row>
    <row r="201" spans="1:38" s="115" customFormat="1">
      <c r="A201" s="555" t="s">
        <v>1315</v>
      </c>
      <c r="B201" s="217" t="str">
        <f t="shared" si="164"/>
        <v>200</v>
      </c>
      <c r="C201" s="217" t="str">
        <f t="shared" si="165"/>
        <v>73</v>
      </c>
      <c r="D201" s="101" t="str">
        <f t="shared" si="166"/>
        <v>734</v>
      </c>
      <c r="E201" s="217" t="str">
        <f t="shared" si="167"/>
        <v>200-73-734</v>
      </c>
      <c r="F201" s="294" t="str">
        <f t="shared" si="168"/>
        <v>50610</v>
      </c>
      <c r="G201" s="295" t="str">
        <f>VLOOKUP(F201,'GL Category'!A:C,3,FALSE)</f>
        <v>Personnel services</v>
      </c>
      <c r="H201" s="98" t="str">
        <f>VLOOKUP(F201,'GL Category'!A:C,2,FALSE)</f>
        <v>SOCIAL SECURITY</v>
      </c>
      <c r="I201" s="99">
        <f>SUMIF(Import!$B:$B,$A201,Import!D:D)</f>
        <v>20373.580000000002</v>
      </c>
      <c r="J201" s="99">
        <f>SUMIF(Import!$B:$B,$A201,Import!E:E)</f>
        <v>21498.97</v>
      </c>
      <c r="K201" s="99">
        <f>SUMIF(Import!$B:$B,$A201,Import!F:F)</f>
        <v>22220.51</v>
      </c>
      <c r="L201" s="99">
        <f>SUMIF(Import!$B:$B,$A201,Import!G:G)</f>
        <v>24206.67</v>
      </c>
      <c r="M201" s="99">
        <f>SUMIF(Import!$B:$B,$A201,Import!H:H)</f>
        <v>25420</v>
      </c>
      <c r="N201" s="99">
        <f>SUMIF(Import!$B:$B,$A201,Import!I:I)</f>
        <v>20810.330000000002</v>
      </c>
      <c r="O201" s="99">
        <f>SUMIF(Import!$B:$B,$A201,Import!J:J)</f>
        <v>26935</v>
      </c>
      <c r="P201" s="99">
        <f t="shared" si="169"/>
        <v>1515</v>
      </c>
      <c r="Q201" s="99">
        <f>SUMIF(Import!$B:$B,$A201,Import!K:K)</f>
        <v>26330</v>
      </c>
      <c r="R201" s="99">
        <f>SUMIF(Import!$B:$B,$A201,Import!L:L)</f>
        <v>0</v>
      </c>
      <c r="S201" s="99">
        <f>SUMIF(Import!$B:$B,$A201,Import!M:M)</f>
        <v>0</v>
      </c>
      <c r="T201" s="99">
        <f>SUMIF(Import!$B:$B,$A201,Import!N:N)</f>
        <v>26330</v>
      </c>
      <c r="U201" s="99">
        <f t="shared" si="170"/>
        <v>910</v>
      </c>
      <c r="V201" s="255">
        <f t="shared" si="171"/>
        <v>3.5798583792289618E-2</v>
      </c>
      <c r="W201" s="102" t="s">
        <v>1315</v>
      </c>
      <c r="X201" s="103" t="str">
        <f t="shared" si="153"/>
        <v>OK</v>
      </c>
      <c r="Y201" s="271"/>
      <c r="Z201" s="121"/>
      <c r="AA201" s="121"/>
      <c r="AB201" s="121"/>
      <c r="AC201" s="121"/>
      <c r="AD201" s="121"/>
      <c r="AE201" s="121"/>
      <c r="AF201" s="121"/>
      <c r="AG201" s="121"/>
      <c r="AH201" s="121"/>
      <c r="AI201" s="121"/>
      <c r="AJ201" s="121"/>
      <c r="AK201" s="121"/>
      <c r="AL201" s="121"/>
    </row>
    <row r="202" spans="1:38" s="115" customFormat="1">
      <c r="A202" s="555" t="s">
        <v>1316</v>
      </c>
      <c r="B202" s="217" t="str">
        <f t="shared" si="164"/>
        <v>200</v>
      </c>
      <c r="C202" s="217" t="str">
        <f t="shared" si="165"/>
        <v>73</v>
      </c>
      <c r="D202" s="101" t="str">
        <f t="shared" si="166"/>
        <v>734</v>
      </c>
      <c r="E202" s="217" t="str">
        <f t="shared" si="167"/>
        <v>200-73-734</v>
      </c>
      <c r="F202" s="294" t="str">
        <f t="shared" si="168"/>
        <v>50620</v>
      </c>
      <c r="G202" s="295" t="str">
        <f>VLOOKUP(F202,'GL Category'!A:C,3,FALSE)</f>
        <v>Personnel services</v>
      </c>
      <c r="H202" s="98" t="str">
        <f>VLOOKUP(F202,'GL Category'!A:C,2,FALSE)</f>
        <v>HEALTH/LIFE INSURANCE</v>
      </c>
      <c r="I202" s="99">
        <f>SUMIF(Import!$B:$B,$A202,Import!D:D)</f>
        <v>85365.3</v>
      </c>
      <c r="J202" s="99">
        <f>SUMIF(Import!$B:$B,$A202,Import!E:E)</f>
        <v>88679.039999999994</v>
      </c>
      <c r="K202" s="99">
        <f>SUMIF(Import!$B:$B,$A202,Import!F:F)</f>
        <v>87319.28</v>
      </c>
      <c r="L202" s="99">
        <f>SUMIF(Import!$B:$B,$A202,Import!G:G)</f>
        <v>89270.89</v>
      </c>
      <c r="M202" s="99">
        <f>SUMIF(Import!$B:$B,$A202,Import!H:H)</f>
        <v>86223</v>
      </c>
      <c r="N202" s="99">
        <f>SUMIF(Import!$B:$B,$A202,Import!I:I)</f>
        <v>68999.289999999994</v>
      </c>
      <c r="O202" s="99">
        <f>SUMIF(Import!$B:$B,$A202,Import!J:J)</f>
        <v>94596</v>
      </c>
      <c r="P202" s="99">
        <f t="shared" si="169"/>
        <v>8373</v>
      </c>
      <c r="Q202" s="99">
        <f>SUMIF(Import!$B:$B,$A202,Import!K:K)</f>
        <v>97837</v>
      </c>
      <c r="R202" s="99">
        <f>SUMIF(Import!$B:$B,$A202,Import!L:L)</f>
        <v>0</v>
      </c>
      <c r="S202" s="99">
        <f>SUMIF(Import!$B:$B,$A202,Import!M:M)</f>
        <v>0</v>
      </c>
      <c r="T202" s="99">
        <f>SUMIF(Import!$B:$B,$A202,Import!N:N)</f>
        <v>97837</v>
      </c>
      <c r="U202" s="99">
        <f t="shared" si="170"/>
        <v>11614</v>
      </c>
      <c r="V202" s="255">
        <f t="shared" si="171"/>
        <v>0.13469723855583782</v>
      </c>
      <c r="W202" s="102" t="s">
        <v>1316</v>
      </c>
      <c r="X202" s="103" t="str">
        <f t="shared" si="153"/>
        <v>OK</v>
      </c>
      <c r="Y202" s="271"/>
      <c r="Z202" s="121"/>
      <c r="AA202" s="121"/>
      <c r="AB202" s="121"/>
      <c r="AC202" s="121"/>
      <c r="AD202" s="121"/>
      <c r="AE202" s="121"/>
      <c r="AF202" s="121"/>
      <c r="AG202" s="121"/>
      <c r="AH202" s="121"/>
      <c r="AI202" s="121"/>
      <c r="AJ202" s="121"/>
      <c r="AK202" s="121"/>
      <c r="AL202" s="121"/>
    </row>
    <row r="203" spans="1:38" s="115" customFormat="1">
      <c r="A203" s="555" t="s">
        <v>1317</v>
      </c>
      <c r="B203" s="217" t="str">
        <f t="shared" si="164"/>
        <v>200</v>
      </c>
      <c r="C203" s="217" t="str">
        <f t="shared" si="165"/>
        <v>73</v>
      </c>
      <c r="D203" s="101" t="str">
        <f t="shared" si="166"/>
        <v>734</v>
      </c>
      <c r="E203" s="217" t="str">
        <f t="shared" si="167"/>
        <v>200-73-734</v>
      </c>
      <c r="F203" s="294" t="str">
        <f t="shared" si="168"/>
        <v>50630</v>
      </c>
      <c r="G203" s="295" t="str">
        <f>VLOOKUP(F203,'GL Category'!A:C,3,FALSE)</f>
        <v>Personnel services</v>
      </c>
      <c r="H203" s="98" t="str">
        <f>VLOOKUP(F203,'GL Category'!A:C,2,FALSE)</f>
        <v>WORKER COMPENSATION</v>
      </c>
      <c r="I203" s="99">
        <f>SUMIF(Import!$B:$B,$A203,Import!D:D)</f>
        <v>2118.2399999999998</v>
      </c>
      <c r="J203" s="99">
        <f>SUMIF(Import!$B:$B,$A203,Import!E:E)</f>
        <v>1930.15</v>
      </c>
      <c r="K203" s="99">
        <f>SUMIF(Import!$B:$B,$A203,Import!F:F)</f>
        <v>2180.08</v>
      </c>
      <c r="L203" s="99">
        <f>SUMIF(Import!$B:$B,$A203,Import!G:G)</f>
        <v>4370.8</v>
      </c>
      <c r="M203" s="99">
        <f>SUMIF(Import!$B:$B,$A203,Import!H:H)</f>
        <v>5335</v>
      </c>
      <c r="N203" s="99">
        <f>SUMIF(Import!$B:$B,$A203,Import!I:I)</f>
        <v>5330.64</v>
      </c>
      <c r="O203" s="99">
        <f>SUMIF(Import!$B:$B,$A203,Import!J:J)</f>
        <v>5331</v>
      </c>
      <c r="P203" s="99">
        <f t="shared" si="169"/>
        <v>-4</v>
      </c>
      <c r="Q203" s="99">
        <f>SUMIF(Import!$B:$B,$A203,Import!K:K)</f>
        <v>5197</v>
      </c>
      <c r="R203" s="99">
        <f>SUMIF(Import!$B:$B,$A203,Import!L:L)</f>
        <v>0</v>
      </c>
      <c r="S203" s="99">
        <f>SUMIF(Import!$B:$B,$A203,Import!M:M)</f>
        <v>0</v>
      </c>
      <c r="T203" s="99">
        <f>SUMIF(Import!$B:$B,$A203,Import!N:N)</f>
        <v>5197</v>
      </c>
      <c r="U203" s="99">
        <f t="shared" si="170"/>
        <v>-138</v>
      </c>
      <c r="V203" s="255">
        <f t="shared" si="171"/>
        <v>-2.5866916588566102E-2</v>
      </c>
      <c r="W203" s="102" t="s">
        <v>1317</v>
      </c>
      <c r="X203" s="103" t="str">
        <f t="shared" si="153"/>
        <v>OK</v>
      </c>
      <c r="Y203" s="271"/>
      <c r="Z203" s="121"/>
      <c r="AA203" s="121"/>
      <c r="AB203" s="121"/>
      <c r="AC203" s="121"/>
      <c r="AD203" s="121"/>
      <c r="AE203" s="121"/>
      <c r="AF203" s="121"/>
      <c r="AG203" s="121"/>
      <c r="AH203" s="121"/>
      <c r="AI203" s="121"/>
      <c r="AJ203" s="121"/>
      <c r="AK203" s="121"/>
      <c r="AL203" s="121"/>
    </row>
    <row r="204" spans="1:38" s="115" customFormat="1">
      <c r="A204" s="555" t="s">
        <v>1318</v>
      </c>
      <c r="B204" s="217" t="str">
        <f t="shared" si="164"/>
        <v>200</v>
      </c>
      <c r="C204" s="217" t="str">
        <f t="shared" si="165"/>
        <v>73</v>
      </c>
      <c r="D204" s="101" t="str">
        <f t="shared" si="166"/>
        <v>734</v>
      </c>
      <c r="E204" s="217" t="str">
        <f t="shared" si="167"/>
        <v>200-73-734</v>
      </c>
      <c r="F204" s="294" t="str">
        <f t="shared" si="168"/>
        <v>50650</v>
      </c>
      <c r="G204" s="295" t="str">
        <f>VLOOKUP(F204,'GL Category'!A:C,3,FALSE)</f>
        <v>Personnel services</v>
      </c>
      <c r="H204" s="98" t="str">
        <f>VLOOKUP(F204,'GL Category'!A:C,2,FALSE)</f>
        <v>RETIREMENT</v>
      </c>
      <c r="I204" s="99">
        <f>SUMIF(Import!$B:$B,$A204,Import!D:D)</f>
        <v>45045.37</v>
      </c>
      <c r="J204" s="99">
        <f>SUMIF(Import!$B:$B,$A204,Import!E:E)</f>
        <v>48533.22</v>
      </c>
      <c r="K204" s="99">
        <f>SUMIF(Import!$B:$B,$A204,Import!F:F)</f>
        <v>50172.01</v>
      </c>
      <c r="L204" s="99">
        <f>SUMIF(Import!$B:$B,$A204,Import!G:G)</f>
        <v>54213.19</v>
      </c>
      <c r="M204" s="99">
        <f>SUMIF(Import!$B:$B,$A204,Import!H:H)</f>
        <v>54907</v>
      </c>
      <c r="N204" s="99">
        <f>SUMIF(Import!$B:$B,$A204,Import!I:I)</f>
        <v>47766.23</v>
      </c>
      <c r="O204" s="99">
        <f>SUMIF(Import!$B:$B,$A204,Import!J:J)</f>
        <v>60587</v>
      </c>
      <c r="P204" s="99">
        <f t="shared" si="169"/>
        <v>5680</v>
      </c>
      <c r="Q204" s="99">
        <f>SUMIF(Import!$B:$B,$A204,Import!K:K)</f>
        <v>58221</v>
      </c>
      <c r="R204" s="99">
        <f>SUMIF(Import!$B:$B,$A204,Import!L:L)</f>
        <v>0</v>
      </c>
      <c r="S204" s="99">
        <f>SUMIF(Import!$B:$B,$A204,Import!M:M)</f>
        <v>0</v>
      </c>
      <c r="T204" s="99">
        <f>SUMIF(Import!$B:$B,$A204,Import!N:N)</f>
        <v>58221</v>
      </c>
      <c r="U204" s="99">
        <f t="shared" si="170"/>
        <v>3314</v>
      </c>
      <c r="V204" s="255">
        <f t="shared" si="171"/>
        <v>6.0356602983226093E-2</v>
      </c>
      <c r="W204" s="102" t="s">
        <v>1318</v>
      </c>
      <c r="X204" s="103" t="str">
        <f t="shared" si="153"/>
        <v>OK</v>
      </c>
      <c r="Y204" s="271"/>
      <c r="Z204" s="121"/>
      <c r="AA204" s="121"/>
      <c r="AB204" s="121"/>
      <c r="AC204" s="121"/>
      <c r="AD204" s="121"/>
      <c r="AE204" s="121"/>
      <c r="AF204" s="121"/>
      <c r="AG204" s="121"/>
      <c r="AH204" s="121"/>
      <c r="AI204" s="121"/>
      <c r="AJ204" s="121"/>
      <c r="AK204" s="121"/>
      <c r="AL204" s="121"/>
    </row>
    <row r="205" spans="1:38" s="115" customFormat="1">
      <c r="A205" s="555"/>
      <c r="B205" s="217"/>
      <c r="C205" s="217"/>
      <c r="D205" s="101"/>
      <c r="E205" s="217"/>
      <c r="F205" s="294"/>
      <c r="G205" s="146"/>
      <c r="H205" s="107" t="str">
        <f>UPPER(G204)&amp;" TOTAL"</f>
        <v>PERSONNEL SERVICES TOTAL</v>
      </c>
      <c r="I205" s="108">
        <f t="shared" ref="I205" si="172">SUBTOTAL(9,I197:I204)</f>
        <v>436552.47000000003</v>
      </c>
      <c r="J205" s="108">
        <f t="shared" ref="J205:P205" si="173">SUBTOTAL(9,J197:J204)</f>
        <v>461006.44000000006</v>
      </c>
      <c r="K205" s="108">
        <f t="shared" ref="K205" si="174">SUBTOTAL(9,K197:K204)</f>
        <v>471758.50000000006</v>
      </c>
      <c r="L205" s="108">
        <f t="shared" ref="L205" si="175">SUBTOTAL(9,L197:L204)</f>
        <v>506850.02</v>
      </c>
      <c r="M205" s="108">
        <f t="shared" si="173"/>
        <v>502812</v>
      </c>
      <c r="N205" s="108">
        <f t="shared" ref="N205" si="176">SUBTOTAL(9,N197:N204)</f>
        <v>431082.49</v>
      </c>
      <c r="O205" s="108">
        <f t="shared" si="173"/>
        <v>553844</v>
      </c>
      <c r="P205" s="108">
        <f t="shared" si="173"/>
        <v>51032</v>
      </c>
      <c r="Q205" s="108">
        <f t="shared" ref="Q205:T205" si="177">SUBTOTAL(9,Q197:Q204)</f>
        <v>530239</v>
      </c>
      <c r="R205" s="108">
        <f t="shared" si="177"/>
        <v>0</v>
      </c>
      <c r="S205" s="108">
        <f t="shared" si="177"/>
        <v>0</v>
      </c>
      <c r="T205" s="108">
        <f t="shared" si="177"/>
        <v>530239</v>
      </c>
      <c r="U205" s="99">
        <f>T205-M205</f>
        <v>27427</v>
      </c>
      <c r="V205" s="259">
        <f>IF(M205=0,"N/A",T205/M205-1)</f>
        <v>5.4547226398733439E-2</v>
      </c>
      <c r="W205" s="102"/>
      <c r="X205" s="103" t="str">
        <f t="shared" si="153"/>
        <v>OK</v>
      </c>
      <c r="Y205" s="271"/>
      <c r="Z205" s="121"/>
      <c r="AA205" s="121"/>
      <c r="AB205" s="121"/>
      <c r="AC205" s="121"/>
      <c r="AD205" s="121"/>
      <c r="AE205" s="121"/>
      <c r="AF205" s="121"/>
      <c r="AG205" s="121"/>
      <c r="AH205" s="121"/>
      <c r="AI205" s="121"/>
      <c r="AJ205" s="121"/>
      <c r="AK205" s="121"/>
      <c r="AL205" s="121"/>
    </row>
    <row r="206" spans="1:38" s="115" customFormat="1">
      <c r="A206" s="555"/>
      <c r="B206" s="217"/>
      <c r="C206" s="217"/>
      <c r="D206" s="101"/>
      <c r="E206" s="217"/>
      <c r="F206" s="294"/>
      <c r="G206" s="146"/>
      <c r="H206" s="232"/>
      <c r="I206" s="233"/>
      <c r="J206" s="233"/>
      <c r="K206" s="233"/>
      <c r="L206" s="233"/>
      <c r="M206" s="233"/>
      <c r="N206" s="233"/>
      <c r="O206" s="233"/>
      <c r="P206" s="233"/>
      <c r="Q206" s="233"/>
      <c r="R206" s="233"/>
      <c r="S206" s="233"/>
      <c r="T206" s="233"/>
      <c r="U206" s="233"/>
      <c r="V206" s="233"/>
      <c r="W206" s="102"/>
      <c r="X206" s="103" t="str">
        <f t="shared" si="153"/>
        <v/>
      </c>
      <c r="Y206" s="271"/>
      <c r="Z206" s="121"/>
      <c r="AA206" s="121"/>
      <c r="AB206" s="121"/>
      <c r="AC206" s="121"/>
      <c r="AD206" s="121"/>
      <c r="AE206" s="121"/>
      <c r="AF206" s="121"/>
      <c r="AG206" s="121"/>
      <c r="AH206" s="121"/>
      <c r="AI206" s="121"/>
      <c r="AJ206" s="121"/>
      <c r="AK206" s="121"/>
      <c r="AL206" s="121"/>
    </row>
    <row r="207" spans="1:38" s="115" customFormat="1" ht="15" customHeight="1">
      <c r="A207" s="555" t="s">
        <v>1319</v>
      </c>
      <c r="B207" s="217" t="str">
        <f t="shared" si="164"/>
        <v>200</v>
      </c>
      <c r="C207" s="217" t="str">
        <f t="shared" si="165"/>
        <v>73</v>
      </c>
      <c r="D207" s="101" t="str">
        <f t="shared" si="166"/>
        <v>734</v>
      </c>
      <c r="E207" s="217" t="str">
        <f t="shared" si="167"/>
        <v>200-73-734</v>
      </c>
      <c r="F207" s="294" t="str">
        <f t="shared" si="168"/>
        <v>51245</v>
      </c>
      <c r="G207" s="295" t="str">
        <f>VLOOKUP(F207,'GL Category'!A:C,3,FALSE)</f>
        <v>Operations &amp; maintenance</v>
      </c>
      <c r="H207" s="98" t="str">
        <f>VLOOKUP(F207,'GL Category'!A:C,2,FALSE)</f>
        <v>SMALL TOOLS &amp; EQUIPMENT</v>
      </c>
      <c r="I207" s="99">
        <f>SUMIF(Import!$B:$B,$A207,Import!D:D)</f>
        <v>1313.96</v>
      </c>
      <c r="J207" s="99">
        <f>SUMIF(Import!$B:$B,$A207,Import!E:E)</f>
        <v>3930.59</v>
      </c>
      <c r="K207" s="99">
        <f>SUMIF(Import!$B:$B,$A207,Import!F:F)</f>
        <v>2036.94</v>
      </c>
      <c r="L207" s="99">
        <f>SUMIF(Import!$B:$B,$A207,Import!G:G)</f>
        <v>5244.18</v>
      </c>
      <c r="M207" s="99">
        <f>SUMIF(Import!$B:$B,$A207,Import!H:H)</f>
        <v>6000</v>
      </c>
      <c r="N207" s="99">
        <f>SUMIF(Import!$B:$B,$A207,Import!I:I)</f>
        <v>847.28</v>
      </c>
      <c r="O207" s="99">
        <f>SUMIF(Import!$B:$B,$A207,Import!J:J)</f>
        <v>5500</v>
      </c>
      <c r="P207" s="99">
        <f t="shared" ref="P207:P221" si="178">O207-M207</f>
        <v>-500</v>
      </c>
      <c r="Q207" s="99">
        <f>SUMIF(Import!$B:$B,$A207,Import!K:K)</f>
        <v>5500</v>
      </c>
      <c r="R207" s="99">
        <f>SUMIF(Import!$B:$B,$A207,Import!L:L)</f>
        <v>0</v>
      </c>
      <c r="S207" s="99">
        <f>SUMIF(Import!$B:$B,$A207,Import!M:M)</f>
        <v>0</v>
      </c>
      <c r="T207" s="99">
        <f>SUMIF(Import!$B:$B,$A207,Import!N:N)</f>
        <v>5500</v>
      </c>
      <c r="U207" s="99">
        <f t="shared" ref="U207:U221" si="179">T207-M207</f>
        <v>-500</v>
      </c>
      <c r="V207" s="255">
        <f t="shared" ref="V207:V221" si="180">IF(M207=0,"N/A",T207/M207-1)</f>
        <v>-8.333333333333337E-2</v>
      </c>
      <c r="W207" s="102" t="s">
        <v>1319</v>
      </c>
      <c r="X207" s="103" t="str">
        <f t="shared" si="153"/>
        <v>OK</v>
      </c>
      <c r="Y207" s="271"/>
      <c r="Z207" s="121"/>
      <c r="AA207" s="121"/>
      <c r="AB207" s="121"/>
      <c r="AC207" s="121"/>
      <c r="AD207" s="121"/>
      <c r="AE207" s="121"/>
      <c r="AF207" s="121"/>
      <c r="AG207" s="121"/>
      <c r="AH207" s="121"/>
      <c r="AI207" s="121"/>
      <c r="AJ207" s="121"/>
      <c r="AK207" s="121"/>
      <c r="AL207" s="121"/>
    </row>
    <row r="208" spans="1:38" s="115" customFormat="1" ht="15" customHeight="1">
      <c r="A208" s="555" t="s">
        <v>1320</v>
      </c>
      <c r="B208" s="217" t="str">
        <f t="shared" ref="B208" si="181">LEFT(A208,3)</f>
        <v>200</v>
      </c>
      <c r="C208" s="217" t="str">
        <f t="shared" ref="C208" si="182">MID(A208,5,2)</f>
        <v>73</v>
      </c>
      <c r="D208" s="101" t="str">
        <f t="shared" ref="D208" si="183">MID(A208,8,3)</f>
        <v>734</v>
      </c>
      <c r="E208" s="217" t="str">
        <f t="shared" ref="E208" si="184">LEFT(A208,10)</f>
        <v>200-73-734</v>
      </c>
      <c r="F208" s="294" t="str">
        <f t="shared" ref="F208" si="185">RIGHT(A208,5)</f>
        <v>51255</v>
      </c>
      <c r="G208" s="295" t="str">
        <f>VLOOKUP(F208,'GL Category'!A:C,3,FALSE)</f>
        <v>Operations &amp; maintenance</v>
      </c>
      <c r="H208" s="98" t="str">
        <f>VLOOKUP(F208,'GL Category'!A:C,2,FALSE)</f>
        <v>FUEL/OILS/LUBRICANTS</v>
      </c>
      <c r="I208" s="99">
        <f>SUMIF(Import!$B:$B,$A208,Import!D:D)</f>
        <v>4366.24</v>
      </c>
      <c r="J208" s="99">
        <f>SUMIF(Import!$B:$B,$A208,Import!E:E)</f>
        <v>12215.68</v>
      </c>
      <c r="K208" s="99">
        <f>SUMIF(Import!$B:$B,$A208,Import!F:F)</f>
        <v>11703.49</v>
      </c>
      <c r="L208" s="99">
        <f>SUMIF(Import!$B:$B,$A208,Import!G:G)</f>
        <v>8306.42</v>
      </c>
      <c r="M208" s="99">
        <f>SUMIF(Import!$B:$B,$A208,Import!H:H)</f>
        <v>13000</v>
      </c>
      <c r="N208" s="99">
        <f>SUMIF(Import!$B:$B,$A208,Import!I:I)</f>
        <v>5537.09</v>
      </c>
      <c r="O208" s="99">
        <f>SUMIF(Import!$B:$B,$A208,Import!J:J)</f>
        <v>10000</v>
      </c>
      <c r="P208" s="99">
        <f t="shared" ref="P208" si="186">O208-M208</f>
        <v>-3000</v>
      </c>
      <c r="Q208" s="99">
        <f>SUMIF(Import!$B:$B,$A208,Import!K:K)</f>
        <v>12000</v>
      </c>
      <c r="R208" s="99">
        <f>SUMIF(Import!$B:$B,$A208,Import!L:L)</f>
        <v>0</v>
      </c>
      <c r="S208" s="99">
        <f>SUMIF(Import!$B:$B,$A208,Import!M:M)</f>
        <v>0</v>
      </c>
      <c r="T208" s="99">
        <f>SUMIF(Import!$B:$B,$A208,Import!N:N)</f>
        <v>12000</v>
      </c>
      <c r="U208" s="99">
        <f t="shared" ref="U208" si="187">T208-M208</f>
        <v>-1000</v>
      </c>
      <c r="V208" s="255">
        <f t="shared" ref="V208" si="188">IF(M208=0,"N/A",T208/M208-1)</f>
        <v>-7.6923076923076872E-2</v>
      </c>
      <c r="W208" s="102" t="s">
        <v>1320</v>
      </c>
      <c r="X208" s="103" t="str">
        <f t="shared" si="153"/>
        <v>OK</v>
      </c>
      <c r="Y208" s="271"/>
      <c r="Z208" s="121"/>
      <c r="AA208" s="121"/>
      <c r="AB208" s="121"/>
      <c r="AC208" s="121"/>
      <c r="AD208" s="121"/>
      <c r="AE208" s="121"/>
      <c r="AF208" s="121"/>
      <c r="AG208" s="121"/>
      <c r="AH208" s="121"/>
      <c r="AI208" s="121"/>
      <c r="AJ208" s="121"/>
      <c r="AK208" s="121"/>
      <c r="AL208" s="121"/>
    </row>
    <row r="209" spans="1:57" s="115" customFormat="1" ht="15" customHeight="1">
      <c r="A209" s="555" t="s">
        <v>1321</v>
      </c>
      <c r="B209" s="217" t="str">
        <f t="shared" si="164"/>
        <v>200</v>
      </c>
      <c r="C209" s="217" t="str">
        <f t="shared" si="165"/>
        <v>73</v>
      </c>
      <c r="D209" s="101" t="str">
        <f t="shared" si="166"/>
        <v>734</v>
      </c>
      <c r="E209" s="217" t="str">
        <f t="shared" si="167"/>
        <v>200-73-734</v>
      </c>
      <c r="F209" s="294" t="str">
        <f t="shared" si="168"/>
        <v>51270</v>
      </c>
      <c r="G209" s="295" t="str">
        <f>VLOOKUP(F209,'GL Category'!A:C,3,FALSE)</f>
        <v>Operations &amp; maintenance</v>
      </c>
      <c r="H209" s="98" t="str">
        <f>VLOOKUP(F209,'GL Category'!A:C,2,FALSE)</f>
        <v>CHEMICAL SUPPLIES</v>
      </c>
      <c r="I209" s="99">
        <f>SUMIF(Import!$B:$B,$A209,Import!D:D)</f>
        <v>1618.59</v>
      </c>
      <c r="J209" s="99">
        <f>SUMIF(Import!$B:$B,$A209,Import!E:E)</f>
        <v>648.92999999999995</v>
      </c>
      <c r="K209" s="99">
        <f>SUMIF(Import!$B:$B,$A209,Import!F:F)</f>
        <v>0</v>
      </c>
      <c r="L209" s="99">
        <f>SUMIF(Import!$B:$B,$A209,Import!G:G)</f>
        <v>0</v>
      </c>
      <c r="M209" s="99">
        <f>SUMIF(Import!$B:$B,$A209,Import!H:H)</f>
        <v>1500</v>
      </c>
      <c r="N209" s="99">
        <f>SUMIF(Import!$B:$B,$A209,Import!I:I)</f>
        <v>0</v>
      </c>
      <c r="O209" s="99">
        <f>SUMIF(Import!$B:$B,$A209,Import!J:J)</f>
        <v>500</v>
      </c>
      <c r="P209" s="99">
        <f t="shared" si="178"/>
        <v>-1000</v>
      </c>
      <c r="Q209" s="99">
        <f>SUMIF(Import!$B:$B,$A209,Import!K:K)</f>
        <v>1000</v>
      </c>
      <c r="R209" s="99">
        <f>SUMIF(Import!$B:$B,$A209,Import!L:L)</f>
        <v>0</v>
      </c>
      <c r="S209" s="99">
        <f>SUMIF(Import!$B:$B,$A209,Import!M:M)</f>
        <v>0</v>
      </c>
      <c r="T209" s="99">
        <f>SUMIF(Import!$B:$B,$A209,Import!N:N)</f>
        <v>1000</v>
      </c>
      <c r="U209" s="99">
        <f t="shared" si="179"/>
        <v>-500</v>
      </c>
      <c r="V209" s="255">
        <f t="shared" si="180"/>
        <v>-0.33333333333333337</v>
      </c>
      <c r="W209" s="102" t="s">
        <v>1321</v>
      </c>
      <c r="X209" s="103" t="str">
        <f t="shared" si="153"/>
        <v>OK</v>
      </c>
      <c r="Y209" s="271"/>
      <c r="Z209" s="121"/>
      <c r="AA209" s="121"/>
      <c r="AB209" s="121"/>
      <c r="AC209" s="121"/>
      <c r="AD209" s="121"/>
      <c r="AE209" s="121"/>
      <c r="AF209" s="121"/>
      <c r="AG209" s="121"/>
      <c r="AH209" s="121"/>
      <c r="AI209" s="121"/>
      <c r="AJ209" s="121"/>
      <c r="AK209" s="121"/>
      <c r="AL209" s="121"/>
    </row>
    <row r="210" spans="1:57" s="115" customFormat="1" ht="15" customHeight="1">
      <c r="A210" s="555" t="s">
        <v>1322</v>
      </c>
      <c r="B210" s="217" t="str">
        <f t="shared" si="164"/>
        <v>200</v>
      </c>
      <c r="C210" s="217" t="str">
        <f t="shared" si="165"/>
        <v>73</v>
      </c>
      <c r="D210" s="101" t="str">
        <f t="shared" si="166"/>
        <v>734</v>
      </c>
      <c r="E210" s="217" t="str">
        <f t="shared" si="167"/>
        <v>200-73-734</v>
      </c>
      <c r="F210" s="294" t="str">
        <f t="shared" si="168"/>
        <v>51273</v>
      </c>
      <c r="G210" s="295" t="str">
        <f>VLOOKUP(F210,'GL Category'!A:C,3,FALSE)</f>
        <v>Operations &amp; maintenance</v>
      </c>
      <c r="H210" s="98" t="str">
        <f>VLOOKUP(F210,'GL Category'!A:C,2,FALSE)</f>
        <v>TESTING SUPPLIES</v>
      </c>
      <c r="I210" s="99">
        <f>SUMIF(Import!$B:$B,$A210,Import!D:D)</f>
        <v>0</v>
      </c>
      <c r="J210" s="99">
        <f>SUMIF(Import!$B:$B,$A210,Import!E:E)</f>
        <v>6498.11</v>
      </c>
      <c r="K210" s="99">
        <f>SUMIF(Import!$B:$B,$A210,Import!F:F)</f>
        <v>9893.4599999999991</v>
      </c>
      <c r="L210" s="99">
        <f>SUMIF(Import!$B:$B,$A210,Import!G:G)</f>
        <v>12485</v>
      </c>
      <c r="M210" s="99">
        <f>SUMIF(Import!$B:$B,$A210,Import!H:H)</f>
        <v>14600</v>
      </c>
      <c r="N210" s="99">
        <f>SUMIF(Import!$B:$B,$A210,Import!I:I)</f>
        <v>6610.1</v>
      </c>
      <c r="O210" s="99">
        <f>SUMIF(Import!$B:$B,$A210,Import!J:J)</f>
        <v>13000</v>
      </c>
      <c r="P210" s="99">
        <f t="shared" si="178"/>
        <v>-1600</v>
      </c>
      <c r="Q210" s="99">
        <f>SUMIF(Import!$B:$B,$A210,Import!K:K)</f>
        <v>13000</v>
      </c>
      <c r="R210" s="99">
        <f>SUMIF(Import!$B:$B,$A210,Import!L:L)</f>
        <v>0</v>
      </c>
      <c r="S210" s="99">
        <f>SUMIF(Import!$B:$B,$A210,Import!M:M)</f>
        <v>0</v>
      </c>
      <c r="T210" s="99">
        <f>SUMIF(Import!$B:$B,$A210,Import!N:N)</f>
        <v>13000</v>
      </c>
      <c r="U210" s="99">
        <f t="shared" si="179"/>
        <v>-1600</v>
      </c>
      <c r="V210" s="255">
        <f t="shared" si="180"/>
        <v>-0.1095890410958904</v>
      </c>
      <c r="W210" s="102" t="s">
        <v>1322</v>
      </c>
      <c r="X210" s="103" t="str">
        <f t="shared" si="153"/>
        <v>OK</v>
      </c>
      <c r="Y210" s="271"/>
      <c r="Z210" s="121"/>
      <c r="AA210" s="121"/>
      <c r="AB210" s="121"/>
      <c r="AC210" s="121"/>
      <c r="AD210" s="121"/>
      <c r="AE210" s="121"/>
      <c r="AF210" s="121"/>
      <c r="AG210" s="121"/>
      <c r="AH210" s="121"/>
      <c r="AI210" s="121"/>
      <c r="AJ210" s="121"/>
      <c r="AK210" s="121"/>
      <c r="AL210" s="121"/>
    </row>
    <row r="211" spans="1:57" s="115" customFormat="1" ht="15" customHeight="1">
      <c r="A211" s="555" t="s">
        <v>1323</v>
      </c>
      <c r="B211" s="217" t="str">
        <f t="shared" si="164"/>
        <v>200</v>
      </c>
      <c r="C211" s="217" t="str">
        <f t="shared" si="165"/>
        <v>73</v>
      </c>
      <c r="D211" s="101" t="str">
        <f t="shared" si="166"/>
        <v>734</v>
      </c>
      <c r="E211" s="217" t="str">
        <f t="shared" si="167"/>
        <v>200-73-734</v>
      </c>
      <c r="F211" s="294" t="str">
        <f t="shared" si="168"/>
        <v>51285</v>
      </c>
      <c r="G211" s="295" t="str">
        <f>VLOOKUP(F211,'GL Category'!A:C,3,FALSE)</f>
        <v>Operations &amp; maintenance</v>
      </c>
      <c r="H211" s="98" t="str">
        <f>VLOOKUP(F211,'GL Category'!A:C,2,FALSE)</f>
        <v>WEARING APPAREL</v>
      </c>
      <c r="I211" s="99">
        <f>SUMIF(Import!$B:$B,$A211,Import!D:D)</f>
        <v>2496.15</v>
      </c>
      <c r="J211" s="99">
        <f>SUMIF(Import!$B:$B,$A211,Import!E:E)</f>
        <v>2713.02</v>
      </c>
      <c r="K211" s="99">
        <f>SUMIF(Import!$B:$B,$A211,Import!F:F)</f>
        <v>2060.4499999999998</v>
      </c>
      <c r="L211" s="99">
        <f>SUMIF(Import!$B:$B,$A211,Import!G:G)</f>
        <v>2923.72</v>
      </c>
      <c r="M211" s="99">
        <f>SUMIF(Import!$B:$B,$A211,Import!H:H)</f>
        <v>3000</v>
      </c>
      <c r="N211" s="99">
        <f>SUMIF(Import!$B:$B,$A211,Import!I:I)</f>
        <v>2292.77</v>
      </c>
      <c r="O211" s="99">
        <f>SUMIF(Import!$B:$B,$A211,Import!J:J)</f>
        <v>3000</v>
      </c>
      <c r="P211" s="99">
        <f t="shared" si="178"/>
        <v>0</v>
      </c>
      <c r="Q211" s="99">
        <f>SUMIF(Import!$B:$B,$A211,Import!K:K)</f>
        <v>3000</v>
      </c>
      <c r="R211" s="99">
        <f>SUMIF(Import!$B:$B,$A211,Import!L:L)</f>
        <v>0</v>
      </c>
      <c r="S211" s="99">
        <f>SUMIF(Import!$B:$B,$A211,Import!M:M)</f>
        <v>0</v>
      </c>
      <c r="T211" s="99">
        <f>SUMIF(Import!$B:$B,$A211,Import!N:N)</f>
        <v>3000</v>
      </c>
      <c r="U211" s="99">
        <f t="shared" si="179"/>
        <v>0</v>
      </c>
      <c r="V211" s="255">
        <f t="shared" si="180"/>
        <v>0</v>
      </c>
      <c r="W211" s="102" t="s">
        <v>1323</v>
      </c>
      <c r="X211" s="103" t="str">
        <f t="shared" ref="X211:X239" si="189">IF(Q211="","",IF(T211=SUM(Q211:S211),"OK","NO"))</f>
        <v>OK</v>
      </c>
      <c r="Y211" s="271"/>
      <c r="Z211" s="121"/>
      <c r="AA211" s="121"/>
      <c r="AB211" s="121"/>
      <c r="AC211" s="121"/>
      <c r="AD211" s="121"/>
      <c r="AE211" s="121"/>
      <c r="AF211" s="121"/>
      <c r="AG211" s="121"/>
      <c r="AH211" s="121"/>
      <c r="AI211" s="121"/>
      <c r="AJ211" s="121"/>
      <c r="AK211" s="121"/>
      <c r="AL211" s="121"/>
    </row>
    <row r="212" spans="1:57" s="115" customFormat="1" ht="15" customHeight="1">
      <c r="A212" s="555" t="s">
        <v>1324</v>
      </c>
      <c r="B212" s="217" t="str">
        <f t="shared" si="164"/>
        <v>200</v>
      </c>
      <c r="C212" s="217" t="str">
        <f t="shared" si="165"/>
        <v>73</v>
      </c>
      <c r="D212" s="101" t="str">
        <f t="shared" si="166"/>
        <v>734</v>
      </c>
      <c r="E212" s="217" t="str">
        <f t="shared" si="167"/>
        <v>200-73-734</v>
      </c>
      <c r="F212" s="294" t="str">
        <f t="shared" si="168"/>
        <v>51287</v>
      </c>
      <c r="G212" s="295" t="str">
        <f>VLOOKUP(F212,'GL Category'!A:C,3,FALSE)</f>
        <v>Operations &amp; maintenance</v>
      </c>
      <c r="H212" s="98" t="str">
        <f>VLOOKUP(F212,'GL Category'!A:C,2,FALSE)</f>
        <v>SAFETY EQUIPMENT/SUPPLIES</v>
      </c>
      <c r="I212" s="99">
        <f>SUMIF(Import!$B:$B,$A212,Import!D:D)</f>
        <v>123.88</v>
      </c>
      <c r="J212" s="99">
        <f>SUMIF(Import!$B:$B,$A212,Import!E:E)</f>
        <v>260.66000000000003</v>
      </c>
      <c r="K212" s="99">
        <f>SUMIF(Import!$B:$B,$A212,Import!F:F)</f>
        <v>102.82</v>
      </c>
      <c r="L212" s="99">
        <f>SUMIF(Import!$B:$B,$A212,Import!G:G)</f>
        <v>0</v>
      </c>
      <c r="M212" s="99">
        <f>SUMIF(Import!$B:$B,$A212,Import!H:H)</f>
        <v>0</v>
      </c>
      <c r="N212" s="99">
        <f>SUMIF(Import!$B:$B,$A212,Import!I:I)</f>
        <v>0</v>
      </c>
      <c r="O212" s="99">
        <f>SUMIF(Import!$B:$B,$A212,Import!J:J)</f>
        <v>0</v>
      </c>
      <c r="P212" s="99">
        <f t="shared" si="178"/>
        <v>0</v>
      </c>
      <c r="Q212" s="99">
        <f>SUMIF(Import!$B:$B,$A212,Import!K:K)</f>
        <v>0</v>
      </c>
      <c r="R212" s="99">
        <f>SUMIF(Import!$B:$B,$A212,Import!L:L)</f>
        <v>0</v>
      </c>
      <c r="S212" s="99">
        <f>SUMIF(Import!$B:$B,$A212,Import!M:M)</f>
        <v>0</v>
      </c>
      <c r="T212" s="99">
        <f>SUMIF(Import!$B:$B,$A212,Import!N:N)</f>
        <v>0</v>
      </c>
      <c r="U212" s="99">
        <f t="shared" si="179"/>
        <v>0</v>
      </c>
      <c r="V212" s="255" t="str">
        <f t="shared" si="180"/>
        <v>N/A</v>
      </c>
      <c r="W212" s="102" t="s">
        <v>1324</v>
      </c>
      <c r="X212" s="103" t="str">
        <f t="shared" si="189"/>
        <v>OK</v>
      </c>
      <c r="Y212" s="271"/>
      <c r="Z212" s="121"/>
      <c r="AA212" s="121"/>
      <c r="AB212" s="121"/>
      <c r="AC212" s="121"/>
      <c r="AD212" s="121"/>
      <c r="AE212" s="121"/>
      <c r="AF212" s="121"/>
      <c r="AG212" s="121"/>
      <c r="AH212" s="121"/>
      <c r="AI212" s="121"/>
      <c r="AJ212" s="121"/>
      <c r="AK212" s="121"/>
      <c r="AL212" s="121"/>
    </row>
    <row r="213" spans="1:57" s="115" customFormat="1" ht="15" customHeight="1">
      <c r="A213" s="555" t="s">
        <v>1325</v>
      </c>
      <c r="B213" s="217" t="str">
        <f t="shared" si="164"/>
        <v>200</v>
      </c>
      <c r="C213" s="217" t="str">
        <f t="shared" si="165"/>
        <v>73</v>
      </c>
      <c r="D213" s="101" t="str">
        <f t="shared" si="166"/>
        <v>734</v>
      </c>
      <c r="E213" s="217" t="str">
        <f t="shared" si="167"/>
        <v>200-73-734</v>
      </c>
      <c r="F213" s="294" t="str">
        <f t="shared" si="168"/>
        <v>51299</v>
      </c>
      <c r="G213" s="295" t="str">
        <f>VLOOKUP(F213,'GL Category'!A:C,3,FALSE)</f>
        <v>Operations &amp; maintenance</v>
      </c>
      <c r="H213" s="98" t="str">
        <f>VLOOKUP(F213,'GL Category'!A:C,2,FALSE)</f>
        <v>MISCELLANEOUS SUPPLIES</v>
      </c>
      <c r="I213" s="99">
        <f>SUMIF(Import!$B:$B,$A213,Import!D:D)</f>
        <v>11526.27</v>
      </c>
      <c r="J213" s="99">
        <f>SUMIF(Import!$B:$B,$A213,Import!E:E)</f>
        <v>0</v>
      </c>
      <c r="K213" s="99">
        <f>SUMIF(Import!$B:$B,$A213,Import!F:F)</f>
        <v>0</v>
      </c>
      <c r="L213" s="99">
        <f>SUMIF(Import!$B:$B,$A213,Import!G:G)</f>
        <v>0</v>
      </c>
      <c r="M213" s="99">
        <f>SUMIF(Import!$B:$B,$A213,Import!H:H)</f>
        <v>0</v>
      </c>
      <c r="N213" s="99">
        <f>SUMIF(Import!$B:$B,$A213,Import!I:I)</f>
        <v>0</v>
      </c>
      <c r="O213" s="99">
        <f>SUMIF(Import!$B:$B,$A213,Import!J:J)</f>
        <v>0</v>
      </c>
      <c r="P213" s="99">
        <f t="shared" si="178"/>
        <v>0</v>
      </c>
      <c r="Q213" s="99">
        <f>SUMIF(Import!$B:$B,$A213,Import!K:K)</f>
        <v>0</v>
      </c>
      <c r="R213" s="99">
        <f>SUMIF(Import!$B:$B,$A213,Import!L:L)</f>
        <v>0</v>
      </c>
      <c r="S213" s="99">
        <f>SUMIF(Import!$B:$B,$A213,Import!M:M)</f>
        <v>0</v>
      </c>
      <c r="T213" s="99">
        <f>SUMIF(Import!$B:$B,$A213,Import!N:N)</f>
        <v>0</v>
      </c>
      <c r="U213" s="99">
        <f t="shared" si="179"/>
        <v>0</v>
      </c>
      <c r="V213" s="255" t="str">
        <f t="shared" si="180"/>
        <v>N/A</v>
      </c>
      <c r="W213" s="102" t="s">
        <v>1325</v>
      </c>
      <c r="X213" s="103" t="str">
        <f t="shared" si="189"/>
        <v>OK</v>
      </c>
      <c r="Y213" s="271"/>
      <c r="Z213" s="121"/>
      <c r="AA213" s="121"/>
      <c r="AB213" s="121"/>
      <c r="AC213" s="121"/>
      <c r="AD213" s="121"/>
      <c r="AE213" s="121"/>
      <c r="AF213" s="121"/>
      <c r="AG213" s="121"/>
      <c r="AH213" s="121"/>
      <c r="AI213" s="121"/>
      <c r="AJ213" s="121"/>
      <c r="AK213" s="121"/>
      <c r="AL213" s="121"/>
    </row>
    <row r="214" spans="1:57" s="115" customFormat="1" ht="15" customHeight="1">
      <c r="A214" s="555" t="s">
        <v>1326</v>
      </c>
      <c r="B214" s="217" t="str">
        <f t="shared" si="164"/>
        <v>200</v>
      </c>
      <c r="C214" s="217" t="str">
        <f t="shared" si="165"/>
        <v>73</v>
      </c>
      <c r="D214" s="101" t="str">
        <f t="shared" si="166"/>
        <v>734</v>
      </c>
      <c r="E214" s="217" t="str">
        <f t="shared" si="167"/>
        <v>200-73-734</v>
      </c>
      <c r="F214" s="294" t="str">
        <f t="shared" si="168"/>
        <v>52310</v>
      </c>
      <c r="G214" s="295" t="str">
        <f>VLOOKUP(F214,'GL Category'!A:C,3,FALSE)</f>
        <v>Operations &amp; maintenance</v>
      </c>
      <c r="H214" s="98" t="str">
        <f>VLOOKUP(F214,'GL Category'!A:C,2,FALSE)</f>
        <v>BUILDING MAINTENANCE</v>
      </c>
      <c r="I214" s="99">
        <f>SUMIF(Import!$B:$B,$A214,Import!D:D)</f>
        <v>11404.1</v>
      </c>
      <c r="J214" s="99">
        <f>SUMIF(Import!$B:$B,$A214,Import!E:E)</f>
        <v>8178</v>
      </c>
      <c r="K214" s="99">
        <f>SUMIF(Import!$B:$B,$A214,Import!F:F)</f>
        <v>1832</v>
      </c>
      <c r="L214" s="99">
        <f>SUMIF(Import!$B:$B,$A214,Import!G:G)</f>
        <v>7914.1</v>
      </c>
      <c r="M214" s="99">
        <f>SUMIF(Import!$B:$B,$A214,Import!H:H)</f>
        <v>17000</v>
      </c>
      <c r="N214" s="99">
        <f>SUMIF(Import!$B:$B,$A214,Import!I:I)</f>
        <v>2132.5</v>
      </c>
      <c r="O214" s="99">
        <f>SUMIF(Import!$B:$B,$A214,Import!J:J)</f>
        <v>13000</v>
      </c>
      <c r="P214" s="99">
        <f t="shared" si="178"/>
        <v>-4000</v>
      </c>
      <c r="Q214" s="99">
        <f>SUMIF(Import!$B:$B,$A214,Import!K:K)</f>
        <v>15000</v>
      </c>
      <c r="R214" s="99">
        <f>SUMIF(Import!$B:$B,$A214,Import!L:L)</f>
        <v>0</v>
      </c>
      <c r="S214" s="99">
        <f>SUMIF(Import!$B:$B,$A214,Import!M:M)</f>
        <v>0</v>
      </c>
      <c r="T214" s="99">
        <f>SUMIF(Import!$B:$B,$A214,Import!N:N)</f>
        <v>15000</v>
      </c>
      <c r="U214" s="99">
        <f t="shared" si="179"/>
        <v>-2000</v>
      </c>
      <c r="V214" s="255">
        <f t="shared" si="180"/>
        <v>-0.11764705882352944</v>
      </c>
      <c r="W214" s="102" t="s">
        <v>1326</v>
      </c>
      <c r="X214" s="103" t="str">
        <f t="shared" si="189"/>
        <v>OK</v>
      </c>
      <c r="Y214" s="271"/>
      <c r="Z214" s="121"/>
      <c r="AA214" s="121"/>
      <c r="AB214" s="121"/>
      <c r="AC214" s="121"/>
      <c r="AD214" s="121"/>
      <c r="AE214" s="121"/>
      <c r="AF214" s="121"/>
      <c r="AG214" s="121"/>
      <c r="AH214" s="121"/>
      <c r="AI214" s="121"/>
      <c r="AJ214" s="121"/>
      <c r="AK214" s="121"/>
      <c r="AL214" s="121"/>
    </row>
    <row r="215" spans="1:57" s="115" customFormat="1" ht="15" customHeight="1">
      <c r="A215" s="555" t="s">
        <v>1327</v>
      </c>
      <c r="B215" s="217" t="str">
        <f t="shared" si="164"/>
        <v>200</v>
      </c>
      <c r="C215" s="217" t="str">
        <f t="shared" si="165"/>
        <v>73</v>
      </c>
      <c r="D215" s="101" t="str">
        <f t="shared" si="166"/>
        <v>734</v>
      </c>
      <c r="E215" s="217" t="str">
        <f t="shared" si="167"/>
        <v>200-73-734</v>
      </c>
      <c r="F215" s="294" t="str">
        <f t="shared" si="168"/>
        <v>52311</v>
      </c>
      <c r="G215" s="295" t="str">
        <f>VLOOKUP(F215,'GL Category'!A:C,3,FALSE)</f>
        <v>Operations &amp; maintenance</v>
      </c>
      <c r="H215" s="98" t="str">
        <f>VLOOKUP(F215,'GL Category'!A:C,2,FALSE)</f>
        <v>GROUNDS MAINTENANCE</v>
      </c>
      <c r="I215" s="99">
        <f>SUMIF(Import!$B:$B,$A215,Import!D:D)</f>
        <v>259.88</v>
      </c>
      <c r="J215" s="99">
        <f>SUMIF(Import!$B:$B,$A215,Import!E:E)</f>
        <v>0</v>
      </c>
      <c r="K215" s="99">
        <f>SUMIF(Import!$B:$B,$A215,Import!F:F)</f>
        <v>0</v>
      </c>
      <c r="L215" s="99">
        <f>SUMIF(Import!$B:$B,$A215,Import!G:G)</f>
        <v>0</v>
      </c>
      <c r="M215" s="99">
        <f>SUMIF(Import!$B:$B,$A215,Import!H:H)</f>
        <v>0</v>
      </c>
      <c r="N215" s="99">
        <f>SUMIF(Import!$B:$B,$A215,Import!I:I)</f>
        <v>0</v>
      </c>
      <c r="O215" s="99">
        <f>SUMIF(Import!$B:$B,$A215,Import!J:J)</f>
        <v>0</v>
      </c>
      <c r="P215" s="99">
        <f t="shared" si="178"/>
        <v>0</v>
      </c>
      <c r="Q215" s="99">
        <f>SUMIF(Import!$B:$B,$A215,Import!K:K)</f>
        <v>0</v>
      </c>
      <c r="R215" s="99">
        <f>SUMIF(Import!$B:$B,$A215,Import!L:L)</f>
        <v>0</v>
      </c>
      <c r="S215" s="99">
        <f>SUMIF(Import!$B:$B,$A215,Import!M:M)</f>
        <v>0</v>
      </c>
      <c r="T215" s="99">
        <f>SUMIF(Import!$B:$B,$A215,Import!N:N)</f>
        <v>0</v>
      </c>
      <c r="U215" s="99">
        <f t="shared" si="179"/>
        <v>0</v>
      </c>
      <c r="V215" s="255" t="str">
        <f t="shared" si="180"/>
        <v>N/A</v>
      </c>
      <c r="W215" s="102" t="s">
        <v>1327</v>
      </c>
      <c r="X215" s="103" t="str">
        <f t="shared" si="189"/>
        <v>OK</v>
      </c>
      <c r="Y215" s="271"/>
      <c r="Z215" s="121"/>
      <c r="AA215" s="121"/>
      <c r="AB215" s="121"/>
      <c r="AC215" s="121"/>
      <c r="AD215" s="121"/>
      <c r="AE215" s="121"/>
      <c r="AF215" s="121"/>
      <c r="AG215" s="121"/>
      <c r="AH215" s="121"/>
      <c r="AI215" s="121"/>
      <c r="AJ215" s="121"/>
      <c r="AK215" s="121"/>
      <c r="AL215" s="121"/>
    </row>
    <row r="216" spans="1:57" s="115" customFormat="1" ht="15" customHeight="1">
      <c r="A216" s="555" t="s">
        <v>1328</v>
      </c>
      <c r="B216" s="217" t="str">
        <f t="shared" si="164"/>
        <v>200</v>
      </c>
      <c r="C216" s="217" t="str">
        <f t="shared" si="165"/>
        <v>73</v>
      </c>
      <c r="D216" s="101" t="str">
        <f t="shared" si="166"/>
        <v>734</v>
      </c>
      <c r="E216" s="217" t="str">
        <f t="shared" si="167"/>
        <v>200-73-734</v>
      </c>
      <c r="F216" s="294" t="str">
        <f t="shared" si="168"/>
        <v>52410</v>
      </c>
      <c r="G216" s="295" t="str">
        <f>VLOOKUP(F216,'GL Category'!A:C,3,FALSE)</f>
        <v>Operations &amp; maintenance</v>
      </c>
      <c r="H216" s="98" t="str">
        <f>VLOOKUP(F216,'GL Category'!A:C,2,FALSE)</f>
        <v>PUMP/MOTOR/WELL MAINTENANCE</v>
      </c>
      <c r="I216" s="99">
        <f>SUMIF(Import!$B:$B,$A216,Import!D:D)</f>
        <v>20089.64</v>
      </c>
      <c r="J216" s="99">
        <f>SUMIF(Import!$B:$B,$A216,Import!E:E)</f>
        <v>46377.990000000005</v>
      </c>
      <c r="K216" s="99">
        <f>SUMIF(Import!$B:$B,$A216,Import!F:F)</f>
        <v>39336.97</v>
      </c>
      <c r="L216" s="99">
        <f>SUMIF(Import!$B:$B,$A216,Import!G:G)</f>
        <v>66876.66</v>
      </c>
      <c r="M216" s="99">
        <f>SUMIF(Import!$B:$B,$A216,Import!H:H)</f>
        <v>36000</v>
      </c>
      <c r="N216" s="99">
        <f>SUMIF(Import!$B:$B,$A216,Import!I:I)</f>
        <v>19306.09</v>
      </c>
      <c r="O216" s="99">
        <f>SUMIF(Import!$B:$B,$A216,Import!J:J)</f>
        <v>40000</v>
      </c>
      <c r="P216" s="99">
        <f t="shared" si="178"/>
        <v>4000</v>
      </c>
      <c r="Q216" s="99">
        <f>SUMIF(Import!$B:$B,$A216,Import!K:K)</f>
        <v>36000</v>
      </c>
      <c r="R216" s="99">
        <f>SUMIF(Import!$B:$B,$A216,Import!L:L)</f>
        <v>0</v>
      </c>
      <c r="S216" s="99">
        <f>SUMIF(Import!$B:$B,$A216,Import!M:M)</f>
        <v>0</v>
      </c>
      <c r="T216" s="99">
        <f>SUMIF(Import!$B:$B,$A216,Import!N:N)</f>
        <v>36000</v>
      </c>
      <c r="U216" s="99">
        <f t="shared" si="179"/>
        <v>0</v>
      </c>
      <c r="V216" s="255">
        <f t="shared" si="180"/>
        <v>0</v>
      </c>
      <c r="W216" s="102" t="s">
        <v>1328</v>
      </c>
      <c r="X216" s="103" t="str">
        <f t="shared" si="189"/>
        <v>OK</v>
      </c>
      <c r="Y216" s="271"/>
      <c r="Z216" s="121"/>
      <c r="AA216" s="121"/>
      <c r="AB216" s="121"/>
      <c r="AC216" s="121"/>
      <c r="AD216" s="121"/>
      <c r="AE216" s="121"/>
      <c r="AF216" s="121"/>
      <c r="AG216" s="121"/>
      <c r="AH216" s="121"/>
      <c r="AI216" s="121"/>
      <c r="AJ216" s="121"/>
      <c r="AK216" s="121"/>
      <c r="AL216" s="121"/>
    </row>
    <row r="217" spans="1:57" ht="15" customHeight="1">
      <c r="A217" s="555" t="s">
        <v>3235</v>
      </c>
      <c r="B217" s="217" t="str">
        <f t="shared" si="164"/>
        <v>200</v>
      </c>
      <c r="C217" s="217" t="str">
        <f t="shared" si="165"/>
        <v>73</v>
      </c>
      <c r="D217" s="101" t="str">
        <f t="shared" si="166"/>
        <v>734</v>
      </c>
      <c r="E217" s="217" t="str">
        <f t="shared" si="167"/>
        <v>200-73-734</v>
      </c>
      <c r="F217" s="294" t="str">
        <f t="shared" si="168"/>
        <v>52436</v>
      </c>
      <c r="G217" s="295" t="s">
        <v>121</v>
      </c>
      <c r="H217" s="98" t="str">
        <f>VLOOKUP(F217,'GL Category'!A:C,2,FALSE)</f>
        <v>SCADA MAINTENANCE</v>
      </c>
      <c r="I217" s="99">
        <f>SUMIF(Import!$B:$B,$A217,Import!D:D)</f>
        <v>0</v>
      </c>
      <c r="J217" s="99">
        <f>SUMIF(Import!$B:$B,$A217,Import!E:E)</f>
        <v>8393.59</v>
      </c>
      <c r="K217" s="99">
        <f>SUMIF(Import!$B:$B,$A217,Import!F:F)</f>
        <v>3233.6</v>
      </c>
      <c r="L217" s="99">
        <f>SUMIF(Import!$B:$B,$A217,Import!G:G)</f>
        <v>28211.21</v>
      </c>
      <c r="M217" s="99">
        <f>SUMIF(Import!$B:$B,$A217,Import!H:H)</f>
        <v>17500</v>
      </c>
      <c r="N217" s="99">
        <f>SUMIF(Import!$B:$B,$A217,Import!I:I)</f>
        <v>5532.7</v>
      </c>
      <c r="O217" s="99">
        <f>SUMIF(Import!$B:$B,$A217,Import!J:J)</f>
        <v>15000</v>
      </c>
      <c r="P217" s="99">
        <f t="shared" si="178"/>
        <v>-2500</v>
      </c>
      <c r="Q217" s="99">
        <f>SUMIF(Import!$B:$B,$A217,Import!K:K)</f>
        <v>17500</v>
      </c>
      <c r="R217" s="99">
        <f>SUMIF(Import!$B:$B,$A217,Import!L:L)</f>
        <v>0</v>
      </c>
      <c r="S217" s="99">
        <f>SUMIF(Import!$B:$B,$A217,Import!M:M)</f>
        <v>0</v>
      </c>
      <c r="T217" s="99">
        <f>SUMIF(Import!$B:$B,$A217,Import!N:N)</f>
        <v>17500</v>
      </c>
      <c r="U217" s="99">
        <f t="shared" si="179"/>
        <v>0</v>
      </c>
      <c r="V217" s="255">
        <f t="shared" si="180"/>
        <v>0</v>
      </c>
      <c r="W217" s="264" t="e">
        <v>#N/A</v>
      </c>
      <c r="X217" s="265" t="str">
        <f t="shared" si="189"/>
        <v>OK</v>
      </c>
      <c r="Y217" s="558" t="s">
        <v>3236</v>
      </c>
      <c r="Z217" s="299"/>
      <c r="AA217" s="299"/>
      <c r="AB217" s="299"/>
      <c r="AC217" s="299"/>
      <c r="AD217" s="299"/>
      <c r="AE217" s="299"/>
      <c r="AF217" s="299"/>
      <c r="AG217" s="299"/>
      <c r="AH217" s="299"/>
      <c r="AI217" s="299"/>
      <c r="AJ217" s="299"/>
      <c r="AK217" s="299"/>
      <c r="AL217" s="299"/>
      <c r="AM217" s="68"/>
      <c r="AN217" s="68"/>
      <c r="AO217" s="68"/>
      <c r="AP217" s="68"/>
      <c r="AQ217" s="68"/>
      <c r="AR217" s="68"/>
      <c r="AS217" s="68"/>
      <c r="AT217" s="68"/>
      <c r="AU217" s="68"/>
      <c r="AV217" s="68"/>
      <c r="AW217" s="68"/>
      <c r="AX217" s="68"/>
      <c r="AY217" s="68"/>
      <c r="AZ217" s="68"/>
      <c r="BA217" s="68"/>
      <c r="BB217" s="68"/>
      <c r="BC217" s="68"/>
      <c r="BD217" s="68"/>
      <c r="BE217" s="68"/>
    </row>
    <row r="218" spans="1:57" s="115" customFormat="1" ht="15" customHeight="1">
      <c r="A218" s="555" t="s">
        <v>1329</v>
      </c>
      <c r="B218" s="217" t="str">
        <f t="shared" si="164"/>
        <v>200</v>
      </c>
      <c r="C218" s="217" t="str">
        <f t="shared" si="165"/>
        <v>73</v>
      </c>
      <c r="D218" s="101" t="str">
        <f t="shared" si="166"/>
        <v>734</v>
      </c>
      <c r="E218" s="217" t="str">
        <f t="shared" si="167"/>
        <v>200-73-734</v>
      </c>
      <c r="F218" s="294" t="str">
        <f t="shared" si="168"/>
        <v>52460</v>
      </c>
      <c r="G218" s="295" t="str">
        <f>VLOOKUP(F218,'GL Category'!A:C,3,FALSE)</f>
        <v>Operations &amp; maintenance</v>
      </c>
      <c r="H218" s="98" t="str">
        <f>VLOOKUP(F218,'GL Category'!A:C,2,FALSE)</f>
        <v>VEHICLE MAINTENANCE</v>
      </c>
      <c r="I218" s="99">
        <f>SUMIF(Import!$B:$B,$A218,Import!D:D)</f>
        <v>6643.55</v>
      </c>
      <c r="J218" s="99">
        <f>SUMIF(Import!$B:$B,$A218,Import!E:E)</f>
        <v>5098.6899999999996</v>
      </c>
      <c r="K218" s="99">
        <f>SUMIF(Import!$B:$B,$A218,Import!F:F)</f>
        <v>2095.54</v>
      </c>
      <c r="L218" s="99">
        <f>SUMIF(Import!$B:$B,$A218,Import!G:G)</f>
        <v>2478.63</v>
      </c>
      <c r="M218" s="99">
        <f>SUMIF(Import!$B:$B,$A218,Import!H:H)</f>
        <v>3750</v>
      </c>
      <c r="N218" s="99">
        <f>SUMIF(Import!$B:$B,$A218,Import!I:I)</f>
        <v>5085.18</v>
      </c>
      <c r="O218" s="99">
        <f>SUMIF(Import!$B:$B,$A218,Import!J:J)</f>
        <v>6000</v>
      </c>
      <c r="P218" s="99">
        <f t="shared" si="178"/>
        <v>2250</v>
      </c>
      <c r="Q218" s="99">
        <f>SUMIF(Import!$B:$B,$A218,Import!K:K)</f>
        <v>4500</v>
      </c>
      <c r="R218" s="99">
        <f>SUMIF(Import!$B:$B,$A218,Import!L:L)</f>
        <v>0</v>
      </c>
      <c r="S218" s="99">
        <f>SUMIF(Import!$B:$B,$A218,Import!M:M)</f>
        <v>0</v>
      </c>
      <c r="T218" s="99">
        <f>SUMIF(Import!$B:$B,$A218,Import!N:N)</f>
        <v>4500</v>
      </c>
      <c r="U218" s="99">
        <f t="shared" si="179"/>
        <v>750</v>
      </c>
      <c r="V218" s="255">
        <f t="shared" si="180"/>
        <v>0.19999999999999996</v>
      </c>
      <c r="W218" s="102" t="s">
        <v>1329</v>
      </c>
      <c r="X218" s="103" t="str">
        <f t="shared" si="189"/>
        <v>OK</v>
      </c>
      <c r="Y218" s="271"/>
      <c r="Z218" s="121"/>
      <c r="AA218" s="121"/>
      <c r="AB218" s="121"/>
      <c r="AC218" s="121"/>
      <c r="AD218" s="121"/>
      <c r="AE218" s="121"/>
      <c r="AF218" s="121"/>
      <c r="AG218" s="121"/>
      <c r="AH218" s="121"/>
      <c r="AI218" s="121"/>
      <c r="AJ218" s="121"/>
      <c r="AK218" s="121"/>
      <c r="AL218" s="121"/>
    </row>
    <row r="219" spans="1:57" s="115" customFormat="1" ht="15" customHeight="1">
      <c r="A219" s="555" t="s">
        <v>1330</v>
      </c>
      <c r="B219" s="217" t="str">
        <f t="shared" si="164"/>
        <v>200</v>
      </c>
      <c r="C219" s="217" t="str">
        <f t="shared" si="165"/>
        <v>73</v>
      </c>
      <c r="D219" s="101" t="str">
        <f t="shared" si="166"/>
        <v>734</v>
      </c>
      <c r="E219" s="217" t="str">
        <f t="shared" si="167"/>
        <v>200-73-734</v>
      </c>
      <c r="F219" s="294" t="str">
        <f t="shared" si="168"/>
        <v>52470</v>
      </c>
      <c r="G219" s="295" t="str">
        <f>VLOOKUP(F219,'GL Category'!A:C,3,FALSE)</f>
        <v>Operations &amp; maintenance</v>
      </c>
      <c r="H219" s="98" t="str">
        <f>VLOOKUP(F219,'GL Category'!A:C,2,FALSE)</f>
        <v>EQUIPMENT MAINTENANCE</v>
      </c>
      <c r="I219" s="99">
        <f>SUMIF(Import!$B:$B,$A219,Import!D:D)</f>
        <v>544.01</v>
      </c>
      <c r="J219" s="99">
        <f>SUMIF(Import!$B:$B,$A219,Import!E:E)</f>
        <v>0</v>
      </c>
      <c r="K219" s="99">
        <f>SUMIF(Import!$B:$B,$A219,Import!F:F)</f>
        <v>562.46</v>
      </c>
      <c r="L219" s="99">
        <f>SUMIF(Import!$B:$B,$A219,Import!G:G)</f>
        <v>0</v>
      </c>
      <c r="M219" s="99">
        <f>SUMIF(Import!$B:$B,$A219,Import!H:H)</f>
        <v>1500</v>
      </c>
      <c r="N219" s="99">
        <f>SUMIF(Import!$B:$B,$A219,Import!I:I)</f>
        <v>43.21</v>
      </c>
      <c r="O219" s="99">
        <f>SUMIF(Import!$B:$B,$A219,Import!J:J)</f>
        <v>1000</v>
      </c>
      <c r="P219" s="99">
        <f t="shared" si="178"/>
        <v>-500</v>
      </c>
      <c r="Q219" s="99">
        <f>SUMIF(Import!$B:$B,$A219,Import!K:K)</f>
        <v>1500</v>
      </c>
      <c r="R219" s="99">
        <f>SUMIF(Import!$B:$B,$A219,Import!L:L)</f>
        <v>0</v>
      </c>
      <c r="S219" s="99">
        <f>SUMIF(Import!$B:$B,$A219,Import!M:M)</f>
        <v>0</v>
      </c>
      <c r="T219" s="99">
        <f>SUMIF(Import!$B:$B,$A219,Import!N:N)</f>
        <v>1500</v>
      </c>
      <c r="U219" s="99">
        <f t="shared" si="179"/>
        <v>0</v>
      </c>
      <c r="V219" s="255">
        <f t="shared" si="180"/>
        <v>0</v>
      </c>
      <c r="W219" s="102" t="s">
        <v>1330</v>
      </c>
      <c r="X219" s="103" t="str">
        <f t="shared" si="189"/>
        <v>OK</v>
      </c>
      <c r="Y219" s="271"/>
      <c r="Z219" s="121"/>
      <c r="AA219" s="121"/>
      <c r="AB219" s="121"/>
      <c r="AC219" s="121"/>
      <c r="AD219" s="121"/>
      <c r="AE219" s="121"/>
      <c r="AF219" s="121"/>
      <c r="AG219" s="121"/>
      <c r="AH219" s="121"/>
      <c r="AI219" s="121"/>
      <c r="AJ219" s="121"/>
      <c r="AK219" s="121"/>
      <c r="AL219" s="121"/>
    </row>
    <row r="220" spans="1:57" s="115" customFormat="1" ht="15" customHeight="1">
      <c r="A220" s="555" t="s">
        <v>1331</v>
      </c>
      <c r="B220" s="217" t="str">
        <f t="shared" si="164"/>
        <v>200</v>
      </c>
      <c r="C220" s="217" t="str">
        <f t="shared" si="165"/>
        <v>73</v>
      </c>
      <c r="D220" s="101" t="str">
        <f t="shared" si="166"/>
        <v>734</v>
      </c>
      <c r="E220" s="217" t="str">
        <f t="shared" si="167"/>
        <v>200-73-734</v>
      </c>
      <c r="F220" s="294" t="str">
        <f t="shared" si="168"/>
        <v>51210</v>
      </c>
      <c r="G220" s="295" t="str">
        <f>VLOOKUP(F220,'GL Category'!A:C,3,FALSE)</f>
        <v>Operations &amp; maintenance</v>
      </c>
      <c r="H220" s="98" t="str">
        <f>VLOOKUP(F220,'GL Category'!A:C,2,FALSE)</f>
        <v>OFFICE SUPPLIES</v>
      </c>
      <c r="I220" s="99">
        <f>SUMIF(Import!$B:$B,$A220,Import!D:D)</f>
        <v>0</v>
      </c>
      <c r="J220" s="99">
        <f>SUMIF(Import!$B:$B,$A220,Import!E:E)</f>
        <v>0</v>
      </c>
      <c r="K220" s="99">
        <f>SUMIF(Import!$B:$B,$A220,Import!F:F)</f>
        <v>0</v>
      </c>
      <c r="L220" s="99">
        <f>SUMIF(Import!$B:$B,$A220,Import!G:G)</f>
        <v>0</v>
      </c>
      <c r="M220" s="99">
        <f>SUMIF(Import!$B:$B,$A220,Import!H:H)</f>
        <v>0</v>
      </c>
      <c r="N220" s="99">
        <f>SUMIF(Import!$B:$B,$A220,Import!I:I)</f>
        <v>0</v>
      </c>
      <c r="O220" s="99">
        <f>SUMIF(Import!$B:$B,$A220,Import!J:J)</f>
        <v>0</v>
      </c>
      <c r="P220" s="99">
        <f t="shared" si="178"/>
        <v>0</v>
      </c>
      <c r="Q220" s="99">
        <f>SUMIF(Import!$B:$B,$A220,Import!K:K)</f>
        <v>0</v>
      </c>
      <c r="R220" s="99">
        <f>SUMIF(Import!$B:$B,$A220,Import!L:L)</f>
        <v>0</v>
      </c>
      <c r="S220" s="99">
        <f>SUMIF(Import!$B:$B,$A220,Import!M:M)</f>
        <v>0</v>
      </c>
      <c r="T220" s="99">
        <f>SUMIF(Import!$B:$B,$A220,Import!N:N)</f>
        <v>0</v>
      </c>
      <c r="U220" s="99">
        <f t="shared" si="179"/>
        <v>0</v>
      </c>
      <c r="V220" s="255" t="str">
        <f t="shared" si="180"/>
        <v>N/A</v>
      </c>
      <c r="W220" s="102" t="s">
        <v>1331</v>
      </c>
      <c r="X220" s="103" t="str">
        <f t="shared" si="189"/>
        <v>OK</v>
      </c>
      <c r="Y220" s="271"/>
      <c r="Z220" s="121"/>
      <c r="AA220" s="121"/>
      <c r="AB220" s="121"/>
      <c r="AC220" s="121"/>
      <c r="AD220" s="121"/>
      <c r="AE220" s="121"/>
      <c r="AF220" s="121"/>
      <c r="AG220" s="121"/>
      <c r="AH220" s="121"/>
      <c r="AI220" s="121"/>
      <c r="AJ220" s="121"/>
      <c r="AK220" s="121"/>
      <c r="AL220" s="121"/>
    </row>
    <row r="221" spans="1:57" s="115" customFormat="1" ht="15" customHeight="1">
      <c r="A221" s="555" t="s">
        <v>1332</v>
      </c>
      <c r="B221" s="217" t="str">
        <f t="shared" si="164"/>
        <v>200</v>
      </c>
      <c r="C221" s="217" t="str">
        <f t="shared" si="165"/>
        <v>73</v>
      </c>
      <c r="D221" s="101" t="str">
        <f t="shared" si="166"/>
        <v>734</v>
      </c>
      <c r="E221" s="217" t="str">
        <f t="shared" si="167"/>
        <v>200-73-734</v>
      </c>
      <c r="F221" s="294" t="str">
        <f t="shared" si="168"/>
        <v>52499</v>
      </c>
      <c r="G221" s="295" t="str">
        <f>VLOOKUP(F221,'GL Category'!A:C,3,FALSE)</f>
        <v>Operations &amp; maintenance</v>
      </c>
      <c r="H221" s="98" t="str">
        <f>VLOOKUP(F221,'GL Category'!A:C,2,FALSE)</f>
        <v>MISCELLANEOUS MAINTENANCE</v>
      </c>
      <c r="I221" s="99">
        <f>SUMIF(Import!$B:$B,$A221,Import!D:D)</f>
        <v>25360.55</v>
      </c>
      <c r="J221" s="99">
        <f>SUMIF(Import!$B:$B,$A221,Import!E:E)</f>
        <v>936.25</v>
      </c>
      <c r="K221" s="99">
        <f>SUMIF(Import!$B:$B,$A221,Import!F:F)</f>
        <v>0</v>
      </c>
      <c r="L221" s="99">
        <f>SUMIF(Import!$B:$B,$A221,Import!G:G)</f>
        <v>0</v>
      </c>
      <c r="M221" s="99">
        <f>SUMIF(Import!$B:$B,$A221,Import!H:H)</f>
        <v>0</v>
      </c>
      <c r="N221" s="99">
        <f>SUMIF(Import!$B:$B,$A221,Import!I:I)</f>
        <v>0</v>
      </c>
      <c r="O221" s="99">
        <f>SUMIF(Import!$B:$B,$A221,Import!J:J)</f>
        <v>0</v>
      </c>
      <c r="P221" s="99">
        <f t="shared" si="178"/>
        <v>0</v>
      </c>
      <c r="Q221" s="99">
        <f>SUMIF(Import!$B:$B,$A221,Import!K:K)</f>
        <v>0</v>
      </c>
      <c r="R221" s="99">
        <f>SUMIF(Import!$B:$B,$A221,Import!L:L)</f>
        <v>0</v>
      </c>
      <c r="S221" s="99">
        <f>SUMIF(Import!$B:$B,$A221,Import!M:M)</f>
        <v>0</v>
      </c>
      <c r="T221" s="99">
        <f>SUMIF(Import!$B:$B,$A221,Import!N:N)</f>
        <v>0</v>
      </c>
      <c r="U221" s="99">
        <f t="shared" si="179"/>
        <v>0</v>
      </c>
      <c r="V221" s="255" t="str">
        <f t="shared" si="180"/>
        <v>N/A</v>
      </c>
      <c r="W221" s="102" t="s">
        <v>1332</v>
      </c>
      <c r="X221" s="103" t="str">
        <f t="shared" si="189"/>
        <v>OK</v>
      </c>
      <c r="Y221" s="271"/>
      <c r="Z221" s="121"/>
      <c r="AA221" s="121"/>
      <c r="AB221" s="121"/>
      <c r="AC221" s="121"/>
      <c r="AD221" s="121"/>
      <c r="AE221" s="121"/>
      <c r="AF221" s="121"/>
      <c r="AG221" s="121"/>
      <c r="AH221" s="121"/>
      <c r="AI221" s="121"/>
      <c r="AJ221" s="121"/>
      <c r="AK221" s="121"/>
      <c r="AL221" s="121"/>
    </row>
    <row r="222" spans="1:57" s="115" customFormat="1" ht="26.4">
      <c r="A222" s="555"/>
      <c r="B222" s="217"/>
      <c r="C222" s="217"/>
      <c r="D222" s="101"/>
      <c r="E222" s="217"/>
      <c r="F222" s="294"/>
      <c r="G222" s="146"/>
      <c r="H222" s="107" t="str">
        <f>UPPER(G130)&amp;" TOTAL"</f>
        <v>OPERATIONS &amp; MAINTENANCE TOTAL</v>
      </c>
      <c r="I222" s="108">
        <f t="shared" ref="I222" si="190">SUBTOTAL(9,I207:I221)</f>
        <v>85746.82</v>
      </c>
      <c r="J222" s="108">
        <f t="shared" ref="J222:T222" si="191">SUBTOTAL(9,J207:J221)</f>
        <v>95251.510000000009</v>
      </c>
      <c r="K222" s="108">
        <f t="shared" ref="K222" si="192">SUBTOTAL(9,K207:K221)</f>
        <v>72857.73000000001</v>
      </c>
      <c r="L222" s="108">
        <f t="shared" ref="L222" si="193">SUBTOTAL(9,L207:L221)</f>
        <v>134439.92000000001</v>
      </c>
      <c r="M222" s="108">
        <f t="shared" si="191"/>
        <v>113850</v>
      </c>
      <c r="N222" s="108">
        <f t="shared" si="191"/>
        <v>47386.92</v>
      </c>
      <c r="O222" s="108">
        <f t="shared" si="191"/>
        <v>107000</v>
      </c>
      <c r="P222" s="108">
        <f t="shared" si="191"/>
        <v>-6850</v>
      </c>
      <c r="Q222" s="108">
        <f t="shared" si="191"/>
        <v>109000</v>
      </c>
      <c r="R222" s="108">
        <f t="shared" si="191"/>
        <v>0</v>
      </c>
      <c r="S222" s="108">
        <f t="shared" si="191"/>
        <v>0</v>
      </c>
      <c r="T222" s="108">
        <f t="shared" si="191"/>
        <v>109000</v>
      </c>
      <c r="U222" s="99">
        <f>T222-M222</f>
        <v>-4850</v>
      </c>
      <c r="V222" s="259">
        <f>IF(M222=0,"N/A",T222/M222-1)</f>
        <v>-4.2599912165129594E-2</v>
      </c>
      <c r="W222" s="102"/>
      <c r="X222" s="103" t="str">
        <f t="shared" si="189"/>
        <v>OK</v>
      </c>
      <c r="Y222" s="271"/>
      <c r="Z222" s="121"/>
      <c r="AA222" s="121"/>
      <c r="AB222" s="121"/>
      <c r="AC222" s="121"/>
      <c r="AD222" s="121"/>
      <c r="AE222" s="121"/>
      <c r="AF222" s="121"/>
      <c r="AG222" s="121"/>
      <c r="AH222" s="121"/>
      <c r="AI222" s="121"/>
      <c r="AJ222" s="121"/>
      <c r="AK222" s="121"/>
      <c r="AL222" s="121"/>
    </row>
    <row r="223" spans="1:57" s="115" customFormat="1">
      <c r="A223" s="555"/>
      <c r="B223" s="217"/>
      <c r="C223" s="217"/>
      <c r="D223" s="101"/>
      <c r="E223" s="217"/>
      <c r="F223" s="294"/>
      <c r="G223" s="146"/>
      <c r="H223" s="232"/>
      <c r="I223" s="233"/>
      <c r="J223" s="233"/>
      <c r="K223" s="233"/>
      <c r="L223" s="233"/>
      <c r="M223" s="233"/>
      <c r="N223" s="233"/>
      <c r="O223" s="233"/>
      <c r="P223" s="233"/>
      <c r="Q223" s="233"/>
      <c r="R223" s="233"/>
      <c r="S223" s="233"/>
      <c r="T223" s="233"/>
      <c r="U223" s="233"/>
      <c r="V223" s="233"/>
      <c r="W223" s="102"/>
      <c r="X223" s="103" t="str">
        <f t="shared" si="189"/>
        <v/>
      </c>
      <c r="Y223" s="271"/>
      <c r="Z223" s="121"/>
      <c r="AA223" s="121"/>
      <c r="AB223" s="121"/>
      <c r="AC223" s="121"/>
      <c r="AD223" s="121"/>
      <c r="AE223" s="121"/>
      <c r="AF223" s="121"/>
      <c r="AG223" s="121"/>
      <c r="AH223" s="121"/>
      <c r="AI223" s="121"/>
      <c r="AJ223" s="121"/>
      <c r="AK223" s="121"/>
      <c r="AL223" s="121"/>
    </row>
    <row r="224" spans="1:57" s="115" customFormat="1">
      <c r="A224" s="555" t="s">
        <v>1334</v>
      </c>
      <c r="B224" s="217" t="str">
        <f t="shared" si="164"/>
        <v>200</v>
      </c>
      <c r="C224" s="217" t="str">
        <f t="shared" si="165"/>
        <v>73</v>
      </c>
      <c r="D224" s="101" t="str">
        <f t="shared" si="166"/>
        <v>734</v>
      </c>
      <c r="E224" s="217" t="str">
        <f t="shared" si="167"/>
        <v>200-73-734</v>
      </c>
      <c r="F224" s="294" t="str">
        <f t="shared" si="168"/>
        <v>53510</v>
      </c>
      <c r="G224" s="295" t="str">
        <f>VLOOKUP(F224,'GL Category'!A:C,3,FALSE)</f>
        <v>Services &amp; other</v>
      </c>
      <c r="H224" s="98" t="str">
        <f>VLOOKUP(F224,'GL Category'!A:C,2,FALSE)</f>
        <v>DUES &amp; SUBSCRIPTIONS</v>
      </c>
      <c r="I224" s="99">
        <f>SUMIF(Import!$B:$B,$A224,Import!D:D)</f>
        <v>182</v>
      </c>
      <c r="J224" s="99">
        <f>SUMIF(Import!$B:$B,$A224,Import!E:E)</f>
        <v>182</v>
      </c>
      <c r="K224" s="99">
        <f>SUMIF(Import!$B:$B,$A224,Import!F:F)</f>
        <v>310</v>
      </c>
      <c r="L224" s="99">
        <f>SUMIF(Import!$B:$B,$A224,Import!G:G)</f>
        <v>316</v>
      </c>
      <c r="M224" s="99">
        <f>SUMIF(Import!$B:$B,$A224,Import!H:H)</f>
        <v>270</v>
      </c>
      <c r="N224" s="99">
        <f>SUMIF(Import!$B:$B,$A224,Import!I:I)</f>
        <v>95</v>
      </c>
      <c r="O224" s="99">
        <f>SUMIF(Import!$B:$B,$A224,Import!J:J)</f>
        <v>270</v>
      </c>
      <c r="P224" s="99">
        <f t="shared" ref="P224:P233" si="194">O224-M224</f>
        <v>0</v>
      </c>
      <c r="Q224" s="99">
        <f>SUMIF(Import!$B:$B,$A224,Import!K:K)</f>
        <v>270</v>
      </c>
      <c r="R224" s="99">
        <f>SUMIF(Import!$B:$B,$A224,Import!L:L)</f>
        <v>0</v>
      </c>
      <c r="S224" s="99">
        <f>SUMIF(Import!$B:$B,$A224,Import!M:M)</f>
        <v>0</v>
      </c>
      <c r="T224" s="99">
        <f>SUMIF(Import!$B:$B,$A224,Import!N:N)</f>
        <v>270</v>
      </c>
      <c r="U224" s="99">
        <f t="shared" ref="U224:U233" si="195">T224-M224</f>
        <v>0</v>
      </c>
      <c r="V224" s="255">
        <f t="shared" ref="V224:V233" si="196">IF(M224=0,"N/A",T224/M224-1)</f>
        <v>0</v>
      </c>
      <c r="W224" s="102" t="s">
        <v>1334</v>
      </c>
      <c r="X224" s="103" t="str">
        <f t="shared" si="189"/>
        <v>OK</v>
      </c>
      <c r="Y224" s="271"/>
      <c r="Z224" s="121"/>
      <c r="AA224" s="121"/>
      <c r="AB224" s="121"/>
      <c r="AC224" s="121"/>
      <c r="AD224" s="121"/>
      <c r="AE224" s="121"/>
      <c r="AF224" s="121"/>
      <c r="AG224" s="121"/>
      <c r="AH224" s="121"/>
      <c r="AI224" s="121"/>
      <c r="AJ224" s="121"/>
      <c r="AK224" s="121"/>
      <c r="AL224" s="121"/>
    </row>
    <row r="225" spans="1:38" s="115" customFormat="1">
      <c r="A225" s="555" t="s">
        <v>1335</v>
      </c>
      <c r="B225" s="217" t="str">
        <f t="shared" si="164"/>
        <v>200</v>
      </c>
      <c r="C225" s="217" t="str">
        <f t="shared" si="165"/>
        <v>73</v>
      </c>
      <c r="D225" s="101" t="str">
        <f t="shared" si="166"/>
        <v>734</v>
      </c>
      <c r="E225" s="217" t="str">
        <f t="shared" si="167"/>
        <v>200-73-734</v>
      </c>
      <c r="F225" s="294" t="str">
        <f t="shared" si="168"/>
        <v>53515</v>
      </c>
      <c r="G225" s="295" t="str">
        <f>VLOOKUP(F225,'GL Category'!A:C,3,FALSE)</f>
        <v>Services &amp; other</v>
      </c>
      <c r="H225" s="98" t="str">
        <f>VLOOKUP(F225,'GL Category'!A:C,2,FALSE)</f>
        <v>TRAVEL, TRAINING &amp; EDUCATION</v>
      </c>
      <c r="I225" s="99">
        <f>SUMIF(Import!$B:$B,$A225,Import!D:D)</f>
        <v>425</v>
      </c>
      <c r="J225" s="99">
        <f>SUMIF(Import!$B:$B,$A225,Import!E:E)</f>
        <v>1042.25</v>
      </c>
      <c r="K225" s="99">
        <f>SUMIF(Import!$B:$B,$A225,Import!F:F)</f>
        <v>113.75</v>
      </c>
      <c r="L225" s="99">
        <f>SUMIF(Import!$B:$B,$A225,Import!G:G)</f>
        <v>1792</v>
      </c>
      <c r="M225" s="99">
        <f>SUMIF(Import!$B:$B,$A225,Import!H:H)</f>
        <v>2525</v>
      </c>
      <c r="N225" s="99">
        <f>SUMIF(Import!$B:$B,$A225,Import!I:I)</f>
        <v>1053.92</v>
      </c>
      <c r="O225" s="99">
        <f>SUMIF(Import!$B:$B,$A225,Import!J:J)</f>
        <v>2000</v>
      </c>
      <c r="P225" s="99">
        <f t="shared" si="194"/>
        <v>-525</v>
      </c>
      <c r="Q225" s="99">
        <f>SUMIF(Import!$B:$B,$A225,Import!K:K)</f>
        <v>2500</v>
      </c>
      <c r="R225" s="99">
        <f>SUMIF(Import!$B:$B,$A225,Import!L:L)</f>
        <v>0</v>
      </c>
      <c r="S225" s="99">
        <f>SUMIF(Import!$B:$B,$A225,Import!M:M)</f>
        <v>0</v>
      </c>
      <c r="T225" s="99">
        <f>SUMIF(Import!$B:$B,$A225,Import!N:N)</f>
        <v>2500</v>
      </c>
      <c r="U225" s="99">
        <f t="shared" si="195"/>
        <v>-25</v>
      </c>
      <c r="V225" s="255">
        <f t="shared" si="196"/>
        <v>-9.9009900990099098E-3</v>
      </c>
      <c r="W225" s="102" t="s">
        <v>1335</v>
      </c>
      <c r="X225" s="103" t="str">
        <f t="shared" si="189"/>
        <v>OK</v>
      </c>
      <c r="Y225" s="271"/>
      <c r="Z225" s="121"/>
      <c r="AA225" s="121"/>
      <c r="AB225" s="121"/>
      <c r="AC225" s="121"/>
      <c r="AD225" s="121"/>
      <c r="AE225" s="121"/>
      <c r="AF225" s="121"/>
      <c r="AG225" s="121"/>
      <c r="AH225" s="121"/>
      <c r="AI225" s="121"/>
      <c r="AJ225" s="121"/>
      <c r="AK225" s="121"/>
      <c r="AL225" s="121"/>
    </row>
    <row r="226" spans="1:38" s="115" customFormat="1">
      <c r="A226" s="555" t="s">
        <v>1336</v>
      </c>
      <c r="B226" s="217" t="str">
        <f t="shared" si="164"/>
        <v>200</v>
      </c>
      <c r="C226" s="217" t="str">
        <f t="shared" si="165"/>
        <v>73</v>
      </c>
      <c r="D226" s="101" t="str">
        <f t="shared" si="166"/>
        <v>734</v>
      </c>
      <c r="E226" s="217" t="str">
        <f t="shared" si="167"/>
        <v>200-73-734</v>
      </c>
      <c r="F226" s="294" t="str">
        <f t="shared" si="168"/>
        <v>53524</v>
      </c>
      <c r="G226" s="295" t="str">
        <f>VLOOKUP(F226,'GL Category'!A:C,3,FALSE)</f>
        <v>Services &amp; other</v>
      </c>
      <c r="H226" s="98" t="str">
        <f>VLOOKUP(F226,'GL Category'!A:C,2,FALSE)</f>
        <v>EQUIPMENT RENTAL</v>
      </c>
      <c r="I226" s="99">
        <f>SUMIF(Import!$B:$B,$A226,Import!D:D)</f>
        <v>0</v>
      </c>
      <c r="J226" s="99">
        <f>SUMIF(Import!$B:$B,$A226,Import!E:E)</f>
        <v>0</v>
      </c>
      <c r="K226" s="99">
        <f>SUMIF(Import!$B:$B,$A226,Import!F:F)</f>
        <v>260.98</v>
      </c>
      <c r="L226" s="99">
        <f>SUMIF(Import!$B:$B,$A226,Import!G:G)</f>
        <v>750</v>
      </c>
      <c r="M226" s="99">
        <f>SUMIF(Import!$B:$B,$A226,Import!H:H)</f>
        <v>1500</v>
      </c>
      <c r="N226" s="99">
        <f>SUMIF(Import!$B:$B,$A226,Import!I:I)</f>
        <v>333.4</v>
      </c>
      <c r="O226" s="99">
        <f>SUMIF(Import!$B:$B,$A226,Import!J:J)</f>
        <v>750</v>
      </c>
      <c r="P226" s="99">
        <f t="shared" si="194"/>
        <v>-750</v>
      </c>
      <c r="Q226" s="99">
        <f>SUMIF(Import!$B:$B,$A226,Import!K:K)</f>
        <v>1500</v>
      </c>
      <c r="R226" s="99">
        <f>SUMIF(Import!$B:$B,$A226,Import!L:L)</f>
        <v>0</v>
      </c>
      <c r="S226" s="99">
        <f>SUMIF(Import!$B:$B,$A226,Import!M:M)</f>
        <v>0</v>
      </c>
      <c r="T226" s="99">
        <f>SUMIF(Import!$B:$B,$A226,Import!N:N)</f>
        <v>1500</v>
      </c>
      <c r="U226" s="99">
        <f t="shared" si="195"/>
        <v>0</v>
      </c>
      <c r="V226" s="255">
        <f t="shared" si="196"/>
        <v>0</v>
      </c>
      <c r="W226" s="102" t="s">
        <v>1336</v>
      </c>
      <c r="X226" s="103" t="str">
        <f t="shared" si="189"/>
        <v>OK</v>
      </c>
      <c r="Y226" s="271"/>
      <c r="Z226" s="121"/>
      <c r="AA226" s="121"/>
      <c r="AB226" s="121"/>
      <c r="AC226" s="121"/>
      <c r="AD226" s="121"/>
      <c r="AE226" s="121"/>
      <c r="AF226" s="121"/>
      <c r="AG226" s="121"/>
      <c r="AH226" s="121"/>
      <c r="AI226" s="121"/>
      <c r="AJ226" s="121"/>
      <c r="AK226" s="121"/>
      <c r="AL226" s="121"/>
    </row>
    <row r="227" spans="1:38" s="115" customFormat="1">
      <c r="A227" s="555" t="s">
        <v>1337</v>
      </c>
      <c r="B227" s="217" t="str">
        <f t="shared" si="164"/>
        <v>200</v>
      </c>
      <c r="C227" s="217" t="str">
        <f t="shared" si="165"/>
        <v>73</v>
      </c>
      <c r="D227" s="101" t="str">
        <f t="shared" si="166"/>
        <v>734</v>
      </c>
      <c r="E227" s="217" t="str">
        <f t="shared" si="167"/>
        <v>200-73-734</v>
      </c>
      <c r="F227" s="294" t="str">
        <f t="shared" si="168"/>
        <v>53525</v>
      </c>
      <c r="G227" s="295" t="str">
        <f>VLOOKUP(F227,'GL Category'!A:C,3,FALSE)</f>
        <v>Services &amp; other</v>
      </c>
      <c r="H227" s="98" t="str">
        <f>VLOOKUP(F227,'GL Category'!A:C,2,FALSE)</f>
        <v>LANDSCAPE SERVICES</v>
      </c>
      <c r="I227" s="99">
        <f>SUMIF(Import!$B:$B,$A227,Import!D:D)</f>
        <v>10386</v>
      </c>
      <c r="J227" s="99">
        <f>SUMIF(Import!$B:$B,$A227,Import!E:E)</f>
        <v>5770</v>
      </c>
      <c r="K227" s="99">
        <f>SUMIF(Import!$B:$B,$A227,Import!F:F)</f>
        <v>11048.4</v>
      </c>
      <c r="L227" s="99">
        <f>SUMIF(Import!$B:$B,$A227,Import!G:G)</f>
        <v>12394.42</v>
      </c>
      <c r="M227" s="99">
        <f>SUMIF(Import!$B:$B,$A227,Import!H:H)</f>
        <v>16200</v>
      </c>
      <c r="N227" s="99">
        <f>SUMIF(Import!$B:$B,$A227,Import!I:I)</f>
        <v>9108</v>
      </c>
      <c r="O227" s="99">
        <f>SUMIF(Import!$B:$B,$A227,Import!J:J)</f>
        <v>16200</v>
      </c>
      <c r="P227" s="99">
        <f t="shared" si="194"/>
        <v>0</v>
      </c>
      <c r="Q227" s="99">
        <f>SUMIF(Import!$B:$B,$A227,Import!K:K)</f>
        <v>16200</v>
      </c>
      <c r="R227" s="99">
        <f>SUMIF(Import!$B:$B,$A227,Import!L:L)</f>
        <v>0</v>
      </c>
      <c r="S227" s="99">
        <f>SUMIF(Import!$B:$B,$A227,Import!M:M)</f>
        <v>0</v>
      </c>
      <c r="T227" s="99">
        <f>SUMIF(Import!$B:$B,$A227,Import!N:N)</f>
        <v>16200</v>
      </c>
      <c r="U227" s="99">
        <f t="shared" si="195"/>
        <v>0</v>
      </c>
      <c r="V227" s="255">
        <f t="shared" si="196"/>
        <v>0</v>
      </c>
      <c r="W227" s="102" t="s">
        <v>1337</v>
      </c>
      <c r="X227" s="103" t="str">
        <f t="shared" si="189"/>
        <v>OK</v>
      </c>
      <c r="Y227" s="271"/>
      <c r="Z227" s="121"/>
      <c r="AA227" s="121"/>
      <c r="AB227" s="121"/>
      <c r="AC227" s="121"/>
      <c r="AD227" s="121"/>
      <c r="AE227" s="121"/>
      <c r="AF227" s="121"/>
      <c r="AG227" s="121"/>
      <c r="AH227" s="121"/>
      <c r="AI227" s="121"/>
      <c r="AJ227" s="121"/>
      <c r="AK227" s="121"/>
      <c r="AL227" s="121"/>
    </row>
    <row r="228" spans="1:38" s="115" customFormat="1">
      <c r="A228" s="555" t="s">
        <v>1338</v>
      </c>
      <c r="B228" s="217" t="str">
        <f t="shared" si="164"/>
        <v>200</v>
      </c>
      <c r="C228" s="217" t="str">
        <f t="shared" si="165"/>
        <v>73</v>
      </c>
      <c r="D228" s="101" t="str">
        <f t="shared" si="166"/>
        <v>734</v>
      </c>
      <c r="E228" s="217" t="str">
        <f t="shared" si="167"/>
        <v>200-73-734</v>
      </c>
      <c r="F228" s="294" t="str">
        <f t="shared" si="168"/>
        <v>53526</v>
      </c>
      <c r="G228" s="295" t="str">
        <f>VLOOKUP(F228,'GL Category'!A:C,3,FALSE)</f>
        <v>Services &amp; other</v>
      </c>
      <c r="H228" s="98" t="str">
        <f>VLOOKUP(F228,'GL Category'!A:C,2,FALSE)</f>
        <v>LABORATORY SERVICES</v>
      </c>
      <c r="I228" s="99">
        <f>SUMIF(Import!$B:$B,$A228,Import!D:D)</f>
        <v>19494.98</v>
      </c>
      <c r="J228" s="99">
        <f>SUMIF(Import!$B:$B,$A228,Import!E:E)</f>
        <v>16263.3</v>
      </c>
      <c r="K228" s="99">
        <f>SUMIF(Import!$B:$B,$A228,Import!F:F)</f>
        <v>16343.77</v>
      </c>
      <c r="L228" s="99">
        <f>SUMIF(Import!$B:$B,$A228,Import!G:G)</f>
        <v>14657.52</v>
      </c>
      <c r="M228" s="99">
        <f>SUMIF(Import!$B:$B,$A228,Import!H:H)</f>
        <v>27500</v>
      </c>
      <c r="N228" s="99">
        <f>SUMIF(Import!$B:$B,$A228,Import!I:I)</f>
        <v>15604</v>
      </c>
      <c r="O228" s="99">
        <f>SUMIF(Import!$B:$B,$A228,Import!J:J)</f>
        <v>20000</v>
      </c>
      <c r="P228" s="99">
        <f t="shared" si="194"/>
        <v>-7500</v>
      </c>
      <c r="Q228" s="99">
        <f>SUMIF(Import!$B:$B,$A228,Import!K:K)</f>
        <v>25000</v>
      </c>
      <c r="R228" s="99">
        <f>SUMIF(Import!$B:$B,$A228,Import!L:L)</f>
        <v>0</v>
      </c>
      <c r="S228" s="99">
        <f>SUMIF(Import!$B:$B,$A228,Import!M:M)</f>
        <v>0</v>
      </c>
      <c r="T228" s="99">
        <f>SUMIF(Import!$B:$B,$A228,Import!N:N)</f>
        <v>25000</v>
      </c>
      <c r="U228" s="99">
        <f t="shared" si="195"/>
        <v>-2500</v>
      </c>
      <c r="V228" s="255">
        <f t="shared" si="196"/>
        <v>-9.0909090909090939E-2</v>
      </c>
      <c r="W228" s="102" t="s">
        <v>1338</v>
      </c>
      <c r="X228" s="103" t="str">
        <f t="shared" si="189"/>
        <v>OK</v>
      </c>
      <c r="Y228" s="271"/>
      <c r="Z228" s="121"/>
      <c r="AA228" s="121"/>
      <c r="AB228" s="121"/>
      <c r="AC228" s="121"/>
      <c r="AD228" s="121"/>
      <c r="AE228" s="121"/>
      <c r="AF228" s="121"/>
      <c r="AG228" s="121"/>
      <c r="AH228" s="121"/>
      <c r="AI228" s="121"/>
      <c r="AJ228" s="121"/>
      <c r="AK228" s="121"/>
      <c r="AL228" s="121"/>
    </row>
    <row r="229" spans="1:38" s="115" customFormat="1">
      <c r="A229" s="555" t="s">
        <v>1333</v>
      </c>
      <c r="B229" s="217" t="str">
        <f t="shared" si="164"/>
        <v>200</v>
      </c>
      <c r="C229" s="217" t="str">
        <f t="shared" si="165"/>
        <v>73</v>
      </c>
      <c r="D229" s="101" t="str">
        <f t="shared" si="166"/>
        <v>734</v>
      </c>
      <c r="E229" s="217" t="str">
        <f t="shared" si="167"/>
        <v>200-73-734</v>
      </c>
      <c r="F229" s="294" t="str">
        <f t="shared" si="168"/>
        <v>53599</v>
      </c>
      <c r="G229" s="295" t="str">
        <f>VLOOKUP(F229,'GL Category'!A:C,3,FALSE)</f>
        <v>Services &amp; other</v>
      </c>
      <c r="H229" s="98" t="str">
        <f>VLOOKUP(F229,'GL Category'!A:C,2,FALSE)</f>
        <v>MISCELLANEOUS SERVICES</v>
      </c>
      <c r="I229" s="99">
        <f>SUMIF(Import!$B:$B,$A229,Import!D:D)</f>
        <v>0</v>
      </c>
      <c r="J229" s="99">
        <f>SUMIF(Import!$B:$B,$A229,Import!E:E)</f>
        <v>0</v>
      </c>
      <c r="K229" s="99">
        <f>SUMIF(Import!$B:$B,$A229,Import!F:F)</f>
        <v>0</v>
      </c>
      <c r="L229" s="99">
        <f>SUMIF(Import!$B:$B,$A229,Import!G:G)</f>
        <v>0</v>
      </c>
      <c r="M229" s="99">
        <f>SUMIF(Import!$B:$B,$A229,Import!H:H)</f>
        <v>0</v>
      </c>
      <c r="N229" s="99">
        <f>SUMIF(Import!$B:$B,$A229,Import!I:I)</f>
        <v>0</v>
      </c>
      <c r="O229" s="99">
        <f>SUMIF(Import!$B:$B,$A229,Import!J:J)</f>
        <v>0</v>
      </c>
      <c r="P229" s="99">
        <f t="shared" si="194"/>
        <v>0</v>
      </c>
      <c r="Q229" s="99">
        <f>SUMIF(Import!$B:$B,$A229,Import!K:K)</f>
        <v>0</v>
      </c>
      <c r="R229" s="99">
        <f>SUMIF(Import!$B:$B,$A229,Import!L:L)</f>
        <v>0</v>
      </c>
      <c r="S229" s="99">
        <f>SUMIF(Import!$B:$B,$A229,Import!M:M)</f>
        <v>0</v>
      </c>
      <c r="T229" s="99">
        <f>SUMIF(Import!$B:$B,$A229,Import!N:N)</f>
        <v>0</v>
      </c>
      <c r="U229" s="99">
        <f t="shared" si="195"/>
        <v>0</v>
      </c>
      <c r="V229" s="255" t="str">
        <f t="shared" si="196"/>
        <v>N/A</v>
      </c>
      <c r="W229" s="102" t="s">
        <v>1333</v>
      </c>
      <c r="X229" s="103" t="str">
        <f t="shared" si="189"/>
        <v>OK</v>
      </c>
      <c r="Y229" s="271"/>
      <c r="Z229" s="121"/>
      <c r="AA229" s="121"/>
      <c r="AB229" s="121"/>
      <c r="AC229" s="121"/>
      <c r="AD229" s="121"/>
      <c r="AE229" s="121"/>
      <c r="AF229" s="121"/>
      <c r="AG229" s="121"/>
      <c r="AH229" s="121"/>
      <c r="AI229" s="121"/>
      <c r="AJ229" s="121"/>
      <c r="AK229" s="121"/>
      <c r="AL229" s="121"/>
    </row>
    <row r="230" spans="1:38" s="115" customFormat="1">
      <c r="A230" s="555" t="s">
        <v>1339</v>
      </c>
      <c r="B230" s="217" t="str">
        <f t="shared" si="164"/>
        <v>200</v>
      </c>
      <c r="C230" s="217" t="str">
        <f t="shared" si="165"/>
        <v>73</v>
      </c>
      <c r="D230" s="101" t="str">
        <f t="shared" si="166"/>
        <v>734</v>
      </c>
      <c r="E230" s="217" t="str">
        <f t="shared" si="167"/>
        <v>200-73-734</v>
      </c>
      <c r="F230" s="294" t="str">
        <f t="shared" si="168"/>
        <v>53572</v>
      </c>
      <c r="G230" s="295" t="str">
        <f>VLOOKUP(F230,'GL Category'!A:C,3,FALSE)</f>
        <v>Services &amp; other</v>
      </c>
      <c r="H230" s="98" t="str">
        <f>VLOOKUP(F230,'GL Category'!A:C,2,FALSE)</f>
        <v>ELECTRICAL UTILITY SERVICE</v>
      </c>
      <c r="I230" s="99">
        <f>SUMIF(Import!$B:$B,$A230,Import!D:D)</f>
        <v>211060.41</v>
      </c>
      <c r="J230" s="99">
        <f>SUMIF(Import!$B:$B,$A230,Import!E:E)</f>
        <v>232730.44</v>
      </c>
      <c r="K230" s="99">
        <f>SUMIF(Import!$B:$B,$A230,Import!F:F)</f>
        <v>292967.84000000003</v>
      </c>
      <c r="L230" s="99">
        <f>SUMIF(Import!$B:$B,$A230,Import!G:G)</f>
        <v>287506.52</v>
      </c>
      <c r="M230" s="99">
        <f>SUMIF(Import!$B:$B,$A230,Import!H:H)</f>
        <v>316260</v>
      </c>
      <c r="N230" s="99">
        <f>SUMIF(Import!$B:$B,$A230,Import!I:I)</f>
        <v>100027.28</v>
      </c>
      <c r="O230" s="99">
        <f>SUMIF(Import!$B:$B,$A230,Import!J:J)</f>
        <v>316260</v>
      </c>
      <c r="P230" s="99">
        <f t="shared" si="194"/>
        <v>0</v>
      </c>
      <c r="Q230" s="99">
        <f>SUMIF(Import!$B:$B,$A230,Import!K:K)</f>
        <v>316260</v>
      </c>
      <c r="R230" s="99">
        <f>SUMIF(Import!$B:$B,$A230,Import!L:L)</f>
        <v>0</v>
      </c>
      <c r="S230" s="99">
        <f>SUMIF(Import!$B:$B,$A230,Import!M:M)</f>
        <v>0</v>
      </c>
      <c r="T230" s="99">
        <f>SUMIF(Import!$B:$B,$A230,Import!N:N)</f>
        <v>316260</v>
      </c>
      <c r="U230" s="99">
        <f t="shared" si="195"/>
        <v>0</v>
      </c>
      <c r="V230" s="255">
        <f t="shared" si="196"/>
        <v>0</v>
      </c>
      <c r="W230" s="102" t="s">
        <v>1339</v>
      </c>
      <c r="X230" s="103" t="str">
        <f t="shared" si="189"/>
        <v>OK</v>
      </c>
      <c r="Y230" s="271"/>
      <c r="Z230" s="121"/>
      <c r="AA230" s="121"/>
      <c r="AB230" s="121"/>
      <c r="AC230" s="121"/>
      <c r="AD230" s="121"/>
      <c r="AE230" s="121"/>
      <c r="AF230" s="121"/>
      <c r="AG230" s="121"/>
      <c r="AH230" s="121"/>
      <c r="AI230" s="121"/>
      <c r="AJ230" s="121"/>
      <c r="AK230" s="121"/>
      <c r="AL230" s="121"/>
    </row>
    <row r="231" spans="1:38" s="115" customFormat="1">
      <c r="A231" s="555" t="s">
        <v>1340</v>
      </c>
      <c r="B231" s="217" t="str">
        <f t="shared" si="164"/>
        <v>200</v>
      </c>
      <c r="C231" s="217" t="str">
        <f t="shared" si="165"/>
        <v>73</v>
      </c>
      <c r="D231" s="101" t="str">
        <f t="shared" si="166"/>
        <v>734</v>
      </c>
      <c r="E231" s="217" t="str">
        <f t="shared" si="167"/>
        <v>200-73-734</v>
      </c>
      <c r="F231" s="294" t="str">
        <f t="shared" si="168"/>
        <v>53574</v>
      </c>
      <c r="G231" s="295" t="str">
        <f>VLOOKUP(F231,'GL Category'!A:C,3,FALSE)</f>
        <v>Services &amp; other</v>
      </c>
      <c r="H231" s="98" t="str">
        <f>VLOOKUP(F231,'GL Category'!A:C,2,FALSE)</f>
        <v>WATER/SEWER UTILITY SERVICE</v>
      </c>
      <c r="I231" s="99">
        <f>SUMIF(Import!$B:$B,$A231,Import!D:D)</f>
        <v>3102.65</v>
      </c>
      <c r="J231" s="99">
        <f>SUMIF(Import!$B:$B,$A231,Import!E:E)</f>
        <v>6095.19</v>
      </c>
      <c r="K231" s="99">
        <f>SUMIF(Import!$B:$B,$A231,Import!F:F)</f>
        <v>10464.780000000001</v>
      </c>
      <c r="L231" s="99">
        <f>SUMIF(Import!$B:$B,$A231,Import!G:G)</f>
        <v>9226.4599999999991</v>
      </c>
      <c r="M231" s="99">
        <f>SUMIF(Import!$B:$B,$A231,Import!H:H)</f>
        <v>9000</v>
      </c>
      <c r="N231" s="99">
        <f>SUMIF(Import!$B:$B,$A231,Import!I:I)</f>
        <v>7768.94</v>
      </c>
      <c r="O231" s="99">
        <f>SUMIF(Import!$B:$B,$A231,Import!J:J)</f>
        <v>9000</v>
      </c>
      <c r="P231" s="99">
        <f t="shared" si="194"/>
        <v>0</v>
      </c>
      <c r="Q231" s="99">
        <f>SUMIF(Import!$B:$B,$A231,Import!K:K)</f>
        <v>10000</v>
      </c>
      <c r="R231" s="99">
        <f>SUMIF(Import!$B:$B,$A231,Import!L:L)</f>
        <v>0</v>
      </c>
      <c r="S231" s="99">
        <f>SUMIF(Import!$B:$B,$A231,Import!M:M)</f>
        <v>0</v>
      </c>
      <c r="T231" s="99">
        <f>SUMIF(Import!$B:$B,$A231,Import!N:N)</f>
        <v>10000</v>
      </c>
      <c r="U231" s="99">
        <f t="shared" si="195"/>
        <v>1000</v>
      </c>
      <c r="V231" s="255">
        <f t="shared" si="196"/>
        <v>0.11111111111111116</v>
      </c>
      <c r="W231" s="102" t="s">
        <v>1340</v>
      </c>
      <c r="X231" s="103" t="str">
        <f t="shared" si="189"/>
        <v>OK</v>
      </c>
      <c r="Y231" s="271"/>
      <c r="Z231" s="121"/>
      <c r="AA231" s="121"/>
      <c r="AB231" s="121"/>
      <c r="AC231" s="121"/>
      <c r="AD231" s="121"/>
      <c r="AE231" s="121"/>
      <c r="AF231" s="121"/>
      <c r="AG231" s="121"/>
      <c r="AH231" s="121"/>
      <c r="AI231" s="121"/>
      <c r="AJ231" s="121"/>
      <c r="AK231" s="121"/>
      <c r="AL231" s="121"/>
    </row>
    <row r="232" spans="1:38" s="115" customFormat="1">
      <c r="A232" s="555" t="s">
        <v>1341</v>
      </c>
      <c r="B232" s="217" t="str">
        <f t="shared" si="164"/>
        <v>200</v>
      </c>
      <c r="C232" s="217" t="str">
        <f t="shared" si="165"/>
        <v>73</v>
      </c>
      <c r="D232" s="101" t="str">
        <f t="shared" si="166"/>
        <v>734</v>
      </c>
      <c r="E232" s="217" t="str">
        <f t="shared" si="167"/>
        <v>200-73-734</v>
      </c>
      <c r="F232" s="294" t="str">
        <f t="shared" si="168"/>
        <v>55175</v>
      </c>
      <c r="G232" s="295" t="str">
        <f>VLOOKUP(F232,'GL Category'!A:C,3,FALSE)</f>
        <v>Services &amp; other</v>
      </c>
      <c r="H232" s="98" t="str">
        <f>VLOOKUP(F232,'GL Category'!A:C,2,FALSE)</f>
        <v>VEHICLE/EQUIP LEASE EXP-CITY</v>
      </c>
      <c r="I232" s="99">
        <f>SUMIF(Import!$B:$B,$A232,Import!D:D)</f>
        <v>153938</v>
      </c>
      <c r="J232" s="99">
        <f>SUMIF(Import!$B:$B,$A232,Import!E:E)</f>
        <v>25378</v>
      </c>
      <c r="K232" s="99">
        <f>SUMIF(Import!$B:$B,$A232,Import!F:F)</f>
        <v>27845</v>
      </c>
      <c r="L232" s="99">
        <f>SUMIF(Import!$B:$B,$A232,Import!G:G)</f>
        <v>34171</v>
      </c>
      <c r="M232" s="99">
        <f>SUMIF(Import!$B:$B,$A232,Import!H:H)</f>
        <v>34171</v>
      </c>
      <c r="N232" s="99">
        <f>SUMIF(Import!$B:$B,$A232,Import!I:I)</f>
        <v>25628.25</v>
      </c>
      <c r="O232" s="99">
        <f>SUMIF(Import!$B:$B,$A232,Import!J:J)</f>
        <v>34171</v>
      </c>
      <c r="P232" s="99">
        <f t="shared" si="194"/>
        <v>0</v>
      </c>
      <c r="Q232" s="99">
        <f>SUMIF(Import!$B:$B,$A232,Import!K:K)</f>
        <v>39945</v>
      </c>
      <c r="R232" s="99">
        <f>SUMIF(Import!$B:$B,$A232,Import!L:L)</f>
        <v>0</v>
      </c>
      <c r="S232" s="99">
        <f>SUMIF(Import!$B:$B,$A232,Import!M:M)</f>
        <v>0</v>
      </c>
      <c r="T232" s="99">
        <f>SUMIF(Import!$B:$B,$A232,Import!N:N)</f>
        <v>39945</v>
      </c>
      <c r="U232" s="99">
        <f t="shared" si="195"/>
        <v>5774</v>
      </c>
      <c r="V232" s="255">
        <f t="shared" si="196"/>
        <v>0.16897369114161132</v>
      </c>
      <c r="W232" s="102" t="s">
        <v>1341</v>
      </c>
      <c r="X232" s="103" t="str">
        <f t="shared" si="189"/>
        <v>OK</v>
      </c>
      <c r="Y232" s="271"/>
      <c r="Z232" s="121"/>
      <c r="AA232" s="121"/>
      <c r="AB232" s="121"/>
      <c r="AC232" s="121"/>
      <c r="AD232" s="121"/>
      <c r="AE232" s="121"/>
      <c r="AF232" s="121"/>
      <c r="AG232" s="121"/>
      <c r="AH232" s="121"/>
      <c r="AI232" s="121"/>
      <c r="AJ232" s="121"/>
      <c r="AK232" s="121"/>
      <c r="AL232" s="121"/>
    </row>
    <row r="233" spans="1:38" s="115" customFormat="1">
      <c r="A233" s="555" t="s">
        <v>1342</v>
      </c>
      <c r="B233" s="217" t="str">
        <f t="shared" si="164"/>
        <v>200</v>
      </c>
      <c r="C233" s="217" t="str">
        <f t="shared" si="165"/>
        <v>73</v>
      </c>
      <c r="D233" s="101" t="str">
        <f t="shared" si="166"/>
        <v>734</v>
      </c>
      <c r="E233" s="217" t="str">
        <f t="shared" si="167"/>
        <v>200-73-734</v>
      </c>
      <c r="F233" s="294" t="str">
        <f t="shared" si="168"/>
        <v>55119</v>
      </c>
      <c r="G233" s="295" t="str">
        <f>VLOOKUP(F233,'GL Category'!A:C,3,FALSE)</f>
        <v>Services &amp; other</v>
      </c>
      <c r="H233" s="98" t="str">
        <f>VLOOKUP(F233,'GL Category'!A:C,2,FALSE)</f>
        <v>OFFICE EQUIP LEASE EXP-CITY</v>
      </c>
      <c r="I233" s="99">
        <f>SUMIF(Import!$B:$B,$A233,Import!D:D)</f>
        <v>68008</v>
      </c>
      <c r="J233" s="99">
        <f>SUMIF(Import!$B:$B,$A233,Import!E:E)</f>
        <v>65337</v>
      </c>
      <c r="K233" s="99">
        <f>SUMIF(Import!$B:$B,$A233,Import!F:F)</f>
        <v>64841</v>
      </c>
      <c r="L233" s="99">
        <f>SUMIF(Import!$B:$B,$A233,Import!G:G)</f>
        <v>65931</v>
      </c>
      <c r="M233" s="99">
        <f>SUMIF(Import!$B:$B,$A233,Import!H:H)</f>
        <v>74270</v>
      </c>
      <c r="N233" s="99">
        <f>SUMIF(Import!$B:$B,$A233,Import!I:I)</f>
        <v>55702.5</v>
      </c>
      <c r="O233" s="99">
        <f>SUMIF(Import!$B:$B,$A233,Import!J:J)</f>
        <v>74270</v>
      </c>
      <c r="P233" s="99">
        <f t="shared" si="194"/>
        <v>0</v>
      </c>
      <c r="Q233" s="99">
        <f>SUMIF(Import!$B:$B,$A233,Import!K:K)</f>
        <v>66004</v>
      </c>
      <c r="R233" s="99">
        <f>SUMIF(Import!$B:$B,$A233,Import!L:L)</f>
        <v>0</v>
      </c>
      <c r="S233" s="99">
        <f>SUMIF(Import!$B:$B,$A233,Import!M:M)</f>
        <v>0</v>
      </c>
      <c r="T233" s="99">
        <f>SUMIF(Import!$B:$B,$A233,Import!N:N)</f>
        <v>66004</v>
      </c>
      <c r="U233" s="99">
        <f t="shared" si="195"/>
        <v>-8266</v>
      </c>
      <c r="V233" s="255">
        <f t="shared" si="196"/>
        <v>-0.11129662043893895</v>
      </c>
      <c r="W233" s="102" t="s">
        <v>1342</v>
      </c>
      <c r="X233" s="103" t="str">
        <f t="shared" si="189"/>
        <v>OK</v>
      </c>
      <c r="Y233" s="271"/>
      <c r="Z233" s="121"/>
      <c r="AA233" s="121"/>
      <c r="AB233" s="121"/>
      <c r="AC233" s="121"/>
      <c r="AD233" s="121"/>
      <c r="AE233" s="121"/>
      <c r="AF233" s="121"/>
      <c r="AG233" s="121"/>
      <c r="AH233" s="121"/>
      <c r="AI233" s="121"/>
      <c r="AJ233" s="121"/>
      <c r="AK233" s="121"/>
      <c r="AL233" s="121"/>
    </row>
    <row r="234" spans="1:38" s="115" customFormat="1">
      <c r="A234" s="555"/>
      <c r="B234" s="217"/>
      <c r="C234" s="217"/>
      <c r="D234" s="101"/>
      <c r="E234" s="217"/>
      <c r="F234" s="294"/>
      <c r="G234" s="146"/>
      <c r="H234" s="107" t="str">
        <f>UPPER(G233)&amp;" TOTAL"</f>
        <v>SERVICES &amp; OTHER TOTAL</v>
      </c>
      <c r="I234" s="108">
        <f t="shared" ref="I234" si="197">SUBTOTAL(9,I224:I233)</f>
        <v>466597.04000000004</v>
      </c>
      <c r="J234" s="108">
        <f t="shared" ref="J234:T234" si="198">SUBTOTAL(9,J224:J233)</f>
        <v>352798.18</v>
      </c>
      <c r="K234" s="108">
        <f t="shared" ref="K234" si="199">SUBTOTAL(9,K224:K233)</f>
        <v>424195.52000000008</v>
      </c>
      <c r="L234" s="108">
        <f t="shared" ref="L234" si="200">SUBTOTAL(9,L224:L233)</f>
        <v>426744.92000000004</v>
      </c>
      <c r="M234" s="108">
        <f t="shared" si="198"/>
        <v>481696</v>
      </c>
      <c r="N234" s="108">
        <f t="shared" ref="N234" si="201">SUBTOTAL(9,N224:N233)</f>
        <v>215321.29</v>
      </c>
      <c r="O234" s="108">
        <f t="shared" si="198"/>
        <v>472921</v>
      </c>
      <c r="P234" s="108">
        <f t="shared" si="198"/>
        <v>-8775</v>
      </c>
      <c r="Q234" s="108">
        <f t="shared" si="198"/>
        <v>477679</v>
      </c>
      <c r="R234" s="108">
        <f t="shared" si="198"/>
        <v>0</v>
      </c>
      <c r="S234" s="108">
        <f t="shared" si="198"/>
        <v>0</v>
      </c>
      <c r="T234" s="108">
        <f t="shared" si="198"/>
        <v>477679</v>
      </c>
      <c r="U234" s="99">
        <f>T234-M234</f>
        <v>-4017</v>
      </c>
      <c r="V234" s="259">
        <f>IF(M234=0,"N/A",T234/M234-1)</f>
        <v>-8.3392845280010341E-3</v>
      </c>
      <c r="W234" s="102"/>
      <c r="X234" s="103" t="str">
        <f t="shared" si="189"/>
        <v>OK</v>
      </c>
      <c r="Y234" s="271"/>
      <c r="Z234" s="121"/>
      <c r="AA234" s="121"/>
      <c r="AB234" s="121"/>
      <c r="AC234" s="121"/>
      <c r="AD234" s="121"/>
      <c r="AE234" s="121"/>
      <c r="AF234" s="121"/>
      <c r="AG234" s="121"/>
      <c r="AH234" s="121"/>
      <c r="AI234" s="121"/>
      <c r="AJ234" s="121"/>
      <c r="AK234" s="121"/>
      <c r="AL234" s="121"/>
    </row>
    <row r="235" spans="1:38" s="115" customFormat="1">
      <c r="A235" s="555"/>
      <c r="B235" s="217"/>
      <c r="C235" s="217"/>
      <c r="D235" s="101"/>
      <c r="E235" s="217"/>
      <c r="F235" s="294"/>
      <c r="G235" s="146"/>
      <c r="H235" s="232"/>
      <c r="I235" s="233"/>
      <c r="J235" s="233"/>
      <c r="K235" s="233"/>
      <c r="L235" s="233"/>
      <c r="M235" s="233"/>
      <c r="N235" s="233"/>
      <c r="O235" s="233"/>
      <c r="P235" s="233"/>
      <c r="Q235" s="233"/>
      <c r="R235" s="233"/>
      <c r="S235" s="233"/>
      <c r="T235" s="233"/>
      <c r="U235" s="233"/>
      <c r="V235" s="233"/>
      <c r="W235" s="102"/>
      <c r="X235" s="103" t="str">
        <f t="shared" si="189"/>
        <v/>
      </c>
      <c r="Y235" s="271"/>
      <c r="Z235" s="121"/>
      <c r="AA235" s="121"/>
      <c r="AB235" s="121"/>
      <c r="AC235" s="121"/>
      <c r="AD235" s="121"/>
      <c r="AE235" s="121"/>
      <c r="AF235" s="121"/>
      <c r="AG235" s="121"/>
      <c r="AH235" s="121"/>
      <c r="AI235" s="121"/>
      <c r="AJ235" s="121"/>
      <c r="AK235" s="121"/>
      <c r="AL235" s="121"/>
    </row>
    <row r="236" spans="1:38" s="115" customFormat="1">
      <c r="A236" s="555" t="s">
        <v>1343</v>
      </c>
      <c r="B236" s="217" t="str">
        <f t="shared" si="164"/>
        <v>200</v>
      </c>
      <c r="C236" s="217" t="str">
        <f t="shared" si="165"/>
        <v>73</v>
      </c>
      <c r="D236" s="101" t="str">
        <f t="shared" si="166"/>
        <v>734</v>
      </c>
      <c r="E236" s="217" t="str">
        <f t="shared" si="167"/>
        <v>200-73-734</v>
      </c>
      <c r="F236" s="294" t="str">
        <f t="shared" si="168"/>
        <v>53514</v>
      </c>
      <c r="G236" s="295" t="e">
        <f>VLOOKUP(F236,'GL Category'!A:C,3,FALSE)</f>
        <v>#N/A</v>
      </c>
      <c r="H236" s="98" t="str">
        <f>VLOOKUP(F236,'GL Category'!A:C,2,FALSE)</f>
        <v>WHOLESALE WATER PURCHASED</v>
      </c>
      <c r="I236" s="99">
        <f>SUMIF(Import!$B:$B,$A236,Import!D:D)</f>
        <v>8745081.3300000001</v>
      </c>
      <c r="J236" s="99">
        <f>SUMIF(Import!$B:$B,$A236,Import!E:E)</f>
        <v>8306795.5899999999</v>
      </c>
      <c r="K236" s="99">
        <f>SUMIF(Import!$B:$B,$A236,Import!F:F)</f>
        <v>11332572.710000001</v>
      </c>
      <c r="L236" s="99">
        <f>SUMIF(Import!$B:$B,$A236,Import!G:G)</f>
        <v>10230513.51</v>
      </c>
      <c r="M236" s="99">
        <f>SUMIF(Import!$B:$B,$A236,Import!H:H)</f>
        <v>9575070</v>
      </c>
      <c r="N236" s="99">
        <f>SUMIF(Import!$B:$B,$A236,Import!I:I)</f>
        <v>5137153.96</v>
      </c>
      <c r="O236" s="99">
        <f>SUMIF(Import!$B:$B,$A236,Import!J:J)</f>
        <v>9575070</v>
      </c>
      <c r="P236" s="99">
        <f t="shared" ref="P236" si="202">O236-M236</f>
        <v>0</v>
      </c>
      <c r="Q236" s="99">
        <f>SUMIF(Import!$B:$B,$A236,Import!K:K)</f>
        <v>9880565</v>
      </c>
      <c r="R236" s="99">
        <f>SUMIF(Import!$B:$B,$A236,Import!L:L)</f>
        <v>0</v>
      </c>
      <c r="S236" s="99">
        <f>SUMIF(Import!$B:$B,$A236,Import!M:M)</f>
        <v>0</v>
      </c>
      <c r="T236" s="99">
        <f>SUMIF(Import!$B:$B,$A236,Import!N:N)</f>
        <v>9880565</v>
      </c>
      <c r="U236" s="99">
        <f t="shared" ref="U236" si="203">T236-M236</f>
        <v>305495</v>
      </c>
      <c r="V236" s="255">
        <f t="shared" ref="V236" si="204">IF(M236=0,"N/A",T236/M236-1)</f>
        <v>3.1905249778852784E-2</v>
      </c>
      <c r="W236" s="102" t="s">
        <v>1343</v>
      </c>
      <c r="X236" s="103" t="str">
        <f t="shared" si="189"/>
        <v>OK</v>
      </c>
      <c r="Y236" s="271"/>
      <c r="Z236" s="121"/>
      <c r="AA236" s="121"/>
      <c r="AB236" s="121"/>
      <c r="AC236" s="121"/>
      <c r="AD236" s="121"/>
      <c r="AE236" s="121"/>
      <c r="AF236" s="121"/>
      <c r="AG236" s="121"/>
      <c r="AH236" s="121"/>
      <c r="AI236" s="121"/>
      <c r="AJ236" s="121"/>
      <c r="AK236" s="121"/>
      <c r="AL236" s="121"/>
    </row>
    <row r="237" spans="1:38" s="115" customFormat="1" ht="24" customHeight="1">
      <c r="A237" s="555"/>
      <c r="B237" s="217"/>
      <c r="C237" s="217"/>
      <c r="D237" s="101"/>
      <c r="E237" s="217"/>
      <c r="F237" s="294"/>
      <c r="G237" s="146"/>
      <c r="H237" s="107" t="e">
        <f>UPPER(G236)&amp;" TOTAL"</f>
        <v>#N/A</v>
      </c>
      <c r="I237" s="108">
        <f t="shared" ref="I237" si="205">SUBTOTAL(9,I236:I236)</f>
        <v>8745081.3300000001</v>
      </c>
      <c r="J237" s="108">
        <f t="shared" ref="J237:T237" si="206">SUBTOTAL(9,J236:J236)</f>
        <v>8306795.5899999999</v>
      </c>
      <c r="K237" s="108">
        <f t="shared" ref="K237" si="207">SUBTOTAL(9,K236:K236)</f>
        <v>11332572.710000001</v>
      </c>
      <c r="L237" s="108">
        <f t="shared" ref="L237" si="208">SUBTOTAL(9,L236:L236)</f>
        <v>10230513.51</v>
      </c>
      <c r="M237" s="108">
        <f t="shared" si="206"/>
        <v>9575070</v>
      </c>
      <c r="N237" s="108">
        <f t="shared" ref="N237" si="209">SUBTOTAL(9,N236:N236)</f>
        <v>5137153.96</v>
      </c>
      <c r="O237" s="108">
        <f t="shared" si="206"/>
        <v>9575070</v>
      </c>
      <c r="P237" s="108">
        <f t="shared" si="206"/>
        <v>0</v>
      </c>
      <c r="Q237" s="108">
        <f t="shared" si="206"/>
        <v>9880565</v>
      </c>
      <c r="R237" s="108">
        <f t="shared" si="206"/>
        <v>0</v>
      </c>
      <c r="S237" s="108">
        <f t="shared" si="206"/>
        <v>0</v>
      </c>
      <c r="T237" s="108">
        <f t="shared" si="206"/>
        <v>9880565</v>
      </c>
      <c r="U237" s="99">
        <f>T237-M237</f>
        <v>305495</v>
      </c>
      <c r="V237" s="259">
        <f>IF(M237=0,"N/A",T237/M237-1)</f>
        <v>3.1905249778852784E-2</v>
      </c>
      <c r="W237" s="102"/>
      <c r="X237" s="103" t="str">
        <f t="shared" si="189"/>
        <v>OK</v>
      </c>
      <c r="Y237" s="271"/>
      <c r="Z237" s="121"/>
      <c r="AA237" s="121"/>
      <c r="AB237" s="121"/>
      <c r="AC237" s="121"/>
      <c r="AD237" s="121"/>
      <c r="AE237" s="121"/>
      <c r="AF237" s="121"/>
      <c r="AG237" s="121"/>
      <c r="AH237" s="121"/>
      <c r="AI237" s="121"/>
      <c r="AJ237" s="121"/>
      <c r="AK237" s="121"/>
      <c r="AL237" s="121"/>
    </row>
    <row r="238" spans="1:38" s="115" customFormat="1">
      <c r="A238" s="555"/>
      <c r="B238" s="217"/>
      <c r="C238" s="217"/>
      <c r="D238" s="101"/>
      <c r="E238" s="217"/>
      <c r="F238" s="294"/>
      <c r="G238" s="146"/>
      <c r="H238" s="98"/>
      <c r="I238" s="218"/>
      <c r="J238" s="218"/>
      <c r="K238" s="218"/>
      <c r="L238" s="218"/>
      <c r="M238" s="218"/>
      <c r="N238" s="226"/>
      <c r="O238" s="226"/>
      <c r="P238" s="226"/>
      <c r="Q238" s="111"/>
      <c r="R238" s="111"/>
      <c r="S238" s="111"/>
      <c r="T238" s="111"/>
      <c r="U238" s="111"/>
      <c r="V238" s="111"/>
      <c r="W238" s="102"/>
      <c r="X238" s="103" t="str">
        <f t="shared" si="189"/>
        <v/>
      </c>
      <c r="Y238" s="271"/>
      <c r="Z238" s="121"/>
      <c r="AA238" s="121"/>
      <c r="AB238" s="121"/>
      <c r="AC238" s="121"/>
      <c r="AD238" s="121"/>
      <c r="AE238" s="121"/>
      <c r="AF238" s="121"/>
      <c r="AG238" s="121"/>
      <c r="AH238" s="121"/>
      <c r="AI238" s="121"/>
      <c r="AJ238" s="121"/>
      <c r="AK238" s="121"/>
      <c r="AL238" s="121"/>
    </row>
    <row r="239" spans="1:38" s="115" customFormat="1">
      <c r="A239" s="555"/>
      <c r="B239" s="217"/>
      <c r="C239" s="217"/>
      <c r="D239" s="101"/>
      <c r="E239" s="217"/>
      <c r="F239" s="294"/>
      <c r="G239" s="146"/>
      <c r="H239" s="114" t="s">
        <v>763</v>
      </c>
      <c r="I239" s="108">
        <f t="shared" ref="I239" si="210">SUBTOTAL(9,I197:I238)</f>
        <v>9733977.6600000001</v>
      </c>
      <c r="J239" s="108">
        <f t="shared" ref="J239:T239" si="211">SUBTOTAL(9,J197:J238)</f>
        <v>9215851.7199999988</v>
      </c>
      <c r="K239" s="108">
        <f t="shared" ref="K239" si="212">SUBTOTAL(9,K197:K238)</f>
        <v>12301384.460000001</v>
      </c>
      <c r="L239" s="108">
        <f t="shared" ref="L239" si="213">SUBTOTAL(9,L197:L238)</f>
        <v>11298548.369999999</v>
      </c>
      <c r="M239" s="108">
        <f t="shared" si="211"/>
        <v>10673428</v>
      </c>
      <c r="N239" s="108">
        <f t="shared" si="211"/>
        <v>5830944.6600000001</v>
      </c>
      <c r="O239" s="108">
        <f t="shared" si="211"/>
        <v>10708835</v>
      </c>
      <c r="P239" s="108">
        <f t="shared" si="211"/>
        <v>35407</v>
      </c>
      <c r="Q239" s="108">
        <f t="shared" si="211"/>
        <v>10997483</v>
      </c>
      <c r="R239" s="108">
        <f t="shared" si="211"/>
        <v>0</v>
      </c>
      <c r="S239" s="108">
        <f t="shared" si="211"/>
        <v>0</v>
      </c>
      <c r="T239" s="108">
        <f t="shared" si="211"/>
        <v>10997483</v>
      </c>
      <c r="U239" s="99">
        <f>T239-M239</f>
        <v>324055</v>
      </c>
      <c r="V239" s="259">
        <f>IF(M239=0,"N/A",T239/M239-1)</f>
        <v>3.0360911227395704E-2</v>
      </c>
      <c r="W239" s="102"/>
      <c r="X239" s="103" t="str">
        <f t="shared" si="189"/>
        <v>OK</v>
      </c>
      <c r="Y239" s="271"/>
      <c r="Z239" s="121"/>
      <c r="AA239" s="121"/>
      <c r="AB239" s="121"/>
      <c r="AC239" s="121"/>
      <c r="AD239" s="121"/>
      <c r="AE239" s="121"/>
      <c r="AF239" s="121"/>
      <c r="AG239" s="121"/>
      <c r="AH239" s="121"/>
      <c r="AI239" s="121"/>
      <c r="AJ239" s="121"/>
      <c r="AK239" s="121"/>
      <c r="AL239" s="121"/>
    </row>
    <row r="240" spans="1:38" s="115" customFormat="1">
      <c r="A240" s="555"/>
      <c r="B240" s="217"/>
      <c r="C240" s="217"/>
      <c r="D240" s="101"/>
      <c r="E240" s="217"/>
      <c r="F240" s="294"/>
      <c r="G240" s="146"/>
      <c r="H240" s="89"/>
      <c r="I240" s="233"/>
      <c r="J240" s="233"/>
      <c r="K240" s="233"/>
      <c r="L240" s="233"/>
      <c r="M240" s="233"/>
      <c r="N240" s="233"/>
      <c r="O240" s="233"/>
      <c r="P240" s="233"/>
      <c r="Q240" s="233"/>
      <c r="R240" s="233"/>
      <c r="S240" s="233"/>
      <c r="T240" s="233"/>
      <c r="U240" s="233"/>
      <c r="V240" s="233"/>
      <c r="W240" s="102"/>
      <c r="X240" s="103"/>
      <c r="Y240" s="271"/>
      <c r="Z240" s="121"/>
      <c r="AA240" s="121"/>
      <c r="AB240" s="121"/>
      <c r="AC240" s="121"/>
      <c r="AD240" s="121"/>
      <c r="AE240" s="121"/>
      <c r="AF240" s="121"/>
      <c r="AG240" s="121"/>
      <c r="AH240" s="121"/>
      <c r="AI240" s="121"/>
      <c r="AJ240" s="121"/>
      <c r="AK240" s="121"/>
      <c r="AL240" s="121"/>
    </row>
    <row r="241" spans="1:38" s="115" customFormat="1" ht="14.4" thickBot="1">
      <c r="A241" s="555"/>
      <c r="B241" s="217"/>
      <c r="C241" s="217"/>
      <c r="D241" s="101"/>
      <c r="E241" s="217"/>
      <c r="F241" s="294"/>
      <c r="G241" s="146"/>
      <c r="H241" s="98"/>
      <c r="I241" s="218"/>
      <c r="J241" s="218"/>
      <c r="K241" s="218"/>
      <c r="L241" s="218"/>
      <c r="M241" s="218"/>
      <c r="N241" s="96"/>
      <c r="O241" s="96"/>
      <c r="P241" s="96"/>
      <c r="Q241" s="212"/>
      <c r="R241" s="212"/>
      <c r="S241" s="212"/>
      <c r="T241" s="212"/>
      <c r="U241" s="212"/>
      <c r="V241" s="113"/>
      <c r="W241" s="102"/>
      <c r="X241" s="103" t="str">
        <f>IF(Q241="","",IF(T241=SUM(Q241:S241),"OK","NO"))</f>
        <v/>
      </c>
      <c r="Y241" s="271"/>
      <c r="Z241" s="121"/>
      <c r="AA241" s="121"/>
      <c r="AB241" s="121"/>
      <c r="AC241" s="121"/>
      <c r="AD241" s="121"/>
      <c r="AE241" s="121"/>
      <c r="AF241" s="121"/>
      <c r="AG241" s="121"/>
      <c r="AH241" s="121"/>
      <c r="AI241" s="121"/>
      <c r="AJ241" s="121"/>
      <c r="AK241" s="121"/>
      <c r="AL241" s="121"/>
    </row>
    <row r="242" spans="1:38" s="115" customFormat="1" ht="21.6" thickBot="1">
      <c r="A242" s="555"/>
      <c r="B242" s="217"/>
      <c r="C242" s="217"/>
      <c r="D242" s="101"/>
      <c r="E242" s="217"/>
      <c r="F242" s="294"/>
      <c r="G242" s="146"/>
      <c r="H242" s="665" t="s">
        <v>669</v>
      </c>
      <c r="I242" s="666"/>
      <c r="J242" s="666"/>
      <c r="K242" s="666"/>
      <c r="L242" s="666"/>
      <c r="M242" s="666"/>
      <c r="N242" s="666"/>
      <c r="O242" s="666"/>
      <c r="P242" s="666"/>
      <c r="Q242" s="666"/>
      <c r="R242" s="666"/>
      <c r="S242" s="666"/>
      <c r="T242" s="667"/>
      <c r="U242" s="247"/>
      <c r="V242" s="261"/>
      <c r="W242" s="102"/>
      <c r="X242" s="103" t="str">
        <f>IF(Q242="","",IF(T242=SUM(Q242:S242),"OK","NO"))</f>
        <v/>
      </c>
      <c r="Y242" s="271"/>
      <c r="Z242" s="121"/>
      <c r="AA242" s="121"/>
      <c r="AB242" s="121"/>
      <c r="AC242" s="121"/>
      <c r="AD242" s="121"/>
      <c r="AE242" s="121"/>
      <c r="AF242" s="121"/>
      <c r="AG242" s="121"/>
      <c r="AH242" s="121"/>
      <c r="AI242" s="121"/>
      <c r="AJ242" s="121"/>
      <c r="AK242" s="121"/>
      <c r="AL242" s="121"/>
    </row>
    <row r="243" spans="1:38" s="115" customFormat="1" ht="15" customHeight="1">
      <c r="A243" s="555"/>
      <c r="B243" s="217"/>
      <c r="C243" s="217"/>
      <c r="D243" s="101"/>
      <c r="E243" s="217"/>
      <c r="F243" s="294"/>
      <c r="G243" s="146"/>
      <c r="H243" s="247"/>
      <c r="I243" s="247"/>
      <c r="J243" s="247"/>
      <c r="K243" s="247"/>
      <c r="L243" s="247"/>
      <c r="M243" s="247"/>
      <c r="N243" s="247"/>
      <c r="O243" s="247"/>
      <c r="P243" s="247"/>
      <c r="Q243" s="247"/>
      <c r="R243" s="247"/>
      <c r="S243" s="247"/>
      <c r="T243" s="247"/>
      <c r="U243" s="247"/>
      <c r="V243" s="261"/>
      <c r="W243" s="102"/>
      <c r="X243" s="103"/>
      <c r="Y243" s="271"/>
      <c r="Z243" s="121"/>
      <c r="AA243" s="121"/>
      <c r="AB243" s="121"/>
      <c r="AC243" s="121"/>
      <c r="AD243" s="121"/>
      <c r="AE243" s="121"/>
      <c r="AF243" s="121"/>
      <c r="AG243" s="121"/>
      <c r="AH243" s="121"/>
      <c r="AI243" s="121"/>
      <c r="AJ243" s="121"/>
      <c r="AK243" s="121"/>
      <c r="AL243" s="121"/>
    </row>
    <row r="244" spans="1:38" s="115" customFormat="1">
      <c r="A244" s="555" t="s">
        <v>1344</v>
      </c>
      <c r="B244" s="217" t="str">
        <f t="shared" si="164"/>
        <v>200</v>
      </c>
      <c r="C244" s="217" t="str">
        <f t="shared" si="165"/>
        <v>73</v>
      </c>
      <c r="D244" s="101" t="str">
        <f t="shared" si="166"/>
        <v>735</v>
      </c>
      <c r="E244" s="217" t="str">
        <f t="shared" si="167"/>
        <v>200-73-735</v>
      </c>
      <c r="F244" s="294" t="str">
        <f t="shared" si="168"/>
        <v>50102</v>
      </c>
      <c r="G244" s="295" t="str">
        <f>VLOOKUP(F244,'GL Category'!A:C,3,FALSE)</f>
        <v>Personnel services</v>
      </c>
      <c r="H244" s="98" t="str">
        <f>VLOOKUP(F244,'GL Category'!A:C,2,FALSE)</f>
        <v>NON EXEMPT SALARIES</v>
      </c>
      <c r="I244" s="99">
        <f>SUMIF(Import!$B:$B,$A244,Import!D:D)</f>
        <v>259646.03</v>
      </c>
      <c r="J244" s="99">
        <f>SUMIF(Import!$B:$B,$A244,Import!E:E)</f>
        <v>210540.94</v>
      </c>
      <c r="K244" s="99">
        <f>SUMIF(Import!$B:$B,$A244,Import!F:F)</f>
        <v>220304.85</v>
      </c>
      <c r="L244" s="99">
        <f>SUMIF(Import!$B:$B,$A244,Import!G:G)</f>
        <v>399955.54</v>
      </c>
      <c r="M244" s="99">
        <f>SUMIF(Import!$B:$B,$A244,Import!H:H)</f>
        <v>389672</v>
      </c>
      <c r="N244" s="99">
        <f>SUMIF(Import!$B:$B,$A244,Import!I:I)</f>
        <v>207854.78</v>
      </c>
      <c r="O244" s="99">
        <f>SUMIF(Import!$B:$B,$A244,Import!J:J)</f>
        <v>304843</v>
      </c>
      <c r="P244" s="99">
        <f t="shared" ref="P244:P251" si="214">O244-M244</f>
        <v>-84829</v>
      </c>
      <c r="Q244" s="99">
        <f>SUMIF(Import!$B:$B,$A244,Import!K:K)</f>
        <v>377396</v>
      </c>
      <c r="R244" s="99">
        <f>SUMIF(Import!$B:$B,$A244,Import!L:L)</f>
        <v>0</v>
      </c>
      <c r="S244" s="99">
        <f>SUMIF(Import!$B:$B,$A244,Import!M:M)</f>
        <v>0</v>
      </c>
      <c r="T244" s="99">
        <f>SUMIF(Import!$B:$B,$A244,Import!N:N)</f>
        <v>377396</v>
      </c>
      <c r="U244" s="99">
        <f t="shared" ref="U244:U251" si="215">T244-M244</f>
        <v>-12276</v>
      </c>
      <c r="V244" s="255">
        <f t="shared" ref="V244:V251" si="216">IF(M244=0,"N/A",T244/M244-1)</f>
        <v>-3.1503418259459237E-2</v>
      </c>
      <c r="W244" s="102" t="s">
        <v>1344</v>
      </c>
      <c r="X244" s="103" t="str">
        <f t="shared" ref="X244:X275" si="217">IF(Q244="","",IF(T244=SUM(Q244:S244),"OK","NO"))</f>
        <v>OK</v>
      </c>
      <c r="Y244" s="271"/>
      <c r="Z244" s="121"/>
      <c r="AA244" s="121"/>
      <c r="AB244" s="121"/>
      <c r="AC244" s="121"/>
      <c r="AD244" s="121"/>
      <c r="AE244" s="121"/>
      <c r="AF244" s="121"/>
      <c r="AG244" s="121"/>
      <c r="AH244" s="121"/>
      <c r="AI244" s="121"/>
      <c r="AJ244" s="121"/>
      <c r="AK244" s="121"/>
      <c r="AL244" s="121"/>
    </row>
    <row r="245" spans="1:38" s="115" customFormat="1">
      <c r="A245" s="555" t="s">
        <v>1345</v>
      </c>
      <c r="B245" s="217" t="str">
        <f t="shared" si="164"/>
        <v>200</v>
      </c>
      <c r="C245" s="217" t="str">
        <f t="shared" si="165"/>
        <v>73</v>
      </c>
      <c r="D245" s="101" t="str">
        <f t="shared" si="166"/>
        <v>735</v>
      </c>
      <c r="E245" s="217" t="str">
        <f t="shared" si="167"/>
        <v>200-73-735</v>
      </c>
      <c r="F245" s="294" t="str">
        <f t="shared" si="168"/>
        <v>50109</v>
      </c>
      <c r="G245" s="295" t="str">
        <f>VLOOKUP(F245,'GL Category'!A:C,3,FALSE)</f>
        <v>Personnel services</v>
      </c>
      <c r="H245" s="98" t="str">
        <f>VLOOKUP(F245,'GL Category'!A:C,2,FALSE)</f>
        <v>OVERTIME</v>
      </c>
      <c r="I245" s="99">
        <f>SUMIF(Import!$B:$B,$A245,Import!D:D)</f>
        <v>10549.67</v>
      </c>
      <c r="J245" s="99">
        <f>SUMIF(Import!$B:$B,$A245,Import!E:E)</f>
        <v>10035.99</v>
      </c>
      <c r="K245" s="99">
        <f>SUMIF(Import!$B:$B,$A245,Import!F:F)</f>
        <v>11248.9</v>
      </c>
      <c r="L245" s="99">
        <f>SUMIF(Import!$B:$B,$A245,Import!G:G)</f>
        <v>17733.22</v>
      </c>
      <c r="M245" s="99">
        <f>SUMIF(Import!$B:$B,$A245,Import!H:H)</f>
        <v>34957</v>
      </c>
      <c r="N245" s="99">
        <f>SUMIF(Import!$B:$B,$A245,Import!I:I)</f>
        <v>12447.9</v>
      </c>
      <c r="O245" s="99">
        <f>SUMIF(Import!$B:$B,$A245,Import!J:J)</f>
        <v>14605</v>
      </c>
      <c r="P245" s="99">
        <f t="shared" si="214"/>
        <v>-20352</v>
      </c>
      <c r="Q245" s="99">
        <f>SUMIF(Import!$B:$B,$A245,Import!K:K)</f>
        <v>34912</v>
      </c>
      <c r="R245" s="99">
        <f>SUMIF(Import!$B:$B,$A245,Import!L:L)</f>
        <v>0</v>
      </c>
      <c r="S245" s="99">
        <f>SUMIF(Import!$B:$B,$A245,Import!M:M)</f>
        <v>0</v>
      </c>
      <c r="T245" s="99">
        <f>SUMIF(Import!$B:$B,$A245,Import!N:N)</f>
        <v>34912</v>
      </c>
      <c r="U245" s="99">
        <f t="shared" si="215"/>
        <v>-45</v>
      </c>
      <c r="V245" s="255">
        <f t="shared" si="216"/>
        <v>-1.2872958205795149E-3</v>
      </c>
      <c r="W245" s="102" t="s">
        <v>1345</v>
      </c>
      <c r="X245" s="103" t="str">
        <f t="shared" si="217"/>
        <v>OK</v>
      </c>
      <c r="Y245" s="271"/>
      <c r="Z245" s="121"/>
      <c r="AA245" s="121"/>
      <c r="AB245" s="121"/>
      <c r="AC245" s="121"/>
      <c r="AD245" s="121"/>
      <c r="AE245" s="121"/>
      <c r="AF245" s="121"/>
      <c r="AG245" s="121"/>
      <c r="AH245" s="121"/>
      <c r="AI245" s="121"/>
      <c r="AJ245" s="121"/>
      <c r="AK245" s="121"/>
      <c r="AL245" s="121"/>
    </row>
    <row r="246" spans="1:38" s="115" customFormat="1">
      <c r="A246" s="555" t="s">
        <v>1346</v>
      </c>
      <c r="B246" s="217" t="str">
        <f t="shared" si="164"/>
        <v>200</v>
      </c>
      <c r="C246" s="217" t="str">
        <f t="shared" si="165"/>
        <v>73</v>
      </c>
      <c r="D246" s="101" t="str">
        <f t="shared" si="166"/>
        <v>735</v>
      </c>
      <c r="E246" s="217" t="str">
        <f t="shared" si="167"/>
        <v>200-73-735</v>
      </c>
      <c r="F246" s="294" t="str">
        <f t="shared" si="168"/>
        <v>50111</v>
      </c>
      <c r="G246" s="295" t="str">
        <f>VLOOKUP(F246,'GL Category'!A:C,3,FALSE)</f>
        <v>Personnel services</v>
      </c>
      <c r="H246" s="98" t="str">
        <f>VLOOKUP(F246,'GL Category'!A:C,2,FALSE)</f>
        <v>LONGEVITY PAY</v>
      </c>
      <c r="I246" s="99">
        <f>SUMIF(Import!$B:$B,$A246,Import!D:D)</f>
        <v>1940</v>
      </c>
      <c r="J246" s="99">
        <f>SUMIF(Import!$B:$B,$A246,Import!E:E)</f>
        <v>2035</v>
      </c>
      <c r="K246" s="99">
        <f>SUMIF(Import!$B:$B,$A246,Import!F:F)</f>
        <v>1590</v>
      </c>
      <c r="L246" s="99">
        <f>SUMIF(Import!$B:$B,$A246,Import!G:G)</f>
        <v>2170</v>
      </c>
      <c r="M246" s="99">
        <f>SUMIF(Import!$B:$B,$A246,Import!H:H)</f>
        <v>2799</v>
      </c>
      <c r="N246" s="99">
        <f>SUMIF(Import!$B:$B,$A246,Import!I:I)</f>
        <v>1150</v>
      </c>
      <c r="O246" s="99">
        <f>SUMIF(Import!$B:$B,$A246,Import!J:J)</f>
        <v>1150</v>
      </c>
      <c r="P246" s="99">
        <f t="shared" si="214"/>
        <v>-1649</v>
      </c>
      <c r="Q246" s="99">
        <f>SUMIF(Import!$B:$B,$A246,Import!K:K)</f>
        <v>2362</v>
      </c>
      <c r="R246" s="99">
        <f>SUMIF(Import!$B:$B,$A246,Import!L:L)</f>
        <v>0</v>
      </c>
      <c r="S246" s="99">
        <f>SUMIF(Import!$B:$B,$A246,Import!M:M)</f>
        <v>0</v>
      </c>
      <c r="T246" s="99">
        <f>SUMIF(Import!$B:$B,$A246,Import!N:N)</f>
        <v>2362</v>
      </c>
      <c r="U246" s="99">
        <f t="shared" si="215"/>
        <v>-437</v>
      </c>
      <c r="V246" s="255">
        <f t="shared" si="216"/>
        <v>-0.15612718828152916</v>
      </c>
      <c r="W246" s="102" t="s">
        <v>1346</v>
      </c>
      <c r="X246" s="103" t="str">
        <f t="shared" si="217"/>
        <v>OK</v>
      </c>
      <c r="Y246" s="271"/>
      <c r="Z246" s="121"/>
      <c r="AA246" s="121"/>
      <c r="AB246" s="121"/>
      <c r="AC246" s="121"/>
      <c r="AD246" s="121"/>
      <c r="AE246" s="121"/>
      <c r="AF246" s="121"/>
      <c r="AG246" s="121"/>
      <c r="AH246" s="121"/>
      <c r="AI246" s="121"/>
      <c r="AJ246" s="121"/>
      <c r="AK246" s="121"/>
      <c r="AL246" s="121"/>
    </row>
    <row r="247" spans="1:38" s="115" customFormat="1">
      <c r="A247" s="555" t="s">
        <v>1347</v>
      </c>
      <c r="B247" s="217" t="str">
        <f t="shared" si="164"/>
        <v>200</v>
      </c>
      <c r="C247" s="217" t="str">
        <f t="shared" si="165"/>
        <v>73</v>
      </c>
      <c r="D247" s="101" t="str">
        <f t="shared" si="166"/>
        <v>735</v>
      </c>
      <c r="E247" s="217" t="str">
        <f t="shared" si="167"/>
        <v>200-73-735</v>
      </c>
      <c r="F247" s="294" t="str">
        <f t="shared" si="168"/>
        <v>50115</v>
      </c>
      <c r="G247" s="295" t="str">
        <f>VLOOKUP(F247,'GL Category'!A:C,3,FALSE)</f>
        <v>Personnel services</v>
      </c>
      <c r="H247" s="98" t="str">
        <f>VLOOKUP(F247,'GL Category'!A:C,2,FALSE)</f>
        <v>INCENTIVE/CERTIFICATION PAY</v>
      </c>
      <c r="I247" s="99">
        <f>SUMIF(Import!$B:$B,$A247,Import!D:D)</f>
        <v>2616.9699999999998</v>
      </c>
      <c r="J247" s="99">
        <f>SUMIF(Import!$B:$B,$A247,Import!E:E)</f>
        <v>2559.3200000000002</v>
      </c>
      <c r="K247" s="99">
        <f>SUMIF(Import!$B:$B,$A247,Import!F:F)</f>
        <v>2256.75</v>
      </c>
      <c r="L247" s="99">
        <f>SUMIF(Import!$B:$B,$A247,Import!G:G)</f>
        <v>2067</v>
      </c>
      <c r="M247" s="99">
        <f>SUMIF(Import!$B:$B,$A247,Import!H:H)</f>
        <v>2750</v>
      </c>
      <c r="N247" s="99">
        <f>SUMIF(Import!$B:$B,$A247,Import!I:I)</f>
        <v>1570.5</v>
      </c>
      <c r="O247" s="99">
        <f>SUMIF(Import!$B:$B,$A247,Import!J:J)</f>
        <v>3375</v>
      </c>
      <c r="P247" s="99">
        <f t="shared" si="214"/>
        <v>625</v>
      </c>
      <c r="Q247" s="99">
        <f>SUMIF(Import!$B:$B,$A247,Import!K:K)</f>
        <v>2750</v>
      </c>
      <c r="R247" s="99">
        <f>SUMIF(Import!$B:$B,$A247,Import!L:L)</f>
        <v>0</v>
      </c>
      <c r="S247" s="99">
        <f>SUMIF(Import!$B:$B,$A247,Import!M:M)</f>
        <v>0</v>
      </c>
      <c r="T247" s="99">
        <f>SUMIF(Import!$B:$B,$A247,Import!N:N)</f>
        <v>2750</v>
      </c>
      <c r="U247" s="99">
        <f t="shared" si="215"/>
        <v>0</v>
      </c>
      <c r="V247" s="255">
        <f t="shared" si="216"/>
        <v>0</v>
      </c>
      <c r="W247" s="102" t="s">
        <v>1347</v>
      </c>
      <c r="X247" s="103" t="str">
        <f t="shared" si="217"/>
        <v>OK</v>
      </c>
      <c r="Y247" s="271"/>
      <c r="Z247" s="121"/>
      <c r="AA247" s="121"/>
      <c r="AB247" s="121"/>
      <c r="AC247" s="121"/>
      <c r="AD247" s="121"/>
      <c r="AE247" s="121"/>
      <c r="AF247" s="121"/>
      <c r="AG247" s="121"/>
      <c r="AH247" s="121"/>
      <c r="AI247" s="121"/>
      <c r="AJ247" s="121"/>
      <c r="AK247" s="121"/>
      <c r="AL247" s="121"/>
    </row>
    <row r="248" spans="1:38" s="115" customFormat="1">
      <c r="A248" s="555" t="s">
        <v>1348</v>
      </c>
      <c r="B248" s="217" t="str">
        <f t="shared" si="164"/>
        <v>200</v>
      </c>
      <c r="C248" s="217" t="str">
        <f t="shared" si="165"/>
        <v>73</v>
      </c>
      <c r="D248" s="101" t="str">
        <f t="shared" si="166"/>
        <v>735</v>
      </c>
      <c r="E248" s="217" t="str">
        <f t="shared" si="167"/>
        <v>200-73-735</v>
      </c>
      <c r="F248" s="294" t="str">
        <f t="shared" si="168"/>
        <v>50610</v>
      </c>
      <c r="G248" s="295" t="str">
        <f>VLOOKUP(F248,'GL Category'!A:C,3,FALSE)</f>
        <v>Personnel services</v>
      </c>
      <c r="H248" s="98" t="str">
        <f>VLOOKUP(F248,'GL Category'!A:C,2,FALSE)</f>
        <v>SOCIAL SECURITY</v>
      </c>
      <c r="I248" s="99">
        <f>SUMIF(Import!$B:$B,$A248,Import!D:D)</f>
        <v>20156.98</v>
      </c>
      <c r="J248" s="99">
        <f>SUMIF(Import!$B:$B,$A248,Import!E:E)</f>
        <v>16284.98</v>
      </c>
      <c r="K248" s="99">
        <f>SUMIF(Import!$B:$B,$A248,Import!F:F)</f>
        <v>17036.29</v>
      </c>
      <c r="L248" s="99">
        <f>SUMIF(Import!$B:$B,$A248,Import!G:G)</f>
        <v>30899</v>
      </c>
      <c r="M248" s="99">
        <f>SUMIF(Import!$B:$B,$A248,Import!H:H)</f>
        <v>33090</v>
      </c>
      <c r="N248" s="99">
        <f>SUMIF(Import!$B:$B,$A248,Import!I:I)</f>
        <v>15845.39</v>
      </c>
      <c r="O248" s="99">
        <f>SUMIF(Import!$B:$B,$A248,Import!J:J)</f>
        <v>24290</v>
      </c>
      <c r="P248" s="99">
        <f t="shared" si="214"/>
        <v>-8800</v>
      </c>
      <c r="Q248" s="99">
        <f>SUMIF(Import!$B:$B,$A248,Import!K:K)</f>
        <v>32130</v>
      </c>
      <c r="R248" s="99">
        <f>SUMIF(Import!$B:$B,$A248,Import!L:L)</f>
        <v>0</v>
      </c>
      <c r="S248" s="99">
        <f>SUMIF(Import!$B:$B,$A248,Import!M:M)</f>
        <v>0</v>
      </c>
      <c r="T248" s="99">
        <f>SUMIF(Import!$B:$B,$A248,Import!N:N)</f>
        <v>32130</v>
      </c>
      <c r="U248" s="99">
        <f t="shared" si="215"/>
        <v>-960</v>
      </c>
      <c r="V248" s="255">
        <f t="shared" si="216"/>
        <v>-2.9011786038077969E-2</v>
      </c>
      <c r="W248" s="102" t="s">
        <v>1348</v>
      </c>
      <c r="X248" s="103" t="str">
        <f t="shared" si="217"/>
        <v>OK</v>
      </c>
      <c r="Y248" s="271"/>
      <c r="Z248" s="121"/>
      <c r="AA248" s="121"/>
      <c r="AB248" s="121"/>
      <c r="AC248" s="121"/>
      <c r="AD248" s="121"/>
      <c r="AE248" s="121"/>
      <c r="AF248" s="121"/>
      <c r="AG248" s="121"/>
      <c r="AH248" s="121"/>
      <c r="AI248" s="121"/>
      <c r="AJ248" s="121"/>
      <c r="AK248" s="121"/>
      <c r="AL248" s="121"/>
    </row>
    <row r="249" spans="1:38" s="115" customFormat="1">
      <c r="A249" s="555" t="s">
        <v>1349</v>
      </c>
      <c r="B249" s="217" t="str">
        <f t="shared" si="164"/>
        <v>200</v>
      </c>
      <c r="C249" s="217" t="str">
        <f t="shared" si="165"/>
        <v>73</v>
      </c>
      <c r="D249" s="101" t="str">
        <f t="shared" si="166"/>
        <v>735</v>
      </c>
      <c r="E249" s="217" t="str">
        <f t="shared" si="167"/>
        <v>200-73-735</v>
      </c>
      <c r="F249" s="294" t="str">
        <f t="shared" si="168"/>
        <v>50620</v>
      </c>
      <c r="G249" s="295" t="str">
        <f>VLOOKUP(F249,'GL Category'!A:C,3,FALSE)</f>
        <v>Personnel services</v>
      </c>
      <c r="H249" s="98" t="str">
        <f>VLOOKUP(F249,'GL Category'!A:C,2,FALSE)</f>
        <v>HEALTH/LIFE INSURANCE</v>
      </c>
      <c r="I249" s="99">
        <f>SUMIF(Import!$B:$B,$A249,Import!D:D)</f>
        <v>75708</v>
      </c>
      <c r="J249" s="99">
        <f>SUMIF(Import!$B:$B,$A249,Import!E:E)</f>
        <v>79647.570000000007</v>
      </c>
      <c r="K249" s="99">
        <f>SUMIF(Import!$B:$B,$A249,Import!F:F)</f>
        <v>87885.05</v>
      </c>
      <c r="L249" s="99">
        <f>SUMIF(Import!$B:$B,$A249,Import!G:G)</f>
        <v>124094.35</v>
      </c>
      <c r="M249" s="99">
        <f>SUMIF(Import!$B:$B,$A249,Import!H:H)</f>
        <v>111039</v>
      </c>
      <c r="N249" s="99">
        <f>SUMIF(Import!$B:$B,$A249,Import!I:I)</f>
        <v>71462</v>
      </c>
      <c r="O249" s="99">
        <f>SUMIF(Import!$B:$B,$A249,Import!J:J)</f>
        <v>114867</v>
      </c>
      <c r="P249" s="99">
        <f t="shared" si="214"/>
        <v>3828</v>
      </c>
      <c r="Q249" s="99">
        <f>SUMIF(Import!$B:$B,$A249,Import!K:K)</f>
        <v>143443</v>
      </c>
      <c r="R249" s="99">
        <f>SUMIF(Import!$B:$B,$A249,Import!L:L)</f>
        <v>0</v>
      </c>
      <c r="S249" s="99">
        <f>SUMIF(Import!$B:$B,$A249,Import!M:M)</f>
        <v>0</v>
      </c>
      <c r="T249" s="99">
        <f>SUMIF(Import!$B:$B,$A249,Import!N:N)</f>
        <v>143443</v>
      </c>
      <c r="U249" s="99">
        <f t="shared" si="215"/>
        <v>32404</v>
      </c>
      <c r="V249" s="255">
        <f t="shared" si="216"/>
        <v>0.29182539468114799</v>
      </c>
      <c r="W249" s="102" t="s">
        <v>1349</v>
      </c>
      <c r="X249" s="103" t="str">
        <f t="shared" si="217"/>
        <v>OK</v>
      </c>
      <c r="Y249" s="271"/>
      <c r="Z249" s="121"/>
      <c r="AA249" s="121"/>
      <c r="AB249" s="121"/>
      <c r="AC249" s="121"/>
      <c r="AD249" s="121"/>
      <c r="AE249" s="121"/>
      <c r="AF249" s="121"/>
      <c r="AG249" s="121"/>
      <c r="AH249" s="121"/>
      <c r="AI249" s="121"/>
      <c r="AJ249" s="121"/>
      <c r="AK249" s="121"/>
      <c r="AL249" s="121"/>
    </row>
    <row r="250" spans="1:38" s="115" customFormat="1">
      <c r="A250" s="555" t="s">
        <v>1350</v>
      </c>
      <c r="B250" s="217" t="str">
        <f t="shared" si="164"/>
        <v>200</v>
      </c>
      <c r="C250" s="217" t="str">
        <f t="shared" si="165"/>
        <v>73</v>
      </c>
      <c r="D250" s="101" t="str">
        <f t="shared" si="166"/>
        <v>735</v>
      </c>
      <c r="E250" s="217" t="str">
        <f t="shared" si="167"/>
        <v>200-73-735</v>
      </c>
      <c r="F250" s="294" t="str">
        <f t="shared" si="168"/>
        <v>50630</v>
      </c>
      <c r="G250" s="295" t="str">
        <f>VLOOKUP(F250,'GL Category'!A:C,3,FALSE)</f>
        <v>Personnel services</v>
      </c>
      <c r="H250" s="98" t="str">
        <f>VLOOKUP(F250,'GL Category'!A:C,2,FALSE)</f>
        <v>WORKER COMPENSATION</v>
      </c>
      <c r="I250" s="99">
        <f>SUMIF(Import!$B:$B,$A250,Import!D:D)</f>
        <v>2612.98</v>
      </c>
      <c r="J250" s="99">
        <f>SUMIF(Import!$B:$B,$A250,Import!E:E)</f>
        <v>2352.98</v>
      </c>
      <c r="K250" s="99">
        <f>SUMIF(Import!$B:$B,$A250,Import!F:F)</f>
        <v>2826.56</v>
      </c>
      <c r="L250" s="99">
        <f>SUMIF(Import!$B:$B,$A250,Import!G:G)</f>
        <v>5026.7</v>
      </c>
      <c r="M250" s="99">
        <f>SUMIF(Import!$B:$B,$A250,Import!H:H)</f>
        <v>7758</v>
      </c>
      <c r="N250" s="99">
        <f>SUMIF(Import!$B:$B,$A250,Import!I:I)</f>
        <v>7751.67</v>
      </c>
      <c r="O250" s="99">
        <f>SUMIF(Import!$B:$B,$A250,Import!J:J)</f>
        <v>7752</v>
      </c>
      <c r="P250" s="99">
        <f t="shared" si="214"/>
        <v>-6</v>
      </c>
      <c r="Q250" s="99">
        <f>SUMIF(Import!$B:$B,$A250,Import!K:K)</f>
        <v>6336</v>
      </c>
      <c r="R250" s="99">
        <f>SUMIF(Import!$B:$B,$A250,Import!L:L)</f>
        <v>0</v>
      </c>
      <c r="S250" s="99">
        <f>SUMIF(Import!$B:$B,$A250,Import!M:M)</f>
        <v>0</v>
      </c>
      <c r="T250" s="99">
        <f>SUMIF(Import!$B:$B,$A250,Import!N:N)</f>
        <v>6336</v>
      </c>
      <c r="U250" s="99">
        <f t="shared" si="215"/>
        <v>-1422</v>
      </c>
      <c r="V250" s="255">
        <f t="shared" si="216"/>
        <v>-0.18329466357308588</v>
      </c>
      <c r="W250" s="102" t="s">
        <v>1350</v>
      </c>
      <c r="X250" s="103" t="str">
        <f t="shared" si="217"/>
        <v>OK</v>
      </c>
      <c r="Y250" s="271"/>
      <c r="Z250" s="121"/>
      <c r="AA250" s="121"/>
      <c r="AB250" s="121"/>
      <c r="AC250" s="121"/>
      <c r="AD250" s="121"/>
      <c r="AE250" s="121"/>
      <c r="AF250" s="121"/>
      <c r="AG250" s="121"/>
      <c r="AH250" s="121"/>
      <c r="AI250" s="121"/>
      <c r="AJ250" s="121"/>
      <c r="AK250" s="121"/>
      <c r="AL250" s="121"/>
    </row>
    <row r="251" spans="1:38" s="115" customFormat="1">
      <c r="A251" s="555" t="s">
        <v>1351</v>
      </c>
      <c r="B251" s="217" t="str">
        <f t="shared" ref="B251:B293" si="218">LEFT(A251,3)</f>
        <v>200</v>
      </c>
      <c r="C251" s="217" t="str">
        <f t="shared" ref="C251:C293" si="219">MID(A251,5,2)</f>
        <v>73</v>
      </c>
      <c r="D251" s="101" t="str">
        <f t="shared" ref="D251:D293" si="220">MID(A251,8,3)</f>
        <v>735</v>
      </c>
      <c r="E251" s="217" t="str">
        <f t="shared" ref="E251:E293" si="221">LEFT(A251,10)</f>
        <v>200-73-735</v>
      </c>
      <c r="F251" s="294" t="str">
        <f t="shared" ref="F251:F293" si="222">RIGHT(A251,5)</f>
        <v>50650</v>
      </c>
      <c r="G251" s="295" t="str">
        <f>VLOOKUP(F251,'GL Category'!A:C,3,FALSE)</f>
        <v>Personnel services</v>
      </c>
      <c r="H251" s="98" t="str">
        <f>VLOOKUP(F251,'GL Category'!A:C,2,FALSE)</f>
        <v>RETIREMENT</v>
      </c>
      <c r="I251" s="99">
        <f>SUMIF(Import!$B:$B,$A251,Import!D:D)</f>
        <v>43652.6</v>
      </c>
      <c r="J251" s="99">
        <f>SUMIF(Import!$B:$B,$A251,Import!E:E)</f>
        <v>36743.550000000003</v>
      </c>
      <c r="K251" s="99">
        <f>SUMIF(Import!$B:$B,$A251,Import!F:F)</f>
        <v>38143.660000000003</v>
      </c>
      <c r="L251" s="99">
        <f>SUMIF(Import!$B:$B,$A251,Import!G:G)</f>
        <v>68403.72</v>
      </c>
      <c r="M251" s="99">
        <f>SUMIF(Import!$B:$B,$A251,Import!H:H)</f>
        <v>71424</v>
      </c>
      <c r="N251" s="99">
        <f>SUMIF(Import!$B:$B,$A251,Import!I:I)</f>
        <v>37011.599999999999</v>
      </c>
      <c r="O251" s="99">
        <f>SUMIF(Import!$B:$B,$A251,Import!J:J)</f>
        <v>54890</v>
      </c>
      <c r="P251" s="99">
        <f t="shared" si="214"/>
        <v>-16534</v>
      </c>
      <c r="Q251" s="99">
        <f>SUMIF(Import!$B:$B,$A251,Import!K:K)</f>
        <v>70990</v>
      </c>
      <c r="R251" s="99">
        <f>SUMIF(Import!$B:$B,$A251,Import!L:L)</f>
        <v>0</v>
      </c>
      <c r="S251" s="99">
        <f>SUMIF(Import!$B:$B,$A251,Import!M:M)</f>
        <v>0</v>
      </c>
      <c r="T251" s="99">
        <f>SUMIF(Import!$B:$B,$A251,Import!N:N)</f>
        <v>70990</v>
      </c>
      <c r="U251" s="99">
        <f t="shared" si="215"/>
        <v>-434</v>
      </c>
      <c r="V251" s="255">
        <f t="shared" si="216"/>
        <v>-6.0763888888888395E-3</v>
      </c>
      <c r="W251" s="102" t="s">
        <v>1351</v>
      </c>
      <c r="X251" s="103" t="str">
        <f t="shared" si="217"/>
        <v>OK</v>
      </c>
      <c r="Y251" s="271"/>
      <c r="Z251" s="121"/>
      <c r="AA251" s="121"/>
      <c r="AB251" s="121"/>
      <c r="AC251" s="121"/>
      <c r="AD251" s="121"/>
      <c r="AE251" s="121"/>
      <c r="AF251" s="121"/>
      <c r="AG251" s="121"/>
      <c r="AH251" s="121"/>
      <c r="AI251" s="121"/>
      <c r="AJ251" s="121"/>
      <c r="AK251" s="121"/>
      <c r="AL251" s="121"/>
    </row>
    <row r="252" spans="1:38" s="115" customFormat="1">
      <c r="A252" s="555"/>
      <c r="B252" s="217"/>
      <c r="C252" s="217"/>
      <c r="D252" s="101"/>
      <c r="E252" s="217"/>
      <c r="F252" s="294"/>
      <c r="G252" s="146"/>
      <c r="H252" s="107" t="str">
        <f>UPPER(G200)&amp;" TOTAL"</f>
        <v>PERSONNEL SERVICES TOTAL</v>
      </c>
      <c r="I252" s="108">
        <f t="shared" ref="I252" si="223">SUBTOTAL(9,I244:I251)</f>
        <v>416883.22999999992</v>
      </c>
      <c r="J252" s="108">
        <f t="shared" ref="J252:P252" si="224">SUBTOTAL(9,J244:J251)</f>
        <v>360200.33</v>
      </c>
      <c r="K252" s="108">
        <f t="shared" ref="K252" si="225">SUBTOTAL(9,K244:K251)</f>
        <v>381292.06000000006</v>
      </c>
      <c r="L252" s="108">
        <f t="shared" ref="L252" si="226">SUBTOTAL(9,L244:L251)</f>
        <v>650349.52999999991</v>
      </c>
      <c r="M252" s="108">
        <f t="shared" si="224"/>
        <v>653489</v>
      </c>
      <c r="N252" s="109">
        <f t="shared" ref="N252" si="227">SUBTOTAL(9,N244:N251)</f>
        <v>355093.83999999997</v>
      </c>
      <c r="O252" s="109">
        <f t="shared" si="224"/>
        <v>525772</v>
      </c>
      <c r="P252" s="109">
        <f t="shared" si="224"/>
        <v>-127717</v>
      </c>
      <c r="Q252" s="109">
        <f t="shared" ref="Q252:T252" si="228">SUBTOTAL(9,Q244:Q251)</f>
        <v>670319</v>
      </c>
      <c r="R252" s="109">
        <f t="shared" si="228"/>
        <v>0</v>
      </c>
      <c r="S252" s="109">
        <f t="shared" si="228"/>
        <v>0</v>
      </c>
      <c r="T252" s="109">
        <f t="shared" si="228"/>
        <v>670319</v>
      </c>
      <c r="U252" s="99">
        <f>T252-M252</f>
        <v>16830</v>
      </c>
      <c r="V252" s="259">
        <f>IF(M252=0,"N/A",T252/M252-1)</f>
        <v>2.5754067780789036E-2</v>
      </c>
      <c r="W252" s="102"/>
      <c r="X252" s="103" t="str">
        <f t="shared" si="217"/>
        <v>OK</v>
      </c>
      <c r="Y252" s="271"/>
      <c r="Z252" s="121"/>
      <c r="AA252" s="121"/>
      <c r="AB252" s="121"/>
      <c r="AC252" s="121"/>
      <c r="AD252" s="121"/>
      <c r="AE252" s="121"/>
      <c r="AF252" s="121"/>
      <c r="AG252" s="121"/>
      <c r="AH252" s="121"/>
      <c r="AI252" s="121"/>
      <c r="AJ252" s="121"/>
      <c r="AK252" s="121"/>
      <c r="AL252" s="121"/>
    </row>
    <row r="253" spans="1:38" s="115" customFormat="1">
      <c r="A253" s="555"/>
      <c r="B253" s="217"/>
      <c r="C253" s="217"/>
      <c r="D253" s="101"/>
      <c r="E253" s="217"/>
      <c r="F253" s="294"/>
      <c r="G253" s="146"/>
      <c r="H253" s="98"/>
      <c r="I253" s="106"/>
      <c r="J253" s="106"/>
      <c r="K253" s="106"/>
      <c r="L253" s="106"/>
      <c r="M253" s="106"/>
      <c r="N253" s="110"/>
      <c r="O253" s="110"/>
      <c r="P253" s="110"/>
      <c r="Q253" s="111"/>
      <c r="R253" s="111"/>
      <c r="S253" s="111"/>
      <c r="T253" s="111"/>
      <c r="U253" s="111"/>
      <c r="V253" s="111"/>
      <c r="W253" s="102"/>
      <c r="X253" s="103" t="str">
        <f t="shared" si="217"/>
        <v/>
      </c>
      <c r="Y253" s="271"/>
      <c r="Z253" s="121"/>
      <c r="AA253" s="121"/>
      <c r="AB253" s="121"/>
      <c r="AC253" s="121"/>
      <c r="AD253" s="121"/>
      <c r="AE253" s="121"/>
      <c r="AF253" s="121"/>
      <c r="AG253" s="121"/>
      <c r="AH253" s="121"/>
      <c r="AI253" s="121"/>
      <c r="AJ253" s="121"/>
      <c r="AK253" s="121"/>
      <c r="AL253" s="121"/>
    </row>
    <row r="254" spans="1:38" s="115" customFormat="1" ht="15" customHeight="1">
      <c r="A254" s="555" t="s">
        <v>1352</v>
      </c>
      <c r="B254" s="217" t="str">
        <f t="shared" si="218"/>
        <v>200</v>
      </c>
      <c r="C254" s="217" t="str">
        <f t="shared" si="219"/>
        <v>73</v>
      </c>
      <c r="D254" s="101" t="str">
        <f t="shared" si="220"/>
        <v>735</v>
      </c>
      <c r="E254" s="217" t="str">
        <f t="shared" si="221"/>
        <v>200-73-735</v>
      </c>
      <c r="F254" s="294" t="str">
        <f t="shared" si="222"/>
        <v>51210</v>
      </c>
      <c r="G254" s="295" t="str">
        <f>VLOOKUP(F254,'GL Category'!A:C,3,FALSE)</f>
        <v>Operations &amp; maintenance</v>
      </c>
      <c r="H254" s="98" t="str">
        <f>VLOOKUP(F254,'GL Category'!A:C,2,FALSE)</f>
        <v>OFFICE SUPPLIES</v>
      </c>
      <c r="I254" s="99">
        <f>SUMIF(Import!$B:$B,$A254,Import!D:D)</f>
        <v>0</v>
      </c>
      <c r="J254" s="99">
        <f>SUMIF(Import!$B:$B,$A254,Import!E:E)</f>
        <v>0</v>
      </c>
      <c r="K254" s="99">
        <f>SUMIF(Import!$B:$B,$A254,Import!F:F)</f>
        <v>0</v>
      </c>
      <c r="L254" s="99">
        <f>SUMIF(Import!$B:$B,$A254,Import!G:G)</f>
        <v>0</v>
      </c>
      <c r="M254" s="99">
        <f>SUMIF(Import!$B:$B,$A254,Import!H:H)</f>
        <v>0</v>
      </c>
      <c r="N254" s="99">
        <f>SUMIF(Import!$B:$B,$A254,Import!I:I)</f>
        <v>0</v>
      </c>
      <c r="O254" s="99">
        <f>SUMIF(Import!$B:$B,$A254,Import!J:J)</f>
        <v>0</v>
      </c>
      <c r="P254" s="99">
        <f t="shared" ref="P254:P271" si="229">O254-M254</f>
        <v>0</v>
      </c>
      <c r="Q254" s="99">
        <f>SUMIF(Import!$B:$B,$A254,Import!K:K)</f>
        <v>0</v>
      </c>
      <c r="R254" s="99">
        <f>SUMIF(Import!$B:$B,$A254,Import!L:L)</f>
        <v>0</v>
      </c>
      <c r="S254" s="99">
        <f>SUMIF(Import!$B:$B,$A254,Import!M:M)</f>
        <v>0</v>
      </c>
      <c r="T254" s="99">
        <f>SUMIF(Import!$B:$B,$A254,Import!N:N)</f>
        <v>0</v>
      </c>
      <c r="U254" s="99">
        <f t="shared" ref="U254:U271" si="230">T254-M254</f>
        <v>0</v>
      </c>
      <c r="V254" s="255" t="str">
        <f t="shared" ref="V254:V271" si="231">IF(M254=0,"N/A",T254/M254-1)</f>
        <v>N/A</v>
      </c>
      <c r="W254" s="102" t="s">
        <v>1352</v>
      </c>
      <c r="X254" s="103" t="str">
        <f t="shared" si="217"/>
        <v>OK</v>
      </c>
      <c r="Y254" s="271"/>
      <c r="Z254" s="121"/>
      <c r="AA254" s="121"/>
      <c r="AB254" s="121"/>
      <c r="AC254" s="121"/>
      <c r="AD254" s="121"/>
      <c r="AE254" s="121"/>
      <c r="AF254" s="121"/>
      <c r="AG254" s="121"/>
      <c r="AH254" s="121"/>
      <c r="AI254" s="121"/>
      <c r="AJ254" s="121"/>
      <c r="AK254" s="121"/>
      <c r="AL254" s="121"/>
    </row>
    <row r="255" spans="1:38" s="115" customFormat="1" ht="15" customHeight="1">
      <c r="A255" s="555" t="s">
        <v>1353</v>
      </c>
      <c r="B255" s="217" t="str">
        <f t="shared" si="218"/>
        <v>200</v>
      </c>
      <c r="C255" s="217" t="str">
        <f t="shared" si="219"/>
        <v>73</v>
      </c>
      <c r="D255" s="101" t="str">
        <f t="shared" si="220"/>
        <v>735</v>
      </c>
      <c r="E255" s="217" t="str">
        <f t="shared" si="221"/>
        <v>200-73-735</v>
      </c>
      <c r="F255" s="294" t="str">
        <f t="shared" si="222"/>
        <v>51245</v>
      </c>
      <c r="G255" s="295" t="str">
        <f>VLOOKUP(F255,'GL Category'!A:C,3,FALSE)</f>
        <v>Operations &amp; maintenance</v>
      </c>
      <c r="H255" s="98" t="str">
        <f>VLOOKUP(F255,'GL Category'!A:C,2,FALSE)</f>
        <v>SMALL TOOLS &amp; EQUIPMENT</v>
      </c>
      <c r="I255" s="99">
        <f>SUMIF(Import!$B:$B,$A255,Import!D:D)</f>
        <v>7067.87</v>
      </c>
      <c r="J255" s="99">
        <f>SUMIF(Import!$B:$B,$A255,Import!E:E)</f>
        <v>1505.82</v>
      </c>
      <c r="K255" s="99">
        <f>SUMIF(Import!$B:$B,$A255,Import!F:F)</f>
        <v>5921.84</v>
      </c>
      <c r="L255" s="99">
        <f>SUMIF(Import!$B:$B,$A255,Import!G:G)</f>
        <v>6670.57</v>
      </c>
      <c r="M255" s="99">
        <f>SUMIF(Import!$B:$B,$A255,Import!H:H)</f>
        <v>10000</v>
      </c>
      <c r="N255" s="99">
        <f>SUMIF(Import!$B:$B,$A255,Import!I:I)</f>
        <v>3581.98</v>
      </c>
      <c r="O255" s="99">
        <f>SUMIF(Import!$B:$B,$A255,Import!J:J)</f>
        <v>7000</v>
      </c>
      <c r="P255" s="99">
        <f t="shared" si="229"/>
        <v>-3000</v>
      </c>
      <c r="Q255" s="99">
        <f>SUMIF(Import!$B:$B,$A255,Import!K:K)</f>
        <v>8000</v>
      </c>
      <c r="R255" s="99">
        <f>SUMIF(Import!$B:$B,$A255,Import!L:L)</f>
        <v>0</v>
      </c>
      <c r="S255" s="99">
        <f>SUMIF(Import!$B:$B,$A255,Import!M:M)</f>
        <v>0</v>
      </c>
      <c r="T255" s="99">
        <f>SUMIF(Import!$B:$B,$A255,Import!N:N)</f>
        <v>8000</v>
      </c>
      <c r="U255" s="99">
        <f t="shared" si="230"/>
        <v>-2000</v>
      </c>
      <c r="V255" s="255">
        <f t="shared" si="231"/>
        <v>-0.19999999999999996</v>
      </c>
      <c r="W255" s="102" t="s">
        <v>1353</v>
      </c>
      <c r="X255" s="103" t="str">
        <f t="shared" si="217"/>
        <v>OK</v>
      </c>
      <c r="Y255" s="271"/>
      <c r="Z255" s="121"/>
      <c r="AA255" s="121"/>
      <c r="AB255" s="121"/>
      <c r="AC255" s="121"/>
      <c r="AD255" s="121"/>
      <c r="AE255" s="121"/>
      <c r="AF255" s="121"/>
      <c r="AG255" s="121"/>
      <c r="AH255" s="121"/>
      <c r="AI255" s="121"/>
      <c r="AJ255" s="121"/>
      <c r="AK255" s="121"/>
      <c r="AL255" s="121"/>
    </row>
    <row r="256" spans="1:38" s="115" customFormat="1" ht="15" customHeight="1">
      <c r="A256" s="555" t="s">
        <v>1354</v>
      </c>
      <c r="B256" s="217" t="str">
        <f t="shared" si="218"/>
        <v>200</v>
      </c>
      <c r="C256" s="217" t="str">
        <f t="shared" si="219"/>
        <v>73</v>
      </c>
      <c r="D256" s="101" t="str">
        <f t="shared" si="220"/>
        <v>735</v>
      </c>
      <c r="E256" s="217" t="str">
        <f t="shared" si="221"/>
        <v>200-73-735</v>
      </c>
      <c r="F256" s="294" t="str">
        <f t="shared" si="222"/>
        <v>51255</v>
      </c>
      <c r="G256" s="295" t="str">
        <f>VLOOKUP(F256,'GL Category'!A:C,3,FALSE)</f>
        <v>Operations &amp; maintenance</v>
      </c>
      <c r="H256" s="98" t="str">
        <f>VLOOKUP(F256,'GL Category'!A:C,2,FALSE)</f>
        <v>FUEL/OILS/LUBRICANTS</v>
      </c>
      <c r="I256" s="99">
        <f>SUMIF(Import!$B:$B,$A256,Import!D:D)</f>
        <v>8972.9500000000007</v>
      </c>
      <c r="J256" s="99">
        <f>SUMIF(Import!$B:$B,$A256,Import!E:E)</f>
        <v>8733.51</v>
      </c>
      <c r="K256" s="99">
        <f>SUMIF(Import!$B:$B,$A256,Import!F:F)</f>
        <v>19233.73</v>
      </c>
      <c r="L256" s="99">
        <f>SUMIF(Import!$B:$B,$A256,Import!G:G)</f>
        <v>29897.54</v>
      </c>
      <c r="M256" s="99">
        <f>SUMIF(Import!$B:$B,$A256,Import!H:H)</f>
        <v>24530</v>
      </c>
      <c r="N256" s="99">
        <f>SUMIF(Import!$B:$B,$A256,Import!I:I)</f>
        <v>20584.509999999998</v>
      </c>
      <c r="O256" s="99">
        <f>SUMIF(Import!$B:$B,$A256,Import!J:J)</f>
        <v>24530</v>
      </c>
      <c r="P256" s="99">
        <f t="shared" si="229"/>
        <v>0</v>
      </c>
      <c r="Q256" s="99">
        <f>SUMIF(Import!$B:$B,$A256,Import!K:K)</f>
        <v>24530</v>
      </c>
      <c r="R256" s="99">
        <f>SUMIF(Import!$B:$B,$A256,Import!L:L)</f>
        <v>0</v>
      </c>
      <c r="S256" s="99">
        <f>SUMIF(Import!$B:$B,$A256,Import!M:M)</f>
        <v>0</v>
      </c>
      <c r="T256" s="99">
        <f>SUMIF(Import!$B:$B,$A256,Import!N:N)</f>
        <v>24530</v>
      </c>
      <c r="U256" s="99">
        <f t="shared" si="230"/>
        <v>0</v>
      </c>
      <c r="V256" s="255">
        <f t="shared" si="231"/>
        <v>0</v>
      </c>
      <c r="W256" s="102" t="s">
        <v>1354</v>
      </c>
      <c r="X256" s="103" t="str">
        <f t="shared" si="217"/>
        <v>OK</v>
      </c>
      <c r="Y256" s="271"/>
      <c r="Z256" s="121"/>
      <c r="AA256" s="121"/>
      <c r="AB256" s="121"/>
      <c r="AC256" s="121"/>
      <c r="AD256" s="121"/>
      <c r="AE256" s="121"/>
      <c r="AF256" s="121"/>
      <c r="AG256" s="121"/>
      <c r="AH256" s="121"/>
      <c r="AI256" s="121"/>
      <c r="AJ256" s="121"/>
      <c r="AK256" s="121"/>
      <c r="AL256" s="121"/>
    </row>
    <row r="257" spans="1:38" s="115" customFormat="1" ht="15" customHeight="1">
      <c r="A257" s="555" t="s">
        <v>1355</v>
      </c>
      <c r="B257" s="217" t="str">
        <f t="shared" si="218"/>
        <v>200</v>
      </c>
      <c r="C257" s="217" t="str">
        <f t="shared" si="219"/>
        <v>73</v>
      </c>
      <c r="D257" s="101" t="str">
        <f t="shared" si="220"/>
        <v>735</v>
      </c>
      <c r="E257" s="217" t="str">
        <f t="shared" si="221"/>
        <v>200-73-735</v>
      </c>
      <c r="F257" s="294" t="str">
        <f t="shared" si="222"/>
        <v>51265</v>
      </c>
      <c r="G257" s="295" t="str">
        <f>VLOOKUP(F257,'GL Category'!A:C,3,FALSE)</f>
        <v>Operations &amp; maintenance</v>
      </c>
      <c r="H257" s="98" t="str">
        <f>VLOOKUP(F257,'GL Category'!A:C,2,FALSE)</f>
        <v>STREET SIGN/SIGNAL SUPPLIES</v>
      </c>
      <c r="I257" s="99">
        <f>SUMIF(Import!$B:$B,$A257,Import!D:D)</f>
        <v>0</v>
      </c>
      <c r="J257" s="99">
        <f>SUMIF(Import!$B:$B,$A257,Import!E:E)</f>
        <v>0</v>
      </c>
      <c r="K257" s="99">
        <f>SUMIF(Import!$B:$B,$A257,Import!F:F)</f>
        <v>0</v>
      </c>
      <c r="L257" s="99">
        <f>SUMIF(Import!$B:$B,$A257,Import!G:G)</f>
        <v>0</v>
      </c>
      <c r="M257" s="99">
        <f>SUMIF(Import!$B:$B,$A257,Import!H:H)</f>
        <v>0</v>
      </c>
      <c r="N257" s="99">
        <f>SUMIF(Import!$B:$B,$A257,Import!I:I)</f>
        <v>0</v>
      </c>
      <c r="O257" s="99">
        <f>SUMIF(Import!$B:$B,$A257,Import!J:J)</f>
        <v>0</v>
      </c>
      <c r="P257" s="99">
        <f t="shared" si="229"/>
        <v>0</v>
      </c>
      <c r="Q257" s="99">
        <f>SUMIF(Import!$B:$B,$A257,Import!K:K)</f>
        <v>0</v>
      </c>
      <c r="R257" s="99">
        <f>SUMIF(Import!$B:$B,$A257,Import!L:L)</f>
        <v>0</v>
      </c>
      <c r="S257" s="99">
        <f>SUMIF(Import!$B:$B,$A257,Import!M:M)</f>
        <v>0</v>
      </c>
      <c r="T257" s="99">
        <f>SUMIF(Import!$B:$B,$A257,Import!N:N)</f>
        <v>0</v>
      </c>
      <c r="U257" s="99">
        <f t="shared" si="230"/>
        <v>0</v>
      </c>
      <c r="V257" s="255" t="str">
        <f t="shared" si="231"/>
        <v>N/A</v>
      </c>
      <c r="W257" s="102" t="s">
        <v>1355</v>
      </c>
      <c r="X257" s="103" t="str">
        <f t="shared" si="217"/>
        <v>OK</v>
      </c>
      <c r="Y257" s="271"/>
      <c r="Z257" s="121"/>
      <c r="AA257" s="121"/>
      <c r="AB257" s="121"/>
      <c r="AC257" s="121"/>
      <c r="AD257" s="121"/>
      <c r="AE257" s="121"/>
      <c r="AF257" s="121"/>
      <c r="AG257" s="121"/>
      <c r="AH257" s="121"/>
      <c r="AI257" s="121"/>
      <c r="AJ257" s="121"/>
      <c r="AK257" s="121"/>
      <c r="AL257" s="121"/>
    </row>
    <row r="258" spans="1:38" s="115" customFormat="1" ht="15" customHeight="1">
      <c r="A258" s="555" t="s">
        <v>1356</v>
      </c>
      <c r="B258" s="217" t="str">
        <f t="shared" si="218"/>
        <v>200</v>
      </c>
      <c r="C258" s="217" t="str">
        <f t="shared" si="219"/>
        <v>73</v>
      </c>
      <c r="D258" s="101" t="str">
        <f t="shared" si="220"/>
        <v>735</v>
      </c>
      <c r="E258" s="217" t="str">
        <f t="shared" si="221"/>
        <v>200-73-735</v>
      </c>
      <c r="F258" s="294" t="str">
        <f t="shared" si="222"/>
        <v>51270</v>
      </c>
      <c r="G258" s="295" t="str">
        <f>VLOOKUP(F258,'GL Category'!A:C,3,FALSE)</f>
        <v>Operations &amp; maintenance</v>
      </c>
      <c r="H258" s="98" t="str">
        <f>VLOOKUP(F258,'GL Category'!A:C,2,FALSE)</f>
        <v>CHEMICAL SUPPLIES</v>
      </c>
      <c r="I258" s="99">
        <f>SUMIF(Import!$B:$B,$A258,Import!D:D)</f>
        <v>1421.37</v>
      </c>
      <c r="J258" s="99">
        <f>SUMIF(Import!$B:$B,$A258,Import!E:E)</f>
        <v>122.63</v>
      </c>
      <c r="K258" s="99">
        <f>SUMIF(Import!$B:$B,$A258,Import!F:F)</f>
        <v>4447.75</v>
      </c>
      <c r="L258" s="99">
        <f>SUMIF(Import!$B:$B,$A258,Import!G:G)</f>
        <v>-1033.01</v>
      </c>
      <c r="M258" s="99">
        <f>SUMIF(Import!$B:$B,$A258,Import!H:H)</f>
        <v>4200</v>
      </c>
      <c r="N258" s="99">
        <f>SUMIF(Import!$B:$B,$A258,Import!I:I)</f>
        <v>0</v>
      </c>
      <c r="O258" s="99">
        <f>SUMIF(Import!$B:$B,$A258,Import!J:J)</f>
        <v>4000</v>
      </c>
      <c r="P258" s="99">
        <f t="shared" si="229"/>
        <v>-200</v>
      </c>
      <c r="Q258" s="99">
        <f>SUMIF(Import!$B:$B,$A258,Import!K:K)</f>
        <v>3500</v>
      </c>
      <c r="R258" s="99">
        <f>SUMIF(Import!$B:$B,$A258,Import!L:L)</f>
        <v>0</v>
      </c>
      <c r="S258" s="99">
        <f>SUMIF(Import!$B:$B,$A258,Import!M:M)</f>
        <v>0</v>
      </c>
      <c r="T258" s="99">
        <f>SUMIF(Import!$B:$B,$A258,Import!N:N)</f>
        <v>3500</v>
      </c>
      <c r="U258" s="99">
        <f t="shared" si="230"/>
        <v>-700</v>
      </c>
      <c r="V258" s="255">
        <f t="shared" si="231"/>
        <v>-0.16666666666666663</v>
      </c>
      <c r="W258" s="102" t="s">
        <v>1356</v>
      </c>
      <c r="X258" s="103" t="str">
        <f t="shared" si="217"/>
        <v>OK</v>
      </c>
      <c r="Y258" s="271"/>
      <c r="Z258" s="121"/>
      <c r="AA258" s="121"/>
      <c r="AB258" s="121"/>
      <c r="AC258" s="121"/>
      <c r="AD258" s="121"/>
      <c r="AE258" s="121"/>
      <c r="AF258" s="121"/>
      <c r="AG258" s="121"/>
      <c r="AH258" s="121"/>
      <c r="AI258" s="121"/>
      <c r="AJ258" s="121"/>
      <c r="AK258" s="121"/>
      <c r="AL258" s="121"/>
    </row>
    <row r="259" spans="1:38" s="115" customFormat="1" ht="15" customHeight="1">
      <c r="A259" s="555" t="s">
        <v>1357</v>
      </c>
      <c r="B259" s="217" t="str">
        <f t="shared" si="218"/>
        <v>200</v>
      </c>
      <c r="C259" s="217" t="str">
        <f t="shared" si="219"/>
        <v>73</v>
      </c>
      <c r="D259" s="101" t="str">
        <f t="shared" si="220"/>
        <v>735</v>
      </c>
      <c r="E259" s="217" t="str">
        <f t="shared" si="221"/>
        <v>200-73-735</v>
      </c>
      <c r="F259" s="294" t="str">
        <f t="shared" si="222"/>
        <v>51285</v>
      </c>
      <c r="G259" s="295" t="str">
        <f>VLOOKUP(F259,'GL Category'!A:C,3,FALSE)</f>
        <v>Operations &amp; maintenance</v>
      </c>
      <c r="H259" s="98" t="str">
        <f>VLOOKUP(F259,'GL Category'!A:C,2,FALSE)</f>
        <v>WEARING APPAREL</v>
      </c>
      <c r="I259" s="99">
        <f>SUMIF(Import!$B:$B,$A259,Import!D:D)</f>
        <v>4592.71</v>
      </c>
      <c r="J259" s="99">
        <f>SUMIF(Import!$B:$B,$A259,Import!E:E)</f>
        <v>2611.89</v>
      </c>
      <c r="K259" s="99">
        <f>SUMIF(Import!$B:$B,$A259,Import!F:F)</f>
        <v>3372.65</v>
      </c>
      <c r="L259" s="99">
        <f>SUMIF(Import!$B:$B,$A259,Import!G:G)</f>
        <v>4699.8999999999996</v>
      </c>
      <c r="M259" s="99">
        <f>SUMIF(Import!$B:$B,$A259,Import!H:H)</f>
        <v>4800</v>
      </c>
      <c r="N259" s="99">
        <f>SUMIF(Import!$B:$B,$A259,Import!I:I)</f>
        <v>3343.27</v>
      </c>
      <c r="O259" s="99">
        <f>SUMIF(Import!$B:$B,$A259,Import!J:J)</f>
        <v>4800</v>
      </c>
      <c r="P259" s="99">
        <f t="shared" si="229"/>
        <v>0</v>
      </c>
      <c r="Q259" s="99">
        <f>SUMIF(Import!$B:$B,$A259,Import!K:K)</f>
        <v>4800</v>
      </c>
      <c r="R259" s="99">
        <f>SUMIF(Import!$B:$B,$A259,Import!L:L)</f>
        <v>0</v>
      </c>
      <c r="S259" s="99">
        <f>SUMIF(Import!$B:$B,$A259,Import!M:M)</f>
        <v>0</v>
      </c>
      <c r="T259" s="99">
        <f>SUMIF(Import!$B:$B,$A259,Import!N:N)</f>
        <v>4800</v>
      </c>
      <c r="U259" s="99">
        <f t="shared" si="230"/>
        <v>0</v>
      </c>
      <c r="V259" s="255">
        <f t="shared" si="231"/>
        <v>0</v>
      </c>
      <c r="W259" s="102" t="s">
        <v>1357</v>
      </c>
      <c r="X259" s="103" t="str">
        <f t="shared" si="217"/>
        <v>OK</v>
      </c>
      <c r="Y259" s="271"/>
      <c r="Z259" s="121"/>
      <c r="AA259" s="121"/>
      <c r="AB259" s="121"/>
      <c r="AC259" s="121"/>
      <c r="AD259" s="121"/>
      <c r="AE259" s="121"/>
      <c r="AF259" s="121"/>
      <c r="AG259" s="121"/>
      <c r="AH259" s="121"/>
      <c r="AI259" s="121"/>
      <c r="AJ259" s="121"/>
      <c r="AK259" s="121"/>
      <c r="AL259" s="121"/>
    </row>
    <row r="260" spans="1:38" s="115" customFormat="1" ht="15" customHeight="1">
      <c r="A260" s="555" t="s">
        <v>1358</v>
      </c>
      <c r="B260" s="217" t="str">
        <f t="shared" si="218"/>
        <v>200</v>
      </c>
      <c r="C260" s="217" t="str">
        <f t="shared" si="219"/>
        <v>73</v>
      </c>
      <c r="D260" s="101" t="str">
        <f t="shared" si="220"/>
        <v>735</v>
      </c>
      <c r="E260" s="217" t="str">
        <f t="shared" si="221"/>
        <v>200-73-735</v>
      </c>
      <c r="F260" s="294" t="str">
        <f t="shared" si="222"/>
        <v>51287</v>
      </c>
      <c r="G260" s="295" t="str">
        <f>VLOOKUP(F260,'GL Category'!A:C,3,FALSE)</f>
        <v>Operations &amp; maintenance</v>
      </c>
      <c r="H260" s="98" t="str">
        <f>VLOOKUP(F260,'GL Category'!A:C,2,FALSE)</f>
        <v>SAFETY EQUIPMENT/SUPPLIES</v>
      </c>
      <c r="I260" s="99">
        <f>SUMIF(Import!$B:$B,$A260,Import!D:D)</f>
        <v>7176.82</v>
      </c>
      <c r="J260" s="99">
        <f>SUMIF(Import!$B:$B,$A260,Import!E:E)</f>
        <v>5361.48</v>
      </c>
      <c r="K260" s="99">
        <f>SUMIF(Import!$B:$B,$A260,Import!F:F)</f>
        <v>3514.7</v>
      </c>
      <c r="L260" s="99">
        <f>SUMIF(Import!$B:$B,$A260,Import!G:G)</f>
        <v>0</v>
      </c>
      <c r="M260" s="99">
        <f>SUMIF(Import!$B:$B,$A260,Import!H:H)</f>
        <v>0</v>
      </c>
      <c r="N260" s="99">
        <f>SUMIF(Import!$B:$B,$A260,Import!I:I)</f>
        <v>0</v>
      </c>
      <c r="O260" s="99">
        <f>SUMIF(Import!$B:$B,$A260,Import!J:J)</f>
        <v>0</v>
      </c>
      <c r="P260" s="99">
        <f t="shared" si="229"/>
        <v>0</v>
      </c>
      <c r="Q260" s="99">
        <f>SUMIF(Import!$B:$B,$A260,Import!K:K)</f>
        <v>0</v>
      </c>
      <c r="R260" s="99">
        <f>SUMIF(Import!$B:$B,$A260,Import!L:L)</f>
        <v>0</v>
      </c>
      <c r="S260" s="99">
        <f>SUMIF(Import!$B:$B,$A260,Import!M:M)</f>
        <v>0</v>
      </c>
      <c r="T260" s="99">
        <f>SUMIF(Import!$B:$B,$A260,Import!N:N)</f>
        <v>0</v>
      </c>
      <c r="U260" s="99">
        <f t="shared" si="230"/>
        <v>0</v>
      </c>
      <c r="V260" s="255" t="str">
        <f t="shared" si="231"/>
        <v>N/A</v>
      </c>
      <c r="W260" s="102" t="s">
        <v>1358</v>
      </c>
      <c r="X260" s="103" t="str">
        <f t="shared" si="217"/>
        <v>OK</v>
      </c>
      <c r="Y260" s="271"/>
      <c r="Z260" s="121"/>
      <c r="AA260" s="121"/>
      <c r="AB260" s="121"/>
      <c r="AC260" s="121"/>
      <c r="AD260" s="121"/>
      <c r="AE260" s="121"/>
      <c r="AF260" s="121"/>
      <c r="AG260" s="121"/>
      <c r="AH260" s="121"/>
      <c r="AI260" s="121"/>
      <c r="AJ260" s="121"/>
      <c r="AK260" s="121"/>
      <c r="AL260" s="121"/>
    </row>
    <row r="261" spans="1:38" s="115" customFormat="1" ht="15" customHeight="1">
      <c r="A261" s="555" t="s">
        <v>1359</v>
      </c>
      <c r="B261" s="217" t="str">
        <f t="shared" si="218"/>
        <v>200</v>
      </c>
      <c r="C261" s="217" t="str">
        <f t="shared" si="219"/>
        <v>73</v>
      </c>
      <c r="D261" s="101" t="str">
        <f t="shared" si="220"/>
        <v>735</v>
      </c>
      <c r="E261" s="217" t="str">
        <f t="shared" si="221"/>
        <v>200-73-735</v>
      </c>
      <c r="F261" s="294" t="str">
        <f t="shared" si="222"/>
        <v>51299</v>
      </c>
      <c r="G261" s="295" t="str">
        <f>VLOOKUP(F261,'GL Category'!A:C,3,FALSE)</f>
        <v>Operations &amp; maintenance</v>
      </c>
      <c r="H261" s="98" t="str">
        <f>VLOOKUP(F261,'GL Category'!A:C,2,FALSE)</f>
        <v>MISCELLANEOUS SUPPLIES</v>
      </c>
      <c r="I261" s="99">
        <f>SUMIF(Import!$B:$B,$A261,Import!D:D)</f>
        <v>0</v>
      </c>
      <c r="J261" s="99">
        <f>SUMIF(Import!$B:$B,$A261,Import!E:E)</f>
        <v>0</v>
      </c>
      <c r="K261" s="99">
        <f>SUMIF(Import!$B:$B,$A261,Import!F:F)</f>
        <v>0</v>
      </c>
      <c r="L261" s="99">
        <f>SUMIF(Import!$B:$B,$A261,Import!G:G)</f>
        <v>0</v>
      </c>
      <c r="M261" s="99">
        <f>SUMIF(Import!$B:$B,$A261,Import!H:H)</f>
        <v>0</v>
      </c>
      <c r="N261" s="99">
        <f>SUMIF(Import!$B:$B,$A261,Import!I:I)</f>
        <v>0</v>
      </c>
      <c r="O261" s="99">
        <f>SUMIF(Import!$B:$B,$A261,Import!J:J)</f>
        <v>0</v>
      </c>
      <c r="P261" s="99">
        <f t="shared" si="229"/>
        <v>0</v>
      </c>
      <c r="Q261" s="99">
        <f>SUMIF(Import!$B:$B,$A261,Import!K:K)</f>
        <v>0</v>
      </c>
      <c r="R261" s="99">
        <f>SUMIF(Import!$B:$B,$A261,Import!L:L)</f>
        <v>0</v>
      </c>
      <c r="S261" s="99">
        <f>SUMIF(Import!$B:$B,$A261,Import!M:M)</f>
        <v>0</v>
      </c>
      <c r="T261" s="99">
        <f>SUMIF(Import!$B:$B,$A261,Import!N:N)</f>
        <v>0</v>
      </c>
      <c r="U261" s="99">
        <f t="shared" si="230"/>
        <v>0</v>
      </c>
      <c r="V261" s="255" t="str">
        <f t="shared" si="231"/>
        <v>N/A</v>
      </c>
      <c r="W261" s="102" t="s">
        <v>1359</v>
      </c>
      <c r="X261" s="103" t="str">
        <f t="shared" si="217"/>
        <v>OK</v>
      </c>
      <c r="Y261" s="271"/>
      <c r="Z261" s="121"/>
      <c r="AA261" s="121"/>
      <c r="AB261" s="121"/>
      <c r="AC261" s="121"/>
      <c r="AD261" s="121"/>
      <c r="AE261" s="121"/>
      <c r="AF261" s="121"/>
      <c r="AG261" s="121"/>
      <c r="AH261" s="121"/>
      <c r="AI261" s="121"/>
      <c r="AJ261" s="121"/>
      <c r="AK261" s="121"/>
      <c r="AL261" s="121"/>
    </row>
    <row r="262" spans="1:38" s="115" customFormat="1" ht="15" customHeight="1">
      <c r="A262" s="555" t="s">
        <v>1360</v>
      </c>
      <c r="B262" s="217" t="str">
        <f t="shared" si="218"/>
        <v>200</v>
      </c>
      <c r="C262" s="217" t="str">
        <f t="shared" si="219"/>
        <v>73</v>
      </c>
      <c r="D262" s="101" t="str">
        <f t="shared" si="220"/>
        <v>735</v>
      </c>
      <c r="E262" s="217" t="str">
        <f t="shared" si="221"/>
        <v>200-73-735</v>
      </c>
      <c r="F262" s="294" t="str">
        <f t="shared" si="222"/>
        <v>52310</v>
      </c>
      <c r="G262" s="295" t="str">
        <f>VLOOKUP(F262,'GL Category'!A:C,3,FALSE)</f>
        <v>Operations &amp; maintenance</v>
      </c>
      <c r="H262" s="98" t="str">
        <f>VLOOKUP(F262,'GL Category'!A:C,2,FALSE)</f>
        <v>BUILDING MAINTENANCE</v>
      </c>
      <c r="I262" s="99">
        <f>SUMIF(Import!$B:$B,$A262,Import!D:D)</f>
        <v>0</v>
      </c>
      <c r="J262" s="99">
        <f>SUMIF(Import!$B:$B,$A262,Import!E:E)</f>
        <v>0</v>
      </c>
      <c r="K262" s="99">
        <f>SUMIF(Import!$B:$B,$A262,Import!F:F)</f>
        <v>0</v>
      </c>
      <c r="L262" s="99">
        <f>SUMIF(Import!$B:$B,$A262,Import!G:G)</f>
        <v>0</v>
      </c>
      <c r="M262" s="99">
        <f>SUMIF(Import!$B:$B,$A262,Import!H:H)</f>
        <v>0</v>
      </c>
      <c r="N262" s="99">
        <f>SUMIF(Import!$B:$B,$A262,Import!I:I)</f>
        <v>0</v>
      </c>
      <c r="O262" s="99">
        <f>SUMIF(Import!$B:$B,$A262,Import!J:J)</f>
        <v>0</v>
      </c>
      <c r="P262" s="99">
        <f t="shared" si="229"/>
        <v>0</v>
      </c>
      <c r="Q262" s="99">
        <f>SUMIF(Import!$B:$B,$A262,Import!K:K)</f>
        <v>0</v>
      </c>
      <c r="R262" s="99">
        <f>SUMIF(Import!$B:$B,$A262,Import!L:L)</f>
        <v>0</v>
      </c>
      <c r="S262" s="99">
        <f>SUMIF(Import!$B:$B,$A262,Import!M:M)</f>
        <v>0</v>
      </c>
      <c r="T262" s="99">
        <f>SUMIF(Import!$B:$B,$A262,Import!N:N)</f>
        <v>0</v>
      </c>
      <c r="U262" s="99">
        <f t="shared" si="230"/>
        <v>0</v>
      </c>
      <c r="V262" s="255" t="str">
        <f t="shared" si="231"/>
        <v>N/A</v>
      </c>
      <c r="W262" s="102" t="s">
        <v>1360</v>
      </c>
      <c r="X262" s="103" t="str">
        <f t="shared" si="217"/>
        <v>OK</v>
      </c>
      <c r="Y262" s="271"/>
      <c r="Z262" s="121"/>
      <c r="AA262" s="121"/>
      <c r="AB262" s="121"/>
      <c r="AC262" s="121"/>
      <c r="AD262" s="121"/>
      <c r="AE262" s="121"/>
      <c r="AF262" s="121"/>
      <c r="AG262" s="121"/>
      <c r="AH262" s="121"/>
      <c r="AI262" s="121"/>
      <c r="AJ262" s="121"/>
      <c r="AK262" s="121"/>
      <c r="AL262" s="121"/>
    </row>
    <row r="263" spans="1:38" s="115" customFormat="1" ht="15" customHeight="1">
      <c r="A263" s="555" t="s">
        <v>1361</v>
      </c>
      <c r="B263" s="217" t="str">
        <f t="shared" si="218"/>
        <v>200</v>
      </c>
      <c r="C263" s="217" t="str">
        <f t="shared" si="219"/>
        <v>73</v>
      </c>
      <c r="D263" s="101" t="str">
        <f t="shared" si="220"/>
        <v>735</v>
      </c>
      <c r="E263" s="217" t="str">
        <f t="shared" si="221"/>
        <v>200-73-735</v>
      </c>
      <c r="F263" s="294" t="str">
        <f t="shared" si="222"/>
        <v>52311</v>
      </c>
      <c r="G263" s="295" t="str">
        <f>VLOOKUP(F263,'GL Category'!A:C,3,FALSE)</f>
        <v>Operations &amp; maintenance</v>
      </c>
      <c r="H263" s="98" t="str">
        <f>VLOOKUP(F263,'GL Category'!A:C,2,FALSE)</f>
        <v>GROUNDS MAINTENANCE</v>
      </c>
      <c r="I263" s="99">
        <f>SUMIF(Import!$B:$B,$A263,Import!D:D)</f>
        <v>0</v>
      </c>
      <c r="J263" s="99">
        <f>SUMIF(Import!$B:$B,$A263,Import!E:E)</f>
        <v>0</v>
      </c>
      <c r="K263" s="99">
        <f>SUMIF(Import!$B:$B,$A263,Import!F:F)</f>
        <v>0</v>
      </c>
      <c r="L263" s="99">
        <f>SUMIF(Import!$B:$B,$A263,Import!G:G)</f>
        <v>0</v>
      </c>
      <c r="M263" s="99">
        <f>SUMIF(Import!$B:$B,$A263,Import!H:H)</f>
        <v>0</v>
      </c>
      <c r="N263" s="99">
        <f>SUMIF(Import!$B:$B,$A263,Import!I:I)</f>
        <v>0</v>
      </c>
      <c r="O263" s="99">
        <f>SUMIF(Import!$B:$B,$A263,Import!J:J)</f>
        <v>0</v>
      </c>
      <c r="P263" s="99">
        <f t="shared" si="229"/>
        <v>0</v>
      </c>
      <c r="Q263" s="99">
        <f>SUMIF(Import!$B:$B,$A263,Import!K:K)</f>
        <v>0</v>
      </c>
      <c r="R263" s="99">
        <f>SUMIF(Import!$B:$B,$A263,Import!L:L)</f>
        <v>0</v>
      </c>
      <c r="S263" s="99">
        <f>SUMIF(Import!$B:$B,$A263,Import!M:M)</f>
        <v>0</v>
      </c>
      <c r="T263" s="99">
        <f>SUMIF(Import!$B:$B,$A263,Import!N:N)</f>
        <v>0</v>
      </c>
      <c r="U263" s="99">
        <f t="shared" si="230"/>
        <v>0</v>
      </c>
      <c r="V263" s="255" t="str">
        <f t="shared" si="231"/>
        <v>N/A</v>
      </c>
      <c r="W263" s="102" t="s">
        <v>1361</v>
      </c>
      <c r="X263" s="103" t="str">
        <f t="shared" si="217"/>
        <v>OK</v>
      </c>
      <c r="Y263" s="271"/>
      <c r="Z263" s="121"/>
      <c r="AA263" s="121"/>
      <c r="AB263" s="121"/>
      <c r="AC263" s="121"/>
      <c r="AD263" s="121"/>
      <c r="AE263" s="121"/>
      <c r="AF263" s="121"/>
      <c r="AG263" s="121"/>
      <c r="AH263" s="121"/>
      <c r="AI263" s="121"/>
      <c r="AJ263" s="121"/>
      <c r="AK263" s="121"/>
      <c r="AL263" s="121"/>
    </row>
    <row r="264" spans="1:38" s="115" customFormat="1" ht="15" customHeight="1">
      <c r="A264" s="555" t="s">
        <v>1362</v>
      </c>
      <c r="B264" s="217" t="str">
        <f t="shared" si="218"/>
        <v>200</v>
      </c>
      <c r="C264" s="217" t="str">
        <f t="shared" si="219"/>
        <v>73</v>
      </c>
      <c r="D264" s="101" t="str">
        <f t="shared" si="220"/>
        <v>735</v>
      </c>
      <c r="E264" s="217" t="str">
        <f t="shared" si="221"/>
        <v>200-73-735</v>
      </c>
      <c r="F264" s="294" t="str">
        <f t="shared" si="222"/>
        <v>52320</v>
      </c>
      <c r="G264" s="295" t="str">
        <f>VLOOKUP(F264,'GL Category'!A:C,3,FALSE)</f>
        <v>Operations &amp; maintenance</v>
      </c>
      <c r="H264" s="98" t="str">
        <f>VLOOKUP(F264,'GL Category'!A:C,2,FALSE)</f>
        <v>STREET MAINTENANCE</v>
      </c>
      <c r="I264" s="99">
        <f>SUMIF(Import!$B:$B,$A264,Import!D:D)</f>
        <v>0</v>
      </c>
      <c r="J264" s="99">
        <f>SUMIF(Import!$B:$B,$A264,Import!E:E)</f>
        <v>0</v>
      </c>
      <c r="K264" s="99">
        <f>SUMIF(Import!$B:$B,$A264,Import!F:F)</f>
        <v>0</v>
      </c>
      <c r="L264" s="99">
        <f>SUMIF(Import!$B:$B,$A264,Import!G:G)</f>
        <v>0</v>
      </c>
      <c r="M264" s="99">
        <f>SUMIF(Import!$B:$B,$A264,Import!H:H)</f>
        <v>0</v>
      </c>
      <c r="N264" s="99">
        <f>SUMIF(Import!$B:$B,$A264,Import!I:I)</f>
        <v>0</v>
      </c>
      <c r="O264" s="99">
        <f>SUMIF(Import!$B:$B,$A264,Import!J:J)</f>
        <v>0</v>
      </c>
      <c r="P264" s="99">
        <f t="shared" si="229"/>
        <v>0</v>
      </c>
      <c r="Q264" s="99">
        <f>SUMIF(Import!$B:$B,$A264,Import!K:K)</f>
        <v>0</v>
      </c>
      <c r="R264" s="99">
        <f>SUMIF(Import!$B:$B,$A264,Import!L:L)</f>
        <v>0</v>
      </c>
      <c r="S264" s="99">
        <f>SUMIF(Import!$B:$B,$A264,Import!M:M)</f>
        <v>0</v>
      </c>
      <c r="T264" s="99">
        <f>SUMIF(Import!$B:$B,$A264,Import!N:N)</f>
        <v>0</v>
      </c>
      <c r="U264" s="99">
        <f t="shared" si="230"/>
        <v>0</v>
      </c>
      <c r="V264" s="255" t="str">
        <f t="shared" si="231"/>
        <v>N/A</v>
      </c>
      <c r="W264" s="102" t="s">
        <v>1362</v>
      </c>
      <c r="X264" s="103" t="str">
        <f t="shared" si="217"/>
        <v>OK</v>
      </c>
      <c r="Y264" s="271"/>
      <c r="Z264" s="121"/>
      <c r="AA264" s="121"/>
      <c r="AB264" s="121"/>
      <c r="AC264" s="121"/>
      <c r="AD264" s="121"/>
      <c r="AE264" s="121"/>
      <c r="AF264" s="121"/>
      <c r="AG264" s="121"/>
      <c r="AH264" s="121"/>
      <c r="AI264" s="121"/>
      <c r="AJ264" s="121"/>
      <c r="AK264" s="121"/>
      <c r="AL264" s="121"/>
    </row>
    <row r="265" spans="1:38" s="115" customFormat="1" ht="15" customHeight="1">
      <c r="A265" s="555" t="s">
        <v>1363</v>
      </c>
      <c r="B265" s="217" t="str">
        <f t="shared" si="218"/>
        <v>200</v>
      </c>
      <c r="C265" s="217" t="str">
        <f t="shared" si="219"/>
        <v>73</v>
      </c>
      <c r="D265" s="101" t="str">
        <f t="shared" si="220"/>
        <v>735</v>
      </c>
      <c r="E265" s="217" t="str">
        <f t="shared" si="221"/>
        <v>200-73-735</v>
      </c>
      <c r="F265" s="294" t="str">
        <f t="shared" si="222"/>
        <v>52330</v>
      </c>
      <c r="G265" s="295" t="str">
        <f>VLOOKUP(F265,'GL Category'!A:C,3,FALSE)</f>
        <v>Operations &amp; maintenance</v>
      </c>
      <c r="H265" s="98" t="str">
        <f>VLOOKUP(F265,'GL Category'!A:C,2,FALSE)</f>
        <v>MAINS &amp; SERVICES MAINTENANCE</v>
      </c>
      <c r="I265" s="99">
        <f>SUMIF(Import!$B:$B,$A265,Import!D:D)</f>
        <v>123188.58</v>
      </c>
      <c r="J265" s="99">
        <f>SUMIF(Import!$B:$B,$A265,Import!E:E)</f>
        <v>224792.27</v>
      </c>
      <c r="K265" s="99">
        <f>SUMIF(Import!$B:$B,$A265,Import!F:F)</f>
        <v>434632.07</v>
      </c>
      <c r="L265" s="99">
        <f>SUMIF(Import!$B:$B,$A265,Import!G:G)</f>
        <v>441498.92</v>
      </c>
      <c r="M265" s="99">
        <f>SUMIF(Import!$B:$B,$A265,Import!H:H)</f>
        <v>214000</v>
      </c>
      <c r="N265" s="99">
        <f>SUMIF(Import!$B:$B,$A265,Import!I:I)</f>
        <v>227819.79</v>
      </c>
      <c r="O265" s="99">
        <f>SUMIF(Import!$B:$B,$A265,Import!J:J)</f>
        <v>400000</v>
      </c>
      <c r="P265" s="99">
        <f t="shared" si="229"/>
        <v>186000</v>
      </c>
      <c r="Q265" s="99">
        <f>SUMIF(Import!$B:$B,$A265,Import!K:K)</f>
        <v>230000</v>
      </c>
      <c r="R265" s="99">
        <f>SUMIF(Import!$B:$B,$A265,Import!L:L)</f>
        <v>0</v>
      </c>
      <c r="S265" s="99">
        <f>SUMIF(Import!$B:$B,$A265,Import!M:M)</f>
        <v>0</v>
      </c>
      <c r="T265" s="99">
        <f>SUMIF(Import!$B:$B,$A265,Import!N:N)</f>
        <v>230000</v>
      </c>
      <c r="U265" s="99">
        <f t="shared" si="230"/>
        <v>16000</v>
      </c>
      <c r="V265" s="255">
        <f t="shared" si="231"/>
        <v>7.4766355140186924E-2</v>
      </c>
      <c r="W265" s="102" t="s">
        <v>1363</v>
      </c>
      <c r="X265" s="103" t="str">
        <f t="shared" si="217"/>
        <v>OK</v>
      </c>
      <c r="Y265" s="271"/>
      <c r="Z265" s="121"/>
      <c r="AA265" s="121"/>
      <c r="AB265" s="121"/>
      <c r="AC265" s="121"/>
      <c r="AD265" s="121"/>
      <c r="AE265" s="121"/>
      <c r="AF265" s="121"/>
      <c r="AG265" s="121"/>
      <c r="AH265" s="121"/>
      <c r="AI265" s="121"/>
      <c r="AJ265" s="121"/>
      <c r="AK265" s="121"/>
      <c r="AL265" s="121"/>
    </row>
    <row r="266" spans="1:38" s="115" customFormat="1" ht="15" customHeight="1">
      <c r="A266" s="555" t="s">
        <v>1364</v>
      </c>
      <c r="B266" s="217" t="str">
        <f t="shared" si="218"/>
        <v>200</v>
      </c>
      <c r="C266" s="217" t="str">
        <f t="shared" si="219"/>
        <v>73</v>
      </c>
      <c r="D266" s="101" t="str">
        <f t="shared" si="220"/>
        <v>735</v>
      </c>
      <c r="E266" s="217" t="str">
        <f t="shared" si="221"/>
        <v>200-73-735</v>
      </c>
      <c r="F266" s="294" t="str">
        <f t="shared" si="222"/>
        <v>52430</v>
      </c>
      <c r="G266" s="295" t="str">
        <f>VLOOKUP(F266,'GL Category'!A:C,3,FALSE)</f>
        <v>Operations &amp; maintenance</v>
      </c>
      <c r="H266" s="98" t="str">
        <f>VLOOKUP(F266,'GL Category'!A:C,2,FALSE)</f>
        <v>METER MAINTENANCE</v>
      </c>
      <c r="I266" s="99">
        <f>SUMIF(Import!$B:$B,$A266,Import!D:D)</f>
        <v>0</v>
      </c>
      <c r="J266" s="99">
        <f>SUMIF(Import!$B:$B,$A266,Import!E:E)</f>
        <v>0</v>
      </c>
      <c r="K266" s="99">
        <f>SUMIF(Import!$B:$B,$A266,Import!F:F)</f>
        <v>0</v>
      </c>
      <c r="L266" s="99">
        <f>SUMIF(Import!$B:$B,$A266,Import!G:G)</f>
        <v>0</v>
      </c>
      <c r="M266" s="99">
        <f>SUMIF(Import!$B:$B,$A266,Import!H:H)</f>
        <v>0</v>
      </c>
      <c r="N266" s="99">
        <f>SUMIF(Import!$B:$B,$A266,Import!I:I)</f>
        <v>0</v>
      </c>
      <c r="O266" s="99">
        <f>SUMIF(Import!$B:$B,$A266,Import!J:J)</f>
        <v>0</v>
      </c>
      <c r="P266" s="99">
        <f t="shared" si="229"/>
        <v>0</v>
      </c>
      <c r="Q266" s="99">
        <f>SUMIF(Import!$B:$B,$A266,Import!K:K)</f>
        <v>0</v>
      </c>
      <c r="R266" s="99">
        <f>SUMIF(Import!$B:$B,$A266,Import!L:L)</f>
        <v>0</v>
      </c>
      <c r="S266" s="99">
        <f>SUMIF(Import!$B:$B,$A266,Import!M:M)</f>
        <v>0</v>
      </c>
      <c r="T266" s="99">
        <f>SUMIF(Import!$B:$B,$A266,Import!N:N)</f>
        <v>0</v>
      </c>
      <c r="U266" s="99">
        <f t="shared" si="230"/>
        <v>0</v>
      </c>
      <c r="V266" s="255" t="str">
        <f t="shared" si="231"/>
        <v>N/A</v>
      </c>
      <c r="W266" s="102" t="s">
        <v>1364</v>
      </c>
      <c r="X266" s="103" t="str">
        <f t="shared" si="217"/>
        <v>OK</v>
      </c>
      <c r="Y266" s="271"/>
      <c r="Z266" s="121"/>
      <c r="AA266" s="121"/>
      <c r="AB266" s="121"/>
      <c r="AC266" s="121"/>
      <c r="AD266" s="121"/>
      <c r="AE266" s="121"/>
      <c r="AF266" s="121"/>
      <c r="AG266" s="121"/>
      <c r="AH266" s="121"/>
      <c r="AI266" s="121"/>
      <c r="AJ266" s="121"/>
      <c r="AK266" s="121"/>
      <c r="AL266" s="121"/>
    </row>
    <row r="267" spans="1:38" s="115" customFormat="1" ht="15" customHeight="1">
      <c r="A267" s="555" t="s">
        <v>1365</v>
      </c>
      <c r="B267" s="217" t="str">
        <f t="shared" si="218"/>
        <v>200</v>
      </c>
      <c r="C267" s="217" t="str">
        <f t="shared" si="219"/>
        <v>73</v>
      </c>
      <c r="D267" s="101" t="str">
        <f t="shared" si="220"/>
        <v>735</v>
      </c>
      <c r="E267" s="217" t="str">
        <f t="shared" si="221"/>
        <v>200-73-735</v>
      </c>
      <c r="F267" s="294" t="str">
        <f t="shared" si="222"/>
        <v>52437</v>
      </c>
      <c r="G267" s="295" t="e">
        <f>VLOOKUP(F267,'GL Category'!A:C,3,FALSE)</f>
        <v>#N/A</v>
      </c>
      <c r="H267" s="98" t="e">
        <f>VLOOKUP(F267,'GL Category'!A:C,2,FALSE)</f>
        <v>#N/A</v>
      </c>
      <c r="I267" s="99">
        <f>SUMIF(Import!$B:$B,$A267,Import!D:D)</f>
        <v>0</v>
      </c>
      <c r="J267" s="99">
        <f>SUMIF(Import!$B:$B,$A267,Import!E:E)</f>
        <v>0</v>
      </c>
      <c r="K267" s="99">
        <f>SUMIF(Import!$B:$B,$A267,Import!F:F)</f>
        <v>0</v>
      </c>
      <c r="L267" s="99">
        <f>SUMIF(Import!$B:$B,$A267,Import!G:G)</f>
        <v>0</v>
      </c>
      <c r="M267" s="99">
        <f>SUMIF(Import!$B:$B,$A267,Import!H:H)</f>
        <v>0</v>
      </c>
      <c r="N267" s="99">
        <f>SUMIF(Import!$B:$B,$A267,Import!I:I)</f>
        <v>0</v>
      </c>
      <c r="O267" s="99">
        <f>SUMIF(Import!$B:$B,$A267,Import!J:J)</f>
        <v>0</v>
      </c>
      <c r="P267" s="99">
        <f t="shared" si="229"/>
        <v>0</v>
      </c>
      <c r="Q267" s="99">
        <f>SUMIF(Import!$B:$B,$A267,Import!K:K)</f>
        <v>0</v>
      </c>
      <c r="R267" s="99">
        <f>SUMIF(Import!$B:$B,$A267,Import!L:L)</f>
        <v>0</v>
      </c>
      <c r="S267" s="99">
        <f>SUMIF(Import!$B:$B,$A267,Import!M:M)</f>
        <v>0</v>
      </c>
      <c r="T267" s="99">
        <f>SUMIF(Import!$B:$B,$A267,Import!N:N)</f>
        <v>0</v>
      </c>
      <c r="U267" s="99">
        <f t="shared" si="230"/>
        <v>0</v>
      </c>
      <c r="V267" s="255" t="str">
        <f t="shared" si="231"/>
        <v>N/A</v>
      </c>
      <c r="W267" s="102" t="s">
        <v>1365</v>
      </c>
      <c r="X267" s="103" t="str">
        <f t="shared" si="217"/>
        <v>OK</v>
      </c>
      <c r="Y267" s="271"/>
      <c r="Z267" s="121"/>
      <c r="AA267" s="121"/>
      <c r="AB267" s="121"/>
      <c r="AC267" s="121"/>
      <c r="AD267" s="121"/>
      <c r="AE267" s="121"/>
      <c r="AF267" s="121"/>
      <c r="AG267" s="121"/>
      <c r="AH267" s="121"/>
      <c r="AI267" s="121"/>
      <c r="AJ267" s="121"/>
      <c r="AK267" s="121"/>
      <c r="AL267" s="121"/>
    </row>
    <row r="268" spans="1:38" s="115" customFormat="1" ht="15" customHeight="1">
      <c r="A268" s="555" t="s">
        <v>1366</v>
      </c>
      <c r="B268" s="217" t="str">
        <f t="shared" si="218"/>
        <v>200</v>
      </c>
      <c r="C268" s="217" t="str">
        <f t="shared" si="219"/>
        <v>73</v>
      </c>
      <c r="D268" s="101" t="str">
        <f t="shared" si="220"/>
        <v>735</v>
      </c>
      <c r="E268" s="217" t="str">
        <f t="shared" si="221"/>
        <v>200-73-735</v>
      </c>
      <c r="F268" s="294" t="str">
        <f t="shared" si="222"/>
        <v>52440</v>
      </c>
      <c r="G268" s="295" t="str">
        <f>VLOOKUP(F268,'GL Category'!A:C,3,FALSE)</f>
        <v>Operations &amp; maintenance</v>
      </c>
      <c r="H268" s="98" t="str">
        <f>VLOOKUP(F268,'GL Category'!A:C,2,FALSE)</f>
        <v>RADIO MAINTENANCE</v>
      </c>
      <c r="I268" s="99">
        <f>SUMIF(Import!$B:$B,$A268,Import!D:D)</f>
        <v>13546.39</v>
      </c>
      <c r="J268" s="99">
        <f>SUMIF(Import!$B:$B,$A268,Import!E:E)</f>
        <v>1535.01</v>
      </c>
      <c r="K268" s="99">
        <f>SUMIF(Import!$B:$B,$A268,Import!F:F)</f>
        <v>1386.7</v>
      </c>
      <c r="L268" s="99">
        <f>SUMIF(Import!$B:$B,$A268,Import!G:G)</f>
        <v>1407.1</v>
      </c>
      <c r="M268" s="99">
        <f>SUMIF(Import!$B:$B,$A268,Import!H:H)</f>
        <v>1000</v>
      </c>
      <c r="N268" s="99">
        <f>SUMIF(Import!$B:$B,$A268,Import!I:I)</f>
        <v>1427.51</v>
      </c>
      <c r="O268" s="99">
        <f>SUMIF(Import!$B:$B,$A268,Import!J:J)</f>
        <v>1000</v>
      </c>
      <c r="P268" s="99">
        <f t="shared" si="229"/>
        <v>0</v>
      </c>
      <c r="Q268" s="99">
        <f>SUMIF(Import!$B:$B,$A268,Import!K:K)</f>
        <v>1000</v>
      </c>
      <c r="R268" s="99">
        <f>SUMIF(Import!$B:$B,$A268,Import!L:L)</f>
        <v>0</v>
      </c>
      <c r="S268" s="99">
        <f>SUMIF(Import!$B:$B,$A268,Import!M:M)</f>
        <v>0</v>
      </c>
      <c r="T268" s="99">
        <f>SUMIF(Import!$B:$B,$A268,Import!N:N)</f>
        <v>1000</v>
      </c>
      <c r="U268" s="99">
        <f t="shared" si="230"/>
        <v>0</v>
      </c>
      <c r="V268" s="255">
        <f t="shared" si="231"/>
        <v>0</v>
      </c>
      <c r="W268" s="102" t="s">
        <v>1366</v>
      </c>
      <c r="X268" s="103" t="str">
        <f t="shared" si="217"/>
        <v>OK</v>
      </c>
      <c r="Y268" s="271"/>
      <c r="Z268" s="121"/>
      <c r="AA268" s="121"/>
      <c r="AB268" s="121"/>
      <c r="AC268" s="121"/>
      <c r="AD268" s="121"/>
      <c r="AE268" s="121"/>
      <c r="AF268" s="121"/>
      <c r="AG268" s="121"/>
      <c r="AH268" s="121"/>
      <c r="AI268" s="121"/>
      <c r="AJ268" s="121"/>
      <c r="AK268" s="121"/>
      <c r="AL268" s="121"/>
    </row>
    <row r="269" spans="1:38" s="115" customFormat="1" ht="15" customHeight="1">
      <c r="A269" s="555" t="s">
        <v>1367</v>
      </c>
      <c r="B269" s="217" t="str">
        <f t="shared" si="218"/>
        <v>200</v>
      </c>
      <c r="C269" s="217" t="str">
        <f t="shared" si="219"/>
        <v>73</v>
      </c>
      <c r="D269" s="101" t="str">
        <f t="shared" si="220"/>
        <v>735</v>
      </c>
      <c r="E269" s="217" t="str">
        <f t="shared" si="221"/>
        <v>200-73-735</v>
      </c>
      <c r="F269" s="294" t="str">
        <f t="shared" si="222"/>
        <v>52460</v>
      </c>
      <c r="G269" s="295" t="str">
        <f>VLOOKUP(F269,'GL Category'!A:C,3,FALSE)</f>
        <v>Operations &amp; maintenance</v>
      </c>
      <c r="H269" s="98" t="str">
        <f>VLOOKUP(F269,'GL Category'!A:C,2,FALSE)</f>
        <v>VEHICLE MAINTENANCE</v>
      </c>
      <c r="I269" s="99">
        <f>SUMIF(Import!$B:$B,$A269,Import!D:D)</f>
        <v>28000.79</v>
      </c>
      <c r="J269" s="99">
        <f>SUMIF(Import!$B:$B,$A269,Import!E:E)</f>
        <v>15058.4</v>
      </c>
      <c r="K269" s="99">
        <f>SUMIF(Import!$B:$B,$A269,Import!F:F)</f>
        <v>6751.66</v>
      </c>
      <c r="L269" s="99">
        <f>SUMIF(Import!$B:$B,$A269,Import!G:G)</f>
        <v>19257.53</v>
      </c>
      <c r="M269" s="99">
        <f>SUMIF(Import!$B:$B,$A269,Import!H:H)</f>
        <v>25000</v>
      </c>
      <c r="N269" s="99">
        <f>SUMIF(Import!$B:$B,$A269,Import!I:I)</f>
        <v>8280.7099999999991</v>
      </c>
      <c r="O269" s="99">
        <f>SUMIF(Import!$B:$B,$A269,Import!J:J)</f>
        <v>20000</v>
      </c>
      <c r="P269" s="99">
        <f t="shared" si="229"/>
        <v>-5000</v>
      </c>
      <c r="Q269" s="99">
        <f>SUMIF(Import!$B:$B,$A269,Import!K:K)</f>
        <v>22000</v>
      </c>
      <c r="R269" s="99">
        <f>SUMIF(Import!$B:$B,$A269,Import!L:L)</f>
        <v>0</v>
      </c>
      <c r="S269" s="99">
        <f>SUMIF(Import!$B:$B,$A269,Import!M:M)</f>
        <v>0</v>
      </c>
      <c r="T269" s="99">
        <f>SUMIF(Import!$B:$B,$A269,Import!N:N)</f>
        <v>22000</v>
      </c>
      <c r="U269" s="99">
        <f t="shared" si="230"/>
        <v>-3000</v>
      </c>
      <c r="V269" s="255">
        <f t="shared" si="231"/>
        <v>-0.12</v>
      </c>
      <c r="W269" s="102" t="s">
        <v>1367</v>
      </c>
      <c r="X269" s="103" t="str">
        <f t="shared" si="217"/>
        <v>OK</v>
      </c>
      <c r="Y269" s="271"/>
      <c r="Z269" s="121"/>
      <c r="AA269" s="121"/>
      <c r="AB269" s="121"/>
      <c r="AC269" s="121"/>
      <c r="AD269" s="121"/>
      <c r="AE269" s="121"/>
      <c r="AF269" s="121"/>
      <c r="AG269" s="121"/>
      <c r="AH269" s="121"/>
      <c r="AI269" s="121"/>
      <c r="AJ269" s="121"/>
      <c r="AK269" s="121"/>
      <c r="AL269" s="121"/>
    </row>
    <row r="270" spans="1:38" s="115" customFormat="1" ht="15" customHeight="1">
      <c r="A270" s="555" t="s">
        <v>1368</v>
      </c>
      <c r="B270" s="217" t="str">
        <f t="shared" si="218"/>
        <v>200</v>
      </c>
      <c r="C270" s="217" t="str">
        <f t="shared" si="219"/>
        <v>73</v>
      </c>
      <c r="D270" s="101" t="str">
        <f t="shared" si="220"/>
        <v>735</v>
      </c>
      <c r="E270" s="217" t="str">
        <f t="shared" si="221"/>
        <v>200-73-735</v>
      </c>
      <c r="F270" s="294" t="str">
        <f t="shared" si="222"/>
        <v>52470</v>
      </c>
      <c r="G270" s="295" t="str">
        <f>VLOOKUP(F270,'GL Category'!A:C,3,FALSE)</f>
        <v>Operations &amp; maintenance</v>
      </c>
      <c r="H270" s="98" t="str">
        <f>VLOOKUP(F270,'GL Category'!A:C,2,FALSE)</f>
        <v>EQUIPMENT MAINTENANCE</v>
      </c>
      <c r="I270" s="99">
        <f>SUMIF(Import!$B:$B,$A270,Import!D:D)</f>
        <v>17283.07</v>
      </c>
      <c r="J270" s="99">
        <f>SUMIF(Import!$B:$B,$A270,Import!E:E)</f>
        <v>9962.57</v>
      </c>
      <c r="K270" s="99">
        <f>SUMIF(Import!$B:$B,$A270,Import!F:F)</f>
        <v>14593.92</v>
      </c>
      <c r="L270" s="99">
        <f>SUMIF(Import!$B:$B,$A270,Import!G:G)</f>
        <v>9879.17</v>
      </c>
      <c r="M270" s="99">
        <f>SUMIF(Import!$B:$B,$A270,Import!H:H)</f>
        <v>20000</v>
      </c>
      <c r="N270" s="99">
        <f>SUMIF(Import!$B:$B,$A270,Import!I:I)</f>
        <v>15255.61</v>
      </c>
      <c r="O270" s="99">
        <f>SUMIF(Import!$B:$B,$A270,Import!J:J)</f>
        <v>20000</v>
      </c>
      <c r="P270" s="99">
        <f t="shared" si="229"/>
        <v>0</v>
      </c>
      <c r="Q270" s="99">
        <f>SUMIF(Import!$B:$B,$A270,Import!K:K)</f>
        <v>18000</v>
      </c>
      <c r="R270" s="99">
        <f>SUMIF(Import!$B:$B,$A270,Import!L:L)</f>
        <v>0</v>
      </c>
      <c r="S270" s="99">
        <f>SUMIF(Import!$B:$B,$A270,Import!M:M)</f>
        <v>0</v>
      </c>
      <c r="T270" s="99">
        <f>SUMIF(Import!$B:$B,$A270,Import!N:N)</f>
        <v>18000</v>
      </c>
      <c r="U270" s="99">
        <f t="shared" si="230"/>
        <v>-2000</v>
      </c>
      <c r="V270" s="255">
        <f t="shared" si="231"/>
        <v>-9.9999999999999978E-2</v>
      </c>
      <c r="W270" s="102" t="s">
        <v>1368</v>
      </c>
      <c r="X270" s="103" t="str">
        <f t="shared" si="217"/>
        <v>OK</v>
      </c>
      <c r="Y270" s="271"/>
      <c r="Z270" s="121"/>
      <c r="AA270" s="121"/>
      <c r="AB270" s="121"/>
      <c r="AC270" s="121"/>
      <c r="AD270" s="121"/>
      <c r="AE270" s="121"/>
      <c r="AF270" s="121"/>
      <c r="AG270" s="121"/>
      <c r="AH270" s="121"/>
      <c r="AI270" s="121"/>
      <c r="AJ270" s="121"/>
      <c r="AK270" s="121"/>
      <c r="AL270" s="121"/>
    </row>
    <row r="271" spans="1:38" s="115" customFormat="1" ht="15" customHeight="1">
      <c r="A271" s="555" t="s">
        <v>1369</v>
      </c>
      <c r="B271" s="217" t="str">
        <f t="shared" si="218"/>
        <v>200</v>
      </c>
      <c r="C271" s="217" t="str">
        <f t="shared" si="219"/>
        <v>73</v>
      </c>
      <c r="D271" s="101" t="str">
        <f t="shared" si="220"/>
        <v>735</v>
      </c>
      <c r="E271" s="217" t="str">
        <f t="shared" si="221"/>
        <v>200-73-735</v>
      </c>
      <c r="F271" s="294" t="str">
        <f t="shared" si="222"/>
        <v>52480</v>
      </c>
      <c r="G271" s="295" t="str">
        <f>VLOOKUP(F271,'GL Category'!A:C,3,FALSE)</f>
        <v>Operations &amp; maintenance</v>
      </c>
      <c r="H271" s="98" t="str">
        <f>VLOOKUP(F271,'GL Category'!A:C,2,FALSE)</f>
        <v>OFFICE EQUIPMENT MAINTENANCE</v>
      </c>
      <c r="I271" s="99">
        <f>SUMIF(Import!$B:$B,$A271,Import!D:D)</f>
        <v>0</v>
      </c>
      <c r="J271" s="99">
        <f>SUMIF(Import!$B:$B,$A271,Import!E:E)</f>
        <v>0</v>
      </c>
      <c r="K271" s="99">
        <f>SUMIF(Import!$B:$B,$A271,Import!F:F)</f>
        <v>0</v>
      </c>
      <c r="L271" s="99">
        <f>SUMIF(Import!$B:$B,$A271,Import!G:G)</f>
        <v>0</v>
      </c>
      <c r="M271" s="99">
        <f>SUMIF(Import!$B:$B,$A271,Import!H:H)</f>
        <v>0</v>
      </c>
      <c r="N271" s="99">
        <f>SUMIF(Import!$B:$B,$A271,Import!I:I)</f>
        <v>0</v>
      </c>
      <c r="O271" s="99">
        <f>SUMIF(Import!$B:$B,$A271,Import!J:J)</f>
        <v>0</v>
      </c>
      <c r="P271" s="99">
        <f t="shared" si="229"/>
        <v>0</v>
      </c>
      <c r="Q271" s="99">
        <f>SUMIF(Import!$B:$B,$A271,Import!K:K)</f>
        <v>0</v>
      </c>
      <c r="R271" s="99">
        <f>SUMIF(Import!$B:$B,$A271,Import!L:L)</f>
        <v>0</v>
      </c>
      <c r="S271" s="99">
        <f>SUMIF(Import!$B:$B,$A271,Import!M:M)</f>
        <v>0</v>
      </c>
      <c r="T271" s="99">
        <f>SUMIF(Import!$B:$B,$A271,Import!N:N)</f>
        <v>0</v>
      </c>
      <c r="U271" s="99">
        <f t="shared" si="230"/>
        <v>0</v>
      </c>
      <c r="V271" s="255" t="str">
        <f t="shared" si="231"/>
        <v>N/A</v>
      </c>
      <c r="W271" s="102" t="s">
        <v>1369</v>
      </c>
      <c r="X271" s="103" t="str">
        <f t="shared" si="217"/>
        <v>OK</v>
      </c>
      <c r="Y271" s="271"/>
      <c r="Z271" s="121"/>
      <c r="AA271" s="121"/>
      <c r="AB271" s="121"/>
      <c r="AC271" s="121"/>
      <c r="AD271" s="121"/>
      <c r="AE271" s="121"/>
      <c r="AF271" s="121"/>
      <c r="AG271" s="121"/>
      <c r="AH271" s="121"/>
      <c r="AI271" s="121"/>
      <c r="AJ271" s="121"/>
      <c r="AK271" s="121"/>
      <c r="AL271" s="121"/>
    </row>
    <row r="272" spans="1:38" s="115" customFormat="1" ht="26.4">
      <c r="A272" s="555"/>
      <c r="B272" s="217"/>
      <c r="C272" s="217"/>
      <c r="D272" s="101"/>
      <c r="E272" s="217"/>
      <c r="F272" s="294"/>
      <c r="G272" s="146"/>
      <c r="H272" s="107" t="str">
        <f>UPPER(G271)&amp;" TOTAL"</f>
        <v>OPERATIONS &amp; MAINTENANCE TOTAL</v>
      </c>
      <c r="I272" s="108">
        <f t="shared" ref="I272" si="232">SUBTOTAL(9,I254:I271)</f>
        <v>211250.55000000002</v>
      </c>
      <c r="J272" s="108">
        <f t="shared" ref="J272:T272" si="233">SUBTOTAL(9,J254:J271)</f>
        <v>269683.57999999996</v>
      </c>
      <c r="K272" s="108">
        <f t="shared" ref="K272" si="234">SUBTOTAL(9,K254:K271)</f>
        <v>493855.01999999996</v>
      </c>
      <c r="L272" s="108">
        <f t="shared" ref="L272" si="235">SUBTOTAL(9,L254:L271)</f>
        <v>512277.71999999991</v>
      </c>
      <c r="M272" s="108">
        <f t="shared" si="233"/>
        <v>303530</v>
      </c>
      <c r="N272" s="108">
        <f t="shared" ref="N272" si="236">SUBTOTAL(9,N254:N271)</f>
        <v>280293.38</v>
      </c>
      <c r="O272" s="108">
        <f t="shared" si="233"/>
        <v>481330</v>
      </c>
      <c r="P272" s="108">
        <f t="shared" si="233"/>
        <v>177800</v>
      </c>
      <c r="Q272" s="108">
        <f t="shared" si="233"/>
        <v>311830</v>
      </c>
      <c r="R272" s="108">
        <f t="shared" si="233"/>
        <v>0</v>
      </c>
      <c r="S272" s="108">
        <f t="shared" si="233"/>
        <v>0</v>
      </c>
      <c r="T272" s="108">
        <f t="shared" si="233"/>
        <v>311830</v>
      </c>
      <c r="U272" s="99">
        <f>T272-M272</f>
        <v>8300</v>
      </c>
      <c r="V272" s="259">
        <f>IF(M272=0,"N/A",T272/M272-1)</f>
        <v>2.7344908246301758E-2</v>
      </c>
      <c r="W272" s="102"/>
      <c r="X272" s="103" t="str">
        <f t="shared" si="217"/>
        <v>OK</v>
      </c>
      <c r="Y272" s="271"/>
      <c r="Z272" s="121"/>
      <c r="AA272" s="121"/>
      <c r="AB272" s="121"/>
      <c r="AC272" s="121"/>
      <c r="AD272" s="121"/>
      <c r="AE272" s="121"/>
      <c r="AF272" s="121"/>
      <c r="AG272" s="121"/>
      <c r="AH272" s="121"/>
      <c r="AI272" s="121"/>
      <c r="AJ272" s="121"/>
      <c r="AK272" s="121"/>
      <c r="AL272" s="121"/>
    </row>
    <row r="273" spans="1:38" s="115" customFormat="1">
      <c r="A273" s="555"/>
      <c r="B273" s="217"/>
      <c r="C273" s="217"/>
      <c r="D273" s="101"/>
      <c r="E273" s="217"/>
      <c r="F273" s="294"/>
      <c r="G273" s="146"/>
      <c r="H273" s="98"/>
      <c r="I273" s="106"/>
      <c r="J273" s="106"/>
      <c r="K273" s="106"/>
      <c r="L273" s="106"/>
      <c r="M273" s="106"/>
      <c r="N273" s="110"/>
      <c r="O273" s="110"/>
      <c r="P273" s="110"/>
      <c r="Q273" s="111"/>
      <c r="R273" s="111"/>
      <c r="S273" s="111"/>
      <c r="T273" s="111"/>
      <c r="U273" s="111"/>
      <c r="V273" s="111"/>
      <c r="W273" s="102"/>
      <c r="X273" s="103" t="str">
        <f t="shared" si="217"/>
        <v/>
      </c>
      <c r="Y273" s="271"/>
      <c r="Z273" s="121"/>
      <c r="AA273" s="121"/>
      <c r="AB273" s="121"/>
      <c r="AC273" s="121"/>
      <c r="AD273" s="121"/>
      <c r="AE273" s="121"/>
      <c r="AF273" s="121"/>
      <c r="AG273" s="121"/>
      <c r="AH273" s="121"/>
      <c r="AI273" s="121"/>
      <c r="AJ273" s="121"/>
      <c r="AK273" s="121"/>
      <c r="AL273" s="121"/>
    </row>
    <row r="274" spans="1:38" s="115" customFormat="1">
      <c r="A274" s="555" t="s">
        <v>1371</v>
      </c>
      <c r="B274" s="217" t="str">
        <f t="shared" si="218"/>
        <v>200</v>
      </c>
      <c r="C274" s="217" t="str">
        <f t="shared" si="219"/>
        <v>73</v>
      </c>
      <c r="D274" s="101" t="str">
        <f t="shared" si="220"/>
        <v>735</v>
      </c>
      <c r="E274" s="217" t="str">
        <f t="shared" si="221"/>
        <v>200-73-735</v>
      </c>
      <c r="F274" s="294" t="str">
        <f t="shared" si="222"/>
        <v>53510</v>
      </c>
      <c r="G274" s="295" t="str">
        <f>VLOOKUP(F274,'GL Category'!A:C,3,FALSE)</f>
        <v>Services &amp; other</v>
      </c>
      <c r="H274" s="98" t="str">
        <f>VLOOKUP(F274,'GL Category'!A:C,2,FALSE)</f>
        <v>DUES &amp; SUBSCRIPTIONS</v>
      </c>
      <c r="I274" s="99">
        <f>SUMIF(Import!$B:$B,$A274,Import!D:D)</f>
        <v>184</v>
      </c>
      <c r="J274" s="99">
        <f>SUMIF(Import!$B:$B,$A274,Import!E:E)</f>
        <v>182</v>
      </c>
      <c r="K274" s="99">
        <f>SUMIF(Import!$B:$B,$A274,Import!F:F)</f>
        <v>362</v>
      </c>
      <c r="L274" s="99">
        <f>SUMIF(Import!$B:$B,$A274,Import!G:G)</f>
        <v>396</v>
      </c>
      <c r="M274" s="99">
        <f>SUMIF(Import!$B:$B,$A274,Import!H:H)</f>
        <v>500</v>
      </c>
      <c r="N274" s="99">
        <f>SUMIF(Import!$B:$B,$A274,Import!I:I)</f>
        <v>97</v>
      </c>
      <c r="O274" s="99">
        <f>SUMIF(Import!$B:$B,$A274,Import!J:J)</f>
        <v>500</v>
      </c>
      <c r="P274" s="99">
        <f t="shared" ref="P274:P282" si="237">O274-M274</f>
        <v>0</v>
      </c>
      <c r="Q274" s="99">
        <f>SUMIF(Import!$B:$B,$A274,Import!K:K)</f>
        <v>500</v>
      </c>
      <c r="R274" s="99">
        <f>SUMIF(Import!$B:$B,$A274,Import!L:L)</f>
        <v>0</v>
      </c>
      <c r="S274" s="99">
        <f>SUMIF(Import!$B:$B,$A274,Import!M:M)</f>
        <v>0</v>
      </c>
      <c r="T274" s="99">
        <f>SUMIF(Import!$B:$B,$A274,Import!N:N)</f>
        <v>500</v>
      </c>
      <c r="U274" s="99">
        <f t="shared" ref="U274:U282" si="238">T274-M274</f>
        <v>0</v>
      </c>
      <c r="V274" s="255">
        <f t="shared" ref="V274:V282" si="239">IF(M274=0,"N/A",T274/M274-1)</f>
        <v>0</v>
      </c>
      <c r="W274" s="102" t="s">
        <v>1371</v>
      </c>
      <c r="X274" s="103" t="str">
        <f t="shared" si="217"/>
        <v>OK</v>
      </c>
      <c r="Y274" s="271"/>
      <c r="Z274" s="121"/>
      <c r="AA274" s="121"/>
      <c r="AB274" s="121"/>
      <c r="AC274" s="121"/>
      <c r="AD274" s="121"/>
      <c r="AE274" s="121"/>
      <c r="AF274" s="121"/>
      <c r="AG274" s="121"/>
      <c r="AH274" s="121"/>
      <c r="AI274" s="121"/>
      <c r="AJ274" s="121"/>
      <c r="AK274" s="121"/>
      <c r="AL274" s="121"/>
    </row>
    <row r="275" spans="1:38" s="115" customFormat="1">
      <c r="A275" s="555" t="s">
        <v>1372</v>
      </c>
      <c r="B275" s="217" t="str">
        <f t="shared" si="218"/>
        <v>200</v>
      </c>
      <c r="C275" s="217" t="str">
        <f t="shared" si="219"/>
        <v>73</v>
      </c>
      <c r="D275" s="101" t="str">
        <f t="shared" si="220"/>
        <v>735</v>
      </c>
      <c r="E275" s="217" t="str">
        <f t="shared" si="221"/>
        <v>200-73-735</v>
      </c>
      <c r="F275" s="294" t="str">
        <f t="shared" si="222"/>
        <v>53515</v>
      </c>
      <c r="G275" s="295" t="str">
        <f>VLOOKUP(F275,'GL Category'!A:C,3,FALSE)</f>
        <v>Services &amp; other</v>
      </c>
      <c r="H275" s="98" t="str">
        <f>VLOOKUP(F275,'GL Category'!A:C,2,FALSE)</f>
        <v>TRAVEL, TRAINING &amp; EDUCATION</v>
      </c>
      <c r="I275" s="99">
        <f>SUMIF(Import!$B:$B,$A275,Import!D:D)</f>
        <v>1327.74</v>
      </c>
      <c r="J275" s="99">
        <f>SUMIF(Import!$B:$B,$A275,Import!E:E)</f>
        <v>1994.25</v>
      </c>
      <c r="K275" s="99">
        <f>SUMIF(Import!$B:$B,$A275,Import!F:F)</f>
        <v>5748.76</v>
      </c>
      <c r="L275" s="99">
        <f>SUMIF(Import!$B:$B,$A275,Import!G:G)</f>
        <v>7386.6</v>
      </c>
      <c r="M275" s="99">
        <f>SUMIF(Import!$B:$B,$A275,Import!H:H)</f>
        <v>9500</v>
      </c>
      <c r="N275" s="99">
        <f>SUMIF(Import!$B:$B,$A275,Import!I:I)</f>
        <v>2070</v>
      </c>
      <c r="O275" s="99">
        <f>SUMIF(Import!$B:$B,$A275,Import!J:J)</f>
        <v>7500</v>
      </c>
      <c r="P275" s="99">
        <f t="shared" si="237"/>
        <v>-2000</v>
      </c>
      <c r="Q275" s="99">
        <f>SUMIF(Import!$B:$B,$A275,Import!K:K)</f>
        <v>7500</v>
      </c>
      <c r="R275" s="99">
        <f>SUMIF(Import!$B:$B,$A275,Import!L:L)</f>
        <v>0</v>
      </c>
      <c r="S275" s="99">
        <f>SUMIF(Import!$B:$B,$A275,Import!M:M)</f>
        <v>0</v>
      </c>
      <c r="T275" s="99">
        <f>SUMIF(Import!$B:$B,$A275,Import!N:N)</f>
        <v>7500</v>
      </c>
      <c r="U275" s="99">
        <f t="shared" si="238"/>
        <v>-2000</v>
      </c>
      <c r="V275" s="255">
        <f t="shared" si="239"/>
        <v>-0.21052631578947367</v>
      </c>
      <c r="W275" s="102" t="s">
        <v>1372</v>
      </c>
      <c r="X275" s="103" t="str">
        <f t="shared" si="217"/>
        <v>OK</v>
      </c>
      <c r="Y275" s="271"/>
      <c r="Z275" s="121"/>
      <c r="AA275" s="121"/>
      <c r="AB275" s="121"/>
      <c r="AC275" s="121"/>
      <c r="AD275" s="121"/>
      <c r="AE275" s="121"/>
      <c r="AF275" s="121"/>
      <c r="AG275" s="121"/>
      <c r="AH275" s="121"/>
      <c r="AI275" s="121"/>
      <c r="AJ275" s="121"/>
      <c r="AK275" s="121"/>
      <c r="AL275" s="121"/>
    </row>
    <row r="276" spans="1:38" s="115" customFormat="1">
      <c r="A276" s="555" t="s">
        <v>1373</v>
      </c>
      <c r="B276" s="217" t="str">
        <f t="shared" si="218"/>
        <v>200</v>
      </c>
      <c r="C276" s="217" t="str">
        <f t="shared" si="219"/>
        <v>73</v>
      </c>
      <c r="D276" s="101" t="str">
        <f t="shared" si="220"/>
        <v>735</v>
      </c>
      <c r="E276" s="217" t="str">
        <f t="shared" si="221"/>
        <v>200-73-735</v>
      </c>
      <c r="F276" s="294" t="str">
        <f t="shared" si="222"/>
        <v>53524</v>
      </c>
      <c r="G276" s="295" t="str">
        <f>VLOOKUP(F276,'GL Category'!A:C,3,FALSE)</f>
        <v>Services &amp; other</v>
      </c>
      <c r="H276" s="98" t="str">
        <f>VLOOKUP(F276,'GL Category'!A:C,2,FALSE)</f>
        <v>EQUIPMENT RENTAL</v>
      </c>
      <c r="I276" s="99">
        <f>SUMIF(Import!$B:$B,$A276,Import!D:D)</f>
        <v>2538.86</v>
      </c>
      <c r="J276" s="99">
        <f>SUMIF(Import!$B:$B,$A276,Import!E:E)</f>
        <v>2819.15</v>
      </c>
      <c r="K276" s="99">
        <f>SUMIF(Import!$B:$B,$A276,Import!F:F)</f>
        <v>504.57</v>
      </c>
      <c r="L276" s="99">
        <f>SUMIF(Import!$B:$B,$A276,Import!G:G)</f>
        <v>1535.29</v>
      </c>
      <c r="M276" s="99">
        <f>SUMIF(Import!$B:$B,$A276,Import!H:H)</f>
        <v>4500</v>
      </c>
      <c r="N276" s="99">
        <f>SUMIF(Import!$B:$B,$A276,Import!I:I)</f>
        <v>1485.75</v>
      </c>
      <c r="O276" s="99">
        <f>SUMIF(Import!$B:$B,$A276,Import!J:J)</f>
        <v>3000</v>
      </c>
      <c r="P276" s="99">
        <f t="shared" si="237"/>
        <v>-1500</v>
      </c>
      <c r="Q276" s="99">
        <f>SUMIF(Import!$B:$B,$A276,Import!K:K)</f>
        <v>3500</v>
      </c>
      <c r="R276" s="99">
        <f>SUMIF(Import!$B:$B,$A276,Import!L:L)</f>
        <v>0</v>
      </c>
      <c r="S276" s="99">
        <f>SUMIF(Import!$B:$B,$A276,Import!M:M)</f>
        <v>0</v>
      </c>
      <c r="T276" s="99">
        <f>SUMIF(Import!$B:$B,$A276,Import!N:N)</f>
        <v>3500</v>
      </c>
      <c r="U276" s="99">
        <f t="shared" si="238"/>
        <v>-1000</v>
      </c>
      <c r="V276" s="255">
        <f t="shared" si="239"/>
        <v>-0.22222222222222221</v>
      </c>
      <c r="W276" s="102" t="s">
        <v>1373</v>
      </c>
      <c r="X276" s="103" t="str">
        <f t="shared" ref="X276:X299" si="240">IF(Q276="","",IF(T276=SUM(Q276:S276),"OK","NO"))</f>
        <v>OK</v>
      </c>
      <c r="Y276" s="271"/>
      <c r="Z276" s="121"/>
      <c r="AA276" s="121"/>
      <c r="AB276" s="121"/>
      <c r="AC276" s="121"/>
      <c r="AD276" s="121"/>
      <c r="AE276" s="121"/>
      <c r="AF276" s="121"/>
      <c r="AG276" s="121"/>
      <c r="AH276" s="121"/>
      <c r="AI276" s="121"/>
      <c r="AJ276" s="121"/>
      <c r="AK276" s="121"/>
      <c r="AL276" s="121"/>
    </row>
    <row r="277" spans="1:38" s="115" customFormat="1">
      <c r="A277" s="555" t="s">
        <v>1374</v>
      </c>
      <c r="B277" s="217" t="str">
        <f t="shared" si="218"/>
        <v>200</v>
      </c>
      <c r="C277" s="217" t="str">
        <f t="shared" si="219"/>
        <v>73</v>
      </c>
      <c r="D277" s="101" t="str">
        <f t="shared" si="220"/>
        <v>735</v>
      </c>
      <c r="E277" s="217" t="str">
        <f t="shared" si="221"/>
        <v>200-73-735</v>
      </c>
      <c r="F277" s="294" t="str">
        <f t="shared" si="222"/>
        <v>53530</v>
      </c>
      <c r="G277" s="295" t="str">
        <f>VLOOKUP(F277,'GL Category'!A:C,3,FALSE)</f>
        <v>Services &amp; other</v>
      </c>
      <c r="H277" s="98" t="str">
        <f>VLOOKUP(F277,'GL Category'!A:C,2,FALSE)</f>
        <v>DEBRIS &amp; WASTE DISPOSAL SVCS</v>
      </c>
      <c r="I277" s="99">
        <f>SUMIF(Import!$B:$B,$A277,Import!D:D)</f>
        <v>540</v>
      </c>
      <c r="J277" s="99">
        <f>SUMIF(Import!$B:$B,$A277,Import!E:E)</f>
        <v>0</v>
      </c>
      <c r="K277" s="99">
        <f>SUMIF(Import!$B:$B,$A277,Import!F:F)</f>
        <v>0</v>
      </c>
      <c r="L277" s="99">
        <f>SUMIF(Import!$B:$B,$A277,Import!G:G)</f>
        <v>4036.99</v>
      </c>
      <c r="M277" s="99">
        <f>SUMIF(Import!$B:$B,$A277,Import!H:H)</f>
        <v>0</v>
      </c>
      <c r="N277" s="99">
        <f>SUMIF(Import!$B:$B,$A277,Import!I:I)</f>
        <v>0</v>
      </c>
      <c r="O277" s="99">
        <f>SUMIF(Import!$B:$B,$A277,Import!J:J)</f>
        <v>0</v>
      </c>
      <c r="P277" s="99">
        <f t="shared" si="237"/>
        <v>0</v>
      </c>
      <c r="Q277" s="99">
        <f>SUMIF(Import!$B:$B,$A277,Import!K:K)</f>
        <v>0</v>
      </c>
      <c r="R277" s="99">
        <f>SUMIF(Import!$B:$B,$A277,Import!L:L)</f>
        <v>0</v>
      </c>
      <c r="S277" s="99">
        <f>SUMIF(Import!$B:$B,$A277,Import!M:M)</f>
        <v>0</v>
      </c>
      <c r="T277" s="99">
        <f>SUMIF(Import!$B:$B,$A277,Import!N:N)</f>
        <v>0</v>
      </c>
      <c r="U277" s="99">
        <f t="shared" si="238"/>
        <v>0</v>
      </c>
      <c r="V277" s="255" t="str">
        <f t="shared" si="239"/>
        <v>N/A</v>
      </c>
      <c r="W277" s="102" t="s">
        <v>1374</v>
      </c>
      <c r="X277" s="103" t="str">
        <f t="shared" si="240"/>
        <v>OK</v>
      </c>
      <c r="Y277" s="271"/>
      <c r="Z277" s="121"/>
      <c r="AA277" s="121"/>
      <c r="AB277" s="121"/>
      <c r="AC277" s="121"/>
      <c r="AD277" s="121"/>
      <c r="AE277" s="121"/>
      <c r="AF277" s="121"/>
      <c r="AG277" s="121"/>
      <c r="AH277" s="121"/>
      <c r="AI277" s="121"/>
      <c r="AJ277" s="121"/>
      <c r="AK277" s="121"/>
      <c r="AL277" s="121"/>
    </row>
    <row r="278" spans="1:38" s="115" customFormat="1">
      <c r="A278" s="555" t="s">
        <v>1375</v>
      </c>
      <c r="B278" s="217" t="str">
        <f t="shared" si="218"/>
        <v>200</v>
      </c>
      <c r="C278" s="217" t="str">
        <f t="shared" si="219"/>
        <v>73</v>
      </c>
      <c r="D278" s="101" t="str">
        <f t="shared" si="220"/>
        <v>735</v>
      </c>
      <c r="E278" s="217" t="str">
        <f t="shared" si="221"/>
        <v>200-73-735</v>
      </c>
      <c r="F278" s="294" t="str">
        <f t="shared" si="222"/>
        <v>53526</v>
      </c>
      <c r="G278" s="295" t="str">
        <f>VLOOKUP(F278,'GL Category'!A:C,3,FALSE)</f>
        <v>Services &amp; other</v>
      </c>
      <c r="H278" s="98" t="str">
        <f>VLOOKUP(F278,'GL Category'!A:C,2,FALSE)</f>
        <v>LABORATORY SERVICES</v>
      </c>
      <c r="I278" s="99">
        <f>SUMIF(Import!$B:$B,$A278,Import!D:D)</f>
        <v>0</v>
      </c>
      <c r="J278" s="99">
        <f>SUMIF(Import!$B:$B,$A278,Import!E:E)</f>
        <v>0</v>
      </c>
      <c r="K278" s="99">
        <f>SUMIF(Import!$B:$B,$A278,Import!F:F)</f>
        <v>0</v>
      </c>
      <c r="L278" s="99">
        <f>SUMIF(Import!$B:$B,$A278,Import!G:G)</f>
        <v>0</v>
      </c>
      <c r="M278" s="99">
        <f>SUMIF(Import!$B:$B,$A278,Import!H:H)</f>
        <v>0</v>
      </c>
      <c r="N278" s="99">
        <f>SUMIF(Import!$B:$B,$A278,Import!I:I)</f>
        <v>0</v>
      </c>
      <c r="O278" s="99">
        <f>SUMIF(Import!$B:$B,$A278,Import!J:J)</f>
        <v>0</v>
      </c>
      <c r="P278" s="99">
        <f t="shared" si="237"/>
        <v>0</v>
      </c>
      <c r="Q278" s="99">
        <f>SUMIF(Import!$B:$B,$A278,Import!K:K)</f>
        <v>0</v>
      </c>
      <c r="R278" s="99">
        <f>SUMIF(Import!$B:$B,$A278,Import!L:L)</f>
        <v>0</v>
      </c>
      <c r="S278" s="99">
        <f>SUMIF(Import!$B:$B,$A278,Import!M:M)</f>
        <v>0</v>
      </c>
      <c r="T278" s="99">
        <f>SUMIF(Import!$B:$B,$A278,Import!N:N)</f>
        <v>0</v>
      </c>
      <c r="U278" s="99">
        <f t="shared" si="238"/>
        <v>0</v>
      </c>
      <c r="V278" s="255" t="str">
        <f t="shared" si="239"/>
        <v>N/A</v>
      </c>
      <c r="W278" s="102" t="s">
        <v>1375</v>
      </c>
      <c r="X278" s="103" t="str">
        <f t="shared" si="240"/>
        <v>OK</v>
      </c>
      <c r="Y278" s="271"/>
      <c r="Z278" s="121"/>
      <c r="AA278" s="121"/>
      <c r="AB278" s="121"/>
      <c r="AC278" s="121"/>
      <c r="AD278" s="121"/>
      <c r="AE278" s="121"/>
      <c r="AF278" s="121"/>
      <c r="AG278" s="121"/>
      <c r="AH278" s="121"/>
      <c r="AI278" s="121"/>
      <c r="AJ278" s="121"/>
      <c r="AK278" s="121"/>
      <c r="AL278" s="121"/>
    </row>
    <row r="279" spans="1:38" s="115" customFormat="1">
      <c r="A279" s="555" t="s">
        <v>1370</v>
      </c>
      <c r="B279" s="217" t="str">
        <f t="shared" si="218"/>
        <v>200</v>
      </c>
      <c r="C279" s="217" t="str">
        <f t="shared" si="219"/>
        <v>73</v>
      </c>
      <c r="D279" s="101" t="str">
        <f t="shared" si="220"/>
        <v>735</v>
      </c>
      <c r="E279" s="217" t="str">
        <f t="shared" si="221"/>
        <v>200-73-735</v>
      </c>
      <c r="F279" s="294" t="str">
        <f t="shared" si="222"/>
        <v>53599</v>
      </c>
      <c r="G279" s="295" t="str">
        <f>VLOOKUP(F279,'GL Category'!A:C,3,FALSE)</f>
        <v>Services &amp; other</v>
      </c>
      <c r="H279" s="98" t="str">
        <f>VLOOKUP(F279,'GL Category'!A:C,2,FALSE)</f>
        <v>MISCELLANEOUS SERVICES</v>
      </c>
      <c r="I279" s="99">
        <f>SUMIF(Import!$B:$B,$A279,Import!D:D)</f>
        <v>0</v>
      </c>
      <c r="J279" s="99">
        <f>SUMIF(Import!$B:$B,$A279,Import!E:E)</f>
        <v>8595.0400000000009</v>
      </c>
      <c r="K279" s="99">
        <f>SUMIF(Import!$B:$B,$A279,Import!F:F)</f>
        <v>1357.11</v>
      </c>
      <c r="L279" s="99">
        <f>SUMIF(Import!$B:$B,$A279,Import!G:G)</f>
        <v>0</v>
      </c>
      <c r="M279" s="99">
        <f>SUMIF(Import!$B:$B,$A279,Import!H:H)</f>
        <v>0</v>
      </c>
      <c r="N279" s="99">
        <f>SUMIF(Import!$B:$B,$A279,Import!I:I)</f>
        <v>0</v>
      </c>
      <c r="O279" s="99">
        <f>SUMIF(Import!$B:$B,$A279,Import!J:J)</f>
        <v>0</v>
      </c>
      <c r="P279" s="99">
        <f t="shared" si="237"/>
        <v>0</v>
      </c>
      <c r="Q279" s="99">
        <f>SUMIF(Import!$B:$B,$A279,Import!K:K)</f>
        <v>0</v>
      </c>
      <c r="R279" s="99">
        <f>SUMIF(Import!$B:$B,$A279,Import!L:L)</f>
        <v>0</v>
      </c>
      <c r="S279" s="99">
        <f>SUMIF(Import!$B:$B,$A279,Import!M:M)</f>
        <v>0</v>
      </c>
      <c r="T279" s="99">
        <f>SUMIF(Import!$B:$B,$A279,Import!N:N)</f>
        <v>0</v>
      </c>
      <c r="U279" s="99">
        <f t="shared" si="238"/>
        <v>0</v>
      </c>
      <c r="V279" s="255" t="str">
        <f t="shared" si="239"/>
        <v>N/A</v>
      </c>
      <c r="W279" s="102" t="s">
        <v>1370</v>
      </c>
      <c r="X279" s="103" t="str">
        <f t="shared" si="240"/>
        <v>OK</v>
      </c>
      <c r="Y279" s="271"/>
      <c r="Z279" s="121"/>
      <c r="AA279" s="121"/>
      <c r="AB279" s="121"/>
      <c r="AC279" s="121"/>
      <c r="AD279" s="121"/>
      <c r="AE279" s="121"/>
      <c r="AF279" s="121"/>
      <c r="AG279" s="121"/>
      <c r="AH279" s="121"/>
      <c r="AI279" s="121"/>
      <c r="AJ279" s="121"/>
      <c r="AK279" s="121"/>
      <c r="AL279" s="121"/>
    </row>
    <row r="280" spans="1:38" s="115" customFormat="1">
      <c r="A280" s="555" t="s">
        <v>1376</v>
      </c>
      <c r="B280" s="217" t="str">
        <f t="shared" si="218"/>
        <v>200</v>
      </c>
      <c r="C280" s="217" t="str">
        <f t="shared" si="219"/>
        <v>73</v>
      </c>
      <c r="D280" s="101" t="str">
        <f t="shared" si="220"/>
        <v>735</v>
      </c>
      <c r="E280" s="217" t="str">
        <f t="shared" si="221"/>
        <v>200-73-735</v>
      </c>
      <c r="F280" s="294" t="str">
        <f t="shared" si="222"/>
        <v>53577</v>
      </c>
      <c r="G280" s="295" t="str">
        <f>VLOOKUP(F280,'GL Category'!A:C,3,FALSE)</f>
        <v>Services &amp; other</v>
      </c>
      <c r="H280" s="98" t="str">
        <f>VLOOKUP(F280,'GL Category'!A:C,2,FALSE)</f>
        <v>TCEQ SERVICES</v>
      </c>
      <c r="I280" s="99">
        <f>SUMIF(Import!$B:$B,$A280,Import!D:D)</f>
        <v>38690.400000000001</v>
      </c>
      <c r="J280" s="99">
        <f>SUMIF(Import!$B:$B,$A280,Import!E:E)</f>
        <v>42953.4</v>
      </c>
      <c r="K280" s="99">
        <f>SUMIF(Import!$B:$B,$A280,Import!F:F)</f>
        <v>42953.4</v>
      </c>
      <c r="L280" s="99">
        <f>SUMIF(Import!$B:$B,$A280,Import!G:G)</f>
        <v>42953.4</v>
      </c>
      <c r="M280" s="99">
        <f>SUMIF(Import!$B:$B,$A280,Import!H:H)</f>
        <v>43000</v>
      </c>
      <c r="N280" s="99">
        <f>SUMIF(Import!$B:$B,$A280,Import!I:I)</f>
        <v>42953.4</v>
      </c>
      <c r="O280" s="99">
        <f>SUMIF(Import!$B:$B,$A280,Import!J:J)</f>
        <v>43000</v>
      </c>
      <c r="P280" s="99">
        <f t="shared" si="237"/>
        <v>0</v>
      </c>
      <c r="Q280" s="99">
        <f>SUMIF(Import!$B:$B,$A280,Import!K:K)</f>
        <v>43000</v>
      </c>
      <c r="R280" s="99">
        <f>SUMIF(Import!$B:$B,$A280,Import!L:L)</f>
        <v>0</v>
      </c>
      <c r="S280" s="99">
        <f>SUMIF(Import!$B:$B,$A280,Import!M:M)</f>
        <v>0</v>
      </c>
      <c r="T280" s="99">
        <f>SUMIF(Import!$B:$B,$A280,Import!N:N)</f>
        <v>43000</v>
      </c>
      <c r="U280" s="99">
        <f t="shared" si="238"/>
        <v>0</v>
      </c>
      <c r="V280" s="255">
        <f t="shared" si="239"/>
        <v>0</v>
      </c>
      <c r="W280" s="102" t="s">
        <v>1376</v>
      </c>
      <c r="X280" s="103" t="str">
        <f t="shared" si="240"/>
        <v>OK</v>
      </c>
      <c r="Y280" s="271"/>
      <c r="Z280" s="121"/>
      <c r="AA280" s="121"/>
      <c r="AB280" s="121"/>
      <c r="AC280" s="121"/>
      <c r="AD280" s="121"/>
      <c r="AE280" s="121"/>
      <c r="AF280" s="121"/>
      <c r="AG280" s="121"/>
      <c r="AH280" s="121"/>
      <c r="AI280" s="121"/>
      <c r="AJ280" s="121"/>
      <c r="AK280" s="121"/>
      <c r="AL280" s="121"/>
    </row>
    <row r="281" spans="1:38" s="115" customFormat="1">
      <c r="A281" s="555" t="s">
        <v>1377</v>
      </c>
      <c r="B281" s="217" t="str">
        <f t="shared" si="218"/>
        <v>200</v>
      </c>
      <c r="C281" s="217" t="str">
        <f t="shared" si="219"/>
        <v>73</v>
      </c>
      <c r="D281" s="101" t="str">
        <f t="shared" si="220"/>
        <v>735</v>
      </c>
      <c r="E281" s="217" t="str">
        <f t="shared" si="221"/>
        <v>200-73-735</v>
      </c>
      <c r="F281" s="294" t="str">
        <f t="shared" si="222"/>
        <v>55175</v>
      </c>
      <c r="G281" s="295" t="str">
        <f>VLOOKUP(F281,'GL Category'!A:C,3,FALSE)</f>
        <v>Services &amp; other</v>
      </c>
      <c r="H281" s="98" t="str">
        <f>VLOOKUP(F281,'GL Category'!A:C,2,FALSE)</f>
        <v>VEHICLE/EQUIP LEASE EXP-CITY</v>
      </c>
      <c r="I281" s="99">
        <f>SUMIF(Import!$B:$B,$A281,Import!D:D)</f>
        <v>37595</v>
      </c>
      <c r="J281" s="99">
        <f>SUMIF(Import!$B:$B,$A281,Import!E:E)</f>
        <v>141891</v>
      </c>
      <c r="K281" s="99">
        <f>SUMIF(Import!$B:$B,$A281,Import!F:F)</f>
        <v>147122</v>
      </c>
      <c r="L281" s="99">
        <f>SUMIF(Import!$B:$B,$A281,Import!G:G)</f>
        <v>67543</v>
      </c>
      <c r="M281" s="99">
        <f>SUMIF(Import!$B:$B,$A281,Import!H:H)</f>
        <v>71455</v>
      </c>
      <c r="N281" s="99">
        <f>SUMIF(Import!$B:$B,$A281,Import!I:I)</f>
        <v>53591.25</v>
      </c>
      <c r="O281" s="99">
        <f>SUMIF(Import!$B:$B,$A281,Import!J:J)</f>
        <v>71455</v>
      </c>
      <c r="P281" s="99">
        <f t="shared" si="237"/>
        <v>0</v>
      </c>
      <c r="Q281" s="99">
        <f>SUMIF(Import!$B:$B,$A281,Import!K:K)</f>
        <v>71455</v>
      </c>
      <c r="R281" s="99">
        <f>SUMIF(Import!$B:$B,$A281,Import!L:L)</f>
        <v>0</v>
      </c>
      <c r="S281" s="99">
        <f>SUMIF(Import!$B:$B,$A281,Import!M:M)</f>
        <v>0</v>
      </c>
      <c r="T281" s="99">
        <f>SUMIF(Import!$B:$B,$A281,Import!N:N)</f>
        <v>71455</v>
      </c>
      <c r="U281" s="99">
        <f t="shared" si="238"/>
        <v>0</v>
      </c>
      <c r="V281" s="255">
        <f t="shared" si="239"/>
        <v>0</v>
      </c>
      <c r="W281" s="102" t="s">
        <v>1377</v>
      </c>
      <c r="X281" s="103" t="str">
        <f t="shared" si="240"/>
        <v>OK</v>
      </c>
      <c r="Y281" s="271"/>
      <c r="Z281" s="121"/>
      <c r="AA281" s="121"/>
      <c r="AB281" s="121"/>
      <c r="AC281" s="121"/>
      <c r="AD281" s="121"/>
      <c r="AE281" s="121"/>
      <c r="AF281" s="121"/>
      <c r="AG281" s="121"/>
      <c r="AH281" s="121"/>
      <c r="AI281" s="121"/>
      <c r="AJ281" s="121"/>
      <c r="AK281" s="121"/>
      <c r="AL281" s="121"/>
    </row>
    <row r="282" spans="1:38" s="115" customFormat="1">
      <c r="A282" s="555" t="s">
        <v>1378</v>
      </c>
      <c r="B282" s="217" t="str">
        <f t="shared" si="218"/>
        <v>200</v>
      </c>
      <c r="C282" s="217" t="str">
        <f t="shared" si="219"/>
        <v>73</v>
      </c>
      <c r="D282" s="101" t="str">
        <f t="shared" si="220"/>
        <v>735</v>
      </c>
      <c r="E282" s="217" t="str">
        <f t="shared" si="221"/>
        <v>200-73-735</v>
      </c>
      <c r="F282" s="294" t="str">
        <f t="shared" si="222"/>
        <v>55119</v>
      </c>
      <c r="G282" s="295" t="str">
        <f>VLOOKUP(F282,'GL Category'!A:C,3,FALSE)</f>
        <v>Services &amp; other</v>
      </c>
      <c r="H282" s="98" t="str">
        <f>VLOOKUP(F282,'GL Category'!A:C,2,FALSE)</f>
        <v>OFFICE EQUIP LEASE EXP-CITY</v>
      </c>
      <c r="I282" s="99">
        <f>SUMIF(Import!$B:$B,$A282,Import!D:D)</f>
        <v>28005</v>
      </c>
      <c r="J282" s="99">
        <f>SUMIF(Import!$B:$B,$A282,Import!E:E)</f>
        <v>27744</v>
      </c>
      <c r="K282" s="99">
        <f>SUMIF(Import!$B:$B,$A282,Import!F:F)</f>
        <v>25366</v>
      </c>
      <c r="L282" s="99">
        <f>SUMIF(Import!$B:$B,$A282,Import!G:G)</f>
        <v>26558</v>
      </c>
      <c r="M282" s="99">
        <f>SUMIF(Import!$B:$B,$A282,Import!H:H)</f>
        <v>31440</v>
      </c>
      <c r="N282" s="99">
        <f>SUMIF(Import!$B:$B,$A282,Import!I:I)</f>
        <v>23580</v>
      </c>
      <c r="O282" s="99">
        <f>SUMIF(Import!$B:$B,$A282,Import!J:J)</f>
        <v>31440</v>
      </c>
      <c r="P282" s="99">
        <f t="shared" si="237"/>
        <v>0</v>
      </c>
      <c r="Q282" s="99">
        <f>SUMIF(Import!$B:$B,$A282,Import!K:K)</f>
        <v>30884</v>
      </c>
      <c r="R282" s="99">
        <f>SUMIF(Import!$B:$B,$A282,Import!L:L)</f>
        <v>0</v>
      </c>
      <c r="S282" s="99">
        <f>SUMIF(Import!$B:$B,$A282,Import!M:M)</f>
        <v>0</v>
      </c>
      <c r="T282" s="99">
        <f>SUMIF(Import!$B:$B,$A282,Import!N:N)</f>
        <v>30884</v>
      </c>
      <c r="U282" s="99">
        <f t="shared" si="238"/>
        <v>-556</v>
      </c>
      <c r="V282" s="255">
        <f t="shared" si="239"/>
        <v>-1.7684478371501222E-2</v>
      </c>
      <c r="W282" s="102" t="s">
        <v>1378</v>
      </c>
      <c r="X282" s="103" t="str">
        <f t="shared" si="240"/>
        <v>OK</v>
      </c>
      <c r="Y282" s="271"/>
      <c r="Z282" s="121"/>
      <c r="AA282" s="121"/>
      <c r="AB282" s="121"/>
      <c r="AC282" s="121"/>
      <c r="AD282" s="121"/>
      <c r="AE282" s="121"/>
      <c r="AF282" s="121"/>
      <c r="AG282" s="121"/>
      <c r="AH282" s="121"/>
      <c r="AI282" s="121"/>
      <c r="AJ282" s="121"/>
      <c r="AK282" s="121"/>
      <c r="AL282" s="121"/>
    </row>
    <row r="283" spans="1:38" s="115" customFormat="1">
      <c r="A283" s="555"/>
      <c r="B283" s="217"/>
      <c r="C283" s="217"/>
      <c r="D283" s="101"/>
      <c r="E283" s="217"/>
      <c r="F283" s="294"/>
      <c r="G283" s="146"/>
      <c r="H283" s="107" t="str">
        <f>UPPER(G282)&amp;" TOTAL"</f>
        <v>SERVICES &amp; OTHER TOTAL</v>
      </c>
      <c r="I283" s="108">
        <f t="shared" ref="I283" si="241">SUBTOTAL(9,I274:I282)</f>
        <v>108881</v>
      </c>
      <c r="J283" s="108">
        <f t="shared" ref="J283:T283" si="242">SUBTOTAL(9,J274:J282)</f>
        <v>226178.84</v>
      </c>
      <c r="K283" s="108">
        <f t="shared" ref="K283" si="243">SUBTOTAL(9,K274:K282)</f>
        <v>223413.84</v>
      </c>
      <c r="L283" s="108">
        <f t="shared" ref="L283" si="244">SUBTOTAL(9,L274:L282)</f>
        <v>150409.28</v>
      </c>
      <c r="M283" s="108">
        <f t="shared" si="242"/>
        <v>160395</v>
      </c>
      <c r="N283" s="109">
        <f t="shared" ref="N283" si="245">SUBTOTAL(9,N274:N282)</f>
        <v>123777.4</v>
      </c>
      <c r="O283" s="109">
        <f t="shared" si="242"/>
        <v>156895</v>
      </c>
      <c r="P283" s="109">
        <f t="shared" si="242"/>
        <v>-3500</v>
      </c>
      <c r="Q283" s="109">
        <f t="shared" si="242"/>
        <v>156839</v>
      </c>
      <c r="R283" s="109">
        <f t="shared" si="242"/>
        <v>0</v>
      </c>
      <c r="S283" s="109">
        <f t="shared" si="242"/>
        <v>0</v>
      </c>
      <c r="T283" s="109">
        <f t="shared" si="242"/>
        <v>156839</v>
      </c>
      <c r="U283" s="99">
        <f>T283-M283</f>
        <v>-3556</v>
      </c>
      <c r="V283" s="259">
        <f>IF(M283=0,"N/A",T283/M283-1)</f>
        <v>-2.2170267152966106E-2</v>
      </c>
      <c r="W283" s="102"/>
      <c r="X283" s="103" t="str">
        <f t="shared" si="240"/>
        <v>OK</v>
      </c>
      <c r="Y283" s="271"/>
      <c r="Z283" s="121"/>
      <c r="AA283" s="121"/>
      <c r="AB283" s="121"/>
      <c r="AC283" s="121"/>
      <c r="AD283" s="121"/>
      <c r="AE283" s="121"/>
      <c r="AF283" s="121"/>
      <c r="AG283" s="121"/>
      <c r="AH283" s="121"/>
      <c r="AI283" s="121"/>
      <c r="AJ283" s="121"/>
      <c r="AK283" s="121"/>
      <c r="AL283" s="121"/>
    </row>
    <row r="284" spans="1:38" s="115" customFormat="1">
      <c r="A284" s="555"/>
      <c r="B284" s="217"/>
      <c r="C284" s="217"/>
      <c r="D284" s="101"/>
      <c r="E284" s="217"/>
      <c r="F284" s="294"/>
      <c r="G284" s="146"/>
      <c r="H284" s="98"/>
      <c r="I284" s="106"/>
      <c r="J284" s="106"/>
      <c r="K284" s="106"/>
      <c r="L284" s="106"/>
      <c r="M284" s="106"/>
      <c r="N284" s="110"/>
      <c r="O284" s="110"/>
      <c r="P284" s="110"/>
      <c r="Q284" s="111"/>
      <c r="R284" s="111"/>
      <c r="S284" s="111"/>
      <c r="T284" s="111"/>
      <c r="U284" s="111"/>
      <c r="V284" s="111"/>
      <c r="W284" s="102"/>
      <c r="X284" s="103" t="str">
        <f t="shared" si="240"/>
        <v/>
      </c>
      <c r="Y284" s="271"/>
      <c r="Z284" s="121"/>
      <c r="AA284" s="121"/>
      <c r="AB284" s="121"/>
      <c r="AC284" s="121"/>
      <c r="AD284" s="121"/>
      <c r="AE284" s="121"/>
      <c r="AF284" s="121"/>
      <c r="AG284" s="121"/>
      <c r="AH284" s="121"/>
      <c r="AI284" s="121"/>
      <c r="AJ284" s="121"/>
      <c r="AK284" s="121"/>
      <c r="AL284" s="121"/>
    </row>
    <row r="285" spans="1:38" s="115" customFormat="1">
      <c r="A285" s="555" t="s">
        <v>1379</v>
      </c>
      <c r="B285" s="217" t="str">
        <f t="shared" si="218"/>
        <v>200</v>
      </c>
      <c r="C285" s="217" t="str">
        <f t="shared" si="219"/>
        <v>73</v>
      </c>
      <c r="D285" s="101" t="str">
        <f t="shared" si="220"/>
        <v>735</v>
      </c>
      <c r="E285" s="217" t="str">
        <f t="shared" si="221"/>
        <v>200-73-735</v>
      </c>
      <c r="F285" s="294" t="str">
        <f t="shared" si="222"/>
        <v>58815</v>
      </c>
      <c r="G285" s="295" t="e">
        <f>VLOOKUP(F285,'GL Category'!A:C,3,FALSE)</f>
        <v>#N/A</v>
      </c>
      <c r="H285" s="98" t="e">
        <f>VLOOKUP(F285,'GL Category'!A:C,2,FALSE)</f>
        <v>#N/A</v>
      </c>
      <c r="I285" s="99">
        <f>SUMIF(Import!$B:$B,$A285,Import!D:D)</f>
        <v>0</v>
      </c>
      <c r="J285" s="99">
        <f>SUMIF(Import!$B:$B,$A285,Import!E:E)</f>
        <v>0</v>
      </c>
      <c r="K285" s="99">
        <f>SUMIF(Import!$B:$B,$A285,Import!F:F)</f>
        <v>0</v>
      </c>
      <c r="L285" s="99">
        <f>SUMIF(Import!$B:$B,$A285,Import!G:G)</f>
        <v>0</v>
      </c>
      <c r="M285" s="99">
        <f>SUMIF(Import!$B:$B,$A285,Import!H:H)</f>
        <v>0</v>
      </c>
      <c r="N285" s="99">
        <f>SUMIF(Import!$B:$B,$A285,Import!I:I)</f>
        <v>0</v>
      </c>
      <c r="O285" s="99">
        <f>SUMIF(Import!$B:$B,$A285,Import!J:J)</f>
        <v>0</v>
      </c>
      <c r="P285" s="99">
        <f t="shared" ref="P285:P288" si="246">O285-M285</f>
        <v>0</v>
      </c>
      <c r="Q285" s="99">
        <f>SUMIF(Import!$B:$B,$A285,Import!K:K)</f>
        <v>0</v>
      </c>
      <c r="R285" s="99">
        <f>SUMIF(Import!$B:$B,$A285,Import!L:L)</f>
        <v>0</v>
      </c>
      <c r="S285" s="99">
        <f>SUMIF(Import!$B:$B,$A285,Import!M:M)</f>
        <v>0</v>
      </c>
      <c r="T285" s="99">
        <f>SUMIF(Import!$B:$B,$A285,Import!N:N)</f>
        <v>0</v>
      </c>
      <c r="U285" s="99">
        <f t="shared" ref="U285:U288" si="247">T285-M285</f>
        <v>0</v>
      </c>
      <c r="V285" s="255" t="str">
        <f t="shared" ref="V285:V288" si="248">IF(M285=0,"N/A",T285/M285-1)</f>
        <v>N/A</v>
      </c>
      <c r="W285" s="102" t="s">
        <v>1379</v>
      </c>
      <c r="X285" s="103" t="str">
        <f t="shared" si="240"/>
        <v>OK</v>
      </c>
      <c r="Y285" s="271"/>
      <c r="Z285" s="121"/>
      <c r="AA285" s="121"/>
      <c r="AB285" s="121"/>
      <c r="AC285" s="121"/>
      <c r="AD285" s="121"/>
      <c r="AE285" s="121"/>
      <c r="AF285" s="121"/>
      <c r="AG285" s="121"/>
      <c r="AH285" s="121"/>
      <c r="AI285" s="121"/>
      <c r="AJ285" s="121"/>
      <c r="AK285" s="121"/>
      <c r="AL285" s="121"/>
    </row>
    <row r="286" spans="1:38" s="115" customFormat="1">
      <c r="A286" s="555" t="s">
        <v>1380</v>
      </c>
      <c r="B286" s="217" t="str">
        <f t="shared" si="218"/>
        <v>200</v>
      </c>
      <c r="C286" s="217" t="str">
        <f t="shared" si="219"/>
        <v>73</v>
      </c>
      <c r="D286" s="101" t="str">
        <f t="shared" si="220"/>
        <v>735</v>
      </c>
      <c r="E286" s="217" t="str">
        <f t="shared" si="221"/>
        <v>200-73-735</v>
      </c>
      <c r="F286" s="294" t="str">
        <f t="shared" si="222"/>
        <v>58820</v>
      </c>
      <c r="G286" s="295" t="str">
        <f>VLOOKUP(F286,'GL Category'!A:C,3,FALSE)</f>
        <v>Capital Outlay</v>
      </c>
      <c r="H286" s="98" t="str">
        <f>VLOOKUP(F286,'GL Category'!A:C,2,FALSE)</f>
        <v>MAINS &amp; SERVICES</v>
      </c>
      <c r="I286" s="99">
        <f>SUMIF(Import!$B:$B,$A286,Import!D:D)</f>
        <v>49060.44</v>
      </c>
      <c r="J286" s="99">
        <f>SUMIF(Import!$B:$B,$A286,Import!E:E)</f>
        <v>0</v>
      </c>
      <c r="K286" s="99">
        <f>SUMIF(Import!$B:$B,$A286,Import!F:F)</f>
        <v>0</v>
      </c>
      <c r="L286" s="99">
        <f>SUMIF(Import!$B:$B,$A286,Import!G:G)</f>
        <v>0</v>
      </c>
      <c r="M286" s="99">
        <f>SUMIF(Import!$B:$B,$A286,Import!H:H)</f>
        <v>0</v>
      </c>
      <c r="N286" s="99">
        <f>SUMIF(Import!$B:$B,$A286,Import!I:I)</f>
        <v>0</v>
      </c>
      <c r="O286" s="99">
        <f>SUMIF(Import!$B:$B,$A286,Import!J:J)</f>
        <v>0</v>
      </c>
      <c r="P286" s="99">
        <f t="shared" si="246"/>
        <v>0</v>
      </c>
      <c r="Q286" s="99">
        <f>SUMIF(Import!$B:$B,$A286,Import!K:K)</f>
        <v>0</v>
      </c>
      <c r="R286" s="99">
        <f>SUMIF(Import!$B:$B,$A286,Import!L:L)</f>
        <v>0</v>
      </c>
      <c r="S286" s="99">
        <f>SUMIF(Import!$B:$B,$A286,Import!M:M)</f>
        <v>0</v>
      </c>
      <c r="T286" s="99">
        <f>SUMIF(Import!$B:$B,$A286,Import!N:N)</f>
        <v>0</v>
      </c>
      <c r="U286" s="99">
        <f t="shared" si="247"/>
        <v>0</v>
      </c>
      <c r="V286" s="255" t="str">
        <f t="shared" si="248"/>
        <v>N/A</v>
      </c>
      <c r="W286" s="102" t="s">
        <v>1380</v>
      </c>
      <c r="X286" s="103" t="str">
        <f t="shared" si="240"/>
        <v>OK</v>
      </c>
      <c r="Y286" s="271"/>
      <c r="Z286" s="121"/>
      <c r="AA286" s="121"/>
      <c r="AB286" s="121"/>
      <c r="AC286" s="121"/>
      <c r="AD286" s="121"/>
      <c r="AE286" s="121"/>
      <c r="AF286" s="121"/>
      <c r="AG286" s="121"/>
      <c r="AH286" s="121"/>
      <c r="AI286" s="121"/>
      <c r="AJ286" s="121"/>
      <c r="AK286" s="121"/>
      <c r="AL286" s="121"/>
    </row>
    <row r="287" spans="1:38" s="115" customFormat="1">
      <c r="A287" s="555" t="s">
        <v>1381</v>
      </c>
      <c r="B287" s="217" t="str">
        <f t="shared" si="218"/>
        <v>200</v>
      </c>
      <c r="C287" s="217" t="str">
        <f t="shared" si="219"/>
        <v>73</v>
      </c>
      <c r="D287" s="101" t="str">
        <f t="shared" si="220"/>
        <v>735</v>
      </c>
      <c r="E287" s="217" t="str">
        <f t="shared" si="221"/>
        <v>200-73-735</v>
      </c>
      <c r="F287" s="294" t="str">
        <f t="shared" si="222"/>
        <v>58830</v>
      </c>
      <c r="G287" s="295" t="str">
        <f>VLOOKUP(F287,'GL Category'!A:C,3,FALSE)</f>
        <v>Capital Outlay</v>
      </c>
      <c r="H287" s="98" t="str">
        <f>VLOOKUP(F287,'GL Category'!A:C,2,FALSE)</f>
        <v>MACHINERY &amp; EQUIPMENT</v>
      </c>
      <c r="I287" s="99">
        <f>SUMIF(Import!$B:$B,$A287,Import!D:D)</f>
        <v>0</v>
      </c>
      <c r="J287" s="99">
        <f>SUMIF(Import!$B:$B,$A287,Import!E:E)</f>
        <v>21451.16</v>
      </c>
      <c r="K287" s="99">
        <f>SUMIF(Import!$B:$B,$A287,Import!F:F)</f>
        <v>0</v>
      </c>
      <c r="L287" s="99">
        <f>SUMIF(Import!$B:$B,$A287,Import!G:G)</f>
        <v>0</v>
      </c>
      <c r="M287" s="99">
        <f>SUMIF(Import!$B:$B,$A287,Import!H:H)</f>
        <v>0</v>
      </c>
      <c r="N287" s="99">
        <f>SUMIF(Import!$B:$B,$A287,Import!I:I)</f>
        <v>0</v>
      </c>
      <c r="O287" s="99">
        <f>SUMIF(Import!$B:$B,$A287,Import!J:J)</f>
        <v>0</v>
      </c>
      <c r="P287" s="99">
        <f t="shared" si="246"/>
        <v>0</v>
      </c>
      <c r="Q287" s="99">
        <f>SUMIF(Import!$B:$B,$A287,Import!K:K)</f>
        <v>0</v>
      </c>
      <c r="R287" s="99">
        <f>SUMIF(Import!$B:$B,$A287,Import!L:L)</f>
        <v>0</v>
      </c>
      <c r="S287" s="99">
        <f>SUMIF(Import!$B:$B,$A287,Import!M:M)</f>
        <v>0</v>
      </c>
      <c r="T287" s="99">
        <f>SUMIF(Import!$B:$B,$A287,Import!N:N)</f>
        <v>0</v>
      </c>
      <c r="U287" s="99">
        <f t="shared" si="247"/>
        <v>0</v>
      </c>
      <c r="V287" s="255" t="str">
        <f t="shared" si="248"/>
        <v>N/A</v>
      </c>
      <c r="W287" s="102" t="s">
        <v>1381</v>
      </c>
      <c r="X287" s="103" t="str">
        <f t="shared" si="240"/>
        <v>OK</v>
      </c>
      <c r="Y287" s="271"/>
      <c r="Z287" s="121"/>
      <c r="AA287" s="121"/>
      <c r="AB287" s="121"/>
      <c r="AC287" s="121"/>
      <c r="AD287" s="121"/>
      <c r="AE287" s="121"/>
      <c r="AF287" s="121"/>
      <c r="AG287" s="121"/>
      <c r="AH287" s="121"/>
      <c r="AI287" s="121"/>
      <c r="AJ287" s="121"/>
      <c r="AK287" s="121"/>
      <c r="AL287" s="121"/>
    </row>
    <row r="288" spans="1:38" s="115" customFormat="1">
      <c r="A288" s="555" t="s">
        <v>1382</v>
      </c>
      <c r="B288" s="217" t="str">
        <f t="shared" si="218"/>
        <v>200</v>
      </c>
      <c r="C288" s="217" t="str">
        <f t="shared" si="219"/>
        <v>73</v>
      </c>
      <c r="D288" s="101" t="str">
        <f t="shared" si="220"/>
        <v>735</v>
      </c>
      <c r="E288" s="217" t="str">
        <f t="shared" si="221"/>
        <v>200-73-735</v>
      </c>
      <c r="F288" s="294" t="str">
        <f t="shared" si="222"/>
        <v>58840</v>
      </c>
      <c r="G288" s="295" t="str">
        <f>VLOOKUP(F288,'GL Category'!A:C,3,FALSE)</f>
        <v>Capital Outlay</v>
      </c>
      <c r="H288" s="98" t="str">
        <f>VLOOKUP(F288,'GL Category'!A:C,2,FALSE)</f>
        <v>MOTOR VEHICLES</v>
      </c>
      <c r="I288" s="99">
        <f>SUMIF(Import!$B:$B,$A288,Import!D:D)</f>
        <v>0</v>
      </c>
      <c r="J288" s="99">
        <f>SUMIF(Import!$B:$B,$A288,Import!E:E)</f>
        <v>0</v>
      </c>
      <c r="K288" s="99">
        <f>SUMIF(Import!$B:$B,$A288,Import!F:F)</f>
        <v>0</v>
      </c>
      <c r="L288" s="99">
        <f>SUMIF(Import!$B:$B,$A288,Import!G:G)</f>
        <v>0</v>
      </c>
      <c r="M288" s="99">
        <f>SUMIF(Import!$B:$B,$A288,Import!H:H)</f>
        <v>0</v>
      </c>
      <c r="N288" s="99">
        <f>SUMIF(Import!$B:$B,$A288,Import!I:I)</f>
        <v>0</v>
      </c>
      <c r="O288" s="99">
        <f>SUMIF(Import!$B:$B,$A288,Import!J:J)</f>
        <v>0</v>
      </c>
      <c r="P288" s="99">
        <f t="shared" si="246"/>
        <v>0</v>
      </c>
      <c r="Q288" s="99">
        <f>SUMIF(Import!$B:$B,$A288,Import!K:K)</f>
        <v>0</v>
      </c>
      <c r="R288" s="99">
        <f>SUMIF(Import!$B:$B,$A288,Import!L:L)</f>
        <v>0</v>
      </c>
      <c r="S288" s="99">
        <f>SUMIF(Import!$B:$B,$A288,Import!M:M)</f>
        <v>0</v>
      </c>
      <c r="T288" s="99">
        <f>SUMIF(Import!$B:$B,$A288,Import!N:N)</f>
        <v>0</v>
      </c>
      <c r="U288" s="99">
        <f t="shared" si="247"/>
        <v>0</v>
      </c>
      <c r="V288" s="255" t="str">
        <f t="shared" si="248"/>
        <v>N/A</v>
      </c>
      <c r="W288" s="102" t="s">
        <v>1382</v>
      </c>
      <c r="X288" s="103" t="str">
        <f t="shared" si="240"/>
        <v>OK</v>
      </c>
      <c r="Y288" s="271"/>
      <c r="Z288" s="121"/>
      <c r="AA288" s="121"/>
      <c r="AB288" s="121"/>
      <c r="AC288" s="121"/>
      <c r="AD288" s="121"/>
      <c r="AE288" s="121"/>
      <c r="AF288" s="121"/>
      <c r="AG288" s="121"/>
      <c r="AH288" s="121"/>
      <c r="AI288" s="121"/>
      <c r="AJ288" s="121"/>
      <c r="AK288" s="121"/>
      <c r="AL288" s="121"/>
    </row>
    <row r="289" spans="1:38" s="115" customFormat="1">
      <c r="A289" s="555"/>
      <c r="B289" s="217"/>
      <c r="C289" s="217"/>
      <c r="D289" s="101"/>
      <c r="E289" s="217"/>
      <c r="F289" s="294"/>
      <c r="G289" s="146"/>
      <c r="H289" s="107" t="str">
        <f>UPPER(G288)&amp;" TOTAL"</f>
        <v>CAPITAL OUTLAY TOTAL</v>
      </c>
      <c r="I289" s="108">
        <f t="shared" ref="I289" si="249">SUBTOTAL(9,I285:I288)</f>
        <v>49060.44</v>
      </c>
      <c r="J289" s="108">
        <f t="shared" ref="J289:O289" si="250">SUBTOTAL(9,J285:J288)</f>
        <v>21451.16</v>
      </c>
      <c r="K289" s="108">
        <f t="shared" ref="K289" si="251">SUBTOTAL(9,K285:K288)</f>
        <v>0</v>
      </c>
      <c r="L289" s="108">
        <f t="shared" ref="L289" si="252">SUBTOTAL(9,L285:L288)</f>
        <v>0</v>
      </c>
      <c r="M289" s="108">
        <f t="shared" si="250"/>
        <v>0</v>
      </c>
      <c r="N289" s="109">
        <f t="shared" ref="N289" si="253">SUBTOTAL(9,N285:N288)</f>
        <v>0</v>
      </c>
      <c r="O289" s="109">
        <f t="shared" si="250"/>
        <v>0</v>
      </c>
      <c r="P289" s="109">
        <f>SUBTOTAL(9,P285:P288)</f>
        <v>0</v>
      </c>
      <c r="Q289" s="109">
        <f t="shared" ref="Q289:T289" si="254">SUBTOTAL(9,Q285:Q288)</f>
        <v>0</v>
      </c>
      <c r="R289" s="109">
        <f t="shared" si="254"/>
        <v>0</v>
      </c>
      <c r="S289" s="109">
        <f t="shared" si="254"/>
        <v>0</v>
      </c>
      <c r="T289" s="109">
        <f t="shared" si="254"/>
        <v>0</v>
      </c>
      <c r="U289" s="99">
        <f>T289-M289</f>
        <v>0</v>
      </c>
      <c r="V289" s="259" t="str">
        <f>IF(M289=0,"N/A",T289/M289-1)</f>
        <v>N/A</v>
      </c>
      <c r="W289" s="102"/>
      <c r="X289" s="103" t="str">
        <f t="shared" si="240"/>
        <v>OK</v>
      </c>
      <c r="Y289" s="271"/>
      <c r="Z289" s="121"/>
      <c r="AA289" s="121"/>
      <c r="AB289" s="121"/>
      <c r="AC289" s="121"/>
      <c r="AD289" s="121"/>
      <c r="AE289" s="121"/>
      <c r="AF289" s="121"/>
      <c r="AG289" s="121"/>
      <c r="AH289" s="121"/>
      <c r="AI289" s="121"/>
      <c r="AJ289" s="121"/>
      <c r="AK289" s="121"/>
      <c r="AL289" s="121"/>
    </row>
    <row r="290" spans="1:38" s="115" customFormat="1">
      <c r="A290" s="555"/>
      <c r="B290" s="217"/>
      <c r="C290" s="217"/>
      <c r="D290" s="101"/>
      <c r="E290" s="217"/>
      <c r="F290" s="294"/>
      <c r="G290" s="146"/>
      <c r="H290" s="98"/>
      <c r="I290" s="106"/>
      <c r="J290" s="106"/>
      <c r="K290" s="106"/>
      <c r="L290" s="106"/>
      <c r="M290" s="106"/>
      <c r="N290" s="110"/>
      <c r="O290" s="110"/>
      <c r="P290" s="110"/>
      <c r="Q290" s="111"/>
      <c r="R290" s="111"/>
      <c r="S290" s="111"/>
      <c r="T290" s="111"/>
      <c r="U290" s="111"/>
      <c r="V290" s="111"/>
      <c r="W290" s="102"/>
      <c r="X290" s="103" t="str">
        <f t="shared" si="240"/>
        <v/>
      </c>
      <c r="Y290" s="271"/>
      <c r="Z290" s="121"/>
      <c r="AA290" s="121"/>
      <c r="AB290" s="121"/>
      <c r="AC290" s="121"/>
      <c r="AD290" s="121"/>
      <c r="AE290" s="121"/>
      <c r="AF290" s="121"/>
      <c r="AG290" s="121"/>
      <c r="AH290" s="121"/>
      <c r="AI290" s="121"/>
      <c r="AJ290" s="121"/>
      <c r="AK290" s="121"/>
      <c r="AL290" s="121"/>
    </row>
    <row r="291" spans="1:38" s="115" customFormat="1">
      <c r="A291" s="555" t="s">
        <v>1383</v>
      </c>
      <c r="B291" s="217" t="str">
        <f t="shared" si="218"/>
        <v>200</v>
      </c>
      <c r="C291" s="217" t="str">
        <f t="shared" si="219"/>
        <v>73</v>
      </c>
      <c r="D291" s="101" t="str">
        <f t="shared" si="220"/>
        <v>735</v>
      </c>
      <c r="E291" s="217" t="str">
        <f t="shared" si="221"/>
        <v>200-73-735</v>
      </c>
      <c r="F291" s="294" t="str">
        <f t="shared" si="222"/>
        <v>59170</v>
      </c>
      <c r="G291" s="295" t="str">
        <f>VLOOKUP(F291,'GL Category'!A:C,3,FALSE)</f>
        <v>Transfers to other funds</v>
      </c>
      <c r="H291" s="98" t="str">
        <f>VLOOKUP(F291,'GL Category'!A:C,2,FALSE)</f>
        <v>TRANSFER TO CIP-STREET IMPROVE</v>
      </c>
      <c r="I291" s="99">
        <f>SUMIF(Import!$B:$B,$A291,Import!D:D)</f>
        <v>150000</v>
      </c>
      <c r="J291" s="99">
        <f>SUMIF(Import!$B:$B,$A291,Import!E:E)</f>
        <v>100000</v>
      </c>
      <c r="K291" s="99">
        <f>SUMIF(Import!$B:$B,$A291,Import!F:F)</f>
        <v>0</v>
      </c>
      <c r="L291" s="99">
        <f>SUMIF(Import!$B:$B,$A291,Import!G:G)</f>
        <v>0</v>
      </c>
      <c r="M291" s="99">
        <f>SUMIF(Import!$B:$B,$A291,Import!H:H)</f>
        <v>0</v>
      </c>
      <c r="N291" s="99">
        <f>SUMIF(Import!$B:$B,$A291,Import!I:I)</f>
        <v>0</v>
      </c>
      <c r="O291" s="99">
        <f>SUMIF(Import!$B:$B,$A291,Import!J:J)</f>
        <v>0</v>
      </c>
      <c r="P291" s="99">
        <f t="shared" ref="P291:P293" si="255">O291-M291</f>
        <v>0</v>
      </c>
      <c r="Q291" s="99">
        <f>SUMIF(Import!$B:$B,$A291,Import!K:K)</f>
        <v>0</v>
      </c>
      <c r="R291" s="99">
        <f>SUMIF(Import!$B:$B,$A291,Import!L:L)</f>
        <v>0</v>
      </c>
      <c r="S291" s="99">
        <f>SUMIF(Import!$B:$B,$A291,Import!M:M)</f>
        <v>0</v>
      </c>
      <c r="T291" s="99">
        <f>SUMIF(Import!$B:$B,$A291,Import!N:N)</f>
        <v>0</v>
      </c>
      <c r="U291" s="99">
        <f t="shared" ref="U291:U293" si="256">T291-M291</f>
        <v>0</v>
      </c>
      <c r="V291" s="255" t="str">
        <f t="shared" ref="V291:V293" si="257">IF(M291=0,"N/A",T291/M291-1)</f>
        <v>N/A</v>
      </c>
      <c r="W291" s="102" t="s">
        <v>1383</v>
      </c>
      <c r="X291" s="103" t="str">
        <f t="shared" si="240"/>
        <v>OK</v>
      </c>
      <c r="Y291" s="271"/>
      <c r="Z291" s="121"/>
      <c r="AA291" s="121"/>
      <c r="AB291" s="121"/>
      <c r="AC291" s="121"/>
      <c r="AD291" s="121"/>
      <c r="AE291" s="121"/>
      <c r="AF291" s="121"/>
      <c r="AG291" s="121"/>
      <c r="AH291" s="121"/>
      <c r="AI291" s="121"/>
      <c r="AJ291" s="121"/>
      <c r="AK291" s="121"/>
      <c r="AL291" s="121"/>
    </row>
    <row r="292" spans="1:38" s="115" customFormat="1">
      <c r="A292" s="555" t="s">
        <v>3418</v>
      </c>
      <c r="B292" s="217" t="str">
        <f t="shared" ref="B292" si="258">LEFT(A292,3)</f>
        <v>200</v>
      </c>
      <c r="C292" s="217" t="str">
        <f t="shared" ref="C292" si="259">MID(A292,5,2)</f>
        <v>73</v>
      </c>
      <c r="D292" s="101" t="str">
        <f t="shared" ref="D292" si="260">MID(A292,8,3)</f>
        <v>735</v>
      </c>
      <c r="E292" s="217" t="str">
        <f t="shared" ref="E292" si="261">LEFT(A292,10)</f>
        <v>200-73-735</v>
      </c>
      <c r="F292" s="294" t="str">
        <f t="shared" ref="F292" si="262">RIGHT(A292,5)</f>
        <v>59178</v>
      </c>
      <c r="G292" s="295" t="str">
        <f>VLOOKUP(F292,'GL Category'!A:C,3,FALSE)</f>
        <v>Transfers to other funds</v>
      </c>
      <c r="H292" s="98" t="str">
        <f>VLOOKUP(F292,'GL Category'!A:C,2,FALSE)</f>
        <v>TRANSFER TO CIP-PARK</v>
      </c>
      <c r="I292" s="99">
        <f>SUMIF(Import!$B:$B,$A292,Import!D:D)</f>
        <v>0</v>
      </c>
      <c r="J292" s="99">
        <f>SUMIF(Import!$B:$B,$A292,Import!E:E)</f>
        <v>0</v>
      </c>
      <c r="K292" s="99">
        <f>SUMIF(Import!$B:$B,$A292,Import!F:F)</f>
        <v>0</v>
      </c>
      <c r="L292" s="99">
        <f>SUMIF(Import!$B:$B,$A292,Import!G:G)</f>
        <v>1291730</v>
      </c>
      <c r="M292" s="99">
        <f>SUMIF(Import!$B:$B,$A292,Import!H:H)</f>
        <v>0</v>
      </c>
      <c r="N292" s="99">
        <f>SUMIF(Import!$B:$B,$A292,Import!I:I)</f>
        <v>0</v>
      </c>
      <c r="O292" s="99">
        <f>SUMIF(Import!$B:$B,$A292,Import!J:J)</f>
        <v>0</v>
      </c>
      <c r="P292" s="99">
        <f t="shared" ref="P292" si="263">O292-M292</f>
        <v>0</v>
      </c>
      <c r="Q292" s="99">
        <f>SUMIF(Import!$B:$B,$A292,Import!K:K)</f>
        <v>0</v>
      </c>
      <c r="R292" s="99">
        <f>SUMIF(Import!$B:$B,$A292,Import!L:L)</f>
        <v>0</v>
      </c>
      <c r="S292" s="99">
        <f>SUMIF(Import!$B:$B,$A292,Import!M:M)</f>
        <v>0</v>
      </c>
      <c r="T292" s="99">
        <f>SUMIF(Import!$B:$B,$A292,Import!N:N)</f>
        <v>0</v>
      </c>
      <c r="U292" s="99">
        <f t="shared" ref="U292" si="264">T292-M292</f>
        <v>0</v>
      </c>
      <c r="V292" s="255" t="str">
        <f t="shared" ref="V292" si="265">IF(M292=0,"N/A",T292/M292-1)</f>
        <v>N/A</v>
      </c>
      <c r="W292" s="102" t="s">
        <v>1384</v>
      </c>
      <c r="X292" s="103" t="str">
        <f t="shared" ref="X292" si="266">IF(Q292="","",IF(T292=SUM(Q292:S292),"OK","NO"))</f>
        <v>OK</v>
      </c>
      <c r="Y292" s="271"/>
      <c r="Z292" s="121"/>
      <c r="AA292" s="121"/>
      <c r="AB292" s="121"/>
      <c r="AC292" s="121"/>
      <c r="AD292" s="121"/>
      <c r="AE292" s="121"/>
      <c r="AF292" s="121"/>
      <c r="AG292" s="121"/>
      <c r="AH292" s="121"/>
      <c r="AI292" s="121"/>
      <c r="AJ292" s="121"/>
      <c r="AK292" s="121"/>
      <c r="AL292" s="121"/>
    </row>
    <row r="293" spans="1:38" s="115" customFormat="1">
      <c r="A293" s="555" t="s">
        <v>1384</v>
      </c>
      <c r="B293" s="217" t="str">
        <f t="shared" si="218"/>
        <v>200</v>
      </c>
      <c r="C293" s="217" t="str">
        <f t="shared" si="219"/>
        <v>73</v>
      </c>
      <c r="D293" s="101" t="str">
        <f t="shared" si="220"/>
        <v>735</v>
      </c>
      <c r="E293" s="217" t="str">
        <f t="shared" si="221"/>
        <v>200-73-735</v>
      </c>
      <c r="F293" s="294" t="str">
        <f t="shared" si="222"/>
        <v>59206</v>
      </c>
      <c r="G293" s="295" t="str">
        <f>VLOOKUP(F293,'GL Category'!A:C,3,FALSE)</f>
        <v>Transfers to other funds</v>
      </c>
      <c r="H293" s="98" t="str">
        <f>VLOOKUP(F293,'GL Category'!A:C,2,FALSE)</f>
        <v>TRANSFER TO CIP-WATER/WW</v>
      </c>
      <c r="I293" s="99">
        <f>SUMIF(Import!$B:$B,$A293,Import!D:D)</f>
        <v>653000</v>
      </c>
      <c r="J293" s="99">
        <f>SUMIF(Import!$B:$B,$A293,Import!E:E)</f>
        <v>1273905</v>
      </c>
      <c r="K293" s="99">
        <f>SUMIF(Import!$B:$B,$A293,Import!F:F)</f>
        <v>1300000</v>
      </c>
      <c r="L293" s="99">
        <f>SUMIF(Import!$B:$B,$A293,Import!G:G)</f>
        <v>800000</v>
      </c>
      <c r="M293" s="99">
        <f>SUMIF(Import!$B:$B,$A293,Import!H:H)</f>
        <v>625000</v>
      </c>
      <c r="N293" s="99">
        <f>SUMIF(Import!$B:$B,$A293,Import!I:I)</f>
        <v>468750</v>
      </c>
      <c r="O293" s="99">
        <f>SUMIF(Import!$B:$B,$A293,Import!J:J)</f>
        <v>625000</v>
      </c>
      <c r="P293" s="99">
        <f t="shared" si="255"/>
        <v>0</v>
      </c>
      <c r="Q293" s="99">
        <f>SUMIF(Import!$B:$B,$A293,Import!K:K)</f>
        <v>1400000</v>
      </c>
      <c r="R293" s="99">
        <f>SUMIF(Import!$B:$B,$A293,Import!L:L)</f>
        <v>0</v>
      </c>
      <c r="S293" s="99">
        <f>SUMIF(Import!$B:$B,$A293,Import!M:M)</f>
        <v>0</v>
      </c>
      <c r="T293" s="99">
        <f>SUMIF(Import!$B:$B,$A293,Import!N:N)</f>
        <v>1400000</v>
      </c>
      <c r="U293" s="99">
        <f t="shared" si="256"/>
        <v>775000</v>
      </c>
      <c r="V293" s="255">
        <f t="shared" si="257"/>
        <v>1.2400000000000002</v>
      </c>
      <c r="W293" s="102" t="s">
        <v>1384</v>
      </c>
      <c r="X293" s="103" t="str">
        <f t="shared" si="240"/>
        <v>OK</v>
      </c>
      <c r="Y293" s="271"/>
      <c r="Z293" s="121"/>
      <c r="AA293" s="121"/>
      <c r="AB293" s="121"/>
      <c r="AC293" s="121"/>
      <c r="AD293" s="121"/>
      <c r="AE293" s="121"/>
      <c r="AF293" s="121"/>
      <c r="AG293" s="121"/>
      <c r="AH293" s="121"/>
      <c r="AI293" s="121"/>
      <c r="AJ293" s="121"/>
      <c r="AK293" s="121"/>
      <c r="AL293" s="121"/>
    </row>
    <row r="294" spans="1:38" s="115" customFormat="1" ht="26.4">
      <c r="A294" s="555"/>
      <c r="B294" s="217"/>
      <c r="C294" s="217"/>
      <c r="D294" s="101"/>
      <c r="E294" s="217"/>
      <c r="F294" s="294"/>
      <c r="G294" s="146"/>
      <c r="H294" s="107" t="str">
        <f>UPPER(G293)&amp;" TOTAL"</f>
        <v>TRANSFERS TO OTHER FUNDS TOTAL</v>
      </c>
      <c r="I294" s="108">
        <f t="shared" ref="I294" si="267">SUBTOTAL(9,I291:I293)</f>
        <v>803000</v>
      </c>
      <c r="J294" s="108">
        <f t="shared" ref="J294:T294" si="268">SUBTOTAL(9,J291:J293)</f>
        <v>1373905</v>
      </c>
      <c r="K294" s="108">
        <f t="shared" ref="K294" si="269">SUBTOTAL(9,K291:K293)</f>
        <v>1300000</v>
      </c>
      <c r="L294" s="108">
        <f t="shared" ref="L294" si="270">SUBTOTAL(9,L291:L293)</f>
        <v>2091730</v>
      </c>
      <c r="M294" s="108">
        <f t="shared" si="268"/>
        <v>625000</v>
      </c>
      <c r="N294" s="108">
        <f t="shared" ref="N294" si="271">SUBTOTAL(9,N291:N293)</f>
        <v>468750</v>
      </c>
      <c r="O294" s="108">
        <f t="shared" si="268"/>
        <v>625000</v>
      </c>
      <c r="P294" s="108">
        <f t="shared" si="268"/>
        <v>0</v>
      </c>
      <c r="Q294" s="108">
        <f t="shared" si="268"/>
        <v>1400000</v>
      </c>
      <c r="R294" s="108">
        <f t="shared" si="268"/>
        <v>0</v>
      </c>
      <c r="S294" s="108">
        <f t="shared" si="268"/>
        <v>0</v>
      </c>
      <c r="T294" s="108">
        <f t="shared" si="268"/>
        <v>1400000</v>
      </c>
      <c r="U294" s="99">
        <f>T294-M294</f>
        <v>775000</v>
      </c>
      <c r="V294" s="259">
        <f>IF(M294=0,"N/A",T294/M294-1)</f>
        <v>1.2400000000000002</v>
      </c>
      <c r="W294" s="102"/>
      <c r="X294" s="103" t="str">
        <f t="shared" si="240"/>
        <v>OK</v>
      </c>
      <c r="Y294" s="271"/>
      <c r="Z294" s="121"/>
      <c r="AA294" s="121"/>
      <c r="AB294" s="121"/>
      <c r="AC294" s="121"/>
      <c r="AD294" s="121"/>
      <c r="AE294" s="121"/>
      <c r="AF294" s="121"/>
      <c r="AG294" s="121"/>
      <c r="AH294" s="121"/>
      <c r="AI294" s="121"/>
      <c r="AJ294" s="121"/>
      <c r="AK294" s="121"/>
      <c r="AL294" s="121"/>
    </row>
    <row r="295" spans="1:38" s="115" customFormat="1">
      <c r="A295" s="555"/>
      <c r="B295" s="217"/>
      <c r="C295" s="217"/>
      <c r="D295" s="101"/>
      <c r="E295" s="217"/>
      <c r="F295" s="294"/>
      <c r="G295" s="146"/>
      <c r="H295" s="98"/>
      <c r="I295" s="106"/>
      <c r="J295" s="106"/>
      <c r="K295" s="106"/>
      <c r="L295" s="106"/>
      <c r="M295" s="106"/>
      <c r="N295" s="110"/>
      <c r="O295" s="110"/>
      <c r="P295" s="110"/>
      <c r="Q295" s="111"/>
      <c r="R295" s="111"/>
      <c r="S295" s="111"/>
      <c r="T295" s="111"/>
      <c r="U295" s="111"/>
      <c r="V295" s="111"/>
      <c r="W295" s="102"/>
      <c r="X295" s="103" t="str">
        <f t="shared" si="240"/>
        <v/>
      </c>
      <c r="Y295" s="271"/>
      <c r="Z295" s="121"/>
      <c r="AA295" s="121"/>
      <c r="AB295" s="121"/>
      <c r="AC295" s="121"/>
      <c r="AD295" s="121"/>
      <c r="AE295" s="121"/>
      <c r="AF295" s="121"/>
      <c r="AG295" s="121"/>
      <c r="AH295" s="121"/>
      <c r="AI295" s="121"/>
      <c r="AJ295" s="121"/>
      <c r="AK295" s="121"/>
      <c r="AL295" s="121"/>
    </row>
    <row r="296" spans="1:38" s="115" customFormat="1">
      <c r="A296" s="555"/>
      <c r="B296" s="217"/>
      <c r="C296" s="217"/>
      <c r="D296" s="101"/>
      <c r="E296" s="217"/>
      <c r="F296" s="294"/>
      <c r="G296" s="146"/>
      <c r="H296" s="114" t="s">
        <v>763</v>
      </c>
      <c r="I296" s="108">
        <f t="shared" ref="I296" si="272">SUBTOTAL(9,I244:I294)</f>
        <v>1589075.22</v>
      </c>
      <c r="J296" s="108">
        <f t="shared" ref="J296:T296" si="273">SUBTOTAL(9,J244:J294)</f>
        <v>2251418.91</v>
      </c>
      <c r="K296" s="108">
        <f t="shared" ref="K296" si="274">SUBTOTAL(9,K244:K294)</f>
        <v>2398560.92</v>
      </c>
      <c r="L296" s="108">
        <f t="shared" ref="L296" si="275">SUBTOTAL(9,L244:L294)</f>
        <v>3404766.5300000003</v>
      </c>
      <c r="M296" s="108">
        <f t="shared" si="273"/>
        <v>1742414</v>
      </c>
      <c r="N296" s="108">
        <f t="shared" ref="N296" si="276">SUBTOTAL(9,N244:N294)</f>
        <v>1227914.6200000001</v>
      </c>
      <c r="O296" s="108">
        <f t="shared" si="273"/>
        <v>1788997</v>
      </c>
      <c r="P296" s="108">
        <f t="shared" si="273"/>
        <v>46583</v>
      </c>
      <c r="Q296" s="108">
        <f t="shared" si="273"/>
        <v>2538988</v>
      </c>
      <c r="R296" s="108">
        <f t="shared" si="273"/>
        <v>0</v>
      </c>
      <c r="S296" s="108">
        <f t="shared" si="273"/>
        <v>0</v>
      </c>
      <c r="T296" s="108">
        <f t="shared" si="273"/>
        <v>2538988</v>
      </c>
      <c r="U296" s="99">
        <f>T296-M296</f>
        <v>796574</v>
      </c>
      <c r="V296" s="259">
        <f>IF(M296=0,"N/A",T296/M296-1)</f>
        <v>0.45716689604192795</v>
      </c>
      <c r="W296" s="102"/>
      <c r="X296" s="103" t="str">
        <f t="shared" si="240"/>
        <v>OK</v>
      </c>
      <c r="Y296" s="271"/>
      <c r="Z296" s="121"/>
      <c r="AA296" s="121"/>
      <c r="AB296" s="121"/>
      <c r="AC296" s="121"/>
      <c r="AD296" s="121"/>
      <c r="AE296" s="121"/>
      <c r="AF296" s="121"/>
      <c r="AG296" s="121"/>
      <c r="AH296" s="121"/>
      <c r="AI296" s="121"/>
      <c r="AJ296" s="121"/>
      <c r="AK296" s="121"/>
      <c r="AL296" s="121"/>
    </row>
    <row r="297" spans="1:38" s="115" customFormat="1" ht="19.5" customHeight="1">
      <c r="A297" s="555"/>
      <c r="B297" s="217"/>
      <c r="C297" s="217"/>
      <c r="D297" s="101"/>
      <c r="E297" s="217"/>
      <c r="F297" s="294"/>
      <c r="G297" s="146"/>
      <c r="H297" s="98"/>
      <c r="I297" s="218"/>
      <c r="J297" s="218"/>
      <c r="K297" s="218"/>
      <c r="L297" s="218"/>
      <c r="M297" s="218"/>
      <c r="N297" s="96"/>
      <c r="O297" s="96"/>
      <c r="P297" s="96"/>
      <c r="Q297" s="212"/>
      <c r="R297" s="212"/>
      <c r="S297" s="212"/>
      <c r="T297" s="212"/>
      <c r="U297" s="212"/>
      <c r="V297" s="113"/>
      <c r="W297" s="102"/>
      <c r="X297" s="103" t="str">
        <f t="shared" si="240"/>
        <v/>
      </c>
      <c r="Y297" s="271"/>
      <c r="Z297" s="121"/>
      <c r="AA297" s="121"/>
      <c r="AB297" s="121"/>
      <c r="AC297" s="121"/>
      <c r="AD297" s="121"/>
      <c r="AE297" s="121"/>
      <c r="AF297" s="121"/>
      <c r="AG297" s="121"/>
      <c r="AH297" s="121"/>
      <c r="AI297" s="121"/>
      <c r="AJ297" s="121"/>
      <c r="AK297" s="121"/>
      <c r="AL297" s="121"/>
    </row>
    <row r="298" spans="1:38" s="115" customFormat="1" ht="14.4" thickBot="1">
      <c r="A298" s="555"/>
      <c r="B298" s="217"/>
      <c r="C298" s="217"/>
      <c r="D298" s="101"/>
      <c r="E298" s="217"/>
      <c r="F298" s="294"/>
      <c r="G298" s="146"/>
      <c r="H298" s="98"/>
      <c r="I298" s="218"/>
      <c r="J298" s="218"/>
      <c r="K298" s="218"/>
      <c r="L298" s="218"/>
      <c r="M298" s="218"/>
      <c r="N298" s="96"/>
      <c r="O298" s="96"/>
      <c r="P298" s="96"/>
      <c r="Q298" s="212"/>
      <c r="R298" s="212"/>
      <c r="S298" s="212"/>
      <c r="T298" s="212"/>
      <c r="U298" s="212"/>
      <c r="V298" s="113"/>
      <c r="W298" s="102"/>
      <c r="X298" s="103" t="str">
        <f t="shared" si="240"/>
        <v/>
      </c>
      <c r="Y298" s="271"/>
      <c r="Z298" s="121"/>
      <c r="AA298" s="121"/>
      <c r="AB298" s="121"/>
      <c r="AC298" s="121"/>
      <c r="AD298" s="121"/>
      <c r="AE298" s="121"/>
      <c r="AF298" s="121"/>
      <c r="AG298" s="121"/>
      <c r="AH298" s="121"/>
      <c r="AI298" s="121"/>
      <c r="AJ298" s="121"/>
      <c r="AK298" s="121"/>
      <c r="AL298" s="121"/>
    </row>
    <row r="299" spans="1:38" s="115" customFormat="1" ht="21.6" thickBot="1">
      <c r="A299" s="555"/>
      <c r="B299" s="217"/>
      <c r="C299" s="217"/>
      <c r="D299" s="101"/>
      <c r="E299" s="217"/>
      <c r="F299" s="294"/>
      <c r="G299" s="146"/>
      <c r="H299" s="668" t="s">
        <v>787</v>
      </c>
      <c r="I299" s="669"/>
      <c r="J299" s="669"/>
      <c r="K299" s="669"/>
      <c r="L299" s="669"/>
      <c r="M299" s="669"/>
      <c r="N299" s="669"/>
      <c r="O299" s="669"/>
      <c r="P299" s="669"/>
      <c r="Q299" s="669"/>
      <c r="R299" s="669"/>
      <c r="S299" s="669"/>
      <c r="T299" s="670"/>
      <c r="U299" s="247"/>
      <c r="V299" s="261"/>
      <c r="W299" s="102"/>
      <c r="X299" s="103" t="str">
        <f t="shared" si="240"/>
        <v/>
      </c>
      <c r="Y299" s="271"/>
      <c r="Z299" s="121"/>
      <c r="AA299" s="121"/>
      <c r="AB299" s="121"/>
      <c r="AC299" s="121"/>
      <c r="AD299" s="121"/>
      <c r="AE299" s="121"/>
      <c r="AF299" s="121"/>
      <c r="AG299" s="121"/>
      <c r="AH299" s="121"/>
      <c r="AI299" s="121"/>
      <c r="AJ299" s="121"/>
      <c r="AK299" s="121"/>
      <c r="AL299" s="121"/>
    </row>
    <row r="300" spans="1:38" s="115" customFormat="1" ht="21">
      <c r="A300" s="555"/>
      <c r="B300" s="217"/>
      <c r="C300" s="217"/>
      <c r="D300" s="101"/>
      <c r="E300" s="217"/>
      <c r="F300" s="294"/>
      <c r="G300" s="146"/>
      <c r="H300" s="247"/>
      <c r="I300" s="247"/>
      <c r="J300" s="247"/>
      <c r="K300" s="247"/>
      <c r="L300" s="247"/>
      <c r="M300" s="247"/>
      <c r="N300" s="247"/>
      <c r="O300" s="247"/>
      <c r="P300" s="247"/>
      <c r="Q300" s="247"/>
      <c r="R300" s="247"/>
      <c r="S300" s="247"/>
      <c r="T300" s="247"/>
      <c r="U300" s="247"/>
      <c r="V300" s="261"/>
      <c r="W300" s="102"/>
      <c r="X300" s="103"/>
      <c r="Y300" s="271"/>
      <c r="Z300" s="121"/>
      <c r="AA300" s="121"/>
      <c r="AB300" s="121"/>
      <c r="AC300" s="121"/>
      <c r="AD300" s="121"/>
      <c r="AE300" s="121"/>
      <c r="AF300" s="121"/>
      <c r="AG300" s="121"/>
      <c r="AH300" s="121"/>
      <c r="AI300" s="121"/>
      <c r="AJ300" s="121"/>
      <c r="AK300" s="121"/>
      <c r="AL300" s="121"/>
    </row>
    <row r="301" spans="1:38" s="115" customFormat="1">
      <c r="A301" s="555"/>
      <c r="B301" s="217"/>
      <c r="C301" s="217">
        <v>73</v>
      </c>
      <c r="D301" s="101"/>
      <c r="E301" s="217"/>
      <c r="F301" s="294" t="s">
        <v>131</v>
      </c>
      <c r="G301" s="295" t="str">
        <f>VLOOKUP(F301,'GL Category'!A:C,3,FALSE)</f>
        <v>Personnel services</v>
      </c>
      <c r="H301" s="98" t="str">
        <f>VLOOKUP(F301,'GL Category'!A:C,2,FALSE)</f>
        <v>NON EXEMPT SALARIES</v>
      </c>
      <c r="I301" s="248">
        <f>SUMIFS(I$1:I266,$C$1:$C266,$C301,$F$1:$F266,$F301)</f>
        <v>515408.15</v>
      </c>
      <c r="J301" s="248">
        <f>SUMIFS(J$1:J266,$C$1:$C266,$C301,$F$1:$F266,$F301)</f>
        <v>471934.12</v>
      </c>
      <c r="K301" s="248">
        <f>SUMIFS(K$1:K266,$C$1:$C266,$C301,$F$1:$F266,$F301)</f>
        <v>501761.53</v>
      </c>
      <c r="L301" s="248">
        <f>SUMIFS(L$1:L266,$C$1:$C266,$C301,$F$1:$F266,$F301)</f>
        <v>702825.06</v>
      </c>
      <c r="M301" s="248">
        <f>SUMIFS(M$1:M266,$C$1:$C266,$C301,$F$1:$F266,$F301)</f>
        <v>689200</v>
      </c>
      <c r="N301" s="248">
        <f>SUMIFS(N$1:N266,$C$1:$C266,$C301,$F$1:$F266,$F301)</f>
        <v>469874.3</v>
      </c>
      <c r="O301" s="248">
        <f>SUMIFS(O$1:O266,$C$1:$C266,$C301,$F$1:$F266,$F301)</f>
        <v>635870</v>
      </c>
      <c r="P301" s="248">
        <f>SUMIFS(P$1:P266,$C$1:$C266,$C301,$F$1:$F266,$F301)</f>
        <v>-53330</v>
      </c>
      <c r="Q301" s="248">
        <f>SUMIFS(Q$1:Q266,$C$1:$C266,$C301,$F$1:$F266,$F301)</f>
        <v>687675</v>
      </c>
      <c r="R301" s="248">
        <f>SUMIFS(R$1:R266,$C$1:$C266,$C301,$F$1:$F266,$F301)</f>
        <v>0</v>
      </c>
      <c r="S301" s="248">
        <f>SUMIFS(S$1:S266,$C$1:$C266,$C301,$F$1:$F266,$F301)</f>
        <v>0</v>
      </c>
      <c r="T301" s="248">
        <f>SUMIFS(T$1:T266,$C$1:$C266,$C301,$F$1:$F266,$F301)</f>
        <v>687675</v>
      </c>
      <c r="U301" s="99">
        <f t="shared" ref="U301:U309" si="277">T301-M301</f>
        <v>-1525</v>
      </c>
      <c r="V301" s="259">
        <f t="shared" ref="V301:V309" si="278">IF(M301=0,"N/A",T301/M301-1)</f>
        <v>-2.2127103888566202E-3</v>
      </c>
      <c r="W301" s="102"/>
      <c r="X301" s="103" t="str">
        <f t="shared" ref="X301:X332" si="279">IF(Q301="","",IF(T301=SUM(Q301:S301),"OK","NO"))</f>
        <v>OK</v>
      </c>
      <c r="Y301" s="271"/>
      <c r="Z301" s="121"/>
      <c r="AA301" s="121"/>
      <c r="AB301" s="121"/>
      <c r="AC301" s="121"/>
      <c r="AD301" s="121"/>
      <c r="AE301" s="121"/>
      <c r="AF301" s="121"/>
      <c r="AG301" s="121"/>
      <c r="AH301" s="121"/>
      <c r="AI301" s="121"/>
      <c r="AJ301" s="121"/>
      <c r="AK301" s="121"/>
      <c r="AL301" s="121"/>
    </row>
    <row r="302" spans="1:38" s="115" customFormat="1">
      <c r="A302" s="555"/>
      <c r="B302" s="217"/>
      <c r="C302" s="217">
        <v>73</v>
      </c>
      <c r="D302" s="101"/>
      <c r="E302" s="217"/>
      <c r="F302" s="294" t="s">
        <v>133</v>
      </c>
      <c r="G302" s="295" t="str">
        <f>VLOOKUP(F302,'GL Category'!A:C,3,FALSE)</f>
        <v>Personnel services</v>
      </c>
      <c r="H302" s="98" t="str">
        <f>VLOOKUP(F302,'GL Category'!A:C,2,FALSE)</f>
        <v>OVERTIME</v>
      </c>
      <c r="I302" s="248">
        <f>SUMIFS(I$1:I267,$C$1:$C267,$C302,$F$1:$F267,$F302)</f>
        <v>31243.25</v>
      </c>
      <c r="J302" s="248">
        <f>SUMIFS(J$1:J267,$C$1:$C267,$C302,$F$1:$F267,$F302)</f>
        <v>41520.58</v>
      </c>
      <c r="K302" s="248">
        <f>SUMIFS(K$1:K267,$C$1:$C267,$C302,$F$1:$F267,$F302)</f>
        <v>31871.839999999997</v>
      </c>
      <c r="L302" s="248">
        <f>SUMIFS(L$1:L267,$C$1:$C267,$C302,$F$1:$F267,$F302)</f>
        <v>41564.17</v>
      </c>
      <c r="M302" s="248">
        <f>SUMIFS(M$1:M267,$C$1:$C267,$C302,$F$1:$F267,$F302)</f>
        <v>57894</v>
      </c>
      <c r="N302" s="248">
        <f>SUMIFS(N$1:N267,$C$1:$C267,$C302,$F$1:$F267,$F302)</f>
        <v>30382.379999999997</v>
      </c>
      <c r="O302" s="248">
        <f>SUMIFS(O$1:O267,$C$1:$C267,$C302,$F$1:$F267,$F302)</f>
        <v>39661</v>
      </c>
      <c r="P302" s="248">
        <f>SUMIFS(P$1:P267,$C$1:$C267,$C302,$F$1:$F267,$F302)</f>
        <v>-18233</v>
      </c>
      <c r="Q302" s="248">
        <f>SUMIFS(Q$1:Q267,$C$1:$C267,$C302,$F$1:$F267,$F302)</f>
        <v>57814</v>
      </c>
      <c r="R302" s="248">
        <f>SUMIFS(R$1:R267,$C$1:$C267,$C302,$F$1:$F267,$F302)</f>
        <v>0</v>
      </c>
      <c r="S302" s="248">
        <f>SUMIFS(S$1:S267,$C$1:$C267,$C302,$F$1:$F267,$F302)</f>
        <v>0</v>
      </c>
      <c r="T302" s="248">
        <f>SUMIFS(T$1:T267,$C$1:$C267,$C302,$F$1:$F267,$F302)</f>
        <v>57814</v>
      </c>
      <c r="U302" s="99">
        <f t="shared" si="277"/>
        <v>-80</v>
      </c>
      <c r="V302" s="259">
        <f t="shared" si="278"/>
        <v>-1.3818357688188954E-3</v>
      </c>
      <c r="W302" s="102"/>
      <c r="X302" s="103" t="str">
        <f t="shared" si="279"/>
        <v>OK</v>
      </c>
      <c r="Y302" s="271"/>
      <c r="Z302" s="121"/>
      <c r="AA302" s="121"/>
      <c r="AB302" s="121"/>
      <c r="AC302" s="121"/>
      <c r="AD302" s="121"/>
      <c r="AE302" s="121"/>
      <c r="AF302" s="121"/>
      <c r="AG302" s="121"/>
      <c r="AH302" s="121"/>
      <c r="AI302" s="121"/>
      <c r="AJ302" s="121"/>
      <c r="AK302" s="121"/>
      <c r="AL302" s="121"/>
    </row>
    <row r="303" spans="1:38" s="115" customFormat="1">
      <c r="A303" s="555"/>
      <c r="B303" s="217"/>
      <c r="C303" s="217">
        <v>73</v>
      </c>
      <c r="D303" s="101"/>
      <c r="E303" s="217"/>
      <c r="F303" s="294" t="s">
        <v>136</v>
      </c>
      <c r="G303" s="295" t="str">
        <f>VLOOKUP(F303,'GL Category'!A:C,3,FALSE)</f>
        <v>Personnel services</v>
      </c>
      <c r="H303" s="98" t="str">
        <f>VLOOKUP(F303,'GL Category'!A:C,2,FALSE)</f>
        <v>LONGEVITY PAY</v>
      </c>
      <c r="I303" s="248">
        <f>SUMIFS(I$1:I268,$C$1:$C268,$C303,$F$1:$F268,$F303)</f>
        <v>6720</v>
      </c>
      <c r="J303" s="248">
        <f>SUMIFS(J$1:J268,$C$1:$C268,$C303,$F$1:$F268,$F303)</f>
        <v>7115</v>
      </c>
      <c r="K303" s="248">
        <f>SUMIFS(K$1:K268,$C$1:$C268,$C303,$F$1:$F268,$F303)</f>
        <v>6970</v>
      </c>
      <c r="L303" s="248">
        <f>SUMIFS(L$1:L268,$C$1:$C268,$C303,$F$1:$F268,$F303)</f>
        <v>7850</v>
      </c>
      <c r="M303" s="248">
        <f>SUMIFS(M$1:M268,$C$1:$C268,$C303,$F$1:$F268,$F303)</f>
        <v>8861</v>
      </c>
      <c r="N303" s="248">
        <f>SUMIFS(N$1:N268,$C$1:$C268,$C303,$F$1:$F268,$F303)</f>
        <v>7130</v>
      </c>
      <c r="O303" s="248">
        <f>SUMIFS(O$1:O268,$C$1:$C268,$C303,$F$1:$F268,$F303)</f>
        <v>7130</v>
      </c>
      <c r="P303" s="248">
        <f>SUMIFS(P$1:P268,$C$1:$C268,$C303,$F$1:$F268,$F303)</f>
        <v>-1731</v>
      </c>
      <c r="Q303" s="248">
        <f>SUMIFS(Q$1:Q268,$C$1:$C268,$C303,$F$1:$F268,$F303)</f>
        <v>8535</v>
      </c>
      <c r="R303" s="248">
        <f>SUMIFS(R$1:R268,$C$1:$C268,$C303,$F$1:$F268,$F303)</f>
        <v>0</v>
      </c>
      <c r="S303" s="248">
        <f>SUMIFS(S$1:S268,$C$1:$C268,$C303,$F$1:$F268,$F303)</f>
        <v>0</v>
      </c>
      <c r="T303" s="248">
        <f>SUMIFS(T$1:T268,$C$1:$C268,$C303,$F$1:$F268,$F303)</f>
        <v>8535</v>
      </c>
      <c r="U303" s="99">
        <f t="shared" si="277"/>
        <v>-326</v>
      </c>
      <c r="V303" s="259">
        <f t="shared" si="278"/>
        <v>-3.6790429974043581E-2</v>
      </c>
      <c r="W303" s="102"/>
      <c r="X303" s="103" t="str">
        <f t="shared" si="279"/>
        <v>OK</v>
      </c>
      <c r="Y303" s="271"/>
      <c r="Z303" s="121"/>
      <c r="AA303" s="121"/>
      <c r="AB303" s="121"/>
      <c r="AC303" s="121"/>
      <c r="AD303" s="121"/>
      <c r="AE303" s="121"/>
      <c r="AF303" s="121"/>
      <c r="AG303" s="121"/>
      <c r="AH303" s="121"/>
      <c r="AI303" s="121"/>
      <c r="AJ303" s="121"/>
      <c r="AK303" s="121"/>
      <c r="AL303" s="121"/>
    </row>
    <row r="304" spans="1:38" s="115" customFormat="1">
      <c r="A304" s="555"/>
      <c r="B304" s="217"/>
      <c r="C304" s="217">
        <v>73</v>
      </c>
      <c r="D304" s="101"/>
      <c r="E304" s="217"/>
      <c r="F304" s="294" t="s">
        <v>138</v>
      </c>
      <c r="G304" s="295" t="str">
        <f>VLOOKUP(F304,'GL Category'!A:C,3,FALSE)</f>
        <v>Personnel services</v>
      </c>
      <c r="H304" s="98" t="str">
        <f>VLOOKUP(F304,'GL Category'!A:C,2,FALSE)</f>
        <v>INCENTIVE/CERTIFICATION PAY</v>
      </c>
      <c r="I304" s="248">
        <f>SUMIFS(I$1:I269,$C$1:$C269,$C304,$F$1:$F269,$F304)</f>
        <v>5031.25</v>
      </c>
      <c r="J304" s="248">
        <f>SUMIFS(J$1:J269,$C$1:$C269,$C304,$F$1:$F269,$F304)</f>
        <v>4966.6100000000006</v>
      </c>
      <c r="K304" s="248">
        <f>SUMIFS(K$1:K269,$C$1:$C269,$C304,$F$1:$F269,$F304)</f>
        <v>4663.75</v>
      </c>
      <c r="L304" s="248">
        <f>SUMIFS(L$1:L269,$C$1:$C269,$C304,$F$1:$F269,$F304)</f>
        <v>4475</v>
      </c>
      <c r="M304" s="248">
        <f>SUMIFS(M$1:M269,$C$1:$C269,$C304,$F$1:$F269,$F304)</f>
        <v>5150</v>
      </c>
      <c r="N304" s="248">
        <f>SUMIFS(N$1:N269,$C$1:$C269,$C304,$F$1:$F269,$F304)</f>
        <v>3812.5</v>
      </c>
      <c r="O304" s="248">
        <f>SUMIFS(O$1:O269,$C$1:$C269,$C304,$F$1:$F269,$F304)</f>
        <v>7707</v>
      </c>
      <c r="P304" s="248">
        <f>SUMIFS(P$1:P269,$C$1:$C269,$C304,$F$1:$F269,$F304)</f>
        <v>2557</v>
      </c>
      <c r="Q304" s="248">
        <f>SUMIFS(Q$1:Q269,$C$1:$C269,$C304,$F$1:$F269,$F304)</f>
        <v>6050</v>
      </c>
      <c r="R304" s="248">
        <f>SUMIFS(R$1:R269,$C$1:$C269,$C304,$F$1:$F269,$F304)</f>
        <v>0</v>
      </c>
      <c r="S304" s="248">
        <f>SUMIFS(S$1:S269,$C$1:$C269,$C304,$F$1:$F269,$F304)</f>
        <v>0</v>
      </c>
      <c r="T304" s="248">
        <f>SUMIFS(T$1:T269,$C$1:$C269,$C304,$F$1:$F269,$F304)</f>
        <v>6050</v>
      </c>
      <c r="U304" s="99">
        <f t="shared" si="277"/>
        <v>900</v>
      </c>
      <c r="V304" s="259">
        <f t="shared" si="278"/>
        <v>0.17475728155339798</v>
      </c>
      <c r="W304" s="102"/>
      <c r="X304" s="103" t="str">
        <f t="shared" si="279"/>
        <v>OK</v>
      </c>
      <c r="Y304" s="271"/>
      <c r="Z304" s="121"/>
      <c r="AA304" s="121"/>
      <c r="AB304" s="121"/>
      <c r="AC304" s="121"/>
      <c r="AD304" s="121"/>
      <c r="AE304" s="121"/>
      <c r="AF304" s="121"/>
      <c r="AG304" s="121"/>
      <c r="AH304" s="121"/>
      <c r="AI304" s="121"/>
      <c r="AJ304" s="121"/>
      <c r="AK304" s="121"/>
      <c r="AL304" s="121"/>
    </row>
    <row r="305" spans="1:38" s="115" customFormat="1">
      <c r="A305" s="555"/>
      <c r="B305" s="217"/>
      <c r="C305" s="217">
        <v>73</v>
      </c>
      <c r="D305" s="101"/>
      <c r="E305" s="217"/>
      <c r="F305" s="294" t="s">
        <v>140</v>
      </c>
      <c r="G305" s="295" t="str">
        <f>VLOOKUP(F305,'GL Category'!A:C,3,FALSE)</f>
        <v>Personnel services</v>
      </c>
      <c r="H305" s="98" t="str">
        <f>VLOOKUP(F305,'GL Category'!A:C,2,FALSE)</f>
        <v>SOCIAL SECURITY</v>
      </c>
      <c r="I305" s="248">
        <f>SUMIFS(I$1:I271,$C$1:$C271,$C305,$F$1:$F271,$F305)</f>
        <v>40530.559999999998</v>
      </c>
      <c r="J305" s="248">
        <f>SUMIFS(J$1:J271,$C$1:$C271,$C305,$F$1:$F271,$F305)</f>
        <v>37783.949999999997</v>
      </c>
      <c r="K305" s="248">
        <f>SUMIFS(K$1:K271,$C$1:$C271,$C305,$F$1:$F271,$F305)</f>
        <v>39256.800000000003</v>
      </c>
      <c r="L305" s="248">
        <f>SUMIFS(L$1:L271,$C$1:$C271,$C305,$F$1:$F271,$F305)</f>
        <v>55105.67</v>
      </c>
      <c r="M305" s="248">
        <f>SUMIFS(M$1:M271,$C$1:$C271,$C305,$F$1:$F271,$F305)</f>
        <v>58510</v>
      </c>
      <c r="N305" s="248">
        <f>SUMIFS(N$1:N271,$C$1:$C271,$C305,$F$1:$F271,$F305)</f>
        <v>36655.72</v>
      </c>
      <c r="O305" s="248">
        <f>SUMIFS(O$1:O271,$C$1:$C271,$C305,$F$1:$F271,$F305)</f>
        <v>51225</v>
      </c>
      <c r="P305" s="248">
        <f>SUMIFS(P$1:P271,$C$1:$C271,$C305,$F$1:$F271,$F305)</f>
        <v>-7285</v>
      </c>
      <c r="Q305" s="248">
        <f>SUMIFS(Q$1:Q271,$C$1:$C271,$C305,$F$1:$F271,$F305)</f>
        <v>58460</v>
      </c>
      <c r="R305" s="248">
        <f>SUMIFS(R$1:R271,$C$1:$C271,$C305,$F$1:$F271,$F305)</f>
        <v>0</v>
      </c>
      <c r="S305" s="248">
        <f>SUMIFS(S$1:S271,$C$1:$C271,$C305,$F$1:$F271,$F305)</f>
        <v>0</v>
      </c>
      <c r="T305" s="248">
        <f>SUMIFS(T$1:T271,$C$1:$C271,$C305,$F$1:$F271,$F305)</f>
        <v>58460</v>
      </c>
      <c r="U305" s="99">
        <f t="shared" si="277"/>
        <v>-50</v>
      </c>
      <c r="V305" s="259">
        <f t="shared" si="278"/>
        <v>-8.5455477696116944E-4</v>
      </c>
      <c r="W305" s="102"/>
      <c r="X305" s="103" t="str">
        <f t="shared" si="279"/>
        <v>OK</v>
      </c>
      <c r="Y305" s="271"/>
      <c r="Z305" s="121"/>
      <c r="AA305" s="121"/>
      <c r="AB305" s="121"/>
      <c r="AC305" s="121"/>
      <c r="AD305" s="121"/>
      <c r="AE305" s="121"/>
      <c r="AF305" s="121"/>
      <c r="AG305" s="121"/>
      <c r="AH305" s="121"/>
      <c r="AI305" s="121"/>
      <c r="AJ305" s="121"/>
      <c r="AK305" s="121"/>
      <c r="AL305" s="121"/>
    </row>
    <row r="306" spans="1:38" s="115" customFormat="1">
      <c r="A306" s="555"/>
      <c r="B306" s="217"/>
      <c r="C306" s="217">
        <v>73</v>
      </c>
      <c r="D306" s="101"/>
      <c r="E306" s="217"/>
      <c r="F306" s="294" t="s">
        <v>141</v>
      </c>
      <c r="G306" s="295" t="str">
        <f>VLOOKUP(F306,'GL Category'!A:C,3,FALSE)</f>
        <v>Personnel services</v>
      </c>
      <c r="H306" s="98" t="str">
        <f>VLOOKUP(F306,'GL Category'!A:C,2,FALSE)</f>
        <v>HEALTH/LIFE INSURANCE</v>
      </c>
      <c r="I306" s="248">
        <f>SUMIFS(I$1:I272,$C$1:$C272,$C306,$F$1:$F272,$F306)</f>
        <v>161073.29999999999</v>
      </c>
      <c r="J306" s="248">
        <f>SUMIFS(J$1:J272,$C$1:$C272,$C306,$F$1:$F272,$F306)</f>
        <v>168326.61</v>
      </c>
      <c r="K306" s="248">
        <f>SUMIFS(K$1:K272,$C$1:$C272,$C306,$F$1:$F272,$F306)</f>
        <v>175204.33000000002</v>
      </c>
      <c r="L306" s="248">
        <f>SUMIFS(L$1:L272,$C$1:$C272,$C306,$F$1:$F272,$F306)</f>
        <v>213365.24</v>
      </c>
      <c r="M306" s="248">
        <f>SUMIFS(M$1:M272,$C$1:$C272,$C306,$F$1:$F272,$F306)</f>
        <v>197262</v>
      </c>
      <c r="N306" s="248">
        <f>SUMIFS(N$1:N272,$C$1:$C272,$C306,$F$1:$F272,$F306)</f>
        <v>140461.28999999998</v>
      </c>
      <c r="O306" s="248">
        <f>SUMIFS(O$1:O272,$C$1:$C272,$C306,$F$1:$F272,$F306)</f>
        <v>209463</v>
      </c>
      <c r="P306" s="248">
        <f>SUMIFS(P$1:P272,$C$1:$C272,$C306,$F$1:$F272,$F306)</f>
        <v>12201</v>
      </c>
      <c r="Q306" s="248">
        <f>SUMIFS(Q$1:Q272,$C$1:$C272,$C306,$F$1:$F272,$F306)</f>
        <v>241280</v>
      </c>
      <c r="R306" s="248">
        <f>SUMIFS(R$1:R272,$C$1:$C272,$C306,$F$1:$F272,$F306)</f>
        <v>0</v>
      </c>
      <c r="S306" s="248">
        <f>SUMIFS(S$1:S272,$C$1:$C272,$C306,$F$1:$F272,$F306)</f>
        <v>0</v>
      </c>
      <c r="T306" s="248">
        <f>SUMIFS(T$1:T272,$C$1:$C272,$C306,$F$1:$F272,$F306)</f>
        <v>241280</v>
      </c>
      <c r="U306" s="99">
        <f t="shared" si="277"/>
        <v>44018</v>
      </c>
      <c r="V306" s="259">
        <f t="shared" si="278"/>
        <v>0.22314485303809151</v>
      </c>
      <c r="W306" s="102"/>
      <c r="X306" s="103" t="str">
        <f t="shared" si="279"/>
        <v>OK</v>
      </c>
      <c r="Y306" s="271"/>
      <c r="Z306" s="121"/>
      <c r="AA306" s="121"/>
      <c r="AB306" s="121"/>
      <c r="AC306" s="121"/>
      <c r="AD306" s="121"/>
      <c r="AE306" s="121"/>
      <c r="AF306" s="121"/>
      <c r="AG306" s="121"/>
      <c r="AH306" s="121"/>
      <c r="AI306" s="121"/>
      <c r="AJ306" s="121"/>
      <c r="AK306" s="121"/>
      <c r="AL306" s="121"/>
    </row>
    <row r="307" spans="1:38" s="115" customFormat="1">
      <c r="A307" s="555"/>
      <c r="B307" s="217"/>
      <c r="C307" s="217">
        <v>73</v>
      </c>
      <c r="D307" s="101"/>
      <c r="E307" s="217"/>
      <c r="F307" s="294" t="s">
        <v>143</v>
      </c>
      <c r="G307" s="295" t="str">
        <f>VLOOKUP(F307,'GL Category'!A:C,3,FALSE)</f>
        <v>Personnel services</v>
      </c>
      <c r="H307" s="98" t="str">
        <f>VLOOKUP(F307,'GL Category'!A:C,2,FALSE)</f>
        <v>WORKER COMPENSATION</v>
      </c>
      <c r="I307" s="248">
        <f>SUMIFS(I$1:I273,$C$1:$C273,$C307,$F$1:$F273,$F307)</f>
        <v>4731.2199999999993</v>
      </c>
      <c r="J307" s="248">
        <f>SUMIFS(J$1:J273,$C$1:$C273,$C307,$F$1:$F273,$F307)</f>
        <v>4283.13</v>
      </c>
      <c r="K307" s="248">
        <f>SUMIFS(K$1:K273,$C$1:$C273,$C307,$F$1:$F273,$F307)</f>
        <v>5006.6399999999994</v>
      </c>
      <c r="L307" s="248">
        <f>SUMIFS(L$1:L273,$C$1:$C273,$C307,$F$1:$F273,$F307)</f>
        <v>9397.5</v>
      </c>
      <c r="M307" s="248">
        <f>SUMIFS(M$1:M273,$C$1:$C273,$C307,$F$1:$F273,$F307)</f>
        <v>13093</v>
      </c>
      <c r="N307" s="248">
        <f>SUMIFS(N$1:N273,$C$1:$C273,$C307,$F$1:$F273,$F307)</f>
        <v>13082.310000000001</v>
      </c>
      <c r="O307" s="248">
        <f>SUMIFS(O$1:O273,$C$1:$C273,$C307,$F$1:$F273,$F307)</f>
        <v>13083</v>
      </c>
      <c r="P307" s="248">
        <f>SUMIFS(P$1:P273,$C$1:$C273,$C307,$F$1:$F273,$F307)</f>
        <v>-10</v>
      </c>
      <c r="Q307" s="248">
        <f>SUMIFS(Q$1:Q273,$C$1:$C273,$C307,$F$1:$F273,$F307)</f>
        <v>11533</v>
      </c>
      <c r="R307" s="248">
        <f>SUMIFS(R$1:R273,$C$1:$C273,$C307,$F$1:$F273,$F307)</f>
        <v>0</v>
      </c>
      <c r="S307" s="248">
        <f>SUMIFS(S$1:S273,$C$1:$C273,$C307,$F$1:$F273,$F307)</f>
        <v>0</v>
      </c>
      <c r="T307" s="248">
        <f>SUMIFS(T$1:T273,$C$1:$C273,$C307,$F$1:$F273,$F307)</f>
        <v>11533</v>
      </c>
      <c r="U307" s="99">
        <f t="shared" si="277"/>
        <v>-1560</v>
      </c>
      <c r="V307" s="259">
        <f t="shared" si="278"/>
        <v>-0.11914763614144963</v>
      </c>
      <c r="W307" s="102"/>
      <c r="X307" s="103" t="str">
        <f t="shared" si="279"/>
        <v>OK</v>
      </c>
      <c r="Y307" s="271"/>
      <c r="Z307" s="121"/>
      <c r="AA307" s="121"/>
      <c r="AB307" s="121"/>
      <c r="AC307" s="121"/>
      <c r="AD307" s="121"/>
      <c r="AE307" s="121"/>
      <c r="AF307" s="121"/>
      <c r="AG307" s="121"/>
      <c r="AH307" s="121"/>
      <c r="AI307" s="121"/>
      <c r="AJ307" s="121"/>
      <c r="AK307" s="121"/>
      <c r="AL307" s="121"/>
    </row>
    <row r="308" spans="1:38" s="115" customFormat="1">
      <c r="A308" s="555"/>
      <c r="B308" s="217"/>
      <c r="C308" s="217">
        <v>73</v>
      </c>
      <c r="D308" s="101"/>
      <c r="E308" s="217"/>
      <c r="F308" s="294" t="s">
        <v>147</v>
      </c>
      <c r="G308" s="295" t="str">
        <f>VLOOKUP(F308,'GL Category'!A:C,3,FALSE)</f>
        <v>Personnel services</v>
      </c>
      <c r="H308" s="98" t="str">
        <f>VLOOKUP(F308,'GL Category'!A:C,2,FALSE)</f>
        <v>RETIREMENT</v>
      </c>
      <c r="I308" s="248">
        <f>SUMIFS(I$1:I273,$C$1:$C273,$C308,$F$1:$F273,$F308)</f>
        <v>88697.97</v>
      </c>
      <c r="J308" s="248">
        <f>SUMIFS(J$1:J273,$C$1:$C273,$C308,$F$1:$F273,$F308)</f>
        <v>85276.77</v>
      </c>
      <c r="K308" s="248">
        <f>SUMIFS(K$1:K273,$C$1:$C273,$C308,$F$1:$F273,$F308)</f>
        <v>88315.670000000013</v>
      </c>
      <c r="L308" s="248">
        <f>SUMIFS(L$1:L273,$C$1:$C273,$C308,$F$1:$F273,$F308)</f>
        <v>122616.91</v>
      </c>
      <c r="M308" s="248">
        <f>SUMIFS(M$1:M273,$C$1:$C273,$C308,$F$1:$F273,$F308)</f>
        <v>126331</v>
      </c>
      <c r="N308" s="248">
        <f>SUMIFS(N$1:N273,$C$1:$C273,$C308,$F$1:$F273,$F308)</f>
        <v>84777.83</v>
      </c>
      <c r="O308" s="248">
        <f>SUMIFS(O$1:O273,$C$1:$C273,$C308,$F$1:$F273,$F308)</f>
        <v>115477</v>
      </c>
      <c r="P308" s="248">
        <f>SUMIFS(P$1:P273,$C$1:$C273,$C308,$F$1:$F273,$F308)</f>
        <v>-10854</v>
      </c>
      <c r="Q308" s="248">
        <f>SUMIFS(Q$1:Q273,$C$1:$C273,$C308,$F$1:$F273,$F308)</f>
        <v>129211</v>
      </c>
      <c r="R308" s="248">
        <f>SUMIFS(R$1:R273,$C$1:$C273,$C308,$F$1:$F273,$F308)</f>
        <v>0</v>
      </c>
      <c r="S308" s="248">
        <f>SUMIFS(S$1:S273,$C$1:$C273,$C308,$F$1:$F273,$F308)</f>
        <v>0</v>
      </c>
      <c r="T308" s="248">
        <f>SUMIFS(T$1:T273,$C$1:$C273,$C308,$F$1:$F273,$F308)</f>
        <v>129211</v>
      </c>
      <c r="U308" s="99">
        <f t="shared" si="277"/>
        <v>2880</v>
      </c>
      <c r="V308" s="259">
        <f t="shared" si="278"/>
        <v>2.2797254830564162E-2</v>
      </c>
      <c r="W308" s="102"/>
      <c r="X308" s="103" t="str">
        <f t="shared" si="279"/>
        <v>OK</v>
      </c>
      <c r="Y308" s="271"/>
      <c r="Z308" s="121"/>
      <c r="AA308" s="121"/>
      <c r="AB308" s="121"/>
      <c r="AC308" s="121"/>
      <c r="AD308" s="121"/>
      <c r="AE308" s="121"/>
      <c r="AF308" s="121"/>
      <c r="AG308" s="121"/>
      <c r="AH308" s="121"/>
      <c r="AI308" s="121"/>
      <c r="AJ308" s="121"/>
      <c r="AK308" s="121"/>
      <c r="AL308" s="121"/>
    </row>
    <row r="309" spans="1:38" s="115" customFormat="1">
      <c r="A309" s="555"/>
      <c r="B309" s="217"/>
      <c r="C309" s="217"/>
      <c r="D309" s="101"/>
      <c r="E309" s="217"/>
      <c r="F309" s="294"/>
      <c r="G309" s="146"/>
      <c r="H309" s="107" t="str">
        <f>UPPER(G308)&amp;" TOTAL"</f>
        <v>PERSONNEL SERVICES TOTAL</v>
      </c>
      <c r="I309" s="108">
        <f t="shared" ref="I309" si="280">SUBTOTAL(9,I301:I308)</f>
        <v>853435.7</v>
      </c>
      <c r="J309" s="108">
        <f t="shared" ref="J309:P309" si="281">SUBTOTAL(9,J301:J308)</f>
        <v>821206.77</v>
      </c>
      <c r="K309" s="108">
        <f t="shared" ref="K309" si="282">SUBTOTAL(9,K301:K308)</f>
        <v>853050.56</v>
      </c>
      <c r="L309" s="108">
        <f t="shared" ref="L309" si="283">SUBTOTAL(9,L301:L308)</f>
        <v>1157199.55</v>
      </c>
      <c r="M309" s="108">
        <f t="shared" si="281"/>
        <v>1156301</v>
      </c>
      <c r="N309" s="109">
        <f t="shared" ref="N309" si="284">SUBTOTAL(9,N301:N308)</f>
        <v>786176.33</v>
      </c>
      <c r="O309" s="109">
        <f t="shared" si="281"/>
        <v>1079616</v>
      </c>
      <c r="P309" s="109">
        <f t="shared" si="281"/>
        <v>-76685</v>
      </c>
      <c r="Q309" s="109">
        <f t="shared" ref="Q309:T309" si="285">SUBTOTAL(9,Q301:Q308)</f>
        <v>1200558</v>
      </c>
      <c r="R309" s="109">
        <f t="shared" si="285"/>
        <v>0</v>
      </c>
      <c r="S309" s="109">
        <f t="shared" si="285"/>
        <v>0</v>
      </c>
      <c r="T309" s="109">
        <f t="shared" si="285"/>
        <v>1200558</v>
      </c>
      <c r="U309" s="99">
        <f t="shared" si="277"/>
        <v>44257</v>
      </c>
      <c r="V309" s="259">
        <f t="shared" si="278"/>
        <v>3.8274636102537229E-2</v>
      </c>
      <c r="W309" s="102"/>
      <c r="X309" s="103" t="str">
        <f t="shared" si="279"/>
        <v>OK</v>
      </c>
      <c r="Y309" s="271"/>
      <c r="Z309" s="121"/>
      <c r="AA309" s="121"/>
      <c r="AB309" s="121"/>
      <c r="AC309" s="121"/>
      <c r="AD309" s="121"/>
      <c r="AE309" s="121"/>
      <c r="AF309" s="121"/>
      <c r="AG309" s="121"/>
      <c r="AH309" s="121"/>
      <c r="AI309" s="121"/>
      <c r="AJ309" s="121"/>
      <c r="AK309" s="121"/>
      <c r="AL309" s="121"/>
    </row>
    <row r="310" spans="1:38" s="115" customFormat="1">
      <c r="A310" s="555"/>
      <c r="B310" s="217"/>
      <c r="C310" s="217"/>
      <c r="D310" s="101"/>
      <c r="E310" s="217"/>
      <c r="F310" s="294"/>
      <c r="G310" s="146"/>
      <c r="H310" s="98"/>
      <c r="I310" s="106"/>
      <c r="J310" s="106"/>
      <c r="K310" s="106"/>
      <c r="L310" s="106"/>
      <c r="M310" s="106"/>
      <c r="N310" s="110"/>
      <c r="O310" s="110"/>
      <c r="P310" s="110"/>
      <c r="Q310" s="111"/>
      <c r="R310" s="111"/>
      <c r="S310" s="111"/>
      <c r="T310" s="111"/>
      <c r="U310" s="111"/>
      <c r="V310" s="111"/>
      <c r="W310" s="102"/>
      <c r="X310" s="103" t="str">
        <f t="shared" si="279"/>
        <v/>
      </c>
      <c r="Y310" s="271"/>
      <c r="Z310" s="121"/>
      <c r="AA310" s="121"/>
      <c r="AB310" s="121"/>
      <c r="AC310" s="121"/>
      <c r="AD310" s="121"/>
      <c r="AE310" s="121"/>
      <c r="AF310" s="121"/>
      <c r="AG310" s="121"/>
      <c r="AH310" s="121"/>
      <c r="AI310" s="121"/>
      <c r="AJ310" s="121"/>
      <c r="AK310" s="121"/>
      <c r="AL310" s="121"/>
    </row>
    <row r="311" spans="1:38" s="115" customFormat="1" ht="15" customHeight="1">
      <c r="A311" s="555"/>
      <c r="B311" s="217"/>
      <c r="C311" s="217">
        <v>73</v>
      </c>
      <c r="D311" s="101"/>
      <c r="E311" s="217"/>
      <c r="F311" s="294" t="s">
        <v>251</v>
      </c>
      <c r="G311" s="295" t="str">
        <f>VLOOKUP(F311,'GL Category'!A:C,3,FALSE)</f>
        <v>Operations &amp; maintenance</v>
      </c>
      <c r="H311" s="98" t="str">
        <f>VLOOKUP(F311,'GL Category'!A:C,2,FALSE)</f>
        <v>MEDICAL SUPPLIES</v>
      </c>
      <c r="I311" s="248">
        <f>SUMIFS(I$1:I276,$C$1:$C276,$C311,$F$1:$F276,$F311)</f>
        <v>0</v>
      </c>
      <c r="J311" s="248">
        <f>SUMIFS(J$1:J276,$C$1:$C276,$C311,$F$1:$F276,$F311)</f>
        <v>0</v>
      </c>
      <c r="K311" s="248">
        <f>SUMIFS(K$1:K276,$C$1:$C276,$C311,$F$1:$F276,$F311)</f>
        <v>0</v>
      </c>
      <c r="L311" s="248">
        <f>SUMIFS(L$1:L276,$C$1:$C276,$C311,$F$1:$F276,$F311)</f>
        <v>0</v>
      </c>
      <c r="M311" s="248">
        <f>SUMIFS(M$1:M276,$C$1:$C276,$C311,$F$1:$F276,$F311)</f>
        <v>0</v>
      </c>
      <c r="N311" s="248">
        <f>SUMIFS(N$1:N276,$C$1:$C276,$C311,$F$1:$F276,$F311)</f>
        <v>0</v>
      </c>
      <c r="O311" s="248">
        <f>SUMIFS(O$1:O276,$C$1:$C276,$C311,$F$1:$F276,$F311)</f>
        <v>0</v>
      </c>
      <c r="P311" s="248">
        <f>SUMIFS(P$1:P276,$C$1:$C276,$C311,$F$1:$F276,$F311)</f>
        <v>0</v>
      </c>
      <c r="Q311" s="248">
        <f>SUMIFS(Q$1:Q276,$C$1:$C276,$C311,$F$1:$F276,$F311)</f>
        <v>0</v>
      </c>
      <c r="R311" s="248">
        <f>SUMIFS(R$1:R276,$C$1:$C276,$C311,$F$1:$F276,$F311)</f>
        <v>0</v>
      </c>
      <c r="S311" s="248">
        <f>SUMIFS(S$1:S276,$C$1:$C276,$C311,$F$1:$F276,$F311)</f>
        <v>0</v>
      </c>
      <c r="T311" s="248">
        <f>SUMIFS(T$1:T276,$C$1:$C276,$C311,$F$1:$F276,$F311)</f>
        <v>0</v>
      </c>
      <c r="U311" s="99">
        <f t="shared" ref="U311:U333" si="286">T311-M311</f>
        <v>0</v>
      </c>
      <c r="V311" s="259" t="str">
        <f t="shared" ref="V311:V333" si="287">IF(M311=0,"N/A",T311/M311-1)</f>
        <v>N/A</v>
      </c>
      <c r="W311" s="102"/>
      <c r="X311" s="103" t="str">
        <f t="shared" si="279"/>
        <v>OK</v>
      </c>
      <c r="Y311" s="271"/>
      <c r="Z311" s="121"/>
      <c r="AA311" s="121"/>
      <c r="AB311" s="121"/>
      <c r="AC311" s="121"/>
      <c r="AD311" s="121"/>
      <c r="AE311" s="121"/>
      <c r="AF311" s="121"/>
      <c r="AG311" s="121"/>
      <c r="AH311" s="121"/>
      <c r="AI311" s="121"/>
      <c r="AJ311" s="121"/>
      <c r="AK311" s="121"/>
      <c r="AL311" s="121"/>
    </row>
    <row r="312" spans="1:38" s="115" customFormat="1" ht="15" customHeight="1">
      <c r="A312" s="555"/>
      <c r="B312" s="217"/>
      <c r="C312" s="217">
        <v>73</v>
      </c>
      <c r="D312" s="101"/>
      <c r="E312" s="217"/>
      <c r="F312" s="294" t="s">
        <v>159</v>
      </c>
      <c r="G312" s="295" t="str">
        <f>VLOOKUP(F312,'GL Category'!A:C,3,FALSE)</f>
        <v>Operations &amp; maintenance</v>
      </c>
      <c r="H312" s="98" t="str">
        <f>VLOOKUP(F312,'GL Category'!A:C,2,FALSE)</f>
        <v>SMALL TOOLS &amp; EQUIPMENT</v>
      </c>
      <c r="I312" s="248">
        <f>SUMIFS(I$1:I278,$C$1:$C278,$C312,$F$1:$F278,$F312)</f>
        <v>8381.83</v>
      </c>
      <c r="J312" s="248">
        <f>SUMIFS(J$1:J278,$C$1:$C278,$C312,$F$1:$F278,$F312)</f>
        <v>5436.41</v>
      </c>
      <c r="K312" s="248">
        <f>SUMIFS(K$1:K278,$C$1:$C278,$C312,$F$1:$F278,$F312)</f>
        <v>7958.7800000000007</v>
      </c>
      <c r="L312" s="248">
        <f>SUMIFS(L$1:L278,$C$1:$C278,$C312,$F$1:$F278,$F312)</f>
        <v>11914.75</v>
      </c>
      <c r="M312" s="248">
        <f>SUMIFS(M$1:M278,$C$1:$C278,$C312,$F$1:$F278,$F312)</f>
        <v>16000</v>
      </c>
      <c r="N312" s="248">
        <f>SUMIFS(N$1:N278,$C$1:$C278,$C312,$F$1:$F278,$F312)</f>
        <v>4429.26</v>
      </c>
      <c r="O312" s="248">
        <f>SUMIFS(O$1:O278,$C$1:$C278,$C312,$F$1:$F278,$F312)</f>
        <v>12500</v>
      </c>
      <c r="P312" s="248">
        <f>SUMIFS(P$1:P278,$C$1:$C278,$C312,$F$1:$F278,$F312)</f>
        <v>-3500</v>
      </c>
      <c r="Q312" s="248">
        <f>SUMIFS(Q$1:Q278,$C$1:$C278,$C312,$F$1:$F278,$F312)</f>
        <v>13500</v>
      </c>
      <c r="R312" s="248">
        <f>SUMIFS(R$1:R278,$C$1:$C278,$C312,$F$1:$F278,$F312)</f>
        <v>0</v>
      </c>
      <c r="S312" s="248">
        <f>SUMIFS(S$1:S278,$C$1:$C278,$C312,$F$1:$F278,$F312)</f>
        <v>0</v>
      </c>
      <c r="T312" s="248">
        <f>SUMIFS(T$1:T278,$C$1:$C278,$C312,$F$1:$F278,$F312)</f>
        <v>13500</v>
      </c>
      <c r="U312" s="99">
        <f t="shared" si="286"/>
        <v>-2500</v>
      </c>
      <c r="V312" s="259">
        <f t="shared" si="287"/>
        <v>-0.15625</v>
      </c>
      <c r="W312" s="102"/>
      <c r="X312" s="103" t="str">
        <f t="shared" si="279"/>
        <v>OK</v>
      </c>
      <c r="Y312" s="271"/>
      <c r="Z312" s="121"/>
      <c r="AA312" s="121"/>
      <c r="AB312" s="121"/>
      <c r="AC312" s="121"/>
      <c r="AD312" s="121"/>
      <c r="AE312" s="121"/>
      <c r="AF312" s="121"/>
      <c r="AG312" s="121"/>
      <c r="AH312" s="121"/>
      <c r="AI312" s="121"/>
      <c r="AJ312" s="121"/>
      <c r="AK312" s="121"/>
      <c r="AL312" s="121"/>
    </row>
    <row r="313" spans="1:38" s="115" customFormat="1" ht="15" customHeight="1">
      <c r="A313" s="555"/>
      <c r="B313" s="217"/>
      <c r="C313" s="217">
        <v>73</v>
      </c>
      <c r="D313" s="101"/>
      <c r="E313" s="217"/>
      <c r="F313" s="294" t="s">
        <v>160</v>
      </c>
      <c r="G313" s="295" t="str">
        <f>VLOOKUP(F313,'GL Category'!A:C,3,FALSE)</f>
        <v>Operations &amp; maintenance</v>
      </c>
      <c r="H313" s="98" t="str">
        <f>VLOOKUP(F313,'GL Category'!A:C,2,FALSE)</f>
        <v>FUEL/OILS/LUBRICANTS</v>
      </c>
      <c r="I313" s="248">
        <f>SUMIFS(I$1:I278,$C$1:$C278,$C313,$F$1:$F278,$F313)</f>
        <v>13339.19</v>
      </c>
      <c r="J313" s="248">
        <f>SUMIFS(J$1:J278,$C$1:$C278,$C313,$F$1:$F278,$F313)</f>
        <v>20949.190000000002</v>
      </c>
      <c r="K313" s="248">
        <f>SUMIFS(K$1:K278,$C$1:$C278,$C313,$F$1:$F278,$F313)</f>
        <v>30937.22</v>
      </c>
      <c r="L313" s="248">
        <f>SUMIFS(L$1:L278,$C$1:$C278,$C313,$F$1:$F278,$F313)</f>
        <v>38203.96</v>
      </c>
      <c r="M313" s="248">
        <f>SUMIFS(M$1:M278,$C$1:$C278,$C313,$F$1:$F278,$F313)</f>
        <v>37530</v>
      </c>
      <c r="N313" s="248">
        <f>SUMIFS(N$1:N278,$C$1:$C278,$C313,$F$1:$F278,$F313)</f>
        <v>26121.599999999999</v>
      </c>
      <c r="O313" s="248">
        <f>SUMIFS(O$1:O278,$C$1:$C278,$C313,$F$1:$F278,$F313)</f>
        <v>34530</v>
      </c>
      <c r="P313" s="248">
        <f>SUMIFS(P$1:P278,$C$1:$C278,$C313,$F$1:$F278,$F313)</f>
        <v>-3000</v>
      </c>
      <c r="Q313" s="248">
        <f>SUMIFS(Q$1:Q278,$C$1:$C278,$C313,$F$1:$F278,$F313)</f>
        <v>36530</v>
      </c>
      <c r="R313" s="248">
        <f>SUMIFS(R$1:R278,$C$1:$C278,$C313,$F$1:$F278,$F313)</f>
        <v>0</v>
      </c>
      <c r="S313" s="248">
        <f>SUMIFS(S$1:S278,$C$1:$C278,$C313,$F$1:$F278,$F313)</f>
        <v>0</v>
      </c>
      <c r="T313" s="248">
        <f>SUMIFS(T$1:T278,$C$1:$C278,$C313,$F$1:$F278,$F313)</f>
        <v>36530</v>
      </c>
      <c r="U313" s="99">
        <f t="shared" si="286"/>
        <v>-1000</v>
      </c>
      <c r="V313" s="259">
        <f t="shared" si="287"/>
        <v>-2.6645350386357625E-2</v>
      </c>
      <c r="W313" s="102"/>
      <c r="X313" s="103" t="str">
        <f t="shared" si="279"/>
        <v>OK</v>
      </c>
      <c r="Y313" s="271"/>
      <c r="Z313" s="121"/>
      <c r="AA313" s="121"/>
      <c r="AB313" s="121"/>
      <c r="AC313" s="121"/>
      <c r="AD313" s="121"/>
      <c r="AE313" s="121"/>
      <c r="AF313" s="121"/>
      <c r="AG313" s="121"/>
      <c r="AH313" s="121"/>
      <c r="AI313" s="121"/>
      <c r="AJ313" s="121"/>
      <c r="AK313" s="121"/>
      <c r="AL313" s="121"/>
    </row>
    <row r="314" spans="1:38" s="115" customFormat="1" ht="15" customHeight="1">
      <c r="A314" s="555"/>
      <c r="B314" s="217"/>
      <c r="C314" s="217">
        <v>73</v>
      </c>
      <c r="D314" s="101"/>
      <c r="E314" s="217"/>
      <c r="F314" s="294" t="s">
        <v>233</v>
      </c>
      <c r="G314" s="295" t="str">
        <f>VLOOKUP(F314,'GL Category'!A:C,3,FALSE)</f>
        <v>Operations &amp; maintenance</v>
      </c>
      <c r="H314" s="98" t="str">
        <f>VLOOKUP(F314,'GL Category'!A:C,2,FALSE)</f>
        <v>STREET SIGN/SIGNAL SUPPLIES</v>
      </c>
      <c r="I314" s="248">
        <f>SUMIFS(I$1:I278,$C$1:$C278,$C314,$F$1:$F278,$F314)</f>
        <v>0</v>
      </c>
      <c r="J314" s="248">
        <f>SUMIFS(J$1:J278,$C$1:$C278,$C314,$F$1:$F278,$F314)</f>
        <v>0</v>
      </c>
      <c r="K314" s="248">
        <f>SUMIFS(K$1:K278,$C$1:$C278,$C314,$F$1:$F278,$F314)</f>
        <v>0</v>
      </c>
      <c r="L314" s="248">
        <f>SUMIFS(L$1:L278,$C$1:$C278,$C314,$F$1:$F278,$F314)</f>
        <v>0</v>
      </c>
      <c r="M314" s="248">
        <f>SUMIFS(M$1:M278,$C$1:$C278,$C314,$F$1:$F278,$F314)</f>
        <v>0</v>
      </c>
      <c r="N314" s="248">
        <f>SUMIFS(N$1:N278,$C$1:$C278,$C314,$F$1:$F278,$F314)</f>
        <v>0</v>
      </c>
      <c r="O314" s="248">
        <f>SUMIFS(O$1:O278,$C$1:$C278,$C314,$F$1:$F278,$F314)</f>
        <v>0</v>
      </c>
      <c r="P314" s="248">
        <f>SUMIFS(P$1:P278,$C$1:$C278,$C314,$F$1:$F278,$F314)</f>
        <v>0</v>
      </c>
      <c r="Q314" s="248">
        <f>SUMIFS(Q$1:Q278,$C$1:$C278,$C314,$F$1:$F278,$F314)</f>
        <v>0</v>
      </c>
      <c r="R314" s="248">
        <f>SUMIFS(R$1:R278,$C$1:$C278,$C314,$F$1:$F278,$F314)</f>
        <v>0</v>
      </c>
      <c r="S314" s="248">
        <f>SUMIFS(S$1:S278,$C$1:$C278,$C314,$F$1:$F278,$F314)</f>
        <v>0</v>
      </c>
      <c r="T314" s="248">
        <f>SUMIFS(T$1:T278,$C$1:$C278,$C314,$F$1:$F278,$F314)</f>
        <v>0</v>
      </c>
      <c r="U314" s="99">
        <f t="shared" si="286"/>
        <v>0</v>
      </c>
      <c r="V314" s="259" t="str">
        <f t="shared" si="287"/>
        <v>N/A</v>
      </c>
      <c r="W314" s="102"/>
      <c r="X314" s="103" t="str">
        <f t="shared" si="279"/>
        <v>OK</v>
      </c>
      <c r="Y314" s="271"/>
      <c r="Z314" s="121"/>
      <c r="AA314" s="121"/>
      <c r="AB314" s="121"/>
      <c r="AC314" s="121"/>
      <c r="AD314" s="121"/>
      <c r="AE314" s="121"/>
      <c r="AF314" s="121"/>
      <c r="AG314" s="121"/>
      <c r="AH314" s="121"/>
      <c r="AI314" s="121"/>
      <c r="AJ314" s="121"/>
      <c r="AK314" s="121"/>
      <c r="AL314" s="121"/>
    </row>
    <row r="315" spans="1:38" s="115" customFormat="1" ht="15" customHeight="1">
      <c r="A315" s="555"/>
      <c r="B315" s="217"/>
      <c r="C315" s="217">
        <v>73</v>
      </c>
      <c r="D315" s="101"/>
      <c r="E315" s="217"/>
      <c r="F315" s="294" t="s">
        <v>275</v>
      </c>
      <c r="G315" s="295" t="str">
        <f>VLOOKUP(F315,'GL Category'!A:C,3,FALSE)</f>
        <v>Operations &amp; maintenance</v>
      </c>
      <c r="H315" s="98" t="str">
        <f>VLOOKUP(F315,'GL Category'!A:C,2,FALSE)</f>
        <v>CHEMICAL SUPPLIES</v>
      </c>
      <c r="I315" s="248">
        <f>SUMIFS(I$1:I278,$C$1:$C278,$C315,$F$1:$F278,$F315)</f>
        <v>3039.96</v>
      </c>
      <c r="J315" s="248">
        <f>SUMIFS(J$1:J278,$C$1:$C278,$C315,$F$1:$F278,$F315)</f>
        <v>771.56</v>
      </c>
      <c r="K315" s="248">
        <f>SUMIFS(K$1:K278,$C$1:$C278,$C315,$F$1:$F278,$F315)</f>
        <v>4447.75</v>
      </c>
      <c r="L315" s="248">
        <f>SUMIFS(L$1:L278,$C$1:$C278,$C315,$F$1:$F278,$F315)</f>
        <v>-1033.01</v>
      </c>
      <c r="M315" s="248">
        <f>SUMIFS(M$1:M278,$C$1:$C278,$C315,$F$1:$F278,$F315)</f>
        <v>5700</v>
      </c>
      <c r="N315" s="248">
        <f>SUMIFS(N$1:N278,$C$1:$C278,$C315,$F$1:$F278,$F315)</f>
        <v>0</v>
      </c>
      <c r="O315" s="248">
        <f>SUMIFS(O$1:O278,$C$1:$C278,$C315,$F$1:$F278,$F315)</f>
        <v>4500</v>
      </c>
      <c r="P315" s="248">
        <f>SUMIFS(P$1:P278,$C$1:$C278,$C315,$F$1:$F278,$F315)</f>
        <v>-1200</v>
      </c>
      <c r="Q315" s="248">
        <f>SUMIFS(Q$1:Q278,$C$1:$C278,$C315,$F$1:$F278,$F315)</f>
        <v>4500</v>
      </c>
      <c r="R315" s="248">
        <f>SUMIFS(R$1:R278,$C$1:$C278,$C315,$F$1:$F278,$F315)</f>
        <v>0</v>
      </c>
      <c r="S315" s="248">
        <f>SUMIFS(S$1:S278,$C$1:$C278,$C315,$F$1:$F278,$F315)</f>
        <v>0</v>
      </c>
      <c r="T315" s="248">
        <f>SUMIFS(T$1:T278,$C$1:$C278,$C315,$F$1:$F278,$F315)</f>
        <v>4500</v>
      </c>
      <c r="U315" s="99">
        <f t="shared" si="286"/>
        <v>-1200</v>
      </c>
      <c r="V315" s="259">
        <f t="shared" si="287"/>
        <v>-0.21052631578947367</v>
      </c>
      <c r="W315" s="102"/>
      <c r="X315" s="103" t="str">
        <f t="shared" si="279"/>
        <v>OK</v>
      </c>
      <c r="Y315" s="271"/>
      <c r="Z315" s="121"/>
      <c r="AA315" s="121"/>
      <c r="AB315" s="121"/>
      <c r="AC315" s="121"/>
      <c r="AD315" s="121"/>
      <c r="AE315" s="121"/>
      <c r="AF315" s="121"/>
      <c r="AG315" s="121"/>
      <c r="AH315" s="121"/>
      <c r="AI315" s="121"/>
      <c r="AJ315" s="121"/>
      <c r="AK315" s="121"/>
      <c r="AL315" s="121"/>
    </row>
    <row r="316" spans="1:38" s="115" customFormat="1" ht="15" customHeight="1">
      <c r="A316" s="555"/>
      <c r="B316" s="217"/>
      <c r="C316" s="217">
        <v>73</v>
      </c>
      <c r="D316" s="101"/>
      <c r="E316" s="217"/>
      <c r="F316" s="294" t="s">
        <v>1124</v>
      </c>
      <c r="G316" s="295" t="str">
        <f>VLOOKUP(F316,'GL Category'!A:C,3,FALSE)</f>
        <v>Operations &amp; maintenance</v>
      </c>
      <c r="H316" s="98" t="str">
        <f>VLOOKUP(F316,'GL Category'!A:C,2,FALSE)</f>
        <v>TESTING SUPPLIES</v>
      </c>
      <c r="I316" s="248">
        <f>SUMIFS(I$1:I278,$C$1:$C278,$C316,$F$1:$F278,$F316)</f>
        <v>0</v>
      </c>
      <c r="J316" s="248">
        <f>SUMIFS(J$1:J278,$C$1:$C278,$C316,$F$1:$F278,$F316)</f>
        <v>6498.11</v>
      </c>
      <c r="K316" s="248">
        <f>SUMIFS(K$1:K278,$C$1:$C278,$C316,$F$1:$F278,$F316)</f>
        <v>9893.4599999999991</v>
      </c>
      <c r="L316" s="248">
        <f>SUMIFS(L$1:L278,$C$1:$C278,$C316,$F$1:$F278,$F316)</f>
        <v>12485</v>
      </c>
      <c r="M316" s="248">
        <f>SUMIFS(M$1:M278,$C$1:$C278,$C316,$F$1:$F278,$F316)</f>
        <v>14600</v>
      </c>
      <c r="N316" s="248">
        <f>SUMIFS(N$1:N278,$C$1:$C278,$C316,$F$1:$F278,$F316)</f>
        <v>6610.1</v>
      </c>
      <c r="O316" s="248">
        <f>SUMIFS(O$1:O278,$C$1:$C278,$C316,$F$1:$F278,$F316)</f>
        <v>13000</v>
      </c>
      <c r="P316" s="248">
        <f>SUMIFS(P$1:P278,$C$1:$C278,$C316,$F$1:$F278,$F316)</f>
        <v>-1600</v>
      </c>
      <c r="Q316" s="248">
        <f>SUMIFS(Q$1:Q278,$C$1:$C278,$C316,$F$1:$F278,$F316)</f>
        <v>13000</v>
      </c>
      <c r="R316" s="248">
        <f>SUMIFS(R$1:R278,$C$1:$C278,$C316,$F$1:$F278,$F316)</f>
        <v>0</v>
      </c>
      <c r="S316" s="248">
        <f>SUMIFS(S$1:S278,$C$1:$C278,$C316,$F$1:$F278,$F316)</f>
        <v>0</v>
      </c>
      <c r="T316" s="248">
        <f>SUMIFS(T$1:T278,$C$1:$C278,$C316,$F$1:$F278,$F316)</f>
        <v>13000</v>
      </c>
      <c r="U316" s="99">
        <f t="shared" si="286"/>
        <v>-1600</v>
      </c>
      <c r="V316" s="259">
        <f t="shared" si="287"/>
        <v>-0.1095890410958904</v>
      </c>
      <c r="W316" s="102"/>
      <c r="X316" s="103" t="str">
        <f t="shared" si="279"/>
        <v>OK</v>
      </c>
      <c r="Y316" s="271"/>
      <c r="Z316" s="121"/>
      <c r="AA316" s="121"/>
      <c r="AB316" s="121"/>
      <c r="AC316" s="121"/>
      <c r="AD316" s="121"/>
      <c r="AE316" s="121"/>
      <c r="AF316" s="121"/>
      <c r="AG316" s="121"/>
      <c r="AH316" s="121"/>
      <c r="AI316" s="121"/>
      <c r="AJ316" s="121"/>
      <c r="AK316" s="121"/>
      <c r="AL316" s="121"/>
    </row>
    <row r="317" spans="1:38" s="115" customFormat="1" ht="15" customHeight="1">
      <c r="A317" s="555"/>
      <c r="B317" s="217"/>
      <c r="C317" s="217">
        <v>73</v>
      </c>
      <c r="D317" s="101"/>
      <c r="E317" s="217"/>
      <c r="F317" s="294" t="s">
        <v>166</v>
      </c>
      <c r="G317" s="295" t="str">
        <f>VLOOKUP(F317,'GL Category'!A:C,3,FALSE)</f>
        <v>Operations &amp; maintenance</v>
      </c>
      <c r="H317" s="98" t="str">
        <f>VLOOKUP(F317,'GL Category'!A:C,2,FALSE)</f>
        <v>WEARING APPAREL</v>
      </c>
      <c r="I317" s="248">
        <f>SUMIFS(I$1:I279,$C$1:$C279,$C317,$F$1:$F279,$F317)</f>
        <v>7088.8600000000006</v>
      </c>
      <c r="J317" s="248">
        <f>SUMIFS(J$1:J279,$C$1:$C279,$C317,$F$1:$F279,$F317)</f>
        <v>5324.91</v>
      </c>
      <c r="K317" s="248">
        <f>SUMIFS(K$1:K279,$C$1:$C279,$C317,$F$1:$F279,$F317)</f>
        <v>5433.1</v>
      </c>
      <c r="L317" s="248">
        <f>SUMIFS(L$1:L279,$C$1:$C279,$C317,$F$1:$F279,$F317)</f>
        <v>7623.619999999999</v>
      </c>
      <c r="M317" s="248">
        <f>SUMIFS(M$1:M279,$C$1:$C279,$C317,$F$1:$F279,$F317)</f>
        <v>7800</v>
      </c>
      <c r="N317" s="248">
        <f>SUMIFS(N$1:N279,$C$1:$C279,$C317,$F$1:$F279,$F317)</f>
        <v>5636.04</v>
      </c>
      <c r="O317" s="248">
        <f>SUMIFS(O$1:O279,$C$1:$C279,$C317,$F$1:$F279,$F317)</f>
        <v>7800</v>
      </c>
      <c r="P317" s="248">
        <f>SUMIFS(P$1:P279,$C$1:$C279,$C317,$F$1:$F279,$F317)</f>
        <v>0</v>
      </c>
      <c r="Q317" s="248">
        <f>SUMIFS(Q$1:Q279,$C$1:$C279,$C317,$F$1:$F279,$F317)</f>
        <v>7800</v>
      </c>
      <c r="R317" s="248">
        <f>SUMIFS(R$1:R279,$C$1:$C279,$C317,$F$1:$F279,$F317)</f>
        <v>0</v>
      </c>
      <c r="S317" s="248">
        <f>SUMIFS(S$1:S279,$C$1:$C279,$C317,$F$1:$F279,$F317)</f>
        <v>0</v>
      </c>
      <c r="T317" s="248">
        <f>SUMIFS(T$1:T279,$C$1:$C279,$C317,$F$1:$F279,$F317)</f>
        <v>7800</v>
      </c>
      <c r="U317" s="99">
        <f t="shared" si="286"/>
        <v>0</v>
      </c>
      <c r="V317" s="259">
        <f t="shared" si="287"/>
        <v>0</v>
      </c>
      <c r="W317" s="102"/>
      <c r="X317" s="103" t="str">
        <f t="shared" si="279"/>
        <v>OK</v>
      </c>
      <c r="Y317" s="271"/>
      <c r="Z317" s="121"/>
      <c r="AA317" s="121"/>
      <c r="AB317" s="121"/>
      <c r="AC317" s="121"/>
      <c r="AD317" s="121"/>
      <c r="AE317" s="121"/>
      <c r="AF317" s="121"/>
      <c r="AG317" s="121"/>
      <c r="AH317" s="121"/>
      <c r="AI317" s="121"/>
      <c r="AJ317" s="121"/>
      <c r="AK317" s="121"/>
      <c r="AL317" s="121"/>
    </row>
    <row r="318" spans="1:38" s="115" customFormat="1" ht="15" customHeight="1">
      <c r="A318" s="555"/>
      <c r="B318" s="217"/>
      <c r="C318" s="217">
        <v>73</v>
      </c>
      <c r="D318" s="101"/>
      <c r="E318" s="217"/>
      <c r="F318" s="294" t="s">
        <v>273</v>
      </c>
      <c r="G318" s="295" t="str">
        <f>VLOOKUP(F318,'GL Category'!A:C,3,FALSE)</f>
        <v>Operations &amp; maintenance</v>
      </c>
      <c r="H318" s="98" t="str">
        <f>VLOOKUP(F318,'GL Category'!A:C,2,FALSE)</f>
        <v>SAFETY EQUIPMENT/SUPPLIES</v>
      </c>
      <c r="I318" s="248">
        <f>SUMIFS(I$1:I280,$C$1:$C280,$C318,$F$1:$F280,$F318)</f>
        <v>7300.7</v>
      </c>
      <c r="J318" s="248">
        <f>SUMIFS(J$1:J280,$C$1:$C280,$C318,$F$1:$F280,$F318)</f>
        <v>5622.1399999999994</v>
      </c>
      <c r="K318" s="248">
        <f>SUMIFS(K$1:K280,$C$1:$C280,$C318,$F$1:$F280,$F318)</f>
        <v>3617.52</v>
      </c>
      <c r="L318" s="248">
        <f>SUMIFS(L$1:L280,$C$1:$C280,$C318,$F$1:$F280,$F318)</f>
        <v>0</v>
      </c>
      <c r="M318" s="248">
        <f>SUMIFS(M$1:M280,$C$1:$C280,$C318,$F$1:$F280,$F318)</f>
        <v>0</v>
      </c>
      <c r="N318" s="248">
        <f>SUMIFS(N$1:N280,$C$1:$C280,$C318,$F$1:$F280,$F318)</f>
        <v>0</v>
      </c>
      <c r="O318" s="248">
        <f>SUMIFS(O$1:O280,$C$1:$C280,$C318,$F$1:$F280,$F318)</f>
        <v>0</v>
      </c>
      <c r="P318" s="248">
        <f>SUMIFS(P$1:P280,$C$1:$C280,$C318,$F$1:$F280,$F318)</f>
        <v>0</v>
      </c>
      <c r="Q318" s="248">
        <f>SUMIFS(Q$1:Q280,$C$1:$C280,$C318,$F$1:$F280,$F318)</f>
        <v>0</v>
      </c>
      <c r="R318" s="248">
        <f>SUMIFS(R$1:R280,$C$1:$C280,$C318,$F$1:$F280,$F318)</f>
        <v>0</v>
      </c>
      <c r="S318" s="248">
        <f>SUMIFS(S$1:S280,$C$1:$C280,$C318,$F$1:$F280,$F318)</f>
        <v>0</v>
      </c>
      <c r="T318" s="248">
        <f>SUMIFS(T$1:T280,$C$1:$C280,$C318,$F$1:$F280,$F318)</f>
        <v>0</v>
      </c>
      <c r="U318" s="99">
        <f t="shared" si="286"/>
        <v>0</v>
      </c>
      <c r="V318" s="259" t="str">
        <f t="shared" si="287"/>
        <v>N/A</v>
      </c>
      <c r="W318" s="102"/>
      <c r="X318" s="103" t="str">
        <f t="shared" si="279"/>
        <v>OK</v>
      </c>
      <c r="Y318" s="271"/>
      <c r="Z318" s="121"/>
      <c r="AA318" s="121"/>
      <c r="AB318" s="121"/>
      <c r="AC318" s="121"/>
      <c r="AD318" s="121"/>
      <c r="AE318" s="121"/>
      <c r="AF318" s="121"/>
      <c r="AG318" s="121"/>
      <c r="AH318" s="121"/>
      <c r="AI318" s="121"/>
      <c r="AJ318" s="121"/>
      <c r="AK318" s="121"/>
      <c r="AL318" s="121"/>
    </row>
    <row r="319" spans="1:38" s="115" customFormat="1" ht="15" customHeight="1">
      <c r="A319" s="555"/>
      <c r="B319" s="217"/>
      <c r="C319" s="217">
        <v>73</v>
      </c>
      <c r="D319" s="101"/>
      <c r="E319" s="217"/>
      <c r="F319" s="294" t="s">
        <v>168</v>
      </c>
      <c r="G319" s="295" t="str">
        <f>VLOOKUP(F319,'GL Category'!A:C,3,FALSE)</f>
        <v>Operations &amp; maintenance</v>
      </c>
      <c r="H319" s="98" t="str">
        <f>VLOOKUP(F319,'GL Category'!A:C,2,FALSE)</f>
        <v>MISCELLANEOUS SUPPLIES</v>
      </c>
      <c r="I319" s="248">
        <f>SUMIFS(I$1:I280,$C$1:$C280,$C319,$F$1:$F280,$F319)</f>
        <v>11526.27</v>
      </c>
      <c r="J319" s="248">
        <f>SUMIFS(J$1:J280,$C$1:$C280,$C319,$F$1:$F280,$F319)</f>
        <v>0</v>
      </c>
      <c r="K319" s="248">
        <f>SUMIFS(K$1:K280,$C$1:$C280,$C319,$F$1:$F280,$F319)</f>
        <v>0</v>
      </c>
      <c r="L319" s="248">
        <f>SUMIFS(L$1:L280,$C$1:$C280,$C319,$F$1:$F280,$F319)</f>
        <v>0</v>
      </c>
      <c r="M319" s="248">
        <f>SUMIFS(M$1:M280,$C$1:$C280,$C319,$F$1:$F280,$F319)</f>
        <v>0</v>
      </c>
      <c r="N319" s="248">
        <f>SUMIFS(N$1:N280,$C$1:$C280,$C319,$F$1:$F280,$F319)</f>
        <v>0</v>
      </c>
      <c r="O319" s="248">
        <f>SUMIFS(O$1:O280,$C$1:$C280,$C319,$F$1:$F280,$F319)</f>
        <v>0</v>
      </c>
      <c r="P319" s="248">
        <f>SUMIFS(P$1:P280,$C$1:$C280,$C319,$F$1:$F280,$F319)</f>
        <v>0</v>
      </c>
      <c r="Q319" s="248">
        <f>SUMIFS(Q$1:Q280,$C$1:$C280,$C319,$F$1:$F280,$F319)</f>
        <v>0</v>
      </c>
      <c r="R319" s="248">
        <f>SUMIFS(R$1:R280,$C$1:$C280,$C319,$F$1:$F280,$F319)</f>
        <v>0</v>
      </c>
      <c r="S319" s="248">
        <f>SUMIFS(S$1:S280,$C$1:$C280,$C319,$F$1:$F280,$F319)</f>
        <v>0</v>
      </c>
      <c r="T319" s="248">
        <f>SUMIFS(T$1:T280,$C$1:$C280,$C319,$F$1:$F280,$F319)</f>
        <v>0</v>
      </c>
      <c r="U319" s="99">
        <f t="shared" si="286"/>
        <v>0</v>
      </c>
      <c r="V319" s="259" t="str">
        <f t="shared" si="287"/>
        <v>N/A</v>
      </c>
      <c r="W319" s="102"/>
      <c r="X319" s="103" t="str">
        <f t="shared" si="279"/>
        <v>OK</v>
      </c>
      <c r="Y319" s="271"/>
      <c r="Z319" s="121"/>
      <c r="AA319" s="121"/>
      <c r="AB319" s="121"/>
      <c r="AC319" s="121"/>
      <c r="AD319" s="121"/>
      <c r="AE319" s="121"/>
      <c r="AF319" s="121"/>
      <c r="AG319" s="121"/>
      <c r="AH319" s="121"/>
      <c r="AI319" s="121"/>
      <c r="AJ319" s="121"/>
      <c r="AK319" s="121"/>
      <c r="AL319" s="121"/>
    </row>
    <row r="320" spans="1:38" s="115" customFormat="1" ht="15" customHeight="1">
      <c r="A320" s="555"/>
      <c r="B320" s="217"/>
      <c r="C320" s="217">
        <v>73</v>
      </c>
      <c r="D320" s="101"/>
      <c r="E320" s="217"/>
      <c r="F320" s="294" t="s">
        <v>170</v>
      </c>
      <c r="G320" s="295" t="str">
        <f>VLOOKUP(F320,'GL Category'!A:C,3,FALSE)</f>
        <v>Operations &amp; maintenance</v>
      </c>
      <c r="H320" s="98" t="str">
        <f>VLOOKUP(F320,'GL Category'!A:C,2,FALSE)</f>
        <v>BUILDING MAINTENANCE</v>
      </c>
      <c r="I320" s="248">
        <f>SUMIFS(I$1:I281,$C$1:$C281,$C320,$F$1:$F281,$F320)</f>
        <v>11404.1</v>
      </c>
      <c r="J320" s="248">
        <f>SUMIFS(J$1:J281,$C$1:$C281,$C320,$F$1:$F281,$F320)</f>
        <v>8178</v>
      </c>
      <c r="K320" s="248">
        <f>SUMIFS(K$1:K281,$C$1:$C281,$C320,$F$1:$F281,$F320)</f>
        <v>1832</v>
      </c>
      <c r="L320" s="248">
        <f>SUMIFS(L$1:L281,$C$1:$C281,$C320,$F$1:$F281,$F320)</f>
        <v>7914.1</v>
      </c>
      <c r="M320" s="248">
        <f>SUMIFS(M$1:M281,$C$1:$C281,$C320,$F$1:$F281,$F320)</f>
        <v>17000</v>
      </c>
      <c r="N320" s="248">
        <f>SUMIFS(N$1:N281,$C$1:$C281,$C320,$F$1:$F281,$F320)</f>
        <v>2132.5</v>
      </c>
      <c r="O320" s="248">
        <f>SUMIFS(O$1:O281,$C$1:$C281,$C320,$F$1:$F281,$F320)</f>
        <v>13000</v>
      </c>
      <c r="P320" s="248">
        <f>SUMIFS(P$1:P281,$C$1:$C281,$C320,$F$1:$F281,$F320)</f>
        <v>-4000</v>
      </c>
      <c r="Q320" s="248">
        <f>SUMIFS(Q$1:Q281,$C$1:$C281,$C320,$F$1:$F281,$F320)</f>
        <v>15000</v>
      </c>
      <c r="R320" s="248">
        <f>SUMIFS(R$1:R281,$C$1:$C281,$C320,$F$1:$F281,$F320)</f>
        <v>0</v>
      </c>
      <c r="S320" s="248">
        <f>SUMIFS(S$1:S281,$C$1:$C281,$C320,$F$1:$F281,$F320)</f>
        <v>0</v>
      </c>
      <c r="T320" s="248">
        <f>SUMIFS(T$1:T281,$C$1:$C281,$C320,$F$1:$F281,$F320)</f>
        <v>15000</v>
      </c>
      <c r="U320" s="99">
        <f t="shared" si="286"/>
        <v>-2000</v>
      </c>
      <c r="V320" s="259">
        <f t="shared" si="287"/>
        <v>-0.11764705882352944</v>
      </c>
      <c r="W320" s="102"/>
      <c r="X320" s="103" t="str">
        <f t="shared" si="279"/>
        <v>OK</v>
      </c>
      <c r="Y320" s="271"/>
      <c r="Z320" s="121"/>
      <c r="AA320" s="121"/>
      <c r="AB320" s="121"/>
      <c r="AC320" s="121"/>
      <c r="AD320" s="121"/>
      <c r="AE320" s="121"/>
      <c r="AF320" s="121"/>
      <c r="AG320" s="121"/>
      <c r="AH320" s="121"/>
      <c r="AI320" s="121"/>
      <c r="AJ320" s="121"/>
      <c r="AK320" s="121"/>
      <c r="AL320" s="121"/>
    </row>
    <row r="321" spans="1:38" s="115" customFormat="1" ht="15" customHeight="1">
      <c r="A321" s="555"/>
      <c r="B321" s="217"/>
      <c r="C321" s="217">
        <v>73</v>
      </c>
      <c r="D321" s="101"/>
      <c r="E321" s="217"/>
      <c r="F321" s="294" t="s">
        <v>172</v>
      </c>
      <c r="G321" s="295" t="str">
        <f>VLOOKUP(F321,'GL Category'!A:C,3,FALSE)</f>
        <v>Operations &amp; maintenance</v>
      </c>
      <c r="H321" s="98" t="str">
        <f>VLOOKUP(F321,'GL Category'!A:C,2,FALSE)</f>
        <v>GROUNDS MAINTENANCE</v>
      </c>
      <c r="I321" s="248">
        <f>SUMIFS(I$1:I282,$C$1:$C282,$C321,$F$1:$F282,$F321)</f>
        <v>259.88</v>
      </c>
      <c r="J321" s="248">
        <f>SUMIFS(J$1:J282,$C$1:$C282,$C321,$F$1:$F282,$F321)</f>
        <v>0</v>
      </c>
      <c r="K321" s="248">
        <f>SUMIFS(K$1:K282,$C$1:$C282,$C321,$F$1:$F282,$F321)</f>
        <v>0</v>
      </c>
      <c r="L321" s="248">
        <f>SUMIFS(L$1:L282,$C$1:$C282,$C321,$F$1:$F282,$F321)</f>
        <v>0</v>
      </c>
      <c r="M321" s="248">
        <f>SUMIFS(M$1:M282,$C$1:$C282,$C321,$F$1:$F282,$F321)</f>
        <v>0</v>
      </c>
      <c r="N321" s="248">
        <f>SUMIFS(N$1:N282,$C$1:$C282,$C321,$F$1:$F282,$F321)</f>
        <v>0</v>
      </c>
      <c r="O321" s="248">
        <f>SUMIFS(O$1:O282,$C$1:$C282,$C321,$F$1:$F282,$F321)</f>
        <v>0</v>
      </c>
      <c r="P321" s="248">
        <f>SUMIFS(P$1:P282,$C$1:$C282,$C321,$F$1:$F282,$F321)</f>
        <v>0</v>
      </c>
      <c r="Q321" s="248">
        <f>SUMIFS(Q$1:Q282,$C$1:$C282,$C321,$F$1:$F282,$F321)</f>
        <v>0</v>
      </c>
      <c r="R321" s="248">
        <f>SUMIFS(R$1:R282,$C$1:$C282,$C321,$F$1:$F282,$F321)</f>
        <v>0</v>
      </c>
      <c r="S321" s="248">
        <f>SUMIFS(S$1:S282,$C$1:$C282,$C321,$F$1:$F282,$F321)</f>
        <v>0</v>
      </c>
      <c r="T321" s="248">
        <f>SUMIFS(T$1:T282,$C$1:$C282,$C321,$F$1:$F282,$F321)</f>
        <v>0</v>
      </c>
      <c r="U321" s="99">
        <f t="shared" si="286"/>
        <v>0</v>
      </c>
      <c r="V321" s="259" t="str">
        <f t="shared" si="287"/>
        <v>N/A</v>
      </c>
      <c r="W321" s="102"/>
      <c r="X321" s="103" t="str">
        <f t="shared" si="279"/>
        <v>OK</v>
      </c>
      <c r="Y321" s="271"/>
      <c r="Z321" s="121"/>
      <c r="AA321" s="121"/>
      <c r="AB321" s="121"/>
      <c r="AC321" s="121"/>
      <c r="AD321" s="121"/>
      <c r="AE321" s="121"/>
      <c r="AF321" s="121"/>
      <c r="AG321" s="121"/>
      <c r="AH321" s="121"/>
      <c r="AI321" s="121"/>
      <c r="AJ321" s="121"/>
      <c r="AK321" s="121"/>
      <c r="AL321" s="121"/>
    </row>
    <row r="322" spans="1:38" s="115" customFormat="1" ht="15" customHeight="1">
      <c r="A322" s="555"/>
      <c r="B322" s="217"/>
      <c r="C322" s="217">
        <v>73</v>
      </c>
      <c r="D322" s="101"/>
      <c r="E322" s="217"/>
      <c r="F322" s="294" t="s">
        <v>293</v>
      </c>
      <c r="G322" s="295" t="str">
        <f>VLOOKUP(F322,'GL Category'!A:C,3,FALSE)</f>
        <v>Operations &amp; maintenance</v>
      </c>
      <c r="H322" s="98" t="str">
        <f>VLOOKUP(F322,'GL Category'!A:C,2,FALSE)</f>
        <v>STREET MAINTENANCE</v>
      </c>
      <c r="I322" s="248">
        <f>SUMIFS(I$1:I283,$C$1:$C283,$C322,$F$1:$F283,$F322)</f>
        <v>0</v>
      </c>
      <c r="J322" s="248">
        <f>SUMIFS(J$1:J283,$C$1:$C283,$C322,$F$1:$F283,$F322)</f>
        <v>0</v>
      </c>
      <c r="K322" s="248">
        <f>SUMIFS(K$1:K283,$C$1:$C283,$C322,$F$1:$F283,$F322)</f>
        <v>0</v>
      </c>
      <c r="L322" s="248">
        <f>SUMIFS(L$1:L283,$C$1:$C283,$C322,$F$1:$F283,$F322)</f>
        <v>0</v>
      </c>
      <c r="M322" s="248">
        <f>SUMIFS(M$1:M283,$C$1:$C283,$C322,$F$1:$F283,$F322)</f>
        <v>0</v>
      </c>
      <c r="N322" s="248">
        <f>SUMIFS(N$1:N283,$C$1:$C283,$C322,$F$1:$F283,$F322)</f>
        <v>0</v>
      </c>
      <c r="O322" s="248">
        <f>SUMIFS(O$1:O283,$C$1:$C283,$C322,$F$1:$F283,$F322)</f>
        <v>0</v>
      </c>
      <c r="P322" s="248">
        <f>SUMIFS(P$1:P283,$C$1:$C283,$C322,$F$1:$F283,$F322)</f>
        <v>0</v>
      </c>
      <c r="Q322" s="248">
        <f>SUMIFS(Q$1:Q283,$C$1:$C283,$C322,$F$1:$F283,$F322)</f>
        <v>0</v>
      </c>
      <c r="R322" s="248">
        <f>SUMIFS(R$1:R283,$C$1:$C283,$C322,$F$1:$F283,$F322)</f>
        <v>0</v>
      </c>
      <c r="S322" s="248">
        <f>SUMIFS(S$1:S283,$C$1:$C283,$C322,$F$1:$F283,$F322)</f>
        <v>0</v>
      </c>
      <c r="T322" s="248">
        <f>SUMIFS(T$1:T283,$C$1:$C283,$C322,$F$1:$F283,$F322)</f>
        <v>0</v>
      </c>
      <c r="U322" s="99">
        <f t="shared" si="286"/>
        <v>0</v>
      </c>
      <c r="V322" s="259" t="str">
        <f t="shared" si="287"/>
        <v>N/A</v>
      </c>
      <c r="W322" s="102"/>
      <c r="X322" s="103" t="str">
        <f t="shared" si="279"/>
        <v>OK</v>
      </c>
      <c r="Y322" s="271"/>
      <c r="Z322" s="121"/>
      <c r="AA322" s="121"/>
      <c r="AB322" s="121"/>
      <c r="AC322" s="121"/>
      <c r="AD322" s="121"/>
      <c r="AE322" s="121"/>
      <c r="AF322" s="121"/>
      <c r="AG322" s="121"/>
      <c r="AH322" s="121"/>
      <c r="AI322" s="121"/>
      <c r="AJ322" s="121"/>
      <c r="AK322" s="121"/>
      <c r="AL322" s="121"/>
    </row>
    <row r="323" spans="1:38" s="115" customFormat="1" ht="15" customHeight="1">
      <c r="A323" s="555"/>
      <c r="B323" s="217"/>
      <c r="C323" s="217">
        <v>73</v>
      </c>
      <c r="D323" s="101"/>
      <c r="E323" s="217"/>
      <c r="F323" s="294" t="s">
        <v>358</v>
      </c>
      <c r="G323" s="295" t="str">
        <f>VLOOKUP(F323,'GL Category'!A:C,3,FALSE)</f>
        <v>Operations &amp; maintenance</v>
      </c>
      <c r="H323" s="98" t="str">
        <f>VLOOKUP(F323,'GL Category'!A:C,2,FALSE)</f>
        <v>MAINS &amp; SERVICES MAINTENANCE</v>
      </c>
      <c r="I323" s="248">
        <f>SUMIFS(I$1:I284,$C$1:$C284,$C323,$F$1:$F284,$F323)</f>
        <v>123188.58</v>
      </c>
      <c r="J323" s="248">
        <f>SUMIFS(J$1:J284,$C$1:$C284,$C323,$F$1:$F284,$F323)</f>
        <v>224792.27</v>
      </c>
      <c r="K323" s="248">
        <f>SUMIFS(K$1:K284,$C$1:$C284,$C323,$F$1:$F284,$F323)</f>
        <v>434632.07</v>
      </c>
      <c r="L323" s="248">
        <f>SUMIFS(L$1:L284,$C$1:$C284,$C323,$F$1:$F284,$F323)</f>
        <v>441498.92</v>
      </c>
      <c r="M323" s="248">
        <f>SUMIFS(M$1:M284,$C$1:$C284,$C323,$F$1:$F284,$F323)</f>
        <v>214000</v>
      </c>
      <c r="N323" s="248">
        <f>SUMIFS(N$1:N284,$C$1:$C284,$C323,$F$1:$F284,$F323)</f>
        <v>227819.79</v>
      </c>
      <c r="O323" s="248">
        <f>SUMIFS(O$1:O284,$C$1:$C284,$C323,$F$1:$F284,$F323)</f>
        <v>400000</v>
      </c>
      <c r="P323" s="248">
        <f>SUMIFS(P$1:P284,$C$1:$C284,$C323,$F$1:$F284,$F323)</f>
        <v>186000</v>
      </c>
      <c r="Q323" s="248">
        <f>SUMIFS(Q$1:Q284,$C$1:$C284,$C323,$F$1:$F284,$F323)</f>
        <v>230000</v>
      </c>
      <c r="R323" s="248">
        <f>SUMIFS(R$1:R284,$C$1:$C284,$C323,$F$1:$F284,$F323)</f>
        <v>0</v>
      </c>
      <c r="S323" s="248">
        <f>SUMIFS(S$1:S284,$C$1:$C284,$C323,$F$1:$F284,$F323)</f>
        <v>0</v>
      </c>
      <c r="T323" s="248">
        <f>SUMIFS(T$1:T284,$C$1:$C284,$C323,$F$1:$F284,$F323)</f>
        <v>230000</v>
      </c>
      <c r="U323" s="99">
        <f t="shared" si="286"/>
        <v>16000</v>
      </c>
      <c r="V323" s="259">
        <f t="shared" si="287"/>
        <v>7.4766355140186924E-2</v>
      </c>
      <c r="W323" s="102"/>
      <c r="X323" s="103" t="str">
        <f t="shared" si="279"/>
        <v>OK</v>
      </c>
      <c r="Y323" s="271"/>
      <c r="Z323" s="121"/>
      <c r="AA323" s="121"/>
      <c r="AB323" s="121"/>
      <c r="AC323" s="121"/>
      <c r="AD323" s="121"/>
      <c r="AE323" s="121"/>
      <c r="AF323" s="121"/>
      <c r="AG323" s="121"/>
      <c r="AH323" s="121"/>
      <c r="AI323" s="121"/>
      <c r="AJ323" s="121"/>
      <c r="AK323" s="121"/>
      <c r="AL323" s="121"/>
    </row>
    <row r="324" spans="1:38" s="115" customFormat="1" ht="15" customHeight="1">
      <c r="A324" s="555"/>
      <c r="B324" s="217"/>
      <c r="C324" s="217">
        <v>73</v>
      </c>
      <c r="D324" s="101"/>
      <c r="E324" s="217"/>
      <c r="F324" s="294" t="s">
        <v>354</v>
      </c>
      <c r="G324" s="295" t="str">
        <f>VLOOKUP(F324,'GL Category'!A:C,3,FALSE)</f>
        <v>Operations &amp; maintenance</v>
      </c>
      <c r="H324" s="98" t="str">
        <f>VLOOKUP(F324,'GL Category'!A:C,2,FALSE)</f>
        <v>PUMP/MOTOR/WELL MAINTENANCE</v>
      </c>
      <c r="I324" s="248">
        <f>SUMIFS(I$1:I285,$C$1:$C285,$C324,$F$1:$F285,$F324)</f>
        <v>20089.64</v>
      </c>
      <c r="J324" s="248">
        <f>SUMIFS(J$1:J285,$C$1:$C285,$C324,$F$1:$F285,$F324)</f>
        <v>46377.990000000005</v>
      </c>
      <c r="K324" s="248">
        <f>SUMIFS(K$1:K285,$C$1:$C285,$C324,$F$1:$F285,$F324)</f>
        <v>39336.97</v>
      </c>
      <c r="L324" s="248">
        <f>SUMIFS(L$1:L285,$C$1:$C285,$C324,$F$1:$F285,$F324)</f>
        <v>66876.66</v>
      </c>
      <c r="M324" s="248">
        <f>SUMIFS(M$1:M285,$C$1:$C285,$C324,$F$1:$F285,$F324)</f>
        <v>36000</v>
      </c>
      <c r="N324" s="248">
        <f>SUMIFS(N$1:N285,$C$1:$C285,$C324,$F$1:$F285,$F324)</f>
        <v>19306.09</v>
      </c>
      <c r="O324" s="248">
        <f>SUMIFS(O$1:O285,$C$1:$C285,$C324,$F$1:$F285,$F324)</f>
        <v>40000</v>
      </c>
      <c r="P324" s="248">
        <f>SUMIFS(P$1:P285,$C$1:$C285,$C324,$F$1:$F285,$F324)</f>
        <v>4000</v>
      </c>
      <c r="Q324" s="248">
        <f>SUMIFS(Q$1:Q285,$C$1:$C285,$C324,$F$1:$F285,$F324)</f>
        <v>36000</v>
      </c>
      <c r="R324" s="248">
        <f>SUMIFS(R$1:R285,$C$1:$C285,$C324,$F$1:$F285,$F324)</f>
        <v>0</v>
      </c>
      <c r="S324" s="248">
        <f>SUMIFS(S$1:S285,$C$1:$C285,$C324,$F$1:$F285,$F324)</f>
        <v>0</v>
      </c>
      <c r="T324" s="248">
        <f>SUMIFS(T$1:T285,$C$1:$C285,$C324,$F$1:$F285,$F324)</f>
        <v>36000</v>
      </c>
      <c r="U324" s="99">
        <f t="shared" si="286"/>
        <v>0</v>
      </c>
      <c r="V324" s="259">
        <f t="shared" si="287"/>
        <v>0</v>
      </c>
      <c r="W324" s="102"/>
      <c r="X324" s="103" t="str">
        <f t="shared" si="279"/>
        <v>OK</v>
      </c>
      <c r="Y324" s="271"/>
      <c r="Z324" s="121"/>
      <c r="AA324" s="121"/>
      <c r="AB324" s="121"/>
      <c r="AC324" s="121"/>
      <c r="AD324" s="121"/>
      <c r="AE324" s="121"/>
      <c r="AF324" s="121"/>
      <c r="AG324" s="121"/>
      <c r="AH324" s="121"/>
      <c r="AI324" s="121"/>
      <c r="AJ324" s="121"/>
      <c r="AK324" s="121"/>
      <c r="AL324" s="121"/>
    </row>
    <row r="325" spans="1:38" s="115" customFormat="1" ht="15" customHeight="1">
      <c r="A325" s="555"/>
      <c r="B325" s="217"/>
      <c r="C325" s="217">
        <v>73</v>
      </c>
      <c r="D325" s="101"/>
      <c r="E325" s="217"/>
      <c r="F325" s="294" t="s">
        <v>362</v>
      </c>
      <c r="G325" s="295" t="str">
        <f>VLOOKUP(F325,'GL Category'!A:C,3,FALSE)</f>
        <v>Operations &amp; maintenance</v>
      </c>
      <c r="H325" s="98" t="str">
        <f>VLOOKUP(F325,'GL Category'!A:C,2,FALSE)</f>
        <v>METER MAINTENANCE</v>
      </c>
      <c r="I325" s="248">
        <f>SUMIFS(I$1:I286,$C$1:$C286,$C325,$F$1:$F286,$F325)</f>
        <v>0</v>
      </c>
      <c r="J325" s="248">
        <f>SUMIFS(J$1:J286,$C$1:$C286,$C325,$F$1:$F286,$F325)</f>
        <v>0</v>
      </c>
      <c r="K325" s="248">
        <f>SUMIFS(K$1:K286,$C$1:$C286,$C325,$F$1:$F286,$F325)</f>
        <v>0</v>
      </c>
      <c r="L325" s="248">
        <f>SUMIFS(L$1:L286,$C$1:$C286,$C325,$F$1:$F286,$F325)</f>
        <v>0</v>
      </c>
      <c r="M325" s="248">
        <f>SUMIFS(M$1:M286,$C$1:$C286,$C325,$F$1:$F286,$F325)</f>
        <v>0</v>
      </c>
      <c r="N325" s="248">
        <f>SUMIFS(N$1:N286,$C$1:$C286,$C325,$F$1:$F286,$F325)</f>
        <v>0</v>
      </c>
      <c r="O325" s="248">
        <f>SUMIFS(O$1:O286,$C$1:$C286,$C325,$F$1:$F286,$F325)</f>
        <v>0</v>
      </c>
      <c r="P325" s="248">
        <f>SUMIFS(P$1:P286,$C$1:$C286,$C325,$F$1:$F286,$F325)</f>
        <v>0</v>
      </c>
      <c r="Q325" s="248">
        <f>SUMIFS(Q$1:Q286,$C$1:$C286,$C325,$F$1:$F286,$F325)</f>
        <v>0</v>
      </c>
      <c r="R325" s="248">
        <f>SUMIFS(R$1:R286,$C$1:$C286,$C325,$F$1:$F286,$F325)</f>
        <v>0</v>
      </c>
      <c r="S325" s="248">
        <f>SUMIFS(S$1:S286,$C$1:$C286,$C325,$F$1:$F286,$F325)</f>
        <v>0</v>
      </c>
      <c r="T325" s="248">
        <f>SUMIFS(T$1:T286,$C$1:$C286,$C325,$F$1:$F286,$F325)</f>
        <v>0</v>
      </c>
      <c r="U325" s="99">
        <f t="shared" si="286"/>
        <v>0</v>
      </c>
      <c r="V325" s="259" t="str">
        <f t="shared" si="287"/>
        <v>N/A</v>
      </c>
      <c r="W325" s="102"/>
      <c r="X325" s="103" t="str">
        <f t="shared" si="279"/>
        <v>OK</v>
      </c>
      <c r="Y325" s="271"/>
      <c r="Z325" s="121"/>
      <c r="AA325" s="121"/>
      <c r="AB325" s="121"/>
      <c r="AC325" s="121"/>
      <c r="AD325" s="121"/>
      <c r="AE325" s="121"/>
      <c r="AF325" s="121"/>
      <c r="AG325" s="121"/>
      <c r="AH325" s="121"/>
      <c r="AI325" s="121"/>
      <c r="AJ325" s="121"/>
      <c r="AK325" s="121"/>
      <c r="AL325" s="121"/>
    </row>
    <row r="326" spans="1:38" s="115" customFormat="1" ht="15" customHeight="1">
      <c r="A326" s="555"/>
      <c r="B326" s="217"/>
      <c r="C326" s="217">
        <v>73</v>
      </c>
      <c r="D326" s="101"/>
      <c r="E326" s="217"/>
      <c r="F326" s="294" t="s">
        <v>291</v>
      </c>
      <c r="G326" s="295" t="e">
        <f>VLOOKUP(F326,'GL Category'!A:C,3,FALSE)</f>
        <v>#N/A</v>
      </c>
      <c r="H326" s="98" t="e">
        <f>VLOOKUP(F326,'GL Category'!A:C,2,FALSE)</f>
        <v>#N/A</v>
      </c>
      <c r="I326" s="248">
        <f>SUMIFS(I$1:I287,$C$1:$C287,$C326,$F$1:$F287,$F326)</f>
        <v>0</v>
      </c>
      <c r="J326" s="248">
        <f>SUMIFS(J$1:J287,$C$1:$C287,$C326,$F$1:$F287,$F326)</f>
        <v>0</v>
      </c>
      <c r="K326" s="248">
        <f>SUMIFS(K$1:K287,$C$1:$C287,$C326,$F$1:$F287,$F326)</f>
        <v>0</v>
      </c>
      <c r="L326" s="248">
        <f>SUMIFS(L$1:L287,$C$1:$C287,$C326,$F$1:$F287,$F326)</f>
        <v>0</v>
      </c>
      <c r="M326" s="248">
        <f>SUMIFS(M$1:M287,$C$1:$C287,$C326,$F$1:$F287,$F326)</f>
        <v>0</v>
      </c>
      <c r="N326" s="248">
        <f>SUMIFS(N$1:N287,$C$1:$C287,$C326,$F$1:$F287,$F326)</f>
        <v>0</v>
      </c>
      <c r="O326" s="248">
        <f>SUMIFS(O$1:O287,$C$1:$C287,$C326,$F$1:$F287,$F326)</f>
        <v>0</v>
      </c>
      <c r="P326" s="248">
        <f>SUMIFS(P$1:P287,$C$1:$C287,$C326,$F$1:$F287,$F326)</f>
        <v>0</v>
      </c>
      <c r="Q326" s="248">
        <f>SUMIFS(Q$1:Q287,$C$1:$C287,$C326,$F$1:$F287,$F326)</f>
        <v>0</v>
      </c>
      <c r="R326" s="248">
        <f>SUMIFS(R$1:R287,$C$1:$C287,$C326,$F$1:$F287,$F326)</f>
        <v>0</v>
      </c>
      <c r="S326" s="248">
        <f>SUMIFS(S$1:S287,$C$1:$C287,$C326,$F$1:$F287,$F326)</f>
        <v>0</v>
      </c>
      <c r="T326" s="248">
        <f>SUMIFS(T$1:T287,$C$1:$C287,$C326,$F$1:$F287,$F326)</f>
        <v>0</v>
      </c>
      <c r="U326" s="99">
        <f t="shared" si="286"/>
        <v>0</v>
      </c>
      <c r="V326" s="259" t="str">
        <f t="shared" si="287"/>
        <v>N/A</v>
      </c>
      <c r="W326" s="102"/>
      <c r="X326" s="103" t="str">
        <f t="shared" si="279"/>
        <v>OK</v>
      </c>
      <c r="Y326" s="271"/>
      <c r="Z326" s="121"/>
      <c r="AA326" s="121"/>
      <c r="AB326" s="121"/>
      <c r="AC326" s="121"/>
      <c r="AD326" s="121"/>
      <c r="AE326" s="121"/>
      <c r="AF326" s="121"/>
      <c r="AG326" s="121"/>
      <c r="AH326" s="121"/>
      <c r="AI326" s="121"/>
      <c r="AJ326" s="121"/>
      <c r="AK326" s="121"/>
      <c r="AL326" s="121"/>
    </row>
    <row r="327" spans="1:38" s="115" customFormat="1" ht="15" customHeight="1">
      <c r="A327" s="555"/>
      <c r="B327" s="217"/>
      <c r="C327" s="217">
        <v>73</v>
      </c>
      <c r="D327" s="101"/>
      <c r="E327" s="217"/>
      <c r="F327" s="294" t="s">
        <v>174</v>
      </c>
      <c r="G327" s="295" t="str">
        <f>VLOOKUP(F327,'GL Category'!A:C,3,FALSE)</f>
        <v>Operations &amp; maintenance</v>
      </c>
      <c r="H327" s="98" t="str">
        <f>VLOOKUP(F327,'GL Category'!A:C,2,FALSE)</f>
        <v>RADIO MAINTENANCE</v>
      </c>
      <c r="I327" s="248">
        <f>SUMIFS(I$1:I288,$C$1:$C288,$C327,$F$1:$F288,$F327)</f>
        <v>13546.39</v>
      </c>
      <c r="J327" s="248">
        <f>SUMIFS(J$1:J288,$C$1:$C288,$C327,$F$1:$F288,$F327)</f>
        <v>1535.01</v>
      </c>
      <c r="K327" s="248">
        <f>SUMIFS(K$1:K288,$C$1:$C288,$C327,$F$1:$F288,$F327)</f>
        <v>1386.7</v>
      </c>
      <c r="L327" s="248">
        <f>SUMIFS(L$1:L288,$C$1:$C288,$C327,$F$1:$F288,$F327)</f>
        <v>1407.1</v>
      </c>
      <c r="M327" s="248">
        <f>SUMIFS(M$1:M288,$C$1:$C288,$C327,$F$1:$F288,$F327)</f>
        <v>1000</v>
      </c>
      <c r="N327" s="248">
        <f>SUMIFS(N$1:N288,$C$1:$C288,$C327,$F$1:$F288,$F327)</f>
        <v>1427.51</v>
      </c>
      <c r="O327" s="248">
        <f>SUMIFS(O$1:O288,$C$1:$C288,$C327,$F$1:$F288,$F327)</f>
        <v>1000</v>
      </c>
      <c r="P327" s="248">
        <f>SUMIFS(P$1:P288,$C$1:$C288,$C327,$F$1:$F288,$F327)</f>
        <v>0</v>
      </c>
      <c r="Q327" s="248">
        <f>SUMIFS(Q$1:Q288,$C$1:$C288,$C327,$F$1:$F288,$F327)</f>
        <v>1000</v>
      </c>
      <c r="R327" s="248">
        <f>SUMIFS(R$1:R288,$C$1:$C288,$C327,$F$1:$F288,$F327)</f>
        <v>0</v>
      </c>
      <c r="S327" s="248">
        <f>SUMIFS(S$1:S288,$C$1:$C288,$C327,$F$1:$F288,$F327)</f>
        <v>0</v>
      </c>
      <c r="T327" s="248">
        <f>SUMIFS(T$1:T288,$C$1:$C288,$C327,$F$1:$F288,$F327)</f>
        <v>1000</v>
      </c>
      <c r="U327" s="99">
        <f t="shared" si="286"/>
        <v>0</v>
      </c>
      <c r="V327" s="259">
        <f t="shared" si="287"/>
        <v>0</v>
      </c>
      <c r="W327" s="102"/>
      <c r="X327" s="103" t="str">
        <f t="shared" si="279"/>
        <v>OK</v>
      </c>
      <c r="Y327" s="271"/>
      <c r="Z327" s="121"/>
      <c r="AA327" s="121"/>
      <c r="AB327" s="121"/>
      <c r="AC327" s="121"/>
      <c r="AD327" s="121"/>
      <c r="AE327" s="121"/>
      <c r="AF327" s="121"/>
      <c r="AG327" s="121"/>
      <c r="AH327" s="121"/>
      <c r="AI327" s="121"/>
      <c r="AJ327" s="121"/>
      <c r="AK327" s="121"/>
      <c r="AL327" s="121"/>
    </row>
    <row r="328" spans="1:38" s="115" customFormat="1" ht="15" customHeight="1">
      <c r="A328" s="555"/>
      <c r="B328" s="217"/>
      <c r="C328" s="217">
        <v>73</v>
      </c>
      <c r="D328" s="101"/>
      <c r="E328" s="217"/>
      <c r="F328" s="556" t="s">
        <v>3376</v>
      </c>
      <c r="G328" s="295" t="str">
        <f>VLOOKUP(F328,'GL Category'!A:C,3,FALSE)</f>
        <v>Operations &amp; maintenance</v>
      </c>
      <c r="H328" s="98" t="str">
        <f>VLOOKUP(F328,'GL Category'!A:C,2,FALSE)</f>
        <v>SCADA MAINTENANCE</v>
      </c>
      <c r="I328" s="248">
        <f>SUMIFS(I$1:I289,$C$1:$C289,$C328,$F$1:$F289,$F328)</f>
        <v>0</v>
      </c>
      <c r="J328" s="248">
        <f>SUMIFS(J$1:J289,$C$1:$C289,$C328,$F$1:$F289,$F328)</f>
        <v>8393.59</v>
      </c>
      <c r="K328" s="248">
        <f>SUMIFS(K$1:K289,$C$1:$C289,$C328,$F$1:$F289,$F328)</f>
        <v>3233.6</v>
      </c>
      <c r="L328" s="248">
        <f>SUMIFS(L$1:L289,$C$1:$C289,$C328,$F$1:$F289,$F328)</f>
        <v>28211.21</v>
      </c>
      <c r="M328" s="248">
        <f>SUMIFS(M$1:M289,$C$1:$C289,$C328,$F$1:$F289,$F328)</f>
        <v>17500</v>
      </c>
      <c r="N328" s="248">
        <f>SUMIFS(N$1:N289,$C$1:$C289,$C328,$F$1:$F289,$F328)</f>
        <v>5532.7</v>
      </c>
      <c r="O328" s="248">
        <f>SUMIFS(O$1:O289,$C$1:$C289,$C328,$F$1:$F289,$F328)</f>
        <v>15000</v>
      </c>
      <c r="P328" s="248">
        <f>SUMIFS(P$1:P289,$C$1:$C289,$C328,$F$1:$F289,$F328)</f>
        <v>-2500</v>
      </c>
      <c r="Q328" s="248">
        <f>SUMIFS(Q$1:Q289,$C$1:$C289,$C328,$F$1:$F289,$F328)</f>
        <v>17500</v>
      </c>
      <c r="R328" s="248">
        <f>SUMIFS(R$1:R289,$C$1:$C289,$C328,$F$1:$F289,$F328)</f>
        <v>0</v>
      </c>
      <c r="S328" s="248">
        <f>SUMIFS(S$1:S289,$C$1:$C289,$C328,$F$1:$F289,$F328)</f>
        <v>0</v>
      </c>
      <c r="T328" s="248">
        <f>SUMIFS(T$1:T289,$C$1:$C289,$C328,$F$1:$F289,$F328)</f>
        <v>17500</v>
      </c>
      <c r="U328" s="99">
        <f t="shared" si="286"/>
        <v>0</v>
      </c>
      <c r="V328" s="259">
        <f t="shared" si="287"/>
        <v>0</v>
      </c>
      <c r="W328" s="102"/>
      <c r="X328" s="103" t="str">
        <f t="shared" si="279"/>
        <v>OK</v>
      </c>
      <c r="Y328" s="271"/>
      <c r="Z328" s="121"/>
      <c r="AA328" s="121"/>
      <c r="AB328" s="121"/>
      <c r="AC328" s="121"/>
      <c r="AD328" s="121"/>
      <c r="AE328" s="121"/>
      <c r="AF328" s="121"/>
      <c r="AG328" s="121"/>
      <c r="AH328" s="121"/>
      <c r="AI328" s="121"/>
      <c r="AJ328" s="121"/>
      <c r="AK328" s="121"/>
      <c r="AL328" s="121"/>
    </row>
    <row r="329" spans="1:38" s="115" customFormat="1" ht="15" customHeight="1">
      <c r="A329" s="555"/>
      <c r="B329" s="217"/>
      <c r="C329" s="217">
        <v>73</v>
      </c>
      <c r="D329" s="101"/>
      <c r="E329" s="217"/>
      <c r="F329" s="294" t="s">
        <v>240</v>
      </c>
      <c r="G329" s="295" t="str">
        <f>VLOOKUP(F329,'GL Category'!A:C,3,FALSE)</f>
        <v>Operations &amp; maintenance</v>
      </c>
      <c r="H329" s="98" t="str">
        <f>VLOOKUP(F329,'GL Category'!A:C,2,FALSE)</f>
        <v>VEHICLE MAINTENANCE</v>
      </c>
      <c r="I329" s="248">
        <f>SUMIFS(I$1:I289,$C$1:$C289,$C329,$F$1:$F289,$F329)</f>
        <v>34644.340000000004</v>
      </c>
      <c r="J329" s="248">
        <f>SUMIFS(J$1:J289,$C$1:$C289,$C329,$F$1:$F289,$F329)</f>
        <v>20157.09</v>
      </c>
      <c r="K329" s="248">
        <f>SUMIFS(K$1:K289,$C$1:$C289,$C329,$F$1:$F289,$F329)</f>
        <v>8847.2000000000007</v>
      </c>
      <c r="L329" s="248">
        <f>SUMIFS(L$1:L289,$C$1:$C289,$C329,$F$1:$F289,$F329)</f>
        <v>21736.16</v>
      </c>
      <c r="M329" s="248">
        <f>SUMIFS(M$1:M289,$C$1:$C289,$C329,$F$1:$F289,$F329)</f>
        <v>28750</v>
      </c>
      <c r="N329" s="248">
        <f>SUMIFS(N$1:N289,$C$1:$C289,$C329,$F$1:$F289,$F329)</f>
        <v>13365.89</v>
      </c>
      <c r="O329" s="248">
        <f>SUMIFS(O$1:O289,$C$1:$C289,$C329,$F$1:$F289,$F329)</f>
        <v>26000</v>
      </c>
      <c r="P329" s="248">
        <f>SUMIFS(P$1:P289,$C$1:$C289,$C329,$F$1:$F289,$F329)</f>
        <v>-2750</v>
      </c>
      <c r="Q329" s="248">
        <f>SUMIFS(Q$1:Q289,$C$1:$C289,$C329,$F$1:$F289,$F329)</f>
        <v>26500</v>
      </c>
      <c r="R329" s="248">
        <f>SUMIFS(R$1:R289,$C$1:$C289,$C329,$F$1:$F289,$F329)</f>
        <v>0</v>
      </c>
      <c r="S329" s="248">
        <f>SUMIFS(S$1:S289,$C$1:$C289,$C329,$F$1:$F289,$F329)</f>
        <v>0</v>
      </c>
      <c r="T329" s="248">
        <f>SUMIFS(T$1:T289,$C$1:$C289,$C329,$F$1:$F289,$F329)</f>
        <v>26500</v>
      </c>
      <c r="U329" s="99">
        <f t="shared" si="286"/>
        <v>-2250</v>
      </c>
      <c r="V329" s="259">
        <f t="shared" si="287"/>
        <v>-7.8260869565217384E-2</v>
      </c>
      <c r="W329" s="102"/>
      <c r="X329" s="103" t="str">
        <f t="shared" si="279"/>
        <v>OK</v>
      </c>
      <c r="Y329" s="271"/>
      <c r="Z329" s="121"/>
      <c r="AA329" s="121"/>
      <c r="AB329" s="121"/>
      <c r="AC329" s="121"/>
      <c r="AD329" s="121"/>
      <c r="AE329" s="121"/>
      <c r="AF329" s="121"/>
      <c r="AG329" s="121"/>
      <c r="AH329" s="121"/>
      <c r="AI329" s="121"/>
      <c r="AJ329" s="121"/>
      <c r="AK329" s="121"/>
      <c r="AL329" s="121"/>
    </row>
    <row r="330" spans="1:38" s="115" customFormat="1" ht="15" customHeight="1">
      <c r="A330" s="555"/>
      <c r="B330" s="217"/>
      <c r="C330" s="217">
        <v>73</v>
      </c>
      <c r="D330" s="101"/>
      <c r="E330" s="217"/>
      <c r="F330" s="294" t="s">
        <v>235</v>
      </c>
      <c r="G330" s="295" t="str">
        <f>VLOOKUP(F330,'GL Category'!A:C,3,FALSE)</f>
        <v>Operations &amp; maintenance</v>
      </c>
      <c r="H330" s="98" t="str">
        <f>VLOOKUP(F330,'GL Category'!A:C,2,FALSE)</f>
        <v>EQUIPMENT MAINTENANCE</v>
      </c>
      <c r="I330" s="248">
        <f>SUMIFS(I$1:I290,$C$1:$C290,$C330,$F$1:$F290,$F330)</f>
        <v>17827.079999999998</v>
      </c>
      <c r="J330" s="248">
        <f>SUMIFS(J$1:J290,$C$1:$C290,$C330,$F$1:$F290,$F330)</f>
        <v>9962.57</v>
      </c>
      <c r="K330" s="248">
        <f>SUMIFS(K$1:K290,$C$1:$C290,$C330,$F$1:$F290,$F330)</f>
        <v>15156.380000000001</v>
      </c>
      <c r="L330" s="248">
        <f>SUMIFS(L$1:L290,$C$1:$C290,$C330,$F$1:$F290,$F330)</f>
        <v>9879.17</v>
      </c>
      <c r="M330" s="248">
        <f>SUMIFS(M$1:M290,$C$1:$C290,$C330,$F$1:$F290,$F330)</f>
        <v>21500</v>
      </c>
      <c r="N330" s="248">
        <f>SUMIFS(N$1:N290,$C$1:$C290,$C330,$F$1:$F290,$F330)</f>
        <v>15298.82</v>
      </c>
      <c r="O330" s="248">
        <f>SUMIFS(O$1:O290,$C$1:$C290,$C330,$F$1:$F290,$F330)</f>
        <v>21000</v>
      </c>
      <c r="P330" s="248">
        <f>SUMIFS(P$1:P290,$C$1:$C290,$C330,$F$1:$F290,$F330)</f>
        <v>-500</v>
      </c>
      <c r="Q330" s="248">
        <f>SUMIFS(Q$1:Q290,$C$1:$C290,$C330,$F$1:$F290,$F330)</f>
        <v>19500</v>
      </c>
      <c r="R330" s="248">
        <f>SUMIFS(R$1:R290,$C$1:$C290,$C330,$F$1:$F290,$F330)</f>
        <v>0</v>
      </c>
      <c r="S330" s="248">
        <f>SUMIFS(S$1:S290,$C$1:$C290,$C330,$F$1:$F290,$F330)</f>
        <v>0</v>
      </c>
      <c r="T330" s="248">
        <f>SUMIFS(T$1:T290,$C$1:$C290,$C330,$F$1:$F290,$F330)</f>
        <v>19500</v>
      </c>
      <c r="U330" s="99">
        <f t="shared" si="286"/>
        <v>-2000</v>
      </c>
      <c r="V330" s="259">
        <f t="shared" si="287"/>
        <v>-9.3023255813953543E-2</v>
      </c>
      <c r="W330" s="102"/>
      <c r="X330" s="103" t="str">
        <f t="shared" si="279"/>
        <v>OK</v>
      </c>
      <c r="Y330" s="271"/>
      <c r="Z330" s="121"/>
      <c r="AA330" s="121"/>
      <c r="AB330" s="121"/>
      <c r="AC330" s="121"/>
      <c r="AD330" s="121"/>
      <c r="AE330" s="121"/>
      <c r="AF330" s="121"/>
      <c r="AG330" s="121"/>
      <c r="AH330" s="121"/>
      <c r="AI330" s="121"/>
      <c r="AJ330" s="121"/>
      <c r="AK330" s="121"/>
      <c r="AL330" s="121"/>
    </row>
    <row r="331" spans="1:38" s="115" customFormat="1" ht="15" customHeight="1">
      <c r="A331" s="555"/>
      <c r="B331" s="217"/>
      <c r="C331" s="217">
        <v>73</v>
      </c>
      <c r="D331" s="101"/>
      <c r="E331" s="217"/>
      <c r="F331" s="294" t="s">
        <v>178</v>
      </c>
      <c r="G331" s="295" t="str">
        <f>VLOOKUP(F331,'GL Category'!A:C,3,FALSE)</f>
        <v>Operations &amp; maintenance</v>
      </c>
      <c r="H331" s="98" t="str">
        <f>VLOOKUP(F331,'GL Category'!A:C,2,FALSE)</f>
        <v>SOFTWARE LICENSE &amp; MAINTENANCE</v>
      </c>
      <c r="I331" s="248">
        <f>SUMIFS(I$1:I296,$C$1:$C296,$C331,$F$1:$F296,$F331)</f>
        <v>0</v>
      </c>
      <c r="J331" s="248">
        <f>SUMIFS(J$1:J296,$C$1:$C296,$C331,$F$1:$F296,$F331)</f>
        <v>0</v>
      </c>
      <c r="K331" s="248">
        <f>SUMIFS(K$1:K296,$C$1:$C296,$C331,$F$1:$F296,$F331)</f>
        <v>0</v>
      </c>
      <c r="L331" s="248">
        <f>SUMIFS(L$1:L296,$C$1:$C296,$C331,$F$1:$F296,$F331)</f>
        <v>0</v>
      </c>
      <c r="M331" s="248">
        <f>SUMIFS(M$1:M296,$C$1:$C296,$C331,$F$1:$F296,$F331)</f>
        <v>0</v>
      </c>
      <c r="N331" s="248">
        <f>SUMIFS(N$1:N296,$C$1:$C296,$C331,$F$1:$F296,$F331)</f>
        <v>0</v>
      </c>
      <c r="O331" s="248">
        <f>SUMIFS(O$1:O296,$C$1:$C296,$C331,$F$1:$F296,$F331)</f>
        <v>0</v>
      </c>
      <c r="P331" s="248">
        <f>SUMIFS(P$1:P296,$C$1:$C296,$C331,$F$1:$F296,$F331)</f>
        <v>0</v>
      </c>
      <c r="Q331" s="248">
        <f>SUMIFS(Q$1:Q296,$C$1:$C296,$C331,$F$1:$F296,$F331)</f>
        <v>0</v>
      </c>
      <c r="R331" s="248">
        <f>SUMIFS(R$1:R296,$C$1:$C296,$C331,$F$1:$F296,$F331)</f>
        <v>0</v>
      </c>
      <c r="S331" s="248">
        <f>SUMIFS(S$1:S296,$C$1:$C296,$C331,$F$1:$F296,$F331)</f>
        <v>0</v>
      </c>
      <c r="T331" s="248">
        <f>SUMIFS(T$1:T296,$C$1:$C296,$C331,$F$1:$F296,$F331)</f>
        <v>0</v>
      </c>
      <c r="U331" s="99">
        <f t="shared" si="286"/>
        <v>0</v>
      </c>
      <c r="V331" s="259" t="str">
        <f t="shared" si="287"/>
        <v>N/A</v>
      </c>
      <c r="W331" s="102"/>
      <c r="X331" s="103" t="str">
        <f t="shared" si="279"/>
        <v>OK</v>
      </c>
      <c r="Y331" s="271"/>
      <c r="Z331" s="121"/>
      <c r="AA331" s="121"/>
      <c r="AB331" s="121"/>
      <c r="AC331" s="121"/>
      <c r="AD331" s="121"/>
      <c r="AE331" s="121"/>
      <c r="AF331" s="121"/>
      <c r="AG331" s="121"/>
      <c r="AH331" s="121"/>
      <c r="AI331" s="121"/>
      <c r="AJ331" s="121"/>
      <c r="AK331" s="121"/>
      <c r="AL331" s="121"/>
    </row>
    <row r="332" spans="1:38" s="115" customFormat="1" ht="15" customHeight="1">
      <c r="A332" s="555"/>
      <c r="B332" s="217"/>
      <c r="C332" s="217">
        <v>73</v>
      </c>
      <c r="D332" s="101"/>
      <c r="E332" s="217"/>
      <c r="F332" s="294" t="s">
        <v>292</v>
      </c>
      <c r="G332" s="295" t="str">
        <f>VLOOKUP(F332,'GL Category'!A:C,3,FALSE)</f>
        <v>Operations &amp; maintenance</v>
      </c>
      <c r="H332" s="98" t="str">
        <f>VLOOKUP(F332,'GL Category'!A:C,2,FALSE)</f>
        <v>MISCELLANEOUS MAINTENANCE</v>
      </c>
      <c r="I332" s="248">
        <f>SUMIFS(I$1:I297,$C$1:$C297,$C332,$F$1:$F297,$F332)</f>
        <v>25360.55</v>
      </c>
      <c r="J332" s="248">
        <f>SUMIFS(J$1:J297,$C$1:$C297,$C332,$F$1:$F297,$F332)</f>
        <v>936.25</v>
      </c>
      <c r="K332" s="248">
        <f>SUMIFS(K$1:K297,$C$1:$C297,$C332,$F$1:$F297,$F332)</f>
        <v>0</v>
      </c>
      <c r="L332" s="248">
        <f>SUMIFS(L$1:L297,$C$1:$C297,$C332,$F$1:$F297,$F332)</f>
        <v>0</v>
      </c>
      <c r="M332" s="248">
        <f>SUMIFS(M$1:M297,$C$1:$C297,$C332,$F$1:$F297,$F332)</f>
        <v>0</v>
      </c>
      <c r="N332" s="248">
        <f>SUMIFS(N$1:N297,$C$1:$C297,$C332,$F$1:$F297,$F332)</f>
        <v>0</v>
      </c>
      <c r="O332" s="248">
        <f>SUMIFS(O$1:O297,$C$1:$C297,$C332,$F$1:$F297,$F332)</f>
        <v>0</v>
      </c>
      <c r="P332" s="248">
        <f>SUMIFS(P$1:P297,$C$1:$C297,$C332,$F$1:$F297,$F332)</f>
        <v>0</v>
      </c>
      <c r="Q332" s="248">
        <f>SUMIFS(Q$1:Q297,$C$1:$C297,$C332,$F$1:$F297,$F332)</f>
        <v>0</v>
      </c>
      <c r="R332" s="248">
        <f>SUMIFS(R$1:R297,$C$1:$C297,$C332,$F$1:$F297,$F332)</f>
        <v>0</v>
      </c>
      <c r="S332" s="248">
        <f>SUMIFS(S$1:S297,$C$1:$C297,$C332,$F$1:$F297,$F332)</f>
        <v>0</v>
      </c>
      <c r="T332" s="248">
        <f>SUMIFS(T$1:T297,$C$1:$C297,$C332,$F$1:$F297,$F332)</f>
        <v>0</v>
      </c>
      <c r="U332" s="99">
        <f t="shared" si="286"/>
        <v>0</v>
      </c>
      <c r="V332" s="259" t="str">
        <f t="shared" si="287"/>
        <v>N/A</v>
      </c>
      <c r="W332" s="102"/>
      <c r="X332" s="103" t="str">
        <f t="shared" si="279"/>
        <v>OK</v>
      </c>
      <c r="Y332" s="271"/>
      <c r="Z332" s="121"/>
      <c r="AA332" s="121"/>
      <c r="AB332" s="121"/>
      <c r="AC332" s="121"/>
      <c r="AD332" s="121"/>
      <c r="AE332" s="121"/>
      <c r="AF332" s="121"/>
      <c r="AG332" s="121"/>
      <c r="AH332" s="121"/>
      <c r="AI332" s="121"/>
      <c r="AJ332" s="121"/>
      <c r="AK332" s="121"/>
      <c r="AL332" s="121"/>
    </row>
    <row r="333" spans="1:38" s="115" customFormat="1" ht="26.4">
      <c r="A333" s="555"/>
      <c r="B333" s="217"/>
      <c r="C333" s="217"/>
      <c r="D333" s="101"/>
      <c r="E333" s="217"/>
      <c r="F333" s="294"/>
      <c r="G333" s="146"/>
      <c r="H333" s="107" t="str">
        <f>UPPER(G260)&amp;" TOTAL"</f>
        <v>OPERATIONS &amp; MAINTENANCE TOTAL</v>
      </c>
      <c r="I333" s="108">
        <f t="shared" ref="I333" si="288">SUBTOTAL(9,I311:I332)</f>
        <v>296997.37</v>
      </c>
      <c r="J333" s="108">
        <f t="shared" ref="J333:P333" si="289">SUBTOTAL(9,J311:J332)</f>
        <v>364935.09</v>
      </c>
      <c r="K333" s="108">
        <f t="shared" ref="K333" si="290">SUBTOTAL(9,K311:K332)</f>
        <v>566712.74999999988</v>
      </c>
      <c r="L333" s="108">
        <f t="shared" ref="L333" si="291">SUBTOTAL(9,L311:L332)</f>
        <v>646717.64</v>
      </c>
      <c r="M333" s="108">
        <f t="shared" si="289"/>
        <v>417380</v>
      </c>
      <c r="N333" s="108">
        <f t="shared" ref="N333" si="292">SUBTOTAL(9,N311:N332)</f>
        <v>327680.3000000001</v>
      </c>
      <c r="O333" s="108">
        <f t="shared" si="289"/>
        <v>588330</v>
      </c>
      <c r="P333" s="108">
        <f t="shared" si="289"/>
        <v>170950</v>
      </c>
      <c r="Q333" s="108">
        <f t="shared" ref="Q333:T333" si="293">SUBTOTAL(9,Q311:Q332)</f>
        <v>420830</v>
      </c>
      <c r="R333" s="108">
        <f t="shared" si="293"/>
        <v>0</v>
      </c>
      <c r="S333" s="108">
        <f t="shared" si="293"/>
        <v>0</v>
      </c>
      <c r="T333" s="108">
        <f t="shared" si="293"/>
        <v>420830</v>
      </c>
      <c r="U333" s="99">
        <f t="shared" si="286"/>
        <v>3450</v>
      </c>
      <c r="V333" s="259">
        <f t="shared" si="287"/>
        <v>8.2658488667401997E-3</v>
      </c>
      <c r="W333" s="102"/>
      <c r="X333" s="103" t="str">
        <f t="shared" ref="X333:X364" si="294">IF(Q333="","",IF(T333=SUM(Q333:S333),"OK","NO"))</f>
        <v>OK</v>
      </c>
      <c r="Y333" s="271"/>
      <c r="Z333" s="121"/>
      <c r="AA333" s="121"/>
      <c r="AB333" s="121"/>
      <c r="AC333" s="121"/>
      <c r="AD333" s="121"/>
      <c r="AE333" s="121"/>
      <c r="AF333" s="121"/>
      <c r="AG333" s="121"/>
      <c r="AH333" s="121"/>
      <c r="AI333" s="121"/>
      <c r="AJ333" s="121"/>
      <c r="AK333" s="121"/>
      <c r="AL333" s="121"/>
    </row>
    <row r="334" spans="1:38" s="115" customFormat="1">
      <c r="A334" s="555"/>
      <c r="B334" s="217"/>
      <c r="C334" s="217"/>
      <c r="D334" s="101"/>
      <c r="E334" s="217"/>
      <c r="F334" s="294"/>
      <c r="G334" s="146"/>
      <c r="H334" s="98"/>
      <c r="I334" s="106"/>
      <c r="J334" s="106"/>
      <c r="K334" s="106"/>
      <c r="L334" s="106"/>
      <c r="M334" s="106"/>
      <c r="N334" s="110"/>
      <c r="O334" s="110"/>
      <c r="P334" s="110"/>
      <c r="Q334" s="111"/>
      <c r="R334" s="111"/>
      <c r="S334" s="111"/>
      <c r="T334" s="111"/>
      <c r="U334" s="111"/>
      <c r="V334" s="111"/>
      <c r="W334" s="102"/>
      <c r="X334" s="103" t="str">
        <f t="shared" si="294"/>
        <v/>
      </c>
      <c r="Y334" s="271"/>
      <c r="Z334" s="121"/>
      <c r="AA334" s="121"/>
      <c r="AB334" s="121"/>
      <c r="AC334" s="121"/>
      <c r="AD334" s="121"/>
      <c r="AE334" s="121"/>
      <c r="AF334" s="121"/>
      <c r="AG334" s="121"/>
      <c r="AH334" s="121"/>
      <c r="AI334" s="121"/>
      <c r="AJ334" s="121"/>
      <c r="AK334" s="121"/>
      <c r="AL334" s="121"/>
    </row>
    <row r="335" spans="1:38" s="115" customFormat="1">
      <c r="A335" s="555"/>
      <c r="B335" s="217"/>
      <c r="C335" s="217">
        <v>73</v>
      </c>
      <c r="D335" s="101"/>
      <c r="E335" s="217"/>
      <c r="F335" s="294" t="s">
        <v>188</v>
      </c>
      <c r="G335" s="295" t="e">
        <f>VLOOKUP(F335,'GL Category'!A:C,3,FALSE)</f>
        <v>#N/A</v>
      </c>
      <c r="H335" s="98" t="e">
        <f>VLOOKUP(F335,'GL Category'!A:C,2,FALSE)</f>
        <v>#N/A</v>
      </c>
      <c r="I335" s="248">
        <f>SUMIFS(I$1:I300,$C$1:$C300,$C335,$F$1:$F300,$F335)</f>
        <v>0</v>
      </c>
      <c r="J335" s="248">
        <f>SUMIFS(J$1:J300,$C$1:$C300,$C335,$F$1:$F300,$F335)</f>
        <v>0</v>
      </c>
      <c r="K335" s="248">
        <f>SUMIFS(K$1:K300,$C$1:$C300,$C335,$F$1:$F300,$F335)</f>
        <v>0</v>
      </c>
      <c r="L335" s="248">
        <f>SUMIFS(L$1:L300,$C$1:$C300,$C335,$F$1:$F300,$F335)</f>
        <v>0</v>
      </c>
      <c r="M335" s="248">
        <f>SUMIFS(M$1:M300,$C$1:$C300,$C335,$F$1:$F300,$F335)</f>
        <v>0</v>
      </c>
      <c r="N335" s="248">
        <f>SUMIFS(N$1:N300,$C$1:$C300,$C335,$F$1:$F300,$F335)</f>
        <v>0</v>
      </c>
      <c r="O335" s="248">
        <f>SUMIFS(O$1:O300,$C$1:$C300,$C335,$F$1:$F300,$F335)</f>
        <v>0</v>
      </c>
      <c r="P335" s="248">
        <f>SUMIFS(P$1:P300,$C$1:$C300,$C335,$F$1:$F300,$F335)</f>
        <v>0</v>
      </c>
      <c r="Q335" s="248">
        <f>SUMIFS(Q$1:Q300,$C$1:$C300,$C335,$F$1:$F300,$F335)</f>
        <v>0</v>
      </c>
      <c r="R335" s="248">
        <f>SUMIFS(R$1:R300,$C$1:$C300,$C335,$F$1:$F300,$F335)</f>
        <v>0</v>
      </c>
      <c r="S335" s="248">
        <f>SUMIFS(S$1:S300,$C$1:$C300,$C335,$F$1:$F300,$F335)</f>
        <v>0</v>
      </c>
      <c r="T335" s="248">
        <f>SUMIFS(T$1:T300,$C$1:$C300,$C335,$F$1:$F300,$F335)</f>
        <v>0</v>
      </c>
      <c r="U335" s="99">
        <f t="shared" ref="U335:U358" si="295">T335-M335</f>
        <v>0</v>
      </c>
      <c r="V335" s="259" t="str">
        <f t="shared" ref="V335:V358" si="296">IF(M335=0,"N/A",T335/M335-1)</f>
        <v>N/A</v>
      </c>
      <c r="W335" s="102"/>
      <c r="X335" s="103" t="str">
        <f t="shared" si="294"/>
        <v>OK</v>
      </c>
      <c r="Y335" s="271"/>
      <c r="Z335" s="121"/>
      <c r="AA335" s="121"/>
      <c r="AB335" s="121"/>
      <c r="AC335" s="121"/>
      <c r="AD335" s="121"/>
      <c r="AE335" s="121"/>
      <c r="AF335" s="121"/>
      <c r="AG335" s="121"/>
      <c r="AH335" s="121"/>
      <c r="AI335" s="121"/>
      <c r="AJ335" s="121"/>
      <c r="AK335" s="121"/>
      <c r="AL335" s="121"/>
    </row>
    <row r="336" spans="1:38" s="115" customFormat="1">
      <c r="A336" s="555"/>
      <c r="B336" s="217"/>
      <c r="C336" s="217">
        <v>73</v>
      </c>
      <c r="D336" s="101"/>
      <c r="E336" s="217"/>
      <c r="F336" s="294" t="s">
        <v>189</v>
      </c>
      <c r="G336" s="295" t="str">
        <f>VLOOKUP(F336,'GL Category'!A:C,3,FALSE)</f>
        <v>Services &amp; other</v>
      </c>
      <c r="H336" s="98" t="str">
        <f>VLOOKUP(F336,'GL Category'!A:C,2,FALSE)</f>
        <v>DUES &amp; SUBSCRIPTIONS</v>
      </c>
      <c r="I336" s="248">
        <f>SUMIFS(I$1:I301,$C$1:$C301,$C336,$F$1:$F301,$F336)</f>
        <v>366</v>
      </c>
      <c r="J336" s="248">
        <f>SUMIFS(J$1:J301,$C$1:$C301,$C336,$F$1:$F301,$F336)</f>
        <v>364</v>
      </c>
      <c r="K336" s="248">
        <f>SUMIFS(K$1:K301,$C$1:$C301,$C336,$F$1:$F301,$F336)</f>
        <v>672</v>
      </c>
      <c r="L336" s="248">
        <f>SUMIFS(L$1:L301,$C$1:$C301,$C336,$F$1:$F301,$F336)</f>
        <v>712</v>
      </c>
      <c r="M336" s="248">
        <f>SUMIFS(M$1:M301,$C$1:$C301,$C336,$F$1:$F301,$F336)</f>
        <v>770</v>
      </c>
      <c r="N336" s="248">
        <f>SUMIFS(N$1:N301,$C$1:$C301,$C336,$F$1:$F301,$F336)</f>
        <v>192</v>
      </c>
      <c r="O336" s="248">
        <f>SUMIFS(O$1:O301,$C$1:$C301,$C336,$F$1:$F301,$F336)</f>
        <v>770</v>
      </c>
      <c r="P336" s="248">
        <f>SUMIFS(P$1:P301,$C$1:$C301,$C336,$F$1:$F301,$F336)</f>
        <v>0</v>
      </c>
      <c r="Q336" s="248">
        <f>SUMIFS(Q$1:Q301,$C$1:$C301,$C336,$F$1:$F301,$F336)</f>
        <v>770</v>
      </c>
      <c r="R336" s="248">
        <f>SUMIFS(R$1:R301,$C$1:$C301,$C336,$F$1:$F301,$F336)</f>
        <v>0</v>
      </c>
      <c r="S336" s="248">
        <f>SUMIFS(S$1:S301,$C$1:$C301,$C336,$F$1:$F301,$F336)</f>
        <v>0</v>
      </c>
      <c r="T336" s="248">
        <f>SUMIFS(T$1:T301,$C$1:$C301,$C336,$F$1:$F301,$F336)</f>
        <v>770</v>
      </c>
      <c r="U336" s="99">
        <f t="shared" si="295"/>
        <v>0</v>
      </c>
      <c r="V336" s="259">
        <f t="shared" si="296"/>
        <v>0</v>
      </c>
      <c r="W336" s="102"/>
      <c r="X336" s="103" t="str">
        <f t="shared" si="294"/>
        <v>OK</v>
      </c>
      <c r="Y336" s="271"/>
      <c r="Z336" s="121"/>
      <c r="AA336" s="121"/>
      <c r="AB336" s="121"/>
      <c r="AC336" s="121"/>
      <c r="AD336" s="121"/>
      <c r="AE336" s="121"/>
      <c r="AF336" s="121"/>
      <c r="AG336" s="121"/>
      <c r="AH336" s="121"/>
      <c r="AI336" s="121"/>
      <c r="AJ336" s="121"/>
      <c r="AK336" s="121"/>
      <c r="AL336" s="121"/>
    </row>
    <row r="337" spans="1:38" s="115" customFormat="1">
      <c r="A337" s="555"/>
      <c r="B337" s="217"/>
      <c r="C337" s="217">
        <v>73</v>
      </c>
      <c r="D337" s="101"/>
      <c r="E337" s="217"/>
      <c r="F337" s="556" t="s">
        <v>264</v>
      </c>
      <c r="G337" s="295" t="str">
        <f>VLOOKUP(F337,'GL Category'!A:C,3,FALSE)</f>
        <v>Services &amp; other</v>
      </c>
      <c r="H337" s="98" t="str">
        <f>VLOOKUP(F337,'GL Category'!A:C,2,FALSE)</f>
        <v>TRAVEL, TRAINING &amp; EDUCATION</v>
      </c>
      <c r="I337" s="248">
        <f>SUMIFS(I$1:I302,$C$1:$C302,$C337,$F$1:$F302,$F337)</f>
        <v>1752.74</v>
      </c>
      <c r="J337" s="248">
        <f>SUMIFS(J$1:J302,$C$1:$C302,$C337,$F$1:$F302,$F337)</f>
        <v>3036.5</v>
      </c>
      <c r="K337" s="248">
        <f>SUMIFS(K$1:K302,$C$1:$C302,$C337,$F$1:$F302,$F337)</f>
        <v>5862.51</v>
      </c>
      <c r="L337" s="248">
        <f>SUMIFS(L$1:L302,$C$1:$C302,$C337,$F$1:$F302,$F337)</f>
        <v>9178.6</v>
      </c>
      <c r="M337" s="248">
        <f>SUMIFS(M$1:M302,$C$1:$C302,$C337,$F$1:$F302,$F337)</f>
        <v>12025</v>
      </c>
      <c r="N337" s="248">
        <f>SUMIFS(N$1:N302,$C$1:$C302,$C337,$F$1:$F302,$F337)</f>
        <v>3123.92</v>
      </c>
      <c r="O337" s="248">
        <f>SUMIFS(O$1:O302,$C$1:$C302,$C337,$F$1:$F302,$F337)</f>
        <v>9500</v>
      </c>
      <c r="P337" s="248">
        <f>SUMIFS(P$1:P302,$C$1:$C302,$C337,$F$1:$F302,$F337)</f>
        <v>-2525</v>
      </c>
      <c r="Q337" s="248">
        <f>SUMIFS(Q$1:Q302,$C$1:$C302,$C337,$F$1:$F302,$F337)</f>
        <v>10000</v>
      </c>
      <c r="R337" s="248">
        <f>SUMIFS(R$1:R302,$C$1:$C302,$C337,$F$1:$F302,$F337)</f>
        <v>0</v>
      </c>
      <c r="S337" s="248">
        <f>SUMIFS(S$1:S302,$C$1:$C302,$C337,$F$1:$F302,$F337)</f>
        <v>0</v>
      </c>
      <c r="T337" s="248">
        <f>SUMIFS(T$1:T302,$C$1:$C302,$C337,$F$1:$F302,$F337)</f>
        <v>10000</v>
      </c>
      <c r="U337" s="99">
        <f t="shared" si="295"/>
        <v>-2025</v>
      </c>
      <c r="V337" s="259">
        <f t="shared" si="296"/>
        <v>-0.16839916839916835</v>
      </c>
      <c r="W337" s="102"/>
      <c r="X337" s="103" t="str">
        <f t="shared" si="294"/>
        <v>OK</v>
      </c>
      <c r="Y337" s="271"/>
      <c r="Z337" s="121"/>
      <c r="AA337" s="121"/>
      <c r="AB337" s="121"/>
      <c r="AC337" s="121"/>
      <c r="AD337" s="121"/>
      <c r="AE337" s="121"/>
      <c r="AF337" s="121"/>
      <c r="AG337" s="121"/>
      <c r="AH337" s="121"/>
      <c r="AI337" s="121"/>
      <c r="AJ337" s="121"/>
      <c r="AK337" s="121"/>
      <c r="AL337" s="121"/>
    </row>
    <row r="338" spans="1:38" s="115" customFormat="1" ht="11.25" customHeight="1">
      <c r="A338" s="555"/>
      <c r="B338" s="217"/>
      <c r="C338" s="217">
        <v>73</v>
      </c>
      <c r="D338" s="101"/>
      <c r="E338" s="217"/>
      <c r="F338" s="294" t="s">
        <v>356</v>
      </c>
      <c r="G338" s="295" t="e">
        <f>VLOOKUP(F338,'GL Category'!A:C,3,FALSE)</f>
        <v>#N/A</v>
      </c>
      <c r="H338" s="98" t="str">
        <f>VLOOKUP(F338,'GL Category'!A:C,2,FALSE)</f>
        <v>WHOLESALE WATER PURCHASED</v>
      </c>
      <c r="I338" s="248">
        <f>SUMIFS(I$1:I303,$C$1:$C303,$C338,$F$1:$F303,$F338)</f>
        <v>8745081.3300000001</v>
      </c>
      <c r="J338" s="248">
        <f>SUMIFS(J$1:J303,$C$1:$C303,$C338,$F$1:$F303,$F338)</f>
        <v>8306795.5899999999</v>
      </c>
      <c r="K338" s="248">
        <f>SUMIFS(K$1:K303,$C$1:$C303,$C338,$F$1:$F303,$F338)</f>
        <v>11332572.710000001</v>
      </c>
      <c r="L338" s="248">
        <f>SUMIFS(L$1:L303,$C$1:$C303,$C338,$F$1:$F303,$F338)</f>
        <v>10230513.51</v>
      </c>
      <c r="M338" s="248">
        <f>SUMIFS(M$1:M303,$C$1:$C303,$C338,$F$1:$F303,$F338)</f>
        <v>9575070</v>
      </c>
      <c r="N338" s="248">
        <f>SUMIFS(N$1:N303,$C$1:$C303,$C338,$F$1:$F303,$F338)</f>
        <v>5137153.96</v>
      </c>
      <c r="O338" s="248">
        <f>SUMIFS(O$1:O303,$C$1:$C303,$C338,$F$1:$F303,$F338)</f>
        <v>9575070</v>
      </c>
      <c r="P338" s="248">
        <f>SUMIFS(P$1:P303,$C$1:$C303,$C338,$F$1:$F303,$F338)</f>
        <v>0</v>
      </c>
      <c r="Q338" s="248">
        <f>SUMIFS(Q$1:Q303,$C$1:$C303,$C338,$F$1:$F303,$F338)</f>
        <v>9880565</v>
      </c>
      <c r="R338" s="248">
        <f>SUMIFS(R$1:R303,$C$1:$C303,$C338,$F$1:$F303,$F338)</f>
        <v>0</v>
      </c>
      <c r="S338" s="248">
        <f>SUMIFS(S$1:S303,$C$1:$C303,$C338,$F$1:$F303,$F338)</f>
        <v>0</v>
      </c>
      <c r="T338" s="248">
        <f>SUMIFS(T$1:T303,$C$1:$C303,$C338,$F$1:$F303,$F338)</f>
        <v>9880565</v>
      </c>
      <c r="U338" s="99">
        <f t="shared" si="295"/>
        <v>305495</v>
      </c>
      <c r="V338" s="259">
        <f t="shared" si="296"/>
        <v>3.1905249778852784E-2</v>
      </c>
      <c r="W338" s="102"/>
      <c r="X338" s="103" t="str">
        <f t="shared" si="294"/>
        <v>OK</v>
      </c>
      <c r="Y338" s="271" t="s">
        <v>790</v>
      </c>
      <c r="Z338" s="121"/>
      <c r="AA338" s="121"/>
      <c r="AB338" s="121"/>
      <c r="AC338" s="121"/>
      <c r="AD338" s="121"/>
      <c r="AE338" s="121"/>
      <c r="AF338" s="121"/>
      <c r="AG338" s="121"/>
      <c r="AH338" s="121"/>
      <c r="AI338" s="121"/>
      <c r="AJ338" s="121"/>
      <c r="AK338" s="121"/>
      <c r="AL338" s="121"/>
    </row>
    <row r="339" spans="1:38" s="115" customFormat="1">
      <c r="A339" s="555"/>
      <c r="B339" s="217"/>
      <c r="C339" s="217">
        <v>73</v>
      </c>
      <c r="D339" s="101"/>
      <c r="E339" s="217"/>
      <c r="F339" s="294" t="s">
        <v>198</v>
      </c>
      <c r="G339" s="295" t="str">
        <f>VLOOKUP(F339,'GL Category'!A:C,3,FALSE)</f>
        <v>Services &amp; other</v>
      </c>
      <c r="H339" s="98" t="str">
        <f>VLOOKUP(F339,'GL Category'!A:C,2,FALSE)</f>
        <v>EQUIPMENT RENTAL</v>
      </c>
      <c r="I339" s="248">
        <f>SUMIFS(I$1:I304,$C$1:$C304,$C339,$F$1:$F304,$F339)</f>
        <v>2538.86</v>
      </c>
      <c r="J339" s="248">
        <f>SUMIFS(J$1:J304,$C$1:$C304,$C339,$F$1:$F304,$F339)</f>
        <v>2819.15</v>
      </c>
      <c r="K339" s="248">
        <f>SUMIFS(K$1:K304,$C$1:$C304,$C339,$F$1:$F304,$F339)</f>
        <v>765.55</v>
      </c>
      <c r="L339" s="248">
        <f>SUMIFS(L$1:L304,$C$1:$C304,$C339,$F$1:$F304,$F339)</f>
        <v>2285.29</v>
      </c>
      <c r="M339" s="248">
        <f>SUMIFS(M$1:M304,$C$1:$C304,$C339,$F$1:$F304,$F339)</f>
        <v>6000</v>
      </c>
      <c r="N339" s="248">
        <f>SUMIFS(N$1:N304,$C$1:$C304,$C339,$F$1:$F304,$F339)</f>
        <v>1819.15</v>
      </c>
      <c r="O339" s="248">
        <f>SUMIFS(O$1:O304,$C$1:$C304,$C339,$F$1:$F304,$F339)</f>
        <v>3750</v>
      </c>
      <c r="P339" s="248">
        <f>SUMIFS(P$1:P304,$C$1:$C304,$C339,$F$1:$F304,$F339)</f>
        <v>-2250</v>
      </c>
      <c r="Q339" s="248">
        <f>SUMIFS(Q$1:Q304,$C$1:$C304,$C339,$F$1:$F304,$F339)</f>
        <v>5000</v>
      </c>
      <c r="R339" s="248">
        <f>SUMIFS(R$1:R304,$C$1:$C304,$C339,$F$1:$F304,$F339)</f>
        <v>0</v>
      </c>
      <c r="S339" s="248">
        <f>SUMIFS(S$1:S304,$C$1:$C304,$C339,$F$1:$F304,$F339)</f>
        <v>0</v>
      </c>
      <c r="T339" s="248">
        <f>SUMIFS(T$1:T304,$C$1:$C304,$C339,$F$1:$F304,$F339)</f>
        <v>5000</v>
      </c>
      <c r="U339" s="99">
        <f t="shared" si="295"/>
        <v>-1000</v>
      </c>
      <c r="V339" s="259">
        <f t="shared" si="296"/>
        <v>-0.16666666666666663</v>
      </c>
      <c r="W339" s="102"/>
      <c r="X339" s="103" t="str">
        <f t="shared" si="294"/>
        <v>OK</v>
      </c>
      <c r="Y339" s="271"/>
      <c r="Z339" s="121"/>
      <c r="AA339" s="121"/>
      <c r="AB339" s="121"/>
      <c r="AC339" s="121"/>
      <c r="AD339" s="121"/>
      <c r="AE339" s="121"/>
      <c r="AF339" s="121"/>
      <c r="AG339" s="121"/>
      <c r="AH339" s="121"/>
      <c r="AI339" s="121"/>
      <c r="AJ339" s="121"/>
      <c r="AK339" s="121"/>
      <c r="AL339" s="121"/>
    </row>
    <row r="340" spans="1:38" s="115" customFormat="1">
      <c r="A340" s="555"/>
      <c r="B340" s="217"/>
      <c r="C340" s="217">
        <v>73</v>
      </c>
      <c r="D340" s="101"/>
      <c r="E340" s="217"/>
      <c r="F340" s="294" t="s">
        <v>935</v>
      </c>
      <c r="G340" s="295" t="str">
        <f>VLOOKUP(F340,'GL Category'!A:C,3,FALSE)</f>
        <v>Services &amp; other</v>
      </c>
      <c r="H340" s="98" t="str">
        <f>VLOOKUP(F340,'GL Category'!A:C,2,FALSE)</f>
        <v>LANDSCAPE SERVICES</v>
      </c>
      <c r="I340" s="248">
        <f>SUMIFS(I$1:I305,$C$1:$C305,$C340,$F$1:$F305,$F340)</f>
        <v>10386</v>
      </c>
      <c r="J340" s="248">
        <f>SUMIFS(J$1:J305,$C$1:$C305,$C340,$F$1:$F305,$F340)</f>
        <v>5770</v>
      </c>
      <c r="K340" s="248">
        <f>SUMIFS(K$1:K305,$C$1:$C305,$C340,$F$1:$F305,$F340)</f>
        <v>11048.4</v>
      </c>
      <c r="L340" s="248">
        <f>SUMIFS(L$1:L305,$C$1:$C305,$C340,$F$1:$F305,$F340)</f>
        <v>12394.42</v>
      </c>
      <c r="M340" s="248">
        <f>SUMIFS(M$1:M305,$C$1:$C305,$C340,$F$1:$F305,$F340)</f>
        <v>16200</v>
      </c>
      <c r="N340" s="248">
        <f>SUMIFS(N$1:N305,$C$1:$C305,$C340,$F$1:$F305,$F340)</f>
        <v>9108</v>
      </c>
      <c r="O340" s="248">
        <f>SUMIFS(O$1:O305,$C$1:$C305,$C340,$F$1:$F305,$F340)</f>
        <v>16200</v>
      </c>
      <c r="P340" s="248">
        <f>SUMIFS(P$1:P305,$C$1:$C305,$C340,$F$1:$F305,$F340)</f>
        <v>0</v>
      </c>
      <c r="Q340" s="248">
        <f>SUMIFS(Q$1:Q305,$C$1:$C305,$C340,$F$1:$F305,$F340)</f>
        <v>16200</v>
      </c>
      <c r="R340" s="248">
        <f>SUMIFS(R$1:R305,$C$1:$C305,$C340,$F$1:$F305,$F340)</f>
        <v>0</v>
      </c>
      <c r="S340" s="248">
        <f>SUMIFS(S$1:S305,$C$1:$C305,$C340,$F$1:$F305,$F340)</f>
        <v>0</v>
      </c>
      <c r="T340" s="248">
        <f>SUMIFS(T$1:T305,$C$1:$C305,$C340,$F$1:$F305,$F340)</f>
        <v>16200</v>
      </c>
      <c r="U340" s="99">
        <f t="shared" si="295"/>
        <v>0</v>
      </c>
      <c r="V340" s="259">
        <f t="shared" si="296"/>
        <v>0</v>
      </c>
      <c r="W340" s="102"/>
      <c r="X340" s="103" t="str">
        <f t="shared" si="294"/>
        <v>OK</v>
      </c>
      <c r="Y340" s="271"/>
      <c r="Z340" s="121"/>
      <c r="AA340" s="121"/>
      <c r="AB340" s="121"/>
      <c r="AC340" s="121"/>
      <c r="AD340" s="121"/>
      <c r="AE340" s="121"/>
      <c r="AF340" s="121"/>
      <c r="AG340" s="121"/>
      <c r="AH340" s="121"/>
      <c r="AI340" s="121"/>
      <c r="AJ340" s="121"/>
      <c r="AK340" s="121"/>
      <c r="AL340" s="121"/>
    </row>
    <row r="341" spans="1:38" s="115" customFormat="1">
      <c r="A341" s="555"/>
      <c r="B341" s="217"/>
      <c r="C341" s="217">
        <v>73</v>
      </c>
      <c r="D341" s="101"/>
      <c r="E341" s="217"/>
      <c r="F341" s="294" t="s">
        <v>281</v>
      </c>
      <c r="G341" s="295" t="str">
        <f>VLOOKUP(F341,'GL Category'!A:C,3,FALSE)</f>
        <v>Services &amp; other</v>
      </c>
      <c r="H341" s="98" t="str">
        <f>VLOOKUP(F341,'GL Category'!A:C,2,FALSE)</f>
        <v>LABORATORY SERVICES</v>
      </c>
      <c r="I341" s="248">
        <f>SUMIFS(I$1:I304,$C$1:$C304,$C341,$F$1:$F304,$F341)</f>
        <v>19494.98</v>
      </c>
      <c r="J341" s="248">
        <f>SUMIFS(J$1:J304,$C$1:$C304,$C341,$F$1:$F304,$F341)</f>
        <v>16263.3</v>
      </c>
      <c r="K341" s="248">
        <f>SUMIFS(K$1:K304,$C$1:$C304,$C341,$F$1:$F304,$F341)</f>
        <v>16343.77</v>
      </c>
      <c r="L341" s="248">
        <f>SUMIFS(L$1:L304,$C$1:$C304,$C341,$F$1:$F304,$F341)</f>
        <v>14657.52</v>
      </c>
      <c r="M341" s="248">
        <f>SUMIFS(M$1:M304,$C$1:$C304,$C341,$F$1:$F304,$F341)</f>
        <v>27500</v>
      </c>
      <c r="N341" s="248">
        <f>SUMIFS(N$1:N304,$C$1:$C304,$C341,$F$1:$F304,$F341)</f>
        <v>15604</v>
      </c>
      <c r="O341" s="248">
        <f>SUMIFS(O$1:O304,$C$1:$C304,$C341,$F$1:$F304,$F341)</f>
        <v>20000</v>
      </c>
      <c r="P341" s="248">
        <f>SUMIFS(P$1:P304,$C$1:$C304,$C341,$F$1:$F304,$F341)</f>
        <v>-7500</v>
      </c>
      <c r="Q341" s="248">
        <f>SUMIFS(Q$1:Q304,$C$1:$C304,$C341,$F$1:$F304,$F341)</f>
        <v>25000</v>
      </c>
      <c r="R341" s="248">
        <f>SUMIFS(R$1:R304,$C$1:$C304,$C341,$F$1:$F304,$F341)</f>
        <v>0</v>
      </c>
      <c r="S341" s="248">
        <f>SUMIFS(S$1:S304,$C$1:$C304,$C341,$F$1:$F304,$F341)</f>
        <v>0</v>
      </c>
      <c r="T341" s="248">
        <f>SUMIFS(T$1:T304,$C$1:$C304,$C341,$F$1:$F304,$F341)</f>
        <v>25000</v>
      </c>
      <c r="U341" s="99">
        <f t="shared" si="295"/>
        <v>-2500</v>
      </c>
      <c r="V341" s="259">
        <f t="shared" si="296"/>
        <v>-9.0909090909090939E-2</v>
      </c>
      <c r="W341" s="102"/>
      <c r="X341" s="103" t="str">
        <f t="shared" si="294"/>
        <v>OK</v>
      </c>
      <c r="Y341" s="271"/>
      <c r="Z341" s="121"/>
      <c r="AA341" s="121"/>
      <c r="AB341" s="121"/>
      <c r="AC341" s="121"/>
      <c r="AD341" s="121"/>
      <c r="AE341" s="121"/>
      <c r="AF341" s="121"/>
      <c r="AG341" s="121"/>
      <c r="AH341" s="121"/>
      <c r="AI341" s="121"/>
      <c r="AJ341" s="121"/>
      <c r="AK341" s="121"/>
      <c r="AL341" s="121"/>
    </row>
    <row r="342" spans="1:38" s="115" customFormat="1">
      <c r="A342" s="555"/>
      <c r="B342" s="217"/>
      <c r="C342" s="217">
        <v>73</v>
      </c>
      <c r="D342" s="101"/>
      <c r="E342" s="217"/>
      <c r="F342" s="294" t="s">
        <v>937</v>
      </c>
      <c r="G342" s="295" t="str">
        <f>VLOOKUP(F342,'GL Category'!A:C,3,FALSE)</f>
        <v>Services &amp; other</v>
      </c>
      <c r="H342" s="98" t="str">
        <f>VLOOKUP(F342,'GL Category'!A:C,2,FALSE)</f>
        <v>DEBRIS &amp; WASTE DISPOSAL SVCS</v>
      </c>
      <c r="I342" s="248">
        <f>SUMIFS(I$1:I305,$C$1:$C305,$C342,$F$1:$F305,$F342)</f>
        <v>540</v>
      </c>
      <c r="J342" s="248">
        <f>SUMIFS(J$1:J305,$C$1:$C305,$C342,$F$1:$F305,$F342)</f>
        <v>0</v>
      </c>
      <c r="K342" s="248">
        <f>SUMIFS(K$1:K305,$C$1:$C305,$C342,$F$1:$F305,$F342)</f>
        <v>0</v>
      </c>
      <c r="L342" s="248">
        <f>SUMIFS(L$1:L305,$C$1:$C305,$C342,$F$1:$F305,$F342)</f>
        <v>4036.99</v>
      </c>
      <c r="M342" s="248">
        <f>SUMIFS(M$1:M305,$C$1:$C305,$C342,$F$1:$F305,$F342)</f>
        <v>0</v>
      </c>
      <c r="N342" s="248">
        <f>SUMIFS(N$1:N305,$C$1:$C305,$C342,$F$1:$F305,$F342)</f>
        <v>0</v>
      </c>
      <c r="O342" s="248">
        <f>SUMIFS(O$1:O305,$C$1:$C305,$C342,$F$1:$F305,$F342)</f>
        <v>0</v>
      </c>
      <c r="P342" s="248">
        <f>SUMIFS(P$1:P305,$C$1:$C305,$C342,$F$1:$F305,$F342)</f>
        <v>0</v>
      </c>
      <c r="Q342" s="248">
        <f>SUMIFS(Q$1:Q305,$C$1:$C305,$C342,$F$1:$F305,$F342)</f>
        <v>0</v>
      </c>
      <c r="R342" s="248">
        <f>SUMIFS(R$1:R305,$C$1:$C305,$C342,$F$1:$F305,$F342)</f>
        <v>0</v>
      </c>
      <c r="S342" s="248">
        <f>SUMIFS(S$1:S305,$C$1:$C305,$C342,$F$1:$F305,$F342)</f>
        <v>0</v>
      </c>
      <c r="T342" s="248">
        <f>SUMIFS(T$1:T305,$C$1:$C305,$C342,$F$1:$F305,$F342)</f>
        <v>0</v>
      </c>
      <c r="U342" s="99">
        <f t="shared" si="295"/>
        <v>0</v>
      </c>
      <c r="V342" s="259" t="str">
        <f t="shared" si="296"/>
        <v>N/A</v>
      </c>
      <c r="W342" s="102"/>
      <c r="X342" s="103" t="str">
        <f t="shared" si="294"/>
        <v>OK</v>
      </c>
      <c r="Y342" s="271"/>
      <c r="Z342" s="121"/>
      <c r="AA342" s="121"/>
      <c r="AB342" s="121"/>
      <c r="AC342" s="121"/>
      <c r="AD342" s="121"/>
      <c r="AE342" s="121"/>
      <c r="AF342" s="121"/>
      <c r="AG342" s="121"/>
      <c r="AH342" s="121"/>
      <c r="AI342" s="121"/>
      <c r="AJ342" s="121"/>
      <c r="AK342" s="121"/>
      <c r="AL342" s="121"/>
    </row>
    <row r="343" spans="1:38" s="115" customFormat="1">
      <c r="A343" s="555"/>
      <c r="B343" s="217"/>
      <c r="C343" s="217">
        <v>73</v>
      </c>
      <c r="D343" s="101"/>
      <c r="E343" s="217"/>
      <c r="F343" s="294" t="s">
        <v>206</v>
      </c>
      <c r="G343" s="295" t="str">
        <f>VLOOKUP(F343,'GL Category'!A:C,3,FALSE)</f>
        <v>Services &amp; other</v>
      </c>
      <c r="H343" s="98" t="str">
        <f>VLOOKUP(F343,'GL Category'!A:C,2,FALSE)</f>
        <v>FREIGHT &amp; EXPRESS SERVICES</v>
      </c>
      <c r="I343" s="248">
        <f>SUMIFS(I$1:I306,$C$1:$C306,$C343,$F$1:$F306,$F343)</f>
        <v>0</v>
      </c>
      <c r="J343" s="248">
        <f>SUMIFS(J$1:J306,$C$1:$C306,$C343,$F$1:$F306,$F343)</f>
        <v>0</v>
      </c>
      <c r="K343" s="248">
        <f>SUMIFS(K$1:K306,$C$1:$C306,$C343,$F$1:$F306,$F343)</f>
        <v>0</v>
      </c>
      <c r="L343" s="248">
        <f>SUMIFS(L$1:L306,$C$1:$C306,$C343,$F$1:$F306,$F343)</f>
        <v>0</v>
      </c>
      <c r="M343" s="248">
        <f>SUMIFS(M$1:M306,$C$1:$C306,$C343,$F$1:$F306,$F343)</f>
        <v>0</v>
      </c>
      <c r="N343" s="248">
        <f>SUMIFS(N$1:N306,$C$1:$C306,$C343,$F$1:$F306,$F343)</f>
        <v>0</v>
      </c>
      <c r="O343" s="248">
        <f>SUMIFS(O$1:O306,$C$1:$C306,$C343,$F$1:$F306,$F343)</f>
        <v>0</v>
      </c>
      <c r="P343" s="248">
        <f>SUMIFS(P$1:P306,$C$1:$C306,$C343,$F$1:$F306,$F343)</f>
        <v>0</v>
      </c>
      <c r="Q343" s="248">
        <f>SUMIFS(Q$1:Q306,$C$1:$C306,$C343,$F$1:$F306,$F343)</f>
        <v>0</v>
      </c>
      <c r="R343" s="248">
        <f>SUMIFS(R$1:R306,$C$1:$C306,$C343,$F$1:$F306,$F343)</f>
        <v>0</v>
      </c>
      <c r="S343" s="248">
        <f>SUMIFS(S$1:S306,$C$1:$C306,$C343,$F$1:$F306,$F343)</f>
        <v>0</v>
      </c>
      <c r="T343" s="248">
        <f>SUMIFS(T$1:T306,$C$1:$C306,$C343,$F$1:$F306,$F343)</f>
        <v>0</v>
      </c>
      <c r="U343" s="99">
        <f t="shared" si="295"/>
        <v>0</v>
      </c>
      <c r="V343" s="259" t="str">
        <f t="shared" si="296"/>
        <v>N/A</v>
      </c>
      <c r="W343" s="102"/>
      <c r="X343" s="103" t="str">
        <f t="shared" si="294"/>
        <v>OK</v>
      </c>
      <c r="Y343" s="271"/>
      <c r="Z343" s="121"/>
      <c r="AA343" s="121"/>
      <c r="AB343" s="121"/>
      <c r="AC343" s="121"/>
      <c r="AD343" s="121"/>
      <c r="AE343" s="121"/>
      <c r="AF343" s="121"/>
      <c r="AG343" s="121"/>
      <c r="AH343" s="121"/>
      <c r="AI343" s="121"/>
      <c r="AJ343" s="121"/>
      <c r="AK343" s="121"/>
      <c r="AL343" s="121"/>
    </row>
    <row r="344" spans="1:38" s="115" customFormat="1">
      <c r="A344" s="555"/>
      <c r="B344" s="217"/>
      <c r="C344" s="217">
        <v>73</v>
      </c>
      <c r="D344" s="101"/>
      <c r="E344" s="217"/>
      <c r="F344" s="294" t="s">
        <v>208</v>
      </c>
      <c r="G344" s="295" t="str">
        <f>VLOOKUP(F344,'GL Category'!A:C,3,FALSE)</f>
        <v>Services &amp; other</v>
      </c>
      <c r="H344" s="98" t="str">
        <f>VLOOKUP(F344,'GL Category'!A:C,2,FALSE)</f>
        <v>GENERAL INSURANCE</v>
      </c>
      <c r="I344" s="248">
        <f>SUMIFS(I$1:I307,$C$1:$C307,$C344,$F$1:$F307,$F344)</f>
        <v>0</v>
      </c>
      <c r="J344" s="248">
        <f>SUMIFS(J$1:J307,$C$1:$C307,$C344,$F$1:$F307,$F344)</f>
        <v>0</v>
      </c>
      <c r="K344" s="248">
        <f>SUMIFS(K$1:K307,$C$1:$C307,$C344,$F$1:$F307,$F344)</f>
        <v>0</v>
      </c>
      <c r="L344" s="248">
        <f>SUMIFS(L$1:L307,$C$1:$C307,$C344,$F$1:$F307,$F344)</f>
        <v>0</v>
      </c>
      <c r="M344" s="248">
        <f>SUMIFS(M$1:M307,$C$1:$C307,$C344,$F$1:$F307,$F344)</f>
        <v>0</v>
      </c>
      <c r="N344" s="248">
        <f>SUMIFS(N$1:N307,$C$1:$C307,$C344,$F$1:$F307,$F344)</f>
        <v>0</v>
      </c>
      <c r="O344" s="248">
        <f>SUMIFS(O$1:O307,$C$1:$C307,$C344,$F$1:$F307,$F344)</f>
        <v>0</v>
      </c>
      <c r="P344" s="248">
        <f>SUMIFS(P$1:P307,$C$1:$C307,$C344,$F$1:$F307,$F344)</f>
        <v>0</v>
      </c>
      <c r="Q344" s="248">
        <f>SUMIFS(Q$1:Q307,$C$1:$C307,$C344,$F$1:$F307,$F344)</f>
        <v>0</v>
      </c>
      <c r="R344" s="248">
        <f>SUMIFS(R$1:R307,$C$1:$C307,$C344,$F$1:$F307,$F344)</f>
        <v>0</v>
      </c>
      <c r="S344" s="248">
        <f>SUMIFS(S$1:S307,$C$1:$C307,$C344,$F$1:$F307,$F344)</f>
        <v>0</v>
      </c>
      <c r="T344" s="248">
        <f>SUMIFS(T$1:T307,$C$1:$C307,$C344,$F$1:$F307,$F344)</f>
        <v>0</v>
      </c>
      <c r="U344" s="99">
        <f t="shared" si="295"/>
        <v>0</v>
      </c>
      <c r="V344" s="259" t="str">
        <f t="shared" si="296"/>
        <v>N/A</v>
      </c>
      <c r="W344" s="102"/>
      <c r="X344" s="103" t="str">
        <f t="shared" si="294"/>
        <v>OK</v>
      </c>
      <c r="Y344" s="271"/>
      <c r="Z344" s="121"/>
      <c r="AA344" s="121"/>
      <c r="AB344" s="121"/>
      <c r="AC344" s="121"/>
      <c r="AD344" s="121"/>
      <c r="AE344" s="121"/>
      <c r="AF344" s="121"/>
      <c r="AG344" s="121"/>
      <c r="AH344" s="121"/>
      <c r="AI344" s="121"/>
      <c r="AJ344" s="121"/>
      <c r="AK344" s="121"/>
      <c r="AL344" s="121"/>
    </row>
    <row r="345" spans="1:38" s="115" customFormat="1">
      <c r="A345" s="555"/>
      <c r="B345" s="217"/>
      <c r="C345" s="217">
        <v>73</v>
      </c>
      <c r="D345" s="101"/>
      <c r="E345" s="217"/>
      <c r="F345" s="294" t="s">
        <v>210</v>
      </c>
      <c r="G345" s="295" t="str">
        <f>VLOOKUP(F345,'GL Category'!A:C,3,FALSE)</f>
        <v>Services &amp; other</v>
      </c>
      <c r="H345" s="98" t="str">
        <f>VLOOKUP(F345,'GL Category'!A:C,2,FALSE)</f>
        <v>TELEPHONE/COMMUNICATIONS</v>
      </c>
      <c r="I345" s="248">
        <f>SUMIFS(I$1:I308,$C$1:$C308,$C345,$F$1:$F308,$F345)</f>
        <v>0</v>
      </c>
      <c r="J345" s="248">
        <f>SUMIFS(J$1:J308,$C$1:$C308,$C345,$F$1:$F308,$F345)</f>
        <v>0</v>
      </c>
      <c r="K345" s="248">
        <f>SUMIFS(K$1:K308,$C$1:$C308,$C345,$F$1:$F308,$F345)</f>
        <v>0</v>
      </c>
      <c r="L345" s="248">
        <f>SUMIFS(L$1:L308,$C$1:$C308,$C345,$F$1:$F308,$F345)</f>
        <v>0</v>
      </c>
      <c r="M345" s="248">
        <f>SUMIFS(M$1:M308,$C$1:$C308,$C345,$F$1:$F308,$F345)</f>
        <v>0</v>
      </c>
      <c r="N345" s="248">
        <f>SUMIFS(N$1:N308,$C$1:$C308,$C345,$F$1:$F308,$F345)</f>
        <v>0</v>
      </c>
      <c r="O345" s="248">
        <f>SUMIFS(O$1:O308,$C$1:$C308,$C345,$F$1:$F308,$F345)</f>
        <v>0</v>
      </c>
      <c r="P345" s="248">
        <f>SUMIFS(P$1:P308,$C$1:$C308,$C345,$F$1:$F308,$F345)</f>
        <v>0</v>
      </c>
      <c r="Q345" s="248">
        <f>SUMIFS(Q$1:Q308,$C$1:$C308,$C345,$F$1:$F308,$F345)</f>
        <v>0</v>
      </c>
      <c r="R345" s="248">
        <f>SUMIFS(R$1:R308,$C$1:$C308,$C345,$F$1:$F308,$F345)</f>
        <v>0</v>
      </c>
      <c r="S345" s="248">
        <f>SUMIFS(S$1:S308,$C$1:$C308,$C345,$F$1:$F308,$F345)</f>
        <v>0</v>
      </c>
      <c r="T345" s="248">
        <f>SUMIFS(T$1:T308,$C$1:$C308,$C345,$F$1:$F308,$F345)</f>
        <v>0</v>
      </c>
      <c r="U345" s="99">
        <f t="shared" si="295"/>
        <v>0</v>
      </c>
      <c r="V345" s="259" t="str">
        <f t="shared" si="296"/>
        <v>N/A</v>
      </c>
      <c r="W345" s="102"/>
      <c r="X345" s="103" t="str">
        <f t="shared" si="294"/>
        <v>OK</v>
      </c>
      <c r="Y345" s="271"/>
      <c r="Z345" s="121"/>
      <c r="AA345" s="121"/>
      <c r="AB345" s="121"/>
      <c r="AC345" s="121"/>
      <c r="AD345" s="121"/>
      <c r="AE345" s="121"/>
      <c r="AF345" s="121"/>
      <c r="AG345" s="121"/>
      <c r="AH345" s="121"/>
      <c r="AI345" s="121"/>
      <c r="AJ345" s="121"/>
      <c r="AK345" s="121"/>
      <c r="AL345" s="121"/>
    </row>
    <row r="346" spans="1:38" s="115" customFormat="1">
      <c r="A346" s="555"/>
      <c r="B346" s="217"/>
      <c r="C346" s="217">
        <v>73</v>
      </c>
      <c r="D346" s="101"/>
      <c r="E346" s="217"/>
      <c r="F346" s="294" t="s">
        <v>214</v>
      </c>
      <c r="G346" s="295" t="str">
        <f>VLOOKUP(F346,'GL Category'!A:C,3,FALSE)</f>
        <v>Services &amp; other</v>
      </c>
      <c r="H346" s="98" t="str">
        <f>VLOOKUP(F346,'GL Category'!A:C,2,FALSE)</f>
        <v>ELECTRICAL UTILITY SERVICE</v>
      </c>
      <c r="I346" s="248">
        <f>SUMIFS(I$1:I309,$C$1:$C309,$C346,$F$1:$F309,$F346)</f>
        <v>211060.41</v>
      </c>
      <c r="J346" s="248">
        <f>SUMIFS(J$1:J309,$C$1:$C309,$C346,$F$1:$F309,$F346)</f>
        <v>232730.44</v>
      </c>
      <c r="K346" s="248">
        <f>SUMIFS(K$1:K309,$C$1:$C309,$C346,$F$1:$F309,$F346)</f>
        <v>292967.84000000003</v>
      </c>
      <c r="L346" s="248">
        <f>SUMIFS(L$1:L309,$C$1:$C309,$C346,$F$1:$F309,$F346)</f>
        <v>287506.52</v>
      </c>
      <c r="M346" s="248">
        <f>SUMIFS(M$1:M309,$C$1:$C309,$C346,$F$1:$F309,$F346)</f>
        <v>316260</v>
      </c>
      <c r="N346" s="248">
        <f>SUMIFS(N$1:N309,$C$1:$C309,$C346,$F$1:$F309,$F346)</f>
        <v>100027.28</v>
      </c>
      <c r="O346" s="248">
        <f>SUMIFS(O$1:O309,$C$1:$C309,$C346,$F$1:$F309,$F346)</f>
        <v>316260</v>
      </c>
      <c r="P346" s="248">
        <f>SUMIFS(P$1:P309,$C$1:$C309,$C346,$F$1:$F309,$F346)</f>
        <v>0</v>
      </c>
      <c r="Q346" s="248">
        <f>SUMIFS(Q$1:Q309,$C$1:$C309,$C346,$F$1:$F309,$F346)</f>
        <v>316260</v>
      </c>
      <c r="R346" s="248">
        <f>SUMIFS(R$1:R309,$C$1:$C309,$C346,$F$1:$F309,$F346)</f>
        <v>0</v>
      </c>
      <c r="S346" s="248">
        <f>SUMIFS(S$1:S309,$C$1:$C309,$C346,$F$1:$F309,$F346)</f>
        <v>0</v>
      </c>
      <c r="T346" s="248">
        <f>SUMIFS(T$1:T309,$C$1:$C309,$C346,$F$1:$F309,$F346)</f>
        <v>316260</v>
      </c>
      <c r="U346" s="99">
        <f t="shared" si="295"/>
        <v>0</v>
      </c>
      <c r="V346" s="259">
        <f t="shared" si="296"/>
        <v>0</v>
      </c>
      <c r="W346" s="102"/>
      <c r="X346" s="103" t="str">
        <f t="shared" si="294"/>
        <v>OK</v>
      </c>
      <c r="Y346" s="271" t="s">
        <v>789</v>
      </c>
      <c r="Z346" s="121"/>
      <c r="AA346" s="121"/>
      <c r="AB346" s="121"/>
      <c r="AC346" s="121"/>
      <c r="AD346" s="121"/>
      <c r="AE346" s="121"/>
      <c r="AF346" s="121"/>
      <c r="AG346" s="121"/>
      <c r="AH346" s="121"/>
      <c r="AI346" s="121"/>
      <c r="AJ346" s="121"/>
      <c r="AK346" s="121"/>
      <c r="AL346" s="121"/>
    </row>
    <row r="347" spans="1:38" s="115" customFormat="1">
      <c r="A347" s="555"/>
      <c r="B347" s="217"/>
      <c r="C347" s="217">
        <v>73</v>
      </c>
      <c r="D347" s="101"/>
      <c r="E347" s="217"/>
      <c r="F347" s="294" t="s">
        <v>216</v>
      </c>
      <c r="G347" s="295" t="str">
        <f>VLOOKUP(F347,'GL Category'!A:C,3,FALSE)</f>
        <v>Services &amp; other</v>
      </c>
      <c r="H347" s="98" t="str">
        <f>VLOOKUP(F347,'GL Category'!A:C,2,FALSE)</f>
        <v>WATER/SEWER UTILITY SERVICE</v>
      </c>
      <c r="I347" s="248">
        <f>SUMIFS(I$1:I310,$C$1:$C310,$C347,$F$1:$F310,$F347)</f>
        <v>3102.65</v>
      </c>
      <c r="J347" s="248">
        <f>SUMIFS(J$1:J310,$C$1:$C310,$C347,$F$1:$F310,$F347)</f>
        <v>6095.19</v>
      </c>
      <c r="K347" s="248">
        <f>SUMIFS(K$1:K310,$C$1:$C310,$C347,$F$1:$F310,$F347)</f>
        <v>10464.780000000001</v>
      </c>
      <c r="L347" s="248">
        <f>SUMIFS(L$1:L310,$C$1:$C310,$C347,$F$1:$F310,$F347)</f>
        <v>9226.4599999999991</v>
      </c>
      <c r="M347" s="248">
        <f>SUMIFS(M$1:M310,$C$1:$C310,$C347,$F$1:$F310,$F347)</f>
        <v>9000</v>
      </c>
      <c r="N347" s="248">
        <f>SUMIFS(N$1:N310,$C$1:$C310,$C347,$F$1:$F310,$F347)</f>
        <v>7768.94</v>
      </c>
      <c r="O347" s="248">
        <f>SUMIFS(O$1:O310,$C$1:$C310,$C347,$F$1:$F310,$F347)</f>
        <v>9000</v>
      </c>
      <c r="P347" s="248">
        <f>SUMIFS(P$1:P310,$C$1:$C310,$C347,$F$1:$F310,$F347)</f>
        <v>0</v>
      </c>
      <c r="Q347" s="248">
        <f>SUMIFS(Q$1:Q310,$C$1:$C310,$C347,$F$1:$F310,$F347)</f>
        <v>10000</v>
      </c>
      <c r="R347" s="248">
        <f>SUMIFS(R$1:R310,$C$1:$C310,$C347,$F$1:$F310,$F347)</f>
        <v>0</v>
      </c>
      <c r="S347" s="248">
        <f>SUMIFS(S$1:S310,$C$1:$C310,$C347,$F$1:$F310,$F347)</f>
        <v>0</v>
      </c>
      <c r="T347" s="248">
        <f>SUMIFS(T$1:T310,$C$1:$C310,$C347,$F$1:$F310,$F347)</f>
        <v>10000</v>
      </c>
      <c r="U347" s="99">
        <f t="shared" si="295"/>
        <v>1000</v>
      </c>
      <c r="V347" s="259">
        <f t="shared" si="296"/>
        <v>0.11111111111111116</v>
      </c>
      <c r="W347" s="102"/>
      <c r="X347" s="103" t="str">
        <f t="shared" si="294"/>
        <v>OK</v>
      </c>
      <c r="Y347" s="271" t="s">
        <v>789</v>
      </c>
      <c r="Z347" s="121"/>
      <c r="AA347" s="121"/>
      <c r="AB347" s="121"/>
      <c r="AC347" s="121"/>
      <c r="AD347" s="121"/>
      <c r="AE347" s="121"/>
      <c r="AF347" s="121"/>
      <c r="AG347" s="121"/>
      <c r="AH347" s="121"/>
      <c r="AI347" s="121"/>
      <c r="AJ347" s="121"/>
      <c r="AK347" s="121"/>
      <c r="AL347" s="121"/>
    </row>
    <row r="348" spans="1:38" s="115" customFormat="1">
      <c r="A348" s="555"/>
      <c r="B348" s="217"/>
      <c r="C348" s="217">
        <v>73</v>
      </c>
      <c r="D348" s="101"/>
      <c r="E348" s="217"/>
      <c r="F348" s="294" t="s">
        <v>348</v>
      </c>
      <c r="G348" s="295" t="str">
        <f>VLOOKUP(F348,'GL Category'!A:C,3,FALSE)</f>
        <v>Services &amp; other</v>
      </c>
      <c r="H348" s="98" t="str">
        <f>VLOOKUP(F348,'GL Category'!A:C,2,FALSE)</f>
        <v>TCEQ SERVICES</v>
      </c>
      <c r="I348" s="248">
        <f>SUMIFS(I$1:I311,$C$1:$C311,$C348,$F$1:$F311,$F348)</f>
        <v>38690.400000000001</v>
      </c>
      <c r="J348" s="248">
        <f>SUMIFS(J$1:J311,$C$1:$C311,$C348,$F$1:$F311,$F348)</f>
        <v>42953.4</v>
      </c>
      <c r="K348" s="248">
        <f>SUMIFS(K$1:K311,$C$1:$C311,$C348,$F$1:$F311,$F348)</f>
        <v>42953.4</v>
      </c>
      <c r="L348" s="248">
        <f>SUMIFS(L$1:L311,$C$1:$C311,$C348,$F$1:$F311,$F348)</f>
        <v>42953.4</v>
      </c>
      <c r="M348" s="248">
        <f>SUMIFS(M$1:M311,$C$1:$C311,$C348,$F$1:$F311,$F348)</f>
        <v>43000</v>
      </c>
      <c r="N348" s="248">
        <f>SUMIFS(N$1:N311,$C$1:$C311,$C348,$F$1:$F311,$F348)</f>
        <v>42953.4</v>
      </c>
      <c r="O348" s="248">
        <f>SUMIFS(O$1:O311,$C$1:$C311,$C348,$F$1:$F311,$F348)</f>
        <v>43000</v>
      </c>
      <c r="P348" s="248">
        <f>SUMIFS(P$1:P311,$C$1:$C311,$C348,$F$1:$F311,$F348)</f>
        <v>0</v>
      </c>
      <c r="Q348" s="248">
        <f>SUMIFS(Q$1:Q311,$C$1:$C311,$C348,$F$1:$F311,$F348)</f>
        <v>43000</v>
      </c>
      <c r="R348" s="248">
        <f>SUMIFS(R$1:R311,$C$1:$C311,$C348,$F$1:$F311,$F348)</f>
        <v>0</v>
      </c>
      <c r="S348" s="248">
        <f>SUMIFS(S$1:S311,$C$1:$C311,$C348,$F$1:$F311,$F348)</f>
        <v>0</v>
      </c>
      <c r="T348" s="248">
        <f>SUMIFS(T$1:T311,$C$1:$C311,$C348,$F$1:$F311,$F348)</f>
        <v>43000</v>
      </c>
      <c r="U348" s="99">
        <f t="shared" si="295"/>
        <v>0</v>
      </c>
      <c r="V348" s="259">
        <f t="shared" si="296"/>
        <v>0</v>
      </c>
      <c r="W348" s="102"/>
      <c r="X348" s="103" t="str">
        <f t="shared" si="294"/>
        <v>OK</v>
      </c>
      <c r="Y348" s="271"/>
      <c r="Z348" s="121"/>
      <c r="AA348" s="121"/>
      <c r="AB348" s="121"/>
      <c r="AC348" s="121"/>
      <c r="AD348" s="121"/>
      <c r="AE348" s="121"/>
      <c r="AF348" s="121"/>
      <c r="AG348" s="121"/>
      <c r="AH348" s="121"/>
      <c r="AI348" s="121"/>
      <c r="AJ348" s="121"/>
      <c r="AK348" s="121"/>
      <c r="AL348" s="121"/>
    </row>
    <row r="349" spans="1:38" s="115" customFormat="1">
      <c r="A349" s="555"/>
      <c r="B349" s="217"/>
      <c r="C349" s="217">
        <v>73</v>
      </c>
      <c r="D349" s="101"/>
      <c r="E349" s="217"/>
      <c r="F349" s="294" t="s">
        <v>242</v>
      </c>
      <c r="G349" s="295" t="e">
        <f>VLOOKUP(F349,'GL Category'!A:C,3,FALSE)</f>
        <v>#N/A</v>
      </c>
      <c r="H349" s="98" t="e">
        <f>VLOOKUP(F349,'GL Category'!A:C,2,FALSE)</f>
        <v>#N/A</v>
      </c>
      <c r="I349" s="248">
        <f>SUMIFS(I$1:I312,$C$1:$C312,$C349,$F$1:$F312,$F349)</f>
        <v>0</v>
      </c>
      <c r="J349" s="248">
        <f>SUMIFS(J$1:J312,$C$1:$C312,$C349,$F$1:$F312,$F349)</f>
        <v>0</v>
      </c>
      <c r="K349" s="248">
        <f>SUMIFS(K$1:K312,$C$1:$C312,$C349,$F$1:$F312,$F349)</f>
        <v>0</v>
      </c>
      <c r="L349" s="248">
        <f>SUMIFS(L$1:L312,$C$1:$C312,$C349,$F$1:$F312,$F349)</f>
        <v>0</v>
      </c>
      <c r="M349" s="248">
        <f>SUMIFS(M$1:M312,$C$1:$C312,$C349,$F$1:$F312,$F349)</f>
        <v>0</v>
      </c>
      <c r="N349" s="248">
        <f>SUMIFS(N$1:N312,$C$1:$C312,$C349,$F$1:$F312,$F349)</f>
        <v>0</v>
      </c>
      <c r="O349" s="248">
        <f>SUMIFS(O$1:O312,$C$1:$C312,$C349,$F$1:$F312,$F349)</f>
        <v>0</v>
      </c>
      <c r="P349" s="248">
        <f>SUMIFS(P$1:P312,$C$1:$C312,$C349,$F$1:$F312,$F349)</f>
        <v>0</v>
      </c>
      <c r="Q349" s="248">
        <f>SUMIFS(Q$1:Q312,$C$1:$C312,$C349,$F$1:$F312,$F349)</f>
        <v>0</v>
      </c>
      <c r="R349" s="248">
        <f>SUMIFS(R$1:R312,$C$1:$C312,$C349,$F$1:$F312,$F349)</f>
        <v>0</v>
      </c>
      <c r="S349" s="248">
        <f>SUMIFS(S$1:S312,$C$1:$C312,$C349,$F$1:$F312,$F349)</f>
        <v>0</v>
      </c>
      <c r="T349" s="248">
        <f>SUMIFS(T$1:T312,$C$1:$C312,$C349,$F$1:$F312,$F349)</f>
        <v>0</v>
      </c>
      <c r="U349" s="99">
        <f t="shared" si="295"/>
        <v>0</v>
      </c>
      <c r="V349" s="259" t="str">
        <f t="shared" si="296"/>
        <v>N/A</v>
      </c>
      <c r="W349" s="334">
        <v>-4.6841807143067626E-3</v>
      </c>
      <c r="X349" s="103" t="str">
        <f t="shared" si="294"/>
        <v>OK</v>
      </c>
      <c r="Y349" s="271"/>
      <c r="Z349" s="121"/>
      <c r="AA349" s="121"/>
      <c r="AB349" s="121"/>
      <c r="AC349" s="121"/>
      <c r="AD349" s="121"/>
      <c r="AE349" s="121"/>
      <c r="AF349" s="121"/>
      <c r="AG349" s="121"/>
      <c r="AH349" s="121"/>
      <c r="AI349" s="121"/>
      <c r="AJ349" s="121"/>
      <c r="AK349" s="121"/>
      <c r="AL349" s="121"/>
    </row>
    <row r="350" spans="1:38" s="115" customFormat="1">
      <c r="A350" s="555"/>
      <c r="B350" s="217"/>
      <c r="C350" s="217">
        <v>73</v>
      </c>
      <c r="D350" s="101"/>
      <c r="E350" s="217"/>
      <c r="F350" s="556" t="s">
        <v>3124</v>
      </c>
      <c r="G350" s="295" t="str">
        <f>VLOOKUP(F350,'GL Category'!A:C,3,FALSE)</f>
        <v>Services &amp; other</v>
      </c>
      <c r="H350" s="98" t="str">
        <f>VLOOKUP(F350,'GL Category'!A:C,2,FALSE)</f>
        <v>VEHICLE/EQUIP LEASE EXP-CITY</v>
      </c>
      <c r="I350" s="248">
        <f>SUMIFS(I$1:I313,$C$1:$C313,$C350,$F$1:$F313,$F350)</f>
        <v>191533</v>
      </c>
      <c r="J350" s="248">
        <f>SUMIFS(J$1:J313,$C$1:$C313,$C350,$F$1:$F313,$F350)</f>
        <v>167269</v>
      </c>
      <c r="K350" s="248">
        <f>SUMIFS(K$1:K313,$C$1:$C313,$C350,$F$1:$F313,$F350)</f>
        <v>174967</v>
      </c>
      <c r="L350" s="248">
        <f>SUMIFS(L$1:L313,$C$1:$C313,$C350,$F$1:$F313,$F350)</f>
        <v>101714</v>
      </c>
      <c r="M350" s="248">
        <f>SUMIFS(M$1:M313,$C$1:$C313,$C350,$F$1:$F313,$F350)</f>
        <v>105626</v>
      </c>
      <c r="N350" s="248">
        <f>SUMIFS(N$1:N313,$C$1:$C313,$C350,$F$1:$F313,$F350)</f>
        <v>79219.5</v>
      </c>
      <c r="O350" s="248">
        <f>SUMIFS(O$1:O313,$C$1:$C313,$C350,$F$1:$F313,$F350)</f>
        <v>105626</v>
      </c>
      <c r="P350" s="248">
        <f>SUMIFS(P$1:P313,$C$1:$C313,$C350,$F$1:$F313,$F350)</f>
        <v>0</v>
      </c>
      <c r="Q350" s="248">
        <f>SUMIFS(Q$1:Q313,$C$1:$C313,$C350,$F$1:$F313,$F350)</f>
        <v>111400</v>
      </c>
      <c r="R350" s="248">
        <f>SUMIFS(R$1:R313,$C$1:$C313,$C350,$F$1:$F313,$F350)</f>
        <v>0</v>
      </c>
      <c r="S350" s="248">
        <f>SUMIFS(S$1:S313,$C$1:$C313,$C350,$F$1:$F313,$F350)</f>
        <v>0</v>
      </c>
      <c r="T350" s="248">
        <f>SUMIFS(T$1:T313,$C$1:$C313,$C350,$F$1:$F313,$F350)</f>
        <v>111400</v>
      </c>
      <c r="U350" s="99">
        <f t="shared" si="295"/>
        <v>5774</v>
      </c>
      <c r="V350" s="259">
        <f t="shared" si="296"/>
        <v>5.4664571222994285E-2</v>
      </c>
      <c r="W350" s="102"/>
      <c r="X350" s="103" t="str">
        <f t="shared" si="294"/>
        <v>OK</v>
      </c>
      <c r="Y350" s="271"/>
      <c r="Z350" s="121"/>
      <c r="AA350" s="121"/>
      <c r="AB350" s="121"/>
      <c r="AC350" s="121"/>
      <c r="AD350" s="121"/>
      <c r="AE350" s="121"/>
      <c r="AF350" s="121"/>
      <c r="AG350" s="121"/>
      <c r="AH350" s="121"/>
      <c r="AI350" s="121"/>
      <c r="AJ350" s="121"/>
      <c r="AK350" s="121"/>
      <c r="AL350" s="121"/>
    </row>
    <row r="351" spans="1:38" s="115" customFormat="1">
      <c r="A351" s="555"/>
      <c r="B351" s="217"/>
      <c r="C351" s="217">
        <v>73</v>
      </c>
      <c r="D351" s="101"/>
      <c r="E351" s="217"/>
      <c r="F351" s="556" t="s">
        <v>3122</v>
      </c>
      <c r="G351" s="295" t="str">
        <f>VLOOKUP(F351,'GL Category'!A:C,3,FALSE)</f>
        <v>Services &amp; other</v>
      </c>
      <c r="H351" s="98" t="str">
        <f>VLOOKUP(F351,'GL Category'!A:C,2,FALSE)</f>
        <v>OFFICE EQUIP LEASE EXP-CITY</v>
      </c>
      <c r="I351" s="248">
        <f>SUMIFS(I$1:I314,$C$1:$C314,$C351,$F$1:$F314,$F351)</f>
        <v>96013</v>
      </c>
      <c r="J351" s="248">
        <f>SUMIFS(J$1:J314,$C$1:$C314,$C351,$F$1:$F314,$F351)</f>
        <v>93081</v>
      </c>
      <c r="K351" s="248">
        <f>SUMIFS(K$1:K314,$C$1:$C314,$C351,$F$1:$F314,$F351)</f>
        <v>90207</v>
      </c>
      <c r="L351" s="248">
        <f>SUMIFS(L$1:L314,$C$1:$C314,$C351,$F$1:$F314,$F351)</f>
        <v>92489</v>
      </c>
      <c r="M351" s="248">
        <f>SUMIFS(M$1:M314,$C$1:$C314,$C351,$F$1:$F314,$F351)</f>
        <v>105710</v>
      </c>
      <c r="N351" s="248">
        <f>SUMIFS(N$1:N314,$C$1:$C314,$C351,$F$1:$F314,$F351)</f>
        <v>79282.5</v>
      </c>
      <c r="O351" s="248">
        <f>SUMIFS(O$1:O314,$C$1:$C314,$C351,$F$1:$F314,$F351)</f>
        <v>105710</v>
      </c>
      <c r="P351" s="248">
        <f>SUMIFS(P$1:P314,$C$1:$C314,$C351,$F$1:$F314,$F351)</f>
        <v>0</v>
      </c>
      <c r="Q351" s="248">
        <f>SUMIFS(Q$1:Q314,$C$1:$C314,$C351,$F$1:$F314,$F351)</f>
        <v>96888</v>
      </c>
      <c r="R351" s="248">
        <f>SUMIFS(R$1:R314,$C$1:$C314,$C351,$F$1:$F314,$F351)</f>
        <v>0</v>
      </c>
      <c r="S351" s="248">
        <f>SUMIFS(S$1:S314,$C$1:$C314,$C351,$F$1:$F314,$F351)</f>
        <v>0</v>
      </c>
      <c r="T351" s="248">
        <f>SUMIFS(T$1:T314,$C$1:$C314,$C351,$F$1:$F314,$F351)</f>
        <v>96888</v>
      </c>
      <c r="U351" s="99">
        <f t="shared" si="295"/>
        <v>-8822</v>
      </c>
      <c r="V351" s="259">
        <f t="shared" si="296"/>
        <v>-8.3454734651404738E-2</v>
      </c>
      <c r="W351" s="102"/>
      <c r="X351" s="103" t="str">
        <f t="shared" si="294"/>
        <v>OK</v>
      </c>
      <c r="Y351" s="271"/>
      <c r="Z351" s="121"/>
      <c r="AA351" s="121"/>
      <c r="AB351" s="121"/>
      <c r="AC351" s="121"/>
      <c r="AD351" s="121"/>
      <c r="AE351" s="121"/>
      <c r="AF351" s="121"/>
      <c r="AG351" s="121"/>
      <c r="AH351" s="121"/>
      <c r="AI351" s="121"/>
      <c r="AJ351" s="121"/>
      <c r="AK351" s="121"/>
      <c r="AL351" s="121"/>
    </row>
    <row r="352" spans="1:38" s="115" customFormat="1">
      <c r="A352" s="555"/>
      <c r="B352" s="217"/>
      <c r="C352" s="217"/>
      <c r="D352" s="101"/>
      <c r="E352" s="217"/>
      <c r="F352" s="294"/>
      <c r="G352" s="146"/>
      <c r="H352" s="107" t="str">
        <f>UPPER(G351)&amp;" TOTAL"</f>
        <v>SERVICES &amp; OTHER TOTAL</v>
      </c>
      <c r="I352" s="108">
        <f t="shared" ref="I352" si="297">SUBTOTAL(9,I335:I351)</f>
        <v>9320559.370000001</v>
      </c>
      <c r="J352" s="108">
        <f t="shared" ref="J352:P352" si="298">SUBTOTAL(9,J335:J351)</f>
        <v>8877177.5700000003</v>
      </c>
      <c r="K352" s="108">
        <f t="shared" ref="K352" si="299">SUBTOTAL(9,K335:K351)</f>
        <v>11978824.960000001</v>
      </c>
      <c r="L352" s="108">
        <f t="shared" ref="L352" si="300">SUBTOTAL(9,L335:L351)</f>
        <v>10807667.709999999</v>
      </c>
      <c r="M352" s="108">
        <f t="shared" si="298"/>
        <v>10217161</v>
      </c>
      <c r="N352" s="109">
        <f t="shared" ref="N352" si="301">SUBTOTAL(9,N335:N351)</f>
        <v>5476252.6500000013</v>
      </c>
      <c r="O352" s="109">
        <f t="shared" si="298"/>
        <v>10204886</v>
      </c>
      <c r="P352" s="109">
        <f t="shared" si="298"/>
        <v>-12275</v>
      </c>
      <c r="Q352" s="109">
        <f t="shared" ref="Q352:T352" si="302">SUBTOTAL(9,Q335:Q351)</f>
        <v>10515083</v>
      </c>
      <c r="R352" s="109">
        <f t="shared" si="302"/>
        <v>0</v>
      </c>
      <c r="S352" s="109">
        <f t="shared" si="302"/>
        <v>0</v>
      </c>
      <c r="T352" s="109">
        <f t="shared" si="302"/>
        <v>10515083</v>
      </c>
      <c r="U352" s="99">
        <f t="shared" si="295"/>
        <v>297922</v>
      </c>
      <c r="V352" s="259">
        <f t="shared" si="296"/>
        <v>2.9158980660087375E-2</v>
      </c>
      <c r="W352" s="102"/>
      <c r="X352" s="103" t="str">
        <f t="shared" si="294"/>
        <v>OK</v>
      </c>
      <c r="Y352" s="271"/>
      <c r="Z352" s="121"/>
      <c r="AA352" s="121"/>
      <c r="AB352" s="121"/>
      <c r="AC352" s="121"/>
      <c r="AD352" s="121"/>
      <c r="AE352" s="121"/>
      <c r="AF352" s="121"/>
      <c r="AG352" s="121"/>
      <c r="AH352" s="121"/>
      <c r="AI352" s="121"/>
      <c r="AJ352" s="121"/>
      <c r="AK352" s="121"/>
      <c r="AL352" s="121"/>
    </row>
    <row r="353" spans="1:38" s="115" customFormat="1">
      <c r="A353" s="555"/>
      <c r="B353" s="217"/>
      <c r="C353" s="217"/>
      <c r="D353" s="101"/>
      <c r="E353" s="217"/>
      <c r="F353" s="294"/>
      <c r="G353" s="146"/>
      <c r="H353" s="98"/>
      <c r="I353" s="106"/>
      <c r="J353" s="106"/>
      <c r="K353" s="106"/>
      <c r="L353" s="106"/>
      <c r="M353" s="106"/>
      <c r="N353" s="110"/>
      <c r="O353" s="110"/>
      <c r="P353" s="110"/>
      <c r="Q353" s="111"/>
      <c r="R353" s="111"/>
      <c r="S353" s="111"/>
      <c r="T353" s="111"/>
      <c r="U353" s="99">
        <f t="shared" si="295"/>
        <v>0</v>
      </c>
      <c r="V353" s="259" t="str">
        <f t="shared" si="296"/>
        <v>N/A</v>
      </c>
      <c r="W353" s="102"/>
      <c r="X353" s="103" t="str">
        <f t="shared" si="294"/>
        <v/>
      </c>
      <c r="Y353" s="271"/>
      <c r="Z353" s="121"/>
      <c r="AA353" s="121"/>
      <c r="AB353" s="121"/>
      <c r="AC353" s="121"/>
      <c r="AD353" s="121"/>
      <c r="AE353" s="121"/>
      <c r="AF353" s="121"/>
      <c r="AG353" s="121"/>
      <c r="AH353" s="121"/>
      <c r="AI353" s="121"/>
      <c r="AJ353" s="121"/>
      <c r="AK353" s="121"/>
      <c r="AL353" s="121"/>
    </row>
    <row r="354" spans="1:38" s="115" customFormat="1">
      <c r="A354" s="555"/>
      <c r="B354" s="217"/>
      <c r="C354" s="217">
        <v>73</v>
      </c>
      <c r="D354" s="101"/>
      <c r="E354" s="217"/>
      <c r="F354" s="294" t="s">
        <v>302</v>
      </c>
      <c r="G354" s="295" t="e">
        <f>VLOOKUP(F354,'GL Category'!A:C,3,FALSE)</f>
        <v>#N/A</v>
      </c>
      <c r="H354" s="98" t="e">
        <f>VLOOKUP(F354,'GL Category'!A:C,2,FALSE)</f>
        <v>#N/A</v>
      </c>
      <c r="I354" s="248">
        <f>SUMIFS(I$1:I318,$C$1:$C318,$C354,$F$1:$F318,$F354)</f>
        <v>0</v>
      </c>
      <c r="J354" s="248">
        <f>SUMIFS(J$1:J318,$C$1:$C318,$C354,$F$1:$F318,$F354)</f>
        <v>0</v>
      </c>
      <c r="K354" s="248">
        <f>SUMIFS(K$1:K318,$C$1:$C318,$C354,$F$1:$F318,$F354)</f>
        <v>0</v>
      </c>
      <c r="L354" s="248">
        <f>SUMIFS(L$1:L318,$C$1:$C318,$C354,$F$1:$F318,$F354)</f>
        <v>0</v>
      </c>
      <c r="M354" s="248">
        <f>SUMIFS(M$1:M318,$C$1:$C318,$C354,$F$1:$F318,$F354)</f>
        <v>0</v>
      </c>
      <c r="N354" s="248">
        <f>SUMIFS(N$1:N318,$C$1:$C318,$C354,$F$1:$F318,$F354)</f>
        <v>0</v>
      </c>
      <c r="O354" s="248">
        <f>SUMIFS(O$1:O318,$C$1:$C318,$C354,$F$1:$F318,$F354)</f>
        <v>0</v>
      </c>
      <c r="P354" s="248">
        <f>SUMIFS(P$1:P318,$C$1:$C318,$C354,$F$1:$F318,$F354)</f>
        <v>0</v>
      </c>
      <c r="Q354" s="248">
        <f>SUMIFS(Q$1:Q318,$C$1:$C318,$C354,$F$1:$F318,$F354)</f>
        <v>0</v>
      </c>
      <c r="R354" s="248">
        <f>SUMIFS(R$1:R318,$C$1:$C318,$C354,$F$1:$F318,$F354)</f>
        <v>0</v>
      </c>
      <c r="S354" s="248">
        <f>SUMIFS(S$1:S318,$C$1:$C318,$C354,$F$1:$F318,$F354)</f>
        <v>0</v>
      </c>
      <c r="T354" s="248">
        <f>SUMIFS(T$1:T318,$C$1:$C318,$C354,$F$1:$F318,$F354)</f>
        <v>0</v>
      </c>
      <c r="U354" s="99">
        <f t="shared" si="295"/>
        <v>0</v>
      </c>
      <c r="V354" s="259" t="str">
        <f t="shared" si="296"/>
        <v>N/A</v>
      </c>
      <c r="W354" s="102"/>
      <c r="X354" s="103" t="str">
        <f t="shared" si="294"/>
        <v>OK</v>
      </c>
      <c r="Y354" s="271"/>
      <c r="Z354" s="121"/>
      <c r="AA354" s="121"/>
      <c r="AB354" s="121"/>
      <c r="AC354" s="121"/>
      <c r="AD354" s="121"/>
      <c r="AE354" s="121"/>
      <c r="AF354" s="121"/>
      <c r="AG354" s="121"/>
      <c r="AH354" s="121"/>
      <c r="AI354" s="121"/>
      <c r="AJ354" s="121"/>
      <c r="AK354" s="121"/>
      <c r="AL354" s="121"/>
    </row>
    <row r="355" spans="1:38" s="115" customFormat="1">
      <c r="A355" s="555"/>
      <c r="B355" s="217"/>
      <c r="C355" s="217">
        <v>73</v>
      </c>
      <c r="D355" s="101"/>
      <c r="E355" s="217"/>
      <c r="F355" s="294" t="s">
        <v>345</v>
      </c>
      <c r="G355" s="295" t="str">
        <f>VLOOKUP(F355,'GL Category'!A:C,3,FALSE)</f>
        <v>Capital Outlay</v>
      </c>
      <c r="H355" s="98" t="str">
        <f>VLOOKUP(F355,'GL Category'!A:C,2,FALSE)</f>
        <v>MAINS &amp; SERVICES</v>
      </c>
      <c r="I355" s="248">
        <f>SUMIFS(I$1:I319,$C$1:$C319,$C355,$F$1:$F319,$F355)</f>
        <v>49060.44</v>
      </c>
      <c r="J355" s="248">
        <f>SUMIFS(J$1:J319,$C$1:$C319,$C355,$F$1:$F319,$F355)</f>
        <v>0</v>
      </c>
      <c r="K355" s="248">
        <f>SUMIFS(K$1:K319,$C$1:$C319,$C355,$F$1:$F319,$F355)</f>
        <v>0</v>
      </c>
      <c r="L355" s="248">
        <f>SUMIFS(L$1:L319,$C$1:$C319,$C355,$F$1:$F319,$F355)</f>
        <v>0</v>
      </c>
      <c r="M355" s="248">
        <f>SUMIFS(M$1:M319,$C$1:$C319,$C355,$F$1:$F319,$F355)</f>
        <v>0</v>
      </c>
      <c r="N355" s="248">
        <f>SUMIFS(N$1:N319,$C$1:$C319,$C355,$F$1:$F319,$F355)</f>
        <v>0</v>
      </c>
      <c r="O355" s="248">
        <f>SUMIFS(O$1:O319,$C$1:$C319,$C355,$F$1:$F319,$F355)</f>
        <v>0</v>
      </c>
      <c r="P355" s="248">
        <f>SUMIFS(P$1:P319,$C$1:$C319,$C355,$F$1:$F319,$F355)</f>
        <v>0</v>
      </c>
      <c r="Q355" s="248">
        <f>SUMIFS(Q$1:Q319,$C$1:$C319,$C355,$F$1:$F319,$F355)</f>
        <v>0</v>
      </c>
      <c r="R355" s="248">
        <f>SUMIFS(R$1:R319,$C$1:$C319,$C355,$F$1:$F319,$F355)</f>
        <v>0</v>
      </c>
      <c r="S355" s="248">
        <f>SUMIFS(S$1:S319,$C$1:$C319,$C355,$F$1:$F319,$F355)</f>
        <v>0</v>
      </c>
      <c r="T355" s="248">
        <f>SUMIFS(T$1:T319,$C$1:$C319,$C355,$F$1:$F319,$F355)</f>
        <v>0</v>
      </c>
      <c r="U355" s="99">
        <f t="shared" si="295"/>
        <v>0</v>
      </c>
      <c r="V355" s="259" t="str">
        <f t="shared" si="296"/>
        <v>N/A</v>
      </c>
      <c r="W355" s="102"/>
      <c r="X355" s="103" t="str">
        <f t="shared" si="294"/>
        <v>OK</v>
      </c>
      <c r="Y355" s="271"/>
      <c r="Z355" s="121"/>
      <c r="AA355" s="121"/>
      <c r="AB355" s="121"/>
      <c r="AC355" s="121"/>
      <c r="AD355" s="121"/>
      <c r="AE355" s="121"/>
      <c r="AF355" s="121"/>
      <c r="AG355" s="121"/>
      <c r="AH355" s="121"/>
      <c r="AI355" s="121"/>
      <c r="AJ355" s="121"/>
      <c r="AK355" s="121"/>
      <c r="AL355" s="121"/>
    </row>
    <row r="356" spans="1:38" s="115" customFormat="1">
      <c r="A356" s="555"/>
      <c r="B356" s="217"/>
      <c r="C356" s="217">
        <v>73</v>
      </c>
      <c r="D356" s="101"/>
      <c r="E356" s="217"/>
      <c r="F356" s="294" t="s">
        <v>267</v>
      </c>
      <c r="G356" s="295" t="str">
        <f>VLOOKUP(F356,'GL Category'!A:C,3,FALSE)</f>
        <v>Capital Outlay</v>
      </c>
      <c r="H356" s="98" t="str">
        <f>VLOOKUP(F356,'GL Category'!A:C,2,FALSE)</f>
        <v>MACHINERY &amp; EQUIPMENT</v>
      </c>
      <c r="I356" s="248">
        <f>SUMIFS(I$1:I320,$C$1:$C320,$C356,$F$1:$F320,$F356)</f>
        <v>0</v>
      </c>
      <c r="J356" s="248">
        <f>SUMIFS(J$1:J320,$C$1:$C320,$C356,$F$1:$F320,$F356)</f>
        <v>21451.16</v>
      </c>
      <c r="K356" s="248">
        <f>SUMIFS(K$1:K320,$C$1:$C320,$C356,$F$1:$F320,$F356)</f>
        <v>0</v>
      </c>
      <c r="L356" s="248">
        <f>SUMIFS(L$1:L320,$C$1:$C320,$C356,$F$1:$F320,$F356)</f>
        <v>0</v>
      </c>
      <c r="M356" s="248">
        <f>SUMIFS(M$1:M320,$C$1:$C320,$C356,$F$1:$F320,$F356)</f>
        <v>0</v>
      </c>
      <c r="N356" s="248">
        <f>SUMIFS(N$1:N320,$C$1:$C320,$C356,$F$1:$F320,$F356)</f>
        <v>0</v>
      </c>
      <c r="O356" s="248">
        <f>SUMIFS(O$1:O320,$C$1:$C320,$C356,$F$1:$F320,$F356)</f>
        <v>0</v>
      </c>
      <c r="P356" s="248">
        <f>SUMIFS(P$1:P320,$C$1:$C320,$C356,$F$1:$F320,$F356)</f>
        <v>0</v>
      </c>
      <c r="Q356" s="248">
        <f>SUMIFS(Q$1:Q320,$C$1:$C320,$C356,$F$1:$F320,$F356)</f>
        <v>0</v>
      </c>
      <c r="R356" s="248">
        <f>SUMIFS(R$1:R320,$C$1:$C320,$C356,$F$1:$F320,$F356)</f>
        <v>0</v>
      </c>
      <c r="S356" s="248">
        <f>SUMIFS(S$1:S320,$C$1:$C320,$C356,$F$1:$F320,$F356)</f>
        <v>0</v>
      </c>
      <c r="T356" s="248">
        <f>SUMIFS(T$1:T320,$C$1:$C320,$C356,$F$1:$F320,$F356)</f>
        <v>0</v>
      </c>
      <c r="U356" s="99">
        <f t="shared" si="295"/>
        <v>0</v>
      </c>
      <c r="V356" s="259" t="str">
        <f t="shared" si="296"/>
        <v>N/A</v>
      </c>
      <c r="W356" s="102"/>
      <c r="X356" s="103" t="str">
        <f t="shared" si="294"/>
        <v>OK</v>
      </c>
      <c r="Y356" s="271"/>
      <c r="Z356" s="121"/>
      <c r="AA356" s="121"/>
      <c r="AB356" s="121"/>
      <c r="AC356" s="121"/>
      <c r="AD356" s="121"/>
      <c r="AE356" s="121"/>
      <c r="AF356" s="121"/>
      <c r="AG356" s="121"/>
      <c r="AH356" s="121"/>
      <c r="AI356" s="121"/>
      <c r="AJ356" s="121"/>
      <c r="AK356" s="121"/>
      <c r="AL356" s="121"/>
    </row>
    <row r="357" spans="1:38" s="115" customFormat="1">
      <c r="A357" s="555"/>
      <c r="B357" s="217"/>
      <c r="C357" s="217">
        <v>73</v>
      </c>
      <c r="D357" s="101"/>
      <c r="E357" s="217"/>
      <c r="F357" s="294" t="s">
        <v>243</v>
      </c>
      <c r="G357" s="295" t="str">
        <f>VLOOKUP(F357,'GL Category'!A:C,3,FALSE)</f>
        <v>Capital Outlay</v>
      </c>
      <c r="H357" s="98" t="str">
        <f>VLOOKUP(F357,'GL Category'!A:C,2,FALSE)</f>
        <v>MOTOR VEHICLES</v>
      </c>
      <c r="I357" s="248">
        <f>SUMIFS(I$1:I321,$C$1:$C321,$C357,$F$1:$F321,$F357)</f>
        <v>0</v>
      </c>
      <c r="J357" s="248">
        <f>SUMIFS(J$1:J321,$C$1:$C321,$C357,$F$1:$F321,$F357)</f>
        <v>0</v>
      </c>
      <c r="K357" s="248">
        <f>SUMIFS(K$1:K321,$C$1:$C321,$C357,$F$1:$F321,$F357)</f>
        <v>0</v>
      </c>
      <c r="L357" s="248">
        <f>SUMIFS(L$1:L321,$C$1:$C321,$C357,$F$1:$F321,$F357)</f>
        <v>0</v>
      </c>
      <c r="M357" s="248">
        <f>SUMIFS(M$1:M321,$C$1:$C321,$C357,$F$1:$F321,$F357)</f>
        <v>0</v>
      </c>
      <c r="N357" s="248">
        <f>SUMIFS(N$1:N321,$C$1:$C321,$C357,$F$1:$F321,$F357)</f>
        <v>0</v>
      </c>
      <c r="O357" s="248">
        <f>SUMIFS(O$1:O321,$C$1:$C321,$C357,$F$1:$F321,$F357)</f>
        <v>0</v>
      </c>
      <c r="P357" s="248">
        <f>SUMIFS(P$1:P321,$C$1:$C321,$C357,$F$1:$F321,$F357)</f>
        <v>0</v>
      </c>
      <c r="Q357" s="248">
        <f>SUMIFS(Q$1:Q321,$C$1:$C321,$C357,$F$1:$F321,$F357)</f>
        <v>0</v>
      </c>
      <c r="R357" s="248">
        <f>SUMIFS(R$1:R321,$C$1:$C321,$C357,$F$1:$F321,$F357)</f>
        <v>0</v>
      </c>
      <c r="S357" s="248">
        <f>SUMIFS(S$1:S321,$C$1:$C321,$C357,$F$1:$F321,$F357)</f>
        <v>0</v>
      </c>
      <c r="T357" s="248">
        <f>SUMIFS(T$1:T321,$C$1:$C321,$C357,$F$1:$F321,$F357)</f>
        <v>0</v>
      </c>
      <c r="U357" s="99">
        <f t="shared" si="295"/>
        <v>0</v>
      </c>
      <c r="V357" s="259" t="str">
        <f t="shared" si="296"/>
        <v>N/A</v>
      </c>
      <c r="W357" s="102"/>
      <c r="X357" s="103" t="str">
        <f t="shared" si="294"/>
        <v>OK</v>
      </c>
      <c r="Y357" s="271"/>
      <c r="Z357" s="121"/>
      <c r="AA357" s="121"/>
      <c r="AB357" s="121"/>
      <c r="AC357" s="121"/>
      <c r="AD357" s="121"/>
      <c r="AE357" s="121"/>
      <c r="AF357" s="121"/>
      <c r="AG357" s="121"/>
      <c r="AH357" s="121"/>
      <c r="AI357" s="121"/>
      <c r="AJ357" s="121"/>
      <c r="AK357" s="121"/>
      <c r="AL357" s="121"/>
    </row>
    <row r="358" spans="1:38" s="115" customFormat="1">
      <c r="A358" s="555"/>
      <c r="B358" s="217"/>
      <c r="C358" s="217"/>
      <c r="D358" s="101"/>
      <c r="E358" s="217"/>
      <c r="F358" s="294"/>
      <c r="G358" s="146"/>
      <c r="H358" s="107" t="str">
        <f>UPPER(G357)&amp;" TOTAL"</f>
        <v>CAPITAL OUTLAY TOTAL</v>
      </c>
      <c r="I358" s="108">
        <f t="shared" ref="I358" si="303">SUBTOTAL(9,I354:I357)</f>
        <v>49060.44</v>
      </c>
      <c r="J358" s="108">
        <f t="shared" ref="J358:O358" si="304">SUBTOTAL(9,J354:J357)</f>
        <v>21451.16</v>
      </c>
      <c r="K358" s="108">
        <f t="shared" ref="K358" si="305">SUBTOTAL(9,K354:K357)</f>
        <v>0</v>
      </c>
      <c r="L358" s="108">
        <f t="shared" ref="L358" si="306">SUBTOTAL(9,L354:L357)</f>
        <v>0</v>
      </c>
      <c r="M358" s="108">
        <f t="shared" si="304"/>
        <v>0</v>
      </c>
      <c r="N358" s="109">
        <f t="shared" ref="N358" si="307">SUBTOTAL(9,N354:N357)</f>
        <v>0</v>
      </c>
      <c r="O358" s="109">
        <f t="shared" si="304"/>
        <v>0</v>
      </c>
      <c r="P358" s="109">
        <f>SUBTOTAL(9,P354:P357)</f>
        <v>0</v>
      </c>
      <c r="Q358" s="109">
        <f t="shared" ref="Q358:T358" si="308">SUBTOTAL(9,Q354:Q357)</f>
        <v>0</v>
      </c>
      <c r="R358" s="109">
        <f t="shared" si="308"/>
        <v>0</v>
      </c>
      <c r="S358" s="109">
        <f t="shared" si="308"/>
        <v>0</v>
      </c>
      <c r="T358" s="109">
        <f t="shared" si="308"/>
        <v>0</v>
      </c>
      <c r="U358" s="99">
        <f t="shared" si="295"/>
        <v>0</v>
      </c>
      <c r="V358" s="259" t="str">
        <f t="shared" si="296"/>
        <v>N/A</v>
      </c>
      <c r="W358" s="102"/>
      <c r="X358" s="103" t="str">
        <f t="shared" si="294"/>
        <v>OK</v>
      </c>
      <c r="Y358" s="271"/>
      <c r="Z358" s="121"/>
      <c r="AA358" s="121"/>
      <c r="AB358" s="121"/>
      <c r="AC358" s="121"/>
      <c r="AD358" s="121"/>
      <c r="AE358" s="121"/>
      <c r="AF358" s="121"/>
      <c r="AG358" s="121"/>
      <c r="AH358" s="121"/>
      <c r="AI358" s="121"/>
      <c r="AJ358" s="121"/>
      <c r="AK358" s="121"/>
      <c r="AL358" s="121"/>
    </row>
    <row r="359" spans="1:38" s="115" customFormat="1">
      <c r="A359" s="555"/>
      <c r="B359" s="217"/>
      <c r="C359" s="217"/>
      <c r="D359" s="101"/>
      <c r="E359" s="217"/>
      <c r="F359" s="294"/>
      <c r="G359" s="146"/>
      <c r="H359" s="98"/>
      <c r="I359" s="106"/>
      <c r="J359" s="106"/>
      <c r="K359" s="106"/>
      <c r="L359" s="106"/>
      <c r="M359" s="106"/>
      <c r="N359" s="110"/>
      <c r="O359" s="110"/>
      <c r="P359" s="110"/>
      <c r="Q359" s="111"/>
      <c r="R359" s="111"/>
      <c r="S359" s="111"/>
      <c r="T359" s="111"/>
      <c r="U359" s="111"/>
      <c r="V359" s="111"/>
      <c r="W359" s="102"/>
      <c r="X359" s="103" t="str">
        <f t="shared" si="294"/>
        <v/>
      </c>
      <c r="Y359" s="271"/>
      <c r="Z359" s="121"/>
      <c r="AA359" s="121"/>
      <c r="AB359" s="121"/>
      <c r="AC359" s="121"/>
      <c r="AD359" s="121"/>
      <c r="AE359" s="121"/>
      <c r="AF359" s="121"/>
      <c r="AG359" s="121"/>
      <c r="AH359" s="121"/>
      <c r="AI359" s="121"/>
      <c r="AJ359" s="121"/>
      <c r="AK359" s="121"/>
      <c r="AL359" s="121"/>
    </row>
    <row r="360" spans="1:38" s="115" customFormat="1">
      <c r="A360" s="555"/>
      <c r="B360" s="217"/>
      <c r="C360" s="217">
        <v>73</v>
      </c>
      <c r="D360" s="101"/>
      <c r="E360" s="217"/>
      <c r="F360" s="294" t="s">
        <v>239</v>
      </c>
      <c r="G360" s="295" t="str">
        <f>VLOOKUP(F360,'GL Category'!A:C,3,FALSE)</f>
        <v>Transfers to other funds</v>
      </c>
      <c r="H360" s="98" t="str">
        <f>VLOOKUP(F360,'GL Category'!A:C,2,FALSE)</f>
        <v>TRANSFER TO CIP-STREET IMPROVE</v>
      </c>
      <c r="I360" s="248">
        <f>SUMIFS(I$1:I323,$C$1:$C323,$C360,$F$1:$F323,$F360)</f>
        <v>150000</v>
      </c>
      <c r="J360" s="248">
        <f>SUMIFS(J$1:J323,$C$1:$C323,$C360,$F$1:$F323,$F360)</f>
        <v>100000</v>
      </c>
      <c r="K360" s="248">
        <f>SUMIFS(K$1:K323,$C$1:$C323,$C360,$F$1:$F323,$F360)</f>
        <v>0</v>
      </c>
      <c r="L360" s="248">
        <f>SUMIFS(L$1:L323,$C$1:$C323,$C360,$F$1:$F323,$F360)</f>
        <v>0</v>
      </c>
      <c r="M360" s="248">
        <f>SUMIFS(M$1:M323,$C$1:$C323,$C360,$F$1:$F323,$F360)</f>
        <v>0</v>
      </c>
      <c r="N360" s="248">
        <f>SUMIFS(N$1:N323,$C$1:$C323,$C360,$F$1:$F323,$F360)</f>
        <v>0</v>
      </c>
      <c r="O360" s="248">
        <f>SUMIFS(O$1:O323,$C$1:$C323,$C360,$F$1:$F323,$F360)</f>
        <v>0</v>
      </c>
      <c r="P360" s="248">
        <f>SUMIFS(P$1:P323,$C$1:$C323,$C360,$F$1:$F323,$F360)</f>
        <v>0</v>
      </c>
      <c r="Q360" s="248">
        <f>SUMIFS(Q$1:Q323,$C$1:$C323,$C360,$F$1:$F323,$F360)</f>
        <v>0</v>
      </c>
      <c r="R360" s="248">
        <f>SUMIFS(R$1:R323,$C$1:$C323,$C360,$F$1:$F323,$F360)</f>
        <v>0</v>
      </c>
      <c r="S360" s="248">
        <f>SUMIFS(S$1:S323,$C$1:$C323,$C360,$F$1:$F323,$F360)</f>
        <v>0</v>
      </c>
      <c r="T360" s="248">
        <f>SUMIFS(T$1:T323,$C$1:$C323,$C360,$F$1:$F323,$F360)</f>
        <v>0</v>
      </c>
      <c r="U360" s="99">
        <f>T360-M360</f>
        <v>0</v>
      </c>
      <c r="V360" s="259" t="str">
        <f>IF(M360=0,"N/A",T360/M360-1)</f>
        <v>N/A</v>
      </c>
      <c r="W360" s="102"/>
      <c r="X360" s="103" t="str">
        <f t="shared" si="294"/>
        <v>OK</v>
      </c>
      <c r="Y360" s="271"/>
      <c r="Z360" s="121"/>
      <c r="AA360" s="121"/>
      <c r="AB360" s="121"/>
      <c r="AC360" s="121"/>
      <c r="AD360" s="121"/>
      <c r="AE360" s="121"/>
      <c r="AF360" s="121"/>
      <c r="AG360" s="121"/>
      <c r="AH360" s="121"/>
      <c r="AI360" s="121"/>
      <c r="AJ360" s="121"/>
      <c r="AK360" s="121"/>
      <c r="AL360" s="121"/>
    </row>
    <row r="361" spans="1:38" s="115" customFormat="1">
      <c r="A361" s="555"/>
      <c r="B361" s="217"/>
      <c r="C361" s="217">
        <v>73</v>
      </c>
      <c r="D361" s="101"/>
      <c r="E361" s="217"/>
      <c r="F361" s="294" t="s">
        <v>347</v>
      </c>
      <c r="G361" s="295" t="str">
        <f>VLOOKUP(F361,'GL Category'!A:C,3,FALSE)</f>
        <v>Transfers to other funds</v>
      </c>
      <c r="H361" s="98" t="str">
        <f>VLOOKUP(F361,'GL Category'!A:C,2,FALSE)</f>
        <v>TRANSFER TO CIP-WATER/WW</v>
      </c>
      <c r="I361" s="248">
        <f>SUMIFS(I$1:I324,$C$1:$C324,$C361,$F$1:$F324,$F361)</f>
        <v>653000</v>
      </c>
      <c r="J361" s="248">
        <f>SUMIFS(J$1:J324,$C$1:$C324,$C361,$F$1:$F324,$F361)</f>
        <v>1273905</v>
      </c>
      <c r="K361" s="248">
        <f>SUMIFS(K$1:K324,$C$1:$C324,$C361,$F$1:$F324,$F361)</f>
        <v>1300000</v>
      </c>
      <c r="L361" s="248">
        <f>SUMIFS(L$1:L324,$C$1:$C324,$C361,$F$1:$F324,$F361)</f>
        <v>800000</v>
      </c>
      <c r="M361" s="248">
        <f>SUMIFS(M$1:M324,$C$1:$C324,$C361,$F$1:$F324,$F361)</f>
        <v>625000</v>
      </c>
      <c r="N361" s="248">
        <f>SUMIFS(N$1:N324,$C$1:$C324,$C361,$F$1:$F324,$F361)</f>
        <v>468750</v>
      </c>
      <c r="O361" s="248">
        <f>SUMIFS(O$1:O324,$C$1:$C324,$C361,$F$1:$F324,$F361)</f>
        <v>625000</v>
      </c>
      <c r="P361" s="248">
        <f>SUMIFS(P$1:P324,$C$1:$C324,$C361,$F$1:$F324,$F361)</f>
        <v>0</v>
      </c>
      <c r="Q361" s="248">
        <f>SUMIFS(Q$1:Q324,$C$1:$C324,$C361,$F$1:$F324,$F361)</f>
        <v>1400000</v>
      </c>
      <c r="R361" s="248">
        <f>SUMIFS(R$1:R324,$C$1:$C324,$C361,$F$1:$F324,$F361)</f>
        <v>0</v>
      </c>
      <c r="S361" s="248">
        <f>SUMIFS(S$1:S324,$C$1:$C324,$C361,$F$1:$F324,$F361)</f>
        <v>0</v>
      </c>
      <c r="T361" s="248">
        <f>SUMIFS(T$1:T324,$C$1:$C324,$C361,$F$1:$F324,$F361)</f>
        <v>1400000</v>
      </c>
      <c r="U361" s="99">
        <f>T361-M361</f>
        <v>775000</v>
      </c>
      <c r="V361" s="259">
        <f>IF(M361=0,"N/A",T361/M361-1)</f>
        <v>1.2400000000000002</v>
      </c>
      <c r="W361" s="102"/>
      <c r="X361" s="103" t="str">
        <f t="shared" si="294"/>
        <v>OK</v>
      </c>
      <c r="Y361" s="271"/>
      <c r="Z361" s="121"/>
      <c r="AA361" s="121"/>
      <c r="AB361" s="121"/>
      <c r="AC361" s="121"/>
      <c r="AD361" s="121"/>
      <c r="AE361" s="121"/>
      <c r="AF361" s="121"/>
      <c r="AG361" s="121"/>
      <c r="AH361" s="121"/>
      <c r="AI361" s="121"/>
      <c r="AJ361" s="121"/>
      <c r="AK361" s="121"/>
      <c r="AL361" s="121"/>
    </row>
    <row r="362" spans="1:38" s="115" customFormat="1" ht="26.4">
      <c r="A362" s="555"/>
      <c r="B362" s="217"/>
      <c r="C362" s="217"/>
      <c r="D362" s="101"/>
      <c r="E362" s="217"/>
      <c r="F362" s="294"/>
      <c r="G362" s="146"/>
      <c r="H362" s="107" t="str">
        <f>UPPER(G361)&amp;" TOTAL"</f>
        <v>TRANSFERS TO OTHER FUNDS TOTAL</v>
      </c>
      <c r="I362" s="108">
        <f t="shared" ref="I362" si="309">SUBTOTAL(9,I360:I361)</f>
        <v>803000</v>
      </c>
      <c r="J362" s="108">
        <f t="shared" ref="J362:T362" si="310">SUBTOTAL(9,J360:J361)</f>
        <v>1373905</v>
      </c>
      <c r="K362" s="108">
        <f t="shared" ref="K362" si="311">SUBTOTAL(9,K360:K361)</f>
        <v>1300000</v>
      </c>
      <c r="L362" s="108">
        <f t="shared" ref="L362" si="312">SUBTOTAL(9,L360:L361)</f>
        <v>800000</v>
      </c>
      <c r="M362" s="108">
        <f t="shared" si="310"/>
        <v>625000</v>
      </c>
      <c r="N362" s="108">
        <f t="shared" ref="N362" si="313">SUBTOTAL(9,N360:N361)</f>
        <v>468750</v>
      </c>
      <c r="O362" s="108">
        <f t="shared" si="310"/>
        <v>625000</v>
      </c>
      <c r="P362" s="108">
        <f t="shared" si="310"/>
        <v>0</v>
      </c>
      <c r="Q362" s="108">
        <f t="shared" si="310"/>
        <v>1400000</v>
      </c>
      <c r="R362" s="108">
        <f t="shared" si="310"/>
        <v>0</v>
      </c>
      <c r="S362" s="108">
        <f t="shared" si="310"/>
        <v>0</v>
      </c>
      <c r="T362" s="108">
        <f t="shared" si="310"/>
        <v>1400000</v>
      </c>
      <c r="U362" s="99">
        <f>T362-M362</f>
        <v>775000</v>
      </c>
      <c r="V362" s="259">
        <f>IF(M362=0,"N/A",T362/M362-1)</f>
        <v>1.2400000000000002</v>
      </c>
      <c r="W362" s="102"/>
      <c r="X362" s="103" t="str">
        <f t="shared" si="294"/>
        <v>OK</v>
      </c>
      <c r="Y362" s="271"/>
      <c r="Z362" s="121"/>
      <c r="AA362" s="121"/>
      <c r="AB362" s="121"/>
      <c r="AC362" s="121"/>
      <c r="AD362" s="121"/>
      <c r="AE362" s="121"/>
      <c r="AF362" s="121"/>
      <c r="AG362" s="121"/>
      <c r="AH362" s="121"/>
      <c r="AI362" s="121"/>
      <c r="AJ362" s="121"/>
      <c r="AK362" s="121"/>
      <c r="AL362" s="121"/>
    </row>
    <row r="363" spans="1:38" s="115" customFormat="1">
      <c r="A363" s="555"/>
      <c r="B363" s="217"/>
      <c r="C363" s="217"/>
      <c r="D363" s="101"/>
      <c r="E363" s="217"/>
      <c r="F363" s="294"/>
      <c r="G363" s="146"/>
      <c r="H363" s="98"/>
      <c r="I363" s="106"/>
      <c r="J363" s="106"/>
      <c r="K363" s="106"/>
      <c r="L363" s="106"/>
      <c r="M363" s="106"/>
      <c r="N363" s="110"/>
      <c r="O363" s="110"/>
      <c r="P363" s="110"/>
      <c r="Q363" s="111"/>
      <c r="R363" s="111"/>
      <c r="S363" s="111"/>
      <c r="T363" s="111"/>
      <c r="U363" s="111"/>
      <c r="V363" s="111"/>
      <c r="W363" s="102"/>
      <c r="X363" s="103" t="str">
        <f t="shared" si="294"/>
        <v/>
      </c>
      <c r="Y363" s="271"/>
      <c r="Z363" s="121"/>
      <c r="AA363" s="121"/>
      <c r="AB363" s="121"/>
      <c r="AC363" s="121"/>
      <c r="AD363" s="121"/>
      <c r="AE363" s="121"/>
      <c r="AF363" s="121"/>
      <c r="AG363" s="121"/>
      <c r="AH363" s="121"/>
      <c r="AI363" s="121"/>
      <c r="AJ363" s="121"/>
      <c r="AK363" s="121"/>
      <c r="AL363" s="121"/>
    </row>
    <row r="364" spans="1:38" s="115" customFormat="1">
      <c r="A364" s="555"/>
      <c r="B364" s="217"/>
      <c r="C364" s="217"/>
      <c r="D364" s="101"/>
      <c r="E364" s="217"/>
      <c r="F364" s="294"/>
      <c r="G364" s="146"/>
      <c r="H364" s="114" t="s">
        <v>51</v>
      </c>
      <c r="I364" s="108">
        <f t="shared" ref="I364" si="314">SUBTOTAL(9,I301:I362)</f>
        <v>11323052.880000001</v>
      </c>
      <c r="J364" s="108">
        <f t="shared" ref="J364:T364" si="315">SUBTOTAL(9,J301:J362)</f>
        <v>11458675.59</v>
      </c>
      <c r="K364" s="108">
        <f t="shared" ref="K364" si="316">SUBTOTAL(9,K301:K362)</f>
        <v>14698588.270000001</v>
      </c>
      <c r="L364" s="108">
        <f t="shared" ref="L364" si="317">SUBTOTAL(9,L301:L362)</f>
        <v>13411584.9</v>
      </c>
      <c r="M364" s="108">
        <f t="shared" si="315"/>
        <v>12415842</v>
      </c>
      <c r="N364" s="108">
        <f t="shared" ref="N364" si="318">SUBTOTAL(9,N301:N362)</f>
        <v>7058859.2800000012</v>
      </c>
      <c r="O364" s="108">
        <f t="shared" si="315"/>
        <v>12497832</v>
      </c>
      <c r="P364" s="108">
        <f t="shared" si="315"/>
        <v>81990</v>
      </c>
      <c r="Q364" s="108">
        <f t="shared" si="315"/>
        <v>13536471</v>
      </c>
      <c r="R364" s="108">
        <f t="shared" si="315"/>
        <v>0</v>
      </c>
      <c r="S364" s="108">
        <f t="shared" si="315"/>
        <v>0</v>
      </c>
      <c r="T364" s="108">
        <f t="shared" si="315"/>
        <v>13536471</v>
      </c>
      <c r="U364" s="99">
        <f>T364-M364</f>
        <v>1120629</v>
      </c>
      <c r="V364" s="259">
        <f>IF(M364=0,"N/A",T364/M364-1)</f>
        <v>9.0257994584660439E-2</v>
      </c>
      <c r="W364" s="102"/>
      <c r="X364" s="103" t="str">
        <f t="shared" si="294"/>
        <v>OK</v>
      </c>
      <c r="Y364" s="271"/>
      <c r="Z364" s="121"/>
      <c r="AA364" s="121"/>
      <c r="AB364" s="121"/>
      <c r="AC364" s="121"/>
      <c r="AD364" s="121"/>
      <c r="AE364" s="121"/>
      <c r="AF364" s="121"/>
      <c r="AG364" s="121"/>
      <c r="AH364" s="121"/>
      <c r="AI364" s="121"/>
      <c r="AJ364" s="121"/>
      <c r="AK364" s="121"/>
      <c r="AL364" s="121"/>
    </row>
    <row r="365" spans="1:38" s="115" customFormat="1" ht="12.75" customHeight="1">
      <c r="A365" s="555"/>
      <c r="B365" s="217"/>
      <c r="C365" s="217"/>
      <c r="D365" s="101"/>
      <c r="E365" s="217"/>
      <c r="F365" s="294"/>
      <c r="G365" s="146"/>
      <c r="H365" s="98"/>
      <c r="I365" s="218"/>
      <c r="J365" s="218"/>
      <c r="K365" s="218"/>
      <c r="L365" s="218"/>
      <c r="M365" s="218"/>
      <c r="N365" s="96"/>
      <c r="O365" s="96"/>
      <c r="P365" s="96"/>
      <c r="Q365" s="212"/>
      <c r="R365" s="212"/>
      <c r="S365" s="212"/>
      <c r="T365" s="212"/>
      <c r="U365" s="212"/>
      <c r="V365" s="113"/>
      <c r="W365" s="102"/>
      <c r="X365" s="103" t="str">
        <f t="shared" ref="X365:X396" si="319">IF(Q365="","",IF(T365=SUM(Q365:S365),"OK","NO"))</f>
        <v/>
      </c>
      <c r="Y365" s="271"/>
      <c r="Z365" s="121"/>
      <c r="AA365" s="121"/>
      <c r="AB365" s="121"/>
      <c r="AC365" s="121"/>
      <c r="AD365" s="121"/>
      <c r="AE365" s="121"/>
      <c r="AF365" s="121"/>
      <c r="AG365" s="121"/>
      <c r="AH365" s="121"/>
      <c r="AI365" s="121"/>
      <c r="AJ365" s="121"/>
      <c r="AK365" s="121"/>
      <c r="AL365" s="121"/>
    </row>
    <row r="366" spans="1:38" s="115" customFormat="1" ht="15.75" customHeight="1" thickBot="1">
      <c r="A366" s="555"/>
      <c r="B366" s="217"/>
      <c r="C366" s="217"/>
      <c r="D366" s="101"/>
      <c r="E366" s="217"/>
      <c r="F366" s="294"/>
      <c r="G366" s="146"/>
      <c r="H366" s="98"/>
      <c r="I366" s="218"/>
      <c r="J366" s="218"/>
      <c r="K366" s="218"/>
      <c r="L366" s="218"/>
      <c r="M366" s="218"/>
      <c r="N366" s="96"/>
      <c r="O366" s="96"/>
      <c r="P366" s="96"/>
      <c r="Q366" s="212"/>
      <c r="R366" s="212"/>
      <c r="S366" s="212"/>
      <c r="T366" s="212"/>
      <c r="U366" s="212"/>
      <c r="V366" s="113"/>
      <c r="W366" s="102"/>
      <c r="X366" s="103" t="str">
        <f t="shared" si="319"/>
        <v/>
      </c>
      <c r="Y366" s="271"/>
      <c r="Z366" s="121"/>
      <c r="AA366" s="121"/>
      <c r="AB366" s="121"/>
      <c r="AC366" s="121"/>
      <c r="AD366" s="121"/>
      <c r="AE366" s="121"/>
      <c r="AF366" s="121"/>
      <c r="AG366" s="121"/>
      <c r="AH366" s="121"/>
      <c r="AI366" s="121"/>
      <c r="AJ366" s="121"/>
      <c r="AK366" s="121"/>
      <c r="AL366" s="121"/>
    </row>
    <row r="367" spans="1:38" s="115" customFormat="1" ht="21.6" thickBot="1">
      <c r="A367" s="555"/>
      <c r="B367" s="217"/>
      <c r="C367" s="217"/>
      <c r="D367" s="101"/>
      <c r="E367" s="217"/>
      <c r="F367" s="294"/>
      <c r="G367" s="146"/>
      <c r="H367" s="665" t="s">
        <v>670</v>
      </c>
      <c r="I367" s="666"/>
      <c r="J367" s="666"/>
      <c r="K367" s="666"/>
      <c r="L367" s="666"/>
      <c r="M367" s="666"/>
      <c r="N367" s="666"/>
      <c r="O367" s="666"/>
      <c r="P367" s="666"/>
      <c r="Q367" s="666"/>
      <c r="R367" s="666"/>
      <c r="S367" s="666"/>
      <c r="T367" s="667"/>
      <c r="U367" s="247"/>
      <c r="V367" s="261"/>
      <c r="W367" s="102"/>
      <c r="X367" s="103" t="str">
        <f t="shared" si="319"/>
        <v/>
      </c>
      <c r="Y367" s="271"/>
      <c r="Z367" s="121"/>
      <c r="AA367" s="121"/>
      <c r="AB367" s="121"/>
      <c r="AC367" s="121"/>
      <c r="AD367" s="121"/>
      <c r="AE367" s="121"/>
      <c r="AF367" s="121"/>
      <c r="AG367" s="121"/>
      <c r="AH367" s="121"/>
      <c r="AI367" s="121"/>
      <c r="AJ367" s="121"/>
      <c r="AK367" s="121"/>
      <c r="AL367" s="121"/>
    </row>
    <row r="368" spans="1:38" s="115" customFormat="1" ht="22.8">
      <c r="A368" s="555"/>
      <c r="B368" s="217"/>
      <c r="C368" s="217"/>
      <c r="D368" s="101"/>
      <c r="E368" s="217"/>
      <c r="F368" s="294"/>
      <c r="G368" s="146"/>
      <c r="H368" s="225"/>
      <c r="I368" s="225"/>
      <c r="J368" s="225"/>
      <c r="K368" s="225"/>
      <c r="L368" s="225"/>
      <c r="M368" s="225"/>
      <c r="N368" s="225"/>
      <c r="O368" s="225"/>
      <c r="P368" s="225"/>
      <c r="Q368" s="225"/>
      <c r="R368" s="225"/>
      <c r="S368" s="225"/>
      <c r="T368" s="225"/>
      <c r="U368" s="225"/>
      <c r="V368" s="260"/>
      <c r="W368" s="102"/>
      <c r="X368" s="103" t="str">
        <f t="shared" si="319"/>
        <v/>
      </c>
      <c r="Y368" s="271"/>
      <c r="Z368" s="121"/>
      <c r="AA368" s="121"/>
      <c r="AB368" s="121"/>
      <c r="AC368" s="121"/>
      <c r="AD368" s="121"/>
      <c r="AE368" s="121"/>
      <c r="AF368" s="121"/>
      <c r="AG368" s="121"/>
      <c r="AH368" s="121"/>
      <c r="AI368" s="121"/>
      <c r="AJ368" s="121"/>
      <c r="AK368" s="121"/>
      <c r="AL368" s="121"/>
    </row>
    <row r="369" spans="1:38" s="115" customFormat="1">
      <c r="A369" s="555" t="s">
        <v>1385</v>
      </c>
      <c r="B369" s="217" t="str">
        <f t="shared" ref="B369:B370" si="320">LEFT(A369,3)</f>
        <v>200</v>
      </c>
      <c r="C369" s="217" t="str">
        <f t="shared" ref="C369:C370" si="321">MID(A369,5,2)</f>
        <v>75</v>
      </c>
      <c r="D369" s="101" t="str">
        <f t="shared" ref="D369:D370" si="322">MID(A369,8,3)</f>
        <v>752</v>
      </c>
      <c r="E369" s="217" t="str">
        <f t="shared" ref="E369:E370" si="323">LEFT(A369,10)</f>
        <v>200-75-752</v>
      </c>
      <c r="F369" s="294" t="str">
        <f t="shared" ref="F369:F370" si="324">RIGHT(A369,5)</f>
        <v>50102</v>
      </c>
      <c r="G369" s="295" t="str">
        <f>VLOOKUP(F369,'GL Category'!A:C,3,FALSE)</f>
        <v>Personnel services</v>
      </c>
      <c r="H369" s="98" t="str">
        <f>VLOOKUP(F369,'GL Category'!A:C,2,FALSE)</f>
        <v>NON EXEMPT SALARIES</v>
      </c>
      <c r="I369" s="99">
        <f>SUMIF(Import!$B:$B,$A369,Import!D:D)</f>
        <v>325491.40999999997</v>
      </c>
      <c r="J369" s="99">
        <f>SUMIF(Import!$B:$B,$A369,Import!E:E)</f>
        <v>351717.44</v>
      </c>
      <c r="K369" s="99">
        <f>SUMIF(Import!$B:$B,$A369,Import!F:F)</f>
        <v>298239.07</v>
      </c>
      <c r="L369" s="99">
        <f>SUMIF(Import!$B:$B,$A369,Import!G:G)</f>
        <v>388163.15</v>
      </c>
      <c r="M369" s="99">
        <f>SUMIF(Import!$B:$B,$A369,Import!H:H)</f>
        <v>458226</v>
      </c>
      <c r="N369" s="99">
        <f>SUMIF(Import!$B:$B,$A369,Import!I:I)</f>
        <v>303674.81</v>
      </c>
      <c r="O369" s="99">
        <f>SUMIF(Import!$B:$B,$A369,Import!J:J)</f>
        <v>414414</v>
      </c>
      <c r="P369" s="99">
        <f t="shared" ref="P369:P376" si="325">O369-M369</f>
        <v>-43812</v>
      </c>
      <c r="Q369" s="99">
        <f>SUMIF(Import!$B:$B,$A369,Import!K:K)</f>
        <v>471839</v>
      </c>
      <c r="R369" s="99">
        <f>SUMIF(Import!$B:$B,$A369,Import!L:L)</f>
        <v>0</v>
      </c>
      <c r="S369" s="99">
        <f>SUMIF(Import!$B:$B,$A369,Import!M:M)</f>
        <v>0</v>
      </c>
      <c r="T369" s="99">
        <f>SUMIF(Import!$B:$B,$A369,Import!N:N)</f>
        <v>471839</v>
      </c>
      <c r="U369" s="99">
        <f t="shared" ref="U369:U376" si="326">T369-M369</f>
        <v>13613</v>
      </c>
      <c r="V369" s="255">
        <f t="shared" ref="V369:V376" si="327">IF(M369=0,"N/A",T369/M369-1)</f>
        <v>2.9708047993784792E-2</v>
      </c>
      <c r="W369" s="102" t="s">
        <v>1385</v>
      </c>
      <c r="X369" s="103" t="str">
        <f t="shared" si="319"/>
        <v>OK</v>
      </c>
      <c r="Y369" s="271"/>
      <c r="Z369" s="121"/>
      <c r="AA369" s="121"/>
      <c r="AB369" s="121"/>
      <c r="AC369" s="121"/>
      <c r="AD369" s="121"/>
      <c r="AE369" s="121"/>
      <c r="AF369" s="121"/>
      <c r="AG369" s="121"/>
      <c r="AH369" s="121"/>
      <c r="AI369" s="121"/>
      <c r="AJ369" s="121"/>
      <c r="AK369" s="121"/>
      <c r="AL369" s="121"/>
    </row>
    <row r="370" spans="1:38" s="115" customFormat="1">
      <c r="A370" s="555" t="s">
        <v>1386</v>
      </c>
      <c r="B370" s="217" t="str">
        <f t="shared" si="320"/>
        <v>200</v>
      </c>
      <c r="C370" s="217" t="str">
        <f t="shared" si="321"/>
        <v>75</v>
      </c>
      <c r="D370" s="101" t="str">
        <f t="shared" si="322"/>
        <v>752</v>
      </c>
      <c r="E370" s="217" t="str">
        <f t="shared" si="323"/>
        <v>200-75-752</v>
      </c>
      <c r="F370" s="294" t="str">
        <f t="shared" si="324"/>
        <v>50109</v>
      </c>
      <c r="G370" s="295" t="str">
        <f>VLOOKUP(F370,'GL Category'!A:C,3,FALSE)</f>
        <v>Personnel services</v>
      </c>
      <c r="H370" s="98" t="str">
        <f>VLOOKUP(F370,'GL Category'!A:C,2,FALSE)</f>
        <v>OVERTIME</v>
      </c>
      <c r="I370" s="99">
        <f>SUMIF(Import!$B:$B,$A370,Import!D:D)</f>
        <v>21513.25</v>
      </c>
      <c r="J370" s="99">
        <f>SUMIF(Import!$B:$B,$A370,Import!E:E)</f>
        <v>25286.87</v>
      </c>
      <c r="K370" s="99">
        <f>SUMIF(Import!$B:$B,$A370,Import!F:F)</f>
        <v>22296.86</v>
      </c>
      <c r="L370" s="99">
        <f>SUMIF(Import!$B:$B,$A370,Import!G:G)</f>
        <v>16512.2</v>
      </c>
      <c r="M370" s="99">
        <f>SUMIF(Import!$B:$B,$A370,Import!H:H)</f>
        <v>26277</v>
      </c>
      <c r="N370" s="99">
        <f>SUMIF(Import!$B:$B,$A370,Import!I:I)</f>
        <v>12738.44</v>
      </c>
      <c r="O370" s="99">
        <f>SUMIF(Import!$B:$B,$A370,Import!J:J)</f>
        <v>14673</v>
      </c>
      <c r="P370" s="99">
        <f t="shared" si="325"/>
        <v>-11604</v>
      </c>
      <c r="Q370" s="99">
        <f>SUMIF(Import!$B:$B,$A370,Import!K:K)</f>
        <v>26201</v>
      </c>
      <c r="R370" s="99">
        <f>SUMIF(Import!$B:$B,$A370,Import!L:L)</f>
        <v>0</v>
      </c>
      <c r="S370" s="99">
        <f>SUMIF(Import!$B:$B,$A370,Import!M:M)</f>
        <v>0</v>
      </c>
      <c r="T370" s="99">
        <f>SUMIF(Import!$B:$B,$A370,Import!N:N)</f>
        <v>26201</v>
      </c>
      <c r="U370" s="99">
        <f t="shared" si="326"/>
        <v>-76</v>
      </c>
      <c r="V370" s="255">
        <f t="shared" si="327"/>
        <v>-2.8922631959508172E-3</v>
      </c>
      <c r="W370" s="102" t="s">
        <v>1386</v>
      </c>
      <c r="X370" s="103" t="str">
        <f t="shared" si="319"/>
        <v>OK</v>
      </c>
      <c r="Y370" s="271"/>
      <c r="Z370" s="121"/>
      <c r="AA370" s="121"/>
      <c r="AB370" s="121"/>
      <c r="AC370" s="121"/>
      <c r="AD370" s="121"/>
      <c r="AE370" s="121"/>
      <c r="AF370" s="121"/>
      <c r="AG370" s="121"/>
      <c r="AH370" s="121"/>
      <c r="AI370" s="121"/>
      <c r="AJ370" s="121"/>
      <c r="AK370" s="121"/>
      <c r="AL370" s="121"/>
    </row>
    <row r="371" spans="1:38" s="115" customFormat="1">
      <c r="A371" s="555" t="s">
        <v>1387</v>
      </c>
      <c r="B371" s="217" t="str">
        <f t="shared" ref="B371:B427" si="328">LEFT(A371,3)</f>
        <v>200</v>
      </c>
      <c r="C371" s="217" t="str">
        <f t="shared" ref="C371:C427" si="329">MID(A371,5,2)</f>
        <v>75</v>
      </c>
      <c r="D371" s="101" t="str">
        <f t="shared" ref="D371:D427" si="330">MID(A371,8,3)</f>
        <v>752</v>
      </c>
      <c r="E371" s="217" t="str">
        <f t="shared" ref="E371:E427" si="331">LEFT(A371,10)</f>
        <v>200-75-752</v>
      </c>
      <c r="F371" s="294" t="str">
        <f t="shared" ref="F371:F427" si="332">RIGHT(A371,5)</f>
        <v>50111</v>
      </c>
      <c r="G371" s="295" t="str">
        <f>VLOOKUP(F371,'GL Category'!A:C,3,FALSE)</f>
        <v>Personnel services</v>
      </c>
      <c r="H371" s="98" t="str">
        <f>VLOOKUP(F371,'GL Category'!A:C,2,FALSE)</f>
        <v>LONGEVITY PAY</v>
      </c>
      <c r="I371" s="99">
        <f>SUMIF(Import!$B:$B,$A371,Import!D:D)</f>
        <v>3860</v>
      </c>
      <c r="J371" s="99">
        <f>SUMIF(Import!$B:$B,$A371,Import!E:E)</f>
        <v>3775</v>
      </c>
      <c r="K371" s="99">
        <f>SUMIF(Import!$B:$B,$A371,Import!F:F)</f>
        <v>4185</v>
      </c>
      <c r="L371" s="99">
        <f>SUMIF(Import!$B:$B,$A371,Import!G:G)</f>
        <v>2585</v>
      </c>
      <c r="M371" s="99">
        <f>SUMIF(Import!$B:$B,$A371,Import!H:H)</f>
        <v>2890</v>
      </c>
      <c r="N371" s="99">
        <f>SUMIF(Import!$B:$B,$A371,Import!I:I)</f>
        <v>4055</v>
      </c>
      <c r="O371" s="99">
        <f>SUMIF(Import!$B:$B,$A371,Import!J:J)</f>
        <v>4055</v>
      </c>
      <c r="P371" s="99">
        <f t="shared" si="325"/>
        <v>1165</v>
      </c>
      <c r="Q371" s="99">
        <f>SUMIF(Import!$B:$B,$A371,Import!K:K)</f>
        <v>3838</v>
      </c>
      <c r="R371" s="99">
        <f>SUMIF(Import!$B:$B,$A371,Import!L:L)</f>
        <v>0</v>
      </c>
      <c r="S371" s="99">
        <f>SUMIF(Import!$B:$B,$A371,Import!M:M)</f>
        <v>0</v>
      </c>
      <c r="T371" s="99">
        <f>SUMIF(Import!$B:$B,$A371,Import!N:N)</f>
        <v>3838</v>
      </c>
      <c r="U371" s="99">
        <f t="shared" si="326"/>
        <v>948</v>
      </c>
      <c r="V371" s="255">
        <f t="shared" si="327"/>
        <v>0.32802768166089957</v>
      </c>
      <c r="W371" s="102" t="s">
        <v>1387</v>
      </c>
      <c r="X371" s="103" t="str">
        <f t="shared" si="319"/>
        <v>OK</v>
      </c>
      <c r="Y371" s="271"/>
      <c r="Z371" s="121"/>
      <c r="AA371" s="121"/>
      <c r="AB371" s="121"/>
      <c r="AC371" s="121"/>
      <c r="AD371" s="121"/>
      <c r="AE371" s="121"/>
      <c r="AF371" s="121"/>
      <c r="AG371" s="121"/>
      <c r="AH371" s="121"/>
      <c r="AI371" s="121"/>
      <c r="AJ371" s="121"/>
      <c r="AK371" s="121"/>
      <c r="AL371" s="121"/>
    </row>
    <row r="372" spans="1:38" s="115" customFormat="1">
      <c r="A372" s="555" t="s">
        <v>1388</v>
      </c>
      <c r="B372" s="217" t="str">
        <f t="shared" si="328"/>
        <v>200</v>
      </c>
      <c r="C372" s="217" t="str">
        <f t="shared" si="329"/>
        <v>75</v>
      </c>
      <c r="D372" s="101" t="str">
        <f t="shared" si="330"/>
        <v>752</v>
      </c>
      <c r="E372" s="217" t="str">
        <f t="shared" si="331"/>
        <v>200-75-752</v>
      </c>
      <c r="F372" s="294" t="str">
        <f t="shared" si="332"/>
        <v>50115</v>
      </c>
      <c r="G372" s="295" t="str">
        <f>VLOOKUP(F372,'GL Category'!A:C,3,FALSE)</f>
        <v>Personnel services</v>
      </c>
      <c r="H372" s="98" t="str">
        <f>VLOOKUP(F372,'GL Category'!A:C,2,FALSE)</f>
        <v>INCENTIVE/CERTIFICATION PAY</v>
      </c>
      <c r="I372" s="99">
        <f>SUMIF(Import!$B:$B,$A372,Import!D:D)</f>
        <v>2734.82</v>
      </c>
      <c r="J372" s="99">
        <f>SUMIF(Import!$B:$B,$A372,Import!E:E)</f>
        <v>2461.14</v>
      </c>
      <c r="K372" s="99">
        <f>SUMIF(Import!$B:$B,$A372,Import!F:F)</f>
        <v>2033.5</v>
      </c>
      <c r="L372" s="99">
        <f>SUMIF(Import!$B:$B,$A372,Import!G:G)</f>
        <v>1977.75</v>
      </c>
      <c r="M372" s="99">
        <f>SUMIF(Import!$B:$B,$A372,Import!H:H)</f>
        <v>2300</v>
      </c>
      <c r="N372" s="99">
        <f>SUMIF(Import!$B:$B,$A372,Import!I:I)</f>
        <v>1566</v>
      </c>
      <c r="O372" s="99">
        <f>SUMIF(Import!$B:$B,$A372,Import!J:J)</f>
        <v>3085</v>
      </c>
      <c r="P372" s="99">
        <f t="shared" si="325"/>
        <v>785</v>
      </c>
      <c r="Q372" s="99">
        <f>SUMIF(Import!$B:$B,$A372,Import!K:K)</f>
        <v>2300</v>
      </c>
      <c r="R372" s="99">
        <f>SUMIF(Import!$B:$B,$A372,Import!L:L)</f>
        <v>0</v>
      </c>
      <c r="S372" s="99">
        <f>SUMIF(Import!$B:$B,$A372,Import!M:M)</f>
        <v>0</v>
      </c>
      <c r="T372" s="99">
        <f>SUMIF(Import!$B:$B,$A372,Import!N:N)</f>
        <v>2300</v>
      </c>
      <c r="U372" s="99">
        <f t="shared" si="326"/>
        <v>0</v>
      </c>
      <c r="V372" s="255">
        <f t="shared" si="327"/>
        <v>0</v>
      </c>
      <c r="W372" s="102" t="s">
        <v>1388</v>
      </c>
      <c r="X372" s="103" t="str">
        <f t="shared" si="319"/>
        <v>OK</v>
      </c>
      <c r="Y372" s="271"/>
      <c r="Z372" s="121"/>
      <c r="AA372" s="121"/>
      <c r="AB372" s="121"/>
      <c r="AC372" s="121"/>
      <c r="AD372" s="121"/>
      <c r="AE372" s="121"/>
      <c r="AF372" s="121"/>
      <c r="AG372" s="121"/>
      <c r="AH372" s="121"/>
      <c r="AI372" s="121"/>
      <c r="AJ372" s="121"/>
      <c r="AK372" s="121"/>
      <c r="AL372" s="121"/>
    </row>
    <row r="373" spans="1:38" s="115" customFormat="1">
      <c r="A373" s="555" t="s">
        <v>1389</v>
      </c>
      <c r="B373" s="217" t="str">
        <f t="shared" si="328"/>
        <v>200</v>
      </c>
      <c r="C373" s="217" t="str">
        <f t="shared" si="329"/>
        <v>75</v>
      </c>
      <c r="D373" s="101" t="str">
        <f t="shared" si="330"/>
        <v>752</v>
      </c>
      <c r="E373" s="217" t="str">
        <f t="shared" si="331"/>
        <v>200-75-752</v>
      </c>
      <c r="F373" s="294" t="str">
        <f t="shared" si="332"/>
        <v>50610</v>
      </c>
      <c r="G373" s="295" t="str">
        <f>VLOOKUP(F373,'GL Category'!A:C,3,FALSE)</f>
        <v>Personnel services</v>
      </c>
      <c r="H373" s="98" t="str">
        <f>VLOOKUP(F373,'GL Category'!A:C,2,FALSE)</f>
        <v>SOCIAL SECURITY</v>
      </c>
      <c r="I373" s="99">
        <f>SUMIF(Import!$B:$B,$A373,Import!D:D)</f>
        <v>25717.49</v>
      </c>
      <c r="J373" s="99">
        <f>SUMIF(Import!$B:$B,$A373,Import!E:E)</f>
        <v>27971.279999999999</v>
      </c>
      <c r="K373" s="99">
        <f>SUMIF(Import!$B:$B,$A373,Import!F:F)</f>
        <v>23833.22</v>
      </c>
      <c r="L373" s="99">
        <f>SUMIF(Import!$B:$B,$A373,Import!G:G)</f>
        <v>18401.509999999998</v>
      </c>
      <c r="M373" s="99">
        <f>SUMIF(Import!$B:$B,$A373,Import!H:H)</f>
        <v>37510</v>
      </c>
      <c r="N373" s="99">
        <f>SUMIF(Import!$B:$B,$A373,Import!I:I)</f>
        <v>23410.560000000001</v>
      </c>
      <c r="O373" s="99">
        <f>SUMIF(Import!$B:$B,$A373,Import!J:J)</f>
        <v>32660</v>
      </c>
      <c r="P373" s="99">
        <f t="shared" si="325"/>
        <v>-4850</v>
      </c>
      <c r="Q373" s="99">
        <f>SUMIF(Import!$B:$B,$A373,Import!K:K)</f>
        <v>38710</v>
      </c>
      <c r="R373" s="99">
        <f>SUMIF(Import!$B:$B,$A373,Import!L:L)</f>
        <v>0</v>
      </c>
      <c r="S373" s="99">
        <f>SUMIF(Import!$B:$B,$A373,Import!M:M)</f>
        <v>0</v>
      </c>
      <c r="T373" s="99">
        <f>SUMIF(Import!$B:$B,$A373,Import!N:N)</f>
        <v>38710</v>
      </c>
      <c r="U373" s="99">
        <f t="shared" si="326"/>
        <v>1200</v>
      </c>
      <c r="V373" s="255">
        <f t="shared" si="327"/>
        <v>3.1991468941615642E-2</v>
      </c>
      <c r="W373" s="102" t="s">
        <v>1389</v>
      </c>
      <c r="X373" s="103" t="str">
        <f t="shared" si="319"/>
        <v>OK</v>
      </c>
      <c r="Y373" s="271"/>
      <c r="Z373" s="121"/>
      <c r="AA373" s="121"/>
      <c r="AB373" s="121"/>
      <c r="AC373" s="121"/>
      <c r="AD373" s="121"/>
      <c r="AE373" s="121"/>
      <c r="AF373" s="121"/>
      <c r="AG373" s="121"/>
      <c r="AH373" s="121"/>
      <c r="AI373" s="121"/>
      <c r="AJ373" s="121"/>
      <c r="AK373" s="121"/>
      <c r="AL373" s="121"/>
    </row>
    <row r="374" spans="1:38" s="115" customFormat="1">
      <c r="A374" s="555" t="s">
        <v>1390</v>
      </c>
      <c r="B374" s="217" t="str">
        <f t="shared" si="328"/>
        <v>200</v>
      </c>
      <c r="C374" s="217" t="str">
        <f t="shared" si="329"/>
        <v>75</v>
      </c>
      <c r="D374" s="101" t="str">
        <f t="shared" si="330"/>
        <v>752</v>
      </c>
      <c r="E374" s="217" t="str">
        <f t="shared" si="331"/>
        <v>200-75-752</v>
      </c>
      <c r="F374" s="294" t="str">
        <f t="shared" si="332"/>
        <v>50620</v>
      </c>
      <c r="G374" s="295" t="str">
        <f>VLOOKUP(F374,'GL Category'!A:C,3,FALSE)</f>
        <v>Personnel services</v>
      </c>
      <c r="H374" s="98" t="str">
        <f>VLOOKUP(F374,'GL Category'!A:C,2,FALSE)</f>
        <v>HEALTH/LIFE INSURANCE</v>
      </c>
      <c r="I374" s="99">
        <f>SUMIF(Import!$B:$B,$A374,Import!D:D)</f>
        <v>101971.64</v>
      </c>
      <c r="J374" s="99">
        <f>SUMIF(Import!$B:$B,$A374,Import!E:E)</f>
        <v>114899.32</v>
      </c>
      <c r="K374" s="99">
        <f>SUMIF(Import!$B:$B,$A374,Import!F:F)</f>
        <v>120773.61</v>
      </c>
      <c r="L374" s="99">
        <f>SUMIF(Import!$B:$B,$A374,Import!G:G)</f>
        <v>83960.46</v>
      </c>
      <c r="M374" s="99">
        <f>SUMIF(Import!$B:$B,$A374,Import!H:H)</f>
        <v>164609</v>
      </c>
      <c r="N374" s="99">
        <f>SUMIF(Import!$B:$B,$A374,Import!I:I)</f>
        <v>95632.9</v>
      </c>
      <c r="O374" s="99">
        <f>SUMIF(Import!$B:$B,$A374,Import!J:J)</f>
        <v>149541</v>
      </c>
      <c r="P374" s="99">
        <f t="shared" si="325"/>
        <v>-15068</v>
      </c>
      <c r="Q374" s="99">
        <f>SUMIF(Import!$B:$B,$A374,Import!K:K)</f>
        <v>186877</v>
      </c>
      <c r="R374" s="99">
        <f>SUMIF(Import!$B:$B,$A374,Import!L:L)</f>
        <v>0</v>
      </c>
      <c r="S374" s="99">
        <f>SUMIF(Import!$B:$B,$A374,Import!M:M)</f>
        <v>0</v>
      </c>
      <c r="T374" s="99">
        <f>SUMIF(Import!$B:$B,$A374,Import!N:N)</f>
        <v>186877</v>
      </c>
      <c r="U374" s="99">
        <f t="shared" si="326"/>
        <v>22268</v>
      </c>
      <c r="V374" s="255">
        <f t="shared" si="327"/>
        <v>0.13527814396539672</v>
      </c>
      <c r="W374" s="102" t="s">
        <v>1390</v>
      </c>
      <c r="X374" s="103" t="str">
        <f t="shared" si="319"/>
        <v>OK</v>
      </c>
      <c r="Y374" s="271"/>
      <c r="Z374" s="121"/>
      <c r="AA374" s="121"/>
      <c r="AB374" s="121"/>
      <c r="AC374" s="121"/>
      <c r="AD374" s="121"/>
      <c r="AE374" s="121"/>
      <c r="AF374" s="121"/>
      <c r="AG374" s="121"/>
      <c r="AH374" s="121"/>
      <c r="AI374" s="121"/>
      <c r="AJ374" s="121"/>
      <c r="AK374" s="121"/>
      <c r="AL374" s="121"/>
    </row>
    <row r="375" spans="1:38" s="115" customFormat="1">
      <c r="A375" s="555" t="s">
        <v>1391</v>
      </c>
      <c r="B375" s="217" t="str">
        <f t="shared" si="328"/>
        <v>200</v>
      </c>
      <c r="C375" s="217" t="str">
        <f t="shared" si="329"/>
        <v>75</v>
      </c>
      <c r="D375" s="101" t="str">
        <f t="shared" si="330"/>
        <v>752</v>
      </c>
      <c r="E375" s="217" t="str">
        <f t="shared" si="331"/>
        <v>200-75-752</v>
      </c>
      <c r="F375" s="294" t="str">
        <f t="shared" si="332"/>
        <v>50630</v>
      </c>
      <c r="G375" s="295" t="str">
        <f>VLOOKUP(F375,'GL Category'!A:C,3,FALSE)</f>
        <v>Personnel services</v>
      </c>
      <c r="H375" s="98" t="str">
        <f>VLOOKUP(F375,'GL Category'!A:C,2,FALSE)</f>
        <v>WORKER COMPENSATION</v>
      </c>
      <c r="I375" s="99">
        <f>SUMIF(Import!$B:$B,$A375,Import!D:D)</f>
        <v>3533.76</v>
      </c>
      <c r="J375" s="99">
        <f>SUMIF(Import!$B:$B,$A375,Import!E:E)</f>
        <v>3215.45</v>
      </c>
      <c r="K375" s="99">
        <f>SUMIF(Import!$B:$B,$A375,Import!F:F)</f>
        <v>3568.53</v>
      </c>
      <c r="L375" s="99">
        <f>SUMIF(Import!$B:$B,$A375,Import!G:G)</f>
        <v>6514.69</v>
      </c>
      <c r="M375" s="99">
        <f>SUMIF(Import!$B:$B,$A375,Import!H:H)</f>
        <v>8313</v>
      </c>
      <c r="N375" s="99">
        <f>SUMIF(Import!$B:$B,$A375,Import!I:I)</f>
        <v>8306.2099999999991</v>
      </c>
      <c r="O375" s="99">
        <f>SUMIF(Import!$B:$B,$A375,Import!J:J)</f>
        <v>8306</v>
      </c>
      <c r="P375" s="99">
        <f t="shared" si="325"/>
        <v>-7</v>
      </c>
      <c r="Q375" s="99">
        <f>SUMIF(Import!$B:$B,$A375,Import!K:K)</f>
        <v>8047</v>
      </c>
      <c r="R375" s="99">
        <f>SUMIF(Import!$B:$B,$A375,Import!L:L)</f>
        <v>0</v>
      </c>
      <c r="S375" s="99">
        <f>SUMIF(Import!$B:$B,$A375,Import!M:M)</f>
        <v>0</v>
      </c>
      <c r="T375" s="99">
        <f>SUMIF(Import!$B:$B,$A375,Import!N:N)</f>
        <v>8047</v>
      </c>
      <c r="U375" s="99">
        <f t="shared" si="326"/>
        <v>-266</v>
      </c>
      <c r="V375" s="255">
        <f t="shared" si="327"/>
        <v>-3.1998075303741103E-2</v>
      </c>
      <c r="W375" s="102" t="s">
        <v>1391</v>
      </c>
      <c r="X375" s="103" t="str">
        <f t="shared" si="319"/>
        <v>OK</v>
      </c>
      <c r="Y375" s="271"/>
      <c r="Z375" s="121"/>
      <c r="AA375" s="121"/>
      <c r="AB375" s="121"/>
      <c r="AC375" s="121"/>
      <c r="AD375" s="121"/>
      <c r="AE375" s="121"/>
      <c r="AF375" s="121"/>
      <c r="AG375" s="121"/>
      <c r="AH375" s="121"/>
      <c r="AI375" s="121"/>
      <c r="AJ375" s="121"/>
      <c r="AK375" s="121"/>
      <c r="AL375" s="121"/>
    </row>
    <row r="376" spans="1:38" s="115" customFormat="1">
      <c r="A376" s="555" t="s">
        <v>1392</v>
      </c>
      <c r="B376" s="217" t="str">
        <f t="shared" si="328"/>
        <v>200</v>
      </c>
      <c r="C376" s="217" t="str">
        <f t="shared" si="329"/>
        <v>75</v>
      </c>
      <c r="D376" s="101" t="str">
        <f t="shared" si="330"/>
        <v>752</v>
      </c>
      <c r="E376" s="217" t="str">
        <f t="shared" si="331"/>
        <v>200-75-752</v>
      </c>
      <c r="F376" s="294" t="str">
        <f t="shared" si="332"/>
        <v>50650</v>
      </c>
      <c r="G376" s="295" t="str">
        <f>VLOOKUP(F376,'GL Category'!A:C,3,FALSE)</f>
        <v>Personnel services</v>
      </c>
      <c r="H376" s="98" t="str">
        <f>VLOOKUP(F376,'GL Category'!A:C,2,FALSE)</f>
        <v>RETIREMENT</v>
      </c>
      <c r="I376" s="99">
        <f>SUMIF(Import!$B:$B,$A376,Import!D:D)</f>
        <v>56322.400000000001</v>
      </c>
      <c r="J376" s="99">
        <f>SUMIF(Import!$B:$B,$A376,Import!E:E)</f>
        <v>61974.55</v>
      </c>
      <c r="K376" s="99">
        <f>SUMIF(Import!$B:$B,$A376,Import!F:F)</f>
        <v>53013.08</v>
      </c>
      <c r="L376" s="99">
        <f>SUMIF(Import!$B:$B,$A376,Import!G:G)</f>
        <v>42034.34</v>
      </c>
      <c r="M376" s="99">
        <f>SUMIF(Import!$B:$B,$A376,Import!H:H)</f>
        <v>80995</v>
      </c>
      <c r="N376" s="99">
        <f>SUMIF(Import!$B:$B,$A376,Import!I:I)</f>
        <v>53425.41</v>
      </c>
      <c r="O376" s="99">
        <f>SUMIF(Import!$B:$B,$A376,Import!J:J)</f>
        <v>73029</v>
      </c>
      <c r="P376" s="99">
        <f t="shared" si="325"/>
        <v>-7966</v>
      </c>
      <c r="Q376" s="99">
        <f>SUMIF(Import!$B:$B,$A376,Import!K:K)</f>
        <v>85583</v>
      </c>
      <c r="R376" s="99">
        <f>SUMIF(Import!$B:$B,$A376,Import!L:L)</f>
        <v>0</v>
      </c>
      <c r="S376" s="99">
        <f>SUMIF(Import!$B:$B,$A376,Import!M:M)</f>
        <v>0</v>
      </c>
      <c r="T376" s="99">
        <f>SUMIF(Import!$B:$B,$A376,Import!N:N)</f>
        <v>85583</v>
      </c>
      <c r="U376" s="99">
        <f t="shared" si="326"/>
        <v>4588</v>
      </c>
      <c r="V376" s="255">
        <f t="shared" si="327"/>
        <v>5.6645471942712522E-2</v>
      </c>
      <c r="W376" s="102" t="s">
        <v>1392</v>
      </c>
      <c r="X376" s="103" t="str">
        <f t="shared" si="319"/>
        <v>OK</v>
      </c>
      <c r="Y376" s="271"/>
      <c r="Z376" s="121"/>
      <c r="AA376" s="121"/>
      <c r="AB376" s="121"/>
      <c r="AC376" s="121"/>
      <c r="AD376" s="121"/>
      <c r="AE376" s="121"/>
      <c r="AF376" s="121"/>
      <c r="AG376" s="121"/>
      <c r="AH376" s="121"/>
      <c r="AI376" s="121"/>
      <c r="AJ376" s="121"/>
      <c r="AK376" s="121"/>
      <c r="AL376" s="121"/>
    </row>
    <row r="377" spans="1:38" s="115" customFormat="1">
      <c r="A377" s="555"/>
      <c r="B377" s="217"/>
      <c r="C377" s="217"/>
      <c r="D377" s="101"/>
      <c r="E377" s="217"/>
      <c r="F377" s="294"/>
      <c r="G377" s="146"/>
      <c r="H377" s="107" t="str">
        <f>UPPER(G376)&amp;" TOTAL"</f>
        <v>PERSONNEL SERVICES TOTAL</v>
      </c>
      <c r="I377" s="108">
        <f t="shared" ref="I377" si="333">SUBTOTAL(9,I369:I376)</f>
        <v>541144.77</v>
      </c>
      <c r="J377" s="108">
        <f t="shared" ref="J377:T377" si="334">SUBTOTAL(9,J369:J376)</f>
        <v>591301.05000000005</v>
      </c>
      <c r="K377" s="108">
        <f t="shared" ref="K377" si="335">SUBTOTAL(9,K369:K376)</f>
        <v>527942.87</v>
      </c>
      <c r="L377" s="108">
        <f t="shared" ref="L377" si="336">SUBTOTAL(9,L369:L376)</f>
        <v>560149.10000000009</v>
      </c>
      <c r="M377" s="108">
        <f t="shared" si="334"/>
        <v>781120</v>
      </c>
      <c r="N377" s="108">
        <f t="shared" ref="N377" si="337">SUBTOTAL(9,N369:N376)</f>
        <v>502809.32999999996</v>
      </c>
      <c r="O377" s="108">
        <f t="shared" si="334"/>
        <v>699763</v>
      </c>
      <c r="P377" s="108">
        <f t="shared" si="334"/>
        <v>-81357</v>
      </c>
      <c r="Q377" s="108">
        <f t="shared" si="334"/>
        <v>823395</v>
      </c>
      <c r="R377" s="108">
        <f t="shared" si="334"/>
        <v>0</v>
      </c>
      <c r="S377" s="108">
        <f t="shared" si="334"/>
        <v>0</v>
      </c>
      <c r="T377" s="108">
        <f t="shared" si="334"/>
        <v>823395</v>
      </c>
      <c r="U377" s="99">
        <f>T377-M377</f>
        <v>42275</v>
      </c>
      <c r="V377" s="259">
        <f>IF(M377=0,"N/A",T377/M377-1)</f>
        <v>5.4121005735354277E-2</v>
      </c>
      <c r="W377" s="102"/>
      <c r="X377" s="103" t="str">
        <f t="shared" si="319"/>
        <v>OK</v>
      </c>
      <c r="Y377" s="271"/>
      <c r="Z377" s="121"/>
      <c r="AA377" s="121"/>
      <c r="AB377" s="121"/>
      <c r="AC377" s="121"/>
      <c r="AD377" s="121"/>
      <c r="AE377" s="121"/>
      <c r="AF377" s="121"/>
      <c r="AG377" s="121"/>
      <c r="AH377" s="121"/>
      <c r="AI377" s="121"/>
      <c r="AJ377" s="121"/>
      <c r="AK377" s="121"/>
      <c r="AL377" s="121"/>
    </row>
    <row r="378" spans="1:38" s="115" customFormat="1">
      <c r="A378" s="555"/>
      <c r="B378" s="217"/>
      <c r="C378" s="217"/>
      <c r="D378" s="101"/>
      <c r="E378" s="217"/>
      <c r="F378" s="294"/>
      <c r="G378" s="146"/>
      <c r="H378" s="98"/>
      <c r="I378" s="106"/>
      <c r="J378" s="106"/>
      <c r="K378" s="106"/>
      <c r="L378" s="106"/>
      <c r="M378" s="106"/>
      <c r="N378" s="110"/>
      <c r="O378" s="110"/>
      <c r="P378" s="110"/>
      <c r="Q378" s="111"/>
      <c r="R378" s="99"/>
      <c r="S378" s="99"/>
      <c r="T378" s="111"/>
      <c r="U378" s="111"/>
      <c r="V378" s="111"/>
      <c r="W378" s="102"/>
      <c r="X378" s="103" t="str">
        <f t="shared" si="319"/>
        <v/>
      </c>
      <c r="Y378" s="271"/>
      <c r="Z378" s="121"/>
      <c r="AA378" s="121"/>
      <c r="AB378" s="121"/>
      <c r="AC378" s="121"/>
      <c r="AD378" s="121"/>
      <c r="AE378" s="121"/>
      <c r="AF378" s="121"/>
      <c r="AG378" s="121"/>
      <c r="AH378" s="121"/>
      <c r="AI378" s="121"/>
      <c r="AJ378" s="121"/>
      <c r="AK378" s="121"/>
      <c r="AL378" s="121"/>
    </row>
    <row r="379" spans="1:38" s="115" customFormat="1" ht="15" customHeight="1">
      <c r="A379" s="555" t="s">
        <v>1393</v>
      </c>
      <c r="B379" s="217" t="str">
        <f t="shared" si="328"/>
        <v>200</v>
      </c>
      <c r="C379" s="217" t="str">
        <f t="shared" si="329"/>
        <v>75</v>
      </c>
      <c r="D379" s="101" t="str">
        <f t="shared" si="330"/>
        <v>752</v>
      </c>
      <c r="E379" s="217" t="str">
        <f t="shared" si="331"/>
        <v>200-75-752</v>
      </c>
      <c r="F379" s="294" t="str">
        <f t="shared" si="332"/>
        <v>51245</v>
      </c>
      <c r="G379" s="295" t="str">
        <f>VLOOKUP(F379,'GL Category'!A:C,3,FALSE)</f>
        <v>Operations &amp; maintenance</v>
      </c>
      <c r="H379" s="98" t="str">
        <f>VLOOKUP(F379,'GL Category'!A:C,2,FALSE)</f>
        <v>SMALL TOOLS &amp; EQUIPMENT</v>
      </c>
      <c r="I379" s="99">
        <f>SUMIF(Import!$B:$B,$A379,Import!D:D)</f>
        <v>733.15</v>
      </c>
      <c r="J379" s="99">
        <f>SUMIF(Import!$B:$B,$A379,Import!E:E)</f>
        <v>817.02</v>
      </c>
      <c r="K379" s="99">
        <f>SUMIF(Import!$B:$B,$A379,Import!F:F)</f>
        <v>3760.49</v>
      </c>
      <c r="L379" s="99">
        <f>SUMIF(Import!$B:$B,$A379,Import!G:G)</f>
        <v>4029.27</v>
      </c>
      <c r="M379" s="99">
        <f>SUMIF(Import!$B:$B,$A379,Import!H:H)</f>
        <v>5000</v>
      </c>
      <c r="N379" s="99">
        <f>SUMIF(Import!$B:$B,$A379,Import!I:I)</f>
        <v>931.87</v>
      </c>
      <c r="O379" s="99">
        <f>SUMIF(Import!$B:$B,$A379,Import!J:J)</f>
        <v>4000</v>
      </c>
      <c r="P379" s="99">
        <f t="shared" ref="P379:P393" si="338">O379-M379</f>
        <v>-1000</v>
      </c>
      <c r="Q379" s="99">
        <f>SUMIF(Import!$B:$B,$A379,Import!K:K)</f>
        <v>4500</v>
      </c>
      <c r="R379" s="99">
        <f>SUMIF(Import!$B:$B,$A379,Import!L:L)</f>
        <v>0</v>
      </c>
      <c r="S379" s="99">
        <f>SUMIF(Import!$B:$B,$A379,Import!M:M)</f>
        <v>0</v>
      </c>
      <c r="T379" s="99">
        <f>SUMIF(Import!$B:$B,$A379,Import!N:N)</f>
        <v>4500</v>
      </c>
      <c r="U379" s="99">
        <f t="shared" ref="U379:U393" si="339">T379-M379</f>
        <v>-500</v>
      </c>
      <c r="V379" s="255">
        <f t="shared" ref="V379:V393" si="340">IF(M379=0,"N/A",T379/M379-1)</f>
        <v>-9.9999999999999978E-2</v>
      </c>
      <c r="W379" s="102" t="s">
        <v>1393</v>
      </c>
      <c r="X379" s="103" t="str">
        <f t="shared" si="319"/>
        <v>OK</v>
      </c>
      <c r="Y379" s="271"/>
      <c r="Z379" s="121"/>
      <c r="AA379" s="121"/>
      <c r="AB379" s="121"/>
      <c r="AC379" s="121"/>
      <c r="AD379" s="121"/>
      <c r="AE379" s="121"/>
      <c r="AF379" s="121"/>
      <c r="AG379" s="121"/>
      <c r="AH379" s="121"/>
      <c r="AI379" s="121"/>
      <c r="AJ379" s="121"/>
      <c r="AK379" s="121"/>
      <c r="AL379" s="121"/>
    </row>
    <row r="380" spans="1:38" s="115" customFormat="1" ht="15" customHeight="1">
      <c r="A380" s="555" t="s">
        <v>1394</v>
      </c>
      <c r="B380" s="217" t="str">
        <f t="shared" si="328"/>
        <v>200</v>
      </c>
      <c r="C380" s="217" t="str">
        <f t="shared" si="329"/>
        <v>75</v>
      </c>
      <c r="D380" s="101" t="str">
        <f t="shared" si="330"/>
        <v>752</v>
      </c>
      <c r="E380" s="217" t="str">
        <f t="shared" si="331"/>
        <v>200-75-752</v>
      </c>
      <c r="F380" s="294" t="str">
        <f t="shared" si="332"/>
        <v>51255</v>
      </c>
      <c r="G380" s="295" t="str">
        <f>VLOOKUP(F380,'GL Category'!A:C,3,FALSE)</f>
        <v>Operations &amp; maintenance</v>
      </c>
      <c r="H380" s="98" t="str">
        <f>VLOOKUP(F380,'GL Category'!A:C,2,FALSE)</f>
        <v>FUEL/OILS/LUBRICANTS</v>
      </c>
      <c r="I380" s="99">
        <f>SUMIF(Import!$B:$B,$A380,Import!D:D)</f>
        <v>16512.21</v>
      </c>
      <c r="J380" s="99">
        <f>SUMIF(Import!$B:$B,$A380,Import!E:E)</f>
        <v>20230.8</v>
      </c>
      <c r="K380" s="99">
        <f>SUMIF(Import!$B:$B,$A380,Import!F:F)</f>
        <v>22607.91</v>
      </c>
      <c r="L380" s="99">
        <f>SUMIF(Import!$B:$B,$A380,Import!G:G)</f>
        <v>11278.5</v>
      </c>
      <c r="M380" s="99">
        <f>SUMIF(Import!$B:$B,$A380,Import!H:H)</f>
        <v>27650</v>
      </c>
      <c r="N380" s="99">
        <f>SUMIF(Import!$B:$B,$A380,Import!I:I)</f>
        <v>12474.16</v>
      </c>
      <c r="O380" s="99">
        <f>SUMIF(Import!$B:$B,$A380,Import!J:J)</f>
        <v>22000</v>
      </c>
      <c r="P380" s="99">
        <f t="shared" si="338"/>
        <v>-5650</v>
      </c>
      <c r="Q380" s="99">
        <f>SUMIF(Import!$B:$B,$A380,Import!K:K)</f>
        <v>25000</v>
      </c>
      <c r="R380" s="99">
        <f>SUMIF(Import!$B:$B,$A380,Import!L:L)</f>
        <v>0</v>
      </c>
      <c r="S380" s="99">
        <f>SUMIF(Import!$B:$B,$A380,Import!M:M)</f>
        <v>0</v>
      </c>
      <c r="T380" s="99">
        <f>SUMIF(Import!$B:$B,$A380,Import!N:N)</f>
        <v>25000</v>
      </c>
      <c r="U380" s="99">
        <f t="shared" si="339"/>
        <v>-2650</v>
      </c>
      <c r="V380" s="255">
        <f t="shared" si="340"/>
        <v>-9.5840867992766698E-2</v>
      </c>
      <c r="W380" s="102" t="s">
        <v>1394</v>
      </c>
      <c r="X380" s="103" t="str">
        <f t="shared" si="319"/>
        <v>OK</v>
      </c>
      <c r="Y380" s="271"/>
      <c r="Z380" s="121"/>
      <c r="AA380" s="121"/>
      <c r="AB380" s="121"/>
      <c r="AC380" s="121"/>
      <c r="AD380" s="121"/>
      <c r="AE380" s="121"/>
      <c r="AF380" s="121"/>
      <c r="AG380" s="121"/>
      <c r="AH380" s="121"/>
      <c r="AI380" s="121"/>
      <c r="AJ380" s="121"/>
      <c r="AK380" s="121"/>
      <c r="AL380" s="121"/>
    </row>
    <row r="381" spans="1:38" s="115" customFormat="1" ht="15" customHeight="1">
      <c r="A381" s="555" t="s">
        <v>1395</v>
      </c>
      <c r="B381" s="217" t="str">
        <f t="shared" si="328"/>
        <v>200</v>
      </c>
      <c r="C381" s="217" t="str">
        <f t="shared" si="329"/>
        <v>75</v>
      </c>
      <c r="D381" s="101" t="str">
        <f t="shared" si="330"/>
        <v>752</v>
      </c>
      <c r="E381" s="217" t="str">
        <f t="shared" si="331"/>
        <v>200-75-752</v>
      </c>
      <c r="F381" s="294" t="str">
        <f t="shared" si="332"/>
        <v>51265</v>
      </c>
      <c r="G381" s="295" t="str">
        <f>VLOOKUP(F381,'GL Category'!A:C,3,FALSE)</f>
        <v>Operations &amp; maintenance</v>
      </c>
      <c r="H381" s="98" t="str">
        <f>VLOOKUP(F381,'GL Category'!A:C,2,FALSE)</f>
        <v>STREET SIGN/SIGNAL SUPPLIES</v>
      </c>
      <c r="I381" s="99">
        <f>SUMIF(Import!$B:$B,$A381,Import!D:D)</f>
        <v>0</v>
      </c>
      <c r="J381" s="99">
        <f>SUMIF(Import!$B:$B,$A381,Import!E:E)</f>
        <v>0</v>
      </c>
      <c r="K381" s="99">
        <f>SUMIF(Import!$B:$B,$A381,Import!F:F)</f>
        <v>0</v>
      </c>
      <c r="L381" s="99">
        <f>SUMIF(Import!$B:$B,$A381,Import!G:G)</f>
        <v>0</v>
      </c>
      <c r="M381" s="99">
        <f>SUMIF(Import!$B:$B,$A381,Import!H:H)</f>
        <v>0</v>
      </c>
      <c r="N381" s="99">
        <f>SUMIF(Import!$B:$B,$A381,Import!I:I)</f>
        <v>0</v>
      </c>
      <c r="O381" s="99">
        <f>SUMIF(Import!$B:$B,$A381,Import!J:J)</f>
        <v>0</v>
      </c>
      <c r="P381" s="99">
        <f t="shared" si="338"/>
        <v>0</v>
      </c>
      <c r="Q381" s="99">
        <f>SUMIF(Import!$B:$B,$A381,Import!K:K)</f>
        <v>0</v>
      </c>
      <c r="R381" s="99">
        <f>SUMIF(Import!$B:$B,$A381,Import!L:L)</f>
        <v>0</v>
      </c>
      <c r="S381" s="99">
        <f>SUMIF(Import!$B:$B,$A381,Import!M:M)</f>
        <v>0</v>
      </c>
      <c r="T381" s="99">
        <f>SUMIF(Import!$B:$B,$A381,Import!N:N)</f>
        <v>0</v>
      </c>
      <c r="U381" s="99">
        <f t="shared" si="339"/>
        <v>0</v>
      </c>
      <c r="V381" s="255" t="str">
        <f t="shared" si="340"/>
        <v>N/A</v>
      </c>
      <c r="W381" s="102" t="s">
        <v>1395</v>
      </c>
      <c r="X381" s="103" t="str">
        <f t="shared" si="319"/>
        <v>OK</v>
      </c>
      <c r="Y381" s="271"/>
      <c r="Z381" s="121"/>
      <c r="AA381" s="121"/>
      <c r="AB381" s="121"/>
      <c r="AC381" s="121"/>
      <c r="AD381" s="121"/>
      <c r="AE381" s="121"/>
      <c r="AF381" s="121"/>
      <c r="AG381" s="121"/>
      <c r="AH381" s="121"/>
      <c r="AI381" s="121"/>
      <c r="AJ381" s="121"/>
      <c r="AK381" s="121"/>
      <c r="AL381" s="121"/>
    </row>
    <row r="382" spans="1:38" s="115" customFormat="1" ht="15" customHeight="1">
      <c r="A382" s="555" t="s">
        <v>1396</v>
      </c>
      <c r="B382" s="217" t="str">
        <f t="shared" si="328"/>
        <v>200</v>
      </c>
      <c r="C382" s="217" t="str">
        <f t="shared" si="329"/>
        <v>75</v>
      </c>
      <c r="D382" s="101" t="str">
        <f t="shared" si="330"/>
        <v>752</v>
      </c>
      <c r="E382" s="217" t="str">
        <f t="shared" si="331"/>
        <v>200-75-752</v>
      </c>
      <c r="F382" s="294" t="str">
        <f t="shared" si="332"/>
        <v>51270</v>
      </c>
      <c r="G382" s="295" t="str">
        <f>VLOOKUP(F382,'GL Category'!A:C,3,FALSE)</f>
        <v>Operations &amp; maintenance</v>
      </c>
      <c r="H382" s="98" t="str">
        <f>VLOOKUP(F382,'GL Category'!A:C,2,FALSE)</f>
        <v>CHEMICAL SUPPLIES</v>
      </c>
      <c r="I382" s="99">
        <f>SUMIF(Import!$B:$B,$A382,Import!D:D)</f>
        <v>1847.14</v>
      </c>
      <c r="J382" s="99">
        <f>SUMIF(Import!$B:$B,$A382,Import!E:E)</f>
        <v>213.87</v>
      </c>
      <c r="K382" s="99">
        <f>SUMIF(Import!$B:$B,$A382,Import!F:F)</f>
        <v>0</v>
      </c>
      <c r="L382" s="99">
        <f>SUMIF(Import!$B:$B,$A382,Import!G:G)</f>
        <v>3520</v>
      </c>
      <c r="M382" s="99">
        <f>SUMIF(Import!$B:$B,$A382,Import!H:H)</f>
        <v>1700</v>
      </c>
      <c r="N382" s="99">
        <f>SUMIF(Import!$B:$B,$A382,Import!I:I)</f>
        <v>146.04</v>
      </c>
      <c r="O382" s="99">
        <f>SUMIF(Import!$B:$B,$A382,Import!J:J)</f>
        <v>1500</v>
      </c>
      <c r="P382" s="99">
        <f t="shared" si="338"/>
        <v>-200</v>
      </c>
      <c r="Q382" s="99">
        <f>SUMIF(Import!$B:$B,$A382,Import!K:K)</f>
        <v>1700</v>
      </c>
      <c r="R382" s="99">
        <f>SUMIF(Import!$B:$B,$A382,Import!L:L)</f>
        <v>0</v>
      </c>
      <c r="S382" s="99">
        <f>SUMIF(Import!$B:$B,$A382,Import!M:M)</f>
        <v>0</v>
      </c>
      <c r="T382" s="99">
        <f>SUMIF(Import!$B:$B,$A382,Import!N:N)</f>
        <v>1700</v>
      </c>
      <c r="U382" s="99">
        <f t="shared" si="339"/>
        <v>0</v>
      </c>
      <c r="V382" s="255">
        <f t="shared" si="340"/>
        <v>0</v>
      </c>
      <c r="W382" s="102" t="s">
        <v>1396</v>
      </c>
      <c r="X382" s="103" t="str">
        <f t="shared" si="319"/>
        <v>OK</v>
      </c>
      <c r="Y382" s="271"/>
      <c r="Z382" s="121"/>
      <c r="AA382" s="121"/>
      <c r="AB382" s="121"/>
      <c r="AC382" s="121"/>
      <c r="AD382" s="121"/>
      <c r="AE382" s="121"/>
      <c r="AF382" s="121"/>
      <c r="AG382" s="121"/>
      <c r="AH382" s="121"/>
      <c r="AI382" s="121"/>
      <c r="AJ382" s="121"/>
      <c r="AK382" s="121"/>
      <c r="AL382" s="121"/>
    </row>
    <row r="383" spans="1:38" s="115" customFormat="1" ht="15" customHeight="1">
      <c r="A383" s="555" t="s">
        <v>1397</v>
      </c>
      <c r="B383" s="217" t="str">
        <f t="shared" si="328"/>
        <v>200</v>
      </c>
      <c r="C383" s="217" t="str">
        <f t="shared" si="329"/>
        <v>75</v>
      </c>
      <c r="D383" s="101" t="str">
        <f t="shared" si="330"/>
        <v>752</v>
      </c>
      <c r="E383" s="217" t="str">
        <f t="shared" si="331"/>
        <v>200-75-752</v>
      </c>
      <c r="F383" s="294" t="str">
        <f t="shared" si="332"/>
        <v>51285</v>
      </c>
      <c r="G383" s="295" t="str">
        <f>VLOOKUP(F383,'GL Category'!A:C,3,FALSE)</f>
        <v>Operations &amp; maintenance</v>
      </c>
      <c r="H383" s="98" t="str">
        <f>VLOOKUP(F383,'GL Category'!A:C,2,FALSE)</f>
        <v>WEARING APPAREL</v>
      </c>
      <c r="I383" s="99">
        <f>SUMIF(Import!$B:$B,$A383,Import!D:D)</f>
        <v>4778.0600000000004</v>
      </c>
      <c r="J383" s="99">
        <f>SUMIF(Import!$B:$B,$A383,Import!E:E)</f>
        <v>2434.34</v>
      </c>
      <c r="K383" s="99">
        <f>SUMIF(Import!$B:$B,$A383,Import!F:F)</f>
        <v>3134.91</v>
      </c>
      <c r="L383" s="99">
        <f>SUMIF(Import!$B:$B,$A383,Import!G:G)</f>
        <v>3674.24</v>
      </c>
      <c r="M383" s="99">
        <f>SUMIF(Import!$B:$B,$A383,Import!H:H)</f>
        <v>6000</v>
      </c>
      <c r="N383" s="99">
        <f>SUMIF(Import!$B:$B,$A383,Import!I:I)</f>
        <v>4271.07</v>
      </c>
      <c r="O383" s="99">
        <f>SUMIF(Import!$B:$B,$A383,Import!J:J)</f>
        <v>4000</v>
      </c>
      <c r="P383" s="99">
        <f t="shared" si="338"/>
        <v>-2000</v>
      </c>
      <c r="Q383" s="99">
        <f>SUMIF(Import!$B:$B,$A383,Import!K:K)</f>
        <v>5000</v>
      </c>
      <c r="R383" s="99">
        <f>SUMIF(Import!$B:$B,$A383,Import!L:L)</f>
        <v>0</v>
      </c>
      <c r="S383" s="99">
        <f>SUMIF(Import!$B:$B,$A383,Import!M:M)</f>
        <v>0</v>
      </c>
      <c r="T383" s="99">
        <f>SUMIF(Import!$B:$B,$A383,Import!N:N)</f>
        <v>5000</v>
      </c>
      <c r="U383" s="99">
        <f t="shared" si="339"/>
        <v>-1000</v>
      </c>
      <c r="V383" s="255">
        <f t="shared" si="340"/>
        <v>-0.16666666666666663</v>
      </c>
      <c r="W383" s="102" t="s">
        <v>1397</v>
      </c>
      <c r="X383" s="103" t="str">
        <f t="shared" si="319"/>
        <v>OK</v>
      </c>
      <c r="Y383" s="271"/>
      <c r="Z383" s="121"/>
      <c r="AA383" s="121"/>
      <c r="AB383" s="121"/>
      <c r="AC383" s="121"/>
      <c r="AD383" s="121"/>
      <c r="AE383" s="121"/>
      <c r="AF383" s="121"/>
      <c r="AG383" s="121"/>
      <c r="AH383" s="121"/>
      <c r="AI383" s="121"/>
      <c r="AJ383" s="121"/>
      <c r="AK383" s="121"/>
      <c r="AL383" s="121"/>
    </row>
    <row r="384" spans="1:38" s="115" customFormat="1" ht="15" customHeight="1">
      <c r="A384" s="555" t="s">
        <v>1398</v>
      </c>
      <c r="B384" s="217" t="str">
        <f t="shared" si="328"/>
        <v>200</v>
      </c>
      <c r="C384" s="217" t="str">
        <f t="shared" si="329"/>
        <v>75</v>
      </c>
      <c r="D384" s="101" t="str">
        <f t="shared" si="330"/>
        <v>752</v>
      </c>
      <c r="E384" s="217" t="str">
        <f t="shared" si="331"/>
        <v>200-75-752</v>
      </c>
      <c r="F384" s="294" t="str">
        <f t="shared" si="332"/>
        <v>51287</v>
      </c>
      <c r="G384" s="295" t="str">
        <f>VLOOKUP(F384,'GL Category'!A:C,3,FALSE)</f>
        <v>Operations &amp; maintenance</v>
      </c>
      <c r="H384" s="98" t="str">
        <f>VLOOKUP(F384,'GL Category'!A:C,2,FALSE)</f>
        <v>SAFETY EQUIPMENT/SUPPLIES</v>
      </c>
      <c r="I384" s="99">
        <f>SUMIF(Import!$B:$B,$A384,Import!D:D)</f>
        <v>8354.94</v>
      </c>
      <c r="J384" s="99">
        <f>SUMIF(Import!$B:$B,$A384,Import!E:E)</f>
        <v>7994.87</v>
      </c>
      <c r="K384" s="99">
        <f>SUMIF(Import!$B:$B,$A384,Import!F:F)</f>
        <v>5512.75</v>
      </c>
      <c r="L384" s="99">
        <f>SUMIF(Import!$B:$B,$A384,Import!G:G)</f>
        <v>0</v>
      </c>
      <c r="M384" s="99">
        <f>SUMIF(Import!$B:$B,$A384,Import!H:H)</f>
        <v>0</v>
      </c>
      <c r="N384" s="99">
        <f>SUMIF(Import!$B:$B,$A384,Import!I:I)</f>
        <v>0</v>
      </c>
      <c r="O384" s="99">
        <f>SUMIF(Import!$B:$B,$A384,Import!J:J)</f>
        <v>0</v>
      </c>
      <c r="P384" s="99">
        <f t="shared" si="338"/>
        <v>0</v>
      </c>
      <c r="Q384" s="99">
        <f>SUMIF(Import!$B:$B,$A384,Import!K:K)</f>
        <v>0</v>
      </c>
      <c r="R384" s="99">
        <f>SUMIF(Import!$B:$B,$A384,Import!L:L)</f>
        <v>0</v>
      </c>
      <c r="S384" s="99">
        <f>SUMIF(Import!$B:$B,$A384,Import!M:M)</f>
        <v>0</v>
      </c>
      <c r="T384" s="99">
        <f>SUMIF(Import!$B:$B,$A384,Import!N:N)</f>
        <v>0</v>
      </c>
      <c r="U384" s="99">
        <f t="shared" si="339"/>
        <v>0</v>
      </c>
      <c r="V384" s="255" t="str">
        <f t="shared" si="340"/>
        <v>N/A</v>
      </c>
      <c r="W384" s="102" t="s">
        <v>1398</v>
      </c>
      <c r="X384" s="103" t="str">
        <f t="shared" si="319"/>
        <v>OK</v>
      </c>
      <c r="Y384" s="271"/>
      <c r="Z384" s="121"/>
      <c r="AA384" s="121"/>
      <c r="AB384" s="121"/>
      <c r="AC384" s="121"/>
      <c r="AD384" s="121"/>
      <c r="AE384" s="121"/>
      <c r="AF384" s="121"/>
      <c r="AG384" s="121"/>
      <c r="AH384" s="121"/>
      <c r="AI384" s="121"/>
      <c r="AJ384" s="121"/>
      <c r="AK384" s="121"/>
      <c r="AL384" s="121"/>
    </row>
    <row r="385" spans="1:38" s="115" customFormat="1" ht="15" customHeight="1">
      <c r="A385" s="555" t="s">
        <v>1399</v>
      </c>
      <c r="B385" s="217" t="str">
        <f t="shared" si="328"/>
        <v>200</v>
      </c>
      <c r="C385" s="217" t="str">
        <f t="shared" si="329"/>
        <v>75</v>
      </c>
      <c r="D385" s="101" t="str">
        <f t="shared" si="330"/>
        <v>752</v>
      </c>
      <c r="E385" s="217" t="str">
        <f t="shared" si="331"/>
        <v>200-75-752</v>
      </c>
      <c r="F385" s="294" t="str">
        <f t="shared" si="332"/>
        <v>51299</v>
      </c>
      <c r="G385" s="295" t="str">
        <f>VLOOKUP(F385,'GL Category'!A:C,3,FALSE)</f>
        <v>Operations &amp; maintenance</v>
      </c>
      <c r="H385" s="98" t="str">
        <f>VLOOKUP(F385,'GL Category'!A:C,2,FALSE)</f>
        <v>MISCELLANEOUS SUPPLIES</v>
      </c>
      <c r="I385" s="99">
        <f>SUMIF(Import!$B:$B,$A385,Import!D:D)</f>
        <v>0</v>
      </c>
      <c r="J385" s="99">
        <f>SUMIF(Import!$B:$B,$A385,Import!E:E)</f>
        <v>0</v>
      </c>
      <c r="K385" s="99">
        <f>SUMIF(Import!$B:$B,$A385,Import!F:F)</f>
        <v>0</v>
      </c>
      <c r="L385" s="99">
        <f>SUMIF(Import!$B:$B,$A385,Import!G:G)</f>
        <v>0</v>
      </c>
      <c r="M385" s="99">
        <f>SUMIF(Import!$B:$B,$A385,Import!H:H)</f>
        <v>0</v>
      </c>
      <c r="N385" s="99">
        <f>SUMIF(Import!$B:$B,$A385,Import!I:I)</f>
        <v>0</v>
      </c>
      <c r="O385" s="99">
        <f>SUMIF(Import!$B:$B,$A385,Import!J:J)</f>
        <v>0</v>
      </c>
      <c r="P385" s="99">
        <f t="shared" si="338"/>
        <v>0</v>
      </c>
      <c r="Q385" s="99">
        <f>SUMIF(Import!$B:$B,$A385,Import!K:K)</f>
        <v>0</v>
      </c>
      <c r="R385" s="99">
        <f>SUMIF(Import!$B:$B,$A385,Import!L:L)</f>
        <v>0</v>
      </c>
      <c r="S385" s="99">
        <f>SUMIF(Import!$B:$B,$A385,Import!M:M)</f>
        <v>0</v>
      </c>
      <c r="T385" s="99">
        <f>SUMIF(Import!$B:$B,$A385,Import!N:N)</f>
        <v>0</v>
      </c>
      <c r="U385" s="99">
        <f t="shared" si="339"/>
        <v>0</v>
      </c>
      <c r="V385" s="255" t="str">
        <f t="shared" si="340"/>
        <v>N/A</v>
      </c>
      <c r="W385" s="102" t="s">
        <v>1399</v>
      </c>
      <c r="X385" s="103" t="str">
        <f t="shared" si="319"/>
        <v>OK</v>
      </c>
      <c r="Y385" s="271"/>
      <c r="Z385" s="121"/>
      <c r="AA385" s="121"/>
      <c r="AB385" s="121"/>
      <c r="AC385" s="121"/>
      <c r="AD385" s="121"/>
      <c r="AE385" s="121"/>
      <c r="AF385" s="121"/>
      <c r="AG385" s="121"/>
      <c r="AH385" s="121"/>
      <c r="AI385" s="121"/>
      <c r="AJ385" s="121"/>
      <c r="AK385" s="121"/>
      <c r="AL385" s="121"/>
    </row>
    <row r="386" spans="1:38" s="115" customFormat="1" ht="15" customHeight="1">
      <c r="A386" s="555" t="s">
        <v>1400</v>
      </c>
      <c r="B386" s="217" t="str">
        <f t="shared" si="328"/>
        <v>200</v>
      </c>
      <c r="C386" s="217" t="str">
        <f t="shared" si="329"/>
        <v>75</v>
      </c>
      <c r="D386" s="101" t="str">
        <f t="shared" si="330"/>
        <v>752</v>
      </c>
      <c r="E386" s="217" t="str">
        <f t="shared" si="331"/>
        <v>200-75-752</v>
      </c>
      <c r="F386" s="294" t="str">
        <f t="shared" si="332"/>
        <v>52311</v>
      </c>
      <c r="G386" s="295" t="str">
        <f>VLOOKUP(F386,'GL Category'!A:C,3,FALSE)</f>
        <v>Operations &amp; maintenance</v>
      </c>
      <c r="H386" s="98" t="str">
        <f>VLOOKUP(F386,'GL Category'!A:C,2,FALSE)</f>
        <v>GROUNDS MAINTENANCE</v>
      </c>
      <c r="I386" s="99">
        <f>SUMIF(Import!$B:$B,$A386,Import!D:D)</f>
        <v>0</v>
      </c>
      <c r="J386" s="99">
        <f>SUMIF(Import!$B:$B,$A386,Import!E:E)</f>
        <v>0</v>
      </c>
      <c r="K386" s="99">
        <f>SUMIF(Import!$B:$B,$A386,Import!F:F)</f>
        <v>0</v>
      </c>
      <c r="L386" s="99">
        <f>SUMIF(Import!$B:$B,$A386,Import!G:G)</f>
        <v>0</v>
      </c>
      <c r="M386" s="99">
        <f>SUMIF(Import!$B:$B,$A386,Import!H:H)</f>
        <v>0</v>
      </c>
      <c r="N386" s="99">
        <f>SUMIF(Import!$B:$B,$A386,Import!I:I)</f>
        <v>0</v>
      </c>
      <c r="O386" s="99">
        <f>SUMIF(Import!$B:$B,$A386,Import!J:J)</f>
        <v>0</v>
      </c>
      <c r="P386" s="99">
        <f t="shared" si="338"/>
        <v>0</v>
      </c>
      <c r="Q386" s="99">
        <f>SUMIF(Import!$B:$B,$A386,Import!K:K)</f>
        <v>0</v>
      </c>
      <c r="R386" s="99">
        <f>SUMIF(Import!$B:$B,$A386,Import!L:L)</f>
        <v>0</v>
      </c>
      <c r="S386" s="99">
        <f>SUMIF(Import!$B:$B,$A386,Import!M:M)</f>
        <v>0</v>
      </c>
      <c r="T386" s="99">
        <f>SUMIF(Import!$B:$B,$A386,Import!N:N)</f>
        <v>0</v>
      </c>
      <c r="U386" s="99">
        <f t="shared" si="339"/>
        <v>0</v>
      </c>
      <c r="V386" s="255" t="str">
        <f t="shared" si="340"/>
        <v>N/A</v>
      </c>
      <c r="W386" s="102" t="s">
        <v>1400</v>
      </c>
      <c r="X386" s="103" t="str">
        <f t="shared" si="319"/>
        <v>OK</v>
      </c>
      <c r="Y386" s="271"/>
      <c r="Z386" s="121"/>
      <c r="AA386" s="121"/>
      <c r="AB386" s="121"/>
      <c r="AC386" s="121"/>
      <c r="AD386" s="121"/>
      <c r="AE386" s="121"/>
      <c r="AF386" s="121"/>
      <c r="AG386" s="121"/>
      <c r="AH386" s="121"/>
      <c r="AI386" s="121"/>
      <c r="AJ386" s="121"/>
      <c r="AK386" s="121"/>
      <c r="AL386" s="121"/>
    </row>
    <row r="387" spans="1:38" s="115" customFormat="1" ht="15" customHeight="1">
      <c r="A387" s="555" t="s">
        <v>1401</v>
      </c>
      <c r="B387" s="217" t="str">
        <f t="shared" si="328"/>
        <v>200</v>
      </c>
      <c r="C387" s="217" t="str">
        <f t="shared" si="329"/>
        <v>75</v>
      </c>
      <c r="D387" s="101" t="str">
        <f t="shared" si="330"/>
        <v>752</v>
      </c>
      <c r="E387" s="217" t="str">
        <f t="shared" si="331"/>
        <v>200-75-752</v>
      </c>
      <c r="F387" s="294" t="str">
        <f t="shared" si="332"/>
        <v>52320</v>
      </c>
      <c r="G387" s="295" t="str">
        <f>VLOOKUP(F387,'GL Category'!A:C,3,FALSE)</f>
        <v>Operations &amp; maintenance</v>
      </c>
      <c r="H387" s="98" t="str">
        <f>VLOOKUP(F387,'GL Category'!A:C,2,FALSE)</f>
        <v>STREET MAINTENANCE</v>
      </c>
      <c r="I387" s="99">
        <f>SUMIF(Import!$B:$B,$A387,Import!D:D)</f>
        <v>0</v>
      </c>
      <c r="J387" s="99">
        <f>SUMIF(Import!$B:$B,$A387,Import!E:E)</f>
        <v>0</v>
      </c>
      <c r="K387" s="99">
        <f>SUMIF(Import!$B:$B,$A387,Import!F:F)</f>
        <v>0</v>
      </c>
      <c r="L387" s="99">
        <f>SUMIF(Import!$B:$B,$A387,Import!G:G)</f>
        <v>0</v>
      </c>
      <c r="M387" s="99">
        <f>SUMIF(Import!$B:$B,$A387,Import!H:H)</f>
        <v>0</v>
      </c>
      <c r="N387" s="99">
        <f>SUMIF(Import!$B:$B,$A387,Import!I:I)</f>
        <v>0</v>
      </c>
      <c r="O387" s="99">
        <f>SUMIF(Import!$B:$B,$A387,Import!J:J)</f>
        <v>0</v>
      </c>
      <c r="P387" s="99">
        <f t="shared" si="338"/>
        <v>0</v>
      </c>
      <c r="Q387" s="99">
        <f>SUMIF(Import!$B:$B,$A387,Import!K:K)</f>
        <v>0</v>
      </c>
      <c r="R387" s="99">
        <f>SUMIF(Import!$B:$B,$A387,Import!L:L)</f>
        <v>0</v>
      </c>
      <c r="S387" s="99">
        <f>SUMIF(Import!$B:$B,$A387,Import!M:M)</f>
        <v>0</v>
      </c>
      <c r="T387" s="99">
        <f>SUMIF(Import!$B:$B,$A387,Import!N:N)</f>
        <v>0</v>
      </c>
      <c r="U387" s="99">
        <f t="shared" si="339"/>
        <v>0</v>
      </c>
      <c r="V387" s="255" t="str">
        <f t="shared" si="340"/>
        <v>N/A</v>
      </c>
      <c r="W387" s="102" t="s">
        <v>1401</v>
      </c>
      <c r="X387" s="103" t="str">
        <f t="shared" si="319"/>
        <v>OK</v>
      </c>
      <c r="Y387" s="271"/>
      <c r="Z387" s="121"/>
      <c r="AA387" s="121"/>
      <c r="AB387" s="121"/>
      <c r="AC387" s="121"/>
      <c r="AD387" s="121"/>
      <c r="AE387" s="121"/>
      <c r="AF387" s="121"/>
      <c r="AG387" s="121"/>
      <c r="AH387" s="121"/>
      <c r="AI387" s="121"/>
      <c r="AJ387" s="121"/>
      <c r="AK387" s="121"/>
      <c r="AL387" s="121"/>
    </row>
    <row r="388" spans="1:38" s="115" customFormat="1" ht="15" customHeight="1">
      <c r="A388" s="555" t="s">
        <v>1402</v>
      </c>
      <c r="B388" s="217" t="str">
        <f t="shared" si="328"/>
        <v>200</v>
      </c>
      <c r="C388" s="217" t="str">
        <f t="shared" si="329"/>
        <v>75</v>
      </c>
      <c r="D388" s="101" t="str">
        <f t="shared" si="330"/>
        <v>752</v>
      </c>
      <c r="E388" s="217" t="str">
        <f t="shared" si="331"/>
        <v>200-75-752</v>
      </c>
      <c r="F388" s="294" t="str">
        <f t="shared" si="332"/>
        <v>52330</v>
      </c>
      <c r="G388" s="295" t="str">
        <f>VLOOKUP(F388,'GL Category'!A:C,3,FALSE)</f>
        <v>Operations &amp; maintenance</v>
      </c>
      <c r="H388" s="98" t="str">
        <f>VLOOKUP(F388,'GL Category'!A:C,2,FALSE)</f>
        <v>MAINS &amp; SERVICES MAINTENANCE</v>
      </c>
      <c r="I388" s="99">
        <f>SUMIF(Import!$B:$B,$A388,Import!D:D)</f>
        <v>15656.24</v>
      </c>
      <c r="J388" s="99">
        <f>SUMIF(Import!$B:$B,$A388,Import!E:E)</f>
        <v>65837.63</v>
      </c>
      <c r="K388" s="99">
        <f>SUMIF(Import!$B:$B,$A388,Import!F:F)</f>
        <v>52059.96</v>
      </c>
      <c r="L388" s="99">
        <f>SUMIF(Import!$B:$B,$A388,Import!G:G)</f>
        <v>53381.32</v>
      </c>
      <c r="M388" s="99">
        <f>SUMIF(Import!$B:$B,$A388,Import!H:H)</f>
        <v>90000</v>
      </c>
      <c r="N388" s="99">
        <f>SUMIF(Import!$B:$B,$A388,Import!I:I)</f>
        <v>58455.519999999997</v>
      </c>
      <c r="O388" s="99">
        <f>SUMIF(Import!$B:$B,$A388,Import!J:J)</f>
        <v>90000</v>
      </c>
      <c r="P388" s="99">
        <f t="shared" si="338"/>
        <v>0</v>
      </c>
      <c r="Q388" s="99">
        <f>SUMIF(Import!$B:$B,$A388,Import!K:K)</f>
        <v>90000</v>
      </c>
      <c r="R388" s="99">
        <f>SUMIF(Import!$B:$B,$A388,Import!L:L)</f>
        <v>0</v>
      </c>
      <c r="S388" s="99">
        <f>SUMIF(Import!$B:$B,$A388,Import!M:M)</f>
        <v>0</v>
      </c>
      <c r="T388" s="99">
        <f>SUMIF(Import!$B:$B,$A388,Import!N:N)</f>
        <v>90000</v>
      </c>
      <c r="U388" s="99">
        <f t="shared" si="339"/>
        <v>0</v>
      </c>
      <c r="V388" s="255">
        <f t="shared" si="340"/>
        <v>0</v>
      </c>
      <c r="W388" s="102" t="s">
        <v>1402</v>
      </c>
      <c r="X388" s="103" t="str">
        <f t="shared" si="319"/>
        <v>OK</v>
      </c>
      <c r="Y388" s="271"/>
      <c r="Z388" s="121"/>
      <c r="AA388" s="121"/>
      <c r="AB388" s="121"/>
      <c r="AC388" s="121"/>
      <c r="AD388" s="121"/>
      <c r="AE388" s="121"/>
      <c r="AF388" s="121"/>
      <c r="AG388" s="121"/>
      <c r="AH388" s="121"/>
      <c r="AI388" s="121"/>
      <c r="AJ388" s="121"/>
      <c r="AK388" s="121"/>
      <c r="AL388" s="121"/>
    </row>
    <row r="389" spans="1:38" s="115" customFormat="1" ht="15" customHeight="1">
      <c r="A389" s="555" t="s">
        <v>1403</v>
      </c>
      <c r="B389" s="217" t="str">
        <f t="shared" si="328"/>
        <v>200</v>
      </c>
      <c r="C389" s="217" t="str">
        <f t="shared" si="329"/>
        <v>75</v>
      </c>
      <c r="D389" s="101" t="str">
        <f t="shared" si="330"/>
        <v>752</v>
      </c>
      <c r="E389" s="217" t="str">
        <f t="shared" si="331"/>
        <v>200-75-752</v>
      </c>
      <c r="F389" s="294" t="str">
        <f t="shared" si="332"/>
        <v>52360</v>
      </c>
      <c r="G389" s="295" t="str">
        <f>VLOOKUP(F389,'GL Category'!A:C,3,FALSE)</f>
        <v>Operations &amp; maintenance</v>
      </c>
      <c r="H389" s="98" t="str">
        <f>VLOOKUP(F389,'GL Category'!A:C,2,FALSE)</f>
        <v>LIFT STATION MAINTENANCE</v>
      </c>
      <c r="I389" s="99">
        <f>SUMIF(Import!$B:$B,$A389,Import!D:D)</f>
        <v>33111.81</v>
      </c>
      <c r="J389" s="99">
        <f>SUMIF(Import!$B:$B,$A389,Import!E:E)</f>
        <v>34080.22</v>
      </c>
      <c r="K389" s="99">
        <f>SUMIF(Import!$B:$B,$A389,Import!F:F)</f>
        <v>16914.419999999998</v>
      </c>
      <c r="L389" s="99">
        <f>SUMIF(Import!$B:$B,$A389,Import!G:G)</f>
        <v>26865.09</v>
      </c>
      <c r="M389" s="99">
        <f>SUMIF(Import!$B:$B,$A389,Import!H:H)</f>
        <v>42000</v>
      </c>
      <c r="N389" s="99">
        <f>SUMIF(Import!$B:$B,$A389,Import!I:I)</f>
        <v>25272.61</v>
      </c>
      <c r="O389" s="99">
        <f>SUMIF(Import!$B:$B,$A389,Import!J:J)</f>
        <v>38000</v>
      </c>
      <c r="P389" s="99">
        <f t="shared" si="338"/>
        <v>-4000</v>
      </c>
      <c r="Q389" s="99">
        <f>SUMIF(Import!$B:$B,$A389,Import!K:K)</f>
        <v>40000</v>
      </c>
      <c r="R389" s="99">
        <f>SUMIF(Import!$B:$B,$A389,Import!L:L)</f>
        <v>0</v>
      </c>
      <c r="S389" s="99">
        <f>SUMIF(Import!$B:$B,$A389,Import!M:M)</f>
        <v>0</v>
      </c>
      <c r="T389" s="99">
        <f>SUMIF(Import!$B:$B,$A389,Import!N:N)</f>
        <v>40000</v>
      </c>
      <c r="U389" s="99">
        <f t="shared" si="339"/>
        <v>-2000</v>
      </c>
      <c r="V389" s="255">
        <f t="shared" si="340"/>
        <v>-4.7619047619047672E-2</v>
      </c>
      <c r="W389" s="102" t="s">
        <v>1403</v>
      </c>
      <c r="X389" s="103" t="str">
        <f t="shared" si="319"/>
        <v>OK</v>
      </c>
      <c r="Y389" s="271"/>
      <c r="Z389" s="121"/>
      <c r="AA389" s="121"/>
      <c r="AB389" s="121"/>
      <c r="AC389" s="121"/>
      <c r="AD389" s="121"/>
      <c r="AE389" s="121"/>
      <c r="AF389" s="121"/>
      <c r="AG389" s="121"/>
      <c r="AH389" s="121"/>
      <c r="AI389" s="121"/>
      <c r="AJ389" s="121"/>
      <c r="AK389" s="121"/>
      <c r="AL389" s="121"/>
    </row>
    <row r="390" spans="1:38" s="115" customFormat="1" ht="15" customHeight="1">
      <c r="A390" s="555" t="s">
        <v>1404</v>
      </c>
      <c r="B390" s="217" t="str">
        <f t="shared" si="328"/>
        <v>200</v>
      </c>
      <c r="C390" s="217" t="str">
        <f t="shared" si="329"/>
        <v>75</v>
      </c>
      <c r="D390" s="101" t="str">
        <f t="shared" si="330"/>
        <v>752</v>
      </c>
      <c r="E390" s="217" t="str">
        <f t="shared" si="331"/>
        <v>200-75-752</v>
      </c>
      <c r="F390" s="294" t="str">
        <f t="shared" si="332"/>
        <v>52440</v>
      </c>
      <c r="G390" s="295" t="str">
        <f>VLOOKUP(F390,'GL Category'!A:C,3,FALSE)</f>
        <v>Operations &amp; maintenance</v>
      </c>
      <c r="H390" s="98" t="str">
        <f>VLOOKUP(F390,'GL Category'!A:C,2,FALSE)</f>
        <v>RADIO MAINTENANCE</v>
      </c>
      <c r="I390" s="99">
        <f>SUMIF(Import!$B:$B,$A390,Import!D:D)</f>
        <v>12328.28</v>
      </c>
      <c r="J390" s="99">
        <f>SUMIF(Import!$B:$B,$A390,Import!E:E)</f>
        <v>1050.97</v>
      </c>
      <c r="K390" s="99">
        <f>SUMIF(Import!$B:$B,$A390,Import!F:F)</f>
        <v>1021.44</v>
      </c>
      <c r="L390" s="99">
        <f>SUMIF(Import!$B:$B,$A390,Import!G:G)</f>
        <v>1036.49</v>
      </c>
      <c r="M390" s="99">
        <f>SUMIF(Import!$B:$B,$A390,Import!H:H)</f>
        <v>1000</v>
      </c>
      <c r="N390" s="99">
        <f>SUMIF(Import!$B:$B,$A390,Import!I:I)</f>
        <v>1051.54</v>
      </c>
      <c r="O390" s="99">
        <f>SUMIF(Import!$B:$B,$A390,Import!J:J)</f>
        <v>1000</v>
      </c>
      <c r="P390" s="99">
        <f t="shared" si="338"/>
        <v>0</v>
      </c>
      <c r="Q390" s="99">
        <f>SUMIF(Import!$B:$B,$A390,Import!K:K)</f>
        <v>1000</v>
      </c>
      <c r="R390" s="99">
        <f>SUMIF(Import!$B:$B,$A390,Import!L:L)</f>
        <v>0</v>
      </c>
      <c r="S390" s="99">
        <f>SUMIF(Import!$B:$B,$A390,Import!M:M)</f>
        <v>0</v>
      </c>
      <c r="T390" s="99">
        <f>SUMIF(Import!$B:$B,$A390,Import!N:N)</f>
        <v>1000</v>
      </c>
      <c r="U390" s="99">
        <f t="shared" si="339"/>
        <v>0</v>
      </c>
      <c r="V390" s="255">
        <f t="shared" si="340"/>
        <v>0</v>
      </c>
      <c r="W390" s="102" t="s">
        <v>1404</v>
      </c>
      <c r="X390" s="103" t="str">
        <f t="shared" si="319"/>
        <v>OK</v>
      </c>
      <c r="Y390" s="271"/>
      <c r="Z390" s="121"/>
      <c r="AA390" s="121"/>
      <c r="AB390" s="121"/>
      <c r="AC390" s="121"/>
      <c r="AD390" s="121"/>
      <c r="AE390" s="121"/>
      <c r="AF390" s="121"/>
      <c r="AG390" s="121"/>
      <c r="AH390" s="121"/>
      <c r="AI390" s="121"/>
      <c r="AJ390" s="121"/>
      <c r="AK390" s="121"/>
      <c r="AL390" s="121"/>
    </row>
    <row r="391" spans="1:38" s="115" customFormat="1" ht="15" customHeight="1">
      <c r="A391" s="555" t="s">
        <v>1405</v>
      </c>
      <c r="B391" s="217" t="str">
        <f t="shared" si="328"/>
        <v>200</v>
      </c>
      <c r="C391" s="217" t="str">
        <f t="shared" si="329"/>
        <v>75</v>
      </c>
      <c r="D391" s="101" t="str">
        <f t="shared" si="330"/>
        <v>752</v>
      </c>
      <c r="E391" s="217" t="str">
        <f t="shared" si="331"/>
        <v>200-75-752</v>
      </c>
      <c r="F391" s="294" t="str">
        <f t="shared" si="332"/>
        <v>52460</v>
      </c>
      <c r="G391" s="295" t="str">
        <f>VLOOKUP(F391,'GL Category'!A:C,3,FALSE)</f>
        <v>Operations &amp; maintenance</v>
      </c>
      <c r="H391" s="98" t="str">
        <f>VLOOKUP(F391,'GL Category'!A:C,2,FALSE)</f>
        <v>VEHICLE MAINTENANCE</v>
      </c>
      <c r="I391" s="99">
        <f>SUMIF(Import!$B:$B,$A391,Import!D:D)</f>
        <v>36184.699999999997</v>
      </c>
      <c r="J391" s="99">
        <f>SUMIF(Import!$B:$B,$A391,Import!E:E)</f>
        <v>23198.15</v>
      </c>
      <c r="K391" s="99">
        <f>SUMIF(Import!$B:$B,$A391,Import!F:F)</f>
        <v>37109.81</v>
      </c>
      <c r="L391" s="99">
        <f>SUMIF(Import!$B:$B,$A391,Import!G:G)</f>
        <v>58282.99</v>
      </c>
      <c r="M391" s="99">
        <f>SUMIF(Import!$B:$B,$A391,Import!H:H)</f>
        <v>33000</v>
      </c>
      <c r="N391" s="99">
        <f>SUMIF(Import!$B:$B,$A391,Import!I:I)</f>
        <v>81357.850000000006</v>
      </c>
      <c r="O391" s="99">
        <f>SUMIF(Import!$B:$B,$A391,Import!J:J)</f>
        <v>79500</v>
      </c>
      <c r="P391" s="99">
        <f t="shared" si="338"/>
        <v>46500</v>
      </c>
      <c r="Q391" s="99">
        <f>SUMIF(Import!$B:$B,$A391,Import!K:K)</f>
        <v>36500</v>
      </c>
      <c r="R391" s="99">
        <f>SUMIF(Import!$B:$B,$A391,Import!L:L)</f>
        <v>0</v>
      </c>
      <c r="S391" s="99">
        <f>SUMIF(Import!$B:$B,$A391,Import!M:M)</f>
        <v>0</v>
      </c>
      <c r="T391" s="99">
        <f>SUMIF(Import!$B:$B,$A391,Import!N:N)</f>
        <v>36500</v>
      </c>
      <c r="U391" s="99">
        <f t="shared" si="339"/>
        <v>3500</v>
      </c>
      <c r="V391" s="255">
        <f t="shared" si="340"/>
        <v>0.10606060606060597</v>
      </c>
      <c r="W391" s="102" t="s">
        <v>1405</v>
      </c>
      <c r="X391" s="103" t="str">
        <f t="shared" si="319"/>
        <v>OK</v>
      </c>
      <c r="Y391" s="271"/>
      <c r="Z391" s="121"/>
      <c r="AA391" s="121"/>
      <c r="AB391" s="121"/>
      <c r="AC391" s="121"/>
      <c r="AD391" s="121"/>
      <c r="AE391" s="121"/>
      <c r="AF391" s="121"/>
      <c r="AG391" s="121"/>
      <c r="AH391" s="121"/>
      <c r="AI391" s="121"/>
      <c r="AJ391" s="121"/>
      <c r="AK391" s="121"/>
      <c r="AL391" s="121"/>
    </row>
    <row r="392" spans="1:38" s="115" customFormat="1" ht="15" customHeight="1">
      <c r="A392" s="555" t="s">
        <v>1406</v>
      </c>
      <c r="B392" s="217" t="str">
        <f t="shared" si="328"/>
        <v>200</v>
      </c>
      <c r="C392" s="217" t="str">
        <f t="shared" si="329"/>
        <v>75</v>
      </c>
      <c r="D392" s="101" t="str">
        <f t="shared" si="330"/>
        <v>752</v>
      </c>
      <c r="E392" s="217" t="str">
        <f t="shared" si="331"/>
        <v>200-75-752</v>
      </c>
      <c r="F392" s="294" t="str">
        <f t="shared" si="332"/>
        <v>52470</v>
      </c>
      <c r="G392" s="295" t="str">
        <f>VLOOKUP(F392,'GL Category'!A:C,3,FALSE)</f>
        <v>Operations &amp; maintenance</v>
      </c>
      <c r="H392" s="98" t="str">
        <f>VLOOKUP(F392,'GL Category'!A:C,2,FALSE)</f>
        <v>EQUIPMENT MAINTENANCE</v>
      </c>
      <c r="I392" s="99">
        <f>SUMIF(Import!$B:$B,$A392,Import!D:D)</f>
        <v>3561.55</v>
      </c>
      <c r="J392" s="99">
        <f>SUMIF(Import!$B:$B,$A392,Import!E:E)</f>
        <v>2709.61</v>
      </c>
      <c r="K392" s="99">
        <f>SUMIF(Import!$B:$B,$A392,Import!F:F)</f>
        <v>5425.36</v>
      </c>
      <c r="L392" s="99">
        <f>SUMIF(Import!$B:$B,$A392,Import!G:G)</f>
        <v>5861.89</v>
      </c>
      <c r="M392" s="99">
        <f>SUMIF(Import!$B:$B,$A392,Import!H:H)</f>
        <v>8000</v>
      </c>
      <c r="N392" s="99">
        <f>SUMIF(Import!$B:$B,$A392,Import!I:I)</f>
        <v>9802.4599999999991</v>
      </c>
      <c r="O392" s="99">
        <f>SUMIF(Import!$B:$B,$A392,Import!J:J)</f>
        <v>8000</v>
      </c>
      <c r="P392" s="99">
        <f t="shared" si="338"/>
        <v>0</v>
      </c>
      <c r="Q392" s="99">
        <f>SUMIF(Import!$B:$B,$A392,Import!K:K)</f>
        <v>8000</v>
      </c>
      <c r="R392" s="99">
        <f>SUMIF(Import!$B:$B,$A392,Import!L:L)</f>
        <v>0</v>
      </c>
      <c r="S392" s="99">
        <f>SUMIF(Import!$B:$B,$A392,Import!M:M)</f>
        <v>0</v>
      </c>
      <c r="T392" s="99">
        <f>SUMIF(Import!$B:$B,$A392,Import!N:N)</f>
        <v>8000</v>
      </c>
      <c r="U392" s="99">
        <f t="shared" si="339"/>
        <v>0</v>
      </c>
      <c r="V392" s="255">
        <f t="shared" si="340"/>
        <v>0</v>
      </c>
      <c r="W392" s="102" t="s">
        <v>1406</v>
      </c>
      <c r="X392" s="103" t="str">
        <f t="shared" si="319"/>
        <v>OK</v>
      </c>
      <c r="Y392" s="271"/>
      <c r="Z392" s="121"/>
      <c r="AA392" s="121"/>
      <c r="AB392" s="121"/>
      <c r="AC392" s="121"/>
      <c r="AD392" s="121"/>
      <c r="AE392" s="121"/>
      <c r="AF392" s="121"/>
      <c r="AG392" s="121"/>
      <c r="AH392" s="121"/>
      <c r="AI392" s="121"/>
      <c r="AJ392" s="121"/>
      <c r="AK392" s="121"/>
      <c r="AL392" s="121"/>
    </row>
    <row r="393" spans="1:38" s="115" customFormat="1" ht="15" customHeight="1">
      <c r="A393" s="555" t="s">
        <v>1407</v>
      </c>
      <c r="B393" s="217" t="str">
        <f t="shared" si="328"/>
        <v>200</v>
      </c>
      <c r="C393" s="217" t="str">
        <f t="shared" si="329"/>
        <v>75</v>
      </c>
      <c r="D393" s="101" t="str">
        <f t="shared" si="330"/>
        <v>752</v>
      </c>
      <c r="E393" s="217" t="str">
        <f t="shared" si="331"/>
        <v>200-75-752</v>
      </c>
      <c r="F393" s="294" t="str">
        <f t="shared" si="332"/>
        <v>51210</v>
      </c>
      <c r="G393" s="295" t="str">
        <f>VLOOKUP(F393,'GL Category'!A:C,3,FALSE)</f>
        <v>Operations &amp; maintenance</v>
      </c>
      <c r="H393" s="98" t="str">
        <f>VLOOKUP(F393,'GL Category'!A:C,2,FALSE)</f>
        <v>OFFICE SUPPLIES</v>
      </c>
      <c r="I393" s="99">
        <f>SUMIF(Import!$B:$B,$A393,Import!D:D)</f>
        <v>0</v>
      </c>
      <c r="J393" s="99">
        <f>SUMIF(Import!$B:$B,$A393,Import!E:E)</f>
        <v>0</v>
      </c>
      <c r="K393" s="99">
        <f>SUMIF(Import!$B:$B,$A393,Import!F:F)</f>
        <v>0</v>
      </c>
      <c r="L393" s="99">
        <f>SUMIF(Import!$B:$B,$A393,Import!G:G)</f>
        <v>0</v>
      </c>
      <c r="M393" s="99">
        <f>SUMIF(Import!$B:$B,$A393,Import!H:H)</f>
        <v>0</v>
      </c>
      <c r="N393" s="99">
        <f>SUMIF(Import!$B:$B,$A393,Import!I:I)</f>
        <v>0</v>
      </c>
      <c r="O393" s="99">
        <f>SUMIF(Import!$B:$B,$A393,Import!J:J)</f>
        <v>0</v>
      </c>
      <c r="P393" s="99">
        <f t="shared" si="338"/>
        <v>0</v>
      </c>
      <c r="Q393" s="99">
        <f>SUMIF(Import!$B:$B,$A393,Import!K:K)</f>
        <v>0</v>
      </c>
      <c r="R393" s="99">
        <f>SUMIF(Import!$B:$B,$A393,Import!L:L)</f>
        <v>0</v>
      </c>
      <c r="S393" s="99">
        <f>SUMIF(Import!$B:$B,$A393,Import!M:M)</f>
        <v>0</v>
      </c>
      <c r="T393" s="99">
        <f>SUMIF(Import!$B:$B,$A393,Import!N:N)</f>
        <v>0</v>
      </c>
      <c r="U393" s="99">
        <f t="shared" si="339"/>
        <v>0</v>
      </c>
      <c r="V393" s="255" t="str">
        <f t="shared" si="340"/>
        <v>N/A</v>
      </c>
      <c r="W393" s="102" t="s">
        <v>1407</v>
      </c>
      <c r="X393" s="103" t="str">
        <f t="shared" si="319"/>
        <v>OK</v>
      </c>
      <c r="Y393" s="271"/>
      <c r="Z393" s="121"/>
      <c r="AA393" s="121"/>
      <c r="AB393" s="121"/>
      <c r="AC393" s="121"/>
      <c r="AD393" s="121"/>
      <c r="AE393" s="121"/>
      <c r="AF393" s="121"/>
      <c r="AG393" s="121"/>
      <c r="AH393" s="121"/>
      <c r="AI393" s="121"/>
      <c r="AJ393" s="121"/>
      <c r="AK393" s="121"/>
      <c r="AL393" s="121"/>
    </row>
    <row r="394" spans="1:38" s="115" customFormat="1" ht="15.75" customHeight="1">
      <c r="A394" s="555"/>
      <c r="B394" s="217"/>
      <c r="C394" s="217"/>
      <c r="D394" s="101"/>
      <c r="E394" s="217"/>
      <c r="F394" s="294"/>
      <c r="G394" s="146"/>
      <c r="H394" s="107" t="str">
        <f>UPPER(G393)&amp;" TOTAL"</f>
        <v>OPERATIONS &amp; MAINTENANCE TOTAL</v>
      </c>
      <c r="I394" s="108">
        <f t="shared" ref="I394" si="341">SUBTOTAL(9,I379:I393)</f>
        <v>133068.07999999999</v>
      </c>
      <c r="J394" s="108">
        <f t="shared" ref="J394:T394" si="342">SUBTOTAL(9,J379:J393)</f>
        <v>158567.47999999998</v>
      </c>
      <c r="K394" s="108">
        <f t="shared" ref="K394" si="343">SUBTOTAL(9,K379:K393)</f>
        <v>147547.04999999999</v>
      </c>
      <c r="L394" s="108">
        <f t="shared" ref="L394" si="344">SUBTOTAL(9,L379:L393)</f>
        <v>167929.79</v>
      </c>
      <c r="M394" s="108">
        <f t="shared" si="342"/>
        <v>214350</v>
      </c>
      <c r="N394" s="108">
        <f t="shared" ref="N394" si="345">SUBTOTAL(9,N379:N393)</f>
        <v>193763.12</v>
      </c>
      <c r="O394" s="108">
        <f t="shared" si="342"/>
        <v>248000</v>
      </c>
      <c r="P394" s="108">
        <f t="shared" si="342"/>
        <v>33650</v>
      </c>
      <c r="Q394" s="108">
        <f t="shared" si="342"/>
        <v>211700</v>
      </c>
      <c r="R394" s="108">
        <f t="shared" si="342"/>
        <v>0</v>
      </c>
      <c r="S394" s="108">
        <f t="shared" si="342"/>
        <v>0</v>
      </c>
      <c r="T394" s="108">
        <f t="shared" si="342"/>
        <v>211700</v>
      </c>
      <c r="U394" s="99">
        <f>T394-M394</f>
        <v>-2650</v>
      </c>
      <c r="V394" s="259">
        <f>IF(M394=0,"N/A",T394/M394-1)</f>
        <v>-1.2362957779332828E-2</v>
      </c>
      <c r="W394" s="102"/>
      <c r="X394" s="103" t="str">
        <f t="shared" si="319"/>
        <v>OK</v>
      </c>
      <c r="Y394" s="271"/>
      <c r="Z394" s="121"/>
      <c r="AA394" s="121"/>
      <c r="AB394" s="121"/>
      <c r="AC394" s="121"/>
      <c r="AD394" s="121"/>
      <c r="AE394" s="121"/>
      <c r="AF394" s="121"/>
      <c r="AG394" s="121"/>
      <c r="AH394" s="121"/>
      <c r="AI394" s="121"/>
      <c r="AJ394" s="121"/>
      <c r="AK394" s="121"/>
      <c r="AL394" s="121"/>
    </row>
    <row r="395" spans="1:38" s="115" customFormat="1">
      <c r="A395" s="555"/>
      <c r="B395" s="217"/>
      <c r="C395" s="217"/>
      <c r="D395" s="101"/>
      <c r="E395" s="217"/>
      <c r="F395" s="294"/>
      <c r="G395" s="146"/>
      <c r="H395" s="98"/>
      <c r="I395" s="106"/>
      <c r="J395" s="106"/>
      <c r="K395" s="106"/>
      <c r="L395" s="106"/>
      <c r="M395" s="106"/>
      <c r="N395" s="110"/>
      <c r="O395" s="110"/>
      <c r="P395" s="110"/>
      <c r="Q395" s="111"/>
      <c r="R395" s="99"/>
      <c r="S395" s="99"/>
      <c r="T395" s="111"/>
      <c r="U395" s="111"/>
      <c r="V395" s="111"/>
      <c r="W395" s="102"/>
      <c r="X395" s="103" t="str">
        <f t="shared" si="319"/>
        <v/>
      </c>
      <c r="Y395" s="271"/>
      <c r="Z395" s="121"/>
      <c r="AA395" s="121"/>
      <c r="AB395" s="121"/>
      <c r="AC395" s="121"/>
      <c r="AD395" s="121"/>
      <c r="AE395" s="121"/>
      <c r="AF395" s="121"/>
      <c r="AG395" s="121"/>
      <c r="AH395" s="121"/>
      <c r="AI395" s="121"/>
      <c r="AJ395" s="121"/>
      <c r="AK395" s="121"/>
      <c r="AL395" s="121"/>
    </row>
    <row r="396" spans="1:38" s="115" customFormat="1">
      <c r="A396" s="555" t="s">
        <v>1408</v>
      </c>
      <c r="B396" s="217" t="str">
        <f t="shared" si="328"/>
        <v>200</v>
      </c>
      <c r="C396" s="217" t="str">
        <f t="shared" si="329"/>
        <v>75</v>
      </c>
      <c r="D396" s="101" t="str">
        <f t="shared" si="330"/>
        <v>752</v>
      </c>
      <c r="E396" s="217" t="str">
        <f t="shared" si="331"/>
        <v>200-75-752</v>
      </c>
      <c r="F396" s="294" t="str">
        <f t="shared" si="332"/>
        <v>53599</v>
      </c>
      <c r="G396" s="295" t="str">
        <f>VLOOKUP(F396,'GL Category'!A:C,3,FALSE)</f>
        <v>Services &amp; other</v>
      </c>
      <c r="H396" s="98" t="str">
        <f>VLOOKUP(F396,'GL Category'!A:C,2,FALSE)</f>
        <v>MISCELLANEOUS SERVICES</v>
      </c>
      <c r="I396" s="99">
        <f>SUMIF(Import!$B:$B,$A396,Import!D:D)</f>
        <v>0</v>
      </c>
      <c r="J396" s="99">
        <f>SUMIF(Import!$B:$B,$A396,Import!E:E)</f>
        <v>612.08000000000004</v>
      </c>
      <c r="K396" s="99">
        <f>SUMIF(Import!$B:$B,$A396,Import!F:F)</f>
        <v>0</v>
      </c>
      <c r="L396" s="99">
        <f>SUMIF(Import!$B:$B,$A396,Import!G:G)</f>
        <v>0</v>
      </c>
      <c r="M396" s="99">
        <f>SUMIF(Import!$B:$B,$A396,Import!H:H)</f>
        <v>0</v>
      </c>
      <c r="N396" s="99">
        <f>SUMIF(Import!$B:$B,$A396,Import!I:I)</f>
        <v>0</v>
      </c>
      <c r="O396" s="99">
        <f>SUMIF(Import!$B:$B,$A396,Import!J:J)</f>
        <v>0</v>
      </c>
      <c r="P396" s="99">
        <f t="shared" ref="P396:P406" si="346">O396-M396</f>
        <v>0</v>
      </c>
      <c r="Q396" s="99">
        <f>SUMIF(Import!$B:$B,$A396,Import!K:K)</f>
        <v>0</v>
      </c>
      <c r="R396" s="99">
        <f>SUMIF(Import!$B:$B,$A396,Import!L:L)</f>
        <v>0</v>
      </c>
      <c r="S396" s="99">
        <f>SUMIF(Import!$B:$B,$A396,Import!M:M)</f>
        <v>0</v>
      </c>
      <c r="T396" s="99">
        <f>SUMIF(Import!$B:$B,$A396,Import!N:N)</f>
        <v>0</v>
      </c>
      <c r="U396" s="99">
        <f t="shared" ref="U396:U406" si="347">T396-M396</f>
        <v>0</v>
      </c>
      <c r="V396" s="255" t="str">
        <f t="shared" ref="V396:V406" si="348">IF(M396=0,"N/A",T396/M396-1)</f>
        <v>N/A</v>
      </c>
      <c r="W396" s="102" t="s">
        <v>1408</v>
      </c>
      <c r="X396" s="103" t="str">
        <f t="shared" si="319"/>
        <v>OK</v>
      </c>
      <c r="Y396" s="271"/>
      <c r="Z396" s="121"/>
      <c r="AA396" s="121"/>
      <c r="AB396" s="121"/>
      <c r="AC396" s="121"/>
      <c r="AD396" s="121"/>
      <c r="AE396" s="121"/>
      <c r="AF396" s="121"/>
      <c r="AG396" s="121"/>
      <c r="AH396" s="121"/>
      <c r="AI396" s="121"/>
      <c r="AJ396" s="121"/>
      <c r="AK396" s="121"/>
      <c r="AL396" s="121"/>
    </row>
    <row r="397" spans="1:38" s="115" customFormat="1">
      <c r="A397" s="555" t="s">
        <v>1409</v>
      </c>
      <c r="B397" s="217" t="str">
        <f t="shared" si="328"/>
        <v>200</v>
      </c>
      <c r="C397" s="217" t="str">
        <f t="shared" si="329"/>
        <v>75</v>
      </c>
      <c r="D397" s="101" t="str">
        <f t="shared" si="330"/>
        <v>752</v>
      </c>
      <c r="E397" s="217" t="str">
        <f t="shared" si="331"/>
        <v>200-75-752</v>
      </c>
      <c r="F397" s="294" t="str">
        <f t="shared" si="332"/>
        <v>53510</v>
      </c>
      <c r="G397" s="295" t="str">
        <f>VLOOKUP(F397,'GL Category'!A:C,3,FALSE)</f>
        <v>Services &amp; other</v>
      </c>
      <c r="H397" s="98" t="str">
        <f>VLOOKUP(F397,'GL Category'!A:C,2,FALSE)</f>
        <v>DUES &amp; SUBSCRIPTIONS</v>
      </c>
      <c r="I397" s="99">
        <f>SUMIF(Import!$B:$B,$A397,Import!D:D)</f>
        <v>71</v>
      </c>
      <c r="J397" s="99">
        <f>SUMIF(Import!$B:$B,$A397,Import!E:E)</f>
        <v>241</v>
      </c>
      <c r="K397" s="99">
        <f>SUMIF(Import!$B:$B,$A397,Import!F:F)</f>
        <v>100</v>
      </c>
      <c r="L397" s="99">
        <f>SUMIF(Import!$B:$B,$A397,Import!G:G)</f>
        <v>628.71</v>
      </c>
      <c r="M397" s="99">
        <f>SUMIF(Import!$B:$B,$A397,Import!H:H)</f>
        <v>500</v>
      </c>
      <c r="N397" s="99">
        <f>SUMIF(Import!$B:$B,$A397,Import!I:I)</f>
        <v>97</v>
      </c>
      <c r="O397" s="99">
        <f>SUMIF(Import!$B:$B,$A397,Import!J:J)</f>
        <v>500</v>
      </c>
      <c r="P397" s="99">
        <f t="shared" si="346"/>
        <v>0</v>
      </c>
      <c r="Q397" s="99">
        <f>SUMIF(Import!$B:$B,$A397,Import!K:K)</f>
        <v>500</v>
      </c>
      <c r="R397" s="99">
        <f>SUMIF(Import!$B:$B,$A397,Import!L:L)</f>
        <v>0</v>
      </c>
      <c r="S397" s="99">
        <f>SUMIF(Import!$B:$B,$A397,Import!M:M)</f>
        <v>0</v>
      </c>
      <c r="T397" s="99">
        <f>SUMIF(Import!$B:$B,$A397,Import!N:N)</f>
        <v>500</v>
      </c>
      <c r="U397" s="99">
        <f t="shared" si="347"/>
        <v>0</v>
      </c>
      <c r="V397" s="255">
        <f t="shared" si="348"/>
        <v>0</v>
      </c>
      <c r="W397" s="102" t="s">
        <v>1409</v>
      </c>
      <c r="X397" s="103" t="str">
        <f t="shared" ref="X397:X422" si="349">IF(Q397="","",IF(T397=SUM(Q397:S397),"OK","NO"))</f>
        <v>OK</v>
      </c>
      <c r="Y397" s="271"/>
      <c r="Z397" s="121"/>
      <c r="AA397" s="121"/>
      <c r="AB397" s="121"/>
      <c r="AC397" s="121"/>
      <c r="AD397" s="121"/>
      <c r="AE397" s="121"/>
      <c r="AF397" s="121"/>
      <c r="AG397" s="121"/>
      <c r="AH397" s="121"/>
      <c r="AI397" s="121"/>
      <c r="AJ397" s="121"/>
      <c r="AK397" s="121"/>
      <c r="AL397" s="121"/>
    </row>
    <row r="398" spans="1:38" s="115" customFormat="1">
      <c r="A398" s="555" t="s">
        <v>1410</v>
      </c>
      <c r="B398" s="217" t="str">
        <f t="shared" si="328"/>
        <v>200</v>
      </c>
      <c r="C398" s="217" t="str">
        <f t="shared" si="329"/>
        <v>75</v>
      </c>
      <c r="D398" s="101" t="str">
        <f t="shared" si="330"/>
        <v>752</v>
      </c>
      <c r="E398" s="217" t="str">
        <f t="shared" si="331"/>
        <v>200-75-752</v>
      </c>
      <c r="F398" s="294" t="str">
        <f t="shared" si="332"/>
        <v>53515</v>
      </c>
      <c r="G398" s="295" t="str">
        <f>VLOOKUP(F398,'GL Category'!A:C,3,FALSE)</f>
        <v>Services &amp; other</v>
      </c>
      <c r="H398" s="98" t="str">
        <f>VLOOKUP(F398,'GL Category'!A:C,2,FALSE)</f>
        <v>TRAVEL, TRAINING &amp; EDUCATION</v>
      </c>
      <c r="I398" s="99">
        <f>SUMIF(Import!$B:$B,$A398,Import!D:D)</f>
        <v>1474.2</v>
      </c>
      <c r="J398" s="99">
        <f>SUMIF(Import!$B:$B,$A398,Import!E:E)</f>
        <v>2044.76</v>
      </c>
      <c r="K398" s="99">
        <f>SUMIF(Import!$B:$B,$A398,Import!F:F)</f>
        <v>2135.75</v>
      </c>
      <c r="L398" s="99">
        <f>SUMIF(Import!$B:$B,$A398,Import!G:G)</f>
        <v>189.09</v>
      </c>
      <c r="M398" s="99">
        <f>SUMIF(Import!$B:$B,$A398,Import!H:H)</f>
        <v>8500</v>
      </c>
      <c r="N398" s="99">
        <f>SUMIF(Import!$B:$B,$A398,Import!I:I)</f>
        <v>3002.56</v>
      </c>
      <c r="O398" s="99">
        <f>SUMIF(Import!$B:$B,$A398,Import!J:J)</f>
        <v>4500</v>
      </c>
      <c r="P398" s="99">
        <f t="shared" si="346"/>
        <v>-4000</v>
      </c>
      <c r="Q398" s="99">
        <f>SUMIF(Import!$B:$B,$A398,Import!K:K)</f>
        <v>6500</v>
      </c>
      <c r="R398" s="99">
        <f>SUMIF(Import!$B:$B,$A398,Import!L:L)</f>
        <v>0</v>
      </c>
      <c r="S398" s="99">
        <f>SUMIF(Import!$B:$B,$A398,Import!M:M)</f>
        <v>0</v>
      </c>
      <c r="T398" s="99">
        <f>SUMIF(Import!$B:$B,$A398,Import!N:N)</f>
        <v>6500</v>
      </c>
      <c r="U398" s="99">
        <f t="shared" si="347"/>
        <v>-2000</v>
      </c>
      <c r="V398" s="255">
        <f t="shared" si="348"/>
        <v>-0.23529411764705888</v>
      </c>
      <c r="W398" s="102" t="s">
        <v>1410</v>
      </c>
      <c r="X398" s="103" t="str">
        <f t="shared" si="349"/>
        <v>OK</v>
      </c>
      <c r="Y398" s="271"/>
      <c r="Z398" s="121"/>
      <c r="AA398" s="121"/>
      <c r="AB398" s="121"/>
      <c r="AC398" s="121"/>
      <c r="AD398" s="121"/>
      <c r="AE398" s="121"/>
      <c r="AF398" s="121"/>
      <c r="AG398" s="121"/>
      <c r="AH398" s="121"/>
      <c r="AI398" s="121"/>
      <c r="AJ398" s="121"/>
      <c r="AK398" s="121"/>
      <c r="AL398" s="121"/>
    </row>
    <row r="399" spans="1:38" s="115" customFormat="1">
      <c r="A399" s="555" t="s">
        <v>1411</v>
      </c>
      <c r="B399" s="217" t="str">
        <f t="shared" si="328"/>
        <v>200</v>
      </c>
      <c r="C399" s="217" t="str">
        <f t="shared" si="329"/>
        <v>75</v>
      </c>
      <c r="D399" s="101" t="str">
        <f t="shared" si="330"/>
        <v>752</v>
      </c>
      <c r="E399" s="217" t="str">
        <f t="shared" si="331"/>
        <v>200-75-752</v>
      </c>
      <c r="F399" s="294" t="str">
        <f t="shared" si="332"/>
        <v>53513</v>
      </c>
      <c r="G399" s="295" t="str">
        <f>VLOOKUP(F399,'GL Category'!A:C,3,FALSE)</f>
        <v>Services &amp; other</v>
      </c>
      <c r="H399" s="98" t="str">
        <f>VLOOKUP(F399,'GL Category'!A:C,2,FALSE)</f>
        <v>CONSULTING SERVICES</v>
      </c>
      <c r="I399" s="99">
        <f>SUMIF(Import!$B:$B,$A399,Import!D:D)</f>
        <v>0</v>
      </c>
      <c r="J399" s="99">
        <f>SUMIF(Import!$B:$B,$A399,Import!E:E)</f>
        <v>0</v>
      </c>
      <c r="K399" s="99">
        <f>SUMIF(Import!$B:$B,$A399,Import!F:F)</f>
        <v>0</v>
      </c>
      <c r="L399" s="99">
        <f>SUMIF(Import!$B:$B,$A399,Import!G:G)</f>
        <v>0</v>
      </c>
      <c r="M399" s="99">
        <f>SUMIF(Import!$B:$B,$A399,Import!H:H)</f>
        <v>0</v>
      </c>
      <c r="N399" s="99">
        <f>SUMIF(Import!$B:$B,$A399,Import!I:I)</f>
        <v>0</v>
      </c>
      <c r="O399" s="99">
        <f>SUMIF(Import!$B:$B,$A399,Import!J:J)</f>
        <v>0</v>
      </c>
      <c r="P399" s="99">
        <f t="shared" si="346"/>
        <v>0</v>
      </c>
      <c r="Q399" s="99">
        <f>SUMIF(Import!$B:$B,$A399,Import!K:K)</f>
        <v>0</v>
      </c>
      <c r="R399" s="99">
        <f>SUMIF(Import!$B:$B,$A399,Import!L:L)</f>
        <v>0</v>
      </c>
      <c r="S399" s="99">
        <f>SUMIF(Import!$B:$B,$A399,Import!M:M)</f>
        <v>0</v>
      </c>
      <c r="T399" s="99">
        <f>SUMIF(Import!$B:$B,$A399,Import!N:N)</f>
        <v>0</v>
      </c>
      <c r="U399" s="99">
        <f t="shared" si="347"/>
        <v>0</v>
      </c>
      <c r="V399" s="255" t="str">
        <f t="shared" si="348"/>
        <v>N/A</v>
      </c>
      <c r="W399" s="102" t="s">
        <v>1411</v>
      </c>
      <c r="X399" s="103" t="str">
        <f t="shared" si="349"/>
        <v>OK</v>
      </c>
      <c r="Y399" s="271"/>
      <c r="Z399" s="121"/>
      <c r="AA399" s="121"/>
      <c r="AB399" s="121"/>
      <c r="AC399" s="121"/>
      <c r="AD399" s="121"/>
      <c r="AE399" s="121"/>
      <c r="AF399" s="121"/>
      <c r="AG399" s="121"/>
      <c r="AH399" s="121"/>
      <c r="AI399" s="121"/>
      <c r="AJ399" s="121"/>
      <c r="AK399" s="121"/>
      <c r="AL399" s="121"/>
    </row>
    <row r="400" spans="1:38" s="115" customFormat="1">
      <c r="A400" s="555" t="s">
        <v>1412</v>
      </c>
      <c r="B400" s="217" t="str">
        <f t="shared" si="328"/>
        <v>200</v>
      </c>
      <c r="C400" s="217" t="str">
        <f t="shared" si="329"/>
        <v>75</v>
      </c>
      <c r="D400" s="101" t="str">
        <f t="shared" si="330"/>
        <v>752</v>
      </c>
      <c r="E400" s="217" t="str">
        <f t="shared" si="331"/>
        <v>200-75-752</v>
      </c>
      <c r="F400" s="294" t="str">
        <f t="shared" si="332"/>
        <v>53524</v>
      </c>
      <c r="G400" s="295" t="str">
        <f>VLOOKUP(F400,'GL Category'!A:C,3,FALSE)</f>
        <v>Services &amp; other</v>
      </c>
      <c r="H400" s="98" t="str">
        <f>VLOOKUP(F400,'GL Category'!A:C,2,FALSE)</f>
        <v>EQUIPMENT RENTAL</v>
      </c>
      <c r="I400" s="99">
        <f>SUMIF(Import!$B:$B,$A400,Import!D:D)</f>
        <v>521.25</v>
      </c>
      <c r="J400" s="99">
        <f>SUMIF(Import!$B:$B,$A400,Import!E:E)</f>
        <v>0</v>
      </c>
      <c r="K400" s="99">
        <f>SUMIF(Import!$B:$B,$A400,Import!F:F)</f>
        <v>570</v>
      </c>
      <c r="L400" s="99">
        <f>SUMIF(Import!$B:$B,$A400,Import!G:G)</f>
        <v>4705</v>
      </c>
      <c r="M400" s="99">
        <f>SUMIF(Import!$B:$B,$A400,Import!H:H)</f>
        <v>4000</v>
      </c>
      <c r="N400" s="99">
        <f>SUMIF(Import!$B:$B,$A400,Import!I:I)</f>
        <v>1856.86</v>
      </c>
      <c r="O400" s="99">
        <f>SUMIF(Import!$B:$B,$A400,Import!J:J)</f>
        <v>4000</v>
      </c>
      <c r="P400" s="99">
        <f t="shared" si="346"/>
        <v>0</v>
      </c>
      <c r="Q400" s="99">
        <f>SUMIF(Import!$B:$B,$A400,Import!K:K)</f>
        <v>4000</v>
      </c>
      <c r="R400" s="99">
        <f>SUMIF(Import!$B:$B,$A400,Import!L:L)</f>
        <v>0</v>
      </c>
      <c r="S400" s="99">
        <f>SUMIF(Import!$B:$B,$A400,Import!M:M)</f>
        <v>0</v>
      </c>
      <c r="T400" s="99">
        <f>SUMIF(Import!$B:$B,$A400,Import!N:N)</f>
        <v>4000</v>
      </c>
      <c r="U400" s="99">
        <f t="shared" si="347"/>
        <v>0</v>
      </c>
      <c r="V400" s="255">
        <f t="shared" si="348"/>
        <v>0</v>
      </c>
      <c r="W400" s="102" t="s">
        <v>1412</v>
      </c>
      <c r="X400" s="103" t="str">
        <f t="shared" si="349"/>
        <v>OK</v>
      </c>
      <c r="Y400" s="271"/>
      <c r="Z400" s="121"/>
      <c r="AA400" s="121"/>
      <c r="AB400" s="121"/>
      <c r="AC400" s="121"/>
      <c r="AD400" s="121"/>
      <c r="AE400" s="121"/>
      <c r="AF400" s="121"/>
      <c r="AG400" s="121"/>
      <c r="AH400" s="121"/>
      <c r="AI400" s="121"/>
      <c r="AJ400" s="121"/>
      <c r="AK400" s="121"/>
      <c r="AL400" s="121"/>
    </row>
    <row r="401" spans="1:38" s="115" customFormat="1">
      <c r="A401" s="555" t="s">
        <v>1413</v>
      </c>
      <c r="B401" s="217" t="str">
        <f t="shared" si="328"/>
        <v>200</v>
      </c>
      <c r="C401" s="217" t="str">
        <f t="shared" si="329"/>
        <v>75</v>
      </c>
      <c r="D401" s="101" t="str">
        <f t="shared" si="330"/>
        <v>752</v>
      </c>
      <c r="E401" s="217" t="str">
        <f t="shared" si="331"/>
        <v>200-75-752</v>
      </c>
      <c r="F401" s="294" t="str">
        <f t="shared" si="332"/>
        <v>53525</v>
      </c>
      <c r="G401" s="295" t="str">
        <f>VLOOKUP(F401,'GL Category'!A:C,3,FALSE)</f>
        <v>Services &amp; other</v>
      </c>
      <c r="H401" s="98" t="str">
        <f>VLOOKUP(F401,'GL Category'!A:C,2,FALSE)</f>
        <v>LANDSCAPE SERVICES</v>
      </c>
      <c r="I401" s="99">
        <f>SUMIF(Import!$B:$B,$A401,Import!D:D)</f>
        <v>468</v>
      </c>
      <c r="J401" s="99">
        <f>SUMIF(Import!$B:$B,$A401,Import!E:E)</f>
        <v>260</v>
      </c>
      <c r="K401" s="99">
        <f>SUMIF(Import!$B:$B,$A401,Import!F:F)</f>
        <v>716</v>
      </c>
      <c r="L401" s="99">
        <f>SUMIF(Import!$B:$B,$A401,Import!G:G)</f>
        <v>4099.66</v>
      </c>
      <c r="M401" s="99">
        <f>SUMIF(Import!$B:$B,$A401,Import!H:H)</f>
        <v>4500</v>
      </c>
      <c r="N401" s="99">
        <f>SUMIF(Import!$B:$B,$A401,Import!I:I)</f>
        <v>2484</v>
      </c>
      <c r="O401" s="99">
        <f>SUMIF(Import!$B:$B,$A401,Import!J:J)</f>
        <v>5000</v>
      </c>
      <c r="P401" s="99">
        <f t="shared" si="346"/>
        <v>500</v>
      </c>
      <c r="Q401" s="99">
        <f>SUMIF(Import!$B:$B,$A401,Import!K:K)</f>
        <v>4500</v>
      </c>
      <c r="R401" s="99">
        <f>SUMIF(Import!$B:$B,$A401,Import!L:L)</f>
        <v>0</v>
      </c>
      <c r="S401" s="99">
        <f>SUMIF(Import!$B:$B,$A401,Import!M:M)</f>
        <v>0</v>
      </c>
      <c r="T401" s="99">
        <f>SUMIF(Import!$B:$B,$A401,Import!N:N)</f>
        <v>4500</v>
      </c>
      <c r="U401" s="99">
        <f t="shared" si="347"/>
        <v>0</v>
      </c>
      <c r="V401" s="255">
        <f t="shared" si="348"/>
        <v>0</v>
      </c>
      <c r="W401" s="102" t="s">
        <v>1413</v>
      </c>
      <c r="X401" s="103" t="str">
        <f t="shared" si="349"/>
        <v>OK</v>
      </c>
      <c r="Y401" s="271"/>
      <c r="Z401" s="121"/>
      <c r="AA401" s="121"/>
      <c r="AB401" s="121"/>
      <c r="AC401" s="121"/>
      <c r="AD401" s="121"/>
      <c r="AE401" s="121"/>
      <c r="AF401" s="121"/>
      <c r="AG401" s="121"/>
      <c r="AH401" s="121"/>
      <c r="AI401" s="121"/>
      <c r="AJ401" s="121"/>
      <c r="AK401" s="121"/>
      <c r="AL401" s="121"/>
    </row>
    <row r="402" spans="1:38" s="115" customFormat="1">
      <c r="A402" s="555" t="s">
        <v>1414</v>
      </c>
      <c r="B402" s="217" t="str">
        <f t="shared" si="328"/>
        <v>200</v>
      </c>
      <c r="C402" s="217" t="str">
        <f t="shared" si="329"/>
        <v>75</v>
      </c>
      <c r="D402" s="101" t="str">
        <f t="shared" si="330"/>
        <v>752</v>
      </c>
      <c r="E402" s="217" t="str">
        <f t="shared" si="331"/>
        <v>200-75-752</v>
      </c>
      <c r="F402" s="294" t="str">
        <f t="shared" si="332"/>
        <v>53530</v>
      </c>
      <c r="G402" s="295" t="str">
        <f>VLOOKUP(F402,'GL Category'!A:C,3,FALSE)</f>
        <v>Services &amp; other</v>
      </c>
      <c r="H402" s="98" t="str">
        <f>VLOOKUP(F402,'GL Category'!A:C,2,FALSE)</f>
        <v>DEBRIS &amp; WASTE DISPOSAL SVCS</v>
      </c>
      <c r="I402" s="99">
        <f>SUMIF(Import!$B:$B,$A402,Import!D:D)</f>
        <v>320</v>
      </c>
      <c r="J402" s="99">
        <f>SUMIF(Import!$B:$B,$A402,Import!E:E)</f>
        <v>1060</v>
      </c>
      <c r="K402" s="99">
        <f>SUMIF(Import!$B:$B,$A402,Import!F:F)</f>
        <v>0</v>
      </c>
      <c r="L402" s="99">
        <f>SUMIF(Import!$B:$B,$A402,Import!G:G)</f>
        <v>4437</v>
      </c>
      <c r="M402" s="99">
        <f>SUMIF(Import!$B:$B,$A402,Import!H:H)</f>
        <v>2000</v>
      </c>
      <c r="N402" s="99">
        <f>SUMIF(Import!$B:$B,$A402,Import!I:I)</f>
        <v>0</v>
      </c>
      <c r="O402" s="99">
        <f>SUMIF(Import!$B:$B,$A402,Import!J:J)</f>
        <v>2000</v>
      </c>
      <c r="P402" s="99">
        <f t="shared" si="346"/>
        <v>0</v>
      </c>
      <c r="Q402" s="99">
        <f>SUMIF(Import!$B:$B,$A402,Import!K:K)</f>
        <v>4000</v>
      </c>
      <c r="R402" s="99">
        <f>SUMIF(Import!$B:$B,$A402,Import!L:L)</f>
        <v>0</v>
      </c>
      <c r="S402" s="99">
        <f>SUMIF(Import!$B:$B,$A402,Import!M:M)</f>
        <v>0</v>
      </c>
      <c r="T402" s="99">
        <f>SUMIF(Import!$B:$B,$A402,Import!N:N)</f>
        <v>4000</v>
      </c>
      <c r="U402" s="99">
        <f t="shared" si="347"/>
        <v>2000</v>
      </c>
      <c r="V402" s="255">
        <f t="shared" si="348"/>
        <v>1</v>
      </c>
      <c r="W402" s="102" t="s">
        <v>1414</v>
      </c>
      <c r="X402" s="103" t="str">
        <f t="shared" si="349"/>
        <v>OK</v>
      </c>
      <c r="Y402" s="271"/>
      <c r="Z402" s="121"/>
      <c r="AA402" s="121"/>
      <c r="AB402" s="121"/>
      <c r="AC402" s="121"/>
      <c r="AD402" s="121"/>
      <c r="AE402" s="121"/>
      <c r="AF402" s="121"/>
      <c r="AG402" s="121"/>
      <c r="AH402" s="121"/>
      <c r="AI402" s="121"/>
      <c r="AJ402" s="121"/>
      <c r="AK402" s="121"/>
      <c r="AL402" s="121"/>
    </row>
    <row r="403" spans="1:38" s="115" customFormat="1">
      <c r="A403" s="555" t="s">
        <v>1415</v>
      </c>
      <c r="B403" s="217" t="str">
        <f t="shared" si="328"/>
        <v>200</v>
      </c>
      <c r="C403" s="217" t="str">
        <f t="shared" si="329"/>
        <v>75</v>
      </c>
      <c r="D403" s="101" t="str">
        <f t="shared" si="330"/>
        <v>752</v>
      </c>
      <c r="E403" s="217" t="str">
        <f t="shared" si="331"/>
        <v>200-75-752</v>
      </c>
      <c r="F403" s="294" t="str">
        <f t="shared" si="332"/>
        <v>53572</v>
      </c>
      <c r="G403" s="295" t="str">
        <f>VLOOKUP(F403,'GL Category'!A:C,3,FALSE)</f>
        <v>Services &amp; other</v>
      </c>
      <c r="H403" s="98" t="str">
        <f>VLOOKUP(F403,'GL Category'!A:C,2,FALSE)</f>
        <v>ELECTRICAL UTILITY SERVICE</v>
      </c>
      <c r="I403" s="99">
        <f>SUMIF(Import!$B:$B,$A403,Import!D:D)</f>
        <v>10995.14</v>
      </c>
      <c r="J403" s="99">
        <f>SUMIF(Import!$B:$B,$A403,Import!E:E)</f>
        <v>30690.17</v>
      </c>
      <c r="K403" s="99">
        <f>SUMIF(Import!$B:$B,$A403,Import!F:F)</f>
        <v>11025.57</v>
      </c>
      <c r="L403" s="99">
        <f>SUMIF(Import!$B:$B,$A403,Import!G:G)</f>
        <v>13152.96</v>
      </c>
      <c r="M403" s="99">
        <f>SUMIF(Import!$B:$B,$A403,Import!H:H)</f>
        <v>14020</v>
      </c>
      <c r="N403" s="99">
        <f>SUMIF(Import!$B:$B,$A403,Import!I:I)</f>
        <v>9072.1</v>
      </c>
      <c r="O403" s="99">
        <f>SUMIF(Import!$B:$B,$A403,Import!J:J)</f>
        <v>14020</v>
      </c>
      <c r="P403" s="99">
        <f t="shared" si="346"/>
        <v>0</v>
      </c>
      <c r="Q403" s="99">
        <f>SUMIF(Import!$B:$B,$A403,Import!K:K)</f>
        <v>14020</v>
      </c>
      <c r="R403" s="99">
        <f>SUMIF(Import!$B:$B,$A403,Import!L:L)</f>
        <v>0</v>
      </c>
      <c r="S403" s="99">
        <f>SUMIF(Import!$B:$B,$A403,Import!M:M)</f>
        <v>0</v>
      </c>
      <c r="T403" s="99">
        <f>SUMIF(Import!$B:$B,$A403,Import!N:N)</f>
        <v>14020</v>
      </c>
      <c r="U403" s="99">
        <f t="shared" si="347"/>
        <v>0</v>
      </c>
      <c r="V403" s="255">
        <f t="shared" si="348"/>
        <v>0</v>
      </c>
      <c r="W403" s="102" t="s">
        <v>1415</v>
      </c>
      <c r="X403" s="103" t="str">
        <f t="shared" si="349"/>
        <v>OK</v>
      </c>
      <c r="Y403" s="271" t="s">
        <v>789</v>
      </c>
      <c r="Z403" s="121"/>
      <c r="AA403" s="121"/>
      <c r="AB403" s="121"/>
      <c r="AC403" s="121"/>
      <c r="AD403" s="121"/>
      <c r="AE403" s="121"/>
      <c r="AF403" s="121"/>
      <c r="AG403" s="121"/>
      <c r="AH403" s="121"/>
      <c r="AI403" s="121"/>
      <c r="AJ403" s="121"/>
      <c r="AK403" s="121"/>
      <c r="AL403" s="121"/>
    </row>
    <row r="404" spans="1:38" s="115" customFormat="1">
      <c r="A404" s="555" t="s">
        <v>1416</v>
      </c>
      <c r="B404" s="217" t="str">
        <f t="shared" si="328"/>
        <v>200</v>
      </c>
      <c r="C404" s="217" t="str">
        <f t="shared" si="329"/>
        <v>75</v>
      </c>
      <c r="D404" s="101" t="str">
        <f t="shared" si="330"/>
        <v>752</v>
      </c>
      <c r="E404" s="217" t="str">
        <f t="shared" si="331"/>
        <v>200-75-752</v>
      </c>
      <c r="F404" s="294" t="str">
        <f t="shared" si="332"/>
        <v>53574</v>
      </c>
      <c r="G404" s="295" t="str">
        <f>VLOOKUP(F404,'GL Category'!A:C,3,FALSE)</f>
        <v>Services &amp; other</v>
      </c>
      <c r="H404" s="98" t="str">
        <f>VLOOKUP(F404,'GL Category'!A:C,2,FALSE)</f>
        <v>WATER/SEWER UTILITY SERVICE</v>
      </c>
      <c r="I404" s="99">
        <f>SUMIF(Import!$B:$B,$A404,Import!D:D)</f>
        <v>921.44</v>
      </c>
      <c r="J404" s="99">
        <f>SUMIF(Import!$B:$B,$A404,Import!E:E)</f>
        <v>992.23</v>
      </c>
      <c r="K404" s="99">
        <f>SUMIF(Import!$B:$B,$A404,Import!F:F)</f>
        <v>1015.26</v>
      </c>
      <c r="L404" s="99">
        <f>SUMIF(Import!$B:$B,$A404,Import!G:G)</f>
        <v>1141.25</v>
      </c>
      <c r="M404" s="99">
        <f>SUMIF(Import!$B:$B,$A404,Import!H:H)</f>
        <v>1150</v>
      </c>
      <c r="N404" s="99">
        <f>SUMIF(Import!$B:$B,$A404,Import!I:I)</f>
        <v>928.39</v>
      </c>
      <c r="O404" s="99">
        <f>SUMIF(Import!$B:$B,$A404,Import!J:J)</f>
        <v>1150</v>
      </c>
      <c r="P404" s="99">
        <f t="shared" si="346"/>
        <v>0</v>
      </c>
      <c r="Q404" s="99">
        <f>SUMIF(Import!$B:$B,$A404,Import!K:K)</f>
        <v>1150</v>
      </c>
      <c r="R404" s="99">
        <f>SUMIF(Import!$B:$B,$A404,Import!L:L)</f>
        <v>0</v>
      </c>
      <c r="S404" s="99">
        <f>SUMIF(Import!$B:$B,$A404,Import!M:M)</f>
        <v>0</v>
      </c>
      <c r="T404" s="99">
        <f>SUMIF(Import!$B:$B,$A404,Import!N:N)</f>
        <v>1150</v>
      </c>
      <c r="U404" s="99">
        <f t="shared" si="347"/>
        <v>0</v>
      </c>
      <c r="V404" s="255">
        <f t="shared" si="348"/>
        <v>0</v>
      </c>
      <c r="W404" s="102" t="s">
        <v>1416</v>
      </c>
      <c r="X404" s="103" t="str">
        <f t="shared" si="349"/>
        <v>OK</v>
      </c>
      <c r="Y404" s="271" t="s">
        <v>789</v>
      </c>
      <c r="Z404" s="121"/>
      <c r="AA404" s="121"/>
      <c r="AB404" s="121"/>
      <c r="AC404" s="121"/>
      <c r="AD404" s="121"/>
      <c r="AE404" s="121"/>
      <c r="AF404" s="121"/>
      <c r="AG404" s="121"/>
      <c r="AH404" s="121"/>
      <c r="AI404" s="121"/>
      <c r="AJ404" s="121"/>
      <c r="AK404" s="121"/>
      <c r="AL404" s="121"/>
    </row>
    <row r="405" spans="1:38" s="115" customFormat="1">
      <c r="A405" s="555" t="s">
        <v>1417</v>
      </c>
      <c r="B405" s="217" t="str">
        <f t="shared" si="328"/>
        <v>200</v>
      </c>
      <c r="C405" s="217" t="str">
        <f t="shared" si="329"/>
        <v>75</v>
      </c>
      <c r="D405" s="101" t="str">
        <f t="shared" si="330"/>
        <v>752</v>
      </c>
      <c r="E405" s="217" t="str">
        <f t="shared" si="331"/>
        <v>200-75-752</v>
      </c>
      <c r="F405" s="294" t="str">
        <f t="shared" si="332"/>
        <v>55175</v>
      </c>
      <c r="G405" s="295" t="str">
        <f>VLOOKUP(F405,'GL Category'!A:C,3,FALSE)</f>
        <v>Services &amp; other</v>
      </c>
      <c r="H405" s="98" t="str">
        <f>VLOOKUP(F405,'GL Category'!A:C,2,FALSE)</f>
        <v>VEHICLE/EQUIP LEASE EXP-CITY</v>
      </c>
      <c r="I405" s="99">
        <f>SUMIF(Import!$B:$B,$A405,Import!D:D)</f>
        <v>228146</v>
      </c>
      <c r="J405" s="99">
        <f>SUMIF(Import!$B:$B,$A405,Import!E:E)</f>
        <v>104313</v>
      </c>
      <c r="K405" s="99">
        <f>SUMIF(Import!$B:$B,$A405,Import!F:F)</f>
        <v>125490</v>
      </c>
      <c r="L405" s="99">
        <f>SUMIF(Import!$B:$B,$A405,Import!G:G)</f>
        <v>213490</v>
      </c>
      <c r="M405" s="99">
        <f>SUMIF(Import!$B:$B,$A405,Import!H:H)</f>
        <v>403970</v>
      </c>
      <c r="N405" s="99">
        <f>SUMIF(Import!$B:$B,$A405,Import!I:I)</f>
        <v>302977.5</v>
      </c>
      <c r="O405" s="99">
        <f>SUMIF(Import!$B:$B,$A405,Import!J:J)</f>
        <v>403970</v>
      </c>
      <c r="P405" s="99">
        <f t="shared" si="346"/>
        <v>0</v>
      </c>
      <c r="Q405" s="99">
        <f>SUMIF(Import!$B:$B,$A405,Import!K:K)</f>
        <v>218669</v>
      </c>
      <c r="R405" s="99">
        <f>SUMIF(Import!$B:$B,$A405,Import!L:L)</f>
        <v>0</v>
      </c>
      <c r="S405" s="99">
        <f>SUMIF(Import!$B:$B,$A405,Import!M:M)</f>
        <v>65000</v>
      </c>
      <c r="T405" s="99">
        <f>SUMIF(Import!$B:$B,$A405,Import!N:N)</f>
        <v>283669</v>
      </c>
      <c r="U405" s="99">
        <f t="shared" si="347"/>
        <v>-120301</v>
      </c>
      <c r="V405" s="255">
        <f t="shared" si="348"/>
        <v>-0.29779686610391864</v>
      </c>
      <c r="W405" s="102" t="s">
        <v>1417</v>
      </c>
      <c r="X405" s="103" t="str">
        <f t="shared" si="349"/>
        <v>OK</v>
      </c>
      <c r="Y405" s="271"/>
      <c r="Z405" s="121"/>
      <c r="AA405" s="121"/>
      <c r="AB405" s="121"/>
      <c r="AC405" s="121"/>
      <c r="AD405" s="121"/>
      <c r="AE405" s="121"/>
      <c r="AF405" s="121"/>
      <c r="AG405" s="121"/>
      <c r="AH405" s="121"/>
      <c r="AI405" s="121"/>
      <c r="AJ405" s="121"/>
      <c r="AK405" s="121"/>
      <c r="AL405" s="121"/>
    </row>
    <row r="406" spans="1:38" s="115" customFormat="1">
      <c r="A406" s="555" t="s">
        <v>1418</v>
      </c>
      <c r="B406" s="217" t="str">
        <f t="shared" si="328"/>
        <v>200</v>
      </c>
      <c r="C406" s="217" t="str">
        <f t="shared" si="329"/>
        <v>75</v>
      </c>
      <c r="D406" s="101" t="str">
        <f t="shared" si="330"/>
        <v>752</v>
      </c>
      <c r="E406" s="217" t="str">
        <f t="shared" si="331"/>
        <v>200-75-752</v>
      </c>
      <c r="F406" s="294" t="str">
        <f t="shared" si="332"/>
        <v>55119</v>
      </c>
      <c r="G406" s="295" t="str">
        <f>VLOOKUP(F406,'GL Category'!A:C,3,FALSE)</f>
        <v>Services &amp; other</v>
      </c>
      <c r="H406" s="98" t="str">
        <f>VLOOKUP(F406,'GL Category'!A:C,2,FALSE)</f>
        <v>OFFICE EQUIP LEASE EXP-CITY</v>
      </c>
      <c r="I406" s="99">
        <f>SUMIF(Import!$B:$B,$A406,Import!D:D)</f>
        <v>16634</v>
      </c>
      <c r="J406" s="99">
        <f>SUMIF(Import!$B:$B,$A406,Import!E:E)</f>
        <v>18753</v>
      </c>
      <c r="K406" s="99">
        <f>SUMIF(Import!$B:$B,$A406,Import!F:F)</f>
        <v>14554</v>
      </c>
      <c r="L406" s="99">
        <f>SUMIF(Import!$B:$B,$A406,Import!G:G)</f>
        <v>16088</v>
      </c>
      <c r="M406" s="99">
        <f>SUMIF(Import!$B:$B,$A406,Import!H:H)</f>
        <v>17880</v>
      </c>
      <c r="N406" s="99">
        <f>SUMIF(Import!$B:$B,$A406,Import!I:I)</f>
        <v>13410</v>
      </c>
      <c r="O406" s="99">
        <f>SUMIF(Import!$B:$B,$A406,Import!J:J)</f>
        <v>17880</v>
      </c>
      <c r="P406" s="99">
        <f t="shared" si="346"/>
        <v>0</v>
      </c>
      <c r="Q406" s="99">
        <f>SUMIF(Import!$B:$B,$A406,Import!K:K)</f>
        <v>20250</v>
      </c>
      <c r="R406" s="99">
        <f>SUMIF(Import!$B:$B,$A406,Import!L:L)</f>
        <v>0</v>
      </c>
      <c r="S406" s="99">
        <f>SUMIF(Import!$B:$B,$A406,Import!M:M)</f>
        <v>0</v>
      </c>
      <c r="T406" s="99">
        <f>SUMIF(Import!$B:$B,$A406,Import!N:N)</f>
        <v>20250</v>
      </c>
      <c r="U406" s="99">
        <f t="shared" si="347"/>
        <v>2370</v>
      </c>
      <c r="V406" s="255">
        <f t="shared" si="348"/>
        <v>0.1325503355704698</v>
      </c>
      <c r="W406" s="102" t="s">
        <v>1418</v>
      </c>
      <c r="X406" s="103" t="str">
        <f t="shared" si="349"/>
        <v>OK</v>
      </c>
      <c r="Y406" s="271"/>
      <c r="Z406" s="121"/>
      <c r="AA406" s="121"/>
      <c r="AB406" s="121"/>
      <c r="AC406" s="121"/>
      <c r="AD406" s="121"/>
      <c r="AE406" s="121"/>
      <c r="AF406" s="121"/>
      <c r="AG406" s="121"/>
      <c r="AH406" s="121"/>
      <c r="AI406" s="121"/>
      <c r="AJ406" s="121"/>
      <c r="AK406" s="121"/>
      <c r="AL406" s="121"/>
    </row>
    <row r="407" spans="1:38" s="115" customFormat="1">
      <c r="A407" s="555"/>
      <c r="B407" s="217"/>
      <c r="C407" s="217"/>
      <c r="D407" s="101"/>
      <c r="E407" s="217"/>
      <c r="F407" s="294"/>
      <c r="G407" s="146"/>
      <c r="H407" s="107" t="str">
        <f>UPPER(G406)&amp;" TOTAL"</f>
        <v>SERVICES &amp; OTHER TOTAL</v>
      </c>
      <c r="I407" s="108">
        <f t="shared" ref="I407" si="350">SUBTOTAL(9,I396:I406)</f>
        <v>259551.03</v>
      </c>
      <c r="J407" s="108">
        <f t="shared" ref="J407:T407" si="351">SUBTOTAL(9,J396:J406)</f>
        <v>158966.24</v>
      </c>
      <c r="K407" s="108">
        <f t="shared" ref="K407" si="352">SUBTOTAL(9,K396:K406)</f>
        <v>155606.57999999999</v>
      </c>
      <c r="L407" s="108">
        <f t="shared" ref="L407" si="353">SUBTOTAL(9,L396:L406)</f>
        <v>257931.66999999998</v>
      </c>
      <c r="M407" s="108">
        <f t="shared" si="351"/>
        <v>456520</v>
      </c>
      <c r="N407" s="108">
        <f t="shared" ref="N407" si="354">SUBTOTAL(9,N396:N406)</f>
        <v>333828.40999999997</v>
      </c>
      <c r="O407" s="108">
        <f t="shared" si="351"/>
        <v>453020</v>
      </c>
      <c r="P407" s="108">
        <f t="shared" si="351"/>
        <v>-3500</v>
      </c>
      <c r="Q407" s="108">
        <f t="shared" si="351"/>
        <v>273589</v>
      </c>
      <c r="R407" s="108">
        <f t="shared" si="351"/>
        <v>0</v>
      </c>
      <c r="S407" s="108">
        <f t="shared" si="351"/>
        <v>65000</v>
      </c>
      <c r="T407" s="108">
        <f t="shared" si="351"/>
        <v>338589</v>
      </c>
      <c r="U407" s="99">
        <f>T407-M407</f>
        <v>-117931</v>
      </c>
      <c r="V407" s="259">
        <f>IF(M407=0,"N/A",T407/M407-1)</f>
        <v>-0.25832603171821611</v>
      </c>
      <c r="W407" s="102"/>
      <c r="X407" s="103" t="str">
        <f t="shared" si="349"/>
        <v>OK</v>
      </c>
      <c r="Y407" s="271"/>
      <c r="Z407" s="121"/>
      <c r="AA407" s="121"/>
      <c r="AB407" s="121"/>
      <c r="AC407" s="121"/>
      <c r="AD407" s="121"/>
      <c r="AE407" s="121"/>
      <c r="AF407" s="121"/>
      <c r="AG407" s="121"/>
      <c r="AH407" s="121"/>
      <c r="AI407" s="121"/>
      <c r="AJ407" s="121"/>
      <c r="AK407" s="121"/>
      <c r="AL407" s="121"/>
    </row>
    <row r="408" spans="1:38" s="115" customFormat="1">
      <c r="A408" s="555"/>
      <c r="B408" s="217"/>
      <c r="C408" s="217"/>
      <c r="D408" s="101"/>
      <c r="E408" s="217"/>
      <c r="F408" s="294"/>
      <c r="G408" s="146"/>
      <c r="H408" s="98"/>
      <c r="I408" s="106"/>
      <c r="J408" s="106"/>
      <c r="K408" s="106"/>
      <c r="L408" s="106"/>
      <c r="M408" s="106"/>
      <c r="N408" s="110"/>
      <c r="O408" s="110"/>
      <c r="P408" s="110"/>
      <c r="Q408" s="111"/>
      <c r="R408" s="99"/>
      <c r="S408" s="99"/>
      <c r="T408" s="111"/>
      <c r="U408" s="111"/>
      <c r="V408" s="111"/>
      <c r="W408" s="102"/>
      <c r="X408" s="103" t="str">
        <f t="shared" si="349"/>
        <v/>
      </c>
      <c r="Y408" s="271"/>
      <c r="Z408" s="121"/>
      <c r="AA408" s="121"/>
      <c r="AB408" s="121"/>
      <c r="AC408" s="121"/>
      <c r="AD408" s="121"/>
      <c r="AE408" s="121"/>
      <c r="AF408" s="121"/>
      <c r="AG408" s="121"/>
      <c r="AH408" s="121"/>
      <c r="AI408" s="121"/>
      <c r="AJ408" s="121"/>
      <c r="AK408" s="121"/>
      <c r="AL408" s="121"/>
    </row>
    <row r="409" spans="1:38" s="115" customFormat="1" ht="15.6" customHeight="1">
      <c r="A409" s="555" t="s">
        <v>1419</v>
      </c>
      <c r="B409" s="217" t="str">
        <f t="shared" si="328"/>
        <v>200</v>
      </c>
      <c r="C409" s="217" t="str">
        <f t="shared" si="329"/>
        <v>75</v>
      </c>
      <c r="D409" s="101" t="str">
        <f t="shared" si="330"/>
        <v>752</v>
      </c>
      <c r="E409" s="217" t="str">
        <f t="shared" si="331"/>
        <v>200-75-752</v>
      </c>
      <c r="F409" s="294" t="str">
        <f t="shared" si="332"/>
        <v>53503</v>
      </c>
      <c r="G409" s="295" t="e">
        <f>VLOOKUP(F409,'GL Category'!A:C,3,FALSE)</f>
        <v>#N/A</v>
      </c>
      <c r="H409" s="98" t="str">
        <f>VLOOKUP(F409,'GL Category'!A:C,2,FALSE)</f>
        <v>TRA PAYMENT-WASTEWATER</v>
      </c>
      <c r="I409" s="99">
        <f>SUMIF(Import!$B:$B,$A409,Import!D:D)</f>
        <v>0</v>
      </c>
      <c r="J409" s="99">
        <f>SUMIF(Import!$B:$B,$A409,Import!E:E)</f>
        <v>0</v>
      </c>
      <c r="K409" s="99">
        <f>SUMIF(Import!$B:$B,$A409,Import!F:F)</f>
        <v>0</v>
      </c>
      <c r="L409" s="99">
        <f>SUMIF(Import!$B:$B,$A409,Import!G:G)</f>
        <v>0</v>
      </c>
      <c r="M409" s="99">
        <f>SUMIF(Import!$B:$B,$A409,Import!H:H)</f>
        <v>0</v>
      </c>
      <c r="N409" s="99">
        <f>SUMIF(Import!$B:$B,$A409,Import!I:I)</f>
        <v>0</v>
      </c>
      <c r="O409" s="99">
        <f>SUMIF(Import!$B:$B,$A409,Import!J:J)</f>
        <v>0</v>
      </c>
      <c r="P409" s="99">
        <f t="shared" ref="P409" si="355">O409-M409</f>
        <v>0</v>
      </c>
      <c r="Q409" s="99">
        <f>SUMIF(Import!$B:$B,$A409,Import!K:K)</f>
        <v>0</v>
      </c>
      <c r="R409" s="99">
        <f>SUMIF(Import!$B:$B,$A409,Import!L:L)</f>
        <v>0</v>
      </c>
      <c r="S409" s="99">
        <f>SUMIF(Import!$B:$B,$A409,Import!M:M)</f>
        <v>0</v>
      </c>
      <c r="T409" s="99">
        <f>SUMIF(Import!$B:$B,$A409,Import!N:N)</f>
        <v>0</v>
      </c>
      <c r="U409" s="99">
        <f t="shared" ref="U409" si="356">T409-M409</f>
        <v>0</v>
      </c>
      <c r="V409" s="255" t="str">
        <f t="shared" ref="V409" si="357">IF(M409=0,"N/A",T409/M409-1)</f>
        <v>N/A</v>
      </c>
      <c r="W409" s="102" t="s">
        <v>1419</v>
      </c>
      <c r="X409" s="103" t="str">
        <f t="shared" si="349"/>
        <v>OK</v>
      </c>
      <c r="Y409" s="271"/>
      <c r="Z409" s="121"/>
      <c r="AA409" s="121"/>
      <c r="AB409" s="121"/>
      <c r="AC409" s="121"/>
      <c r="AD409" s="121"/>
      <c r="AE409" s="121"/>
      <c r="AF409" s="121"/>
      <c r="AG409" s="121"/>
      <c r="AH409" s="121"/>
      <c r="AI409" s="121"/>
      <c r="AJ409" s="121"/>
      <c r="AK409" s="121"/>
      <c r="AL409" s="121"/>
    </row>
    <row r="410" spans="1:38" s="115" customFormat="1" ht="18.75" customHeight="1">
      <c r="A410" s="555"/>
      <c r="B410" s="217"/>
      <c r="C410" s="217"/>
      <c r="D410" s="101"/>
      <c r="E410" s="217"/>
      <c r="F410" s="294"/>
      <c r="G410" s="146"/>
      <c r="H410" s="107" t="e">
        <f>UPPER(G409)&amp;" TOTAL"</f>
        <v>#N/A</v>
      </c>
      <c r="I410" s="108">
        <f t="shared" ref="I410" si="358">SUBTOTAL(9,I409)</f>
        <v>0</v>
      </c>
      <c r="J410" s="108">
        <f t="shared" ref="J410:T410" si="359">SUBTOTAL(9,J409)</f>
        <v>0</v>
      </c>
      <c r="K410" s="108">
        <f t="shared" ref="K410" si="360">SUBTOTAL(9,K409)</f>
        <v>0</v>
      </c>
      <c r="L410" s="108">
        <f t="shared" ref="L410" si="361">SUBTOTAL(9,L409)</f>
        <v>0</v>
      </c>
      <c r="M410" s="108">
        <f t="shared" si="359"/>
        <v>0</v>
      </c>
      <c r="N410" s="109">
        <f t="shared" ref="N410" si="362">SUBTOTAL(9,N409)</f>
        <v>0</v>
      </c>
      <c r="O410" s="109">
        <f t="shared" si="359"/>
        <v>0</v>
      </c>
      <c r="P410" s="109">
        <f>SUBTOTAL(9,P409)</f>
        <v>0</v>
      </c>
      <c r="Q410" s="109">
        <f t="shared" si="359"/>
        <v>0</v>
      </c>
      <c r="R410" s="109">
        <f t="shared" si="359"/>
        <v>0</v>
      </c>
      <c r="S410" s="109">
        <f t="shared" si="359"/>
        <v>0</v>
      </c>
      <c r="T410" s="109">
        <f t="shared" si="359"/>
        <v>0</v>
      </c>
      <c r="U410" s="99">
        <f>T410-M410</f>
        <v>0</v>
      </c>
      <c r="V410" s="259" t="str">
        <f>IF(M410=0,"N/A",T410/M410-1)</f>
        <v>N/A</v>
      </c>
      <c r="W410" s="102"/>
      <c r="X410" s="103" t="str">
        <f t="shared" si="349"/>
        <v>OK</v>
      </c>
      <c r="Y410" s="271"/>
      <c r="Z410" s="121"/>
      <c r="AA410" s="121"/>
      <c r="AB410" s="121"/>
      <c r="AC410" s="121"/>
      <c r="AD410" s="121"/>
      <c r="AE410" s="121"/>
      <c r="AF410" s="121"/>
      <c r="AG410" s="121"/>
      <c r="AH410" s="121"/>
      <c r="AI410" s="121"/>
      <c r="AJ410" s="121"/>
      <c r="AK410" s="121"/>
      <c r="AL410" s="121"/>
    </row>
    <row r="411" spans="1:38" s="115" customFormat="1">
      <c r="A411" s="555"/>
      <c r="B411" s="217"/>
      <c r="C411" s="217"/>
      <c r="D411" s="101"/>
      <c r="E411" s="217"/>
      <c r="F411" s="294"/>
      <c r="G411" s="146"/>
      <c r="H411" s="98"/>
      <c r="I411" s="106"/>
      <c r="J411" s="106"/>
      <c r="K411" s="106"/>
      <c r="L411" s="106"/>
      <c r="M411" s="106"/>
      <c r="N411" s="110"/>
      <c r="O411" s="110"/>
      <c r="P411" s="110"/>
      <c r="Q411" s="111"/>
      <c r="R411" s="99"/>
      <c r="S411" s="99"/>
      <c r="T411" s="111"/>
      <c r="U411" s="111"/>
      <c r="V411" s="111"/>
      <c r="W411" s="102"/>
      <c r="X411" s="103" t="str">
        <f t="shared" si="349"/>
        <v/>
      </c>
      <c r="Y411" s="271"/>
      <c r="Z411" s="121"/>
      <c r="AA411" s="121"/>
      <c r="AB411" s="121"/>
      <c r="AC411" s="121"/>
      <c r="AD411" s="121"/>
      <c r="AE411" s="121"/>
      <c r="AF411" s="121"/>
      <c r="AG411" s="121"/>
      <c r="AH411" s="121"/>
      <c r="AI411" s="121"/>
      <c r="AJ411" s="121"/>
      <c r="AK411" s="121"/>
      <c r="AL411" s="121"/>
    </row>
    <row r="412" spans="1:38" s="115" customFormat="1">
      <c r="A412" s="555" t="s">
        <v>1420</v>
      </c>
      <c r="B412" s="217" t="str">
        <f t="shared" si="328"/>
        <v>200</v>
      </c>
      <c r="C412" s="217" t="str">
        <f t="shared" si="329"/>
        <v>75</v>
      </c>
      <c r="D412" s="101" t="str">
        <f t="shared" si="330"/>
        <v>752</v>
      </c>
      <c r="E412" s="217" t="str">
        <f t="shared" si="331"/>
        <v>200-75-752</v>
      </c>
      <c r="F412" s="294" t="str">
        <f t="shared" si="332"/>
        <v>58820</v>
      </c>
      <c r="G412" s="295" t="str">
        <f>VLOOKUP(F412,'GL Category'!A:C,3,FALSE)</f>
        <v>Capital Outlay</v>
      </c>
      <c r="H412" s="98" t="str">
        <f>VLOOKUP(F412,'GL Category'!A:C,2,FALSE)</f>
        <v>MAINS &amp; SERVICES</v>
      </c>
      <c r="I412" s="99">
        <f>SUMIF(Import!$B:$B,$A412,Import!D:D)</f>
        <v>0</v>
      </c>
      <c r="J412" s="99">
        <f>SUMIF(Import!$B:$B,$A412,Import!E:E)</f>
        <v>0</v>
      </c>
      <c r="K412" s="99">
        <f>SUMIF(Import!$B:$B,$A412,Import!F:F)</f>
        <v>0</v>
      </c>
      <c r="L412" s="99">
        <f>SUMIF(Import!$B:$B,$A412,Import!G:G)</f>
        <v>0</v>
      </c>
      <c r="M412" s="99">
        <f>SUMIF(Import!$B:$B,$A412,Import!H:H)</f>
        <v>0</v>
      </c>
      <c r="N412" s="99">
        <f>SUMIF(Import!$B:$B,$A412,Import!I:I)</f>
        <v>0</v>
      </c>
      <c r="O412" s="99">
        <f>SUMIF(Import!$B:$B,$A412,Import!J:J)</f>
        <v>0</v>
      </c>
      <c r="P412" s="99">
        <f t="shared" ref="P412:P414" si="363">O412-M412</f>
        <v>0</v>
      </c>
      <c r="Q412" s="99">
        <f>SUMIF(Import!$B:$B,$A412,Import!K:K)</f>
        <v>0</v>
      </c>
      <c r="R412" s="99">
        <f>SUMIF(Import!$B:$B,$A412,Import!L:L)</f>
        <v>0</v>
      </c>
      <c r="S412" s="99">
        <f>SUMIF(Import!$B:$B,$A412,Import!M:M)</f>
        <v>0</v>
      </c>
      <c r="T412" s="99">
        <f>SUMIF(Import!$B:$B,$A412,Import!N:N)</f>
        <v>0</v>
      </c>
      <c r="U412" s="99">
        <f t="shared" ref="U412:U414" si="364">T412-M412</f>
        <v>0</v>
      </c>
      <c r="V412" s="255" t="str">
        <f t="shared" ref="V412:V414" si="365">IF(M412=0,"N/A",T412/M412-1)</f>
        <v>N/A</v>
      </c>
      <c r="W412" s="102" t="s">
        <v>1420</v>
      </c>
      <c r="X412" s="103" t="str">
        <f t="shared" si="349"/>
        <v>OK</v>
      </c>
      <c r="Y412" s="271"/>
      <c r="Z412" s="121"/>
      <c r="AA412" s="121"/>
      <c r="AB412" s="121"/>
      <c r="AC412" s="121"/>
      <c r="AD412" s="121"/>
      <c r="AE412" s="121"/>
      <c r="AF412" s="121"/>
      <c r="AG412" s="121"/>
      <c r="AH412" s="121"/>
      <c r="AI412" s="121"/>
      <c r="AJ412" s="121"/>
      <c r="AK412" s="121"/>
      <c r="AL412" s="121"/>
    </row>
    <row r="413" spans="1:38" s="115" customFormat="1">
      <c r="A413" s="555" t="s">
        <v>1421</v>
      </c>
      <c r="B413" s="217" t="str">
        <f t="shared" si="328"/>
        <v>200</v>
      </c>
      <c r="C413" s="217" t="str">
        <f t="shared" si="329"/>
        <v>75</v>
      </c>
      <c r="D413" s="101" t="str">
        <f t="shared" si="330"/>
        <v>752</v>
      </c>
      <c r="E413" s="217" t="str">
        <f t="shared" si="331"/>
        <v>200-75-752</v>
      </c>
      <c r="F413" s="294" t="str">
        <f t="shared" si="332"/>
        <v>58830</v>
      </c>
      <c r="G413" s="295" t="str">
        <f>VLOOKUP(F413,'GL Category'!A:C,3,FALSE)</f>
        <v>Capital Outlay</v>
      </c>
      <c r="H413" s="98" t="str">
        <f>VLOOKUP(F413,'GL Category'!A:C,2,FALSE)</f>
        <v>MACHINERY &amp; EQUIPMENT</v>
      </c>
      <c r="I413" s="99">
        <f>SUMIF(Import!$B:$B,$A413,Import!D:D)</f>
        <v>0</v>
      </c>
      <c r="J413" s="99">
        <f>SUMIF(Import!$B:$B,$A413,Import!E:E)</f>
        <v>0</v>
      </c>
      <c r="K413" s="99">
        <f>SUMIF(Import!$B:$B,$A413,Import!F:F)</f>
        <v>0</v>
      </c>
      <c r="L413" s="99">
        <f>SUMIF(Import!$B:$B,$A413,Import!G:G)</f>
        <v>0</v>
      </c>
      <c r="M413" s="99">
        <f>SUMIF(Import!$B:$B,$A413,Import!H:H)</f>
        <v>0</v>
      </c>
      <c r="N413" s="99">
        <f>SUMIF(Import!$B:$B,$A413,Import!I:I)</f>
        <v>0</v>
      </c>
      <c r="O413" s="99">
        <f>SUMIF(Import!$B:$B,$A413,Import!J:J)</f>
        <v>0</v>
      </c>
      <c r="P413" s="99">
        <f t="shared" si="363"/>
        <v>0</v>
      </c>
      <c r="Q413" s="99">
        <f>SUMIF(Import!$B:$B,$A413,Import!K:K)</f>
        <v>0</v>
      </c>
      <c r="R413" s="99">
        <f>SUMIF(Import!$B:$B,$A413,Import!L:L)</f>
        <v>0</v>
      </c>
      <c r="S413" s="99">
        <f>SUMIF(Import!$B:$B,$A413,Import!M:M)</f>
        <v>0</v>
      </c>
      <c r="T413" s="99">
        <f>SUMIF(Import!$B:$B,$A413,Import!N:N)</f>
        <v>0</v>
      </c>
      <c r="U413" s="99">
        <f t="shared" si="364"/>
        <v>0</v>
      </c>
      <c r="V413" s="255" t="str">
        <f t="shared" si="365"/>
        <v>N/A</v>
      </c>
      <c r="W413" s="102" t="s">
        <v>1421</v>
      </c>
      <c r="X413" s="103" t="str">
        <f t="shared" si="349"/>
        <v>OK</v>
      </c>
      <c r="Y413" s="271"/>
      <c r="Z413" s="121"/>
      <c r="AA413" s="121"/>
      <c r="AB413" s="121"/>
      <c r="AC413" s="121"/>
      <c r="AD413" s="121"/>
      <c r="AE413" s="121"/>
      <c r="AF413" s="121"/>
      <c r="AG413" s="121"/>
      <c r="AH413" s="121"/>
      <c r="AI413" s="121"/>
      <c r="AJ413" s="121"/>
      <c r="AK413" s="121"/>
      <c r="AL413" s="121"/>
    </row>
    <row r="414" spans="1:38" s="115" customFormat="1">
      <c r="A414" s="555" t="s">
        <v>1422</v>
      </c>
      <c r="B414" s="217" t="str">
        <f t="shared" si="328"/>
        <v>200</v>
      </c>
      <c r="C414" s="217" t="str">
        <f t="shared" si="329"/>
        <v>75</v>
      </c>
      <c r="D414" s="101" t="str">
        <f t="shared" si="330"/>
        <v>752</v>
      </c>
      <c r="E414" s="217" t="str">
        <f t="shared" si="331"/>
        <v>200-75-752</v>
      </c>
      <c r="F414" s="294" t="str">
        <f t="shared" si="332"/>
        <v>58840</v>
      </c>
      <c r="G414" s="295" t="str">
        <f>VLOOKUP(F414,'GL Category'!A:C,3,FALSE)</f>
        <v>Capital Outlay</v>
      </c>
      <c r="H414" s="98" t="str">
        <f>VLOOKUP(F414,'GL Category'!A:C,2,FALSE)</f>
        <v>MOTOR VEHICLES</v>
      </c>
      <c r="I414" s="99">
        <f>SUMIF(Import!$B:$B,$A414,Import!D:D)</f>
        <v>0</v>
      </c>
      <c r="J414" s="99">
        <f>SUMIF(Import!$B:$B,$A414,Import!E:E)</f>
        <v>0</v>
      </c>
      <c r="K414" s="99">
        <f>SUMIF(Import!$B:$B,$A414,Import!F:F)</f>
        <v>0</v>
      </c>
      <c r="L414" s="99">
        <f>SUMIF(Import!$B:$B,$A414,Import!G:G)</f>
        <v>0</v>
      </c>
      <c r="M414" s="99">
        <f>SUMIF(Import!$B:$B,$A414,Import!H:H)</f>
        <v>0</v>
      </c>
      <c r="N414" s="99">
        <f>SUMIF(Import!$B:$B,$A414,Import!I:I)</f>
        <v>0</v>
      </c>
      <c r="O414" s="99">
        <f>SUMIF(Import!$B:$B,$A414,Import!J:J)</f>
        <v>0</v>
      </c>
      <c r="P414" s="99">
        <f t="shared" si="363"/>
        <v>0</v>
      </c>
      <c r="Q414" s="99">
        <f>SUMIF(Import!$B:$B,$A414,Import!K:K)</f>
        <v>0</v>
      </c>
      <c r="R414" s="99">
        <f>SUMIF(Import!$B:$B,$A414,Import!L:L)</f>
        <v>0</v>
      </c>
      <c r="S414" s="99">
        <f>SUMIF(Import!$B:$B,$A414,Import!M:M)</f>
        <v>0</v>
      </c>
      <c r="T414" s="99">
        <f>SUMIF(Import!$B:$B,$A414,Import!N:N)</f>
        <v>0</v>
      </c>
      <c r="U414" s="99">
        <f t="shared" si="364"/>
        <v>0</v>
      </c>
      <c r="V414" s="255" t="str">
        <f t="shared" si="365"/>
        <v>N/A</v>
      </c>
      <c r="W414" s="102" t="s">
        <v>1422</v>
      </c>
      <c r="X414" s="103" t="str">
        <f t="shared" si="349"/>
        <v>OK</v>
      </c>
      <c r="Y414" s="271"/>
      <c r="Z414" s="121"/>
      <c r="AA414" s="121"/>
      <c r="AB414" s="121"/>
      <c r="AC414" s="121"/>
      <c r="AD414" s="121"/>
      <c r="AE414" s="121"/>
      <c r="AF414" s="121"/>
      <c r="AG414" s="121"/>
      <c r="AH414" s="121"/>
      <c r="AI414" s="121"/>
      <c r="AJ414" s="121"/>
      <c r="AK414" s="121"/>
      <c r="AL414" s="121"/>
    </row>
    <row r="415" spans="1:38" s="115" customFormat="1">
      <c r="A415" s="555"/>
      <c r="B415" s="217"/>
      <c r="C415" s="217"/>
      <c r="D415" s="101"/>
      <c r="E415" s="217"/>
      <c r="F415" s="294"/>
      <c r="G415" s="146"/>
      <c r="H415" s="107" t="str">
        <f>UPPER(G414)&amp;" TOTAL"</f>
        <v>CAPITAL OUTLAY TOTAL</v>
      </c>
      <c r="I415" s="108">
        <f t="shared" ref="I415" si="366">SUBTOTAL(9,I412:I414)</f>
        <v>0</v>
      </c>
      <c r="J415" s="108">
        <f t="shared" ref="J415:T415" si="367">SUBTOTAL(9,J412:J414)</f>
        <v>0</v>
      </c>
      <c r="K415" s="108">
        <f t="shared" ref="K415" si="368">SUBTOTAL(9,K412:K414)</f>
        <v>0</v>
      </c>
      <c r="L415" s="108">
        <f t="shared" ref="L415" si="369">SUBTOTAL(9,L412:L414)</f>
        <v>0</v>
      </c>
      <c r="M415" s="108">
        <f t="shared" si="367"/>
        <v>0</v>
      </c>
      <c r="N415" s="108">
        <f t="shared" ref="N415" si="370">SUBTOTAL(9,N412:N414)</f>
        <v>0</v>
      </c>
      <c r="O415" s="108">
        <f t="shared" si="367"/>
        <v>0</v>
      </c>
      <c r="P415" s="108">
        <f t="shared" si="367"/>
        <v>0</v>
      </c>
      <c r="Q415" s="108">
        <f t="shared" si="367"/>
        <v>0</v>
      </c>
      <c r="R415" s="108">
        <f t="shared" si="367"/>
        <v>0</v>
      </c>
      <c r="S415" s="108">
        <f t="shared" si="367"/>
        <v>0</v>
      </c>
      <c r="T415" s="108">
        <f t="shared" si="367"/>
        <v>0</v>
      </c>
      <c r="U415" s="99">
        <f>T415-M415</f>
        <v>0</v>
      </c>
      <c r="V415" s="259" t="str">
        <f>IF(M415=0,"N/A",T415/M415-1)</f>
        <v>N/A</v>
      </c>
      <c r="W415" s="102"/>
      <c r="X415" s="103" t="str">
        <f t="shared" si="349"/>
        <v>OK</v>
      </c>
      <c r="Y415" s="271"/>
      <c r="Z415" s="121"/>
      <c r="AA415" s="121"/>
      <c r="AB415" s="121"/>
      <c r="AC415" s="121"/>
      <c r="AD415" s="121"/>
      <c r="AE415" s="121"/>
      <c r="AF415" s="121"/>
      <c r="AG415" s="121"/>
      <c r="AH415" s="121"/>
      <c r="AI415" s="121"/>
      <c r="AJ415" s="121"/>
      <c r="AK415" s="121"/>
      <c r="AL415" s="121"/>
    </row>
    <row r="416" spans="1:38" s="115" customFormat="1">
      <c r="A416" s="555"/>
      <c r="B416" s="217"/>
      <c r="C416" s="217"/>
      <c r="D416" s="101"/>
      <c r="E416" s="217"/>
      <c r="F416" s="294"/>
      <c r="G416" s="146"/>
      <c r="H416" s="98"/>
      <c r="I416" s="106"/>
      <c r="J416" s="106"/>
      <c r="K416" s="106"/>
      <c r="L416" s="106"/>
      <c r="M416" s="106"/>
      <c r="N416" s="110"/>
      <c r="O416" s="110"/>
      <c r="P416" s="110"/>
      <c r="Q416" s="111"/>
      <c r="R416" s="99"/>
      <c r="S416" s="99"/>
      <c r="T416" s="111"/>
      <c r="U416" s="111"/>
      <c r="V416" s="111"/>
      <c r="W416" s="102"/>
      <c r="X416" s="103" t="str">
        <f t="shared" si="349"/>
        <v/>
      </c>
      <c r="Y416" s="271"/>
      <c r="Z416" s="121"/>
      <c r="AA416" s="121"/>
      <c r="AB416" s="121"/>
      <c r="AC416" s="121"/>
      <c r="AD416" s="121"/>
      <c r="AE416" s="121"/>
      <c r="AF416" s="121"/>
      <c r="AG416" s="121"/>
      <c r="AH416" s="121"/>
      <c r="AI416" s="121"/>
      <c r="AJ416" s="121"/>
      <c r="AK416" s="121"/>
      <c r="AL416" s="121"/>
    </row>
    <row r="417" spans="1:38" s="115" customFormat="1">
      <c r="A417" s="555" t="s">
        <v>1423</v>
      </c>
      <c r="B417" s="217" t="str">
        <f t="shared" si="328"/>
        <v>200</v>
      </c>
      <c r="C417" s="217" t="str">
        <f t="shared" si="329"/>
        <v>75</v>
      </c>
      <c r="D417" s="101" t="str">
        <f t="shared" si="330"/>
        <v>752</v>
      </c>
      <c r="E417" s="217" t="str">
        <f t="shared" si="331"/>
        <v>200-75-752</v>
      </c>
      <c r="F417" s="294" t="str">
        <f t="shared" si="332"/>
        <v>59170</v>
      </c>
      <c r="G417" s="295" t="str">
        <f>VLOOKUP(F417,'GL Category'!A:C,3,FALSE)</f>
        <v>Transfers to other funds</v>
      </c>
      <c r="H417" s="98" t="str">
        <f>VLOOKUP(F417,'GL Category'!A:C,2,FALSE)</f>
        <v>TRANSFER TO CIP-STREET IMPROVE</v>
      </c>
      <c r="I417" s="99">
        <f>SUMIF(Import!$B:$B,$A417,Import!D:D)</f>
        <v>0</v>
      </c>
      <c r="J417" s="99">
        <f>SUMIF(Import!$B:$B,$A417,Import!E:E)</f>
        <v>65000</v>
      </c>
      <c r="K417" s="99">
        <f>SUMIF(Import!$B:$B,$A417,Import!F:F)</f>
        <v>0</v>
      </c>
      <c r="L417" s="99">
        <f>SUMIF(Import!$B:$B,$A417,Import!G:G)</f>
        <v>0</v>
      </c>
      <c r="M417" s="99">
        <f>SUMIF(Import!$B:$B,$A417,Import!H:H)</f>
        <v>0</v>
      </c>
      <c r="N417" s="99">
        <f>SUMIF(Import!$B:$B,$A417,Import!I:I)</f>
        <v>0</v>
      </c>
      <c r="O417" s="99">
        <f>SUMIF(Import!$B:$B,$A417,Import!J:J)</f>
        <v>0</v>
      </c>
      <c r="P417" s="99">
        <f t="shared" ref="P417:P419" si="371">O417-M417</f>
        <v>0</v>
      </c>
      <c r="Q417" s="99">
        <f>SUMIF(Import!$B:$B,$A417,Import!K:K)</f>
        <v>0</v>
      </c>
      <c r="R417" s="99">
        <f>SUMIF(Import!$B:$B,$A417,Import!L:L)</f>
        <v>0</v>
      </c>
      <c r="S417" s="99">
        <f>SUMIF(Import!$B:$B,$A417,Import!M:M)</f>
        <v>0</v>
      </c>
      <c r="T417" s="99">
        <f>SUMIF(Import!$B:$B,$A417,Import!N:N)</f>
        <v>0</v>
      </c>
      <c r="U417" s="99">
        <f t="shared" ref="U417:U419" si="372">T417-M417</f>
        <v>0</v>
      </c>
      <c r="V417" s="255" t="str">
        <f t="shared" ref="V417:V419" si="373">IF(M417=0,"N/A",T417/M417-1)</f>
        <v>N/A</v>
      </c>
      <c r="W417" s="102" t="s">
        <v>1423</v>
      </c>
      <c r="X417" s="103" t="str">
        <f t="shared" si="349"/>
        <v>OK</v>
      </c>
      <c r="Y417" s="271"/>
      <c r="Z417" s="121"/>
      <c r="AA417" s="121"/>
      <c r="AB417" s="121"/>
      <c r="AC417" s="121"/>
      <c r="AD417" s="121"/>
      <c r="AE417" s="121"/>
      <c r="AF417" s="121"/>
      <c r="AG417" s="121"/>
      <c r="AH417" s="121"/>
      <c r="AI417" s="121"/>
      <c r="AJ417" s="121"/>
      <c r="AK417" s="121"/>
      <c r="AL417" s="121"/>
    </row>
    <row r="418" spans="1:38" s="115" customFormat="1">
      <c r="A418" s="555" t="s">
        <v>1424</v>
      </c>
      <c r="B418" s="217" t="str">
        <f t="shared" si="328"/>
        <v>200</v>
      </c>
      <c r="C418" s="217" t="str">
        <f t="shared" si="329"/>
        <v>75</v>
      </c>
      <c r="D418" s="101" t="str">
        <f t="shared" si="330"/>
        <v>752</v>
      </c>
      <c r="E418" s="217" t="str">
        <f t="shared" si="331"/>
        <v>200-75-752</v>
      </c>
      <c r="F418" s="294" t="str">
        <f t="shared" si="332"/>
        <v>59206</v>
      </c>
      <c r="G418" s="295" t="str">
        <f>VLOOKUP(F418,'GL Category'!A:C,3,FALSE)</f>
        <v>Transfers to other funds</v>
      </c>
      <c r="H418" s="98" t="str">
        <f>VLOOKUP(F418,'GL Category'!A:C,2,FALSE)</f>
        <v>TRANSFER TO CIP-WATER/WW</v>
      </c>
      <c r="I418" s="99">
        <f>SUMIF(Import!$B:$B,$A418,Import!D:D)</f>
        <v>720000</v>
      </c>
      <c r="J418" s="99">
        <f>SUMIF(Import!$B:$B,$A418,Import!E:E)</f>
        <v>800000</v>
      </c>
      <c r="K418" s="99">
        <f>SUMIF(Import!$B:$B,$A418,Import!F:F)</f>
        <v>425000</v>
      </c>
      <c r="L418" s="99">
        <f>SUMIF(Import!$B:$B,$A418,Import!G:G)</f>
        <v>275000</v>
      </c>
      <c r="M418" s="99">
        <f>SUMIF(Import!$B:$B,$A418,Import!H:H)</f>
        <v>200000</v>
      </c>
      <c r="N418" s="99">
        <f>SUMIF(Import!$B:$B,$A418,Import!I:I)</f>
        <v>150000</v>
      </c>
      <c r="O418" s="99">
        <f>SUMIF(Import!$B:$B,$A418,Import!J:J)</f>
        <v>200000</v>
      </c>
      <c r="P418" s="99">
        <f t="shared" si="371"/>
        <v>0</v>
      </c>
      <c r="Q418" s="99">
        <f>SUMIF(Import!$B:$B,$A418,Import!K:K)</f>
        <v>200000</v>
      </c>
      <c r="R418" s="99">
        <f>SUMIF(Import!$B:$B,$A418,Import!L:L)</f>
        <v>0</v>
      </c>
      <c r="S418" s="99">
        <f>SUMIF(Import!$B:$B,$A418,Import!M:M)</f>
        <v>0</v>
      </c>
      <c r="T418" s="99">
        <f>SUMIF(Import!$B:$B,$A418,Import!N:N)</f>
        <v>200000</v>
      </c>
      <c r="U418" s="99">
        <f t="shared" si="372"/>
        <v>0</v>
      </c>
      <c r="V418" s="255">
        <f t="shared" si="373"/>
        <v>0</v>
      </c>
      <c r="W418" s="102" t="s">
        <v>1424</v>
      </c>
      <c r="X418" s="103" t="str">
        <f t="shared" si="349"/>
        <v>OK</v>
      </c>
      <c r="Y418" s="271"/>
      <c r="Z418" s="121"/>
      <c r="AA418" s="121"/>
      <c r="AB418" s="121"/>
      <c r="AC418" s="121"/>
      <c r="AD418" s="121"/>
      <c r="AE418" s="121"/>
      <c r="AF418" s="121"/>
      <c r="AG418" s="121"/>
      <c r="AH418" s="121"/>
      <c r="AI418" s="121"/>
      <c r="AJ418" s="121"/>
      <c r="AK418" s="121"/>
      <c r="AL418" s="121"/>
    </row>
    <row r="419" spans="1:38" s="115" customFormat="1">
      <c r="A419" s="555" t="s">
        <v>1425</v>
      </c>
      <c r="B419" s="217" t="str">
        <f t="shared" si="328"/>
        <v>200</v>
      </c>
      <c r="C419" s="217" t="str">
        <f t="shared" si="329"/>
        <v>75</v>
      </c>
      <c r="D419" s="101" t="str">
        <f t="shared" si="330"/>
        <v>752</v>
      </c>
      <c r="E419" s="217" t="str">
        <f t="shared" si="331"/>
        <v>200-75-752</v>
      </c>
      <c r="F419" s="294" t="str">
        <f t="shared" si="332"/>
        <v>59406</v>
      </c>
      <c r="G419" s="295" t="str">
        <f>VLOOKUP(F419,'GL Category'!A:C,3,FALSE)</f>
        <v>Transfers to other funds</v>
      </c>
      <c r="H419" s="98" t="str">
        <f>VLOOKUP(F419,'GL Category'!A:C,2,FALSE)</f>
        <v>TRANSFER TO CIP-DRAINAGE</v>
      </c>
      <c r="I419" s="99">
        <f>SUMIF(Import!$B:$B,$A419,Import!D:D)</f>
        <v>350000</v>
      </c>
      <c r="J419" s="99">
        <f>SUMIF(Import!$B:$B,$A419,Import!E:E)</f>
        <v>0</v>
      </c>
      <c r="K419" s="99">
        <f>SUMIF(Import!$B:$B,$A419,Import!F:F)</f>
        <v>0</v>
      </c>
      <c r="L419" s="99">
        <f>SUMIF(Import!$B:$B,$A419,Import!G:G)</f>
        <v>0</v>
      </c>
      <c r="M419" s="99">
        <f>SUMIF(Import!$B:$B,$A419,Import!H:H)</f>
        <v>0</v>
      </c>
      <c r="N419" s="99">
        <f>SUMIF(Import!$B:$B,$A419,Import!I:I)</f>
        <v>0</v>
      </c>
      <c r="O419" s="99">
        <f>SUMIF(Import!$B:$B,$A419,Import!J:J)</f>
        <v>0</v>
      </c>
      <c r="P419" s="99">
        <f t="shared" si="371"/>
        <v>0</v>
      </c>
      <c r="Q419" s="99">
        <f>SUMIF(Import!$B:$B,$A419,Import!K:K)</f>
        <v>0</v>
      </c>
      <c r="R419" s="99">
        <f>SUMIF(Import!$B:$B,$A419,Import!L:L)</f>
        <v>0</v>
      </c>
      <c r="S419" s="99">
        <f>SUMIF(Import!$B:$B,$A419,Import!M:M)</f>
        <v>0</v>
      </c>
      <c r="T419" s="99">
        <f>SUMIF(Import!$B:$B,$A419,Import!N:N)</f>
        <v>0</v>
      </c>
      <c r="U419" s="99">
        <f t="shared" si="372"/>
        <v>0</v>
      </c>
      <c r="V419" s="255" t="str">
        <f t="shared" si="373"/>
        <v>N/A</v>
      </c>
      <c r="W419" s="102" t="s">
        <v>1425</v>
      </c>
      <c r="X419" s="103" t="str">
        <f t="shared" si="349"/>
        <v>OK</v>
      </c>
      <c r="Y419" s="271"/>
      <c r="Z419" s="121"/>
      <c r="AA419" s="121"/>
      <c r="AB419" s="121"/>
      <c r="AC419" s="121"/>
      <c r="AD419" s="121"/>
      <c r="AE419" s="121"/>
      <c r="AF419" s="121"/>
      <c r="AG419" s="121"/>
      <c r="AH419" s="121"/>
      <c r="AI419" s="121"/>
      <c r="AJ419" s="121"/>
      <c r="AK419" s="121"/>
      <c r="AL419" s="121"/>
    </row>
    <row r="420" spans="1:38" s="115" customFormat="1" ht="26.4">
      <c r="A420" s="555"/>
      <c r="B420" s="217"/>
      <c r="C420" s="217"/>
      <c r="D420" s="101"/>
      <c r="E420" s="217"/>
      <c r="F420" s="294"/>
      <c r="G420" s="146"/>
      <c r="H420" s="107" t="str">
        <f>UPPER(G419)&amp;" TOTAL"</f>
        <v>TRANSFERS TO OTHER FUNDS TOTAL</v>
      </c>
      <c r="I420" s="108">
        <f t="shared" ref="I420" si="374">SUBTOTAL(9,I415:I419)</f>
        <v>1070000</v>
      </c>
      <c r="J420" s="108">
        <f t="shared" ref="J420:T420" si="375">SUBTOTAL(9,J415:J419)</f>
        <v>865000</v>
      </c>
      <c r="K420" s="108">
        <f t="shared" ref="K420" si="376">SUBTOTAL(9,K415:K419)</f>
        <v>425000</v>
      </c>
      <c r="L420" s="108">
        <f t="shared" ref="L420" si="377">SUBTOTAL(9,L415:L419)</f>
        <v>275000</v>
      </c>
      <c r="M420" s="108">
        <f t="shared" si="375"/>
        <v>200000</v>
      </c>
      <c r="N420" s="108">
        <f t="shared" ref="N420" si="378">SUBTOTAL(9,N415:N419)</f>
        <v>150000</v>
      </c>
      <c r="O420" s="108">
        <f t="shared" si="375"/>
        <v>200000</v>
      </c>
      <c r="P420" s="108">
        <f t="shared" si="375"/>
        <v>0</v>
      </c>
      <c r="Q420" s="108">
        <f t="shared" si="375"/>
        <v>200000</v>
      </c>
      <c r="R420" s="108">
        <f t="shared" si="375"/>
        <v>0</v>
      </c>
      <c r="S420" s="108">
        <f t="shared" si="375"/>
        <v>0</v>
      </c>
      <c r="T420" s="108">
        <f t="shared" si="375"/>
        <v>200000</v>
      </c>
      <c r="U420" s="99">
        <f>T420-M420</f>
        <v>0</v>
      </c>
      <c r="V420" s="259">
        <f>IF(M420=0,"N/A",T420/M420-1)</f>
        <v>0</v>
      </c>
      <c r="W420" s="102"/>
      <c r="X420" s="103" t="str">
        <f t="shared" si="349"/>
        <v>OK</v>
      </c>
      <c r="Y420" s="271"/>
      <c r="Z420" s="121"/>
      <c r="AA420" s="121"/>
      <c r="AB420" s="121"/>
      <c r="AC420" s="121"/>
      <c r="AD420" s="121"/>
      <c r="AE420" s="121"/>
      <c r="AF420" s="121"/>
      <c r="AG420" s="121"/>
      <c r="AH420" s="121"/>
      <c r="AI420" s="121"/>
      <c r="AJ420" s="121"/>
      <c r="AK420" s="121"/>
      <c r="AL420" s="121"/>
    </row>
    <row r="421" spans="1:38" s="115" customFormat="1">
      <c r="A421" s="555"/>
      <c r="B421" s="217"/>
      <c r="C421" s="217"/>
      <c r="D421" s="101"/>
      <c r="E421" s="217"/>
      <c r="F421" s="294"/>
      <c r="G421" s="146"/>
      <c r="H421" s="98"/>
      <c r="I421" s="106"/>
      <c r="J421" s="106"/>
      <c r="K421" s="106"/>
      <c r="L421" s="106"/>
      <c r="M421" s="106"/>
      <c r="N421" s="110"/>
      <c r="O421" s="110"/>
      <c r="P421" s="110"/>
      <c r="Q421" s="111"/>
      <c r="R421" s="99"/>
      <c r="S421" s="99"/>
      <c r="T421" s="111"/>
      <c r="U421" s="111"/>
      <c r="V421" s="111"/>
      <c r="W421" s="102"/>
      <c r="X421" s="103" t="str">
        <f t="shared" si="349"/>
        <v/>
      </c>
      <c r="Y421" s="271"/>
      <c r="Z421" s="121"/>
      <c r="AA421" s="121"/>
      <c r="AB421" s="121"/>
      <c r="AC421" s="121"/>
      <c r="AD421" s="121"/>
      <c r="AE421" s="121"/>
      <c r="AF421" s="121"/>
      <c r="AG421" s="121"/>
      <c r="AH421" s="121"/>
      <c r="AI421" s="121"/>
      <c r="AJ421" s="121"/>
      <c r="AK421" s="121"/>
      <c r="AL421" s="121"/>
    </row>
    <row r="422" spans="1:38" s="115" customFormat="1">
      <c r="A422" s="555"/>
      <c r="B422" s="217"/>
      <c r="C422" s="217"/>
      <c r="D422" s="101"/>
      <c r="E422" s="217"/>
      <c r="F422" s="294"/>
      <c r="G422" s="146"/>
      <c r="H422" s="114" t="s">
        <v>763</v>
      </c>
      <c r="I422" s="108">
        <f t="shared" ref="I422" si="379">SUBTOTAL(9,I369:I420)</f>
        <v>2003763.88</v>
      </c>
      <c r="J422" s="108">
        <f t="shared" ref="J422:T422" si="380">SUBTOTAL(9,J369:J420)</f>
        <v>1773834.77</v>
      </c>
      <c r="K422" s="108">
        <f t="shared" ref="K422" si="381">SUBTOTAL(9,K369:K420)</f>
        <v>1256096.5</v>
      </c>
      <c r="L422" s="108">
        <f t="shared" ref="L422" si="382">SUBTOTAL(9,L369:L420)</f>
        <v>1261010.56</v>
      </c>
      <c r="M422" s="108">
        <f t="shared" si="380"/>
        <v>1651990</v>
      </c>
      <c r="N422" s="108">
        <f t="shared" ref="N422" si="383">SUBTOTAL(9,N369:N420)</f>
        <v>1180400.8599999999</v>
      </c>
      <c r="O422" s="108">
        <f t="shared" si="380"/>
        <v>1600783</v>
      </c>
      <c r="P422" s="108">
        <f t="shared" si="380"/>
        <v>-51207</v>
      </c>
      <c r="Q422" s="108">
        <f t="shared" si="380"/>
        <v>1508684</v>
      </c>
      <c r="R422" s="108">
        <f t="shared" si="380"/>
        <v>0</v>
      </c>
      <c r="S422" s="108">
        <f t="shared" si="380"/>
        <v>65000</v>
      </c>
      <c r="T422" s="108">
        <f t="shared" si="380"/>
        <v>1573684</v>
      </c>
      <c r="U422" s="99">
        <f>T422-M422</f>
        <v>-78306</v>
      </c>
      <c r="V422" s="259">
        <f>IF(M422=0,"N/A",T422/M422-1)</f>
        <v>-4.7401013323325247E-2</v>
      </c>
      <c r="W422" s="102"/>
      <c r="X422" s="103" t="str">
        <f t="shared" si="349"/>
        <v>OK</v>
      </c>
      <c r="Y422" s="271"/>
      <c r="Z422" s="121"/>
      <c r="AA422" s="121"/>
      <c r="AB422" s="121"/>
      <c r="AC422" s="121"/>
      <c r="AD422" s="121"/>
      <c r="AE422" s="121"/>
      <c r="AF422" s="121"/>
      <c r="AG422" s="121"/>
      <c r="AH422" s="121"/>
      <c r="AI422" s="121"/>
      <c r="AJ422" s="121"/>
      <c r="AK422" s="121"/>
      <c r="AL422" s="121"/>
    </row>
    <row r="423" spans="1:38" s="115" customFormat="1">
      <c r="A423" s="555"/>
      <c r="B423" s="217"/>
      <c r="C423" s="217"/>
      <c r="D423" s="101"/>
      <c r="E423" s="217"/>
      <c r="F423" s="294"/>
      <c r="G423" s="146"/>
      <c r="H423" s="89"/>
      <c r="I423" s="233"/>
      <c r="J423" s="233"/>
      <c r="K423" s="233"/>
      <c r="L423" s="233"/>
      <c r="M423" s="233"/>
      <c r="N423" s="233"/>
      <c r="O423" s="233"/>
      <c r="P423" s="233"/>
      <c r="Q423" s="233"/>
      <c r="R423" s="233"/>
      <c r="S423" s="233"/>
      <c r="T423" s="233"/>
      <c r="U423" s="233"/>
      <c r="V423" s="233"/>
      <c r="W423" s="102"/>
      <c r="X423" s="103"/>
      <c r="Y423" s="271"/>
      <c r="Z423" s="121"/>
      <c r="AA423" s="121"/>
      <c r="AB423" s="121"/>
      <c r="AC423" s="121"/>
      <c r="AD423" s="121"/>
      <c r="AE423" s="121"/>
      <c r="AF423" s="121"/>
      <c r="AG423" s="121"/>
      <c r="AH423" s="121"/>
      <c r="AI423" s="121"/>
      <c r="AJ423" s="121"/>
      <c r="AK423" s="121"/>
      <c r="AL423" s="121"/>
    </row>
    <row r="424" spans="1:38" s="115" customFormat="1" ht="14.4" thickBot="1">
      <c r="A424" s="555"/>
      <c r="B424" s="217"/>
      <c r="C424" s="217"/>
      <c r="D424" s="101"/>
      <c r="E424" s="217"/>
      <c r="F424" s="294"/>
      <c r="G424" s="146"/>
      <c r="H424" s="98"/>
      <c r="I424" s="218"/>
      <c r="J424" s="218"/>
      <c r="K424" s="218"/>
      <c r="L424" s="218"/>
      <c r="M424" s="218"/>
      <c r="N424" s="96"/>
      <c r="O424" s="96"/>
      <c r="P424" s="96"/>
      <c r="Q424" s="212"/>
      <c r="R424" s="212"/>
      <c r="S424" s="212"/>
      <c r="T424" s="212"/>
      <c r="U424" s="212"/>
      <c r="V424" s="113"/>
      <c r="W424" s="102"/>
      <c r="X424" s="103" t="str">
        <f t="shared" ref="X424:X455" si="384">IF(Q424="","",IF(T424=SUM(Q424:S424),"OK","NO"))</f>
        <v/>
      </c>
      <c r="Y424" s="271"/>
      <c r="Z424" s="121"/>
      <c r="AA424" s="121"/>
      <c r="AB424" s="121"/>
      <c r="AC424" s="121"/>
      <c r="AD424" s="121"/>
      <c r="AE424" s="121"/>
      <c r="AF424" s="121"/>
      <c r="AG424" s="121"/>
      <c r="AH424" s="121"/>
      <c r="AI424" s="121"/>
      <c r="AJ424" s="121"/>
      <c r="AK424" s="121"/>
      <c r="AL424" s="121"/>
    </row>
    <row r="425" spans="1:38" s="115" customFormat="1" ht="21.6" thickBot="1">
      <c r="A425" s="555"/>
      <c r="B425" s="217"/>
      <c r="C425" s="217"/>
      <c r="D425" s="101"/>
      <c r="E425" s="217"/>
      <c r="F425" s="294"/>
      <c r="G425" s="146"/>
      <c r="H425" s="665" t="s">
        <v>671</v>
      </c>
      <c r="I425" s="666"/>
      <c r="J425" s="666"/>
      <c r="K425" s="666"/>
      <c r="L425" s="666"/>
      <c r="M425" s="666"/>
      <c r="N425" s="666"/>
      <c r="O425" s="666"/>
      <c r="P425" s="666"/>
      <c r="Q425" s="666"/>
      <c r="R425" s="666"/>
      <c r="S425" s="666"/>
      <c r="T425" s="667"/>
      <c r="U425" s="247"/>
      <c r="V425" s="261"/>
      <c r="W425" s="102"/>
      <c r="X425" s="103" t="str">
        <f t="shared" si="384"/>
        <v/>
      </c>
      <c r="Y425" s="271"/>
      <c r="Z425" s="121"/>
      <c r="AA425" s="121"/>
      <c r="AB425" s="121"/>
      <c r="AC425" s="121"/>
      <c r="AD425" s="121"/>
      <c r="AE425" s="121"/>
      <c r="AF425" s="121"/>
      <c r="AG425" s="121"/>
      <c r="AH425" s="121"/>
      <c r="AI425" s="121"/>
      <c r="AJ425" s="121"/>
      <c r="AK425" s="121"/>
      <c r="AL425" s="121"/>
    </row>
    <row r="426" spans="1:38" s="115" customFormat="1" ht="22.8">
      <c r="A426" s="555"/>
      <c r="B426" s="217"/>
      <c r="C426" s="217"/>
      <c r="D426" s="101"/>
      <c r="E426" s="217"/>
      <c r="F426" s="294"/>
      <c r="G426" s="146"/>
      <c r="H426" s="225"/>
      <c r="I426" s="225"/>
      <c r="J426" s="225"/>
      <c r="K426" s="225"/>
      <c r="L426" s="225"/>
      <c r="M426" s="225"/>
      <c r="N426" s="225"/>
      <c r="O426" s="225"/>
      <c r="P426" s="225"/>
      <c r="Q426" s="225"/>
      <c r="R426" s="225"/>
      <c r="S426" s="225"/>
      <c r="T426" s="225"/>
      <c r="U426" s="225"/>
      <c r="V426" s="260"/>
      <c r="W426" s="102"/>
      <c r="X426" s="103" t="str">
        <f t="shared" si="384"/>
        <v/>
      </c>
      <c r="Y426" s="271"/>
      <c r="Z426" s="121"/>
      <c r="AA426" s="121"/>
      <c r="AB426" s="121"/>
      <c r="AC426" s="121"/>
      <c r="AD426" s="121"/>
      <c r="AE426" s="121"/>
      <c r="AF426" s="121"/>
      <c r="AG426" s="121"/>
      <c r="AH426" s="121"/>
      <c r="AI426" s="121"/>
      <c r="AJ426" s="121"/>
      <c r="AK426" s="121"/>
      <c r="AL426" s="121"/>
    </row>
    <row r="427" spans="1:38" s="115" customFormat="1">
      <c r="A427" s="555" t="s">
        <v>1426</v>
      </c>
      <c r="B427" s="217" t="str">
        <f t="shared" si="328"/>
        <v>200</v>
      </c>
      <c r="C427" s="217" t="str">
        <f t="shared" si="329"/>
        <v>75</v>
      </c>
      <c r="D427" s="101" t="str">
        <f t="shared" si="330"/>
        <v>754</v>
      </c>
      <c r="E427" s="217" t="str">
        <f t="shared" si="331"/>
        <v>200-75-754</v>
      </c>
      <c r="F427" s="294" t="str">
        <f t="shared" si="332"/>
        <v>53503</v>
      </c>
      <c r="G427" s="295" t="e">
        <f>VLOOKUP(F427,'GL Category'!A:C,3,FALSE)</f>
        <v>#N/A</v>
      </c>
      <c r="H427" s="98" t="str">
        <f>VLOOKUP(F427,'GL Category'!A:C,2,FALSE)</f>
        <v>TRA PAYMENT-WASTEWATER</v>
      </c>
      <c r="I427" s="99">
        <f>SUMIF(Import!$B:$B,$A427,Import!D:D)</f>
        <v>3206121.92</v>
      </c>
      <c r="J427" s="99">
        <f>SUMIF(Import!$B:$B,$A427,Import!E:E)</f>
        <v>3782394.84</v>
      </c>
      <c r="K427" s="99">
        <f>SUMIF(Import!$B:$B,$A427,Import!F:F)</f>
        <v>4005267.8</v>
      </c>
      <c r="L427" s="99">
        <f>SUMIF(Import!$B:$B,$A427,Import!G:G)</f>
        <v>4085013.62</v>
      </c>
      <c r="M427" s="99">
        <f>SUMIF(Import!$B:$B,$A427,Import!H:H)</f>
        <v>5022787</v>
      </c>
      <c r="N427" s="99">
        <f>SUMIF(Import!$B:$B,$A427,Import!I:I)</f>
        <v>3119080.51</v>
      </c>
      <c r="O427" s="99">
        <f>SUMIF(Import!$B:$B,$A427,Import!J:J)</f>
        <v>4337195</v>
      </c>
      <c r="P427" s="99">
        <f t="shared" ref="P427" si="385">O427-M427</f>
        <v>-685592</v>
      </c>
      <c r="Q427" s="99">
        <f>SUMIF(Import!$B:$B,$A427,Import!K:K)</f>
        <v>5060458</v>
      </c>
      <c r="R427" s="99">
        <f>SUMIF(Import!$B:$B,$A427,Import!L:L)</f>
        <v>0</v>
      </c>
      <c r="S427" s="99">
        <f>SUMIF(Import!$B:$B,$A427,Import!M:M)</f>
        <v>0</v>
      </c>
      <c r="T427" s="99">
        <f>SUMIF(Import!$B:$B,$A427,Import!N:N)</f>
        <v>5060458</v>
      </c>
      <c r="U427" s="99">
        <f t="shared" ref="U427" si="386">T427-M427</f>
        <v>37671</v>
      </c>
      <c r="V427" s="255">
        <f t="shared" ref="V427" si="387">IF(M427=0,"N/A",T427/M427-1)</f>
        <v>7.5000194115337759E-3</v>
      </c>
      <c r="W427" s="102" t="s">
        <v>1426</v>
      </c>
      <c r="X427" s="103" t="str">
        <f t="shared" si="384"/>
        <v>OK</v>
      </c>
      <c r="Y427" s="271" t="s">
        <v>790</v>
      </c>
      <c r="Z427" s="121"/>
      <c r="AA427" s="121"/>
      <c r="AB427" s="121"/>
      <c r="AC427" s="121"/>
      <c r="AD427" s="121"/>
      <c r="AE427" s="121"/>
      <c r="AF427" s="121"/>
      <c r="AG427" s="121"/>
      <c r="AH427" s="121"/>
      <c r="AI427" s="121"/>
      <c r="AJ427" s="121"/>
      <c r="AK427" s="121"/>
      <c r="AL427" s="121"/>
    </row>
    <row r="428" spans="1:38" s="115" customFormat="1" ht="26.4">
      <c r="A428" s="555"/>
      <c r="B428" s="217"/>
      <c r="C428" s="217"/>
      <c r="D428" s="101"/>
      <c r="E428" s="217"/>
      <c r="F428" s="294"/>
      <c r="G428" s="146"/>
      <c r="H428" s="107" t="e">
        <f>UPPER(G427)&amp;" TOTAL"</f>
        <v>#N/A</v>
      </c>
      <c r="I428" s="108">
        <f t="shared" ref="I428" si="388">SUBTOTAL(9,I427:I427)</f>
        <v>3206121.92</v>
      </c>
      <c r="J428" s="108">
        <f t="shared" ref="J428:O428" si="389">SUBTOTAL(9,J427:J427)</f>
        <v>3782394.84</v>
      </c>
      <c r="K428" s="108">
        <f t="shared" ref="K428" si="390">SUBTOTAL(9,K427:K427)</f>
        <v>4005267.8</v>
      </c>
      <c r="L428" s="108">
        <f t="shared" ref="L428" si="391">SUBTOTAL(9,L427:L427)</f>
        <v>4085013.62</v>
      </c>
      <c r="M428" s="108">
        <f t="shared" si="389"/>
        <v>5022787</v>
      </c>
      <c r="N428" s="109">
        <f t="shared" ref="N428" si="392">SUBTOTAL(9,N427:N427)</f>
        <v>3119080.51</v>
      </c>
      <c r="O428" s="109">
        <f t="shared" si="389"/>
        <v>4337195</v>
      </c>
      <c r="P428" s="109">
        <f>SUBTOTAL(9,P427:P427)</f>
        <v>-685592</v>
      </c>
      <c r="Q428" s="109">
        <f t="shared" ref="Q428:T428" si="393">SUBTOTAL(9,Q427:Q427)</f>
        <v>5060458</v>
      </c>
      <c r="R428" s="109">
        <f t="shared" si="393"/>
        <v>0</v>
      </c>
      <c r="S428" s="109">
        <f t="shared" si="393"/>
        <v>0</v>
      </c>
      <c r="T428" s="109">
        <f t="shared" si="393"/>
        <v>5060458</v>
      </c>
      <c r="U428" s="99">
        <f>T428-M428</f>
        <v>37671</v>
      </c>
      <c r="V428" s="259">
        <f>IF(M428=0,"N/A",T428/M428-1)</f>
        <v>7.5000194115337759E-3</v>
      </c>
      <c r="W428" s="102"/>
      <c r="X428" s="103" t="str">
        <f t="shared" si="384"/>
        <v>OK</v>
      </c>
      <c r="Y428" s="271"/>
      <c r="Z428" s="121"/>
      <c r="AA428" s="121"/>
      <c r="AB428" s="121"/>
      <c r="AC428" s="121"/>
      <c r="AD428" s="121"/>
      <c r="AE428" s="121"/>
      <c r="AF428" s="121"/>
      <c r="AG428" s="121"/>
      <c r="AH428" s="121"/>
      <c r="AI428" s="121"/>
      <c r="AJ428" s="121"/>
      <c r="AK428" s="121"/>
      <c r="AL428" s="121"/>
    </row>
    <row r="429" spans="1:38" s="115" customFormat="1">
      <c r="A429" s="555"/>
      <c r="B429" s="217"/>
      <c r="C429" s="217"/>
      <c r="D429" s="101"/>
      <c r="E429" s="217"/>
      <c r="F429" s="294"/>
      <c r="G429" s="146"/>
      <c r="H429" s="98"/>
      <c r="I429" s="106"/>
      <c r="J429" s="106"/>
      <c r="K429" s="106"/>
      <c r="L429" s="106"/>
      <c r="M429" s="106"/>
      <c r="N429" s="110"/>
      <c r="O429" s="110"/>
      <c r="P429" s="110"/>
      <c r="Q429" s="111"/>
      <c r="R429" s="99"/>
      <c r="S429" s="99"/>
      <c r="T429" s="111"/>
      <c r="U429" s="111"/>
      <c r="V429" s="111"/>
      <c r="W429" s="102"/>
      <c r="X429" s="103" t="str">
        <f t="shared" si="384"/>
        <v/>
      </c>
      <c r="Y429" s="271"/>
      <c r="Z429" s="121"/>
      <c r="AA429" s="121"/>
      <c r="AB429" s="121"/>
      <c r="AC429" s="121"/>
      <c r="AD429" s="121"/>
      <c r="AE429" s="121"/>
      <c r="AF429" s="121"/>
      <c r="AG429" s="121"/>
      <c r="AH429" s="121"/>
      <c r="AI429" s="121"/>
      <c r="AJ429" s="121"/>
      <c r="AK429" s="121"/>
      <c r="AL429" s="121"/>
    </row>
    <row r="430" spans="1:38" s="115" customFormat="1">
      <c r="A430" s="555"/>
      <c r="B430" s="217"/>
      <c r="C430" s="217"/>
      <c r="D430" s="101"/>
      <c r="E430" s="217"/>
      <c r="F430" s="294"/>
      <c r="G430" s="146"/>
      <c r="H430" s="114" t="s">
        <v>763</v>
      </c>
      <c r="I430" s="108">
        <f t="shared" ref="I430" si="394">SUBTOTAL(9,I427:I429)</f>
        <v>3206121.92</v>
      </c>
      <c r="J430" s="108">
        <f t="shared" ref="J430:O430" si="395">SUBTOTAL(9,J427:J429)</f>
        <v>3782394.84</v>
      </c>
      <c r="K430" s="108">
        <f t="shared" ref="K430" si="396">SUBTOTAL(9,K427:K429)</f>
        <v>4005267.8</v>
      </c>
      <c r="L430" s="108">
        <f t="shared" ref="L430" si="397">SUBTOTAL(9,L427:L429)</f>
        <v>4085013.62</v>
      </c>
      <c r="M430" s="108">
        <f t="shared" si="395"/>
        <v>5022787</v>
      </c>
      <c r="N430" s="108">
        <f t="shared" ref="N430" si="398">SUBTOTAL(9,N427:N429)</f>
        <v>3119080.51</v>
      </c>
      <c r="O430" s="108">
        <f t="shared" si="395"/>
        <v>4337195</v>
      </c>
      <c r="P430" s="108">
        <f>SUBTOTAL(9,P427:P429)</f>
        <v>-685592</v>
      </c>
      <c r="Q430" s="108">
        <f t="shared" ref="Q430:T430" si="399">SUBTOTAL(9,Q427:Q429)</f>
        <v>5060458</v>
      </c>
      <c r="R430" s="108">
        <f t="shared" si="399"/>
        <v>0</v>
      </c>
      <c r="S430" s="108">
        <f t="shared" si="399"/>
        <v>0</v>
      </c>
      <c r="T430" s="108">
        <f t="shared" si="399"/>
        <v>5060458</v>
      </c>
      <c r="U430" s="99">
        <f>T430-M430</f>
        <v>37671</v>
      </c>
      <c r="V430" s="259">
        <f>IF(M430=0,"N/A",T430/M430-1)</f>
        <v>7.5000194115337759E-3</v>
      </c>
      <c r="W430" s="102"/>
      <c r="X430" s="103" t="str">
        <f t="shared" si="384"/>
        <v>OK</v>
      </c>
      <c r="Y430" s="271"/>
      <c r="Z430" s="121"/>
      <c r="AA430" s="121"/>
      <c r="AB430" s="121"/>
      <c r="AC430" s="121"/>
      <c r="AD430" s="121"/>
      <c r="AE430" s="121"/>
      <c r="AF430" s="121"/>
      <c r="AG430" s="121"/>
      <c r="AH430" s="121"/>
      <c r="AI430" s="121"/>
      <c r="AJ430" s="121"/>
      <c r="AK430" s="121"/>
      <c r="AL430" s="121"/>
    </row>
    <row r="431" spans="1:38" s="115" customFormat="1" ht="15.75" customHeight="1" thickBot="1">
      <c r="A431" s="555"/>
      <c r="B431" s="217"/>
      <c r="C431" s="217"/>
      <c r="D431" s="101"/>
      <c r="E431" s="217"/>
      <c r="F431" s="294"/>
      <c r="G431" s="146"/>
      <c r="H431" s="98"/>
      <c r="I431" s="218"/>
      <c r="J431" s="218"/>
      <c r="K431" s="218"/>
      <c r="L431" s="218"/>
      <c r="M431" s="218"/>
      <c r="N431" s="96"/>
      <c r="O431" s="96"/>
      <c r="P431" s="96"/>
      <c r="Q431" s="212"/>
      <c r="R431" s="212"/>
      <c r="S431" s="212"/>
      <c r="T431" s="212"/>
      <c r="U431" s="212"/>
      <c r="V431" s="113"/>
      <c r="W431" s="102"/>
      <c r="X431" s="103" t="str">
        <f t="shared" si="384"/>
        <v/>
      </c>
      <c r="Y431" s="271"/>
      <c r="Z431" s="121"/>
      <c r="AA431" s="121"/>
      <c r="AB431" s="121"/>
      <c r="AC431" s="121"/>
      <c r="AD431" s="121"/>
      <c r="AE431" s="121"/>
      <c r="AF431" s="121"/>
      <c r="AG431" s="121"/>
      <c r="AH431" s="121"/>
      <c r="AI431" s="121"/>
      <c r="AJ431" s="121"/>
      <c r="AK431" s="121"/>
      <c r="AL431" s="121"/>
    </row>
    <row r="432" spans="1:38" s="115" customFormat="1" ht="21.6" thickBot="1">
      <c r="A432" s="555"/>
      <c r="B432" s="217"/>
      <c r="C432" s="217"/>
      <c r="D432" s="101"/>
      <c r="E432" s="217"/>
      <c r="F432" s="294"/>
      <c r="G432" s="146"/>
      <c r="H432" s="668" t="s">
        <v>672</v>
      </c>
      <c r="I432" s="669"/>
      <c r="J432" s="669"/>
      <c r="K432" s="669"/>
      <c r="L432" s="669"/>
      <c r="M432" s="669"/>
      <c r="N432" s="669"/>
      <c r="O432" s="669"/>
      <c r="P432" s="669"/>
      <c r="Q432" s="669"/>
      <c r="R432" s="669"/>
      <c r="S432" s="669"/>
      <c r="T432" s="670"/>
      <c r="U432" s="247"/>
      <c r="V432" s="261"/>
      <c r="W432" s="102"/>
      <c r="X432" s="103" t="str">
        <f t="shared" si="384"/>
        <v/>
      </c>
      <c r="Y432" s="271"/>
      <c r="Z432" s="121"/>
      <c r="AA432" s="121"/>
      <c r="AB432" s="121"/>
      <c r="AC432" s="121"/>
      <c r="AD432" s="121"/>
      <c r="AE432" s="121"/>
      <c r="AF432" s="121"/>
      <c r="AG432" s="121"/>
      <c r="AH432" s="121"/>
      <c r="AI432" s="121"/>
      <c r="AJ432" s="121"/>
      <c r="AK432" s="121"/>
      <c r="AL432" s="121"/>
    </row>
    <row r="433" spans="1:38" s="115" customFormat="1" ht="22.8">
      <c r="A433" s="555"/>
      <c r="B433" s="217"/>
      <c r="C433" s="217"/>
      <c r="D433" s="101"/>
      <c r="E433" s="217"/>
      <c r="F433" s="294"/>
      <c r="G433" s="146"/>
      <c r="H433" s="225"/>
      <c r="I433" s="225"/>
      <c r="J433" s="225"/>
      <c r="K433" s="225"/>
      <c r="L433" s="225"/>
      <c r="M433" s="225"/>
      <c r="N433" s="225"/>
      <c r="O433" s="225"/>
      <c r="P433" s="225"/>
      <c r="Q433" s="225"/>
      <c r="R433" s="225"/>
      <c r="S433" s="225"/>
      <c r="T433" s="225"/>
      <c r="U433" s="225"/>
      <c r="V433" s="260"/>
      <c r="W433" s="102"/>
      <c r="X433" s="103" t="str">
        <f t="shared" si="384"/>
        <v/>
      </c>
      <c r="Y433" s="271"/>
      <c r="Z433" s="121"/>
      <c r="AA433" s="121"/>
      <c r="AB433" s="121"/>
      <c r="AC433" s="121"/>
      <c r="AD433" s="121"/>
      <c r="AE433" s="121"/>
      <c r="AF433" s="121"/>
      <c r="AG433" s="121"/>
      <c r="AH433" s="121"/>
      <c r="AI433" s="121"/>
      <c r="AJ433" s="121"/>
      <c r="AK433" s="121"/>
      <c r="AL433" s="121"/>
    </row>
    <row r="434" spans="1:38" s="115" customFormat="1">
      <c r="A434" s="555"/>
      <c r="B434" s="217"/>
      <c r="C434" s="217">
        <v>75</v>
      </c>
      <c r="D434" s="101"/>
      <c r="E434" s="217"/>
      <c r="F434" s="294" t="s">
        <v>131</v>
      </c>
      <c r="G434" s="295" t="str">
        <f>VLOOKUP(F434,'GL Category'!A:C,3,FALSE)</f>
        <v>Personnel services</v>
      </c>
      <c r="H434" s="98" t="str">
        <f>VLOOKUP(F434,'GL Category'!A:C,2,FALSE)</f>
        <v>NON EXEMPT SALARIES</v>
      </c>
      <c r="I434" s="248">
        <f>SUMIFS(I$1:I397,$C$1:$C397,$C434,$F$1:$F397,$F434)</f>
        <v>325491.40999999997</v>
      </c>
      <c r="J434" s="248">
        <f>SUMIFS(J$1:J397,$C$1:$C397,$C434,$F$1:$F397,$F434)</f>
        <v>351717.44</v>
      </c>
      <c r="K434" s="248">
        <f>SUMIFS(K$1:K397,$C$1:$C397,$C434,$F$1:$F397,$F434)</f>
        <v>298239.07</v>
      </c>
      <c r="L434" s="248">
        <f>SUMIFS(L$1:L397,$C$1:$C397,$C434,$F$1:$F397,$F434)</f>
        <v>388163.15</v>
      </c>
      <c r="M434" s="248">
        <f>SUMIFS(M$1:M397,$C$1:$C397,$C434,$F$1:$F397,$F434)</f>
        <v>458226</v>
      </c>
      <c r="N434" s="248">
        <f>SUMIFS(N$1:N397,$C$1:$C397,$C434,$F$1:$F397,$F434)</f>
        <v>303674.81</v>
      </c>
      <c r="O434" s="248">
        <f>SUMIFS(O$1:O397,$C$1:$C397,$C434,$F$1:$F397,$F434)</f>
        <v>414414</v>
      </c>
      <c r="P434" s="248">
        <f>SUMIFS(P$1:P397,$C$1:$C397,$C434,$F$1:$F397,$F434)</f>
        <v>-43812</v>
      </c>
      <c r="Q434" s="248">
        <f>SUMIFS(Q$1:Q397,$C$1:$C397,$C434,$F$1:$F397,$F434)</f>
        <v>471839</v>
      </c>
      <c r="R434" s="248">
        <f>SUMIFS(R$1:R397,$C$1:$C397,$C434,$F$1:$F397,$F434)</f>
        <v>0</v>
      </c>
      <c r="S434" s="248">
        <f>SUMIFS(S$1:S397,$C$1:$C397,$C434,$F$1:$F397,$F434)</f>
        <v>0</v>
      </c>
      <c r="T434" s="248">
        <f>SUMIFS(T$1:T397,$C$1:$C397,$C434,$F$1:$F397,$F434)</f>
        <v>471839</v>
      </c>
      <c r="U434" s="99">
        <f t="shared" ref="U434:U442" si="400">T434-M434</f>
        <v>13613</v>
      </c>
      <c r="V434" s="259">
        <f t="shared" ref="V434:V442" si="401">IF(M434=0,"N/A",T434/M434-1)</f>
        <v>2.9708047993784792E-2</v>
      </c>
      <c r="W434" s="102"/>
      <c r="X434" s="103" t="str">
        <f t="shared" si="384"/>
        <v>OK</v>
      </c>
      <c r="Y434" s="271"/>
      <c r="Z434" s="121"/>
      <c r="AA434" s="121"/>
      <c r="AB434" s="121"/>
      <c r="AC434" s="121"/>
      <c r="AD434" s="121"/>
      <c r="AE434" s="121"/>
      <c r="AF434" s="121"/>
      <c r="AG434" s="121"/>
      <c r="AH434" s="121"/>
      <c r="AI434" s="121"/>
      <c r="AJ434" s="121"/>
      <c r="AK434" s="121"/>
      <c r="AL434" s="121"/>
    </row>
    <row r="435" spans="1:38" s="115" customFormat="1">
      <c r="A435" s="555"/>
      <c r="B435" s="217"/>
      <c r="C435" s="217">
        <v>75</v>
      </c>
      <c r="D435" s="101"/>
      <c r="E435" s="217"/>
      <c r="F435" s="294" t="s">
        <v>133</v>
      </c>
      <c r="G435" s="295" t="str">
        <f>VLOOKUP(F435,'GL Category'!A:C,3,FALSE)</f>
        <v>Personnel services</v>
      </c>
      <c r="H435" s="98" t="str">
        <f>VLOOKUP(F435,'GL Category'!A:C,2,FALSE)</f>
        <v>OVERTIME</v>
      </c>
      <c r="I435" s="248">
        <f>SUMIFS(I$1:I398,$C$1:$C398,$C435,$F$1:$F398,$F435)</f>
        <v>21513.25</v>
      </c>
      <c r="J435" s="248">
        <f>SUMIFS(J$1:J398,$C$1:$C398,$C435,$F$1:$F398,$F435)</f>
        <v>25286.87</v>
      </c>
      <c r="K435" s="248">
        <f>SUMIFS(K$1:K398,$C$1:$C398,$C435,$F$1:$F398,$F435)</f>
        <v>22296.86</v>
      </c>
      <c r="L435" s="248">
        <f>SUMIFS(L$1:L398,$C$1:$C398,$C435,$F$1:$F398,$F435)</f>
        <v>16512.2</v>
      </c>
      <c r="M435" s="248">
        <f>SUMIFS(M$1:M398,$C$1:$C398,$C435,$F$1:$F398,$F435)</f>
        <v>26277</v>
      </c>
      <c r="N435" s="248">
        <f>SUMIFS(N$1:N398,$C$1:$C398,$C435,$F$1:$F398,$F435)</f>
        <v>12738.44</v>
      </c>
      <c r="O435" s="248">
        <f>SUMIFS(O$1:O398,$C$1:$C398,$C435,$F$1:$F398,$F435)</f>
        <v>14673</v>
      </c>
      <c r="P435" s="248">
        <f>SUMIFS(P$1:P398,$C$1:$C398,$C435,$F$1:$F398,$F435)</f>
        <v>-11604</v>
      </c>
      <c r="Q435" s="248">
        <f>SUMIFS(Q$1:Q398,$C$1:$C398,$C435,$F$1:$F398,$F435)</f>
        <v>26201</v>
      </c>
      <c r="R435" s="248">
        <f>SUMIFS(R$1:R398,$C$1:$C398,$C435,$F$1:$F398,$F435)</f>
        <v>0</v>
      </c>
      <c r="S435" s="248">
        <f>SUMIFS(S$1:S398,$C$1:$C398,$C435,$F$1:$F398,$F435)</f>
        <v>0</v>
      </c>
      <c r="T435" s="248">
        <f>SUMIFS(T$1:T398,$C$1:$C398,$C435,$F$1:$F398,$F435)</f>
        <v>26201</v>
      </c>
      <c r="U435" s="99">
        <f t="shared" si="400"/>
        <v>-76</v>
      </c>
      <c r="V435" s="259">
        <f t="shared" si="401"/>
        <v>-2.8922631959508172E-3</v>
      </c>
      <c r="W435" s="102"/>
      <c r="X435" s="103" t="str">
        <f t="shared" si="384"/>
        <v>OK</v>
      </c>
      <c r="Y435" s="271"/>
      <c r="Z435" s="121"/>
      <c r="AA435" s="121"/>
      <c r="AB435" s="121"/>
      <c r="AC435" s="121"/>
      <c r="AD435" s="121"/>
      <c r="AE435" s="121"/>
      <c r="AF435" s="121"/>
      <c r="AG435" s="121"/>
      <c r="AH435" s="121"/>
      <c r="AI435" s="121"/>
      <c r="AJ435" s="121"/>
      <c r="AK435" s="121"/>
      <c r="AL435" s="121"/>
    </row>
    <row r="436" spans="1:38" s="115" customFormat="1">
      <c r="A436" s="555"/>
      <c r="B436" s="217"/>
      <c r="C436" s="217">
        <v>75</v>
      </c>
      <c r="D436" s="101"/>
      <c r="E436" s="217"/>
      <c r="F436" s="294" t="s">
        <v>136</v>
      </c>
      <c r="G436" s="295" t="str">
        <f>VLOOKUP(F436,'GL Category'!A:C,3,FALSE)</f>
        <v>Personnel services</v>
      </c>
      <c r="H436" s="98" t="str">
        <f>VLOOKUP(F436,'GL Category'!A:C,2,FALSE)</f>
        <v>LONGEVITY PAY</v>
      </c>
      <c r="I436" s="248">
        <f>SUMIFS(I$1:I399,$C$1:$C399,$C436,$F$1:$F399,$F436)</f>
        <v>3860</v>
      </c>
      <c r="J436" s="248">
        <f>SUMIFS(J$1:J399,$C$1:$C399,$C436,$F$1:$F399,$F436)</f>
        <v>3775</v>
      </c>
      <c r="K436" s="248">
        <f>SUMIFS(K$1:K399,$C$1:$C399,$C436,$F$1:$F399,$F436)</f>
        <v>4185</v>
      </c>
      <c r="L436" s="248">
        <f>SUMIFS(L$1:L399,$C$1:$C399,$C436,$F$1:$F399,$F436)</f>
        <v>2585</v>
      </c>
      <c r="M436" s="248">
        <f>SUMIFS(M$1:M399,$C$1:$C399,$C436,$F$1:$F399,$F436)</f>
        <v>2890</v>
      </c>
      <c r="N436" s="248">
        <f>SUMIFS(N$1:N399,$C$1:$C399,$C436,$F$1:$F399,$F436)</f>
        <v>4055</v>
      </c>
      <c r="O436" s="248">
        <f>SUMIFS(O$1:O399,$C$1:$C399,$C436,$F$1:$F399,$F436)</f>
        <v>4055</v>
      </c>
      <c r="P436" s="248">
        <f>SUMIFS(P$1:P399,$C$1:$C399,$C436,$F$1:$F399,$F436)</f>
        <v>1165</v>
      </c>
      <c r="Q436" s="248">
        <f>SUMIFS(Q$1:Q399,$C$1:$C399,$C436,$F$1:$F399,$F436)</f>
        <v>3838</v>
      </c>
      <c r="R436" s="248">
        <f>SUMIFS(R$1:R399,$C$1:$C399,$C436,$F$1:$F399,$F436)</f>
        <v>0</v>
      </c>
      <c r="S436" s="248">
        <f>SUMIFS(S$1:S399,$C$1:$C399,$C436,$F$1:$F399,$F436)</f>
        <v>0</v>
      </c>
      <c r="T436" s="248">
        <f>SUMIFS(T$1:T399,$C$1:$C399,$C436,$F$1:$F399,$F436)</f>
        <v>3838</v>
      </c>
      <c r="U436" s="99">
        <f t="shared" si="400"/>
        <v>948</v>
      </c>
      <c r="V436" s="259">
        <f t="shared" si="401"/>
        <v>0.32802768166089957</v>
      </c>
      <c r="W436" s="102"/>
      <c r="X436" s="103" t="str">
        <f t="shared" si="384"/>
        <v>OK</v>
      </c>
      <c r="Y436" s="271"/>
      <c r="Z436" s="121"/>
      <c r="AA436" s="121"/>
      <c r="AB436" s="121"/>
      <c r="AC436" s="121"/>
      <c r="AD436" s="121"/>
      <c r="AE436" s="121"/>
      <c r="AF436" s="121"/>
      <c r="AG436" s="121"/>
      <c r="AH436" s="121"/>
      <c r="AI436" s="121"/>
      <c r="AJ436" s="121"/>
      <c r="AK436" s="121"/>
      <c r="AL436" s="121"/>
    </row>
    <row r="437" spans="1:38" s="115" customFormat="1">
      <c r="A437" s="555"/>
      <c r="B437" s="217"/>
      <c r="C437" s="217">
        <v>75</v>
      </c>
      <c r="D437" s="101"/>
      <c r="E437" s="217"/>
      <c r="F437" s="294" t="s">
        <v>138</v>
      </c>
      <c r="G437" s="295" t="str">
        <f>VLOOKUP(F437,'GL Category'!A:C,3,FALSE)</f>
        <v>Personnel services</v>
      </c>
      <c r="H437" s="98" t="str">
        <f>VLOOKUP(F437,'GL Category'!A:C,2,FALSE)</f>
        <v>INCENTIVE/CERTIFICATION PAY</v>
      </c>
      <c r="I437" s="248">
        <f>SUMIFS(I$1:I400,$C$1:$C400,$C437,$F$1:$F400,$F437)</f>
        <v>2734.82</v>
      </c>
      <c r="J437" s="248">
        <f>SUMIFS(J$1:J400,$C$1:$C400,$C437,$F$1:$F400,$F437)</f>
        <v>2461.14</v>
      </c>
      <c r="K437" s="248">
        <f>SUMIFS(K$1:K400,$C$1:$C400,$C437,$F$1:$F400,$F437)</f>
        <v>2033.5</v>
      </c>
      <c r="L437" s="248">
        <f>SUMIFS(L$1:L400,$C$1:$C400,$C437,$F$1:$F400,$F437)</f>
        <v>1977.75</v>
      </c>
      <c r="M437" s="248">
        <f>SUMIFS(M$1:M400,$C$1:$C400,$C437,$F$1:$F400,$F437)</f>
        <v>2300</v>
      </c>
      <c r="N437" s="248">
        <f>SUMIFS(N$1:N400,$C$1:$C400,$C437,$F$1:$F400,$F437)</f>
        <v>1566</v>
      </c>
      <c r="O437" s="248">
        <f>SUMIFS(O$1:O400,$C$1:$C400,$C437,$F$1:$F400,$F437)</f>
        <v>3085</v>
      </c>
      <c r="P437" s="248">
        <f>SUMIFS(P$1:P400,$C$1:$C400,$C437,$F$1:$F400,$F437)</f>
        <v>785</v>
      </c>
      <c r="Q437" s="248">
        <f>SUMIFS(Q$1:Q400,$C$1:$C400,$C437,$F$1:$F400,$F437)</f>
        <v>2300</v>
      </c>
      <c r="R437" s="248">
        <f>SUMIFS(R$1:R400,$C$1:$C400,$C437,$F$1:$F400,$F437)</f>
        <v>0</v>
      </c>
      <c r="S437" s="248">
        <f>SUMIFS(S$1:S400,$C$1:$C400,$C437,$F$1:$F400,$F437)</f>
        <v>0</v>
      </c>
      <c r="T437" s="248">
        <f>SUMIFS(T$1:T400,$C$1:$C400,$C437,$F$1:$F400,$F437)</f>
        <v>2300</v>
      </c>
      <c r="U437" s="99">
        <f t="shared" si="400"/>
        <v>0</v>
      </c>
      <c r="V437" s="259">
        <f t="shared" si="401"/>
        <v>0</v>
      </c>
      <c r="W437" s="102"/>
      <c r="X437" s="103" t="str">
        <f t="shared" si="384"/>
        <v>OK</v>
      </c>
      <c r="Y437" s="271"/>
      <c r="Z437" s="121"/>
      <c r="AA437" s="121"/>
      <c r="AB437" s="121"/>
      <c r="AC437" s="121"/>
      <c r="AD437" s="121"/>
      <c r="AE437" s="121"/>
      <c r="AF437" s="121"/>
      <c r="AG437" s="121"/>
      <c r="AH437" s="121"/>
      <c r="AI437" s="121"/>
      <c r="AJ437" s="121"/>
      <c r="AK437" s="121"/>
      <c r="AL437" s="121"/>
    </row>
    <row r="438" spans="1:38" s="115" customFormat="1">
      <c r="A438" s="555"/>
      <c r="B438" s="217"/>
      <c r="C438" s="217">
        <v>75</v>
      </c>
      <c r="D438" s="101"/>
      <c r="E438" s="217"/>
      <c r="F438" s="294" t="s">
        <v>140</v>
      </c>
      <c r="G438" s="295" t="str">
        <f>VLOOKUP(F438,'GL Category'!A:C,3,FALSE)</f>
        <v>Personnel services</v>
      </c>
      <c r="H438" s="98" t="str">
        <f>VLOOKUP(F438,'GL Category'!A:C,2,FALSE)</f>
        <v>SOCIAL SECURITY</v>
      </c>
      <c r="I438" s="248">
        <f>SUMIFS(I$1:I400,$C$1:$C400,$C438,$F$1:$F400,$F438)</f>
        <v>25717.49</v>
      </c>
      <c r="J438" s="248">
        <f>SUMIFS(J$1:J400,$C$1:$C400,$C438,$F$1:$F400,$F438)</f>
        <v>27971.279999999999</v>
      </c>
      <c r="K438" s="248">
        <f>SUMIFS(K$1:K400,$C$1:$C400,$C438,$F$1:$F400,$F438)</f>
        <v>23833.22</v>
      </c>
      <c r="L438" s="248">
        <f>SUMIFS(L$1:L400,$C$1:$C400,$C438,$F$1:$F400,$F438)</f>
        <v>18401.509999999998</v>
      </c>
      <c r="M438" s="248">
        <f>SUMIFS(M$1:M400,$C$1:$C400,$C438,$F$1:$F400,$F438)</f>
        <v>37510</v>
      </c>
      <c r="N438" s="248">
        <f>SUMIFS(N$1:N400,$C$1:$C400,$C438,$F$1:$F400,$F438)</f>
        <v>23410.560000000001</v>
      </c>
      <c r="O438" s="248">
        <f>SUMIFS(O$1:O400,$C$1:$C400,$C438,$F$1:$F400,$F438)</f>
        <v>32660</v>
      </c>
      <c r="P438" s="248">
        <f>SUMIFS(P$1:P400,$C$1:$C400,$C438,$F$1:$F400,$F438)</f>
        <v>-4850</v>
      </c>
      <c r="Q438" s="248">
        <f>SUMIFS(Q$1:Q400,$C$1:$C400,$C438,$F$1:$F400,$F438)</f>
        <v>38710</v>
      </c>
      <c r="R438" s="248">
        <f>SUMIFS(R$1:R400,$C$1:$C400,$C438,$F$1:$F400,$F438)</f>
        <v>0</v>
      </c>
      <c r="S438" s="248">
        <f>SUMIFS(S$1:S400,$C$1:$C400,$C438,$F$1:$F400,$F438)</f>
        <v>0</v>
      </c>
      <c r="T438" s="248">
        <f>SUMIFS(T$1:T400,$C$1:$C400,$C438,$F$1:$F400,$F438)</f>
        <v>38710</v>
      </c>
      <c r="U438" s="99">
        <f t="shared" si="400"/>
        <v>1200</v>
      </c>
      <c r="V438" s="259">
        <f t="shared" si="401"/>
        <v>3.1991468941615642E-2</v>
      </c>
      <c r="W438" s="102"/>
      <c r="X438" s="103" t="str">
        <f t="shared" si="384"/>
        <v>OK</v>
      </c>
      <c r="Y438" s="271"/>
      <c r="Z438" s="121"/>
      <c r="AA438" s="121"/>
      <c r="AB438" s="121"/>
      <c r="AC438" s="121"/>
      <c r="AD438" s="121"/>
      <c r="AE438" s="121"/>
      <c r="AF438" s="121"/>
      <c r="AG438" s="121"/>
      <c r="AH438" s="121"/>
      <c r="AI438" s="121"/>
      <c r="AJ438" s="121"/>
      <c r="AK438" s="121"/>
      <c r="AL438" s="121"/>
    </row>
    <row r="439" spans="1:38" s="115" customFormat="1">
      <c r="A439" s="555"/>
      <c r="B439" s="217"/>
      <c r="C439" s="217">
        <v>75</v>
      </c>
      <c r="D439" s="101"/>
      <c r="E439" s="217"/>
      <c r="F439" s="556" t="s">
        <v>141</v>
      </c>
      <c r="G439" s="295" t="str">
        <f>VLOOKUP(F439,'GL Category'!A:C,3,FALSE)</f>
        <v>Personnel services</v>
      </c>
      <c r="H439" s="98" t="str">
        <f>VLOOKUP(F439,'GL Category'!A:C,2,FALSE)</f>
        <v>HEALTH/LIFE INSURANCE</v>
      </c>
      <c r="I439" s="248">
        <f>SUMIFS(I$1:I401,$C$1:$C401,$C439,$F$1:$F401,$F439)</f>
        <v>101971.64</v>
      </c>
      <c r="J439" s="248">
        <f>SUMIFS(J$1:J401,$C$1:$C401,$C439,$F$1:$F401,$F439)</f>
        <v>114899.32</v>
      </c>
      <c r="K439" s="248">
        <f>SUMIFS(K$1:K401,$C$1:$C401,$C439,$F$1:$F401,$F439)</f>
        <v>120773.61</v>
      </c>
      <c r="L439" s="248">
        <f>SUMIFS(L$1:L401,$C$1:$C401,$C439,$F$1:$F401,$F439)</f>
        <v>83960.46</v>
      </c>
      <c r="M439" s="248">
        <f>SUMIFS(M$1:M401,$C$1:$C401,$C439,$F$1:$F401,$F439)</f>
        <v>164609</v>
      </c>
      <c r="N439" s="248">
        <f>SUMIFS(N$1:N401,$C$1:$C401,$C439,$F$1:$F401,$F439)</f>
        <v>95632.9</v>
      </c>
      <c r="O439" s="248">
        <f>SUMIFS(O$1:O401,$C$1:$C401,$C439,$F$1:$F401,$F439)</f>
        <v>149541</v>
      </c>
      <c r="P439" s="248">
        <f>SUMIFS(P$1:P401,$C$1:$C401,$C439,$F$1:$F401,$F439)</f>
        <v>-15068</v>
      </c>
      <c r="Q439" s="248">
        <f>SUMIFS(Q$1:Q401,$C$1:$C401,$C439,$F$1:$F401,$F439)</f>
        <v>186877</v>
      </c>
      <c r="R439" s="248">
        <f>SUMIFS(R$1:R401,$C$1:$C401,$C439,$F$1:$F401,$F439)</f>
        <v>0</v>
      </c>
      <c r="S439" s="248">
        <f>SUMIFS(S$1:S401,$C$1:$C401,$C439,$F$1:$F401,$F439)</f>
        <v>0</v>
      </c>
      <c r="T439" s="248">
        <f>SUMIFS(T$1:T401,$C$1:$C401,$C439,$F$1:$F401,$F439)</f>
        <v>186877</v>
      </c>
      <c r="U439" s="99">
        <f t="shared" ref="U439" si="402">T439-M439</f>
        <v>22268</v>
      </c>
      <c r="V439" s="259">
        <f t="shared" ref="V439" si="403">IF(M439=0,"N/A",T439/M439-1)</f>
        <v>0.13527814396539672</v>
      </c>
      <c r="W439" s="102"/>
      <c r="X439" s="103" t="str">
        <f t="shared" si="384"/>
        <v>OK</v>
      </c>
      <c r="Y439" s="271"/>
      <c r="Z439" s="121"/>
      <c r="AA439" s="121"/>
      <c r="AB439" s="121"/>
      <c r="AC439" s="121"/>
      <c r="AD439" s="121"/>
      <c r="AE439" s="121"/>
      <c r="AF439" s="121"/>
      <c r="AG439" s="121"/>
      <c r="AH439" s="121"/>
      <c r="AI439" s="121"/>
      <c r="AJ439" s="121"/>
      <c r="AK439" s="121"/>
      <c r="AL439" s="121"/>
    </row>
    <row r="440" spans="1:38" s="115" customFormat="1">
      <c r="A440" s="555"/>
      <c r="B440" s="217"/>
      <c r="C440" s="217">
        <v>75</v>
      </c>
      <c r="D440" s="101"/>
      <c r="E440" s="217"/>
      <c r="F440" s="294" t="s">
        <v>143</v>
      </c>
      <c r="G440" s="295" t="str">
        <f>VLOOKUP(F440,'GL Category'!A:C,3,FALSE)</f>
        <v>Personnel services</v>
      </c>
      <c r="H440" s="98" t="str">
        <f>VLOOKUP(F440,'GL Category'!A:C,2,FALSE)</f>
        <v>WORKER COMPENSATION</v>
      </c>
      <c r="I440" s="248">
        <f>SUMIFS(I$1:I402,$C$1:$C402,$C440,$F$1:$F402,$F440)</f>
        <v>3533.76</v>
      </c>
      <c r="J440" s="248">
        <f>SUMIFS(J$1:J402,$C$1:$C402,$C440,$F$1:$F402,$F440)</f>
        <v>3215.45</v>
      </c>
      <c r="K440" s="248">
        <f>SUMIFS(K$1:K402,$C$1:$C402,$C440,$F$1:$F402,$F440)</f>
        <v>3568.53</v>
      </c>
      <c r="L440" s="248">
        <f>SUMIFS(L$1:L402,$C$1:$C402,$C440,$F$1:$F402,$F440)</f>
        <v>6514.69</v>
      </c>
      <c r="M440" s="248">
        <f>SUMIFS(M$1:M402,$C$1:$C402,$C440,$F$1:$F402,$F440)</f>
        <v>8313</v>
      </c>
      <c r="N440" s="248">
        <f>SUMIFS(N$1:N402,$C$1:$C402,$C440,$F$1:$F402,$F440)</f>
        <v>8306.2099999999991</v>
      </c>
      <c r="O440" s="248">
        <f>SUMIFS(O$1:O402,$C$1:$C402,$C440,$F$1:$F402,$F440)</f>
        <v>8306</v>
      </c>
      <c r="P440" s="248">
        <f>SUMIFS(P$1:P402,$C$1:$C402,$C440,$F$1:$F402,$F440)</f>
        <v>-7</v>
      </c>
      <c r="Q440" s="248">
        <f>SUMIFS(Q$1:Q402,$C$1:$C402,$C440,$F$1:$F402,$F440)</f>
        <v>8047</v>
      </c>
      <c r="R440" s="248">
        <f>SUMIFS(R$1:R402,$C$1:$C402,$C440,$F$1:$F402,$F440)</f>
        <v>0</v>
      </c>
      <c r="S440" s="248">
        <f>SUMIFS(S$1:S402,$C$1:$C402,$C440,$F$1:$F402,$F440)</f>
        <v>0</v>
      </c>
      <c r="T440" s="248">
        <f>SUMIFS(T$1:T402,$C$1:$C402,$C440,$F$1:$F402,$F440)</f>
        <v>8047</v>
      </c>
      <c r="U440" s="99">
        <f t="shared" si="400"/>
        <v>-266</v>
      </c>
      <c r="V440" s="259">
        <f t="shared" si="401"/>
        <v>-3.1998075303741103E-2</v>
      </c>
      <c r="W440" s="102"/>
      <c r="X440" s="103" t="str">
        <f t="shared" si="384"/>
        <v>OK</v>
      </c>
      <c r="Y440" s="271"/>
      <c r="Z440" s="121"/>
      <c r="AA440" s="121"/>
      <c r="AB440" s="121"/>
      <c r="AC440" s="121"/>
      <c r="AD440" s="121"/>
      <c r="AE440" s="121"/>
      <c r="AF440" s="121"/>
      <c r="AG440" s="121"/>
      <c r="AH440" s="121"/>
      <c r="AI440" s="121"/>
      <c r="AJ440" s="121"/>
      <c r="AK440" s="121"/>
      <c r="AL440" s="121"/>
    </row>
    <row r="441" spans="1:38" s="115" customFormat="1">
      <c r="A441" s="555"/>
      <c r="B441" s="217"/>
      <c r="C441" s="217">
        <v>75</v>
      </c>
      <c r="D441" s="101"/>
      <c r="E441" s="217"/>
      <c r="F441" s="294" t="s">
        <v>147</v>
      </c>
      <c r="G441" s="295" t="str">
        <f>VLOOKUP(F441,'GL Category'!A:C,3,FALSE)</f>
        <v>Personnel services</v>
      </c>
      <c r="H441" s="98" t="str">
        <f>VLOOKUP(F441,'GL Category'!A:C,2,FALSE)</f>
        <v>RETIREMENT</v>
      </c>
      <c r="I441" s="248">
        <f>SUMIFS(I$1:I402,$C$1:$C402,$C441,$F$1:$F402,$F441)</f>
        <v>56322.400000000001</v>
      </c>
      <c r="J441" s="248">
        <f>SUMIFS(J$1:J402,$C$1:$C402,$C441,$F$1:$F402,$F441)</f>
        <v>61974.55</v>
      </c>
      <c r="K441" s="248">
        <f>SUMIFS(K$1:K402,$C$1:$C402,$C441,$F$1:$F402,$F441)</f>
        <v>53013.08</v>
      </c>
      <c r="L441" s="248">
        <f>SUMIFS(L$1:L402,$C$1:$C402,$C441,$F$1:$F402,$F441)</f>
        <v>42034.34</v>
      </c>
      <c r="M441" s="248">
        <f>SUMIFS(M$1:M402,$C$1:$C402,$C441,$F$1:$F402,$F441)</f>
        <v>80995</v>
      </c>
      <c r="N441" s="248">
        <f>SUMIFS(N$1:N402,$C$1:$C402,$C441,$F$1:$F402,$F441)</f>
        <v>53425.41</v>
      </c>
      <c r="O441" s="248">
        <f>SUMIFS(O$1:O402,$C$1:$C402,$C441,$F$1:$F402,$F441)</f>
        <v>73029</v>
      </c>
      <c r="P441" s="248">
        <f>SUMIFS(P$1:P402,$C$1:$C402,$C441,$F$1:$F402,$F441)</f>
        <v>-7966</v>
      </c>
      <c r="Q441" s="248">
        <f>SUMIFS(Q$1:Q402,$C$1:$C402,$C441,$F$1:$F402,$F441)</f>
        <v>85583</v>
      </c>
      <c r="R441" s="248">
        <f>SUMIFS(R$1:R402,$C$1:$C402,$C441,$F$1:$F402,$F441)</f>
        <v>0</v>
      </c>
      <c r="S441" s="248">
        <f>SUMIFS(S$1:S402,$C$1:$C402,$C441,$F$1:$F402,$F441)</f>
        <v>0</v>
      </c>
      <c r="T441" s="248">
        <f>SUMIFS(T$1:T402,$C$1:$C402,$C441,$F$1:$F402,$F441)</f>
        <v>85583</v>
      </c>
      <c r="U441" s="99">
        <f t="shared" si="400"/>
        <v>4588</v>
      </c>
      <c r="V441" s="259">
        <f t="shared" si="401"/>
        <v>5.6645471942712522E-2</v>
      </c>
      <c r="W441" s="102"/>
      <c r="X441" s="103" t="str">
        <f t="shared" si="384"/>
        <v>OK</v>
      </c>
      <c r="Y441" s="271"/>
      <c r="Z441" s="121"/>
      <c r="AA441" s="121"/>
      <c r="AB441" s="121"/>
      <c r="AC441" s="121"/>
      <c r="AD441" s="121"/>
      <c r="AE441" s="121"/>
      <c r="AF441" s="121"/>
      <c r="AG441" s="121"/>
      <c r="AH441" s="121"/>
      <c r="AI441" s="121"/>
      <c r="AJ441" s="121"/>
      <c r="AK441" s="121"/>
      <c r="AL441" s="121"/>
    </row>
    <row r="442" spans="1:38" s="115" customFormat="1">
      <c r="A442" s="555"/>
      <c r="B442" s="217"/>
      <c r="C442" s="217"/>
      <c r="D442" s="101"/>
      <c r="E442" s="217"/>
      <c r="F442" s="294"/>
      <c r="G442" s="146"/>
      <c r="H442" s="107" t="str">
        <f>UPPER(G441)&amp;" TOTAL"</f>
        <v>PERSONNEL SERVICES TOTAL</v>
      </c>
      <c r="I442" s="108">
        <f t="shared" ref="I442" si="404">SUBTOTAL(9,I434:I441)</f>
        <v>541144.77</v>
      </c>
      <c r="J442" s="108">
        <f t="shared" ref="J442:T442" si="405">SUBTOTAL(9,J434:J441)</f>
        <v>591301.05000000005</v>
      </c>
      <c r="K442" s="108">
        <f t="shared" ref="K442" si="406">SUBTOTAL(9,K434:K441)</f>
        <v>527942.87</v>
      </c>
      <c r="L442" s="108">
        <f t="shared" ref="L442" si="407">SUBTOTAL(9,L434:L441)</f>
        <v>560149.10000000009</v>
      </c>
      <c r="M442" s="108">
        <f t="shared" si="405"/>
        <v>781120</v>
      </c>
      <c r="N442" s="108">
        <f t="shared" ref="N442" si="408">SUBTOTAL(9,N434:N441)</f>
        <v>502809.32999999996</v>
      </c>
      <c r="O442" s="108">
        <f t="shared" si="405"/>
        <v>699763</v>
      </c>
      <c r="P442" s="108">
        <f t="shared" si="405"/>
        <v>-81357</v>
      </c>
      <c r="Q442" s="108">
        <f t="shared" si="405"/>
        <v>823395</v>
      </c>
      <c r="R442" s="108">
        <f t="shared" si="405"/>
        <v>0</v>
      </c>
      <c r="S442" s="108">
        <f t="shared" si="405"/>
        <v>0</v>
      </c>
      <c r="T442" s="108">
        <f t="shared" si="405"/>
        <v>823395</v>
      </c>
      <c r="U442" s="99">
        <f t="shared" si="400"/>
        <v>42275</v>
      </c>
      <c r="V442" s="259">
        <f t="shared" si="401"/>
        <v>5.4121005735354277E-2</v>
      </c>
      <c r="W442" s="102"/>
      <c r="X442" s="103" t="str">
        <f t="shared" si="384"/>
        <v>OK</v>
      </c>
      <c r="Y442" s="271"/>
      <c r="Z442" s="121"/>
      <c r="AA442" s="121"/>
      <c r="AB442" s="121"/>
      <c r="AC442" s="121"/>
      <c r="AD442" s="121"/>
      <c r="AE442" s="121"/>
      <c r="AF442" s="121"/>
      <c r="AG442" s="121"/>
      <c r="AH442" s="121"/>
      <c r="AI442" s="121"/>
      <c r="AJ442" s="121"/>
      <c r="AK442" s="121"/>
      <c r="AL442" s="121"/>
    </row>
    <row r="443" spans="1:38" s="115" customFormat="1">
      <c r="A443" s="555"/>
      <c r="B443" s="217"/>
      <c r="C443" s="217"/>
      <c r="D443" s="101"/>
      <c r="E443" s="217"/>
      <c r="F443" s="294"/>
      <c r="G443" s="146"/>
      <c r="H443" s="98"/>
      <c r="I443" s="106"/>
      <c r="J443" s="106"/>
      <c r="K443" s="106"/>
      <c r="L443" s="106"/>
      <c r="M443" s="106"/>
      <c r="N443" s="110"/>
      <c r="O443" s="110"/>
      <c r="P443" s="110"/>
      <c r="Q443" s="111"/>
      <c r="R443" s="99"/>
      <c r="S443" s="99"/>
      <c r="T443" s="111"/>
      <c r="U443" s="111"/>
      <c r="V443" s="111"/>
      <c r="W443" s="102"/>
      <c r="X443" s="103" t="str">
        <f t="shared" si="384"/>
        <v/>
      </c>
      <c r="Y443" s="271"/>
      <c r="Z443" s="121"/>
      <c r="AA443" s="121"/>
      <c r="AB443" s="121"/>
      <c r="AC443" s="121"/>
      <c r="AD443" s="121"/>
      <c r="AE443" s="121"/>
      <c r="AF443" s="121"/>
      <c r="AG443" s="121"/>
      <c r="AH443" s="121"/>
      <c r="AI443" s="121"/>
      <c r="AJ443" s="121"/>
      <c r="AK443" s="121"/>
      <c r="AL443" s="121"/>
    </row>
    <row r="444" spans="1:38" s="115" customFormat="1" ht="15" customHeight="1">
      <c r="A444" s="555"/>
      <c r="B444" s="217"/>
      <c r="C444" s="217">
        <v>75</v>
      </c>
      <c r="D444" s="101"/>
      <c r="E444" s="217"/>
      <c r="F444" s="556" t="s">
        <v>159</v>
      </c>
      <c r="G444" s="295" t="str">
        <f>VLOOKUP(F444,'GL Category'!A:C,3,FALSE)</f>
        <v>Operations &amp; maintenance</v>
      </c>
      <c r="H444" s="98" t="str">
        <f>VLOOKUP(F444,'GL Category'!A:C,2,FALSE)</f>
        <v>SMALL TOOLS &amp; EQUIPMENT</v>
      </c>
      <c r="I444" s="248">
        <f>SUMIFS(I$1:I405,$C$1:$C405,$C444,$F$1:$F405,$F444)</f>
        <v>733.15</v>
      </c>
      <c r="J444" s="248">
        <f>SUMIFS(J$1:J405,$C$1:$C405,$C444,$F$1:$F405,$F444)</f>
        <v>817.02</v>
      </c>
      <c r="K444" s="248">
        <f>SUMIFS(K$1:K405,$C$1:$C405,$C444,$F$1:$F405,$F444)</f>
        <v>3760.49</v>
      </c>
      <c r="L444" s="248">
        <f>SUMIFS(L$1:L405,$C$1:$C405,$C444,$F$1:$F405,$F444)</f>
        <v>4029.27</v>
      </c>
      <c r="M444" s="248">
        <f>SUMIFS(M$1:M405,$C$1:$C405,$C444,$F$1:$F405,$F444)</f>
        <v>5000</v>
      </c>
      <c r="N444" s="248">
        <f>SUMIFS(N$1:N405,$C$1:$C405,$C444,$F$1:$F405,$F444)</f>
        <v>931.87</v>
      </c>
      <c r="O444" s="248">
        <f>SUMIFS(O$1:O405,$C$1:$C405,$C444,$F$1:$F405,$F444)</f>
        <v>4000</v>
      </c>
      <c r="P444" s="248">
        <f>SUMIFS(P$1:P405,$C$1:$C405,$C444,$F$1:$F405,$F444)</f>
        <v>-1000</v>
      </c>
      <c r="Q444" s="248">
        <f>SUMIFS(Q$1:Q405,$C$1:$C405,$C444,$F$1:$F405,$F444)</f>
        <v>4500</v>
      </c>
      <c r="R444" s="248">
        <f>SUMIFS(R$1:R405,$C$1:$C405,$C444,$F$1:$F405,$F444)</f>
        <v>0</v>
      </c>
      <c r="S444" s="248">
        <f>SUMIFS(S$1:S405,$C$1:$C405,$C444,$F$1:$F405,$F444)</f>
        <v>0</v>
      </c>
      <c r="T444" s="248">
        <f>SUMIFS(T$1:T405,$C$1:$C405,$C444,$F$1:$F405,$F444)</f>
        <v>4500</v>
      </c>
      <c r="U444" s="99">
        <f t="shared" ref="U444:U460" si="409">T444-M444</f>
        <v>-500</v>
      </c>
      <c r="V444" s="259">
        <f t="shared" ref="V444:V460" si="410">IF(M444=0,"N/A",T444/M444-1)</f>
        <v>-9.9999999999999978E-2</v>
      </c>
      <c r="W444" s="102"/>
      <c r="X444" s="103" t="str">
        <f t="shared" si="384"/>
        <v>OK</v>
      </c>
      <c r="Y444" s="271"/>
      <c r="Z444" s="121"/>
      <c r="AA444" s="121"/>
      <c r="AB444" s="121"/>
      <c r="AC444" s="121"/>
      <c r="AD444" s="121"/>
      <c r="AE444" s="121"/>
      <c r="AF444" s="121"/>
      <c r="AG444" s="121"/>
      <c r="AH444" s="121"/>
      <c r="AI444" s="121"/>
      <c r="AJ444" s="121"/>
      <c r="AK444" s="121"/>
      <c r="AL444" s="121"/>
    </row>
    <row r="445" spans="1:38" s="115" customFormat="1" ht="15" customHeight="1">
      <c r="A445" s="555"/>
      <c r="B445" s="217"/>
      <c r="C445" s="217">
        <v>75</v>
      </c>
      <c r="D445" s="101"/>
      <c r="E445" s="217"/>
      <c r="F445" s="294" t="s">
        <v>160</v>
      </c>
      <c r="G445" s="295" t="str">
        <f>VLOOKUP(F445,'GL Category'!A:C,3,FALSE)</f>
        <v>Operations &amp; maintenance</v>
      </c>
      <c r="H445" s="98" t="str">
        <f>VLOOKUP(F445,'GL Category'!A:C,2,FALSE)</f>
        <v>FUEL/OILS/LUBRICANTS</v>
      </c>
      <c r="I445" s="248">
        <f>SUMIFS(I$1:I406,$C$1:$C406,$C445,$F$1:$F406,$F445)</f>
        <v>16512.21</v>
      </c>
      <c r="J445" s="248">
        <f>SUMIFS(J$1:J406,$C$1:$C406,$C445,$F$1:$F406,$F445)</f>
        <v>20230.8</v>
      </c>
      <c r="K445" s="248">
        <f>SUMIFS(K$1:K406,$C$1:$C406,$C445,$F$1:$F406,$F445)</f>
        <v>22607.91</v>
      </c>
      <c r="L445" s="248">
        <f>SUMIFS(L$1:L406,$C$1:$C406,$C445,$F$1:$F406,$F445)</f>
        <v>11278.5</v>
      </c>
      <c r="M445" s="248">
        <f>SUMIFS(M$1:M406,$C$1:$C406,$C445,$F$1:$F406,$F445)</f>
        <v>27650</v>
      </c>
      <c r="N445" s="248">
        <f>SUMIFS(N$1:N406,$C$1:$C406,$C445,$F$1:$F406,$F445)</f>
        <v>12474.16</v>
      </c>
      <c r="O445" s="248">
        <f>SUMIFS(O$1:O406,$C$1:$C406,$C445,$F$1:$F406,$F445)</f>
        <v>22000</v>
      </c>
      <c r="P445" s="248">
        <f>SUMIFS(P$1:P406,$C$1:$C406,$C445,$F$1:$F406,$F445)</f>
        <v>-5650</v>
      </c>
      <c r="Q445" s="248">
        <f>SUMIFS(Q$1:Q406,$C$1:$C406,$C445,$F$1:$F406,$F445)</f>
        <v>25000</v>
      </c>
      <c r="R445" s="248">
        <f>SUMIFS(R$1:R406,$C$1:$C406,$C445,$F$1:$F406,$F445)</f>
        <v>0</v>
      </c>
      <c r="S445" s="248">
        <f>SUMIFS(S$1:S406,$C$1:$C406,$C445,$F$1:$F406,$F445)</f>
        <v>0</v>
      </c>
      <c r="T445" s="248">
        <f>SUMIFS(T$1:T406,$C$1:$C406,$C445,$F$1:$F406,$F445)</f>
        <v>25000</v>
      </c>
      <c r="U445" s="99">
        <f t="shared" si="409"/>
        <v>-2650</v>
      </c>
      <c r="V445" s="259">
        <f t="shared" si="410"/>
        <v>-9.5840867992766698E-2</v>
      </c>
      <c r="W445" s="102"/>
      <c r="X445" s="103" t="str">
        <f t="shared" si="384"/>
        <v>OK</v>
      </c>
      <c r="Y445" s="271"/>
      <c r="Z445" s="121"/>
      <c r="AA445" s="121"/>
      <c r="AB445" s="121"/>
      <c r="AC445" s="121"/>
      <c r="AD445" s="121"/>
      <c r="AE445" s="121"/>
      <c r="AF445" s="121"/>
      <c r="AG445" s="121"/>
      <c r="AH445" s="121"/>
      <c r="AI445" s="121"/>
      <c r="AJ445" s="121"/>
      <c r="AK445" s="121"/>
      <c r="AL445" s="121"/>
    </row>
    <row r="446" spans="1:38" s="115" customFormat="1" ht="15" customHeight="1">
      <c r="A446" s="555"/>
      <c r="B446" s="217"/>
      <c r="C446" s="217">
        <v>75</v>
      </c>
      <c r="D446" s="101"/>
      <c r="E446" s="217"/>
      <c r="F446" s="294" t="s">
        <v>233</v>
      </c>
      <c r="G446" s="295" t="str">
        <f>VLOOKUP(F446,'GL Category'!A:C,3,FALSE)</f>
        <v>Operations &amp; maintenance</v>
      </c>
      <c r="H446" s="98" t="str">
        <f>VLOOKUP(F446,'GL Category'!A:C,2,FALSE)</f>
        <v>STREET SIGN/SIGNAL SUPPLIES</v>
      </c>
      <c r="I446" s="248">
        <f>SUMIFS(I$1:I407,$C$1:$C407,$C446,$F$1:$F407,$F446)</f>
        <v>0</v>
      </c>
      <c r="J446" s="248">
        <f>SUMIFS(J$1:J407,$C$1:$C407,$C446,$F$1:$F407,$F446)</f>
        <v>0</v>
      </c>
      <c r="K446" s="248">
        <f>SUMIFS(K$1:K407,$C$1:$C407,$C446,$F$1:$F407,$F446)</f>
        <v>0</v>
      </c>
      <c r="L446" s="248">
        <f>SUMIFS(L$1:L407,$C$1:$C407,$C446,$F$1:$F407,$F446)</f>
        <v>0</v>
      </c>
      <c r="M446" s="248">
        <f>SUMIFS(M$1:M407,$C$1:$C407,$C446,$F$1:$F407,$F446)</f>
        <v>0</v>
      </c>
      <c r="N446" s="248">
        <f>SUMIFS(N$1:N407,$C$1:$C407,$C446,$F$1:$F407,$F446)</f>
        <v>0</v>
      </c>
      <c r="O446" s="248">
        <f>SUMIFS(O$1:O407,$C$1:$C407,$C446,$F$1:$F407,$F446)</f>
        <v>0</v>
      </c>
      <c r="P446" s="248">
        <f>SUMIFS(P$1:P407,$C$1:$C407,$C446,$F$1:$F407,$F446)</f>
        <v>0</v>
      </c>
      <c r="Q446" s="248">
        <f>SUMIFS(Q$1:Q407,$C$1:$C407,$C446,$F$1:$F407,$F446)</f>
        <v>0</v>
      </c>
      <c r="R446" s="248">
        <f>SUMIFS(R$1:R407,$C$1:$C407,$C446,$F$1:$F407,$F446)</f>
        <v>0</v>
      </c>
      <c r="S446" s="248">
        <f>SUMIFS(S$1:S407,$C$1:$C407,$C446,$F$1:$F407,$F446)</f>
        <v>0</v>
      </c>
      <c r="T446" s="248">
        <f>SUMIFS(T$1:T407,$C$1:$C407,$C446,$F$1:$F407,$F446)</f>
        <v>0</v>
      </c>
      <c r="U446" s="99">
        <f t="shared" si="409"/>
        <v>0</v>
      </c>
      <c r="V446" s="259" t="str">
        <f t="shared" si="410"/>
        <v>N/A</v>
      </c>
      <c r="W446" s="102"/>
      <c r="X446" s="103" t="str">
        <f t="shared" si="384"/>
        <v>OK</v>
      </c>
      <c r="Y446" s="271"/>
      <c r="Z446" s="121"/>
      <c r="AA446" s="121"/>
      <c r="AB446" s="121"/>
      <c r="AC446" s="121"/>
      <c r="AD446" s="121"/>
      <c r="AE446" s="121"/>
      <c r="AF446" s="121"/>
      <c r="AG446" s="121"/>
      <c r="AH446" s="121"/>
      <c r="AI446" s="121"/>
      <c r="AJ446" s="121"/>
      <c r="AK446" s="121"/>
      <c r="AL446" s="121"/>
    </row>
    <row r="447" spans="1:38" s="115" customFormat="1" ht="15" customHeight="1">
      <c r="A447" s="555"/>
      <c r="B447" s="217"/>
      <c r="C447" s="217">
        <v>75</v>
      </c>
      <c r="D447" s="101"/>
      <c r="E447" s="217"/>
      <c r="F447" s="294" t="s">
        <v>275</v>
      </c>
      <c r="G447" s="295" t="str">
        <f>VLOOKUP(F447,'GL Category'!A:C,3,FALSE)</f>
        <v>Operations &amp; maintenance</v>
      </c>
      <c r="H447" s="98" t="str">
        <f>VLOOKUP(F447,'GL Category'!A:C,2,FALSE)</f>
        <v>CHEMICAL SUPPLIES</v>
      </c>
      <c r="I447" s="248">
        <f>SUMIFS(I$1:I408,$C$1:$C408,$C447,$F$1:$F408,$F447)</f>
        <v>1847.14</v>
      </c>
      <c r="J447" s="248">
        <f>SUMIFS(J$1:J408,$C$1:$C408,$C447,$F$1:$F408,$F447)</f>
        <v>213.87</v>
      </c>
      <c r="K447" s="248">
        <f>SUMIFS(K$1:K408,$C$1:$C408,$C447,$F$1:$F408,$F447)</f>
        <v>0</v>
      </c>
      <c r="L447" s="248">
        <f>SUMIFS(L$1:L408,$C$1:$C408,$C447,$F$1:$F408,$F447)</f>
        <v>3520</v>
      </c>
      <c r="M447" s="248">
        <f>SUMIFS(M$1:M408,$C$1:$C408,$C447,$F$1:$F408,$F447)</f>
        <v>1700</v>
      </c>
      <c r="N447" s="248">
        <f>SUMIFS(N$1:N408,$C$1:$C408,$C447,$F$1:$F408,$F447)</f>
        <v>146.04</v>
      </c>
      <c r="O447" s="248">
        <f>SUMIFS(O$1:O408,$C$1:$C408,$C447,$F$1:$F408,$F447)</f>
        <v>1500</v>
      </c>
      <c r="P447" s="248">
        <f>SUMIFS(P$1:P408,$C$1:$C408,$C447,$F$1:$F408,$F447)</f>
        <v>-200</v>
      </c>
      <c r="Q447" s="248">
        <f>SUMIFS(Q$1:Q408,$C$1:$C408,$C447,$F$1:$F408,$F447)</f>
        <v>1700</v>
      </c>
      <c r="R447" s="248">
        <f>SUMIFS(R$1:R408,$C$1:$C408,$C447,$F$1:$F408,$F447)</f>
        <v>0</v>
      </c>
      <c r="S447" s="248">
        <f>SUMIFS(S$1:S408,$C$1:$C408,$C447,$F$1:$F408,$F447)</f>
        <v>0</v>
      </c>
      <c r="T447" s="248">
        <f>SUMIFS(T$1:T408,$C$1:$C408,$C447,$F$1:$F408,$F447)</f>
        <v>1700</v>
      </c>
      <c r="U447" s="99">
        <f t="shared" si="409"/>
        <v>0</v>
      </c>
      <c r="V447" s="259">
        <f t="shared" si="410"/>
        <v>0</v>
      </c>
      <c r="W447" s="102"/>
      <c r="X447" s="103" t="str">
        <f t="shared" si="384"/>
        <v>OK</v>
      </c>
      <c r="Y447" s="271"/>
      <c r="Z447" s="121"/>
      <c r="AA447" s="121"/>
      <c r="AB447" s="121"/>
      <c r="AC447" s="121"/>
      <c r="AD447" s="121"/>
      <c r="AE447" s="121"/>
      <c r="AF447" s="121"/>
      <c r="AG447" s="121"/>
      <c r="AH447" s="121"/>
      <c r="AI447" s="121"/>
      <c r="AJ447" s="121"/>
      <c r="AK447" s="121"/>
      <c r="AL447" s="121"/>
    </row>
    <row r="448" spans="1:38" s="115" customFormat="1" ht="15" customHeight="1">
      <c r="A448" s="555"/>
      <c r="B448" s="217"/>
      <c r="C448" s="217">
        <v>75</v>
      </c>
      <c r="D448" s="101"/>
      <c r="E448" s="217"/>
      <c r="F448" s="294" t="s">
        <v>166</v>
      </c>
      <c r="G448" s="295" t="str">
        <f>VLOOKUP(F448,'GL Category'!A:C,3,FALSE)</f>
        <v>Operations &amp; maintenance</v>
      </c>
      <c r="H448" s="98" t="str">
        <f>VLOOKUP(F448,'GL Category'!A:C,2,FALSE)</f>
        <v>WEARING APPAREL</v>
      </c>
      <c r="I448" s="248">
        <f>SUMIFS(I$1:I409,$C$1:$C409,$C448,$F$1:$F409,$F448)</f>
        <v>4778.0600000000004</v>
      </c>
      <c r="J448" s="248">
        <f>SUMIFS(J$1:J409,$C$1:$C409,$C448,$F$1:$F409,$F448)</f>
        <v>2434.34</v>
      </c>
      <c r="K448" s="248">
        <f>SUMIFS(K$1:K409,$C$1:$C409,$C448,$F$1:$F409,$F448)</f>
        <v>3134.91</v>
      </c>
      <c r="L448" s="248">
        <f>SUMIFS(L$1:L409,$C$1:$C409,$C448,$F$1:$F409,$F448)</f>
        <v>3674.24</v>
      </c>
      <c r="M448" s="248">
        <f>SUMIFS(M$1:M409,$C$1:$C409,$C448,$F$1:$F409,$F448)</f>
        <v>6000</v>
      </c>
      <c r="N448" s="248">
        <f>SUMIFS(N$1:N409,$C$1:$C409,$C448,$F$1:$F409,$F448)</f>
        <v>4271.07</v>
      </c>
      <c r="O448" s="248">
        <f>SUMIFS(O$1:O409,$C$1:$C409,$C448,$F$1:$F409,$F448)</f>
        <v>4000</v>
      </c>
      <c r="P448" s="248">
        <f>SUMIFS(P$1:P409,$C$1:$C409,$C448,$F$1:$F409,$F448)</f>
        <v>-2000</v>
      </c>
      <c r="Q448" s="248">
        <f>SUMIFS(Q$1:Q409,$C$1:$C409,$C448,$F$1:$F409,$F448)</f>
        <v>5000</v>
      </c>
      <c r="R448" s="248">
        <f>SUMIFS(R$1:R409,$C$1:$C409,$C448,$F$1:$F409,$F448)</f>
        <v>0</v>
      </c>
      <c r="S448" s="248">
        <f>SUMIFS(S$1:S409,$C$1:$C409,$C448,$F$1:$F409,$F448)</f>
        <v>0</v>
      </c>
      <c r="T448" s="248">
        <f>SUMIFS(T$1:T409,$C$1:$C409,$C448,$F$1:$F409,$F448)</f>
        <v>5000</v>
      </c>
      <c r="U448" s="99">
        <f t="shared" si="409"/>
        <v>-1000</v>
      </c>
      <c r="V448" s="259">
        <f t="shared" si="410"/>
        <v>-0.16666666666666663</v>
      </c>
      <c r="W448" s="102"/>
      <c r="X448" s="103" t="str">
        <f t="shared" si="384"/>
        <v>OK</v>
      </c>
      <c r="Y448" s="271"/>
      <c r="Z448" s="121"/>
      <c r="AA448" s="121"/>
      <c r="AB448" s="121"/>
      <c r="AC448" s="121"/>
      <c r="AD448" s="121"/>
      <c r="AE448" s="121"/>
      <c r="AF448" s="121"/>
      <c r="AG448" s="121"/>
      <c r="AH448" s="121"/>
      <c r="AI448" s="121"/>
      <c r="AJ448" s="121"/>
      <c r="AK448" s="121"/>
      <c r="AL448" s="121"/>
    </row>
    <row r="449" spans="1:38" s="115" customFormat="1" ht="15" customHeight="1">
      <c r="A449" s="555"/>
      <c r="B449" s="217"/>
      <c r="C449" s="217">
        <v>75</v>
      </c>
      <c r="D449" s="101"/>
      <c r="E449" s="217"/>
      <c r="F449" s="294" t="s">
        <v>273</v>
      </c>
      <c r="G449" s="295" t="str">
        <f>VLOOKUP(F449,'GL Category'!A:C,3,FALSE)</f>
        <v>Operations &amp; maintenance</v>
      </c>
      <c r="H449" s="98" t="str">
        <f>VLOOKUP(F449,'GL Category'!A:C,2,FALSE)</f>
        <v>SAFETY EQUIPMENT/SUPPLIES</v>
      </c>
      <c r="I449" s="248">
        <f>SUMIFS(I$1:I410,$C$1:$C410,$C449,$F$1:$F410,$F449)</f>
        <v>8354.94</v>
      </c>
      <c r="J449" s="248">
        <f>SUMIFS(J$1:J410,$C$1:$C410,$C449,$F$1:$F410,$F449)</f>
        <v>7994.87</v>
      </c>
      <c r="K449" s="248">
        <f>SUMIFS(K$1:K410,$C$1:$C410,$C449,$F$1:$F410,$F449)</f>
        <v>5512.75</v>
      </c>
      <c r="L449" s="248">
        <f>SUMIFS(L$1:L410,$C$1:$C410,$C449,$F$1:$F410,$F449)</f>
        <v>0</v>
      </c>
      <c r="M449" s="248">
        <f>SUMIFS(M$1:M410,$C$1:$C410,$C449,$F$1:$F410,$F449)</f>
        <v>0</v>
      </c>
      <c r="N449" s="248">
        <f>SUMIFS(N$1:N410,$C$1:$C410,$C449,$F$1:$F410,$F449)</f>
        <v>0</v>
      </c>
      <c r="O449" s="248">
        <f>SUMIFS(O$1:O410,$C$1:$C410,$C449,$F$1:$F410,$F449)</f>
        <v>0</v>
      </c>
      <c r="P449" s="248">
        <f>SUMIFS(P$1:P410,$C$1:$C410,$C449,$F$1:$F410,$F449)</f>
        <v>0</v>
      </c>
      <c r="Q449" s="248">
        <f>SUMIFS(Q$1:Q410,$C$1:$C410,$C449,$F$1:$F410,$F449)</f>
        <v>0</v>
      </c>
      <c r="R449" s="248">
        <f>SUMIFS(R$1:R410,$C$1:$C410,$C449,$F$1:$F410,$F449)</f>
        <v>0</v>
      </c>
      <c r="S449" s="248">
        <f>SUMIFS(S$1:S410,$C$1:$C410,$C449,$F$1:$F410,$F449)</f>
        <v>0</v>
      </c>
      <c r="T449" s="248">
        <f>SUMIFS(T$1:T410,$C$1:$C410,$C449,$F$1:$F410,$F449)</f>
        <v>0</v>
      </c>
      <c r="U449" s="99">
        <f t="shared" si="409"/>
        <v>0</v>
      </c>
      <c r="V449" s="259" t="str">
        <f t="shared" si="410"/>
        <v>N/A</v>
      </c>
      <c r="W449" s="102"/>
      <c r="X449" s="103" t="str">
        <f t="shared" si="384"/>
        <v>OK</v>
      </c>
      <c r="Y449" s="271"/>
      <c r="Z449" s="121"/>
      <c r="AA449" s="121"/>
      <c r="AB449" s="121"/>
      <c r="AC449" s="121"/>
      <c r="AD449" s="121"/>
      <c r="AE449" s="121"/>
      <c r="AF449" s="121"/>
      <c r="AG449" s="121"/>
      <c r="AH449" s="121"/>
      <c r="AI449" s="121"/>
      <c r="AJ449" s="121"/>
      <c r="AK449" s="121"/>
      <c r="AL449" s="121"/>
    </row>
    <row r="450" spans="1:38" s="115" customFormat="1" ht="15" customHeight="1">
      <c r="A450" s="555"/>
      <c r="B450" s="217"/>
      <c r="C450" s="217">
        <v>75</v>
      </c>
      <c r="D450" s="101"/>
      <c r="E450" s="217"/>
      <c r="F450" s="294" t="s">
        <v>168</v>
      </c>
      <c r="G450" s="295" t="str">
        <f>VLOOKUP(F450,'GL Category'!A:C,3,FALSE)</f>
        <v>Operations &amp; maintenance</v>
      </c>
      <c r="H450" s="98" t="str">
        <f>VLOOKUP(F450,'GL Category'!A:C,2,FALSE)</f>
        <v>MISCELLANEOUS SUPPLIES</v>
      </c>
      <c r="I450" s="248">
        <f>SUMIFS(I$1:I411,$C$1:$C411,$C450,$F$1:$F411,$F450)</f>
        <v>0</v>
      </c>
      <c r="J450" s="248">
        <f>SUMIFS(J$1:J411,$C$1:$C411,$C450,$F$1:$F411,$F450)</f>
        <v>0</v>
      </c>
      <c r="K450" s="248">
        <f>SUMIFS(K$1:K411,$C$1:$C411,$C450,$F$1:$F411,$F450)</f>
        <v>0</v>
      </c>
      <c r="L450" s="248">
        <f>SUMIFS(L$1:L411,$C$1:$C411,$C450,$F$1:$F411,$F450)</f>
        <v>0</v>
      </c>
      <c r="M450" s="248">
        <f>SUMIFS(M$1:M411,$C$1:$C411,$C450,$F$1:$F411,$F450)</f>
        <v>0</v>
      </c>
      <c r="N450" s="248">
        <f>SUMIFS(N$1:N411,$C$1:$C411,$C450,$F$1:$F411,$F450)</f>
        <v>0</v>
      </c>
      <c r="O450" s="248">
        <f>SUMIFS(O$1:O411,$C$1:$C411,$C450,$F$1:$F411,$F450)</f>
        <v>0</v>
      </c>
      <c r="P450" s="248">
        <f>SUMIFS(P$1:P411,$C$1:$C411,$C450,$F$1:$F411,$F450)</f>
        <v>0</v>
      </c>
      <c r="Q450" s="248">
        <f>SUMIFS(Q$1:Q411,$C$1:$C411,$C450,$F$1:$F411,$F450)</f>
        <v>0</v>
      </c>
      <c r="R450" s="248">
        <f>SUMIFS(R$1:R411,$C$1:$C411,$C450,$F$1:$F411,$F450)</f>
        <v>0</v>
      </c>
      <c r="S450" s="248">
        <f>SUMIFS(S$1:S411,$C$1:$C411,$C450,$F$1:$F411,$F450)</f>
        <v>0</v>
      </c>
      <c r="T450" s="248">
        <f>SUMIFS(T$1:T411,$C$1:$C411,$C450,$F$1:$F411,$F450)</f>
        <v>0</v>
      </c>
      <c r="U450" s="99">
        <f t="shared" si="409"/>
        <v>0</v>
      </c>
      <c r="V450" s="259" t="str">
        <f t="shared" si="410"/>
        <v>N/A</v>
      </c>
      <c r="W450" s="102"/>
      <c r="X450" s="103" t="str">
        <f t="shared" si="384"/>
        <v>OK</v>
      </c>
      <c r="Y450" s="271"/>
      <c r="Z450" s="121"/>
      <c r="AA450" s="121"/>
      <c r="AB450" s="121"/>
      <c r="AC450" s="121"/>
      <c r="AD450" s="121"/>
      <c r="AE450" s="121"/>
      <c r="AF450" s="121"/>
      <c r="AG450" s="121"/>
      <c r="AH450" s="121"/>
      <c r="AI450" s="121"/>
      <c r="AJ450" s="121"/>
      <c r="AK450" s="121"/>
      <c r="AL450" s="121"/>
    </row>
    <row r="451" spans="1:38" s="115" customFormat="1" ht="15" hidden="1" customHeight="1">
      <c r="A451" s="555"/>
      <c r="B451" s="217"/>
      <c r="C451" s="217">
        <v>75</v>
      </c>
      <c r="D451" s="101"/>
      <c r="E451" s="217"/>
      <c r="F451" s="294" t="s">
        <v>170</v>
      </c>
      <c r="G451" s="295" t="str">
        <f>VLOOKUP(F451,'GL Category'!A:C,3,FALSE)</f>
        <v>Operations &amp; maintenance</v>
      </c>
      <c r="H451" s="98" t="str">
        <f>VLOOKUP(F451,'GL Category'!A:C,2,FALSE)</f>
        <v>BUILDING MAINTENANCE</v>
      </c>
      <c r="I451" s="248">
        <f>SUMIFS(I$1:I412,$C$1:$C412,$C451,$F$1:$F412,$F451)</f>
        <v>0</v>
      </c>
      <c r="J451" s="248">
        <f>SUMIFS(J$1:J412,$C$1:$C412,$C451,$F$1:$F412,$F451)</f>
        <v>0</v>
      </c>
      <c r="K451" s="248">
        <f>SUMIFS(K$1:K412,$C$1:$C412,$C451,$F$1:$F412,$F451)</f>
        <v>0</v>
      </c>
      <c r="L451" s="248">
        <f>SUMIFS(L$1:L412,$C$1:$C412,$C451,$F$1:$F412,$F451)</f>
        <v>0</v>
      </c>
      <c r="M451" s="248">
        <f>SUMIFS(M$1:M412,$C$1:$C412,$C451,$F$1:$F412,$F451)</f>
        <v>0</v>
      </c>
      <c r="N451" s="248">
        <f>SUMIFS(N$1:N412,$C$1:$C412,$C451,$F$1:$F412,$F451)</f>
        <v>0</v>
      </c>
      <c r="O451" s="248">
        <f>SUMIFS(O$1:O412,$C$1:$C412,$C451,$F$1:$F412,$F451)</f>
        <v>0</v>
      </c>
      <c r="P451" s="248">
        <f>SUMIFS(P$1:P412,$C$1:$C412,$C451,$F$1:$F412,$F451)</f>
        <v>0</v>
      </c>
      <c r="Q451" s="248">
        <f>SUMIFS(Q$1:Q412,$C$1:$C412,$C451,$F$1:$F412,$F451)</f>
        <v>0</v>
      </c>
      <c r="R451" s="248">
        <f>SUMIFS(R$1:R412,$C$1:$C412,$C451,$F$1:$F412,$F451)</f>
        <v>0</v>
      </c>
      <c r="S451" s="248">
        <f>SUMIFS(S$1:S412,$C$1:$C412,$C451,$F$1:$F412,$F451)</f>
        <v>0</v>
      </c>
      <c r="T451" s="248">
        <f>SUMIFS(T$1:T412,$C$1:$C412,$C451,$F$1:$F412,$F451)</f>
        <v>0</v>
      </c>
      <c r="U451" s="99">
        <f t="shared" si="409"/>
        <v>0</v>
      </c>
      <c r="V451" s="259" t="str">
        <f t="shared" si="410"/>
        <v>N/A</v>
      </c>
      <c r="W451" s="102"/>
      <c r="X451" s="103" t="str">
        <f t="shared" si="384"/>
        <v>OK</v>
      </c>
      <c r="Y451" s="271"/>
      <c r="Z451" s="121"/>
      <c r="AA451" s="121"/>
      <c r="AB451" s="121"/>
      <c r="AC451" s="121"/>
      <c r="AD451" s="121"/>
      <c r="AE451" s="121"/>
      <c r="AF451" s="121"/>
      <c r="AG451" s="121"/>
      <c r="AH451" s="121"/>
      <c r="AI451" s="121"/>
      <c r="AJ451" s="121"/>
      <c r="AK451" s="121"/>
      <c r="AL451" s="121"/>
    </row>
    <row r="452" spans="1:38" s="115" customFormat="1" ht="15" customHeight="1">
      <c r="A452" s="555"/>
      <c r="B452" s="217"/>
      <c r="C452" s="217">
        <v>75</v>
      </c>
      <c r="D452" s="101"/>
      <c r="E452" s="217"/>
      <c r="F452" s="294" t="s">
        <v>172</v>
      </c>
      <c r="G452" s="295" t="str">
        <f>VLOOKUP(F452,'GL Category'!A:C,3,FALSE)</f>
        <v>Operations &amp; maintenance</v>
      </c>
      <c r="H452" s="98" t="str">
        <f>VLOOKUP(F452,'GL Category'!A:C,2,FALSE)</f>
        <v>GROUNDS MAINTENANCE</v>
      </c>
      <c r="I452" s="248">
        <f>SUMIFS(I$1:I414,$C$1:$C414,$C452,$F$1:$F414,$F452)</f>
        <v>0</v>
      </c>
      <c r="J452" s="248">
        <f>SUMIFS(J$1:J414,$C$1:$C414,$C452,$F$1:$F414,$F452)</f>
        <v>0</v>
      </c>
      <c r="K452" s="248">
        <f>SUMIFS(K$1:K414,$C$1:$C414,$C452,$F$1:$F414,$F452)</f>
        <v>0</v>
      </c>
      <c r="L452" s="248">
        <f>SUMIFS(L$1:L414,$C$1:$C414,$C452,$F$1:$F414,$F452)</f>
        <v>0</v>
      </c>
      <c r="M452" s="248">
        <f>SUMIFS(M$1:M414,$C$1:$C414,$C452,$F$1:$F414,$F452)</f>
        <v>0</v>
      </c>
      <c r="N452" s="248">
        <f>SUMIFS(N$1:N414,$C$1:$C414,$C452,$F$1:$F414,$F452)</f>
        <v>0</v>
      </c>
      <c r="O452" s="248">
        <f>SUMIFS(O$1:O414,$C$1:$C414,$C452,$F$1:$F414,$F452)</f>
        <v>0</v>
      </c>
      <c r="P452" s="248">
        <f>SUMIFS(P$1:P414,$C$1:$C414,$C452,$F$1:$F414,$F452)</f>
        <v>0</v>
      </c>
      <c r="Q452" s="248">
        <f>SUMIFS(Q$1:Q414,$C$1:$C414,$C452,$F$1:$F414,$F452)</f>
        <v>0</v>
      </c>
      <c r="R452" s="248">
        <f>SUMIFS(R$1:R414,$C$1:$C414,$C452,$F$1:$F414,$F452)</f>
        <v>0</v>
      </c>
      <c r="S452" s="248">
        <f>SUMIFS(S$1:S414,$C$1:$C414,$C452,$F$1:$F414,$F452)</f>
        <v>0</v>
      </c>
      <c r="T452" s="248">
        <f>SUMIFS(T$1:T414,$C$1:$C414,$C452,$F$1:$F414,$F452)</f>
        <v>0</v>
      </c>
      <c r="U452" s="99">
        <f t="shared" si="409"/>
        <v>0</v>
      </c>
      <c r="V452" s="259" t="str">
        <f t="shared" si="410"/>
        <v>N/A</v>
      </c>
      <c r="W452" s="102"/>
      <c r="X452" s="103" t="str">
        <f t="shared" si="384"/>
        <v>OK</v>
      </c>
      <c r="Y452" s="271"/>
      <c r="Z452" s="121"/>
      <c r="AA452" s="121"/>
      <c r="AB452" s="121"/>
      <c r="AC452" s="121"/>
      <c r="AD452" s="121"/>
      <c r="AE452" s="121"/>
      <c r="AF452" s="121"/>
      <c r="AG452" s="121"/>
      <c r="AH452" s="121"/>
      <c r="AI452" s="121"/>
      <c r="AJ452" s="121"/>
      <c r="AK452" s="121"/>
      <c r="AL452" s="121"/>
    </row>
    <row r="453" spans="1:38" s="115" customFormat="1" ht="15" customHeight="1">
      <c r="A453" s="555"/>
      <c r="B453" s="217"/>
      <c r="C453" s="217">
        <v>75</v>
      </c>
      <c r="D453" s="101"/>
      <c r="E453" s="217"/>
      <c r="F453" s="294" t="s">
        <v>293</v>
      </c>
      <c r="G453" s="295" t="str">
        <f>VLOOKUP(F453,'GL Category'!A:C,3,FALSE)</f>
        <v>Operations &amp; maintenance</v>
      </c>
      <c r="H453" s="98" t="str">
        <f>VLOOKUP(F453,'GL Category'!A:C,2,FALSE)</f>
        <v>STREET MAINTENANCE</v>
      </c>
      <c r="I453" s="248">
        <f>SUMIFS(I$1:I415,$C$1:$C415,$C453,$F$1:$F415,$F453)</f>
        <v>0</v>
      </c>
      <c r="J453" s="248">
        <f>SUMIFS(J$1:J415,$C$1:$C415,$C453,$F$1:$F415,$F453)</f>
        <v>0</v>
      </c>
      <c r="K453" s="248">
        <f>SUMIFS(K$1:K415,$C$1:$C415,$C453,$F$1:$F415,$F453)</f>
        <v>0</v>
      </c>
      <c r="L453" s="248">
        <f>SUMIFS(L$1:L415,$C$1:$C415,$C453,$F$1:$F415,$F453)</f>
        <v>0</v>
      </c>
      <c r="M453" s="248">
        <f>SUMIFS(M$1:M415,$C$1:$C415,$C453,$F$1:$F415,$F453)</f>
        <v>0</v>
      </c>
      <c r="N453" s="248">
        <f>SUMIFS(N$1:N415,$C$1:$C415,$C453,$F$1:$F415,$F453)</f>
        <v>0</v>
      </c>
      <c r="O453" s="248">
        <f>SUMIFS(O$1:O415,$C$1:$C415,$C453,$F$1:$F415,$F453)</f>
        <v>0</v>
      </c>
      <c r="P453" s="248">
        <f>SUMIFS(P$1:P415,$C$1:$C415,$C453,$F$1:$F415,$F453)</f>
        <v>0</v>
      </c>
      <c r="Q453" s="248">
        <f>SUMIFS(Q$1:Q415,$C$1:$C415,$C453,$F$1:$F415,$F453)</f>
        <v>0</v>
      </c>
      <c r="R453" s="248">
        <f>SUMIFS(R$1:R415,$C$1:$C415,$C453,$F$1:$F415,$F453)</f>
        <v>0</v>
      </c>
      <c r="S453" s="248">
        <f>SUMIFS(S$1:S415,$C$1:$C415,$C453,$F$1:$F415,$F453)</f>
        <v>0</v>
      </c>
      <c r="T453" s="248">
        <f>SUMIFS(T$1:T415,$C$1:$C415,$C453,$F$1:$F415,$F453)</f>
        <v>0</v>
      </c>
      <c r="U453" s="99">
        <f t="shared" si="409"/>
        <v>0</v>
      </c>
      <c r="V453" s="259" t="str">
        <f t="shared" si="410"/>
        <v>N/A</v>
      </c>
      <c r="W453" s="102"/>
      <c r="X453" s="103" t="str">
        <f t="shared" si="384"/>
        <v>OK</v>
      </c>
      <c r="Y453" s="271"/>
      <c r="Z453" s="121"/>
      <c r="AA453" s="121"/>
      <c r="AB453" s="121"/>
      <c r="AC453" s="121"/>
      <c r="AD453" s="121"/>
      <c r="AE453" s="121"/>
      <c r="AF453" s="121"/>
      <c r="AG453" s="121"/>
      <c r="AH453" s="121"/>
      <c r="AI453" s="121"/>
      <c r="AJ453" s="121"/>
      <c r="AK453" s="121"/>
      <c r="AL453" s="121"/>
    </row>
    <row r="454" spans="1:38" s="115" customFormat="1" ht="15" customHeight="1">
      <c r="A454" s="555"/>
      <c r="B454" s="217"/>
      <c r="C454" s="217">
        <v>75</v>
      </c>
      <c r="D454" s="101"/>
      <c r="E454" s="217"/>
      <c r="F454" s="294" t="s">
        <v>358</v>
      </c>
      <c r="G454" s="295" t="str">
        <f>VLOOKUP(F454,'GL Category'!A:C,3,FALSE)</f>
        <v>Operations &amp; maintenance</v>
      </c>
      <c r="H454" s="98" t="str">
        <f>VLOOKUP(F454,'GL Category'!A:C,2,FALSE)</f>
        <v>MAINS &amp; SERVICES MAINTENANCE</v>
      </c>
      <c r="I454" s="248">
        <f>SUMIFS(I$1:I416,$C$1:$C416,$C454,$F$1:$F416,$F454)</f>
        <v>15656.24</v>
      </c>
      <c r="J454" s="248">
        <f>SUMIFS(J$1:J416,$C$1:$C416,$C454,$F$1:$F416,$F454)</f>
        <v>65837.63</v>
      </c>
      <c r="K454" s="248">
        <f>SUMIFS(K$1:K416,$C$1:$C416,$C454,$F$1:$F416,$F454)</f>
        <v>52059.96</v>
      </c>
      <c r="L454" s="248">
        <f>SUMIFS(L$1:L416,$C$1:$C416,$C454,$F$1:$F416,$F454)</f>
        <v>53381.32</v>
      </c>
      <c r="M454" s="248">
        <f>SUMIFS(M$1:M416,$C$1:$C416,$C454,$F$1:$F416,$F454)</f>
        <v>90000</v>
      </c>
      <c r="N454" s="248">
        <f>SUMIFS(N$1:N416,$C$1:$C416,$C454,$F$1:$F416,$F454)</f>
        <v>58455.519999999997</v>
      </c>
      <c r="O454" s="248">
        <f>SUMIFS(O$1:O416,$C$1:$C416,$C454,$F$1:$F416,$F454)</f>
        <v>90000</v>
      </c>
      <c r="P454" s="248">
        <f>SUMIFS(P$1:P416,$C$1:$C416,$C454,$F$1:$F416,$F454)</f>
        <v>0</v>
      </c>
      <c r="Q454" s="248">
        <f>SUMIFS(Q$1:Q416,$C$1:$C416,$C454,$F$1:$F416,$F454)</f>
        <v>90000</v>
      </c>
      <c r="R454" s="248">
        <f>SUMIFS(R$1:R416,$C$1:$C416,$C454,$F$1:$F416,$F454)</f>
        <v>0</v>
      </c>
      <c r="S454" s="248">
        <f>SUMIFS(S$1:S416,$C$1:$C416,$C454,$F$1:$F416,$F454)</f>
        <v>0</v>
      </c>
      <c r="T454" s="248">
        <f>SUMIFS(T$1:T416,$C$1:$C416,$C454,$F$1:$F416,$F454)</f>
        <v>90000</v>
      </c>
      <c r="U454" s="99">
        <f t="shared" si="409"/>
        <v>0</v>
      </c>
      <c r="V454" s="259">
        <f t="shared" si="410"/>
        <v>0</v>
      </c>
      <c r="W454" s="102"/>
      <c r="X454" s="103" t="str">
        <f t="shared" si="384"/>
        <v>OK</v>
      </c>
      <c r="Y454" s="271"/>
      <c r="Z454" s="121"/>
      <c r="AA454" s="121"/>
      <c r="AB454" s="121"/>
      <c r="AC454" s="121"/>
      <c r="AD454" s="121"/>
      <c r="AE454" s="121"/>
      <c r="AF454" s="121"/>
      <c r="AG454" s="121"/>
      <c r="AH454" s="121"/>
      <c r="AI454" s="121"/>
      <c r="AJ454" s="121"/>
      <c r="AK454" s="121"/>
      <c r="AL454" s="121"/>
    </row>
    <row r="455" spans="1:38" s="115" customFormat="1" ht="15" customHeight="1">
      <c r="A455" s="555"/>
      <c r="B455" s="217"/>
      <c r="C455" s="217">
        <v>75</v>
      </c>
      <c r="D455" s="101"/>
      <c r="E455" s="217"/>
      <c r="F455" s="294" t="s">
        <v>360</v>
      </c>
      <c r="G455" s="295" t="str">
        <f>VLOOKUP(F455,'GL Category'!A:C,3,FALSE)</f>
        <v>Operations &amp; maintenance</v>
      </c>
      <c r="H455" s="98" t="str">
        <f>VLOOKUP(F455,'GL Category'!A:C,2,FALSE)</f>
        <v>LIFT STATION MAINTENANCE</v>
      </c>
      <c r="I455" s="248">
        <f>SUMIFS(I$1:I422,$C$1:$C422,$C455,$F$1:$F422,$F455)</f>
        <v>33111.81</v>
      </c>
      <c r="J455" s="248">
        <f>SUMIFS(J$1:J422,$C$1:$C422,$C455,$F$1:$F422,$F455)</f>
        <v>34080.22</v>
      </c>
      <c r="K455" s="248">
        <f>SUMIFS(K$1:K422,$C$1:$C422,$C455,$F$1:$F422,$F455)</f>
        <v>16914.419999999998</v>
      </c>
      <c r="L455" s="248">
        <f>SUMIFS(L$1:L422,$C$1:$C422,$C455,$F$1:$F422,$F455)</f>
        <v>26865.09</v>
      </c>
      <c r="M455" s="248">
        <f>SUMIFS(M$1:M422,$C$1:$C422,$C455,$F$1:$F422,$F455)</f>
        <v>42000</v>
      </c>
      <c r="N455" s="248">
        <f>SUMIFS(N$1:N422,$C$1:$C422,$C455,$F$1:$F422,$F455)</f>
        <v>25272.61</v>
      </c>
      <c r="O455" s="248">
        <f>SUMIFS(O$1:O422,$C$1:$C422,$C455,$F$1:$F422,$F455)</f>
        <v>38000</v>
      </c>
      <c r="P455" s="248">
        <f>SUMIFS(P$1:P422,$C$1:$C422,$C455,$F$1:$F422,$F455)</f>
        <v>-4000</v>
      </c>
      <c r="Q455" s="248">
        <f>SUMIFS(Q$1:Q422,$C$1:$C422,$C455,$F$1:$F422,$F455)</f>
        <v>40000</v>
      </c>
      <c r="R455" s="248">
        <f>SUMIFS(R$1:R422,$C$1:$C422,$C455,$F$1:$F422,$F455)</f>
        <v>0</v>
      </c>
      <c r="S455" s="248">
        <f>SUMIFS(S$1:S422,$C$1:$C422,$C455,$F$1:$F422,$F455)</f>
        <v>0</v>
      </c>
      <c r="T455" s="248">
        <f>SUMIFS(T$1:T422,$C$1:$C422,$C455,$F$1:$F422,$F455)</f>
        <v>40000</v>
      </c>
      <c r="U455" s="99">
        <f t="shared" si="409"/>
        <v>-2000</v>
      </c>
      <c r="V455" s="259">
        <f t="shared" si="410"/>
        <v>-4.7619047619047672E-2</v>
      </c>
      <c r="W455" s="102"/>
      <c r="X455" s="103" t="str">
        <f t="shared" si="384"/>
        <v>OK</v>
      </c>
      <c r="Y455" s="271"/>
      <c r="Z455" s="121"/>
      <c r="AA455" s="121"/>
      <c r="AB455" s="121"/>
      <c r="AC455" s="121"/>
      <c r="AD455" s="121"/>
      <c r="AE455" s="121"/>
      <c r="AF455" s="121"/>
      <c r="AG455" s="121"/>
      <c r="AH455" s="121"/>
      <c r="AI455" s="121"/>
      <c r="AJ455" s="121"/>
      <c r="AK455" s="121"/>
      <c r="AL455" s="121"/>
    </row>
    <row r="456" spans="1:38" s="115" customFormat="1" ht="15" customHeight="1">
      <c r="A456" s="555"/>
      <c r="B456" s="217"/>
      <c r="C456" s="217">
        <v>75</v>
      </c>
      <c r="D456" s="101"/>
      <c r="E456" s="217"/>
      <c r="F456" s="294" t="s">
        <v>174</v>
      </c>
      <c r="G456" s="295" t="str">
        <f>VLOOKUP(F456,'GL Category'!A:C,3,FALSE)</f>
        <v>Operations &amp; maintenance</v>
      </c>
      <c r="H456" s="98" t="str">
        <f>VLOOKUP(F456,'GL Category'!A:C,2,FALSE)</f>
        <v>RADIO MAINTENANCE</v>
      </c>
      <c r="I456" s="248">
        <f>SUMIFS(I$1:I423,$C$1:$C423,$C456,$F$1:$F423,$F456)</f>
        <v>12328.28</v>
      </c>
      <c r="J456" s="248">
        <f>SUMIFS(J$1:J423,$C$1:$C423,$C456,$F$1:$F423,$F456)</f>
        <v>1050.97</v>
      </c>
      <c r="K456" s="248">
        <f>SUMIFS(K$1:K423,$C$1:$C423,$C456,$F$1:$F423,$F456)</f>
        <v>1021.44</v>
      </c>
      <c r="L456" s="248">
        <f>SUMIFS(L$1:L423,$C$1:$C423,$C456,$F$1:$F423,$F456)</f>
        <v>1036.49</v>
      </c>
      <c r="M456" s="248">
        <f>SUMIFS(M$1:M423,$C$1:$C423,$C456,$F$1:$F423,$F456)</f>
        <v>1000</v>
      </c>
      <c r="N456" s="248">
        <f>SUMIFS(N$1:N423,$C$1:$C423,$C456,$F$1:$F423,$F456)</f>
        <v>1051.54</v>
      </c>
      <c r="O456" s="248">
        <f>SUMIFS(O$1:O423,$C$1:$C423,$C456,$F$1:$F423,$F456)</f>
        <v>1000</v>
      </c>
      <c r="P456" s="248">
        <f>SUMIFS(P$1:P423,$C$1:$C423,$C456,$F$1:$F423,$F456)</f>
        <v>0</v>
      </c>
      <c r="Q456" s="248">
        <f>SUMIFS(Q$1:Q423,$C$1:$C423,$C456,$F$1:$F423,$F456)</f>
        <v>1000</v>
      </c>
      <c r="R456" s="248">
        <f>SUMIFS(R$1:R423,$C$1:$C423,$C456,$F$1:$F423,$F456)</f>
        <v>0</v>
      </c>
      <c r="S456" s="248">
        <f>SUMIFS(S$1:S423,$C$1:$C423,$C456,$F$1:$F423,$F456)</f>
        <v>0</v>
      </c>
      <c r="T456" s="248">
        <f>SUMIFS(T$1:T423,$C$1:$C423,$C456,$F$1:$F423,$F456)</f>
        <v>1000</v>
      </c>
      <c r="U456" s="99">
        <f t="shared" si="409"/>
        <v>0</v>
      </c>
      <c r="V456" s="259">
        <f t="shared" si="410"/>
        <v>0</v>
      </c>
      <c r="W456" s="102"/>
      <c r="X456" s="103" t="str">
        <f t="shared" ref="X456:X487" si="411">IF(Q456="","",IF(T456=SUM(Q456:S456),"OK","NO"))</f>
        <v>OK</v>
      </c>
      <c r="Y456" s="271"/>
      <c r="Z456" s="121"/>
      <c r="AA456" s="121"/>
      <c r="AB456" s="121"/>
      <c r="AC456" s="121"/>
      <c r="AD456" s="121"/>
      <c r="AE456" s="121"/>
      <c r="AF456" s="121"/>
      <c r="AG456" s="121"/>
      <c r="AH456" s="121"/>
      <c r="AI456" s="121"/>
      <c r="AJ456" s="121"/>
      <c r="AK456" s="121"/>
      <c r="AL456" s="121"/>
    </row>
    <row r="457" spans="1:38" s="115" customFormat="1" ht="15" customHeight="1">
      <c r="A457" s="555"/>
      <c r="B457" s="217"/>
      <c r="C457" s="217">
        <v>75</v>
      </c>
      <c r="D457" s="101"/>
      <c r="E457" s="217"/>
      <c r="F457" s="294" t="s">
        <v>240</v>
      </c>
      <c r="G457" s="295" t="str">
        <f>VLOOKUP(F457,'GL Category'!A:C,3,FALSE)</f>
        <v>Operations &amp; maintenance</v>
      </c>
      <c r="H457" s="98" t="str">
        <f>VLOOKUP(F457,'GL Category'!A:C,2,FALSE)</f>
        <v>VEHICLE MAINTENANCE</v>
      </c>
      <c r="I457" s="248">
        <f>SUMIFS(I$1:I424,$C$1:$C424,$C457,$F$1:$F424,$F457)</f>
        <v>36184.699999999997</v>
      </c>
      <c r="J457" s="248">
        <f>SUMIFS(J$1:J424,$C$1:$C424,$C457,$F$1:$F424,$F457)</f>
        <v>23198.15</v>
      </c>
      <c r="K457" s="248">
        <f>SUMIFS(K$1:K424,$C$1:$C424,$C457,$F$1:$F424,$F457)</f>
        <v>37109.81</v>
      </c>
      <c r="L457" s="248">
        <f>SUMIFS(L$1:L424,$C$1:$C424,$C457,$F$1:$F424,$F457)</f>
        <v>58282.99</v>
      </c>
      <c r="M457" s="248">
        <f>SUMIFS(M$1:M424,$C$1:$C424,$C457,$F$1:$F424,$F457)</f>
        <v>33000</v>
      </c>
      <c r="N457" s="248">
        <f>SUMIFS(N$1:N424,$C$1:$C424,$C457,$F$1:$F424,$F457)</f>
        <v>81357.850000000006</v>
      </c>
      <c r="O457" s="248">
        <f>SUMIFS(O$1:O424,$C$1:$C424,$C457,$F$1:$F424,$F457)</f>
        <v>79500</v>
      </c>
      <c r="P457" s="248">
        <f>SUMIFS(P$1:P424,$C$1:$C424,$C457,$F$1:$F424,$F457)</f>
        <v>46500</v>
      </c>
      <c r="Q457" s="248">
        <f>SUMIFS(Q$1:Q424,$C$1:$C424,$C457,$F$1:$F424,$F457)</f>
        <v>36500</v>
      </c>
      <c r="R457" s="248">
        <f>SUMIFS(R$1:R424,$C$1:$C424,$C457,$F$1:$F424,$F457)</f>
        <v>0</v>
      </c>
      <c r="S457" s="248">
        <f>SUMIFS(S$1:S424,$C$1:$C424,$C457,$F$1:$F424,$F457)</f>
        <v>0</v>
      </c>
      <c r="T457" s="248">
        <f>SUMIFS(T$1:T424,$C$1:$C424,$C457,$F$1:$F424,$F457)</f>
        <v>36500</v>
      </c>
      <c r="U457" s="99">
        <f t="shared" si="409"/>
        <v>3500</v>
      </c>
      <c r="V457" s="259">
        <f t="shared" si="410"/>
        <v>0.10606060606060597</v>
      </c>
      <c r="W457" s="102"/>
      <c r="X457" s="103" t="str">
        <f t="shared" si="411"/>
        <v>OK</v>
      </c>
      <c r="Y457" s="271"/>
      <c r="Z457" s="121"/>
      <c r="AA457" s="121"/>
      <c r="AB457" s="121"/>
      <c r="AC457" s="121"/>
      <c r="AD457" s="121"/>
      <c r="AE457" s="121"/>
      <c r="AF457" s="121"/>
      <c r="AG457" s="121"/>
      <c r="AH457" s="121"/>
      <c r="AI457" s="121"/>
      <c r="AJ457" s="121"/>
      <c r="AK457" s="121"/>
      <c r="AL457" s="121"/>
    </row>
    <row r="458" spans="1:38" s="115" customFormat="1" ht="15" customHeight="1">
      <c r="A458" s="555"/>
      <c r="B458" s="217"/>
      <c r="C458" s="217">
        <v>75</v>
      </c>
      <c r="D458" s="101"/>
      <c r="E458" s="217"/>
      <c r="F458" s="294" t="s">
        <v>235</v>
      </c>
      <c r="G458" s="295" t="str">
        <f>VLOOKUP(F458,'GL Category'!A:C,3,FALSE)</f>
        <v>Operations &amp; maintenance</v>
      </c>
      <c r="H458" s="98" t="str">
        <f>VLOOKUP(F458,'GL Category'!A:C,2,FALSE)</f>
        <v>EQUIPMENT MAINTENANCE</v>
      </c>
      <c r="I458" s="248">
        <f>SUMIFS(I$1:I424,$C$1:$C424,$C458,$F$1:$F424,$F458)</f>
        <v>3561.55</v>
      </c>
      <c r="J458" s="248">
        <f>SUMIFS(J$1:J424,$C$1:$C424,$C458,$F$1:$F424,$F458)</f>
        <v>2709.61</v>
      </c>
      <c r="K458" s="248">
        <f>SUMIFS(K$1:K424,$C$1:$C424,$C458,$F$1:$F424,$F458)</f>
        <v>5425.36</v>
      </c>
      <c r="L458" s="248">
        <f>SUMIFS(L$1:L424,$C$1:$C424,$C458,$F$1:$F424,$F458)</f>
        <v>5861.89</v>
      </c>
      <c r="M458" s="248">
        <f>SUMIFS(M$1:M424,$C$1:$C424,$C458,$F$1:$F424,$F458)</f>
        <v>8000</v>
      </c>
      <c r="N458" s="248">
        <f>SUMIFS(N$1:N424,$C$1:$C424,$C458,$F$1:$F424,$F458)</f>
        <v>9802.4599999999991</v>
      </c>
      <c r="O458" s="248">
        <f>SUMIFS(O$1:O424,$C$1:$C424,$C458,$F$1:$F424,$F458)</f>
        <v>8000</v>
      </c>
      <c r="P458" s="248">
        <f>SUMIFS(P$1:P424,$C$1:$C424,$C458,$F$1:$F424,$F458)</f>
        <v>0</v>
      </c>
      <c r="Q458" s="248">
        <f>SUMIFS(Q$1:Q424,$C$1:$C424,$C458,$F$1:$F424,$F458)</f>
        <v>8000</v>
      </c>
      <c r="R458" s="248">
        <f>SUMIFS(R$1:R424,$C$1:$C424,$C458,$F$1:$F424,$F458)</f>
        <v>0</v>
      </c>
      <c r="S458" s="248">
        <f>SUMIFS(S$1:S424,$C$1:$C424,$C458,$F$1:$F424,$F458)</f>
        <v>0</v>
      </c>
      <c r="T458" s="248">
        <f>SUMIFS(T$1:T424,$C$1:$C424,$C458,$F$1:$F424,$F458)</f>
        <v>8000</v>
      </c>
      <c r="U458" s="99">
        <f t="shared" si="409"/>
        <v>0</v>
      </c>
      <c r="V458" s="259">
        <f t="shared" si="410"/>
        <v>0</v>
      </c>
      <c r="W458" s="102"/>
      <c r="X458" s="103" t="str">
        <f t="shared" si="411"/>
        <v>OK</v>
      </c>
      <c r="Y458" s="271"/>
      <c r="Z458" s="121"/>
      <c r="AA458" s="121"/>
      <c r="AB458" s="121"/>
      <c r="AC458" s="121"/>
      <c r="AD458" s="121"/>
      <c r="AE458" s="121"/>
      <c r="AF458" s="121"/>
      <c r="AG458" s="121"/>
      <c r="AH458" s="121"/>
      <c r="AI458" s="121"/>
      <c r="AJ458" s="121"/>
      <c r="AK458" s="121"/>
      <c r="AL458" s="121"/>
    </row>
    <row r="459" spans="1:38" s="115" customFormat="1" ht="15" customHeight="1">
      <c r="A459" s="555"/>
      <c r="B459" s="217"/>
      <c r="C459" s="217"/>
      <c r="D459" s="101"/>
      <c r="E459" s="217"/>
      <c r="F459" s="294" t="s">
        <v>178</v>
      </c>
      <c r="G459" s="295"/>
      <c r="H459" s="98" t="str">
        <f>VLOOKUP(F459,'GL Category'!A:C,2,FALSE)</f>
        <v>SOFTWARE LICENSE &amp; MAINTENANCE</v>
      </c>
      <c r="I459" s="248">
        <f>SUMIFS(I$1:I425,$C$1:$C425,$C459,$F$1:$F425,$F459)</f>
        <v>0</v>
      </c>
      <c r="J459" s="248">
        <f>SUMIFS(J$1:J425,$C$1:$C425,$C459,$F$1:$F425,$F459)</f>
        <v>0</v>
      </c>
      <c r="K459" s="248">
        <f>SUMIFS(K$1:K425,$C$1:$C425,$C459,$F$1:$F425,$F459)</f>
        <v>0</v>
      </c>
      <c r="L459" s="248">
        <f>SUMIFS(L$1:L425,$C$1:$C425,$C459,$F$1:$F425,$F459)</f>
        <v>0</v>
      </c>
      <c r="M459" s="248">
        <f>SUMIFS(M$1:M425,$C$1:$C425,$C459,$F$1:$F425,$F459)</f>
        <v>0</v>
      </c>
      <c r="N459" s="248">
        <f>SUMIFS(N$1:N425,$C$1:$C425,$C459,$F$1:$F425,$F459)</f>
        <v>0</v>
      </c>
      <c r="O459" s="248">
        <f>SUMIFS(O$1:O425,$C$1:$C425,$C459,$F$1:$F425,$F459)</f>
        <v>0</v>
      </c>
      <c r="P459" s="248">
        <f>SUMIFS(P$1:P425,$C$1:$C425,$C459,$F$1:$F425,$F459)</f>
        <v>0</v>
      </c>
      <c r="Q459" s="248">
        <f>SUMIFS(Q$1:Q425,$C$1:$C425,$C459,$F$1:$F425,$F459)</f>
        <v>0</v>
      </c>
      <c r="R459" s="248">
        <f>SUMIFS(R$1:R425,$C$1:$C425,$C459,$F$1:$F425,$F459)</f>
        <v>0</v>
      </c>
      <c r="S459" s="248">
        <f>SUMIFS(S$1:S425,$C$1:$C425,$C459,$F$1:$F425,$F459)</f>
        <v>0</v>
      </c>
      <c r="T459" s="248">
        <f>SUMIFS(T$1:T425,$C$1:$C425,$C459,$F$1:$F425,$F459)</f>
        <v>0</v>
      </c>
      <c r="U459" s="99">
        <f t="shared" si="409"/>
        <v>0</v>
      </c>
      <c r="V459" s="259" t="str">
        <f t="shared" si="410"/>
        <v>N/A</v>
      </c>
      <c r="W459" s="102"/>
      <c r="X459" s="103" t="str">
        <f t="shared" si="411"/>
        <v>OK</v>
      </c>
      <c r="Y459" s="271"/>
      <c r="Z459" s="121"/>
      <c r="AA459" s="121"/>
      <c r="AB459" s="121"/>
      <c r="AC459" s="121"/>
      <c r="AD459" s="121"/>
      <c r="AE459" s="121"/>
      <c r="AF459" s="121"/>
      <c r="AG459" s="121"/>
      <c r="AH459" s="121"/>
      <c r="AI459" s="121"/>
      <c r="AJ459" s="121"/>
      <c r="AK459" s="121"/>
      <c r="AL459" s="121"/>
    </row>
    <row r="460" spans="1:38" s="115" customFormat="1" ht="15.75" customHeight="1">
      <c r="A460" s="555"/>
      <c r="B460" s="217"/>
      <c r="C460" s="217"/>
      <c r="D460" s="101"/>
      <c r="E460" s="217"/>
      <c r="F460" s="294"/>
      <c r="G460" s="146"/>
      <c r="H460" s="107" t="str">
        <f>UPPER(G459)&amp;" TOTAL"</f>
        <v xml:space="preserve"> TOTAL</v>
      </c>
      <c r="I460" s="108">
        <f t="shared" ref="I460" si="412">SUBTOTAL(9,I444:I459)</f>
        <v>133068.07999999999</v>
      </c>
      <c r="J460" s="108">
        <f t="shared" ref="J460:T460" si="413">SUBTOTAL(9,J444:J459)</f>
        <v>158567.47999999998</v>
      </c>
      <c r="K460" s="108">
        <f t="shared" ref="K460" si="414">SUBTOTAL(9,K444:K459)</f>
        <v>147547.04999999999</v>
      </c>
      <c r="L460" s="108">
        <f t="shared" ref="L460" si="415">SUBTOTAL(9,L444:L459)</f>
        <v>167929.79</v>
      </c>
      <c r="M460" s="108">
        <f t="shared" si="413"/>
        <v>214350</v>
      </c>
      <c r="N460" s="108">
        <f t="shared" ref="N460" si="416">SUBTOTAL(9,N444:N459)</f>
        <v>193763.12</v>
      </c>
      <c r="O460" s="108">
        <f t="shared" si="413"/>
        <v>248000</v>
      </c>
      <c r="P460" s="108">
        <f t="shared" si="413"/>
        <v>33650</v>
      </c>
      <c r="Q460" s="108">
        <f t="shared" si="413"/>
        <v>211700</v>
      </c>
      <c r="R460" s="108">
        <f t="shared" si="413"/>
        <v>0</v>
      </c>
      <c r="S460" s="108">
        <f t="shared" si="413"/>
        <v>0</v>
      </c>
      <c r="T460" s="108">
        <f t="shared" si="413"/>
        <v>211700</v>
      </c>
      <c r="U460" s="99">
        <f t="shared" si="409"/>
        <v>-2650</v>
      </c>
      <c r="V460" s="259">
        <f t="shared" si="410"/>
        <v>-1.2362957779332828E-2</v>
      </c>
      <c r="W460" s="102"/>
      <c r="X460" s="103" t="str">
        <f t="shared" si="411"/>
        <v>OK</v>
      </c>
      <c r="Y460" s="271"/>
      <c r="Z460" s="121"/>
      <c r="AA460" s="121"/>
      <c r="AB460" s="121"/>
      <c r="AC460" s="121"/>
      <c r="AD460" s="121"/>
      <c r="AE460" s="121"/>
      <c r="AF460" s="121"/>
      <c r="AG460" s="121"/>
      <c r="AH460" s="121"/>
      <c r="AI460" s="121"/>
      <c r="AJ460" s="121"/>
      <c r="AK460" s="121"/>
      <c r="AL460" s="121"/>
    </row>
    <row r="461" spans="1:38" s="115" customFormat="1">
      <c r="A461" s="555"/>
      <c r="B461" s="217"/>
      <c r="C461" s="217" t="str">
        <f t="shared" ref="C461" si="417">MID(A461,5,2)</f>
        <v/>
      </c>
      <c r="D461" s="101"/>
      <c r="E461" s="217"/>
      <c r="F461" s="294" t="s">
        <v>188</v>
      </c>
      <c r="G461" s="146"/>
      <c r="H461" s="98"/>
      <c r="I461" s="106"/>
      <c r="J461" s="106"/>
      <c r="K461" s="106"/>
      <c r="L461" s="106"/>
      <c r="M461" s="106"/>
      <c r="N461" s="110"/>
      <c r="O461" s="110"/>
      <c r="P461" s="110"/>
      <c r="Q461" s="111"/>
      <c r="R461" s="99"/>
      <c r="S461" s="99"/>
      <c r="T461" s="111"/>
      <c r="U461" s="111"/>
      <c r="V461" s="111"/>
      <c r="W461" s="102"/>
      <c r="X461" s="103" t="str">
        <f t="shared" si="411"/>
        <v/>
      </c>
      <c r="Y461" s="271"/>
      <c r="Z461" s="121"/>
      <c r="AA461" s="121"/>
      <c r="AB461" s="121"/>
      <c r="AC461" s="121"/>
      <c r="AD461" s="121"/>
      <c r="AE461" s="121"/>
      <c r="AF461" s="121"/>
      <c r="AG461" s="121"/>
      <c r="AH461" s="121"/>
      <c r="AI461" s="121"/>
      <c r="AJ461" s="121"/>
      <c r="AK461" s="121"/>
      <c r="AL461" s="121"/>
    </row>
    <row r="462" spans="1:38" s="115" customFormat="1">
      <c r="A462" s="555"/>
      <c r="B462" s="217"/>
      <c r="C462" s="217">
        <v>75</v>
      </c>
      <c r="D462" s="101"/>
      <c r="E462" s="217"/>
      <c r="F462" s="294" t="s">
        <v>189</v>
      </c>
      <c r="G462" s="295" t="str">
        <f>VLOOKUP(F462,'GL Category'!A:C,3,FALSE)</f>
        <v>Services &amp; other</v>
      </c>
      <c r="H462" s="98" t="str">
        <f>VLOOKUP(F462,'GL Category'!A:C,2,FALSE)</f>
        <v>DUES &amp; SUBSCRIPTIONS</v>
      </c>
      <c r="I462" s="248">
        <f>SUMIFS(I$1:I429,$C$1:$C429,$C462,$F$1:$F429,$F462)</f>
        <v>71</v>
      </c>
      <c r="J462" s="248">
        <f>SUMIFS(J$1:J429,$C$1:$C429,$C462,$F$1:$F429,$F462)</f>
        <v>241</v>
      </c>
      <c r="K462" s="248">
        <f>SUMIFS(K$1:K429,$C$1:$C429,$C462,$F$1:$F429,$F462)</f>
        <v>100</v>
      </c>
      <c r="L462" s="248">
        <f>SUMIFS(L$1:L429,$C$1:$C429,$C462,$F$1:$F429,$F462)</f>
        <v>628.71</v>
      </c>
      <c r="M462" s="248">
        <f>SUMIFS(M$1:M429,$C$1:$C429,$C462,$F$1:$F429,$F462)</f>
        <v>500</v>
      </c>
      <c r="N462" s="248">
        <f>SUMIFS(N$1:N429,$C$1:$C429,$C462,$F$1:$F429,$F462)</f>
        <v>97</v>
      </c>
      <c r="O462" s="248">
        <f>SUMIFS(O$1:O429,$C$1:$C429,$C462,$F$1:$F429,$F462)</f>
        <v>500</v>
      </c>
      <c r="P462" s="248">
        <f>SUMIFS(P$1:P429,$C$1:$C429,$C462,$F$1:$F429,$F462)</f>
        <v>0</v>
      </c>
      <c r="Q462" s="248">
        <f>SUMIFS(Q$1:Q429,$C$1:$C429,$C462,$F$1:$F429,$F462)</f>
        <v>500</v>
      </c>
      <c r="R462" s="248">
        <f>SUMIFS(R$1:R429,$C$1:$C429,$C462,$F$1:$F429,$F462)</f>
        <v>0</v>
      </c>
      <c r="S462" s="248">
        <f>SUMIFS(S$1:S429,$C$1:$C429,$C462,$F$1:$F429,$F462)</f>
        <v>0</v>
      </c>
      <c r="T462" s="248">
        <f>SUMIFS(T$1:T429,$C$1:$C429,$C462,$F$1:$F429,$F462)</f>
        <v>500</v>
      </c>
      <c r="U462" s="99">
        <f t="shared" ref="U462:U478" si="418">T462-M462</f>
        <v>0</v>
      </c>
      <c r="V462" s="259">
        <f t="shared" ref="V462:V478" si="419">IF(M462=0,"N/A",T462/M462-1)</f>
        <v>0</v>
      </c>
      <c r="W462" s="102"/>
      <c r="X462" s="103" t="str">
        <f t="shared" si="411"/>
        <v>OK</v>
      </c>
      <c r="Y462" s="271"/>
      <c r="Z462" s="121"/>
      <c r="AA462" s="121"/>
      <c r="AB462" s="121"/>
      <c r="AC462" s="121"/>
      <c r="AD462" s="121"/>
      <c r="AE462" s="121"/>
      <c r="AF462" s="121"/>
      <c r="AG462" s="121"/>
      <c r="AH462" s="121"/>
      <c r="AI462" s="121"/>
      <c r="AJ462" s="121"/>
      <c r="AK462" s="121"/>
      <c r="AL462" s="121"/>
    </row>
    <row r="463" spans="1:38" s="115" customFormat="1">
      <c r="A463" s="555"/>
      <c r="B463" s="217"/>
      <c r="C463" s="217">
        <v>75</v>
      </c>
      <c r="D463" s="101"/>
      <c r="E463" s="217"/>
      <c r="F463" s="556" t="s">
        <v>264</v>
      </c>
      <c r="G463" s="295" t="str">
        <f>VLOOKUP(F463,'GL Category'!A:C,3,FALSE)</f>
        <v>Services &amp; other</v>
      </c>
      <c r="H463" s="98" t="str">
        <f>VLOOKUP(F463,'GL Category'!A:C,2,FALSE)</f>
        <v>TRAVEL, TRAINING &amp; EDUCATION</v>
      </c>
      <c r="I463" s="248">
        <f>SUMIFS(I$1:I430,$C$1:$C430,$C463,$F$1:$F430,$F463)</f>
        <v>1474.2</v>
      </c>
      <c r="J463" s="248">
        <f>SUMIFS(J$1:J430,$C$1:$C430,$C463,$F$1:$F430,$F463)</f>
        <v>2044.76</v>
      </c>
      <c r="K463" s="248">
        <f>SUMIFS(K$1:K430,$C$1:$C430,$C463,$F$1:$F430,$F463)</f>
        <v>2135.75</v>
      </c>
      <c r="L463" s="248">
        <f>SUMIFS(L$1:L430,$C$1:$C430,$C463,$F$1:$F430,$F463)</f>
        <v>189.09</v>
      </c>
      <c r="M463" s="248">
        <f>SUMIFS(M$1:M430,$C$1:$C430,$C463,$F$1:$F430,$F463)</f>
        <v>8500</v>
      </c>
      <c r="N463" s="248">
        <f>SUMIFS(N$1:N430,$C$1:$C430,$C463,$F$1:$F430,$F463)</f>
        <v>3002.56</v>
      </c>
      <c r="O463" s="248">
        <f>SUMIFS(O$1:O430,$C$1:$C430,$C463,$F$1:$F430,$F463)</f>
        <v>4500</v>
      </c>
      <c r="P463" s="248">
        <f>SUMIFS(P$1:P430,$C$1:$C430,$C463,$F$1:$F430,$F463)</f>
        <v>-4000</v>
      </c>
      <c r="Q463" s="248">
        <f>SUMIFS(Q$1:Q430,$C$1:$C430,$C463,$F$1:$F430,$F463)</f>
        <v>6500</v>
      </c>
      <c r="R463" s="248">
        <f>SUMIFS(R$1:R430,$C$1:$C430,$C463,$F$1:$F430,$F463)</f>
        <v>0</v>
      </c>
      <c r="S463" s="248">
        <f>SUMIFS(S$1:S430,$C$1:$C430,$C463,$F$1:$F430,$F463)</f>
        <v>0</v>
      </c>
      <c r="T463" s="248">
        <f>SUMIFS(T$1:T430,$C$1:$C430,$C463,$F$1:$F430,$F463)</f>
        <v>6500</v>
      </c>
      <c r="U463" s="99">
        <f t="shared" si="418"/>
        <v>-2000</v>
      </c>
      <c r="V463" s="259">
        <f t="shared" si="419"/>
        <v>-0.23529411764705888</v>
      </c>
      <c r="W463" s="102"/>
      <c r="X463" s="103" t="str">
        <f t="shared" si="411"/>
        <v>OK</v>
      </c>
      <c r="Y463" s="271"/>
      <c r="Z463" s="121"/>
      <c r="AA463" s="121"/>
      <c r="AB463" s="121"/>
      <c r="AC463" s="121"/>
      <c r="AD463" s="121"/>
      <c r="AE463" s="121"/>
      <c r="AF463" s="121"/>
      <c r="AG463" s="121"/>
      <c r="AH463" s="121"/>
      <c r="AI463" s="121"/>
      <c r="AJ463" s="121"/>
      <c r="AK463" s="121"/>
      <c r="AL463" s="121"/>
    </row>
    <row r="464" spans="1:38" s="115" customFormat="1">
      <c r="A464" s="555"/>
      <c r="B464" s="217"/>
      <c r="C464" s="217">
        <v>75</v>
      </c>
      <c r="D464" s="101"/>
      <c r="E464" s="217"/>
      <c r="F464" s="556" t="s">
        <v>237</v>
      </c>
      <c r="G464" s="295" t="str">
        <f>VLOOKUP(F464,'GL Category'!A:C,3,FALSE)</f>
        <v>Services &amp; other</v>
      </c>
      <c r="H464" s="98" t="str">
        <f>VLOOKUP(F464,'GL Category'!A:C,2,FALSE)</f>
        <v>MISCELLANEOUS SERVICES</v>
      </c>
      <c r="I464" s="248">
        <f>SUMIFS(I$1:I431,$C$1:$C431,$C464,$F$1:$F431,$F464)</f>
        <v>0</v>
      </c>
      <c r="J464" s="248">
        <f>SUMIFS(J$1:J431,$C$1:$C431,$C464,$F$1:$F431,$F464)</f>
        <v>612.08000000000004</v>
      </c>
      <c r="K464" s="248">
        <f>SUMIFS(K$1:K431,$C$1:$C431,$C464,$F$1:$F431,$F464)</f>
        <v>0</v>
      </c>
      <c r="L464" s="248">
        <f>SUMIFS(L$1:L431,$C$1:$C431,$C464,$F$1:$F431,$F464)</f>
        <v>0</v>
      </c>
      <c r="M464" s="248">
        <f>SUMIFS(M$1:M431,$C$1:$C431,$C464,$F$1:$F431,$F464)</f>
        <v>0</v>
      </c>
      <c r="N464" s="248">
        <f>SUMIFS(N$1:N431,$C$1:$C431,$C464,$F$1:$F431,$F464)</f>
        <v>0</v>
      </c>
      <c r="O464" s="248">
        <f>SUMIFS(O$1:O431,$C$1:$C431,$C464,$F$1:$F431,$F464)</f>
        <v>0</v>
      </c>
      <c r="P464" s="248">
        <f>SUMIFS(P$1:P431,$C$1:$C431,$C464,$F$1:$F431,$F464)</f>
        <v>0</v>
      </c>
      <c r="Q464" s="248">
        <f>SUMIFS(Q$1:Q431,$C$1:$C431,$C464,$F$1:$F431,$F464)</f>
        <v>0</v>
      </c>
      <c r="R464" s="248">
        <f>SUMIFS(R$1:R431,$C$1:$C431,$C464,$F$1:$F431,$F464)</f>
        <v>0</v>
      </c>
      <c r="S464" s="248">
        <f>SUMIFS(S$1:S431,$C$1:$C431,$C464,$F$1:$F431,$F464)</f>
        <v>0</v>
      </c>
      <c r="T464" s="248">
        <f>SUMIFS(T$1:T431,$C$1:$C431,$C464,$F$1:$F431,$F464)</f>
        <v>0</v>
      </c>
      <c r="U464" s="99">
        <f t="shared" si="418"/>
        <v>0</v>
      </c>
      <c r="V464" s="259" t="str">
        <f t="shared" si="419"/>
        <v>N/A</v>
      </c>
      <c r="W464" s="102"/>
      <c r="X464" s="103" t="str">
        <f t="shared" si="411"/>
        <v>OK</v>
      </c>
      <c r="Y464" s="271"/>
      <c r="Z464" s="121"/>
      <c r="AA464" s="121"/>
      <c r="AB464" s="121"/>
      <c r="AC464" s="121"/>
      <c r="AD464" s="121"/>
      <c r="AE464" s="121"/>
      <c r="AF464" s="121"/>
      <c r="AG464" s="121"/>
      <c r="AH464" s="121"/>
      <c r="AI464" s="121"/>
      <c r="AJ464" s="121"/>
      <c r="AK464" s="121"/>
      <c r="AL464" s="121"/>
    </row>
    <row r="465" spans="1:38" s="115" customFormat="1">
      <c r="A465" s="555"/>
      <c r="B465" s="217"/>
      <c r="C465" s="217">
        <v>75</v>
      </c>
      <c r="D465" s="101"/>
      <c r="E465" s="217"/>
      <c r="F465" s="294" t="s">
        <v>198</v>
      </c>
      <c r="G465" s="295" t="str">
        <f>VLOOKUP(F465,'GL Category'!A:C,3,FALSE)</f>
        <v>Services &amp; other</v>
      </c>
      <c r="H465" s="98" t="str">
        <f>VLOOKUP(F465,'GL Category'!A:C,2,FALSE)</f>
        <v>EQUIPMENT RENTAL</v>
      </c>
      <c r="I465" s="248">
        <f>SUMIFS(I$1:I432,$C$1:$C432,$C465,$F$1:$F432,$F465)</f>
        <v>521.25</v>
      </c>
      <c r="J465" s="248">
        <f>SUMIFS(J$1:J432,$C$1:$C432,$C465,$F$1:$F432,$F465)</f>
        <v>0</v>
      </c>
      <c r="K465" s="248">
        <f>SUMIFS(K$1:K432,$C$1:$C432,$C465,$F$1:$F432,$F465)</f>
        <v>570</v>
      </c>
      <c r="L465" s="248">
        <f>SUMIFS(L$1:L432,$C$1:$C432,$C465,$F$1:$F432,$F465)</f>
        <v>4705</v>
      </c>
      <c r="M465" s="248">
        <f>SUMIFS(M$1:M432,$C$1:$C432,$C465,$F$1:$F432,$F465)</f>
        <v>4000</v>
      </c>
      <c r="N465" s="248">
        <f>SUMIFS(N$1:N432,$C$1:$C432,$C465,$F$1:$F432,$F465)</f>
        <v>1856.86</v>
      </c>
      <c r="O465" s="248">
        <f>SUMIFS(O$1:O432,$C$1:$C432,$C465,$F$1:$F432,$F465)</f>
        <v>4000</v>
      </c>
      <c r="P465" s="248">
        <f>SUMIFS(P$1:P432,$C$1:$C432,$C465,$F$1:$F432,$F465)</f>
        <v>0</v>
      </c>
      <c r="Q465" s="248">
        <f>SUMIFS(Q$1:Q432,$C$1:$C432,$C465,$F$1:$F432,$F465)</f>
        <v>4000</v>
      </c>
      <c r="R465" s="248">
        <f>SUMIFS(R$1:R432,$C$1:$C432,$C465,$F$1:$F432,$F465)</f>
        <v>0</v>
      </c>
      <c r="S465" s="248">
        <f>SUMIFS(S$1:S432,$C$1:$C432,$C465,$F$1:$F432,$F465)</f>
        <v>0</v>
      </c>
      <c r="T465" s="248">
        <f>SUMIFS(T$1:T432,$C$1:$C432,$C465,$F$1:$F432,$F465)</f>
        <v>4000</v>
      </c>
      <c r="U465" s="99">
        <f t="shared" si="418"/>
        <v>0</v>
      </c>
      <c r="V465" s="259">
        <f t="shared" si="419"/>
        <v>0</v>
      </c>
      <c r="W465" s="102"/>
      <c r="X465" s="103" t="str">
        <f t="shared" si="411"/>
        <v>OK</v>
      </c>
      <c r="Y465" s="271"/>
      <c r="Z465" s="121"/>
      <c r="AA465" s="121"/>
      <c r="AB465" s="121"/>
      <c r="AC465" s="121"/>
      <c r="AD465" s="121"/>
      <c r="AE465" s="121"/>
      <c r="AF465" s="121"/>
      <c r="AG465" s="121"/>
      <c r="AH465" s="121"/>
      <c r="AI465" s="121"/>
      <c r="AJ465" s="121"/>
      <c r="AK465" s="121"/>
      <c r="AL465" s="121"/>
    </row>
    <row r="466" spans="1:38" s="115" customFormat="1">
      <c r="A466" s="555"/>
      <c r="B466" s="217"/>
      <c r="C466" s="217">
        <v>75</v>
      </c>
      <c r="D466" s="101"/>
      <c r="E466" s="217"/>
      <c r="F466" s="294" t="s">
        <v>935</v>
      </c>
      <c r="G466" s="295" t="str">
        <f>VLOOKUP(F466,'GL Category'!A:C,3,FALSE)</f>
        <v>Services &amp; other</v>
      </c>
      <c r="H466" s="98" t="str">
        <f>VLOOKUP(F466,'GL Category'!A:C,2,FALSE)</f>
        <v>LANDSCAPE SERVICES</v>
      </c>
      <c r="I466" s="248">
        <f>SUMIFS(I$1:I433,$C$1:$C433,$C466,$F$1:$F433,$F466)</f>
        <v>468</v>
      </c>
      <c r="J466" s="248">
        <f>SUMIFS(J$1:J433,$C$1:$C433,$C466,$F$1:$F433,$F466)</f>
        <v>260</v>
      </c>
      <c r="K466" s="248">
        <f>SUMIFS(K$1:K433,$C$1:$C433,$C466,$F$1:$F433,$F466)</f>
        <v>716</v>
      </c>
      <c r="L466" s="248">
        <f>SUMIFS(L$1:L433,$C$1:$C433,$C466,$F$1:$F433,$F466)</f>
        <v>4099.66</v>
      </c>
      <c r="M466" s="248">
        <f>SUMIFS(M$1:M433,$C$1:$C433,$C466,$F$1:$F433,$F466)</f>
        <v>4500</v>
      </c>
      <c r="N466" s="248">
        <f>SUMIFS(N$1:N433,$C$1:$C433,$C466,$F$1:$F433,$F466)</f>
        <v>2484</v>
      </c>
      <c r="O466" s="248">
        <f>SUMIFS(O$1:O433,$C$1:$C433,$C466,$F$1:$F433,$F466)</f>
        <v>5000</v>
      </c>
      <c r="P466" s="248">
        <f>SUMIFS(P$1:P433,$C$1:$C433,$C466,$F$1:$F433,$F466)</f>
        <v>500</v>
      </c>
      <c r="Q466" s="248">
        <f>SUMIFS(Q$1:Q433,$C$1:$C433,$C466,$F$1:$F433,$F466)</f>
        <v>4500</v>
      </c>
      <c r="R466" s="248">
        <f>SUMIFS(R$1:R433,$C$1:$C433,$C466,$F$1:$F433,$F466)</f>
        <v>0</v>
      </c>
      <c r="S466" s="248">
        <f>SUMIFS(S$1:S433,$C$1:$C433,$C466,$F$1:$F433,$F466)</f>
        <v>0</v>
      </c>
      <c r="T466" s="248">
        <f>SUMIFS(T$1:T433,$C$1:$C433,$C466,$F$1:$F433,$F466)</f>
        <v>4500</v>
      </c>
      <c r="U466" s="99">
        <f t="shared" si="418"/>
        <v>0</v>
      </c>
      <c r="V466" s="259">
        <f t="shared" si="419"/>
        <v>0</v>
      </c>
      <c r="W466" s="102"/>
      <c r="X466" s="103" t="str">
        <f t="shared" si="411"/>
        <v>OK</v>
      </c>
      <c r="Y466" s="271"/>
      <c r="Z466" s="121"/>
      <c r="AA466" s="121"/>
      <c r="AB466" s="121"/>
      <c r="AC466" s="121"/>
      <c r="AD466" s="121"/>
      <c r="AE466" s="121"/>
      <c r="AF466" s="121"/>
      <c r="AG466" s="121"/>
      <c r="AH466" s="121"/>
      <c r="AI466" s="121"/>
      <c r="AJ466" s="121"/>
      <c r="AK466" s="121"/>
      <c r="AL466" s="121"/>
    </row>
    <row r="467" spans="1:38" s="115" customFormat="1">
      <c r="A467" s="555"/>
      <c r="B467" s="217"/>
      <c r="C467" s="217">
        <v>75</v>
      </c>
      <c r="D467" s="101"/>
      <c r="E467" s="217"/>
      <c r="F467" s="294" t="s">
        <v>937</v>
      </c>
      <c r="G467" s="295" t="str">
        <f>VLOOKUP(F467,'GL Category'!A:C,3,FALSE)</f>
        <v>Services &amp; other</v>
      </c>
      <c r="H467" s="98" t="str">
        <f>VLOOKUP(F467,'GL Category'!A:C,2,FALSE)</f>
        <v>DEBRIS &amp; WASTE DISPOSAL SVCS</v>
      </c>
      <c r="I467" s="248">
        <f>SUMIFS(I$1:I434,$C$1:$C434,$C467,$F$1:$F434,$F467)</f>
        <v>320</v>
      </c>
      <c r="J467" s="248">
        <f>SUMIFS(J$1:J434,$C$1:$C434,$C467,$F$1:$F434,$F467)</f>
        <v>1060</v>
      </c>
      <c r="K467" s="248">
        <f>SUMIFS(K$1:K434,$C$1:$C434,$C467,$F$1:$F434,$F467)</f>
        <v>0</v>
      </c>
      <c r="L467" s="248">
        <f>SUMIFS(L$1:L434,$C$1:$C434,$C467,$F$1:$F434,$F467)</f>
        <v>4437</v>
      </c>
      <c r="M467" s="248">
        <f>SUMIFS(M$1:M434,$C$1:$C434,$C467,$F$1:$F434,$F467)</f>
        <v>2000</v>
      </c>
      <c r="N467" s="248">
        <f>SUMIFS(N$1:N434,$C$1:$C434,$C467,$F$1:$F434,$F467)</f>
        <v>0</v>
      </c>
      <c r="O467" s="248">
        <f>SUMIFS(O$1:O434,$C$1:$C434,$C467,$F$1:$F434,$F467)</f>
        <v>2000</v>
      </c>
      <c r="P467" s="248">
        <f>SUMIFS(P$1:P434,$C$1:$C434,$C467,$F$1:$F434,$F467)</f>
        <v>0</v>
      </c>
      <c r="Q467" s="248">
        <f>SUMIFS(Q$1:Q434,$C$1:$C434,$C467,$F$1:$F434,$F467)</f>
        <v>4000</v>
      </c>
      <c r="R467" s="248">
        <f>SUMIFS(R$1:R434,$C$1:$C434,$C467,$F$1:$F434,$F467)</f>
        <v>0</v>
      </c>
      <c r="S467" s="248">
        <f>SUMIFS(S$1:S434,$C$1:$C434,$C467,$F$1:$F434,$F467)</f>
        <v>0</v>
      </c>
      <c r="T467" s="248">
        <f>SUMIFS(T$1:T434,$C$1:$C434,$C467,$F$1:$F434,$F467)</f>
        <v>4000</v>
      </c>
      <c r="U467" s="99">
        <f t="shared" si="418"/>
        <v>2000</v>
      </c>
      <c r="V467" s="259">
        <f t="shared" si="419"/>
        <v>1</v>
      </c>
      <c r="W467" s="102"/>
      <c r="X467" s="103" t="str">
        <f t="shared" si="411"/>
        <v>OK</v>
      </c>
      <c r="Y467" s="271"/>
      <c r="Z467" s="121"/>
      <c r="AA467" s="121"/>
      <c r="AB467" s="121"/>
      <c r="AC467" s="121"/>
      <c r="AD467" s="121"/>
      <c r="AE467" s="121"/>
      <c r="AF467" s="121"/>
      <c r="AG467" s="121"/>
      <c r="AH467" s="121"/>
      <c r="AI467" s="121"/>
      <c r="AJ467" s="121"/>
      <c r="AK467" s="121"/>
      <c r="AL467" s="121"/>
    </row>
    <row r="468" spans="1:38" s="115" customFormat="1">
      <c r="A468" s="555"/>
      <c r="B468" s="217"/>
      <c r="C468" s="217">
        <v>75</v>
      </c>
      <c r="D468" s="101"/>
      <c r="E468" s="217"/>
      <c r="F468" s="294" t="s">
        <v>281</v>
      </c>
      <c r="G468" s="295" t="str">
        <f>VLOOKUP(F468,'GL Category'!A:C,3,FALSE)</f>
        <v>Services &amp; other</v>
      </c>
      <c r="H468" s="98" t="str">
        <f>VLOOKUP(F468,'GL Category'!A:C,2,FALSE)</f>
        <v>LABORATORY SERVICES</v>
      </c>
      <c r="I468" s="248">
        <f>SUMIFS(I$1:I435,$C$1:$C435,$C468,$F$1:$F435,$F468)</f>
        <v>0</v>
      </c>
      <c r="J468" s="248">
        <f>SUMIFS(J$1:J435,$C$1:$C435,$C468,$F$1:$F435,$F468)</f>
        <v>0</v>
      </c>
      <c r="K468" s="248">
        <f>SUMIFS(K$1:K435,$C$1:$C435,$C468,$F$1:$F435,$F468)</f>
        <v>0</v>
      </c>
      <c r="L468" s="248">
        <f>SUMIFS(L$1:L435,$C$1:$C435,$C468,$F$1:$F435,$F468)</f>
        <v>0</v>
      </c>
      <c r="M468" s="248">
        <f>SUMIFS(M$1:M435,$C$1:$C435,$C468,$F$1:$F435,$F468)</f>
        <v>0</v>
      </c>
      <c r="N468" s="248">
        <f>SUMIFS(N$1:N435,$C$1:$C435,$C468,$F$1:$F435,$F468)</f>
        <v>0</v>
      </c>
      <c r="O468" s="248">
        <f>SUMIFS(O$1:O435,$C$1:$C435,$C468,$F$1:$F435,$F468)</f>
        <v>0</v>
      </c>
      <c r="P468" s="248">
        <f>SUMIFS(P$1:P435,$C$1:$C435,$C468,$F$1:$F435,$F468)</f>
        <v>0</v>
      </c>
      <c r="Q468" s="248">
        <f>SUMIFS(Q$1:Q435,$C$1:$C435,$C468,$F$1:$F435,$F468)</f>
        <v>0</v>
      </c>
      <c r="R468" s="248">
        <f>SUMIFS(R$1:R435,$C$1:$C435,$C468,$F$1:$F435,$F468)</f>
        <v>0</v>
      </c>
      <c r="S468" s="248">
        <f>SUMIFS(S$1:S435,$C$1:$C435,$C468,$F$1:$F435,$F468)</f>
        <v>0</v>
      </c>
      <c r="T468" s="248">
        <f>SUMIFS(T$1:T435,$C$1:$C435,$C468,$F$1:$F435,$F468)</f>
        <v>0</v>
      </c>
      <c r="U468" s="99">
        <f t="shared" si="418"/>
        <v>0</v>
      </c>
      <c r="V468" s="259" t="str">
        <f t="shared" si="419"/>
        <v>N/A</v>
      </c>
      <c r="W468" s="102"/>
      <c r="X468" s="103" t="str">
        <f t="shared" si="411"/>
        <v>OK</v>
      </c>
      <c r="Y468" s="271"/>
      <c r="Z468" s="121"/>
      <c r="AA468" s="121"/>
      <c r="AB468" s="121"/>
      <c r="AC468" s="121"/>
      <c r="AD468" s="121"/>
      <c r="AE468" s="121"/>
      <c r="AF468" s="121"/>
      <c r="AG468" s="121"/>
      <c r="AH468" s="121"/>
      <c r="AI468" s="121"/>
      <c r="AJ468" s="121"/>
      <c r="AK468" s="121"/>
      <c r="AL468" s="121"/>
    </row>
    <row r="469" spans="1:38" s="115" customFormat="1" ht="26.4">
      <c r="A469" s="555"/>
      <c r="B469" s="217"/>
      <c r="C469" s="217">
        <v>75</v>
      </c>
      <c r="D469" s="101"/>
      <c r="E469" s="217"/>
      <c r="F469" s="294" t="s">
        <v>367</v>
      </c>
      <c r="G469" s="295" t="str">
        <f>VLOOKUP(F469,'GL Category'!A:C,3,FALSE)</f>
        <v>Services &amp; other</v>
      </c>
      <c r="H469" s="98" t="str">
        <f>VLOOKUP(F469,'GL Category'!A:C,2,FALSE)</f>
        <v>INDUSTRIAL SAMPLING SURCHARGES</v>
      </c>
      <c r="I469" s="248">
        <f>SUMIFS(I$1:I434,$C$1:$C434,$C469,$F$1:$F434,$F469)</f>
        <v>0</v>
      </c>
      <c r="J469" s="248">
        <f>SUMIFS(J$1:J434,$C$1:$C434,$C469,$F$1:$F434,$F469)</f>
        <v>0</v>
      </c>
      <c r="K469" s="248">
        <f>SUMIFS(K$1:K434,$C$1:$C434,$C469,$F$1:$F434,$F469)</f>
        <v>0</v>
      </c>
      <c r="L469" s="248">
        <f>SUMIFS(L$1:L434,$C$1:$C434,$C469,$F$1:$F434,$F469)</f>
        <v>0</v>
      </c>
      <c r="M469" s="248">
        <f>SUMIFS(M$1:M434,$C$1:$C434,$C469,$F$1:$F434,$F469)</f>
        <v>0</v>
      </c>
      <c r="N469" s="248">
        <f>SUMIFS(N$1:N434,$C$1:$C434,$C469,$F$1:$F434,$F469)</f>
        <v>0</v>
      </c>
      <c r="O469" s="248">
        <f>SUMIFS(O$1:O434,$C$1:$C434,$C469,$F$1:$F434,$F469)</f>
        <v>0</v>
      </c>
      <c r="P469" s="248">
        <f>SUMIFS(P$1:P434,$C$1:$C434,$C469,$F$1:$F434,$F469)</f>
        <v>0</v>
      </c>
      <c r="Q469" s="248">
        <f>SUMIFS(Q$1:Q434,$C$1:$C434,$C469,$F$1:$F434,$F469)</f>
        <v>0</v>
      </c>
      <c r="R469" s="248">
        <f>SUMIFS(R$1:R434,$C$1:$C434,$C469,$F$1:$F434,$F469)</f>
        <v>0</v>
      </c>
      <c r="S469" s="248">
        <f>SUMIFS(S$1:S434,$C$1:$C434,$C469,$F$1:$F434,$F469)</f>
        <v>0</v>
      </c>
      <c r="T469" s="248">
        <f>SUMIFS(T$1:T434,$C$1:$C434,$C469,$F$1:$F434,$F469)</f>
        <v>0</v>
      </c>
      <c r="U469" s="99">
        <f t="shared" si="418"/>
        <v>0</v>
      </c>
      <c r="V469" s="259" t="str">
        <f t="shared" si="419"/>
        <v>N/A</v>
      </c>
      <c r="W469" s="102"/>
      <c r="X469" s="103" t="str">
        <f t="shared" si="411"/>
        <v>OK</v>
      </c>
      <c r="Y469" s="271"/>
      <c r="Z469" s="121"/>
      <c r="AA469" s="121"/>
      <c r="AB469" s="121"/>
      <c r="AC469" s="121"/>
      <c r="AD469" s="121"/>
      <c r="AE469" s="121"/>
      <c r="AF469" s="121"/>
      <c r="AG469" s="121"/>
      <c r="AH469" s="121"/>
      <c r="AI469" s="121"/>
      <c r="AJ469" s="121"/>
      <c r="AK469" s="121"/>
      <c r="AL469" s="121"/>
    </row>
    <row r="470" spans="1:38" s="115" customFormat="1">
      <c r="A470" s="555"/>
      <c r="B470" s="217"/>
      <c r="C470" s="217">
        <v>75</v>
      </c>
      <c r="D470" s="101"/>
      <c r="E470" s="217"/>
      <c r="F470" s="294" t="s">
        <v>206</v>
      </c>
      <c r="G470" s="295" t="str">
        <f>VLOOKUP(F470,'GL Category'!A:C,3,FALSE)</f>
        <v>Services &amp; other</v>
      </c>
      <c r="H470" s="98" t="str">
        <f>VLOOKUP(F470,'GL Category'!A:C,2,FALSE)</f>
        <v>FREIGHT &amp; EXPRESS SERVICES</v>
      </c>
      <c r="I470" s="248">
        <f>SUMIFS(I$1:I435,$C$1:$C435,$C470,$F$1:$F435,$F470)</f>
        <v>0</v>
      </c>
      <c r="J470" s="248">
        <f>SUMIFS(J$1:J435,$C$1:$C435,$C470,$F$1:$F435,$F470)</f>
        <v>0</v>
      </c>
      <c r="K470" s="248">
        <f>SUMIFS(K$1:K435,$C$1:$C435,$C470,$F$1:$F435,$F470)</f>
        <v>0</v>
      </c>
      <c r="L470" s="248">
        <f>SUMIFS(L$1:L435,$C$1:$C435,$C470,$F$1:$F435,$F470)</f>
        <v>0</v>
      </c>
      <c r="M470" s="248">
        <f>SUMIFS(M$1:M435,$C$1:$C435,$C470,$F$1:$F435,$F470)</f>
        <v>0</v>
      </c>
      <c r="N470" s="248">
        <f>SUMIFS(N$1:N435,$C$1:$C435,$C470,$F$1:$F435,$F470)</f>
        <v>0</v>
      </c>
      <c r="O470" s="248">
        <f>SUMIFS(O$1:O435,$C$1:$C435,$C470,$F$1:$F435,$F470)</f>
        <v>0</v>
      </c>
      <c r="P470" s="248">
        <f>SUMIFS(P$1:P435,$C$1:$C435,$C470,$F$1:$F435,$F470)</f>
        <v>0</v>
      </c>
      <c r="Q470" s="248">
        <f>SUMIFS(Q$1:Q435,$C$1:$C435,$C470,$F$1:$F435,$F470)</f>
        <v>0</v>
      </c>
      <c r="R470" s="248">
        <f>SUMIFS(R$1:R435,$C$1:$C435,$C470,$F$1:$F435,$F470)</f>
        <v>0</v>
      </c>
      <c r="S470" s="248">
        <f>SUMIFS(S$1:S435,$C$1:$C435,$C470,$F$1:$F435,$F470)</f>
        <v>0</v>
      </c>
      <c r="T470" s="248">
        <f>SUMIFS(T$1:T435,$C$1:$C435,$C470,$F$1:$F435,$F470)</f>
        <v>0</v>
      </c>
      <c r="U470" s="99">
        <f t="shared" si="418"/>
        <v>0</v>
      </c>
      <c r="V470" s="259" t="str">
        <f t="shared" si="419"/>
        <v>N/A</v>
      </c>
      <c r="W470" s="102"/>
      <c r="X470" s="103" t="str">
        <f t="shared" si="411"/>
        <v>OK</v>
      </c>
      <c r="Y470" s="271"/>
      <c r="Z470" s="121"/>
      <c r="AA470" s="121"/>
      <c r="AB470" s="121"/>
      <c r="AC470" s="121"/>
      <c r="AD470" s="121"/>
      <c r="AE470" s="121"/>
      <c r="AF470" s="121"/>
      <c r="AG470" s="121"/>
      <c r="AH470" s="121"/>
      <c r="AI470" s="121"/>
      <c r="AJ470" s="121"/>
      <c r="AK470" s="121"/>
      <c r="AL470" s="121"/>
    </row>
    <row r="471" spans="1:38" s="115" customFormat="1" hidden="1">
      <c r="A471" s="555"/>
      <c r="B471" s="217"/>
      <c r="C471" s="217">
        <v>75</v>
      </c>
      <c r="D471" s="101"/>
      <c r="E471" s="217"/>
      <c r="F471" s="294" t="s">
        <v>208</v>
      </c>
      <c r="G471" s="295" t="str">
        <f>VLOOKUP(F471,'GL Category'!A:C,3,FALSE)</f>
        <v>Services &amp; other</v>
      </c>
      <c r="H471" s="98" t="str">
        <f>VLOOKUP(F471,'GL Category'!A:C,2,FALSE)</f>
        <v>GENERAL INSURANCE</v>
      </c>
      <c r="I471" s="248">
        <f>SUMIFS(I$1:I436,$C$1:$C436,$C471,$F$1:$F436,$F471)</f>
        <v>0</v>
      </c>
      <c r="J471" s="248">
        <f>SUMIFS(J$1:J436,$C$1:$C436,$C471,$F$1:$F436,$F471)</f>
        <v>0</v>
      </c>
      <c r="K471" s="248">
        <f>SUMIFS(K$1:K436,$C$1:$C436,$C471,$F$1:$F436,$F471)</f>
        <v>0</v>
      </c>
      <c r="L471" s="248">
        <f>SUMIFS(L$1:L436,$C$1:$C436,$C471,$F$1:$F436,$F471)</f>
        <v>0</v>
      </c>
      <c r="M471" s="248">
        <f>SUMIFS(M$1:M436,$C$1:$C436,$C471,$F$1:$F436,$F471)</f>
        <v>0</v>
      </c>
      <c r="N471" s="248">
        <f>SUMIFS(N$1:N436,$C$1:$C436,$C471,$F$1:$F436,$F471)</f>
        <v>0</v>
      </c>
      <c r="O471" s="248">
        <f>SUMIFS(O$1:O436,$C$1:$C436,$C471,$F$1:$F436,$F471)</f>
        <v>0</v>
      </c>
      <c r="P471" s="248">
        <f>SUMIFS(P$1:P436,$C$1:$C436,$C471,$F$1:$F436,$F471)</f>
        <v>0</v>
      </c>
      <c r="Q471" s="248">
        <f>SUMIFS(Q$1:Q436,$C$1:$C436,$C471,$F$1:$F436,$F471)</f>
        <v>0</v>
      </c>
      <c r="R471" s="248">
        <f>SUMIFS(R$1:R436,$C$1:$C436,$C471,$F$1:$F436,$F471)</f>
        <v>0</v>
      </c>
      <c r="S471" s="248">
        <f>SUMIFS(S$1:S436,$C$1:$C436,$C471,$F$1:$F436,$F471)</f>
        <v>0</v>
      </c>
      <c r="T471" s="248">
        <f>SUMIFS(T$1:T436,$C$1:$C436,$C471,$F$1:$F436,$F471)</f>
        <v>0</v>
      </c>
      <c r="U471" s="99">
        <f t="shared" si="418"/>
        <v>0</v>
      </c>
      <c r="V471" s="259" t="str">
        <f t="shared" si="419"/>
        <v>N/A</v>
      </c>
      <c r="W471" s="102"/>
      <c r="X471" s="103" t="str">
        <f t="shared" si="411"/>
        <v>OK</v>
      </c>
      <c r="Y471" s="271"/>
      <c r="Z471" s="121"/>
      <c r="AA471" s="121"/>
      <c r="AB471" s="121"/>
      <c r="AC471" s="121"/>
      <c r="AD471" s="121"/>
      <c r="AE471" s="121"/>
      <c r="AF471" s="121"/>
      <c r="AG471" s="121"/>
      <c r="AH471" s="121"/>
      <c r="AI471" s="121"/>
      <c r="AJ471" s="121"/>
      <c r="AK471" s="121"/>
      <c r="AL471" s="121"/>
    </row>
    <row r="472" spans="1:38" s="115" customFormat="1">
      <c r="A472" s="555"/>
      <c r="B472" s="217"/>
      <c r="C472" s="217">
        <v>75</v>
      </c>
      <c r="D472" s="101"/>
      <c r="E472" s="217"/>
      <c r="F472" s="294" t="s">
        <v>210</v>
      </c>
      <c r="G472" s="295" t="str">
        <f>VLOOKUP(F472,'GL Category'!A:C,3,FALSE)</f>
        <v>Services &amp; other</v>
      </c>
      <c r="H472" s="98" t="str">
        <f>VLOOKUP(F472,'GL Category'!A:C,2,FALSE)</f>
        <v>TELEPHONE/COMMUNICATIONS</v>
      </c>
      <c r="I472" s="248">
        <f>SUMIFS(I$1:I437,$C$1:$C437,$C472,$F$1:$F437,$F472)</f>
        <v>0</v>
      </c>
      <c r="J472" s="248">
        <f>SUMIFS(J$1:J437,$C$1:$C437,$C472,$F$1:$F437,$F472)</f>
        <v>0</v>
      </c>
      <c r="K472" s="248">
        <f>SUMIFS(K$1:K437,$C$1:$C437,$C472,$F$1:$F437,$F472)</f>
        <v>0</v>
      </c>
      <c r="L472" s="248">
        <f>SUMIFS(L$1:L437,$C$1:$C437,$C472,$F$1:$F437,$F472)</f>
        <v>0</v>
      </c>
      <c r="M472" s="248">
        <f>SUMIFS(M$1:M437,$C$1:$C437,$C472,$F$1:$F437,$F472)</f>
        <v>0</v>
      </c>
      <c r="N472" s="248">
        <f>SUMIFS(N$1:N437,$C$1:$C437,$C472,$F$1:$F437,$F472)</f>
        <v>0</v>
      </c>
      <c r="O472" s="248">
        <f>SUMIFS(O$1:O437,$C$1:$C437,$C472,$F$1:$F437,$F472)</f>
        <v>0</v>
      </c>
      <c r="P472" s="248">
        <f>SUMIFS(P$1:P437,$C$1:$C437,$C472,$F$1:$F437,$F472)</f>
        <v>0</v>
      </c>
      <c r="Q472" s="248">
        <f>SUMIFS(Q$1:Q437,$C$1:$C437,$C472,$F$1:$F437,$F472)</f>
        <v>0</v>
      </c>
      <c r="R472" s="248">
        <f>SUMIFS(R$1:R437,$C$1:$C437,$C472,$F$1:$F437,$F472)</f>
        <v>0</v>
      </c>
      <c r="S472" s="248">
        <f>SUMIFS(S$1:S437,$C$1:$C437,$C472,$F$1:$F437,$F472)</f>
        <v>0</v>
      </c>
      <c r="T472" s="248">
        <f>SUMIFS(T$1:T437,$C$1:$C437,$C472,$F$1:$F437,$F472)</f>
        <v>0</v>
      </c>
      <c r="U472" s="99">
        <f t="shared" si="418"/>
        <v>0</v>
      </c>
      <c r="V472" s="259" t="str">
        <f t="shared" si="419"/>
        <v>N/A</v>
      </c>
      <c r="W472" s="102"/>
      <c r="X472" s="103" t="str">
        <f t="shared" si="411"/>
        <v>OK</v>
      </c>
      <c r="Y472" s="271"/>
      <c r="Z472" s="121"/>
      <c r="AA472" s="121"/>
      <c r="AB472" s="121"/>
      <c r="AC472" s="121"/>
      <c r="AD472" s="121"/>
      <c r="AE472" s="121"/>
      <c r="AF472" s="121"/>
      <c r="AG472" s="121"/>
      <c r="AH472" s="121"/>
      <c r="AI472" s="121"/>
      <c r="AJ472" s="121"/>
      <c r="AK472" s="121"/>
      <c r="AL472" s="121"/>
    </row>
    <row r="473" spans="1:38" s="115" customFormat="1">
      <c r="A473" s="555"/>
      <c r="B473" s="217"/>
      <c r="C473" s="217">
        <v>75</v>
      </c>
      <c r="D473" s="101"/>
      <c r="E473" s="217"/>
      <c r="F473" s="294" t="s">
        <v>214</v>
      </c>
      <c r="G473" s="295" t="str">
        <f>VLOOKUP(F473,'GL Category'!A:C,3,FALSE)</f>
        <v>Services &amp; other</v>
      </c>
      <c r="H473" s="98" t="str">
        <f>VLOOKUP(F473,'GL Category'!A:C,2,FALSE)</f>
        <v>ELECTRICAL UTILITY SERVICE</v>
      </c>
      <c r="I473" s="248">
        <f>SUMIFS(I$1:I438,$C$1:$C438,$C473,$F$1:$F438,$F473)</f>
        <v>10995.14</v>
      </c>
      <c r="J473" s="248">
        <f>SUMIFS(J$1:J438,$C$1:$C438,$C473,$F$1:$F438,$F473)</f>
        <v>30690.17</v>
      </c>
      <c r="K473" s="248">
        <f>SUMIFS(K$1:K438,$C$1:$C438,$C473,$F$1:$F438,$F473)</f>
        <v>11025.57</v>
      </c>
      <c r="L473" s="248">
        <f>SUMIFS(L$1:L438,$C$1:$C438,$C473,$F$1:$F438,$F473)</f>
        <v>13152.96</v>
      </c>
      <c r="M473" s="248">
        <f>SUMIFS(M$1:M438,$C$1:$C438,$C473,$F$1:$F438,$F473)</f>
        <v>14020</v>
      </c>
      <c r="N473" s="248">
        <f>SUMIFS(N$1:N438,$C$1:$C438,$C473,$F$1:$F438,$F473)</f>
        <v>9072.1</v>
      </c>
      <c r="O473" s="248">
        <f>SUMIFS(O$1:O438,$C$1:$C438,$C473,$F$1:$F438,$F473)</f>
        <v>14020</v>
      </c>
      <c r="P473" s="248">
        <f>SUMIFS(P$1:P438,$C$1:$C438,$C473,$F$1:$F438,$F473)</f>
        <v>0</v>
      </c>
      <c r="Q473" s="248">
        <f>SUMIFS(Q$1:Q438,$C$1:$C438,$C473,$F$1:$F438,$F473)</f>
        <v>14020</v>
      </c>
      <c r="R473" s="248">
        <f>SUMIFS(R$1:R438,$C$1:$C438,$C473,$F$1:$F438,$F473)</f>
        <v>0</v>
      </c>
      <c r="S473" s="248">
        <f>SUMIFS(S$1:S438,$C$1:$C438,$C473,$F$1:$F438,$F473)</f>
        <v>0</v>
      </c>
      <c r="T473" s="248">
        <f>SUMIFS(T$1:T438,$C$1:$C438,$C473,$F$1:$F438,$F473)</f>
        <v>14020</v>
      </c>
      <c r="U473" s="99">
        <f t="shared" si="418"/>
        <v>0</v>
      </c>
      <c r="V473" s="259">
        <f t="shared" si="419"/>
        <v>0</v>
      </c>
      <c r="W473" s="102"/>
      <c r="X473" s="103" t="str">
        <f t="shared" si="411"/>
        <v>OK</v>
      </c>
      <c r="Y473" s="271"/>
      <c r="Z473" s="121"/>
      <c r="AA473" s="121"/>
      <c r="AB473" s="121"/>
      <c r="AC473" s="121"/>
      <c r="AD473" s="121"/>
      <c r="AE473" s="121"/>
      <c r="AF473" s="121"/>
      <c r="AG473" s="121"/>
      <c r="AH473" s="121"/>
      <c r="AI473" s="121"/>
      <c r="AJ473" s="121"/>
      <c r="AK473" s="121"/>
      <c r="AL473" s="121"/>
    </row>
    <row r="474" spans="1:38" s="115" customFormat="1">
      <c r="A474" s="555"/>
      <c r="B474" s="217"/>
      <c r="C474" s="217">
        <v>75</v>
      </c>
      <c r="D474" s="101"/>
      <c r="E474" s="217"/>
      <c r="F474" s="294" t="s">
        <v>216</v>
      </c>
      <c r="G474" s="295" t="str">
        <f>VLOOKUP(F474,'GL Category'!A:C,3,FALSE)</f>
        <v>Services &amp; other</v>
      </c>
      <c r="H474" s="98" t="str">
        <f>VLOOKUP(F474,'GL Category'!A:C,2,FALSE)</f>
        <v>WATER/SEWER UTILITY SERVICE</v>
      </c>
      <c r="I474" s="248">
        <f>SUMIFS(I$1:I439,$C$1:$C439,$C474,$F$1:$F439,$F474)</f>
        <v>921.44</v>
      </c>
      <c r="J474" s="248">
        <f>SUMIFS(J$1:J439,$C$1:$C439,$C474,$F$1:$F439,$F474)</f>
        <v>992.23</v>
      </c>
      <c r="K474" s="248">
        <f>SUMIFS(K$1:K439,$C$1:$C439,$C474,$F$1:$F439,$F474)</f>
        <v>1015.26</v>
      </c>
      <c r="L474" s="248">
        <f>SUMIFS(L$1:L439,$C$1:$C439,$C474,$F$1:$F439,$F474)</f>
        <v>1141.25</v>
      </c>
      <c r="M474" s="248">
        <f>SUMIFS(M$1:M439,$C$1:$C439,$C474,$F$1:$F439,$F474)</f>
        <v>1150</v>
      </c>
      <c r="N474" s="248">
        <f>SUMIFS(N$1:N439,$C$1:$C439,$C474,$F$1:$F439,$F474)</f>
        <v>928.39</v>
      </c>
      <c r="O474" s="248">
        <f>SUMIFS(O$1:O439,$C$1:$C439,$C474,$F$1:$F439,$F474)</f>
        <v>1150</v>
      </c>
      <c r="P474" s="248">
        <f>SUMIFS(P$1:P439,$C$1:$C439,$C474,$F$1:$F439,$F474)</f>
        <v>0</v>
      </c>
      <c r="Q474" s="248">
        <f>SUMIFS(Q$1:Q439,$C$1:$C439,$C474,$F$1:$F439,$F474)</f>
        <v>1150</v>
      </c>
      <c r="R474" s="248">
        <f>SUMIFS(R$1:R439,$C$1:$C439,$C474,$F$1:$F439,$F474)</f>
        <v>0</v>
      </c>
      <c r="S474" s="248">
        <f>SUMIFS(S$1:S439,$C$1:$C439,$C474,$F$1:$F439,$F474)</f>
        <v>0</v>
      </c>
      <c r="T474" s="248">
        <f>SUMIFS(T$1:T439,$C$1:$C439,$C474,$F$1:$F439,$F474)</f>
        <v>1150</v>
      </c>
      <c r="U474" s="99">
        <f t="shared" si="418"/>
        <v>0</v>
      </c>
      <c r="V474" s="259">
        <f t="shared" si="419"/>
        <v>0</v>
      </c>
      <c r="W474" s="102"/>
      <c r="X474" s="103" t="str">
        <f t="shared" si="411"/>
        <v>OK</v>
      </c>
      <c r="Y474" s="271"/>
      <c r="Z474" s="121"/>
      <c r="AA474" s="121"/>
      <c r="AB474" s="121"/>
      <c r="AC474" s="121"/>
      <c r="AD474" s="121"/>
      <c r="AE474" s="121"/>
      <c r="AF474" s="121"/>
      <c r="AG474" s="121"/>
      <c r="AH474" s="121"/>
      <c r="AI474" s="121"/>
      <c r="AJ474" s="121"/>
      <c r="AK474" s="121"/>
      <c r="AL474" s="121"/>
    </row>
    <row r="475" spans="1:38" s="115" customFormat="1">
      <c r="A475" s="555"/>
      <c r="B475" s="217"/>
      <c r="C475" s="217">
        <v>75</v>
      </c>
      <c r="D475" s="101"/>
      <c r="E475" s="217"/>
      <c r="F475" s="556" t="s">
        <v>3124</v>
      </c>
      <c r="G475" s="295" t="str">
        <f>VLOOKUP(F475,'GL Category'!A:C,3,FALSE)</f>
        <v>Services &amp; other</v>
      </c>
      <c r="H475" s="98" t="str">
        <f>VLOOKUP(F475,'GL Category'!A:C,2,FALSE)</f>
        <v>VEHICLE/EQUIP LEASE EXP-CITY</v>
      </c>
      <c r="I475" s="248">
        <f>SUMIFS(I$1:I440,$C$1:$C440,$C475,$F$1:$F440,$F475)</f>
        <v>228146</v>
      </c>
      <c r="J475" s="248">
        <f>SUMIFS(J$1:J440,$C$1:$C440,$C475,$F$1:$F440,$F475)</f>
        <v>104313</v>
      </c>
      <c r="K475" s="248">
        <f>SUMIFS(K$1:K440,$C$1:$C440,$C475,$F$1:$F440,$F475)</f>
        <v>125490</v>
      </c>
      <c r="L475" s="248">
        <f>SUMIFS(L$1:L440,$C$1:$C440,$C475,$F$1:$F440,$F475)</f>
        <v>213490</v>
      </c>
      <c r="M475" s="248">
        <f>SUMIFS(M$1:M440,$C$1:$C440,$C475,$F$1:$F440,$F475)</f>
        <v>403970</v>
      </c>
      <c r="N475" s="248">
        <f>SUMIFS(N$1:N440,$C$1:$C440,$C475,$F$1:$F440,$F475)</f>
        <v>302977.5</v>
      </c>
      <c r="O475" s="248">
        <f>SUMIFS(O$1:O440,$C$1:$C440,$C475,$F$1:$F440,$F475)</f>
        <v>403970</v>
      </c>
      <c r="P475" s="248">
        <f>SUMIFS(P$1:P440,$C$1:$C440,$C475,$F$1:$F440,$F475)</f>
        <v>0</v>
      </c>
      <c r="Q475" s="248">
        <f>SUMIFS(Q$1:Q440,$C$1:$C440,$C475,$F$1:$F440,$F475)</f>
        <v>218669</v>
      </c>
      <c r="R475" s="248">
        <f>SUMIFS(R$1:R440,$C$1:$C440,$C475,$F$1:$F440,$F475)</f>
        <v>0</v>
      </c>
      <c r="S475" s="248">
        <f>SUMIFS(S$1:S440,$C$1:$C440,$C475,$F$1:$F440,$F475)</f>
        <v>65000</v>
      </c>
      <c r="T475" s="248">
        <f>SUMIFS(T$1:T440,$C$1:$C440,$C475,$F$1:$F440,$F475)</f>
        <v>283669</v>
      </c>
      <c r="U475" s="99">
        <f t="shared" si="418"/>
        <v>-120301</v>
      </c>
      <c r="V475" s="259">
        <f t="shared" si="419"/>
        <v>-0.29779686610391864</v>
      </c>
      <c r="W475" s="334">
        <v>-0.1182049156940802</v>
      </c>
      <c r="X475" s="103" t="str">
        <f t="shared" si="411"/>
        <v>OK</v>
      </c>
      <c r="Y475" s="271"/>
      <c r="Z475" s="121"/>
      <c r="AA475" s="121"/>
      <c r="AB475" s="121"/>
      <c r="AC475" s="121"/>
      <c r="AD475" s="121"/>
      <c r="AE475" s="121"/>
      <c r="AF475" s="121"/>
      <c r="AG475" s="121"/>
      <c r="AH475" s="121"/>
      <c r="AI475" s="121"/>
      <c r="AJ475" s="121"/>
      <c r="AK475" s="121"/>
      <c r="AL475" s="121"/>
    </row>
    <row r="476" spans="1:38" s="115" customFormat="1">
      <c r="A476" s="555"/>
      <c r="B476" s="217"/>
      <c r="C476" s="217">
        <v>75</v>
      </c>
      <c r="D476" s="101"/>
      <c r="E476" s="217"/>
      <c r="F476" s="556" t="s">
        <v>3122</v>
      </c>
      <c r="G476" s="295" t="str">
        <f>VLOOKUP(F476,'GL Category'!A:C,3,FALSE)</f>
        <v>Services &amp; other</v>
      </c>
      <c r="H476" s="98" t="str">
        <f>VLOOKUP(F476,'GL Category'!A:C,2,FALSE)</f>
        <v>OFFICE EQUIP LEASE EXP-CITY</v>
      </c>
      <c r="I476" s="248">
        <f>SUMIFS(I$1:I441,$C$1:$C441,$C476,$F$1:$F441,$F476)</f>
        <v>16634</v>
      </c>
      <c r="J476" s="248">
        <f>SUMIFS(J$1:J441,$C$1:$C441,$C476,$F$1:$F441,$F476)</f>
        <v>18753</v>
      </c>
      <c r="K476" s="248">
        <f>SUMIFS(K$1:K441,$C$1:$C441,$C476,$F$1:$F441,$F476)</f>
        <v>14554</v>
      </c>
      <c r="L476" s="248">
        <f>SUMIFS(L$1:L441,$C$1:$C441,$C476,$F$1:$F441,$F476)</f>
        <v>16088</v>
      </c>
      <c r="M476" s="248">
        <f>SUMIFS(M$1:M441,$C$1:$C441,$C476,$F$1:$F441,$F476)</f>
        <v>17880</v>
      </c>
      <c r="N476" s="248">
        <f>SUMIFS(N$1:N441,$C$1:$C441,$C476,$F$1:$F441,$F476)</f>
        <v>13410</v>
      </c>
      <c r="O476" s="248">
        <f>SUMIFS(O$1:O441,$C$1:$C441,$C476,$F$1:$F441,$F476)</f>
        <v>17880</v>
      </c>
      <c r="P476" s="248">
        <f>SUMIFS(P$1:P441,$C$1:$C441,$C476,$F$1:$F441,$F476)</f>
        <v>0</v>
      </c>
      <c r="Q476" s="248">
        <f>SUMIFS(Q$1:Q441,$C$1:$C441,$C476,$F$1:$F441,$F476)</f>
        <v>20250</v>
      </c>
      <c r="R476" s="248">
        <f>SUMIFS(R$1:R441,$C$1:$C441,$C476,$F$1:$F441,$F476)</f>
        <v>0</v>
      </c>
      <c r="S476" s="248">
        <f>SUMIFS(S$1:S441,$C$1:$C441,$C476,$F$1:$F441,$F476)</f>
        <v>0</v>
      </c>
      <c r="T476" s="248">
        <f>SUMIFS(T$1:T441,$C$1:$C441,$C476,$F$1:$F441,$F476)</f>
        <v>20250</v>
      </c>
      <c r="U476" s="99">
        <f t="shared" si="418"/>
        <v>2370</v>
      </c>
      <c r="V476" s="259">
        <f t="shared" si="419"/>
        <v>0.1325503355704698</v>
      </c>
      <c r="W476" s="102"/>
      <c r="X476" s="103" t="str">
        <f t="shared" si="411"/>
        <v>OK</v>
      </c>
      <c r="Y476" s="271"/>
      <c r="Z476" s="121"/>
      <c r="AA476" s="121"/>
      <c r="AB476" s="121"/>
      <c r="AC476" s="121"/>
      <c r="AD476" s="121"/>
      <c r="AE476" s="121"/>
      <c r="AF476" s="121"/>
      <c r="AG476" s="121"/>
      <c r="AH476" s="121"/>
      <c r="AI476" s="121"/>
      <c r="AJ476" s="121"/>
      <c r="AK476" s="121"/>
      <c r="AL476" s="121"/>
    </row>
    <row r="477" spans="1:38" s="115" customFormat="1" ht="26.4">
      <c r="A477" s="555"/>
      <c r="B477" s="217"/>
      <c r="C477" s="217">
        <v>75</v>
      </c>
      <c r="D477" s="101"/>
      <c r="E477" s="217"/>
      <c r="F477" s="556" t="s">
        <v>3127</v>
      </c>
      <c r="G477" s="295" t="str">
        <f>VLOOKUP(F477,'GL Category'!A:C,3,FALSE)</f>
        <v>Services &amp; other</v>
      </c>
      <c r="H477" s="98" t="str">
        <f>VLOOKUP(F477,'GL Category'!A:C,2,FALSE)</f>
        <v>FRANCHISE/IN-LIEU OF TAXES-W/WW</v>
      </c>
      <c r="I477" s="248">
        <f>SUMIFS(I$1:I442,$C$1:$C442,$C477,$F$1:$F442,$F477)</f>
        <v>0</v>
      </c>
      <c r="J477" s="248">
        <f>SUMIFS(J$1:J442,$C$1:$C442,$C477,$F$1:$F442,$F477)</f>
        <v>0</v>
      </c>
      <c r="K477" s="248">
        <f>SUMIFS(K$1:K442,$C$1:$C442,$C477,$F$1:$F442,$F477)</f>
        <v>0</v>
      </c>
      <c r="L477" s="248">
        <f>SUMIFS(L$1:L442,$C$1:$C442,$C477,$F$1:$F442,$F477)</f>
        <v>0</v>
      </c>
      <c r="M477" s="248">
        <f>SUMIFS(M$1:M442,$C$1:$C442,$C477,$F$1:$F442,$F477)</f>
        <v>0</v>
      </c>
      <c r="N477" s="248">
        <f>SUMIFS(N$1:N442,$C$1:$C442,$C477,$F$1:$F442,$F477)</f>
        <v>0</v>
      </c>
      <c r="O477" s="248">
        <f>SUMIFS(O$1:O442,$C$1:$C442,$C477,$F$1:$F442,$F477)</f>
        <v>0</v>
      </c>
      <c r="P477" s="248">
        <f>SUMIFS(P$1:P442,$C$1:$C442,$C477,$F$1:$F442,$F477)</f>
        <v>0</v>
      </c>
      <c r="Q477" s="248">
        <f>SUMIFS(Q$1:Q442,$C$1:$C442,$C477,$F$1:$F442,$F477)</f>
        <v>0</v>
      </c>
      <c r="R477" s="248">
        <f>SUMIFS(R$1:R442,$C$1:$C442,$C477,$F$1:$F442,$F477)</f>
        <v>0</v>
      </c>
      <c r="S477" s="248">
        <f>SUMIFS(S$1:S442,$C$1:$C442,$C477,$F$1:$F442,$F477)</f>
        <v>0</v>
      </c>
      <c r="T477" s="248">
        <f>SUMIFS(T$1:T442,$C$1:$C442,$C477,$F$1:$F442,$F477)</f>
        <v>0</v>
      </c>
      <c r="U477" s="99">
        <f t="shared" si="418"/>
        <v>0</v>
      </c>
      <c r="V477" s="259" t="str">
        <f t="shared" si="419"/>
        <v>N/A</v>
      </c>
      <c r="W477" s="102"/>
      <c r="X477" s="103" t="str">
        <f t="shared" si="411"/>
        <v>OK</v>
      </c>
      <c r="Y477" s="271"/>
      <c r="Z477" s="121"/>
      <c r="AA477" s="121"/>
      <c r="AB477" s="121"/>
      <c r="AC477" s="121"/>
      <c r="AD477" s="121"/>
      <c r="AE477" s="121"/>
      <c r="AF477" s="121"/>
      <c r="AG477" s="121"/>
      <c r="AH477" s="121"/>
      <c r="AI477" s="121"/>
      <c r="AJ477" s="121"/>
      <c r="AK477" s="121"/>
      <c r="AL477" s="121"/>
    </row>
    <row r="478" spans="1:38" s="115" customFormat="1">
      <c r="A478" s="555"/>
      <c r="B478" s="217"/>
      <c r="C478" s="217">
        <v>75</v>
      </c>
      <c r="D478" s="101"/>
      <c r="E478" s="217"/>
      <c r="F478" s="294"/>
      <c r="G478" s="146"/>
      <c r="H478" s="107" t="str">
        <f>UPPER(G477)&amp;" TOTAL"</f>
        <v>SERVICES &amp; OTHER TOTAL</v>
      </c>
      <c r="I478" s="108">
        <f t="shared" ref="I478" si="420">SUBTOTAL(9,I462:I477)</f>
        <v>259551.03</v>
      </c>
      <c r="J478" s="108">
        <f t="shared" ref="J478:T478" si="421">SUBTOTAL(9,J462:J477)</f>
        <v>158966.24</v>
      </c>
      <c r="K478" s="108">
        <f t="shared" ref="K478" si="422">SUBTOTAL(9,K462:K477)</f>
        <v>155606.57999999999</v>
      </c>
      <c r="L478" s="108">
        <f t="shared" ref="L478" si="423">SUBTOTAL(9,L462:L477)</f>
        <v>257931.66999999998</v>
      </c>
      <c r="M478" s="108">
        <f t="shared" si="421"/>
        <v>456520</v>
      </c>
      <c r="N478" s="108">
        <f t="shared" ref="N478" si="424">SUBTOTAL(9,N462:N477)</f>
        <v>333828.40999999997</v>
      </c>
      <c r="O478" s="108">
        <f t="shared" si="421"/>
        <v>453020</v>
      </c>
      <c r="P478" s="108">
        <f t="shared" si="421"/>
        <v>-3500</v>
      </c>
      <c r="Q478" s="108">
        <f t="shared" si="421"/>
        <v>273589</v>
      </c>
      <c r="R478" s="108">
        <f t="shared" si="421"/>
        <v>0</v>
      </c>
      <c r="S478" s="108">
        <f t="shared" si="421"/>
        <v>65000</v>
      </c>
      <c r="T478" s="108">
        <f t="shared" si="421"/>
        <v>338589</v>
      </c>
      <c r="U478" s="99">
        <f t="shared" si="418"/>
        <v>-117931</v>
      </c>
      <c r="V478" s="259">
        <f t="shared" si="419"/>
        <v>-0.25832603171821611</v>
      </c>
      <c r="W478" s="102"/>
      <c r="X478" s="103" t="str">
        <f t="shared" si="411"/>
        <v>OK</v>
      </c>
      <c r="Y478" s="271"/>
      <c r="Z478" s="121"/>
      <c r="AA478" s="121"/>
      <c r="AB478" s="121"/>
      <c r="AC478" s="121"/>
      <c r="AD478" s="121"/>
      <c r="AE478" s="121"/>
      <c r="AF478" s="121"/>
      <c r="AG478" s="121"/>
      <c r="AH478" s="121"/>
      <c r="AI478" s="121"/>
      <c r="AJ478" s="121"/>
      <c r="AK478" s="121"/>
      <c r="AL478" s="121"/>
    </row>
    <row r="479" spans="1:38" s="115" customFormat="1">
      <c r="A479" s="555"/>
      <c r="B479" s="217"/>
      <c r="C479" s="217">
        <v>75</v>
      </c>
      <c r="D479" s="101"/>
      <c r="E479" s="217"/>
      <c r="F479" s="294" t="s">
        <v>365</v>
      </c>
      <c r="G479" s="146"/>
      <c r="H479" s="98"/>
      <c r="I479" s="106"/>
      <c r="J479" s="106"/>
      <c r="K479" s="106"/>
      <c r="L479" s="106"/>
      <c r="M479" s="106"/>
      <c r="N479" s="110"/>
      <c r="O479" s="110"/>
      <c r="P479" s="110"/>
      <c r="Q479" s="111"/>
      <c r="R479" s="99"/>
      <c r="S479" s="99"/>
      <c r="T479" s="111"/>
      <c r="U479" s="111"/>
      <c r="V479" s="111"/>
      <c r="W479" s="102"/>
      <c r="X479" s="103" t="str">
        <f t="shared" si="411"/>
        <v/>
      </c>
      <c r="Y479" s="271"/>
      <c r="Z479" s="121"/>
      <c r="AA479" s="121"/>
      <c r="AB479" s="121"/>
      <c r="AC479" s="121"/>
      <c r="AD479" s="121"/>
      <c r="AE479" s="121"/>
      <c r="AF479" s="121"/>
      <c r="AG479" s="121"/>
      <c r="AH479" s="121"/>
      <c r="AI479" s="121"/>
      <c r="AJ479" s="121"/>
      <c r="AK479" s="121"/>
      <c r="AL479" s="121"/>
    </row>
    <row r="480" spans="1:38" s="115" customFormat="1" ht="15.75" customHeight="1">
      <c r="A480" s="555"/>
      <c r="B480" s="217"/>
      <c r="C480" s="217">
        <v>75</v>
      </c>
      <c r="D480" s="101"/>
      <c r="E480" s="217"/>
      <c r="F480" s="294" t="s">
        <v>365</v>
      </c>
      <c r="G480" s="295" t="e">
        <f>VLOOKUP(F480,'GL Category'!A:C,3,FALSE)</f>
        <v>#N/A</v>
      </c>
      <c r="H480" s="98" t="str">
        <f>VLOOKUP(F480,'GL Category'!A:C,2,FALSE)</f>
        <v>TRA PAYMENT-WASTEWATER</v>
      </c>
      <c r="I480" s="248">
        <f>SUMIFS(I$1:I445,$C$1:$C445,$C480,$F$1:$F445,$F480)</f>
        <v>3206121.92</v>
      </c>
      <c r="J480" s="248">
        <f>SUMIFS(J$1:J445,$C$1:$C445,$C480,$F$1:$F445,$F480)</f>
        <v>3782394.84</v>
      </c>
      <c r="K480" s="248">
        <f>SUMIFS(K$1:K445,$C$1:$C445,$C480,$F$1:$F445,$F480)</f>
        <v>4005267.8</v>
      </c>
      <c r="L480" s="248">
        <f>SUMIFS(L$1:L445,$C$1:$C445,$C480,$F$1:$F445,$F480)</f>
        <v>4085013.62</v>
      </c>
      <c r="M480" s="248">
        <f>SUMIFS(M$1:M445,$C$1:$C445,$C480,$F$1:$F445,$F480)</f>
        <v>5022787</v>
      </c>
      <c r="N480" s="248">
        <f>SUMIFS(N$1:N445,$C$1:$C445,$C480,$F$1:$F445,$F480)</f>
        <v>3119080.51</v>
      </c>
      <c r="O480" s="248">
        <f>SUMIFS(O$1:O445,$C$1:$C445,$C480,$F$1:$F445,$F480)</f>
        <v>4337195</v>
      </c>
      <c r="P480" s="248">
        <f>SUMIFS(P$1:P445,$C$1:$C445,$C480,$F$1:$F445,$F480)</f>
        <v>-685592</v>
      </c>
      <c r="Q480" s="248">
        <f>SUMIFS(Q$1:Q445,$C$1:$C445,$C480,$F$1:$F445,$F480)</f>
        <v>5060458</v>
      </c>
      <c r="R480" s="248">
        <f>SUMIFS(R$1:R445,$C$1:$C445,$C480,$F$1:$F445,$F480)</f>
        <v>0</v>
      </c>
      <c r="S480" s="248">
        <f>SUMIFS(S$1:S445,$C$1:$C445,$C480,$F$1:$F445,$F480)</f>
        <v>0</v>
      </c>
      <c r="T480" s="248">
        <f>SUMIFS(T$1:T445,$C$1:$C445,$C480,$F$1:$F445,$F480)</f>
        <v>5060458</v>
      </c>
      <c r="U480" s="99">
        <f>T480-M480</f>
        <v>37671</v>
      </c>
      <c r="V480" s="259">
        <f>IF(M480=0,"N/A",T480/M480-1)</f>
        <v>7.5000194115337759E-3</v>
      </c>
      <c r="W480" s="102"/>
      <c r="X480" s="103" t="str">
        <f t="shared" si="411"/>
        <v>OK</v>
      </c>
      <c r="Y480" s="271"/>
      <c r="Z480" s="121"/>
      <c r="AA480" s="121"/>
      <c r="AB480" s="121"/>
      <c r="AC480" s="121"/>
      <c r="AD480" s="121"/>
      <c r="AE480" s="121"/>
      <c r="AF480" s="121"/>
      <c r="AG480" s="121"/>
      <c r="AH480" s="121"/>
      <c r="AI480" s="121"/>
      <c r="AJ480" s="121"/>
      <c r="AK480" s="121"/>
      <c r="AL480" s="121"/>
    </row>
    <row r="481" spans="1:38" s="115" customFormat="1" ht="15" customHeight="1">
      <c r="A481" s="555"/>
      <c r="B481" s="217"/>
      <c r="C481" s="217">
        <v>75</v>
      </c>
      <c r="D481" s="101"/>
      <c r="E481" s="217"/>
      <c r="F481" s="294"/>
      <c r="G481" s="146"/>
      <c r="H481" s="107" t="e">
        <f>UPPER(G480)&amp;" TOTAL"</f>
        <v>#N/A</v>
      </c>
      <c r="I481" s="108">
        <f t="shared" ref="I481" si="425">SUBTOTAL(9,I480)</f>
        <v>3206121.92</v>
      </c>
      <c r="J481" s="108">
        <f t="shared" ref="J481:S481" si="426">SUBTOTAL(9,J480)</f>
        <v>3782394.84</v>
      </c>
      <c r="K481" s="108">
        <f t="shared" ref="K481" si="427">SUBTOTAL(9,K480)</f>
        <v>4005267.8</v>
      </c>
      <c r="L481" s="108">
        <f t="shared" ref="L481" si="428">SUBTOTAL(9,L480)</f>
        <v>4085013.62</v>
      </c>
      <c r="M481" s="108">
        <f t="shared" si="426"/>
        <v>5022787</v>
      </c>
      <c r="N481" s="109">
        <f t="shared" ref="N481" si="429">SUBTOTAL(9,N480)</f>
        <v>3119080.51</v>
      </c>
      <c r="O481" s="109">
        <f t="shared" si="426"/>
        <v>4337195</v>
      </c>
      <c r="P481" s="109">
        <f t="shared" si="426"/>
        <v>-685592</v>
      </c>
      <c r="Q481" s="109">
        <f t="shared" si="426"/>
        <v>5060458</v>
      </c>
      <c r="R481" s="109">
        <f t="shared" si="426"/>
        <v>0</v>
      </c>
      <c r="S481" s="109">
        <f t="shared" si="426"/>
        <v>0</v>
      </c>
      <c r="T481" s="109">
        <f>SUBTOTAL(9,T480)</f>
        <v>5060458</v>
      </c>
      <c r="U481" s="99">
        <f>T481-M481</f>
        <v>37671</v>
      </c>
      <c r="V481" s="259">
        <f>IF(M481=0,"N/A",T481/M481-1)</f>
        <v>7.5000194115337759E-3</v>
      </c>
      <c r="W481" s="102"/>
      <c r="X481" s="103" t="str">
        <f t="shared" si="411"/>
        <v>OK</v>
      </c>
      <c r="Y481" s="271"/>
      <c r="Z481" s="121"/>
      <c r="AA481" s="121"/>
      <c r="AB481" s="121"/>
      <c r="AC481" s="121"/>
      <c r="AD481" s="121"/>
      <c r="AE481" s="121"/>
      <c r="AF481" s="121"/>
      <c r="AG481" s="121"/>
      <c r="AH481" s="121"/>
      <c r="AI481" s="121"/>
      <c r="AJ481" s="121"/>
      <c r="AK481" s="121"/>
      <c r="AL481" s="121"/>
    </row>
    <row r="482" spans="1:38" s="115" customFormat="1">
      <c r="A482" s="555"/>
      <c r="B482" s="217"/>
      <c r="C482" s="217">
        <v>75</v>
      </c>
      <c r="D482" s="101"/>
      <c r="E482" s="217"/>
      <c r="F482" s="294"/>
      <c r="G482" s="146"/>
      <c r="H482" s="98"/>
      <c r="I482" s="106"/>
      <c r="J482" s="106"/>
      <c r="K482" s="106"/>
      <c r="L482" s="106"/>
      <c r="M482" s="106"/>
      <c r="N482" s="110"/>
      <c r="O482" s="110"/>
      <c r="P482" s="110"/>
      <c r="Q482" s="111"/>
      <c r="R482" s="99"/>
      <c r="S482" s="99"/>
      <c r="T482" s="111"/>
      <c r="U482" s="111"/>
      <c r="V482" s="111"/>
      <c r="W482" s="102"/>
      <c r="X482" s="103" t="str">
        <f t="shared" si="411"/>
        <v/>
      </c>
      <c r="Y482" s="271"/>
      <c r="Z482" s="121"/>
      <c r="AA482" s="121"/>
      <c r="AB482" s="121"/>
      <c r="AC482" s="121"/>
      <c r="AD482" s="121"/>
      <c r="AE482" s="121"/>
      <c r="AF482" s="121"/>
      <c r="AG482" s="121"/>
      <c r="AH482" s="121"/>
      <c r="AI482" s="121"/>
      <c r="AJ482" s="121"/>
      <c r="AK482" s="121"/>
      <c r="AL482" s="121"/>
    </row>
    <row r="483" spans="1:38" s="115" customFormat="1">
      <c r="A483" s="555"/>
      <c r="B483" s="217"/>
      <c r="C483" s="217">
        <v>75</v>
      </c>
      <c r="D483" s="101"/>
      <c r="E483" s="217"/>
      <c r="F483" s="294" t="s">
        <v>345</v>
      </c>
      <c r="G483" s="295" t="str">
        <f>VLOOKUP(F483,'GL Category'!A:C,3,FALSE)</f>
        <v>Capital Outlay</v>
      </c>
      <c r="H483" s="98" t="str">
        <f>VLOOKUP(F483,'GL Category'!A:C,2,FALSE)</f>
        <v>MAINS &amp; SERVICES</v>
      </c>
      <c r="I483" s="248">
        <f>SUMIFS(I$1:I448,$C$1:$C448,$C483,$F$1:$F448,$F483)</f>
        <v>0</v>
      </c>
      <c r="J483" s="248">
        <f>SUMIFS(J$1:J448,$C$1:$C448,$C483,$F$1:$F448,$F483)</f>
        <v>0</v>
      </c>
      <c r="K483" s="248">
        <f>SUMIFS(K$1:K448,$C$1:$C448,$C483,$F$1:$F448,$F483)</f>
        <v>0</v>
      </c>
      <c r="L483" s="248">
        <f>SUMIFS(L$1:L448,$C$1:$C448,$C483,$F$1:$F448,$F483)</f>
        <v>0</v>
      </c>
      <c r="M483" s="248">
        <f>SUMIFS(M$1:M448,$C$1:$C448,$C483,$F$1:$F448,$F483)</f>
        <v>0</v>
      </c>
      <c r="N483" s="248">
        <f>SUMIFS(N$1:N448,$C$1:$C448,$C483,$F$1:$F448,$F483)</f>
        <v>0</v>
      </c>
      <c r="O483" s="248">
        <f>SUMIFS(O$1:O448,$C$1:$C448,$C483,$F$1:$F448,$F483)</f>
        <v>0</v>
      </c>
      <c r="P483" s="248">
        <f>SUMIFS(P$1:P448,$C$1:$C448,$C483,$F$1:$F448,$F483)</f>
        <v>0</v>
      </c>
      <c r="Q483" s="248">
        <f>SUMIFS(Q$1:Q448,$C$1:$C448,$C483,$F$1:$F448,$F483)</f>
        <v>0</v>
      </c>
      <c r="R483" s="248">
        <f>SUMIFS(R$1:R448,$C$1:$C448,$C483,$F$1:$F448,$F483)</f>
        <v>0</v>
      </c>
      <c r="S483" s="248">
        <f>SUMIFS(S$1:S448,$C$1:$C448,$C483,$F$1:$F448,$F483)</f>
        <v>0</v>
      </c>
      <c r="T483" s="248">
        <f>SUMIFS(T$1:T448,$C$1:$C448,$C483,$F$1:$F448,$F483)</f>
        <v>0</v>
      </c>
      <c r="U483" s="99">
        <f>T483-M483</f>
        <v>0</v>
      </c>
      <c r="V483" s="259" t="str">
        <f>IF(M483=0,"N/A",T483/M483-1)</f>
        <v>N/A</v>
      </c>
      <c r="W483" s="102"/>
      <c r="X483" s="103" t="str">
        <f t="shared" si="411"/>
        <v>OK</v>
      </c>
      <c r="Y483" s="271"/>
      <c r="Z483" s="121"/>
      <c r="AA483" s="121"/>
      <c r="AB483" s="121"/>
      <c r="AC483" s="121"/>
      <c r="AD483" s="121"/>
      <c r="AE483" s="121"/>
      <c r="AF483" s="121"/>
      <c r="AG483" s="121"/>
      <c r="AH483" s="121"/>
      <c r="AI483" s="121"/>
      <c r="AJ483" s="121"/>
      <c r="AK483" s="121"/>
      <c r="AL483" s="121"/>
    </row>
    <row r="484" spans="1:38" s="115" customFormat="1">
      <c r="A484" s="555"/>
      <c r="B484" s="217"/>
      <c r="C484" s="217">
        <v>75</v>
      </c>
      <c r="D484" s="101"/>
      <c r="E484" s="217"/>
      <c r="F484" s="294" t="s">
        <v>267</v>
      </c>
      <c r="G484" s="295" t="str">
        <f>VLOOKUP(F484,'GL Category'!A:C,3,FALSE)</f>
        <v>Capital Outlay</v>
      </c>
      <c r="H484" s="98" t="str">
        <f>VLOOKUP(F484,'GL Category'!A:C,2,FALSE)</f>
        <v>MACHINERY &amp; EQUIPMENT</v>
      </c>
      <c r="I484" s="248">
        <f>SUMIFS(I$1:I449,$C$1:$C449,$C484,$F$1:$F449,$F484)</f>
        <v>0</v>
      </c>
      <c r="J484" s="248">
        <f>SUMIFS(J$1:J449,$C$1:$C449,$C484,$F$1:$F449,$F484)</f>
        <v>0</v>
      </c>
      <c r="K484" s="248">
        <f>SUMIFS(K$1:K449,$C$1:$C449,$C484,$F$1:$F449,$F484)</f>
        <v>0</v>
      </c>
      <c r="L484" s="248">
        <f>SUMIFS(L$1:L449,$C$1:$C449,$C484,$F$1:$F449,$F484)</f>
        <v>0</v>
      </c>
      <c r="M484" s="248">
        <f>SUMIFS(M$1:M449,$C$1:$C449,$C484,$F$1:$F449,$F484)</f>
        <v>0</v>
      </c>
      <c r="N484" s="248">
        <f>SUMIFS(N$1:N449,$C$1:$C449,$C484,$F$1:$F449,$F484)</f>
        <v>0</v>
      </c>
      <c r="O484" s="248">
        <f>SUMIFS(O$1:O449,$C$1:$C449,$C484,$F$1:$F449,$F484)</f>
        <v>0</v>
      </c>
      <c r="P484" s="248">
        <f>SUMIFS(P$1:P449,$C$1:$C449,$C484,$F$1:$F449,$F484)</f>
        <v>0</v>
      </c>
      <c r="Q484" s="248">
        <f>SUMIFS(Q$1:Q449,$C$1:$C449,$C484,$F$1:$F449,$F484)</f>
        <v>0</v>
      </c>
      <c r="R484" s="248">
        <f>SUMIFS(R$1:R449,$C$1:$C449,$C484,$F$1:$F449,$F484)</f>
        <v>0</v>
      </c>
      <c r="S484" s="248">
        <f>SUMIFS(S$1:S449,$C$1:$C449,$C484,$F$1:$F449,$F484)</f>
        <v>0</v>
      </c>
      <c r="T484" s="248">
        <f>SUMIFS(T$1:T449,$C$1:$C449,$C484,$F$1:$F449,$F484)</f>
        <v>0</v>
      </c>
      <c r="U484" s="99">
        <f>T484-M484</f>
        <v>0</v>
      </c>
      <c r="V484" s="259" t="str">
        <f>IF(M484=0,"N/A",T484/M484-1)</f>
        <v>N/A</v>
      </c>
      <c r="W484" s="102"/>
      <c r="X484" s="103" t="str">
        <f t="shared" si="411"/>
        <v>OK</v>
      </c>
      <c r="Y484" s="271"/>
      <c r="Z484" s="121"/>
      <c r="AA484" s="121"/>
      <c r="AB484" s="121"/>
      <c r="AC484" s="121"/>
      <c r="AD484" s="121"/>
      <c r="AE484" s="121"/>
      <c r="AF484" s="121"/>
      <c r="AG484" s="121"/>
      <c r="AH484" s="121"/>
      <c r="AI484" s="121"/>
      <c r="AJ484" s="121"/>
      <c r="AK484" s="121"/>
      <c r="AL484" s="121"/>
    </row>
    <row r="485" spans="1:38" s="115" customFormat="1">
      <c r="A485" s="555"/>
      <c r="B485" s="217"/>
      <c r="C485" s="217">
        <v>75</v>
      </c>
      <c r="D485" s="101"/>
      <c r="E485" s="217"/>
      <c r="F485" s="294" t="s">
        <v>243</v>
      </c>
      <c r="G485" s="295" t="str">
        <f>VLOOKUP(F485,'GL Category'!A:C,3,FALSE)</f>
        <v>Capital Outlay</v>
      </c>
      <c r="H485" s="98" t="str">
        <f>VLOOKUP(F485,'GL Category'!A:C,2,FALSE)</f>
        <v>MOTOR VEHICLES</v>
      </c>
      <c r="I485" s="248">
        <f>SUMIFS(I$1:I449,$C$1:$C449,$C485,$F$1:$F449,$F485)</f>
        <v>0</v>
      </c>
      <c r="J485" s="248">
        <f>SUMIFS(J$1:J449,$C$1:$C449,$C485,$F$1:$F449,$F485)</f>
        <v>0</v>
      </c>
      <c r="K485" s="248">
        <f>SUMIFS(K$1:K449,$C$1:$C449,$C485,$F$1:$F449,$F485)</f>
        <v>0</v>
      </c>
      <c r="L485" s="248">
        <f>SUMIFS(L$1:L449,$C$1:$C449,$C485,$F$1:$F449,$F485)</f>
        <v>0</v>
      </c>
      <c r="M485" s="248">
        <f>SUMIFS(M$1:M449,$C$1:$C449,$C485,$F$1:$F449,$F485)</f>
        <v>0</v>
      </c>
      <c r="N485" s="248">
        <f>SUMIFS(N$1:N449,$C$1:$C449,$C485,$F$1:$F449,$F485)</f>
        <v>0</v>
      </c>
      <c r="O485" s="248">
        <f>SUMIFS(O$1:O449,$C$1:$C449,$C485,$F$1:$F449,$F485)</f>
        <v>0</v>
      </c>
      <c r="P485" s="248">
        <f>SUMIFS(P$1:P449,$C$1:$C449,$C485,$F$1:$F449,$F485)</f>
        <v>0</v>
      </c>
      <c r="Q485" s="248">
        <f>SUMIFS(Q$1:Q449,$C$1:$C449,$C485,$F$1:$F449,$F485)</f>
        <v>0</v>
      </c>
      <c r="R485" s="248">
        <f>SUMIFS(R$1:R449,$C$1:$C449,$C485,$F$1:$F449,$F485)</f>
        <v>0</v>
      </c>
      <c r="S485" s="248">
        <f>SUMIFS(S$1:S449,$C$1:$C449,$C485,$F$1:$F449,$F485)</f>
        <v>0</v>
      </c>
      <c r="T485" s="248">
        <f>SUMIFS(T$1:T449,$C$1:$C449,$C485,$F$1:$F449,$F485)</f>
        <v>0</v>
      </c>
      <c r="U485" s="99">
        <f>T485-M485</f>
        <v>0</v>
      </c>
      <c r="V485" s="259" t="str">
        <f>IF(M485=0,"N/A",T485/M485-1)</f>
        <v>N/A</v>
      </c>
      <c r="W485" s="102"/>
      <c r="X485" s="103" t="str">
        <f t="shared" si="411"/>
        <v>OK</v>
      </c>
      <c r="Y485" s="271"/>
      <c r="Z485" s="121"/>
      <c r="AA485" s="121"/>
      <c r="AB485" s="121"/>
      <c r="AC485" s="121"/>
      <c r="AD485" s="121"/>
      <c r="AE485" s="121"/>
      <c r="AF485" s="121"/>
      <c r="AG485" s="121"/>
      <c r="AH485" s="121"/>
      <c r="AI485" s="121"/>
      <c r="AJ485" s="121"/>
      <c r="AK485" s="121"/>
      <c r="AL485" s="121"/>
    </row>
    <row r="486" spans="1:38" s="115" customFormat="1">
      <c r="A486" s="555"/>
      <c r="B486" s="217"/>
      <c r="C486" s="217">
        <v>75</v>
      </c>
      <c r="D486" s="101"/>
      <c r="E486" s="217"/>
      <c r="F486" s="294"/>
      <c r="G486" s="146"/>
      <c r="H486" s="107" t="str">
        <f>UPPER(G485)&amp;" TOTAL"</f>
        <v>CAPITAL OUTLAY TOTAL</v>
      </c>
      <c r="I486" s="108">
        <f t="shared" ref="I486" si="430">SUBTOTAL(9,I483:I485)</f>
        <v>0</v>
      </c>
      <c r="J486" s="108">
        <f t="shared" ref="J486:T486" si="431">SUBTOTAL(9,J483:J485)</f>
        <v>0</v>
      </c>
      <c r="K486" s="108">
        <f t="shared" ref="K486" si="432">SUBTOTAL(9,K483:K485)</f>
        <v>0</v>
      </c>
      <c r="L486" s="108">
        <f t="shared" ref="L486" si="433">SUBTOTAL(9,L483:L485)</f>
        <v>0</v>
      </c>
      <c r="M486" s="108">
        <f t="shared" si="431"/>
        <v>0</v>
      </c>
      <c r="N486" s="108">
        <f t="shared" ref="N486" si="434">SUBTOTAL(9,N483:N485)</f>
        <v>0</v>
      </c>
      <c r="O486" s="108">
        <f t="shared" si="431"/>
        <v>0</v>
      </c>
      <c r="P486" s="108">
        <f t="shared" si="431"/>
        <v>0</v>
      </c>
      <c r="Q486" s="108">
        <f t="shared" si="431"/>
        <v>0</v>
      </c>
      <c r="R486" s="108">
        <f t="shared" si="431"/>
        <v>0</v>
      </c>
      <c r="S486" s="108">
        <f t="shared" si="431"/>
        <v>0</v>
      </c>
      <c r="T486" s="108">
        <f t="shared" si="431"/>
        <v>0</v>
      </c>
      <c r="U486" s="99">
        <f>T486-M486</f>
        <v>0</v>
      </c>
      <c r="V486" s="259" t="str">
        <f>IF(M486=0,"N/A",T486/M486-1)</f>
        <v>N/A</v>
      </c>
      <c r="W486" s="102"/>
      <c r="X486" s="103" t="str">
        <f t="shared" si="411"/>
        <v>OK</v>
      </c>
      <c r="Y486" s="271"/>
      <c r="Z486" s="121"/>
      <c r="AA486" s="121"/>
      <c r="AB486" s="121"/>
      <c r="AC486" s="121"/>
      <c r="AD486" s="121"/>
      <c r="AE486" s="121"/>
      <c r="AF486" s="121"/>
      <c r="AG486" s="121"/>
      <c r="AH486" s="121"/>
      <c r="AI486" s="121"/>
      <c r="AJ486" s="121"/>
      <c r="AK486" s="121"/>
      <c r="AL486" s="121"/>
    </row>
    <row r="487" spans="1:38" s="115" customFormat="1">
      <c r="A487" s="555"/>
      <c r="B487" s="217"/>
      <c r="C487" s="217">
        <v>75</v>
      </c>
      <c r="D487" s="101"/>
      <c r="E487" s="217"/>
      <c r="F487" s="294" t="s">
        <v>239</v>
      </c>
      <c r="G487" s="146"/>
      <c r="H487" s="98"/>
      <c r="I487" s="106"/>
      <c r="J487" s="106"/>
      <c r="K487" s="106"/>
      <c r="L487" s="106"/>
      <c r="M487" s="106"/>
      <c r="N487" s="110"/>
      <c r="O487" s="110"/>
      <c r="P487" s="110"/>
      <c r="Q487" s="111"/>
      <c r="R487" s="99"/>
      <c r="S487" s="99"/>
      <c r="T487" s="111"/>
      <c r="U487" s="111"/>
      <c r="V487" s="111"/>
      <c r="W487" s="102"/>
      <c r="X487" s="103" t="str">
        <f t="shared" si="411"/>
        <v/>
      </c>
      <c r="Y487" s="271"/>
      <c r="Z487" s="121"/>
      <c r="AA487" s="121"/>
      <c r="AB487" s="121"/>
      <c r="AC487" s="121"/>
      <c r="AD487" s="121"/>
      <c r="AE487" s="121"/>
      <c r="AF487" s="121"/>
      <c r="AG487" s="121"/>
      <c r="AH487" s="121"/>
      <c r="AI487" s="121"/>
      <c r="AJ487" s="121"/>
      <c r="AK487" s="121"/>
      <c r="AL487" s="121"/>
    </row>
    <row r="488" spans="1:38" s="115" customFormat="1">
      <c r="A488" s="555"/>
      <c r="B488" s="217"/>
      <c r="C488" s="217">
        <v>75</v>
      </c>
      <c r="D488" s="101"/>
      <c r="E488" s="217"/>
      <c r="F488" s="294" t="s">
        <v>347</v>
      </c>
      <c r="G488" s="295" t="str">
        <f>VLOOKUP(F488,'GL Category'!A:C,3,FALSE)</f>
        <v>Transfers to other funds</v>
      </c>
      <c r="H488" s="98" t="str">
        <f>VLOOKUP(F488,'GL Category'!A:C,2,FALSE)</f>
        <v>TRANSFER TO CIP-WATER/WW</v>
      </c>
      <c r="I488" s="248">
        <f>SUMIFS(I$1:I451,$C$1:$C451,$C488,$F$1:$F451,$F488)</f>
        <v>720000</v>
      </c>
      <c r="J488" s="248">
        <f>SUMIFS(J$1:J451,$C$1:$C451,$C488,$F$1:$F451,$F488)</f>
        <v>800000</v>
      </c>
      <c r="K488" s="248">
        <f>SUMIFS(K$1:K451,$C$1:$C451,$C488,$F$1:$F451,$F488)</f>
        <v>425000</v>
      </c>
      <c r="L488" s="248">
        <f>SUMIFS(L$1:L451,$C$1:$C451,$C488,$F$1:$F451,$F488)</f>
        <v>275000</v>
      </c>
      <c r="M488" s="248">
        <f>SUMIFS(M$1:M451,$C$1:$C451,$C488,$F$1:$F451,$F488)</f>
        <v>200000</v>
      </c>
      <c r="N488" s="248">
        <f>SUMIFS(N$1:N451,$C$1:$C451,$C488,$F$1:$F451,$F488)</f>
        <v>150000</v>
      </c>
      <c r="O488" s="248">
        <f>SUMIFS(O$1:O451,$C$1:$C451,$C488,$F$1:$F451,$F488)</f>
        <v>200000</v>
      </c>
      <c r="P488" s="248">
        <f>SUMIFS(P$1:P451,$C$1:$C451,$C488,$F$1:$F451,$F488)</f>
        <v>0</v>
      </c>
      <c r="Q488" s="248">
        <f>SUMIFS(Q$1:Q451,$C$1:$C451,$C488,$F$1:$F451,$F488)</f>
        <v>200000</v>
      </c>
      <c r="R488" s="248">
        <f>SUMIFS(R$1:R451,$C$1:$C451,$C488,$F$1:$F451,$F488)</f>
        <v>0</v>
      </c>
      <c r="S488" s="248">
        <f>SUMIFS(S$1:S451,$C$1:$C451,$C488,$F$1:$F451,$F488)</f>
        <v>0</v>
      </c>
      <c r="T488" s="248">
        <f>SUMIFS(T$1:T451,$C$1:$C451,$C488,$F$1:$F451,$F488)</f>
        <v>200000</v>
      </c>
      <c r="U488" s="99">
        <f>T488-M488</f>
        <v>0</v>
      </c>
      <c r="V488" s="259">
        <f>IF(M488=0,"N/A",T488/M488-1)</f>
        <v>0</v>
      </c>
      <c r="W488" s="102"/>
      <c r="X488" s="103" t="str">
        <f t="shared" ref="X488:X520" si="435">IF(Q488="","",IF(T488=SUM(Q488:S488),"OK","NO"))</f>
        <v>OK</v>
      </c>
      <c r="Y488" s="271"/>
      <c r="Z488" s="121"/>
      <c r="AA488" s="121"/>
      <c r="AB488" s="121"/>
      <c r="AC488" s="121"/>
      <c r="AD488" s="121"/>
      <c r="AE488" s="121"/>
      <c r="AF488" s="121"/>
      <c r="AG488" s="121"/>
      <c r="AH488" s="121"/>
      <c r="AI488" s="121"/>
      <c r="AJ488" s="121"/>
      <c r="AK488" s="121"/>
      <c r="AL488" s="121"/>
    </row>
    <row r="489" spans="1:38" s="115" customFormat="1">
      <c r="A489" s="555"/>
      <c r="B489" s="217"/>
      <c r="C489" s="217">
        <v>75</v>
      </c>
      <c r="D489" s="101"/>
      <c r="E489" s="217"/>
      <c r="F489" s="294" t="s">
        <v>843</v>
      </c>
      <c r="G489" s="295" t="str">
        <f>VLOOKUP(F489,'GL Category'!A:C,3,FALSE)</f>
        <v>Transfers to other funds</v>
      </c>
      <c r="H489" s="98" t="str">
        <f>VLOOKUP(F489,'GL Category'!A:C,2,FALSE)</f>
        <v>TRANSFER TO CIP-DRAINAGE</v>
      </c>
      <c r="I489" s="248">
        <f>SUMIFS(I$1:I451,$C$1:$C451,$C489,$F$1:$F451,$F489)</f>
        <v>350000</v>
      </c>
      <c r="J489" s="248">
        <f>SUMIFS(J$1:J451,$C$1:$C451,$C489,$F$1:$F451,$F489)</f>
        <v>0</v>
      </c>
      <c r="K489" s="248">
        <f>SUMIFS(K$1:K451,$C$1:$C451,$C489,$F$1:$F451,$F489)</f>
        <v>0</v>
      </c>
      <c r="L489" s="248">
        <f>SUMIFS(L$1:L451,$C$1:$C451,$C489,$F$1:$F451,$F489)</f>
        <v>0</v>
      </c>
      <c r="M489" s="248">
        <f>SUMIFS(M$1:M451,$C$1:$C451,$C489,$F$1:$F451,$F489)</f>
        <v>0</v>
      </c>
      <c r="N489" s="248">
        <f>SUMIFS(N$1:N451,$C$1:$C451,$C489,$F$1:$F451,$F489)</f>
        <v>0</v>
      </c>
      <c r="O489" s="248">
        <f>SUMIFS(O$1:O451,$C$1:$C451,$C489,$F$1:$F451,$F489)</f>
        <v>0</v>
      </c>
      <c r="P489" s="248">
        <f>SUMIFS(P$1:P451,$C$1:$C451,$C489,$F$1:$F451,$F489)</f>
        <v>0</v>
      </c>
      <c r="Q489" s="248">
        <f>SUMIFS(Q$1:Q451,$C$1:$C451,$C489,$F$1:$F451,$F489)</f>
        <v>0</v>
      </c>
      <c r="R489" s="248">
        <f>SUMIFS(R$1:R451,$C$1:$C451,$C489,$F$1:$F451,$F489)</f>
        <v>0</v>
      </c>
      <c r="S489" s="248">
        <f>SUMIFS(S$1:S451,$C$1:$C451,$C489,$F$1:$F451,$F489)</f>
        <v>0</v>
      </c>
      <c r="T489" s="248">
        <f>SUMIFS(T$1:T451,$C$1:$C451,$C489,$F$1:$F451,$F489)</f>
        <v>0</v>
      </c>
      <c r="U489" s="99">
        <f>T489-M489</f>
        <v>0</v>
      </c>
      <c r="V489" s="259" t="str">
        <f>IF(M489=0,"N/A",T489/M489-1)</f>
        <v>N/A</v>
      </c>
      <c r="W489" s="102"/>
      <c r="X489" s="103" t="str">
        <f t="shared" si="435"/>
        <v>OK</v>
      </c>
      <c r="Y489" s="271"/>
      <c r="Z489" s="121"/>
      <c r="AA489" s="121"/>
      <c r="AB489" s="121"/>
      <c r="AC489" s="121"/>
      <c r="AD489" s="121"/>
      <c r="AE489" s="121"/>
      <c r="AF489" s="121"/>
      <c r="AG489" s="121"/>
      <c r="AH489" s="121"/>
      <c r="AI489" s="121"/>
      <c r="AJ489" s="121"/>
      <c r="AK489" s="121"/>
      <c r="AL489" s="121"/>
    </row>
    <row r="490" spans="1:38" s="115" customFormat="1">
      <c r="A490" s="555"/>
      <c r="B490" s="217"/>
      <c r="C490" s="217">
        <v>75</v>
      </c>
      <c r="D490" s="101"/>
      <c r="E490" s="217"/>
      <c r="F490" s="294" t="str">
        <f t="shared" ref="F490:F492" si="436">RIGHT(A490,5)</f>
        <v/>
      </c>
      <c r="G490" s="295" t="e">
        <f>VLOOKUP(F490,'GL Category'!A:C,3,FALSE)</f>
        <v>#N/A</v>
      </c>
      <c r="H490" s="98" t="e">
        <f>VLOOKUP(F490,'GL Category'!A:C,2,FALSE)</f>
        <v>#N/A</v>
      </c>
      <c r="I490" s="248">
        <f>SUMIFS(I$1:I452,$C$1:$C452,$C490,$F$1:$F452,$F490)</f>
        <v>0</v>
      </c>
      <c r="J490" s="248">
        <f>SUMIFS(J$1:J452,$C$1:$C452,$C490,$F$1:$F452,$F490)</f>
        <v>0</v>
      </c>
      <c r="K490" s="248">
        <f>SUMIFS(K$1:K452,$C$1:$C452,$C490,$F$1:$F452,$F490)</f>
        <v>0</v>
      </c>
      <c r="L490" s="248">
        <f>SUMIFS(L$1:L452,$C$1:$C452,$C490,$F$1:$F452,$F490)</f>
        <v>0</v>
      </c>
      <c r="M490" s="248">
        <f>SUMIFS(M$1:M452,$C$1:$C452,$C490,$F$1:$F452,$F490)</f>
        <v>0</v>
      </c>
      <c r="N490" s="248">
        <f>SUMIFS(N$1:N452,$C$1:$C452,$C490,$F$1:$F452,$F490)</f>
        <v>0</v>
      </c>
      <c r="O490" s="248">
        <f>SUMIFS(O$1:O452,$C$1:$C452,$C490,$F$1:$F452,$F490)</f>
        <v>0</v>
      </c>
      <c r="P490" s="248">
        <f>SUMIFS(P$1:P452,$C$1:$C452,$C490,$F$1:$F452,$F490)</f>
        <v>0</v>
      </c>
      <c r="Q490" s="248">
        <f>SUMIFS(Q$1:Q452,$C$1:$C452,$C490,$F$1:$F452,$F490)</f>
        <v>0</v>
      </c>
      <c r="R490" s="248">
        <f>SUMIFS(R$1:R452,$C$1:$C452,$C490,$F$1:$F452,$F490)</f>
        <v>0</v>
      </c>
      <c r="S490" s="248">
        <f>SUMIFS(S$1:S452,$C$1:$C452,$C490,$F$1:$F452,$F490)</f>
        <v>0</v>
      </c>
      <c r="T490" s="248">
        <f>SUMIFS(T$1:T452,$C$1:$C452,$C490,$F$1:$F452,$F490)</f>
        <v>0</v>
      </c>
      <c r="U490" s="99">
        <f>T490-M490</f>
        <v>0</v>
      </c>
      <c r="V490" s="259" t="str">
        <f>IF(M490=0,"N/A",T490/M490-1)</f>
        <v>N/A</v>
      </c>
      <c r="W490" s="102"/>
      <c r="X490" s="103" t="str">
        <f t="shared" si="435"/>
        <v>OK</v>
      </c>
      <c r="Y490" s="271"/>
      <c r="Z490" s="121"/>
      <c r="AA490" s="121"/>
      <c r="AB490" s="121"/>
      <c r="AC490" s="121"/>
      <c r="AD490" s="121"/>
      <c r="AE490" s="121"/>
      <c r="AF490" s="121"/>
      <c r="AG490" s="121"/>
      <c r="AH490" s="121"/>
      <c r="AI490" s="121"/>
      <c r="AJ490" s="121"/>
      <c r="AK490" s="121"/>
      <c r="AL490" s="121"/>
    </row>
    <row r="491" spans="1:38" s="115" customFormat="1">
      <c r="A491" s="555"/>
      <c r="B491" s="217"/>
      <c r="C491" s="217">
        <v>75</v>
      </c>
      <c r="D491" s="101"/>
      <c r="E491" s="217"/>
      <c r="F491" s="294" t="str">
        <f t="shared" si="436"/>
        <v/>
      </c>
      <c r="G491" s="146"/>
      <c r="H491" s="107" t="e">
        <f>UPPER(G490)&amp;" TOTAL"</f>
        <v>#N/A</v>
      </c>
      <c r="I491" s="108">
        <f t="shared" ref="I491" si="437">SUBTOTAL(9,I487:I490)</f>
        <v>1070000</v>
      </c>
      <c r="J491" s="108">
        <f t="shared" ref="J491:T491" si="438">SUBTOTAL(9,J487:J490)</f>
        <v>800000</v>
      </c>
      <c r="K491" s="108">
        <f t="shared" ref="K491" si="439">SUBTOTAL(9,K487:K490)</f>
        <v>425000</v>
      </c>
      <c r="L491" s="108">
        <f t="shared" ref="L491" si="440">SUBTOTAL(9,L487:L490)</f>
        <v>275000</v>
      </c>
      <c r="M491" s="108">
        <f t="shared" si="438"/>
        <v>200000</v>
      </c>
      <c r="N491" s="108">
        <f t="shared" ref="N491" si="441">SUBTOTAL(9,N487:N490)</f>
        <v>150000</v>
      </c>
      <c r="O491" s="108">
        <f t="shared" si="438"/>
        <v>200000</v>
      </c>
      <c r="P491" s="108">
        <f t="shared" si="438"/>
        <v>0</v>
      </c>
      <c r="Q491" s="108">
        <f t="shared" si="438"/>
        <v>200000</v>
      </c>
      <c r="R491" s="108">
        <f t="shared" si="438"/>
        <v>0</v>
      </c>
      <c r="S491" s="108">
        <f t="shared" si="438"/>
        <v>0</v>
      </c>
      <c r="T491" s="108">
        <f t="shared" si="438"/>
        <v>200000</v>
      </c>
      <c r="U491" s="99">
        <f>T491-M491</f>
        <v>0</v>
      </c>
      <c r="V491" s="259">
        <f>IF(M491=0,"N/A",T491/M491-1)</f>
        <v>0</v>
      </c>
      <c r="W491" s="102"/>
      <c r="X491" s="103" t="str">
        <f t="shared" si="435"/>
        <v>OK</v>
      </c>
      <c r="Y491" s="271"/>
      <c r="Z491" s="121"/>
      <c r="AA491" s="121"/>
      <c r="AB491" s="121"/>
      <c r="AC491" s="121"/>
      <c r="AD491" s="121"/>
      <c r="AE491" s="121"/>
      <c r="AF491" s="121"/>
      <c r="AG491" s="121"/>
      <c r="AH491" s="121"/>
      <c r="AI491" s="121"/>
      <c r="AJ491" s="121"/>
      <c r="AK491" s="121"/>
      <c r="AL491" s="121"/>
    </row>
    <row r="492" spans="1:38" s="115" customFormat="1">
      <c r="A492" s="555"/>
      <c r="B492" s="217"/>
      <c r="C492" s="217">
        <v>75</v>
      </c>
      <c r="D492" s="101"/>
      <c r="E492" s="217"/>
      <c r="F492" s="294" t="str">
        <f t="shared" si="436"/>
        <v/>
      </c>
      <c r="G492" s="146"/>
      <c r="H492" s="98"/>
      <c r="I492" s="106"/>
      <c r="J492" s="106"/>
      <c r="K492" s="106"/>
      <c r="L492" s="106"/>
      <c r="M492" s="106"/>
      <c r="N492" s="110"/>
      <c r="O492" s="110"/>
      <c r="P492" s="110"/>
      <c r="Q492" s="111"/>
      <c r="R492" s="99"/>
      <c r="S492" s="99"/>
      <c r="T492" s="111"/>
      <c r="U492" s="111"/>
      <c r="V492" s="111"/>
      <c r="W492" s="102"/>
      <c r="X492" s="103" t="str">
        <f t="shared" si="435"/>
        <v/>
      </c>
      <c r="Y492" s="271"/>
      <c r="Z492" s="121"/>
      <c r="AA492" s="121"/>
      <c r="AB492" s="121"/>
      <c r="AC492" s="121"/>
      <c r="AD492" s="121"/>
      <c r="AE492" s="121"/>
      <c r="AF492" s="121"/>
      <c r="AG492" s="121"/>
      <c r="AH492" s="121"/>
      <c r="AI492" s="121"/>
      <c r="AJ492" s="121"/>
      <c r="AK492" s="121"/>
      <c r="AL492" s="121"/>
    </row>
    <row r="493" spans="1:38" s="115" customFormat="1">
      <c r="A493" s="555"/>
      <c r="B493" s="217"/>
      <c r="C493" s="217">
        <v>75</v>
      </c>
      <c r="D493" s="101"/>
      <c r="E493" s="217"/>
      <c r="F493" s="294"/>
      <c r="G493" s="146"/>
      <c r="H493" s="114" t="s">
        <v>51</v>
      </c>
      <c r="I493" s="108">
        <f t="shared" ref="I493" si="442">SUBTOTAL(9,I434:I491)</f>
        <v>5209885.8</v>
      </c>
      <c r="J493" s="108">
        <f t="shared" ref="J493:T493" si="443">SUBTOTAL(9,J434:J491)</f>
        <v>5491229.6099999994</v>
      </c>
      <c r="K493" s="108">
        <f t="shared" ref="K493" si="444">SUBTOTAL(9,K434:K491)</f>
        <v>5261364.3</v>
      </c>
      <c r="L493" s="108">
        <f t="shared" ref="L493" si="445">SUBTOTAL(9,L434:L491)</f>
        <v>5346024.18</v>
      </c>
      <c r="M493" s="108">
        <f t="shared" si="443"/>
        <v>6674777</v>
      </c>
      <c r="N493" s="108">
        <f t="shared" ref="N493" si="446">SUBTOTAL(9,N434:N491)</f>
        <v>4299481.3699999992</v>
      </c>
      <c r="O493" s="108">
        <f t="shared" si="443"/>
        <v>5937978</v>
      </c>
      <c r="P493" s="108">
        <f t="shared" si="443"/>
        <v>-736799</v>
      </c>
      <c r="Q493" s="108">
        <f t="shared" si="443"/>
        <v>6569142</v>
      </c>
      <c r="R493" s="108">
        <f t="shared" si="443"/>
        <v>0</v>
      </c>
      <c r="S493" s="108">
        <f t="shared" si="443"/>
        <v>65000</v>
      </c>
      <c r="T493" s="108">
        <f t="shared" si="443"/>
        <v>6634142</v>
      </c>
      <c r="U493" s="99">
        <f>T493-M493</f>
        <v>-40635</v>
      </c>
      <c r="V493" s="259">
        <f>IF(M493=0,"N/A",T493/M493-1)</f>
        <v>-6.0878438335842944E-3</v>
      </c>
      <c r="W493" s="102"/>
      <c r="X493" s="103" t="str">
        <f t="shared" si="435"/>
        <v>OK</v>
      </c>
      <c r="Y493" s="271"/>
      <c r="Z493" s="121"/>
      <c r="AA493" s="121"/>
      <c r="AB493" s="121"/>
      <c r="AC493" s="121"/>
      <c r="AD493" s="121"/>
      <c r="AE493" s="121"/>
      <c r="AF493" s="121"/>
      <c r="AG493" s="121"/>
      <c r="AH493" s="121"/>
      <c r="AI493" s="121"/>
      <c r="AJ493" s="121"/>
      <c r="AK493" s="121"/>
      <c r="AL493" s="121"/>
    </row>
    <row r="494" spans="1:38" s="115" customFormat="1">
      <c r="A494" s="555"/>
      <c r="B494" s="217"/>
      <c r="C494" s="217">
        <v>75</v>
      </c>
      <c r="D494" s="101"/>
      <c r="E494" s="217"/>
      <c r="F494" s="294"/>
      <c r="G494" s="146"/>
      <c r="H494" s="98"/>
      <c r="I494" s="218"/>
      <c r="J494" s="218"/>
      <c r="K494" s="218"/>
      <c r="L494" s="218"/>
      <c r="M494" s="218"/>
      <c r="N494" s="96"/>
      <c r="O494" s="96"/>
      <c r="P494" s="96"/>
      <c r="Q494" s="212"/>
      <c r="R494" s="212"/>
      <c r="S494" s="212"/>
      <c r="T494" s="212"/>
      <c r="U494" s="212"/>
      <c r="V494" s="113"/>
      <c r="W494" s="102"/>
      <c r="X494" s="103" t="str">
        <f t="shared" si="435"/>
        <v/>
      </c>
      <c r="Y494" s="271"/>
      <c r="Z494" s="121"/>
      <c r="AA494" s="121"/>
      <c r="AB494" s="121"/>
      <c r="AC494" s="121"/>
      <c r="AD494" s="121"/>
      <c r="AE494" s="121"/>
      <c r="AF494" s="121"/>
      <c r="AG494" s="121"/>
      <c r="AH494" s="121"/>
      <c r="AI494" s="121"/>
      <c r="AJ494" s="121"/>
      <c r="AK494" s="121"/>
      <c r="AL494" s="121"/>
    </row>
    <row r="495" spans="1:38" s="115" customFormat="1" ht="14.4" thickBot="1">
      <c r="A495" s="555"/>
      <c r="B495" s="217"/>
      <c r="C495" s="217"/>
      <c r="D495" s="101"/>
      <c r="E495" s="217"/>
      <c r="F495" s="294"/>
      <c r="G495" s="146"/>
      <c r="H495" s="98"/>
      <c r="I495" s="218"/>
      <c r="J495" s="218"/>
      <c r="K495" s="218"/>
      <c r="L495" s="218"/>
      <c r="M495" s="218"/>
      <c r="N495" s="96"/>
      <c r="O495" s="96"/>
      <c r="P495" s="96"/>
      <c r="Q495" s="212"/>
      <c r="R495" s="212"/>
      <c r="S495" s="212"/>
      <c r="T495" s="212"/>
      <c r="U495" s="212"/>
      <c r="V495" s="113"/>
      <c r="W495" s="102"/>
      <c r="X495" s="103" t="str">
        <f t="shared" si="435"/>
        <v/>
      </c>
      <c r="Y495" s="271"/>
      <c r="Z495" s="121"/>
      <c r="AA495" s="121"/>
      <c r="AB495" s="121"/>
      <c r="AC495" s="121"/>
      <c r="AD495" s="121"/>
      <c r="AE495" s="121"/>
      <c r="AF495" s="121"/>
      <c r="AG495" s="121"/>
      <c r="AH495" s="121"/>
      <c r="AI495" s="121"/>
      <c r="AJ495" s="121"/>
      <c r="AK495" s="121"/>
      <c r="AL495" s="121"/>
    </row>
    <row r="496" spans="1:38" s="115" customFormat="1" ht="21.6" thickBot="1">
      <c r="A496" s="555"/>
      <c r="B496" s="217"/>
      <c r="C496" s="217"/>
      <c r="D496" s="101"/>
      <c r="E496" s="217"/>
      <c r="F496" s="294"/>
      <c r="G496" s="146"/>
      <c r="H496" s="668" t="s">
        <v>673</v>
      </c>
      <c r="I496" s="669"/>
      <c r="J496" s="669"/>
      <c r="K496" s="669"/>
      <c r="L496" s="669"/>
      <c r="M496" s="669"/>
      <c r="N496" s="669"/>
      <c r="O496" s="669"/>
      <c r="P496" s="669"/>
      <c r="Q496" s="669"/>
      <c r="R496" s="669"/>
      <c r="S496" s="669"/>
      <c r="T496" s="670"/>
      <c r="U496" s="247"/>
      <c r="V496" s="261"/>
      <c r="W496" s="102"/>
      <c r="X496" s="103" t="str">
        <f t="shared" si="435"/>
        <v/>
      </c>
      <c r="Y496" s="271"/>
      <c r="Z496" s="121"/>
      <c r="AA496" s="121"/>
      <c r="AB496" s="121"/>
      <c r="AC496" s="121"/>
      <c r="AD496" s="121"/>
      <c r="AE496" s="121"/>
      <c r="AF496" s="121"/>
      <c r="AG496" s="121"/>
      <c r="AH496" s="121"/>
      <c r="AI496" s="121"/>
      <c r="AJ496" s="121"/>
      <c r="AK496" s="121"/>
      <c r="AL496" s="121"/>
    </row>
    <row r="497" spans="1:38" s="115" customFormat="1" ht="22.8">
      <c r="A497" s="555"/>
      <c r="B497" s="217"/>
      <c r="C497" s="217"/>
      <c r="D497" s="101"/>
      <c r="E497" s="217"/>
      <c r="F497" s="294"/>
      <c r="G497" s="146"/>
      <c r="H497" s="225"/>
      <c r="I497" s="225"/>
      <c r="J497" s="225"/>
      <c r="K497" s="225"/>
      <c r="L497" s="225"/>
      <c r="M497" s="225"/>
      <c r="N497" s="225"/>
      <c r="O497" s="225"/>
      <c r="P497" s="225"/>
      <c r="Q497" s="225"/>
      <c r="R497" s="225"/>
      <c r="S497" s="225"/>
      <c r="T497" s="225"/>
      <c r="U497" s="225"/>
      <c r="V497" s="260"/>
      <c r="W497" s="102"/>
      <c r="X497" s="103" t="str">
        <f t="shared" si="435"/>
        <v/>
      </c>
      <c r="Y497" s="271"/>
      <c r="Z497" s="121"/>
      <c r="AA497" s="121"/>
      <c r="AB497" s="121"/>
      <c r="AC497" s="121"/>
      <c r="AD497" s="121"/>
      <c r="AE497" s="121"/>
      <c r="AF497" s="121"/>
      <c r="AG497" s="121"/>
      <c r="AH497" s="121"/>
      <c r="AI497" s="121"/>
      <c r="AJ497" s="121"/>
      <c r="AK497" s="121"/>
      <c r="AL497" s="121"/>
    </row>
    <row r="498" spans="1:38" s="115" customFormat="1">
      <c r="A498" s="555" t="s">
        <v>1427</v>
      </c>
      <c r="B498" s="217" t="str">
        <f t="shared" ref="B498:B554" si="447">LEFT(A498,3)</f>
        <v>200</v>
      </c>
      <c r="C498" s="217" t="str">
        <f t="shared" ref="C498:C554" si="448">MID(A498,5,2)</f>
        <v>77</v>
      </c>
      <c r="D498" s="101" t="str">
        <f t="shared" ref="D498:D554" si="449">MID(A498,8,3)</f>
        <v>772</v>
      </c>
      <c r="E498" s="217" t="str">
        <f t="shared" ref="E498:E545" si="450">LEFT(A498,10)</f>
        <v>200-77-772</v>
      </c>
      <c r="F498" s="294" t="str">
        <f t="shared" ref="F498:F554" si="451">RIGHT(A498,5)</f>
        <v>50101</v>
      </c>
      <c r="G498" s="295" t="str">
        <f>VLOOKUP(F498,'GL Category'!A:C,3,FALSE)</f>
        <v>Personnel services</v>
      </c>
      <c r="H498" s="98" t="str">
        <f>VLOOKUP(F498,'GL Category'!A:C,2,FALSE)</f>
        <v>EXEMPT SALARIES</v>
      </c>
      <c r="I498" s="99">
        <f>SUMIF(Import!$B:$B,$A498,Import!D:D)</f>
        <v>65856.23</v>
      </c>
      <c r="J498" s="99">
        <f>SUMIF(Import!$B:$B,$A498,Import!E:E)</f>
        <v>69455.320000000007</v>
      </c>
      <c r="K498" s="99">
        <f>SUMIF(Import!$B:$B,$A498,Import!F:F)</f>
        <v>-2529</v>
      </c>
      <c r="L498" s="99">
        <f>SUMIF(Import!$B:$B,$A498,Import!G:G)</f>
        <v>0</v>
      </c>
      <c r="M498" s="99">
        <f>SUMIF(Import!$B:$B,$A498,Import!H:H)</f>
        <v>0</v>
      </c>
      <c r="N498" s="99">
        <f>SUMIF(Import!$B:$B,$A498,Import!I:I)</f>
        <v>0</v>
      </c>
      <c r="O498" s="99">
        <f>SUMIF(Import!$B:$B,$A498,Import!J:J)</f>
        <v>0</v>
      </c>
      <c r="P498" s="99">
        <f t="shared" ref="P498:P506" si="452">O498-M498</f>
        <v>0</v>
      </c>
      <c r="Q498" s="99">
        <f>SUMIF(Import!$B:$B,$A498,Import!K:K)</f>
        <v>0</v>
      </c>
      <c r="R498" s="99">
        <f>SUMIF(Import!$B:$B,$A498,Import!L:L)</f>
        <v>0</v>
      </c>
      <c r="S498" s="99">
        <f>SUMIF(Import!$B:$B,$A498,Import!M:M)</f>
        <v>0</v>
      </c>
      <c r="T498" s="99">
        <f>SUMIF(Import!$B:$B,$A498,Import!N:N)</f>
        <v>0</v>
      </c>
      <c r="U498" s="99">
        <f t="shared" ref="U498:U506" si="453">T498-M498</f>
        <v>0</v>
      </c>
      <c r="V498" s="255" t="str">
        <f t="shared" ref="V498:V506" si="454">IF(M498=0,"N/A",T498/M498-1)</f>
        <v>N/A</v>
      </c>
      <c r="W498" s="102" t="s">
        <v>1427</v>
      </c>
      <c r="X498" s="103" t="str">
        <f t="shared" si="435"/>
        <v>OK</v>
      </c>
      <c r="Y498" s="271"/>
      <c r="Z498" s="121"/>
      <c r="AA498" s="121"/>
      <c r="AB498" s="121"/>
      <c r="AC498" s="121"/>
      <c r="AD498" s="121"/>
      <c r="AE498" s="121"/>
      <c r="AF498" s="121"/>
      <c r="AG498" s="121"/>
      <c r="AH498" s="121"/>
      <c r="AI498" s="121"/>
      <c r="AJ498" s="121"/>
      <c r="AK498" s="121"/>
      <c r="AL498" s="121"/>
    </row>
    <row r="499" spans="1:38" s="115" customFormat="1">
      <c r="A499" s="555" t="s">
        <v>1428</v>
      </c>
      <c r="B499" s="217" t="str">
        <f t="shared" si="447"/>
        <v>200</v>
      </c>
      <c r="C499" s="217" t="str">
        <f t="shared" si="448"/>
        <v>77</v>
      </c>
      <c r="D499" s="101" t="str">
        <f t="shared" si="449"/>
        <v>772</v>
      </c>
      <c r="E499" s="217" t="str">
        <f t="shared" si="450"/>
        <v>200-77-772</v>
      </c>
      <c r="F499" s="294" t="str">
        <f t="shared" si="451"/>
        <v>50102</v>
      </c>
      <c r="G499" s="295" t="str">
        <f>VLOOKUP(F499,'GL Category'!A:C,3,FALSE)</f>
        <v>Personnel services</v>
      </c>
      <c r="H499" s="98" t="str">
        <f>VLOOKUP(F499,'GL Category'!A:C,2,FALSE)</f>
        <v>NON EXEMPT SALARIES</v>
      </c>
      <c r="I499" s="99">
        <f>SUMIF(Import!$B:$B,$A499,Import!D:D)</f>
        <v>57778.02</v>
      </c>
      <c r="J499" s="99">
        <f>SUMIF(Import!$B:$B,$A499,Import!E:E)</f>
        <v>58776.29</v>
      </c>
      <c r="K499" s="99">
        <f>SUMIF(Import!$B:$B,$A499,Import!F:F)</f>
        <v>65025.49</v>
      </c>
      <c r="L499" s="99">
        <f>SUMIF(Import!$B:$B,$A499,Import!G:G)</f>
        <v>85776.77</v>
      </c>
      <c r="M499" s="99">
        <f>SUMIF(Import!$B:$B,$A499,Import!H:H)</f>
        <v>104317</v>
      </c>
      <c r="N499" s="99">
        <f>SUMIF(Import!$B:$B,$A499,Import!I:I)</f>
        <v>82734.47</v>
      </c>
      <c r="O499" s="99">
        <f>SUMIF(Import!$B:$B,$A499,Import!J:J)</f>
        <v>107221</v>
      </c>
      <c r="P499" s="99">
        <f t="shared" si="452"/>
        <v>2904</v>
      </c>
      <c r="Q499" s="99">
        <f>SUMIF(Import!$B:$B,$A499,Import!K:K)</f>
        <v>108876</v>
      </c>
      <c r="R499" s="99">
        <f>SUMIF(Import!$B:$B,$A499,Import!L:L)</f>
        <v>0</v>
      </c>
      <c r="S499" s="99">
        <f>SUMIF(Import!$B:$B,$A499,Import!M:M)</f>
        <v>0</v>
      </c>
      <c r="T499" s="99">
        <f>SUMIF(Import!$B:$B,$A499,Import!N:N)</f>
        <v>108876</v>
      </c>
      <c r="U499" s="99">
        <f t="shared" si="453"/>
        <v>4559</v>
      </c>
      <c r="V499" s="255">
        <f t="shared" si="454"/>
        <v>4.3703327357957011E-2</v>
      </c>
      <c r="W499" s="102" t="s">
        <v>1428</v>
      </c>
      <c r="X499" s="103" t="str">
        <f t="shared" si="435"/>
        <v>OK</v>
      </c>
      <c r="Y499" s="271"/>
      <c r="Z499" s="121"/>
      <c r="AA499" s="121"/>
      <c r="AB499" s="121"/>
      <c r="AC499" s="121"/>
      <c r="AD499" s="121"/>
      <c r="AE499" s="121"/>
      <c r="AF499" s="121"/>
      <c r="AG499" s="121"/>
      <c r="AH499" s="121"/>
      <c r="AI499" s="121"/>
      <c r="AJ499" s="121"/>
      <c r="AK499" s="121"/>
      <c r="AL499" s="121"/>
    </row>
    <row r="500" spans="1:38" s="115" customFormat="1">
      <c r="A500" s="555" t="s">
        <v>1429</v>
      </c>
      <c r="B500" s="217" t="str">
        <f t="shared" si="447"/>
        <v>200</v>
      </c>
      <c r="C500" s="217" t="str">
        <f t="shared" si="448"/>
        <v>77</v>
      </c>
      <c r="D500" s="101" t="str">
        <f t="shared" si="449"/>
        <v>772</v>
      </c>
      <c r="E500" s="217" t="str">
        <f t="shared" si="450"/>
        <v>200-77-772</v>
      </c>
      <c r="F500" s="294" t="str">
        <f t="shared" si="451"/>
        <v>50109</v>
      </c>
      <c r="G500" s="295" t="str">
        <f>VLOOKUP(F500,'GL Category'!A:C,3,FALSE)</f>
        <v>Personnel services</v>
      </c>
      <c r="H500" s="98" t="str">
        <f>VLOOKUP(F500,'GL Category'!A:C,2,FALSE)</f>
        <v>OVERTIME</v>
      </c>
      <c r="I500" s="99">
        <f>SUMIF(Import!$B:$B,$A500,Import!D:D)</f>
        <v>0</v>
      </c>
      <c r="J500" s="99">
        <f>SUMIF(Import!$B:$B,$A500,Import!E:E)</f>
        <v>109.13</v>
      </c>
      <c r="K500" s="99">
        <f>SUMIF(Import!$B:$B,$A500,Import!F:F)</f>
        <v>412.91</v>
      </c>
      <c r="L500" s="99">
        <f>SUMIF(Import!$B:$B,$A500,Import!G:G)</f>
        <v>0</v>
      </c>
      <c r="M500" s="99">
        <f>SUMIF(Import!$B:$B,$A500,Import!H:H)</f>
        <v>1000</v>
      </c>
      <c r="N500" s="99">
        <f>SUMIF(Import!$B:$B,$A500,Import!I:I)</f>
        <v>0</v>
      </c>
      <c r="O500" s="99">
        <f>SUMIF(Import!$B:$B,$A500,Import!J:J)</f>
        <v>0</v>
      </c>
      <c r="P500" s="99">
        <f t="shared" si="452"/>
        <v>-1000</v>
      </c>
      <c r="Q500" s="99">
        <f>SUMIF(Import!$B:$B,$A500,Import!K:K)</f>
        <v>1000</v>
      </c>
      <c r="R500" s="99">
        <f>SUMIF(Import!$B:$B,$A500,Import!L:L)</f>
        <v>0</v>
      </c>
      <c r="S500" s="99">
        <f>SUMIF(Import!$B:$B,$A500,Import!M:M)</f>
        <v>0</v>
      </c>
      <c r="T500" s="99">
        <f>SUMIF(Import!$B:$B,$A500,Import!N:N)</f>
        <v>1000</v>
      </c>
      <c r="U500" s="99">
        <f t="shared" si="453"/>
        <v>0</v>
      </c>
      <c r="V500" s="255">
        <f t="shared" si="454"/>
        <v>0</v>
      </c>
      <c r="W500" s="102" t="s">
        <v>1429</v>
      </c>
      <c r="X500" s="103" t="str">
        <f t="shared" si="435"/>
        <v>OK</v>
      </c>
      <c r="Y500" s="271"/>
      <c r="Z500" s="121"/>
      <c r="AA500" s="121"/>
      <c r="AB500" s="121"/>
      <c r="AC500" s="121"/>
      <c r="AD500" s="121"/>
      <c r="AE500" s="121"/>
      <c r="AF500" s="121"/>
      <c r="AG500" s="121"/>
      <c r="AH500" s="121"/>
      <c r="AI500" s="121"/>
      <c r="AJ500" s="121"/>
      <c r="AK500" s="121"/>
      <c r="AL500" s="121"/>
    </row>
    <row r="501" spans="1:38" s="115" customFormat="1">
      <c r="A501" s="555" t="s">
        <v>3242</v>
      </c>
      <c r="B501" s="217" t="str">
        <f>LEFT(A501,3)</f>
        <v>200</v>
      </c>
      <c r="C501" s="217" t="str">
        <f>MID(A501,5,2)</f>
        <v>77</v>
      </c>
      <c r="D501" s="101" t="str">
        <f>MID(A501,8,3)</f>
        <v>772</v>
      </c>
      <c r="E501" s="217" t="str">
        <f>LEFT(A501,10)</f>
        <v>200-77-772</v>
      </c>
      <c r="F501" s="294" t="str">
        <f>RIGHT(A501,5)</f>
        <v>50110</v>
      </c>
      <c r="G501" s="295" t="str">
        <f>VLOOKUP(F501,'GL Category'!A:C,3,FALSE)</f>
        <v>Personnel services</v>
      </c>
      <c r="H501" s="98" t="str">
        <f>VLOOKUP(F501,'GL Category'!A:C,2,FALSE)</f>
        <v>PART-TIME WAGES</v>
      </c>
      <c r="I501" s="99">
        <f>SUMIF(Import!$B:$B,$A501,Import!D:D)</f>
        <v>0</v>
      </c>
      <c r="J501" s="99">
        <f>SUMIF(Import!$B:$B,$A501,Import!E:E)</f>
        <v>0</v>
      </c>
      <c r="K501" s="99">
        <f>SUMIF(Import!$B:$B,$A501,Import!F:F)</f>
        <v>9766.68</v>
      </c>
      <c r="L501" s="99">
        <f>SUMIF(Import!$B:$B,$A501,Import!G:G)</f>
        <v>8296.7000000000007</v>
      </c>
      <c r="M501" s="99">
        <f>SUMIF(Import!$B:$B,$A501,Import!H:H)</f>
        <v>0</v>
      </c>
      <c r="N501" s="99">
        <f>SUMIF(Import!$B:$B,$A501,Import!I:I)</f>
        <v>0</v>
      </c>
      <c r="O501" s="99">
        <f>SUMIF(Import!$B:$B,$A501,Import!J:J)</f>
        <v>0</v>
      </c>
      <c r="P501" s="99">
        <f>O501-M501</f>
        <v>0</v>
      </c>
      <c r="Q501" s="99">
        <f>SUMIF(Import!$B:$B,$A501,Import!K:K)</f>
        <v>0</v>
      </c>
      <c r="R501" s="99">
        <f>SUMIF(Import!$B:$B,$A501,Import!L:L)</f>
        <v>0</v>
      </c>
      <c r="S501" s="99">
        <f>SUMIF(Import!$B:$B,$A501,Import!M:M)</f>
        <v>0</v>
      </c>
      <c r="T501" s="99">
        <f>SUMIF(Import!$B:$B,$A501,Import!N:N)</f>
        <v>0</v>
      </c>
      <c r="U501" s="99">
        <f>T501-M501</f>
        <v>0</v>
      </c>
      <c r="V501" s="255" t="str">
        <f>IF(M501=0,"N/A",T501/M501-1)</f>
        <v>N/A</v>
      </c>
      <c r="W501" s="102" t="s">
        <v>3242</v>
      </c>
      <c r="X501" s="103"/>
      <c r="Y501" s="271"/>
      <c r="Z501" s="121"/>
      <c r="AA501" s="121"/>
      <c r="AB501" s="121"/>
      <c r="AC501" s="121"/>
      <c r="AD501" s="121"/>
      <c r="AE501" s="121"/>
      <c r="AF501" s="121"/>
      <c r="AG501" s="121"/>
      <c r="AH501" s="121"/>
      <c r="AI501" s="121"/>
      <c r="AJ501" s="121"/>
      <c r="AK501" s="121"/>
      <c r="AL501" s="121"/>
    </row>
    <row r="502" spans="1:38" s="115" customFormat="1">
      <c r="A502" s="555" t="s">
        <v>1430</v>
      </c>
      <c r="B502" s="217" t="str">
        <f t="shared" si="447"/>
        <v>200</v>
      </c>
      <c r="C502" s="217" t="str">
        <f t="shared" si="448"/>
        <v>77</v>
      </c>
      <c r="D502" s="101" t="str">
        <f t="shared" si="449"/>
        <v>772</v>
      </c>
      <c r="E502" s="217" t="str">
        <f t="shared" si="450"/>
        <v>200-77-772</v>
      </c>
      <c r="F502" s="294" t="str">
        <f t="shared" si="451"/>
        <v>50111</v>
      </c>
      <c r="G502" s="295" t="str">
        <f>VLOOKUP(F502,'GL Category'!A:C,3,FALSE)</f>
        <v>Personnel services</v>
      </c>
      <c r="H502" s="98" t="str">
        <f>VLOOKUP(F502,'GL Category'!A:C,2,FALSE)</f>
        <v>LONGEVITY PAY</v>
      </c>
      <c r="I502" s="99">
        <f>SUMIF(Import!$B:$B,$A502,Import!D:D)</f>
        <v>1905</v>
      </c>
      <c r="J502" s="99">
        <f>SUMIF(Import!$B:$B,$A502,Import!E:E)</f>
        <v>2015</v>
      </c>
      <c r="K502" s="99">
        <f>SUMIF(Import!$B:$B,$A502,Import!F:F)</f>
        <v>1500</v>
      </c>
      <c r="L502" s="99">
        <f>SUMIF(Import!$B:$B,$A502,Import!G:G)</f>
        <v>1500</v>
      </c>
      <c r="M502" s="99">
        <f>SUMIF(Import!$B:$B,$A502,Import!H:H)</f>
        <v>1614</v>
      </c>
      <c r="N502" s="99">
        <f>SUMIF(Import!$B:$B,$A502,Import!I:I)</f>
        <v>1500</v>
      </c>
      <c r="O502" s="99">
        <f>SUMIF(Import!$B:$B,$A502,Import!J:J)</f>
        <v>1500</v>
      </c>
      <c r="P502" s="99">
        <f t="shared" si="452"/>
        <v>-114</v>
      </c>
      <c r="Q502" s="99">
        <f>SUMIF(Import!$B:$B,$A502,Import!K:K)</f>
        <v>1675</v>
      </c>
      <c r="R502" s="99">
        <f>SUMIF(Import!$B:$B,$A502,Import!L:L)</f>
        <v>0</v>
      </c>
      <c r="S502" s="99">
        <f>SUMIF(Import!$B:$B,$A502,Import!M:M)</f>
        <v>0</v>
      </c>
      <c r="T502" s="99">
        <f>SUMIF(Import!$B:$B,$A502,Import!N:N)</f>
        <v>1675</v>
      </c>
      <c r="U502" s="99">
        <f t="shared" si="453"/>
        <v>61</v>
      </c>
      <c r="V502" s="255">
        <f t="shared" si="454"/>
        <v>3.7794299876084292E-2</v>
      </c>
      <c r="W502" s="102" t="s">
        <v>1430</v>
      </c>
      <c r="X502" s="103" t="str">
        <f t="shared" si="435"/>
        <v>OK</v>
      </c>
      <c r="Y502" s="271"/>
      <c r="Z502" s="121"/>
      <c r="AA502" s="121"/>
      <c r="AB502" s="121"/>
      <c r="AC502" s="121"/>
      <c r="AD502" s="121"/>
      <c r="AE502" s="121"/>
      <c r="AF502" s="121"/>
      <c r="AG502" s="121"/>
      <c r="AH502" s="121"/>
      <c r="AI502" s="121"/>
      <c r="AJ502" s="121"/>
      <c r="AK502" s="121"/>
      <c r="AL502" s="121"/>
    </row>
    <row r="503" spans="1:38" s="115" customFormat="1">
      <c r="A503" s="555" t="s">
        <v>1431</v>
      </c>
      <c r="B503" s="217" t="str">
        <f t="shared" si="447"/>
        <v>200</v>
      </c>
      <c r="C503" s="217" t="str">
        <f t="shared" si="448"/>
        <v>77</v>
      </c>
      <c r="D503" s="101" t="str">
        <f t="shared" si="449"/>
        <v>772</v>
      </c>
      <c r="E503" s="217" t="str">
        <f t="shared" si="450"/>
        <v>200-77-772</v>
      </c>
      <c r="F503" s="294" t="str">
        <f t="shared" si="451"/>
        <v>50610</v>
      </c>
      <c r="G503" s="295" t="str">
        <f>VLOOKUP(F503,'GL Category'!A:C,3,FALSE)</f>
        <v>Personnel services</v>
      </c>
      <c r="H503" s="98" t="str">
        <f>VLOOKUP(F503,'GL Category'!A:C,2,FALSE)</f>
        <v>SOCIAL SECURITY</v>
      </c>
      <c r="I503" s="99">
        <f>SUMIF(Import!$B:$B,$A503,Import!D:D)</f>
        <v>9263.94</v>
      </c>
      <c r="J503" s="99">
        <f>SUMIF(Import!$B:$B,$A503,Import!E:E)</f>
        <v>9492.1200000000008</v>
      </c>
      <c r="K503" s="99">
        <f>SUMIF(Import!$B:$B,$A503,Import!F:F)</f>
        <v>5242.21</v>
      </c>
      <c r="L503" s="99">
        <f>SUMIF(Import!$B:$B,$A503,Import!G:G)</f>
        <v>6848.22</v>
      </c>
      <c r="M503" s="99">
        <f>SUMIF(Import!$B:$B,$A503,Import!H:H)</f>
        <v>8240</v>
      </c>
      <c r="N503" s="99">
        <f>SUMIF(Import!$B:$B,$A503,Import!I:I)</f>
        <v>6083.32</v>
      </c>
      <c r="O503" s="99">
        <f>SUMIF(Import!$B:$B,$A503,Import!J:J)</f>
        <v>8058</v>
      </c>
      <c r="P503" s="99">
        <f t="shared" si="452"/>
        <v>-182</v>
      </c>
      <c r="Q503" s="99">
        <f>SUMIF(Import!$B:$B,$A503,Import!K:K)</f>
        <v>8590</v>
      </c>
      <c r="R503" s="99">
        <f>SUMIF(Import!$B:$B,$A503,Import!L:L)</f>
        <v>0</v>
      </c>
      <c r="S503" s="99">
        <f>SUMIF(Import!$B:$B,$A503,Import!M:M)</f>
        <v>0</v>
      </c>
      <c r="T503" s="99">
        <f>SUMIF(Import!$B:$B,$A503,Import!N:N)</f>
        <v>8590</v>
      </c>
      <c r="U503" s="99">
        <f t="shared" si="453"/>
        <v>350</v>
      </c>
      <c r="V503" s="255">
        <f t="shared" si="454"/>
        <v>4.2475728155339842E-2</v>
      </c>
      <c r="W503" s="102" t="s">
        <v>1431</v>
      </c>
      <c r="X503" s="103" t="str">
        <f t="shared" si="435"/>
        <v>OK</v>
      </c>
      <c r="Y503" s="271"/>
      <c r="Z503" s="121"/>
      <c r="AA503" s="121"/>
      <c r="AB503" s="121"/>
      <c r="AC503" s="121"/>
      <c r="AD503" s="121"/>
      <c r="AE503" s="121"/>
      <c r="AF503" s="121"/>
      <c r="AG503" s="121"/>
      <c r="AH503" s="121"/>
      <c r="AI503" s="121"/>
      <c r="AJ503" s="121"/>
      <c r="AK503" s="121"/>
      <c r="AL503" s="121"/>
    </row>
    <row r="504" spans="1:38" s="115" customFormat="1">
      <c r="A504" s="555" t="s">
        <v>1432</v>
      </c>
      <c r="B504" s="217" t="str">
        <f t="shared" si="447"/>
        <v>200</v>
      </c>
      <c r="C504" s="217" t="str">
        <f t="shared" si="448"/>
        <v>77</v>
      </c>
      <c r="D504" s="101" t="str">
        <f t="shared" si="449"/>
        <v>772</v>
      </c>
      <c r="E504" s="217" t="str">
        <f t="shared" si="450"/>
        <v>200-77-772</v>
      </c>
      <c r="F504" s="294" t="str">
        <f t="shared" si="451"/>
        <v>50620</v>
      </c>
      <c r="G504" s="295" t="str">
        <f>VLOOKUP(F504,'GL Category'!A:C,3,FALSE)</f>
        <v>Personnel services</v>
      </c>
      <c r="H504" s="98" t="str">
        <f>VLOOKUP(F504,'GL Category'!A:C,2,FALSE)</f>
        <v>HEALTH/LIFE INSURANCE</v>
      </c>
      <c r="I504" s="99">
        <f>SUMIF(Import!$B:$B,$A504,Import!D:D)</f>
        <v>20931.86</v>
      </c>
      <c r="J504" s="99">
        <f>SUMIF(Import!$B:$B,$A504,Import!E:E)</f>
        <v>21771.72</v>
      </c>
      <c r="K504" s="99">
        <f>SUMIF(Import!$B:$B,$A504,Import!F:F)</f>
        <v>16944.29</v>
      </c>
      <c r="L504" s="99">
        <f>SUMIF(Import!$B:$B,$A504,Import!G:G)</f>
        <v>19398.310000000001</v>
      </c>
      <c r="M504" s="99">
        <f>SUMIF(Import!$B:$B,$A504,Import!H:H)</f>
        <v>19557</v>
      </c>
      <c r="N504" s="99">
        <f>SUMIF(Import!$B:$B,$A504,Import!I:I)</f>
        <v>16685.8</v>
      </c>
      <c r="O504" s="99">
        <f>SUMIF(Import!$B:$B,$A504,Import!J:J)</f>
        <v>22088</v>
      </c>
      <c r="P504" s="99">
        <f t="shared" si="452"/>
        <v>2531</v>
      </c>
      <c r="Q504" s="99">
        <f>SUMIF(Import!$B:$B,$A504,Import!K:K)</f>
        <v>20108</v>
      </c>
      <c r="R504" s="99">
        <f>SUMIF(Import!$B:$B,$A504,Import!L:L)</f>
        <v>0</v>
      </c>
      <c r="S504" s="99">
        <f>SUMIF(Import!$B:$B,$A504,Import!M:M)</f>
        <v>0</v>
      </c>
      <c r="T504" s="99">
        <f>SUMIF(Import!$B:$B,$A504,Import!N:N)</f>
        <v>20108</v>
      </c>
      <c r="U504" s="99">
        <f t="shared" si="453"/>
        <v>551</v>
      </c>
      <c r="V504" s="255">
        <f t="shared" si="454"/>
        <v>2.8174055325459024E-2</v>
      </c>
      <c r="W504" s="102" t="s">
        <v>1432</v>
      </c>
      <c r="X504" s="103" t="str">
        <f t="shared" si="435"/>
        <v>OK</v>
      </c>
      <c r="Y504" s="271"/>
      <c r="Z504" s="121"/>
      <c r="AA504" s="121"/>
      <c r="AB504" s="121"/>
      <c r="AC504" s="121"/>
      <c r="AD504" s="121"/>
      <c r="AE504" s="121"/>
      <c r="AF504" s="121"/>
      <c r="AG504" s="121"/>
      <c r="AH504" s="121"/>
      <c r="AI504" s="121"/>
      <c r="AJ504" s="121"/>
      <c r="AK504" s="121"/>
      <c r="AL504" s="121"/>
    </row>
    <row r="505" spans="1:38" s="115" customFormat="1">
      <c r="A505" s="555" t="s">
        <v>1433</v>
      </c>
      <c r="B505" s="217" t="str">
        <f t="shared" si="447"/>
        <v>200</v>
      </c>
      <c r="C505" s="217" t="str">
        <f t="shared" si="448"/>
        <v>77</v>
      </c>
      <c r="D505" s="101" t="str">
        <f t="shared" si="449"/>
        <v>772</v>
      </c>
      <c r="E505" s="217" t="str">
        <f t="shared" si="450"/>
        <v>200-77-772</v>
      </c>
      <c r="F505" s="294" t="str">
        <f t="shared" si="451"/>
        <v>50630</v>
      </c>
      <c r="G505" s="295" t="str">
        <f>VLOOKUP(F505,'GL Category'!A:C,3,FALSE)</f>
        <v>Personnel services</v>
      </c>
      <c r="H505" s="98" t="str">
        <f>VLOOKUP(F505,'GL Category'!A:C,2,FALSE)</f>
        <v>WORKER COMPENSATION</v>
      </c>
      <c r="I505" s="99">
        <f>SUMIF(Import!$B:$B,$A505,Import!D:D)</f>
        <v>878.63</v>
      </c>
      <c r="J505" s="99">
        <f>SUMIF(Import!$B:$B,$A505,Import!E:E)</f>
        <v>841.24</v>
      </c>
      <c r="K505" s="99">
        <f>SUMIF(Import!$B:$B,$A505,Import!F:F)</f>
        <v>418.12</v>
      </c>
      <c r="L505" s="99">
        <f>SUMIF(Import!$B:$B,$A505,Import!G:G)</f>
        <v>1023.97</v>
      </c>
      <c r="M505" s="99">
        <f>SUMIF(Import!$B:$B,$A505,Import!H:H)</f>
        <v>1458</v>
      </c>
      <c r="N505" s="99">
        <f>SUMIF(Import!$B:$B,$A505,Import!I:I)</f>
        <v>1456.81</v>
      </c>
      <c r="O505" s="99">
        <f>SUMIF(Import!$B:$B,$A505,Import!J:J)</f>
        <v>1457</v>
      </c>
      <c r="P505" s="99">
        <f t="shared" si="452"/>
        <v>-1</v>
      </c>
      <c r="Q505" s="99">
        <f>SUMIF(Import!$B:$B,$A505,Import!K:K)</f>
        <v>1459</v>
      </c>
      <c r="R505" s="99">
        <f>SUMIF(Import!$B:$B,$A505,Import!L:L)</f>
        <v>0</v>
      </c>
      <c r="S505" s="99">
        <f>SUMIF(Import!$B:$B,$A505,Import!M:M)</f>
        <v>0</v>
      </c>
      <c r="T505" s="99">
        <f>SUMIF(Import!$B:$B,$A505,Import!N:N)</f>
        <v>1459</v>
      </c>
      <c r="U505" s="99">
        <f t="shared" si="453"/>
        <v>1</v>
      </c>
      <c r="V505" s="255">
        <f t="shared" si="454"/>
        <v>6.8587105624140499E-4</v>
      </c>
      <c r="W505" s="102" t="s">
        <v>1433</v>
      </c>
      <c r="X505" s="103" t="str">
        <f t="shared" si="435"/>
        <v>OK</v>
      </c>
      <c r="Y505" s="271"/>
      <c r="Z505" s="121"/>
      <c r="AA505" s="121"/>
      <c r="AB505" s="121"/>
      <c r="AC505" s="121"/>
      <c r="AD505" s="121"/>
      <c r="AE505" s="121"/>
      <c r="AF505" s="121"/>
      <c r="AG505" s="121"/>
      <c r="AH505" s="121"/>
      <c r="AI505" s="121"/>
      <c r="AJ505" s="121"/>
      <c r="AK505" s="121"/>
      <c r="AL505" s="121"/>
    </row>
    <row r="506" spans="1:38" s="115" customFormat="1">
      <c r="A506" s="555" t="s">
        <v>1434</v>
      </c>
      <c r="B506" s="217" t="str">
        <f t="shared" si="447"/>
        <v>200</v>
      </c>
      <c r="C506" s="217" t="str">
        <f t="shared" si="448"/>
        <v>77</v>
      </c>
      <c r="D506" s="101" t="str">
        <f t="shared" si="449"/>
        <v>772</v>
      </c>
      <c r="E506" s="217" t="str">
        <f t="shared" si="450"/>
        <v>200-77-772</v>
      </c>
      <c r="F506" s="294" t="str">
        <f t="shared" si="451"/>
        <v>50650</v>
      </c>
      <c r="G506" s="295" t="str">
        <f>VLOOKUP(F506,'GL Category'!A:C,3,FALSE)</f>
        <v>Personnel services</v>
      </c>
      <c r="H506" s="98" t="str">
        <f>VLOOKUP(F506,'GL Category'!A:C,2,FALSE)</f>
        <v>RETIREMENT</v>
      </c>
      <c r="I506" s="99">
        <f>SUMIF(Import!$B:$B,$A506,Import!D:D)</f>
        <v>19939.53</v>
      </c>
      <c r="J506" s="99">
        <f>SUMIF(Import!$B:$B,$A506,Import!E:E)</f>
        <v>20778.349999999999</v>
      </c>
      <c r="K506" s="99">
        <f>SUMIF(Import!$B:$B,$A506,Import!F:F)</f>
        <v>10426.81</v>
      </c>
      <c r="L506" s="99">
        <f>SUMIF(Import!$B:$B,$A506,Import!G:G)</f>
        <v>14156.45</v>
      </c>
      <c r="M506" s="99">
        <f>SUMIF(Import!$B:$B,$A506,Import!H:H)</f>
        <v>17788</v>
      </c>
      <c r="N506" s="99">
        <f>SUMIF(Import!$B:$B,$A506,Import!I:I)</f>
        <v>13986.59</v>
      </c>
      <c r="O506" s="99">
        <f>SUMIF(Import!$B:$B,$A506,Import!J:J)</f>
        <v>18104</v>
      </c>
      <c r="P506" s="99">
        <f t="shared" si="452"/>
        <v>316</v>
      </c>
      <c r="Q506" s="99">
        <f>SUMIF(Import!$B:$B,$A506,Import!K:K)</f>
        <v>19001</v>
      </c>
      <c r="R506" s="99">
        <f>SUMIF(Import!$B:$B,$A506,Import!L:L)</f>
        <v>0</v>
      </c>
      <c r="S506" s="99">
        <f>SUMIF(Import!$B:$B,$A506,Import!M:M)</f>
        <v>0</v>
      </c>
      <c r="T506" s="99">
        <f>SUMIF(Import!$B:$B,$A506,Import!N:N)</f>
        <v>19001</v>
      </c>
      <c r="U506" s="99">
        <f t="shared" si="453"/>
        <v>1213</v>
      </c>
      <c r="V506" s="255">
        <f t="shared" si="454"/>
        <v>6.8192039577243069E-2</v>
      </c>
      <c r="W506" s="102" t="s">
        <v>1434</v>
      </c>
      <c r="X506" s="103" t="str">
        <f t="shared" si="435"/>
        <v>OK</v>
      </c>
      <c r="Y506" s="271"/>
      <c r="Z506" s="121"/>
      <c r="AA506" s="121"/>
      <c r="AB506" s="121"/>
      <c r="AC506" s="121"/>
      <c r="AD506" s="121"/>
      <c r="AE506" s="121"/>
      <c r="AF506" s="121"/>
      <c r="AG506" s="121"/>
      <c r="AH506" s="121"/>
      <c r="AI506" s="121"/>
      <c r="AJ506" s="121"/>
      <c r="AK506" s="121"/>
      <c r="AL506" s="121"/>
    </row>
    <row r="507" spans="1:38" s="115" customFormat="1">
      <c r="A507" s="555"/>
      <c r="B507" s="217"/>
      <c r="C507" s="217"/>
      <c r="D507" s="101"/>
      <c r="E507" s="217" t="s">
        <v>3120</v>
      </c>
      <c r="F507" s="294"/>
      <c r="G507" s="146"/>
      <c r="H507" s="107" t="str">
        <f>UPPER(G506)&amp;" TOTAL"</f>
        <v>PERSONNEL SERVICES TOTAL</v>
      </c>
      <c r="I507" s="108">
        <f t="shared" ref="I507" si="455">SUBTOTAL(9,I498:I506)</f>
        <v>176553.21</v>
      </c>
      <c r="J507" s="108">
        <f t="shared" ref="J507:T507" si="456">SUBTOTAL(9,J498:J506)</f>
        <v>183239.17</v>
      </c>
      <c r="K507" s="108">
        <f t="shared" ref="K507" si="457">SUBTOTAL(9,K498:K506)</f>
        <v>107207.51000000001</v>
      </c>
      <c r="L507" s="108">
        <f t="shared" ref="L507" si="458">SUBTOTAL(9,L498:L506)</f>
        <v>137000.42000000001</v>
      </c>
      <c r="M507" s="108">
        <f t="shared" si="456"/>
        <v>153974</v>
      </c>
      <c r="N507" s="109">
        <f t="shared" si="456"/>
        <v>122446.99</v>
      </c>
      <c r="O507" s="109">
        <f t="shared" si="456"/>
        <v>158428</v>
      </c>
      <c r="P507" s="109">
        <f t="shared" si="456"/>
        <v>4454</v>
      </c>
      <c r="Q507" s="109">
        <f t="shared" si="456"/>
        <v>160709</v>
      </c>
      <c r="R507" s="109">
        <f t="shared" si="456"/>
        <v>0</v>
      </c>
      <c r="S507" s="109">
        <f t="shared" si="456"/>
        <v>0</v>
      </c>
      <c r="T507" s="109">
        <f t="shared" si="456"/>
        <v>160709</v>
      </c>
      <c r="U507" s="99">
        <f>T507-M507</f>
        <v>6735</v>
      </c>
      <c r="V507" s="259">
        <f>IF(M507=0,"N/A",T507/M507-1)</f>
        <v>4.3741151103433129E-2</v>
      </c>
      <c r="W507" s="102"/>
      <c r="X507" s="103" t="str">
        <f t="shared" si="435"/>
        <v>OK</v>
      </c>
      <c r="Y507" s="271"/>
      <c r="Z507" s="121"/>
      <c r="AA507" s="121"/>
      <c r="AB507" s="121"/>
      <c r="AC507" s="121"/>
      <c r="AD507" s="121"/>
      <c r="AE507" s="121"/>
      <c r="AF507" s="121"/>
      <c r="AG507" s="121"/>
      <c r="AH507" s="121"/>
      <c r="AI507" s="121"/>
      <c r="AJ507" s="121"/>
      <c r="AK507" s="121"/>
      <c r="AL507" s="121"/>
    </row>
    <row r="508" spans="1:38" s="115" customFormat="1" ht="11.25" customHeight="1">
      <c r="A508" s="555"/>
      <c r="B508" s="217"/>
      <c r="C508" s="217"/>
      <c r="D508" s="101"/>
      <c r="E508" s="217" t="s">
        <v>3120</v>
      </c>
      <c r="F508" s="294"/>
      <c r="G508" s="146"/>
      <c r="H508" s="98"/>
      <c r="I508" s="106"/>
      <c r="J508" s="106"/>
      <c r="K508" s="106"/>
      <c r="L508" s="106"/>
      <c r="M508" s="106"/>
      <c r="N508" s="112"/>
      <c r="O508" s="112"/>
      <c r="P508" s="112"/>
      <c r="Q508" s="113"/>
      <c r="R508" s="113"/>
      <c r="S508" s="113"/>
      <c r="T508" s="113"/>
      <c r="U508" s="113"/>
      <c r="V508" s="113"/>
      <c r="W508" s="102"/>
      <c r="X508" s="103" t="str">
        <f t="shared" si="435"/>
        <v/>
      </c>
      <c r="Y508" s="271"/>
      <c r="Z508" s="121"/>
      <c r="AA508" s="121"/>
      <c r="AB508" s="121"/>
      <c r="AC508" s="121"/>
      <c r="AD508" s="121"/>
      <c r="AE508" s="121"/>
      <c r="AF508" s="121"/>
      <c r="AG508" s="121"/>
      <c r="AH508" s="121"/>
      <c r="AI508" s="121"/>
      <c r="AJ508" s="121"/>
      <c r="AK508" s="121"/>
      <c r="AL508" s="121"/>
    </row>
    <row r="509" spans="1:38" s="115" customFormat="1" ht="15" customHeight="1">
      <c r="A509" s="555" t="s">
        <v>1435</v>
      </c>
      <c r="B509" s="217" t="str">
        <f t="shared" si="447"/>
        <v>200</v>
      </c>
      <c r="C509" s="217" t="str">
        <f t="shared" si="448"/>
        <v>77</v>
      </c>
      <c r="D509" s="101" t="str">
        <f t="shared" si="449"/>
        <v>772</v>
      </c>
      <c r="E509" s="217" t="str">
        <f t="shared" si="450"/>
        <v>200-77-772</v>
      </c>
      <c r="F509" s="294" t="str">
        <f t="shared" si="451"/>
        <v>51210</v>
      </c>
      <c r="G509" s="295" t="str">
        <f>VLOOKUP(F509,'GL Category'!A:C,3,FALSE)</f>
        <v>Operations &amp; maintenance</v>
      </c>
      <c r="H509" s="98" t="str">
        <f>VLOOKUP(F509,'GL Category'!A:C,2,FALSE)</f>
        <v>OFFICE SUPPLIES</v>
      </c>
      <c r="I509" s="99">
        <f>SUMIF(Import!$B:$B,$A509,Import!D:D)</f>
        <v>2994.82</v>
      </c>
      <c r="J509" s="99">
        <f>SUMIF(Import!$B:$B,$A509,Import!E:E)</f>
        <v>2713.35</v>
      </c>
      <c r="K509" s="99">
        <f>SUMIF(Import!$B:$B,$A509,Import!F:F)</f>
        <v>2215.77</v>
      </c>
      <c r="L509" s="99">
        <f>SUMIF(Import!$B:$B,$A509,Import!G:G)</f>
        <v>2029.62</v>
      </c>
      <c r="M509" s="99">
        <f>SUMIF(Import!$B:$B,$A509,Import!H:H)</f>
        <v>3600</v>
      </c>
      <c r="N509" s="99">
        <f>SUMIF(Import!$B:$B,$A509,Import!I:I)</f>
        <v>1469.65</v>
      </c>
      <c r="O509" s="99">
        <f>SUMIF(Import!$B:$B,$A509,Import!J:J)</f>
        <v>2200</v>
      </c>
      <c r="P509" s="99">
        <f t="shared" ref="P509:P522" si="459">O509-M509</f>
        <v>-1400</v>
      </c>
      <c r="Q509" s="99">
        <f>SUMIF(Import!$B:$B,$A509,Import!K:K)</f>
        <v>3000</v>
      </c>
      <c r="R509" s="99">
        <f>SUMIF(Import!$B:$B,$A509,Import!L:L)</f>
        <v>0</v>
      </c>
      <c r="S509" s="99">
        <f>SUMIF(Import!$B:$B,$A509,Import!M:M)</f>
        <v>0</v>
      </c>
      <c r="T509" s="99">
        <f>SUMIF(Import!$B:$B,$A509,Import!N:N)</f>
        <v>3000</v>
      </c>
      <c r="U509" s="99">
        <f t="shared" ref="U509:U522" si="460">T509-M509</f>
        <v>-600</v>
      </c>
      <c r="V509" s="255">
        <f t="shared" ref="V509:V522" si="461">IF(M509=0,"N/A",T509/M509-1)</f>
        <v>-0.16666666666666663</v>
      </c>
      <c r="W509" s="102" t="s">
        <v>1435</v>
      </c>
      <c r="X509" s="103" t="str">
        <f t="shared" si="435"/>
        <v>OK</v>
      </c>
      <c r="Y509" s="271"/>
      <c r="Z509" s="121"/>
      <c r="AA509" s="121"/>
      <c r="AB509" s="121"/>
      <c r="AC509" s="121"/>
      <c r="AD509" s="121"/>
      <c r="AE509" s="121"/>
      <c r="AF509" s="121"/>
      <c r="AG509" s="121"/>
      <c r="AH509" s="121"/>
      <c r="AI509" s="121"/>
      <c r="AJ509" s="121"/>
      <c r="AK509" s="121"/>
      <c r="AL509" s="121"/>
    </row>
    <row r="510" spans="1:38" s="115" customFormat="1" ht="15" customHeight="1">
      <c r="A510" s="555" t="s">
        <v>1436</v>
      </c>
      <c r="B510" s="217" t="str">
        <f t="shared" si="447"/>
        <v>200</v>
      </c>
      <c r="C510" s="217" t="str">
        <f t="shared" si="448"/>
        <v>77</v>
      </c>
      <c r="D510" s="101" t="str">
        <f t="shared" si="449"/>
        <v>772</v>
      </c>
      <c r="E510" s="217" t="str">
        <f t="shared" si="450"/>
        <v>200-77-772</v>
      </c>
      <c r="F510" s="294" t="str">
        <f t="shared" si="451"/>
        <v>51225</v>
      </c>
      <c r="G510" s="295" t="str">
        <f>VLOOKUP(F510,'GL Category'!A:C,3,FALSE)</f>
        <v>Operations &amp; maintenance</v>
      </c>
      <c r="H510" s="98" t="str">
        <f>VLOOKUP(F510,'GL Category'!A:C,2,FALSE)</f>
        <v>JANITORIAL SUPPLIES</v>
      </c>
      <c r="I510" s="99">
        <f>SUMIF(Import!$B:$B,$A510,Import!D:D)</f>
        <v>1898.52</v>
      </c>
      <c r="J510" s="99">
        <f>SUMIF(Import!$B:$B,$A510,Import!E:E)</f>
        <v>1585.49</v>
      </c>
      <c r="K510" s="99">
        <f>SUMIF(Import!$B:$B,$A510,Import!F:F)</f>
        <v>2882.41</v>
      </c>
      <c r="L510" s="99">
        <f>SUMIF(Import!$B:$B,$A510,Import!G:G)</f>
        <v>898.04</v>
      </c>
      <c r="M510" s="99">
        <f>SUMIF(Import!$B:$B,$A510,Import!H:H)</f>
        <v>2500</v>
      </c>
      <c r="N510" s="99">
        <f>SUMIF(Import!$B:$B,$A510,Import!I:I)</f>
        <v>1091.4000000000001</v>
      </c>
      <c r="O510" s="99">
        <f>SUMIF(Import!$B:$B,$A510,Import!J:J)</f>
        <v>2000</v>
      </c>
      <c r="P510" s="99">
        <f t="shared" si="459"/>
        <v>-500</v>
      </c>
      <c r="Q510" s="99">
        <f>SUMIF(Import!$B:$B,$A510,Import!K:K)</f>
        <v>2500</v>
      </c>
      <c r="R510" s="99">
        <f>SUMIF(Import!$B:$B,$A510,Import!L:L)</f>
        <v>0</v>
      </c>
      <c r="S510" s="99">
        <f>SUMIF(Import!$B:$B,$A510,Import!M:M)</f>
        <v>0</v>
      </c>
      <c r="T510" s="99">
        <f>SUMIF(Import!$B:$B,$A510,Import!N:N)</f>
        <v>2500</v>
      </c>
      <c r="U510" s="99">
        <f t="shared" si="460"/>
        <v>0</v>
      </c>
      <c r="V510" s="255">
        <f t="shared" si="461"/>
        <v>0</v>
      </c>
      <c r="W510" s="102" t="s">
        <v>1436</v>
      </c>
      <c r="X510" s="103" t="str">
        <f t="shared" si="435"/>
        <v>OK</v>
      </c>
      <c r="Y510" s="271"/>
      <c r="Z510" s="121"/>
      <c r="AA510" s="121"/>
      <c r="AB510" s="121"/>
      <c r="AC510" s="121"/>
      <c r="AD510" s="121"/>
      <c r="AE510" s="121"/>
      <c r="AF510" s="121"/>
      <c r="AG510" s="121"/>
      <c r="AH510" s="121"/>
      <c r="AI510" s="121"/>
      <c r="AJ510" s="121"/>
      <c r="AK510" s="121"/>
      <c r="AL510" s="121"/>
    </row>
    <row r="511" spans="1:38" s="115" customFormat="1" ht="15" customHeight="1">
      <c r="A511" s="555" t="s">
        <v>1437</v>
      </c>
      <c r="B511" s="217" t="str">
        <f t="shared" si="447"/>
        <v>200</v>
      </c>
      <c r="C511" s="217" t="str">
        <f t="shared" si="448"/>
        <v>77</v>
      </c>
      <c r="D511" s="101" t="str">
        <f t="shared" si="449"/>
        <v>772</v>
      </c>
      <c r="E511" s="217" t="str">
        <f t="shared" si="450"/>
        <v>200-77-772</v>
      </c>
      <c r="F511" s="294" t="str">
        <f t="shared" si="451"/>
        <v>51245</v>
      </c>
      <c r="G511" s="295" t="str">
        <f>VLOOKUP(F511,'GL Category'!A:C,3,FALSE)</f>
        <v>Operations &amp; maintenance</v>
      </c>
      <c r="H511" s="98" t="str">
        <f>VLOOKUP(F511,'GL Category'!A:C,2,FALSE)</f>
        <v>SMALL TOOLS &amp; EQUIPMENT</v>
      </c>
      <c r="I511" s="99">
        <f>SUMIF(Import!$B:$B,$A511,Import!D:D)</f>
        <v>1064.8900000000001</v>
      </c>
      <c r="J511" s="99">
        <f>SUMIF(Import!$B:$B,$A511,Import!E:E)</f>
        <v>495.68</v>
      </c>
      <c r="K511" s="99">
        <f>SUMIF(Import!$B:$B,$A511,Import!F:F)</f>
        <v>830.91</v>
      </c>
      <c r="L511" s="99">
        <f>SUMIF(Import!$B:$B,$A511,Import!G:G)</f>
        <v>1172.45</v>
      </c>
      <c r="M511" s="99">
        <f>SUMIF(Import!$B:$B,$A511,Import!H:H)</f>
        <v>2000</v>
      </c>
      <c r="N511" s="99">
        <f>SUMIF(Import!$B:$B,$A511,Import!I:I)</f>
        <v>818.29</v>
      </c>
      <c r="O511" s="99">
        <f>SUMIF(Import!$B:$B,$A511,Import!J:J)</f>
        <v>1000</v>
      </c>
      <c r="P511" s="99">
        <f t="shared" si="459"/>
        <v>-1000</v>
      </c>
      <c r="Q511" s="99">
        <f>SUMIF(Import!$B:$B,$A511,Import!K:K)</f>
        <v>1200</v>
      </c>
      <c r="R511" s="99">
        <f>SUMIF(Import!$B:$B,$A511,Import!L:L)</f>
        <v>0</v>
      </c>
      <c r="S511" s="99">
        <f>SUMIF(Import!$B:$B,$A511,Import!M:M)</f>
        <v>0</v>
      </c>
      <c r="T511" s="99">
        <f>SUMIF(Import!$B:$B,$A511,Import!N:N)</f>
        <v>1200</v>
      </c>
      <c r="U511" s="99">
        <f t="shared" si="460"/>
        <v>-800</v>
      </c>
      <c r="V511" s="255">
        <f t="shared" si="461"/>
        <v>-0.4</v>
      </c>
      <c r="W511" s="102" t="s">
        <v>1437</v>
      </c>
      <c r="X511" s="103" t="str">
        <f t="shared" si="435"/>
        <v>OK</v>
      </c>
      <c r="Y511" s="271"/>
      <c r="Z511" s="121"/>
      <c r="AA511" s="121"/>
      <c r="AB511" s="121"/>
      <c r="AC511" s="121"/>
      <c r="AD511" s="121"/>
      <c r="AE511" s="121"/>
      <c r="AF511" s="121"/>
      <c r="AG511" s="121"/>
      <c r="AH511" s="121"/>
      <c r="AI511" s="121"/>
      <c r="AJ511" s="121"/>
      <c r="AK511" s="121"/>
      <c r="AL511" s="121"/>
    </row>
    <row r="512" spans="1:38" s="115" customFormat="1" ht="15" customHeight="1">
      <c r="A512" s="555" t="s">
        <v>1438</v>
      </c>
      <c r="B512" s="217" t="str">
        <f t="shared" si="447"/>
        <v>200</v>
      </c>
      <c r="C512" s="217" t="str">
        <f t="shared" si="448"/>
        <v>77</v>
      </c>
      <c r="D512" s="101" t="str">
        <f t="shared" si="449"/>
        <v>772</v>
      </c>
      <c r="E512" s="217" t="str">
        <f t="shared" si="450"/>
        <v>200-77-772</v>
      </c>
      <c r="F512" s="294" t="str">
        <f t="shared" si="451"/>
        <v>51255</v>
      </c>
      <c r="G512" s="295" t="str">
        <f>VLOOKUP(F512,'GL Category'!A:C,3,FALSE)</f>
        <v>Operations &amp; maintenance</v>
      </c>
      <c r="H512" s="98" t="str">
        <f>VLOOKUP(F512,'GL Category'!A:C,2,FALSE)</f>
        <v>FUEL/OILS/LUBRICANTS</v>
      </c>
      <c r="I512" s="99">
        <f>SUMIF(Import!$B:$B,$A512,Import!D:D)</f>
        <v>1094.3900000000001</v>
      </c>
      <c r="J512" s="99">
        <f>SUMIF(Import!$B:$B,$A512,Import!E:E)</f>
        <v>1102.9100000000001</v>
      </c>
      <c r="K512" s="99">
        <f>SUMIF(Import!$B:$B,$A512,Import!F:F)</f>
        <v>2387.15</v>
      </c>
      <c r="L512" s="99">
        <f>SUMIF(Import!$B:$B,$A512,Import!G:G)</f>
        <v>2192.7800000000002</v>
      </c>
      <c r="M512" s="99">
        <f>SUMIF(Import!$B:$B,$A512,Import!H:H)</f>
        <v>1850</v>
      </c>
      <c r="N512" s="99">
        <f>SUMIF(Import!$B:$B,$A512,Import!I:I)</f>
        <v>4362.9799999999996</v>
      </c>
      <c r="O512" s="99">
        <f>SUMIF(Import!$B:$B,$A512,Import!J:J)</f>
        <v>4500</v>
      </c>
      <c r="P512" s="99">
        <f t="shared" si="459"/>
        <v>2650</v>
      </c>
      <c r="Q512" s="99">
        <f>SUMIF(Import!$B:$B,$A512,Import!K:K)</f>
        <v>3000</v>
      </c>
      <c r="R512" s="99">
        <f>SUMIF(Import!$B:$B,$A512,Import!L:L)</f>
        <v>0</v>
      </c>
      <c r="S512" s="99">
        <f>SUMIF(Import!$B:$B,$A512,Import!M:M)</f>
        <v>0</v>
      </c>
      <c r="T512" s="99">
        <f>SUMIF(Import!$B:$B,$A512,Import!N:N)</f>
        <v>3000</v>
      </c>
      <c r="U512" s="99">
        <f t="shared" si="460"/>
        <v>1150</v>
      </c>
      <c r="V512" s="255">
        <f t="shared" si="461"/>
        <v>0.62162162162162171</v>
      </c>
      <c r="W512" s="102" t="s">
        <v>1438</v>
      </c>
      <c r="X512" s="103" t="str">
        <f t="shared" si="435"/>
        <v>OK</v>
      </c>
      <c r="Y512" s="271"/>
      <c r="Z512" s="121"/>
      <c r="AA512" s="121"/>
      <c r="AB512" s="121"/>
      <c r="AC512" s="121"/>
      <c r="AD512" s="121"/>
      <c r="AE512" s="121"/>
      <c r="AF512" s="121"/>
      <c r="AG512" s="121"/>
      <c r="AH512" s="121"/>
      <c r="AI512" s="121"/>
      <c r="AJ512" s="121"/>
      <c r="AK512" s="121"/>
      <c r="AL512" s="121"/>
    </row>
    <row r="513" spans="1:38" s="115" customFormat="1" ht="15" customHeight="1">
      <c r="A513" s="555" t="s">
        <v>1439</v>
      </c>
      <c r="B513" s="217" t="str">
        <f t="shared" si="447"/>
        <v>200</v>
      </c>
      <c r="C513" s="217" t="str">
        <f t="shared" si="448"/>
        <v>77</v>
      </c>
      <c r="D513" s="101" t="str">
        <f t="shared" si="449"/>
        <v>772</v>
      </c>
      <c r="E513" s="217" t="str">
        <f t="shared" si="450"/>
        <v>200-77-772</v>
      </c>
      <c r="F513" s="294" t="str">
        <f t="shared" si="451"/>
        <v>51270</v>
      </c>
      <c r="G513" s="295" t="str">
        <f>VLOOKUP(F513,'GL Category'!A:C,3,FALSE)</f>
        <v>Operations &amp; maintenance</v>
      </c>
      <c r="H513" s="98" t="str">
        <f>VLOOKUP(F513,'GL Category'!A:C,2,FALSE)</f>
        <v>CHEMICAL SUPPLIES</v>
      </c>
      <c r="I513" s="99">
        <f>SUMIF(Import!$B:$B,$A513,Import!D:D)</f>
        <v>1360.92</v>
      </c>
      <c r="J513" s="99">
        <f>SUMIF(Import!$B:$B,$A513,Import!E:E)</f>
        <v>534.52</v>
      </c>
      <c r="K513" s="99">
        <f>SUMIF(Import!$B:$B,$A513,Import!F:F)</f>
        <v>0</v>
      </c>
      <c r="L513" s="99">
        <f>SUMIF(Import!$B:$B,$A513,Import!G:G)</f>
        <v>986.92</v>
      </c>
      <c r="M513" s="99">
        <f>SUMIF(Import!$B:$B,$A513,Import!H:H)</f>
        <v>600</v>
      </c>
      <c r="N513" s="99">
        <f>SUMIF(Import!$B:$B,$A513,Import!I:I)</f>
        <v>0</v>
      </c>
      <c r="O513" s="99">
        <f>SUMIF(Import!$B:$B,$A513,Import!J:J)</f>
        <v>600</v>
      </c>
      <c r="P513" s="99">
        <f t="shared" si="459"/>
        <v>0</v>
      </c>
      <c r="Q513" s="99">
        <f>SUMIF(Import!$B:$B,$A513,Import!K:K)</f>
        <v>0</v>
      </c>
      <c r="R513" s="99">
        <f>SUMIF(Import!$B:$B,$A513,Import!L:L)</f>
        <v>0</v>
      </c>
      <c r="S513" s="99">
        <f>SUMIF(Import!$B:$B,$A513,Import!M:M)</f>
        <v>0</v>
      </c>
      <c r="T513" s="99">
        <f>SUMIF(Import!$B:$B,$A513,Import!N:N)</f>
        <v>0</v>
      </c>
      <c r="U513" s="99">
        <f t="shared" si="460"/>
        <v>-600</v>
      </c>
      <c r="V513" s="255">
        <f t="shared" si="461"/>
        <v>-1</v>
      </c>
      <c r="W513" s="102" t="s">
        <v>1439</v>
      </c>
      <c r="X513" s="103" t="str">
        <f t="shared" si="435"/>
        <v>OK</v>
      </c>
      <c r="Y513" s="271"/>
      <c r="Z513" s="121"/>
      <c r="AA513" s="121"/>
      <c r="AB513" s="121"/>
      <c r="AC513" s="121"/>
      <c r="AD513" s="121"/>
      <c r="AE513" s="121"/>
      <c r="AF513" s="121"/>
      <c r="AG513" s="121"/>
      <c r="AH513" s="121"/>
      <c r="AI513" s="121"/>
      <c r="AJ513" s="121"/>
      <c r="AK513" s="121"/>
      <c r="AL513" s="121"/>
    </row>
    <row r="514" spans="1:38" s="115" customFormat="1" ht="15" customHeight="1">
      <c r="A514" s="555" t="s">
        <v>1440</v>
      </c>
      <c r="B514" s="217" t="str">
        <f t="shared" si="447"/>
        <v>200</v>
      </c>
      <c r="C514" s="217" t="str">
        <f t="shared" si="448"/>
        <v>77</v>
      </c>
      <c r="D514" s="101" t="str">
        <f t="shared" si="449"/>
        <v>772</v>
      </c>
      <c r="E514" s="217" t="str">
        <f t="shared" si="450"/>
        <v>200-77-772</v>
      </c>
      <c r="F514" s="294" t="str">
        <f t="shared" si="451"/>
        <v>51285</v>
      </c>
      <c r="G514" s="295" t="str">
        <f>VLOOKUP(F514,'GL Category'!A:C,3,FALSE)</f>
        <v>Operations &amp; maintenance</v>
      </c>
      <c r="H514" s="98" t="str">
        <f>VLOOKUP(F514,'GL Category'!A:C,2,FALSE)</f>
        <v>WEARING APPAREL</v>
      </c>
      <c r="I514" s="99">
        <f>SUMIF(Import!$B:$B,$A514,Import!D:D)</f>
        <v>644.78</v>
      </c>
      <c r="J514" s="99">
        <f>SUMIF(Import!$B:$B,$A514,Import!E:E)</f>
        <v>274.94</v>
      </c>
      <c r="K514" s="99">
        <f>SUMIF(Import!$B:$B,$A514,Import!F:F)</f>
        <v>591.37</v>
      </c>
      <c r="L514" s="99">
        <f>SUMIF(Import!$B:$B,$A514,Import!G:G)</f>
        <v>714.58</v>
      </c>
      <c r="M514" s="99">
        <f>SUMIF(Import!$B:$B,$A514,Import!H:H)</f>
        <v>700</v>
      </c>
      <c r="N514" s="99">
        <f>SUMIF(Import!$B:$B,$A514,Import!I:I)</f>
        <v>345.07</v>
      </c>
      <c r="O514" s="99">
        <f>SUMIF(Import!$B:$B,$A514,Import!J:J)</f>
        <v>700</v>
      </c>
      <c r="P514" s="99">
        <f t="shared" si="459"/>
        <v>0</v>
      </c>
      <c r="Q514" s="99">
        <f>SUMIF(Import!$B:$B,$A514,Import!K:K)</f>
        <v>700</v>
      </c>
      <c r="R514" s="99">
        <f>SUMIF(Import!$B:$B,$A514,Import!L:L)</f>
        <v>0</v>
      </c>
      <c r="S514" s="99">
        <f>SUMIF(Import!$B:$B,$A514,Import!M:M)</f>
        <v>0</v>
      </c>
      <c r="T514" s="99">
        <f>SUMIF(Import!$B:$B,$A514,Import!N:N)</f>
        <v>700</v>
      </c>
      <c r="U514" s="99">
        <f t="shared" si="460"/>
        <v>0</v>
      </c>
      <c r="V514" s="255">
        <f t="shared" si="461"/>
        <v>0</v>
      </c>
      <c r="W514" s="102" t="s">
        <v>1440</v>
      </c>
      <c r="X514" s="103" t="str">
        <f t="shared" si="435"/>
        <v>OK</v>
      </c>
      <c r="Y514" s="271"/>
      <c r="Z514" s="121"/>
      <c r="AA514" s="121"/>
      <c r="AB514" s="121"/>
      <c r="AC514" s="121"/>
      <c r="AD514" s="121"/>
      <c r="AE514" s="121"/>
      <c r="AF514" s="121"/>
      <c r="AG514" s="121"/>
      <c r="AH514" s="121"/>
      <c r="AI514" s="121"/>
      <c r="AJ514" s="121"/>
      <c r="AK514" s="121"/>
      <c r="AL514" s="121"/>
    </row>
    <row r="515" spans="1:38" s="115" customFormat="1" ht="15" customHeight="1">
      <c r="A515" s="555" t="s">
        <v>1441</v>
      </c>
      <c r="B515" s="217" t="str">
        <f t="shared" si="447"/>
        <v>200</v>
      </c>
      <c r="C515" s="217" t="str">
        <f t="shared" si="448"/>
        <v>77</v>
      </c>
      <c r="D515" s="101" t="str">
        <f t="shared" si="449"/>
        <v>772</v>
      </c>
      <c r="E515" s="217" t="str">
        <f t="shared" si="450"/>
        <v>200-77-772</v>
      </c>
      <c r="F515" s="294" t="str">
        <f t="shared" si="451"/>
        <v>51287</v>
      </c>
      <c r="G515" s="295" t="str">
        <f>VLOOKUP(F515,'GL Category'!A:C,3,FALSE)</f>
        <v>Operations &amp; maintenance</v>
      </c>
      <c r="H515" s="98" t="str">
        <f>VLOOKUP(F515,'GL Category'!A:C,2,FALSE)</f>
        <v>SAFETY EQUIPMENT/SUPPLIES</v>
      </c>
      <c r="I515" s="99">
        <f>SUMIF(Import!$B:$B,$A515,Import!D:D)</f>
        <v>210.19</v>
      </c>
      <c r="J515" s="99">
        <f>SUMIF(Import!$B:$B,$A515,Import!E:E)</f>
        <v>50.41</v>
      </c>
      <c r="K515" s="99">
        <f>SUMIF(Import!$B:$B,$A515,Import!F:F)</f>
        <v>204.37</v>
      </c>
      <c r="L515" s="99">
        <f>SUMIF(Import!$B:$B,$A515,Import!G:G)</f>
        <v>0</v>
      </c>
      <c r="M515" s="99">
        <f>SUMIF(Import!$B:$B,$A515,Import!H:H)</f>
        <v>0</v>
      </c>
      <c r="N515" s="99">
        <f>SUMIF(Import!$B:$B,$A515,Import!I:I)</f>
        <v>0</v>
      </c>
      <c r="O515" s="99">
        <f>SUMIF(Import!$B:$B,$A515,Import!J:J)</f>
        <v>0</v>
      </c>
      <c r="P515" s="99">
        <f t="shared" si="459"/>
        <v>0</v>
      </c>
      <c r="Q515" s="99">
        <f>SUMIF(Import!$B:$B,$A515,Import!K:K)</f>
        <v>0</v>
      </c>
      <c r="R515" s="99">
        <f>SUMIF(Import!$B:$B,$A515,Import!L:L)</f>
        <v>0</v>
      </c>
      <c r="S515" s="99">
        <f>SUMIF(Import!$B:$B,$A515,Import!M:M)</f>
        <v>0</v>
      </c>
      <c r="T515" s="99">
        <f>SUMIF(Import!$B:$B,$A515,Import!N:N)</f>
        <v>0</v>
      </c>
      <c r="U515" s="99">
        <f t="shared" si="460"/>
        <v>0</v>
      </c>
      <c r="V515" s="255" t="str">
        <f t="shared" si="461"/>
        <v>N/A</v>
      </c>
      <c r="W515" s="102" t="s">
        <v>1441</v>
      </c>
      <c r="X515" s="103" t="str">
        <f t="shared" si="435"/>
        <v>OK</v>
      </c>
      <c r="Y515" s="271"/>
      <c r="Z515" s="121"/>
      <c r="AA515" s="121"/>
      <c r="AB515" s="121"/>
      <c r="AC515" s="121"/>
      <c r="AD515" s="121"/>
      <c r="AE515" s="121"/>
      <c r="AF515" s="121"/>
      <c r="AG515" s="121"/>
      <c r="AH515" s="121"/>
      <c r="AI515" s="121"/>
      <c r="AJ515" s="121"/>
      <c r="AK515" s="121"/>
      <c r="AL515" s="121"/>
    </row>
    <row r="516" spans="1:38" s="115" customFormat="1" ht="15" customHeight="1">
      <c r="A516" s="555" t="s">
        <v>1442</v>
      </c>
      <c r="B516" s="217" t="str">
        <f t="shared" si="447"/>
        <v>200</v>
      </c>
      <c r="C516" s="217" t="str">
        <f t="shared" si="448"/>
        <v>77</v>
      </c>
      <c r="D516" s="101" t="str">
        <f t="shared" si="449"/>
        <v>772</v>
      </c>
      <c r="E516" s="217" t="str">
        <f t="shared" si="450"/>
        <v>200-77-772</v>
      </c>
      <c r="F516" s="294" t="str">
        <f t="shared" si="451"/>
        <v>51299</v>
      </c>
      <c r="G516" s="295" t="str">
        <f>VLOOKUP(F516,'GL Category'!A:C,3,FALSE)</f>
        <v>Operations &amp; maintenance</v>
      </c>
      <c r="H516" s="98" t="str">
        <f>VLOOKUP(F516,'GL Category'!A:C,2,FALSE)</f>
        <v>MISCELLANEOUS SUPPLIES</v>
      </c>
      <c r="I516" s="99">
        <f>SUMIF(Import!$B:$B,$A516,Import!D:D)</f>
        <v>1915.1</v>
      </c>
      <c r="J516" s="99">
        <f>SUMIF(Import!$B:$B,$A516,Import!E:E)</f>
        <v>1183.57</v>
      </c>
      <c r="K516" s="99">
        <f>SUMIF(Import!$B:$B,$A516,Import!F:F)</f>
        <v>1908.83</v>
      </c>
      <c r="L516" s="99">
        <f>SUMIF(Import!$B:$B,$A516,Import!G:G)</f>
        <v>2235.42</v>
      </c>
      <c r="M516" s="99">
        <f>SUMIF(Import!$B:$B,$A516,Import!H:H)</f>
        <v>2750</v>
      </c>
      <c r="N516" s="99">
        <f>SUMIF(Import!$B:$B,$A516,Import!I:I)</f>
        <v>1850.31</v>
      </c>
      <c r="O516" s="99">
        <f>SUMIF(Import!$B:$B,$A516,Import!J:J)</f>
        <v>2100</v>
      </c>
      <c r="P516" s="99">
        <f t="shared" si="459"/>
        <v>-650</v>
      </c>
      <c r="Q516" s="99">
        <f>SUMIF(Import!$B:$B,$A516,Import!K:K)</f>
        <v>2250</v>
      </c>
      <c r="R516" s="99">
        <f>SUMIF(Import!$B:$B,$A516,Import!L:L)</f>
        <v>0</v>
      </c>
      <c r="S516" s="99">
        <f>SUMIF(Import!$B:$B,$A516,Import!M:M)</f>
        <v>0</v>
      </c>
      <c r="T516" s="99">
        <f>SUMIF(Import!$B:$B,$A516,Import!N:N)</f>
        <v>2250</v>
      </c>
      <c r="U516" s="99">
        <f t="shared" si="460"/>
        <v>-500</v>
      </c>
      <c r="V516" s="255">
        <f t="shared" si="461"/>
        <v>-0.18181818181818177</v>
      </c>
      <c r="W516" s="102" t="s">
        <v>1442</v>
      </c>
      <c r="X516" s="103" t="str">
        <f t="shared" si="435"/>
        <v>OK</v>
      </c>
      <c r="Y516" s="271"/>
      <c r="Z516" s="121"/>
      <c r="AA516" s="121"/>
      <c r="AB516" s="121"/>
      <c r="AC516" s="121"/>
      <c r="AD516" s="121"/>
      <c r="AE516" s="121"/>
      <c r="AF516" s="121"/>
      <c r="AG516" s="121"/>
      <c r="AH516" s="121"/>
      <c r="AI516" s="121"/>
      <c r="AJ516" s="121"/>
      <c r="AK516" s="121"/>
      <c r="AL516" s="121"/>
    </row>
    <row r="517" spans="1:38" s="115" customFormat="1" ht="15" customHeight="1">
      <c r="A517" s="555" t="s">
        <v>1443</v>
      </c>
      <c r="B517" s="217" t="str">
        <f t="shared" si="447"/>
        <v>200</v>
      </c>
      <c r="C517" s="217" t="str">
        <f t="shared" si="448"/>
        <v>77</v>
      </c>
      <c r="D517" s="101" t="str">
        <f t="shared" si="449"/>
        <v>772</v>
      </c>
      <c r="E517" s="217" t="str">
        <f t="shared" si="450"/>
        <v>200-77-772</v>
      </c>
      <c r="F517" s="294" t="str">
        <f t="shared" si="451"/>
        <v>52310</v>
      </c>
      <c r="G517" s="295" t="str">
        <f>VLOOKUP(F517,'GL Category'!A:C,3,FALSE)</f>
        <v>Operations &amp; maintenance</v>
      </c>
      <c r="H517" s="98" t="str">
        <f>VLOOKUP(F517,'GL Category'!A:C,2,FALSE)</f>
        <v>BUILDING MAINTENANCE</v>
      </c>
      <c r="I517" s="99">
        <f>SUMIF(Import!$B:$B,$A517,Import!D:D)</f>
        <v>30018.14</v>
      </c>
      <c r="J517" s="99">
        <f>SUMIF(Import!$B:$B,$A517,Import!E:E)</f>
        <v>64128.05</v>
      </c>
      <c r="K517" s="99">
        <f>SUMIF(Import!$B:$B,$A517,Import!F:F)</f>
        <v>90202.07</v>
      </c>
      <c r="L517" s="99">
        <f>SUMIF(Import!$B:$B,$A517,Import!G:G)</f>
        <v>74639.02</v>
      </c>
      <c r="M517" s="99">
        <f>SUMIF(Import!$B:$B,$A517,Import!H:H)</f>
        <v>37900</v>
      </c>
      <c r="N517" s="99">
        <f>SUMIF(Import!$B:$B,$A517,Import!I:I)</f>
        <v>31769.75</v>
      </c>
      <c r="O517" s="99">
        <f>SUMIF(Import!$B:$B,$A517,Import!J:J)</f>
        <v>37900</v>
      </c>
      <c r="P517" s="99">
        <f t="shared" si="459"/>
        <v>0</v>
      </c>
      <c r="Q517" s="99">
        <f>SUMIF(Import!$B:$B,$A517,Import!K:K)</f>
        <v>40000</v>
      </c>
      <c r="R517" s="99">
        <f>SUMIF(Import!$B:$B,$A517,Import!L:L)</f>
        <v>0</v>
      </c>
      <c r="S517" s="99">
        <f>SUMIF(Import!$B:$B,$A517,Import!M:M)</f>
        <v>0</v>
      </c>
      <c r="T517" s="99">
        <f>SUMIF(Import!$B:$B,$A517,Import!N:N)</f>
        <v>40000</v>
      </c>
      <c r="U517" s="99">
        <f t="shared" si="460"/>
        <v>2100</v>
      </c>
      <c r="V517" s="255">
        <f t="shared" si="461"/>
        <v>5.5408970976253302E-2</v>
      </c>
      <c r="W517" s="102" t="s">
        <v>1443</v>
      </c>
      <c r="X517" s="103" t="str">
        <f t="shared" si="435"/>
        <v>OK</v>
      </c>
      <c r="Y517" s="271"/>
      <c r="Z517" s="121"/>
      <c r="AA517" s="121"/>
      <c r="AB517" s="121"/>
      <c r="AC517" s="121"/>
      <c r="AD517" s="121"/>
      <c r="AE517" s="121"/>
      <c r="AF517" s="121"/>
      <c r="AG517" s="121"/>
      <c r="AH517" s="121"/>
      <c r="AI517" s="121"/>
      <c r="AJ517" s="121"/>
      <c r="AK517" s="121"/>
      <c r="AL517" s="121"/>
    </row>
    <row r="518" spans="1:38" s="115" customFormat="1" ht="15" customHeight="1">
      <c r="A518" s="555" t="s">
        <v>1444</v>
      </c>
      <c r="B518" s="217" t="str">
        <f t="shared" si="447"/>
        <v>200</v>
      </c>
      <c r="C518" s="217" t="str">
        <f t="shared" si="448"/>
        <v>77</v>
      </c>
      <c r="D518" s="101" t="str">
        <f t="shared" si="449"/>
        <v>772</v>
      </c>
      <c r="E518" s="217" t="str">
        <f t="shared" si="450"/>
        <v>200-77-772</v>
      </c>
      <c r="F518" s="294" t="str">
        <f t="shared" si="451"/>
        <v>52311</v>
      </c>
      <c r="G518" s="295" t="str">
        <f>VLOOKUP(F518,'GL Category'!A:C,3,FALSE)</f>
        <v>Operations &amp; maintenance</v>
      </c>
      <c r="H518" s="98" t="str">
        <f>VLOOKUP(F518,'GL Category'!A:C,2,FALSE)</f>
        <v>GROUNDS MAINTENANCE</v>
      </c>
      <c r="I518" s="99">
        <f>SUMIF(Import!$B:$B,$A518,Import!D:D)</f>
        <v>17796.79</v>
      </c>
      <c r="J518" s="99">
        <f>SUMIF(Import!$B:$B,$A518,Import!E:E)</f>
        <v>0</v>
      </c>
      <c r="K518" s="99">
        <f>SUMIF(Import!$B:$B,$A518,Import!F:F)</f>
        <v>0</v>
      </c>
      <c r="L518" s="99">
        <f>SUMIF(Import!$B:$B,$A518,Import!G:G)</f>
        <v>0</v>
      </c>
      <c r="M518" s="99">
        <f>SUMIF(Import!$B:$B,$A518,Import!H:H)</f>
        <v>0</v>
      </c>
      <c r="N518" s="99">
        <f>SUMIF(Import!$B:$B,$A518,Import!I:I)</f>
        <v>0</v>
      </c>
      <c r="O518" s="99">
        <f>SUMIF(Import!$B:$B,$A518,Import!J:J)</f>
        <v>0</v>
      </c>
      <c r="P518" s="99">
        <f t="shared" si="459"/>
        <v>0</v>
      </c>
      <c r="Q518" s="99">
        <f>SUMIF(Import!$B:$B,$A518,Import!K:K)</f>
        <v>0</v>
      </c>
      <c r="R518" s="99">
        <f>SUMIF(Import!$B:$B,$A518,Import!L:L)</f>
        <v>0</v>
      </c>
      <c r="S518" s="99">
        <f>SUMIF(Import!$B:$B,$A518,Import!M:M)</f>
        <v>0</v>
      </c>
      <c r="T518" s="99">
        <f>SUMIF(Import!$B:$B,$A518,Import!N:N)</f>
        <v>0</v>
      </c>
      <c r="U518" s="99">
        <f t="shared" si="460"/>
        <v>0</v>
      </c>
      <c r="V518" s="255" t="str">
        <f t="shared" si="461"/>
        <v>N/A</v>
      </c>
      <c r="W518" s="102" t="s">
        <v>1444</v>
      </c>
      <c r="X518" s="103" t="str">
        <f t="shared" si="435"/>
        <v>OK</v>
      </c>
      <c r="Y518" s="271"/>
      <c r="Z518" s="121"/>
      <c r="AA518" s="121"/>
      <c r="AB518" s="121"/>
      <c r="AC518" s="121"/>
      <c r="AD518" s="121"/>
      <c r="AE518" s="121"/>
      <c r="AF518" s="121"/>
      <c r="AG518" s="121"/>
      <c r="AH518" s="121"/>
      <c r="AI518" s="121"/>
      <c r="AJ518" s="121"/>
      <c r="AK518" s="121"/>
      <c r="AL518" s="121"/>
    </row>
    <row r="519" spans="1:38" s="115" customFormat="1" ht="15" customHeight="1">
      <c r="A519" s="555" t="s">
        <v>1445</v>
      </c>
      <c r="B519" s="217" t="str">
        <f t="shared" si="447"/>
        <v>200</v>
      </c>
      <c r="C519" s="217" t="str">
        <f t="shared" si="448"/>
        <v>77</v>
      </c>
      <c r="D519" s="101" t="str">
        <f t="shared" si="449"/>
        <v>772</v>
      </c>
      <c r="E519" s="217" t="str">
        <f t="shared" si="450"/>
        <v>200-77-772</v>
      </c>
      <c r="F519" s="294" t="str">
        <f t="shared" si="451"/>
        <v>52399</v>
      </c>
      <c r="G519" s="295" t="str">
        <f>VLOOKUP(F519,'GL Category'!A:C,3,FALSE)</f>
        <v>Operations &amp; maintenance</v>
      </c>
      <c r="H519" s="98" t="str">
        <f>VLOOKUP(F519,'GL Category'!A:C,2,FALSE)</f>
        <v>MISCELLANEOUS MAINTENANCE</v>
      </c>
      <c r="I519" s="99">
        <f>SUMIF(Import!$B:$B,$A519,Import!D:D)</f>
        <v>0</v>
      </c>
      <c r="J519" s="99">
        <f>SUMIF(Import!$B:$B,$A519,Import!E:E)</f>
        <v>0</v>
      </c>
      <c r="K519" s="99">
        <f>SUMIF(Import!$B:$B,$A519,Import!F:F)</f>
        <v>0</v>
      </c>
      <c r="L519" s="99">
        <f>SUMIF(Import!$B:$B,$A519,Import!G:G)</f>
        <v>0</v>
      </c>
      <c r="M519" s="99">
        <f>SUMIF(Import!$B:$B,$A519,Import!H:H)</f>
        <v>0</v>
      </c>
      <c r="N519" s="99">
        <f>SUMIF(Import!$B:$B,$A519,Import!I:I)</f>
        <v>0</v>
      </c>
      <c r="O519" s="99">
        <f>SUMIF(Import!$B:$B,$A519,Import!J:J)</f>
        <v>0</v>
      </c>
      <c r="P519" s="99">
        <f t="shared" si="459"/>
        <v>0</v>
      </c>
      <c r="Q519" s="99">
        <f>SUMIF(Import!$B:$B,$A519,Import!K:K)</f>
        <v>0</v>
      </c>
      <c r="R519" s="99">
        <f>SUMIF(Import!$B:$B,$A519,Import!L:L)</f>
        <v>0</v>
      </c>
      <c r="S519" s="99">
        <f>SUMIF(Import!$B:$B,$A519,Import!M:M)</f>
        <v>0</v>
      </c>
      <c r="T519" s="99">
        <f>SUMIF(Import!$B:$B,$A519,Import!N:N)</f>
        <v>0</v>
      </c>
      <c r="U519" s="99">
        <f t="shared" si="460"/>
        <v>0</v>
      </c>
      <c r="V519" s="255" t="str">
        <f t="shared" si="461"/>
        <v>N/A</v>
      </c>
      <c r="W519" s="102" t="s">
        <v>1445</v>
      </c>
      <c r="X519" s="103" t="str">
        <f t="shared" si="435"/>
        <v>OK</v>
      </c>
      <c r="Y519" s="271"/>
      <c r="Z519" s="121"/>
      <c r="AA519" s="121"/>
      <c r="AB519" s="121"/>
      <c r="AC519" s="121"/>
      <c r="AD519" s="121"/>
      <c r="AE519" s="121"/>
      <c r="AF519" s="121"/>
      <c r="AG519" s="121"/>
      <c r="AH519" s="121"/>
      <c r="AI519" s="121"/>
      <c r="AJ519" s="121"/>
      <c r="AK519" s="121"/>
      <c r="AL519" s="121"/>
    </row>
    <row r="520" spans="1:38" s="115" customFormat="1" ht="15" customHeight="1">
      <c r="A520" s="555" t="s">
        <v>1446</v>
      </c>
      <c r="B520" s="217" t="str">
        <f t="shared" si="447"/>
        <v>200</v>
      </c>
      <c r="C520" s="217" t="str">
        <f t="shared" si="448"/>
        <v>77</v>
      </c>
      <c r="D520" s="101" t="str">
        <f t="shared" si="449"/>
        <v>772</v>
      </c>
      <c r="E520" s="217" t="str">
        <f t="shared" si="450"/>
        <v>200-77-772</v>
      </c>
      <c r="F520" s="294" t="str">
        <f t="shared" si="451"/>
        <v>52460</v>
      </c>
      <c r="G520" s="295" t="str">
        <f>VLOOKUP(F520,'GL Category'!A:C,3,FALSE)</f>
        <v>Operations &amp; maintenance</v>
      </c>
      <c r="H520" s="98" t="str">
        <f>VLOOKUP(F520,'GL Category'!A:C,2,FALSE)</f>
        <v>VEHICLE MAINTENANCE</v>
      </c>
      <c r="I520" s="99">
        <f>SUMIF(Import!$B:$B,$A520,Import!D:D)</f>
        <v>253.76</v>
      </c>
      <c r="J520" s="99">
        <f>SUMIF(Import!$B:$B,$A520,Import!E:E)</f>
        <v>62.1</v>
      </c>
      <c r="K520" s="99">
        <f>SUMIF(Import!$B:$B,$A520,Import!F:F)</f>
        <v>1062.01</v>
      </c>
      <c r="L520" s="99">
        <f>SUMIF(Import!$B:$B,$A520,Import!G:G)</f>
        <v>375.12</v>
      </c>
      <c r="M520" s="99">
        <f>SUMIF(Import!$B:$B,$A520,Import!H:H)</f>
        <v>750</v>
      </c>
      <c r="N520" s="99">
        <f>SUMIF(Import!$B:$B,$A520,Import!I:I)</f>
        <v>769.23</v>
      </c>
      <c r="O520" s="99">
        <f>SUMIF(Import!$B:$B,$A520,Import!J:J)</f>
        <v>750</v>
      </c>
      <c r="P520" s="99">
        <f t="shared" si="459"/>
        <v>0</v>
      </c>
      <c r="Q520" s="99">
        <f>SUMIF(Import!$B:$B,$A520,Import!K:K)</f>
        <v>750</v>
      </c>
      <c r="R520" s="99">
        <f>SUMIF(Import!$B:$B,$A520,Import!L:L)</f>
        <v>0</v>
      </c>
      <c r="S520" s="99">
        <f>SUMIF(Import!$B:$B,$A520,Import!M:M)</f>
        <v>0</v>
      </c>
      <c r="T520" s="99">
        <f>SUMIF(Import!$B:$B,$A520,Import!N:N)</f>
        <v>750</v>
      </c>
      <c r="U520" s="99">
        <f t="shared" si="460"/>
        <v>0</v>
      </c>
      <c r="V520" s="255">
        <f t="shared" si="461"/>
        <v>0</v>
      </c>
      <c r="W520" s="102" t="s">
        <v>1446</v>
      </c>
      <c r="X520" s="103" t="str">
        <f t="shared" si="435"/>
        <v>OK</v>
      </c>
      <c r="Y520" s="271"/>
      <c r="Z520" s="121"/>
      <c r="AA520" s="121"/>
      <c r="AB520" s="121"/>
      <c r="AC520" s="121"/>
      <c r="AD520" s="121"/>
      <c r="AE520" s="121"/>
      <c r="AF520" s="121"/>
      <c r="AG520" s="121"/>
      <c r="AH520" s="121"/>
      <c r="AI520" s="121"/>
      <c r="AJ520" s="121"/>
      <c r="AK520" s="121"/>
      <c r="AL520" s="121"/>
    </row>
    <row r="521" spans="1:38" s="115" customFormat="1" ht="15" customHeight="1">
      <c r="A521" s="555" t="s">
        <v>1447</v>
      </c>
      <c r="B521" s="217" t="str">
        <f t="shared" si="447"/>
        <v>200</v>
      </c>
      <c r="C521" s="217" t="str">
        <f t="shared" si="448"/>
        <v>77</v>
      </c>
      <c r="D521" s="101" t="str">
        <f t="shared" si="449"/>
        <v>772</v>
      </c>
      <c r="E521" s="217" t="str">
        <f t="shared" si="450"/>
        <v>200-77-772</v>
      </c>
      <c r="F521" s="294" t="str">
        <f t="shared" si="451"/>
        <v>52470</v>
      </c>
      <c r="G521" s="295" t="str">
        <f>VLOOKUP(F521,'GL Category'!A:C,3,FALSE)</f>
        <v>Operations &amp; maintenance</v>
      </c>
      <c r="H521" s="98" t="str">
        <f>VLOOKUP(F521,'GL Category'!A:C,2,FALSE)</f>
        <v>EQUIPMENT MAINTENANCE</v>
      </c>
      <c r="I521" s="99">
        <f>SUMIF(Import!$B:$B,$A521,Import!D:D)</f>
        <v>20772.54</v>
      </c>
      <c r="J521" s="99">
        <f>SUMIF(Import!$B:$B,$A521,Import!E:E)</f>
        <v>10210.700000000001</v>
      </c>
      <c r="K521" s="99">
        <f>SUMIF(Import!$B:$B,$A521,Import!F:F)</f>
        <v>14369.23</v>
      </c>
      <c r="L521" s="99">
        <f>SUMIF(Import!$B:$B,$A521,Import!G:G)</f>
        <v>17423.07</v>
      </c>
      <c r="M521" s="99">
        <f>SUMIF(Import!$B:$B,$A521,Import!H:H)</f>
        <v>22000</v>
      </c>
      <c r="N521" s="99">
        <f>SUMIF(Import!$B:$B,$A521,Import!I:I)</f>
        <v>13032.69</v>
      </c>
      <c r="O521" s="99">
        <f>SUMIF(Import!$B:$B,$A521,Import!J:J)</f>
        <v>16000</v>
      </c>
      <c r="P521" s="99">
        <f t="shared" si="459"/>
        <v>-6000</v>
      </c>
      <c r="Q521" s="99">
        <f>SUMIF(Import!$B:$B,$A521,Import!K:K)</f>
        <v>20000</v>
      </c>
      <c r="R521" s="99">
        <f>SUMIF(Import!$B:$B,$A521,Import!L:L)</f>
        <v>0</v>
      </c>
      <c r="S521" s="99">
        <f>SUMIF(Import!$B:$B,$A521,Import!M:M)</f>
        <v>0</v>
      </c>
      <c r="T521" s="99">
        <f>SUMIF(Import!$B:$B,$A521,Import!N:N)</f>
        <v>20000</v>
      </c>
      <c r="U521" s="99">
        <f t="shared" si="460"/>
        <v>-2000</v>
      </c>
      <c r="V521" s="255">
        <f t="shared" si="461"/>
        <v>-9.0909090909090939E-2</v>
      </c>
      <c r="W521" s="102" t="s">
        <v>1447</v>
      </c>
      <c r="X521" s="103" t="str">
        <f t="shared" ref="X521:X549" si="462">IF(Q521="","",IF(T521=SUM(Q521:S521),"OK","NO"))</f>
        <v>OK</v>
      </c>
      <c r="Y521" s="271"/>
      <c r="Z521" s="121"/>
      <c r="AA521" s="121"/>
      <c r="AB521" s="121"/>
      <c r="AC521" s="121"/>
      <c r="AD521" s="121"/>
      <c r="AE521" s="121"/>
      <c r="AF521" s="121"/>
      <c r="AG521" s="121"/>
      <c r="AH521" s="121"/>
      <c r="AI521" s="121"/>
      <c r="AJ521" s="121"/>
      <c r="AK521" s="121"/>
      <c r="AL521" s="121"/>
    </row>
    <row r="522" spans="1:38" s="115" customFormat="1" ht="15" customHeight="1">
      <c r="A522" s="555" t="s">
        <v>1448</v>
      </c>
      <c r="B522" s="217" t="str">
        <f t="shared" si="447"/>
        <v>200</v>
      </c>
      <c r="C522" s="217" t="str">
        <f t="shared" si="448"/>
        <v>77</v>
      </c>
      <c r="D522" s="101" t="str">
        <f t="shared" si="449"/>
        <v>772</v>
      </c>
      <c r="E522" s="217" t="str">
        <f t="shared" si="450"/>
        <v>200-77-772</v>
      </c>
      <c r="F522" s="294" t="str">
        <f t="shared" si="451"/>
        <v>52490</v>
      </c>
      <c r="G522" s="295" t="str">
        <f>VLOOKUP(F522,'GL Category'!A:C,3,FALSE)</f>
        <v>Operations &amp; maintenance</v>
      </c>
      <c r="H522" s="98" t="str">
        <f>VLOOKUP(F522,'GL Category'!A:C,2,FALSE)</f>
        <v>A/C &amp; HEATING MAINTENANCE</v>
      </c>
      <c r="I522" s="99">
        <f>SUMIF(Import!$B:$B,$A522,Import!D:D)</f>
        <v>12504.31</v>
      </c>
      <c r="J522" s="99">
        <f>SUMIF(Import!$B:$B,$A522,Import!E:E)</f>
        <v>14478.27</v>
      </c>
      <c r="K522" s="99">
        <f>SUMIF(Import!$B:$B,$A522,Import!F:F)</f>
        <v>12173.69</v>
      </c>
      <c r="L522" s="99">
        <f>SUMIF(Import!$B:$B,$A522,Import!G:G)</f>
        <v>7693.08</v>
      </c>
      <c r="M522" s="99">
        <f>SUMIF(Import!$B:$B,$A522,Import!H:H)</f>
        <v>20000</v>
      </c>
      <c r="N522" s="99">
        <f>SUMIF(Import!$B:$B,$A522,Import!I:I)</f>
        <v>7131</v>
      </c>
      <c r="O522" s="99">
        <f>SUMIF(Import!$B:$B,$A522,Import!J:J)</f>
        <v>15000</v>
      </c>
      <c r="P522" s="99">
        <f t="shared" si="459"/>
        <v>-5000</v>
      </c>
      <c r="Q522" s="99">
        <f>SUMIF(Import!$B:$B,$A522,Import!K:K)</f>
        <v>18000</v>
      </c>
      <c r="R522" s="99">
        <f>SUMIF(Import!$B:$B,$A522,Import!L:L)</f>
        <v>0</v>
      </c>
      <c r="S522" s="99">
        <f>SUMIF(Import!$B:$B,$A522,Import!M:M)</f>
        <v>0</v>
      </c>
      <c r="T522" s="99">
        <f>SUMIF(Import!$B:$B,$A522,Import!N:N)</f>
        <v>18000</v>
      </c>
      <c r="U522" s="99">
        <f t="shared" si="460"/>
        <v>-2000</v>
      </c>
      <c r="V522" s="255">
        <f t="shared" si="461"/>
        <v>-9.9999999999999978E-2</v>
      </c>
      <c r="W522" s="102" t="s">
        <v>1448</v>
      </c>
      <c r="X522" s="103" t="str">
        <f t="shared" si="462"/>
        <v>OK</v>
      </c>
      <c r="Y522" s="271"/>
      <c r="Z522" s="121"/>
      <c r="AA522" s="121"/>
      <c r="AB522" s="121"/>
      <c r="AC522" s="121"/>
      <c r="AD522" s="121"/>
      <c r="AE522" s="121"/>
      <c r="AF522" s="121"/>
      <c r="AG522" s="121"/>
      <c r="AH522" s="121"/>
      <c r="AI522" s="121"/>
      <c r="AJ522" s="121"/>
      <c r="AK522" s="121"/>
      <c r="AL522" s="121"/>
    </row>
    <row r="523" spans="1:38" s="115" customFormat="1" ht="26.4">
      <c r="A523" s="555"/>
      <c r="B523" s="217"/>
      <c r="C523" s="217"/>
      <c r="D523" s="101"/>
      <c r="E523" s="217"/>
      <c r="F523" s="294"/>
      <c r="G523" s="146"/>
      <c r="H523" s="107" t="str">
        <f>UPPER(G522)&amp;" TOTAL"</f>
        <v>OPERATIONS &amp; MAINTENANCE TOTAL</v>
      </c>
      <c r="I523" s="109">
        <f t="shared" ref="I523" si="463">SUBTOTAL(9,I509:I522)</f>
        <v>92529.15</v>
      </c>
      <c r="J523" s="109">
        <f t="shared" ref="J523:T523" si="464">SUBTOTAL(9,J509:J522)</f>
        <v>96819.99</v>
      </c>
      <c r="K523" s="109">
        <f t="shared" ref="K523" si="465">SUBTOTAL(9,K509:K522)</f>
        <v>128827.81</v>
      </c>
      <c r="L523" s="109">
        <f t="shared" ref="L523" si="466">SUBTOTAL(9,L509:L522)</f>
        <v>110360.09999999999</v>
      </c>
      <c r="M523" s="109">
        <f t="shared" si="464"/>
        <v>94650</v>
      </c>
      <c r="N523" s="109">
        <f t="shared" ref="N523" si="467">SUBTOTAL(9,N509:N522)</f>
        <v>62640.37</v>
      </c>
      <c r="O523" s="109">
        <f t="shared" si="464"/>
        <v>82750</v>
      </c>
      <c r="P523" s="109">
        <f t="shared" si="464"/>
        <v>-11900</v>
      </c>
      <c r="Q523" s="109">
        <f t="shared" si="464"/>
        <v>91400</v>
      </c>
      <c r="R523" s="109">
        <f t="shared" si="464"/>
        <v>0</v>
      </c>
      <c r="S523" s="109">
        <f t="shared" si="464"/>
        <v>0</v>
      </c>
      <c r="T523" s="109">
        <f t="shared" si="464"/>
        <v>91400</v>
      </c>
      <c r="U523" s="99">
        <f>T523-M523</f>
        <v>-3250</v>
      </c>
      <c r="V523" s="259">
        <f>IF(M523=0,"N/A",T523/M523-1)</f>
        <v>-3.4337031167459009E-2</v>
      </c>
      <c r="W523" s="102"/>
      <c r="X523" s="103" t="str">
        <f t="shared" si="462"/>
        <v>OK</v>
      </c>
      <c r="Y523" s="271"/>
      <c r="Z523" s="121"/>
      <c r="AA523" s="121"/>
      <c r="AB523" s="121"/>
      <c r="AC523" s="121"/>
      <c r="AD523" s="121"/>
      <c r="AE523" s="121"/>
      <c r="AF523" s="121"/>
      <c r="AG523" s="121"/>
      <c r="AH523" s="121"/>
      <c r="AI523" s="121"/>
      <c r="AJ523" s="121"/>
      <c r="AK523" s="121"/>
      <c r="AL523" s="121"/>
    </row>
    <row r="524" spans="1:38" s="115" customFormat="1">
      <c r="A524" s="555"/>
      <c r="B524" s="217"/>
      <c r="C524" s="217"/>
      <c r="D524" s="101"/>
      <c r="E524" s="217"/>
      <c r="F524" s="294"/>
      <c r="G524" s="146"/>
      <c r="H524" s="98"/>
      <c r="I524" s="106"/>
      <c r="J524" s="106"/>
      <c r="K524" s="106"/>
      <c r="L524" s="106"/>
      <c r="M524" s="106"/>
      <c r="N524" s="112"/>
      <c r="O524" s="112"/>
      <c r="P524" s="112"/>
      <c r="Q524" s="113"/>
      <c r="R524" s="113"/>
      <c r="S524" s="113"/>
      <c r="T524" s="113"/>
      <c r="U524" s="113"/>
      <c r="V524" s="113"/>
      <c r="W524" s="102"/>
      <c r="X524" s="103" t="str">
        <f t="shared" si="462"/>
        <v/>
      </c>
      <c r="Y524" s="271"/>
      <c r="Z524" s="121"/>
      <c r="AA524" s="121"/>
      <c r="AB524" s="121"/>
      <c r="AC524" s="121"/>
      <c r="AD524" s="121"/>
      <c r="AE524" s="121"/>
      <c r="AF524" s="121"/>
      <c r="AG524" s="121"/>
      <c r="AH524" s="121"/>
      <c r="AI524" s="121"/>
      <c r="AJ524" s="121"/>
      <c r="AK524" s="121"/>
      <c r="AL524" s="121"/>
    </row>
    <row r="525" spans="1:38" s="115" customFormat="1">
      <c r="A525" s="555" t="s">
        <v>1450</v>
      </c>
      <c r="B525" s="217" t="str">
        <f t="shared" si="447"/>
        <v>200</v>
      </c>
      <c r="C525" s="217" t="str">
        <f t="shared" si="448"/>
        <v>77</v>
      </c>
      <c r="D525" s="101" t="str">
        <f t="shared" si="449"/>
        <v>772</v>
      </c>
      <c r="E525" s="217" t="str">
        <f t="shared" si="450"/>
        <v>200-77-772</v>
      </c>
      <c r="F525" s="294" t="str">
        <f t="shared" si="451"/>
        <v>53510</v>
      </c>
      <c r="G525" s="295" t="str">
        <f>VLOOKUP(F525,'GL Category'!A:C,3,FALSE)</f>
        <v>Services &amp; other</v>
      </c>
      <c r="H525" s="98" t="str">
        <f>VLOOKUP(F525,'GL Category'!A:C,2,FALSE)</f>
        <v>DUES &amp; SUBSCRIPTIONS</v>
      </c>
      <c r="I525" s="99">
        <f>SUMIF(Import!$B:$B,$A525,Import!D:D)</f>
        <v>0</v>
      </c>
      <c r="J525" s="99">
        <f>SUMIF(Import!$B:$B,$A525,Import!E:E)</f>
        <v>0</v>
      </c>
      <c r="K525" s="99">
        <f>SUMIF(Import!$B:$B,$A525,Import!F:F)</f>
        <v>0</v>
      </c>
      <c r="L525" s="99">
        <f>SUMIF(Import!$B:$B,$A525,Import!G:G)</f>
        <v>0</v>
      </c>
      <c r="M525" s="99">
        <f>SUMIF(Import!$B:$B,$A525,Import!H:H)</f>
        <v>0</v>
      </c>
      <c r="N525" s="99">
        <f>SUMIF(Import!$B:$B,$A525,Import!I:I)</f>
        <v>0</v>
      </c>
      <c r="O525" s="99">
        <f>SUMIF(Import!$B:$B,$A525,Import!J:J)</f>
        <v>0</v>
      </c>
      <c r="P525" s="99">
        <f t="shared" ref="P525:P536" si="468">O525-M525</f>
        <v>0</v>
      </c>
      <c r="Q525" s="99">
        <f>SUMIF(Import!$B:$B,$A525,Import!K:K)</f>
        <v>0</v>
      </c>
      <c r="R525" s="99">
        <f>SUMIF(Import!$B:$B,$A525,Import!L:L)</f>
        <v>0</v>
      </c>
      <c r="S525" s="99">
        <f>SUMIF(Import!$B:$B,$A525,Import!M:M)</f>
        <v>0</v>
      </c>
      <c r="T525" s="99">
        <f>SUMIF(Import!$B:$B,$A525,Import!N:N)</f>
        <v>0</v>
      </c>
      <c r="U525" s="99">
        <f t="shared" ref="U525:U536" si="469">T525-M525</f>
        <v>0</v>
      </c>
      <c r="V525" s="255" t="str">
        <f t="shared" ref="V525:V536" si="470">IF(M525=0,"N/A",T525/M525-1)</f>
        <v>N/A</v>
      </c>
      <c r="W525" s="102" t="s">
        <v>1450</v>
      </c>
      <c r="X525" s="103" t="str">
        <f t="shared" si="462"/>
        <v>OK</v>
      </c>
      <c r="Y525" s="271"/>
      <c r="Z525" s="121"/>
      <c r="AA525" s="121"/>
      <c r="AB525" s="121"/>
      <c r="AC525" s="121"/>
      <c r="AD525" s="121"/>
      <c r="AE525" s="121"/>
      <c r="AF525" s="121"/>
      <c r="AG525" s="121"/>
      <c r="AH525" s="121"/>
      <c r="AI525" s="121"/>
      <c r="AJ525" s="121"/>
      <c r="AK525" s="121"/>
      <c r="AL525" s="121"/>
    </row>
    <row r="526" spans="1:38" s="115" customFormat="1">
      <c r="A526" s="555" t="s">
        <v>1451</v>
      </c>
      <c r="B526" s="217" t="str">
        <f t="shared" si="447"/>
        <v>200</v>
      </c>
      <c r="C526" s="217" t="str">
        <f t="shared" si="448"/>
        <v>77</v>
      </c>
      <c r="D526" s="101" t="str">
        <f t="shared" si="449"/>
        <v>772</v>
      </c>
      <c r="E526" s="217" t="str">
        <f t="shared" si="450"/>
        <v>200-77-772</v>
      </c>
      <c r="F526" s="294" t="str">
        <f t="shared" si="451"/>
        <v>53515</v>
      </c>
      <c r="G526" s="295" t="str">
        <f>VLOOKUP(F526,'GL Category'!A:C,3,FALSE)</f>
        <v>Services &amp; other</v>
      </c>
      <c r="H526" s="98" t="str">
        <f>VLOOKUP(F526,'GL Category'!A:C,2,FALSE)</f>
        <v>TRAVEL, TRAINING &amp; EDUCATION</v>
      </c>
      <c r="I526" s="99">
        <f>SUMIF(Import!$B:$B,$A526,Import!D:D)</f>
        <v>1009.57</v>
      </c>
      <c r="J526" s="99">
        <f>SUMIF(Import!$B:$B,$A526,Import!E:E)</f>
        <v>2829.52</v>
      </c>
      <c r="K526" s="99">
        <f>SUMIF(Import!$B:$B,$A526,Import!F:F)</f>
        <v>140</v>
      </c>
      <c r="L526" s="99">
        <f>SUMIF(Import!$B:$B,$A526,Import!G:G)</f>
        <v>228.59</v>
      </c>
      <c r="M526" s="99">
        <f>SUMIF(Import!$B:$B,$A526,Import!H:H)</f>
        <v>1200</v>
      </c>
      <c r="N526" s="99">
        <f>SUMIF(Import!$B:$B,$A526,Import!I:I)</f>
        <v>318</v>
      </c>
      <c r="O526" s="99">
        <f>SUMIF(Import!$B:$B,$A526,Import!J:J)</f>
        <v>250</v>
      </c>
      <c r="P526" s="99">
        <f t="shared" si="468"/>
        <v>-950</v>
      </c>
      <c r="Q526" s="99">
        <f>SUMIF(Import!$B:$B,$A526,Import!K:K)</f>
        <v>1200</v>
      </c>
      <c r="R526" s="99">
        <f>SUMIF(Import!$B:$B,$A526,Import!L:L)</f>
        <v>0</v>
      </c>
      <c r="S526" s="99">
        <f>SUMIF(Import!$B:$B,$A526,Import!M:M)</f>
        <v>0</v>
      </c>
      <c r="T526" s="99">
        <f>SUMIF(Import!$B:$B,$A526,Import!N:N)</f>
        <v>1200</v>
      </c>
      <c r="U526" s="99">
        <f t="shared" si="469"/>
        <v>0</v>
      </c>
      <c r="V526" s="255">
        <f t="shared" si="470"/>
        <v>0</v>
      </c>
      <c r="W526" s="102" t="s">
        <v>1451</v>
      </c>
      <c r="X526" s="103" t="str">
        <f t="shared" si="462"/>
        <v>OK</v>
      </c>
      <c r="Y526" s="271"/>
      <c r="Z526" s="121"/>
      <c r="AA526" s="121"/>
      <c r="AB526" s="121"/>
      <c r="AC526" s="121"/>
      <c r="AD526" s="121"/>
      <c r="AE526" s="121"/>
      <c r="AF526" s="121"/>
      <c r="AG526" s="121"/>
      <c r="AH526" s="121"/>
      <c r="AI526" s="121"/>
      <c r="AJ526" s="121"/>
      <c r="AK526" s="121"/>
      <c r="AL526" s="121"/>
    </row>
    <row r="527" spans="1:38" s="115" customFormat="1" ht="15.75" customHeight="1">
      <c r="A527" s="555" t="s">
        <v>1452</v>
      </c>
      <c r="B527" s="217" t="str">
        <f t="shared" si="447"/>
        <v>200</v>
      </c>
      <c r="C527" s="217" t="str">
        <f t="shared" si="448"/>
        <v>77</v>
      </c>
      <c r="D527" s="101" t="str">
        <f t="shared" si="449"/>
        <v>772</v>
      </c>
      <c r="E527" s="217" t="str">
        <f t="shared" si="450"/>
        <v>200-77-772</v>
      </c>
      <c r="F527" s="294" t="str">
        <f t="shared" si="451"/>
        <v>53524</v>
      </c>
      <c r="G527" s="295" t="str">
        <f>VLOOKUP(F527,'GL Category'!A:C,3,FALSE)</f>
        <v>Services &amp; other</v>
      </c>
      <c r="H527" s="98" t="str">
        <f>VLOOKUP(F527,'GL Category'!A:C,2,FALSE)</f>
        <v>EQUIPMENT RENTAL</v>
      </c>
      <c r="I527" s="99">
        <f>SUMIF(Import!$B:$B,$A527,Import!D:D)</f>
        <v>0</v>
      </c>
      <c r="J527" s="99">
        <f>SUMIF(Import!$B:$B,$A527,Import!E:E)</f>
        <v>0</v>
      </c>
      <c r="K527" s="99">
        <f>SUMIF(Import!$B:$B,$A527,Import!F:F)</f>
        <v>0</v>
      </c>
      <c r="L527" s="99">
        <f>SUMIF(Import!$B:$B,$A527,Import!G:G)</f>
        <v>0</v>
      </c>
      <c r="M527" s="99">
        <f>SUMIF(Import!$B:$B,$A527,Import!H:H)</f>
        <v>0</v>
      </c>
      <c r="N527" s="99">
        <f>SUMIF(Import!$B:$B,$A527,Import!I:I)</f>
        <v>0</v>
      </c>
      <c r="O527" s="99">
        <f>SUMIF(Import!$B:$B,$A527,Import!J:J)</f>
        <v>0</v>
      </c>
      <c r="P527" s="99">
        <f t="shared" si="468"/>
        <v>0</v>
      </c>
      <c r="Q527" s="99">
        <f>SUMIF(Import!$B:$B,$A527,Import!K:K)</f>
        <v>0</v>
      </c>
      <c r="R527" s="99">
        <f>SUMIF(Import!$B:$B,$A527,Import!L:L)</f>
        <v>0</v>
      </c>
      <c r="S527" s="99">
        <f>SUMIF(Import!$B:$B,$A527,Import!M:M)</f>
        <v>0</v>
      </c>
      <c r="T527" s="99">
        <f>SUMIF(Import!$B:$B,$A527,Import!N:N)</f>
        <v>0</v>
      </c>
      <c r="U527" s="99">
        <f t="shared" si="469"/>
        <v>0</v>
      </c>
      <c r="V527" s="255" t="str">
        <f t="shared" si="470"/>
        <v>N/A</v>
      </c>
      <c r="W527" s="102" t="s">
        <v>1452</v>
      </c>
      <c r="X527" s="103" t="str">
        <f t="shared" si="462"/>
        <v>OK</v>
      </c>
      <c r="Y527" s="271"/>
      <c r="Z527" s="121"/>
      <c r="AA527" s="121"/>
      <c r="AB527" s="121"/>
      <c r="AC527" s="121"/>
      <c r="AD527" s="121"/>
      <c r="AE527" s="121"/>
      <c r="AF527" s="121"/>
      <c r="AG527" s="121"/>
      <c r="AH527" s="121"/>
      <c r="AI527" s="121"/>
      <c r="AJ527" s="121"/>
      <c r="AK527" s="121"/>
      <c r="AL527" s="121"/>
    </row>
    <row r="528" spans="1:38" s="115" customFormat="1">
      <c r="A528" s="555" t="s">
        <v>1453</v>
      </c>
      <c r="B528" s="217" t="str">
        <f t="shared" si="447"/>
        <v>200</v>
      </c>
      <c r="C528" s="217" t="str">
        <f t="shared" si="448"/>
        <v>77</v>
      </c>
      <c r="D528" s="101" t="str">
        <f t="shared" si="449"/>
        <v>772</v>
      </c>
      <c r="E528" s="217" t="str">
        <f t="shared" si="450"/>
        <v>200-77-772</v>
      </c>
      <c r="F528" s="294" t="str">
        <f t="shared" si="451"/>
        <v>53525</v>
      </c>
      <c r="G528" s="295" t="str">
        <f>VLOOKUP(F528,'GL Category'!A:C,3,FALSE)</f>
        <v>Services &amp; other</v>
      </c>
      <c r="H528" s="98" t="str">
        <f>VLOOKUP(F528,'GL Category'!A:C,2,FALSE)</f>
        <v>LANDSCAPE SERVICES</v>
      </c>
      <c r="I528" s="99">
        <f>SUMIF(Import!$B:$B,$A528,Import!D:D)</f>
        <v>8309</v>
      </c>
      <c r="J528" s="99">
        <f>SUMIF(Import!$B:$B,$A528,Import!E:E)</f>
        <v>17290.75</v>
      </c>
      <c r="K528" s="99">
        <f>SUMIF(Import!$B:$B,$A528,Import!F:F)</f>
        <v>17953.8</v>
      </c>
      <c r="L528" s="99">
        <f>SUMIF(Import!$B:$B,$A528,Import!G:G)</f>
        <v>10286.85</v>
      </c>
      <c r="M528" s="99">
        <f>SUMIF(Import!$B:$B,$A528,Import!H:H)</f>
        <v>17700</v>
      </c>
      <c r="N528" s="99">
        <f>SUMIF(Import!$B:$B,$A528,Import!I:I)</f>
        <v>7771</v>
      </c>
      <c r="O528" s="99">
        <f>SUMIF(Import!$B:$B,$A528,Import!J:J)</f>
        <v>17700</v>
      </c>
      <c r="P528" s="99">
        <f t="shared" si="468"/>
        <v>0</v>
      </c>
      <c r="Q528" s="99">
        <f>SUMIF(Import!$B:$B,$A528,Import!K:K)</f>
        <v>17700</v>
      </c>
      <c r="R528" s="99">
        <f>SUMIF(Import!$B:$B,$A528,Import!L:L)</f>
        <v>0</v>
      </c>
      <c r="S528" s="99">
        <f>SUMIF(Import!$B:$B,$A528,Import!M:M)</f>
        <v>0</v>
      </c>
      <c r="T528" s="99">
        <f>SUMIF(Import!$B:$B,$A528,Import!N:N)</f>
        <v>17700</v>
      </c>
      <c r="U528" s="99">
        <f t="shared" si="469"/>
        <v>0</v>
      </c>
      <c r="V528" s="255">
        <f t="shared" si="470"/>
        <v>0</v>
      </c>
      <c r="W528" s="102" t="s">
        <v>1453</v>
      </c>
      <c r="X528" s="103" t="str">
        <f t="shared" si="462"/>
        <v>OK</v>
      </c>
      <c r="Y528" s="271"/>
      <c r="Z528" s="121"/>
      <c r="AA528" s="121"/>
      <c r="AB528" s="121"/>
      <c r="AC528" s="121"/>
      <c r="AD528" s="121"/>
      <c r="AE528" s="121"/>
      <c r="AF528" s="121"/>
      <c r="AG528" s="121"/>
      <c r="AH528" s="121"/>
      <c r="AI528" s="121"/>
      <c r="AJ528" s="121"/>
      <c r="AK528" s="121"/>
      <c r="AL528" s="121"/>
    </row>
    <row r="529" spans="1:38" s="115" customFormat="1">
      <c r="A529" s="555" t="s">
        <v>1454</v>
      </c>
      <c r="B529" s="217" t="str">
        <f t="shared" si="447"/>
        <v>200</v>
      </c>
      <c r="C529" s="217" t="str">
        <f t="shared" si="448"/>
        <v>77</v>
      </c>
      <c r="D529" s="101" t="str">
        <f t="shared" si="449"/>
        <v>772</v>
      </c>
      <c r="E529" s="217" t="str">
        <f t="shared" si="450"/>
        <v>200-77-772</v>
      </c>
      <c r="F529" s="294" t="str">
        <f t="shared" si="451"/>
        <v>53529</v>
      </c>
      <c r="G529" s="295" t="str">
        <f>VLOOKUP(F529,'GL Category'!A:C,3,FALSE)</f>
        <v>Services &amp; other</v>
      </c>
      <c r="H529" s="98" t="str">
        <f>VLOOKUP(F529,'GL Category'!A:C,2,FALSE)</f>
        <v>JANITORIAL SERVICES</v>
      </c>
      <c r="I529" s="99">
        <f>SUMIF(Import!$B:$B,$A529,Import!D:D)</f>
        <v>7968.24</v>
      </c>
      <c r="J529" s="99">
        <f>SUMIF(Import!$B:$B,$A529,Import!E:E)</f>
        <v>14356.23</v>
      </c>
      <c r="K529" s="99">
        <f>SUMIF(Import!$B:$B,$A529,Import!F:F)</f>
        <v>15268.8</v>
      </c>
      <c r="L529" s="99">
        <f>SUMIF(Import!$B:$B,$A529,Import!G:G)</f>
        <v>15268.8</v>
      </c>
      <c r="M529" s="99">
        <f>SUMIF(Import!$B:$B,$A529,Import!H:H)</f>
        <v>15500</v>
      </c>
      <c r="N529" s="99">
        <f>SUMIF(Import!$B:$B,$A529,Import!I:I)</f>
        <v>11451.6</v>
      </c>
      <c r="O529" s="99">
        <f>SUMIF(Import!$B:$B,$A529,Import!J:J)</f>
        <v>15500</v>
      </c>
      <c r="P529" s="99">
        <f t="shared" si="468"/>
        <v>0</v>
      </c>
      <c r="Q529" s="99">
        <f>SUMIF(Import!$B:$B,$A529,Import!K:K)</f>
        <v>15500</v>
      </c>
      <c r="R529" s="99">
        <f>SUMIF(Import!$B:$B,$A529,Import!L:L)</f>
        <v>0</v>
      </c>
      <c r="S529" s="99">
        <f>SUMIF(Import!$B:$B,$A529,Import!M:M)</f>
        <v>0</v>
      </c>
      <c r="T529" s="99">
        <f>SUMIF(Import!$B:$B,$A529,Import!N:N)</f>
        <v>15500</v>
      </c>
      <c r="U529" s="99">
        <f t="shared" si="469"/>
        <v>0</v>
      </c>
      <c r="V529" s="255">
        <f t="shared" si="470"/>
        <v>0</v>
      </c>
      <c r="W529" s="102" t="s">
        <v>1454</v>
      </c>
      <c r="X529" s="103" t="str">
        <f t="shared" si="462"/>
        <v>OK</v>
      </c>
      <c r="Y529" s="271"/>
      <c r="Z529" s="121"/>
      <c r="AA529" s="121"/>
      <c r="AB529" s="121"/>
      <c r="AC529" s="121"/>
      <c r="AD529" s="121"/>
      <c r="AE529" s="121"/>
      <c r="AF529" s="121"/>
      <c r="AG529" s="121"/>
      <c r="AH529" s="121"/>
      <c r="AI529" s="121"/>
      <c r="AJ529" s="121"/>
      <c r="AK529" s="121"/>
      <c r="AL529" s="121"/>
    </row>
    <row r="530" spans="1:38" s="115" customFormat="1" ht="15.75" customHeight="1">
      <c r="A530" s="555" t="s">
        <v>1455</v>
      </c>
      <c r="B530" s="217" t="str">
        <f t="shared" si="447"/>
        <v>200</v>
      </c>
      <c r="C530" s="217" t="str">
        <f t="shared" si="448"/>
        <v>77</v>
      </c>
      <c r="D530" s="101" t="str">
        <f t="shared" si="449"/>
        <v>772</v>
      </c>
      <c r="E530" s="217" t="str">
        <f t="shared" si="450"/>
        <v>200-77-772</v>
      </c>
      <c r="F530" s="294" t="str">
        <f t="shared" si="451"/>
        <v>53530</v>
      </c>
      <c r="G530" s="295" t="str">
        <f>VLOOKUP(F530,'GL Category'!A:C,3,FALSE)</f>
        <v>Services &amp; other</v>
      </c>
      <c r="H530" s="98" t="str">
        <f>VLOOKUP(F530,'GL Category'!A:C,2,FALSE)</f>
        <v>DEBRIS &amp; WASTE DISPOSAL SVCS</v>
      </c>
      <c r="I530" s="99">
        <f>SUMIF(Import!$B:$B,$A530,Import!D:D)</f>
        <v>2113.3200000000002</v>
      </c>
      <c r="J530" s="99">
        <f>SUMIF(Import!$B:$B,$A530,Import!E:E)</f>
        <v>2113.3200000000002</v>
      </c>
      <c r="K530" s="99">
        <f>SUMIF(Import!$B:$B,$A530,Import!F:F)</f>
        <v>2118.5100000000002</v>
      </c>
      <c r="L530" s="99">
        <f>SUMIF(Import!$B:$B,$A530,Import!G:G)</f>
        <v>2134.08</v>
      </c>
      <c r="M530" s="99">
        <f>SUMIF(Import!$B:$B,$A530,Import!H:H)</f>
        <v>3500</v>
      </c>
      <c r="N530" s="99">
        <f>SUMIF(Import!$B:$B,$A530,Import!I:I)</f>
        <v>1600.56</v>
      </c>
      <c r="O530" s="99">
        <f>SUMIF(Import!$B:$B,$A530,Import!J:J)</f>
        <v>3500</v>
      </c>
      <c r="P530" s="99">
        <f t="shared" si="468"/>
        <v>0</v>
      </c>
      <c r="Q530" s="99">
        <f>SUMIF(Import!$B:$B,$A530,Import!K:K)</f>
        <v>3500</v>
      </c>
      <c r="R530" s="99">
        <f>SUMIF(Import!$B:$B,$A530,Import!L:L)</f>
        <v>0</v>
      </c>
      <c r="S530" s="99">
        <f>SUMIF(Import!$B:$B,$A530,Import!M:M)</f>
        <v>0</v>
      </c>
      <c r="T530" s="99">
        <f>SUMIF(Import!$B:$B,$A530,Import!N:N)</f>
        <v>3500</v>
      </c>
      <c r="U530" s="99">
        <f t="shared" si="469"/>
        <v>0</v>
      </c>
      <c r="V530" s="255">
        <f t="shared" si="470"/>
        <v>0</v>
      </c>
      <c r="W530" s="102" t="s">
        <v>1455</v>
      </c>
      <c r="X530" s="103" t="str">
        <f t="shared" si="462"/>
        <v>OK</v>
      </c>
      <c r="Y530" s="271"/>
      <c r="Z530" s="121"/>
      <c r="AA530" s="121"/>
      <c r="AB530" s="121"/>
      <c r="AC530" s="121"/>
      <c r="AD530" s="121"/>
      <c r="AE530" s="121"/>
      <c r="AF530" s="121"/>
      <c r="AG530" s="121"/>
      <c r="AH530" s="121"/>
      <c r="AI530" s="121"/>
      <c r="AJ530" s="121"/>
      <c r="AK530" s="121"/>
      <c r="AL530" s="121"/>
    </row>
    <row r="531" spans="1:38" s="115" customFormat="1">
      <c r="A531" s="555" t="s">
        <v>1449</v>
      </c>
      <c r="B531" s="217" t="str">
        <f t="shared" si="447"/>
        <v>200</v>
      </c>
      <c r="C531" s="217" t="str">
        <f t="shared" si="448"/>
        <v>77</v>
      </c>
      <c r="D531" s="101" t="str">
        <f t="shared" si="449"/>
        <v>772</v>
      </c>
      <c r="E531" s="217" t="str">
        <f t="shared" si="450"/>
        <v>200-77-772</v>
      </c>
      <c r="F531" s="294" t="str">
        <f t="shared" si="451"/>
        <v>53599</v>
      </c>
      <c r="G531" s="295" t="str">
        <f>VLOOKUP(F531,'GL Category'!A:C,3,FALSE)</f>
        <v>Services &amp; other</v>
      </c>
      <c r="H531" s="98" t="str">
        <f>VLOOKUP(F531,'GL Category'!A:C,2,FALSE)</f>
        <v>MISCELLANEOUS SERVICES</v>
      </c>
      <c r="I531" s="99">
        <f>SUMIF(Import!$B:$B,$A531,Import!D:D)</f>
        <v>0</v>
      </c>
      <c r="J531" s="99">
        <f>SUMIF(Import!$B:$B,$A531,Import!E:E)</f>
        <v>0</v>
      </c>
      <c r="K531" s="99">
        <f>SUMIF(Import!$B:$B,$A531,Import!F:F)</f>
        <v>0</v>
      </c>
      <c r="L531" s="99">
        <f>SUMIF(Import!$B:$B,$A531,Import!G:G)</f>
        <v>0</v>
      </c>
      <c r="M531" s="99">
        <f>SUMIF(Import!$B:$B,$A531,Import!H:H)</f>
        <v>0</v>
      </c>
      <c r="N531" s="99">
        <f>SUMIF(Import!$B:$B,$A531,Import!I:I)</f>
        <v>0</v>
      </c>
      <c r="O531" s="99">
        <f>SUMIF(Import!$B:$B,$A531,Import!J:J)</f>
        <v>0</v>
      </c>
      <c r="P531" s="99">
        <f t="shared" si="468"/>
        <v>0</v>
      </c>
      <c r="Q531" s="99">
        <f>SUMIF(Import!$B:$B,$A531,Import!K:K)</f>
        <v>0</v>
      </c>
      <c r="R531" s="99">
        <f>SUMIF(Import!$B:$B,$A531,Import!L:L)</f>
        <v>0</v>
      </c>
      <c r="S531" s="99">
        <f>SUMIF(Import!$B:$B,$A531,Import!M:M)</f>
        <v>0</v>
      </c>
      <c r="T531" s="99">
        <f>SUMIF(Import!$B:$B,$A531,Import!N:N)</f>
        <v>0</v>
      </c>
      <c r="U531" s="99">
        <f t="shared" si="469"/>
        <v>0</v>
      </c>
      <c r="V531" s="255" t="str">
        <f t="shared" si="470"/>
        <v>N/A</v>
      </c>
      <c r="W531" s="102" t="s">
        <v>1449</v>
      </c>
      <c r="X531" s="103" t="str">
        <f t="shared" si="462"/>
        <v>OK</v>
      </c>
      <c r="Y531" s="271"/>
      <c r="Z531" s="121"/>
      <c r="AA531" s="121"/>
      <c r="AB531" s="121"/>
      <c r="AC531" s="121"/>
      <c r="AD531" s="121"/>
      <c r="AE531" s="121"/>
      <c r="AF531" s="121"/>
      <c r="AG531" s="121"/>
      <c r="AH531" s="121"/>
      <c r="AI531" s="121"/>
      <c r="AJ531" s="121"/>
      <c r="AK531" s="121"/>
      <c r="AL531" s="121"/>
    </row>
    <row r="532" spans="1:38" s="115" customFormat="1">
      <c r="A532" s="555" t="s">
        <v>1456</v>
      </c>
      <c r="B532" s="217" t="str">
        <f t="shared" si="447"/>
        <v>200</v>
      </c>
      <c r="C532" s="217" t="str">
        <f t="shared" si="448"/>
        <v>77</v>
      </c>
      <c r="D532" s="101" t="str">
        <f t="shared" si="449"/>
        <v>772</v>
      </c>
      <c r="E532" s="217" t="str">
        <f t="shared" si="450"/>
        <v>200-77-772</v>
      </c>
      <c r="F532" s="294" t="str">
        <f t="shared" si="451"/>
        <v>53571</v>
      </c>
      <c r="G532" s="295" t="str">
        <f>VLOOKUP(F532,'GL Category'!A:C,3,FALSE)</f>
        <v>Services &amp; other</v>
      </c>
      <c r="H532" s="98" t="str">
        <f>VLOOKUP(F532,'GL Category'!A:C,2,FALSE)</f>
        <v>NATURAL GAS UTILITY SERVICE</v>
      </c>
      <c r="I532" s="99">
        <f>SUMIF(Import!$B:$B,$A532,Import!D:D)</f>
        <v>4157</v>
      </c>
      <c r="J532" s="99">
        <f>SUMIF(Import!$B:$B,$A532,Import!E:E)</f>
        <v>5589.73</v>
      </c>
      <c r="K532" s="99">
        <f>SUMIF(Import!$B:$B,$A532,Import!F:F)</f>
        <v>6434.19</v>
      </c>
      <c r="L532" s="99">
        <f>SUMIF(Import!$B:$B,$A532,Import!G:G)</f>
        <v>7389.13</v>
      </c>
      <c r="M532" s="99">
        <f>SUMIF(Import!$B:$B,$A532,Import!H:H)</f>
        <v>8760</v>
      </c>
      <c r="N532" s="99">
        <f>SUMIF(Import!$B:$B,$A532,Import!I:I)</f>
        <v>7328.62</v>
      </c>
      <c r="O532" s="99">
        <f>SUMIF(Import!$B:$B,$A532,Import!J:J)</f>
        <v>8760</v>
      </c>
      <c r="P532" s="99">
        <f t="shared" si="468"/>
        <v>0</v>
      </c>
      <c r="Q532" s="99">
        <f>SUMIF(Import!$B:$B,$A532,Import!K:K)</f>
        <v>8760</v>
      </c>
      <c r="R532" s="99">
        <f>SUMIF(Import!$B:$B,$A532,Import!L:L)</f>
        <v>0</v>
      </c>
      <c r="S532" s="99">
        <f>SUMIF(Import!$B:$B,$A532,Import!M:M)</f>
        <v>0</v>
      </c>
      <c r="T532" s="99">
        <f>SUMIF(Import!$B:$B,$A532,Import!N:N)</f>
        <v>8760</v>
      </c>
      <c r="U532" s="99">
        <f t="shared" si="469"/>
        <v>0</v>
      </c>
      <c r="V532" s="255">
        <f t="shared" si="470"/>
        <v>0</v>
      </c>
      <c r="W532" s="102" t="s">
        <v>1456</v>
      </c>
      <c r="X532" s="103" t="str">
        <f t="shared" si="462"/>
        <v>OK</v>
      </c>
      <c r="Y532" s="271" t="s">
        <v>789</v>
      </c>
      <c r="Z532" s="121"/>
      <c r="AA532" s="121"/>
      <c r="AB532" s="121"/>
      <c r="AC532" s="121"/>
      <c r="AD532" s="121"/>
      <c r="AE532" s="121"/>
      <c r="AF532" s="121"/>
      <c r="AG532" s="121"/>
      <c r="AH532" s="121"/>
      <c r="AI532" s="121"/>
      <c r="AJ532" s="121"/>
      <c r="AK532" s="121"/>
      <c r="AL532" s="121"/>
    </row>
    <row r="533" spans="1:38" s="115" customFormat="1">
      <c r="A533" s="555" t="s">
        <v>1457</v>
      </c>
      <c r="B533" s="217" t="str">
        <f t="shared" si="447"/>
        <v>200</v>
      </c>
      <c r="C533" s="217" t="str">
        <f t="shared" si="448"/>
        <v>77</v>
      </c>
      <c r="D533" s="101" t="str">
        <f t="shared" si="449"/>
        <v>772</v>
      </c>
      <c r="E533" s="217" t="str">
        <f t="shared" si="450"/>
        <v>200-77-772</v>
      </c>
      <c r="F533" s="294" t="str">
        <f t="shared" si="451"/>
        <v>53572</v>
      </c>
      <c r="G533" s="295" t="str">
        <f>VLOOKUP(F533,'GL Category'!A:C,3,FALSE)</f>
        <v>Services &amp; other</v>
      </c>
      <c r="H533" s="98" t="str">
        <f>VLOOKUP(F533,'GL Category'!A:C,2,FALSE)</f>
        <v>ELECTRICAL UTILITY SERVICE</v>
      </c>
      <c r="I533" s="99">
        <f>SUMIF(Import!$B:$B,$A533,Import!D:D)</f>
        <v>21647.26</v>
      </c>
      <c r="J533" s="99">
        <f>SUMIF(Import!$B:$B,$A533,Import!E:E)</f>
        <v>19842.66</v>
      </c>
      <c r="K533" s="99">
        <f>SUMIF(Import!$B:$B,$A533,Import!F:F)</f>
        <v>35056.75</v>
      </c>
      <c r="L533" s="99">
        <f>SUMIF(Import!$B:$B,$A533,Import!G:G)</f>
        <v>43166.69</v>
      </c>
      <c r="M533" s="99">
        <f>SUMIF(Import!$B:$B,$A533,Import!H:H)</f>
        <v>51260</v>
      </c>
      <c r="N533" s="99">
        <f>SUMIF(Import!$B:$B,$A533,Import!I:I)</f>
        <v>21776.799999999999</v>
      </c>
      <c r="O533" s="99">
        <f>SUMIF(Import!$B:$B,$A533,Import!J:J)</f>
        <v>51260</v>
      </c>
      <c r="P533" s="99">
        <f t="shared" si="468"/>
        <v>0</v>
      </c>
      <c r="Q533" s="99">
        <f>SUMIF(Import!$B:$B,$A533,Import!K:K)</f>
        <v>51260</v>
      </c>
      <c r="R533" s="99">
        <f>SUMIF(Import!$B:$B,$A533,Import!L:L)</f>
        <v>0</v>
      </c>
      <c r="S533" s="99">
        <f>SUMIF(Import!$B:$B,$A533,Import!M:M)</f>
        <v>0</v>
      </c>
      <c r="T533" s="99">
        <f>SUMIF(Import!$B:$B,$A533,Import!N:N)</f>
        <v>51260</v>
      </c>
      <c r="U533" s="99">
        <f t="shared" si="469"/>
        <v>0</v>
      </c>
      <c r="V533" s="255">
        <f t="shared" si="470"/>
        <v>0</v>
      </c>
      <c r="W533" s="102" t="s">
        <v>1457</v>
      </c>
      <c r="X533" s="103" t="str">
        <f t="shared" si="462"/>
        <v>OK</v>
      </c>
      <c r="Y533" s="271" t="s">
        <v>789</v>
      </c>
      <c r="Z533" s="121"/>
      <c r="AA533" s="121"/>
      <c r="AB533" s="121"/>
      <c r="AC533" s="121"/>
      <c r="AD533" s="121"/>
      <c r="AE533" s="121"/>
      <c r="AF533" s="121"/>
      <c r="AG533" s="121"/>
      <c r="AH533" s="121"/>
      <c r="AI533" s="121"/>
      <c r="AJ533" s="121"/>
      <c r="AK533" s="121"/>
      <c r="AL533" s="121"/>
    </row>
    <row r="534" spans="1:38" s="115" customFormat="1">
      <c r="A534" s="555" t="s">
        <v>1458</v>
      </c>
      <c r="B534" s="217" t="str">
        <f t="shared" si="447"/>
        <v>200</v>
      </c>
      <c r="C534" s="217" t="str">
        <f t="shared" si="448"/>
        <v>77</v>
      </c>
      <c r="D534" s="101" t="str">
        <f t="shared" si="449"/>
        <v>772</v>
      </c>
      <c r="E534" s="217" t="str">
        <f t="shared" si="450"/>
        <v>200-77-772</v>
      </c>
      <c r="F534" s="294" t="str">
        <f t="shared" si="451"/>
        <v>53574</v>
      </c>
      <c r="G534" s="295" t="str">
        <f>VLOOKUP(F534,'GL Category'!A:C,3,FALSE)</f>
        <v>Services &amp; other</v>
      </c>
      <c r="H534" s="98" t="str">
        <f>VLOOKUP(F534,'GL Category'!A:C,2,FALSE)</f>
        <v>WATER/SEWER UTILITY SERVICE</v>
      </c>
      <c r="I534" s="99">
        <f>SUMIF(Import!$B:$B,$A534,Import!D:D)</f>
        <v>8087.26</v>
      </c>
      <c r="J534" s="99">
        <f>SUMIF(Import!$B:$B,$A534,Import!E:E)</f>
        <v>6883.43</v>
      </c>
      <c r="K534" s="99">
        <f>SUMIF(Import!$B:$B,$A534,Import!F:F)</f>
        <v>5765.1</v>
      </c>
      <c r="L534" s="99">
        <f>SUMIF(Import!$B:$B,$A534,Import!G:G)</f>
        <v>5820.14</v>
      </c>
      <c r="M534" s="99">
        <f>SUMIF(Import!$B:$B,$A534,Import!H:H)</f>
        <v>11500</v>
      </c>
      <c r="N534" s="99">
        <f>SUMIF(Import!$B:$B,$A534,Import!I:I)</f>
        <v>4700.04</v>
      </c>
      <c r="O534" s="99">
        <f>SUMIF(Import!$B:$B,$A534,Import!J:J)</f>
        <v>10000</v>
      </c>
      <c r="P534" s="99">
        <f t="shared" si="468"/>
        <v>-1500</v>
      </c>
      <c r="Q534" s="99">
        <f>SUMIF(Import!$B:$B,$A534,Import!K:K)</f>
        <v>11500</v>
      </c>
      <c r="R534" s="99">
        <f>SUMIF(Import!$B:$B,$A534,Import!L:L)</f>
        <v>0</v>
      </c>
      <c r="S534" s="99">
        <f>SUMIF(Import!$B:$B,$A534,Import!M:M)</f>
        <v>0</v>
      </c>
      <c r="T534" s="99">
        <f>SUMIF(Import!$B:$B,$A534,Import!N:N)</f>
        <v>11500</v>
      </c>
      <c r="U534" s="99">
        <f t="shared" si="469"/>
        <v>0</v>
      </c>
      <c r="V534" s="255">
        <f t="shared" si="470"/>
        <v>0</v>
      </c>
      <c r="W534" s="102" t="s">
        <v>1458</v>
      </c>
      <c r="X534" s="103" t="str">
        <f t="shared" si="462"/>
        <v>OK</v>
      </c>
      <c r="Y534" s="271" t="s">
        <v>789</v>
      </c>
      <c r="Z534" s="121"/>
      <c r="AA534" s="121"/>
      <c r="AB534" s="121"/>
      <c r="AC534" s="121"/>
      <c r="AD534" s="121"/>
      <c r="AE534" s="121"/>
      <c r="AF534" s="121"/>
      <c r="AG534" s="121"/>
      <c r="AH534" s="121"/>
      <c r="AI534" s="121"/>
      <c r="AJ534" s="121"/>
      <c r="AK534" s="121"/>
      <c r="AL534" s="121"/>
    </row>
    <row r="535" spans="1:38" s="115" customFormat="1">
      <c r="A535" s="555" t="s">
        <v>1459</v>
      </c>
      <c r="B535" s="217" t="str">
        <f t="shared" si="447"/>
        <v>200</v>
      </c>
      <c r="C535" s="217" t="str">
        <f t="shared" si="448"/>
        <v>77</v>
      </c>
      <c r="D535" s="101" t="str">
        <f t="shared" si="449"/>
        <v>772</v>
      </c>
      <c r="E535" s="217" t="str">
        <f t="shared" si="450"/>
        <v>200-77-772</v>
      </c>
      <c r="F535" s="294" t="str">
        <f t="shared" si="451"/>
        <v>55175</v>
      </c>
      <c r="G535" s="295" t="str">
        <f>VLOOKUP(F535,'GL Category'!A:C,3,FALSE)</f>
        <v>Services &amp; other</v>
      </c>
      <c r="H535" s="98" t="str">
        <f>VLOOKUP(F535,'GL Category'!A:C,2,FALSE)</f>
        <v>VEHICLE/EQUIP LEASE EXP-CITY</v>
      </c>
      <c r="I535" s="99">
        <f>SUMIF(Import!$B:$B,$A535,Import!D:D)</f>
        <v>55396</v>
      </c>
      <c r="J535" s="99">
        <f>SUMIF(Import!$B:$B,$A535,Import!E:E)</f>
        <v>24146</v>
      </c>
      <c r="K535" s="99">
        <f>SUMIF(Import!$B:$B,$A535,Import!F:F)</f>
        <v>70220</v>
      </c>
      <c r="L535" s="99">
        <f>SUMIF(Import!$B:$B,$A535,Import!G:G)</f>
        <v>30513</v>
      </c>
      <c r="M535" s="99">
        <f>SUMIF(Import!$B:$B,$A535,Import!H:H)</f>
        <v>30201</v>
      </c>
      <c r="N535" s="99">
        <f>SUMIF(Import!$B:$B,$A535,Import!I:I)</f>
        <v>22650.75</v>
      </c>
      <c r="O535" s="99">
        <f>SUMIF(Import!$B:$B,$A535,Import!J:J)</f>
        <v>30201</v>
      </c>
      <c r="P535" s="99">
        <f t="shared" si="468"/>
        <v>0</v>
      </c>
      <c r="Q535" s="99">
        <f>SUMIF(Import!$B:$B,$A535,Import!K:K)</f>
        <v>30436</v>
      </c>
      <c r="R535" s="99">
        <f>SUMIF(Import!$B:$B,$A535,Import!L:L)</f>
        <v>0</v>
      </c>
      <c r="S535" s="99">
        <f>SUMIF(Import!$B:$B,$A535,Import!M:M)</f>
        <v>0</v>
      </c>
      <c r="T535" s="99">
        <f>SUMIF(Import!$B:$B,$A535,Import!N:N)</f>
        <v>30436</v>
      </c>
      <c r="U535" s="99">
        <f t="shared" si="469"/>
        <v>235</v>
      </c>
      <c r="V535" s="255">
        <f t="shared" si="470"/>
        <v>7.7811992980365563E-3</v>
      </c>
      <c r="W535" s="102" t="s">
        <v>1459</v>
      </c>
      <c r="X535" s="103" t="str">
        <f t="shared" si="462"/>
        <v>OK</v>
      </c>
      <c r="Y535" s="271"/>
      <c r="Z535" s="121"/>
      <c r="AA535" s="121"/>
      <c r="AB535" s="121"/>
      <c r="AC535" s="121"/>
      <c r="AD535" s="121"/>
      <c r="AE535" s="121"/>
      <c r="AF535" s="121"/>
      <c r="AG535" s="121"/>
      <c r="AH535" s="121"/>
      <c r="AI535" s="121"/>
      <c r="AJ535" s="121"/>
      <c r="AK535" s="121"/>
      <c r="AL535" s="121"/>
    </row>
    <row r="536" spans="1:38" s="115" customFormat="1">
      <c r="A536" s="555" t="s">
        <v>1460</v>
      </c>
      <c r="B536" s="217" t="str">
        <f t="shared" si="447"/>
        <v>200</v>
      </c>
      <c r="C536" s="217" t="str">
        <f t="shared" si="448"/>
        <v>77</v>
      </c>
      <c r="D536" s="101" t="str">
        <f t="shared" si="449"/>
        <v>772</v>
      </c>
      <c r="E536" s="217" t="str">
        <f t="shared" si="450"/>
        <v>200-77-772</v>
      </c>
      <c r="F536" s="294" t="str">
        <f t="shared" si="451"/>
        <v>55119</v>
      </c>
      <c r="G536" s="295" t="str">
        <f>VLOOKUP(F536,'GL Category'!A:C,3,FALSE)</f>
        <v>Services &amp; other</v>
      </c>
      <c r="H536" s="98" t="str">
        <f>VLOOKUP(F536,'GL Category'!A:C,2,FALSE)</f>
        <v>OFFICE EQUIP LEASE EXP-CITY</v>
      </c>
      <c r="I536" s="99">
        <f>SUMIF(Import!$B:$B,$A536,Import!D:D)</f>
        <v>117093</v>
      </c>
      <c r="J536" s="99">
        <f>SUMIF(Import!$B:$B,$A536,Import!E:E)</f>
        <v>107195</v>
      </c>
      <c r="K536" s="99">
        <f>SUMIF(Import!$B:$B,$A536,Import!F:F)</f>
        <v>108954</v>
      </c>
      <c r="L536" s="99">
        <f>SUMIF(Import!$B:$B,$A536,Import!G:G)</f>
        <v>108935</v>
      </c>
      <c r="M536" s="99">
        <f>SUMIF(Import!$B:$B,$A536,Import!H:H)</f>
        <v>102760</v>
      </c>
      <c r="N536" s="99">
        <f>SUMIF(Import!$B:$B,$A536,Import!I:I)</f>
        <v>77070</v>
      </c>
      <c r="O536" s="99">
        <f>SUMIF(Import!$B:$B,$A536,Import!J:J)</f>
        <v>102760</v>
      </c>
      <c r="P536" s="99">
        <f t="shared" si="468"/>
        <v>0</v>
      </c>
      <c r="Q536" s="99">
        <f>SUMIF(Import!$B:$B,$A536,Import!K:K)</f>
        <v>109266</v>
      </c>
      <c r="R536" s="99">
        <f>SUMIF(Import!$B:$B,$A536,Import!L:L)</f>
        <v>0</v>
      </c>
      <c r="S536" s="99">
        <f>SUMIF(Import!$B:$B,$A536,Import!M:M)</f>
        <v>0</v>
      </c>
      <c r="T536" s="99">
        <f>SUMIF(Import!$B:$B,$A536,Import!N:N)</f>
        <v>109266</v>
      </c>
      <c r="U536" s="99">
        <f t="shared" si="469"/>
        <v>6506</v>
      </c>
      <c r="V536" s="255">
        <f t="shared" si="470"/>
        <v>6.3312572985597448E-2</v>
      </c>
      <c r="W536" s="102" t="s">
        <v>1460</v>
      </c>
      <c r="X536" s="103" t="str">
        <f t="shared" si="462"/>
        <v>OK</v>
      </c>
      <c r="Y536" s="271"/>
      <c r="Z536" s="121"/>
      <c r="AA536" s="121"/>
      <c r="AB536" s="121"/>
      <c r="AC536" s="121"/>
      <c r="AD536" s="121"/>
      <c r="AE536" s="121"/>
      <c r="AF536" s="121"/>
      <c r="AG536" s="121"/>
      <c r="AH536" s="121"/>
      <c r="AI536" s="121"/>
      <c r="AJ536" s="121"/>
      <c r="AK536" s="121"/>
      <c r="AL536" s="121"/>
    </row>
    <row r="537" spans="1:38" s="115" customFormat="1">
      <c r="A537" s="555"/>
      <c r="B537" s="217"/>
      <c r="C537" s="217"/>
      <c r="D537" s="101"/>
      <c r="E537" s="217"/>
      <c r="F537" s="294"/>
      <c r="G537" s="146"/>
      <c r="H537" s="107" t="str">
        <f>UPPER(G536)&amp;" TOTAL"</f>
        <v>SERVICES &amp; OTHER TOTAL</v>
      </c>
      <c r="I537" s="109">
        <f t="shared" ref="I537" si="471">SUBTOTAL(9,I525:I536)</f>
        <v>225780.65</v>
      </c>
      <c r="J537" s="109">
        <f t="shared" ref="J537:T537" si="472">SUBTOTAL(9,J525:J536)</f>
        <v>200246.64</v>
      </c>
      <c r="K537" s="109">
        <f t="shared" ref="K537" si="473">SUBTOTAL(9,K525:K536)</f>
        <v>261911.15000000002</v>
      </c>
      <c r="L537" s="109">
        <f t="shared" ref="L537" si="474">SUBTOTAL(9,L525:L536)</f>
        <v>223742.28</v>
      </c>
      <c r="M537" s="109">
        <f t="shared" si="472"/>
        <v>242381</v>
      </c>
      <c r="N537" s="109">
        <f t="shared" ref="N537" si="475">SUBTOTAL(9,N525:N536)</f>
        <v>154667.37</v>
      </c>
      <c r="O537" s="109">
        <f t="shared" si="472"/>
        <v>239931</v>
      </c>
      <c r="P537" s="109">
        <f t="shared" si="472"/>
        <v>-2450</v>
      </c>
      <c r="Q537" s="109">
        <f t="shared" si="472"/>
        <v>249122</v>
      </c>
      <c r="R537" s="109">
        <f t="shared" si="472"/>
        <v>0</v>
      </c>
      <c r="S537" s="109">
        <f t="shared" si="472"/>
        <v>0</v>
      </c>
      <c r="T537" s="109">
        <f t="shared" si="472"/>
        <v>249122</v>
      </c>
      <c r="U537" s="99">
        <f>T537-M537</f>
        <v>6741</v>
      </c>
      <c r="V537" s="259">
        <f>IF(M537=0,"N/A",T537/M537-1)</f>
        <v>2.7811585891633461E-2</v>
      </c>
      <c r="W537" s="102"/>
      <c r="X537" s="103" t="str">
        <f t="shared" si="462"/>
        <v>OK</v>
      </c>
      <c r="Y537" s="271"/>
      <c r="Z537" s="121"/>
      <c r="AA537" s="121"/>
      <c r="AB537" s="121"/>
      <c r="AC537" s="121"/>
      <c r="AD537" s="121"/>
      <c r="AE537" s="121"/>
      <c r="AF537" s="121"/>
      <c r="AG537" s="121"/>
      <c r="AH537" s="121"/>
      <c r="AI537" s="121"/>
      <c r="AJ537" s="121"/>
      <c r="AK537" s="121"/>
      <c r="AL537" s="121"/>
    </row>
    <row r="538" spans="1:38" s="115" customFormat="1">
      <c r="A538" s="555"/>
      <c r="B538" s="217"/>
      <c r="C538" s="217"/>
      <c r="D538" s="101"/>
      <c r="E538" s="217"/>
      <c r="F538" s="294"/>
      <c r="G538" s="146"/>
      <c r="H538" s="98"/>
      <c r="I538" s="106"/>
      <c r="J538" s="106"/>
      <c r="K538" s="106"/>
      <c r="L538" s="106"/>
      <c r="M538" s="106"/>
      <c r="N538" s="112"/>
      <c r="O538" s="112"/>
      <c r="P538" s="112"/>
      <c r="Q538" s="113"/>
      <c r="R538" s="113"/>
      <c r="S538" s="113"/>
      <c r="T538" s="113"/>
      <c r="U538" s="113"/>
      <c r="V538" s="113"/>
      <c r="W538" s="102"/>
      <c r="X538" s="103" t="str">
        <f t="shared" si="462"/>
        <v/>
      </c>
      <c r="Y538" s="271"/>
      <c r="Z538" s="121"/>
      <c r="AA538" s="121"/>
      <c r="AB538" s="121"/>
      <c r="AC538" s="121"/>
      <c r="AD538" s="121"/>
      <c r="AE538" s="121"/>
      <c r="AF538" s="121"/>
      <c r="AG538" s="121"/>
      <c r="AH538" s="121"/>
      <c r="AI538" s="121"/>
      <c r="AJ538" s="121"/>
      <c r="AK538" s="121"/>
      <c r="AL538" s="121"/>
    </row>
    <row r="539" spans="1:38" s="115" customFormat="1">
      <c r="A539" s="555" t="s">
        <v>3239</v>
      </c>
      <c r="B539" s="217" t="str">
        <f t="shared" ref="B539" si="476">LEFT(A539,3)</f>
        <v>200</v>
      </c>
      <c r="C539" s="217" t="str">
        <f t="shared" ref="C539" si="477">MID(A539,5,2)</f>
        <v>77</v>
      </c>
      <c r="D539" s="101" t="str">
        <f t="shared" ref="D539" si="478">MID(A539,8,3)</f>
        <v>772</v>
      </c>
      <c r="E539" s="217" t="str">
        <f t="shared" ref="E539" si="479">LEFT(A539,10)</f>
        <v>200-77-772</v>
      </c>
      <c r="F539" s="294" t="str">
        <f t="shared" ref="F539" si="480">RIGHT(A539,5)</f>
        <v>58828</v>
      </c>
      <c r="G539" s="295" t="str">
        <f>VLOOKUP(F539,'GL Category'!A:C,3,FALSE)</f>
        <v>Capital Outlay</v>
      </c>
      <c r="H539" s="98" t="str">
        <f>VLOOKUP(F539,'GL Category'!A:C,2,FALSE)</f>
        <v>BUILDINGS &amp; IMPROVEMENTS</v>
      </c>
      <c r="I539" s="99">
        <f>SUMIF(Import!$B:$B,$A539,Import!D:D)</f>
        <v>0</v>
      </c>
      <c r="J539" s="99">
        <f>SUMIF(Import!$B:$B,$A539,Import!E:E)</f>
        <v>0</v>
      </c>
      <c r="K539" s="99">
        <f>SUMIF(Import!$B:$B,$A539,Import!F:F)</f>
        <v>12384.45</v>
      </c>
      <c r="L539" s="99">
        <f>SUMIF(Import!$B:$B,$A539,Import!G:G)</f>
        <v>0</v>
      </c>
      <c r="M539" s="99">
        <f>SUMIF(Import!$B:$B,$A539,Import!H:H)</f>
        <v>0</v>
      </c>
      <c r="N539" s="99">
        <f>SUMIF(Import!$B:$B,$A539,Import!I:I)</f>
        <v>0</v>
      </c>
      <c r="O539" s="99">
        <f>SUMIF(Import!$B:$B,$A539,Import!J:J)</f>
        <v>0</v>
      </c>
      <c r="P539" s="99">
        <f t="shared" ref="P539" si="481">O539-M539</f>
        <v>0</v>
      </c>
      <c r="Q539" s="99">
        <f>SUMIF(Import!$B:$B,$A539,Import!K:K)</f>
        <v>0</v>
      </c>
      <c r="R539" s="99">
        <f>SUMIF(Import!$B:$B,$A539,Import!L:L)</f>
        <v>0</v>
      </c>
      <c r="S539" s="99">
        <f>SUMIF(Import!$B:$B,$A539,Import!M:M)</f>
        <v>0</v>
      </c>
      <c r="T539" s="99">
        <f>SUMIF(Import!$B:$B,$A539,Import!N:N)</f>
        <v>0</v>
      </c>
      <c r="U539" s="99">
        <f t="shared" ref="U539" si="482">T539-M539</f>
        <v>0</v>
      </c>
      <c r="V539" s="255" t="str">
        <f t="shared" ref="V539" si="483">IF(M539=0,"N/A",T539/M539-1)</f>
        <v>N/A</v>
      </c>
      <c r="W539" s="102"/>
      <c r="X539" s="103"/>
      <c r="Y539" s="271"/>
      <c r="Z539" s="121"/>
      <c r="AA539" s="121"/>
      <c r="AB539" s="121"/>
      <c r="AC539" s="121"/>
      <c r="AD539" s="121"/>
      <c r="AE539" s="121"/>
      <c r="AF539" s="121"/>
      <c r="AG539" s="121"/>
      <c r="AH539" s="121"/>
      <c r="AI539" s="121"/>
      <c r="AJ539" s="121"/>
      <c r="AK539" s="121"/>
      <c r="AL539" s="121"/>
    </row>
    <row r="540" spans="1:38" s="115" customFormat="1">
      <c r="A540" s="555" t="s">
        <v>1461</v>
      </c>
      <c r="B540" s="217" t="str">
        <f t="shared" si="447"/>
        <v>200</v>
      </c>
      <c r="C540" s="217" t="str">
        <f t="shared" si="448"/>
        <v>77</v>
      </c>
      <c r="D540" s="101" t="str">
        <f t="shared" si="449"/>
        <v>772</v>
      </c>
      <c r="E540" s="217" t="str">
        <f t="shared" si="450"/>
        <v>200-77-772</v>
      </c>
      <c r="F540" s="294" t="str">
        <f t="shared" si="451"/>
        <v>58830</v>
      </c>
      <c r="G540" s="295" t="str">
        <f>VLOOKUP(F540,'GL Category'!A:C,3,FALSE)</f>
        <v>Capital Outlay</v>
      </c>
      <c r="H540" s="98" t="str">
        <f>VLOOKUP(F540,'GL Category'!A:C,2,FALSE)</f>
        <v>MACHINERY &amp; EQUIPMENT</v>
      </c>
      <c r="I540" s="99">
        <f>SUMIF(Import!$B:$B,$A540,Import!D:D)</f>
        <v>0</v>
      </c>
      <c r="J540" s="99">
        <f>SUMIF(Import!$B:$B,$A540,Import!E:E)</f>
        <v>0</v>
      </c>
      <c r="K540" s="99">
        <f>SUMIF(Import!$B:$B,$A540,Import!F:F)</f>
        <v>0</v>
      </c>
      <c r="L540" s="99">
        <f>SUMIF(Import!$B:$B,$A540,Import!G:G)</f>
        <v>0</v>
      </c>
      <c r="M540" s="99">
        <f>SUMIF(Import!$B:$B,$A540,Import!H:H)</f>
        <v>0</v>
      </c>
      <c r="N540" s="99">
        <f>SUMIF(Import!$B:$B,$A540,Import!I:I)</f>
        <v>0</v>
      </c>
      <c r="O540" s="99">
        <f>SUMIF(Import!$B:$B,$A540,Import!J:J)</f>
        <v>0</v>
      </c>
      <c r="P540" s="99">
        <f t="shared" ref="P540:P541" si="484">O540-M540</f>
        <v>0</v>
      </c>
      <c r="Q540" s="99">
        <f>SUMIF(Import!$B:$B,$A540,Import!K:K)</f>
        <v>0</v>
      </c>
      <c r="R540" s="99">
        <f>SUMIF(Import!$B:$B,$A540,Import!L:L)</f>
        <v>0</v>
      </c>
      <c r="S540" s="99">
        <f>SUMIF(Import!$B:$B,$A540,Import!M:M)</f>
        <v>0</v>
      </c>
      <c r="T540" s="99">
        <f>SUMIF(Import!$B:$B,$A540,Import!N:N)</f>
        <v>0</v>
      </c>
      <c r="U540" s="99">
        <f t="shared" ref="U540:U541" si="485">T540-M540</f>
        <v>0</v>
      </c>
      <c r="V540" s="255" t="str">
        <f t="shared" ref="V540:V541" si="486">IF(M540=0,"N/A",T540/M540-1)</f>
        <v>N/A</v>
      </c>
      <c r="W540" s="102" t="s">
        <v>1461</v>
      </c>
      <c r="X540" s="103" t="str">
        <f t="shared" si="462"/>
        <v>OK</v>
      </c>
      <c r="Y540" s="271"/>
      <c r="Z540" s="121"/>
      <c r="AA540" s="121"/>
      <c r="AB540" s="121"/>
      <c r="AC540" s="121"/>
      <c r="AD540" s="121"/>
      <c r="AE540" s="121"/>
      <c r="AF540" s="121"/>
      <c r="AG540" s="121"/>
      <c r="AH540" s="121"/>
      <c r="AI540" s="121"/>
      <c r="AJ540" s="121"/>
      <c r="AK540" s="121"/>
      <c r="AL540" s="121"/>
    </row>
    <row r="541" spans="1:38" s="115" customFormat="1">
      <c r="A541" s="555" t="s">
        <v>1462</v>
      </c>
      <c r="B541" s="217" t="str">
        <f t="shared" si="447"/>
        <v>200</v>
      </c>
      <c r="C541" s="217" t="str">
        <f t="shared" si="448"/>
        <v>77</v>
      </c>
      <c r="D541" s="101" t="str">
        <f t="shared" si="449"/>
        <v>772</v>
      </c>
      <c r="E541" s="217" t="str">
        <f t="shared" si="450"/>
        <v>200-77-772</v>
      </c>
      <c r="F541" s="294" t="str">
        <f t="shared" si="451"/>
        <v>58853</v>
      </c>
      <c r="G541" s="295" t="str">
        <f>VLOOKUP(F541,'GL Category'!A:C,3,FALSE)</f>
        <v>Capital Outlay</v>
      </c>
      <c r="H541" s="98" t="str">
        <f>VLOOKUP(F541,'GL Category'!A:C,2,FALSE)</f>
        <v>IMPROVEMENTS OTHER THAN BLDGS</v>
      </c>
      <c r="I541" s="99">
        <f>SUMIF(Import!$B:$B,$A541,Import!D:D)</f>
        <v>19790</v>
      </c>
      <c r="J541" s="99">
        <f>SUMIF(Import!$B:$B,$A541,Import!E:E)</f>
        <v>62073.2</v>
      </c>
      <c r="K541" s="99">
        <f>SUMIF(Import!$B:$B,$A541,Import!F:F)</f>
        <v>89560.35</v>
      </c>
      <c r="L541" s="99">
        <f>SUMIF(Import!$B:$B,$A541,Import!G:G)</f>
        <v>59220</v>
      </c>
      <c r="M541" s="99">
        <f>SUMIF(Import!$B:$B,$A541,Import!H:H)</f>
        <v>65000</v>
      </c>
      <c r="N541" s="99">
        <f>SUMIF(Import!$B:$B,$A541,Import!I:I)</f>
        <v>57915</v>
      </c>
      <c r="O541" s="99">
        <f>SUMIF(Import!$B:$B,$A541,Import!J:J)</f>
        <v>65000</v>
      </c>
      <c r="P541" s="99">
        <f t="shared" si="484"/>
        <v>0</v>
      </c>
      <c r="Q541" s="99">
        <f>SUMIF(Import!$B:$B,$A541,Import!K:K)</f>
        <v>65000</v>
      </c>
      <c r="R541" s="99">
        <f>SUMIF(Import!$B:$B,$A541,Import!L:L)</f>
        <v>0</v>
      </c>
      <c r="S541" s="99">
        <f>SUMIF(Import!$B:$B,$A541,Import!M:M)</f>
        <v>0</v>
      </c>
      <c r="T541" s="99">
        <f>SUMIF(Import!$B:$B,$A541,Import!N:N)</f>
        <v>65000</v>
      </c>
      <c r="U541" s="99">
        <f t="shared" si="485"/>
        <v>0</v>
      </c>
      <c r="V541" s="255">
        <f t="shared" si="486"/>
        <v>0</v>
      </c>
      <c r="W541" s="102" t="s">
        <v>1462</v>
      </c>
      <c r="X541" s="103" t="str">
        <f t="shared" si="462"/>
        <v>OK</v>
      </c>
      <c r="Y541" s="271"/>
      <c r="Z541" s="121"/>
      <c r="AA541" s="121"/>
      <c r="AB541" s="121"/>
      <c r="AC541" s="121"/>
      <c r="AD541" s="121"/>
      <c r="AE541" s="121"/>
      <c r="AF541" s="121"/>
      <c r="AG541" s="121"/>
      <c r="AH541" s="121"/>
      <c r="AI541" s="121"/>
      <c r="AJ541" s="121"/>
      <c r="AK541" s="121"/>
      <c r="AL541" s="121"/>
    </row>
    <row r="542" spans="1:38" s="115" customFormat="1">
      <c r="A542" s="555"/>
      <c r="B542" s="217"/>
      <c r="C542" s="217"/>
      <c r="D542" s="101"/>
      <c r="E542" s="217"/>
      <c r="F542" s="294"/>
      <c r="G542" s="146"/>
      <c r="H542" s="107" t="str">
        <f>UPPER(G541)&amp;" TOTAL"</f>
        <v>CAPITAL OUTLAY TOTAL</v>
      </c>
      <c r="I542" s="109">
        <f t="shared" ref="I542" si="487">SUBTOTAL(9,I540:I541)</f>
        <v>19790</v>
      </c>
      <c r="J542" s="109">
        <f t="shared" ref="J542:T542" si="488">SUBTOTAL(9,J540:J541)</f>
        <v>62073.2</v>
      </c>
      <c r="K542" s="109">
        <f t="shared" ref="K542" si="489">SUBTOTAL(9,K540:K541)</f>
        <v>89560.35</v>
      </c>
      <c r="L542" s="109">
        <f t="shared" ref="L542" si="490">SUBTOTAL(9,L540:L541)</f>
        <v>59220</v>
      </c>
      <c r="M542" s="109">
        <f t="shared" si="488"/>
        <v>65000</v>
      </c>
      <c r="N542" s="109">
        <f t="shared" ref="N542" si="491">SUBTOTAL(9,N540:N541)</f>
        <v>57915</v>
      </c>
      <c r="O542" s="109">
        <f t="shared" si="488"/>
        <v>65000</v>
      </c>
      <c r="P542" s="109">
        <f t="shared" si="488"/>
        <v>0</v>
      </c>
      <c r="Q542" s="109">
        <f t="shared" si="488"/>
        <v>65000</v>
      </c>
      <c r="R542" s="109">
        <f t="shared" si="488"/>
        <v>0</v>
      </c>
      <c r="S542" s="109">
        <f t="shared" si="488"/>
        <v>0</v>
      </c>
      <c r="T542" s="109">
        <f t="shared" si="488"/>
        <v>65000</v>
      </c>
      <c r="U542" s="99">
        <f>T542-M542</f>
        <v>0</v>
      </c>
      <c r="V542" s="259">
        <f>IF(M542=0,"N/A",T542/M542-1)</f>
        <v>0</v>
      </c>
      <c r="W542" s="102"/>
      <c r="X542" s="103" t="str">
        <f t="shared" si="462"/>
        <v>OK</v>
      </c>
      <c r="Y542" s="271"/>
      <c r="Z542" s="121"/>
      <c r="AA542" s="121"/>
      <c r="AB542" s="121"/>
      <c r="AC542" s="121"/>
      <c r="AD542" s="121"/>
      <c r="AE542" s="121"/>
      <c r="AF542" s="121"/>
      <c r="AG542" s="121"/>
      <c r="AH542" s="121"/>
      <c r="AI542" s="121"/>
      <c r="AJ542" s="121"/>
      <c r="AK542" s="121"/>
      <c r="AL542" s="121"/>
    </row>
    <row r="543" spans="1:38" s="115" customFormat="1">
      <c r="A543" s="555"/>
      <c r="B543" s="217"/>
      <c r="C543" s="217"/>
      <c r="D543" s="101"/>
      <c r="E543" s="217"/>
      <c r="F543" s="294"/>
      <c r="G543" s="146"/>
      <c r="H543" s="232"/>
      <c r="I543" s="202"/>
      <c r="J543" s="202"/>
      <c r="K543" s="202"/>
      <c r="L543" s="202"/>
      <c r="M543" s="202"/>
      <c r="N543" s="202"/>
      <c r="O543" s="202"/>
      <c r="P543" s="202"/>
      <c r="Q543" s="202"/>
      <c r="R543" s="202"/>
      <c r="S543" s="202"/>
      <c r="T543" s="202"/>
      <c r="U543" s="202"/>
      <c r="V543" s="202"/>
      <c r="W543" s="102"/>
      <c r="X543" s="103" t="str">
        <f t="shared" si="462"/>
        <v/>
      </c>
      <c r="Y543" s="271"/>
      <c r="Z543" s="121"/>
      <c r="AA543" s="121"/>
      <c r="AB543" s="121"/>
      <c r="AC543" s="121"/>
      <c r="AD543" s="121"/>
      <c r="AE543" s="121"/>
      <c r="AF543" s="121"/>
      <c r="AG543" s="121"/>
      <c r="AH543" s="121"/>
      <c r="AI543" s="121"/>
      <c r="AJ543" s="121"/>
      <c r="AK543" s="121"/>
      <c r="AL543" s="121"/>
    </row>
    <row r="544" spans="1:38" s="115" customFormat="1">
      <c r="A544" s="555" t="s">
        <v>1463</v>
      </c>
      <c r="B544" s="217" t="str">
        <f t="shared" si="447"/>
        <v>200</v>
      </c>
      <c r="C544" s="217" t="str">
        <f t="shared" si="448"/>
        <v>77</v>
      </c>
      <c r="D544" s="101" t="str">
        <f t="shared" si="449"/>
        <v>772</v>
      </c>
      <c r="E544" s="217" t="str">
        <f t="shared" si="450"/>
        <v>200-77-772</v>
      </c>
      <c r="F544" s="294" t="str">
        <f t="shared" si="451"/>
        <v>59105</v>
      </c>
      <c r="G544" s="295" t="str">
        <f>VLOOKUP(F544,'GL Category'!A:C,3,FALSE)</f>
        <v>Transfers to other funds</v>
      </c>
      <c r="H544" s="98" t="str">
        <f>VLOOKUP(F544,'GL Category'!A:C,2,FALSE)</f>
        <v>TRANSFER TO CIP-GENERAL GOVERN</v>
      </c>
      <c r="I544" s="99">
        <f>SUMIF(Import!$B:$B,$A544,Import!D:D)</f>
        <v>0</v>
      </c>
      <c r="J544" s="99">
        <f>SUMIF(Import!$B:$B,$A544,Import!E:E)</f>
        <v>0</v>
      </c>
      <c r="K544" s="99">
        <f>SUMIF(Import!$B:$B,$A544,Import!F:F)</f>
        <v>0</v>
      </c>
      <c r="L544" s="99">
        <f>SUMIF(Import!$B:$B,$A544,Import!G:G)</f>
        <v>0</v>
      </c>
      <c r="M544" s="99">
        <f>SUMIF(Import!$B:$B,$A544,Import!H:H)</f>
        <v>0</v>
      </c>
      <c r="N544" s="99">
        <f>SUMIF(Import!$B:$B,$A544,Import!I:I)</f>
        <v>0</v>
      </c>
      <c r="O544" s="99">
        <f>SUMIF(Import!$B:$B,$A544,Import!J:J)</f>
        <v>0</v>
      </c>
      <c r="P544" s="99">
        <f t="shared" ref="P544:P545" si="492">O544-M544</f>
        <v>0</v>
      </c>
      <c r="Q544" s="99">
        <f>SUMIF(Import!$B:$B,$A544,Import!K:K)</f>
        <v>0</v>
      </c>
      <c r="R544" s="99">
        <f>SUMIF(Import!$B:$B,$A544,Import!L:L)</f>
        <v>0</v>
      </c>
      <c r="S544" s="99">
        <f>SUMIF(Import!$B:$B,$A544,Import!M:M)</f>
        <v>0</v>
      </c>
      <c r="T544" s="99">
        <f>SUMIF(Import!$B:$B,$A544,Import!N:N)</f>
        <v>0</v>
      </c>
      <c r="U544" s="99">
        <f t="shared" ref="U544:U545" si="493">T544-M544</f>
        <v>0</v>
      </c>
      <c r="V544" s="255" t="str">
        <f t="shared" ref="V544:V545" si="494">IF(M544=0,"N/A",T544/M544-1)</f>
        <v>N/A</v>
      </c>
      <c r="W544" s="102" t="s">
        <v>1463</v>
      </c>
      <c r="X544" s="103" t="str">
        <f t="shared" si="462"/>
        <v>OK</v>
      </c>
      <c r="Y544" s="271"/>
      <c r="Z544" s="121"/>
      <c r="AA544" s="121"/>
      <c r="AB544" s="121"/>
      <c r="AC544" s="121"/>
      <c r="AD544" s="121"/>
      <c r="AE544" s="121"/>
      <c r="AF544" s="121"/>
      <c r="AG544" s="121"/>
      <c r="AH544" s="121"/>
      <c r="AI544" s="121"/>
      <c r="AJ544" s="121"/>
      <c r="AK544" s="121"/>
      <c r="AL544" s="121"/>
    </row>
    <row r="545" spans="1:38" s="115" customFormat="1">
      <c r="A545" s="555" t="s">
        <v>1464</v>
      </c>
      <c r="B545" s="217" t="str">
        <f t="shared" si="447"/>
        <v>200</v>
      </c>
      <c r="C545" s="217" t="str">
        <f t="shared" si="448"/>
        <v>77</v>
      </c>
      <c r="D545" s="101" t="str">
        <f t="shared" si="449"/>
        <v>772</v>
      </c>
      <c r="E545" s="217" t="str">
        <f t="shared" si="450"/>
        <v>200-77-772</v>
      </c>
      <c r="F545" s="294" t="str">
        <f t="shared" si="451"/>
        <v>59206</v>
      </c>
      <c r="G545" s="295" t="str">
        <f>VLOOKUP(F545,'GL Category'!A:C,3,FALSE)</f>
        <v>Transfers to other funds</v>
      </c>
      <c r="H545" s="98" t="str">
        <f>VLOOKUP(F545,'GL Category'!A:C,2,FALSE)</f>
        <v>TRANSFER TO CIP-WATER/WW</v>
      </c>
      <c r="I545" s="99">
        <f>SUMIF(Import!$B:$B,$A545,Import!D:D)</f>
        <v>0</v>
      </c>
      <c r="J545" s="99">
        <f>SUMIF(Import!$B:$B,$A545,Import!E:E)</f>
        <v>0</v>
      </c>
      <c r="K545" s="99">
        <f>SUMIF(Import!$B:$B,$A545,Import!F:F)</f>
        <v>0</v>
      </c>
      <c r="L545" s="99">
        <f>SUMIF(Import!$B:$B,$A545,Import!G:G)</f>
        <v>0</v>
      </c>
      <c r="M545" s="99">
        <f>SUMIF(Import!$B:$B,$A545,Import!H:H)</f>
        <v>0</v>
      </c>
      <c r="N545" s="99">
        <f>SUMIF(Import!$B:$B,$A545,Import!I:I)</f>
        <v>0</v>
      </c>
      <c r="O545" s="99">
        <f>SUMIF(Import!$B:$B,$A545,Import!J:J)</f>
        <v>0</v>
      </c>
      <c r="P545" s="99">
        <f t="shared" si="492"/>
        <v>0</v>
      </c>
      <c r="Q545" s="99">
        <f>SUMIF(Import!$B:$B,$A545,Import!K:K)</f>
        <v>0</v>
      </c>
      <c r="R545" s="99">
        <f>SUMIF(Import!$B:$B,$A545,Import!L:L)</f>
        <v>0</v>
      </c>
      <c r="S545" s="99">
        <f>SUMIF(Import!$B:$B,$A545,Import!M:M)</f>
        <v>0</v>
      </c>
      <c r="T545" s="99">
        <f>SUMIF(Import!$B:$B,$A545,Import!N:N)</f>
        <v>0</v>
      </c>
      <c r="U545" s="99">
        <f t="shared" si="493"/>
        <v>0</v>
      </c>
      <c r="V545" s="255" t="str">
        <f t="shared" si="494"/>
        <v>N/A</v>
      </c>
      <c r="W545" s="102" t="s">
        <v>1464</v>
      </c>
      <c r="X545" s="103" t="str">
        <f t="shared" si="462"/>
        <v>OK</v>
      </c>
      <c r="Y545" s="271"/>
      <c r="Z545" s="121"/>
      <c r="AA545" s="121"/>
      <c r="AB545" s="121"/>
      <c r="AC545" s="121"/>
      <c r="AD545" s="121"/>
      <c r="AE545" s="121"/>
      <c r="AF545" s="121"/>
      <c r="AG545" s="121"/>
      <c r="AH545" s="121"/>
      <c r="AI545" s="121"/>
      <c r="AJ545" s="121"/>
      <c r="AK545" s="121"/>
      <c r="AL545" s="121"/>
    </row>
    <row r="546" spans="1:38" s="115" customFormat="1" ht="26.4">
      <c r="A546" s="555"/>
      <c r="B546" s="217"/>
      <c r="C546" s="217"/>
      <c r="D546" s="101"/>
      <c r="E546" s="217"/>
      <c r="F546" s="294"/>
      <c r="G546" s="146"/>
      <c r="H546" s="107" t="str">
        <f>UPPER(G545)&amp;" TOTAL"</f>
        <v>TRANSFERS TO OTHER FUNDS TOTAL</v>
      </c>
      <c r="I546" s="109">
        <f t="shared" ref="I546" si="495">SUBTOTAL(9,I542:I545)</f>
        <v>0</v>
      </c>
      <c r="J546" s="109">
        <f t="shared" ref="J546:T546" si="496">SUBTOTAL(9,J542:J545)</f>
        <v>0</v>
      </c>
      <c r="K546" s="109">
        <f t="shared" ref="K546" si="497">SUBTOTAL(9,K542:K545)</f>
        <v>0</v>
      </c>
      <c r="L546" s="109">
        <f t="shared" ref="L546" si="498">SUBTOTAL(9,L542:L545)</f>
        <v>0</v>
      </c>
      <c r="M546" s="109">
        <f t="shared" si="496"/>
        <v>0</v>
      </c>
      <c r="N546" s="109">
        <f t="shared" ref="N546" si="499">SUBTOTAL(9,N542:N545)</f>
        <v>0</v>
      </c>
      <c r="O546" s="109">
        <f t="shared" si="496"/>
        <v>0</v>
      </c>
      <c r="P546" s="109">
        <f t="shared" si="496"/>
        <v>0</v>
      </c>
      <c r="Q546" s="109">
        <f t="shared" si="496"/>
        <v>0</v>
      </c>
      <c r="R546" s="109">
        <f t="shared" si="496"/>
        <v>0</v>
      </c>
      <c r="S546" s="109">
        <f t="shared" si="496"/>
        <v>0</v>
      </c>
      <c r="T546" s="109">
        <f t="shared" si="496"/>
        <v>0</v>
      </c>
      <c r="U546" s="99">
        <f>T546-M546</f>
        <v>0</v>
      </c>
      <c r="V546" s="259" t="str">
        <f>IF(M546=0,"N/A",T546/M546-1)</f>
        <v>N/A</v>
      </c>
      <c r="W546" s="102"/>
      <c r="X546" s="103" t="str">
        <f t="shared" si="462"/>
        <v>OK</v>
      </c>
      <c r="Y546" s="271"/>
      <c r="Z546" s="121"/>
      <c r="AA546" s="121"/>
      <c r="AB546" s="121"/>
      <c r="AC546" s="121"/>
      <c r="AD546" s="121"/>
      <c r="AE546" s="121"/>
      <c r="AF546" s="121"/>
      <c r="AG546" s="121"/>
      <c r="AH546" s="121"/>
      <c r="AI546" s="121"/>
      <c r="AJ546" s="121"/>
      <c r="AK546" s="121"/>
      <c r="AL546" s="121"/>
    </row>
    <row r="547" spans="1:38" s="115" customFormat="1">
      <c r="A547" s="555"/>
      <c r="B547" s="217"/>
      <c r="C547" s="217"/>
      <c r="D547" s="101"/>
      <c r="E547" s="217"/>
      <c r="F547" s="294"/>
      <c r="G547" s="146"/>
      <c r="H547" s="232"/>
      <c r="I547" s="202"/>
      <c r="J547" s="202"/>
      <c r="K547" s="202"/>
      <c r="L547" s="202"/>
      <c r="M547" s="202"/>
      <c r="N547" s="202"/>
      <c r="O547" s="202"/>
      <c r="P547" s="202"/>
      <c r="Q547" s="202"/>
      <c r="R547" s="202"/>
      <c r="S547" s="202"/>
      <c r="T547" s="202"/>
      <c r="U547" s="202"/>
      <c r="V547" s="202"/>
      <c r="W547" s="102"/>
      <c r="X547" s="103" t="str">
        <f t="shared" si="462"/>
        <v/>
      </c>
      <c r="Y547" s="271"/>
      <c r="Z547" s="121"/>
      <c r="AA547" s="121"/>
      <c r="AB547" s="121"/>
      <c r="AC547" s="121"/>
      <c r="AD547" s="121"/>
      <c r="AE547" s="121"/>
      <c r="AF547" s="121"/>
      <c r="AG547" s="121"/>
      <c r="AH547" s="121"/>
      <c r="AI547" s="121"/>
      <c r="AJ547" s="121"/>
      <c r="AK547" s="121"/>
      <c r="AL547" s="121"/>
    </row>
    <row r="548" spans="1:38" s="115" customFormat="1">
      <c r="A548" s="555"/>
      <c r="B548" s="217"/>
      <c r="C548" s="217"/>
      <c r="D548" s="101"/>
      <c r="E548" s="217"/>
      <c r="F548" s="294"/>
      <c r="G548" s="146"/>
      <c r="H548" s="114" t="s">
        <v>51</v>
      </c>
      <c r="I548" s="108">
        <f t="shared" ref="I548" si="500">SUBTOTAL(9,I498:I546)</f>
        <v>514653.01000000007</v>
      </c>
      <c r="J548" s="108">
        <f t="shared" ref="J548:T548" si="501">SUBTOTAL(9,J498:J546)</f>
        <v>542379</v>
      </c>
      <c r="K548" s="108">
        <f t="shared" ref="K548" si="502">SUBTOTAL(9,K498:K546)</f>
        <v>599891.27</v>
      </c>
      <c r="L548" s="108">
        <f t="shared" ref="L548" si="503">SUBTOTAL(9,L498:L546)</f>
        <v>530322.80000000005</v>
      </c>
      <c r="M548" s="108">
        <f t="shared" si="501"/>
        <v>556005</v>
      </c>
      <c r="N548" s="108">
        <f t="shared" si="501"/>
        <v>397669.73</v>
      </c>
      <c r="O548" s="108">
        <f t="shared" si="501"/>
        <v>546109</v>
      </c>
      <c r="P548" s="108">
        <f t="shared" si="501"/>
        <v>-9896</v>
      </c>
      <c r="Q548" s="108">
        <f t="shared" si="501"/>
        <v>566231</v>
      </c>
      <c r="R548" s="108">
        <f t="shared" si="501"/>
        <v>0</v>
      </c>
      <c r="S548" s="108">
        <f t="shared" si="501"/>
        <v>0</v>
      </c>
      <c r="T548" s="108">
        <f t="shared" si="501"/>
        <v>566231</v>
      </c>
      <c r="U548" s="99">
        <f>T548-M548</f>
        <v>10226</v>
      </c>
      <c r="V548" s="259">
        <f>IF(M548=0,"N/A",T548/M548-1)</f>
        <v>1.8391920935962869E-2</v>
      </c>
      <c r="W548" s="102"/>
      <c r="X548" s="103" t="str">
        <f t="shared" si="462"/>
        <v>OK</v>
      </c>
      <c r="Y548" s="271"/>
      <c r="Z548" s="121"/>
      <c r="AA548" s="121"/>
      <c r="AB548" s="121"/>
      <c r="AC548" s="121"/>
      <c r="AD548" s="121"/>
      <c r="AE548" s="121"/>
      <c r="AF548" s="121"/>
      <c r="AG548" s="121"/>
      <c r="AH548" s="121"/>
      <c r="AI548" s="121"/>
      <c r="AJ548" s="121"/>
      <c r="AK548" s="121"/>
      <c r="AL548" s="121"/>
    </row>
    <row r="549" spans="1:38" s="115" customFormat="1">
      <c r="A549" s="555"/>
      <c r="B549" s="217"/>
      <c r="C549" s="217"/>
      <c r="D549" s="101"/>
      <c r="E549" s="217"/>
      <c r="F549" s="294"/>
      <c r="G549" s="146"/>
      <c r="H549" s="98"/>
      <c r="I549" s="106"/>
      <c r="J549" s="106"/>
      <c r="K549" s="106"/>
      <c r="L549" s="106"/>
      <c r="M549" s="106"/>
      <c r="N549" s="112"/>
      <c r="O549" s="112"/>
      <c r="P549" s="112"/>
      <c r="Q549" s="113"/>
      <c r="R549" s="113"/>
      <c r="S549" s="113"/>
      <c r="T549" s="113"/>
      <c r="U549" s="113"/>
      <c r="V549" s="113"/>
      <c r="W549" s="102"/>
      <c r="X549" s="103" t="str">
        <f t="shared" si="462"/>
        <v/>
      </c>
      <c r="Y549" s="271"/>
      <c r="Z549" s="121"/>
      <c r="AA549" s="121"/>
      <c r="AB549" s="121"/>
      <c r="AC549" s="121"/>
      <c r="AD549" s="121"/>
      <c r="AE549" s="121"/>
      <c r="AF549" s="121"/>
      <c r="AG549" s="121"/>
      <c r="AH549" s="121"/>
      <c r="AI549" s="121"/>
      <c r="AJ549" s="121"/>
      <c r="AK549" s="121"/>
      <c r="AL549" s="121"/>
    </row>
    <row r="550" spans="1:38" s="115" customFormat="1" ht="14.4" thickBot="1">
      <c r="A550" s="555"/>
      <c r="B550" s="217"/>
      <c r="C550" s="217"/>
      <c r="D550" s="101"/>
      <c r="E550" s="217"/>
      <c r="F550" s="294"/>
      <c r="G550" s="146"/>
      <c r="H550" s="98"/>
      <c r="I550" s="106"/>
      <c r="J550" s="106"/>
      <c r="K550" s="106"/>
      <c r="L550" s="106"/>
      <c r="M550" s="106"/>
      <c r="N550" s="112"/>
      <c r="O550" s="112"/>
      <c r="P550" s="112"/>
      <c r="Q550" s="113"/>
      <c r="R550" s="113"/>
      <c r="S550" s="113"/>
      <c r="T550" s="113"/>
      <c r="U550" s="113"/>
      <c r="V550" s="113"/>
      <c r="W550" s="102"/>
      <c r="X550" s="103"/>
      <c r="Y550" s="271"/>
      <c r="Z550" s="121"/>
      <c r="AA550" s="121"/>
      <c r="AB550" s="121"/>
      <c r="AC550" s="121"/>
      <c r="AD550" s="121"/>
      <c r="AE550" s="121"/>
      <c r="AF550" s="121"/>
      <c r="AG550" s="121"/>
      <c r="AH550" s="121"/>
      <c r="AI550" s="121"/>
      <c r="AJ550" s="121"/>
      <c r="AK550" s="121"/>
      <c r="AL550" s="121"/>
    </row>
    <row r="551" spans="1:38" s="115" customFormat="1" ht="15.75" customHeight="1" thickBot="1">
      <c r="A551" s="555"/>
      <c r="B551" s="217"/>
      <c r="C551" s="217"/>
      <c r="D551" s="101"/>
      <c r="E551" s="217"/>
      <c r="F551" s="294"/>
      <c r="G551" s="146"/>
      <c r="H551" s="668" t="s">
        <v>639</v>
      </c>
      <c r="I551" s="669"/>
      <c r="J551" s="669"/>
      <c r="K551" s="669"/>
      <c r="L551" s="669"/>
      <c r="M551" s="669"/>
      <c r="N551" s="669"/>
      <c r="O551" s="669"/>
      <c r="P551" s="669"/>
      <c r="Q551" s="669"/>
      <c r="R551" s="669"/>
      <c r="S551" s="669"/>
      <c r="T551" s="670"/>
      <c r="U551" s="247"/>
      <c r="V551" s="261"/>
      <c r="W551" s="102"/>
      <c r="X551" s="103" t="str">
        <f t="shared" ref="X551:X584" si="504">IF(Q551="","",IF(T551=SUM(Q551:S551),"OK","NO"))</f>
        <v/>
      </c>
      <c r="Y551" s="271"/>
      <c r="Z551" s="121"/>
      <c r="AA551" s="121"/>
      <c r="AB551" s="121"/>
      <c r="AC551" s="121"/>
      <c r="AD551" s="121"/>
      <c r="AE551" s="121"/>
      <c r="AF551" s="121"/>
      <c r="AG551" s="121"/>
      <c r="AH551" s="121"/>
      <c r="AI551" s="121"/>
      <c r="AJ551" s="121"/>
      <c r="AK551" s="121"/>
      <c r="AL551" s="121"/>
    </row>
    <row r="552" spans="1:38" s="115" customFormat="1" ht="15.75" customHeight="1">
      <c r="A552" s="555"/>
      <c r="B552" s="217"/>
      <c r="C552" s="217"/>
      <c r="D552" s="101"/>
      <c r="E552" s="217"/>
      <c r="F552" s="294"/>
      <c r="G552" s="146"/>
      <c r="H552" s="225"/>
      <c r="I552" s="225"/>
      <c r="J552" s="225"/>
      <c r="K552" s="225"/>
      <c r="L552" s="225"/>
      <c r="M552" s="225"/>
      <c r="N552" s="225"/>
      <c r="O552" s="225"/>
      <c r="P552" s="225"/>
      <c r="Q552" s="225"/>
      <c r="R552" s="225"/>
      <c r="S552" s="225"/>
      <c r="T552" s="225"/>
      <c r="U552" s="225"/>
      <c r="V552" s="260"/>
      <c r="W552" s="102"/>
      <c r="X552" s="103" t="str">
        <f t="shared" si="504"/>
        <v/>
      </c>
      <c r="Y552" s="271"/>
      <c r="Z552" s="121"/>
      <c r="AA552" s="121"/>
      <c r="AB552" s="121"/>
      <c r="AC552" s="121"/>
      <c r="AD552" s="121"/>
      <c r="AE552" s="121"/>
      <c r="AF552" s="121"/>
      <c r="AG552" s="121"/>
      <c r="AH552" s="121"/>
      <c r="AI552" s="121"/>
      <c r="AJ552" s="121"/>
      <c r="AK552" s="121"/>
      <c r="AL552" s="121"/>
    </row>
    <row r="553" spans="1:38" s="115" customFormat="1" ht="15.75" customHeight="1">
      <c r="A553" s="555"/>
      <c r="B553" s="217"/>
      <c r="C553" s="217"/>
      <c r="D553" s="101"/>
      <c r="E553" s="217"/>
      <c r="F553" s="294"/>
      <c r="G553" s="146"/>
      <c r="H553" s="98"/>
      <c r="I553" s="106"/>
      <c r="J553" s="106"/>
      <c r="K553" s="106"/>
      <c r="L553" s="106"/>
      <c r="M553" s="106"/>
      <c r="N553" s="112"/>
      <c r="O553" s="112"/>
      <c r="P553" s="112"/>
      <c r="Q553" s="113"/>
      <c r="R553" s="113"/>
      <c r="S553" s="113"/>
      <c r="T553" s="113"/>
      <c r="U553" s="113"/>
      <c r="V553" s="113"/>
      <c r="W553" s="102"/>
      <c r="X553" s="103" t="str">
        <f t="shared" si="504"/>
        <v/>
      </c>
      <c r="Y553" s="271"/>
      <c r="Z553" s="121"/>
      <c r="AA553" s="121"/>
      <c r="AB553" s="121"/>
      <c r="AC553" s="121"/>
      <c r="AD553" s="121"/>
      <c r="AE553" s="121"/>
      <c r="AF553" s="121"/>
      <c r="AG553" s="121"/>
      <c r="AH553" s="121"/>
      <c r="AI553" s="121"/>
      <c r="AJ553" s="121"/>
      <c r="AK553" s="121"/>
      <c r="AL553" s="121"/>
    </row>
    <row r="554" spans="1:38" s="115" customFormat="1">
      <c r="A554" s="555" t="s">
        <v>3447</v>
      </c>
      <c r="B554" s="217" t="str">
        <f t="shared" si="447"/>
        <v>200</v>
      </c>
      <c r="C554" s="217" t="str">
        <f t="shared" si="448"/>
        <v>79</v>
      </c>
      <c r="D554" s="101" t="str">
        <f t="shared" si="449"/>
        <v>799</v>
      </c>
      <c r="E554" s="217" t="str">
        <f>LEFT(A554,6)</f>
        <v>200-79</v>
      </c>
      <c r="F554" s="294" t="str">
        <f t="shared" si="451"/>
        <v>51220</v>
      </c>
      <c r="G554" s="295" t="str">
        <f>VLOOKUP(F554,'GL Category'!A:C,3,FALSE)</f>
        <v>Operations &amp; maintenance</v>
      </c>
      <c r="H554" s="98" t="str">
        <f>VLOOKUP(F554,'GL Category'!A:C,2,FALSE)</f>
        <v>POSTAGE SUPPLIES</v>
      </c>
      <c r="I554" s="99">
        <f>SUMIF(Import!$B:$B,$A554,Import!D:D)</f>
        <v>7432.03</v>
      </c>
      <c r="J554" s="99">
        <f>SUMIF(Import!$B:$B,$A554,Import!E:E)</f>
        <v>7558.54</v>
      </c>
      <c r="K554" s="99">
        <f>SUMIF(Import!$B:$B,$A554,Import!F:F)</f>
        <v>10662.7</v>
      </c>
      <c r="L554" s="99">
        <f>SUMIF(Import!$B:$B,$A554,Import!G:G)</f>
        <v>10525</v>
      </c>
      <c r="M554" s="99">
        <f>SUMIF(Import!$B:$B,$A554,Import!H:H)</f>
        <v>11800</v>
      </c>
      <c r="N554" s="99">
        <f>SUMIF(Import!$B:$B,$A554,Import!I:I)</f>
        <v>10827.82</v>
      </c>
      <c r="O554" s="99">
        <f>SUMIF(Import!$B:$B,$A554,Import!J:J)</f>
        <v>11800</v>
      </c>
      <c r="P554" s="99">
        <f t="shared" ref="P554" si="505">O554-M554</f>
        <v>0</v>
      </c>
      <c r="Q554" s="99">
        <f>SUMIF(Import!$B:$B,$A554,Import!K:K)</f>
        <v>11800</v>
      </c>
      <c r="R554" s="99">
        <f>SUMIF(Import!$B:$B,$A554,Import!L:L)</f>
        <v>0</v>
      </c>
      <c r="S554" s="99">
        <f>SUMIF(Import!$B:$B,$A554,Import!M:M)</f>
        <v>0</v>
      </c>
      <c r="T554" s="99">
        <f>SUMIF(Import!$B:$B,$A554,Import!N:N)</f>
        <v>11800</v>
      </c>
      <c r="U554" s="99">
        <f t="shared" ref="U554" si="506">T554-M554</f>
        <v>0</v>
      </c>
      <c r="V554" s="255">
        <f t="shared" ref="V554" si="507">IF(M554=0,"N/A",T554/M554-1)</f>
        <v>0</v>
      </c>
      <c r="W554" s="102" t="s">
        <v>1465</v>
      </c>
      <c r="X554" s="103" t="str">
        <f t="shared" si="504"/>
        <v>OK</v>
      </c>
      <c r="Y554" s="271"/>
      <c r="Z554" s="121"/>
      <c r="AA554" s="121"/>
      <c r="AB554" s="121"/>
      <c r="AC554" s="121"/>
      <c r="AD554" s="121"/>
      <c r="AE554" s="121"/>
      <c r="AF554" s="121"/>
      <c r="AG554" s="121"/>
      <c r="AH554" s="121"/>
      <c r="AI554" s="121"/>
      <c r="AJ554" s="121"/>
      <c r="AK554" s="121"/>
      <c r="AL554" s="121"/>
    </row>
    <row r="555" spans="1:38" s="115" customFormat="1" ht="15.75" customHeight="1">
      <c r="A555" s="555"/>
      <c r="B555" s="217"/>
      <c r="C555" s="217"/>
      <c r="D555" s="101"/>
      <c r="E555" s="217"/>
      <c r="F555" s="294"/>
      <c r="G555" s="146"/>
      <c r="H555" s="107" t="str">
        <f>UPPER(G554)&amp;" TOTAL"</f>
        <v>OPERATIONS &amp; MAINTENANCE TOTAL</v>
      </c>
      <c r="I555" s="108">
        <f t="shared" ref="I555" si="508">SUBTOTAL(9,I554:I554)</f>
        <v>7432.03</v>
      </c>
      <c r="J555" s="108">
        <f t="shared" ref="J555:P555" si="509">SUBTOTAL(9,J554:J554)</f>
        <v>7558.54</v>
      </c>
      <c r="K555" s="108">
        <f t="shared" ref="K555" si="510">SUBTOTAL(9,K554:K554)</f>
        <v>10662.7</v>
      </c>
      <c r="L555" s="108">
        <f t="shared" ref="L555" si="511">SUBTOTAL(9,L554:L554)</f>
        <v>10525</v>
      </c>
      <c r="M555" s="108">
        <f t="shared" si="509"/>
        <v>11800</v>
      </c>
      <c r="N555" s="109">
        <f t="shared" ref="N555" si="512">SUBTOTAL(9,N554:N554)</f>
        <v>10827.82</v>
      </c>
      <c r="O555" s="109">
        <f t="shared" si="509"/>
        <v>11800</v>
      </c>
      <c r="P555" s="109">
        <f t="shared" si="509"/>
        <v>0</v>
      </c>
      <c r="Q555" s="109">
        <f t="shared" ref="Q555:T555" si="513">SUBTOTAL(9,Q554:Q554)</f>
        <v>11800</v>
      </c>
      <c r="R555" s="109">
        <f t="shared" si="513"/>
        <v>0</v>
      </c>
      <c r="S555" s="109">
        <f t="shared" si="513"/>
        <v>0</v>
      </c>
      <c r="T555" s="109">
        <f t="shared" si="513"/>
        <v>11800</v>
      </c>
      <c r="U555" s="99">
        <f>T555-M555</f>
        <v>0</v>
      </c>
      <c r="V555" s="259">
        <f>IF(M555=0,"N/A",T555/M555-1)</f>
        <v>0</v>
      </c>
      <c r="W555" s="102"/>
      <c r="X555" s="103" t="str">
        <f t="shared" si="504"/>
        <v>OK</v>
      </c>
      <c r="Y555" s="271"/>
      <c r="Z555" s="121"/>
      <c r="AA555" s="121"/>
      <c r="AB555" s="121"/>
      <c r="AC555" s="121"/>
      <c r="AD555" s="121"/>
      <c r="AE555" s="121"/>
      <c r="AF555" s="121"/>
      <c r="AG555" s="121"/>
      <c r="AH555" s="121"/>
      <c r="AI555" s="121"/>
      <c r="AJ555" s="121"/>
      <c r="AK555" s="121"/>
      <c r="AL555" s="121"/>
    </row>
    <row r="556" spans="1:38" s="115" customFormat="1" ht="15.75" customHeight="1">
      <c r="A556" s="555"/>
      <c r="B556" s="217"/>
      <c r="C556" s="217"/>
      <c r="D556" s="101"/>
      <c r="E556" s="217"/>
      <c r="F556" s="294"/>
      <c r="G556" s="146"/>
      <c r="H556" s="98"/>
      <c r="I556" s="106"/>
      <c r="J556" s="106"/>
      <c r="K556" s="106"/>
      <c r="L556" s="106"/>
      <c r="M556" s="106"/>
      <c r="N556" s="112"/>
      <c r="O556" s="112"/>
      <c r="P556" s="112"/>
      <c r="Q556" s="113"/>
      <c r="R556" s="113"/>
      <c r="S556" s="113"/>
      <c r="T556" s="113"/>
      <c r="U556" s="113"/>
      <c r="V556" s="113"/>
      <c r="W556" s="102"/>
      <c r="X556" s="103" t="str">
        <f t="shared" si="504"/>
        <v/>
      </c>
      <c r="Y556" s="271"/>
      <c r="Z556" s="121"/>
      <c r="AA556" s="121"/>
      <c r="AB556" s="121"/>
      <c r="AC556" s="121"/>
      <c r="AD556" s="121"/>
      <c r="AE556" s="121"/>
      <c r="AF556" s="121"/>
      <c r="AG556" s="121"/>
      <c r="AH556" s="121"/>
      <c r="AI556" s="121"/>
      <c r="AJ556" s="121"/>
      <c r="AK556" s="121"/>
      <c r="AL556" s="121"/>
    </row>
    <row r="557" spans="1:38" s="115" customFormat="1" ht="15.75" customHeight="1">
      <c r="A557" s="555" t="s">
        <v>1466</v>
      </c>
      <c r="B557" s="217" t="str">
        <f t="shared" ref="B557:B580" si="514">LEFT(A557,3)</f>
        <v>200</v>
      </c>
      <c r="C557" s="217" t="str">
        <f t="shared" ref="C557:C580" si="515">MID(A557,5,2)</f>
        <v>79</v>
      </c>
      <c r="D557" s="101" t="str">
        <f t="shared" ref="D557:D580" si="516">MID(A557,8,3)</f>
        <v>792</v>
      </c>
      <c r="E557" s="217" t="str">
        <f t="shared" ref="E557:E567" si="517">LEFT(A557,6)</f>
        <v>200-79</v>
      </c>
      <c r="F557" s="294" t="str">
        <f t="shared" ref="F557:F580" si="518">RIGHT(A557,5)</f>
        <v>53599</v>
      </c>
      <c r="G557" s="295" t="str">
        <f>VLOOKUP(F557,'GL Category'!A:C,3,FALSE)</f>
        <v>Services &amp; other</v>
      </c>
      <c r="H557" s="98" t="str">
        <f>VLOOKUP(F557,'GL Category'!A:C,2,FALSE)</f>
        <v>MISCELLANEOUS SERVICES</v>
      </c>
      <c r="I557" s="99">
        <f>SUMIF(Import!$B:$B,$A557,Import!D:D)</f>
        <v>0</v>
      </c>
      <c r="J557" s="99">
        <f>SUMIF(Import!$B:$B,$A557,Import!E:E)</f>
        <v>0</v>
      </c>
      <c r="K557" s="99">
        <f>SUMIF(Import!$B:$B,$A557,Import!F:F)</f>
        <v>0</v>
      </c>
      <c r="L557" s="99">
        <f>SUMIF(Import!$B:$B,$A557,Import!G:G)</f>
        <v>0</v>
      </c>
      <c r="M557" s="99">
        <f>SUMIF(Import!$B:$B,$A557,Import!H:H)</f>
        <v>1850</v>
      </c>
      <c r="N557" s="99">
        <f>SUMIF(Import!$B:$B,$A557,Import!I:I)</f>
        <v>0</v>
      </c>
      <c r="O557" s="99">
        <f>SUMIF(Import!$B:$B,$A557,Import!J:J)</f>
        <v>1850</v>
      </c>
      <c r="P557" s="99">
        <f t="shared" ref="P557:P567" si="519">O557-M557</f>
        <v>0</v>
      </c>
      <c r="Q557" s="99">
        <f>SUMIF(Import!$B:$B,$A557,Import!K:K)</f>
        <v>1850</v>
      </c>
      <c r="R557" s="99">
        <f>SUMIF(Import!$B:$B,$A557,Import!L:L)</f>
        <v>0</v>
      </c>
      <c r="S557" s="99">
        <f>SUMIF(Import!$B:$B,$A557,Import!M:M)</f>
        <v>0</v>
      </c>
      <c r="T557" s="99">
        <f>SUMIF(Import!$B:$B,$A557,Import!N:N)</f>
        <v>1850</v>
      </c>
      <c r="U557" s="99">
        <f t="shared" ref="U557:U567" si="520">T557-M557</f>
        <v>0</v>
      </c>
      <c r="V557" s="255">
        <f t="shared" ref="V557:V567" si="521">IF(M557=0,"N/A",T557/M557-1)</f>
        <v>0</v>
      </c>
      <c r="W557" s="102" t="s">
        <v>1466</v>
      </c>
      <c r="X557" s="103" t="str">
        <f t="shared" si="504"/>
        <v>OK</v>
      </c>
      <c r="Y557" s="271"/>
      <c r="Z557" s="121"/>
      <c r="AA557" s="121"/>
      <c r="AB557" s="121"/>
      <c r="AC557" s="121"/>
      <c r="AD557" s="121"/>
      <c r="AE557" s="121"/>
      <c r="AF557" s="121"/>
      <c r="AG557" s="121"/>
      <c r="AH557" s="121"/>
      <c r="AI557" s="121"/>
      <c r="AJ557" s="121"/>
      <c r="AK557" s="121"/>
      <c r="AL557" s="121"/>
    </row>
    <row r="558" spans="1:38" s="115" customFormat="1" ht="15.75" customHeight="1">
      <c r="A558" s="555" t="s">
        <v>3135</v>
      </c>
      <c r="B558" s="217" t="str">
        <f t="shared" si="514"/>
        <v>200</v>
      </c>
      <c r="C558" s="217" t="str">
        <f t="shared" si="515"/>
        <v>79</v>
      </c>
      <c r="D558" s="101" t="str">
        <f t="shared" si="516"/>
        <v>799</v>
      </c>
      <c r="E558" s="217" t="str">
        <f t="shared" si="517"/>
        <v>200-79</v>
      </c>
      <c r="F558" s="294" t="str">
        <f t="shared" si="518"/>
        <v>53507</v>
      </c>
      <c r="G558" s="295" t="str">
        <f>VLOOKUP(F558,'GL Category'!A:C,3,FALSE)</f>
        <v>Services &amp; other</v>
      </c>
      <c r="H558" s="98" t="str">
        <f>VLOOKUP(F558,'GL Category'!A:C,2,FALSE)</f>
        <v>ATTORNEY &amp; LEGAL SERVICES</v>
      </c>
      <c r="I558" s="99">
        <f>SUMIF(Import!$B:$B,$A558,Import!D:D)</f>
        <v>1640</v>
      </c>
      <c r="J558" s="99">
        <f>SUMIF(Import!$B:$B,$A558,Import!E:E)</f>
        <v>850</v>
      </c>
      <c r="K558" s="99">
        <f>SUMIF(Import!$B:$B,$A558,Import!F:F)</f>
        <v>0</v>
      </c>
      <c r="L558" s="99">
        <f>SUMIF(Import!$B:$B,$A558,Import!G:G)</f>
        <v>0</v>
      </c>
      <c r="M558" s="99">
        <f>SUMIF(Import!$B:$B,$A558,Import!H:H)</f>
        <v>12500</v>
      </c>
      <c r="N558" s="99">
        <f>SUMIF(Import!$B:$B,$A558,Import!I:I)</f>
        <v>0</v>
      </c>
      <c r="O558" s="99">
        <f>SUMIF(Import!$B:$B,$A558,Import!J:J)</f>
        <v>12500</v>
      </c>
      <c r="P558" s="99">
        <f t="shared" si="519"/>
        <v>0</v>
      </c>
      <c r="Q558" s="99">
        <f>SUMIF(Import!$B:$B,$A558,Import!K:K)</f>
        <v>10000</v>
      </c>
      <c r="R558" s="99">
        <f>SUMIF(Import!$B:$B,$A558,Import!L:L)</f>
        <v>0</v>
      </c>
      <c r="S558" s="99">
        <f>SUMIF(Import!$B:$B,$A558,Import!M:M)</f>
        <v>0</v>
      </c>
      <c r="T558" s="99">
        <f>SUMIF(Import!$B:$B,$A558,Import!N:N)</f>
        <v>10000</v>
      </c>
      <c r="U558" s="99">
        <f t="shared" si="520"/>
        <v>-2500</v>
      </c>
      <c r="V558" s="255">
        <f t="shared" si="521"/>
        <v>-0.19999999999999996</v>
      </c>
      <c r="W558" s="102" t="e">
        <v>#N/A</v>
      </c>
      <c r="X558" s="103" t="str">
        <f t="shared" si="504"/>
        <v>OK</v>
      </c>
      <c r="Y558" s="271"/>
      <c r="Z558" s="121"/>
      <c r="AA558" s="121"/>
      <c r="AB558" s="121"/>
      <c r="AC558" s="121"/>
      <c r="AD558" s="121"/>
      <c r="AE558" s="121"/>
      <c r="AF558" s="121"/>
      <c r="AG558" s="121"/>
      <c r="AH558" s="121"/>
      <c r="AI558" s="121"/>
      <c r="AJ558" s="121"/>
      <c r="AK558" s="121"/>
      <c r="AL558" s="121"/>
    </row>
    <row r="559" spans="1:38" s="115" customFormat="1" ht="15.75" customHeight="1">
      <c r="A559" s="555" t="s">
        <v>1467</v>
      </c>
      <c r="B559" s="217" t="str">
        <f t="shared" si="514"/>
        <v>200</v>
      </c>
      <c r="C559" s="217" t="str">
        <f t="shared" si="515"/>
        <v>79</v>
      </c>
      <c r="D559" s="101" t="str">
        <f t="shared" si="516"/>
        <v>799</v>
      </c>
      <c r="E559" s="217" t="str">
        <f t="shared" si="517"/>
        <v>200-79</v>
      </c>
      <c r="F559" s="294" t="str">
        <f t="shared" si="518"/>
        <v>53599</v>
      </c>
      <c r="G559" s="295" t="str">
        <f>VLOOKUP(F559,'GL Category'!A:C,3,FALSE)</f>
        <v>Services &amp; other</v>
      </c>
      <c r="H559" s="590" t="str">
        <f>VLOOKUP(F559,'GL Category'!A:C,2,FALSE)</f>
        <v>MISCELLANEOUS SERVICES</v>
      </c>
      <c r="I559" s="561">
        <f>SUMIF(Import!$B:$B,$A559,Import!D:D)</f>
        <v>44079.29</v>
      </c>
      <c r="J559" s="561">
        <f>SUMIF(Import!$B:$B,$A559,Import!E:E)</f>
        <v>35289.699999999997</v>
      </c>
      <c r="K559" s="561">
        <f>SUMIF(Import!$B:$B,$A559,Import!F:F)</f>
        <v>33427.14</v>
      </c>
      <c r="L559" s="561">
        <f>SUMIF(Import!$B:$B,$A559,Import!G:G)</f>
        <v>73367.12</v>
      </c>
      <c r="M559" s="561">
        <f>SUMIF(Import!$B:$B,$A559,Import!H:H)</f>
        <v>71080</v>
      </c>
      <c r="N559" s="561">
        <f>SUMIF(Import!$B:$B,$A559,Import!I:I)</f>
        <v>67088.490000000005</v>
      </c>
      <c r="O559" s="561">
        <f>SUMIF(Import!$B:$B,$A559,Import!J:J)</f>
        <v>71080</v>
      </c>
      <c r="P559" s="561">
        <f t="shared" si="519"/>
        <v>0</v>
      </c>
      <c r="Q559" s="561">
        <f>SUMIF(Import!$B:$B,$A559,Import!K:K)</f>
        <v>71080</v>
      </c>
      <c r="R559" s="561">
        <f>SUMIF(Import!$B:$B,$A559,Import!L:L)</f>
        <v>0</v>
      </c>
      <c r="S559" s="561">
        <f>SUMIF(Import!$B:$B,$A559,Import!M:M)</f>
        <v>0</v>
      </c>
      <c r="T559" s="561">
        <f>SUMIF(Import!$B:$B,$A559,Import!N:N)</f>
        <v>71080</v>
      </c>
      <c r="U559" s="561">
        <f t="shared" si="520"/>
        <v>0</v>
      </c>
      <c r="V559" s="255">
        <f t="shared" si="521"/>
        <v>0</v>
      </c>
      <c r="W559" s="102" t="s">
        <v>1467</v>
      </c>
      <c r="X559" s="103" t="str">
        <f t="shared" si="504"/>
        <v>OK</v>
      </c>
      <c r="Y559" s="271"/>
      <c r="Z559" s="121"/>
      <c r="AA559" s="121"/>
      <c r="AB559" s="121"/>
      <c r="AC559" s="121"/>
      <c r="AD559" s="121"/>
      <c r="AE559" s="121"/>
      <c r="AF559" s="121"/>
      <c r="AG559" s="121"/>
      <c r="AH559" s="121"/>
      <c r="AI559" s="121"/>
      <c r="AJ559" s="121"/>
      <c r="AK559" s="121"/>
      <c r="AL559" s="121"/>
    </row>
    <row r="560" spans="1:38" s="115" customFormat="1" ht="15.75" customHeight="1">
      <c r="A560" s="555" t="s">
        <v>1468</v>
      </c>
      <c r="B560" s="217" t="str">
        <f t="shared" si="514"/>
        <v>200</v>
      </c>
      <c r="C560" s="217" t="str">
        <f t="shared" si="515"/>
        <v>79</v>
      </c>
      <c r="D560" s="101" t="str">
        <f t="shared" si="516"/>
        <v>799</v>
      </c>
      <c r="E560" s="217" t="str">
        <f t="shared" si="517"/>
        <v>200-79</v>
      </c>
      <c r="F560" s="294" t="str">
        <f t="shared" si="518"/>
        <v>53524</v>
      </c>
      <c r="G560" s="295" t="str">
        <f>VLOOKUP(F560,'GL Category'!A:C,3,FALSE)</f>
        <v>Services &amp; other</v>
      </c>
      <c r="H560" s="98" t="str">
        <f>VLOOKUP(F560,'GL Category'!A:C,2,FALSE)</f>
        <v>EQUIPMENT RENTAL</v>
      </c>
      <c r="I560" s="99">
        <f>SUMIF(Import!$B:$B,$A560,Import!D:D)</f>
        <v>4828.9399999999996</v>
      </c>
      <c r="J560" s="99">
        <f>SUMIF(Import!$B:$B,$A560,Import!E:E)</f>
        <v>4998.5</v>
      </c>
      <c r="K560" s="99">
        <f>SUMIF(Import!$B:$B,$A560,Import!F:F)</f>
        <v>4828.9399999999996</v>
      </c>
      <c r="L560" s="99">
        <f>SUMIF(Import!$B:$B,$A560,Import!G:G)</f>
        <v>4828.9399999999996</v>
      </c>
      <c r="M560" s="99">
        <f>SUMIF(Import!$B:$B,$A560,Import!H:H)</f>
        <v>5376</v>
      </c>
      <c r="N560" s="99">
        <f>SUMIF(Import!$B:$B,$A560,Import!I:I)</f>
        <v>4078.95</v>
      </c>
      <c r="O560" s="99">
        <f>SUMIF(Import!$B:$B,$A560,Import!J:J)</f>
        <v>5376</v>
      </c>
      <c r="P560" s="99">
        <f t="shared" si="519"/>
        <v>0</v>
      </c>
      <c r="Q560" s="99">
        <f>SUMIF(Import!$B:$B,$A560,Import!K:K)</f>
        <v>5376</v>
      </c>
      <c r="R560" s="99">
        <f>SUMIF(Import!$B:$B,$A560,Import!L:L)</f>
        <v>0</v>
      </c>
      <c r="S560" s="99">
        <f>SUMIF(Import!$B:$B,$A560,Import!M:M)</f>
        <v>0</v>
      </c>
      <c r="T560" s="99">
        <f>SUMIF(Import!$B:$B,$A560,Import!N:N)</f>
        <v>5376</v>
      </c>
      <c r="U560" s="99">
        <f t="shared" si="520"/>
        <v>0</v>
      </c>
      <c r="V560" s="255">
        <f t="shared" si="521"/>
        <v>0</v>
      </c>
      <c r="W560" s="102" t="s">
        <v>1468</v>
      </c>
      <c r="X560" s="103" t="str">
        <f t="shared" si="504"/>
        <v>OK</v>
      </c>
      <c r="Y560" s="271"/>
      <c r="Z560" s="121"/>
      <c r="AA560" s="121"/>
      <c r="AB560" s="121"/>
      <c r="AC560" s="121"/>
      <c r="AD560" s="121"/>
      <c r="AE560" s="121"/>
      <c r="AF560" s="121"/>
      <c r="AG560" s="121"/>
      <c r="AH560" s="121"/>
      <c r="AI560" s="121"/>
      <c r="AJ560" s="121"/>
      <c r="AK560" s="121"/>
      <c r="AL560" s="121"/>
    </row>
    <row r="561" spans="1:38" s="115" customFormat="1" ht="15.75" customHeight="1">
      <c r="A561" s="555" t="s">
        <v>1469</v>
      </c>
      <c r="B561" s="217" t="str">
        <f t="shared" si="514"/>
        <v>200</v>
      </c>
      <c r="C561" s="217" t="str">
        <f t="shared" si="515"/>
        <v>79</v>
      </c>
      <c r="D561" s="101" t="str">
        <f t="shared" si="516"/>
        <v>799</v>
      </c>
      <c r="E561" s="217" t="str">
        <f t="shared" si="517"/>
        <v>200-79</v>
      </c>
      <c r="F561" s="294" t="str">
        <f t="shared" si="518"/>
        <v>53550</v>
      </c>
      <c r="G561" s="295" t="str">
        <f>VLOOKUP(F561,'GL Category'!A:C,3,FALSE)</f>
        <v>Services &amp; other</v>
      </c>
      <c r="H561" s="98" t="str">
        <f>VLOOKUP(F561,'GL Category'!A:C,2,FALSE)</f>
        <v>BAD DEBT EXPENSE</v>
      </c>
      <c r="I561" s="99">
        <f>SUMIF(Import!$B:$B,$A561,Import!D:D)</f>
        <v>24085.38</v>
      </c>
      <c r="J561" s="99">
        <f>SUMIF(Import!$B:$B,$A561,Import!E:E)</f>
        <v>48308.959999999999</v>
      </c>
      <c r="K561" s="99">
        <f>SUMIF(Import!$B:$B,$A561,Import!F:F)</f>
        <v>50843.15</v>
      </c>
      <c r="L561" s="99">
        <f>SUMIF(Import!$B:$B,$A561,Import!G:G)</f>
        <v>-82917.02</v>
      </c>
      <c r="M561" s="99">
        <f>SUMIF(Import!$B:$B,$A561,Import!H:H)</f>
        <v>40000</v>
      </c>
      <c r="N561" s="99">
        <f>SUMIF(Import!$B:$B,$A561,Import!I:I)</f>
        <v>1248.24</v>
      </c>
      <c r="O561" s="99">
        <f>SUMIF(Import!$B:$B,$A561,Import!J:J)</f>
        <v>40000</v>
      </c>
      <c r="P561" s="99">
        <f t="shared" si="519"/>
        <v>0</v>
      </c>
      <c r="Q561" s="99">
        <f>SUMIF(Import!$B:$B,$A561,Import!K:K)</f>
        <v>40000</v>
      </c>
      <c r="R561" s="99">
        <f>SUMIF(Import!$B:$B,$A561,Import!L:L)</f>
        <v>0</v>
      </c>
      <c r="S561" s="99">
        <f>SUMIF(Import!$B:$B,$A561,Import!M:M)</f>
        <v>0</v>
      </c>
      <c r="T561" s="99">
        <f>SUMIF(Import!$B:$B,$A561,Import!N:N)</f>
        <v>40000</v>
      </c>
      <c r="U561" s="99">
        <f t="shared" si="520"/>
        <v>0</v>
      </c>
      <c r="V561" s="255">
        <f t="shared" si="521"/>
        <v>0</v>
      </c>
      <c r="W561" s="102" t="s">
        <v>1469</v>
      </c>
      <c r="X561" s="103" t="str">
        <f t="shared" si="504"/>
        <v>OK</v>
      </c>
      <c r="Y561" s="271"/>
      <c r="Z561" s="121"/>
      <c r="AA561" s="121"/>
      <c r="AB561" s="121"/>
      <c r="AC561" s="121"/>
      <c r="AD561" s="121"/>
      <c r="AE561" s="121"/>
      <c r="AF561" s="121"/>
      <c r="AG561" s="121"/>
      <c r="AH561" s="121"/>
      <c r="AI561" s="121"/>
      <c r="AJ561" s="121"/>
      <c r="AK561" s="121"/>
      <c r="AL561" s="121"/>
    </row>
    <row r="562" spans="1:38" s="115" customFormat="1" ht="15.75" customHeight="1">
      <c r="A562" s="555" t="s">
        <v>1470</v>
      </c>
      <c r="B562" s="217" t="str">
        <f t="shared" si="514"/>
        <v>200</v>
      </c>
      <c r="C562" s="217" t="str">
        <f t="shared" si="515"/>
        <v>79</v>
      </c>
      <c r="D562" s="101" t="str">
        <f t="shared" si="516"/>
        <v>799</v>
      </c>
      <c r="E562" s="217" t="str">
        <f t="shared" si="517"/>
        <v>200-79</v>
      </c>
      <c r="F562" s="294" t="str">
        <f t="shared" si="518"/>
        <v>53554</v>
      </c>
      <c r="G562" s="295" t="str">
        <f>VLOOKUP(F562,'GL Category'!A:C,3,FALSE)</f>
        <v>Services &amp; other</v>
      </c>
      <c r="H562" s="98" t="str">
        <f>VLOOKUP(F562,'GL Category'!A:C,2,FALSE)</f>
        <v>ADMINISTRATIVE SERVICES</v>
      </c>
      <c r="I562" s="99">
        <f>SUMIF(Import!$B:$B,$A562,Import!D:D)</f>
        <v>1451100</v>
      </c>
      <c r="J562" s="99">
        <f>SUMIF(Import!$B:$B,$A562,Import!E:E)</f>
        <v>1514010</v>
      </c>
      <c r="K562" s="99">
        <f>SUMIF(Import!$B:$B,$A562,Import!F:F)</f>
        <v>1574950</v>
      </c>
      <c r="L562" s="99">
        <f>SUMIF(Import!$B:$B,$A562,Import!G:G)</f>
        <v>1557180</v>
      </c>
      <c r="M562" s="99">
        <f>SUMIF(Import!$B:$B,$A562,Import!H:H)</f>
        <v>1638770</v>
      </c>
      <c r="N562" s="99">
        <f>SUMIF(Import!$B:$B,$A562,Import!I:I)</f>
        <v>1229077.5</v>
      </c>
      <c r="O562" s="99">
        <f>SUMIF(Import!$B:$B,$A562,Import!J:J)</f>
        <v>1638770</v>
      </c>
      <c r="P562" s="99">
        <f t="shared" si="519"/>
        <v>0</v>
      </c>
      <c r="Q562" s="99">
        <f>SUMIF(Import!$B:$B,$A562,Import!K:K)</f>
        <v>1870600</v>
      </c>
      <c r="R562" s="99">
        <f>SUMIF(Import!$B:$B,$A562,Import!L:L)</f>
        <v>0</v>
      </c>
      <c r="S562" s="99">
        <f>SUMIF(Import!$B:$B,$A562,Import!M:M)</f>
        <v>0</v>
      </c>
      <c r="T562" s="99">
        <f>SUMIF(Import!$B:$B,$A562,Import!N:N)</f>
        <v>1870600</v>
      </c>
      <c r="U562" s="99">
        <f t="shared" si="520"/>
        <v>231830</v>
      </c>
      <c r="V562" s="255">
        <f t="shared" si="521"/>
        <v>0.14146585548917789</v>
      </c>
      <c r="W562" s="102" t="s">
        <v>1470</v>
      </c>
      <c r="X562" s="103" t="str">
        <f t="shared" si="504"/>
        <v>OK</v>
      </c>
      <c r="Y562" s="271"/>
      <c r="Z562" s="121"/>
      <c r="AA562" s="121"/>
      <c r="AB562" s="121"/>
      <c r="AC562" s="121"/>
      <c r="AD562" s="121"/>
      <c r="AE562" s="121"/>
      <c r="AF562" s="121"/>
      <c r="AG562" s="121"/>
      <c r="AH562" s="121"/>
      <c r="AI562" s="121"/>
      <c r="AJ562" s="121"/>
      <c r="AK562" s="121"/>
      <c r="AL562" s="121"/>
    </row>
    <row r="563" spans="1:38" s="115" customFormat="1" ht="15.75" customHeight="1">
      <c r="A563" s="555" t="s">
        <v>1471</v>
      </c>
      <c r="B563" s="217" t="str">
        <f t="shared" si="514"/>
        <v>200</v>
      </c>
      <c r="C563" s="217" t="str">
        <f t="shared" si="515"/>
        <v>79</v>
      </c>
      <c r="D563" s="101" t="str">
        <f t="shared" si="516"/>
        <v>792</v>
      </c>
      <c r="E563" s="217" t="str">
        <f t="shared" si="517"/>
        <v>200-79</v>
      </c>
      <c r="F563" s="294" t="str">
        <f t="shared" si="518"/>
        <v>53556</v>
      </c>
      <c r="G563" s="295" t="e">
        <f>VLOOKUP(F563,'GL Category'!A:C,3,FALSE)</f>
        <v>#N/A</v>
      </c>
      <c r="H563" s="98" t="e">
        <f>VLOOKUP(F563,'GL Category'!A:C,2,FALSE)</f>
        <v>#N/A</v>
      </c>
      <c r="I563" s="99">
        <f>SUMIF(Import!$B:$B,$A563,Import!D:D)</f>
        <v>0</v>
      </c>
      <c r="J563" s="99">
        <f>SUMIF(Import!$B:$B,$A563,Import!E:E)</f>
        <v>0</v>
      </c>
      <c r="K563" s="99">
        <f>SUMIF(Import!$B:$B,$A563,Import!F:F)</f>
        <v>0</v>
      </c>
      <c r="L563" s="99">
        <f>SUMIF(Import!$B:$B,$A563,Import!G:G)</f>
        <v>0</v>
      </c>
      <c r="M563" s="99">
        <f>SUMIF(Import!$B:$B,$A563,Import!H:H)</f>
        <v>0</v>
      </c>
      <c r="N563" s="99">
        <f>SUMIF(Import!$B:$B,$A563,Import!I:I)</f>
        <v>0</v>
      </c>
      <c r="O563" s="99">
        <f>SUMIF(Import!$B:$B,$A563,Import!J:J)</f>
        <v>0</v>
      </c>
      <c r="P563" s="99">
        <f t="shared" si="519"/>
        <v>0</v>
      </c>
      <c r="Q563" s="99">
        <f>SUMIF(Import!$B:$B,$A563,Import!K:K)</f>
        <v>0</v>
      </c>
      <c r="R563" s="99">
        <f>SUMIF(Import!$B:$B,$A563,Import!L:L)</f>
        <v>0</v>
      </c>
      <c r="S563" s="99">
        <f>SUMIF(Import!$B:$B,$A563,Import!M:M)</f>
        <v>0</v>
      </c>
      <c r="T563" s="99">
        <f>SUMIF(Import!$B:$B,$A563,Import!N:N)</f>
        <v>0</v>
      </c>
      <c r="U563" s="99">
        <f t="shared" si="520"/>
        <v>0</v>
      </c>
      <c r="V563" s="255" t="str">
        <f t="shared" si="521"/>
        <v>N/A</v>
      </c>
      <c r="W563" s="102" t="s">
        <v>1471</v>
      </c>
      <c r="X563" s="103" t="str">
        <f t="shared" si="504"/>
        <v>OK</v>
      </c>
      <c r="Y563" s="271"/>
      <c r="Z563" s="121"/>
      <c r="AA563" s="121"/>
      <c r="AB563" s="121"/>
      <c r="AC563" s="121"/>
      <c r="AD563" s="121"/>
      <c r="AE563" s="121"/>
      <c r="AF563" s="121"/>
      <c r="AG563" s="121"/>
      <c r="AH563" s="121"/>
      <c r="AI563" s="121"/>
      <c r="AJ563" s="121"/>
      <c r="AK563" s="121"/>
      <c r="AL563" s="121"/>
    </row>
    <row r="564" spans="1:38" s="115" customFormat="1" ht="15.75" customHeight="1">
      <c r="A564" s="555" t="s">
        <v>1472</v>
      </c>
      <c r="B564" s="217" t="str">
        <f t="shared" si="514"/>
        <v>200</v>
      </c>
      <c r="C564" s="217" t="str">
        <f t="shared" si="515"/>
        <v>79</v>
      </c>
      <c r="D564" s="101" t="str">
        <f t="shared" si="516"/>
        <v>799</v>
      </c>
      <c r="E564" s="217" t="str">
        <f t="shared" si="517"/>
        <v>200-79</v>
      </c>
      <c r="F564" s="294" t="str">
        <f t="shared" si="518"/>
        <v>53560</v>
      </c>
      <c r="G564" s="295" t="str">
        <f>VLOOKUP(F564,'GL Category'!A:C,3,FALSE)</f>
        <v>Services &amp; other</v>
      </c>
      <c r="H564" s="98" t="str">
        <f>VLOOKUP(F564,'GL Category'!A:C,2,FALSE)</f>
        <v>GENERAL INSURANCE</v>
      </c>
      <c r="I564" s="99">
        <f>SUMIF(Import!$B:$B,$A564,Import!D:D)</f>
        <v>39418.29</v>
      </c>
      <c r="J564" s="99">
        <f>SUMIF(Import!$B:$B,$A564,Import!E:E)</f>
        <v>43263.62</v>
      </c>
      <c r="K564" s="99">
        <f>SUMIF(Import!$B:$B,$A564,Import!F:F)</f>
        <v>52565.26</v>
      </c>
      <c r="L564" s="99">
        <f>SUMIF(Import!$B:$B,$A564,Import!G:G)</f>
        <v>58889.41</v>
      </c>
      <c r="M564" s="99">
        <f>SUMIF(Import!$B:$B,$A564,Import!H:H)</f>
        <v>67060</v>
      </c>
      <c r="N564" s="99">
        <f>SUMIF(Import!$B:$B,$A564,Import!I:I)</f>
        <v>66186.28</v>
      </c>
      <c r="O564" s="99">
        <f>SUMIF(Import!$B:$B,$A564,Import!J:J)</f>
        <v>67060</v>
      </c>
      <c r="P564" s="99">
        <f t="shared" si="519"/>
        <v>0</v>
      </c>
      <c r="Q564" s="99">
        <f>SUMIF(Import!$B:$B,$A564,Import!K:K)</f>
        <v>67060</v>
      </c>
      <c r="R564" s="99">
        <f>SUMIF(Import!$B:$B,$A564,Import!L:L)</f>
        <v>0</v>
      </c>
      <c r="S564" s="99">
        <f>SUMIF(Import!$B:$B,$A564,Import!M:M)</f>
        <v>0</v>
      </c>
      <c r="T564" s="99">
        <f>SUMIF(Import!$B:$B,$A564,Import!N:N)</f>
        <v>67060</v>
      </c>
      <c r="U564" s="99">
        <f t="shared" si="520"/>
        <v>0</v>
      </c>
      <c r="V564" s="255">
        <f t="shared" si="521"/>
        <v>0</v>
      </c>
      <c r="W564" s="102" t="s">
        <v>1472</v>
      </c>
      <c r="X564" s="103" t="str">
        <f t="shared" si="504"/>
        <v>OK</v>
      </c>
      <c r="Y564" s="271"/>
      <c r="Z564" s="121"/>
      <c r="AA564" s="121"/>
      <c r="AB564" s="121"/>
      <c r="AC564" s="121"/>
      <c r="AD564" s="121"/>
      <c r="AE564" s="121"/>
      <c r="AF564" s="121"/>
      <c r="AG564" s="121"/>
      <c r="AH564" s="121"/>
      <c r="AI564" s="121"/>
      <c r="AJ564" s="121"/>
      <c r="AK564" s="121"/>
      <c r="AL564" s="121"/>
    </row>
    <row r="565" spans="1:38" s="115" customFormat="1" ht="15.75" customHeight="1">
      <c r="A565" s="555" t="s">
        <v>1473</v>
      </c>
      <c r="B565" s="217" t="str">
        <f t="shared" si="514"/>
        <v>200</v>
      </c>
      <c r="C565" s="217" t="str">
        <f t="shared" si="515"/>
        <v>79</v>
      </c>
      <c r="D565" s="101" t="str">
        <f t="shared" si="516"/>
        <v>799</v>
      </c>
      <c r="E565" s="217" t="str">
        <f t="shared" si="517"/>
        <v>200-79</v>
      </c>
      <c r="F565" s="294" t="str">
        <f t="shared" si="518"/>
        <v>53582</v>
      </c>
      <c r="G565" s="295" t="str">
        <f>VLOOKUP(F565,'GL Category'!A:C,3,FALSE)</f>
        <v>Services &amp; other</v>
      </c>
      <c r="H565" s="98" t="str">
        <f>VLOOKUP(F565,'GL Category'!A:C,2,FALSE)</f>
        <v>JUDGMENTS/CLAIMS/DAMAGES</v>
      </c>
      <c r="I565" s="99">
        <f>SUMIF(Import!$B:$B,$A565,Import!D:D)</f>
        <v>0</v>
      </c>
      <c r="J565" s="99">
        <f>SUMIF(Import!$B:$B,$A565,Import!E:E)</f>
        <v>0</v>
      </c>
      <c r="K565" s="99">
        <f>SUMIF(Import!$B:$B,$A565,Import!F:F)</f>
        <v>0</v>
      </c>
      <c r="L565" s="99">
        <f>SUMIF(Import!$B:$B,$A565,Import!G:G)</f>
        <v>0</v>
      </c>
      <c r="M565" s="99">
        <f>SUMIF(Import!$B:$B,$A565,Import!H:H)</f>
        <v>0</v>
      </c>
      <c r="N565" s="99">
        <f>SUMIF(Import!$B:$B,$A565,Import!I:I)</f>
        <v>0</v>
      </c>
      <c r="O565" s="99">
        <f>SUMIF(Import!$B:$B,$A565,Import!J:J)</f>
        <v>0</v>
      </c>
      <c r="P565" s="99">
        <f t="shared" si="519"/>
        <v>0</v>
      </c>
      <c r="Q565" s="99">
        <f>SUMIF(Import!$B:$B,$A565,Import!K:K)</f>
        <v>0</v>
      </c>
      <c r="R565" s="99">
        <f>SUMIF(Import!$B:$B,$A565,Import!L:L)</f>
        <v>0</v>
      </c>
      <c r="S565" s="99">
        <f>SUMIF(Import!$B:$B,$A565,Import!M:M)</f>
        <v>0</v>
      </c>
      <c r="T565" s="99">
        <f>SUMIF(Import!$B:$B,$A565,Import!N:N)</f>
        <v>0</v>
      </c>
      <c r="U565" s="99">
        <f t="shared" si="520"/>
        <v>0</v>
      </c>
      <c r="V565" s="255" t="str">
        <f t="shared" si="521"/>
        <v>N/A</v>
      </c>
      <c r="W565" s="102" t="s">
        <v>1473</v>
      </c>
      <c r="X565" s="103" t="str">
        <f t="shared" si="504"/>
        <v>OK</v>
      </c>
      <c r="Y565" s="271"/>
      <c r="Z565" s="121"/>
      <c r="AA565" s="121"/>
      <c r="AB565" s="121"/>
      <c r="AC565" s="121"/>
      <c r="AD565" s="121"/>
      <c r="AE565" s="121"/>
      <c r="AF565" s="121"/>
      <c r="AG565" s="121"/>
      <c r="AH565" s="121"/>
      <c r="AI565" s="121"/>
      <c r="AJ565" s="121"/>
      <c r="AK565" s="121"/>
      <c r="AL565" s="121"/>
    </row>
    <row r="566" spans="1:38" s="115" customFormat="1" ht="15.75" customHeight="1">
      <c r="A566" s="555" t="s">
        <v>1474</v>
      </c>
      <c r="B566" s="217" t="str">
        <f t="shared" si="514"/>
        <v>200</v>
      </c>
      <c r="C566" s="217" t="str">
        <f t="shared" si="515"/>
        <v>79</v>
      </c>
      <c r="D566" s="101" t="str">
        <f t="shared" si="516"/>
        <v>799</v>
      </c>
      <c r="E566" s="217" t="str">
        <f t="shared" si="517"/>
        <v>200-79</v>
      </c>
      <c r="F566" s="294" t="str">
        <f t="shared" si="518"/>
        <v>55119</v>
      </c>
      <c r="G566" s="295" t="str">
        <f>VLOOKUP(F566,'GL Category'!A:C,3,FALSE)</f>
        <v>Services &amp; other</v>
      </c>
      <c r="H566" s="98" t="str">
        <f>VLOOKUP(F566,'GL Category'!A:C,2,FALSE)</f>
        <v>OFFICE EQUIP LEASE EXP-CITY</v>
      </c>
      <c r="I566" s="99">
        <f>SUMIF(Import!$B:$B,$A566,Import!D:D)</f>
        <v>0</v>
      </c>
      <c r="J566" s="99">
        <f>SUMIF(Import!$B:$B,$A566,Import!E:E)</f>
        <v>0</v>
      </c>
      <c r="K566" s="99">
        <f>SUMIF(Import!$B:$B,$A566,Import!F:F)</f>
        <v>0</v>
      </c>
      <c r="L566" s="99">
        <f>SUMIF(Import!$B:$B,$A566,Import!G:G)</f>
        <v>0</v>
      </c>
      <c r="M566" s="99">
        <f>SUMIF(Import!$B:$B,$A566,Import!H:H)</f>
        <v>0</v>
      </c>
      <c r="N566" s="99">
        <f>SUMIF(Import!$B:$B,$A566,Import!I:I)</f>
        <v>0</v>
      </c>
      <c r="O566" s="99">
        <f>SUMIF(Import!$B:$B,$A566,Import!J:J)</f>
        <v>0</v>
      </c>
      <c r="P566" s="99">
        <f t="shared" si="519"/>
        <v>0</v>
      </c>
      <c r="Q566" s="99">
        <f>SUMIF(Import!$B:$B,$A566,Import!K:K)</f>
        <v>0</v>
      </c>
      <c r="R566" s="99">
        <f>SUMIF(Import!$B:$B,$A566,Import!L:L)</f>
        <v>0</v>
      </c>
      <c r="S566" s="99">
        <f>SUMIF(Import!$B:$B,$A566,Import!M:M)</f>
        <v>0</v>
      </c>
      <c r="T566" s="99">
        <f>SUMIF(Import!$B:$B,$A566,Import!N:N)</f>
        <v>0</v>
      </c>
      <c r="U566" s="99">
        <f t="shared" si="520"/>
        <v>0</v>
      </c>
      <c r="V566" s="255" t="str">
        <f t="shared" si="521"/>
        <v>N/A</v>
      </c>
      <c r="W566" s="102" t="s">
        <v>1474</v>
      </c>
      <c r="X566" s="103" t="str">
        <f t="shared" si="504"/>
        <v>OK</v>
      </c>
      <c r="Y566" s="271"/>
      <c r="Z566" s="121"/>
      <c r="AA566" s="121"/>
      <c r="AB566" s="121"/>
      <c r="AC566" s="121"/>
      <c r="AD566" s="121"/>
      <c r="AE566" s="121"/>
      <c r="AF566" s="121"/>
      <c r="AG566" s="121"/>
      <c r="AH566" s="121"/>
      <c r="AI566" s="121"/>
      <c r="AJ566" s="121"/>
      <c r="AK566" s="121"/>
      <c r="AL566" s="121"/>
    </row>
    <row r="567" spans="1:38" s="115" customFormat="1" ht="15.75" customHeight="1">
      <c r="A567" s="555" t="s">
        <v>1475</v>
      </c>
      <c r="B567" s="217" t="str">
        <f t="shared" si="514"/>
        <v>200</v>
      </c>
      <c r="C567" s="217" t="str">
        <f t="shared" si="515"/>
        <v>79</v>
      </c>
      <c r="D567" s="101" t="str">
        <f t="shared" si="516"/>
        <v>799</v>
      </c>
      <c r="E567" s="217" t="str">
        <f t="shared" si="517"/>
        <v>200-79</v>
      </c>
      <c r="F567" s="294" t="str">
        <f t="shared" si="518"/>
        <v>55370</v>
      </c>
      <c r="G567" s="295" t="str">
        <f>VLOOKUP(F567,'GL Category'!A:C,3,FALSE)</f>
        <v>Services &amp; other</v>
      </c>
      <c r="H567" s="98" t="str">
        <f>VLOOKUP(F567,'GL Category'!A:C,2,FALSE)</f>
        <v>FRANCHISE/IN-LIEU OF TAXES-W/WW</v>
      </c>
      <c r="I567" s="99">
        <f>SUMIF(Import!$B:$B,$A567,Import!D:D)</f>
        <v>1378039</v>
      </c>
      <c r="J567" s="99">
        <f>SUMIF(Import!$B:$B,$A567,Import!E:E)</f>
        <v>1369250</v>
      </c>
      <c r="K567" s="99">
        <f>SUMIF(Import!$B:$B,$A567,Import!F:F)</f>
        <v>1394585</v>
      </c>
      <c r="L567" s="99">
        <f>SUMIF(Import!$B:$B,$A567,Import!G:G)</f>
        <v>1380075</v>
      </c>
      <c r="M567" s="99">
        <f>SUMIF(Import!$B:$B,$A567,Import!H:H)</f>
        <v>1643681</v>
      </c>
      <c r="N567" s="99">
        <f>SUMIF(Import!$B:$B,$A567,Import!I:I)</f>
        <v>1232760.75</v>
      </c>
      <c r="O567" s="99">
        <f>SUMIF(Import!$B:$B,$A567,Import!J:J)</f>
        <v>1643681</v>
      </c>
      <c r="P567" s="99">
        <f t="shared" si="519"/>
        <v>0</v>
      </c>
      <c r="Q567" s="99">
        <f>SUMIF(Import!$B:$B,$A567,Import!K:K)</f>
        <v>1647281</v>
      </c>
      <c r="R567" s="99">
        <f>SUMIF(Import!$B:$B,$A567,Import!L:L)</f>
        <v>0</v>
      </c>
      <c r="S567" s="99">
        <f>SUMIF(Import!$B:$B,$A567,Import!M:M)</f>
        <v>0</v>
      </c>
      <c r="T567" s="99">
        <f>SUMIF(Import!$B:$B,$A567,Import!N:N)</f>
        <v>1647281</v>
      </c>
      <c r="U567" s="99">
        <f t="shared" si="520"/>
        <v>3600</v>
      </c>
      <c r="V567" s="255">
        <f t="shared" si="521"/>
        <v>2.190206007126605E-3</v>
      </c>
      <c r="W567" s="102" t="s">
        <v>1475</v>
      </c>
      <c r="X567" s="103" t="str">
        <f t="shared" si="504"/>
        <v>OK</v>
      </c>
      <c r="Y567" s="271"/>
      <c r="Z567" s="121"/>
      <c r="AA567" s="121"/>
      <c r="AB567" s="121"/>
      <c r="AC567" s="121"/>
      <c r="AD567" s="121"/>
      <c r="AE567" s="121"/>
      <c r="AF567" s="121"/>
      <c r="AG567" s="121"/>
      <c r="AH567" s="121"/>
      <c r="AI567" s="121"/>
      <c r="AJ567" s="121"/>
      <c r="AK567" s="121"/>
      <c r="AL567" s="121"/>
    </row>
    <row r="568" spans="1:38" s="115" customFormat="1" ht="15.75" customHeight="1">
      <c r="A568" s="555"/>
      <c r="B568" s="217"/>
      <c r="C568" s="217"/>
      <c r="D568" s="101"/>
      <c r="E568" s="217"/>
      <c r="F568" s="294"/>
      <c r="G568" s="146"/>
      <c r="H568" s="107" t="str">
        <f>UPPER(G567)&amp;" TOTAL"</f>
        <v>SERVICES &amp; OTHER TOTAL</v>
      </c>
      <c r="I568" s="108">
        <f t="shared" ref="I568" si="522">SUBTOTAL(9,I557:I567)</f>
        <v>2943190.9000000004</v>
      </c>
      <c r="J568" s="108">
        <f t="shared" ref="J568:P568" si="523">SUBTOTAL(9,J557:J567)</f>
        <v>3015970.7800000003</v>
      </c>
      <c r="K568" s="108">
        <f t="shared" ref="K568" si="524">SUBTOTAL(9,K557:K567)</f>
        <v>3111199.49</v>
      </c>
      <c r="L568" s="108">
        <f t="shared" ref="L568" si="525">SUBTOTAL(9,L557:L567)</f>
        <v>2991423.45</v>
      </c>
      <c r="M568" s="108">
        <f t="shared" si="523"/>
        <v>3480317</v>
      </c>
      <c r="N568" s="109">
        <f t="shared" ref="N568" si="526">SUBTOTAL(9,N557:N567)</f>
        <v>2600440.21</v>
      </c>
      <c r="O568" s="109">
        <f t="shared" si="523"/>
        <v>3480317</v>
      </c>
      <c r="P568" s="109">
        <f t="shared" si="523"/>
        <v>0</v>
      </c>
      <c r="Q568" s="109">
        <f t="shared" ref="Q568:T568" si="527">SUBTOTAL(9,Q557:Q567)</f>
        <v>3713247</v>
      </c>
      <c r="R568" s="109">
        <f t="shared" si="527"/>
        <v>0</v>
      </c>
      <c r="S568" s="109">
        <f t="shared" si="527"/>
        <v>0</v>
      </c>
      <c r="T568" s="109">
        <f t="shared" si="527"/>
        <v>3713247</v>
      </c>
      <c r="U568" s="99">
        <f>T568-M568</f>
        <v>232930</v>
      </c>
      <c r="V568" s="259">
        <f>IF(M568=0,"N/A",T568/M568-1)</f>
        <v>6.6927811460852471E-2</v>
      </c>
      <c r="W568" s="102"/>
      <c r="X568" s="103" t="str">
        <f t="shared" si="504"/>
        <v>OK</v>
      </c>
      <c r="Y568" s="271"/>
      <c r="Z568" s="121"/>
      <c r="AA568" s="121"/>
      <c r="AB568" s="121"/>
      <c r="AC568" s="121"/>
      <c r="AD568" s="121"/>
      <c r="AE568" s="121"/>
      <c r="AF568" s="121"/>
      <c r="AG568" s="121"/>
      <c r="AH568" s="121"/>
      <c r="AI568" s="121"/>
      <c r="AJ568" s="121"/>
      <c r="AK568" s="121"/>
      <c r="AL568" s="121"/>
    </row>
    <row r="569" spans="1:38" s="115" customFormat="1" ht="15.75" customHeight="1">
      <c r="A569" s="555"/>
      <c r="B569" s="217"/>
      <c r="C569" s="217"/>
      <c r="D569" s="101"/>
      <c r="E569" s="217"/>
      <c r="F569" s="294"/>
      <c r="G569" s="146"/>
      <c r="H569" s="98"/>
      <c r="I569" s="106"/>
      <c r="J569" s="106"/>
      <c r="K569" s="106"/>
      <c r="L569" s="106"/>
      <c r="M569" s="106"/>
      <c r="N569" s="112"/>
      <c r="O569" s="112"/>
      <c r="P569" s="112"/>
      <c r="Q569" s="113"/>
      <c r="R569" s="113"/>
      <c r="S569" s="113"/>
      <c r="T569" s="113"/>
      <c r="U569" s="113"/>
      <c r="V569" s="113"/>
      <c r="W569" s="102"/>
      <c r="X569" s="103" t="str">
        <f t="shared" si="504"/>
        <v/>
      </c>
      <c r="Y569" s="271"/>
      <c r="Z569" s="121"/>
      <c r="AA569" s="121"/>
      <c r="AB569" s="121"/>
      <c r="AC569" s="121"/>
      <c r="AD569" s="121"/>
      <c r="AE569" s="121"/>
      <c r="AF569" s="121"/>
      <c r="AG569" s="121"/>
      <c r="AH569" s="121"/>
      <c r="AI569" s="121"/>
      <c r="AJ569" s="121"/>
      <c r="AK569" s="121"/>
      <c r="AL569" s="121"/>
    </row>
    <row r="570" spans="1:38" s="115" customFormat="1" ht="15.75" customHeight="1">
      <c r="A570" s="555" t="s">
        <v>1476</v>
      </c>
      <c r="B570" s="217" t="str">
        <f t="shared" si="514"/>
        <v>200</v>
      </c>
      <c r="C570" s="217" t="str">
        <f t="shared" si="515"/>
        <v>79</v>
      </c>
      <c r="D570" s="101" t="str">
        <f t="shared" si="516"/>
        <v>792</v>
      </c>
      <c r="E570" s="217" t="str">
        <f t="shared" ref="E570:E574" si="528">LEFT(A570,6)</f>
        <v>200-79</v>
      </c>
      <c r="F570" s="294" t="str">
        <f t="shared" si="518"/>
        <v>56900</v>
      </c>
      <c r="G570" s="295" t="str">
        <f>VLOOKUP(F570,'GL Category'!A:C,3,FALSE)</f>
        <v>Debt Service</v>
      </c>
      <c r="H570" s="98" t="str">
        <f>VLOOKUP(F570,'GL Category'!A:C,2,FALSE)</f>
        <v>INTEREST/OTHER DEBTAMORTIZATI</v>
      </c>
      <c r="I570" s="99">
        <f>SUMIF(Import!$B:$B,$A570,Import!D:D)</f>
        <v>775295</v>
      </c>
      <c r="J570" s="99">
        <f>SUMIF(Import!$B:$B,$A570,Import!E:E)</f>
        <v>692850.46</v>
      </c>
      <c r="K570" s="99">
        <f>SUMIF(Import!$B:$B,$A570,Import!F:F)</f>
        <v>634204</v>
      </c>
      <c r="L570" s="99">
        <f>SUMIF(Import!$B:$B,$A570,Import!G:G)</f>
        <v>561118.75</v>
      </c>
      <c r="M570" s="99">
        <f>SUMIF(Import!$B:$B,$A570,Import!H:H)</f>
        <v>490998</v>
      </c>
      <c r="N570" s="99">
        <f>SUMIF(Import!$B:$B,$A570,Import!I:I)</f>
        <v>293278.17</v>
      </c>
      <c r="O570" s="99">
        <f>SUMIF(Import!$B:$B,$A570,Import!J:J)</f>
        <v>490998</v>
      </c>
      <c r="P570" s="99">
        <f t="shared" ref="P570:P574" si="529">O570-M570</f>
        <v>0</v>
      </c>
      <c r="Q570" s="99">
        <f>SUMIF(Import!$B:$B,$A570,Import!K:K)</f>
        <v>542651</v>
      </c>
      <c r="R570" s="99">
        <f>SUMIF(Import!$B:$B,$A570,Import!L:L)</f>
        <v>0</v>
      </c>
      <c r="S570" s="99">
        <f>SUMIF(Import!$B:$B,$A570,Import!M:M)</f>
        <v>0</v>
      </c>
      <c r="T570" s="99">
        <f>SUMIF(Import!$B:$B,$A570,Import!N:N)</f>
        <v>542651</v>
      </c>
      <c r="U570" s="99">
        <f t="shared" ref="U570:U574" si="530">T570-M570</f>
        <v>51653</v>
      </c>
      <c r="V570" s="255">
        <f t="shared" ref="V570:V574" si="531">IF(M570=0,"N/A",T570/M570-1)</f>
        <v>0.10520002118134908</v>
      </c>
      <c r="W570" s="102" t="s">
        <v>1476</v>
      </c>
      <c r="X570" s="103" t="str">
        <f t="shared" si="504"/>
        <v>OK</v>
      </c>
      <c r="Y570" s="271"/>
      <c r="Z570" s="121"/>
      <c r="AA570" s="121"/>
      <c r="AB570" s="121"/>
      <c r="AC570" s="121"/>
      <c r="AD570" s="121"/>
      <c r="AE570" s="121"/>
      <c r="AF570" s="121"/>
      <c r="AG570" s="121"/>
      <c r="AH570" s="121"/>
      <c r="AI570" s="121"/>
      <c r="AJ570" s="121"/>
      <c r="AK570" s="121"/>
      <c r="AL570" s="121"/>
    </row>
    <row r="571" spans="1:38" s="115" customFormat="1">
      <c r="A571" s="555" t="s">
        <v>1477</v>
      </c>
      <c r="B571" s="217" t="str">
        <f t="shared" si="514"/>
        <v>200</v>
      </c>
      <c r="C571" s="217" t="str">
        <f t="shared" si="515"/>
        <v>79</v>
      </c>
      <c r="D571" s="101" t="str">
        <f t="shared" si="516"/>
        <v>792</v>
      </c>
      <c r="E571" s="217" t="str">
        <f t="shared" si="528"/>
        <v>200-79</v>
      </c>
      <c r="F571" s="294" t="str">
        <f t="shared" si="518"/>
        <v>56901</v>
      </c>
      <c r="G571" s="295" t="str">
        <f>VLOOKUP(F571,'GL Category'!A:C,3,FALSE)</f>
        <v>Debt Service</v>
      </c>
      <c r="H571" s="98" t="str">
        <f>VLOOKUP(F571,'GL Category'!A:C,2,FALSE)</f>
        <v>PAYING AGENT SERVICES</v>
      </c>
      <c r="I571" s="99">
        <f>SUMIF(Import!$B:$B,$A571,Import!D:D)</f>
        <v>2702.5</v>
      </c>
      <c r="J571" s="99">
        <f>SUMIF(Import!$B:$B,$A571,Import!E:E)</f>
        <v>3177.5</v>
      </c>
      <c r="K571" s="99">
        <f>SUMIF(Import!$B:$B,$A571,Import!F:F)</f>
        <v>4482.5</v>
      </c>
      <c r="L571" s="99">
        <f>SUMIF(Import!$B:$B,$A571,Import!G:G)</f>
        <v>4790</v>
      </c>
      <c r="M571" s="99">
        <f>SUMIF(Import!$B:$B,$A571,Import!H:H)</f>
        <v>3000</v>
      </c>
      <c r="N571" s="99">
        <f>SUMIF(Import!$B:$B,$A571,Import!I:I)</f>
        <v>4817.75</v>
      </c>
      <c r="O571" s="99">
        <f>SUMIF(Import!$B:$B,$A571,Import!J:J)</f>
        <v>3000</v>
      </c>
      <c r="P571" s="99">
        <f t="shared" si="529"/>
        <v>0</v>
      </c>
      <c r="Q571" s="99">
        <f>SUMIF(Import!$B:$B,$A571,Import!K:K)</f>
        <v>3000</v>
      </c>
      <c r="R571" s="99">
        <f>SUMIF(Import!$B:$B,$A571,Import!L:L)</f>
        <v>0</v>
      </c>
      <c r="S571" s="99">
        <f>SUMIF(Import!$B:$B,$A571,Import!M:M)</f>
        <v>0</v>
      </c>
      <c r="T571" s="99">
        <f>SUMIF(Import!$B:$B,$A571,Import!N:N)</f>
        <v>3000</v>
      </c>
      <c r="U571" s="99">
        <f t="shared" si="530"/>
        <v>0</v>
      </c>
      <c r="V571" s="255">
        <f t="shared" si="531"/>
        <v>0</v>
      </c>
      <c r="W571" s="102" t="s">
        <v>1477</v>
      </c>
      <c r="X571" s="103" t="str">
        <f t="shared" si="504"/>
        <v>OK</v>
      </c>
      <c r="Y571" s="271"/>
      <c r="Z571" s="121"/>
      <c r="AA571" s="121"/>
      <c r="AB571" s="121"/>
      <c r="AC571" s="121"/>
      <c r="AD571" s="121"/>
      <c r="AE571" s="121"/>
      <c r="AF571" s="121"/>
      <c r="AG571" s="121"/>
      <c r="AH571" s="121"/>
      <c r="AI571" s="121"/>
      <c r="AJ571" s="121"/>
      <c r="AK571" s="121"/>
      <c r="AL571" s="121"/>
    </row>
    <row r="572" spans="1:38" s="115" customFormat="1">
      <c r="A572" s="555" t="s">
        <v>1478</v>
      </c>
      <c r="B572" s="217" t="str">
        <f t="shared" si="514"/>
        <v>200</v>
      </c>
      <c r="C572" s="217" t="str">
        <f t="shared" si="515"/>
        <v>79</v>
      </c>
      <c r="D572" s="101" t="str">
        <f t="shared" si="516"/>
        <v>792</v>
      </c>
      <c r="E572" s="217" t="str">
        <f t="shared" si="528"/>
        <v>200-79</v>
      </c>
      <c r="F572" s="294" t="str">
        <f t="shared" si="518"/>
        <v>56902</v>
      </c>
      <c r="G572" s="295" t="str">
        <f>VLOOKUP(F572,'GL Category'!A:C,3,FALSE)</f>
        <v>Debt Service</v>
      </c>
      <c r="H572" s="98" t="str">
        <f>VLOOKUP(F572,'GL Category'!A:C,2,FALSE)</f>
        <v>GO RETIREMENT</v>
      </c>
      <c r="I572" s="99">
        <f>SUMIF(Import!$B:$B,$A572,Import!D:D)</f>
        <v>2478793</v>
      </c>
      <c r="J572" s="99">
        <f>SUMIF(Import!$B:$B,$A572,Import!E:E)</f>
        <v>2540000</v>
      </c>
      <c r="K572" s="99">
        <f>SUMIF(Import!$B:$B,$A572,Import!F:F)</f>
        <v>2615000</v>
      </c>
      <c r="L572" s="99">
        <f>SUMIF(Import!$B:$B,$A572,Import!G:G)</f>
        <v>2400000</v>
      </c>
      <c r="M572" s="99">
        <f>SUMIF(Import!$B:$B,$A572,Import!H:H)</f>
        <v>2801911</v>
      </c>
      <c r="N572" s="99">
        <f>SUMIF(Import!$B:$B,$A572,Import!I:I)</f>
        <v>2730000</v>
      </c>
      <c r="O572" s="99">
        <f>SUMIF(Import!$B:$B,$A572,Import!J:J)</f>
        <v>2801911</v>
      </c>
      <c r="P572" s="99">
        <f t="shared" si="529"/>
        <v>0</v>
      </c>
      <c r="Q572" s="99">
        <f>SUMIF(Import!$B:$B,$A572,Import!K:K)</f>
        <v>1940001</v>
      </c>
      <c r="R572" s="99">
        <f>SUMIF(Import!$B:$B,$A572,Import!L:L)</f>
        <v>0</v>
      </c>
      <c r="S572" s="99">
        <f>SUMIF(Import!$B:$B,$A572,Import!M:M)</f>
        <v>0</v>
      </c>
      <c r="T572" s="99">
        <f>SUMIF(Import!$B:$B,$A572,Import!N:N)</f>
        <v>1940001</v>
      </c>
      <c r="U572" s="99">
        <f t="shared" si="530"/>
        <v>-861910</v>
      </c>
      <c r="V572" s="255">
        <f t="shared" si="531"/>
        <v>-0.30761505272651413</v>
      </c>
      <c r="W572" s="102" t="s">
        <v>1478</v>
      </c>
      <c r="X572" s="103" t="str">
        <f t="shared" si="504"/>
        <v>OK</v>
      </c>
      <c r="Y572" s="271"/>
      <c r="Z572" s="121"/>
      <c r="AA572" s="121"/>
      <c r="AB572" s="121"/>
      <c r="AC572" s="121"/>
      <c r="AD572" s="121"/>
      <c r="AE572" s="121"/>
      <c r="AF572" s="121"/>
      <c r="AG572" s="121"/>
      <c r="AH572" s="121"/>
      <c r="AI572" s="121"/>
      <c r="AJ572" s="121"/>
      <c r="AK572" s="121"/>
      <c r="AL572" s="121"/>
    </row>
    <row r="573" spans="1:38" s="115" customFormat="1">
      <c r="A573" s="555" t="s">
        <v>1479</v>
      </c>
      <c r="B573" s="217" t="str">
        <f t="shared" si="514"/>
        <v>200</v>
      </c>
      <c r="C573" s="217" t="str">
        <f t="shared" si="515"/>
        <v>79</v>
      </c>
      <c r="D573" s="101" t="str">
        <f t="shared" si="516"/>
        <v>792</v>
      </c>
      <c r="E573" s="217" t="str">
        <f t="shared" si="528"/>
        <v>200-79</v>
      </c>
      <c r="F573" s="294" t="str">
        <f t="shared" si="518"/>
        <v>56910</v>
      </c>
      <c r="G573" s="295" t="e">
        <f>VLOOKUP(F573,'GL Category'!A:C,3,FALSE)</f>
        <v>#N/A</v>
      </c>
      <c r="H573" s="98" t="e">
        <f>VLOOKUP(F573,'GL Category'!A:C,2,FALSE)</f>
        <v>#N/A</v>
      </c>
      <c r="I573" s="99">
        <f>SUMIF(Import!$B:$B,$A573,Import!D:D)</f>
        <v>0</v>
      </c>
      <c r="J573" s="99">
        <f>SUMIF(Import!$B:$B,$A573,Import!E:E)</f>
        <v>0</v>
      </c>
      <c r="K573" s="99">
        <f>SUMIF(Import!$B:$B,$A573,Import!F:F)</f>
        <v>0</v>
      </c>
      <c r="L573" s="99">
        <f>SUMIF(Import!$B:$B,$A573,Import!G:G)</f>
        <v>0</v>
      </c>
      <c r="M573" s="99">
        <f>SUMIF(Import!$B:$B,$A573,Import!H:H)</f>
        <v>0</v>
      </c>
      <c r="N573" s="99">
        <f>SUMIF(Import!$B:$B,$A573,Import!I:I)</f>
        <v>0</v>
      </c>
      <c r="O573" s="99">
        <f>SUMIF(Import!$B:$B,$A573,Import!J:J)</f>
        <v>0</v>
      </c>
      <c r="P573" s="99">
        <f t="shared" si="529"/>
        <v>0</v>
      </c>
      <c r="Q573" s="99">
        <f>SUMIF(Import!$B:$B,$A573,Import!K:K)</f>
        <v>0</v>
      </c>
      <c r="R573" s="99">
        <f>SUMIF(Import!$B:$B,$A573,Import!L:L)</f>
        <v>0</v>
      </c>
      <c r="S573" s="99">
        <f>SUMIF(Import!$B:$B,$A573,Import!M:M)</f>
        <v>0</v>
      </c>
      <c r="T573" s="99">
        <f>SUMIF(Import!$B:$B,$A573,Import!N:N)</f>
        <v>0</v>
      </c>
      <c r="U573" s="99">
        <f t="shared" si="530"/>
        <v>0</v>
      </c>
      <c r="V573" s="255" t="str">
        <f t="shared" si="531"/>
        <v>N/A</v>
      </c>
      <c r="W573" s="102" t="s">
        <v>1479</v>
      </c>
      <c r="X573" s="103" t="str">
        <f t="shared" si="504"/>
        <v>OK</v>
      </c>
      <c r="Y573" s="271"/>
      <c r="Z573" s="121"/>
      <c r="AA573" s="121"/>
      <c r="AB573" s="121"/>
      <c r="AC573" s="121"/>
      <c r="AD573" s="121"/>
      <c r="AE573" s="121"/>
      <c r="AF573" s="121"/>
      <c r="AG573" s="121"/>
      <c r="AH573" s="121"/>
      <c r="AI573" s="121"/>
      <c r="AJ573" s="121"/>
      <c r="AK573" s="121"/>
      <c r="AL573" s="121"/>
    </row>
    <row r="574" spans="1:38" s="115" customFormat="1">
      <c r="A574" s="555" t="s">
        <v>1480</v>
      </c>
      <c r="B574" s="217" t="str">
        <f t="shared" si="514"/>
        <v>200</v>
      </c>
      <c r="C574" s="217" t="str">
        <f t="shared" si="515"/>
        <v>79</v>
      </c>
      <c r="D574" s="101" t="str">
        <f t="shared" si="516"/>
        <v>799</v>
      </c>
      <c r="E574" s="217" t="str">
        <f t="shared" si="528"/>
        <v>200-79</v>
      </c>
      <c r="F574" s="294" t="str">
        <f t="shared" si="518"/>
        <v>58655</v>
      </c>
      <c r="G574" s="295" t="str">
        <f>VLOOKUP(F574,'GL Category'!A:C,3,FALSE)</f>
        <v>Capital Outlay</v>
      </c>
      <c r="H574" s="98" t="str">
        <f>VLOOKUP(F574,'GL Category'!A:C,2,FALSE)</f>
        <v>SBITA AMORTIZATION EXPENSE</v>
      </c>
      <c r="I574" s="99">
        <f>SUMIF(Import!$B:$B,$A574,Import!D:D)</f>
        <v>0</v>
      </c>
      <c r="J574" s="99">
        <f>SUMIF(Import!$B:$B,$A574,Import!E:E)</f>
        <v>0</v>
      </c>
      <c r="K574" s="99">
        <f>SUMIF(Import!$B:$B,$A574,Import!F:F)</f>
        <v>0</v>
      </c>
      <c r="L574" s="99">
        <f>SUMIF(Import!$B:$B,$A574,Import!G:G)</f>
        <v>0</v>
      </c>
      <c r="M574" s="99">
        <f>SUMIF(Import!$B:$B,$A574,Import!H:H)</f>
        <v>0</v>
      </c>
      <c r="N574" s="99">
        <f>SUMIF(Import!$B:$B,$A574,Import!I:I)</f>
        <v>0</v>
      </c>
      <c r="O574" s="99">
        <f>SUMIF(Import!$B:$B,$A574,Import!J:J)</f>
        <v>0</v>
      </c>
      <c r="P574" s="99">
        <f t="shared" si="529"/>
        <v>0</v>
      </c>
      <c r="Q574" s="99">
        <f>SUMIF(Import!$B:$B,$A574,Import!K:K)</f>
        <v>0</v>
      </c>
      <c r="R574" s="99">
        <f>SUMIF(Import!$B:$B,$A574,Import!L:L)</f>
        <v>0</v>
      </c>
      <c r="S574" s="99">
        <f>SUMIF(Import!$B:$B,$A574,Import!M:M)</f>
        <v>0</v>
      </c>
      <c r="T574" s="99">
        <f>SUMIF(Import!$B:$B,$A574,Import!N:N)</f>
        <v>0</v>
      </c>
      <c r="U574" s="99">
        <f t="shared" si="530"/>
        <v>0</v>
      </c>
      <c r="V574" s="255" t="str">
        <f t="shared" si="531"/>
        <v>N/A</v>
      </c>
      <c r="W574" s="102" t="s">
        <v>1480</v>
      </c>
      <c r="X574" s="103" t="str">
        <f t="shared" si="504"/>
        <v>OK</v>
      </c>
      <c r="Y574" s="271"/>
      <c r="Z574" s="121"/>
      <c r="AA574" s="121"/>
      <c r="AB574" s="121"/>
      <c r="AC574" s="121"/>
      <c r="AD574" s="121"/>
      <c r="AE574" s="121"/>
      <c r="AF574" s="121"/>
      <c r="AG574" s="121"/>
      <c r="AH574" s="121"/>
      <c r="AI574" s="121"/>
      <c r="AJ574" s="121"/>
      <c r="AK574" s="121"/>
      <c r="AL574" s="121"/>
    </row>
    <row r="575" spans="1:38" s="115" customFormat="1" ht="24.75" customHeight="1">
      <c r="A575" s="555"/>
      <c r="B575" s="217"/>
      <c r="C575" s="217"/>
      <c r="D575" s="101"/>
      <c r="E575" s="217"/>
      <c r="F575" s="294"/>
      <c r="G575" s="146"/>
      <c r="H575" s="107" t="str">
        <f>UPPER(G574)&amp;" TOTAL"</f>
        <v>CAPITAL OUTLAY TOTAL</v>
      </c>
      <c r="I575" s="108">
        <f t="shared" ref="I575" si="532">SUBTOTAL(9,I570:I574)</f>
        <v>3256790.5</v>
      </c>
      <c r="J575" s="108">
        <f t="shared" ref="J575:T575" si="533">SUBTOTAL(9,J570:J574)</f>
        <v>3236027.96</v>
      </c>
      <c r="K575" s="108">
        <f t="shared" ref="K575" si="534">SUBTOTAL(9,K570:K574)</f>
        <v>3253686.5</v>
      </c>
      <c r="L575" s="108">
        <f t="shared" ref="L575" si="535">SUBTOTAL(9,L570:L574)</f>
        <v>2965908.75</v>
      </c>
      <c r="M575" s="108">
        <f t="shared" si="533"/>
        <v>3295909</v>
      </c>
      <c r="N575" s="108">
        <f t="shared" ref="N575" si="536">SUBTOTAL(9,N570:N574)</f>
        <v>3028095.92</v>
      </c>
      <c r="O575" s="108">
        <f t="shared" si="533"/>
        <v>3295909</v>
      </c>
      <c r="P575" s="108">
        <f t="shared" si="533"/>
        <v>0</v>
      </c>
      <c r="Q575" s="108">
        <f t="shared" si="533"/>
        <v>2485652</v>
      </c>
      <c r="R575" s="108">
        <f t="shared" si="533"/>
        <v>0</v>
      </c>
      <c r="S575" s="108">
        <f t="shared" si="533"/>
        <v>0</v>
      </c>
      <c r="T575" s="108">
        <f t="shared" si="533"/>
        <v>2485652</v>
      </c>
      <c r="U575" s="99">
        <f>T575-M575</f>
        <v>-810257</v>
      </c>
      <c r="V575" s="259">
        <f>IF(M575=0,"N/A",T575/M575-1)</f>
        <v>-0.24583718785925224</v>
      </c>
      <c r="W575" s="102"/>
      <c r="X575" s="103" t="str">
        <f t="shared" si="504"/>
        <v>OK</v>
      </c>
      <c r="Y575" s="271"/>
      <c r="Z575" s="121"/>
      <c r="AA575" s="121"/>
      <c r="AB575" s="121"/>
      <c r="AC575" s="121"/>
      <c r="AD575" s="121"/>
      <c r="AE575" s="121"/>
      <c r="AF575" s="121"/>
      <c r="AG575" s="121"/>
      <c r="AH575" s="121"/>
      <c r="AI575" s="121"/>
      <c r="AJ575" s="121"/>
      <c r="AK575" s="121"/>
      <c r="AL575" s="121"/>
    </row>
    <row r="576" spans="1:38" s="115" customFormat="1">
      <c r="A576" s="555"/>
      <c r="B576" s="217"/>
      <c r="C576" s="217"/>
      <c r="D576" s="101"/>
      <c r="E576" s="217"/>
      <c r="F576" s="294"/>
      <c r="G576" s="146"/>
      <c r="H576" s="98"/>
      <c r="I576" s="106"/>
      <c r="J576" s="106"/>
      <c r="K576" s="106"/>
      <c r="L576" s="106"/>
      <c r="M576" s="106"/>
      <c r="N576" s="112"/>
      <c r="O576" s="112"/>
      <c r="P576" s="112"/>
      <c r="Q576" s="113"/>
      <c r="R576" s="113"/>
      <c r="S576" s="113"/>
      <c r="T576" s="113"/>
      <c r="U576" s="113"/>
      <c r="V576" s="113"/>
      <c r="W576" s="102"/>
      <c r="X576" s="103" t="str">
        <f t="shared" si="504"/>
        <v/>
      </c>
      <c r="Y576" s="271"/>
      <c r="Z576" s="121"/>
      <c r="AA576" s="121"/>
      <c r="AB576" s="121"/>
      <c r="AC576" s="121"/>
      <c r="AD576" s="121"/>
      <c r="AE576" s="121"/>
      <c r="AF576" s="121"/>
      <c r="AG576" s="121"/>
      <c r="AH576" s="121"/>
      <c r="AI576" s="121"/>
      <c r="AJ576" s="121"/>
      <c r="AK576" s="121"/>
      <c r="AL576" s="121"/>
    </row>
    <row r="577" spans="1:38" s="115" customFormat="1" ht="15.75" customHeight="1">
      <c r="A577" s="555" t="s">
        <v>1481</v>
      </c>
      <c r="B577" s="217" t="str">
        <f t="shared" si="514"/>
        <v>200</v>
      </c>
      <c r="C577" s="217" t="str">
        <f t="shared" si="515"/>
        <v>79</v>
      </c>
      <c r="D577" s="101" t="str">
        <f t="shared" si="516"/>
        <v>798</v>
      </c>
      <c r="E577" s="217" t="str">
        <f t="shared" ref="E577:E579" si="537">LEFT(A577,6)</f>
        <v>200-79</v>
      </c>
      <c r="F577" s="294" t="str">
        <f t="shared" si="518"/>
        <v>59100</v>
      </c>
      <c r="G577" s="295" t="e">
        <f>VLOOKUP(F577,'GL Category'!A:C,3,FALSE)</f>
        <v>#N/A</v>
      </c>
      <c r="H577" s="98" t="e">
        <f>VLOOKUP(F577,'GL Category'!A:C,2,FALSE)</f>
        <v>#N/A</v>
      </c>
      <c r="I577" s="99">
        <f>SUMIF(Import!$B:$B,$A577,Import!D:D)</f>
        <v>0</v>
      </c>
      <c r="J577" s="99">
        <f>SUMIF(Import!$B:$B,$A577,Import!E:E)</f>
        <v>0</v>
      </c>
      <c r="K577" s="99">
        <f>SUMIF(Import!$B:$B,$A577,Import!F:F)</f>
        <v>0</v>
      </c>
      <c r="L577" s="99">
        <f>SUMIF(Import!$B:$B,$A577,Import!G:G)</f>
        <v>0</v>
      </c>
      <c r="M577" s="99">
        <f>SUMIF(Import!$B:$B,$A577,Import!H:H)</f>
        <v>0</v>
      </c>
      <c r="N577" s="99">
        <f>SUMIF(Import!$B:$B,$A577,Import!I:I)</f>
        <v>0</v>
      </c>
      <c r="O577" s="99">
        <f>SUMIF(Import!$B:$B,$A577,Import!J:J)</f>
        <v>0</v>
      </c>
      <c r="P577" s="99">
        <f t="shared" ref="P577:P580" si="538">O577-M577</f>
        <v>0</v>
      </c>
      <c r="Q577" s="99">
        <f>SUMIF(Import!$B:$B,$A577,Import!K:K)</f>
        <v>0</v>
      </c>
      <c r="R577" s="99">
        <f>SUMIF(Import!$B:$B,$A577,Import!L:L)</f>
        <v>0</v>
      </c>
      <c r="S577" s="99">
        <f>SUMIF(Import!$B:$B,$A577,Import!M:M)</f>
        <v>0</v>
      </c>
      <c r="T577" s="99">
        <f>SUMIF(Import!$B:$B,$A577,Import!N:N)</f>
        <v>0</v>
      </c>
      <c r="U577" s="99">
        <f t="shared" ref="U577:U580" si="539">T577-M577</f>
        <v>0</v>
      </c>
      <c r="V577" s="255" t="str">
        <f t="shared" ref="V577:V580" si="540">IF(M577=0,"N/A",T577/M577-1)</f>
        <v>N/A</v>
      </c>
      <c r="W577" s="102" t="s">
        <v>1481</v>
      </c>
      <c r="X577" s="103" t="str">
        <f t="shared" si="504"/>
        <v>OK</v>
      </c>
      <c r="Y577" s="271"/>
      <c r="Z577" s="121"/>
      <c r="AA577" s="121"/>
      <c r="AB577" s="121"/>
      <c r="AC577" s="121"/>
      <c r="AD577" s="121"/>
      <c r="AE577" s="121"/>
      <c r="AF577" s="121"/>
      <c r="AG577" s="121"/>
      <c r="AH577" s="121"/>
      <c r="AI577" s="121"/>
      <c r="AJ577" s="121"/>
      <c r="AK577" s="121"/>
      <c r="AL577" s="121"/>
    </row>
    <row r="578" spans="1:38" s="115" customFormat="1" ht="15.75" customHeight="1">
      <c r="A578" s="555" t="s">
        <v>3128</v>
      </c>
      <c r="B578" s="217" t="str">
        <f t="shared" ref="B578" si="541">LEFT(A578,3)</f>
        <v>200</v>
      </c>
      <c r="C578" s="217" t="str">
        <f t="shared" ref="C578" si="542">MID(A578,5,2)</f>
        <v>79</v>
      </c>
      <c r="D578" s="101" t="str">
        <f t="shared" ref="D578" si="543">MID(A578,8,3)</f>
        <v>792</v>
      </c>
      <c r="E578" s="217" t="str">
        <f t="shared" ref="E578" si="544">LEFT(A578,6)</f>
        <v>200-79</v>
      </c>
      <c r="F578" s="294" t="str">
        <f t="shared" ref="F578" si="545">RIGHT(A578,5)</f>
        <v>59129</v>
      </c>
      <c r="G578" s="295" t="str">
        <f>VLOOKUP(F578,'GL Category'!A:C,3,FALSE)</f>
        <v>Transfers to other funds</v>
      </c>
      <c r="H578" s="98" t="str">
        <f>VLOOKUP(F578,'GL Category'!A:C,2,FALSE)</f>
        <v>TRANSFER TO SELF-INSURANCE FUN</v>
      </c>
      <c r="I578" s="99">
        <f>SUMIF(Import!$B:$B,$A578,Import!D:D)</f>
        <v>0</v>
      </c>
      <c r="J578" s="99">
        <f>SUMIF(Import!$B:$B,$A578,Import!E:E)</f>
        <v>0</v>
      </c>
      <c r="K578" s="99">
        <f>SUMIF(Import!$B:$B,$A578,Import!F:F)</f>
        <v>0</v>
      </c>
      <c r="L578" s="99">
        <f>SUMIF(Import!$B:$B,$A578,Import!G:G)</f>
        <v>0</v>
      </c>
      <c r="M578" s="99">
        <f>SUMIF(Import!$B:$B,$A578,Import!H:H)</f>
        <v>0</v>
      </c>
      <c r="N578" s="99">
        <f>SUMIF(Import!$B:$B,$A578,Import!I:I)</f>
        <v>0</v>
      </c>
      <c r="O578" s="99">
        <f>SUMIF(Import!$B:$B,$A578,Import!J:J)</f>
        <v>0</v>
      </c>
      <c r="P578" s="99">
        <f t="shared" si="538"/>
        <v>0</v>
      </c>
      <c r="Q578" s="99">
        <f>SUMIF(Import!$B:$B,$A578,Import!K:K)</f>
        <v>0</v>
      </c>
      <c r="R578" s="99">
        <f>SUMIF(Import!$B:$B,$A578,Import!L:L)</f>
        <v>0</v>
      </c>
      <c r="S578" s="99">
        <f>SUMIF(Import!$B:$B,$A578,Import!M:M)</f>
        <v>0</v>
      </c>
      <c r="T578" s="99">
        <f>SUMIF(Import!$B:$B,$A578,Import!N:N)</f>
        <v>0</v>
      </c>
      <c r="U578" s="99">
        <f t="shared" si="539"/>
        <v>0</v>
      </c>
      <c r="V578" s="255" t="str">
        <f t="shared" si="540"/>
        <v>N/A</v>
      </c>
      <c r="W578" s="102" t="s">
        <v>1482</v>
      </c>
      <c r="X578" s="103" t="str">
        <f t="shared" si="504"/>
        <v>OK</v>
      </c>
      <c r="Y578" s="271"/>
      <c r="Z578" s="121"/>
      <c r="AA578" s="121"/>
      <c r="AB578" s="121"/>
      <c r="AC578" s="121"/>
      <c r="AD578" s="121"/>
      <c r="AE578" s="121"/>
      <c r="AF578" s="121"/>
      <c r="AG578" s="121"/>
      <c r="AH578" s="121"/>
      <c r="AI578" s="121"/>
      <c r="AJ578" s="121"/>
      <c r="AK578" s="121"/>
      <c r="AL578" s="121"/>
    </row>
    <row r="579" spans="1:38" s="115" customFormat="1" ht="15.75" customHeight="1">
      <c r="A579" s="555" t="s">
        <v>1482</v>
      </c>
      <c r="B579" s="217" t="str">
        <f t="shared" si="514"/>
        <v>200</v>
      </c>
      <c r="C579" s="217" t="str">
        <f t="shared" si="515"/>
        <v>79</v>
      </c>
      <c r="D579" s="101" t="str">
        <f t="shared" si="516"/>
        <v>798</v>
      </c>
      <c r="E579" s="217" t="str">
        <f t="shared" si="537"/>
        <v>200-79</v>
      </c>
      <c r="F579" s="294" t="str">
        <f t="shared" si="518"/>
        <v>59150</v>
      </c>
      <c r="G579" s="295" t="e">
        <f>VLOOKUP(F579,'GL Category'!A:C,3,FALSE)</f>
        <v>#N/A</v>
      </c>
      <c r="H579" s="98" t="e">
        <f>VLOOKUP(F579,'GL Category'!A:C,2,FALSE)</f>
        <v>#N/A</v>
      </c>
      <c r="I579" s="99">
        <f>SUMIF(Import!$B:$B,$A579,Import!D:D)</f>
        <v>0</v>
      </c>
      <c r="J579" s="99">
        <f>SUMIF(Import!$B:$B,$A579,Import!E:E)</f>
        <v>0</v>
      </c>
      <c r="K579" s="99">
        <f>SUMIF(Import!$B:$B,$A579,Import!F:F)</f>
        <v>0</v>
      </c>
      <c r="L579" s="99">
        <f>SUMIF(Import!$B:$B,$A579,Import!G:G)</f>
        <v>0</v>
      </c>
      <c r="M579" s="99">
        <f>SUMIF(Import!$B:$B,$A579,Import!H:H)</f>
        <v>0</v>
      </c>
      <c r="N579" s="99">
        <f>SUMIF(Import!$B:$B,$A579,Import!I:I)</f>
        <v>0</v>
      </c>
      <c r="O579" s="99">
        <f>SUMIF(Import!$B:$B,$A579,Import!J:J)</f>
        <v>0</v>
      </c>
      <c r="P579" s="99">
        <f t="shared" si="538"/>
        <v>0</v>
      </c>
      <c r="Q579" s="99">
        <f>SUMIF(Import!$B:$B,$A579,Import!K:K)</f>
        <v>0</v>
      </c>
      <c r="R579" s="99">
        <f>SUMIF(Import!$B:$B,$A579,Import!L:L)</f>
        <v>0</v>
      </c>
      <c r="S579" s="99">
        <f>SUMIF(Import!$B:$B,$A579,Import!M:M)</f>
        <v>0</v>
      </c>
      <c r="T579" s="99">
        <f>SUMIF(Import!$B:$B,$A579,Import!N:N)</f>
        <v>0</v>
      </c>
      <c r="U579" s="99">
        <f t="shared" si="539"/>
        <v>0</v>
      </c>
      <c r="V579" s="255" t="str">
        <f t="shared" si="540"/>
        <v>N/A</v>
      </c>
      <c r="W579" s="102" t="s">
        <v>1482</v>
      </c>
      <c r="X579" s="103" t="str">
        <f t="shared" si="504"/>
        <v>OK</v>
      </c>
      <c r="Y579" s="271"/>
      <c r="Z579" s="121"/>
      <c r="AA579" s="121"/>
      <c r="AB579" s="121"/>
      <c r="AC579" s="121"/>
      <c r="AD579" s="121"/>
      <c r="AE579" s="121"/>
      <c r="AF579" s="121"/>
      <c r="AG579" s="121"/>
      <c r="AH579" s="121"/>
      <c r="AI579" s="121"/>
      <c r="AJ579" s="121"/>
      <c r="AK579" s="121"/>
      <c r="AL579" s="121"/>
    </row>
    <row r="580" spans="1:38" s="115" customFormat="1" ht="15.75" customHeight="1">
      <c r="A580" s="555" t="s">
        <v>1483</v>
      </c>
      <c r="B580" s="217" t="str">
        <f t="shared" si="514"/>
        <v>200</v>
      </c>
      <c r="C580" s="217" t="str">
        <f t="shared" si="515"/>
        <v>79</v>
      </c>
      <c r="D580" s="101" t="str">
        <f t="shared" si="516"/>
        <v>798</v>
      </c>
      <c r="E580" s="217" t="str">
        <f>LEFT(A580,6)</f>
        <v>200-79</v>
      </c>
      <c r="F580" s="294" t="str">
        <f t="shared" si="518"/>
        <v>59198</v>
      </c>
      <c r="G580" s="295" t="e">
        <f>VLOOKUP(F580,'GL Category'!A:C,3,FALSE)</f>
        <v>#N/A</v>
      </c>
      <c r="H580" s="98" t="e">
        <f>VLOOKUP(F580,'GL Category'!A:C,2,FALSE)</f>
        <v>#N/A</v>
      </c>
      <c r="I580" s="99">
        <f>SUMIF(Import!$B:$B,$A580,Import!D:D)</f>
        <v>0</v>
      </c>
      <c r="J580" s="99">
        <f>SUMIF(Import!$B:$B,$A580,Import!E:E)</f>
        <v>0</v>
      </c>
      <c r="K580" s="99">
        <f>SUMIF(Import!$B:$B,$A580,Import!F:F)</f>
        <v>0</v>
      </c>
      <c r="L580" s="99">
        <f>SUMIF(Import!$B:$B,$A580,Import!G:G)</f>
        <v>0</v>
      </c>
      <c r="M580" s="99">
        <f>SUMIF(Import!$B:$B,$A580,Import!H:H)</f>
        <v>0</v>
      </c>
      <c r="N580" s="99">
        <f>SUMIF(Import!$B:$B,$A580,Import!I:I)</f>
        <v>0</v>
      </c>
      <c r="O580" s="99">
        <f>SUMIF(Import!$B:$B,$A580,Import!J:J)</f>
        <v>0</v>
      </c>
      <c r="P580" s="99">
        <f t="shared" si="538"/>
        <v>0</v>
      </c>
      <c r="Q580" s="99">
        <f>SUMIF(Import!$B:$B,$A580,Import!K:K)</f>
        <v>0</v>
      </c>
      <c r="R580" s="99">
        <f>SUMIF(Import!$B:$B,$A580,Import!L:L)</f>
        <v>0</v>
      </c>
      <c r="S580" s="99">
        <f>SUMIF(Import!$B:$B,$A580,Import!M:M)</f>
        <v>0</v>
      </c>
      <c r="T580" s="99">
        <f>SUMIF(Import!$B:$B,$A580,Import!N:N)</f>
        <v>0</v>
      </c>
      <c r="U580" s="99">
        <f t="shared" si="539"/>
        <v>0</v>
      </c>
      <c r="V580" s="255" t="str">
        <f t="shared" si="540"/>
        <v>N/A</v>
      </c>
      <c r="W580" s="102" t="s">
        <v>1483</v>
      </c>
      <c r="X580" s="103" t="str">
        <f t="shared" si="504"/>
        <v>OK</v>
      </c>
      <c r="Y580" s="271"/>
      <c r="Z580" s="121"/>
      <c r="AA580" s="121"/>
      <c r="AB580" s="121"/>
      <c r="AC580" s="121"/>
      <c r="AD580" s="121"/>
      <c r="AE580" s="121"/>
      <c r="AF580" s="121"/>
      <c r="AG580" s="121"/>
      <c r="AH580" s="121"/>
      <c r="AI580" s="121"/>
      <c r="AJ580" s="121"/>
      <c r="AK580" s="121"/>
      <c r="AL580" s="121"/>
    </row>
    <row r="581" spans="1:38" s="115" customFormat="1" ht="14.4">
      <c r="A581" s="187"/>
      <c r="B581" s="190"/>
      <c r="C581" s="190"/>
      <c r="D581" s="69"/>
      <c r="E581" s="69"/>
      <c r="F581" s="149"/>
      <c r="G581" s="146"/>
      <c r="H581" s="107" t="e">
        <f>UPPER(G580)&amp;" TOTAL"</f>
        <v>#N/A</v>
      </c>
      <c r="I581" s="108">
        <f t="shared" ref="I581" si="546">SUBTOTAL(9,I577:I580)</f>
        <v>0</v>
      </c>
      <c r="J581" s="108">
        <f t="shared" ref="J581:T581" si="547">SUBTOTAL(9,J577:J580)</f>
        <v>0</v>
      </c>
      <c r="K581" s="108">
        <f t="shared" ref="K581" si="548">SUBTOTAL(9,K577:K580)</f>
        <v>0</v>
      </c>
      <c r="L581" s="108">
        <f t="shared" ref="L581" si="549">SUBTOTAL(9,L577:L580)</f>
        <v>0</v>
      </c>
      <c r="M581" s="108">
        <f t="shared" si="547"/>
        <v>0</v>
      </c>
      <c r="N581" s="108">
        <f t="shared" ref="N581" si="550">SUBTOTAL(9,N577:N580)</f>
        <v>0</v>
      </c>
      <c r="O581" s="108">
        <f t="shared" si="547"/>
        <v>0</v>
      </c>
      <c r="P581" s="108">
        <f t="shared" si="547"/>
        <v>0</v>
      </c>
      <c r="Q581" s="108">
        <f t="shared" si="547"/>
        <v>0</v>
      </c>
      <c r="R581" s="108">
        <f t="shared" si="547"/>
        <v>0</v>
      </c>
      <c r="S581" s="108">
        <f t="shared" si="547"/>
        <v>0</v>
      </c>
      <c r="T581" s="108">
        <f t="shared" si="547"/>
        <v>0</v>
      </c>
      <c r="U581" s="99">
        <f>T581-M581</f>
        <v>0</v>
      </c>
      <c r="V581" s="259" t="str">
        <f>IF(M581=0,"N/A",T581/M581-1)</f>
        <v>N/A</v>
      </c>
      <c r="W581" s="102"/>
      <c r="X581" s="103" t="str">
        <f t="shared" si="504"/>
        <v>OK</v>
      </c>
      <c r="Y581" s="271"/>
      <c r="Z581" s="121"/>
      <c r="AA581" s="121"/>
      <c r="AB581" s="121"/>
      <c r="AC581" s="121"/>
      <c r="AD581" s="121"/>
      <c r="AE581" s="121"/>
      <c r="AF581" s="121"/>
      <c r="AG581" s="121"/>
      <c r="AH581" s="121"/>
      <c r="AI581" s="121"/>
      <c r="AJ581" s="121"/>
      <c r="AK581" s="121"/>
      <c r="AL581" s="121"/>
    </row>
    <row r="582" spans="1:38" s="115" customFormat="1" ht="14.4">
      <c r="A582" s="187"/>
      <c r="B582" s="190"/>
      <c r="C582" s="190"/>
      <c r="D582" s="69"/>
      <c r="E582" s="69"/>
      <c r="F582" s="149"/>
      <c r="G582" s="146"/>
      <c r="H582" s="98"/>
      <c r="I582" s="106"/>
      <c r="J582" s="106"/>
      <c r="K582" s="106"/>
      <c r="L582" s="106"/>
      <c r="M582" s="106"/>
      <c r="N582" s="112"/>
      <c r="O582" s="112"/>
      <c r="P582" s="112"/>
      <c r="Q582" s="113"/>
      <c r="R582" s="113"/>
      <c r="S582" s="113"/>
      <c r="T582" s="113"/>
      <c r="U582" s="113"/>
      <c r="V582" s="113"/>
      <c r="W582" s="102"/>
      <c r="X582" s="103" t="str">
        <f t="shared" si="504"/>
        <v/>
      </c>
      <c r="Y582" s="271"/>
      <c r="Z582" s="121"/>
      <c r="AA582" s="121"/>
      <c r="AB582" s="121"/>
      <c r="AC582" s="121"/>
      <c r="AD582" s="121"/>
      <c r="AE582" s="121"/>
      <c r="AF582" s="121"/>
      <c r="AG582" s="121"/>
      <c r="AH582" s="121"/>
      <c r="AI582" s="121"/>
      <c r="AJ582" s="121"/>
      <c r="AK582" s="121"/>
      <c r="AL582" s="121"/>
    </row>
    <row r="583" spans="1:38" s="115" customFormat="1" ht="14.4">
      <c r="A583" s="187"/>
      <c r="B583" s="190"/>
      <c r="C583" s="190"/>
      <c r="D583" s="69"/>
      <c r="E583" s="69"/>
      <c r="F583" s="149"/>
      <c r="G583" s="146"/>
      <c r="H583" s="114" t="s">
        <v>51</v>
      </c>
      <c r="I583" s="108">
        <f t="shared" ref="I583" si="551">SUBTOTAL(9,I554:I582)</f>
        <v>6207413.4299999997</v>
      </c>
      <c r="J583" s="108">
        <f t="shared" ref="J583:T583" si="552">SUBTOTAL(9,J554:J582)</f>
        <v>6259557.2800000003</v>
      </c>
      <c r="K583" s="108">
        <f t="shared" ref="K583" si="553">SUBTOTAL(9,K554:K582)</f>
        <v>6375548.6899999995</v>
      </c>
      <c r="L583" s="108">
        <f t="shared" ref="L583" si="554">SUBTOTAL(9,L554:L582)</f>
        <v>5967857.2000000002</v>
      </c>
      <c r="M583" s="108">
        <f t="shared" si="552"/>
        <v>6788026</v>
      </c>
      <c r="N583" s="108">
        <f t="shared" ref="N583" si="555">SUBTOTAL(9,N554:N582)</f>
        <v>5639363.9500000002</v>
      </c>
      <c r="O583" s="108">
        <f t="shared" si="552"/>
        <v>6788026</v>
      </c>
      <c r="P583" s="108">
        <f t="shared" si="552"/>
        <v>0</v>
      </c>
      <c r="Q583" s="108">
        <f t="shared" si="552"/>
        <v>6210699</v>
      </c>
      <c r="R583" s="108">
        <f t="shared" si="552"/>
        <v>0</v>
      </c>
      <c r="S583" s="108">
        <f t="shared" si="552"/>
        <v>0</v>
      </c>
      <c r="T583" s="108">
        <f t="shared" si="552"/>
        <v>6210699</v>
      </c>
      <c r="U583" s="99">
        <f>T583-M583</f>
        <v>-577327</v>
      </c>
      <c r="V583" s="259">
        <f>IF(M583=0,"N/A",T583/M583-1)</f>
        <v>-8.5050793853765461E-2</v>
      </c>
      <c r="W583" s="102"/>
      <c r="X583" s="103" t="str">
        <f t="shared" si="504"/>
        <v>OK</v>
      </c>
      <c r="Y583" s="271"/>
      <c r="Z583" s="121"/>
      <c r="AA583" s="121"/>
      <c r="AB583" s="121"/>
      <c r="AC583" s="121"/>
      <c r="AD583" s="121"/>
      <c r="AE583" s="121"/>
      <c r="AF583" s="121"/>
      <c r="AG583" s="121"/>
      <c r="AH583" s="121"/>
      <c r="AI583" s="121"/>
      <c r="AJ583" s="121"/>
      <c r="AK583" s="121"/>
      <c r="AL583" s="121"/>
    </row>
    <row r="584" spans="1:38" s="115" customFormat="1" ht="14.4">
      <c r="A584" s="187"/>
      <c r="B584" s="190"/>
      <c r="C584" s="190"/>
      <c r="D584" s="69"/>
      <c r="E584" s="69"/>
      <c r="F584" s="149"/>
      <c r="G584" s="146"/>
      <c r="H584" s="98"/>
      <c r="I584" s="106"/>
      <c r="J584" s="106"/>
      <c r="K584" s="106"/>
      <c r="L584" s="106"/>
      <c r="M584" s="106"/>
      <c r="N584" s="112"/>
      <c r="O584" s="112"/>
      <c r="P584" s="112"/>
      <c r="Q584" s="113"/>
      <c r="R584" s="113"/>
      <c r="S584" s="113"/>
      <c r="T584" s="113"/>
      <c r="U584" s="113"/>
      <c r="V584" s="113"/>
      <c r="W584" s="102"/>
      <c r="X584" s="103" t="str">
        <f t="shared" si="504"/>
        <v/>
      </c>
      <c r="Y584" s="271"/>
      <c r="Z584" s="121"/>
      <c r="AA584" s="121"/>
      <c r="AB584" s="121"/>
      <c r="AC584" s="121"/>
      <c r="AD584" s="121"/>
      <c r="AE584" s="121"/>
      <c r="AF584" s="121"/>
      <c r="AG584" s="121"/>
      <c r="AH584" s="121"/>
      <c r="AI584" s="121"/>
      <c r="AJ584" s="121"/>
      <c r="AK584" s="121"/>
      <c r="AL584" s="121"/>
    </row>
    <row r="585" spans="1:38" s="115" customFormat="1" ht="14.4">
      <c r="A585" s="187"/>
      <c r="B585" s="190"/>
      <c r="C585" s="190"/>
      <c r="D585" s="69"/>
      <c r="E585" s="69"/>
      <c r="F585" s="149"/>
      <c r="G585" s="146"/>
      <c r="H585" s="89"/>
      <c r="I585" s="233"/>
      <c r="J585" s="233"/>
      <c r="K585" s="233"/>
      <c r="L585" s="233"/>
      <c r="M585" s="233"/>
      <c r="N585" s="233"/>
      <c r="O585" s="233"/>
      <c r="P585" s="233"/>
      <c r="Q585" s="233"/>
      <c r="R585" s="233"/>
      <c r="S585" s="233"/>
      <c r="T585" s="233"/>
      <c r="U585" s="233"/>
      <c r="V585" s="233"/>
      <c r="W585" s="102"/>
      <c r="X585" s="103"/>
      <c r="Y585" s="271"/>
      <c r="Z585" s="121"/>
      <c r="AA585" s="121"/>
      <c r="AB585" s="121"/>
      <c r="AC585" s="121"/>
      <c r="AD585" s="121"/>
      <c r="AE585" s="121"/>
      <c r="AF585" s="121"/>
      <c r="AG585" s="121"/>
      <c r="AH585" s="121"/>
      <c r="AI585" s="121"/>
      <c r="AJ585" s="121"/>
      <c r="AK585" s="121"/>
      <c r="AL585" s="121"/>
    </row>
    <row r="586" spans="1:38" s="115" customFormat="1" ht="14.4" hidden="1">
      <c r="A586" s="187"/>
      <c r="B586" s="190"/>
      <c r="C586" s="190"/>
      <c r="D586" s="69"/>
      <c r="E586" s="69"/>
      <c r="F586" s="149"/>
      <c r="G586" s="146"/>
      <c r="H586" s="98"/>
      <c r="I586" s="106"/>
      <c r="J586" s="106"/>
      <c r="K586" s="106"/>
      <c r="L586" s="106"/>
      <c r="M586" s="106"/>
      <c r="N586" s="112"/>
      <c r="O586" s="112"/>
      <c r="P586" s="112"/>
      <c r="Q586" s="113"/>
      <c r="R586" s="113"/>
      <c r="S586" s="113"/>
      <c r="T586" s="113"/>
      <c r="U586" s="113"/>
      <c r="V586" s="113"/>
      <c r="W586" s="102"/>
      <c r="X586" s="103" t="str">
        <f t="shared" ref="X586:X596" si="556">IF(Q586="","",IF(T586=SUM(Q586:S586),"OK","NO"))</f>
        <v/>
      </c>
      <c r="Y586" s="271"/>
      <c r="Z586" s="121"/>
      <c r="AA586" s="121"/>
      <c r="AB586" s="121"/>
      <c r="AC586" s="121"/>
      <c r="AD586" s="121"/>
      <c r="AE586" s="121"/>
      <c r="AF586" s="121"/>
      <c r="AG586" s="121"/>
      <c r="AH586" s="121"/>
      <c r="AI586" s="121"/>
      <c r="AJ586" s="121"/>
      <c r="AK586" s="121"/>
      <c r="AL586" s="121"/>
    </row>
    <row r="587" spans="1:38" s="115" customFormat="1" ht="24" hidden="1" customHeight="1" thickBot="1">
      <c r="A587" s="187"/>
      <c r="B587" s="190"/>
      <c r="C587" s="190"/>
      <c r="D587" s="69"/>
      <c r="E587" s="69"/>
      <c r="F587" s="149"/>
      <c r="G587" s="146"/>
      <c r="H587" s="668" t="s">
        <v>676</v>
      </c>
      <c r="I587" s="669"/>
      <c r="J587" s="669"/>
      <c r="K587" s="669"/>
      <c r="L587" s="669"/>
      <c r="M587" s="669"/>
      <c r="N587" s="669"/>
      <c r="O587" s="669"/>
      <c r="P587" s="669"/>
      <c r="Q587" s="669"/>
      <c r="R587" s="669"/>
      <c r="S587" s="669"/>
      <c r="T587" s="670"/>
      <c r="U587" s="247"/>
      <c r="V587" s="261"/>
      <c r="W587" s="102"/>
      <c r="X587" s="103" t="str">
        <f t="shared" si="556"/>
        <v/>
      </c>
      <c r="Y587" s="271"/>
      <c r="Z587" s="121"/>
      <c r="AA587" s="121"/>
      <c r="AB587" s="121"/>
      <c r="AC587" s="121"/>
      <c r="AD587" s="121"/>
      <c r="AE587" s="121"/>
      <c r="AF587" s="121"/>
      <c r="AG587" s="121"/>
      <c r="AH587" s="121"/>
      <c r="AI587" s="121"/>
      <c r="AJ587" s="121"/>
      <c r="AK587" s="121"/>
      <c r="AL587" s="121"/>
    </row>
    <row r="588" spans="1:38" s="115" customFormat="1" ht="22.8" hidden="1">
      <c r="A588" s="187"/>
      <c r="B588" s="190"/>
      <c r="C588" s="190"/>
      <c r="D588" s="69"/>
      <c r="E588" s="69"/>
      <c r="F588" s="149"/>
      <c r="G588" s="146"/>
      <c r="H588" s="225"/>
      <c r="I588" s="225"/>
      <c r="J588" s="225"/>
      <c r="K588" s="225"/>
      <c r="L588" s="225"/>
      <c r="M588" s="225"/>
      <c r="N588" s="225"/>
      <c r="O588" s="225"/>
      <c r="P588" s="225"/>
      <c r="Q588" s="225"/>
      <c r="R588" s="225"/>
      <c r="S588" s="225"/>
      <c r="T588" s="225"/>
      <c r="U588" s="225"/>
      <c r="V588" s="260"/>
      <c r="W588" s="102"/>
      <c r="X588" s="103" t="str">
        <f t="shared" si="556"/>
        <v/>
      </c>
      <c r="Y588" s="271"/>
      <c r="Z588" s="121"/>
      <c r="AA588" s="121"/>
      <c r="AB588" s="121"/>
      <c r="AC588" s="121"/>
      <c r="AD588" s="121"/>
      <c r="AE588" s="121"/>
      <c r="AF588" s="121"/>
      <c r="AG588" s="121"/>
      <c r="AH588" s="121"/>
      <c r="AI588" s="121"/>
      <c r="AJ588" s="121"/>
      <c r="AK588" s="121"/>
      <c r="AL588" s="121"/>
    </row>
    <row r="589" spans="1:38" s="115" customFormat="1" ht="21.6" hidden="1">
      <c r="A589" s="187" t="s">
        <v>370</v>
      </c>
      <c r="B589" s="190" t="str">
        <f>LEFT(A589,3)</f>
        <v>204</v>
      </c>
      <c r="C589" s="190" t="str">
        <f>MID(A589,11,3)</f>
        <v>790</v>
      </c>
      <c r="D589" s="69" t="str">
        <f>RIGHT(A589,6)</f>
        <v>790-90</v>
      </c>
      <c r="E589" s="69" t="str">
        <f>B589&amp;"-"&amp;D589</f>
        <v>204-790-90</v>
      </c>
      <c r="F589" s="149" t="str">
        <f>MID(A589,5,5)</f>
        <v>56900</v>
      </c>
      <c r="G589" s="146" t="str">
        <f>VLOOKUP(F589,'GL Category'!A:C,2,FALSE)</f>
        <v>INTEREST/OTHER DEBTAMORTIZATI</v>
      </c>
      <c r="H589" s="95" t="e">
        <f>VLOOKUP(A589,Import!$B:$N,H$9,FALSE)</f>
        <v>#N/A</v>
      </c>
      <c r="I589" s="248" t="e">
        <f>VLOOKUP($A589,Import!$B:$N,I$9,FALSE)</f>
        <v>#N/A</v>
      </c>
      <c r="J589" s="248" t="e">
        <f>VLOOKUP($A589,Import!$B:$N,J$9,FALSE)</f>
        <v>#N/A</v>
      </c>
      <c r="K589" s="248" t="e">
        <f>VLOOKUP($A589,Import!$B:$N,K$9,FALSE)</f>
        <v>#N/A</v>
      </c>
      <c r="L589" s="248" t="e">
        <f>VLOOKUP($A589,Import!$B:$N,L$9,FALSE)</f>
        <v>#N/A</v>
      </c>
      <c r="M589" s="248" t="e">
        <f>VLOOKUP($A589,Import!$B:$N,M$9,FALSE)</f>
        <v>#N/A</v>
      </c>
      <c r="N589" s="248" t="e">
        <f>VLOOKUP($A589,Import!$B:$N,N$9,FALSE)</f>
        <v>#N/A</v>
      </c>
      <c r="O589" s="248" t="e">
        <f>VLOOKUP($A589,Import!$B:$N,O$9,FALSE)</f>
        <v>#N/A</v>
      </c>
      <c r="P589" s="248" t="e">
        <f>O589-M589</f>
        <v>#N/A</v>
      </c>
      <c r="Q589" s="248" t="e">
        <f>VLOOKUP($A589,Import!$B:$N,Q$9,FALSE)</f>
        <v>#N/A</v>
      </c>
      <c r="R589" s="248" t="e">
        <f>VLOOKUP($A589,Import!$B:$N,R$9,FALSE)</f>
        <v>#N/A</v>
      </c>
      <c r="S589" s="248" t="e">
        <f>VLOOKUP($A589,Import!$B:$N,S$9,FALSE)</f>
        <v>#N/A</v>
      </c>
      <c r="T589" s="248" t="e">
        <f>VLOOKUP($A589,Import!$B:$N,T$9,FALSE)</f>
        <v>#N/A</v>
      </c>
      <c r="U589" s="99" t="e">
        <f>T589-M589</f>
        <v>#N/A</v>
      </c>
      <c r="V589" s="259" t="e">
        <f>IF(M589=0,"N/A",T589/M589-1)</f>
        <v>#N/A</v>
      </c>
      <c r="W589" s="102"/>
      <c r="X589" s="103" t="e">
        <f t="shared" si="556"/>
        <v>#N/A</v>
      </c>
      <c r="Y589" s="271"/>
      <c r="Z589" s="121"/>
      <c r="AA589" s="121"/>
      <c r="AB589" s="121"/>
      <c r="AC589" s="121"/>
      <c r="AD589" s="121"/>
      <c r="AE589" s="121"/>
      <c r="AF589" s="121"/>
      <c r="AG589" s="121"/>
      <c r="AH589" s="121"/>
      <c r="AI589" s="121"/>
      <c r="AJ589" s="121"/>
      <c r="AK589" s="121"/>
      <c r="AL589" s="121"/>
    </row>
    <row r="590" spans="1:38" s="115" customFormat="1" ht="14.4" hidden="1">
      <c r="A590" s="187" t="s">
        <v>371</v>
      </c>
      <c r="B590" s="190" t="str">
        <f>LEFT(A590,3)</f>
        <v>204</v>
      </c>
      <c r="C590" s="190" t="str">
        <f>MID(A590,11,3)</f>
        <v>790</v>
      </c>
      <c r="D590" s="69" t="str">
        <f>RIGHT(A590,6)</f>
        <v>790-90</v>
      </c>
      <c r="E590" s="69" t="str">
        <f>B590&amp;"-"&amp;D590</f>
        <v>204-790-90</v>
      </c>
      <c r="F590" s="149" t="str">
        <f>MID(A590,5,5)</f>
        <v>56902</v>
      </c>
      <c r="G590" s="146" t="str">
        <f>VLOOKUP(F590,'GL Category'!A:C,2,FALSE)</f>
        <v>GO RETIREMENT</v>
      </c>
      <c r="H590" s="95" t="e">
        <f>VLOOKUP(A590,Import!$B:$N,H$9,FALSE)</f>
        <v>#N/A</v>
      </c>
      <c r="I590" s="248" t="e">
        <f>VLOOKUP($A590,Import!$B:$N,I$9,FALSE)</f>
        <v>#N/A</v>
      </c>
      <c r="J590" s="248" t="e">
        <f>VLOOKUP($A590,Import!$B:$N,J$9,FALSE)</f>
        <v>#N/A</v>
      </c>
      <c r="K590" s="248" t="e">
        <f>VLOOKUP($A590,Import!$B:$N,K$9,FALSE)</f>
        <v>#N/A</v>
      </c>
      <c r="L590" s="248" t="e">
        <f>VLOOKUP($A590,Import!$B:$N,L$9,FALSE)</f>
        <v>#N/A</v>
      </c>
      <c r="M590" s="248" t="e">
        <f>VLOOKUP($A590,Import!$B:$N,M$9,FALSE)</f>
        <v>#N/A</v>
      </c>
      <c r="N590" s="248" t="e">
        <f>VLOOKUP($A590,Import!$B:$N,N$9,FALSE)</f>
        <v>#N/A</v>
      </c>
      <c r="O590" s="248" t="e">
        <f>VLOOKUP($A590,Import!$B:$N,O$9,FALSE)</f>
        <v>#N/A</v>
      </c>
      <c r="P590" s="248" t="e">
        <f>O590-M590</f>
        <v>#N/A</v>
      </c>
      <c r="Q590" s="248" t="e">
        <f>VLOOKUP($A590,Import!$B:$N,Q$9,FALSE)</f>
        <v>#N/A</v>
      </c>
      <c r="R590" s="248" t="e">
        <f>VLOOKUP($A590,Import!$B:$N,R$9,FALSE)</f>
        <v>#N/A</v>
      </c>
      <c r="S590" s="248" t="e">
        <f>VLOOKUP($A590,Import!$B:$N,S$9,FALSE)</f>
        <v>#N/A</v>
      </c>
      <c r="T590" s="248" t="e">
        <f>VLOOKUP($A590,Import!$B:$N,T$9,FALSE)</f>
        <v>#N/A</v>
      </c>
      <c r="U590" s="99" t="e">
        <f>T590-M590</f>
        <v>#N/A</v>
      </c>
      <c r="V590" s="259" t="e">
        <f>IF(M590=0,"N/A",T590/M590-1)</f>
        <v>#N/A</v>
      </c>
      <c r="W590" s="102"/>
      <c r="X590" s="103" t="e">
        <f t="shared" si="556"/>
        <v>#N/A</v>
      </c>
      <c r="Y590" s="271"/>
      <c r="Z590" s="121"/>
      <c r="AA590" s="121"/>
      <c r="AB590" s="121"/>
      <c r="AC590" s="121"/>
      <c r="AD590" s="121"/>
      <c r="AE590" s="121"/>
      <c r="AF590" s="121"/>
      <c r="AG590" s="121"/>
      <c r="AH590" s="121"/>
      <c r="AI590" s="121"/>
      <c r="AJ590" s="121"/>
      <c r="AK590" s="121"/>
      <c r="AL590" s="121"/>
    </row>
    <row r="591" spans="1:38" s="115" customFormat="1" ht="14.4" hidden="1">
      <c r="A591" s="187" t="s">
        <v>372</v>
      </c>
      <c r="B591" s="190" t="str">
        <f>LEFT(A591,3)</f>
        <v>204</v>
      </c>
      <c r="C591" s="190" t="str">
        <f>MID(A591,11,3)</f>
        <v>790</v>
      </c>
      <c r="D591" s="69" t="str">
        <f>RIGHT(A591,6)</f>
        <v>790-91</v>
      </c>
      <c r="E591" s="69" t="str">
        <f>B591&amp;"-"&amp;D591</f>
        <v>204-790-91</v>
      </c>
      <c r="F591" s="149" t="str">
        <f>MID(A591,5,5)</f>
        <v>59200</v>
      </c>
      <c r="G591" s="146" t="e">
        <f>VLOOKUP(F591,'GL Category'!A:C,2,FALSE)</f>
        <v>#N/A</v>
      </c>
      <c r="H591" s="95" t="e">
        <f>VLOOKUP(A591,Import!$B:$N,H$9,FALSE)</f>
        <v>#N/A</v>
      </c>
      <c r="I591" s="248" t="e">
        <f>VLOOKUP($A591,Import!$B:$N,I$9,FALSE)</f>
        <v>#N/A</v>
      </c>
      <c r="J591" s="248" t="e">
        <f>VLOOKUP($A591,Import!$B:$N,J$9,FALSE)</f>
        <v>#N/A</v>
      </c>
      <c r="K591" s="248" t="e">
        <f>VLOOKUP($A591,Import!$B:$N,K$9,FALSE)</f>
        <v>#N/A</v>
      </c>
      <c r="L591" s="248" t="e">
        <f>VLOOKUP($A591,Import!$B:$N,L$9,FALSE)</f>
        <v>#N/A</v>
      </c>
      <c r="M591" s="248" t="e">
        <f>VLOOKUP($A591,Import!$B:$N,M$9,FALSE)</f>
        <v>#N/A</v>
      </c>
      <c r="N591" s="248" t="e">
        <f>VLOOKUP($A591,Import!$B:$N,N$9,FALSE)</f>
        <v>#N/A</v>
      </c>
      <c r="O591" s="248" t="e">
        <f>VLOOKUP($A591,Import!$B:$N,O$9,FALSE)</f>
        <v>#N/A</v>
      </c>
      <c r="P591" s="248" t="e">
        <f>O591-M591</f>
        <v>#N/A</v>
      </c>
      <c r="Q591" s="248" t="e">
        <f>VLOOKUP($A591,Import!$B:$N,Q$9,FALSE)</f>
        <v>#N/A</v>
      </c>
      <c r="R591" s="248" t="e">
        <f>VLOOKUP($A591,Import!$B:$N,R$9,FALSE)</f>
        <v>#N/A</v>
      </c>
      <c r="S591" s="248" t="e">
        <f>VLOOKUP($A591,Import!$B:$N,S$9,FALSE)</f>
        <v>#N/A</v>
      </c>
      <c r="T591" s="248" t="e">
        <f>VLOOKUP($A591,Import!$B:$N,T$9,FALSE)</f>
        <v>#N/A</v>
      </c>
      <c r="U591" s="99" t="e">
        <f>T591-M591</f>
        <v>#N/A</v>
      </c>
      <c r="V591" s="259" t="e">
        <f>IF(M591=0,"N/A",T591/M591-1)</f>
        <v>#N/A</v>
      </c>
      <c r="W591" s="102"/>
      <c r="X591" s="103" t="e">
        <f t="shared" si="556"/>
        <v>#N/A</v>
      </c>
      <c r="Y591" s="271"/>
      <c r="Z591" s="121"/>
      <c r="AA591" s="121"/>
      <c r="AB591" s="121"/>
      <c r="AC591" s="121"/>
      <c r="AD591" s="121"/>
      <c r="AE591" s="121"/>
      <c r="AF591" s="121"/>
      <c r="AG591" s="121"/>
      <c r="AH591" s="121"/>
      <c r="AI591" s="121"/>
      <c r="AJ591" s="121"/>
      <c r="AK591" s="121"/>
      <c r="AL591" s="121"/>
    </row>
    <row r="592" spans="1:38" s="115" customFormat="1" ht="14.4" hidden="1">
      <c r="A592" s="187" t="s">
        <v>373</v>
      </c>
      <c r="B592" s="190" t="str">
        <f>LEFT(A592,3)</f>
        <v>204</v>
      </c>
      <c r="C592" s="190" t="str">
        <f>MID(A592,11,3)</f>
        <v>990</v>
      </c>
      <c r="D592" s="69" t="str">
        <f>RIGHT(A592,6)</f>
        <v>990-01</v>
      </c>
      <c r="E592" s="69" t="str">
        <f>B592&amp;"-"&amp;D592</f>
        <v>204-990-01</v>
      </c>
      <c r="F592" s="149" t="str">
        <f>MID(A592,5,5)</f>
        <v>56920</v>
      </c>
      <c r="G592" s="146" t="e">
        <f>VLOOKUP(F592,'GL Category'!A:C,2,FALSE)</f>
        <v>#N/A</v>
      </c>
      <c r="H592" s="95" t="e">
        <f>VLOOKUP(A592,Import!$B:$N,H$9,FALSE)</f>
        <v>#N/A</v>
      </c>
      <c r="I592" s="248" t="e">
        <f>VLOOKUP($A592,Import!$B:$N,I$9,FALSE)</f>
        <v>#N/A</v>
      </c>
      <c r="J592" s="248" t="e">
        <f>VLOOKUP($A592,Import!$B:$N,J$9,FALSE)</f>
        <v>#N/A</v>
      </c>
      <c r="K592" s="248" t="e">
        <f>VLOOKUP($A592,Import!$B:$N,K$9,FALSE)</f>
        <v>#N/A</v>
      </c>
      <c r="L592" s="248" t="e">
        <f>VLOOKUP($A592,Import!$B:$N,L$9,FALSE)</f>
        <v>#N/A</v>
      </c>
      <c r="M592" s="248" t="e">
        <f>VLOOKUP($A592,Import!$B:$N,M$9,FALSE)</f>
        <v>#N/A</v>
      </c>
      <c r="N592" s="248" t="e">
        <f>VLOOKUP($A592,Import!$B:$N,N$9,FALSE)</f>
        <v>#N/A</v>
      </c>
      <c r="O592" s="248" t="e">
        <f>VLOOKUP($A592,Import!$B:$N,O$9,FALSE)</f>
        <v>#N/A</v>
      </c>
      <c r="P592" s="248" t="e">
        <f>O592-M592</f>
        <v>#N/A</v>
      </c>
      <c r="Q592" s="248" t="e">
        <f>VLOOKUP($A592,Import!$B:$N,Q$9,FALSE)</f>
        <v>#N/A</v>
      </c>
      <c r="R592" s="248" t="e">
        <f>VLOOKUP($A592,Import!$B:$N,R$9,FALSE)</f>
        <v>#N/A</v>
      </c>
      <c r="S592" s="248" t="e">
        <f>VLOOKUP($A592,Import!$B:$N,S$9,FALSE)</f>
        <v>#N/A</v>
      </c>
      <c r="T592" s="248" t="e">
        <f>VLOOKUP($A592,Import!$B:$N,T$9,FALSE)</f>
        <v>#N/A</v>
      </c>
      <c r="U592" s="99" t="e">
        <f>T592-M592</f>
        <v>#N/A</v>
      </c>
      <c r="V592" s="259" t="e">
        <f>IF(M592=0,"N/A",T592/M592-1)</f>
        <v>#N/A</v>
      </c>
      <c r="W592" s="102"/>
      <c r="X592" s="103" t="e">
        <f t="shared" si="556"/>
        <v>#N/A</v>
      </c>
      <c r="Y592" s="271"/>
      <c r="Z592" s="121"/>
      <c r="AA592" s="121"/>
      <c r="AB592" s="121"/>
      <c r="AC592" s="121"/>
      <c r="AD592" s="121"/>
      <c r="AE592" s="121"/>
      <c r="AF592" s="121"/>
      <c r="AG592" s="121"/>
      <c r="AH592" s="121"/>
      <c r="AI592" s="121"/>
      <c r="AJ592" s="121"/>
      <c r="AK592" s="121"/>
      <c r="AL592" s="121"/>
    </row>
    <row r="593" spans="1:38" s="115" customFormat="1" ht="14.4" hidden="1">
      <c r="A593" s="187"/>
      <c r="B593" s="190"/>
      <c r="C593" s="190"/>
      <c r="D593" s="69"/>
      <c r="E593" s="69"/>
      <c r="F593" s="149"/>
      <c r="G593" s="146"/>
      <c r="H593" s="107" t="e">
        <f>UPPER(#REF!)&amp;" TOTAL"</f>
        <v>#REF!</v>
      </c>
      <c r="I593" s="108" t="e">
        <f t="shared" ref="I593" si="557">SUBTOTAL(9,I589:I592)</f>
        <v>#N/A</v>
      </c>
      <c r="J593" s="108" t="e">
        <f t="shared" ref="J593:O593" si="558">SUBTOTAL(9,J589:J592)</f>
        <v>#N/A</v>
      </c>
      <c r="K593" s="108" t="e">
        <f t="shared" ref="K593" si="559">SUBTOTAL(9,K589:K592)</f>
        <v>#N/A</v>
      </c>
      <c r="L593" s="108" t="e">
        <f t="shared" ref="L593" si="560">SUBTOTAL(9,L589:L592)</f>
        <v>#N/A</v>
      </c>
      <c r="M593" s="108" t="e">
        <f t="shared" si="558"/>
        <v>#N/A</v>
      </c>
      <c r="N593" s="109" t="e">
        <f t="shared" ref="N593" si="561">SUBTOTAL(9,N589:N592)</f>
        <v>#N/A</v>
      </c>
      <c r="O593" s="109" t="e">
        <f t="shared" si="558"/>
        <v>#N/A</v>
      </c>
      <c r="P593" s="109" t="e">
        <f>O593-M593</f>
        <v>#N/A</v>
      </c>
      <c r="Q593" s="109" t="e">
        <f t="shared" ref="Q593:T593" si="562">SUBTOTAL(9,Q589:Q592)</f>
        <v>#N/A</v>
      </c>
      <c r="R593" s="109" t="e">
        <f t="shared" si="562"/>
        <v>#N/A</v>
      </c>
      <c r="S593" s="109" t="e">
        <f t="shared" si="562"/>
        <v>#N/A</v>
      </c>
      <c r="T593" s="109" t="e">
        <f t="shared" si="562"/>
        <v>#N/A</v>
      </c>
      <c r="U593" s="99" t="e">
        <f>T593-M593</f>
        <v>#N/A</v>
      </c>
      <c r="V593" s="259" t="e">
        <f>IF(M593=0,"N/A",T593/M593-1)</f>
        <v>#N/A</v>
      </c>
      <c r="W593" s="102"/>
      <c r="X593" s="103" t="e">
        <f t="shared" si="556"/>
        <v>#N/A</v>
      </c>
      <c r="Y593" s="271"/>
      <c r="Z593" s="121"/>
      <c r="AA593" s="121"/>
      <c r="AB593" s="121"/>
      <c r="AC593" s="121"/>
      <c r="AD593" s="121"/>
      <c r="AE593" s="121"/>
      <c r="AF593" s="121"/>
      <c r="AG593" s="121"/>
      <c r="AH593" s="121"/>
      <c r="AI593" s="121"/>
      <c r="AJ593" s="121"/>
      <c r="AK593" s="121"/>
      <c r="AL593" s="121"/>
    </row>
    <row r="594" spans="1:38" s="115" customFormat="1" ht="14.4" hidden="1">
      <c r="A594" s="187"/>
      <c r="B594" s="190"/>
      <c r="C594" s="190"/>
      <c r="D594" s="69"/>
      <c r="E594" s="69"/>
      <c r="F594" s="149"/>
      <c r="G594" s="146"/>
      <c r="H594" s="98"/>
      <c r="I594" s="106"/>
      <c r="J594" s="106"/>
      <c r="K594" s="106"/>
      <c r="L594" s="106"/>
      <c r="M594" s="106"/>
      <c r="N594" s="112"/>
      <c r="O594" s="112"/>
      <c r="P594" s="112"/>
      <c r="Q594" s="113"/>
      <c r="R594" s="113"/>
      <c r="S594" s="113"/>
      <c r="T594" s="113"/>
      <c r="U594" s="113"/>
      <c r="V594" s="113"/>
      <c r="W594" s="102"/>
      <c r="X594" s="103" t="str">
        <f t="shared" si="556"/>
        <v/>
      </c>
      <c r="Y594" s="271"/>
      <c r="Z594" s="121"/>
      <c r="AA594" s="121"/>
      <c r="AB594" s="121"/>
      <c r="AC594" s="121"/>
      <c r="AD594" s="121"/>
      <c r="AE594" s="121"/>
      <c r="AF594" s="121"/>
      <c r="AG594" s="121"/>
      <c r="AH594" s="121"/>
      <c r="AI594" s="121"/>
      <c r="AJ594" s="121"/>
      <c r="AK594" s="121"/>
      <c r="AL594" s="121"/>
    </row>
    <row r="595" spans="1:38" s="115" customFormat="1" ht="14.4" hidden="1">
      <c r="A595" s="187"/>
      <c r="B595" s="190"/>
      <c r="C595" s="190"/>
      <c r="D595" s="69"/>
      <c r="E595" s="69"/>
      <c r="F595" s="149"/>
      <c r="G595" s="146"/>
      <c r="H595" s="114" t="s">
        <v>51</v>
      </c>
      <c r="I595" s="108" t="e">
        <f t="shared" ref="I595" si="563">SUBTOTAL(9,I589:I593)</f>
        <v>#N/A</v>
      </c>
      <c r="J595" s="108" t="e">
        <f t="shared" ref="J595:T595" si="564">SUBTOTAL(9,J589:J593)</f>
        <v>#N/A</v>
      </c>
      <c r="K595" s="108" t="e">
        <f t="shared" ref="K595" si="565">SUBTOTAL(9,K589:K593)</f>
        <v>#N/A</v>
      </c>
      <c r="L595" s="108" t="e">
        <f t="shared" ref="L595" si="566">SUBTOTAL(9,L589:L593)</f>
        <v>#N/A</v>
      </c>
      <c r="M595" s="108" t="e">
        <f t="shared" si="564"/>
        <v>#N/A</v>
      </c>
      <c r="N595" s="108" t="e">
        <f t="shared" ref="N595" si="567">SUBTOTAL(9,N589:N593)</f>
        <v>#N/A</v>
      </c>
      <c r="O595" s="108" t="e">
        <f t="shared" si="564"/>
        <v>#N/A</v>
      </c>
      <c r="P595" s="108" t="e">
        <f t="shared" si="564"/>
        <v>#N/A</v>
      </c>
      <c r="Q595" s="108" t="e">
        <f t="shared" si="564"/>
        <v>#N/A</v>
      </c>
      <c r="R595" s="108" t="e">
        <f t="shared" si="564"/>
        <v>#N/A</v>
      </c>
      <c r="S595" s="108" t="e">
        <f t="shared" si="564"/>
        <v>#N/A</v>
      </c>
      <c r="T595" s="108" t="e">
        <f t="shared" si="564"/>
        <v>#N/A</v>
      </c>
      <c r="U595" s="99" t="e">
        <f>T595-M595</f>
        <v>#N/A</v>
      </c>
      <c r="V595" s="259" t="e">
        <f>IF(M595=0,"N/A",T595/M595-1)</f>
        <v>#N/A</v>
      </c>
      <c r="W595" s="102"/>
      <c r="X595" s="103" t="e">
        <f t="shared" si="556"/>
        <v>#N/A</v>
      </c>
      <c r="Y595" s="271"/>
      <c r="Z595" s="121"/>
      <c r="AA595" s="121"/>
      <c r="AB595" s="121"/>
      <c r="AC595" s="121"/>
      <c r="AD595" s="121"/>
      <c r="AE595" s="121"/>
      <c r="AF595" s="121"/>
      <c r="AG595" s="121"/>
      <c r="AH595" s="121"/>
      <c r="AI595" s="121"/>
      <c r="AJ595" s="121"/>
      <c r="AK595" s="121"/>
      <c r="AL595" s="121"/>
    </row>
    <row r="596" spans="1:38" s="115" customFormat="1" ht="22.8" hidden="1">
      <c r="A596" s="187"/>
      <c r="B596" s="190"/>
      <c r="C596" s="190"/>
      <c r="D596" s="69"/>
      <c r="E596" s="69"/>
      <c r="F596" s="149"/>
      <c r="G596" s="146"/>
      <c r="H596" s="225"/>
      <c r="I596" s="225"/>
      <c r="J596" s="225"/>
      <c r="K596" s="225"/>
      <c r="L596" s="225"/>
      <c r="M596" s="225"/>
      <c r="N596" s="225"/>
      <c r="O596" s="225"/>
      <c r="P596" s="225"/>
      <c r="Q596" s="225"/>
      <c r="R596" s="225"/>
      <c r="S596" s="225"/>
      <c r="T596" s="225"/>
      <c r="U596" s="225"/>
      <c r="V596" s="260"/>
      <c r="W596" s="102"/>
      <c r="X596" s="103" t="str">
        <f t="shared" si="556"/>
        <v/>
      </c>
      <c r="Y596" s="271"/>
      <c r="Z596" s="121"/>
      <c r="AA596" s="121"/>
      <c r="AB596" s="121"/>
      <c r="AC596" s="121"/>
      <c r="AD596" s="121"/>
      <c r="AE596" s="121"/>
      <c r="AF596" s="121"/>
      <c r="AG596" s="121"/>
      <c r="AH596" s="121"/>
      <c r="AI596" s="121"/>
      <c r="AJ596" s="121"/>
      <c r="AK596" s="121"/>
      <c r="AL596" s="121"/>
    </row>
    <row r="597" spans="1:38" s="115" customFormat="1" ht="21.6" hidden="1" thickBot="1">
      <c r="A597" s="187"/>
      <c r="B597" s="190"/>
      <c r="C597" s="190"/>
      <c r="D597" s="69"/>
      <c r="E597" s="69"/>
      <c r="F597" s="149"/>
      <c r="G597" s="146"/>
      <c r="H597" s="668" t="s">
        <v>682</v>
      </c>
      <c r="I597" s="669"/>
      <c r="J597" s="669"/>
      <c r="K597" s="669"/>
      <c r="L597" s="669"/>
      <c r="M597" s="669"/>
      <c r="N597" s="669"/>
      <c r="O597" s="669"/>
      <c r="P597" s="669"/>
      <c r="Q597" s="669"/>
      <c r="R597" s="669"/>
      <c r="S597" s="669"/>
      <c r="T597" s="670"/>
      <c r="U597" s="247"/>
      <c r="V597" s="261"/>
      <c r="X597" s="148"/>
      <c r="Y597" s="267"/>
      <c r="Z597" s="121"/>
      <c r="AA597" s="121"/>
      <c r="AB597" s="121"/>
      <c r="AC597" s="121"/>
      <c r="AD597" s="121"/>
      <c r="AE597" s="121"/>
      <c r="AF597" s="121"/>
      <c r="AG597" s="121"/>
      <c r="AH597" s="121"/>
      <c r="AI597" s="121"/>
      <c r="AJ597" s="121"/>
      <c r="AK597" s="121"/>
      <c r="AL597" s="121"/>
    </row>
    <row r="598" spans="1:38" s="115" customFormat="1" ht="22.8" hidden="1">
      <c r="A598" s="187"/>
      <c r="B598" s="190"/>
      <c r="C598" s="190"/>
      <c r="D598" s="69"/>
      <c r="E598" s="69"/>
      <c r="F598" s="149"/>
      <c r="G598" s="146"/>
      <c r="H598" s="225"/>
      <c r="I598" s="225"/>
      <c r="J598" s="225"/>
      <c r="K598" s="225"/>
      <c r="L598" s="225"/>
      <c r="M598" s="225"/>
      <c r="N598" s="225"/>
      <c r="O598" s="225"/>
      <c r="P598" s="225"/>
      <c r="Q598" s="225"/>
      <c r="R598" s="225"/>
      <c r="S598" s="225"/>
      <c r="T598" s="225"/>
      <c r="U598" s="225"/>
      <c r="V598" s="260"/>
      <c r="X598" s="148"/>
      <c r="Y598" s="267"/>
      <c r="Z598" s="121"/>
      <c r="AA598" s="121"/>
      <c r="AB598" s="121"/>
      <c r="AC598" s="121"/>
      <c r="AD598" s="121"/>
      <c r="AE598" s="121"/>
      <c r="AF598" s="121"/>
      <c r="AG598" s="121"/>
      <c r="AH598" s="121"/>
      <c r="AI598" s="121"/>
      <c r="AJ598" s="121"/>
      <c r="AK598" s="121"/>
      <c r="AL598" s="121"/>
    </row>
    <row r="599" spans="1:38" s="115" customFormat="1" ht="14.4" hidden="1">
      <c r="A599" s="187" t="s">
        <v>519</v>
      </c>
      <c r="B599" s="190" t="str">
        <f>LEFT(A599,3)</f>
        <v>231</v>
      </c>
      <c r="C599" s="190" t="str">
        <f>MID(A599,11,3)</f>
        <v>000</v>
      </c>
      <c r="D599" s="69" t="str">
        <f>RIGHT(A599,6)</f>
        <v>000-00</v>
      </c>
      <c r="E599" s="69" t="str">
        <f>B599&amp;"-"&amp;D599</f>
        <v>231-000-00</v>
      </c>
      <c r="F599" s="149" t="str">
        <f>MID(A599,5,5)</f>
        <v>41310</v>
      </c>
      <c r="G599" s="146" t="e">
        <f>VLOOKUP(F599,'GL Category'!A:C,2,FALSE)</f>
        <v>#N/A</v>
      </c>
      <c r="H599" s="95" t="e">
        <f>VLOOKUP(A599,Import!$B:$N,H$9,FALSE)</f>
        <v>#N/A</v>
      </c>
      <c r="I599" s="248" t="e">
        <f>VLOOKUP($A599,Import!$B:$N,I$9,FALSE)</f>
        <v>#N/A</v>
      </c>
      <c r="J599" s="248" t="e">
        <f>VLOOKUP($A599,Import!$B:$N,J$9,FALSE)</f>
        <v>#N/A</v>
      </c>
      <c r="K599" s="248" t="e">
        <f>VLOOKUP($A599,Import!$B:$N,K$9,FALSE)</f>
        <v>#N/A</v>
      </c>
      <c r="L599" s="248" t="e">
        <f>VLOOKUP($A599,Import!$B:$N,L$9,FALSE)</f>
        <v>#N/A</v>
      </c>
      <c r="M599" s="248" t="e">
        <f>VLOOKUP($A599,Import!$B:$N,M$9,FALSE)</f>
        <v>#N/A</v>
      </c>
      <c r="N599" s="248" t="e">
        <f>VLOOKUP($A599,Import!$B:$N,N$9,FALSE)</f>
        <v>#N/A</v>
      </c>
      <c r="O599" s="248" t="e">
        <f>VLOOKUP($A599,Import!$B:$N,O$9,FALSE)</f>
        <v>#N/A</v>
      </c>
      <c r="P599" s="248" t="e">
        <f>O599-M599</f>
        <v>#N/A</v>
      </c>
      <c r="Q599" s="248" t="e">
        <f>VLOOKUP($A599,Import!$B:$N,Q$9,FALSE)</f>
        <v>#N/A</v>
      </c>
      <c r="R599" s="248" t="e">
        <f>VLOOKUP($A599,Import!$B:$N,R$9,FALSE)</f>
        <v>#N/A</v>
      </c>
      <c r="S599" s="248" t="e">
        <f>VLOOKUP($A599,Import!$B:$N,S$9,FALSE)</f>
        <v>#N/A</v>
      </c>
      <c r="T599" s="248" t="e">
        <f>VLOOKUP($A599,Import!$B:$N,T$9,FALSE)</f>
        <v>#N/A</v>
      </c>
      <c r="U599" s="99" t="e">
        <f>T599-M599</f>
        <v>#N/A</v>
      </c>
      <c r="V599" s="259" t="e">
        <f>IF(M599=0,"N/A",T599/M599-1)</f>
        <v>#N/A</v>
      </c>
      <c r="X599" s="148"/>
      <c r="Y599" s="267"/>
      <c r="Z599" s="121"/>
      <c r="AA599" s="121"/>
      <c r="AB599" s="121"/>
      <c r="AC599" s="121"/>
      <c r="AD599" s="121"/>
      <c r="AE599" s="121"/>
      <c r="AF599" s="121"/>
      <c r="AG599" s="121"/>
      <c r="AH599" s="121"/>
      <c r="AI599" s="121"/>
      <c r="AJ599" s="121"/>
      <c r="AK599" s="121"/>
      <c r="AL599" s="121"/>
    </row>
    <row r="600" spans="1:38" s="115" customFormat="1" ht="14.4" hidden="1">
      <c r="A600" s="187" t="s">
        <v>520</v>
      </c>
      <c r="B600" s="190" t="str">
        <f>LEFT(A600,3)</f>
        <v>231</v>
      </c>
      <c r="C600" s="190" t="str">
        <f>MID(A600,11,3)</f>
        <v>000</v>
      </c>
      <c r="D600" s="69" t="str">
        <f>RIGHT(A600,6)</f>
        <v>000-00</v>
      </c>
      <c r="E600" s="69" t="str">
        <f>B600&amp;"-"&amp;D600</f>
        <v>231-000-00</v>
      </c>
      <c r="F600" s="149" t="str">
        <f>MID(A600,5,5)</f>
        <v>46165</v>
      </c>
      <c r="G600" s="146" t="str">
        <f>VLOOKUP(F600,'GL Category'!A:C,2,FALSE)</f>
        <v>I/G REV-TOWN OF WESTLAKE</v>
      </c>
      <c r="H600" s="95" t="e">
        <f>VLOOKUP(A600,Import!$B:$N,H$9,FALSE)</f>
        <v>#N/A</v>
      </c>
      <c r="I600" s="248" t="e">
        <f>VLOOKUP($A600,Import!$B:$N,I$9,FALSE)</f>
        <v>#N/A</v>
      </c>
      <c r="J600" s="248" t="e">
        <f>VLOOKUP($A600,Import!$B:$N,J$9,FALSE)</f>
        <v>#N/A</v>
      </c>
      <c r="K600" s="248" t="e">
        <f>VLOOKUP($A600,Import!$B:$N,K$9,FALSE)</f>
        <v>#N/A</v>
      </c>
      <c r="L600" s="248" t="e">
        <f>VLOOKUP($A600,Import!$B:$N,L$9,FALSE)</f>
        <v>#N/A</v>
      </c>
      <c r="M600" s="248" t="e">
        <f>VLOOKUP($A600,Import!$B:$N,M$9,FALSE)</f>
        <v>#N/A</v>
      </c>
      <c r="N600" s="248" t="e">
        <f>VLOOKUP($A600,Import!$B:$N,N$9,FALSE)</f>
        <v>#N/A</v>
      </c>
      <c r="O600" s="248" t="e">
        <f>VLOOKUP($A600,Import!$B:$N,O$9,FALSE)</f>
        <v>#N/A</v>
      </c>
      <c r="P600" s="248" t="e">
        <f>O600-M600</f>
        <v>#N/A</v>
      </c>
      <c r="Q600" s="248" t="e">
        <f>VLOOKUP($A600,Import!$B:$N,Q$9,FALSE)</f>
        <v>#N/A</v>
      </c>
      <c r="R600" s="248" t="e">
        <f>VLOOKUP($A600,Import!$B:$N,R$9,FALSE)</f>
        <v>#N/A</v>
      </c>
      <c r="S600" s="248" t="e">
        <f>VLOOKUP($A600,Import!$B:$N,S$9,FALSE)</f>
        <v>#N/A</v>
      </c>
      <c r="T600" s="248" t="e">
        <f>VLOOKUP($A600,Import!$B:$N,T$9,FALSE)</f>
        <v>#N/A</v>
      </c>
      <c r="U600" s="99" t="e">
        <f>T600-M600</f>
        <v>#N/A</v>
      </c>
      <c r="V600" s="259" t="e">
        <f>IF(M600=0,"N/A",T600/M600-1)</f>
        <v>#N/A</v>
      </c>
      <c r="X600" s="148"/>
      <c r="Y600" s="267"/>
      <c r="Z600" s="121"/>
      <c r="AA600" s="121"/>
      <c r="AB600" s="121"/>
      <c r="AC600" s="121"/>
      <c r="AD600" s="121"/>
      <c r="AE600" s="121"/>
      <c r="AF600" s="121"/>
      <c r="AG600" s="121"/>
      <c r="AH600" s="121"/>
      <c r="AI600" s="121"/>
      <c r="AJ600" s="121"/>
      <c r="AK600" s="121"/>
      <c r="AL600" s="121"/>
    </row>
    <row r="601" spans="1:38" s="115" customFormat="1" ht="21.6" hidden="1">
      <c r="A601" s="187" t="s">
        <v>521</v>
      </c>
      <c r="B601" s="190" t="str">
        <f>LEFT(A601,3)</f>
        <v>231</v>
      </c>
      <c r="C601" s="190" t="str">
        <f>MID(A601,11,3)</f>
        <v>000</v>
      </c>
      <c r="D601" s="69" t="str">
        <f>RIGHT(A601,6)</f>
        <v>000-00</v>
      </c>
      <c r="E601" s="69" t="str">
        <f>B601&amp;"-"&amp;D601</f>
        <v>231-000-00</v>
      </c>
      <c r="F601" s="149" t="str">
        <f>MID(A601,5,5)</f>
        <v>47090</v>
      </c>
      <c r="G601" s="146" t="str">
        <f>VLOOKUP(F601,'GL Category'!A:C,2,FALSE)</f>
        <v>INTEREST REVENUE-INVESTMENTS</v>
      </c>
      <c r="H601" s="95" t="e">
        <f>VLOOKUP(A601,Import!$B:$N,H$9,FALSE)</f>
        <v>#N/A</v>
      </c>
      <c r="I601" s="248" t="e">
        <f>VLOOKUP($A601,Import!$B:$N,I$9,FALSE)</f>
        <v>#N/A</v>
      </c>
      <c r="J601" s="248" t="e">
        <f>VLOOKUP($A601,Import!$B:$N,J$9,FALSE)</f>
        <v>#N/A</v>
      </c>
      <c r="K601" s="248" t="e">
        <f>VLOOKUP($A601,Import!$B:$N,K$9,FALSE)</f>
        <v>#N/A</v>
      </c>
      <c r="L601" s="248" t="e">
        <f>VLOOKUP($A601,Import!$B:$N,L$9,FALSE)</f>
        <v>#N/A</v>
      </c>
      <c r="M601" s="248" t="e">
        <f>VLOOKUP($A601,Import!$B:$N,M$9,FALSE)</f>
        <v>#N/A</v>
      </c>
      <c r="N601" s="248" t="e">
        <f>VLOOKUP($A601,Import!$B:$N,N$9,FALSE)</f>
        <v>#N/A</v>
      </c>
      <c r="O601" s="248" t="e">
        <f>VLOOKUP($A601,Import!$B:$N,O$9,FALSE)</f>
        <v>#N/A</v>
      </c>
      <c r="P601" s="248" t="e">
        <f>O601-M601</f>
        <v>#N/A</v>
      </c>
      <c r="Q601" s="248" t="e">
        <f>VLOOKUP($A601,Import!$B:$N,Q$9,FALSE)</f>
        <v>#N/A</v>
      </c>
      <c r="R601" s="248" t="e">
        <f>VLOOKUP($A601,Import!$B:$N,R$9,FALSE)</f>
        <v>#N/A</v>
      </c>
      <c r="S601" s="248" t="e">
        <f>VLOOKUP($A601,Import!$B:$N,S$9,FALSE)</f>
        <v>#N/A</v>
      </c>
      <c r="T601" s="248" t="e">
        <f>VLOOKUP($A601,Import!$B:$N,T$9,FALSE)</f>
        <v>#N/A</v>
      </c>
      <c r="U601" s="99" t="e">
        <f>T601-M601</f>
        <v>#N/A</v>
      </c>
      <c r="V601" s="259" t="e">
        <f>IF(M601=0,"N/A",T601/M601-1)</f>
        <v>#N/A</v>
      </c>
      <c r="X601" s="148"/>
      <c r="Y601" s="267"/>
      <c r="Z601" s="121"/>
      <c r="AA601" s="121"/>
      <c r="AB601" s="121"/>
      <c r="AC601" s="121"/>
      <c r="AD601" s="121"/>
      <c r="AE601" s="121"/>
      <c r="AF601" s="121"/>
      <c r="AG601" s="121"/>
      <c r="AH601" s="121"/>
      <c r="AI601" s="121"/>
      <c r="AJ601" s="121"/>
      <c r="AK601" s="121"/>
      <c r="AL601" s="121"/>
    </row>
    <row r="602" spans="1:38" s="115" customFormat="1" ht="14.4" hidden="1">
      <c r="A602" s="187" t="s">
        <v>522</v>
      </c>
      <c r="B602" s="190" t="str">
        <f>LEFT(A602,3)</f>
        <v>231</v>
      </c>
      <c r="C602" s="190" t="str">
        <f>MID(A602,11,3)</f>
        <v>000</v>
      </c>
      <c r="D602" s="69" t="str">
        <f>RIGHT(A602,6)</f>
        <v>000-00</v>
      </c>
      <c r="E602" s="69" t="str">
        <f>B602&amp;"-"&amp;D602</f>
        <v>231-000-00</v>
      </c>
      <c r="F602" s="149" t="str">
        <f>MID(A602,5,5)</f>
        <v>47110</v>
      </c>
      <c r="G602" s="146" t="e">
        <f>VLOOKUP(F602,'GL Category'!A:C,2,FALSE)</f>
        <v>#N/A</v>
      </c>
      <c r="H602" s="95" t="e">
        <f>VLOOKUP(A602,Import!$B:$N,H$9,FALSE)</f>
        <v>#N/A</v>
      </c>
      <c r="I602" s="248" t="e">
        <f>VLOOKUP($A602,Import!$B:$N,I$9,FALSE)</f>
        <v>#N/A</v>
      </c>
      <c r="J602" s="248" t="e">
        <f>VLOOKUP($A602,Import!$B:$N,J$9,FALSE)</f>
        <v>#N/A</v>
      </c>
      <c r="K602" s="248" t="e">
        <f>VLOOKUP($A602,Import!$B:$N,K$9,FALSE)</f>
        <v>#N/A</v>
      </c>
      <c r="L602" s="248" t="e">
        <f>VLOOKUP($A602,Import!$B:$N,L$9,FALSE)</f>
        <v>#N/A</v>
      </c>
      <c r="M602" s="248" t="e">
        <f>VLOOKUP($A602,Import!$B:$N,M$9,FALSE)</f>
        <v>#N/A</v>
      </c>
      <c r="N602" s="248" t="e">
        <f>VLOOKUP($A602,Import!$B:$N,N$9,FALSE)</f>
        <v>#N/A</v>
      </c>
      <c r="O602" s="248" t="e">
        <f>VLOOKUP($A602,Import!$B:$N,O$9,FALSE)</f>
        <v>#N/A</v>
      </c>
      <c r="P602" s="248" t="e">
        <f>O602-M602</f>
        <v>#N/A</v>
      </c>
      <c r="Q602" s="248" t="e">
        <f>VLOOKUP($A602,Import!$B:$N,Q$9,FALSE)</f>
        <v>#N/A</v>
      </c>
      <c r="R602" s="248" t="e">
        <f>VLOOKUP($A602,Import!$B:$N,R$9,FALSE)</f>
        <v>#N/A</v>
      </c>
      <c r="S602" s="248" t="e">
        <f>VLOOKUP($A602,Import!$B:$N,S$9,FALSE)</f>
        <v>#N/A</v>
      </c>
      <c r="T602" s="248" t="e">
        <f>VLOOKUP($A602,Import!$B:$N,T$9,FALSE)</f>
        <v>#N/A</v>
      </c>
      <c r="U602" s="99" t="e">
        <f>T602-M602</f>
        <v>#N/A</v>
      </c>
      <c r="V602" s="259" t="e">
        <f>IF(M602=0,"N/A",T602/M602-1)</f>
        <v>#N/A</v>
      </c>
      <c r="X602" s="148"/>
      <c r="Y602" s="267"/>
      <c r="Z602" s="121"/>
      <c r="AA602" s="121"/>
      <c r="AB602" s="121"/>
      <c r="AC602" s="121"/>
      <c r="AD602" s="121"/>
      <c r="AE602" s="121"/>
      <c r="AF602" s="121"/>
      <c r="AG602" s="121"/>
      <c r="AH602" s="121"/>
      <c r="AI602" s="121"/>
      <c r="AJ602" s="121"/>
      <c r="AK602" s="121"/>
      <c r="AL602" s="121"/>
    </row>
    <row r="603" spans="1:38" s="115" customFormat="1" ht="14.4" hidden="1">
      <c r="A603" s="187"/>
      <c r="B603" s="190"/>
      <c r="C603" s="190"/>
      <c r="D603" s="69"/>
      <c r="E603" s="69"/>
      <c r="F603" s="149"/>
      <c r="G603" s="146"/>
      <c r="H603" s="107" t="e">
        <f>UPPER(G602)&amp;" TOTAL"</f>
        <v>#N/A</v>
      </c>
      <c r="I603" s="108" t="e">
        <f t="shared" ref="I603" si="568">SUBTOTAL(9,I599:I602)</f>
        <v>#N/A</v>
      </c>
      <c r="J603" s="108" t="e">
        <f t="shared" ref="J603:O603" si="569">SUBTOTAL(9,J599:J602)</f>
        <v>#N/A</v>
      </c>
      <c r="K603" s="108" t="e">
        <f t="shared" ref="K603" si="570">SUBTOTAL(9,K599:K602)</f>
        <v>#N/A</v>
      </c>
      <c r="L603" s="108" t="e">
        <f t="shared" ref="L603" si="571">SUBTOTAL(9,L599:L602)</f>
        <v>#N/A</v>
      </c>
      <c r="M603" s="108" t="e">
        <f t="shared" si="569"/>
        <v>#N/A</v>
      </c>
      <c r="N603" s="109" t="e">
        <f t="shared" ref="N603" si="572">SUBTOTAL(9,N599:N602)</f>
        <v>#N/A</v>
      </c>
      <c r="O603" s="109" t="e">
        <f t="shared" si="569"/>
        <v>#N/A</v>
      </c>
      <c r="P603" s="109" t="e">
        <f>O603-M603</f>
        <v>#N/A</v>
      </c>
      <c r="Q603" s="109" t="e">
        <f t="shared" ref="Q603:T603" si="573">SUBTOTAL(9,Q599:Q602)</f>
        <v>#N/A</v>
      </c>
      <c r="R603" s="109" t="e">
        <f t="shared" si="573"/>
        <v>#N/A</v>
      </c>
      <c r="S603" s="109" t="e">
        <f t="shared" si="573"/>
        <v>#N/A</v>
      </c>
      <c r="T603" s="109" t="e">
        <f t="shared" si="573"/>
        <v>#N/A</v>
      </c>
      <c r="U603" s="99" t="e">
        <f>T603-M603</f>
        <v>#N/A</v>
      </c>
      <c r="V603" s="259" t="e">
        <f>IF(M603=0,"N/A",T603/M603-1)</f>
        <v>#N/A</v>
      </c>
      <c r="X603" s="148"/>
      <c r="Y603" s="267"/>
      <c r="Z603" s="121"/>
      <c r="AA603" s="121"/>
      <c r="AB603" s="121"/>
      <c r="AC603" s="121"/>
      <c r="AD603" s="121"/>
      <c r="AE603" s="121"/>
      <c r="AF603" s="121"/>
      <c r="AG603" s="121"/>
      <c r="AH603" s="121"/>
      <c r="AI603" s="121"/>
      <c r="AJ603" s="121"/>
      <c r="AK603" s="121"/>
      <c r="AL603" s="121"/>
    </row>
    <row r="604" spans="1:38" s="115" customFormat="1" ht="14.4" hidden="1">
      <c r="A604" s="187"/>
      <c r="B604" s="190"/>
      <c r="C604" s="190"/>
      <c r="D604" s="69"/>
      <c r="E604" s="69"/>
      <c r="F604" s="149"/>
      <c r="G604" s="146"/>
      <c r="H604" s="98"/>
      <c r="I604" s="106"/>
      <c r="J604" s="106"/>
      <c r="K604" s="106"/>
      <c r="L604" s="106"/>
      <c r="M604" s="106"/>
      <c r="N604" s="112"/>
      <c r="O604" s="112"/>
      <c r="P604" s="112"/>
      <c r="Q604" s="113"/>
      <c r="R604" s="212"/>
      <c r="S604" s="212"/>
      <c r="T604" s="113"/>
      <c r="U604" s="113"/>
      <c r="V604" s="113"/>
      <c r="X604" s="148"/>
      <c r="Y604" s="267"/>
      <c r="Z604" s="121"/>
      <c r="AA604" s="121"/>
      <c r="AB604" s="121"/>
      <c r="AC604" s="121"/>
      <c r="AD604" s="121"/>
      <c r="AE604" s="121"/>
      <c r="AF604" s="121"/>
      <c r="AG604" s="121"/>
      <c r="AH604" s="121"/>
      <c r="AI604" s="121"/>
      <c r="AJ604" s="121"/>
      <c r="AK604" s="121"/>
      <c r="AL604" s="121"/>
    </row>
    <row r="605" spans="1:38" s="115" customFormat="1" ht="14.4" hidden="1">
      <c r="A605" s="187" t="s">
        <v>374</v>
      </c>
      <c r="B605" s="190" t="str">
        <f t="shared" ref="B605:B611" si="574">LEFT(A605,3)</f>
        <v>231</v>
      </c>
      <c r="C605" s="190" t="str">
        <f t="shared" ref="C605:C611" si="575">MID(A605,11,3)</f>
        <v>740</v>
      </c>
      <c r="D605" s="69" t="str">
        <f t="shared" ref="D605:D611" si="576">RIGHT(A605,6)</f>
        <v>740-01</v>
      </c>
      <c r="E605" s="69" t="str">
        <f t="shared" ref="E605:E611" si="577">B605&amp;"-"&amp;D605</f>
        <v>231-740-01</v>
      </c>
      <c r="F605" s="149" t="str">
        <f t="shared" ref="F605:F611" si="578">MID(A605,5,5)</f>
        <v>53513</v>
      </c>
      <c r="G605" s="146" t="str">
        <f>VLOOKUP(F605,'GL Category'!A:C,2,FALSE)</f>
        <v>CONSULTING SERVICES</v>
      </c>
      <c r="H605" s="95" t="e">
        <f>VLOOKUP(A605,Import!$B:$N,H$9,FALSE)</f>
        <v>#N/A</v>
      </c>
      <c r="I605" s="248" t="e">
        <f>VLOOKUP($A605,Import!$B:$N,I$9,FALSE)</f>
        <v>#N/A</v>
      </c>
      <c r="J605" s="248" t="e">
        <f>VLOOKUP($A605,Import!$B:$N,J$9,FALSE)</f>
        <v>#N/A</v>
      </c>
      <c r="K605" s="248" t="e">
        <f>VLOOKUP($A605,Import!$B:$N,K$9,FALSE)</f>
        <v>#N/A</v>
      </c>
      <c r="L605" s="248" t="e">
        <f>VLOOKUP($A605,Import!$B:$N,L$9,FALSE)</f>
        <v>#N/A</v>
      </c>
      <c r="M605" s="248" t="e">
        <f>VLOOKUP($A605,Import!$B:$N,M$9,FALSE)</f>
        <v>#N/A</v>
      </c>
      <c r="N605" s="248" t="e">
        <f>VLOOKUP($A605,Import!$B:$N,N$9,FALSE)</f>
        <v>#N/A</v>
      </c>
      <c r="O605" s="248" t="e">
        <f>VLOOKUP($A605,Import!$B:$N,O$9,FALSE)</f>
        <v>#N/A</v>
      </c>
      <c r="P605" s="248" t="e">
        <f t="shared" ref="P605:P611" si="579">O605-M605</f>
        <v>#N/A</v>
      </c>
      <c r="Q605" s="248" t="e">
        <f>VLOOKUP($A605,Import!$B:$N,Q$9,FALSE)</f>
        <v>#N/A</v>
      </c>
      <c r="R605" s="248" t="e">
        <f>VLOOKUP($A605,Import!$B:$N,R$9,FALSE)</f>
        <v>#N/A</v>
      </c>
      <c r="S605" s="248" t="e">
        <f>VLOOKUP($A605,Import!$B:$N,S$9,FALSE)</f>
        <v>#N/A</v>
      </c>
      <c r="T605" s="248" t="e">
        <f>VLOOKUP($A605,Import!$B:$N,T$9,FALSE)</f>
        <v>#N/A</v>
      </c>
      <c r="U605" s="99" t="e">
        <f t="shared" ref="U605:U612" si="580">T605-M605</f>
        <v>#N/A</v>
      </c>
      <c r="V605" s="259" t="e">
        <f t="shared" ref="V605:V612" si="581">IF(M605=0,"N/A",T605/M605-1)</f>
        <v>#N/A</v>
      </c>
      <c r="X605" s="148"/>
      <c r="Y605" s="267"/>
      <c r="Z605" s="121"/>
      <c r="AA605" s="121"/>
      <c r="AB605" s="121"/>
      <c r="AC605" s="121"/>
      <c r="AD605" s="121"/>
      <c r="AE605" s="121"/>
      <c r="AF605" s="121"/>
      <c r="AG605" s="121"/>
      <c r="AH605" s="121"/>
      <c r="AI605" s="121"/>
      <c r="AJ605" s="121"/>
      <c r="AK605" s="121"/>
      <c r="AL605" s="121"/>
    </row>
    <row r="606" spans="1:38" s="115" customFormat="1" ht="14.4" hidden="1">
      <c r="A606" s="187" t="s">
        <v>375</v>
      </c>
      <c r="B606" s="190" t="str">
        <f t="shared" si="574"/>
        <v>231</v>
      </c>
      <c r="C606" s="190" t="str">
        <f t="shared" si="575"/>
        <v>740</v>
      </c>
      <c r="D606" s="69" t="str">
        <f t="shared" si="576"/>
        <v>740-33</v>
      </c>
      <c r="E606" s="69" t="str">
        <f t="shared" si="577"/>
        <v>231-740-33</v>
      </c>
      <c r="F606" s="149" t="str">
        <f t="shared" si="578"/>
        <v>58820</v>
      </c>
      <c r="G606" s="146" t="str">
        <f>VLOOKUP(F606,'GL Category'!A:C,2,FALSE)</f>
        <v>MAINS &amp; SERVICES</v>
      </c>
      <c r="H606" s="95" t="e">
        <f>VLOOKUP(A606,Import!$B:$N,H$9,FALSE)</f>
        <v>#N/A</v>
      </c>
      <c r="I606" s="248" t="e">
        <f>VLOOKUP($A606,Import!$B:$N,I$9,FALSE)</f>
        <v>#N/A</v>
      </c>
      <c r="J606" s="248" t="e">
        <f>VLOOKUP($A606,Import!$B:$N,J$9,FALSE)</f>
        <v>#N/A</v>
      </c>
      <c r="K606" s="248" t="e">
        <f>VLOOKUP($A606,Import!$B:$N,K$9,FALSE)</f>
        <v>#N/A</v>
      </c>
      <c r="L606" s="248" t="e">
        <f>VLOOKUP($A606,Import!$B:$N,L$9,FALSE)</f>
        <v>#N/A</v>
      </c>
      <c r="M606" s="248" t="e">
        <f>VLOOKUP($A606,Import!$B:$N,M$9,FALSE)</f>
        <v>#N/A</v>
      </c>
      <c r="N606" s="248" t="e">
        <f>VLOOKUP($A606,Import!$B:$N,N$9,FALSE)</f>
        <v>#N/A</v>
      </c>
      <c r="O606" s="248" t="e">
        <f>VLOOKUP($A606,Import!$B:$N,O$9,FALSE)</f>
        <v>#N/A</v>
      </c>
      <c r="P606" s="248" t="e">
        <f t="shared" si="579"/>
        <v>#N/A</v>
      </c>
      <c r="Q606" s="248" t="e">
        <f>VLOOKUP($A606,Import!$B:$N,Q$9,FALSE)</f>
        <v>#N/A</v>
      </c>
      <c r="R606" s="248" t="e">
        <f>VLOOKUP($A606,Import!$B:$N,R$9,FALSE)</f>
        <v>#N/A</v>
      </c>
      <c r="S606" s="248" t="e">
        <f>VLOOKUP($A606,Import!$B:$N,S$9,FALSE)</f>
        <v>#N/A</v>
      </c>
      <c r="T606" s="248" t="e">
        <f>VLOOKUP($A606,Import!$B:$N,T$9,FALSE)</f>
        <v>#N/A</v>
      </c>
      <c r="U606" s="99" t="e">
        <f t="shared" si="580"/>
        <v>#N/A</v>
      </c>
      <c r="V606" s="259" t="e">
        <f t="shared" si="581"/>
        <v>#N/A</v>
      </c>
      <c r="X606" s="148"/>
      <c r="Y606" s="267"/>
      <c r="Z606" s="121"/>
      <c r="AA606" s="121"/>
      <c r="AB606" s="121"/>
      <c r="AC606" s="121"/>
      <c r="AD606" s="121"/>
      <c r="AE606" s="121"/>
      <c r="AF606" s="121"/>
      <c r="AG606" s="121"/>
      <c r="AH606" s="121"/>
      <c r="AI606" s="121"/>
      <c r="AJ606" s="121"/>
      <c r="AK606" s="121"/>
      <c r="AL606" s="121"/>
    </row>
    <row r="607" spans="1:38" s="115" customFormat="1" ht="14.4" hidden="1">
      <c r="A607" s="187" t="s">
        <v>376</v>
      </c>
      <c r="B607" s="190" t="str">
        <f t="shared" si="574"/>
        <v>231</v>
      </c>
      <c r="C607" s="190" t="str">
        <f t="shared" si="575"/>
        <v>740</v>
      </c>
      <c r="D607" s="69" t="str">
        <f t="shared" si="576"/>
        <v>740-36</v>
      </c>
      <c r="E607" s="69" t="str">
        <f t="shared" si="577"/>
        <v>231-740-36</v>
      </c>
      <c r="F607" s="149" t="str">
        <f t="shared" si="578"/>
        <v>58710</v>
      </c>
      <c r="G607" s="146" t="str">
        <f>VLOOKUP(F607,'GL Category'!A:C,2,FALSE)</f>
        <v>ENGINEERING/DESIGN SERVICES</v>
      </c>
      <c r="H607" s="95" t="e">
        <f>VLOOKUP(A607,Import!$B:$N,H$9,FALSE)</f>
        <v>#N/A</v>
      </c>
      <c r="I607" s="248" t="e">
        <f>VLOOKUP($A607,Import!$B:$N,I$9,FALSE)</f>
        <v>#N/A</v>
      </c>
      <c r="J607" s="248" t="e">
        <f>VLOOKUP($A607,Import!$B:$N,J$9,FALSE)</f>
        <v>#N/A</v>
      </c>
      <c r="K607" s="248" t="e">
        <f>VLOOKUP($A607,Import!$B:$N,K$9,FALSE)</f>
        <v>#N/A</v>
      </c>
      <c r="L607" s="248" t="e">
        <f>VLOOKUP($A607,Import!$B:$N,L$9,FALSE)</f>
        <v>#N/A</v>
      </c>
      <c r="M607" s="248" t="e">
        <f>VLOOKUP($A607,Import!$B:$N,M$9,FALSE)</f>
        <v>#N/A</v>
      </c>
      <c r="N607" s="248" t="e">
        <f>VLOOKUP($A607,Import!$B:$N,N$9,FALSE)</f>
        <v>#N/A</v>
      </c>
      <c r="O607" s="248" t="e">
        <f>VLOOKUP($A607,Import!$B:$N,O$9,FALSE)</f>
        <v>#N/A</v>
      </c>
      <c r="P607" s="248" t="e">
        <f t="shared" si="579"/>
        <v>#N/A</v>
      </c>
      <c r="Q607" s="248" t="e">
        <f>VLOOKUP($A607,Import!$B:$N,Q$9,FALSE)</f>
        <v>#N/A</v>
      </c>
      <c r="R607" s="248" t="e">
        <f>VLOOKUP($A607,Import!$B:$N,R$9,FALSE)</f>
        <v>#N/A</v>
      </c>
      <c r="S607" s="248" t="e">
        <f>VLOOKUP($A607,Import!$B:$N,S$9,FALSE)</f>
        <v>#N/A</v>
      </c>
      <c r="T607" s="248" t="e">
        <f>VLOOKUP($A607,Import!$B:$N,T$9,FALSE)</f>
        <v>#N/A</v>
      </c>
      <c r="U607" s="99" t="e">
        <f t="shared" si="580"/>
        <v>#N/A</v>
      </c>
      <c r="V607" s="259" t="e">
        <f t="shared" si="581"/>
        <v>#N/A</v>
      </c>
      <c r="X607" s="148"/>
      <c r="Y607" s="267"/>
      <c r="Z607" s="121"/>
      <c r="AA607" s="121"/>
      <c r="AB607" s="121"/>
      <c r="AC607" s="121"/>
      <c r="AD607" s="121"/>
      <c r="AE607" s="121"/>
      <c r="AF607" s="121"/>
      <c r="AG607" s="121"/>
      <c r="AH607" s="121"/>
      <c r="AI607" s="121"/>
      <c r="AJ607" s="121"/>
      <c r="AK607" s="121"/>
      <c r="AL607" s="121"/>
    </row>
    <row r="608" spans="1:38" s="115" customFormat="1" ht="14.4" hidden="1">
      <c r="A608" s="187" t="s">
        <v>377</v>
      </c>
      <c r="B608" s="190" t="str">
        <f t="shared" si="574"/>
        <v>231</v>
      </c>
      <c r="C608" s="190" t="str">
        <f t="shared" si="575"/>
        <v>740</v>
      </c>
      <c r="D608" s="69" t="str">
        <f t="shared" si="576"/>
        <v>740-41</v>
      </c>
      <c r="E608" s="69" t="str">
        <f t="shared" si="577"/>
        <v>231-740-41</v>
      </c>
      <c r="F608" s="149" t="str">
        <f t="shared" si="578"/>
        <v>58710</v>
      </c>
      <c r="G608" s="146" t="str">
        <f>VLOOKUP(F608,'GL Category'!A:C,2,FALSE)</f>
        <v>ENGINEERING/DESIGN SERVICES</v>
      </c>
      <c r="H608" s="95" t="e">
        <f>VLOOKUP(A608,Import!$B:$N,H$9,FALSE)</f>
        <v>#N/A</v>
      </c>
      <c r="I608" s="248" t="e">
        <f>VLOOKUP($A608,Import!$B:$N,I$9,FALSE)</f>
        <v>#N/A</v>
      </c>
      <c r="J608" s="248" t="e">
        <f>VLOOKUP($A608,Import!$B:$N,J$9,FALSE)</f>
        <v>#N/A</v>
      </c>
      <c r="K608" s="248" t="e">
        <f>VLOOKUP($A608,Import!$B:$N,K$9,FALSE)</f>
        <v>#N/A</v>
      </c>
      <c r="L608" s="248" t="e">
        <f>VLOOKUP($A608,Import!$B:$N,L$9,FALSE)</f>
        <v>#N/A</v>
      </c>
      <c r="M608" s="248" t="e">
        <f>VLOOKUP($A608,Import!$B:$N,M$9,FALSE)</f>
        <v>#N/A</v>
      </c>
      <c r="N608" s="248" t="e">
        <f>VLOOKUP($A608,Import!$B:$N,N$9,FALSE)</f>
        <v>#N/A</v>
      </c>
      <c r="O608" s="248" t="e">
        <f>VLOOKUP($A608,Import!$B:$N,O$9,FALSE)</f>
        <v>#N/A</v>
      </c>
      <c r="P608" s="248" t="e">
        <f t="shared" si="579"/>
        <v>#N/A</v>
      </c>
      <c r="Q608" s="248" t="e">
        <f>VLOOKUP($A608,Import!$B:$N,Q$9,FALSE)</f>
        <v>#N/A</v>
      </c>
      <c r="R608" s="248" t="e">
        <f>VLOOKUP($A608,Import!$B:$N,R$9,FALSE)</f>
        <v>#N/A</v>
      </c>
      <c r="S608" s="248" t="e">
        <f>VLOOKUP($A608,Import!$B:$N,S$9,FALSE)</f>
        <v>#N/A</v>
      </c>
      <c r="T608" s="248" t="e">
        <f>VLOOKUP($A608,Import!$B:$N,T$9,FALSE)</f>
        <v>#N/A</v>
      </c>
      <c r="U608" s="99" t="e">
        <f t="shared" si="580"/>
        <v>#N/A</v>
      </c>
      <c r="V608" s="259" t="e">
        <f t="shared" si="581"/>
        <v>#N/A</v>
      </c>
      <c r="X608" s="148"/>
      <c r="Y608" s="267"/>
      <c r="Z608" s="121"/>
      <c r="AA608" s="121"/>
      <c r="AB608" s="121"/>
      <c r="AC608" s="121"/>
      <c r="AD608" s="121"/>
      <c r="AE608" s="121"/>
      <c r="AF608" s="121"/>
      <c r="AG608" s="121"/>
      <c r="AH608" s="121"/>
      <c r="AI608" s="121"/>
      <c r="AJ608" s="121"/>
      <c r="AK608" s="121"/>
      <c r="AL608" s="121"/>
    </row>
    <row r="609" spans="1:38" s="115" customFormat="1" ht="14.4" hidden="1">
      <c r="A609" s="187" t="s">
        <v>378</v>
      </c>
      <c r="B609" s="190" t="str">
        <f t="shared" si="574"/>
        <v>231</v>
      </c>
      <c r="C609" s="190" t="str">
        <f t="shared" si="575"/>
        <v>740</v>
      </c>
      <c r="D609" s="69" t="str">
        <f t="shared" si="576"/>
        <v>740-42</v>
      </c>
      <c r="E609" s="69" t="str">
        <f t="shared" si="577"/>
        <v>231-740-42</v>
      </c>
      <c r="F609" s="149" t="str">
        <f t="shared" si="578"/>
        <v>58710</v>
      </c>
      <c r="G609" s="146" t="str">
        <f>VLOOKUP(F609,'GL Category'!A:C,2,FALSE)</f>
        <v>ENGINEERING/DESIGN SERVICES</v>
      </c>
      <c r="H609" s="95" t="e">
        <f>VLOOKUP(A609,Import!$B:$N,H$9,FALSE)</f>
        <v>#N/A</v>
      </c>
      <c r="I609" s="248" t="e">
        <f>VLOOKUP($A609,Import!$B:$N,I$9,FALSE)</f>
        <v>#N/A</v>
      </c>
      <c r="J609" s="248" t="e">
        <f>VLOOKUP($A609,Import!$B:$N,J$9,FALSE)</f>
        <v>#N/A</v>
      </c>
      <c r="K609" s="248" t="e">
        <f>VLOOKUP($A609,Import!$B:$N,K$9,FALSE)</f>
        <v>#N/A</v>
      </c>
      <c r="L609" s="248" t="e">
        <f>VLOOKUP($A609,Import!$B:$N,L$9,FALSE)</f>
        <v>#N/A</v>
      </c>
      <c r="M609" s="248" t="e">
        <f>VLOOKUP($A609,Import!$B:$N,M$9,FALSE)</f>
        <v>#N/A</v>
      </c>
      <c r="N609" s="248" t="e">
        <f>VLOOKUP($A609,Import!$B:$N,N$9,FALSE)</f>
        <v>#N/A</v>
      </c>
      <c r="O609" s="248" t="e">
        <f>VLOOKUP($A609,Import!$B:$N,O$9,FALSE)</f>
        <v>#N/A</v>
      </c>
      <c r="P609" s="248" t="e">
        <f t="shared" si="579"/>
        <v>#N/A</v>
      </c>
      <c r="Q609" s="248" t="e">
        <f>VLOOKUP($A609,Import!$B:$N,Q$9,FALSE)</f>
        <v>#N/A</v>
      </c>
      <c r="R609" s="248" t="e">
        <f>VLOOKUP($A609,Import!$B:$N,R$9,FALSE)</f>
        <v>#N/A</v>
      </c>
      <c r="S609" s="248" t="e">
        <f>VLOOKUP($A609,Import!$B:$N,S$9,FALSE)</f>
        <v>#N/A</v>
      </c>
      <c r="T609" s="248" t="e">
        <f>VLOOKUP($A609,Import!$B:$N,T$9,FALSE)</f>
        <v>#N/A</v>
      </c>
      <c r="U609" s="99" t="e">
        <f t="shared" si="580"/>
        <v>#N/A</v>
      </c>
      <c r="V609" s="259" t="e">
        <f t="shared" si="581"/>
        <v>#N/A</v>
      </c>
      <c r="X609" s="148"/>
      <c r="Y609" s="267"/>
      <c r="Z609" s="121"/>
      <c r="AA609" s="121"/>
      <c r="AB609" s="121"/>
      <c r="AC609" s="121"/>
      <c r="AD609" s="121"/>
      <c r="AE609" s="121"/>
      <c r="AF609" s="121"/>
      <c r="AG609" s="121"/>
      <c r="AH609" s="121"/>
      <c r="AI609" s="121"/>
      <c r="AJ609" s="121"/>
      <c r="AK609" s="121"/>
      <c r="AL609" s="121"/>
    </row>
    <row r="610" spans="1:38" s="115" customFormat="1" ht="14.4" hidden="1">
      <c r="A610" s="187" t="s">
        <v>379</v>
      </c>
      <c r="B610" s="190" t="str">
        <f t="shared" si="574"/>
        <v>231</v>
      </c>
      <c r="C610" s="190" t="str">
        <f t="shared" si="575"/>
        <v>740</v>
      </c>
      <c r="D610" s="69" t="str">
        <f t="shared" si="576"/>
        <v>740-43</v>
      </c>
      <c r="E610" s="69" t="str">
        <f t="shared" si="577"/>
        <v>231-740-43</v>
      </c>
      <c r="F610" s="149" t="str">
        <f t="shared" si="578"/>
        <v>58710</v>
      </c>
      <c r="G610" s="146" t="str">
        <f>VLOOKUP(F610,'GL Category'!A:C,2,FALSE)</f>
        <v>ENGINEERING/DESIGN SERVICES</v>
      </c>
      <c r="H610" s="95" t="e">
        <f>VLOOKUP(A610,Import!$B:$N,H$9,FALSE)</f>
        <v>#N/A</v>
      </c>
      <c r="I610" s="248" t="e">
        <f>VLOOKUP($A610,Import!$B:$N,I$9,FALSE)</f>
        <v>#N/A</v>
      </c>
      <c r="J610" s="248" t="e">
        <f>VLOOKUP($A610,Import!$B:$N,J$9,FALSE)</f>
        <v>#N/A</v>
      </c>
      <c r="K610" s="248" t="e">
        <f>VLOOKUP($A610,Import!$B:$N,K$9,FALSE)</f>
        <v>#N/A</v>
      </c>
      <c r="L610" s="248" t="e">
        <f>VLOOKUP($A610,Import!$B:$N,L$9,FALSE)</f>
        <v>#N/A</v>
      </c>
      <c r="M610" s="248" t="e">
        <f>VLOOKUP($A610,Import!$B:$N,M$9,FALSE)</f>
        <v>#N/A</v>
      </c>
      <c r="N610" s="248" t="e">
        <f>VLOOKUP($A610,Import!$B:$N,N$9,FALSE)</f>
        <v>#N/A</v>
      </c>
      <c r="O610" s="248" t="e">
        <f>VLOOKUP($A610,Import!$B:$N,O$9,FALSE)</f>
        <v>#N/A</v>
      </c>
      <c r="P610" s="248" t="e">
        <f t="shared" si="579"/>
        <v>#N/A</v>
      </c>
      <c r="Q610" s="248" t="e">
        <f>VLOOKUP($A610,Import!$B:$N,Q$9,FALSE)</f>
        <v>#N/A</v>
      </c>
      <c r="R610" s="248" t="e">
        <f>VLOOKUP($A610,Import!$B:$N,R$9,FALSE)</f>
        <v>#N/A</v>
      </c>
      <c r="S610" s="248" t="e">
        <f>VLOOKUP($A610,Import!$B:$N,S$9,FALSE)</f>
        <v>#N/A</v>
      </c>
      <c r="T610" s="248" t="e">
        <f>VLOOKUP($A610,Import!$B:$N,T$9,FALSE)</f>
        <v>#N/A</v>
      </c>
      <c r="U610" s="99" t="e">
        <f t="shared" si="580"/>
        <v>#N/A</v>
      </c>
      <c r="V610" s="259" t="e">
        <f t="shared" si="581"/>
        <v>#N/A</v>
      </c>
      <c r="X610" s="148"/>
      <c r="Y610" s="267"/>
      <c r="Z610" s="121"/>
      <c r="AA610" s="121"/>
      <c r="AB610" s="121"/>
      <c r="AC610" s="121"/>
      <c r="AD610" s="121"/>
      <c r="AE610" s="121"/>
      <c r="AF610" s="121"/>
      <c r="AG610" s="121"/>
      <c r="AH610" s="121"/>
      <c r="AI610" s="121"/>
      <c r="AJ610" s="121"/>
      <c r="AK610" s="121"/>
      <c r="AL610" s="121"/>
    </row>
    <row r="611" spans="1:38" s="115" customFormat="1" ht="14.4" hidden="1">
      <c r="A611" s="187" t="s">
        <v>380</v>
      </c>
      <c r="B611" s="190" t="str">
        <f t="shared" si="574"/>
        <v>231</v>
      </c>
      <c r="C611" s="190" t="str">
        <f t="shared" si="575"/>
        <v>740</v>
      </c>
      <c r="D611" s="69" t="str">
        <f t="shared" si="576"/>
        <v>740-43</v>
      </c>
      <c r="E611" s="69" t="str">
        <f t="shared" si="577"/>
        <v>231-740-43</v>
      </c>
      <c r="F611" s="149" t="str">
        <f t="shared" si="578"/>
        <v>58820</v>
      </c>
      <c r="G611" s="146" t="str">
        <f>VLOOKUP(F611,'GL Category'!A:C,2,FALSE)</f>
        <v>MAINS &amp; SERVICES</v>
      </c>
      <c r="H611" s="95" t="e">
        <f>VLOOKUP(A611,Import!$B:$N,H$9,FALSE)</f>
        <v>#N/A</v>
      </c>
      <c r="I611" s="248" t="e">
        <f>VLOOKUP($A611,Import!$B:$N,I$9,FALSE)</f>
        <v>#N/A</v>
      </c>
      <c r="J611" s="248" t="e">
        <f>VLOOKUP($A611,Import!$B:$N,J$9,FALSE)</f>
        <v>#N/A</v>
      </c>
      <c r="K611" s="248" t="e">
        <f>VLOOKUP($A611,Import!$B:$N,K$9,FALSE)</f>
        <v>#N/A</v>
      </c>
      <c r="L611" s="248" t="e">
        <f>VLOOKUP($A611,Import!$B:$N,L$9,FALSE)</f>
        <v>#N/A</v>
      </c>
      <c r="M611" s="248" t="e">
        <f>VLOOKUP($A611,Import!$B:$N,M$9,FALSE)</f>
        <v>#N/A</v>
      </c>
      <c r="N611" s="248" t="e">
        <f>VLOOKUP($A611,Import!$B:$N,N$9,FALSE)</f>
        <v>#N/A</v>
      </c>
      <c r="O611" s="248" t="e">
        <f>VLOOKUP($A611,Import!$B:$N,O$9,FALSE)</f>
        <v>#N/A</v>
      </c>
      <c r="P611" s="248" t="e">
        <f t="shared" si="579"/>
        <v>#N/A</v>
      </c>
      <c r="Q611" s="248" t="e">
        <f>VLOOKUP($A611,Import!$B:$N,Q$9,FALSE)</f>
        <v>#N/A</v>
      </c>
      <c r="R611" s="248" t="e">
        <f>VLOOKUP($A611,Import!$B:$N,R$9,FALSE)</f>
        <v>#N/A</v>
      </c>
      <c r="S611" s="248" t="e">
        <f>VLOOKUP($A611,Import!$B:$N,S$9,FALSE)</f>
        <v>#N/A</v>
      </c>
      <c r="T611" s="248" t="e">
        <f>VLOOKUP($A611,Import!$B:$N,T$9,FALSE)</f>
        <v>#N/A</v>
      </c>
      <c r="U611" s="99" t="e">
        <f t="shared" si="580"/>
        <v>#N/A</v>
      </c>
      <c r="V611" s="259" t="e">
        <f t="shared" si="581"/>
        <v>#N/A</v>
      </c>
      <c r="X611" s="148"/>
      <c r="Y611" s="267"/>
      <c r="Z611" s="121"/>
      <c r="AA611" s="121"/>
      <c r="AB611" s="121"/>
      <c r="AC611" s="121"/>
      <c r="AD611" s="121"/>
      <c r="AE611" s="121"/>
      <c r="AF611" s="121"/>
      <c r="AG611" s="121"/>
      <c r="AH611" s="121"/>
      <c r="AI611" s="121"/>
      <c r="AJ611" s="121"/>
      <c r="AK611" s="121"/>
      <c r="AL611" s="121"/>
    </row>
    <row r="612" spans="1:38" s="115" customFormat="1" ht="14.4" hidden="1">
      <c r="A612" s="187"/>
      <c r="B612" s="190"/>
      <c r="C612" s="190"/>
      <c r="D612" s="69"/>
      <c r="E612" s="69"/>
      <c r="F612" s="149"/>
      <c r="G612" s="146"/>
      <c r="H612" s="107" t="str">
        <f>UPPER("EXPENDITURE TOTAL")</f>
        <v>EXPENDITURE TOTAL</v>
      </c>
      <c r="I612" s="108" t="e">
        <f t="shared" ref="I612" si="582">SUBTOTAL(9,I605:I611)</f>
        <v>#N/A</v>
      </c>
      <c r="J612" s="108" t="e">
        <f t="shared" ref="J612:T612" si="583">SUBTOTAL(9,J605:J611)</f>
        <v>#N/A</v>
      </c>
      <c r="K612" s="108" t="e">
        <f t="shared" ref="K612" si="584">SUBTOTAL(9,K605:K611)</f>
        <v>#N/A</v>
      </c>
      <c r="L612" s="108" t="e">
        <f t="shared" ref="L612" si="585">SUBTOTAL(9,L605:L611)</f>
        <v>#N/A</v>
      </c>
      <c r="M612" s="108" t="e">
        <f t="shared" si="583"/>
        <v>#N/A</v>
      </c>
      <c r="N612" s="109" t="e">
        <f t="shared" ref="N612" si="586">SUBTOTAL(9,N605:N611)</f>
        <v>#N/A</v>
      </c>
      <c r="O612" s="109" t="e">
        <f t="shared" si="583"/>
        <v>#N/A</v>
      </c>
      <c r="P612" s="109" t="e">
        <f t="shared" si="583"/>
        <v>#N/A</v>
      </c>
      <c r="Q612" s="109" t="e">
        <f t="shared" si="583"/>
        <v>#N/A</v>
      </c>
      <c r="R612" s="109" t="e">
        <f t="shared" si="583"/>
        <v>#N/A</v>
      </c>
      <c r="S612" s="109" t="e">
        <f t="shared" si="583"/>
        <v>#N/A</v>
      </c>
      <c r="T612" s="109" t="e">
        <f t="shared" si="583"/>
        <v>#N/A</v>
      </c>
      <c r="U612" s="99" t="e">
        <f t="shared" si="580"/>
        <v>#N/A</v>
      </c>
      <c r="V612" s="259" t="e">
        <f t="shared" si="581"/>
        <v>#N/A</v>
      </c>
      <c r="X612" s="148"/>
      <c r="Y612" s="267"/>
      <c r="Z612" s="121"/>
      <c r="AA612" s="121"/>
      <c r="AB612" s="121"/>
      <c r="AC612" s="121"/>
      <c r="AD612" s="121"/>
      <c r="AE612" s="121"/>
      <c r="AF612" s="121"/>
      <c r="AG612" s="121"/>
      <c r="AH612" s="121"/>
      <c r="AI612" s="121"/>
      <c r="AJ612" s="121"/>
      <c r="AK612" s="121"/>
      <c r="AL612" s="121"/>
    </row>
    <row r="613" spans="1:38" s="115" customFormat="1" ht="14.4" hidden="1">
      <c r="A613" s="187"/>
      <c r="B613" s="190"/>
      <c r="C613" s="190"/>
      <c r="D613" s="69"/>
      <c r="E613" s="69"/>
      <c r="F613" s="149"/>
      <c r="G613" s="146"/>
      <c r="H613" s="98"/>
      <c r="I613" s="106"/>
      <c r="J613" s="106"/>
      <c r="K613" s="106"/>
      <c r="L613" s="106"/>
      <c r="M613" s="106"/>
      <c r="N613" s="112"/>
      <c r="O613" s="112"/>
      <c r="P613" s="112"/>
      <c r="Q613" s="113"/>
      <c r="R613" s="113"/>
      <c r="S613" s="113"/>
      <c r="T613" s="113"/>
      <c r="U613" s="113"/>
      <c r="V613" s="113"/>
      <c r="X613" s="148"/>
      <c r="Y613" s="267"/>
      <c r="Z613" s="121"/>
      <c r="AA613" s="121"/>
      <c r="AB613" s="121"/>
      <c r="AC613" s="121"/>
      <c r="AD613" s="121"/>
      <c r="AE613" s="121"/>
      <c r="AF613" s="121"/>
      <c r="AG613" s="121"/>
      <c r="AH613" s="121"/>
      <c r="AI613" s="121"/>
      <c r="AJ613" s="121"/>
      <c r="AK613" s="121"/>
      <c r="AL613" s="121"/>
    </row>
    <row r="614" spans="1:38" s="115" customFormat="1" ht="14.4" hidden="1">
      <c r="A614" s="187"/>
      <c r="B614" s="190"/>
      <c r="C614" s="190"/>
      <c r="D614" s="69"/>
      <c r="E614" s="69"/>
      <c r="F614" s="149"/>
      <c r="G614" s="146"/>
      <c r="H614" s="114" t="s">
        <v>674</v>
      </c>
      <c r="I614" s="108" t="e">
        <f t="shared" ref="I614" si="587">SUBTOTAL(9,I599:I611)</f>
        <v>#N/A</v>
      </c>
      <c r="J614" s="108" t="e">
        <f t="shared" ref="J614:O614" si="588">SUBTOTAL(9,J599:J611)</f>
        <v>#N/A</v>
      </c>
      <c r="K614" s="108" t="e">
        <f t="shared" ref="K614" si="589">SUBTOTAL(9,K599:K611)</f>
        <v>#N/A</v>
      </c>
      <c r="L614" s="108" t="e">
        <f t="shared" ref="L614" si="590">SUBTOTAL(9,L599:L611)</f>
        <v>#N/A</v>
      </c>
      <c r="M614" s="108" t="e">
        <f t="shared" si="588"/>
        <v>#N/A</v>
      </c>
      <c r="N614" s="108" t="e">
        <f t="shared" ref="N614" si="591">SUBTOTAL(9,N599:N611)</f>
        <v>#N/A</v>
      </c>
      <c r="O614" s="108" t="e">
        <f t="shared" si="588"/>
        <v>#N/A</v>
      </c>
      <c r="P614" s="108" t="e">
        <f>O614-M614</f>
        <v>#N/A</v>
      </c>
      <c r="Q614" s="108" t="e">
        <f t="shared" ref="Q614:T614" si="592">SUBTOTAL(9,Q599:Q611)</f>
        <v>#N/A</v>
      </c>
      <c r="R614" s="108" t="e">
        <f t="shared" si="592"/>
        <v>#N/A</v>
      </c>
      <c r="S614" s="108" t="e">
        <f t="shared" si="592"/>
        <v>#N/A</v>
      </c>
      <c r="T614" s="108" t="e">
        <f t="shared" si="592"/>
        <v>#N/A</v>
      </c>
      <c r="U614" s="99" t="e">
        <f>T614-M614</f>
        <v>#N/A</v>
      </c>
      <c r="V614" s="259" t="e">
        <f>IF(M614=0,"N/A",T614/M614-1)</f>
        <v>#N/A</v>
      </c>
      <c r="X614" s="148"/>
      <c r="Y614" s="267"/>
      <c r="Z614" s="121"/>
      <c r="AA614" s="121"/>
      <c r="AB614" s="121"/>
      <c r="AC614" s="121"/>
      <c r="AD614" s="121"/>
      <c r="AE614" s="121"/>
      <c r="AF614" s="121"/>
      <c r="AG614" s="121"/>
      <c r="AH614" s="121"/>
      <c r="AI614" s="121"/>
      <c r="AJ614" s="121"/>
      <c r="AK614" s="121"/>
      <c r="AL614" s="121"/>
    </row>
    <row r="615" spans="1:38" s="115" customFormat="1" ht="14.4" hidden="1">
      <c r="A615" s="187"/>
      <c r="B615" s="190"/>
      <c r="C615" s="190"/>
      <c r="D615" s="69"/>
      <c r="E615" s="69"/>
      <c r="F615" s="149"/>
      <c r="G615" s="146"/>
      <c r="H615" s="98"/>
      <c r="I615" s="218"/>
      <c r="J615" s="218"/>
      <c r="K615" s="218"/>
      <c r="L615" s="218"/>
      <c r="M615" s="218"/>
      <c r="N615" s="96"/>
      <c r="O615" s="96"/>
      <c r="P615" s="96"/>
      <c r="Q615" s="212"/>
      <c r="R615" s="212"/>
      <c r="S615" s="212"/>
      <c r="T615" s="212"/>
      <c r="U615" s="212"/>
      <c r="V615" s="113"/>
      <c r="X615" s="148"/>
      <c r="Y615" s="267"/>
      <c r="Z615" s="121"/>
      <c r="AA615" s="121"/>
      <c r="AB615" s="121"/>
      <c r="AC615" s="121"/>
      <c r="AD615" s="121"/>
      <c r="AE615" s="121"/>
      <c r="AF615" s="121"/>
      <c r="AG615" s="121"/>
      <c r="AH615" s="121"/>
      <c r="AI615" s="121"/>
      <c r="AJ615" s="121"/>
      <c r="AK615" s="121"/>
      <c r="AL615" s="121"/>
    </row>
    <row r="616" spans="1:38" s="115" customFormat="1" ht="14.4" hidden="1">
      <c r="A616" s="187"/>
      <c r="B616" s="190"/>
      <c r="C616" s="190"/>
      <c r="D616" s="69"/>
      <c r="E616" s="69"/>
      <c r="F616" s="149"/>
      <c r="G616" s="146"/>
      <c r="H616" s="98"/>
      <c r="I616" s="218"/>
      <c r="J616" s="218"/>
      <c r="K616" s="218"/>
      <c r="L616" s="218"/>
      <c r="M616" s="218"/>
      <c r="N616" s="96"/>
      <c r="O616" s="96"/>
      <c r="P616" s="96"/>
      <c r="Q616" s="212"/>
      <c r="R616" s="212"/>
      <c r="S616" s="212"/>
      <c r="T616" s="212"/>
      <c r="U616" s="212"/>
      <c r="V616" s="113"/>
      <c r="X616" s="148"/>
      <c r="Y616" s="267"/>
      <c r="Z616" s="121"/>
      <c r="AA616" s="121"/>
      <c r="AB616" s="121"/>
      <c r="AC616" s="121"/>
      <c r="AD616" s="121"/>
      <c r="AE616" s="121"/>
      <c r="AF616" s="121"/>
      <c r="AG616" s="121"/>
      <c r="AH616" s="121"/>
      <c r="AI616" s="121"/>
      <c r="AJ616" s="121"/>
      <c r="AK616" s="121"/>
      <c r="AL616" s="121"/>
    </row>
    <row r="617" spans="1:38" s="115" customFormat="1" ht="21.6" hidden="1" thickBot="1">
      <c r="A617" s="187"/>
      <c r="B617" s="190"/>
      <c r="C617" s="190"/>
      <c r="D617" s="69"/>
      <c r="E617" s="69"/>
      <c r="F617" s="149"/>
      <c r="G617" s="146"/>
      <c r="H617" s="668" t="s">
        <v>683</v>
      </c>
      <c r="I617" s="669"/>
      <c r="J617" s="669"/>
      <c r="K617" s="669"/>
      <c r="L617" s="669"/>
      <c r="M617" s="669"/>
      <c r="N617" s="669"/>
      <c r="O617" s="669"/>
      <c r="P617" s="669"/>
      <c r="Q617" s="669"/>
      <c r="R617" s="669"/>
      <c r="S617" s="669"/>
      <c r="T617" s="670"/>
      <c r="U617" s="247"/>
      <c r="V617" s="261"/>
      <c r="X617" s="148"/>
      <c r="Y617" s="267"/>
      <c r="Z617" s="121"/>
      <c r="AA617" s="121"/>
      <c r="AB617" s="121"/>
      <c r="AC617" s="121"/>
      <c r="AD617" s="121"/>
      <c r="AE617" s="121"/>
      <c r="AF617" s="121"/>
      <c r="AG617" s="121"/>
      <c r="AH617" s="121"/>
      <c r="AI617" s="121"/>
      <c r="AJ617" s="121"/>
      <c r="AK617" s="121"/>
      <c r="AL617" s="121"/>
    </row>
    <row r="618" spans="1:38" s="115" customFormat="1" ht="22.8" hidden="1">
      <c r="A618" s="187"/>
      <c r="B618" s="190"/>
      <c r="C618" s="190"/>
      <c r="D618" s="69"/>
      <c r="E618" s="69"/>
      <c r="F618" s="149"/>
      <c r="G618" s="146"/>
      <c r="H618" s="225"/>
      <c r="I618" s="225"/>
      <c r="J618" s="225"/>
      <c r="K618" s="225"/>
      <c r="L618" s="225"/>
      <c r="M618" s="225"/>
      <c r="N618" s="225"/>
      <c r="O618" s="225"/>
      <c r="P618" s="225"/>
      <c r="Q618" s="225"/>
      <c r="R618" s="225"/>
      <c r="S618" s="225"/>
      <c r="T618" s="225"/>
      <c r="U618" s="225"/>
      <c r="V618" s="260"/>
      <c r="X618" s="148"/>
      <c r="Y618" s="267"/>
      <c r="Z618" s="121"/>
      <c r="AA618" s="121"/>
      <c r="AB618" s="121"/>
      <c r="AC618" s="121"/>
      <c r="AD618" s="121"/>
      <c r="AE618" s="121"/>
      <c r="AF618" s="121"/>
      <c r="AG618" s="121"/>
      <c r="AH618" s="121"/>
      <c r="AI618" s="121"/>
      <c r="AJ618" s="121"/>
      <c r="AK618" s="121"/>
      <c r="AL618" s="121"/>
    </row>
    <row r="619" spans="1:38" s="115" customFormat="1" ht="14.4" hidden="1">
      <c r="A619" s="203" t="s">
        <v>523</v>
      </c>
      <c r="B619" s="190" t="str">
        <f t="shared" ref="B619:B632" si="593">LEFT(A619,3)</f>
        <v>232</v>
      </c>
      <c r="C619" s="190" t="str">
        <f t="shared" ref="C619:C632" si="594">MID(A619,11,3)</f>
        <v>000</v>
      </c>
      <c r="D619" s="69" t="str">
        <f t="shared" ref="D619:D632" si="595">RIGHT(A619,6)</f>
        <v>000-00</v>
      </c>
      <c r="E619" s="69" t="str">
        <f t="shared" ref="E619:E632" si="596">B619&amp;"-"&amp;D619</f>
        <v>232-000-00</v>
      </c>
      <c r="F619" s="149" t="str">
        <f t="shared" ref="F619:F632" si="597">MID(A619,5,5)</f>
        <v>41320</v>
      </c>
      <c r="G619" s="146" t="e">
        <f>VLOOKUP(F619,'GL Category'!A:C,2,FALSE)</f>
        <v>#N/A</v>
      </c>
      <c r="H619" s="95" t="e">
        <f>VLOOKUP(A619,Import!$B:$N,H$9,FALSE)</f>
        <v>#N/A</v>
      </c>
      <c r="I619" s="248" t="e">
        <f>VLOOKUP($A619,Import!$B:$N,I$9,FALSE)</f>
        <v>#N/A</v>
      </c>
      <c r="J619" s="248" t="e">
        <f>VLOOKUP($A619,Import!$B:$N,J$9,FALSE)</f>
        <v>#N/A</v>
      </c>
      <c r="K619" s="248" t="e">
        <f>VLOOKUP($A619,Import!$B:$N,K$9,FALSE)</f>
        <v>#N/A</v>
      </c>
      <c r="L619" s="248" t="e">
        <f>VLOOKUP($A619,Import!$B:$N,L$9,FALSE)</f>
        <v>#N/A</v>
      </c>
      <c r="M619" s="248" t="e">
        <f>VLOOKUP($A619,Import!$B:$N,M$9,FALSE)</f>
        <v>#N/A</v>
      </c>
      <c r="N619" s="248" t="e">
        <f>VLOOKUP($A619,Import!$B:$N,N$9,FALSE)</f>
        <v>#N/A</v>
      </c>
      <c r="O619" s="248" t="e">
        <f>VLOOKUP($A619,Import!$B:$N,O$9,FALSE)</f>
        <v>#N/A</v>
      </c>
      <c r="P619" s="248" t="e">
        <f>O619-M619</f>
        <v>#N/A</v>
      </c>
      <c r="Q619" s="248" t="e">
        <f>VLOOKUP($A619,Import!$B:$N,Q$9,FALSE)</f>
        <v>#N/A</v>
      </c>
      <c r="R619" s="248" t="e">
        <f>VLOOKUP($A619,Import!$B:$N,R$9,FALSE)</f>
        <v>#N/A</v>
      </c>
      <c r="S619" s="248" t="e">
        <f>VLOOKUP($A619,Import!$B:$N,S$9,FALSE)</f>
        <v>#N/A</v>
      </c>
      <c r="T619" s="248" t="e">
        <f>VLOOKUP($A619,Import!$B:$N,T$9,FALSE)</f>
        <v>#N/A</v>
      </c>
      <c r="U619" s="99" t="e">
        <f>T619-M619</f>
        <v>#N/A</v>
      </c>
      <c r="V619" s="259" t="e">
        <f>IF(M619=0,"N/A",T619/M619-1)</f>
        <v>#N/A</v>
      </c>
      <c r="X619" s="148"/>
      <c r="Y619" s="267"/>
      <c r="Z619" s="121"/>
      <c r="AA619" s="121"/>
      <c r="AB619" s="121"/>
      <c r="AC619" s="121"/>
      <c r="AD619" s="121"/>
      <c r="AE619" s="121"/>
      <c r="AF619" s="121"/>
      <c r="AG619" s="121"/>
      <c r="AH619" s="121"/>
      <c r="AI619" s="121"/>
      <c r="AJ619" s="121"/>
      <c r="AK619" s="121"/>
      <c r="AL619" s="121"/>
    </row>
    <row r="620" spans="1:38" s="115" customFormat="1" ht="21.6" hidden="1">
      <c r="A620" s="203" t="s">
        <v>524</v>
      </c>
      <c r="B620" s="190" t="str">
        <f t="shared" si="593"/>
        <v>232</v>
      </c>
      <c r="C620" s="190" t="str">
        <f t="shared" si="594"/>
        <v>000</v>
      </c>
      <c r="D620" s="69" t="str">
        <f t="shared" si="595"/>
        <v>000-00</v>
      </c>
      <c r="E620" s="69" t="str">
        <f t="shared" si="596"/>
        <v>232-000-00</v>
      </c>
      <c r="F620" s="149" t="str">
        <f t="shared" si="597"/>
        <v>47090</v>
      </c>
      <c r="G620" s="146" t="str">
        <f>VLOOKUP(F620,'GL Category'!A:C,2,FALSE)</f>
        <v>INTEREST REVENUE-INVESTMENTS</v>
      </c>
      <c r="H620" s="95" t="e">
        <f>VLOOKUP(A620,Import!$B:$N,H$9,FALSE)</f>
        <v>#N/A</v>
      </c>
      <c r="I620" s="248" t="e">
        <f>VLOOKUP($A620,Import!$B:$N,I$9,FALSE)</f>
        <v>#N/A</v>
      </c>
      <c r="J620" s="248" t="e">
        <f>VLOOKUP($A620,Import!$B:$N,J$9,FALSE)</f>
        <v>#N/A</v>
      </c>
      <c r="K620" s="248" t="e">
        <f>VLOOKUP($A620,Import!$B:$N,K$9,FALSE)</f>
        <v>#N/A</v>
      </c>
      <c r="L620" s="248" t="e">
        <f>VLOOKUP($A620,Import!$B:$N,L$9,FALSE)</f>
        <v>#N/A</v>
      </c>
      <c r="M620" s="248" t="e">
        <f>VLOOKUP($A620,Import!$B:$N,M$9,FALSE)</f>
        <v>#N/A</v>
      </c>
      <c r="N620" s="248" t="e">
        <f>VLOOKUP($A620,Import!$B:$N,N$9,FALSE)</f>
        <v>#N/A</v>
      </c>
      <c r="O620" s="248" t="e">
        <f>VLOOKUP($A620,Import!$B:$N,O$9,FALSE)</f>
        <v>#N/A</v>
      </c>
      <c r="P620" s="248" t="e">
        <f>O620-M620</f>
        <v>#N/A</v>
      </c>
      <c r="Q620" s="248" t="e">
        <f>VLOOKUP($A620,Import!$B:$N,Q$9,FALSE)</f>
        <v>#N/A</v>
      </c>
      <c r="R620" s="248" t="e">
        <f>VLOOKUP($A620,Import!$B:$N,R$9,FALSE)</f>
        <v>#N/A</v>
      </c>
      <c r="S620" s="248" t="e">
        <f>VLOOKUP($A620,Import!$B:$N,S$9,FALSE)</f>
        <v>#N/A</v>
      </c>
      <c r="T620" s="248" t="e">
        <f>VLOOKUP($A620,Import!$B:$N,T$9,FALSE)</f>
        <v>#N/A</v>
      </c>
      <c r="U620" s="99" t="e">
        <f>T620-M620</f>
        <v>#N/A</v>
      </c>
      <c r="V620" s="259" t="e">
        <f>IF(M620=0,"N/A",T620/M620-1)</f>
        <v>#N/A</v>
      </c>
      <c r="X620" s="148"/>
      <c r="Y620" s="267"/>
      <c r="Z620" s="121"/>
      <c r="AA620" s="121"/>
      <c r="AB620" s="121"/>
      <c r="AC620" s="121"/>
      <c r="AD620" s="121"/>
      <c r="AE620" s="121"/>
      <c r="AF620" s="121"/>
      <c r="AG620" s="121"/>
      <c r="AH620" s="121"/>
      <c r="AI620" s="121"/>
      <c r="AJ620" s="121"/>
      <c r="AK620" s="121"/>
      <c r="AL620" s="121"/>
    </row>
    <row r="621" spans="1:38" s="115" customFormat="1" ht="14.4" hidden="1">
      <c r="A621" s="203" t="s">
        <v>525</v>
      </c>
      <c r="B621" s="190" t="str">
        <f t="shared" si="593"/>
        <v>232</v>
      </c>
      <c r="C621" s="190" t="str">
        <f t="shared" si="594"/>
        <v>000</v>
      </c>
      <c r="D621" s="69" t="str">
        <f t="shared" si="595"/>
        <v>000-00</v>
      </c>
      <c r="E621" s="69" t="str">
        <f t="shared" si="596"/>
        <v>232-000-00</v>
      </c>
      <c r="F621" s="149" t="str">
        <f t="shared" si="597"/>
        <v>47110</v>
      </c>
      <c r="G621" s="146" t="e">
        <f>VLOOKUP(F621,'GL Category'!A:C,2,FALSE)</f>
        <v>#N/A</v>
      </c>
      <c r="H621" s="95" t="e">
        <f>VLOOKUP(A621,Import!$B:$N,H$9,FALSE)</f>
        <v>#N/A</v>
      </c>
      <c r="I621" s="248" t="e">
        <f>VLOOKUP($A621,Import!$B:$N,I$9,FALSE)</f>
        <v>#N/A</v>
      </c>
      <c r="J621" s="248" t="e">
        <f>VLOOKUP($A621,Import!$B:$N,J$9,FALSE)</f>
        <v>#N/A</v>
      </c>
      <c r="K621" s="248" t="e">
        <f>VLOOKUP($A621,Import!$B:$N,K$9,FALSE)</f>
        <v>#N/A</v>
      </c>
      <c r="L621" s="248" t="e">
        <f>VLOOKUP($A621,Import!$B:$N,L$9,FALSE)</f>
        <v>#N/A</v>
      </c>
      <c r="M621" s="248" t="e">
        <f>VLOOKUP($A621,Import!$B:$N,M$9,FALSE)</f>
        <v>#N/A</v>
      </c>
      <c r="N621" s="248" t="e">
        <f>VLOOKUP($A621,Import!$B:$N,N$9,FALSE)</f>
        <v>#N/A</v>
      </c>
      <c r="O621" s="248" t="e">
        <f>VLOOKUP($A621,Import!$B:$N,O$9,FALSE)</f>
        <v>#N/A</v>
      </c>
      <c r="P621" s="248" t="e">
        <f>O621-M621</f>
        <v>#N/A</v>
      </c>
      <c r="Q621" s="248" t="e">
        <f>VLOOKUP($A621,Import!$B:$N,Q$9,FALSE)</f>
        <v>#N/A</v>
      </c>
      <c r="R621" s="248" t="e">
        <f>VLOOKUP($A621,Import!$B:$N,R$9,FALSE)</f>
        <v>#N/A</v>
      </c>
      <c r="S621" s="248" t="e">
        <f>VLOOKUP($A621,Import!$B:$N,S$9,FALSE)</f>
        <v>#N/A</v>
      </c>
      <c r="T621" s="248" t="e">
        <f>VLOOKUP($A621,Import!$B:$N,T$9,FALSE)</f>
        <v>#N/A</v>
      </c>
      <c r="U621" s="99" t="e">
        <f>T621-M621</f>
        <v>#N/A</v>
      </c>
      <c r="V621" s="259" t="e">
        <f>IF(M621=0,"N/A",T621/M621-1)</f>
        <v>#N/A</v>
      </c>
      <c r="X621" s="148"/>
      <c r="Y621" s="267"/>
      <c r="Z621" s="121"/>
      <c r="AA621" s="121"/>
      <c r="AB621" s="121"/>
      <c r="AC621" s="121"/>
      <c r="AD621" s="121"/>
      <c r="AE621" s="121"/>
      <c r="AF621" s="121"/>
      <c r="AG621" s="121"/>
      <c r="AH621" s="121"/>
      <c r="AI621" s="121"/>
      <c r="AJ621" s="121"/>
      <c r="AK621" s="121"/>
      <c r="AL621" s="121"/>
    </row>
    <row r="622" spans="1:38" s="115" customFormat="1" ht="14.4" hidden="1">
      <c r="A622" s="187"/>
      <c r="B622" s="190"/>
      <c r="C622" s="190"/>
      <c r="D622" s="69"/>
      <c r="E622" s="69"/>
      <c r="F622" s="149"/>
      <c r="G622" s="146"/>
      <c r="H622" s="107" t="e">
        <f>UPPER(G621)&amp;" TOTAL"</f>
        <v>#N/A</v>
      </c>
      <c r="I622" s="108" t="e">
        <f t="shared" ref="I622" si="598">SUBTOTAL(9,I619:I621)</f>
        <v>#N/A</v>
      </c>
      <c r="J622" s="108" t="e">
        <f t="shared" ref="J622:O622" si="599">SUBTOTAL(9,J619:J621)</f>
        <v>#N/A</v>
      </c>
      <c r="K622" s="108" t="e">
        <f t="shared" ref="K622" si="600">SUBTOTAL(9,K619:K621)</f>
        <v>#N/A</v>
      </c>
      <c r="L622" s="108" t="e">
        <f t="shared" ref="L622" si="601">SUBTOTAL(9,L619:L621)</f>
        <v>#N/A</v>
      </c>
      <c r="M622" s="108" t="e">
        <f t="shared" si="599"/>
        <v>#N/A</v>
      </c>
      <c r="N622" s="109" t="e">
        <f t="shared" ref="N622" si="602">SUBTOTAL(9,N619:N621)</f>
        <v>#N/A</v>
      </c>
      <c r="O622" s="109" t="e">
        <f t="shared" si="599"/>
        <v>#N/A</v>
      </c>
      <c r="P622" s="109" t="e">
        <f>O622-M622</f>
        <v>#N/A</v>
      </c>
      <c r="Q622" s="109" t="e">
        <f t="shared" ref="Q622:T622" si="603">SUBTOTAL(9,Q619:Q621)</f>
        <v>#N/A</v>
      </c>
      <c r="R622" s="109" t="e">
        <f t="shared" si="603"/>
        <v>#N/A</v>
      </c>
      <c r="S622" s="109" t="e">
        <f t="shared" si="603"/>
        <v>#N/A</v>
      </c>
      <c r="T622" s="109" t="e">
        <f t="shared" si="603"/>
        <v>#N/A</v>
      </c>
      <c r="U622" s="99" t="e">
        <f>T622-M622</f>
        <v>#N/A</v>
      </c>
      <c r="V622" s="259" t="e">
        <f>IF(M622=0,"N/A",T622/M622-1)</f>
        <v>#N/A</v>
      </c>
      <c r="X622" s="148"/>
      <c r="Y622" s="267"/>
      <c r="Z622" s="121"/>
      <c r="AA622" s="121"/>
      <c r="AB622" s="121"/>
      <c r="AC622" s="121"/>
      <c r="AD622" s="121"/>
      <c r="AE622" s="121"/>
      <c r="AF622" s="121"/>
      <c r="AG622" s="121"/>
      <c r="AH622" s="121"/>
      <c r="AI622" s="121"/>
      <c r="AJ622" s="121"/>
      <c r="AK622" s="121"/>
      <c r="AL622" s="121"/>
    </row>
    <row r="623" spans="1:38" s="115" customFormat="1" ht="14.4" hidden="1">
      <c r="A623" s="187"/>
      <c r="B623" s="190"/>
      <c r="C623" s="190"/>
      <c r="D623" s="69"/>
      <c r="E623" s="69"/>
      <c r="F623" s="149"/>
      <c r="G623" s="146"/>
      <c r="H623" s="98"/>
      <c r="I623" s="106"/>
      <c r="J623" s="106"/>
      <c r="K623" s="106"/>
      <c r="L623" s="106"/>
      <c r="M623" s="106"/>
      <c r="N623" s="112"/>
      <c r="O623" s="112"/>
      <c r="P623" s="112"/>
      <c r="Q623" s="113"/>
      <c r="R623" s="99"/>
      <c r="S623" s="99"/>
      <c r="T623" s="113"/>
      <c r="U623" s="113"/>
      <c r="V623" s="113"/>
      <c r="X623" s="148"/>
      <c r="Y623" s="267"/>
      <c r="Z623" s="121"/>
      <c r="AA623" s="121"/>
      <c r="AB623" s="121"/>
      <c r="AC623" s="121"/>
      <c r="AD623" s="121"/>
      <c r="AE623" s="121"/>
      <c r="AF623" s="121"/>
      <c r="AG623" s="121"/>
      <c r="AH623" s="121"/>
      <c r="AI623" s="121"/>
      <c r="AJ623" s="121"/>
      <c r="AK623" s="121"/>
      <c r="AL623" s="121"/>
    </row>
    <row r="624" spans="1:38" s="115" customFormat="1" ht="14.4" hidden="1">
      <c r="A624" s="187" t="s">
        <v>381</v>
      </c>
      <c r="B624" s="190" t="str">
        <f t="shared" si="593"/>
        <v>232</v>
      </c>
      <c r="C624" s="190" t="str">
        <f t="shared" si="594"/>
        <v>760</v>
      </c>
      <c r="D624" s="69" t="str">
        <f t="shared" si="595"/>
        <v>760-01</v>
      </c>
      <c r="E624" s="69" t="str">
        <f t="shared" si="596"/>
        <v>232-760-01</v>
      </c>
      <c r="F624" s="149" t="str">
        <f t="shared" si="597"/>
        <v>53513</v>
      </c>
      <c r="G624" s="146" t="str">
        <f>VLOOKUP(F624,'GL Category'!A:C,2,FALSE)</f>
        <v>CONSULTING SERVICES</v>
      </c>
      <c r="H624" s="95" t="e">
        <f>VLOOKUP(A624,Import!$B:$N,H$9,FALSE)</f>
        <v>#N/A</v>
      </c>
      <c r="I624" s="248" t="e">
        <f>VLOOKUP($A624,Import!$B:$N,I$9,FALSE)</f>
        <v>#N/A</v>
      </c>
      <c r="J624" s="248" t="e">
        <f>VLOOKUP($A624,Import!$B:$N,J$9,FALSE)</f>
        <v>#N/A</v>
      </c>
      <c r="K624" s="248" t="e">
        <f>VLOOKUP($A624,Import!$B:$N,K$9,FALSE)</f>
        <v>#N/A</v>
      </c>
      <c r="L624" s="248" t="e">
        <f>VLOOKUP($A624,Import!$B:$N,L$9,FALSE)</f>
        <v>#N/A</v>
      </c>
      <c r="M624" s="248" t="e">
        <f>VLOOKUP($A624,Import!$B:$N,M$9,FALSE)</f>
        <v>#N/A</v>
      </c>
      <c r="N624" s="248" t="e">
        <f>VLOOKUP($A624,Import!$B:$N,N$9,FALSE)</f>
        <v>#N/A</v>
      </c>
      <c r="O624" s="248" t="e">
        <f>VLOOKUP($A624,Import!$B:$N,O$9,FALSE)</f>
        <v>#N/A</v>
      </c>
      <c r="P624" s="248" t="e">
        <f t="shared" ref="P624:P632" si="604">O624-M624</f>
        <v>#N/A</v>
      </c>
      <c r="Q624" s="248" t="e">
        <f>VLOOKUP($A624,Import!$B:$N,Q$9,FALSE)</f>
        <v>#N/A</v>
      </c>
      <c r="R624" s="248" t="e">
        <f>VLOOKUP($A624,Import!$B:$N,R$9,FALSE)</f>
        <v>#N/A</v>
      </c>
      <c r="S624" s="248" t="e">
        <f>VLOOKUP($A624,Import!$B:$N,S$9,FALSE)</f>
        <v>#N/A</v>
      </c>
      <c r="T624" s="248" t="e">
        <f>VLOOKUP($A624,Import!$B:$N,T$9,FALSE)</f>
        <v>#N/A</v>
      </c>
      <c r="U624" s="99" t="e">
        <f t="shared" ref="U624:U633" si="605">T624-M624</f>
        <v>#N/A</v>
      </c>
      <c r="V624" s="259" t="e">
        <f t="shared" ref="V624:V633" si="606">IF(M624=0,"N/A",T624/M624-1)</f>
        <v>#N/A</v>
      </c>
      <c r="X624" s="148"/>
      <c r="Y624" s="267"/>
      <c r="Z624" s="121"/>
      <c r="AA624" s="121"/>
      <c r="AB624" s="121"/>
      <c r="AC624" s="121"/>
      <c r="AD624" s="121"/>
      <c r="AE624" s="121"/>
      <c r="AF624" s="121"/>
      <c r="AG624" s="121"/>
      <c r="AH624" s="121"/>
      <c r="AI624" s="121"/>
      <c r="AJ624" s="121"/>
      <c r="AK624" s="121"/>
      <c r="AL624" s="121"/>
    </row>
    <row r="625" spans="1:38" s="115" customFormat="1" ht="14.4" hidden="1">
      <c r="A625" s="187" t="s">
        <v>382</v>
      </c>
      <c r="B625" s="190" t="str">
        <f t="shared" si="593"/>
        <v>232</v>
      </c>
      <c r="C625" s="190" t="str">
        <f t="shared" si="594"/>
        <v>760</v>
      </c>
      <c r="D625" s="69" t="str">
        <f t="shared" si="595"/>
        <v>760-21</v>
      </c>
      <c r="E625" s="69" t="str">
        <f t="shared" si="596"/>
        <v>232-760-21</v>
      </c>
      <c r="F625" s="149" t="str">
        <f t="shared" si="597"/>
        <v>58801</v>
      </c>
      <c r="G625" s="146" t="str">
        <f>VLOOKUP(F625,'GL Category'!A:C,2,FALSE)</f>
        <v>LAND &amp; LAND RIGHTS</v>
      </c>
      <c r="H625" s="95" t="e">
        <f>VLOOKUP(A625,Import!$B:$N,H$9,FALSE)</f>
        <v>#N/A</v>
      </c>
      <c r="I625" s="248" t="e">
        <f>VLOOKUP($A625,Import!$B:$N,I$9,FALSE)</f>
        <v>#N/A</v>
      </c>
      <c r="J625" s="248" t="e">
        <f>VLOOKUP($A625,Import!$B:$N,J$9,FALSE)</f>
        <v>#N/A</v>
      </c>
      <c r="K625" s="248" t="e">
        <f>VLOOKUP($A625,Import!$B:$N,K$9,FALSE)</f>
        <v>#N/A</v>
      </c>
      <c r="L625" s="248" t="e">
        <f>VLOOKUP($A625,Import!$B:$N,L$9,FALSE)</f>
        <v>#N/A</v>
      </c>
      <c r="M625" s="248" t="e">
        <f>VLOOKUP($A625,Import!$B:$N,M$9,FALSE)</f>
        <v>#N/A</v>
      </c>
      <c r="N625" s="248" t="e">
        <f>VLOOKUP($A625,Import!$B:$N,N$9,FALSE)</f>
        <v>#N/A</v>
      </c>
      <c r="O625" s="248" t="e">
        <f>VLOOKUP($A625,Import!$B:$N,O$9,FALSE)</f>
        <v>#N/A</v>
      </c>
      <c r="P625" s="248" t="e">
        <f t="shared" si="604"/>
        <v>#N/A</v>
      </c>
      <c r="Q625" s="248" t="e">
        <f>VLOOKUP($A625,Import!$B:$N,Q$9,FALSE)</f>
        <v>#N/A</v>
      </c>
      <c r="R625" s="248" t="e">
        <f>VLOOKUP($A625,Import!$B:$N,R$9,FALSE)</f>
        <v>#N/A</v>
      </c>
      <c r="S625" s="248" t="e">
        <f>VLOOKUP($A625,Import!$B:$N,S$9,FALSE)</f>
        <v>#N/A</v>
      </c>
      <c r="T625" s="248" t="e">
        <f>VLOOKUP($A625,Import!$B:$N,T$9,FALSE)</f>
        <v>#N/A</v>
      </c>
      <c r="U625" s="99" t="e">
        <f t="shared" si="605"/>
        <v>#N/A</v>
      </c>
      <c r="V625" s="259" t="e">
        <f t="shared" si="606"/>
        <v>#N/A</v>
      </c>
      <c r="X625" s="148"/>
      <c r="Y625" s="267"/>
      <c r="Z625" s="121"/>
      <c r="AA625" s="121"/>
      <c r="AB625" s="121"/>
      <c r="AC625" s="121"/>
      <c r="AD625" s="121"/>
      <c r="AE625" s="121"/>
      <c r="AF625" s="121"/>
      <c r="AG625" s="121"/>
      <c r="AH625" s="121"/>
      <c r="AI625" s="121"/>
      <c r="AJ625" s="121"/>
      <c r="AK625" s="121"/>
      <c r="AL625" s="121"/>
    </row>
    <row r="626" spans="1:38" s="115" customFormat="1" ht="14.4" hidden="1">
      <c r="A626" s="187" t="s">
        <v>383</v>
      </c>
      <c r="B626" s="190" t="str">
        <f t="shared" si="593"/>
        <v>232</v>
      </c>
      <c r="C626" s="190" t="str">
        <f t="shared" si="594"/>
        <v>760</v>
      </c>
      <c r="D626" s="69" t="str">
        <f t="shared" si="595"/>
        <v>760-22</v>
      </c>
      <c r="E626" s="69" t="str">
        <f t="shared" si="596"/>
        <v>232-760-22</v>
      </c>
      <c r="F626" s="149" t="str">
        <f t="shared" si="597"/>
        <v>58710</v>
      </c>
      <c r="G626" s="146" t="str">
        <f>VLOOKUP(F626,'GL Category'!A:C,2,FALSE)</f>
        <v>ENGINEERING/DESIGN SERVICES</v>
      </c>
      <c r="H626" s="95" t="e">
        <f>VLOOKUP(A626,Import!$B:$N,H$9,FALSE)</f>
        <v>#N/A</v>
      </c>
      <c r="I626" s="248" t="e">
        <f>VLOOKUP($A626,Import!$B:$N,I$9,FALSE)</f>
        <v>#N/A</v>
      </c>
      <c r="J626" s="248" t="e">
        <f>VLOOKUP($A626,Import!$B:$N,J$9,FALSE)</f>
        <v>#N/A</v>
      </c>
      <c r="K626" s="248" t="e">
        <f>VLOOKUP($A626,Import!$B:$N,K$9,FALSE)</f>
        <v>#N/A</v>
      </c>
      <c r="L626" s="248" t="e">
        <f>VLOOKUP($A626,Import!$B:$N,L$9,FALSE)</f>
        <v>#N/A</v>
      </c>
      <c r="M626" s="248" t="e">
        <f>VLOOKUP($A626,Import!$B:$N,M$9,FALSE)</f>
        <v>#N/A</v>
      </c>
      <c r="N626" s="248" t="e">
        <f>VLOOKUP($A626,Import!$B:$N,N$9,FALSE)</f>
        <v>#N/A</v>
      </c>
      <c r="O626" s="248" t="e">
        <f>VLOOKUP($A626,Import!$B:$N,O$9,FALSE)</f>
        <v>#N/A</v>
      </c>
      <c r="P626" s="248" t="e">
        <f t="shared" si="604"/>
        <v>#N/A</v>
      </c>
      <c r="Q626" s="248" t="e">
        <f>VLOOKUP($A626,Import!$B:$N,Q$9,FALSE)</f>
        <v>#N/A</v>
      </c>
      <c r="R626" s="248" t="e">
        <f>VLOOKUP($A626,Import!$B:$N,R$9,FALSE)</f>
        <v>#N/A</v>
      </c>
      <c r="S626" s="248" t="e">
        <f>VLOOKUP($A626,Import!$B:$N,S$9,FALSE)</f>
        <v>#N/A</v>
      </c>
      <c r="T626" s="248" t="e">
        <f>VLOOKUP($A626,Import!$B:$N,T$9,FALSE)</f>
        <v>#N/A</v>
      </c>
      <c r="U626" s="99" t="e">
        <f t="shared" si="605"/>
        <v>#N/A</v>
      </c>
      <c r="V626" s="259" t="e">
        <f t="shared" si="606"/>
        <v>#N/A</v>
      </c>
      <c r="X626" s="148"/>
      <c r="Y626" s="267"/>
      <c r="Z626" s="121"/>
      <c r="AA626" s="121"/>
      <c r="AB626" s="121"/>
      <c r="AC626" s="121"/>
      <c r="AD626" s="121"/>
      <c r="AE626" s="121"/>
      <c r="AF626" s="121"/>
      <c r="AG626" s="121"/>
      <c r="AH626" s="121"/>
      <c r="AI626" s="121"/>
      <c r="AJ626" s="121"/>
      <c r="AK626" s="121"/>
      <c r="AL626" s="121"/>
    </row>
    <row r="627" spans="1:38" s="115" customFormat="1" ht="14.4" hidden="1">
      <c r="A627" s="187" t="s">
        <v>384</v>
      </c>
      <c r="B627" s="190" t="str">
        <f t="shared" si="593"/>
        <v>232</v>
      </c>
      <c r="C627" s="190" t="str">
        <f t="shared" si="594"/>
        <v>760</v>
      </c>
      <c r="D627" s="69" t="str">
        <f t="shared" si="595"/>
        <v>760-22</v>
      </c>
      <c r="E627" s="69" t="str">
        <f t="shared" si="596"/>
        <v>232-760-22</v>
      </c>
      <c r="F627" s="149" t="str">
        <f t="shared" si="597"/>
        <v>58820</v>
      </c>
      <c r="G627" s="146" t="str">
        <f>VLOOKUP(F627,'GL Category'!A:C,2,FALSE)</f>
        <v>MAINS &amp; SERVICES</v>
      </c>
      <c r="H627" s="95" t="e">
        <f>VLOOKUP(A627,Import!$B:$N,H$9,FALSE)</f>
        <v>#N/A</v>
      </c>
      <c r="I627" s="248" t="e">
        <f>VLOOKUP($A627,Import!$B:$N,I$9,FALSE)</f>
        <v>#N/A</v>
      </c>
      <c r="J627" s="248" t="e">
        <f>VLOOKUP($A627,Import!$B:$N,J$9,FALSE)</f>
        <v>#N/A</v>
      </c>
      <c r="K627" s="248" t="e">
        <f>VLOOKUP($A627,Import!$B:$N,K$9,FALSE)</f>
        <v>#N/A</v>
      </c>
      <c r="L627" s="248" t="e">
        <f>VLOOKUP($A627,Import!$B:$N,L$9,FALSE)</f>
        <v>#N/A</v>
      </c>
      <c r="M627" s="248" t="e">
        <f>VLOOKUP($A627,Import!$B:$N,M$9,FALSE)</f>
        <v>#N/A</v>
      </c>
      <c r="N627" s="248" t="e">
        <f>VLOOKUP($A627,Import!$B:$N,N$9,FALSE)</f>
        <v>#N/A</v>
      </c>
      <c r="O627" s="248" t="e">
        <f>VLOOKUP($A627,Import!$B:$N,O$9,FALSE)</f>
        <v>#N/A</v>
      </c>
      <c r="P627" s="248" t="e">
        <f t="shared" si="604"/>
        <v>#N/A</v>
      </c>
      <c r="Q627" s="248" t="e">
        <f>VLOOKUP($A627,Import!$B:$N,Q$9,FALSE)</f>
        <v>#N/A</v>
      </c>
      <c r="R627" s="248" t="e">
        <f>VLOOKUP($A627,Import!$B:$N,R$9,FALSE)</f>
        <v>#N/A</v>
      </c>
      <c r="S627" s="248" t="e">
        <f>VLOOKUP($A627,Import!$B:$N,S$9,FALSE)</f>
        <v>#N/A</v>
      </c>
      <c r="T627" s="248" t="e">
        <f>VLOOKUP($A627,Import!$B:$N,T$9,FALSE)</f>
        <v>#N/A</v>
      </c>
      <c r="U627" s="99" t="e">
        <f t="shared" si="605"/>
        <v>#N/A</v>
      </c>
      <c r="V627" s="259" t="e">
        <f t="shared" si="606"/>
        <v>#N/A</v>
      </c>
      <c r="X627" s="148"/>
      <c r="Y627" s="267"/>
      <c r="Z627" s="121"/>
      <c r="AA627" s="121"/>
      <c r="AB627" s="121"/>
      <c r="AC627" s="121"/>
      <c r="AD627" s="121"/>
      <c r="AE627" s="121"/>
      <c r="AF627" s="121"/>
      <c r="AG627" s="121"/>
      <c r="AH627" s="121"/>
      <c r="AI627" s="121"/>
      <c r="AJ627" s="121"/>
      <c r="AK627" s="121"/>
      <c r="AL627" s="121"/>
    </row>
    <row r="628" spans="1:38" s="115" customFormat="1" ht="14.4" hidden="1">
      <c r="A628" s="187" t="s">
        <v>385</v>
      </c>
      <c r="B628" s="190" t="str">
        <f t="shared" si="593"/>
        <v>232</v>
      </c>
      <c r="C628" s="190" t="str">
        <f t="shared" si="594"/>
        <v>760</v>
      </c>
      <c r="D628" s="69" t="str">
        <f t="shared" si="595"/>
        <v>760-23</v>
      </c>
      <c r="E628" s="69" t="str">
        <f t="shared" si="596"/>
        <v>232-760-23</v>
      </c>
      <c r="F628" s="149" t="str">
        <f t="shared" si="597"/>
        <v>58710</v>
      </c>
      <c r="G628" s="146" t="str">
        <f>VLOOKUP(F628,'GL Category'!A:C,2,FALSE)</f>
        <v>ENGINEERING/DESIGN SERVICES</v>
      </c>
      <c r="H628" s="95" t="e">
        <f>VLOOKUP(A628,Import!$B:$N,H$9,FALSE)</f>
        <v>#N/A</v>
      </c>
      <c r="I628" s="248" t="e">
        <f>VLOOKUP($A628,Import!$B:$N,I$9,FALSE)</f>
        <v>#N/A</v>
      </c>
      <c r="J628" s="248" t="e">
        <f>VLOOKUP($A628,Import!$B:$N,J$9,FALSE)</f>
        <v>#N/A</v>
      </c>
      <c r="K628" s="248" t="e">
        <f>VLOOKUP($A628,Import!$B:$N,K$9,FALSE)</f>
        <v>#N/A</v>
      </c>
      <c r="L628" s="248" t="e">
        <f>VLOOKUP($A628,Import!$B:$N,L$9,FALSE)</f>
        <v>#N/A</v>
      </c>
      <c r="M628" s="248" t="e">
        <f>VLOOKUP($A628,Import!$B:$N,M$9,FALSE)</f>
        <v>#N/A</v>
      </c>
      <c r="N628" s="248" t="e">
        <f>VLOOKUP($A628,Import!$B:$N,N$9,FALSE)</f>
        <v>#N/A</v>
      </c>
      <c r="O628" s="248" t="e">
        <f>VLOOKUP($A628,Import!$B:$N,O$9,FALSE)</f>
        <v>#N/A</v>
      </c>
      <c r="P628" s="248" t="e">
        <f t="shared" si="604"/>
        <v>#N/A</v>
      </c>
      <c r="Q628" s="248" t="e">
        <f>VLOOKUP($A628,Import!$B:$N,Q$9,FALSE)</f>
        <v>#N/A</v>
      </c>
      <c r="R628" s="248" t="e">
        <f>VLOOKUP($A628,Import!$B:$N,R$9,FALSE)</f>
        <v>#N/A</v>
      </c>
      <c r="S628" s="248" t="e">
        <f>VLOOKUP($A628,Import!$B:$N,S$9,FALSE)</f>
        <v>#N/A</v>
      </c>
      <c r="T628" s="248" t="e">
        <f>VLOOKUP($A628,Import!$B:$N,T$9,FALSE)</f>
        <v>#N/A</v>
      </c>
      <c r="U628" s="99" t="e">
        <f t="shared" si="605"/>
        <v>#N/A</v>
      </c>
      <c r="V628" s="259" t="e">
        <f t="shared" si="606"/>
        <v>#N/A</v>
      </c>
      <c r="X628" s="148"/>
      <c r="Y628" s="267"/>
      <c r="Z628" s="121"/>
      <c r="AA628" s="121"/>
      <c r="AB628" s="121"/>
      <c r="AC628" s="121"/>
      <c r="AD628" s="121"/>
      <c r="AE628" s="121"/>
      <c r="AF628" s="121"/>
      <c r="AG628" s="121"/>
      <c r="AH628" s="121"/>
      <c r="AI628" s="121"/>
      <c r="AJ628" s="121"/>
      <c r="AK628" s="121"/>
      <c r="AL628" s="121"/>
    </row>
    <row r="629" spans="1:38" s="115" customFormat="1" ht="14.4" hidden="1">
      <c r="A629" s="187" t="s">
        <v>386</v>
      </c>
      <c r="B629" s="190" t="str">
        <f t="shared" si="593"/>
        <v>232</v>
      </c>
      <c r="C629" s="190" t="str">
        <f t="shared" si="594"/>
        <v>760</v>
      </c>
      <c r="D629" s="69" t="str">
        <f t="shared" si="595"/>
        <v>760-23</v>
      </c>
      <c r="E629" s="69" t="str">
        <f t="shared" si="596"/>
        <v>232-760-23</v>
      </c>
      <c r="F629" s="149" t="str">
        <f t="shared" si="597"/>
        <v>58801</v>
      </c>
      <c r="G629" s="146" t="str">
        <f>VLOOKUP(F629,'GL Category'!A:C,2,FALSE)</f>
        <v>LAND &amp; LAND RIGHTS</v>
      </c>
      <c r="H629" s="95" t="e">
        <f>VLOOKUP(A629,Import!$B:$N,H$9,FALSE)</f>
        <v>#N/A</v>
      </c>
      <c r="I629" s="248" t="e">
        <f>VLOOKUP($A629,Import!$B:$N,I$9,FALSE)</f>
        <v>#N/A</v>
      </c>
      <c r="J629" s="248" t="e">
        <f>VLOOKUP($A629,Import!$B:$N,J$9,FALSE)</f>
        <v>#N/A</v>
      </c>
      <c r="K629" s="248" t="e">
        <f>VLOOKUP($A629,Import!$B:$N,K$9,FALSE)</f>
        <v>#N/A</v>
      </c>
      <c r="L629" s="248" t="e">
        <f>VLOOKUP($A629,Import!$B:$N,L$9,FALSE)</f>
        <v>#N/A</v>
      </c>
      <c r="M629" s="248" t="e">
        <f>VLOOKUP($A629,Import!$B:$N,M$9,FALSE)</f>
        <v>#N/A</v>
      </c>
      <c r="N629" s="248" t="e">
        <f>VLOOKUP($A629,Import!$B:$N,N$9,FALSE)</f>
        <v>#N/A</v>
      </c>
      <c r="O629" s="248" t="e">
        <f>VLOOKUP($A629,Import!$B:$N,O$9,FALSE)</f>
        <v>#N/A</v>
      </c>
      <c r="P629" s="248" t="e">
        <f t="shared" si="604"/>
        <v>#N/A</v>
      </c>
      <c r="Q629" s="248" t="e">
        <f>VLOOKUP($A629,Import!$B:$N,Q$9,FALSE)</f>
        <v>#N/A</v>
      </c>
      <c r="R629" s="248" t="e">
        <f>VLOOKUP($A629,Import!$B:$N,R$9,FALSE)</f>
        <v>#N/A</v>
      </c>
      <c r="S629" s="248" t="e">
        <f>VLOOKUP($A629,Import!$B:$N,S$9,FALSE)</f>
        <v>#N/A</v>
      </c>
      <c r="T629" s="248" t="e">
        <f>VLOOKUP($A629,Import!$B:$N,T$9,FALSE)</f>
        <v>#N/A</v>
      </c>
      <c r="U629" s="99" t="e">
        <f t="shared" si="605"/>
        <v>#N/A</v>
      </c>
      <c r="V629" s="259" t="e">
        <f t="shared" si="606"/>
        <v>#N/A</v>
      </c>
      <c r="X629" s="148"/>
      <c r="Y629" s="267"/>
      <c r="Z629" s="121"/>
      <c r="AA629" s="121"/>
      <c r="AB629" s="121"/>
      <c r="AC629" s="121"/>
      <c r="AD629" s="121"/>
      <c r="AE629" s="121"/>
      <c r="AF629" s="121"/>
      <c r="AG629" s="121"/>
      <c r="AH629" s="121"/>
      <c r="AI629" s="121"/>
      <c r="AJ629" s="121"/>
      <c r="AK629" s="121"/>
      <c r="AL629" s="121"/>
    </row>
    <row r="630" spans="1:38" s="115" customFormat="1" ht="14.4" hidden="1">
      <c r="A630" s="187" t="s">
        <v>387</v>
      </c>
      <c r="B630" s="190" t="str">
        <f t="shared" si="593"/>
        <v>232</v>
      </c>
      <c r="C630" s="190" t="str">
        <f t="shared" si="594"/>
        <v>760</v>
      </c>
      <c r="D630" s="69" t="str">
        <f t="shared" si="595"/>
        <v>760-23</v>
      </c>
      <c r="E630" s="69" t="str">
        <f t="shared" si="596"/>
        <v>232-760-23</v>
      </c>
      <c r="F630" s="149" t="str">
        <f t="shared" si="597"/>
        <v>58820</v>
      </c>
      <c r="G630" s="146" t="str">
        <f>VLOOKUP(F630,'GL Category'!A:C,2,FALSE)</f>
        <v>MAINS &amp; SERVICES</v>
      </c>
      <c r="H630" s="95" t="e">
        <f>VLOOKUP(A630,Import!$B:$N,H$9,FALSE)</f>
        <v>#N/A</v>
      </c>
      <c r="I630" s="248" t="e">
        <f>VLOOKUP($A630,Import!$B:$N,I$9,FALSE)</f>
        <v>#N/A</v>
      </c>
      <c r="J630" s="248" t="e">
        <f>VLOOKUP($A630,Import!$B:$N,J$9,FALSE)</f>
        <v>#N/A</v>
      </c>
      <c r="K630" s="248" t="e">
        <f>VLOOKUP($A630,Import!$B:$N,K$9,FALSE)</f>
        <v>#N/A</v>
      </c>
      <c r="L630" s="248" t="e">
        <f>VLOOKUP($A630,Import!$B:$N,L$9,FALSE)</f>
        <v>#N/A</v>
      </c>
      <c r="M630" s="248" t="e">
        <f>VLOOKUP($A630,Import!$B:$N,M$9,FALSE)</f>
        <v>#N/A</v>
      </c>
      <c r="N630" s="248" t="e">
        <f>VLOOKUP($A630,Import!$B:$N,N$9,FALSE)</f>
        <v>#N/A</v>
      </c>
      <c r="O630" s="248" t="e">
        <f>VLOOKUP($A630,Import!$B:$N,O$9,FALSE)</f>
        <v>#N/A</v>
      </c>
      <c r="P630" s="248" t="e">
        <f t="shared" si="604"/>
        <v>#N/A</v>
      </c>
      <c r="Q630" s="248" t="e">
        <f>VLOOKUP($A630,Import!$B:$N,Q$9,FALSE)</f>
        <v>#N/A</v>
      </c>
      <c r="R630" s="248" t="e">
        <f>VLOOKUP($A630,Import!$B:$N,R$9,FALSE)</f>
        <v>#N/A</v>
      </c>
      <c r="S630" s="248" t="e">
        <f>VLOOKUP($A630,Import!$B:$N,S$9,FALSE)</f>
        <v>#N/A</v>
      </c>
      <c r="T630" s="248" t="e">
        <f>VLOOKUP($A630,Import!$B:$N,T$9,FALSE)</f>
        <v>#N/A</v>
      </c>
      <c r="U630" s="99" t="e">
        <f t="shared" si="605"/>
        <v>#N/A</v>
      </c>
      <c r="V630" s="259" t="e">
        <f t="shared" si="606"/>
        <v>#N/A</v>
      </c>
      <c r="X630" s="148"/>
      <c r="Y630" s="267"/>
      <c r="Z630" s="121"/>
      <c r="AA630" s="121"/>
      <c r="AB630" s="121"/>
      <c r="AC630" s="121"/>
      <c r="AD630" s="121"/>
      <c r="AE630" s="121"/>
      <c r="AF630" s="121"/>
      <c r="AG630" s="121"/>
      <c r="AH630" s="121"/>
      <c r="AI630" s="121"/>
      <c r="AJ630" s="121"/>
      <c r="AK630" s="121"/>
      <c r="AL630" s="121"/>
    </row>
    <row r="631" spans="1:38" s="115" customFormat="1" ht="14.4" hidden="1">
      <c r="A631" s="187" t="s">
        <v>388</v>
      </c>
      <c r="B631" s="190" t="str">
        <f t="shared" si="593"/>
        <v>232</v>
      </c>
      <c r="C631" s="190" t="str">
        <f t="shared" si="594"/>
        <v>760</v>
      </c>
      <c r="D631" s="69" t="str">
        <f t="shared" si="595"/>
        <v>760-24</v>
      </c>
      <c r="E631" s="69" t="str">
        <f t="shared" si="596"/>
        <v>232-760-24</v>
      </c>
      <c r="F631" s="149" t="str">
        <f t="shared" si="597"/>
        <v>58710</v>
      </c>
      <c r="G631" s="146" t="str">
        <f>VLOOKUP(F631,'GL Category'!A:C,2,FALSE)</f>
        <v>ENGINEERING/DESIGN SERVICES</v>
      </c>
      <c r="H631" s="95" t="e">
        <f>VLOOKUP(A631,Import!$B:$N,H$9,FALSE)</f>
        <v>#N/A</v>
      </c>
      <c r="I631" s="248" t="e">
        <f>VLOOKUP($A631,Import!$B:$N,I$9,FALSE)</f>
        <v>#N/A</v>
      </c>
      <c r="J631" s="248" t="e">
        <f>VLOOKUP($A631,Import!$B:$N,J$9,FALSE)</f>
        <v>#N/A</v>
      </c>
      <c r="K631" s="248" t="e">
        <f>VLOOKUP($A631,Import!$B:$N,K$9,FALSE)</f>
        <v>#N/A</v>
      </c>
      <c r="L631" s="248" t="e">
        <f>VLOOKUP($A631,Import!$B:$N,L$9,FALSE)</f>
        <v>#N/A</v>
      </c>
      <c r="M631" s="248" t="e">
        <f>VLOOKUP($A631,Import!$B:$N,M$9,FALSE)</f>
        <v>#N/A</v>
      </c>
      <c r="N631" s="248" t="e">
        <f>VLOOKUP($A631,Import!$B:$N,N$9,FALSE)</f>
        <v>#N/A</v>
      </c>
      <c r="O631" s="248" t="e">
        <f>VLOOKUP($A631,Import!$B:$N,O$9,FALSE)</f>
        <v>#N/A</v>
      </c>
      <c r="P631" s="248" t="e">
        <f t="shared" si="604"/>
        <v>#N/A</v>
      </c>
      <c r="Q631" s="248" t="e">
        <f>VLOOKUP($A631,Import!$B:$N,Q$9,FALSE)</f>
        <v>#N/A</v>
      </c>
      <c r="R631" s="248" t="e">
        <f>VLOOKUP($A631,Import!$B:$N,R$9,FALSE)</f>
        <v>#N/A</v>
      </c>
      <c r="S631" s="248" t="e">
        <f>VLOOKUP($A631,Import!$B:$N,S$9,FALSE)</f>
        <v>#N/A</v>
      </c>
      <c r="T631" s="248" t="e">
        <f>VLOOKUP($A631,Import!$B:$N,T$9,FALSE)</f>
        <v>#N/A</v>
      </c>
      <c r="U631" s="99" t="e">
        <f t="shared" si="605"/>
        <v>#N/A</v>
      </c>
      <c r="V631" s="259" t="e">
        <f t="shared" si="606"/>
        <v>#N/A</v>
      </c>
      <c r="X631" s="148"/>
      <c r="Y631" s="267"/>
      <c r="Z631" s="121"/>
      <c r="AA631" s="121"/>
      <c r="AB631" s="121"/>
      <c r="AC631" s="121"/>
      <c r="AD631" s="121"/>
      <c r="AE631" s="121"/>
      <c r="AF631" s="121"/>
      <c r="AG631" s="121"/>
      <c r="AH631" s="121"/>
      <c r="AI631" s="121"/>
      <c r="AJ631" s="121"/>
      <c r="AK631" s="121"/>
      <c r="AL631" s="121"/>
    </row>
    <row r="632" spans="1:38" s="115" customFormat="1" ht="14.4" hidden="1">
      <c r="A632" s="187" t="s">
        <v>389</v>
      </c>
      <c r="B632" s="190" t="str">
        <f t="shared" si="593"/>
        <v>232</v>
      </c>
      <c r="C632" s="190" t="str">
        <f t="shared" si="594"/>
        <v>760</v>
      </c>
      <c r="D632" s="69" t="str">
        <f t="shared" si="595"/>
        <v>760-24</v>
      </c>
      <c r="E632" s="69" t="str">
        <f t="shared" si="596"/>
        <v>232-760-24</v>
      </c>
      <c r="F632" s="149" t="str">
        <f t="shared" si="597"/>
        <v>58820</v>
      </c>
      <c r="G632" s="146" t="str">
        <f>VLOOKUP(F632,'GL Category'!A:C,2,FALSE)</f>
        <v>MAINS &amp; SERVICES</v>
      </c>
      <c r="H632" s="95" t="e">
        <f>VLOOKUP(A632,Import!$B:$N,H$9,FALSE)</f>
        <v>#N/A</v>
      </c>
      <c r="I632" s="248" t="e">
        <f>VLOOKUP($A632,Import!$B:$N,I$9,FALSE)</f>
        <v>#N/A</v>
      </c>
      <c r="J632" s="248" t="e">
        <f>VLOOKUP($A632,Import!$B:$N,J$9,FALSE)</f>
        <v>#N/A</v>
      </c>
      <c r="K632" s="248" t="e">
        <f>VLOOKUP($A632,Import!$B:$N,K$9,FALSE)</f>
        <v>#N/A</v>
      </c>
      <c r="L632" s="248" t="e">
        <f>VLOOKUP($A632,Import!$B:$N,L$9,FALSE)</f>
        <v>#N/A</v>
      </c>
      <c r="M632" s="248" t="e">
        <f>VLOOKUP($A632,Import!$B:$N,M$9,FALSE)</f>
        <v>#N/A</v>
      </c>
      <c r="N632" s="248" t="e">
        <f>VLOOKUP($A632,Import!$B:$N,N$9,FALSE)</f>
        <v>#N/A</v>
      </c>
      <c r="O632" s="248" t="e">
        <f>VLOOKUP($A632,Import!$B:$N,O$9,FALSE)</f>
        <v>#N/A</v>
      </c>
      <c r="P632" s="248" t="e">
        <f t="shared" si="604"/>
        <v>#N/A</v>
      </c>
      <c r="Q632" s="248" t="e">
        <f>VLOOKUP($A632,Import!$B:$N,Q$9,FALSE)</f>
        <v>#N/A</v>
      </c>
      <c r="R632" s="248" t="e">
        <f>VLOOKUP($A632,Import!$B:$N,R$9,FALSE)</f>
        <v>#N/A</v>
      </c>
      <c r="S632" s="248" t="e">
        <f>VLOOKUP($A632,Import!$B:$N,S$9,FALSE)</f>
        <v>#N/A</v>
      </c>
      <c r="T632" s="248" t="e">
        <f>VLOOKUP($A632,Import!$B:$N,T$9,FALSE)</f>
        <v>#N/A</v>
      </c>
      <c r="U632" s="99" t="e">
        <f t="shared" si="605"/>
        <v>#N/A</v>
      </c>
      <c r="V632" s="259" t="e">
        <f t="shared" si="606"/>
        <v>#N/A</v>
      </c>
      <c r="X632" s="148"/>
      <c r="Y632" s="267"/>
      <c r="Z632" s="121"/>
      <c r="AA632" s="121"/>
      <c r="AB632" s="121"/>
      <c r="AC632" s="121"/>
      <c r="AD632" s="121"/>
      <c r="AE632" s="121"/>
      <c r="AF632" s="121"/>
      <c r="AG632" s="121"/>
      <c r="AH632" s="121"/>
      <c r="AI632" s="121"/>
      <c r="AJ632" s="121"/>
      <c r="AK632" s="121"/>
      <c r="AL632" s="121"/>
    </row>
    <row r="633" spans="1:38" s="115" customFormat="1" ht="14.4" hidden="1">
      <c r="A633" s="187"/>
      <c r="B633" s="190"/>
      <c r="C633" s="190"/>
      <c r="D633" s="69"/>
      <c r="E633" s="69"/>
      <c r="F633" s="149"/>
      <c r="G633" s="146"/>
      <c r="H633" s="107" t="str">
        <f>UPPER("EXPENDITURE TOTAL")</f>
        <v>EXPENDITURE TOTAL</v>
      </c>
      <c r="I633" s="108" t="e">
        <f t="shared" ref="I633" si="607">SUBTOTAL(9,I624:I632)</f>
        <v>#N/A</v>
      </c>
      <c r="J633" s="108" t="e">
        <f t="shared" ref="J633:T633" si="608">SUBTOTAL(9,J624:J632)</f>
        <v>#N/A</v>
      </c>
      <c r="K633" s="108" t="e">
        <f t="shared" ref="K633" si="609">SUBTOTAL(9,K624:K632)</f>
        <v>#N/A</v>
      </c>
      <c r="L633" s="108" t="e">
        <f t="shared" ref="L633" si="610">SUBTOTAL(9,L624:L632)</f>
        <v>#N/A</v>
      </c>
      <c r="M633" s="108" t="e">
        <f t="shared" si="608"/>
        <v>#N/A</v>
      </c>
      <c r="N633" s="108" t="e">
        <f t="shared" ref="N633" si="611">SUBTOTAL(9,N624:N632)</f>
        <v>#N/A</v>
      </c>
      <c r="O633" s="108" t="e">
        <f t="shared" si="608"/>
        <v>#N/A</v>
      </c>
      <c r="P633" s="108" t="e">
        <f t="shared" si="608"/>
        <v>#N/A</v>
      </c>
      <c r="Q633" s="108" t="e">
        <f t="shared" si="608"/>
        <v>#N/A</v>
      </c>
      <c r="R633" s="108" t="e">
        <f t="shared" si="608"/>
        <v>#N/A</v>
      </c>
      <c r="S633" s="108" t="e">
        <f t="shared" si="608"/>
        <v>#N/A</v>
      </c>
      <c r="T633" s="108" t="e">
        <f t="shared" si="608"/>
        <v>#N/A</v>
      </c>
      <c r="U633" s="99" t="e">
        <f t="shared" si="605"/>
        <v>#N/A</v>
      </c>
      <c r="V633" s="259" t="e">
        <f t="shared" si="606"/>
        <v>#N/A</v>
      </c>
      <c r="X633" s="148"/>
      <c r="Y633" s="267"/>
      <c r="Z633" s="121"/>
      <c r="AA633" s="121"/>
      <c r="AB633" s="121"/>
      <c r="AC633" s="121"/>
      <c r="AD633" s="121"/>
      <c r="AE633" s="121"/>
      <c r="AF633" s="121"/>
      <c r="AG633" s="121"/>
      <c r="AH633" s="121"/>
      <c r="AI633" s="121"/>
      <c r="AJ633" s="121"/>
      <c r="AK633" s="121"/>
      <c r="AL633" s="121"/>
    </row>
    <row r="634" spans="1:38" s="115" customFormat="1" ht="14.4" hidden="1">
      <c r="A634" s="187"/>
      <c r="B634" s="190"/>
      <c r="C634" s="190"/>
      <c r="D634" s="69"/>
      <c r="E634" s="69"/>
      <c r="F634" s="149"/>
      <c r="G634" s="146"/>
      <c r="H634" s="98"/>
      <c r="I634" s="106"/>
      <c r="J634" s="106"/>
      <c r="K634" s="106"/>
      <c r="L634" s="106"/>
      <c r="M634" s="106"/>
      <c r="N634" s="112"/>
      <c r="O634" s="112"/>
      <c r="P634" s="112"/>
      <c r="Q634" s="113"/>
      <c r="R634" s="99"/>
      <c r="S634" s="99"/>
      <c r="T634" s="113"/>
      <c r="U634" s="113"/>
      <c r="V634" s="113"/>
      <c r="X634" s="148"/>
      <c r="Y634" s="267"/>
      <c r="Z634" s="121"/>
      <c r="AA634" s="121"/>
      <c r="AB634" s="121"/>
      <c r="AC634" s="121"/>
      <c r="AD634" s="121"/>
      <c r="AE634" s="121"/>
      <c r="AF634" s="121"/>
      <c r="AG634" s="121"/>
      <c r="AH634" s="121"/>
      <c r="AI634" s="121"/>
      <c r="AJ634" s="121"/>
      <c r="AK634" s="121"/>
      <c r="AL634" s="121"/>
    </row>
    <row r="635" spans="1:38" s="115" customFormat="1" ht="14.4" hidden="1">
      <c r="A635" s="187"/>
      <c r="B635" s="190"/>
      <c r="C635" s="190"/>
      <c r="D635" s="69"/>
      <c r="E635" s="69"/>
      <c r="F635" s="149"/>
      <c r="G635" s="146"/>
      <c r="H635" s="114" t="s">
        <v>674</v>
      </c>
      <c r="I635" s="108" t="e">
        <f t="shared" ref="I635" si="612">SUBTOTAL(9,I619:I634)</f>
        <v>#N/A</v>
      </c>
      <c r="J635" s="108" t="e">
        <f t="shared" ref="J635:O635" si="613">SUBTOTAL(9,J619:J634)</f>
        <v>#N/A</v>
      </c>
      <c r="K635" s="108" t="e">
        <f t="shared" ref="K635" si="614">SUBTOTAL(9,K619:K634)</f>
        <v>#N/A</v>
      </c>
      <c r="L635" s="108" t="e">
        <f t="shared" ref="L635" si="615">SUBTOTAL(9,L619:L634)</f>
        <v>#N/A</v>
      </c>
      <c r="M635" s="108" t="e">
        <f t="shared" si="613"/>
        <v>#N/A</v>
      </c>
      <c r="N635" s="108" t="e">
        <f t="shared" ref="N635" si="616">SUBTOTAL(9,N619:N634)</f>
        <v>#N/A</v>
      </c>
      <c r="O635" s="108" t="e">
        <f t="shared" si="613"/>
        <v>#N/A</v>
      </c>
      <c r="P635" s="108" t="e">
        <f>O635-M635</f>
        <v>#N/A</v>
      </c>
      <c r="Q635" s="108" t="e">
        <f t="shared" ref="Q635:T635" si="617">SUBTOTAL(9,Q619:Q634)</f>
        <v>#N/A</v>
      </c>
      <c r="R635" s="108" t="e">
        <f t="shared" si="617"/>
        <v>#N/A</v>
      </c>
      <c r="S635" s="108" t="e">
        <f t="shared" si="617"/>
        <v>#N/A</v>
      </c>
      <c r="T635" s="108" t="e">
        <f t="shared" si="617"/>
        <v>#N/A</v>
      </c>
      <c r="U635" s="99" t="e">
        <f>T635-M635</f>
        <v>#N/A</v>
      </c>
      <c r="V635" s="259" t="e">
        <f>IF(M635=0,"N/A",T635/M635-1)</f>
        <v>#N/A</v>
      </c>
      <c r="X635" s="148"/>
      <c r="Y635" s="267"/>
      <c r="Z635" s="121"/>
      <c r="AA635" s="121"/>
      <c r="AB635" s="121"/>
      <c r="AC635" s="121"/>
      <c r="AD635" s="121"/>
      <c r="AE635" s="121"/>
      <c r="AF635" s="121"/>
      <c r="AG635" s="121"/>
      <c r="AH635" s="121"/>
      <c r="AI635" s="121"/>
      <c r="AJ635" s="121"/>
      <c r="AK635" s="121"/>
      <c r="AL635" s="121"/>
    </row>
    <row r="636" spans="1:38" s="115" customFormat="1" ht="14.4" hidden="1">
      <c r="A636" s="187"/>
      <c r="B636" s="190"/>
      <c r="C636" s="190"/>
      <c r="D636" s="69"/>
      <c r="E636" s="69"/>
      <c r="F636" s="149"/>
      <c r="G636" s="146"/>
      <c r="H636" s="98"/>
      <c r="I636" s="218"/>
      <c r="J636" s="218"/>
      <c r="K636" s="218"/>
      <c r="L636" s="218"/>
      <c r="M636" s="218"/>
      <c r="N636" s="96"/>
      <c r="O636" s="96"/>
      <c r="P636" s="96"/>
      <c r="Q636" s="212"/>
      <c r="R636" s="212"/>
      <c r="S636" s="212"/>
      <c r="T636" s="212"/>
      <c r="U636" s="212"/>
      <c r="V636" s="113"/>
      <c r="X636" s="148"/>
      <c r="Y636" s="267"/>
      <c r="Z636" s="121"/>
      <c r="AA636" s="121"/>
      <c r="AB636" s="121"/>
      <c r="AC636" s="121"/>
      <c r="AD636" s="121"/>
      <c r="AE636" s="121"/>
      <c r="AF636" s="121"/>
      <c r="AG636" s="121"/>
      <c r="AH636" s="121"/>
      <c r="AI636" s="121"/>
      <c r="AJ636" s="121"/>
      <c r="AK636" s="121"/>
      <c r="AL636" s="121"/>
    </row>
    <row r="637" spans="1:38" s="115" customFormat="1" ht="14.4" hidden="1">
      <c r="A637" s="187"/>
      <c r="B637" s="190"/>
      <c r="C637" s="190"/>
      <c r="D637" s="69"/>
      <c r="E637" s="69"/>
      <c r="F637" s="149"/>
      <c r="G637" s="146"/>
      <c r="H637" s="98"/>
      <c r="I637" s="218"/>
      <c r="J637" s="218"/>
      <c r="K637" s="218"/>
      <c r="L637" s="218"/>
      <c r="M637" s="218"/>
      <c r="N637" s="96"/>
      <c r="O637" s="96"/>
      <c r="P637" s="96"/>
      <c r="Q637" s="212"/>
      <c r="R637" s="212"/>
      <c r="S637" s="212"/>
      <c r="T637" s="212"/>
      <c r="U637" s="212"/>
      <c r="V637" s="113"/>
      <c r="X637" s="148"/>
      <c r="Y637" s="267"/>
      <c r="Z637" s="121"/>
      <c r="AA637" s="121"/>
      <c r="AB637" s="121"/>
      <c r="AC637" s="121"/>
      <c r="AD637" s="121"/>
      <c r="AE637" s="121"/>
      <c r="AF637" s="121"/>
      <c r="AG637" s="121"/>
      <c r="AH637" s="121"/>
      <c r="AI637" s="121"/>
      <c r="AJ637" s="121"/>
      <c r="AK637" s="121"/>
      <c r="AL637" s="121"/>
    </row>
    <row r="638" spans="1:38" s="115" customFormat="1" ht="15" thickBot="1">
      <c r="A638" s="187"/>
      <c r="B638" s="190"/>
      <c r="C638" s="190"/>
      <c r="D638" s="69"/>
      <c r="E638" s="69"/>
      <c r="F638" s="149"/>
      <c r="G638" s="146"/>
      <c r="H638" s="98"/>
      <c r="I638" s="218"/>
      <c r="J638" s="218"/>
      <c r="K638" s="218"/>
      <c r="L638" s="218"/>
      <c r="M638" s="218"/>
      <c r="N638" s="96"/>
      <c r="O638" s="96"/>
      <c r="P638" s="96"/>
      <c r="Q638" s="212"/>
      <c r="R638" s="212"/>
      <c r="S638" s="212"/>
      <c r="T638" s="212"/>
      <c r="U638" s="212"/>
      <c r="V638" s="113"/>
      <c r="X638" s="148"/>
      <c r="Y638" s="267"/>
      <c r="Z638" s="121"/>
      <c r="AA638" s="121"/>
      <c r="AB638" s="121"/>
      <c r="AC638" s="121"/>
      <c r="AD638" s="121"/>
      <c r="AE638" s="121"/>
      <c r="AF638" s="121"/>
      <c r="AG638" s="121"/>
      <c r="AH638" s="121"/>
      <c r="AI638" s="121"/>
      <c r="AJ638" s="121"/>
      <c r="AK638" s="121"/>
      <c r="AL638" s="121"/>
    </row>
    <row r="639" spans="1:38" s="115" customFormat="1" ht="21.6" thickBot="1">
      <c r="A639" s="187"/>
      <c r="B639" s="190"/>
      <c r="C639" s="190"/>
      <c r="D639" s="69"/>
      <c r="E639" s="69"/>
      <c r="F639" s="149"/>
      <c r="G639" s="146"/>
      <c r="H639" s="668" t="s">
        <v>675</v>
      </c>
      <c r="I639" s="669"/>
      <c r="J639" s="669"/>
      <c r="K639" s="669"/>
      <c r="L639" s="669"/>
      <c r="M639" s="669"/>
      <c r="N639" s="669"/>
      <c r="O639" s="669"/>
      <c r="P639" s="669"/>
      <c r="Q639" s="669"/>
      <c r="R639" s="669"/>
      <c r="S639" s="669"/>
      <c r="T639" s="670"/>
      <c r="U639" s="247"/>
      <c r="V639" s="261"/>
      <c r="X639" s="148"/>
      <c r="Y639" s="267"/>
      <c r="Z639" s="121"/>
      <c r="AA639" s="121"/>
      <c r="AB639" s="121"/>
      <c r="AC639" s="121"/>
      <c r="AD639" s="121"/>
      <c r="AE639" s="121"/>
      <c r="AF639" s="121"/>
      <c r="AG639" s="121"/>
      <c r="AH639" s="121"/>
      <c r="AI639" s="121"/>
      <c r="AJ639" s="121"/>
      <c r="AK639" s="121"/>
      <c r="AL639" s="121"/>
    </row>
    <row r="640" spans="1:38" s="115" customFormat="1" ht="22.8">
      <c r="A640" s="187"/>
      <c r="B640" s="190"/>
      <c r="C640" s="190"/>
      <c r="D640" s="69"/>
      <c r="E640" s="69"/>
      <c r="F640" s="149"/>
      <c r="G640" s="146"/>
      <c r="H640" s="225"/>
      <c r="I640" s="225"/>
      <c r="J640" s="225"/>
      <c r="K640" s="225"/>
      <c r="L640" s="225"/>
      <c r="M640" s="225"/>
      <c r="N640" s="225"/>
      <c r="O640" s="225"/>
      <c r="P640" s="225"/>
      <c r="Q640" s="225"/>
      <c r="R640" s="225"/>
      <c r="S640" s="225"/>
      <c r="T640" s="225"/>
      <c r="U640" s="225"/>
      <c r="V640" s="260"/>
      <c r="X640" s="148"/>
      <c r="Y640" s="267"/>
      <c r="Z640" s="121"/>
      <c r="AA640" s="121"/>
      <c r="AB640" s="121"/>
      <c r="AC640" s="121"/>
      <c r="AD640" s="121"/>
      <c r="AE640" s="121"/>
      <c r="AF640" s="121"/>
      <c r="AG640" s="121"/>
      <c r="AH640" s="121"/>
      <c r="AI640" s="121"/>
      <c r="AJ640" s="121"/>
      <c r="AK640" s="121"/>
      <c r="AL640" s="121"/>
    </row>
    <row r="641" spans="1:38" s="115" customFormat="1">
      <c r="A641" s="555" t="s">
        <v>1484</v>
      </c>
      <c r="B641" s="217" t="str">
        <f t="shared" ref="B641:B701" si="618">LEFT(A641,3)</f>
        <v>400</v>
      </c>
      <c r="C641" s="217" t="str">
        <f t="shared" ref="C641:C701" si="619">MID(A641,5,2)</f>
        <v>00</v>
      </c>
      <c r="D641" s="101" t="str">
        <f t="shared" ref="D641:D701" si="620">MID(A641,8,3)</f>
        <v>000</v>
      </c>
      <c r="E641" s="217" t="str">
        <f t="shared" ref="E641:E701" si="621">LEFT(A641,10)</f>
        <v>400-00-000</v>
      </c>
      <c r="F641" s="294" t="str">
        <f t="shared" ref="F641:F701" si="622">RIGHT(A641,5)</f>
        <v>44790</v>
      </c>
      <c r="G641" s="146" t="str">
        <f>VLOOKUP(F641,'GL Category'!A:C,3,FALSE)</f>
        <v>CHARGES FOR SERVICE</v>
      </c>
      <c r="H641" s="95" t="str">
        <f>VLOOKUP(F641,'GL Category'!A:C,2,FALSE)</f>
        <v>WRITE OFF RECOVERY</v>
      </c>
      <c r="I641" s="99">
        <f>SUMIF(Import!$B:$B,$A641,Import!D:D)</f>
        <v>-1129.78</v>
      </c>
      <c r="J641" s="99">
        <f>SUMIF(Import!$B:$B,$A641,Import!E:E)</f>
        <v>-295.76</v>
      </c>
      <c r="K641" s="99">
        <f>SUMIF(Import!$B:$B,$A641,Import!F:F)</f>
        <v>0</v>
      </c>
      <c r="L641" s="99">
        <f>SUMIF(Import!$B:$B,$A641,Import!G:G)</f>
        <v>5976.37</v>
      </c>
      <c r="M641" s="99">
        <f>SUMIF(Import!$B:$B,$A641,Import!H:H)</f>
        <v>0</v>
      </c>
      <c r="N641" s="99">
        <f>SUMIF(Import!$B:$B,$A641,Import!I:I)</f>
        <v>2883.58</v>
      </c>
      <c r="O641" s="99">
        <f>SUMIF(Import!$B:$B,$A641,Import!J:J)</f>
        <v>2884</v>
      </c>
      <c r="P641" s="99">
        <f t="shared" ref="P641:P648" si="623">O641-M641</f>
        <v>2884</v>
      </c>
      <c r="Q641" s="99">
        <f>SUMIF(Import!$B:$B,$A641,Import!K:K)</f>
        <v>0</v>
      </c>
      <c r="R641" s="99">
        <f>SUMIF(Import!$B:$B,$A641,Import!L:L)</f>
        <v>0</v>
      </c>
      <c r="S641" s="99">
        <f>SUMIF(Import!$B:$B,$A641,Import!M:M)</f>
        <v>0</v>
      </c>
      <c r="T641" s="99">
        <f>SUMIF(Import!$B:$B,$A641,Import!N:N)</f>
        <v>0</v>
      </c>
      <c r="U641" s="99">
        <f t="shared" ref="U641:U648" si="624">T641-M641</f>
        <v>0</v>
      </c>
      <c r="V641" s="255" t="str">
        <f t="shared" ref="V641:V648" si="625">IF(M641=0,"N/A",T641/M641-1)</f>
        <v>N/A</v>
      </c>
      <c r="W641" s="102" t="s">
        <v>1484</v>
      </c>
      <c r="X641" s="148"/>
      <c r="Y641" s="267"/>
      <c r="Z641" s="121" t="e">
        <f>VLOOKUP(A641,#REF!,3,FALSE)</f>
        <v>#REF!</v>
      </c>
      <c r="AA641" s="121"/>
      <c r="AB641" s="121"/>
      <c r="AC641" s="121"/>
      <c r="AD641" s="121"/>
      <c r="AE641" s="121"/>
      <c r="AF641" s="121"/>
      <c r="AG641" s="121"/>
      <c r="AH641" s="121"/>
      <c r="AI641" s="121"/>
      <c r="AJ641" s="121"/>
      <c r="AK641" s="121"/>
      <c r="AL641" s="121"/>
    </row>
    <row r="642" spans="1:38" s="115" customFormat="1">
      <c r="A642" s="555" t="s">
        <v>1485</v>
      </c>
      <c r="B642" s="217" t="str">
        <f t="shared" si="618"/>
        <v>400</v>
      </c>
      <c r="C642" s="217" t="str">
        <f t="shared" si="619"/>
        <v>00</v>
      </c>
      <c r="D642" s="101" t="str">
        <f t="shared" si="620"/>
        <v>000</v>
      </c>
      <c r="E642" s="217" t="str">
        <f t="shared" si="621"/>
        <v>400-00-000</v>
      </c>
      <c r="F642" s="294" t="str">
        <f t="shared" si="622"/>
        <v>44810</v>
      </c>
      <c r="G642" s="146" t="e">
        <f>VLOOKUP(F642,'GL Category'!A:C,3,FALSE)</f>
        <v>#N/A</v>
      </c>
      <c r="H642" s="95" t="str">
        <f>VLOOKUP(F642,'GL Category'!A:C,2,FALSE)</f>
        <v>DRAINAGE UTILITY FEES</v>
      </c>
      <c r="I642" s="99">
        <f>SUMIF(Import!$B:$B,$A642,Import!D:D)</f>
        <v>-1480502.73</v>
      </c>
      <c r="J642" s="99">
        <f>SUMIF(Import!$B:$B,$A642,Import!E:E)</f>
        <v>-1493566.67</v>
      </c>
      <c r="K642" s="99">
        <f>SUMIF(Import!$B:$B,$A642,Import!F:F)</f>
        <v>-1509049.82</v>
      </c>
      <c r="L642" s="99">
        <f>SUMIF(Import!$B:$B,$A642,Import!G:G)</f>
        <v>-1520515.2</v>
      </c>
      <c r="M642" s="99">
        <f>SUMIF(Import!$B:$B,$A642,Import!H:H)</f>
        <v>-1522825</v>
      </c>
      <c r="N642" s="99">
        <f>SUMIF(Import!$B:$B,$A642,Import!I:I)</f>
        <v>-1273355.75</v>
      </c>
      <c r="O642" s="99">
        <f>SUMIF(Import!$B:$B,$A642,Import!J:J)</f>
        <v>-1530815</v>
      </c>
      <c r="P642" s="99">
        <f t="shared" si="623"/>
        <v>-7990</v>
      </c>
      <c r="Q642" s="99">
        <f>SUMIF(Import!$B:$B,$A642,Import!K:K)</f>
        <v>-1530815</v>
      </c>
      <c r="R642" s="99">
        <f>SUMIF(Import!$B:$B,$A642,Import!L:L)</f>
        <v>0</v>
      </c>
      <c r="S642" s="99">
        <f>SUMIF(Import!$B:$B,$A642,Import!M:M)</f>
        <v>0</v>
      </c>
      <c r="T642" s="99">
        <f>SUMIF(Import!$B:$B,$A642,Import!N:N)</f>
        <v>-1530815</v>
      </c>
      <c r="U642" s="99">
        <f t="shared" si="624"/>
        <v>-7990</v>
      </c>
      <c r="V642" s="255">
        <f t="shared" si="625"/>
        <v>5.2468274424177785E-3</v>
      </c>
      <c r="W642" s="102" t="s">
        <v>1485</v>
      </c>
      <c r="X642" s="148"/>
      <c r="Y642" s="267"/>
      <c r="Z642" s="121" t="e">
        <f>VLOOKUP(A642,#REF!,3,FALSE)</f>
        <v>#REF!</v>
      </c>
      <c r="AA642" s="121"/>
      <c r="AB642" s="121"/>
      <c r="AC642" s="121"/>
      <c r="AD642" s="121"/>
      <c r="AE642" s="121"/>
      <c r="AF642" s="121"/>
      <c r="AG642" s="121"/>
      <c r="AH642" s="121"/>
      <c r="AI642" s="121"/>
      <c r="AJ642" s="121"/>
      <c r="AK642" s="121"/>
      <c r="AL642" s="121"/>
    </row>
    <row r="643" spans="1:38" s="115" customFormat="1">
      <c r="A643" s="555" t="s">
        <v>1486</v>
      </c>
      <c r="B643" s="217" t="str">
        <f t="shared" si="618"/>
        <v>400</v>
      </c>
      <c r="C643" s="217" t="str">
        <f t="shared" si="619"/>
        <v>00</v>
      </c>
      <c r="D643" s="101" t="str">
        <f t="shared" si="620"/>
        <v>000</v>
      </c>
      <c r="E643" s="217" t="str">
        <f t="shared" si="621"/>
        <v>400-00-000</v>
      </c>
      <c r="F643" s="294" t="str">
        <f t="shared" si="622"/>
        <v>47010</v>
      </c>
      <c r="G643" s="146" t="str">
        <f>VLOOKUP(F643,'GL Category'!A:C,3,FALSE)</f>
        <v>OTHER REVENUE</v>
      </c>
      <c r="H643" s="95" t="str">
        <f>VLOOKUP(F643,'GL Category'!A:C,2,FALSE)</f>
        <v>MISCELLANEOUS REVENUE</v>
      </c>
      <c r="I643" s="99">
        <f>SUMIF(Import!$B:$B,$A643,Import!D:D)</f>
        <v>0</v>
      </c>
      <c r="J643" s="99">
        <f>SUMIF(Import!$B:$B,$A643,Import!E:E)</f>
        <v>0</v>
      </c>
      <c r="K643" s="99">
        <f>SUMIF(Import!$B:$B,$A643,Import!F:F)</f>
        <v>0</v>
      </c>
      <c r="L643" s="99">
        <f>SUMIF(Import!$B:$B,$A643,Import!G:G)</f>
        <v>0</v>
      </c>
      <c r="M643" s="99">
        <f>SUMIF(Import!$B:$B,$A643,Import!H:H)</f>
        <v>0</v>
      </c>
      <c r="N643" s="99">
        <f>SUMIF(Import!$B:$B,$A643,Import!I:I)</f>
        <v>0</v>
      </c>
      <c r="O643" s="99">
        <f>SUMIF(Import!$B:$B,$A643,Import!J:J)</f>
        <v>0</v>
      </c>
      <c r="P643" s="99">
        <f t="shared" si="623"/>
        <v>0</v>
      </c>
      <c r="Q643" s="99">
        <f>SUMIF(Import!$B:$B,$A643,Import!K:K)</f>
        <v>0</v>
      </c>
      <c r="R643" s="99">
        <f>SUMIF(Import!$B:$B,$A643,Import!L:L)</f>
        <v>0</v>
      </c>
      <c r="S643" s="99">
        <f>SUMIF(Import!$B:$B,$A643,Import!M:M)</f>
        <v>0</v>
      </c>
      <c r="T643" s="99">
        <f>SUMIF(Import!$B:$B,$A643,Import!N:N)</f>
        <v>0</v>
      </c>
      <c r="U643" s="99">
        <f t="shared" si="624"/>
        <v>0</v>
      </c>
      <c r="V643" s="255" t="str">
        <f t="shared" si="625"/>
        <v>N/A</v>
      </c>
      <c r="W643" s="102" t="s">
        <v>1486</v>
      </c>
      <c r="X643" s="148"/>
      <c r="Y643" s="267"/>
      <c r="Z643" s="121" t="e">
        <f>VLOOKUP(A643,#REF!,3,FALSE)</f>
        <v>#REF!</v>
      </c>
      <c r="AA643" s="121"/>
      <c r="AB643" s="121"/>
      <c r="AC643" s="121"/>
      <c r="AD643" s="121"/>
      <c r="AE643" s="121"/>
      <c r="AF643" s="121"/>
      <c r="AG643" s="121"/>
      <c r="AH643" s="121"/>
      <c r="AI643" s="121"/>
      <c r="AJ643" s="121"/>
      <c r="AK643" s="121"/>
      <c r="AL643" s="121"/>
    </row>
    <row r="644" spans="1:38" s="115" customFormat="1">
      <c r="A644" s="555" t="s">
        <v>1487</v>
      </c>
      <c r="B644" s="217" t="str">
        <f t="shared" si="618"/>
        <v>400</v>
      </c>
      <c r="C644" s="217" t="str">
        <f t="shared" si="619"/>
        <v>00</v>
      </c>
      <c r="D644" s="101" t="str">
        <f t="shared" si="620"/>
        <v>000</v>
      </c>
      <c r="E644" s="217" t="str">
        <f t="shared" si="621"/>
        <v>400-00-000</v>
      </c>
      <c r="F644" s="294" t="str">
        <f t="shared" si="622"/>
        <v>47020</v>
      </c>
      <c r="G644" s="146" t="str">
        <f>VLOOKUP(F644,'GL Category'!A:C,3,FALSE)</f>
        <v>OTHER REVENUE</v>
      </c>
      <c r="H644" s="95" t="str">
        <f>VLOOKUP(F644,'GL Category'!A:C,2,FALSE)</f>
        <v>AUCTION PROCEEDS</v>
      </c>
      <c r="I644" s="99">
        <f>SUMIF(Import!$B:$B,$A644,Import!D:D)</f>
        <v>0</v>
      </c>
      <c r="J644" s="99">
        <f>SUMIF(Import!$B:$B,$A644,Import!E:E)</f>
        <v>0</v>
      </c>
      <c r="K644" s="99">
        <f>SUMIF(Import!$B:$B,$A644,Import!F:F)</f>
        <v>0</v>
      </c>
      <c r="L644" s="99">
        <f>SUMIF(Import!$B:$B,$A644,Import!G:G)</f>
        <v>0</v>
      </c>
      <c r="M644" s="99">
        <f>SUMIF(Import!$B:$B,$A644,Import!H:H)</f>
        <v>0</v>
      </c>
      <c r="N644" s="99">
        <f>SUMIF(Import!$B:$B,$A644,Import!I:I)</f>
        <v>0</v>
      </c>
      <c r="O644" s="99">
        <f>SUMIF(Import!$B:$B,$A644,Import!J:J)</f>
        <v>0</v>
      </c>
      <c r="P644" s="99">
        <f t="shared" si="623"/>
        <v>0</v>
      </c>
      <c r="Q644" s="99">
        <f>SUMIF(Import!$B:$B,$A644,Import!K:K)</f>
        <v>0</v>
      </c>
      <c r="R644" s="99">
        <f>SUMIF(Import!$B:$B,$A644,Import!L:L)</f>
        <v>0</v>
      </c>
      <c r="S644" s="99">
        <f>SUMIF(Import!$B:$B,$A644,Import!M:M)</f>
        <v>0</v>
      </c>
      <c r="T644" s="99">
        <f>SUMIF(Import!$B:$B,$A644,Import!N:N)</f>
        <v>0</v>
      </c>
      <c r="U644" s="99">
        <f t="shared" si="624"/>
        <v>0</v>
      </c>
      <c r="V644" s="255" t="str">
        <f t="shared" si="625"/>
        <v>N/A</v>
      </c>
      <c r="W644" s="102" t="s">
        <v>1487</v>
      </c>
      <c r="X644" s="148"/>
      <c r="Y644" s="267"/>
      <c r="Z644" s="121" t="e">
        <f>VLOOKUP(A644,#REF!,3,FALSE)</f>
        <v>#REF!</v>
      </c>
      <c r="AA644" s="121"/>
      <c r="AB644" s="121"/>
      <c r="AC644" s="121"/>
      <c r="AD644" s="121"/>
      <c r="AE644" s="121"/>
      <c r="AF644" s="121"/>
      <c r="AG644" s="121"/>
      <c r="AH644" s="121"/>
      <c r="AI644" s="121"/>
      <c r="AJ644" s="121"/>
      <c r="AK644" s="121"/>
      <c r="AL644" s="121"/>
    </row>
    <row r="645" spans="1:38" s="115" customFormat="1">
      <c r="A645" s="555" t="s">
        <v>1488</v>
      </c>
      <c r="B645" s="217" t="str">
        <f t="shared" si="618"/>
        <v>400</v>
      </c>
      <c r="C645" s="217" t="str">
        <f t="shared" si="619"/>
        <v>00</v>
      </c>
      <c r="D645" s="101" t="str">
        <f t="shared" si="620"/>
        <v>000</v>
      </c>
      <c r="E645" s="217" t="str">
        <f t="shared" si="621"/>
        <v>400-00-000</v>
      </c>
      <c r="F645" s="294" t="str">
        <f t="shared" si="622"/>
        <v>47030</v>
      </c>
      <c r="G645" s="146" t="str">
        <f>VLOOKUP(F645,'GL Category'!A:C,3,FALSE)</f>
        <v>OTHER REVENUE</v>
      </c>
      <c r="H645" s="95" t="str">
        <f>VLOOKUP(F645,'GL Category'!A:C,2,FALSE)</f>
        <v>GAIN/LOSS ON DISP OF ASSETS</v>
      </c>
      <c r="I645" s="99">
        <f>SUMIF(Import!$B:$B,$A645,Import!D:D)</f>
        <v>0</v>
      </c>
      <c r="J645" s="99">
        <f>SUMIF(Import!$B:$B,$A645,Import!E:E)</f>
        <v>0</v>
      </c>
      <c r="K645" s="99">
        <f>SUMIF(Import!$B:$B,$A645,Import!F:F)</f>
        <v>0</v>
      </c>
      <c r="L645" s="99">
        <f>SUMIF(Import!$B:$B,$A645,Import!G:G)</f>
        <v>0</v>
      </c>
      <c r="M645" s="99">
        <f>SUMIF(Import!$B:$B,$A645,Import!H:H)</f>
        <v>0</v>
      </c>
      <c r="N645" s="99">
        <f>SUMIF(Import!$B:$B,$A645,Import!I:I)</f>
        <v>0</v>
      </c>
      <c r="O645" s="99">
        <f>SUMIF(Import!$B:$B,$A645,Import!J:J)</f>
        <v>0</v>
      </c>
      <c r="P645" s="99">
        <f t="shared" si="623"/>
        <v>0</v>
      </c>
      <c r="Q645" s="99">
        <f>SUMIF(Import!$B:$B,$A645,Import!K:K)</f>
        <v>0</v>
      </c>
      <c r="R645" s="99">
        <f>SUMIF(Import!$B:$B,$A645,Import!L:L)</f>
        <v>0</v>
      </c>
      <c r="S645" s="99">
        <f>SUMIF(Import!$B:$B,$A645,Import!M:M)</f>
        <v>0</v>
      </c>
      <c r="T645" s="99">
        <f>SUMIF(Import!$B:$B,$A645,Import!N:N)</f>
        <v>0</v>
      </c>
      <c r="U645" s="99">
        <f t="shared" si="624"/>
        <v>0</v>
      </c>
      <c r="V645" s="255" t="str">
        <f t="shared" si="625"/>
        <v>N/A</v>
      </c>
      <c r="W645" s="102" t="s">
        <v>1488</v>
      </c>
      <c r="X645" s="148"/>
      <c r="Y645" s="267"/>
      <c r="Z645" s="121" t="e">
        <f>VLOOKUP(A645,#REF!,3,FALSE)</f>
        <v>#REF!</v>
      </c>
      <c r="AA645" s="121"/>
      <c r="AB645" s="121"/>
      <c r="AC645" s="121"/>
      <c r="AD645" s="121"/>
      <c r="AE645" s="121"/>
      <c r="AF645" s="121"/>
      <c r="AG645" s="121"/>
      <c r="AH645" s="121"/>
      <c r="AI645" s="121"/>
      <c r="AJ645" s="121"/>
      <c r="AK645" s="121"/>
      <c r="AL645" s="121"/>
    </row>
    <row r="646" spans="1:38" s="115" customFormat="1">
      <c r="A646" s="555" t="s">
        <v>1489</v>
      </c>
      <c r="B646" s="217" t="str">
        <f t="shared" si="618"/>
        <v>400</v>
      </c>
      <c r="C646" s="217" t="str">
        <f t="shared" si="619"/>
        <v>00</v>
      </c>
      <c r="D646" s="101" t="str">
        <f t="shared" si="620"/>
        <v>000</v>
      </c>
      <c r="E646" s="217" t="str">
        <f t="shared" si="621"/>
        <v>400-00-000</v>
      </c>
      <c r="F646" s="294" t="str">
        <f t="shared" si="622"/>
        <v>47090</v>
      </c>
      <c r="G646" s="146" t="str">
        <f>VLOOKUP(F646,'GL Category'!A:C,3,FALSE)</f>
        <v>OTHER REVENUE</v>
      </c>
      <c r="H646" s="95" t="str">
        <f>VLOOKUP(F646,'GL Category'!A:C,2,FALSE)</f>
        <v>INTEREST REVENUE-INVESTMENTS</v>
      </c>
      <c r="I646" s="99">
        <f>SUMIF(Import!$B:$B,$A646,Import!D:D)</f>
        <v>-41402.03</v>
      </c>
      <c r="J646" s="99">
        <f>SUMIF(Import!$B:$B,$A646,Import!E:E)</f>
        <v>-12450.1</v>
      </c>
      <c r="K646" s="99">
        <f>SUMIF(Import!$B:$B,$A646,Import!F:F)</f>
        <v>-9164.48</v>
      </c>
      <c r="L646" s="99">
        <f>SUMIF(Import!$B:$B,$A646,Import!G:G)</f>
        <v>-71611.679999999993</v>
      </c>
      <c r="M646" s="99">
        <f>SUMIF(Import!$B:$B,$A646,Import!H:H)</f>
        <v>-31450</v>
      </c>
      <c r="N646" s="99">
        <f>SUMIF(Import!$B:$B,$A646,Import!I:I)</f>
        <v>-98682.8</v>
      </c>
      <c r="O646" s="99">
        <f>SUMIF(Import!$B:$B,$A646,Import!J:J)</f>
        <v>-103332</v>
      </c>
      <c r="P646" s="99">
        <f t="shared" si="623"/>
        <v>-71882</v>
      </c>
      <c r="Q646" s="99">
        <f>SUMIF(Import!$B:$B,$A646,Import!K:K)</f>
        <v>-103332</v>
      </c>
      <c r="R646" s="99">
        <f>SUMIF(Import!$B:$B,$A646,Import!L:L)</f>
        <v>0</v>
      </c>
      <c r="S646" s="99">
        <f>SUMIF(Import!$B:$B,$A646,Import!M:M)</f>
        <v>0</v>
      </c>
      <c r="T646" s="99">
        <f>SUMIF(Import!$B:$B,$A646,Import!N:N)</f>
        <v>-103332</v>
      </c>
      <c r="U646" s="99">
        <f t="shared" si="624"/>
        <v>-71882</v>
      </c>
      <c r="V646" s="255">
        <f t="shared" si="625"/>
        <v>2.2855961844197137</v>
      </c>
      <c r="W646" s="102" t="s">
        <v>1489</v>
      </c>
      <c r="X646" s="148"/>
      <c r="Y646" s="267"/>
      <c r="Z646" s="121" t="e">
        <f>VLOOKUP(A646,#REF!,3,FALSE)</f>
        <v>#REF!</v>
      </c>
      <c r="AA646" s="121"/>
      <c r="AB646" s="121"/>
      <c r="AC646" s="121"/>
      <c r="AD646" s="121"/>
      <c r="AE646" s="121"/>
      <c r="AF646" s="121"/>
      <c r="AG646" s="121"/>
      <c r="AH646" s="121"/>
      <c r="AI646" s="121"/>
      <c r="AJ646" s="121"/>
      <c r="AK646" s="121"/>
      <c r="AL646" s="121"/>
    </row>
    <row r="647" spans="1:38" s="115" customFormat="1">
      <c r="A647" s="555" t="s">
        <v>1490</v>
      </c>
      <c r="B647" s="217" t="str">
        <f t="shared" si="618"/>
        <v>400</v>
      </c>
      <c r="C647" s="217" t="str">
        <f t="shared" si="619"/>
        <v>00</v>
      </c>
      <c r="D647" s="101" t="str">
        <f t="shared" si="620"/>
        <v>000</v>
      </c>
      <c r="E647" s="217" t="str">
        <f t="shared" si="621"/>
        <v>400-00-000</v>
      </c>
      <c r="F647" s="294" t="str">
        <f t="shared" si="622"/>
        <v>47099</v>
      </c>
      <c r="G647" s="146" t="str">
        <f>VLOOKUP(F647,'GL Category'!A:C,3,FALSE)</f>
        <v>OTHER REVENUE</v>
      </c>
      <c r="H647" s="95" t="str">
        <f>VLOOKUP(F647,'GL Category'!A:C,2,FALSE)</f>
        <v>INCR/DECR IN FAIR VALUE OF INV</v>
      </c>
      <c r="I647" s="99">
        <f>SUMIF(Import!$B:$B,$A647,Import!D:D)</f>
        <v>0</v>
      </c>
      <c r="J647" s="99">
        <f>SUMIF(Import!$B:$B,$A647,Import!E:E)</f>
        <v>0</v>
      </c>
      <c r="K647" s="99">
        <f>SUMIF(Import!$B:$B,$A647,Import!F:F)</f>
        <v>0</v>
      </c>
      <c r="L647" s="99">
        <f>SUMIF(Import!$B:$B,$A647,Import!G:G)</f>
        <v>0</v>
      </c>
      <c r="M647" s="99">
        <f>SUMIF(Import!$B:$B,$A647,Import!H:H)</f>
        <v>0</v>
      </c>
      <c r="N647" s="99">
        <f>SUMIF(Import!$B:$B,$A647,Import!I:I)</f>
        <v>0</v>
      </c>
      <c r="O647" s="99">
        <f>SUMIF(Import!$B:$B,$A647,Import!J:J)</f>
        <v>0</v>
      </c>
      <c r="P647" s="99">
        <f t="shared" si="623"/>
        <v>0</v>
      </c>
      <c r="Q647" s="99">
        <f>SUMIF(Import!$B:$B,$A647,Import!K:K)</f>
        <v>0</v>
      </c>
      <c r="R647" s="99">
        <f>SUMIF(Import!$B:$B,$A647,Import!L:L)</f>
        <v>0</v>
      </c>
      <c r="S647" s="99">
        <f>SUMIF(Import!$B:$B,$A647,Import!M:M)</f>
        <v>0</v>
      </c>
      <c r="T647" s="99">
        <f>SUMIF(Import!$B:$B,$A647,Import!N:N)</f>
        <v>0</v>
      </c>
      <c r="U647" s="99">
        <f t="shared" si="624"/>
        <v>0</v>
      </c>
      <c r="V647" s="255" t="str">
        <f t="shared" si="625"/>
        <v>N/A</v>
      </c>
      <c r="W647" s="102" t="s">
        <v>1490</v>
      </c>
      <c r="X647" s="148"/>
      <c r="Y647" s="267"/>
      <c r="Z647" s="121" t="e">
        <f>VLOOKUP(A647,#REF!,3,FALSE)</f>
        <v>#REF!</v>
      </c>
      <c r="AA647" s="121"/>
      <c r="AB647" s="121"/>
      <c r="AC647" s="121"/>
      <c r="AD647" s="121"/>
      <c r="AE647" s="121"/>
      <c r="AF647" s="121"/>
      <c r="AG647" s="121"/>
      <c r="AH647" s="121"/>
      <c r="AI647" s="121"/>
      <c r="AJ647" s="121"/>
      <c r="AK647" s="121"/>
      <c r="AL647" s="121"/>
    </row>
    <row r="648" spans="1:38" s="115" customFormat="1">
      <c r="A648" s="555" t="s">
        <v>1491</v>
      </c>
      <c r="B648" s="217" t="str">
        <f t="shared" si="618"/>
        <v>400</v>
      </c>
      <c r="C648" s="217" t="str">
        <f t="shared" si="619"/>
        <v>00</v>
      </c>
      <c r="D648" s="101" t="str">
        <f t="shared" si="620"/>
        <v>000</v>
      </c>
      <c r="E648" s="217" t="str">
        <f t="shared" si="621"/>
        <v>400-00-000</v>
      </c>
      <c r="F648" s="294" t="str">
        <f t="shared" si="622"/>
        <v>49999</v>
      </c>
      <c r="G648" s="146" t="s">
        <v>916</v>
      </c>
      <c r="H648" s="95" t="str">
        <f>VLOOKUP(F648,'GL Category'!A:C,2,FALSE)</f>
        <v>USE OF FUND BALANCE</v>
      </c>
      <c r="I648" s="99">
        <f>SUMIF(Import!$B:$B,$A648,Import!D:D)</f>
        <v>-966</v>
      </c>
      <c r="J648" s="99">
        <f>SUMIF(Import!$B:$B,$A648,Import!E:E)</f>
        <v>11898.44</v>
      </c>
      <c r="K648" s="99">
        <f>SUMIF(Import!$B:$B,$A648,Import!F:F)</f>
        <v>-640993.93000000005</v>
      </c>
      <c r="L648" s="99">
        <f>SUMIF(Import!$B:$B,$A648,Import!G:G)</f>
        <v>-80900</v>
      </c>
      <c r="M648" s="99">
        <f>SUMIF(Import!$B:$B,$A648,Import!H:H)</f>
        <v>0</v>
      </c>
      <c r="N648" s="99">
        <f>SUMIF(Import!$B:$B,$A648,Import!I:I)</f>
        <v>0</v>
      </c>
      <c r="O648" s="99">
        <f>SUMIF(Import!$B:$B,$A648,Import!J:J)</f>
        <v>0</v>
      </c>
      <c r="P648" s="99">
        <f t="shared" si="623"/>
        <v>0</v>
      </c>
      <c r="Q648" s="99">
        <f>SUMIF(Import!$B:$B,$A648,Import!K:K)</f>
        <v>0</v>
      </c>
      <c r="R648" s="99">
        <f>SUMIF(Import!$B:$B,$A648,Import!L:L)</f>
        <v>0</v>
      </c>
      <c r="S648" s="99">
        <f>SUMIF(Import!$B:$B,$A648,Import!M:M)</f>
        <v>0</v>
      </c>
      <c r="T648" s="99">
        <f>SUMIF(Import!$B:$B,$A648,Import!N:N)</f>
        <v>0</v>
      </c>
      <c r="U648" s="99">
        <f t="shared" si="624"/>
        <v>0</v>
      </c>
      <c r="V648" s="255" t="str">
        <f t="shared" si="625"/>
        <v>N/A</v>
      </c>
      <c r="W648" s="102" t="s">
        <v>1491</v>
      </c>
      <c r="X648" s="148"/>
      <c r="Y648" s="267"/>
      <c r="Z648" s="121" t="e">
        <f>VLOOKUP(A648,#REF!,3,FALSE)</f>
        <v>#REF!</v>
      </c>
      <c r="AA648" s="121"/>
      <c r="AB648" s="121"/>
      <c r="AC648" s="121"/>
      <c r="AD648" s="121"/>
      <c r="AE648" s="121"/>
      <c r="AF648" s="121"/>
      <c r="AG648" s="121"/>
      <c r="AH648" s="121"/>
      <c r="AI648" s="121"/>
      <c r="AJ648" s="121"/>
      <c r="AK648" s="121"/>
      <c r="AL648" s="121"/>
    </row>
    <row r="649" spans="1:38" s="115" customFormat="1">
      <c r="A649" s="555"/>
      <c r="B649" s="217"/>
      <c r="C649" s="217"/>
      <c r="D649" s="101"/>
      <c r="E649" s="217"/>
      <c r="F649" s="294"/>
      <c r="G649" s="146"/>
      <c r="H649" s="107" t="str">
        <f>UPPER(G648)&amp;" TOTAL"</f>
        <v>REVENUE TOTAL</v>
      </c>
      <c r="I649" s="108">
        <f>SUBTOTAL(9,I641:I648)</f>
        <v>-1524000.54</v>
      </c>
      <c r="J649" s="108">
        <f>SUBTOTAL(9,J641:J648)</f>
        <v>-1494414.09</v>
      </c>
      <c r="K649" s="108">
        <f>SUBTOTAL(9,K641:K648)</f>
        <v>-2159208.23</v>
      </c>
      <c r="L649" s="108">
        <f>SUBTOTAL(9,L641:L648)</f>
        <v>-1667050.5099999998</v>
      </c>
      <c r="M649" s="108">
        <f t="shared" ref="M649:P649" si="626">SUBTOTAL(9,M636:M648)</f>
        <v>-1554275</v>
      </c>
      <c r="N649" s="109">
        <f t="shared" ref="N649" si="627">SUBTOTAL(9,N636:N648)</f>
        <v>-1369154.97</v>
      </c>
      <c r="O649" s="109">
        <f t="shared" si="626"/>
        <v>-1631263</v>
      </c>
      <c r="P649" s="109">
        <f t="shared" si="626"/>
        <v>-76988</v>
      </c>
      <c r="Q649" s="109">
        <f t="shared" ref="Q649:T649" si="628">SUBTOTAL(9,Q636:Q648)</f>
        <v>-1634147</v>
      </c>
      <c r="R649" s="109">
        <f t="shared" si="628"/>
        <v>0</v>
      </c>
      <c r="S649" s="109">
        <f t="shared" si="628"/>
        <v>0</v>
      </c>
      <c r="T649" s="109">
        <f t="shared" si="628"/>
        <v>-1634147</v>
      </c>
      <c r="U649" s="99">
        <f>T649-M649</f>
        <v>-79872</v>
      </c>
      <c r="V649" s="259">
        <f>IF(M649=0,"N/A",T649/M649-1)</f>
        <v>5.1388589535313889E-2</v>
      </c>
      <c r="X649" s="148"/>
      <c r="Y649" s="267"/>
      <c r="Z649" s="121"/>
      <c r="AA649" s="121"/>
      <c r="AB649" s="121"/>
      <c r="AC649" s="121"/>
      <c r="AD649" s="121"/>
      <c r="AE649" s="121"/>
      <c r="AF649" s="121"/>
      <c r="AG649" s="121"/>
      <c r="AH649" s="121"/>
      <c r="AI649" s="121"/>
      <c r="AJ649" s="121"/>
      <c r="AK649" s="121"/>
      <c r="AL649" s="121"/>
    </row>
    <row r="650" spans="1:38" s="115" customFormat="1">
      <c r="A650" s="555"/>
      <c r="B650" s="217"/>
      <c r="C650" s="217"/>
      <c r="D650" s="101"/>
      <c r="E650" s="217"/>
      <c r="F650" s="294"/>
      <c r="G650" s="146"/>
      <c r="H650" s="98"/>
      <c r="I650" s="106"/>
      <c r="J650" s="106"/>
      <c r="K650" s="106"/>
      <c r="L650" s="106"/>
      <c r="M650" s="106"/>
      <c r="N650" s="112"/>
      <c r="O650" s="112"/>
      <c r="P650" s="112"/>
      <c r="Q650" s="113"/>
      <c r="R650" s="99"/>
      <c r="S650" s="99"/>
      <c r="T650" s="113"/>
      <c r="U650" s="113"/>
      <c r="V650" s="113"/>
      <c r="X650" s="148"/>
      <c r="Y650" s="267"/>
      <c r="Z650" s="121"/>
      <c r="AA650" s="121"/>
      <c r="AB650" s="121"/>
      <c r="AC650" s="121"/>
      <c r="AD650" s="121"/>
      <c r="AE650" s="121"/>
      <c r="AF650" s="121"/>
      <c r="AG650" s="121"/>
      <c r="AH650" s="121"/>
      <c r="AI650" s="121"/>
      <c r="AJ650" s="121"/>
      <c r="AK650" s="121"/>
      <c r="AL650" s="121"/>
    </row>
    <row r="651" spans="1:38" s="115" customFormat="1">
      <c r="A651" s="555" t="s">
        <v>1492</v>
      </c>
      <c r="B651" s="217" t="str">
        <f t="shared" si="618"/>
        <v>400</v>
      </c>
      <c r="C651" s="217" t="str">
        <f t="shared" si="619"/>
        <v>81</v>
      </c>
      <c r="D651" s="101" t="str">
        <f t="shared" si="620"/>
        <v>815</v>
      </c>
      <c r="E651" s="217" t="str">
        <f t="shared" si="621"/>
        <v>400-81-815</v>
      </c>
      <c r="F651" s="294" t="str">
        <f t="shared" si="622"/>
        <v>50101</v>
      </c>
      <c r="G651" s="295" t="str">
        <f>VLOOKUP(F651,'GL Category'!A:C,3,FALSE)</f>
        <v>Personnel services</v>
      </c>
      <c r="H651" s="98" t="str">
        <f>VLOOKUP(F651,'GL Category'!A:C,2,FALSE)</f>
        <v>EXEMPT SALARIES</v>
      </c>
      <c r="I651" s="99">
        <f>SUMIF(Import!$B:$B,$A651,Import!D:D)</f>
        <v>44109.04</v>
      </c>
      <c r="J651" s="99">
        <f>SUMIF(Import!$B:$B,$A651,Import!E:E)</f>
        <v>45350.21</v>
      </c>
      <c r="K651" s="99">
        <f>SUMIF(Import!$B:$B,$A651,Import!F:F)</f>
        <v>47565.25</v>
      </c>
      <c r="L651" s="99">
        <f>SUMIF(Import!$B:$B,$A651,Import!G:G)</f>
        <v>26342.97</v>
      </c>
      <c r="M651" s="99">
        <f>SUMIF(Import!$B:$B,$A651,Import!H:H)</f>
        <v>0</v>
      </c>
      <c r="N651" s="99">
        <f>SUMIF(Import!$B:$B,$A651,Import!I:I)</f>
        <v>0</v>
      </c>
      <c r="O651" s="99">
        <f>SUMIF(Import!$B:$B,$A651,Import!J:J)</f>
        <v>0</v>
      </c>
      <c r="P651" s="99">
        <f t="shared" ref="P651:P658" si="629">O651-M651</f>
        <v>0</v>
      </c>
      <c r="Q651" s="99">
        <f>SUMIF(Import!$B:$B,$A651,Import!K:K)</f>
        <v>0</v>
      </c>
      <c r="R651" s="99">
        <f>SUMIF(Import!$B:$B,$A651,Import!L:L)</f>
        <v>0</v>
      </c>
      <c r="S651" s="99">
        <f>SUMIF(Import!$B:$B,$A651,Import!M:M)</f>
        <v>0</v>
      </c>
      <c r="T651" s="99">
        <f>SUMIF(Import!$B:$B,$A651,Import!N:N)</f>
        <v>0</v>
      </c>
      <c r="U651" s="99">
        <f t="shared" ref="U651:U658" si="630">T651-M651</f>
        <v>0</v>
      </c>
      <c r="V651" s="255" t="str">
        <f t="shared" ref="V651:V658" si="631">IF(M651=0,"N/A",T651/M651-1)</f>
        <v>N/A</v>
      </c>
      <c r="W651" s="102" t="s">
        <v>1492</v>
      </c>
      <c r="X651" s="148"/>
      <c r="Y651" s="267"/>
      <c r="Z651" s="121" t="e">
        <f>VLOOKUP(A651,#REF!,3,FALSE)</f>
        <v>#REF!</v>
      </c>
      <c r="AA651" s="121"/>
      <c r="AB651" s="121"/>
      <c r="AC651" s="121"/>
      <c r="AD651" s="121"/>
      <c r="AE651" s="121"/>
      <c r="AF651" s="121"/>
      <c r="AG651" s="121"/>
      <c r="AH651" s="121"/>
      <c r="AI651" s="121"/>
      <c r="AJ651" s="121"/>
      <c r="AK651" s="121"/>
      <c r="AL651" s="121"/>
    </row>
    <row r="652" spans="1:38" s="115" customFormat="1">
      <c r="A652" s="555" t="s">
        <v>1493</v>
      </c>
      <c r="B652" s="217" t="str">
        <f t="shared" si="618"/>
        <v>400</v>
      </c>
      <c r="C652" s="217" t="str">
        <f t="shared" si="619"/>
        <v>81</v>
      </c>
      <c r="D652" s="101" t="str">
        <f t="shared" si="620"/>
        <v>815</v>
      </c>
      <c r="E652" s="217" t="str">
        <f t="shared" si="621"/>
        <v>400-81-815</v>
      </c>
      <c r="F652" s="294" t="str">
        <f t="shared" si="622"/>
        <v>50102</v>
      </c>
      <c r="G652" s="295" t="str">
        <f>VLOOKUP(F652,'GL Category'!A:C,3,FALSE)</f>
        <v>Personnel services</v>
      </c>
      <c r="H652" s="98" t="str">
        <f>VLOOKUP(F652,'GL Category'!A:C,2,FALSE)</f>
        <v>NON EXEMPT SALARIES</v>
      </c>
      <c r="I652" s="99">
        <f>SUMIF(Import!$B:$B,$A652,Import!D:D)</f>
        <v>317747.01</v>
      </c>
      <c r="J652" s="99">
        <f>SUMIF(Import!$B:$B,$A652,Import!E:E)</f>
        <v>282529.82</v>
      </c>
      <c r="K652" s="99">
        <f>SUMIF(Import!$B:$B,$A652,Import!F:F)</f>
        <v>218259.29</v>
      </c>
      <c r="L652" s="99">
        <f>SUMIF(Import!$B:$B,$A652,Import!G:G)</f>
        <v>262102.43</v>
      </c>
      <c r="M652" s="99">
        <f>SUMIF(Import!$B:$B,$A652,Import!H:H)</f>
        <v>430437</v>
      </c>
      <c r="N652" s="99">
        <f>SUMIF(Import!$B:$B,$A652,Import!I:I)</f>
        <v>325230.63</v>
      </c>
      <c r="O652" s="99">
        <f>SUMIF(Import!$B:$B,$A652,Import!J:J)</f>
        <v>420647</v>
      </c>
      <c r="P652" s="99">
        <f t="shared" si="629"/>
        <v>-9790</v>
      </c>
      <c r="Q652" s="99">
        <f>SUMIF(Import!$B:$B,$A652,Import!K:K)</f>
        <v>436715</v>
      </c>
      <c r="R652" s="99">
        <f>SUMIF(Import!$B:$B,$A652,Import!L:L)</f>
        <v>0</v>
      </c>
      <c r="S652" s="99">
        <f>SUMIF(Import!$B:$B,$A652,Import!M:M)</f>
        <v>0</v>
      </c>
      <c r="T652" s="99">
        <f>SUMIF(Import!$B:$B,$A652,Import!N:N)</f>
        <v>436715</v>
      </c>
      <c r="U652" s="99">
        <f t="shared" si="630"/>
        <v>6278</v>
      </c>
      <c r="V652" s="255">
        <f t="shared" si="631"/>
        <v>1.4585177389490278E-2</v>
      </c>
      <c r="W652" s="102" t="s">
        <v>1493</v>
      </c>
      <c r="X652" s="148"/>
      <c r="Y652" s="267"/>
      <c r="Z652" s="121" t="e">
        <f>VLOOKUP(A652,#REF!,3,FALSE)</f>
        <v>#REF!</v>
      </c>
      <c r="AA652" s="121"/>
      <c r="AB652" s="121"/>
      <c r="AC652" s="121"/>
      <c r="AD652" s="121"/>
      <c r="AE652" s="121"/>
      <c r="AF652" s="121"/>
      <c r="AG652" s="121"/>
      <c r="AH652" s="121"/>
      <c r="AI652" s="121"/>
      <c r="AJ652" s="121"/>
      <c r="AK652" s="121"/>
      <c r="AL652" s="121"/>
    </row>
    <row r="653" spans="1:38" s="115" customFormat="1">
      <c r="A653" s="555" t="s">
        <v>1494</v>
      </c>
      <c r="B653" s="217" t="str">
        <f t="shared" si="618"/>
        <v>400</v>
      </c>
      <c r="C653" s="217" t="str">
        <f t="shared" si="619"/>
        <v>81</v>
      </c>
      <c r="D653" s="101" t="str">
        <f t="shared" si="620"/>
        <v>815</v>
      </c>
      <c r="E653" s="217" t="str">
        <f t="shared" si="621"/>
        <v>400-81-815</v>
      </c>
      <c r="F653" s="294" t="str">
        <f t="shared" si="622"/>
        <v>50109</v>
      </c>
      <c r="G653" s="295" t="str">
        <f>VLOOKUP(F653,'GL Category'!A:C,3,FALSE)</f>
        <v>Personnel services</v>
      </c>
      <c r="H653" s="98" t="str">
        <f>VLOOKUP(F653,'GL Category'!A:C,2,FALSE)</f>
        <v>OVERTIME</v>
      </c>
      <c r="I653" s="99">
        <f>SUMIF(Import!$B:$B,$A653,Import!D:D)</f>
        <v>40201</v>
      </c>
      <c r="J653" s="99">
        <f>SUMIF(Import!$B:$B,$A653,Import!E:E)</f>
        <v>35137.89</v>
      </c>
      <c r="K653" s="99">
        <f>SUMIF(Import!$B:$B,$A653,Import!F:F)</f>
        <v>27615.56</v>
      </c>
      <c r="L653" s="99">
        <f>SUMIF(Import!$B:$B,$A653,Import!G:G)</f>
        <v>23185.74</v>
      </c>
      <c r="M653" s="99">
        <f>SUMIF(Import!$B:$B,$A653,Import!H:H)</f>
        <v>31387</v>
      </c>
      <c r="N653" s="99">
        <f>SUMIF(Import!$B:$B,$A653,Import!I:I)</f>
        <v>16633.12</v>
      </c>
      <c r="O653" s="99">
        <f>SUMIF(Import!$B:$B,$A653,Import!J:J)</f>
        <v>17751</v>
      </c>
      <c r="P653" s="99">
        <f t="shared" si="629"/>
        <v>-13636</v>
      </c>
      <c r="Q653" s="99">
        <f>SUMIF(Import!$B:$B,$A653,Import!K:K)</f>
        <v>31353</v>
      </c>
      <c r="R653" s="99">
        <f>SUMIF(Import!$B:$B,$A653,Import!L:L)</f>
        <v>0</v>
      </c>
      <c r="S653" s="99">
        <f>SUMIF(Import!$B:$B,$A653,Import!M:M)</f>
        <v>0</v>
      </c>
      <c r="T653" s="99">
        <f>SUMIF(Import!$B:$B,$A653,Import!N:N)</f>
        <v>31353</v>
      </c>
      <c r="U653" s="99">
        <f t="shared" si="630"/>
        <v>-34</v>
      </c>
      <c r="V653" s="255">
        <f t="shared" si="631"/>
        <v>-1.0832510274955132E-3</v>
      </c>
      <c r="W653" s="102" t="s">
        <v>1494</v>
      </c>
      <c r="X653" s="148"/>
      <c r="Y653" s="267"/>
      <c r="Z653" s="121" t="e">
        <f>VLOOKUP(A653,#REF!,3,FALSE)</f>
        <v>#REF!</v>
      </c>
      <c r="AA653" s="121"/>
      <c r="AB653" s="121"/>
      <c r="AC653" s="121"/>
      <c r="AD653" s="121"/>
      <c r="AE653" s="121"/>
      <c r="AF653" s="121"/>
      <c r="AG653" s="121"/>
      <c r="AH653" s="121"/>
      <c r="AI653" s="121"/>
      <c r="AJ653" s="121"/>
      <c r="AK653" s="121"/>
      <c r="AL653" s="121"/>
    </row>
    <row r="654" spans="1:38" s="115" customFormat="1">
      <c r="A654" s="555" t="s">
        <v>1495</v>
      </c>
      <c r="B654" s="217" t="str">
        <f t="shared" si="618"/>
        <v>400</v>
      </c>
      <c r="C654" s="217" t="str">
        <f t="shared" si="619"/>
        <v>81</v>
      </c>
      <c r="D654" s="101" t="str">
        <f t="shared" si="620"/>
        <v>815</v>
      </c>
      <c r="E654" s="217" t="str">
        <f t="shared" si="621"/>
        <v>400-81-815</v>
      </c>
      <c r="F654" s="294" t="str">
        <f t="shared" si="622"/>
        <v>50111</v>
      </c>
      <c r="G654" s="295" t="str">
        <f>VLOOKUP(F654,'GL Category'!A:C,3,FALSE)</f>
        <v>Personnel services</v>
      </c>
      <c r="H654" s="98" t="str">
        <f>VLOOKUP(F654,'GL Category'!A:C,2,FALSE)</f>
        <v>LONGEVITY PAY</v>
      </c>
      <c r="I654" s="99">
        <f>SUMIF(Import!$B:$B,$A654,Import!D:D)</f>
        <v>3880</v>
      </c>
      <c r="J654" s="99">
        <f>SUMIF(Import!$B:$B,$A654,Import!E:E)</f>
        <v>4330</v>
      </c>
      <c r="K654" s="99">
        <f>SUMIF(Import!$B:$B,$A654,Import!F:F)</f>
        <v>3840</v>
      </c>
      <c r="L654" s="99">
        <f>SUMIF(Import!$B:$B,$A654,Import!G:G)</f>
        <v>3975</v>
      </c>
      <c r="M654" s="99">
        <f>SUMIF(Import!$B:$B,$A654,Import!H:H)</f>
        <v>4269</v>
      </c>
      <c r="N654" s="99">
        <f>SUMIF(Import!$B:$B,$A654,Import!I:I)</f>
        <v>4290</v>
      </c>
      <c r="O654" s="99">
        <f>SUMIF(Import!$B:$B,$A654,Import!J:J)</f>
        <v>4290</v>
      </c>
      <c r="P654" s="99">
        <f t="shared" si="629"/>
        <v>21</v>
      </c>
      <c r="Q654" s="99">
        <f>SUMIF(Import!$B:$B,$A654,Import!K:K)</f>
        <v>4835</v>
      </c>
      <c r="R654" s="99">
        <f>SUMIF(Import!$B:$B,$A654,Import!L:L)</f>
        <v>0</v>
      </c>
      <c r="S654" s="99">
        <f>SUMIF(Import!$B:$B,$A654,Import!M:M)</f>
        <v>0</v>
      </c>
      <c r="T654" s="99">
        <f>SUMIF(Import!$B:$B,$A654,Import!N:N)</f>
        <v>4835</v>
      </c>
      <c r="U654" s="99">
        <f t="shared" si="630"/>
        <v>566</v>
      </c>
      <c r="V654" s="255">
        <f t="shared" si="631"/>
        <v>0.13258374326540179</v>
      </c>
      <c r="W654" s="102" t="s">
        <v>1495</v>
      </c>
      <c r="X654" s="148"/>
      <c r="Y654" s="267"/>
      <c r="Z654" s="121" t="e">
        <f>VLOOKUP(A654,#REF!,3,FALSE)</f>
        <v>#REF!</v>
      </c>
      <c r="AA654" s="121"/>
      <c r="AB654" s="121"/>
      <c r="AC654" s="121"/>
      <c r="AD654" s="121"/>
      <c r="AE654" s="121"/>
      <c r="AF654" s="121"/>
      <c r="AG654" s="121"/>
      <c r="AH654" s="121"/>
      <c r="AI654" s="121"/>
      <c r="AJ654" s="121"/>
      <c r="AK654" s="121"/>
      <c r="AL654" s="121"/>
    </row>
    <row r="655" spans="1:38" s="115" customFormat="1">
      <c r="A655" s="555" t="s">
        <v>1496</v>
      </c>
      <c r="B655" s="217" t="str">
        <f t="shared" si="618"/>
        <v>400</v>
      </c>
      <c r="C655" s="217" t="str">
        <f t="shared" si="619"/>
        <v>81</v>
      </c>
      <c r="D655" s="101" t="str">
        <f t="shared" si="620"/>
        <v>815</v>
      </c>
      <c r="E655" s="217" t="str">
        <f t="shared" si="621"/>
        <v>400-81-815</v>
      </c>
      <c r="F655" s="294" t="str">
        <f t="shared" si="622"/>
        <v>50610</v>
      </c>
      <c r="G655" s="295" t="str">
        <f>VLOOKUP(F655,'GL Category'!A:C,3,FALSE)</f>
        <v>Personnel services</v>
      </c>
      <c r="H655" s="98" t="str">
        <f>VLOOKUP(F655,'GL Category'!A:C,2,FALSE)</f>
        <v>SOCIAL SECURITY</v>
      </c>
      <c r="I655" s="99">
        <f>SUMIF(Import!$B:$B,$A655,Import!D:D)</f>
        <v>29797.22</v>
      </c>
      <c r="J655" s="99">
        <f>SUMIF(Import!$B:$B,$A655,Import!E:E)</f>
        <v>26760.33</v>
      </c>
      <c r="K655" s="99">
        <f>SUMIF(Import!$B:$B,$A655,Import!F:F)</f>
        <v>21508.3</v>
      </c>
      <c r="L655" s="99">
        <f>SUMIF(Import!$B:$B,$A655,Import!G:G)</f>
        <v>23280.560000000001</v>
      </c>
      <c r="M655" s="99">
        <f>SUMIF(Import!$B:$B,$A655,Import!H:H)</f>
        <v>35790</v>
      </c>
      <c r="N655" s="99">
        <f>SUMIF(Import!$B:$B,$A655,Import!I:I)</f>
        <v>25524.11</v>
      </c>
      <c r="O655" s="99">
        <f>SUMIF(Import!$B:$B,$A655,Import!J:J)</f>
        <v>33404</v>
      </c>
      <c r="P655" s="99">
        <f t="shared" si="629"/>
        <v>-2386</v>
      </c>
      <c r="Q655" s="99">
        <f>SUMIF(Import!$B:$B,$A655,Import!K:K)</f>
        <v>36400</v>
      </c>
      <c r="R655" s="99">
        <f>SUMIF(Import!$B:$B,$A655,Import!L:L)</f>
        <v>0</v>
      </c>
      <c r="S655" s="99">
        <f>SUMIF(Import!$B:$B,$A655,Import!M:M)</f>
        <v>0</v>
      </c>
      <c r="T655" s="99">
        <f>SUMIF(Import!$B:$B,$A655,Import!N:N)</f>
        <v>36400</v>
      </c>
      <c r="U655" s="99">
        <f t="shared" si="630"/>
        <v>610</v>
      </c>
      <c r="V655" s="255">
        <f t="shared" si="631"/>
        <v>1.7043867001955926E-2</v>
      </c>
      <c r="W655" s="102" t="s">
        <v>1496</v>
      </c>
      <c r="X655" s="148"/>
      <c r="Y655" s="267"/>
      <c r="Z655" s="121" t="e">
        <f>VLOOKUP(A655,#REF!,3,FALSE)</f>
        <v>#REF!</v>
      </c>
      <c r="AA655" s="121"/>
      <c r="AB655" s="121"/>
      <c r="AC655" s="121"/>
      <c r="AD655" s="121"/>
      <c r="AE655" s="121"/>
      <c r="AF655" s="121"/>
      <c r="AG655" s="121"/>
      <c r="AH655" s="121"/>
      <c r="AI655" s="121"/>
      <c r="AJ655" s="121"/>
      <c r="AK655" s="121"/>
      <c r="AL655" s="121"/>
    </row>
    <row r="656" spans="1:38" s="115" customFormat="1">
      <c r="A656" s="555" t="s">
        <v>1497</v>
      </c>
      <c r="B656" s="217" t="str">
        <f t="shared" si="618"/>
        <v>400</v>
      </c>
      <c r="C656" s="217" t="str">
        <f t="shared" si="619"/>
        <v>81</v>
      </c>
      <c r="D656" s="101" t="str">
        <f t="shared" si="620"/>
        <v>815</v>
      </c>
      <c r="E656" s="217" t="str">
        <f t="shared" si="621"/>
        <v>400-81-815</v>
      </c>
      <c r="F656" s="294" t="str">
        <f t="shared" si="622"/>
        <v>50620</v>
      </c>
      <c r="G656" s="295" t="str">
        <f>VLOOKUP(F656,'GL Category'!A:C,3,FALSE)</f>
        <v>Personnel services</v>
      </c>
      <c r="H656" s="98" t="str">
        <f>VLOOKUP(F656,'GL Category'!A:C,2,FALSE)</f>
        <v>HEALTH/LIFE INSURANCE</v>
      </c>
      <c r="I656" s="99">
        <f>SUMIF(Import!$B:$B,$A656,Import!D:D)</f>
        <v>82973.47</v>
      </c>
      <c r="J656" s="99">
        <f>SUMIF(Import!$B:$B,$A656,Import!E:E)</f>
        <v>85134.88</v>
      </c>
      <c r="K656" s="99">
        <f>SUMIF(Import!$B:$B,$A656,Import!F:F)</f>
        <v>61305.63</v>
      </c>
      <c r="L656" s="99">
        <f>SUMIF(Import!$B:$B,$A656,Import!G:G)</f>
        <v>59042.34</v>
      </c>
      <c r="M656" s="99">
        <f>SUMIF(Import!$B:$B,$A656,Import!H:H)</f>
        <v>105314</v>
      </c>
      <c r="N656" s="99">
        <f>SUMIF(Import!$B:$B,$A656,Import!I:I)</f>
        <v>79467.740000000005</v>
      </c>
      <c r="O656" s="99">
        <f>SUMIF(Import!$B:$B,$A656,Import!J:J)</f>
        <v>108359</v>
      </c>
      <c r="P656" s="99">
        <f t="shared" si="629"/>
        <v>3045</v>
      </c>
      <c r="Q656" s="99">
        <f>SUMIF(Import!$B:$B,$A656,Import!K:K)</f>
        <v>111238</v>
      </c>
      <c r="R656" s="99">
        <f>SUMIF(Import!$B:$B,$A656,Import!L:L)</f>
        <v>0</v>
      </c>
      <c r="S656" s="99">
        <f>SUMIF(Import!$B:$B,$A656,Import!M:M)</f>
        <v>0</v>
      </c>
      <c r="T656" s="99">
        <f>SUMIF(Import!$B:$B,$A656,Import!N:N)</f>
        <v>111238</v>
      </c>
      <c r="U656" s="99">
        <f t="shared" si="630"/>
        <v>5924</v>
      </c>
      <c r="V656" s="255">
        <f t="shared" si="631"/>
        <v>5.6250830848699973E-2</v>
      </c>
      <c r="W656" s="102" t="s">
        <v>1497</v>
      </c>
      <c r="X656" s="148"/>
      <c r="Y656" s="267"/>
      <c r="Z656" s="121" t="e">
        <f>VLOOKUP(A656,#REF!,3,FALSE)</f>
        <v>#REF!</v>
      </c>
      <c r="AA656" s="121"/>
      <c r="AB656" s="121"/>
      <c r="AC656" s="121"/>
      <c r="AD656" s="121"/>
      <c r="AE656" s="121"/>
      <c r="AF656" s="121"/>
      <c r="AG656" s="121"/>
      <c r="AH656" s="121"/>
      <c r="AI656" s="121"/>
      <c r="AJ656" s="121"/>
      <c r="AK656" s="121"/>
      <c r="AL656" s="121"/>
    </row>
    <row r="657" spans="1:38" s="115" customFormat="1">
      <c r="A657" s="555" t="s">
        <v>1498</v>
      </c>
      <c r="B657" s="217" t="str">
        <f t="shared" si="618"/>
        <v>400</v>
      </c>
      <c r="C657" s="217" t="str">
        <f t="shared" si="619"/>
        <v>81</v>
      </c>
      <c r="D657" s="101" t="str">
        <f t="shared" si="620"/>
        <v>815</v>
      </c>
      <c r="E657" s="217" t="str">
        <f t="shared" si="621"/>
        <v>400-81-815</v>
      </c>
      <c r="F657" s="294" t="str">
        <f t="shared" si="622"/>
        <v>50630</v>
      </c>
      <c r="G657" s="295" t="str">
        <f>VLOOKUP(F657,'GL Category'!A:C,3,FALSE)</f>
        <v>Personnel services</v>
      </c>
      <c r="H657" s="98" t="str">
        <f>VLOOKUP(F657,'GL Category'!A:C,2,FALSE)</f>
        <v>WORKER COMPENSATION</v>
      </c>
      <c r="I657" s="99">
        <f>SUMIF(Import!$B:$B,$A657,Import!D:D)</f>
        <v>4886.97</v>
      </c>
      <c r="J657" s="99">
        <f>SUMIF(Import!$B:$B,$A657,Import!E:E)</f>
        <v>4158.41</v>
      </c>
      <c r="K657" s="99">
        <f>SUMIF(Import!$B:$B,$A657,Import!F:F)</f>
        <v>4431.9399999999996</v>
      </c>
      <c r="L657" s="99">
        <f>SUMIF(Import!$B:$B,$A657,Import!G:G)</f>
        <v>8861.52</v>
      </c>
      <c r="M657" s="99">
        <f>SUMIF(Import!$B:$B,$A657,Import!H:H)</f>
        <v>9989</v>
      </c>
      <c r="N657" s="99">
        <f>SUMIF(Import!$B:$B,$A657,Import!I:I)</f>
        <v>9980.84</v>
      </c>
      <c r="O657" s="99">
        <f>SUMIF(Import!$B:$B,$A657,Import!J:J)</f>
        <v>9981</v>
      </c>
      <c r="P657" s="99">
        <f t="shared" si="629"/>
        <v>-8</v>
      </c>
      <c r="Q657" s="99">
        <f>SUMIF(Import!$B:$B,$A657,Import!K:K)</f>
        <v>9319</v>
      </c>
      <c r="R657" s="99">
        <f>SUMIF(Import!$B:$B,$A657,Import!L:L)</f>
        <v>0</v>
      </c>
      <c r="S657" s="99">
        <f>SUMIF(Import!$B:$B,$A657,Import!M:M)</f>
        <v>0</v>
      </c>
      <c r="T657" s="99">
        <f>SUMIF(Import!$B:$B,$A657,Import!N:N)</f>
        <v>9319</v>
      </c>
      <c r="U657" s="99">
        <f t="shared" si="630"/>
        <v>-670</v>
      </c>
      <c r="V657" s="255">
        <f t="shared" si="631"/>
        <v>-6.7073781159275203E-2</v>
      </c>
      <c r="W657" s="102" t="s">
        <v>1498</v>
      </c>
      <c r="X657" s="148"/>
      <c r="Y657" s="267"/>
      <c r="Z657" s="121" t="e">
        <f>VLOOKUP(A657,#REF!,3,FALSE)</f>
        <v>#REF!</v>
      </c>
      <c r="AA657" s="121"/>
      <c r="AB657" s="121"/>
      <c r="AC657" s="121"/>
      <c r="AD657" s="121"/>
      <c r="AE657" s="121"/>
      <c r="AF657" s="121"/>
      <c r="AG657" s="121"/>
      <c r="AH657" s="121"/>
      <c r="AI657" s="121"/>
      <c r="AJ657" s="121"/>
      <c r="AK657" s="121"/>
      <c r="AL657" s="121"/>
    </row>
    <row r="658" spans="1:38" s="115" customFormat="1">
      <c r="A658" s="555" t="s">
        <v>1499</v>
      </c>
      <c r="B658" s="217" t="str">
        <f t="shared" si="618"/>
        <v>400</v>
      </c>
      <c r="C658" s="217" t="str">
        <f t="shared" si="619"/>
        <v>81</v>
      </c>
      <c r="D658" s="101" t="str">
        <f t="shared" si="620"/>
        <v>815</v>
      </c>
      <c r="E658" s="217" t="str">
        <f t="shared" si="621"/>
        <v>400-81-815</v>
      </c>
      <c r="F658" s="294" t="str">
        <f t="shared" si="622"/>
        <v>50650</v>
      </c>
      <c r="G658" s="295" t="str">
        <f>VLOOKUP(F658,'GL Category'!A:C,3,FALSE)</f>
        <v>Personnel services</v>
      </c>
      <c r="H658" s="98" t="str">
        <f>VLOOKUP(F658,'GL Category'!A:C,2,FALSE)</f>
        <v>RETIREMENT</v>
      </c>
      <c r="I658" s="99">
        <f>SUMIF(Import!$B:$B,$A658,Import!D:D)</f>
        <v>75600.86</v>
      </c>
      <c r="J658" s="99">
        <f>SUMIF(Import!$B:$B,$A658,Import!E:E)</f>
        <v>59313.919999999998</v>
      </c>
      <c r="K658" s="99">
        <f>SUMIF(Import!$B:$B,$A658,Import!F:F)</f>
        <v>48151.85</v>
      </c>
      <c r="L658" s="99">
        <f>SUMIF(Import!$B:$B,$A658,Import!G:G)</f>
        <v>51134.15</v>
      </c>
      <c r="M658" s="99">
        <f>SUMIF(Import!$B:$B,$A658,Import!H:H)</f>
        <v>77293</v>
      </c>
      <c r="N658" s="99">
        <f>SUMIF(Import!$B:$B,$A658,Import!I:I)</f>
        <v>57510.64</v>
      </c>
      <c r="O658" s="99">
        <f>SUMIF(Import!$B:$B,$A658,Import!J:J)</f>
        <v>74259</v>
      </c>
      <c r="P658" s="99">
        <f t="shared" si="629"/>
        <v>-3034</v>
      </c>
      <c r="Q658" s="99">
        <f>SUMIF(Import!$B:$B,$A658,Import!K:K)</f>
        <v>80491</v>
      </c>
      <c r="R658" s="99">
        <f>SUMIF(Import!$B:$B,$A658,Import!L:L)</f>
        <v>0</v>
      </c>
      <c r="S658" s="99">
        <f>SUMIF(Import!$B:$B,$A658,Import!M:M)</f>
        <v>0</v>
      </c>
      <c r="T658" s="99">
        <f>SUMIF(Import!$B:$B,$A658,Import!N:N)</f>
        <v>80491</v>
      </c>
      <c r="U658" s="99">
        <f t="shared" si="630"/>
        <v>3198</v>
      </c>
      <c r="V658" s="255">
        <f t="shared" si="631"/>
        <v>4.1375027492787098E-2</v>
      </c>
      <c r="W658" s="102" t="s">
        <v>1499</v>
      </c>
      <c r="X658" s="148"/>
      <c r="Y658" s="267"/>
      <c r="Z658" s="121" t="e">
        <f>VLOOKUP(A658,#REF!,3,FALSE)</f>
        <v>#REF!</v>
      </c>
      <c r="AA658" s="121"/>
      <c r="AB658" s="121"/>
      <c r="AC658" s="121"/>
      <c r="AD658" s="121"/>
      <c r="AE658" s="121"/>
      <c r="AF658" s="121"/>
      <c r="AG658" s="121"/>
      <c r="AH658" s="121"/>
      <c r="AI658" s="121"/>
      <c r="AJ658" s="121"/>
      <c r="AK658" s="121"/>
      <c r="AL658" s="121"/>
    </row>
    <row r="659" spans="1:38" s="115" customFormat="1">
      <c r="A659" s="555"/>
      <c r="B659" s="217"/>
      <c r="C659" s="217"/>
      <c r="D659" s="101"/>
      <c r="E659" s="217"/>
      <c r="F659" s="294"/>
      <c r="G659" s="146"/>
      <c r="H659" s="107" t="str">
        <f>UPPER(G658)&amp;" TOTAL"</f>
        <v>PERSONNEL SERVICES TOTAL</v>
      </c>
      <c r="I659" s="108">
        <f t="shared" ref="I659" si="632">SUBTOTAL(9,I651:I658)</f>
        <v>599195.56999999995</v>
      </c>
      <c r="J659" s="108">
        <f t="shared" ref="J659:P659" si="633">SUBTOTAL(9,J651:J658)</f>
        <v>542715.46000000008</v>
      </c>
      <c r="K659" s="108">
        <f t="shared" ref="K659" si="634">SUBTOTAL(9,K651:K658)</f>
        <v>432677.82</v>
      </c>
      <c r="L659" s="108">
        <f t="shared" ref="L659" si="635">SUBTOTAL(9,L651:L658)</f>
        <v>457924.71000000008</v>
      </c>
      <c r="M659" s="108">
        <f t="shared" si="633"/>
        <v>694479</v>
      </c>
      <c r="N659" s="109">
        <f t="shared" ref="N659" si="636">SUBTOTAL(9,N651:N658)</f>
        <v>518637.08</v>
      </c>
      <c r="O659" s="109">
        <f t="shared" si="633"/>
        <v>668691</v>
      </c>
      <c r="P659" s="109">
        <f t="shared" si="633"/>
        <v>-25788</v>
      </c>
      <c r="Q659" s="109">
        <f t="shared" ref="Q659:T659" si="637">SUBTOTAL(9,Q651:Q658)</f>
        <v>710351</v>
      </c>
      <c r="R659" s="109">
        <f t="shared" si="637"/>
        <v>0</v>
      </c>
      <c r="S659" s="109">
        <f t="shared" si="637"/>
        <v>0</v>
      </c>
      <c r="T659" s="109">
        <f t="shared" si="637"/>
        <v>710351</v>
      </c>
      <c r="U659" s="99">
        <f>T659-M659</f>
        <v>15872</v>
      </c>
      <c r="V659" s="259">
        <f>IF(M659=0,"N/A",T659/M659-1)</f>
        <v>2.285454275795229E-2</v>
      </c>
      <c r="X659" s="148"/>
      <c r="Y659" s="267"/>
      <c r="Z659" s="121"/>
      <c r="AA659" s="121"/>
      <c r="AB659" s="121"/>
      <c r="AC659" s="121"/>
      <c r="AD659" s="121"/>
      <c r="AE659" s="121"/>
      <c r="AF659" s="121"/>
      <c r="AG659" s="121"/>
      <c r="AH659" s="121"/>
      <c r="AI659" s="121"/>
      <c r="AJ659" s="121"/>
      <c r="AK659" s="121"/>
      <c r="AL659" s="121"/>
    </row>
    <row r="660" spans="1:38" s="115" customFormat="1">
      <c r="A660" s="555"/>
      <c r="B660" s="217"/>
      <c r="C660" s="217"/>
      <c r="D660" s="101"/>
      <c r="E660" s="217"/>
      <c r="F660" s="294"/>
      <c r="G660" s="146"/>
      <c r="H660" s="98"/>
      <c r="I660" s="106"/>
      <c r="J660" s="106"/>
      <c r="K660" s="106"/>
      <c r="L660" s="106"/>
      <c r="M660" s="106"/>
      <c r="N660" s="112"/>
      <c r="O660" s="112"/>
      <c r="P660" s="112"/>
      <c r="Q660" s="113"/>
      <c r="R660" s="99"/>
      <c r="S660" s="99"/>
      <c r="T660" s="113"/>
      <c r="U660" s="113"/>
      <c r="V660" s="113"/>
      <c r="X660" s="148"/>
      <c r="Y660" s="267"/>
      <c r="Z660" s="121"/>
      <c r="AA660" s="121"/>
      <c r="AB660" s="121"/>
      <c r="AC660" s="121"/>
      <c r="AD660" s="121"/>
      <c r="AE660" s="121"/>
      <c r="AF660" s="121"/>
      <c r="AG660" s="121"/>
      <c r="AH660" s="121"/>
      <c r="AI660" s="121"/>
      <c r="AJ660" s="121"/>
      <c r="AK660" s="121"/>
      <c r="AL660" s="121"/>
    </row>
    <row r="661" spans="1:38" s="115" customFormat="1" ht="15" customHeight="1">
      <c r="A661" s="555" t="s">
        <v>1500</v>
      </c>
      <c r="B661" s="217" t="str">
        <f t="shared" si="618"/>
        <v>400</v>
      </c>
      <c r="C661" s="217" t="str">
        <f t="shared" si="619"/>
        <v>81</v>
      </c>
      <c r="D661" s="101" t="str">
        <f t="shared" si="620"/>
        <v>815</v>
      </c>
      <c r="E661" s="217" t="str">
        <f t="shared" si="621"/>
        <v>400-81-815</v>
      </c>
      <c r="F661" s="294" t="str">
        <f t="shared" si="622"/>
        <v>51210</v>
      </c>
      <c r="G661" s="295" t="str">
        <f>VLOOKUP(F661,'GL Category'!A:C,3,FALSE)</f>
        <v>Operations &amp; maintenance</v>
      </c>
      <c r="H661" s="98" t="str">
        <f>VLOOKUP(F661,'GL Category'!A:C,2,FALSE)</f>
        <v>OFFICE SUPPLIES</v>
      </c>
      <c r="I661" s="99">
        <f>SUMIF(Import!$B:$B,$A661,Import!D:D)</f>
        <v>0</v>
      </c>
      <c r="J661" s="99">
        <f>SUMIF(Import!$B:$B,$A661,Import!E:E)</f>
        <v>10</v>
      </c>
      <c r="K661" s="99">
        <f>SUMIF(Import!$B:$B,$A661,Import!F:F)</f>
        <v>0</v>
      </c>
      <c r="L661" s="99">
        <f>SUMIF(Import!$B:$B,$A661,Import!G:G)</f>
        <v>0</v>
      </c>
      <c r="M661" s="99">
        <f>SUMIF(Import!$B:$B,$A661,Import!H:H)</f>
        <v>0</v>
      </c>
      <c r="N661" s="99">
        <f>SUMIF(Import!$B:$B,$A661,Import!I:I)</f>
        <v>69.45</v>
      </c>
      <c r="O661" s="99">
        <f>SUMIF(Import!$B:$B,$A661,Import!J:J)</f>
        <v>0</v>
      </c>
      <c r="P661" s="99">
        <f t="shared" ref="P661:P672" si="638">O661-M661</f>
        <v>0</v>
      </c>
      <c r="Q661" s="99">
        <f>SUMIF(Import!$B:$B,$A661,Import!K:K)</f>
        <v>0</v>
      </c>
      <c r="R661" s="99">
        <f>SUMIF(Import!$B:$B,$A661,Import!L:L)</f>
        <v>0</v>
      </c>
      <c r="S661" s="99">
        <f>SUMIF(Import!$B:$B,$A661,Import!M:M)</f>
        <v>0</v>
      </c>
      <c r="T661" s="99">
        <f>SUMIF(Import!$B:$B,$A661,Import!N:N)</f>
        <v>0</v>
      </c>
      <c r="U661" s="99">
        <f t="shared" ref="U661:U672" si="639">T661-M661</f>
        <v>0</v>
      </c>
      <c r="V661" s="255" t="str">
        <f t="shared" ref="V661:V672" si="640">IF(M661=0,"N/A",T661/M661-1)</f>
        <v>N/A</v>
      </c>
      <c r="W661" s="102" t="s">
        <v>1500</v>
      </c>
      <c r="X661" s="148"/>
      <c r="Y661" s="267"/>
      <c r="Z661" s="121" t="e">
        <f>VLOOKUP(A661,#REF!,3,FALSE)</f>
        <v>#REF!</v>
      </c>
      <c r="AA661" s="121"/>
      <c r="AB661" s="121"/>
      <c r="AC661" s="121"/>
      <c r="AD661" s="121"/>
      <c r="AE661" s="121"/>
      <c r="AF661" s="121"/>
      <c r="AG661" s="121"/>
      <c r="AH661" s="121"/>
      <c r="AI661" s="121"/>
      <c r="AJ661" s="121"/>
      <c r="AK661" s="121"/>
      <c r="AL661" s="121"/>
    </row>
    <row r="662" spans="1:38" s="115" customFormat="1" ht="15" customHeight="1">
      <c r="A662" s="555" t="s">
        <v>1501</v>
      </c>
      <c r="B662" s="217" t="str">
        <f t="shared" si="618"/>
        <v>400</v>
      </c>
      <c r="C662" s="217" t="str">
        <f t="shared" si="619"/>
        <v>81</v>
      </c>
      <c r="D662" s="101" t="str">
        <f t="shared" si="620"/>
        <v>815</v>
      </c>
      <c r="E662" s="217" t="str">
        <f t="shared" si="621"/>
        <v>400-81-815</v>
      </c>
      <c r="F662" s="294" t="str">
        <f t="shared" si="622"/>
        <v>51245</v>
      </c>
      <c r="G662" s="295" t="str">
        <f>VLOOKUP(F662,'GL Category'!A:C,3,FALSE)</f>
        <v>Operations &amp; maintenance</v>
      </c>
      <c r="H662" s="98" t="str">
        <f>VLOOKUP(F662,'GL Category'!A:C,2,FALSE)</f>
        <v>SMALL TOOLS &amp; EQUIPMENT</v>
      </c>
      <c r="I662" s="99">
        <f>SUMIF(Import!$B:$B,$A662,Import!D:D)</f>
        <v>6322.22</v>
      </c>
      <c r="J662" s="99">
        <f>SUMIF(Import!$B:$B,$A662,Import!E:E)</f>
        <v>1256.99</v>
      </c>
      <c r="K662" s="99">
        <f>SUMIF(Import!$B:$B,$A662,Import!F:F)</f>
        <v>1196.3599999999999</v>
      </c>
      <c r="L662" s="99">
        <f>SUMIF(Import!$B:$B,$A662,Import!G:G)</f>
        <v>345.44</v>
      </c>
      <c r="M662" s="99">
        <f>SUMIF(Import!$B:$B,$A662,Import!H:H)</f>
        <v>2600</v>
      </c>
      <c r="N662" s="99">
        <f>SUMIF(Import!$B:$B,$A662,Import!I:I)</f>
        <v>677.06</v>
      </c>
      <c r="O662" s="99">
        <f>SUMIF(Import!$B:$B,$A662,Import!J:J)</f>
        <v>500</v>
      </c>
      <c r="P662" s="99">
        <f t="shared" si="638"/>
        <v>-2100</v>
      </c>
      <c r="Q662" s="99">
        <f>SUMIF(Import!$B:$B,$A662,Import!K:K)</f>
        <v>1500</v>
      </c>
      <c r="R662" s="99">
        <f>SUMIF(Import!$B:$B,$A662,Import!L:L)</f>
        <v>0</v>
      </c>
      <c r="S662" s="99">
        <f>SUMIF(Import!$B:$B,$A662,Import!M:M)</f>
        <v>0</v>
      </c>
      <c r="T662" s="99">
        <f>SUMIF(Import!$B:$B,$A662,Import!N:N)</f>
        <v>1500</v>
      </c>
      <c r="U662" s="99">
        <f t="shared" si="639"/>
        <v>-1100</v>
      </c>
      <c r="V662" s="255">
        <f t="shared" si="640"/>
        <v>-0.42307692307692313</v>
      </c>
      <c r="W662" s="102" t="s">
        <v>1501</v>
      </c>
      <c r="X662" s="148"/>
      <c r="Y662" s="267"/>
      <c r="Z662" s="121" t="e">
        <f>VLOOKUP(A662,#REF!,3,FALSE)</f>
        <v>#REF!</v>
      </c>
      <c r="AA662" s="121"/>
      <c r="AB662" s="121"/>
      <c r="AC662" s="121"/>
      <c r="AD662" s="121"/>
      <c r="AE662" s="121"/>
      <c r="AF662" s="121"/>
      <c r="AG662" s="121"/>
      <c r="AH662" s="121"/>
      <c r="AI662" s="121"/>
      <c r="AJ662" s="121"/>
      <c r="AK662" s="121"/>
      <c r="AL662" s="121"/>
    </row>
    <row r="663" spans="1:38" s="115" customFormat="1" ht="15" customHeight="1">
      <c r="A663" s="555" t="s">
        <v>1502</v>
      </c>
      <c r="B663" s="217" t="str">
        <f t="shared" si="618"/>
        <v>400</v>
      </c>
      <c r="C663" s="217" t="str">
        <f t="shared" si="619"/>
        <v>81</v>
      </c>
      <c r="D663" s="101" t="str">
        <f t="shared" si="620"/>
        <v>815</v>
      </c>
      <c r="E663" s="217" t="str">
        <f t="shared" si="621"/>
        <v>400-81-815</v>
      </c>
      <c r="F663" s="294" t="str">
        <f t="shared" si="622"/>
        <v>51255</v>
      </c>
      <c r="G663" s="295" t="str">
        <f>VLOOKUP(F663,'GL Category'!A:C,3,FALSE)</f>
        <v>Operations &amp; maintenance</v>
      </c>
      <c r="H663" s="98" t="str">
        <f>VLOOKUP(F663,'GL Category'!A:C,2,FALSE)</f>
        <v>FUEL/OILS/LUBRICANTS</v>
      </c>
      <c r="I663" s="99">
        <f>SUMIF(Import!$B:$B,$A663,Import!D:D)</f>
        <v>14841.55</v>
      </c>
      <c r="J663" s="99">
        <f>SUMIF(Import!$B:$B,$A663,Import!E:E)</f>
        <v>15057.22</v>
      </c>
      <c r="K663" s="99">
        <f>SUMIF(Import!$B:$B,$A663,Import!F:F)</f>
        <v>15790.75</v>
      </c>
      <c r="L663" s="99">
        <f>SUMIF(Import!$B:$B,$A663,Import!G:G)</f>
        <v>16929.78</v>
      </c>
      <c r="M663" s="99">
        <f>SUMIF(Import!$B:$B,$A663,Import!H:H)</f>
        <v>26000</v>
      </c>
      <c r="N663" s="99">
        <f>SUMIF(Import!$B:$B,$A663,Import!I:I)</f>
        <v>9854.35</v>
      </c>
      <c r="O663" s="99">
        <f>SUMIF(Import!$B:$B,$A663,Import!J:J)</f>
        <v>20000</v>
      </c>
      <c r="P663" s="99">
        <f t="shared" si="638"/>
        <v>-6000</v>
      </c>
      <c r="Q663" s="99">
        <f>SUMIF(Import!$B:$B,$A663,Import!K:K)</f>
        <v>26000</v>
      </c>
      <c r="R663" s="99">
        <f>SUMIF(Import!$B:$B,$A663,Import!L:L)</f>
        <v>0</v>
      </c>
      <c r="S663" s="99">
        <f>SUMIF(Import!$B:$B,$A663,Import!M:M)</f>
        <v>0</v>
      </c>
      <c r="T663" s="99">
        <f>SUMIF(Import!$B:$B,$A663,Import!N:N)</f>
        <v>26000</v>
      </c>
      <c r="U663" s="99">
        <f t="shared" si="639"/>
        <v>0</v>
      </c>
      <c r="V663" s="255">
        <f t="shared" si="640"/>
        <v>0</v>
      </c>
      <c r="W663" s="102" t="s">
        <v>1502</v>
      </c>
      <c r="X663" s="148"/>
      <c r="Y663" s="267"/>
      <c r="Z663" s="121" t="e">
        <f>VLOOKUP(A663,#REF!,3,FALSE)</f>
        <v>#REF!</v>
      </c>
      <c r="AA663" s="121"/>
      <c r="AB663" s="121"/>
      <c r="AC663" s="121"/>
      <c r="AD663" s="121"/>
      <c r="AE663" s="121"/>
      <c r="AF663" s="121"/>
      <c r="AG663" s="121"/>
      <c r="AH663" s="121"/>
      <c r="AI663" s="121"/>
      <c r="AJ663" s="121"/>
      <c r="AK663" s="121"/>
      <c r="AL663" s="121"/>
    </row>
    <row r="664" spans="1:38" s="115" customFormat="1" ht="15" customHeight="1">
      <c r="A664" s="555" t="s">
        <v>1503</v>
      </c>
      <c r="B664" s="217" t="str">
        <f t="shared" si="618"/>
        <v>400</v>
      </c>
      <c r="C664" s="217" t="str">
        <f t="shared" si="619"/>
        <v>81</v>
      </c>
      <c r="D664" s="101" t="str">
        <f t="shared" si="620"/>
        <v>815</v>
      </c>
      <c r="E664" s="217" t="str">
        <f t="shared" si="621"/>
        <v>400-81-815</v>
      </c>
      <c r="F664" s="294" t="str">
        <f t="shared" si="622"/>
        <v>51270</v>
      </c>
      <c r="G664" s="295" t="str">
        <f>VLOOKUP(F664,'GL Category'!A:C,3,FALSE)</f>
        <v>Operations &amp; maintenance</v>
      </c>
      <c r="H664" s="98" t="str">
        <f>VLOOKUP(F664,'GL Category'!A:C,2,FALSE)</f>
        <v>CHEMICAL SUPPLIES</v>
      </c>
      <c r="I664" s="99">
        <f>SUMIF(Import!$B:$B,$A664,Import!D:D)</f>
        <v>83.69</v>
      </c>
      <c r="J664" s="99">
        <f>SUMIF(Import!$B:$B,$A664,Import!E:E)</f>
        <v>87.1</v>
      </c>
      <c r="K664" s="99">
        <f>SUMIF(Import!$B:$B,$A664,Import!F:F)</f>
        <v>0</v>
      </c>
      <c r="L664" s="99">
        <f>SUMIF(Import!$B:$B,$A664,Import!G:G)</f>
        <v>0</v>
      </c>
      <c r="M664" s="99">
        <f>SUMIF(Import!$B:$B,$A664,Import!H:H)</f>
        <v>200</v>
      </c>
      <c r="N664" s="99">
        <f>SUMIF(Import!$B:$B,$A664,Import!I:I)</f>
        <v>0</v>
      </c>
      <c r="O664" s="99">
        <f>SUMIF(Import!$B:$B,$A664,Import!J:J)</f>
        <v>200</v>
      </c>
      <c r="P664" s="99">
        <f t="shared" si="638"/>
        <v>0</v>
      </c>
      <c r="Q664" s="99">
        <f>SUMIF(Import!$B:$B,$A664,Import!K:K)</f>
        <v>0</v>
      </c>
      <c r="R664" s="99">
        <f>SUMIF(Import!$B:$B,$A664,Import!L:L)</f>
        <v>0</v>
      </c>
      <c r="S664" s="99">
        <f>SUMIF(Import!$B:$B,$A664,Import!M:M)</f>
        <v>0</v>
      </c>
      <c r="T664" s="99">
        <f>SUMIF(Import!$B:$B,$A664,Import!N:N)</f>
        <v>0</v>
      </c>
      <c r="U664" s="99">
        <f t="shared" si="639"/>
        <v>-200</v>
      </c>
      <c r="V664" s="255">
        <f t="shared" si="640"/>
        <v>-1</v>
      </c>
      <c r="W664" s="102" t="s">
        <v>1503</v>
      </c>
      <c r="X664" s="148"/>
      <c r="Y664" s="267"/>
      <c r="Z664" s="121" t="e">
        <f>VLOOKUP(A664,#REF!,3,FALSE)</f>
        <v>#REF!</v>
      </c>
      <c r="AA664" s="121"/>
      <c r="AB664" s="121"/>
      <c r="AC664" s="121"/>
      <c r="AD664" s="121"/>
      <c r="AE664" s="121"/>
      <c r="AF664" s="121"/>
      <c r="AG664" s="121"/>
      <c r="AH664" s="121"/>
      <c r="AI664" s="121"/>
      <c r="AJ664" s="121"/>
      <c r="AK664" s="121"/>
      <c r="AL664" s="121"/>
    </row>
    <row r="665" spans="1:38" s="115" customFormat="1" ht="15" customHeight="1">
      <c r="A665" s="555" t="s">
        <v>1504</v>
      </c>
      <c r="B665" s="217" t="str">
        <f t="shared" si="618"/>
        <v>400</v>
      </c>
      <c r="C665" s="217" t="str">
        <f t="shared" si="619"/>
        <v>81</v>
      </c>
      <c r="D665" s="101" t="str">
        <f t="shared" si="620"/>
        <v>815</v>
      </c>
      <c r="E665" s="217" t="str">
        <f t="shared" si="621"/>
        <v>400-81-815</v>
      </c>
      <c r="F665" s="294" t="str">
        <f t="shared" si="622"/>
        <v>51285</v>
      </c>
      <c r="G665" s="295" t="str">
        <f>VLOOKUP(F665,'GL Category'!A:C,3,FALSE)</f>
        <v>Operations &amp; maintenance</v>
      </c>
      <c r="H665" s="98" t="str">
        <f>VLOOKUP(F665,'GL Category'!A:C,2,FALSE)</f>
        <v>WEARING APPAREL</v>
      </c>
      <c r="I665" s="99">
        <f>SUMIF(Import!$B:$B,$A665,Import!D:D)</f>
        <v>3839.43</v>
      </c>
      <c r="J665" s="99">
        <f>SUMIF(Import!$B:$B,$A665,Import!E:E)</f>
        <v>3560.76</v>
      </c>
      <c r="K665" s="99">
        <f>SUMIF(Import!$B:$B,$A665,Import!F:F)</f>
        <v>3397.05</v>
      </c>
      <c r="L665" s="99">
        <f>SUMIF(Import!$B:$B,$A665,Import!G:G)</f>
        <v>3647.59</v>
      </c>
      <c r="M665" s="99">
        <f>SUMIF(Import!$B:$B,$A665,Import!H:H)</f>
        <v>5300</v>
      </c>
      <c r="N665" s="99">
        <f>SUMIF(Import!$B:$B,$A665,Import!I:I)</f>
        <v>3081.49</v>
      </c>
      <c r="O665" s="99">
        <f>SUMIF(Import!$B:$B,$A665,Import!J:J)</f>
        <v>3800</v>
      </c>
      <c r="P665" s="99">
        <f t="shared" si="638"/>
        <v>-1500</v>
      </c>
      <c r="Q665" s="99">
        <f>SUMIF(Import!$B:$B,$A665,Import!K:K)</f>
        <v>5300</v>
      </c>
      <c r="R665" s="99">
        <f>SUMIF(Import!$B:$B,$A665,Import!L:L)</f>
        <v>0</v>
      </c>
      <c r="S665" s="99">
        <f>SUMIF(Import!$B:$B,$A665,Import!M:M)</f>
        <v>0</v>
      </c>
      <c r="T665" s="99">
        <f>SUMIF(Import!$B:$B,$A665,Import!N:N)</f>
        <v>5300</v>
      </c>
      <c r="U665" s="99">
        <f t="shared" si="639"/>
        <v>0</v>
      </c>
      <c r="V665" s="255">
        <f t="shared" si="640"/>
        <v>0</v>
      </c>
      <c r="W665" s="102" t="s">
        <v>1504</v>
      </c>
      <c r="X665" s="148"/>
      <c r="Y665" s="267"/>
      <c r="Z665" s="121" t="e">
        <f>VLOOKUP(A665,#REF!,3,FALSE)</f>
        <v>#REF!</v>
      </c>
      <c r="AA665" s="121"/>
      <c r="AB665" s="121"/>
      <c r="AC665" s="121"/>
      <c r="AD665" s="121"/>
      <c r="AE665" s="121"/>
      <c r="AF665" s="121"/>
      <c r="AG665" s="121"/>
      <c r="AH665" s="121"/>
      <c r="AI665" s="121"/>
      <c r="AJ665" s="121"/>
      <c r="AK665" s="121"/>
      <c r="AL665" s="121"/>
    </row>
    <row r="666" spans="1:38" s="115" customFormat="1" ht="15" customHeight="1">
      <c r="A666" s="555" t="s">
        <v>1505</v>
      </c>
      <c r="B666" s="217" t="str">
        <f t="shared" si="618"/>
        <v>400</v>
      </c>
      <c r="C666" s="217" t="str">
        <f t="shared" si="619"/>
        <v>81</v>
      </c>
      <c r="D666" s="101" t="str">
        <f t="shared" si="620"/>
        <v>815</v>
      </c>
      <c r="E666" s="217" t="str">
        <f t="shared" si="621"/>
        <v>400-81-815</v>
      </c>
      <c r="F666" s="294" t="str">
        <f t="shared" si="622"/>
        <v>51287</v>
      </c>
      <c r="G666" s="295" t="str">
        <f>VLOOKUP(F666,'GL Category'!A:C,3,FALSE)</f>
        <v>Operations &amp; maintenance</v>
      </c>
      <c r="H666" s="98" t="str">
        <f>VLOOKUP(F666,'GL Category'!A:C,2,FALSE)</f>
        <v>SAFETY EQUIPMENT/SUPPLIES</v>
      </c>
      <c r="I666" s="99">
        <f>SUMIF(Import!$B:$B,$A666,Import!D:D)</f>
        <v>3829.76</v>
      </c>
      <c r="J666" s="99">
        <f>SUMIF(Import!$B:$B,$A666,Import!E:E)</f>
        <v>3645.67</v>
      </c>
      <c r="K666" s="99">
        <f>SUMIF(Import!$B:$B,$A666,Import!F:F)</f>
        <v>4983.8</v>
      </c>
      <c r="L666" s="99">
        <f>SUMIF(Import!$B:$B,$A666,Import!G:G)</f>
        <v>4675.1499999999996</v>
      </c>
      <c r="M666" s="99">
        <f>SUMIF(Import!$B:$B,$A666,Import!H:H)</f>
        <v>3800</v>
      </c>
      <c r="N666" s="99">
        <f>SUMIF(Import!$B:$B,$A666,Import!I:I)</f>
        <v>2393.0100000000002</v>
      </c>
      <c r="O666" s="99">
        <f>SUMIF(Import!$B:$B,$A666,Import!J:J)</f>
        <v>3800</v>
      </c>
      <c r="P666" s="99">
        <f t="shared" si="638"/>
        <v>0</v>
      </c>
      <c r="Q666" s="99">
        <f>SUMIF(Import!$B:$B,$A666,Import!K:K)</f>
        <v>3800</v>
      </c>
      <c r="R666" s="99">
        <f>SUMIF(Import!$B:$B,$A666,Import!L:L)</f>
        <v>0</v>
      </c>
      <c r="S666" s="99">
        <f>SUMIF(Import!$B:$B,$A666,Import!M:M)</f>
        <v>0</v>
      </c>
      <c r="T666" s="99">
        <f>SUMIF(Import!$B:$B,$A666,Import!N:N)</f>
        <v>3800</v>
      </c>
      <c r="U666" s="99">
        <f t="shared" si="639"/>
        <v>0</v>
      </c>
      <c r="V666" s="255">
        <f t="shared" si="640"/>
        <v>0</v>
      </c>
      <c r="W666" s="102" t="s">
        <v>1505</v>
      </c>
      <c r="X666" s="148"/>
      <c r="Y666" s="267"/>
      <c r="Z666" s="121" t="e">
        <f>VLOOKUP(A666,#REF!,3,FALSE)</f>
        <v>#REF!</v>
      </c>
      <c r="AA666" s="121"/>
      <c r="AB666" s="121"/>
      <c r="AC666" s="121"/>
      <c r="AD666" s="121"/>
      <c r="AE666" s="121"/>
      <c r="AF666" s="121"/>
      <c r="AG666" s="121"/>
      <c r="AH666" s="121"/>
      <c r="AI666" s="121"/>
      <c r="AJ666" s="121"/>
      <c r="AK666" s="121"/>
      <c r="AL666" s="121"/>
    </row>
    <row r="667" spans="1:38" s="115" customFormat="1" ht="15" customHeight="1">
      <c r="A667" s="555" t="s">
        <v>1506</v>
      </c>
      <c r="B667" s="217" t="str">
        <f t="shared" si="618"/>
        <v>400</v>
      </c>
      <c r="C667" s="217" t="str">
        <f t="shared" si="619"/>
        <v>81</v>
      </c>
      <c r="D667" s="101" t="str">
        <f t="shared" si="620"/>
        <v>815</v>
      </c>
      <c r="E667" s="217" t="str">
        <f t="shared" si="621"/>
        <v>400-81-815</v>
      </c>
      <c r="F667" s="294" t="str">
        <f t="shared" si="622"/>
        <v>51299</v>
      </c>
      <c r="G667" s="295" t="str">
        <f>VLOOKUP(F667,'GL Category'!A:C,3,FALSE)</f>
        <v>Operations &amp; maintenance</v>
      </c>
      <c r="H667" s="98" t="str">
        <f>VLOOKUP(F667,'GL Category'!A:C,2,FALSE)</f>
        <v>MISCELLANEOUS SUPPLIES</v>
      </c>
      <c r="I667" s="99">
        <f>SUMIF(Import!$B:$B,$A667,Import!D:D)</f>
        <v>0</v>
      </c>
      <c r="J667" s="99">
        <f>SUMIF(Import!$B:$B,$A667,Import!E:E)</f>
        <v>0</v>
      </c>
      <c r="K667" s="99">
        <f>SUMIF(Import!$B:$B,$A667,Import!F:F)</f>
        <v>0</v>
      </c>
      <c r="L667" s="99">
        <f>SUMIF(Import!$B:$B,$A667,Import!G:G)</f>
        <v>0</v>
      </c>
      <c r="M667" s="99">
        <f>SUMIF(Import!$B:$B,$A667,Import!H:H)</f>
        <v>0</v>
      </c>
      <c r="N667" s="99">
        <f>SUMIF(Import!$B:$B,$A667,Import!I:I)</f>
        <v>0</v>
      </c>
      <c r="O667" s="99">
        <f>SUMIF(Import!$B:$B,$A667,Import!J:J)</f>
        <v>0</v>
      </c>
      <c r="P667" s="99">
        <f t="shared" si="638"/>
        <v>0</v>
      </c>
      <c r="Q667" s="99">
        <f>SUMIF(Import!$B:$B,$A667,Import!K:K)</f>
        <v>0</v>
      </c>
      <c r="R667" s="99">
        <f>SUMIF(Import!$B:$B,$A667,Import!L:L)</f>
        <v>0</v>
      </c>
      <c r="S667" s="99">
        <f>SUMIF(Import!$B:$B,$A667,Import!M:M)</f>
        <v>0</v>
      </c>
      <c r="T667" s="99">
        <f>SUMIF(Import!$B:$B,$A667,Import!N:N)</f>
        <v>0</v>
      </c>
      <c r="U667" s="99">
        <f t="shared" si="639"/>
        <v>0</v>
      </c>
      <c r="V667" s="255" t="str">
        <f t="shared" si="640"/>
        <v>N/A</v>
      </c>
      <c r="W667" s="102" t="s">
        <v>1506</v>
      </c>
      <c r="X667" s="148"/>
      <c r="Y667" s="267"/>
      <c r="Z667" s="121" t="e">
        <f>VLOOKUP(A667,#REF!,3,FALSE)</f>
        <v>#REF!</v>
      </c>
      <c r="AA667" s="121"/>
      <c r="AB667" s="121"/>
      <c r="AC667" s="121"/>
      <c r="AD667" s="121"/>
      <c r="AE667" s="121"/>
      <c r="AF667" s="121"/>
      <c r="AG667" s="121"/>
      <c r="AH667" s="121"/>
      <c r="AI667" s="121"/>
      <c r="AJ667" s="121"/>
      <c r="AK667" s="121"/>
      <c r="AL667" s="121"/>
    </row>
    <row r="668" spans="1:38" s="115" customFormat="1" ht="15" customHeight="1">
      <c r="A668" s="555" t="s">
        <v>1507</v>
      </c>
      <c r="B668" s="217" t="str">
        <f t="shared" si="618"/>
        <v>400</v>
      </c>
      <c r="C668" s="217" t="str">
        <f t="shared" si="619"/>
        <v>81</v>
      </c>
      <c r="D668" s="101" t="str">
        <f t="shared" si="620"/>
        <v>815</v>
      </c>
      <c r="E668" s="217" t="str">
        <f t="shared" si="621"/>
        <v>400-81-815</v>
      </c>
      <c r="F668" s="294" t="str">
        <f t="shared" si="622"/>
        <v>52321</v>
      </c>
      <c r="G668" s="295" t="str">
        <f>VLOOKUP(F668,'GL Category'!A:C,3,FALSE)</f>
        <v>Operations &amp; maintenance</v>
      </c>
      <c r="H668" s="98" t="str">
        <f>VLOOKUP(F668,'GL Category'!A:C,2,FALSE)</f>
        <v>CHANNEL MAINTENANCE</v>
      </c>
      <c r="I668" s="99">
        <f>SUMIF(Import!$B:$B,$A668,Import!D:D)</f>
        <v>73553.03</v>
      </c>
      <c r="J668" s="99">
        <f>SUMIF(Import!$B:$B,$A668,Import!E:E)</f>
        <v>62770.65</v>
      </c>
      <c r="K668" s="99">
        <f>SUMIF(Import!$B:$B,$A668,Import!F:F)</f>
        <v>19416.18</v>
      </c>
      <c r="L668" s="99">
        <f>SUMIF(Import!$B:$B,$A668,Import!G:G)</f>
        <v>8709.89</v>
      </c>
      <c r="M668" s="99">
        <f>SUMIF(Import!$B:$B,$A668,Import!H:H)</f>
        <v>80000</v>
      </c>
      <c r="N668" s="99">
        <f>SUMIF(Import!$B:$B,$A668,Import!I:I)</f>
        <v>6622.36</v>
      </c>
      <c r="O668" s="99">
        <f>SUMIF(Import!$B:$B,$A668,Import!J:J)</f>
        <v>76000</v>
      </c>
      <c r="P668" s="99">
        <f t="shared" si="638"/>
        <v>-4000</v>
      </c>
      <c r="Q668" s="99">
        <f>SUMIF(Import!$B:$B,$A668,Import!K:K)</f>
        <v>80000</v>
      </c>
      <c r="R668" s="99">
        <f>SUMIF(Import!$B:$B,$A668,Import!L:L)</f>
        <v>0</v>
      </c>
      <c r="S668" s="99">
        <f>SUMIF(Import!$B:$B,$A668,Import!M:M)</f>
        <v>0</v>
      </c>
      <c r="T668" s="99">
        <f>SUMIF(Import!$B:$B,$A668,Import!N:N)</f>
        <v>80000</v>
      </c>
      <c r="U668" s="99">
        <f t="shared" si="639"/>
        <v>0</v>
      </c>
      <c r="V668" s="255">
        <f t="shared" si="640"/>
        <v>0</v>
      </c>
      <c r="W668" s="102" t="s">
        <v>1507</v>
      </c>
      <c r="X668" s="148"/>
      <c r="Y668" s="267"/>
      <c r="Z668" s="121" t="e">
        <f>VLOOKUP(A668,#REF!,3,FALSE)</f>
        <v>#REF!</v>
      </c>
      <c r="AA668" s="121"/>
      <c r="AB668" s="121"/>
      <c r="AC668" s="121"/>
      <c r="AD668" s="121"/>
      <c r="AE668" s="121"/>
      <c r="AF668" s="121"/>
      <c r="AG668" s="121"/>
      <c r="AH668" s="121"/>
      <c r="AI668" s="121"/>
      <c r="AJ668" s="121"/>
      <c r="AK668" s="121"/>
      <c r="AL668" s="121"/>
    </row>
    <row r="669" spans="1:38" s="115" customFormat="1" ht="15" customHeight="1">
      <c r="A669" s="555" t="s">
        <v>1508</v>
      </c>
      <c r="B669" s="217" t="str">
        <f t="shared" si="618"/>
        <v>400</v>
      </c>
      <c r="C669" s="217" t="str">
        <f t="shared" si="619"/>
        <v>81</v>
      </c>
      <c r="D669" s="101" t="str">
        <f t="shared" si="620"/>
        <v>815</v>
      </c>
      <c r="E669" s="217" t="str">
        <f t="shared" si="621"/>
        <v>400-81-815</v>
      </c>
      <c r="F669" s="294" t="str">
        <f t="shared" si="622"/>
        <v>52355</v>
      </c>
      <c r="G669" s="295" t="e">
        <f>VLOOKUP(F669,'GL Category'!A:C,3,FALSE)</f>
        <v>#N/A</v>
      </c>
      <c r="H669" s="98" t="e">
        <f>VLOOKUP(F669,'GL Category'!A:C,2,FALSE)</f>
        <v>#N/A</v>
      </c>
      <c r="I669" s="99">
        <f>SUMIF(Import!$B:$B,$A669,Import!D:D)</f>
        <v>0</v>
      </c>
      <c r="J669" s="99">
        <f>SUMIF(Import!$B:$B,$A669,Import!E:E)</f>
        <v>0</v>
      </c>
      <c r="K669" s="99">
        <f>SUMIF(Import!$B:$B,$A669,Import!F:F)</f>
        <v>0</v>
      </c>
      <c r="L669" s="99">
        <f>SUMIF(Import!$B:$B,$A669,Import!G:G)</f>
        <v>0</v>
      </c>
      <c r="M669" s="99">
        <f>SUMIF(Import!$B:$B,$A669,Import!H:H)</f>
        <v>0</v>
      </c>
      <c r="N669" s="99">
        <f>SUMIF(Import!$B:$B,$A669,Import!I:I)</f>
        <v>0</v>
      </c>
      <c r="O669" s="99">
        <f>SUMIF(Import!$B:$B,$A669,Import!J:J)</f>
        <v>0</v>
      </c>
      <c r="P669" s="99">
        <f t="shared" si="638"/>
        <v>0</v>
      </c>
      <c r="Q669" s="99">
        <f>SUMIF(Import!$B:$B,$A669,Import!K:K)</f>
        <v>0</v>
      </c>
      <c r="R669" s="99">
        <f>SUMIF(Import!$B:$B,$A669,Import!L:L)</f>
        <v>0</v>
      </c>
      <c r="S669" s="99">
        <f>SUMIF(Import!$B:$B,$A669,Import!M:M)</f>
        <v>0</v>
      </c>
      <c r="T669" s="99">
        <f>SUMIF(Import!$B:$B,$A669,Import!N:N)</f>
        <v>0</v>
      </c>
      <c r="U669" s="99">
        <f t="shared" si="639"/>
        <v>0</v>
      </c>
      <c r="V669" s="255" t="str">
        <f t="shared" si="640"/>
        <v>N/A</v>
      </c>
      <c r="W669" s="102" t="s">
        <v>1508</v>
      </c>
      <c r="X669" s="148"/>
      <c r="Y669" s="267"/>
      <c r="Z669" s="121" t="e">
        <f>VLOOKUP(A669,#REF!,3,FALSE)</f>
        <v>#REF!</v>
      </c>
      <c r="AA669" s="121"/>
      <c r="AB669" s="121"/>
      <c r="AC669" s="121"/>
      <c r="AD669" s="121"/>
      <c r="AE669" s="121"/>
      <c r="AF669" s="121"/>
      <c r="AG669" s="121"/>
      <c r="AH669" s="121"/>
      <c r="AI669" s="121"/>
      <c r="AJ669" s="121"/>
      <c r="AK669" s="121"/>
      <c r="AL669" s="121"/>
    </row>
    <row r="670" spans="1:38" s="115" customFormat="1" ht="15" customHeight="1">
      <c r="A670" s="555" t="s">
        <v>1509</v>
      </c>
      <c r="B670" s="217" t="str">
        <f t="shared" si="618"/>
        <v>400</v>
      </c>
      <c r="C670" s="217" t="str">
        <f t="shared" si="619"/>
        <v>81</v>
      </c>
      <c r="D670" s="101" t="str">
        <f t="shared" si="620"/>
        <v>815</v>
      </c>
      <c r="E670" s="217" t="str">
        <f t="shared" si="621"/>
        <v>400-81-815</v>
      </c>
      <c r="F670" s="294" t="str">
        <f t="shared" si="622"/>
        <v>52440</v>
      </c>
      <c r="G670" s="295" t="str">
        <f>VLOOKUP(F670,'GL Category'!A:C,3,FALSE)</f>
        <v>Operations &amp; maintenance</v>
      </c>
      <c r="H670" s="98" t="str">
        <f>VLOOKUP(F670,'GL Category'!A:C,2,FALSE)</f>
        <v>RADIO MAINTENANCE</v>
      </c>
      <c r="I670" s="99">
        <f>SUMIF(Import!$B:$B,$A670,Import!D:D)</f>
        <v>11801.6</v>
      </c>
      <c r="J670" s="99">
        <f>SUMIF(Import!$B:$B,$A670,Import!E:E)</f>
        <v>216.6</v>
      </c>
      <c r="K670" s="99">
        <f>SUMIF(Import!$B:$B,$A670,Import!F:F)</f>
        <v>219.79</v>
      </c>
      <c r="L670" s="99">
        <f>SUMIF(Import!$B:$B,$A670,Import!G:G)</f>
        <v>407.66</v>
      </c>
      <c r="M670" s="99">
        <f>SUMIF(Import!$B:$B,$A670,Import!H:H)</f>
        <v>500</v>
      </c>
      <c r="N670" s="99">
        <f>SUMIF(Import!$B:$B,$A670,Import!I:I)</f>
        <v>226.18</v>
      </c>
      <c r="O670" s="99">
        <f>SUMIF(Import!$B:$B,$A670,Import!J:J)</f>
        <v>500</v>
      </c>
      <c r="P670" s="99">
        <f t="shared" si="638"/>
        <v>0</v>
      </c>
      <c r="Q670" s="99">
        <f>SUMIF(Import!$B:$B,$A670,Import!K:K)</f>
        <v>0</v>
      </c>
      <c r="R670" s="99">
        <f>SUMIF(Import!$B:$B,$A670,Import!L:L)</f>
        <v>0</v>
      </c>
      <c r="S670" s="99">
        <f>SUMIF(Import!$B:$B,$A670,Import!M:M)</f>
        <v>0</v>
      </c>
      <c r="T670" s="99">
        <f>SUMIF(Import!$B:$B,$A670,Import!N:N)</f>
        <v>0</v>
      </c>
      <c r="U670" s="99">
        <f t="shared" si="639"/>
        <v>-500</v>
      </c>
      <c r="V670" s="255">
        <f t="shared" si="640"/>
        <v>-1</v>
      </c>
      <c r="W670" s="102" t="s">
        <v>1509</v>
      </c>
      <c r="X670" s="148"/>
      <c r="Y670" s="267"/>
      <c r="Z670" s="121" t="e">
        <f>VLOOKUP(A670,#REF!,3,FALSE)</f>
        <v>#REF!</v>
      </c>
      <c r="AA670" s="121"/>
      <c r="AB670" s="121"/>
      <c r="AC670" s="121"/>
      <c r="AD670" s="121"/>
      <c r="AE670" s="121"/>
      <c r="AF670" s="121"/>
      <c r="AG670" s="121"/>
      <c r="AH670" s="121"/>
      <c r="AI670" s="121"/>
      <c r="AJ670" s="121"/>
      <c r="AK670" s="121"/>
      <c r="AL670" s="121"/>
    </row>
    <row r="671" spans="1:38" s="115" customFormat="1" ht="15" customHeight="1">
      <c r="A671" s="555" t="s">
        <v>1510</v>
      </c>
      <c r="B671" s="217" t="str">
        <f t="shared" si="618"/>
        <v>400</v>
      </c>
      <c r="C671" s="217" t="str">
        <f t="shared" si="619"/>
        <v>81</v>
      </c>
      <c r="D671" s="101" t="str">
        <f t="shared" si="620"/>
        <v>815</v>
      </c>
      <c r="E671" s="217" t="str">
        <f t="shared" si="621"/>
        <v>400-81-815</v>
      </c>
      <c r="F671" s="294" t="str">
        <f t="shared" si="622"/>
        <v>52460</v>
      </c>
      <c r="G671" s="295" t="str">
        <f>VLOOKUP(F671,'GL Category'!A:C,3,FALSE)</f>
        <v>Operations &amp; maintenance</v>
      </c>
      <c r="H671" s="98" t="str">
        <f>VLOOKUP(F671,'GL Category'!A:C,2,FALSE)</f>
        <v>VEHICLE MAINTENANCE</v>
      </c>
      <c r="I671" s="99">
        <f>SUMIF(Import!$B:$B,$A671,Import!D:D)</f>
        <v>15945.27</v>
      </c>
      <c r="J671" s="99">
        <f>SUMIF(Import!$B:$B,$A671,Import!E:E)</f>
        <v>8846.65</v>
      </c>
      <c r="K671" s="99">
        <f>SUMIF(Import!$B:$B,$A671,Import!F:F)</f>
        <v>12885.42</v>
      </c>
      <c r="L671" s="99">
        <f>SUMIF(Import!$B:$B,$A671,Import!G:G)</f>
        <v>18933.77</v>
      </c>
      <c r="M671" s="99">
        <f>SUMIF(Import!$B:$B,$A671,Import!H:H)</f>
        <v>15000</v>
      </c>
      <c r="N671" s="99">
        <f>SUMIF(Import!$B:$B,$A671,Import!I:I)</f>
        <v>18150.810000000001</v>
      </c>
      <c r="O671" s="99">
        <f>SUMIF(Import!$B:$B,$A671,Import!J:J)</f>
        <v>15000</v>
      </c>
      <c r="P671" s="99">
        <f t="shared" si="638"/>
        <v>0</v>
      </c>
      <c r="Q671" s="99">
        <f>SUMIF(Import!$B:$B,$A671,Import!K:K)</f>
        <v>15000</v>
      </c>
      <c r="R671" s="99">
        <f>SUMIF(Import!$B:$B,$A671,Import!L:L)</f>
        <v>0</v>
      </c>
      <c r="S671" s="99">
        <f>SUMIF(Import!$B:$B,$A671,Import!M:M)</f>
        <v>0</v>
      </c>
      <c r="T671" s="99">
        <f>SUMIF(Import!$B:$B,$A671,Import!N:N)</f>
        <v>15000</v>
      </c>
      <c r="U671" s="99">
        <f t="shared" si="639"/>
        <v>0</v>
      </c>
      <c r="V671" s="255">
        <f t="shared" si="640"/>
        <v>0</v>
      </c>
      <c r="W671" s="102" t="s">
        <v>1510</v>
      </c>
      <c r="X671" s="148"/>
      <c r="Y671" s="267"/>
      <c r="Z671" s="121" t="e">
        <f>VLOOKUP(A671,#REF!,3,FALSE)</f>
        <v>#REF!</v>
      </c>
      <c r="AA671" s="121"/>
      <c r="AB671" s="121"/>
      <c r="AC671" s="121"/>
      <c r="AD671" s="121"/>
      <c r="AE671" s="121"/>
      <c r="AF671" s="121"/>
      <c r="AG671" s="121"/>
      <c r="AH671" s="121"/>
      <c r="AI671" s="121"/>
      <c r="AJ671" s="121"/>
      <c r="AK671" s="121"/>
      <c r="AL671" s="121"/>
    </row>
    <row r="672" spans="1:38" s="115" customFormat="1" ht="15" customHeight="1">
      <c r="A672" s="555" t="s">
        <v>1511</v>
      </c>
      <c r="B672" s="217" t="str">
        <f t="shared" si="618"/>
        <v>400</v>
      </c>
      <c r="C672" s="217" t="str">
        <f t="shared" si="619"/>
        <v>81</v>
      </c>
      <c r="D672" s="101" t="str">
        <f t="shared" si="620"/>
        <v>815</v>
      </c>
      <c r="E672" s="217" t="str">
        <f t="shared" si="621"/>
        <v>400-81-815</v>
      </c>
      <c r="F672" s="294" t="str">
        <f t="shared" si="622"/>
        <v>52470</v>
      </c>
      <c r="G672" s="295" t="str">
        <f>VLOOKUP(F672,'GL Category'!A:C,3,FALSE)</f>
        <v>Operations &amp; maintenance</v>
      </c>
      <c r="H672" s="98" t="str">
        <f>VLOOKUP(F672,'GL Category'!A:C,2,FALSE)</f>
        <v>EQUIPMENT MAINTENANCE</v>
      </c>
      <c r="I672" s="99">
        <f>SUMIF(Import!$B:$B,$A672,Import!D:D)</f>
        <v>2287.5500000000002</v>
      </c>
      <c r="J672" s="99">
        <f>SUMIF(Import!$B:$B,$A672,Import!E:E)</f>
        <v>3422.9</v>
      </c>
      <c r="K672" s="99">
        <f>SUMIF(Import!$B:$B,$A672,Import!F:F)</f>
        <v>2032.71</v>
      </c>
      <c r="L672" s="99">
        <f>SUMIF(Import!$B:$B,$A672,Import!G:G)</f>
        <v>2417.59</v>
      </c>
      <c r="M672" s="99">
        <f>SUMIF(Import!$B:$B,$A672,Import!H:H)</f>
        <v>13000</v>
      </c>
      <c r="N672" s="99">
        <f>SUMIF(Import!$B:$B,$A672,Import!I:I)</f>
        <v>11018.38</v>
      </c>
      <c r="O672" s="99">
        <f>SUMIF(Import!$B:$B,$A672,Import!J:J)</f>
        <v>15000</v>
      </c>
      <c r="P672" s="99">
        <f t="shared" si="638"/>
        <v>2000</v>
      </c>
      <c r="Q672" s="99">
        <f>SUMIF(Import!$B:$B,$A672,Import!K:K)</f>
        <v>13000</v>
      </c>
      <c r="R672" s="99">
        <f>SUMIF(Import!$B:$B,$A672,Import!L:L)</f>
        <v>0</v>
      </c>
      <c r="S672" s="99">
        <f>SUMIF(Import!$B:$B,$A672,Import!M:M)</f>
        <v>0</v>
      </c>
      <c r="T672" s="99">
        <f>SUMIF(Import!$B:$B,$A672,Import!N:N)</f>
        <v>13000</v>
      </c>
      <c r="U672" s="99">
        <f t="shared" si="639"/>
        <v>0</v>
      </c>
      <c r="V672" s="255">
        <f t="shared" si="640"/>
        <v>0</v>
      </c>
      <c r="W672" s="102" t="s">
        <v>1511</v>
      </c>
      <c r="X672" s="148"/>
      <c r="Y672" s="267"/>
      <c r="Z672" s="121" t="e">
        <f>VLOOKUP(A672,#REF!,3,FALSE)</f>
        <v>#REF!</v>
      </c>
      <c r="AA672" s="121"/>
      <c r="AB672" s="121"/>
      <c r="AC672" s="121"/>
      <c r="AD672" s="121"/>
      <c r="AE672" s="121"/>
      <c r="AF672" s="121"/>
      <c r="AG672" s="121"/>
      <c r="AH672" s="121"/>
      <c r="AI672" s="121"/>
      <c r="AJ672" s="121"/>
      <c r="AK672" s="121"/>
      <c r="AL672" s="121"/>
    </row>
    <row r="673" spans="1:38" s="115" customFormat="1" ht="15.75" customHeight="1">
      <c r="A673" s="555"/>
      <c r="B673" s="217"/>
      <c r="C673" s="217"/>
      <c r="D673" s="101"/>
      <c r="E673" s="217"/>
      <c r="F673" s="294"/>
      <c r="G673" s="146"/>
      <c r="H673" s="107" t="str">
        <f>UPPER(G672)&amp;" TOTAL"</f>
        <v>OPERATIONS &amp; MAINTENANCE TOTAL</v>
      </c>
      <c r="I673" s="108">
        <f t="shared" ref="I673" si="641">SUBTOTAL(9,I661:I672)</f>
        <v>132504.1</v>
      </c>
      <c r="J673" s="108">
        <f t="shared" ref="J673:T673" si="642">SUBTOTAL(9,J661:J672)</f>
        <v>98874.54</v>
      </c>
      <c r="K673" s="108">
        <f t="shared" ref="K673" si="643">SUBTOTAL(9,K661:K672)</f>
        <v>59922.06</v>
      </c>
      <c r="L673" s="108">
        <f t="shared" ref="L673" si="644">SUBTOTAL(9,L661:L672)</f>
        <v>56066.869999999995</v>
      </c>
      <c r="M673" s="108">
        <f t="shared" si="642"/>
        <v>146400</v>
      </c>
      <c r="N673" s="108">
        <f t="shared" ref="N673" si="645">SUBTOTAL(9,N661:N672)</f>
        <v>52093.090000000004</v>
      </c>
      <c r="O673" s="108">
        <f t="shared" si="642"/>
        <v>134800</v>
      </c>
      <c r="P673" s="108">
        <f t="shared" si="642"/>
        <v>-11600</v>
      </c>
      <c r="Q673" s="108">
        <f t="shared" si="642"/>
        <v>144600</v>
      </c>
      <c r="R673" s="108">
        <f t="shared" si="642"/>
        <v>0</v>
      </c>
      <c r="S673" s="108">
        <f t="shared" si="642"/>
        <v>0</v>
      </c>
      <c r="T673" s="108">
        <f t="shared" si="642"/>
        <v>144600</v>
      </c>
      <c r="U673" s="99">
        <f>T673-M673</f>
        <v>-1800</v>
      </c>
      <c r="V673" s="259">
        <f>IF(M673=0,"N/A",T673/M673-1)</f>
        <v>-1.2295081967213073E-2</v>
      </c>
      <c r="X673" s="148"/>
      <c r="Y673" s="267"/>
      <c r="Z673" s="121"/>
      <c r="AA673" s="121"/>
      <c r="AB673" s="121"/>
      <c r="AC673" s="121"/>
      <c r="AD673" s="121"/>
      <c r="AE673" s="121"/>
      <c r="AF673" s="121"/>
      <c r="AG673" s="121"/>
      <c r="AH673" s="121"/>
      <c r="AI673" s="121"/>
      <c r="AJ673" s="121"/>
      <c r="AK673" s="121"/>
      <c r="AL673" s="121"/>
    </row>
    <row r="674" spans="1:38" s="115" customFormat="1">
      <c r="A674" s="555"/>
      <c r="B674" s="217"/>
      <c r="C674" s="217"/>
      <c r="D674" s="101"/>
      <c r="E674" s="217"/>
      <c r="F674" s="294"/>
      <c r="G674" s="146"/>
      <c r="H674" s="98"/>
      <c r="I674" s="106"/>
      <c r="J674" s="106"/>
      <c r="K674" s="106"/>
      <c r="L674" s="106"/>
      <c r="M674" s="106"/>
      <c r="N674" s="112"/>
      <c r="O674" s="112"/>
      <c r="P674" s="112"/>
      <c r="Q674" s="113"/>
      <c r="R674" s="99"/>
      <c r="S674" s="99"/>
      <c r="T674" s="113"/>
      <c r="U674" s="113"/>
      <c r="V674" s="113"/>
      <c r="X674" s="148"/>
      <c r="Y674" s="267"/>
      <c r="Z674" s="121"/>
      <c r="AA674" s="121"/>
      <c r="AB674" s="121"/>
      <c r="AC674" s="121"/>
      <c r="AD674" s="121"/>
      <c r="AE674" s="121"/>
      <c r="AF674" s="121"/>
      <c r="AG674" s="121"/>
      <c r="AH674" s="121"/>
      <c r="AI674" s="121"/>
      <c r="AJ674" s="121"/>
      <c r="AK674" s="121"/>
      <c r="AL674" s="121"/>
    </row>
    <row r="675" spans="1:38" s="115" customFormat="1">
      <c r="A675" s="555" t="s">
        <v>1512</v>
      </c>
      <c r="B675" s="217" t="str">
        <f t="shared" si="618"/>
        <v>400</v>
      </c>
      <c r="C675" s="217" t="str">
        <f t="shared" si="619"/>
        <v>81</v>
      </c>
      <c r="D675" s="101" t="str">
        <f t="shared" si="620"/>
        <v>815</v>
      </c>
      <c r="E675" s="217" t="str">
        <f t="shared" si="621"/>
        <v>400-81-815</v>
      </c>
      <c r="F675" s="294" t="str">
        <f t="shared" si="622"/>
        <v>53505</v>
      </c>
      <c r="G675" s="295" t="str">
        <f>VLOOKUP(F675,'GL Category'!A:C,3,FALSE)</f>
        <v>Services &amp; other</v>
      </c>
      <c r="H675" s="98" t="str">
        <f>VLOOKUP(F675,'GL Category'!A:C,2,FALSE)</f>
        <v>PUBLIC EDUCATION SERVICES</v>
      </c>
      <c r="I675" s="99">
        <f>SUMIF(Import!$B:$B,$A675,Import!D:D)</f>
        <v>3624.18</v>
      </c>
      <c r="J675" s="99">
        <f>SUMIF(Import!$B:$B,$A675,Import!E:E)</f>
        <v>69.7</v>
      </c>
      <c r="K675" s="99">
        <f>SUMIF(Import!$B:$B,$A675,Import!F:F)</f>
        <v>5426.44</v>
      </c>
      <c r="L675" s="99">
        <f>SUMIF(Import!$B:$B,$A675,Import!G:G)</f>
        <v>965.38</v>
      </c>
      <c r="M675" s="99">
        <f>SUMIF(Import!$B:$B,$A675,Import!H:H)</f>
        <v>3500</v>
      </c>
      <c r="N675" s="99">
        <f>SUMIF(Import!$B:$B,$A675,Import!I:I)</f>
        <v>350.85</v>
      </c>
      <c r="O675" s="99">
        <f>SUMIF(Import!$B:$B,$A675,Import!J:J)</f>
        <v>3500</v>
      </c>
      <c r="P675" s="99">
        <f t="shared" ref="P675:P688" si="646">O675-M675</f>
        <v>0</v>
      </c>
      <c r="Q675" s="99">
        <f>SUMIF(Import!$B:$B,$A675,Import!K:K)</f>
        <v>3750</v>
      </c>
      <c r="R675" s="99">
        <f>SUMIF(Import!$B:$B,$A675,Import!L:L)</f>
        <v>0</v>
      </c>
      <c r="S675" s="99">
        <f>SUMIF(Import!$B:$B,$A675,Import!M:M)</f>
        <v>0</v>
      </c>
      <c r="T675" s="99">
        <f>SUMIF(Import!$B:$B,$A675,Import!N:N)</f>
        <v>3750</v>
      </c>
      <c r="U675" s="99">
        <f t="shared" ref="U675:U688" si="647">T675-M675</f>
        <v>250</v>
      </c>
      <c r="V675" s="255">
        <f t="shared" ref="V675:V688" si="648">IF(M675=0,"N/A",T675/M675-1)</f>
        <v>7.1428571428571397E-2</v>
      </c>
      <c r="W675" s="102" t="s">
        <v>1512</v>
      </c>
      <c r="X675" s="148"/>
      <c r="Y675" s="267"/>
      <c r="Z675" s="121" t="e">
        <f>VLOOKUP(A675,#REF!,3,FALSE)</f>
        <v>#REF!</v>
      </c>
      <c r="AA675" s="121"/>
      <c r="AB675" s="121"/>
      <c r="AC675" s="121"/>
      <c r="AD675" s="121"/>
      <c r="AE675" s="121"/>
      <c r="AF675" s="121"/>
      <c r="AG675" s="121"/>
      <c r="AH675" s="121"/>
      <c r="AI675" s="121"/>
      <c r="AJ675" s="121"/>
      <c r="AK675" s="121"/>
      <c r="AL675" s="121"/>
    </row>
    <row r="676" spans="1:38" s="115" customFormat="1" ht="15.75" customHeight="1">
      <c r="A676" s="555" t="s">
        <v>1514</v>
      </c>
      <c r="B676" s="217" t="str">
        <f t="shared" si="618"/>
        <v>400</v>
      </c>
      <c r="C676" s="217" t="str">
        <f t="shared" si="619"/>
        <v>81</v>
      </c>
      <c r="D676" s="101" t="str">
        <f t="shared" si="620"/>
        <v>815</v>
      </c>
      <c r="E676" s="217" t="str">
        <f t="shared" si="621"/>
        <v>400-81-815</v>
      </c>
      <c r="F676" s="294" t="str">
        <f t="shared" si="622"/>
        <v>53510</v>
      </c>
      <c r="G676" s="295" t="str">
        <f>VLOOKUP(F676,'GL Category'!A:C,3,FALSE)</f>
        <v>Services &amp; other</v>
      </c>
      <c r="H676" s="98" t="str">
        <f>VLOOKUP(F676,'GL Category'!A:C,2,FALSE)</f>
        <v>DUES &amp; SUBSCRIPTIONS</v>
      </c>
      <c r="I676" s="99">
        <f>SUMIF(Import!$B:$B,$A676,Import!D:D)</f>
        <v>139</v>
      </c>
      <c r="J676" s="99">
        <f>SUMIF(Import!$B:$B,$A676,Import!E:E)</f>
        <v>0</v>
      </c>
      <c r="K676" s="99">
        <f>SUMIF(Import!$B:$B,$A676,Import!F:F)</f>
        <v>105</v>
      </c>
      <c r="L676" s="99">
        <f>SUMIF(Import!$B:$B,$A676,Import!G:G)</f>
        <v>0</v>
      </c>
      <c r="M676" s="99">
        <f>SUMIF(Import!$B:$B,$A676,Import!H:H)</f>
        <v>200</v>
      </c>
      <c r="N676" s="99">
        <f>SUMIF(Import!$B:$B,$A676,Import!I:I)</f>
        <v>51.38</v>
      </c>
      <c r="O676" s="99">
        <f>SUMIF(Import!$B:$B,$A676,Import!J:J)</f>
        <v>200</v>
      </c>
      <c r="P676" s="99">
        <f t="shared" si="646"/>
        <v>0</v>
      </c>
      <c r="Q676" s="99">
        <f>SUMIF(Import!$B:$B,$A676,Import!K:K)</f>
        <v>200</v>
      </c>
      <c r="R676" s="99">
        <f>SUMIF(Import!$B:$B,$A676,Import!L:L)</f>
        <v>0</v>
      </c>
      <c r="S676" s="99">
        <f>SUMIF(Import!$B:$B,$A676,Import!M:M)</f>
        <v>0</v>
      </c>
      <c r="T676" s="99">
        <f>SUMIF(Import!$B:$B,$A676,Import!N:N)</f>
        <v>200</v>
      </c>
      <c r="U676" s="99">
        <f t="shared" si="647"/>
        <v>0</v>
      </c>
      <c r="V676" s="255">
        <f t="shared" si="648"/>
        <v>0</v>
      </c>
      <c r="W676" s="102" t="s">
        <v>1514</v>
      </c>
      <c r="X676" s="148"/>
      <c r="Y676" s="267"/>
      <c r="Z676" s="121" t="e">
        <f>VLOOKUP(A676,#REF!,3,FALSE)</f>
        <v>#REF!</v>
      </c>
      <c r="AA676" s="121"/>
      <c r="AB676" s="121"/>
      <c r="AC676" s="121"/>
      <c r="AD676" s="121"/>
      <c r="AE676" s="121"/>
      <c r="AF676" s="121"/>
      <c r="AG676" s="121"/>
      <c r="AH676" s="121"/>
      <c r="AI676" s="121"/>
      <c r="AJ676" s="121"/>
      <c r="AK676" s="121"/>
      <c r="AL676" s="121"/>
    </row>
    <row r="677" spans="1:38" s="115" customFormat="1">
      <c r="A677" s="555" t="s">
        <v>1515</v>
      </c>
      <c r="B677" s="217" t="str">
        <f t="shared" si="618"/>
        <v>400</v>
      </c>
      <c r="C677" s="217" t="str">
        <f t="shared" si="619"/>
        <v>81</v>
      </c>
      <c r="D677" s="101" t="str">
        <f t="shared" si="620"/>
        <v>815</v>
      </c>
      <c r="E677" s="217" t="str">
        <f t="shared" si="621"/>
        <v>400-81-815</v>
      </c>
      <c r="F677" s="294" t="str">
        <f t="shared" si="622"/>
        <v>53515</v>
      </c>
      <c r="G677" s="295" t="str">
        <f>VLOOKUP(F677,'GL Category'!A:C,3,FALSE)</f>
        <v>Services &amp; other</v>
      </c>
      <c r="H677" s="98" t="str">
        <f>VLOOKUP(F677,'GL Category'!A:C,2,FALSE)</f>
        <v>TRAVEL, TRAINING &amp; EDUCATION</v>
      </c>
      <c r="I677" s="99">
        <f>SUMIF(Import!$B:$B,$A677,Import!D:D)</f>
        <v>906.54</v>
      </c>
      <c r="J677" s="99">
        <f>SUMIF(Import!$B:$B,$A677,Import!E:E)</f>
        <v>154.09</v>
      </c>
      <c r="K677" s="99">
        <f>SUMIF(Import!$B:$B,$A677,Import!F:F)</f>
        <v>1285.56</v>
      </c>
      <c r="L677" s="99">
        <f>SUMIF(Import!$B:$B,$A677,Import!G:G)</f>
        <v>3766.92</v>
      </c>
      <c r="M677" s="99">
        <f>SUMIF(Import!$B:$B,$A677,Import!H:H)</f>
        <v>10000</v>
      </c>
      <c r="N677" s="99">
        <f>SUMIF(Import!$B:$B,$A677,Import!I:I)</f>
        <v>100</v>
      </c>
      <c r="O677" s="99">
        <f>SUMIF(Import!$B:$B,$A677,Import!J:J)</f>
        <v>2500</v>
      </c>
      <c r="P677" s="99">
        <f t="shared" si="646"/>
        <v>-7500</v>
      </c>
      <c r="Q677" s="99">
        <f>SUMIF(Import!$B:$B,$A677,Import!K:K)</f>
        <v>10000</v>
      </c>
      <c r="R677" s="99">
        <f>SUMIF(Import!$B:$B,$A677,Import!L:L)</f>
        <v>0</v>
      </c>
      <c r="S677" s="99">
        <f>SUMIF(Import!$B:$B,$A677,Import!M:M)</f>
        <v>0</v>
      </c>
      <c r="T677" s="99">
        <f>SUMIF(Import!$B:$B,$A677,Import!N:N)</f>
        <v>10000</v>
      </c>
      <c r="U677" s="99">
        <f t="shared" si="647"/>
        <v>0</v>
      </c>
      <c r="V677" s="255">
        <f t="shared" si="648"/>
        <v>0</v>
      </c>
      <c r="W677" s="102" t="s">
        <v>1515</v>
      </c>
      <c r="X677" s="148"/>
      <c r="Y677" s="267"/>
      <c r="Z677" s="121" t="e">
        <f>VLOOKUP(A677,#REF!,3,FALSE)</f>
        <v>#REF!</v>
      </c>
      <c r="AA677" s="121"/>
      <c r="AB677" s="121"/>
      <c r="AC677" s="121"/>
      <c r="AD677" s="121"/>
      <c r="AE677" s="121"/>
      <c r="AF677" s="121"/>
      <c r="AG677" s="121"/>
      <c r="AH677" s="121"/>
      <c r="AI677" s="121"/>
      <c r="AJ677" s="121"/>
      <c r="AK677" s="121"/>
      <c r="AL677" s="121"/>
    </row>
    <row r="678" spans="1:38" s="115" customFormat="1">
      <c r="A678" s="555" t="s">
        <v>1516</v>
      </c>
      <c r="B678" s="217" t="str">
        <f t="shared" si="618"/>
        <v>400</v>
      </c>
      <c r="C678" s="217" t="str">
        <f t="shared" si="619"/>
        <v>81</v>
      </c>
      <c r="D678" s="101" t="str">
        <f t="shared" si="620"/>
        <v>815</v>
      </c>
      <c r="E678" s="217" t="str">
        <f t="shared" si="621"/>
        <v>400-81-815</v>
      </c>
      <c r="F678" s="294" t="str">
        <f t="shared" si="622"/>
        <v>53524</v>
      </c>
      <c r="G678" s="295" t="str">
        <f>VLOOKUP(F678,'GL Category'!A:C,3,FALSE)</f>
        <v>Services &amp; other</v>
      </c>
      <c r="H678" s="98" t="str">
        <f>VLOOKUP(F678,'GL Category'!A:C,2,FALSE)</f>
        <v>EQUIPMENT RENTAL</v>
      </c>
      <c r="I678" s="99">
        <f>SUMIF(Import!$B:$B,$A678,Import!D:D)</f>
        <v>11480.04</v>
      </c>
      <c r="J678" s="99">
        <f>SUMIF(Import!$B:$B,$A678,Import!E:E)</f>
        <v>6165.43</v>
      </c>
      <c r="K678" s="99">
        <f>SUMIF(Import!$B:$B,$A678,Import!F:F)</f>
        <v>9112.59</v>
      </c>
      <c r="L678" s="99">
        <f>SUMIF(Import!$B:$B,$A678,Import!G:G)</f>
        <v>705</v>
      </c>
      <c r="M678" s="99">
        <f>SUMIF(Import!$B:$B,$A678,Import!H:H)</f>
        <v>11000</v>
      </c>
      <c r="N678" s="99">
        <f>SUMIF(Import!$B:$B,$A678,Import!I:I)</f>
        <v>0</v>
      </c>
      <c r="O678" s="99">
        <f>SUMIF(Import!$B:$B,$A678,Import!J:J)</f>
        <v>9000</v>
      </c>
      <c r="P678" s="99">
        <f t="shared" si="646"/>
        <v>-2000</v>
      </c>
      <c r="Q678" s="99">
        <f>SUMIF(Import!$B:$B,$A678,Import!K:K)</f>
        <v>11000</v>
      </c>
      <c r="R678" s="99">
        <f>SUMIF(Import!$B:$B,$A678,Import!L:L)</f>
        <v>0</v>
      </c>
      <c r="S678" s="99">
        <f>SUMIF(Import!$B:$B,$A678,Import!M:M)</f>
        <v>0</v>
      </c>
      <c r="T678" s="99">
        <f>SUMIF(Import!$B:$B,$A678,Import!N:N)</f>
        <v>11000</v>
      </c>
      <c r="U678" s="99">
        <f t="shared" si="647"/>
        <v>0</v>
      </c>
      <c r="V678" s="255">
        <f t="shared" si="648"/>
        <v>0</v>
      </c>
      <c r="W678" s="102" t="s">
        <v>1516</v>
      </c>
      <c r="X678" s="148"/>
      <c r="Y678" s="267"/>
      <c r="Z678" s="121" t="e">
        <f>VLOOKUP(A678,#REF!,3,FALSE)</f>
        <v>#REF!</v>
      </c>
      <c r="AA678" s="121"/>
      <c r="AB678" s="121"/>
      <c r="AC678" s="121"/>
      <c r="AD678" s="121"/>
      <c r="AE678" s="121"/>
      <c r="AF678" s="121"/>
      <c r="AG678" s="121"/>
      <c r="AH678" s="121"/>
      <c r="AI678" s="121"/>
      <c r="AJ678" s="121"/>
      <c r="AK678" s="121"/>
      <c r="AL678" s="121"/>
    </row>
    <row r="679" spans="1:38" s="115" customFormat="1">
      <c r="A679" s="555" t="s">
        <v>1517</v>
      </c>
      <c r="B679" s="217" t="str">
        <f t="shared" si="618"/>
        <v>400</v>
      </c>
      <c r="C679" s="217" t="str">
        <f t="shared" si="619"/>
        <v>81</v>
      </c>
      <c r="D679" s="101" t="str">
        <f t="shared" si="620"/>
        <v>815</v>
      </c>
      <c r="E679" s="217" t="str">
        <f t="shared" si="621"/>
        <v>400-81-815</v>
      </c>
      <c r="F679" s="294" t="str">
        <f t="shared" si="622"/>
        <v>53513</v>
      </c>
      <c r="G679" s="295" t="str">
        <f>VLOOKUP(F679,'GL Category'!A:C,3,FALSE)</f>
        <v>Services &amp; other</v>
      </c>
      <c r="H679" s="98" t="str">
        <f>VLOOKUP(F679,'GL Category'!A:C,2,FALSE)</f>
        <v>CONSULTING SERVICES</v>
      </c>
      <c r="I679" s="99">
        <f>SUMIF(Import!$B:$B,$A679,Import!D:D)</f>
        <v>8029.8</v>
      </c>
      <c r="J679" s="99">
        <f>SUMIF(Import!$B:$B,$A679,Import!E:E)</f>
        <v>0</v>
      </c>
      <c r="K679" s="99">
        <f>SUMIF(Import!$B:$B,$A679,Import!F:F)</f>
        <v>0</v>
      </c>
      <c r="L679" s="99">
        <f>SUMIF(Import!$B:$B,$A679,Import!G:G)</f>
        <v>0</v>
      </c>
      <c r="M679" s="99">
        <f>SUMIF(Import!$B:$B,$A679,Import!H:H)</f>
        <v>0</v>
      </c>
      <c r="N679" s="99">
        <f>SUMIF(Import!$B:$B,$A679,Import!I:I)</f>
        <v>20298.29</v>
      </c>
      <c r="O679" s="99">
        <f>SUMIF(Import!$B:$B,$A679,Import!J:J)</f>
        <v>49000</v>
      </c>
      <c r="P679" s="99">
        <f t="shared" si="646"/>
        <v>49000</v>
      </c>
      <c r="Q679" s="99">
        <f>SUMIF(Import!$B:$B,$A679,Import!K:K)</f>
        <v>0</v>
      </c>
      <c r="R679" s="99">
        <f>SUMIF(Import!$B:$B,$A679,Import!L:L)</f>
        <v>100000</v>
      </c>
      <c r="S679" s="99">
        <f>SUMIF(Import!$B:$B,$A679,Import!M:M)</f>
        <v>0</v>
      </c>
      <c r="T679" s="99">
        <f>SUMIF(Import!$B:$B,$A679,Import!N:N)</f>
        <v>100000</v>
      </c>
      <c r="U679" s="99">
        <f t="shared" si="647"/>
        <v>100000</v>
      </c>
      <c r="V679" s="255" t="str">
        <f t="shared" si="648"/>
        <v>N/A</v>
      </c>
      <c r="W679" s="102" t="s">
        <v>1517</v>
      </c>
      <c r="X679" s="148"/>
      <c r="Y679" s="267"/>
      <c r="Z679" s="121" t="e">
        <f>VLOOKUP(A679,#REF!,3,FALSE)</f>
        <v>#REF!</v>
      </c>
      <c r="AA679" s="121"/>
      <c r="AB679" s="121"/>
      <c r="AC679" s="121"/>
      <c r="AD679" s="121"/>
      <c r="AE679" s="121"/>
      <c r="AF679" s="121"/>
      <c r="AG679" s="121"/>
      <c r="AH679" s="121"/>
      <c r="AI679" s="121"/>
      <c r="AJ679" s="121"/>
      <c r="AK679" s="121"/>
      <c r="AL679" s="121"/>
    </row>
    <row r="680" spans="1:38" s="115" customFormat="1">
      <c r="A680" s="555" t="s">
        <v>1518</v>
      </c>
      <c r="B680" s="217" t="str">
        <f t="shared" si="618"/>
        <v>400</v>
      </c>
      <c r="C680" s="217" t="str">
        <f t="shared" si="619"/>
        <v>81</v>
      </c>
      <c r="D680" s="101" t="str">
        <f t="shared" si="620"/>
        <v>815</v>
      </c>
      <c r="E680" s="217" t="str">
        <f t="shared" si="621"/>
        <v>400-81-815</v>
      </c>
      <c r="F680" s="294" t="str">
        <f t="shared" si="622"/>
        <v>53525</v>
      </c>
      <c r="G680" s="295" t="str">
        <f>VLOOKUP(F680,'GL Category'!A:C,3,FALSE)</f>
        <v>Services &amp; other</v>
      </c>
      <c r="H680" s="98" t="str">
        <f>VLOOKUP(F680,'GL Category'!A:C,2,FALSE)</f>
        <v>LANDSCAPE SERVICES</v>
      </c>
      <c r="I680" s="99">
        <f>SUMIF(Import!$B:$B,$A680,Import!D:D)</f>
        <v>24255</v>
      </c>
      <c r="J680" s="99">
        <f>SUMIF(Import!$B:$B,$A680,Import!E:E)</f>
        <v>30133</v>
      </c>
      <c r="K680" s="99">
        <f>SUMIF(Import!$B:$B,$A680,Import!F:F)</f>
        <v>22555</v>
      </c>
      <c r="L680" s="99">
        <f>SUMIF(Import!$B:$B,$A680,Import!G:G)</f>
        <v>0</v>
      </c>
      <c r="M680" s="99">
        <f>SUMIF(Import!$B:$B,$A680,Import!H:H)</f>
        <v>70500</v>
      </c>
      <c r="N680" s="99">
        <f>SUMIF(Import!$B:$B,$A680,Import!I:I)</f>
        <v>0</v>
      </c>
      <c r="O680" s="99">
        <f>SUMIF(Import!$B:$B,$A680,Import!J:J)</f>
        <v>70500</v>
      </c>
      <c r="P680" s="99">
        <f t="shared" si="646"/>
        <v>0</v>
      </c>
      <c r="Q680" s="99">
        <f>SUMIF(Import!$B:$B,$A680,Import!K:K)</f>
        <v>70500</v>
      </c>
      <c r="R680" s="99">
        <f>SUMIF(Import!$B:$B,$A680,Import!L:L)</f>
        <v>0</v>
      </c>
      <c r="S680" s="99">
        <f>SUMIF(Import!$B:$B,$A680,Import!M:M)</f>
        <v>0</v>
      </c>
      <c r="T680" s="99">
        <f>SUMIF(Import!$B:$B,$A680,Import!N:N)</f>
        <v>70500</v>
      </c>
      <c r="U680" s="99">
        <f t="shared" si="647"/>
        <v>0</v>
      </c>
      <c r="V680" s="255">
        <f t="shared" si="648"/>
        <v>0</v>
      </c>
      <c r="W680" s="102" t="s">
        <v>1518</v>
      </c>
      <c r="X680" s="148"/>
      <c r="Y680" s="267"/>
      <c r="Z680" s="121" t="e">
        <f>VLOOKUP(A680,#REF!,3,FALSE)</f>
        <v>#REF!</v>
      </c>
      <c r="AA680" s="121"/>
      <c r="AB680" s="121"/>
      <c r="AC680" s="121"/>
      <c r="AD680" s="121"/>
      <c r="AE680" s="121"/>
      <c r="AF680" s="121"/>
      <c r="AG680" s="121"/>
      <c r="AH680" s="121"/>
      <c r="AI680" s="121"/>
      <c r="AJ680" s="121"/>
      <c r="AK680" s="121"/>
      <c r="AL680" s="121"/>
    </row>
    <row r="681" spans="1:38" s="115" customFormat="1">
      <c r="A681" s="555" t="s">
        <v>1519</v>
      </c>
      <c r="B681" s="217" t="str">
        <f t="shared" si="618"/>
        <v>400</v>
      </c>
      <c r="C681" s="217" t="str">
        <f t="shared" si="619"/>
        <v>81</v>
      </c>
      <c r="D681" s="101" t="str">
        <f t="shared" si="620"/>
        <v>815</v>
      </c>
      <c r="E681" s="217" t="str">
        <f t="shared" si="621"/>
        <v>400-81-815</v>
      </c>
      <c r="F681" s="294" t="str">
        <f t="shared" si="622"/>
        <v>53543</v>
      </c>
      <c r="G681" s="295" t="str">
        <f>VLOOKUP(F681,'GL Category'!A:C,3,FALSE)</f>
        <v>Services &amp; other</v>
      </c>
      <c r="H681" s="98" t="str">
        <f>VLOOKUP(F681,'GL Category'!A:C,2,FALSE)</f>
        <v>ENGINEERING/DESIGN SERVICES</v>
      </c>
      <c r="I681" s="99">
        <f>SUMIF(Import!$B:$B,$A681,Import!D:D)</f>
        <v>0</v>
      </c>
      <c r="J681" s="99">
        <f>SUMIF(Import!$B:$B,$A681,Import!E:E)</f>
        <v>0</v>
      </c>
      <c r="K681" s="99">
        <f>SUMIF(Import!$B:$B,$A681,Import!F:F)</f>
        <v>8400</v>
      </c>
      <c r="L681" s="99">
        <f>SUMIF(Import!$B:$B,$A681,Import!G:G)</f>
        <v>7690.24</v>
      </c>
      <c r="M681" s="99">
        <f>SUMIF(Import!$B:$B,$A681,Import!H:H)</f>
        <v>4500</v>
      </c>
      <c r="N681" s="99">
        <f>SUMIF(Import!$B:$B,$A681,Import!I:I)</f>
        <v>63306.26</v>
      </c>
      <c r="O681" s="99">
        <f>SUMIF(Import!$B:$B,$A681,Import!J:J)</f>
        <v>4500</v>
      </c>
      <c r="P681" s="99">
        <f t="shared" si="646"/>
        <v>0</v>
      </c>
      <c r="Q681" s="99">
        <f>SUMIF(Import!$B:$B,$A681,Import!K:K)</f>
        <v>4500</v>
      </c>
      <c r="R681" s="99">
        <f>SUMIF(Import!$B:$B,$A681,Import!L:L)</f>
        <v>20000</v>
      </c>
      <c r="S681" s="99">
        <f>SUMIF(Import!$B:$B,$A681,Import!M:M)</f>
        <v>0</v>
      </c>
      <c r="T681" s="99">
        <f>SUMIF(Import!$B:$B,$A681,Import!N:N)</f>
        <v>24500</v>
      </c>
      <c r="U681" s="99">
        <f t="shared" si="647"/>
        <v>20000</v>
      </c>
      <c r="V681" s="255">
        <f t="shared" si="648"/>
        <v>4.4444444444444446</v>
      </c>
      <c r="W681" s="102" t="s">
        <v>1519</v>
      </c>
      <c r="X681" s="148"/>
      <c r="Y681" s="267"/>
      <c r="Z681" s="121" t="e">
        <f>VLOOKUP(A681,#REF!,3,FALSE)</f>
        <v>#REF!</v>
      </c>
      <c r="AA681" s="121"/>
      <c r="AB681" s="121"/>
      <c r="AC681" s="121"/>
      <c r="AD681" s="121"/>
      <c r="AE681" s="121"/>
      <c r="AF681" s="121"/>
      <c r="AG681" s="121"/>
      <c r="AH681" s="121"/>
      <c r="AI681" s="121"/>
      <c r="AJ681" s="121"/>
      <c r="AK681" s="121"/>
      <c r="AL681" s="121"/>
    </row>
    <row r="682" spans="1:38" s="115" customFormat="1">
      <c r="A682" s="555" t="s">
        <v>3391</v>
      </c>
      <c r="B682" s="217" t="str">
        <f t="shared" ref="B682" si="649">LEFT(A682,3)</f>
        <v>400</v>
      </c>
      <c r="C682" s="217" t="str">
        <f t="shared" ref="C682" si="650">MID(A682,5,2)</f>
        <v>81</v>
      </c>
      <c r="D682" s="101" t="str">
        <f t="shared" ref="D682" si="651">MID(A682,8,3)</f>
        <v>815</v>
      </c>
      <c r="E682" s="217" t="str">
        <f t="shared" ref="E682" si="652">LEFT(A682,10)</f>
        <v>400-81-815</v>
      </c>
      <c r="F682" s="294" t="str">
        <f t="shared" ref="F682" si="653">RIGHT(A682,5)</f>
        <v>53530</v>
      </c>
      <c r="G682" s="295" t="str">
        <f>VLOOKUP(F682,'GL Category'!A:C,3,FALSE)</f>
        <v>Services &amp; other</v>
      </c>
      <c r="H682" s="98" t="str">
        <f>VLOOKUP(F682,'GL Category'!A:C,2,FALSE)</f>
        <v>DEBRIS &amp; WASTE DISPOSAL SVCS</v>
      </c>
      <c r="I682" s="99">
        <f>SUMIF(Import!$B:$B,$A682,Import!D:D)</f>
        <v>0</v>
      </c>
      <c r="J682" s="99">
        <f>SUMIF(Import!$B:$B,$A682,Import!E:E)</f>
        <v>0</v>
      </c>
      <c r="K682" s="99">
        <f>SUMIF(Import!$B:$B,$A682,Import!F:F)</f>
        <v>0</v>
      </c>
      <c r="L682" s="99">
        <f>SUMIF(Import!$B:$B,$A682,Import!G:G)</f>
        <v>8700.31</v>
      </c>
      <c r="M682" s="99">
        <f>SUMIF(Import!$B:$B,$A682,Import!H:H)</f>
        <v>0</v>
      </c>
      <c r="N682" s="99">
        <f>SUMIF(Import!$B:$B,$A682,Import!I:I)</f>
        <v>0</v>
      </c>
      <c r="O682" s="99">
        <f>SUMIF(Import!$B:$B,$A682,Import!J:J)</f>
        <v>800</v>
      </c>
      <c r="P682" s="99">
        <f t="shared" ref="P682" si="654">O682-M682</f>
        <v>800</v>
      </c>
      <c r="Q682" s="99">
        <f>SUMIF(Import!$B:$B,$A682,Import!K:K)</f>
        <v>0</v>
      </c>
      <c r="R682" s="99">
        <f>SUMIF(Import!$B:$B,$A682,Import!L:L)</f>
        <v>0</v>
      </c>
      <c r="S682" s="99">
        <f>SUMIF(Import!$B:$B,$A682,Import!M:M)</f>
        <v>0</v>
      </c>
      <c r="T682" s="99">
        <f>SUMIF(Import!$B:$B,$A682,Import!N:N)</f>
        <v>0</v>
      </c>
      <c r="U682" s="99">
        <f t="shared" ref="U682" si="655">T682-M682</f>
        <v>0</v>
      </c>
      <c r="V682" s="255" t="str">
        <f t="shared" ref="V682" si="656">IF(M682=0,"N/A",T682/M682-1)</f>
        <v>N/A</v>
      </c>
      <c r="W682" s="102" t="s">
        <v>1519</v>
      </c>
      <c r="X682" s="148"/>
      <c r="Y682" s="267"/>
      <c r="Z682" s="121" t="e">
        <f>VLOOKUP(A682,#REF!,3,FALSE)</f>
        <v>#REF!</v>
      </c>
      <c r="AA682" s="121"/>
      <c r="AB682" s="121"/>
      <c r="AC682" s="121"/>
      <c r="AD682" s="121"/>
      <c r="AE682" s="121"/>
      <c r="AF682" s="121"/>
      <c r="AG682" s="121"/>
      <c r="AH682" s="121"/>
      <c r="AI682" s="121"/>
      <c r="AJ682" s="121"/>
      <c r="AK682" s="121"/>
      <c r="AL682" s="121"/>
    </row>
    <row r="683" spans="1:38" s="115" customFormat="1">
      <c r="A683" s="555" t="s">
        <v>1520</v>
      </c>
      <c r="B683" s="217" t="str">
        <f t="shared" si="618"/>
        <v>400</v>
      </c>
      <c r="C683" s="217" t="str">
        <f t="shared" si="619"/>
        <v>81</v>
      </c>
      <c r="D683" s="101" t="str">
        <f t="shared" si="620"/>
        <v>815</v>
      </c>
      <c r="E683" s="217" t="str">
        <f t="shared" si="621"/>
        <v>400-81-815</v>
      </c>
      <c r="F683" s="294" t="str">
        <f t="shared" si="622"/>
        <v>53550</v>
      </c>
      <c r="G683" s="295" t="str">
        <f>VLOOKUP(F683,'GL Category'!A:C,3,FALSE)</f>
        <v>Services &amp; other</v>
      </c>
      <c r="H683" s="98" t="str">
        <f>VLOOKUP(F683,'GL Category'!A:C,2,FALSE)</f>
        <v>BAD DEBT EXPENSE</v>
      </c>
      <c r="I683" s="99">
        <f>SUMIF(Import!$B:$B,$A683,Import!D:D)</f>
        <v>0</v>
      </c>
      <c r="J683" s="99">
        <f>SUMIF(Import!$B:$B,$A683,Import!E:E)</f>
        <v>0</v>
      </c>
      <c r="K683" s="99">
        <f>SUMIF(Import!$B:$B,$A683,Import!F:F)</f>
        <v>0</v>
      </c>
      <c r="L683" s="99">
        <f>SUMIF(Import!$B:$B,$A683,Import!G:G)</f>
        <v>0</v>
      </c>
      <c r="M683" s="99">
        <f>SUMIF(Import!$B:$B,$A683,Import!H:H)</f>
        <v>0</v>
      </c>
      <c r="N683" s="99">
        <f>SUMIF(Import!$B:$B,$A683,Import!I:I)</f>
        <v>0</v>
      </c>
      <c r="O683" s="99">
        <f>SUMIF(Import!$B:$B,$A683,Import!J:J)</f>
        <v>0</v>
      </c>
      <c r="P683" s="99">
        <f t="shared" si="646"/>
        <v>0</v>
      </c>
      <c r="Q683" s="99">
        <f>SUMIF(Import!$B:$B,$A683,Import!K:K)</f>
        <v>0</v>
      </c>
      <c r="R683" s="99">
        <f>SUMIF(Import!$B:$B,$A683,Import!L:L)</f>
        <v>0</v>
      </c>
      <c r="S683" s="99">
        <f>SUMIF(Import!$B:$B,$A683,Import!M:M)</f>
        <v>0</v>
      </c>
      <c r="T683" s="99">
        <f>SUMIF(Import!$B:$B,$A683,Import!N:N)</f>
        <v>0</v>
      </c>
      <c r="U683" s="99">
        <f t="shared" si="647"/>
        <v>0</v>
      </c>
      <c r="V683" s="255" t="str">
        <f t="shared" si="648"/>
        <v>N/A</v>
      </c>
      <c r="W683" s="102" t="s">
        <v>1520</v>
      </c>
      <c r="X683" s="148"/>
      <c r="Y683" s="267"/>
      <c r="Z683" s="121" t="e">
        <f>VLOOKUP(A683,#REF!,3,FALSE)</f>
        <v>#REF!</v>
      </c>
      <c r="AA683" s="121"/>
      <c r="AB683" s="121"/>
      <c r="AC683" s="121"/>
      <c r="AD683" s="121"/>
      <c r="AE683" s="121"/>
      <c r="AF683" s="121"/>
      <c r="AG683" s="121"/>
      <c r="AH683" s="121"/>
      <c r="AI683" s="121"/>
      <c r="AJ683" s="121"/>
      <c r="AK683" s="121"/>
      <c r="AL683" s="121"/>
    </row>
    <row r="684" spans="1:38" s="115" customFormat="1">
      <c r="A684" s="555" t="s">
        <v>3224</v>
      </c>
      <c r="B684" s="217" t="str">
        <f t="shared" si="618"/>
        <v>400</v>
      </c>
      <c r="C684" s="217" t="str">
        <f t="shared" si="619"/>
        <v>81</v>
      </c>
      <c r="D684" s="101" t="str">
        <f t="shared" si="620"/>
        <v>815</v>
      </c>
      <c r="E684" s="217" t="str">
        <f t="shared" si="621"/>
        <v>400-81-815</v>
      </c>
      <c r="F684" s="294" t="str">
        <f t="shared" si="622"/>
        <v>53572</v>
      </c>
      <c r="G684" s="295" t="str">
        <f>VLOOKUP(F684,'GL Category'!A:C,3,FALSE)</f>
        <v>Services &amp; other</v>
      </c>
      <c r="H684" s="98" t="str">
        <f>VLOOKUP(F684,'GL Category'!A:C,2,FALSE)</f>
        <v>ELECTRICAL UTILITY SERVICE</v>
      </c>
      <c r="I684" s="99">
        <f>SUMIF(Import!$B:$B,$A684,Import!D:D)</f>
        <v>0</v>
      </c>
      <c r="J684" s="99">
        <f>SUMIF(Import!$B:$B,$A684,Import!E:E)</f>
        <v>189.95</v>
      </c>
      <c r="K684" s="99">
        <f>SUMIF(Import!$B:$B,$A684,Import!F:F)</f>
        <v>188.49</v>
      </c>
      <c r="L684" s="99">
        <f>SUMIF(Import!$B:$B,$A684,Import!G:G)</f>
        <v>222.48</v>
      </c>
      <c r="M684" s="99">
        <f>SUMIF(Import!$B:$B,$A684,Import!H:H)</f>
        <v>240</v>
      </c>
      <c r="N684" s="99">
        <f>SUMIF(Import!$B:$B,$A684,Import!I:I)</f>
        <v>111.24</v>
      </c>
      <c r="O684" s="99">
        <f>SUMIF(Import!$B:$B,$A684,Import!J:J)</f>
        <v>240</v>
      </c>
      <c r="P684" s="99">
        <f t="shared" ref="P684" si="657">O684-M684</f>
        <v>0</v>
      </c>
      <c r="Q684" s="99">
        <f>SUMIF(Import!$B:$B,$A684,Import!K:K)</f>
        <v>240</v>
      </c>
      <c r="R684" s="99">
        <f>SUMIF(Import!$B:$B,$A684,Import!L:L)</f>
        <v>0</v>
      </c>
      <c r="S684" s="99">
        <f>SUMIF(Import!$B:$B,$A684,Import!M:M)</f>
        <v>0</v>
      </c>
      <c r="T684" s="99">
        <f>SUMIF(Import!$B:$B,$A684,Import!N:N)</f>
        <v>240</v>
      </c>
      <c r="U684" s="99">
        <f t="shared" ref="U684" si="658">T684-M684</f>
        <v>0</v>
      </c>
      <c r="V684" s="255">
        <f t="shared" ref="V684" si="659">IF(M684=0,"N/A",T684/M684-1)</f>
        <v>0</v>
      </c>
      <c r="W684" s="102"/>
      <c r="X684" s="148"/>
      <c r="Y684" s="267"/>
      <c r="Z684" s="121"/>
      <c r="AA684" s="121"/>
      <c r="AB684" s="121"/>
      <c r="AC684" s="121"/>
      <c r="AD684" s="121"/>
      <c r="AE684" s="121"/>
      <c r="AF684" s="121"/>
      <c r="AG684" s="121"/>
      <c r="AH684" s="121"/>
      <c r="AI684" s="121"/>
      <c r="AJ684" s="121"/>
      <c r="AK684" s="121"/>
      <c r="AL684" s="121"/>
    </row>
    <row r="685" spans="1:38" s="115" customFormat="1">
      <c r="A685" s="555" t="s">
        <v>1513</v>
      </c>
      <c r="B685" s="217" t="str">
        <f t="shared" si="618"/>
        <v>400</v>
      </c>
      <c r="C685" s="217" t="str">
        <f t="shared" si="619"/>
        <v>81</v>
      </c>
      <c r="D685" s="101" t="str">
        <f t="shared" si="620"/>
        <v>815</v>
      </c>
      <c r="E685" s="217" t="str">
        <f t="shared" si="621"/>
        <v>400-81-815</v>
      </c>
      <c r="F685" s="294" t="str">
        <f t="shared" si="622"/>
        <v>53599</v>
      </c>
      <c r="G685" s="295" t="str">
        <f>VLOOKUP(F685,'GL Category'!A:C,3,FALSE)</f>
        <v>Services &amp; other</v>
      </c>
      <c r="H685" s="98" t="str">
        <f>VLOOKUP(F685,'GL Category'!A:C,2,FALSE)</f>
        <v>MISCELLANEOUS SERVICES</v>
      </c>
      <c r="I685" s="99">
        <f>SUMIF(Import!$B:$B,$A685,Import!D:D)</f>
        <v>8474.2199999999993</v>
      </c>
      <c r="J685" s="99">
        <f>SUMIF(Import!$B:$B,$A685,Import!E:E)</f>
        <v>3943.84</v>
      </c>
      <c r="K685" s="99">
        <f>SUMIF(Import!$B:$B,$A685,Import!F:F)</f>
        <v>8984.81</v>
      </c>
      <c r="L685" s="99">
        <f>SUMIF(Import!$B:$B,$A685,Import!G:G)</f>
        <v>11297.78</v>
      </c>
      <c r="M685" s="99">
        <f>SUMIF(Import!$B:$B,$A685,Import!H:H)</f>
        <v>9200</v>
      </c>
      <c r="N685" s="99">
        <f>SUMIF(Import!$B:$B,$A685,Import!I:I)</f>
        <v>11337.2</v>
      </c>
      <c r="O685" s="99">
        <f>SUMIF(Import!$B:$B,$A685,Import!J:J)</f>
        <v>11500</v>
      </c>
      <c r="P685" s="99">
        <f t="shared" si="646"/>
        <v>2300</v>
      </c>
      <c r="Q685" s="99">
        <f>SUMIF(Import!$B:$B,$A685,Import!K:K)</f>
        <v>9500</v>
      </c>
      <c r="R685" s="99">
        <f>SUMIF(Import!$B:$B,$A685,Import!L:L)</f>
        <v>0</v>
      </c>
      <c r="S685" s="99">
        <f>SUMIF(Import!$B:$B,$A685,Import!M:M)</f>
        <v>0</v>
      </c>
      <c r="T685" s="99">
        <f>SUMIF(Import!$B:$B,$A685,Import!N:N)</f>
        <v>9500</v>
      </c>
      <c r="U685" s="99">
        <f t="shared" si="647"/>
        <v>300</v>
      </c>
      <c r="V685" s="255">
        <f t="shared" si="648"/>
        <v>3.2608695652173836E-2</v>
      </c>
      <c r="W685" s="102" t="s">
        <v>1513</v>
      </c>
      <c r="X685" s="148"/>
      <c r="Y685" s="267"/>
      <c r="Z685" s="121" t="e">
        <f>VLOOKUP(A685,#REF!,3,FALSE)</f>
        <v>#REF!</v>
      </c>
      <c r="AA685" s="121"/>
      <c r="AB685" s="121"/>
      <c r="AC685" s="121"/>
      <c r="AD685" s="121"/>
      <c r="AE685" s="121"/>
      <c r="AF685" s="121"/>
      <c r="AG685" s="121"/>
      <c r="AH685" s="121"/>
      <c r="AI685" s="121"/>
      <c r="AJ685" s="121"/>
      <c r="AK685" s="121"/>
      <c r="AL685" s="121"/>
    </row>
    <row r="686" spans="1:38" s="115" customFormat="1">
      <c r="A686" s="555" t="s">
        <v>1521</v>
      </c>
      <c r="B686" s="217" t="str">
        <f t="shared" si="618"/>
        <v>400</v>
      </c>
      <c r="C686" s="217" t="str">
        <f t="shared" si="619"/>
        <v>81</v>
      </c>
      <c r="D686" s="101" t="str">
        <f t="shared" si="620"/>
        <v>815</v>
      </c>
      <c r="E686" s="217" t="str">
        <f t="shared" si="621"/>
        <v>400-81-815</v>
      </c>
      <c r="F686" s="294" t="str">
        <f t="shared" si="622"/>
        <v>53582</v>
      </c>
      <c r="G686" s="295" t="str">
        <f>VLOOKUP(F686,'GL Category'!A:C,3,FALSE)</f>
        <v>Services &amp; other</v>
      </c>
      <c r="H686" s="98" t="str">
        <f>VLOOKUP(F686,'GL Category'!A:C,2,FALSE)</f>
        <v>JUDGMENTS/CLAIMS/DAMAGES</v>
      </c>
      <c r="I686" s="99">
        <f>SUMIF(Import!$B:$B,$A686,Import!D:D)</f>
        <v>0</v>
      </c>
      <c r="J686" s="99">
        <f>SUMIF(Import!$B:$B,$A686,Import!E:E)</f>
        <v>0</v>
      </c>
      <c r="K686" s="99">
        <f>SUMIF(Import!$B:$B,$A686,Import!F:F)</f>
        <v>0</v>
      </c>
      <c r="L686" s="99">
        <f>SUMIF(Import!$B:$B,$A686,Import!G:G)</f>
        <v>0</v>
      </c>
      <c r="M686" s="99">
        <f>SUMIF(Import!$B:$B,$A686,Import!H:H)</f>
        <v>0</v>
      </c>
      <c r="N686" s="99">
        <f>SUMIF(Import!$B:$B,$A686,Import!I:I)</f>
        <v>0</v>
      </c>
      <c r="O686" s="99">
        <f>SUMIF(Import!$B:$B,$A686,Import!J:J)</f>
        <v>0</v>
      </c>
      <c r="P686" s="99">
        <f t="shared" si="646"/>
        <v>0</v>
      </c>
      <c r="Q686" s="99">
        <f>SUMIF(Import!$B:$B,$A686,Import!K:K)</f>
        <v>0</v>
      </c>
      <c r="R686" s="99">
        <f>SUMIF(Import!$B:$B,$A686,Import!L:L)</f>
        <v>0</v>
      </c>
      <c r="S686" s="99">
        <f>SUMIF(Import!$B:$B,$A686,Import!M:M)</f>
        <v>0</v>
      </c>
      <c r="T686" s="99">
        <f>SUMIF(Import!$B:$B,$A686,Import!N:N)</f>
        <v>0</v>
      </c>
      <c r="U686" s="99">
        <f t="shared" si="647"/>
        <v>0</v>
      </c>
      <c r="V686" s="255" t="str">
        <f t="shared" si="648"/>
        <v>N/A</v>
      </c>
      <c r="W686" s="102" t="s">
        <v>1521</v>
      </c>
      <c r="X686" s="148"/>
      <c r="Y686" s="267"/>
      <c r="Z686" s="121" t="e">
        <f>VLOOKUP(A686,#REF!,3,FALSE)</f>
        <v>#REF!</v>
      </c>
      <c r="AA686" s="121"/>
      <c r="AB686" s="121"/>
      <c r="AC686" s="121"/>
      <c r="AD686" s="121"/>
      <c r="AE686" s="121"/>
      <c r="AF686" s="121"/>
      <c r="AG686" s="121"/>
      <c r="AH686" s="121"/>
      <c r="AI686" s="121"/>
      <c r="AJ686" s="121"/>
      <c r="AK686" s="121"/>
      <c r="AL686" s="121"/>
    </row>
    <row r="687" spans="1:38" s="115" customFormat="1">
      <c r="A687" s="555" t="s">
        <v>1522</v>
      </c>
      <c r="B687" s="217" t="str">
        <f t="shared" si="618"/>
        <v>400</v>
      </c>
      <c r="C687" s="217" t="str">
        <f t="shared" si="619"/>
        <v>81</v>
      </c>
      <c r="D687" s="101" t="str">
        <f t="shared" si="620"/>
        <v>815</v>
      </c>
      <c r="E687" s="217" t="str">
        <f t="shared" si="621"/>
        <v>400-81-815</v>
      </c>
      <c r="F687" s="294" t="str">
        <f t="shared" si="622"/>
        <v>55175</v>
      </c>
      <c r="G687" s="295" t="str">
        <f>VLOOKUP(F687,'GL Category'!A:C,3,FALSE)</f>
        <v>Services &amp; other</v>
      </c>
      <c r="H687" s="98" t="str">
        <f>VLOOKUP(F687,'GL Category'!A:C,2,FALSE)</f>
        <v>VEHICLE/EQUIP LEASE EXP-CITY</v>
      </c>
      <c r="I687" s="99">
        <f>SUMIF(Import!$B:$B,$A687,Import!D:D)</f>
        <v>227484</v>
      </c>
      <c r="J687" s="99">
        <f>SUMIF(Import!$B:$B,$A687,Import!E:E)</f>
        <v>83243</v>
      </c>
      <c r="K687" s="99">
        <f>SUMIF(Import!$B:$B,$A687,Import!F:F)</f>
        <v>88999</v>
      </c>
      <c r="L687" s="99">
        <f>SUMIF(Import!$B:$B,$A687,Import!G:G)</f>
        <v>91842</v>
      </c>
      <c r="M687" s="99">
        <f>SUMIF(Import!$B:$B,$A687,Import!H:H)</f>
        <v>91842</v>
      </c>
      <c r="N687" s="99">
        <f>SUMIF(Import!$B:$B,$A687,Import!I:I)</f>
        <v>68881.5</v>
      </c>
      <c r="O687" s="99">
        <f>SUMIF(Import!$B:$B,$A687,Import!J:J)</f>
        <v>91842</v>
      </c>
      <c r="P687" s="99">
        <f t="shared" si="646"/>
        <v>0</v>
      </c>
      <c r="Q687" s="99">
        <f>SUMIF(Import!$B:$B,$A687,Import!K:K)</f>
        <v>91395</v>
      </c>
      <c r="R687" s="99">
        <f>SUMIF(Import!$B:$B,$A687,Import!L:L)</f>
        <v>0</v>
      </c>
      <c r="S687" s="99">
        <f>SUMIF(Import!$B:$B,$A687,Import!M:M)</f>
        <v>44000</v>
      </c>
      <c r="T687" s="99">
        <f>SUMIF(Import!$B:$B,$A687,Import!N:N)</f>
        <v>135395</v>
      </c>
      <c r="U687" s="99">
        <f t="shared" si="647"/>
        <v>43553</v>
      </c>
      <c r="V687" s="255">
        <f t="shared" si="648"/>
        <v>0.47421658935998789</v>
      </c>
      <c r="W687" s="102" t="s">
        <v>1522</v>
      </c>
      <c r="X687" s="148"/>
      <c r="Y687" s="267"/>
      <c r="Z687" s="121" t="e">
        <f>VLOOKUP(A687,#REF!,3,FALSE)</f>
        <v>#REF!</v>
      </c>
      <c r="AA687" s="121"/>
      <c r="AB687" s="121"/>
      <c r="AC687" s="121"/>
      <c r="AD687" s="121"/>
      <c r="AE687" s="121"/>
      <c r="AF687" s="121"/>
      <c r="AG687" s="121"/>
      <c r="AH687" s="121"/>
      <c r="AI687" s="121"/>
      <c r="AJ687" s="121"/>
      <c r="AK687" s="121"/>
      <c r="AL687" s="121"/>
    </row>
    <row r="688" spans="1:38" s="115" customFormat="1">
      <c r="A688" s="555" t="s">
        <v>1523</v>
      </c>
      <c r="B688" s="217" t="str">
        <f t="shared" si="618"/>
        <v>400</v>
      </c>
      <c r="C688" s="217" t="str">
        <f t="shared" si="619"/>
        <v>81</v>
      </c>
      <c r="D688" s="101" t="str">
        <f t="shared" si="620"/>
        <v>815</v>
      </c>
      <c r="E688" s="217" t="str">
        <f t="shared" si="621"/>
        <v>400-81-815</v>
      </c>
      <c r="F688" s="294" t="str">
        <f t="shared" si="622"/>
        <v>55119</v>
      </c>
      <c r="G688" s="295" t="str">
        <f>VLOOKUP(F688,'GL Category'!A:C,3,FALSE)</f>
        <v>Services &amp; other</v>
      </c>
      <c r="H688" s="98" t="str">
        <f>VLOOKUP(F688,'GL Category'!A:C,2,FALSE)</f>
        <v>OFFICE EQUIP LEASE EXP-CITY</v>
      </c>
      <c r="I688" s="99">
        <f>SUMIF(Import!$B:$B,$A688,Import!D:D)</f>
        <v>20064</v>
      </c>
      <c r="J688" s="99">
        <f>SUMIF(Import!$B:$B,$A688,Import!E:E)</f>
        <v>23356</v>
      </c>
      <c r="K688" s="99">
        <f>SUMIF(Import!$B:$B,$A688,Import!F:F)</f>
        <v>21088</v>
      </c>
      <c r="L688" s="99">
        <f>SUMIF(Import!$B:$B,$A688,Import!G:G)</f>
        <v>22262</v>
      </c>
      <c r="M688" s="99">
        <f>SUMIF(Import!$B:$B,$A688,Import!H:H)</f>
        <v>25510</v>
      </c>
      <c r="N688" s="99">
        <f>SUMIF(Import!$B:$B,$A688,Import!I:I)</f>
        <v>19132.5</v>
      </c>
      <c r="O688" s="99">
        <f>SUMIF(Import!$B:$B,$A688,Import!J:J)</f>
        <v>25510</v>
      </c>
      <c r="P688" s="99">
        <f t="shared" si="646"/>
        <v>0</v>
      </c>
      <c r="Q688" s="99">
        <f>SUMIF(Import!$B:$B,$A688,Import!K:K)</f>
        <v>20787</v>
      </c>
      <c r="R688" s="99">
        <f>SUMIF(Import!$B:$B,$A688,Import!L:L)</f>
        <v>0</v>
      </c>
      <c r="S688" s="99">
        <f>SUMIF(Import!$B:$B,$A688,Import!M:M)</f>
        <v>0</v>
      </c>
      <c r="T688" s="99">
        <f>SUMIF(Import!$B:$B,$A688,Import!N:N)</f>
        <v>20787</v>
      </c>
      <c r="U688" s="99">
        <f t="shared" si="647"/>
        <v>-4723</v>
      </c>
      <c r="V688" s="255">
        <f t="shared" si="648"/>
        <v>-0.18514308114464917</v>
      </c>
      <c r="W688" s="102" t="s">
        <v>1523</v>
      </c>
      <c r="X688" s="148"/>
      <c r="Y688" s="267"/>
      <c r="Z688" s="121" t="e">
        <f>VLOOKUP(A688,#REF!,3,FALSE)</f>
        <v>#REF!</v>
      </c>
      <c r="AA688" s="121"/>
      <c r="AB688" s="121"/>
      <c r="AC688" s="121"/>
      <c r="AD688" s="121"/>
      <c r="AE688" s="121"/>
      <c r="AF688" s="121"/>
      <c r="AG688" s="121"/>
      <c r="AH688" s="121"/>
      <c r="AI688" s="121"/>
      <c r="AJ688" s="121"/>
      <c r="AK688" s="121"/>
      <c r="AL688" s="121"/>
    </row>
    <row r="689" spans="1:38" s="115" customFormat="1">
      <c r="A689" s="555"/>
      <c r="B689" s="217"/>
      <c r="C689" s="217"/>
      <c r="D689" s="101"/>
      <c r="E689" s="217"/>
      <c r="F689" s="294"/>
      <c r="G689" s="146"/>
      <c r="H689" s="107" t="str">
        <f>UPPER(G715)&amp;" TOTAL"</f>
        <v>SERVICES &amp; OTHER TOTAL</v>
      </c>
      <c r="I689" s="108">
        <f t="shared" ref="I689" si="660">SUBTOTAL(9,I675:I688)</f>
        <v>304456.78000000003</v>
      </c>
      <c r="J689" s="108">
        <f t="shared" ref="J689:T689" si="661">SUBTOTAL(9,J675:J688)</f>
        <v>147255.01</v>
      </c>
      <c r="K689" s="108">
        <f t="shared" ref="K689" si="662">SUBTOTAL(9,K675:K688)</f>
        <v>166144.88999999998</v>
      </c>
      <c r="L689" s="108">
        <f t="shared" ref="L689" si="663">SUBTOTAL(9,L675:L688)</f>
        <v>147452.10999999999</v>
      </c>
      <c r="M689" s="108">
        <f t="shared" si="661"/>
        <v>226492</v>
      </c>
      <c r="N689" s="108">
        <f t="shared" ref="N689" si="664">SUBTOTAL(9,N675:N688)</f>
        <v>183569.22</v>
      </c>
      <c r="O689" s="108">
        <f t="shared" si="661"/>
        <v>269092</v>
      </c>
      <c r="P689" s="108">
        <f t="shared" si="661"/>
        <v>42600</v>
      </c>
      <c r="Q689" s="108">
        <f t="shared" si="661"/>
        <v>221872</v>
      </c>
      <c r="R689" s="108">
        <f t="shared" si="661"/>
        <v>120000</v>
      </c>
      <c r="S689" s="108">
        <f t="shared" si="661"/>
        <v>44000</v>
      </c>
      <c r="T689" s="108">
        <f t="shared" si="661"/>
        <v>385872</v>
      </c>
      <c r="U689" s="99">
        <f>T689-M689</f>
        <v>159380</v>
      </c>
      <c r="V689" s="259">
        <f>IF(M689=0,"N/A",T689/M689-1)</f>
        <v>0.70368931352983766</v>
      </c>
      <c r="X689" s="148"/>
      <c r="Y689" s="267"/>
      <c r="Z689" s="121"/>
      <c r="AA689" s="121"/>
      <c r="AB689" s="121"/>
      <c r="AC689" s="121"/>
      <c r="AD689" s="121"/>
      <c r="AE689" s="121"/>
      <c r="AF689" s="121"/>
      <c r="AG689" s="121"/>
      <c r="AH689" s="121"/>
      <c r="AI689" s="121"/>
      <c r="AJ689" s="121"/>
      <c r="AK689" s="121"/>
      <c r="AL689" s="121"/>
    </row>
    <row r="690" spans="1:38" s="115" customFormat="1">
      <c r="A690" s="555"/>
      <c r="B690" s="217"/>
      <c r="C690" s="217"/>
      <c r="D690" s="101"/>
      <c r="E690" s="217"/>
      <c r="F690" s="294"/>
      <c r="G690" s="146"/>
      <c r="H690" s="98"/>
      <c r="I690" s="106"/>
      <c r="J690" s="106"/>
      <c r="K690" s="106"/>
      <c r="L690" s="106"/>
      <c r="M690" s="106"/>
      <c r="N690" s="112"/>
      <c r="O690" s="112"/>
      <c r="P690" s="112"/>
      <c r="Q690" s="113"/>
      <c r="R690" s="99"/>
      <c r="S690" s="99"/>
      <c r="T690" s="113"/>
      <c r="U690" s="113"/>
      <c r="V690" s="113"/>
      <c r="X690" s="148"/>
      <c r="Y690" s="267"/>
      <c r="Z690" s="121"/>
      <c r="AA690" s="121"/>
      <c r="AB690" s="121"/>
      <c r="AC690" s="121"/>
      <c r="AD690" s="121"/>
      <c r="AE690" s="121"/>
      <c r="AF690" s="121"/>
      <c r="AG690" s="121"/>
      <c r="AH690" s="121"/>
      <c r="AI690" s="121"/>
      <c r="AJ690" s="121"/>
      <c r="AK690" s="121"/>
      <c r="AL690" s="121"/>
    </row>
    <row r="691" spans="1:38" s="115" customFormat="1">
      <c r="A691" s="555" t="s">
        <v>1524</v>
      </c>
      <c r="B691" s="217" t="str">
        <f t="shared" si="618"/>
        <v>400</v>
      </c>
      <c r="C691" s="217" t="str">
        <f t="shared" si="619"/>
        <v>81</v>
      </c>
      <c r="D691" s="101" t="str">
        <f t="shared" si="620"/>
        <v>815</v>
      </c>
      <c r="E691" s="217" t="str">
        <f t="shared" si="621"/>
        <v>400-81-815</v>
      </c>
      <c r="F691" s="294" t="str">
        <f t="shared" si="622"/>
        <v>56900</v>
      </c>
      <c r="G691" s="295" t="str">
        <f>VLOOKUP(F691,'GL Category'!A:C,3,FALSE)</f>
        <v>Debt Service</v>
      </c>
      <c r="H691" s="98" t="str">
        <f>VLOOKUP(F691,'GL Category'!A:C,2,FALSE)</f>
        <v>INTEREST/OTHER DEBTAMORTIZATI</v>
      </c>
      <c r="I691" s="99">
        <f>SUMIF(Import!$B:$B,$A691,Import!D:D)</f>
        <v>0</v>
      </c>
      <c r="J691" s="99">
        <f>SUMIF(Import!$B:$B,$A691,Import!E:E)</f>
        <v>0</v>
      </c>
      <c r="K691" s="99">
        <f>SUMIF(Import!$B:$B,$A691,Import!F:F)</f>
        <v>0</v>
      </c>
      <c r="L691" s="99">
        <f>SUMIF(Import!$B:$B,$A691,Import!G:G)</f>
        <v>0</v>
      </c>
      <c r="M691" s="99">
        <f>SUMIF(Import!$B:$B,$A691,Import!H:H)</f>
        <v>0</v>
      </c>
      <c r="N691" s="99">
        <f>SUMIF(Import!$B:$B,$A691,Import!I:I)</f>
        <v>0</v>
      </c>
      <c r="O691" s="99">
        <f>SUMIF(Import!$B:$B,$A691,Import!J:J)</f>
        <v>0</v>
      </c>
      <c r="P691" s="99">
        <f t="shared" ref="P691:P692" si="665">O691-M691</f>
        <v>0</v>
      </c>
      <c r="Q691" s="99">
        <f>SUMIF(Import!$B:$B,$A691,Import!K:K)</f>
        <v>0</v>
      </c>
      <c r="R691" s="99">
        <f>SUMIF(Import!$B:$B,$A691,Import!L:L)</f>
        <v>0</v>
      </c>
      <c r="S691" s="99">
        <f>SUMIF(Import!$B:$B,$A691,Import!M:M)</f>
        <v>0</v>
      </c>
      <c r="T691" s="99">
        <f>SUMIF(Import!$B:$B,$A691,Import!N:N)</f>
        <v>0</v>
      </c>
      <c r="U691" s="99">
        <f t="shared" ref="U691:U692" si="666">T691-M691</f>
        <v>0</v>
      </c>
      <c r="V691" s="255" t="str">
        <f t="shared" ref="V691:V692" si="667">IF(M691=0,"N/A",T691/M691-1)</f>
        <v>N/A</v>
      </c>
      <c r="W691" s="102" t="s">
        <v>1524</v>
      </c>
      <c r="X691" s="148"/>
      <c r="Y691" s="267"/>
      <c r="Z691" s="121" t="e">
        <f>VLOOKUP(A691,#REF!,3,FALSE)</f>
        <v>#REF!</v>
      </c>
      <c r="AA691" s="121"/>
      <c r="AB691" s="121"/>
      <c r="AC691" s="121"/>
      <c r="AD691" s="121"/>
      <c r="AE691" s="121"/>
      <c r="AF691" s="121"/>
      <c r="AG691" s="121"/>
      <c r="AH691" s="121"/>
      <c r="AI691" s="121"/>
      <c r="AJ691" s="121"/>
      <c r="AK691" s="121"/>
      <c r="AL691" s="121"/>
    </row>
    <row r="692" spans="1:38" s="115" customFormat="1">
      <c r="A692" s="555" t="s">
        <v>1525</v>
      </c>
      <c r="B692" s="217" t="str">
        <f t="shared" si="618"/>
        <v>400</v>
      </c>
      <c r="C692" s="217" t="str">
        <f t="shared" si="619"/>
        <v>81</v>
      </c>
      <c r="D692" s="101" t="str">
        <f t="shared" si="620"/>
        <v>815</v>
      </c>
      <c r="E692" s="217" t="str">
        <f t="shared" si="621"/>
        <v>400-81-815</v>
      </c>
      <c r="F692" s="294" t="str">
        <f t="shared" si="622"/>
        <v>56902</v>
      </c>
      <c r="G692" s="295" t="str">
        <f>VLOOKUP(F692,'GL Category'!A:C,3,FALSE)</f>
        <v>Debt Service</v>
      </c>
      <c r="H692" s="98" t="str">
        <f>VLOOKUP(F692,'GL Category'!A:C,2,FALSE)</f>
        <v>GO RETIREMENT</v>
      </c>
      <c r="I692" s="99">
        <f>SUMIF(Import!$B:$B,$A692,Import!D:D)</f>
        <v>0</v>
      </c>
      <c r="J692" s="99">
        <f>SUMIF(Import!$B:$B,$A692,Import!E:E)</f>
        <v>0</v>
      </c>
      <c r="K692" s="99">
        <f>SUMIF(Import!$B:$B,$A692,Import!F:F)</f>
        <v>0</v>
      </c>
      <c r="L692" s="99">
        <f>SUMIF(Import!$B:$B,$A692,Import!G:G)</f>
        <v>0</v>
      </c>
      <c r="M692" s="99">
        <f>SUMIF(Import!$B:$B,$A692,Import!H:H)</f>
        <v>0</v>
      </c>
      <c r="N692" s="99">
        <f>SUMIF(Import!$B:$B,$A692,Import!I:I)</f>
        <v>0</v>
      </c>
      <c r="O692" s="99">
        <f>SUMIF(Import!$B:$B,$A692,Import!J:J)</f>
        <v>0</v>
      </c>
      <c r="P692" s="99">
        <f t="shared" si="665"/>
        <v>0</v>
      </c>
      <c r="Q692" s="99">
        <f>SUMIF(Import!$B:$B,$A692,Import!K:K)</f>
        <v>0</v>
      </c>
      <c r="R692" s="99">
        <f>SUMIF(Import!$B:$B,$A692,Import!L:L)</f>
        <v>0</v>
      </c>
      <c r="S692" s="99">
        <f>SUMIF(Import!$B:$B,$A692,Import!M:M)</f>
        <v>0</v>
      </c>
      <c r="T692" s="99">
        <f>SUMIF(Import!$B:$B,$A692,Import!N:N)</f>
        <v>0</v>
      </c>
      <c r="U692" s="99">
        <f t="shared" si="666"/>
        <v>0</v>
      </c>
      <c r="V692" s="255" t="str">
        <f t="shared" si="667"/>
        <v>N/A</v>
      </c>
      <c r="W692" s="102" t="s">
        <v>1525</v>
      </c>
      <c r="X692" s="148"/>
      <c r="Y692" s="267"/>
      <c r="Z692" s="121" t="e">
        <f>VLOOKUP(A692,#REF!,3,FALSE)</f>
        <v>#REF!</v>
      </c>
      <c r="AA692" s="121"/>
      <c r="AB692" s="121"/>
      <c r="AC692" s="121"/>
      <c r="AD692" s="121"/>
      <c r="AE692" s="121"/>
      <c r="AF692" s="121"/>
      <c r="AG692" s="121"/>
      <c r="AH692" s="121"/>
      <c r="AI692" s="121"/>
      <c r="AJ692" s="121"/>
      <c r="AK692" s="121"/>
      <c r="AL692" s="121"/>
    </row>
    <row r="693" spans="1:38">
      <c r="A693" s="555"/>
      <c r="B693" s="217"/>
      <c r="C693" s="217"/>
      <c r="D693" s="101"/>
      <c r="E693" s="217"/>
      <c r="F693" s="294"/>
      <c r="G693" s="146"/>
      <c r="H693" s="107" t="str">
        <f>UPPER(G692)&amp;" TOTAL"</f>
        <v>DEBT SERVICE TOTAL</v>
      </c>
      <c r="I693" s="108">
        <f t="shared" ref="I693" si="668">SUBTOTAL(9,I691:I692)</f>
        <v>0</v>
      </c>
      <c r="J693" s="108">
        <f t="shared" ref="J693:T693" si="669">SUBTOTAL(9,J691:J692)</f>
        <v>0</v>
      </c>
      <c r="K693" s="108">
        <f t="shared" ref="K693" si="670">SUBTOTAL(9,K691:K692)</f>
        <v>0</v>
      </c>
      <c r="L693" s="108">
        <f t="shared" ref="L693" si="671">SUBTOTAL(9,L691:L692)</f>
        <v>0</v>
      </c>
      <c r="M693" s="108">
        <f t="shared" si="669"/>
        <v>0</v>
      </c>
      <c r="N693" s="108">
        <f t="shared" ref="N693" si="672">SUBTOTAL(9,N691:N692)</f>
        <v>0</v>
      </c>
      <c r="O693" s="108">
        <f t="shared" si="669"/>
        <v>0</v>
      </c>
      <c r="P693" s="108">
        <f t="shared" si="669"/>
        <v>0</v>
      </c>
      <c r="Q693" s="108">
        <f t="shared" si="669"/>
        <v>0</v>
      </c>
      <c r="R693" s="108">
        <f t="shared" si="669"/>
        <v>0</v>
      </c>
      <c r="S693" s="108">
        <f t="shared" si="669"/>
        <v>0</v>
      </c>
      <c r="T693" s="108">
        <f t="shared" si="669"/>
        <v>0</v>
      </c>
      <c r="U693" s="99">
        <f>T693-M693</f>
        <v>0</v>
      </c>
      <c r="V693" s="259" t="str">
        <f>IF(M693=0,"N/A",T693/M693-1)</f>
        <v>N/A</v>
      </c>
    </row>
    <row r="694" spans="1:38">
      <c r="A694" s="555"/>
      <c r="B694" s="217"/>
      <c r="C694" s="217"/>
      <c r="D694" s="101"/>
      <c r="E694" s="217"/>
      <c r="F694" s="294"/>
      <c r="G694" s="146"/>
      <c r="H694" s="98"/>
      <c r="I694" s="106"/>
      <c r="J694" s="106"/>
      <c r="K694" s="106"/>
      <c r="L694" s="106"/>
      <c r="M694" s="106"/>
      <c r="N694" s="112"/>
      <c r="O694" s="112"/>
      <c r="P694" s="112"/>
      <c r="Q694" s="113"/>
      <c r="R694" s="99"/>
      <c r="S694" s="99"/>
      <c r="T694" s="113"/>
      <c r="U694" s="113"/>
    </row>
    <row r="695" spans="1:38">
      <c r="A695" s="555" t="s">
        <v>1526</v>
      </c>
      <c r="B695" s="217" t="str">
        <f t="shared" si="618"/>
        <v>400</v>
      </c>
      <c r="C695" s="217" t="str">
        <f t="shared" si="619"/>
        <v>81</v>
      </c>
      <c r="D695" s="101" t="str">
        <f t="shared" si="620"/>
        <v>815</v>
      </c>
      <c r="E695" s="217" t="str">
        <f t="shared" si="621"/>
        <v>400-81-815</v>
      </c>
      <c r="F695" s="294" t="str">
        <f t="shared" si="622"/>
        <v>58651</v>
      </c>
      <c r="G695" s="295" t="str">
        <f>VLOOKUP(F695,'GL Category'!A:C,3,FALSE)</f>
        <v>Capital Outlay</v>
      </c>
      <c r="H695" s="98" t="str">
        <f>VLOOKUP(F695,'GL Category'!A:C,2,FALSE)</f>
        <v>DEPRECIATION EXPENSE</v>
      </c>
      <c r="I695" s="99">
        <f>SUMIF(Import!$B:$B,$A695,Import!D:D)</f>
        <v>0</v>
      </c>
      <c r="J695" s="99">
        <f>SUMIF(Import!$B:$B,$A695,Import!E:E)</f>
        <v>0</v>
      </c>
      <c r="K695" s="99">
        <f>SUMIF(Import!$B:$B,$A695,Import!F:F)</f>
        <v>0</v>
      </c>
      <c r="L695" s="99">
        <f>SUMIF(Import!$B:$B,$A695,Import!G:G)</f>
        <v>0</v>
      </c>
      <c r="M695" s="99">
        <f>SUMIF(Import!$B:$B,$A695,Import!H:H)</f>
        <v>0</v>
      </c>
      <c r="N695" s="99">
        <f>SUMIF(Import!$B:$B,$A695,Import!I:I)</f>
        <v>0</v>
      </c>
      <c r="O695" s="99">
        <f>SUMIF(Import!$B:$B,$A695,Import!J:J)</f>
        <v>0</v>
      </c>
      <c r="P695" s="99">
        <f t="shared" ref="P695:P697" si="673">O695-M695</f>
        <v>0</v>
      </c>
      <c r="Q695" s="99">
        <f>SUMIF(Import!$B:$B,$A695,Import!K:K)</f>
        <v>0</v>
      </c>
      <c r="R695" s="99">
        <f>SUMIF(Import!$B:$B,$A695,Import!L:L)</f>
        <v>0</v>
      </c>
      <c r="S695" s="99">
        <f>SUMIF(Import!$B:$B,$A695,Import!M:M)</f>
        <v>0</v>
      </c>
      <c r="T695" s="99">
        <f>SUMIF(Import!$B:$B,$A695,Import!N:N)</f>
        <v>0</v>
      </c>
      <c r="U695" s="99">
        <f t="shared" ref="U695:U697" si="674">T695-M695</f>
        <v>0</v>
      </c>
      <c r="V695" s="255" t="str">
        <f t="shared" ref="V695:V697" si="675">IF(M695=0,"N/A",T695/M695-1)</f>
        <v>N/A</v>
      </c>
      <c r="W695" s="102" t="s">
        <v>1526</v>
      </c>
      <c r="Z695" s="121" t="e">
        <f>VLOOKUP(A695,#REF!,3,FALSE)</f>
        <v>#REF!</v>
      </c>
    </row>
    <row r="696" spans="1:38">
      <c r="A696" s="555" t="s">
        <v>1527</v>
      </c>
      <c r="B696" s="217" t="str">
        <f t="shared" si="618"/>
        <v>400</v>
      </c>
      <c r="C696" s="217" t="str">
        <f t="shared" si="619"/>
        <v>81</v>
      </c>
      <c r="D696" s="101" t="str">
        <f t="shared" si="620"/>
        <v>815</v>
      </c>
      <c r="E696" s="217" t="str">
        <f t="shared" si="621"/>
        <v>400-81-815</v>
      </c>
      <c r="F696" s="294" t="str">
        <f t="shared" si="622"/>
        <v>58830</v>
      </c>
      <c r="G696" s="295" t="str">
        <f>VLOOKUP(F696,'GL Category'!A:C,3,FALSE)</f>
        <v>Capital Outlay</v>
      </c>
      <c r="H696" s="98" t="str">
        <f>VLOOKUP(F696,'GL Category'!A:C,2,FALSE)</f>
        <v>MACHINERY &amp; EQUIPMENT</v>
      </c>
      <c r="I696" s="99">
        <f>SUMIF(Import!$B:$B,$A696,Import!D:D)</f>
        <v>0</v>
      </c>
      <c r="J696" s="99">
        <f>SUMIF(Import!$B:$B,$A696,Import!E:E)</f>
        <v>0</v>
      </c>
      <c r="K696" s="99">
        <f>SUMIF(Import!$B:$B,$A696,Import!F:F)</f>
        <v>0</v>
      </c>
      <c r="L696" s="99">
        <f>SUMIF(Import!$B:$B,$A696,Import!G:G)</f>
        <v>0</v>
      </c>
      <c r="M696" s="99">
        <f>SUMIF(Import!$B:$B,$A696,Import!H:H)</f>
        <v>0</v>
      </c>
      <c r="N696" s="99">
        <f>SUMIF(Import!$B:$B,$A696,Import!I:I)</f>
        <v>0</v>
      </c>
      <c r="O696" s="99">
        <f>SUMIF(Import!$B:$B,$A696,Import!J:J)</f>
        <v>0</v>
      </c>
      <c r="P696" s="99">
        <f t="shared" si="673"/>
        <v>0</v>
      </c>
      <c r="Q696" s="99">
        <f>SUMIF(Import!$B:$B,$A696,Import!K:K)</f>
        <v>0</v>
      </c>
      <c r="R696" s="99">
        <f>SUMIF(Import!$B:$B,$A696,Import!L:L)</f>
        <v>0</v>
      </c>
      <c r="S696" s="99">
        <f>SUMIF(Import!$B:$B,$A696,Import!M:M)</f>
        <v>0</v>
      </c>
      <c r="T696" s="99">
        <f>SUMIF(Import!$B:$B,$A696,Import!N:N)</f>
        <v>0</v>
      </c>
      <c r="U696" s="99">
        <f t="shared" si="674"/>
        <v>0</v>
      </c>
      <c r="V696" s="255" t="str">
        <f t="shared" si="675"/>
        <v>N/A</v>
      </c>
      <c r="W696" s="102" t="s">
        <v>1527</v>
      </c>
      <c r="Z696" s="121" t="e">
        <f>VLOOKUP(A696,#REF!,3,FALSE)</f>
        <v>#REF!</v>
      </c>
    </row>
    <row r="697" spans="1:38">
      <c r="A697" s="555" t="s">
        <v>1528</v>
      </c>
      <c r="B697" s="217" t="str">
        <f t="shared" si="618"/>
        <v>400</v>
      </c>
      <c r="C697" s="217" t="str">
        <f t="shared" si="619"/>
        <v>81</v>
      </c>
      <c r="D697" s="101" t="str">
        <f t="shared" si="620"/>
        <v>815</v>
      </c>
      <c r="E697" s="217" t="str">
        <f t="shared" si="621"/>
        <v>400-81-815</v>
      </c>
      <c r="F697" s="294" t="str">
        <f t="shared" si="622"/>
        <v>58872</v>
      </c>
      <c r="G697" s="295" t="e">
        <f>VLOOKUP(F697,'GL Category'!A:C,3,FALSE)</f>
        <v>#N/A</v>
      </c>
      <c r="H697" s="98" t="e">
        <f>VLOOKUP(F697,'GL Category'!A:C,2,FALSE)</f>
        <v>#N/A</v>
      </c>
      <c r="I697" s="99">
        <f>SUMIF(Import!$B:$B,$A697,Import!D:D)</f>
        <v>0</v>
      </c>
      <c r="J697" s="99">
        <f>SUMIF(Import!$B:$B,$A697,Import!E:E)</f>
        <v>0</v>
      </c>
      <c r="K697" s="99">
        <f>SUMIF(Import!$B:$B,$A697,Import!F:F)</f>
        <v>0</v>
      </c>
      <c r="L697" s="99">
        <f>SUMIF(Import!$B:$B,$A697,Import!G:G)</f>
        <v>0</v>
      </c>
      <c r="M697" s="99">
        <f>SUMIF(Import!$B:$B,$A697,Import!H:H)</f>
        <v>0</v>
      </c>
      <c r="N697" s="99">
        <f>SUMIF(Import!$B:$B,$A697,Import!I:I)</f>
        <v>0</v>
      </c>
      <c r="O697" s="99">
        <f>SUMIF(Import!$B:$B,$A697,Import!J:J)</f>
        <v>0</v>
      </c>
      <c r="P697" s="99">
        <f t="shared" si="673"/>
        <v>0</v>
      </c>
      <c r="Q697" s="99">
        <f>SUMIF(Import!$B:$B,$A697,Import!K:K)</f>
        <v>0</v>
      </c>
      <c r="R697" s="99">
        <f>SUMIF(Import!$B:$B,$A697,Import!L:L)</f>
        <v>0</v>
      </c>
      <c r="S697" s="99">
        <f>SUMIF(Import!$B:$B,$A697,Import!M:M)</f>
        <v>0</v>
      </c>
      <c r="T697" s="99">
        <f>SUMIF(Import!$B:$B,$A697,Import!N:N)</f>
        <v>0</v>
      </c>
      <c r="U697" s="99">
        <f t="shared" si="674"/>
        <v>0</v>
      </c>
      <c r="V697" s="255" t="str">
        <f t="shared" si="675"/>
        <v>N/A</v>
      </c>
      <c r="W697" s="102" t="s">
        <v>1528</v>
      </c>
      <c r="Z697" s="121" t="e">
        <f>VLOOKUP(A697,#REF!,3,FALSE)</f>
        <v>#REF!</v>
      </c>
    </row>
    <row r="698" spans="1:38">
      <c r="A698" s="555"/>
      <c r="B698" s="217"/>
      <c r="C698" s="217"/>
      <c r="D698" s="101"/>
      <c r="E698" s="217"/>
      <c r="F698" s="294"/>
      <c r="G698" s="146"/>
      <c r="H698" s="107" t="str">
        <f>UPPER(G711)&amp;" TOTAL"</f>
        <v>CAPITAL OUTLAY TOTAL</v>
      </c>
      <c r="I698" s="108">
        <f t="shared" ref="I698" si="676">SUBTOTAL(9,I695:I697)</f>
        <v>0</v>
      </c>
      <c r="J698" s="108">
        <f t="shared" ref="J698:T698" si="677">SUBTOTAL(9,J695:J697)</f>
        <v>0</v>
      </c>
      <c r="K698" s="108">
        <f t="shared" ref="K698" si="678">SUBTOTAL(9,K695:K697)</f>
        <v>0</v>
      </c>
      <c r="L698" s="108">
        <f t="shared" ref="L698" si="679">SUBTOTAL(9,L695:L697)</f>
        <v>0</v>
      </c>
      <c r="M698" s="108">
        <f t="shared" si="677"/>
        <v>0</v>
      </c>
      <c r="N698" s="108">
        <f t="shared" ref="N698" si="680">SUBTOTAL(9,N695:N697)</f>
        <v>0</v>
      </c>
      <c r="O698" s="108">
        <f t="shared" si="677"/>
        <v>0</v>
      </c>
      <c r="P698" s="108">
        <f t="shared" si="677"/>
        <v>0</v>
      </c>
      <c r="Q698" s="108">
        <f t="shared" si="677"/>
        <v>0</v>
      </c>
      <c r="R698" s="108">
        <f t="shared" si="677"/>
        <v>0</v>
      </c>
      <c r="S698" s="108">
        <f t="shared" si="677"/>
        <v>0</v>
      </c>
      <c r="T698" s="108">
        <f t="shared" si="677"/>
        <v>0</v>
      </c>
      <c r="U698" s="99">
        <f>T698-M698</f>
        <v>0</v>
      </c>
      <c r="V698" s="259" t="str">
        <f>IF(M698=0,"N/A",T698/M698-1)</f>
        <v>N/A</v>
      </c>
    </row>
    <row r="699" spans="1:38">
      <c r="A699" s="555"/>
      <c r="B699" s="217"/>
      <c r="C699" s="217"/>
      <c r="D699" s="101"/>
      <c r="E699" s="217"/>
      <c r="F699" s="294"/>
      <c r="G699" s="146"/>
      <c r="H699" s="98"/>
      <c r="I699" s="106"/>
      <c r="J699" s="106"/>
      <c r="K699" s="106"/>
      <c r="L699" s="106"/>
      <c r="M699" s="106"/>
      <c r="N699" s="112"/>
      <c r="O699" s="112"/>
      <c r="P699" s="112"/>
      <c r="Q699" s="113"/>
      <c r="R699" s="99"/>
      <c r="S699" s="99"/>
      <c r="T699" s="113"/>
      <c r="U699" s="113"/>
    </row>
    <row r="700" spans="1:38">
      <c r="A700" s="555" t="s">
        <v>1529</v>
      </c>
      <c r="B700" s="217" t="str">
        <f t="shared" si="618"/>
        <v>400</v>
      </c>
      <c r="C700" s="217" t="str">
        <f t="shared" si="619"/>
        <v>81</v>
      </c>
      <c r="D700" s="101" t="str">
        <f t="shared" si="620"/>
        <v>815</v>
      </c>
      <c r="E700" s="217" t="str">
        <f t="shared" si="621"/>
        <v>400-81-815</v>
      </c>
      <c r="F700" s="294" t="str">
        <f t="shared" si="622"/>
        <v>59170</v>
      </c>
      <c r="G700" s="295" t="str">
        <f>VLOOKUP(F700,'GL Category'!A:C,3,FALSE)</f>
        <v>Transfers to other funds</v>
      </c>
      <c r="H700" s="98" t="str">
        <f>VLOOKUP(F700,'GL Category'!A:C,2,FALSE)</f>
        <v>TRANSFER TO CIP-STREET IMPROVE</v>
      </c>
      <c r="I700" s="99">
        <f>SUMIF(Import!$B:$B,$A700,Import!D:D)</f>
        <v>0</v>
      </c>
      <c r="J700" s="99">
        <f>SUMIF(Import!$B:$B,$A700,Import!E:E)</f>
        <v>0</v>
      </c>
      <c r="K700" s="99">
        <f>SUMIF(Import!$B:$B,$A700,Import!F:F)</f>
        <v>0</v>
      </c>
      <c r="L700" s="99">
        <f>SUMIF(Import!$B:$B,$A700,Import!G:G)</f>
        <v>0</v>
      </c>
      <c r="M700" s="99">
        <f>SUMIF(Import!$B:$B,$A700,Import!H:H)</f>
        <v>0</v>
      </c>
      <c r="N700" s="99">
        <f>SUMIF(Import!$B:$B,$A700,Import!I:I)</f>
        <v>0</v>
      </c>
      <c r="O700" s="99">
        <f>SUMIF(Import!$B:$B,$A700,Import!J:J)</f>
        <v>0</v>
      </c>
      <c r="P700" s="99">
        <f t="shared" ref="P700:P701" si="681">O700-M700</f>
        <v>0</v>
      </c>
      <c r="Q700" s="99">
        <f>SUMIF(Import!$B:$B,$A700,Import!K:K)</f>
        <v>0</v>
      </c>
      <c r="R700" s="99">
        <f>SUMIF(Import!$B:$B,$A700,Import!L:L)</f>
        <v>0</v>
      </c>
      <c r="S700" s="99">
        <f>SUMIF(Import!$B:$B,$A700,Import!M:M)</f>
        <v>0</v>
      </c>
      <c r="T700" s="99">
        <f>SUMIF(Import!$B:$B,$A700,Import!N:N)</f>
        <v>0</v>
      </c>
      <c r="U700" s="99">
        <f t="shared" ref="U700:U701" si="682">T700-M700</f>
        <v>0</v>
      </c>
      <c r="V700" s="255" t="str">
        <f t="shared" ref="V700:V701" si="683">IF(M700=0,"N/A",T700/M700-1)</f>
        <v>N/A</v>
      </c>
      <c r="W700" s="102" t="s">
        <v>1529</v>
      </c>
    </row>
    <row r="701" spans="1:38">
      <c r="A701" s="555" t="s">
        <v>1530</v>
      </c>
      <c r="B701" s="217" t="str">
        <f t="shared" si="618"/>
        <v>400</v>
      </c>
      <c r="C701" s="217" t="str">
        <f t="shared" si="619"/>
        <v>81</v>
      </c>
      <c r="D701" s="101" t="str">
        <f t="shared" si="620"/>
        <v>815</v>
      </c>
      <c r="E701" s="217" t="str">
        <f t="shared" si="621"/>
        <v>400-81-815</v>
      </c>
      <c r="F701" s="294" t="str">
        <f t="shared" si="622"/>
        <v>59406</v>
      </c>
      <c r="G701" s="295" t="str">
        <f>VLOOKUP(F701,'GL Category'!A:C,3,FALSE)</f>
        <v>Transfers to other funds</v>
      </c>
      <c r="H701" s="98" t="str">
        <f>VLOOKUP(F701,'GL Category'!A:C,2,FALSE)</f>
        <v>TRANSFER TO CIP-DRAINAGE</v>
      </c>
      <c r="I701" s="99">
        <f>SUMIF(Import!$B:$B,$A701,Import!D:D)</f>
        <v>0</v>
      </c>
      <c r="J701" s="99">
        <f>SUMIF(Import!$B:$B,$A701,Import!E:E)</f>
        <v>0</v>
      </c>
      <c r="K701" s="99">
        <f>SUMIF(Import!$B:$B,$A701,Import!F:F)</f>
        <v>0</v>
      </c>
      <c r="L701" s="99">
        <f>SUMIF(Import!$B:$B,$A701,Import!G:G)</f>
        <v>0</v>
      </c>
      <c r="M701" s="99">
        <f>SUMIF(Import!$B:$B,$A701,Import!H:H)</f>
        <v>0</v>
      </c>
      <c r="N701" s="99">
        <f>SUMIF(Import!$B:$B,$A701,Import!I:I)</f>
        <v>0</v>
      </c>
      <c r="O701" s="99">
        <f>SUMIF(Import!$B:$B,$A701,Import!J:J)</f>
        <v>0</v>
      </c>
      <c r="P701" s="99">
        <f t="shared" si="681"/>
        <v>0</v>
      </c>
      <c r="Q701" s="99">
        <f>SUMIF(Import!$B:$B,$A701,Import!K:K)</f>
        <v>0</v>
      </c>
      <c r="R701" s="99">
        <f>SUMIF(Import!$B:$B,$A701,Import!L:L)</f>
        <v>0</v>
      </c>
      <c r="S701" s="99">
        <f>SUMIF(Import!$B:$B,$A701,Import!M:M)</f>
        <v>0</v>
      </c>
      <c r="T701" s="99">
        <f>SUMIF(Import!$B:$B,$A701,Import!N:N)</f>
        <v>0</v>
      </c>
      <c r="U701" s="99">
        <f t="shared" si="682"/>
        <v>0</v>
      </c>
      <c r="V701" s="255" t="str">
        <f t="shared" si="683"/>
        <v>N/A</v>
      </c>
      <c r="W701" s="102" t="s">
        <v>1530</v>
      </c>
    </row>
    <row r="702" spans="1:38" ht="26.4">
      <c r="A702" s="555"/>
      <c r="B702" s="217"/>
      <c r="C702" s="217"/>
      <c r="D702" s="101"/>
      <c r="E702" s="217"/>
      <c r="F702" s="294"/>
      <c r="G702" s="295"/>
      <c r="H702" s="107" t="str">
        <f>UPPER(G701)&amp;" TOTAL"</f>
        <v>TRANSFERS TO OTHER FUNDS TOTAL</v>
      </c>
      <c r="I702" s="108">
        <f t="shared" ref="I702" si="684">SUBTOTAL(9,I699:I701)</f>
        <v>0</v>
      </c>
      <c r="J702" s="108">
        <f t="shared" ref="J702:P702" si="685">SUBTOTAL(9,J699:J701)</f>
        <v>0</v>
      </c>
      <c r="K702" s="108">
        <f t="shared" ref="K702" si="686">SUBTOTAL(9,K699:K701)</f>
        <v>0</v>
      </c>
      <c r="L702" s="108">
        <f t="shared" ref="L702" si="687">SUBTOTAL(9,L699:L701)</f>
        <v>0</v>
      </c>
      <c r="M702" s="108">
        <f t="shared" si="685"/>
        <v>0</v>
      </c>
      <c r="N702" s="108">
        <f t="shared" ref="N702" si="688">SUBTOTAL(9,N699:N701)</f>
        <v>0</v>
      </c>
      <c r="O702" s="108">
        <f t="shared" si="685"/>
        <v>0</v>
      </c>
      <c r="P702" s="108">
        <f t="shared" si="685"/>
        <v>0</v>
      </c>
      <c r="Q702" s="108">
        <f>SUBTOTAL(9,Q700:Q701)</f>
        <v>0</v>
      </c>
      <c r="R702" s="108">
        <f>SUBTOTAL(9,R699:R701)</f>
        <v>0</v>
      </c>
      <c r="S702" s="108">
        <f>SUBTOTAL(9,S699:S701)</f>
        <v>0</v>
      </c>
      <c r="T702" s="108">
        <f>SUBTOTAL(9,T699:T701)</f>
        <v>0</v>
      </c>
      <c r="U702" s="99">
        <f>T702-M702</f>
        <v>0</v>
      </c>
      <c r="V702" s="259" t="str">
        <f>IF(M702=0,"N/A",T702/M702-1)</f>
        <v>N/A</v>
      </c>
    </row>
    <row r="703" spans="1:38">
      <c r="A703" s="555"/>
      <c r="B703" s="217"/>
      <c r="C703" s="217"/>
      <c r="D703" s="101"/>
      <c r="E703" s="217"/>
      <c r="F703" s="294"/>
      <c r="G703" s="295"/>
      <c r="H703" s="232"/>
      <c r="I703" s="233"/>
      <c r="J703" s="233"/>
      <c r="K703" s="233"/>
      <c r="L703" s="233"/>
      <c r="M703" s="233"/>
      <c r="N703" s="233"/>
      <c r="O703" s="233"/>
      <c r="P703" s="233"/>
      <c r="Q703" s="479"/>
      <c r="R703" s="233"/>
      <c r="S703" s="233"/>
      <c r="T703" s="233"/>
      <c r="U703" s="99"/>
      <c r="V703" s="259"/>
    </row>
    <row r="704" spans="1:38" s="115" customFormat="1" ht="14.4" thickBot="1">
      <c r="A704" s="555"/>
      <c r="B704" s="217"/>
      <c r="C704" s="217"/>
      <c r="D704" s="101"/>
      <c r="E704" s="217"/>
      <c r="F704" s="294"/>
      <c r="G704" s="146"/>
      <c r="H704" s="114" t="s">
        <v>51</v>
      </c>
      <c r="I704" s="108">
        <f t="shared" ref="I704:O704" si="689">SUBTOTAL(9,I651:I702)</f>
        <v>1036156.4500000002</v>
      </c>
      <c r="J704" s="108">
        <f t="shared" si="689"/>
        <v>788845.01</v>
      </c>
      <c r="K704" s="108">
        <f t="shared" ref="K704" si="690">SUBTOTAL(9,K651:K702)</f>
        <v>658744.77</v>
      </c>
      <c r="L704" s="108">
        <f t="shared" ref="L704" si="691">SUBTOTAL(9,L651:L702)</f>
        <v>661443.69000000018</v>
      </c>
      <c r="M704" s="108">
        <f t="shared" si="689"/>
        <v>1067371</v>
      </c>
      <c r="N704" s="108">
        <f t="shared" si="689"/>
        <v>754299.39000000013</v>
      </c>
      <c r="O704" s="108">
        <f t="shared" si="689"/>
        <v>1072583</v>
      </c>
      <c r="P704" s="108">
        <f>SUBTOTAL(9,P651:P703)</f>
        <v>5212</v>
      </c>
      <c r="Q704" s="477">
        <f>SUBTOTAL(9,Q651:Q702)</f>
        <v>1076823</v>
      </c>
      <c r="R704" s="108">
        <f>SUBTOTAL(9,R651:R702)</f>
        <v>120000</v>
      </c>
      <c r="S704" s="108">
        <f>SUBTOTAL(9,S651:S702)</f>
        <v>44000</v>
      </c>
      <c r="T704" s="108">
        <f>SUBTOTAL(9,T651:T703)</f>
        <v>1240823</v>
      </c>
      <c r="U704" s="99">
        <f>T704-M704</f>
        <v>173452</v>
      </c>
      <c r="V704" s="259">
        <f>IF(M704=0,"N/A",T704/M704-1)</f>
        <v>0.16250394661275225</v>
      </c>
      <c r="W704" s="102"/>
      <c r="X704" s="103" t="str">
        <f>IF(Q704="","",IF(T704=SUM(Q704:S704),"OK","NO"))</f>
        <v>OK</v>
      </c>
      <c r="Y704" s="271"/>
      <c r="Z704" s="121"/>
      <c r="AA704" s="121"/>
      <c r="AB704" s="121"/>
      <c r="AC704" s="121"/>
      <c r="AD704" s="121"/>
      <c r="AE704" s="121"/>
      <c r="AF704" s="121"/>
      <c r="AG704" s="121"/>
      <c r="AH704" s="121"/>
      <c r="AI704" s="121"/>
      <c r="AJ704" s="121"/>
      <c r="AK704" s="121"/>
      <c r="AL704" s="121"/>
    </row>
    <row r="705" spans="1:38" ht="14.4" hidden="1" thickBot="1">
      <c r="A705" s="555"/>
      <c r="B705" s="217"/>
      <c r="C705" s="217"/>
      <c r="D705" s="101"/>
      <c r="E705" s="217"/>
      <c r="F705" s="294"/>
      <c r="G705" s="295"/>
      <c r="H705" s="98"/>
      <c r="I705" s="248"/>
      <c r="J705" s="248"/>
      <c r="K705" s="248"/>
      <c r="L705" s="248"/>
      <c r="M705" s="248"/>
      <c r="N705" s="248"/>
      <c r="O705" s="248"/>
      <c r="P705" s="248"/>
      <c r="Q705" s="478"/>
      <c r="R705" s="248"/>
      <c r="S705" s="248"/>
      <c r="T705" s="248"/>
      <c r="U705" s="99"/>
      <c r="V705" s="259"/>
    </row>
    <row r="706" spans="1:38" s="115" customFormat="1" ht="15.75" customHeight="1" thickBot="1">
      <c r="A706" s="555"/>
      <c r="B706" s="217"/>
      <c r="C706" s="217"/>
      <c r="D706" s="101"/>
      <c r="E706" s="217"/>
      <c r="F706" s="294"/>
      <c r="G706" s="146"/>
      <c r="H706" s="668" t="s">
        <v>639</v>
      </c>
      <c r="I706" s="669"/>
      <c r="J706" s="669"/>
      <c r="K706" s="669"/>
      <c r="L706" s="669"/>
      <c r="M706" s="669"/>
      <c r="N706" s="669"/>
      <c r="O706" s="669"/>
      <c r="P706" s="669"/>
      <c r="Q706" s="669"/>
      <c r="R706" s="669"/>
      <c r="S706" s="669"/>
      <c r="T706" s="670"/>
      <c r="U706" s="247"/>
      <c r="V706" s="261"/>
      <c r="W706" s="102"/>
      <c r="X706" s="103" t="str">
        <f>IF(Q706="","",IF(T706=SUM(Q706:S706),"OK","NO"))</f>
        <v/>
      </c>
      <c r="Y706" s="271"/>
      <c r="Z706" s="121"/>
      <c r="AA706" s="121"/>
      <c r="AB706" s="121"/>
      <c r="AC706" s="121"/>
      <c r="AD706" s="121"/>
      <c r="AE706" s="121"/>
      <c r="AF706" s="121"/>
      <c r="AG706" s="121"/>
      <c r="AH706" s="121"/>
      <c r="AI706" s="121"/>
      <c r="AJ706" s="121"/>
      <c r="AK706" s="121"/>
      <c r="AL706" s="121"/>
    </row>
    <row r="707" spans="1:38" s="115" customFormat="1" ht="15.75" customHeight="1">
      <c r="A707" s="555"/>
      <c r="B707" s="217"/>
      <c r="C707" s="217"/>
      <c r="D707" s="101"/>
      <c r="E707" s="217"/>
      <c r="F707" s="294"/>
      <c r="G707" s="146"/>
      <c r="H707" s="225"/>
      <c r="I707" s="225"/>
      <c r="J707" s="225"/>
      <c r="K707" s="225"/>
      <c r="L707" s="225"/>
      <c r="M707" s="225"/>
      <c r="N707" s="225"/>
      <c r="O707" s="225"/>
      <c r="P707" s="225"/>
      <c r="Q707" s="225"/>
      <c r="R707" s="225"/>
      <c r="S707" s="225"/>
      <c r="T707" s="225"/>
      <c r="U707" s="225"/>
      <c r="V707" s="260"/>
      <c r="W707" s="102"/>
      <c r="X707" s="103" t="str">
        <f>IF(Q707="","",IF(T707=SUM(Q707:S707),"OK","NO"))</f>
        <v/>
      </c>
      <c r="Y707" s="271"/>
      <c r="Z707" s="121"/>
      <c r="AA707" s="121"/>
      <c r="AB707" s="121"/>
      <c r="AC707" s="121"/>
      <c r="AD707" s="121"/>
      <c r="AE707" s="121"/>
      <c r="AF707" s="121"/>
      <c r="AG707" s="121"/>
      <c r="AH707" s="121"/>
      <c r="AI707" s="121"/>
      <c r="AJ707" s="121"/>
      <c r="AK707" s="121"/>
      <c r="AL707" s="121"/>
    </row>
    <row r="708" spans="1:38">
      <c r="A708" s="555"/>
      <c r="B708" s="217"/>
      <c r="C708" s="217"/>
      <c r="D708" s="101"/>
      <c r="E708" s="217"/>
      <c r="F708" s="294"/>
      <c r="G708" s="295"/>
      <c r="H708" s="98"/>
      <c r="I708" s="248"/>
      <c r="J708" s="248"/>
      <c r="K708" s="248"/>
      <c r="L708" s="248"/>
      <c r="M708" s="248"/>
      <c r="N708" s="248"/>
      <c r="O708" s="248"/>
      <c r="P708" s="248"/>
      <c r="Q708" s="248"/>
      <c r="R708" s="248"/>
      <c r="S708" s="248"/>
      <c r="T708" s="248"/>
      <c r="U708" s="99"/>
      <c r="V708" s="259"/>
    </row>
    <row r="709" spans="1:38">
      <c r="A709" s="555" t="s">
        <v>3237</v>
      </c>
      <c r="B709" s="217" t="str">
        <f t="shared" ref="B709:B720" si="692">LEFT(A709,3)</f>
        <v>400</v>
      </c>
      <c r="C709" s="217" t="str">
        <f t="shared" ref="C709:C720" si="693">MID(A709,5,2)</f>
        <v>89</v>
      </c>
      <c r="D709" s="101" t="str">
        <f t="shared" ref="D709:D720" si="694">MID(A709,8,3)</f>
        <v>899</v>
      </c>
      <c r="E709" s="217" t="str">
        <f t="shared" ref="E709:E720" si="695">LEFT(A709,10)</f>
        <v>400-89-899</v>
      </c>
      <c r="F709" s="294" t="str">
        <f t="shared" ref="F709:F720" si="696">RIGHT(A709,5)</f>
        <v>53550</v>
      </c>
      <c r="G709" s="295" t="str">
        <f>VLOOKUP(F709,'GL Category'!A:C,3,FALSE)</f>
        <v>Services &amp; other</v>
      </c>
      <c r="H709" s="98" t="str">
        <f>VLOOKUP(F709,'GL Category'!A:C,2,FALSE)</f>
        <v>BAD DEBT EXPENSE</v>
      </c>
      <c r="I709" s="99">
        <f>SUMIF(Import!$B:$B,$A709,Import!D:D)</f>
        <v>3986.02</v>
      </c>
      <c r="J709" s="99">
        <f>SUMIF(Import!$B:$B,$A709,Import!E:E)</f>
        <v>-6873.16</v>
      </c>
      <c r="K709" s="99">
        <f>SUMIF(Import!$B:$B,$A709,Import!F:F)</f>
        <v>3080.97</v>
      </c>
      <c r="L709" s="99">
        <f>SUMIF(Import!$B:$B,$A709,Import!G:G)</f>
        <v>-5497.33</v>
      </c>
      <c r="M709" s="99">
        <f>SUMIF(Import!$B:$B,$A709,Import!H:H)</f>
        <v>0</v>
      </c>
      <c r="N709" s="99">
        <f>SUMIF(Import!$B:$B,$A709,Import!I:I)</f>
        <v>1018.24</v>
      </c>
      <c r="O709" s="99">
        <f>SUMIF(Import!$B:$B,$A709,Import!J:J)</f>
        <v>0</v>
      </c>
      <c r="P709" s="99">
        <f t="shared" ref="P709:P720" si="697">O709-M709</f>
        <v>0</v>
      </c>
      <c r="Q709" s="99">
        <f>SUMIF(Import!$B:$B,$A709,Import!K:K)</f>
        <v>0</v>
      </c>
      <c r="R709" s="99">
        <f>SUMIF(Import!$B:$B,$A709,Import!L:L)</f>
        <v>0</v>
      </c>
      <c r="S709" s="99">
        <f>SUMIF(Import!$B:$B,$A709,Import!M:M)</f>
        <v>0</v>
      </c>
      <c r="T709" s="99">
        <f>SUMIF(Import!$B:$B,$A709,Import!N:N)</f>
        <v>0</v>
      </c>
      <c r="U709" s="99">
        <f t="shared" ref="U709:U720" si="698">T709-M709</f>
        <v>0</v>
      </c>
      <c r="V709" s="255" t="str">
        <f t="shared" ref="V709:V720" si="699">IF(M709=0,"N/A",T709/M709-1)</f>
        <v>N/A</v>
      </c>
      <c r="W709" s="102" t="s">
        <v>1531</v>
      </c>
      <c r="Z709" s="121" t="e">
        <f>VLOOKUP(A709,#REF!,3,FALSE)</f>
        <v>#REF!</v>
      </c>
    </row>
    <row r="710" spans="1:38">
      <c r="A710" s="555" t="s">
        <v>1532</v>
      </c>
      <c r="B710" s="217" t="str">
        <f t="shared" si="692"/>
        <v>400</v>
      </c>
      <c r="C710" s="217" t="str">
        <f t="shared" si="693"/>
        <v>49</v>
      </c>
      <c r="D710" s="101" t="str">
        <f t="shared" si="694"/>
        <v>491</v>
      </c>
      <c r="E710" s="217" t="str">
        <f t="shared" si="695"/>
        <v>400-49-491</v>
      </c>
      <c r="F710" s="294" t="str">
        <f t="shared" si="696"/>
        <v>58801</v>
      </c>
      <c r="G710" s="295" t="str">
        <f>VLOOKUP(F710,'GL Category'!A:C,3,FALSE)</f>
        <v>Capital Outlay</v>
      </c>
      <c r="H710" s="98" t="str">
        <f>VLOOKUP(F710,'GL Category'!A:C,2,FALSE)</f>
        <v>LAND &amp; LAND RIGHTS</v>
      </c>
      <c r="I710" s="99">
        <f>SUMIF(Import!$B:$B,$A710,Import!D:D)</f>
        <v>0</v>
      </c>
      <c r="J710" s="99">
        <f>SUMIF(Import!$B:$B,$A710,Import!E:E)</f>
        <v>0</v>
      </c>
      <c r="K710" s="99">
        <f>SUMIF(Import!$B:$B,$A710,Import!F:F)</f>
        <v>0</v>
      </c>
      <c r="L710" s="99">
        <f>SUMIF(Import!$B:$B,$A710,Import!G:G)</f>
        <v>0</v>
      </c>
      <c r="M710" s="99">
        <f>SUMIF(Import!$B:$B,$A710,Import!H:H)</f>
        <v>0</v>
      </c>
      <c r="N710" s="99">
        <f>SUMIF(Import!$B:$B,$A710,Import!I:I)</f>
        <v>0</v>
      </c>
      <c r="O710" s="99">
        <f>SUMIF(Import!$B:$B,$A710,Import!J:J)</f>
        <v>0</v>
      </c>
      <c r="P710" s="99">
        <f t="shared" si="697"/>
        <v>0</v>
      </c>
      <c r="Q710" s="99">
        <f>SUMIF(Import!$B:$B,$A710,Import!K:K)</f>
        <v>0</v>
      </c>
      <c r="R710" s="99">
        <f>SUMIF(Import!$B:$B,$A710,Import!L:L)</f>
        <v>0</v>
      </c>
      <c r="S710" s="99">
        <f>SUMIF(Import!$B:$B,$A710,Import!M:M)</f>
        <v>0</v>
      </c>
      <c r="T710" s="99">
        <f>SUMIF(Import!$B:$B,$A710,Import!N:N)</f>
        <v>0</v>
      </c>
      <c r="U710" s="99">
        <f t="shared" si="698"/>
        <v>0</v>
      </c>
      <c r="V710" s="255" t="str">
        <f t="shared" si="699"/>
        <v>N/A</v>
      </c>
      <c r="W710" s="102" t="s">
        <v>1532</v>
      </c>
      <c r="Z710" s="121" t="e">
        <f>VLOOKUP(A710,#REF!,3,FALSE)</f>
        <v>#REF!</v>
      </c>
    </row>
    <row r="711" spans="1:38">
      <c r="A711" s="555" t="s">
        <v>1533</v>
      </c>
      <c r="B711" s="217" t="str">
        <f t="shared" si="692"/>
        <v>400</v>
      </c>
      <c r="C711" s="217" t="str">
        <f t="shared" si="693"/>
        <v>49</v>
      </c>
      <c r="D711" s="101" t="str">
        <f t="shared" si="694"/>
        <v>491</v>
      </c>
      <c r="E711" s="217" t="str">
        <f t="shared" si="695"/>
        <v>400-49-491</v>
      </c>
      <c r="F711" s="294" t="str">
        <f t="shared" si="696"/>
        <v>58853</v>
      </c>
      <c r="G711" s="295" t="str">
        <f>VLOOKUP(F711,'GL Category'!A:C,3,FALSE)</f>
        <v>Capital Outlay</v>
      </c>
      <c r="H711" s="98" t="str">
        <f>VLOOKUP(F711,'GL Category'!A:C,2,FALSE)</f>
        <v>IMPROVEMENTS OTHER THAN BLDGS</v>
      </c>
      <c r="I711" s="99">
        <f>SUMIF(Import!$B:$B,$A711,Import!D:D)</f>
        <v>0</v>
      </c>
      <c r="J711" s="99">
        <f>SUMIF(Import!$B:$B,$A711,Import!E:E)</f>
        <v>0</v>
      </c>
      <c r="K711" s="99">
        <f>SUMIF(Import!$B:$B,$A711,Import!F:F)</f>
        <v>0</v>
      </c>
      <c r="L711" s="99">
        <f>SUMIF(Import!$B:$B,$A711,Import!G:G)</f>
        <v>0</v>
      </c>
      <c r="M711" s="99">
        <f>SUMIF(Import!$B:$B,$A711,Import!H:H)</f>
        <v>0</v>
      </c>
      <c r="N711" s="99">
        <f>SUMIF(Import!$B:$B,$A711,Import!I:I)</f>
        <v>0</v>
      </c>
      <c r="O711" s="99">
        <f>SUMIF(Import!$B:$B,$A711,Import!J:J)</f>
        <v>0</v>
      </c>
      <c r="P711" s="99">
        <f t="shared" si="697"/>
        <v>0</v>
      </c>
      <c r="Q711" s="99">
        <f>SUMIF(Import!$B:$B,$A711,Import!K:K)</f>
        <v>0</v>
      </c>
      <c r="R711" s="99">
        <f>SUMIF(Import!$B:$B,$A711,Import!L:L)</f>
        <v>0</v>
      </c>
      <c r="S711" s="99">
        <f>SUMIF(Import!$B:$B,$A711,Import!M:M)</f>
        <v>0</v>
      </c>
      <c r="T711" s="99">
        <f>SUMIF(Import!$B:$B,$A711,Import!N:N)</f>
        <v>0</v>
      </c>
      <c r="U711" s="99">
        <f t="shared" si="698"/>
        <v>0</v>
      </c>
      <c r="V711" s="255" t="str">
        <f t="shared" si="699"/>
        <v>N/A</v>
      </c>
      <c r="W711" s="102" t="s">
        <v>1533</v>
      </c>
      <c r="Z711" s="121" t="e">
        <f>VLOOKUP(A711,#REF!,3,FALSE)</f>
        <v>#REF!</v>
      </c>
    </row>
    <row r="712" spans="1:38" s="115" customFormat="1">
      <c r="A712" s="555" t="s">
        <v>1528</v>
      </c>
      <c r="B712" s="217" t="str">
        <f t="shared" si="692"/>
        <v>400</v>
      </c>
      <c r="C712" s="217" t="str">
        <f t="shared" si="693"/>
        <v>81</v>
      </c>
      <c r="D712" s="101" t="str">
        <f t="shared" si="694"/>
        <v>815</v>
      </c>
      <c r="E712" s="217" t="str">
        <f t="shared" si="695"/>
        <v>400-81-815</v>
      </c>
      <c r="F712" s="294" t="str">
        <f t="shared" si="696"/>
        <v>58872</v>
      </c>
      <c r="G712" s="295" t="e">
        <f>VLOOKUP(F712,'GL Category'!A:C,3,FALSE)</f>
        <v>#N/A</v>
      </c>
      <c r="H712" s="98" t="e">
        <f>VLOOKUP(F712,'GL Category'!A:C,2,FALSE)</f>
        <v>#N/A</v>
      </c>
      <c r="I712" s="99">
        <f>SUMIF(Import!$B:$B,$A712,Import!D:D)</f>
        <v>0</v>
      </c>
      <c r="J712" s="99">
        <f>SUMIF(Import!$B:$B,$A712,Import!E:E)</f>
        <v>0</v>
      </c>
      <c r="K712" s="99">
        <f>SUMIF(Import!$B:$B,$A712,Import!F:F)</f>
        <v>0</v>
      </c>
      <c r="L712" s="99">
        <f>SUMIF(Import!$B:$B,$A712,Import!G:G)</f>
        <v>0</v>
      </c>
      <c r="M712" s="99">
        <f>SUMIF(Import!$B:$B,$A712,Import!H:H)</f>
        <v>0</v>
      </c>
      <c r="N712" s="99">
        <f>SUMIF(Import!$B:$B,$A712,Import!I:I)</f>
        <v>0</v>
      </c>
      <c r="O712" s="99">
        <f>SUMIF(Import!$B:$B,$A712,Import!J:J)</f>
        <v>0</v>
      </c>
      <c r="P712" s="99">
        <f t="shared" si="697"/>
        <v>0</v>
      </c>
      <c r="Q712" s="99">
        <f>SUMIF(Import!$B:$B,$A712,Import!K:K)</f>
        <v>0</v>
      </c>
      <c r="R712" s="99">
        <f>SUMIF(Import!$B:$B,$A712,Import!L:L)</f>
        <v>0</v>
      </c>
      <c r="S712" s="99">
        <f>SUMIF(Import!$B:$B,$A712,Import!M:M)</f>
        <v>0</v>
      </c>
      <c r="T712" s="99">
        <f>SUMIF(Import!$B:$B,$A712,Import!N:N)</f>
        <v>0</v>
      </c>
      <c r="U712" s="99">
        <f t="shared" si="698"/>
        <v>0</v>
      </c>
      <c r="V712" s="255" t="str">
        <f t="shared" si="699"/>
        <v>N/A</v>
      </c>
      <c r="W712" s="102" t="s">
        <v>1528</v>
      </c>
      <c r="X712" s="148"/>
      <c r="Y712" s="267"/>
      <c r="Z712" s="121" t="e">
        <f>VLOOKUP(A712,#REF!,3,FALSE)</f>
        <v>#REF!</v>
      </c>
      <c r="AA712" s="121"/>
      <c r="AB712" s="121"/>
      <c r="AC712" s="121"/>
      <c r="AD712" s="121"/>
      <c r="AE712" s="121"/>
      <c r="AF712" s="121"/>
      <c r="AG712" s="121"/>
      <c r="AH712" s="121"/>
      <c r="AI712" s="121"/>
      <c r="AJ712" s="121"/>
      <c r="AK712" s="121"/>
      <c r="AL712" s="121"/>
    </row>
    <row r="713" spans="1:38" s="115" customFormat="1">
      <c r="A713" s="555" t="s">
        <v>1534</v>
      </c>
      <c r="B713" s="217" t="str">
        <f t="shared" si="692"/>
        <v>400</v>
      </c>
      <c r="C713" s="217" t="str">
        <f t="shared" si="693"/>
        <v>89</v>
      </c>
      <c r="D713" s="101" t="str">
        <f t="shared" si="694"/>
        <v>899</v>
      </c>
      <c r="E713" s="217" t="str">
        <f t="shared" si="695"/>
        <v>400-89-899</v>
      </c>
      <c r="F713" s="294" t="str">
        <f t="shared" si="696"/>
        <v>53599</v>
      </c>
      <c r="G713" s="295" t="str">
        <f>VLOOKUP(F713,'GL Category'!A:C,3,FALSE)</f>
        <v>Services &amp; other</v>
      </c>
      <c r="H713" s="98" t="str">
        <f>VLOOKUP(F713,'GL Category'!A:C,2,FALSE)</f>
        <v>MISCELLANEOUS SERVICES</v>
      </c>
      <c r="I713" s="99">
        <f>SUMIF(Import!$B:$B,$A713,Import!D:D)</f>
        <v>0</v>
      </c>
      <c r="J713" s="99">
        <f>SUMIF(Import!$B:$B,$A713,Import!E:E)</f>
        <v>4860.5200000000004</v>
      </c>
      <c r="K713" s="99">
        <f>SUMIF(Import!$B:$B,$A713,Import!F:F)</f>
        <v>-276.56</v>
      </c>
      <c r="L713" s="99">
        <f>SUMIF(Import!$B:$B,$A713,Import!G:G)</f>
        <v>6272.79</v>
      </c>
      <c r="M713" s="99">
        <f>SUMIF(Import!$B:$B,$A713,Import!H:H)</f>
        <v>20000</v>
      </c>
      <c r="N713" s="99">
        <f>SUMIF(Import!$B:$B,$A713,Import!I:I)</f>
        <v>6123.15</v>
      </c>
      <c r="O713" s="99">
        <f>SUMIF(Import!$B:$B,$A713,Import!J:J)</f>
        <v>20000</v>
      </c>
      <c r="P713" s="99">
        <f t="shared" si="697"/>
        <v>0</v>
      </c>
      <c r="Q713" s="99">
        <f>SUMIF(Import!$B:$B,$A713,Import!K:K)</f>
        <v>17500</v>
      </c>
      <c r="R713" s="99">
        <f>SUMIF(Import!$B:$B,$A713,Import!L:L)</f>
        <v>0</v>
      </c>
      <c r="S713" s="99">
        <f>SUMIF(Import!$B:$B,$A713,Import!M:M)</f>
        <v>0</v>
      </c>
      <c r="T713" s="99">
        <f>SUMIF(Import!$B:$B,$A713,Import!N:N)</f>
        <v>17500</v>
      </c>
      <c r="U713" s="99">
        <f t="shared" si="698"/>
        <v>-2500</v>
      </c>
      <c r="V713" s="255">
        <f t="shared" si="699"/>
        <v>-0.125</v>
      </c>
      <c r="W713" s="102" t="s">
        <v>1534</v>
      </c>
      <c r="X713" s="148"/>
      <c r="Y713" s="267"/>
      <c r="Z713" s="121" t="e">
        <f>VLOOKUP(A713,#REF!,3,FALSE)</f>
        <v>#REF!</v>
      </c>
      <c r="AA713" s="121"/>
      <c r="AB713" s="121"/>
      <c r="AC713" s="121"/>
      <c r="AD713" s="121"/>
      <c r="AE713" s="121"/>
      <c r="AF713" s="121"/>
      <c r="AG713" s="121"/>
      <c r="AH713" s="121"/>
      <c r="AI713" s="121"/>
      <c r="AJ713" s="121"/>
      <c r="AK713" s="121"/>
      <c r="AL713" s="121"/>
    </row>
    <row r="714" spans="1:38" s="115" customFormat="1">
      <c r="A714" s="555" t="s">
        <v>1535</v>
      </c>
      <c r="B714" s="217" t="str">
        <f t="shared" si="692"/>
        <v>400</v>
      </c>
      <c r="C714" s="217" t="str">
        <f t="shared" si="693"/>
        <v>89</v>
      </c>
      <c r="D714" s="101" t="str">
        <f t="shared" si="694"/>
        <v>899</v>
      </c>
      <c r="E714" s="217" t="str">
        <f t="shared" si="695"/>
        <v>400-89-899</v>
      </c>
      <c r="F714" s="294" t="str">
        <f t="shared" si="696"/>
        <v>53554</v>
      </c>
      <c r="G714" s="295" t="str">
        <f>VLOOKUP(F714,'GL Category'!A:C,3,FALSE)</f>
        <v>Services &amp; other</v>
      </c>
      <c r="H714" s="98" t="str">
        <f>VLOOKUP(F714,'GL Category'!A:C,2,FALSE)</f>
        <v>ADMINISTRATIVE SERVICES</v>
      </c>
      <c r="I714" s="99">
        <f>SUMIF(Import!$B:$B,$A714,Import!D:D)</f>
        <v>132880</v>
      </c>
      <c r="J714" s="99">
        <f>SUMIF(Import!$B:$B,$A714,Import!E:E)</f>
        <v>105070</v>
      </c>
      <c r="K714" s="99">
        <f>SUMIF(Import!$B:$B,$A714,Import!F:F)</f>
        <v>132880</v>
      </c>
      <c r="L714" s="99">
        <f>SUMIF(Import!$B:$B,$A714,Import!G:G)</f>
        <v>134500</v>
      </c>
      <c r="M714" s="99">
        <f>SUMIF(Import!$B:$B,$A714,Import!H:H)</f>
        <v>123560</v>
      </c>
      <c r="N714" s="99">
        <f>SUMIF(Import!$B:$B,$A714,Import!I:I)</f>
        <v>92670</v>
      </c>
      <c r="O714" s="99">
        <f>SUMIF(Import!$B:$B,$A714,Import!J:J)</f>
        <v>123560</v>
      </c>
      <c r="P714" s="99">
        <f t="shared" si="697"/>
        <v>0</v>
      </c>
      <c r="Q714" s="99">
        <f>SUMIF(Import!$B:$B,$A714,Import!K:K)</f>
        <v>113590</v>
      </c>
      <c r="R714" s="99">
        <f>SUMIF(Import!$B:$B,$A714,Import!L:L)</f>
        <v>0</v>
      </c>
      <c r="S714" s="99">
        <f>SUMIF(Import!$B:$B,$A714,Import!M:M)</f>
        <v>0</v>
      </c>
      <c r="T714" s="99">
        <f>SUMIF(Import!$B:$B,$A714,Import!N:N)</f>
        <v>113590</v>
      </c>
      <c r="U714" s="99">
        <f t="shared" si="698"/>
        <v>-9970</v>
      </c>
      <c r="V714" s="255">
        <f t="shared" si="699"/>
        <v>-8.0689543541599185E-2</v>
      </c>
      <c r="W714" s="102" t="s">
        <v>1535</v>
      </c>
      <c r="X714" s="148"/>
      <c r="Y714" s="267"/>
      <c r="Z714" s="121" t="e">
        <f>VLOOKUP(A714,#REF!,3,FALSE)</f>
        <v>#REF!</v>
      </c>
      <c r="AA714" s="121"/>
      <c r="AB714" s="121"/>
      <c r="AC714" s="121"/>
      <c r="AD714" s="121"/>
      <c r="AE714" s="121"/>
      <c r="AF714" s="121"/>
      <c r="AG714" s="121"/>
      <c r="AH714" s="121"/>
      <c r="AI714" s="121"/>
      <c r="AJ714" s="121"/>
      <c r="AK714" s="121"/>
      <c r="AL714" s="121"/>
    </row>
    <row r="715" spans="1:38" s="115" customFormat="1">
      <c r="A715" s="555" t="s">
        <v>1536</v>
      </c>
      <c r="B715" s="217" t="str">
        <f t="shared" si="692"/>
        <v>400</v>
      </c>
      <c r="C715" s="217" t="str">
        <f t="shared" si="693"/>
        <v>89</v>
      </c>
      <c r="D715" s="101" t="str">
        <f t="shared" si="694"/>
        <v>899</v>
      </c>
      <c r="E715" s="217" t="str">
        <f t="shared" si="695"/>
        <v>400-89-899</v>
      </c>
      <c r="F715" s="294" t="str">
        <f t="shared" si="696"/>
        <v>53560</v>
      </c>
      <c r="G715" s="295" t="str">
        <f>VLOOKUP(F715,'GL Category'!A:C,3,FALSE)</f>
        <v>Services &amp; other</v>
      </c>
      <c r="H715" s="98" t="str">
        <f>VLOOKUP(F715,'GL Category'!A:C,2,FALSE)</f>
        <v>GENERAL INSURANCE</v>
      </c>
      <c r="I715" s="99">
        <f>SUMIF(Import!$B:$B,$A715,Import!D:D)</f>
        <v>7725.69</v>
      </c>
      <c r="J715" s="99">
        <f>SUMIF(Import!$B:$B,$A715,Import!E:E)</f>
        <v>8487.92</v>
      </c>
      <c r="K715" s="99">
        <f>SUMIF(Import!$B:$B,$A715,Import!F:F)</f>
        <v>10341.92</v>
      </c>
      <c r="L715" s="99">
        <f>SUMIF(Import!$B:$B,$A715,Import!G:G)</f>
        <v>11600.14</v>
      </c>
      <c r="M715" s="99">
        <f>SUMIF(Import!$B:$B,$A715,Import!H:H)</f>
        <v>14702</v>
      </c>
      <c r="N715" s="99">
        <f>SUMIF(Import!$B:$B,$A715,Import!I:I)</f>
        <v>13043.4</v>
      </c>
      <c r="O715" s="99">
        <f>SUMIF(Import!$B:$B,$A715,Import!J:J)</f>
        <v>14702</v>
      </c>
      <c r="P715" s="99">
        <f t="shared" si="697"/>
        <v>0</v>
      </c>
      <c r="Q715" s="99">
        <f>SUMIF(Import!$B:$B,$A715,Import!K:K)</f>
        <v>14702</v>
      </c>
      <c r="R715" s="99">
        <f>SUMIF(Import!$B:$B,$A715,Import!L:L)</f>
        <v>0</v>
      </c>
      <c r="S715" s="99">
        <f>SUMIF(Import!$B:$B,$A715,Import!M:M)</f>
        <v>0</v>
      </c>
      <c r="T715" s="99">
        <f>SUMIF(Import!$B:$B,$A715,Import!N:N)</f>
        <v>14702</v>
      </c>
      <c r="U715" s="99">
        <f t="shared" si="698"/>
        <v>0</v>
      </c>
      <c r="V715" s="255">
        <f t="shared" si="699"/>
        <v>0</v>
      </c>
      <c r="W715" s="102" t="s">
        <v>1536</v>
      </c>
      <c r="X715" s="148"/>
      <c r="Y715" s="267"/>
      <c r="Z715" s="121" t="e">
        <f>VLOOKUP(A715,#REF!,3,FALSE)</f>
        <v>#REF!</v>
      </c>
      <c r="AA715" s="121"/>
      <c r="AB715" s="121"/>
      <c r="AC715" s="121"/>
      <c r="AD715" s="121"/>
      <c r="AE715" s="121"/>
      <c r="AF715" s="121"/>
      <c r="AG715" s="121"/>
      <c r="AH715" s="121"/>
      <c r="AI715" s="121"/>
      <c r="AJ715" s="121"/>
      <c r="AK715" s="121"/>
      <c r="AL715" s="121"/>
    </row>
    <row r="716" spans="1:38">
      <c r="A716" s="555" t="s">
        <v>1537</v>
      </c>
      <c r="B716" s="217" t="str">
        <f t="shared" si="692"/>
        <v>400</v>
      </c>
      <c r="C716" s="217" t="str">
        <f t="shared" si="693"/>
        <v>89</v>
      </c>
      <c r="D716" s="101" t="str">
        <f t="shared" si="694"/>
        <v>899</v>
      </c>
      <c r="E716" s="217" t="str">
        <f t="shared" si="695"/>
        <v>400-89-899</v>
      </c>
      <c r="F716" s="294" t="str">
        <f t="shared" si="696"/>
        <v>53582</v>
      </c>
      <c r="G716" s="295" t="str">
        <f>VLOOKUP(F716,'GL Category'!A:C,3,FALSE)</f>
        <v>Services &amp; other</v>
      </c>
      <c r="H716" s="98" t="str">
        <f>VLOOKUP(F716,'GL Category'!A:C,2,FALSE)</f>
        <v>JUDGMENTS/CLAIMS/DAMAGES</v>
      </c>
      <c r="I716" s="99">
        <f>SUMIF(Import!$B:$B,$A716,Import!D:D)</f>
        <v>0</v>
      </c>
      <c r="J716" s="99">
        <f>SUMIF(Import!$B:$B,$A716,Import!E:E)</f>
        <v>825</v>
      </c>
      <c r="K716" s="99">
        <f>SUMIF(Import!$B:$B,$A716,Import!F:F)</f>
        <v>0</v>
      </c>
      <c r="L716" s="99">
        <f>SUMIF(Import!$B:$B,$A716,Import!G:G)</f>
        <v>0</v>
      </c>
      <c r="M716" s="99">
        <f>SUMIF(Import!$B:$B,$A716,Import!H:H)</f>
        <v>17500</v>
      </c>
      <c r="N716" s="99">
        <f>SUMIF(Import!$B:$B,$A716,Import!I:I)</f>
        <v>0</v>
      </c>
      <c r="O716" s="99">
        <f>SUMIF(Import!$B:$B,$A716,Import!J:J)</f>
        <v>17500</v>
      </c>
      <c r="P716" s="99">
        <f t="shared" si="697"/>
        <v>0</v>
      </c>
      <c r="Q716" s="99">
        <f>SUMIF(Import!$B:$B,$A716,Import!K:K)</f>
        <v>12500</v>
      </c>
      <c r="R716" s="99">
        <f>SUMIF(Import!$B:$B,$A716,Import!L:L)</f>
        <v>0</v>
      </c>
      <c r="S716" s="99">
        <f>SUMIF(Import!$B:$B,$A716,Import!M:M)</f>
        <v>0</v>
      </c>
      <c r="T716" s="99">
        <f>SUMIF(Import!$B:$B,$A716,Import!N:N)</f>
        <v>12500</v>
      </c>
      <c r="U716" s="99">
        <f t="shared" si="698"/>
        <v>-5000</v>
      </c>
      <c r="V716" s="255">
        <f t="shared" si="699"/>
        <v>-0.2857142857142857</v>
      </c>
      <c r="W716" s="102" t="s">
        <v>1537</v>
      </c>
      <c r="Z716" s="121" t="e">
        <f>VLOOKUP(A716,#REF!,3,FALSE)</f>
        <v>#REF!</v>
      </c>
    </row>
    <row r="717" spans="1:38">
      <c r="A717" s="555" t="s">
        <v>1538</v>
      </c>
      <c r="B717" s="217" t="str">
        <f t="shared" si="692"/>
        <v>400</v>
      </c>
      <c r="C717" s="217" t="str">
        <f t="shared" si="693"/>
        <v>89</v>
      </c>
      <c r="D717" s="101" t="str">
        <f t="shared" si="694"/>
        <v>899</v>
      </c>
      <c r="E717" s="217" t="str">
        <f t="shared" si="695"/>
        <v>400-89-899</v>
      </c>
      <c r="F717" s="294" t="str">
        <f t="shared" si="696"/>
        <v>55380</v>
      </c>
      <c r="G717" s="295" t="str">
        <f>VLOOKUP(F717,'GL Category'!A:C,3,FALSE)</f>
        <v>Services &amp; other</v>
      </c>
      <c r="H717" s="98" t="str">
        <f>VLOOKUP(F717,'GL Category'!A:C,2,FALSE)</f>
        <v>FRANCHISE/IN-LIEU OF TAXES-DRNG</v>
      </c>
      <c r="I717" s="99">
        <f>SUMIF(Import!$B:$B,$A717,Import!D:D)</f>
        <v>108550</v>
      </c>
      <c r="J717" s="99">
        <f>SUMIF(Import!$B:$B,$A717,Import!E:E)</f>
        <v>107392</v>
      </c>
      <c r="K717" s="99">
        <f>SUMIF(Import!$B:$B,$A717,Import!F:F)</f>
        <v>126430</v>
      </c>
      <c r="L717" s="99">
        <f>SUMIF(Import!$B:$B,$A717,Import!G:G)</f>
        <v>125791</v>
      </c>
      <c r="M717" s="99">
        <f>SUMIF(Import!$B:$B,$A717,Import!H:H)</f>
        <v>125123</v>
      </c>
      <c r="N717" s="99">
        <f>SUMIF(Import!$B:$B,$A717,Import!I:I)</f>
        <v>93842.25</v>
      </c>
      <c r="O717" s="99">
        <f>SUMIF(Import!$B:$B,$A717,Import!J:J)</f>
        <v>125123</v>
      </c>
      <c r="P717" s="99">
        <f t="shared" si="697"/>
        <v>0</v>
      </c>
      <c r="Q717" s="99">
        <f>SUMIF(Import!$B:$B,$A717,Import!K:K)</f>
        <v>115442</v>
      </c>
      <c r="R717" s="99">
        <f>SUMIF(Import!$B:$B,$A717,Import!L:L)</f>
        <v>0</v>
      </c>
      <c r="S717" s="99">
        <f>SUMIF(Import!$B:$B,$A717,Import!M:M)</f>
        <v>0</v>
      </c>
      <c r="T717" s="99">
        <f>SUMIF(Import!$B:$B,$A717,Import!N:N)</f>
        <v>115442</v>
      </c>
      <c r="U717" s="99">
        <f t="shared" si="698"/>
        <v>-9681</v>
      </c>
      <c r="V717" s="255">
        <f t="shared" si="699"/>
        <v>-7.7371866083773555E-2</v>
      </c>
      <c r="W717" s="102" t="s">
        <v>1538</v>
      </c>
      <c r="Z717" s="121" t="e">
        <f>VLOOKUP(A717,#REF!,3,FALSE)</f>
        <v>#REF!</v>
      </c>
    </row>
    <row r="718" spans="1:38">
      <c r="A718" s="555" t="s">
        <v>1539</v>
      </c>
      <c r="B718" s="217" t="str">
        <f t="shared" si="692"/>
        <v>400</v>
      </c>
      <c r="C718" s="217" t="str">
        <f t="shared" si="693"/>
        <v>89</v>
      </c>
      <c r="D718" s="101" t="str">
        <f t="shared" si="694"/>
        <v>899</v>
      </c>
      <c r="E718" s="217" t="str">
        <f t="shared" si="695"/>
        <v>400-89-899</v>
      </c>
      <c r="F718" s="294" t="str">
        <f t="shared" si="696"/>
        <v>58651</v>
      </c>
      <c r="G718" s="295" t="str">
        <f>VLOOKUP(F718,'GL Category'!A:C,3,FALSE)</f>
        <v>Capital Outlay</v>
      </c>
      <c r="H718" s="98" t="str">
        <f>VLOOKUP(F718,'GL Category'!A:C,2,FALSE)</f>
        <v>DEPRECIATION EXPENSE</v>
      </c>
      <c r="I718" s="99">
        <f>SUMIF(Import!$B:$B,$A718,Import!D:D)</f>
        <v>0</v>
      </c>
      <c r="J718" s="99">
        <f>SUMIF(Import!$B:$B,$A718,Import!E:E)</f>
        <v>0</v>
      </c>
      <c r="K718" s="99">
        <f>SUMIF(Import!$B:$B,$A718,Import!F:F)</f>
        <v>0</v>
      </c>
      <c r="L718" s="99">
        <f>SUMIF(Import!$B:$B,$A718,Import!G:G)</f>
        <v>0</v>
      </c>
      <c r="M718" s="99">
        <f>SUMIF(Import!$B:$B,$A718,Import!H:H)</f>
        <v>0</v>
      </c>
      <c r="N718" s="99">
        <f>SUMIF(Import!$B:$B,$A718,Import!I:I)</f>
        <v>0</v>
      </c>
      <c r="O718" s="99">
        <f>SUMIF(Import!$B:$B,$A718,Import!J:J)</f>
        <v>0</v>
      </c>
      <c r="P718" s="99">
        <f t="shared" si="697"/>
        <v>0</v>
      </c>
      <c r="Q718" s="99">
        <f>SUMIF(Import!$B:$B,$A718,Import!K:K)</f>
        <v>0</v>
      </c>
      <c r="R718" s="99">
        <f>SUMIF(Import!$B:$B,$A718,Import!L:L)</f>
        <v>0</v>
      </c>
      <c r="S718" s="99">
        <f>SUMIF(Import!$B:$B,$A718,Import!M:M)</f>
        <v>0</v>
      </c>
      <c r="T718" s="99">
        <f>SUMIF(Import!$B:$B,$A718,Import!N:N)</f>
        <v>0</v>
      </c>
      <c r="U718" s="99">
        <f t="shared" si="698"/>
        <v>0</v>
      </c>
      <c r="V718" s="255" t="str">
        <f t="shared" si="699"/>
        <v>N/A</v>
      </c>
      <c r="W718" s="102" t="s">
        <v>1539</v>
      </c>
      <c r="Z718" s="121" t="e">
        <f>VLOOKUP(A718,#REF!,3,FALSE)</f>
        <v>#REF!</v>
      </c>
    </row>
    <row r="719" spans="1:38">
      <c r="A719" s="555" t="s">
        <v>1540</v>
      </c>
      <c r="B719" s="217" t="str">
        <f t="shared" si="692"/>
        <v>400</v>
      </c>
      <c r="C719" s="217" t="str">
        <f t="shared" si="693"/>
        <v>89</v>
      </c>
      <c r="D719" s="101" t="str">
        <f t="shared" si="694"/>
        <v>898</v>
      </c>
      <c r="E719" s="217" t="str">
        <f t="shared" si="695"/>
        <v>400-89-898</v>
      </c>
      <c r="F719" s="294" t="str">
        <f t="shared" si="696"/>
        <v>59100</v>
      </c>
      <c r="G719" s="295" t="e">
        <f>VLOOKUP(F719,'GL Category'!A:C,3,FALSE)</f>
        <v>#N/A</v>
      </c>
      <c r="H719" s="98" t="e">
        <f>VLOOKUP(F719,'GL Category'!A:C,2,FALSE)</f>
        <v>#N/A</v>
      </c>
      <c r="I719" s="99">
        <f>SUMIF(Import!$B:$B,$A719,Import!D:D)</f>
        <v>0</v>
      </c>
      <c r="J719" s="99">
        <f>SUMIF(Import!$B:$B,$A719,Import!E:E)</f>
        <v>0</v>
      </c>
      <c r="K719" s="99">
        <f>SUMIF(Import!$B:$B,$A719,Import!F:F)</f>
        <v>0</v>
      </c>
      <c r="L719" s="99">
        <f>SUMIF(Import!$B:$B,$A719,Import!G:G)</f>
        <v>0</v>
      </c>
      <c r="M719" s="99">
        <f>SUMIF(Import!$B:$B,$A719,Import!H:H)</f>
        <v>0</v>
      </c>
      <c r="N719" s="99">
        <f>SUMIF(Import!$B:$B,$A719,Import!I:I)</f>
        <v>0</v>
      </c>
      <c r="O719" s="99">
        <f>SUMIF(Import!$B:$B,$A719,Import!J:J)</f>
        <v>0</v>
      </c>
      <c r="P719" s="99">
        <f t="shared" si="697"/>
        <v>0</v>
      </c>
      <c r="Q719" s="99">
        <f>SUMIF(Import!$B:$B,$A719,Import!K:K)</f>
        <v>0</v>
      </c>
      <c r="R719" s="99">
        <f>SUMIF(Import!$B:$B,$A719,Import!L:L)</f>
        <v>0</v>
      </c>
      <c r="S719" s="99">
        <f>SUMIF(Import!$B:$B,$A719,Import!M:M)</f>
        <v>0</v>
      </c>
      <c r="T719" s="99">
        <f>SUMIF(Import!$B:$B,$A719,Import!N:N)</f>
        <v>0</v>
      </c>
      <c r="U719" s="99">
        <f t="shared" si="698"/>
        <v>0</v>
      </c>
      <c r="V719" s="255" t="str">
        <f t="shared" si="699"/>
        <v>N/A</v>
      </c>
      <c r="W719" s="102" t="s">
        <v>1540</v>
      </c>
    </row>
    <row r="720" spans="1:38">
      <c r="A720" s="555" t="s">
        <v>1541</v>
      </c>
      <c r="B720" s="217" t="str">
        <f t="shared" si="692"/>
        <v>400</v>
      </c>
      <c r="C720" s="217" t="str">
        <f t="shared" si="693"/>
        <v>89</v>
      </c>
      <c r="D720" s="101" t="str">
        <f t="shared" si="694"/>
        <v>898</v>
      </c>
      <c r="E720" s="217" t="str">
        <f t="shared" si="695"/>
        <v>400-89-898</v>
      </c>
      <c r="F720" s="294" t="str">
        <f t="shared" si="696"/>
        <v>59406</v>
      </c>
      <c r="G720" s="295" t="str">
        <f>VLOOKUP(F720,'GL Category'!A:C,3,FALSE)</f>
        <v>Transfers to other funds</v>
      </c>
      <c r="H720" s="98" t="str">
        <f>VLOOKUP(F720,'GL Category'!A:C,2,FALSE)</f>
        <v>TRANSFER TO CIP-DRAINAGE</v>
      </c>
      <c r="I720" s="99">
        <f>SUMIF(Import!$B:$B,$A720,Import!D:D)</f>
        <v>595000</v>
      </c>
      <c r="J720" s="99">
        <f>SUMIF(Import!$B:$B,$A720,Import!E:E)</f>
        <v>568000</v>
      </c>
      <c r="K720" s="99">
        <f>SUMIF(Import!$B:$B,$A720,Import!F:F)</f>
        <v>425000</v>
      </c>
      <c r="L720" s="99">
        <f>SUMIF(Import!$B:$B,$A720,Import!G:G)</f>
        <v>325000</v>
      </c>
      <c r="M720" s="99">
        <f>SUMIF(Import!$B:$B,$A720,Import!H:H)</f>
        <v>250000</v>
      </c>
      <c r="N720" s="99">
        <f>SUMIF(Import!$B:$B,$A720,Import!I:I)</f>
        <v>187500</v>
      </c>
      <c r="O720" s="99">
        <f>SUMIF(Import!$B:$B,$A720,Import!J:J)</f>
        <v>250000</v>
      </c>
      <c r="P720" s="99">
        <f t="shared" si="697"/>
        <v>0</v>
      </c>
      <c r="Q720" s="99">
        <f>SUMIF(Import!$B:$B,$A720,Import!K:K)</f>
        <v>340000</v>
      </c>
      <c r="R720" s="99">
        <f>SUMIF(Import!$B:$B,$A720,Import!L:L)</f>
        <v>0</v>
      </c>
      <c r="S720" s="99">
        <f>SUMIF(Import!$B:$B,$A720,Import!M:M)</f>
        <v>0</v>
      </c>
      <c r="T720" s="99">
        <f>SUMIF(Import!$B:$B,$A720,Import!N:N)</f>
        <v>340000</v>
      </c>
      <c r="U720" s="99">
        <f t="shared" si="698"/>
        <v>90000</v>
      </c>
      <c r="V720" s="255">
        <f t="shared" si="699"/>
        <v>0.3600000000000001</v>
      </c>
      <c r="W720" s="102" t="s">
        <v>1541</v>
      </c>
    </row>
    <row r="721" spans="1:38" ht="26.4">
      <c r="A721" s="555"/>
      <c r="B721" s="217"/>
      <c r="C721" s="217"/>
      <c r="D721" s="101"/>
      <c r="E721" s="217"/>
      <c r="F721" s="294"/>
      <c r="G721" s="146"/>
      <c r="H721" s="107" t="str">
        <f>UPPER(G720)&amp;" TOTAL"</f>
        <v>TRANSFERS TO OTHER FUNDS TOTAL</v>
      </c>
      <c r="I721" s="108">
        <f t="shared" ref="I721" si="700">SUBTOTAL(9,I709:I720)</f>
        <v>848141.71</v>
      </c>
      <c r="J721" s="108">
        <f t="shared" ref="J721:T721" si="701">SUBTOTAL(9,J709:J720)</f>
        <v>787762.28</v>
      </c>
      <c r="K721" s="108">
        <f t="shared" ref="K721" si="702">SUBTOTAL(9,K709:K720)</f>
        <v>697456.33000000007</v>
      </c>
      <c r="L721" s="108">
        <f t="shared" ref="L721" si="703">SUBTOTAL(9,L709:L720)</f>
        <v>597666.6</v>
      </c>
      <c r="M721" s="108">
        <f t="shared" si="701"/>
        <v>550885</v>
      </c>
      <c r="N721" s="108">
        <f t="shared" ref="N721" si="704">SUBTOTAL(9,N709:N720)</f>
        <v>394197.04</v>
      </c>
      <c r="O721" s="108">
        <f t="shared" si="701"/>
        <v>550885</v>
      </c>
      <c r="P721" s="108">
        <f t="shared" si="701"/>
        <v>0</v>
      </c>
      <c r="Q721" s="108">
        <f t="shared" si="701"/>
        <v>613734</v>
      </c>
      <c r="R721" s="108">
        <f t="shared" si="701"/>
        <v>0</v>
      </c>
      <c r="S721" s="108">
        <f t="shared" si="701"/>
        <v>0</v>
      </c>
      <c r="T721" s="108">
        <f t="shared" si="701"/>
        <v>613734</v>
      </c>
      <c r="U721" s="99">
        <f>T721-M721</f>
        <v>62849</v>
      </c>
      <c r="V721" s="259">
        <f>IF(M721=0,"N/A",T721/M721-1)</f>
        <v>0.11408733220182077</v>
      </c>
    </row>
    <row r="722" spans="1:38">
      <c r="A722" s="555"/>
      <c r="B722" s="217"/>
      <c r="C722" s="217"/>
      <c r="D722" s="101"/>
      <c r="E722" s="217"/>
      <c r="F722" s="294"/>
      <c r="H722" s="98"/>
      <c r="I722" s="106"/>
      <c r="J722" s="106"/>
      <c r="K722" s="106"/>
      <c r="L722" s="106"/>
      <c r="M722" s="106"/>
      <c r="N722" s="112"/>
      <c r="O722" s="112"/>
      <c r="P722" s="112"/>
      <c r="Q722" s="113"/>
      <c r="R722" s="99"/>
      <c r="S722" s="99"/>
      <c r="T722" s="113"/>
      <c r="U722" s="113"/>
    </row>
    <row r="723" spans="1:38">
      <c r="A723" s="555"/>
      <c r="B723" s="217"/>
      <c r="C723" s="217"/>
      <c r="D723" s="101"/>
      <c r="E723" s="217"/>
      <c r="F723" s="294"/>
      <c r="H723" s="114" t="s">
        <v>677</v>
      </c>
      <c r="I723" s="108">
        <f t="shared" ref="I723" si="705">SUBTOTAL(9,I651:I722)</f>
        <v>1884298.1600000001</v>
      </c>
      <c r="J723" s="108">
        <f t="shared" ref="J723:T723" si="706">SUBTOTAL(9,J651:J722)</f>
        <v>1576607.29</v>
      </c>
      <c r="K723" s="108">
        <f t="shared" ref="K723" si="707">SUBTOTAL(9,K651:K722)</f>
        <v>1356201.1</v>
      </c>
      <c r="L723" s="108">
        <f t="shared" ref="L723" si="708">SUBTOTAL(9,L651:L722)</f>
        <v>1259110.2900000003</v>
      </c>
      <c r="M723" s="108">
        <f t="shared" si="706"/>
        <v>1618256</v>
      </c>
      <c r="N723" s="108">
        <f t="shared" ref="N723" si="709">SUBTOTAL(9,N651:N722)</f>
        <v>1148496.4300000002</v>
      </c>
      <c r="O723" s="108">
        <f t="shared" si="706"/>
        <v>1623468</v>
      </c>
      <c r="P723" s="108">
        <f t="shared" si="706"/>
        <v>5212</v>
      </c>
      <c r="Q723" s="108">
        <f t="shared" si="706"/>
        <v>1690557</v>
      </c>
      <c r="R723" s="108">
        <f t="shared" si="706"/>
        <v>120000</v>
      </c>
      <c r="S723" s="108">
        <f t="shared" si="706"/>
        <v>44000</v>
      </c>
      <c r="T723" s="108">
        <f t="shared" si="706"/>
        <v>1854557</v>
      </c>
      <c r="U723" s="99">
        <f>T723-M723</f>
        <v>236301</v>
      </c>
      <c r="V723" s="259">
        <f>IF(M723=0,"N/A",T723/M723-1)</f>
        <v>0.14602201382228763</v>
      </c>
    </row>
    <row r="724" spans="1:38">
      <c r="A724" s="555"/>
      <c r="B724" s="217"/>
      <c r="C724" s="217"/>
      <c r="D724" s="101"/>
      <c r="E724" s="217"/>
      <c r="F724" s="294"/>
      <c r="H724" s="98"/>
      <c r="I724" s="106"/>
      <c r="J724" s="106"/>
      <c r="K724" s="106"/>
      <c r="L724" s="106"/>
      <c r="M724" s="106"/>
      <c r="N724" s="112"/>
      <c r="O724" s="112"/>
      <c r="P724" s="112"/>
      <c r="Q724" s="113"/>
      <c r="R724" s="99"/>
      <c r="S724" s="99"/>
      <c r="T724" s="113"/>
      <c r="U724" s="113"/>
    </row>
    <row r="725" spans="1:38">
      <c r="A725" s="555"/>
      <c r="B725" s="217"/>
      <c r="C725" s="217"/>
      <c r="D725" s="101"/>
      <c r="E725" s="217"/>
      <c r="F725" s="294"/>
      <c r="H725" s="114" t="s">
        <v>678</v>
      </c>
      <c r="I725" s="108">
        <f t="shared" ref="I725" si="710">SUBTOTAL(9,I641:I724)</f>
        <v>360297.62000000017</v>
      </c>
      <c r="J725" s="108">
        <f t="shared" ref="J725:T725" si="711">SUBTOTAL(9,J641:J724)</f>
        <v>82193.199999999953</v>
      </c>
      <c r="K725" s="108">
        <f t="shared" ref="K725" si="712">SUBTOTAL(9,K641:K724)</f>
        <v>-803007.12999999989</v>
      </c>
      <c r="L725" s="108">
        <f t="shared" ref="L725" si="713">SUBTOTAL(9,L641:L724)</f>
        <v>-407940.22</v>
      </c>
      <c r="M725" s="108">
        <f t="shared" si="711"/>
        <v>63981</v>
      </c>
      <c r="N725" s="108">
        <f t="shared" ref="N725" si="714">SUBTOTAL(9,N641:N724)</f>
        <v>-220658.53999999992</v>
      </c>
      <c r="O725" s="108">
        <f t="shared" si="711"/>
        <v>-7795</v>
      </c>
      <c r="P725" s="108">
        <f t="shared" si="711"/>
        <v>-71776</v>
      </c>
      <c r="Q725" s="108">
        <f t="shared" si="711"/>
        <v>56410</v>
      </c>
      <c r="R725" s="108">
        <f t="shared" si="711"/>
        <v>120000</v>
      </c>
      <c r="S725" s="108">
        <f t="shared" si="711"/>
        <v>44000</v>
      </c>
      <c r="T725" s="108">
        <f t="shared" si="711"/>
        <v>220410</v>
      </c>
      <c r="U725" s="99">
        <f>T725-M725</f>
        <v>156429</v>
      </c>
      <c r="V725" s="259">
        <f>IF(M725=0,"N/A",T725/M725-1)</f>
        <v>2.4449289632859754</v>
      </c>
    </row>
    <row r="729" spans="1:38" hidden="1"/>
    <row r="730" spans="1:38" s="115" customFormat="1" ht="15" customHeight="1" thickBot="1">
      <c r="A730" s="187"/>
      <c r="B730" s="190"/>
      <c r="C730" s="190"/>
      <c r="D730" s="69"/>
      <c r="E730" s="69"/>
      <c r="F730" s="149"/>
      <c r="G730" s="146"/>
      <c r="H730" s="98"/>
      <c r="I730" s="218"/>
      <c r="J730" s="218"/>
      <c r="K730" s="218"/>
      <c r="L730" s="218"/>
      <c r="M730" s="218"/>
      <c r="N730" s="96"/>
      <c r="O730" s="96"/>
      <c r="P730" s="96"/>
      <c r="Q730" s="212"/>
      <c r="R730" s="212"/>
      <c r="S730" s="212"/>
      <c r="T730" s="212"/>
      <c r="U730" s="212"/>
      <c r="V730" s="113"/>
      <c r="W730" s="104"/>
      <c r="X730" s="148"/>
      <c r="Y730" s="267"/>
      <c r="Z730" s="121"/>
      <c r="AA730" s="121"/>
      <c r="AB730" s="121"/>
      <c r="AC730" s="121"/>
      <c r="AD730" s="121"/>
      <c r="AE730" s="121"/>
      <c r="AF730" s="121"/>
      <c r="AG730" s="121"/>
      <c r="AH730" s="121"/>
      <c r="AI730" s="121"/>
      <c r="AJ730" s="121"/>
      <c r="AK730" s="121"/>
      <c r="AL730" s="121"/>
    </row>
    <row r="731" spans="1:38" s="115" customFormat="1" ht="22.5" customHeight="1" thickBot="1">
      <c r="A731" s="187"/>
      <c r="B731" s="190"/>
      <c r="C731" s="190"/>
      <c r="D731" s="69"/>
      <c r="E731" s="69"/>
      <c r="F731" s="149"/>
      <c r="G731" s="146"/>
      <c r="H731" s="668" t="s">
        <v>806</v>
      </c>
      <c r="I731" s="669"/>
      <c r="J731" s="669"/>
      <c r="K731" s="669"/>
      <c r="L731" s="669"/>
      <c r="M731" s="669"/>
      <c r="N731" s="669"/>
      <c r="O731" s="669"/>
      <c r="P731" s="669"/>
      <c r="Q731" s="669"/>
      <c r="R731" s="669"/>
      <c r="S731" s="669"/>
      <c r="T731" s="670"/>
      <c r="U731" s="247"/>
      <c r="V731" s="261"/>
      <c r="W731" s="104"/>
      <c r="X731" s="148"/>
      <c r="Y731" s="267"/>
      <c r="Z731" s="121"/>
      <c r="AA731" s="121"/>
      <c r="AB731" s="121"/>
      <c r="AC731" s="121"/>
      <c r="AD731" s="121"/>
      <c r="AE731" s="121"/>
      <c r="AF731" s="121"/>
      <c r="AG731" s="121"/>
      <c r="AH731" s="121"/>
      <c r="AI731" s="121"/>
      <c r="AJ731" s="121"/>
      <c r="AK731" s="121"/>
      <c r="AL731" s="121"/>
    </row>
    <row r="732" spans="1:38" s="115" customFormat="1" ht="15" customHeight="1">
      <c r="A732" s="187"/>
      <c r="B732" s="190"/>
      <c r="C732" s="190"/>
      <c r="D732" s="69"/>
      <c r="E732" s="69"/>
      <c r="F732" s="149"/>
      <c r="G732" s="146"/>
      <c r="H732" s="225"/>
      <c r="I732" s="225"/>
      <c r="J732" s="225"/>
      <c r="K732" s="225"/>
      <c r="L732" s="225"/>
      <c r="M732" s="225"/>
      <c r="N732" s="225"/>
      <c r="O732" s="225"/>
      <c r="P732" s="225"/>
      <c r="Q732" s="225"/>
      <c r="R732" s="225"/>
      <c r="S732" s="225"/>
      <c r="T732" s="225"/>
      <c r="U732" s="225"/>
      <c r="V732" s="260"/>
      <c r="W732" s="104"/>
      <c r="X732" s="148"/>
      <c r="Y732" s="267"/>
      <c r="Z732" s="121"/>
      <c r="AA732" s="121"/>
      <c r="AB732" s="121"/>
      <c r="AC732" s="121"/>
      <c r="AD732" s="121"/>
      <c r="AE732" s="121"/>
      <c r="AF732" s="121"/>
      <c r="AG732" s="121"/>
      <c r="AH732" s="121"/>
      <c r="AI732" s="121"/>
      <c r="AJ732" s="121"/>
      <c r="AK732" s="121"/>
      <c r="AL732" s="121"/>
    </row>
    <row r="733" spans="1:38" s="115" customFormat="1" ht="15" customHeight="1">
      <c r="A733" s="555" t="s">
        <v>1542</v>
      </c>
      <c r="B733" s="217" t="str">
        <f t="shared" ref="B733:B798" si="715">LEFT(A733,3)</f>
        <v>125</v>
      </c>
      <c r="C733" s="217" t="str">
        <f t="shared" ref="C733:C798" si="716">MID(A733,5,2)</f>
        <v>00</v>
      </c>
      <c r="D733" s="101" t="str">
        <f t="shared" ref="D733:D798" si="717">MID(A733,8,3)</f>
        <v>000</v>
      </c>
      <c r="E733" s="217" t="str">
        <f t="shared" ref="E733:E798" si="718">LEFT(A733,10)</f>
        <v>125-00-000</v>
      </c>
      <c r="F733" s="294" t="str">
        <f t="shared" ref="F733:F798" si="719">RIGHT(A733,5)</f>
        <v>42125</v>
      </c>
      <c r="G733" s="295" t="str">
        <f>VLOOKUP(F733,'GL Category'!A:C,3,FALSE)</f>
        <v>CHARGES FOR SERVICE</v>
      </c>
      <c r="H733" s="98" t="str">
        <f>VLOOKUP(F733,'GL Category'!A:C,2,FALSE)</f>
        <v>FACILITY RENTAL FEES</v>
      </c>
      <c r="I733" s="99">
        <f>SUMIF(Import!$B:$B,$A733,Import!D:D)</f>
        <v>-28279.5</v>
      </c>
      <c r="J733" s="99">
        <f>SUMIF(Import!$B:$B,$A733,Import!E:E)</f>
        <v>-26595.5</v>
      </c>
      <c r="K733" s="99">
        <f>SUMIF(Import!$B:$B,$A733,Import!F:F)</f>
        <v>-29052</v>
      </c>
      <c r="L733" s="99">
        <f>SUMIF(Import!$B:$B,$A733,Import!G:G)</f>
        <v>-35350</v>
      </c>
      <c r="M733" s="99">
        <f>SUMIF(Import!$B:$B,$A733,Import!H:H)</f>
        <v>-37658</v>
      </c>
      <c r="N733" s="99">
        <f>SUMIF(Import!$B:$B,$A733,Import!I:I)</f>
        <v>-27965</v>
      </c>
      <c r="O733" s="99">
        <f>SUMIF(Import!$B:$B,$A733,Import!J:J)</f>
        <v>-32000</v>
      </c>
      <c r="P733" s="99">
        <f t="shared" ref="P733:P767" si="720">O733-M733</f>
        <v>5658</v>
      </c>
      <c r="Q733" s="99">
        <f>SUMIF(Import!$B:$B,$A733,Import!K:K)</f>
        <v>-35119</v>
      </c>
      <c r="R733" s="99">
        <f>SUMIF(Import!$B:$B,$A733,Import!L:L)</f>
        <v>0</v>
      </c>
      <c r="S733" s="99">
        <f>SUMIF(Import!$B:$B,$A733,Import!M:M)</f>
        <v>0</v>
      </c>
      <c r="T733" s="99">
        <f>SUMIF(Import!$B:$B,$A733,Import!N:N)</f>
        <v>-35119</v>
      </c>
      <c r="U733" s="99">
        <f t="shared" ref="U733:U767" si="721">T733-M733</f>
        <v>2539</v>
      </c>
      <c r="V733" s="255">
        <f t="shared" ref="V733:V767" si="722">IF(M733=0,"N/A",T733/M733-1)</f>
        <v>-6.7422592808964898E-2</v>
      </c>
      <c r="W733" s="102" t="s">
        <v>1542</v>
      </c>
      <c r="X733" s="148"/>
      <c r="Y733" s="267"/>
      <c r="Z733" s="121"/>
      <c r="AA733" s="121"/>
      <c r="AB733" s="121"/>
      <c r="AC733" s="121"/>
      <c r="AD733" s="121"/>
      <c r="AE733" s="121"/>
      <c r="AF733" s="121"/>
      <c r="AG733" s="121"/>
      <c r="AH733" s="121"/>
      <c r="AI733" s="121"/>
      <c r="AJ733" s="121"/>
      <c r="AK733" s="121"/>
      <c r="AL733" s="121"/>
    </row>
    <row r="734" spans="1:38" s="115" customFormat="1" ht="15" customHeight="1">
      <c r="A734" s="555" t="s">
        <v>1543</v>
      </c>
      <c r="B734" s="217" t="str">
        <f t="shared" si="715"/>
        <v>125</v>
      </c>
      <c r="C734" s="217" t="str">
        <f t="shared" si="716"/>
        <v>00</v>
      </c>
      <c r="D734" s="101" t="str">
        <f t="shared" si="717"/>
        <v>000</v>
      </c>
      <c r="E734" s="217" t="str">
        <f t="shared" si="718"/>
        <v>125-00-000</v>
      </c>
      <c r="F734" s="294" t="str">
        <f t="shared" si="719"/>
        <v>43410</v>
      </c>
      <c r="G734" s="295" t="str">
        <f>VLOOKUP(F734,'GL Category'!A:C,3,FALSE)</f>
        <v>CHARGES FOR SERVICE</v>
      </c>
      <c r="H734" s="98" t="str">
        <f>VLOOKUP(F734,'GL Category'!A:C,2,FALSE)</f>
        <v>DAILY TICKET SALES</v>
      </c>
      <c r="I734" s="99">
        <f>SUMIF(Import!$B:$B,$A734,Import!D:D)</f>
        <v>-63319</v>
      </c>
      <c r="J734" s="99">
        <f>SUMIF(Import!$B:$B,$A734,Import!E:E)</f>
        <v>-165433</v>
      </c>
      <c r="K734" s="99">
        <f>SUMIF(Import!$B:$B,$A734,Import!F:F)</f>
        <v>-149844</v>
      </c>
      <c r="L734" s="99">
        <f>SUMIF(Import!$B:$B,$A734,Import!G:G)</f>
        <v>-216039</v>
      </c>
      <c r="M734" s="99">
        <f>SUMIF(Import!$B:$B,$A734,Import!H:H)</f>
        <v>-224718</v>
      </c>
      <c r="N734" s="99">
        <f>SUMIF(Import!$B:$B,$A734,Import!I:I)</f>
        <v>-176406</v>
      </c>
      <c r="O734" s="99">
        <f>SUMIF(Import!$B:$B,$A734,Import!J:J)</f>
        <v>-200000</v>
      </c>
      <c r="P734" s="99">
        <f t="shared" si="720"/>
        <v>24718</v>
      </c>
      <c r="Q734" s="99">
        <f>SUMIF(Import!$B:$B,$A734,Import!K:K)</f>
        <v>-200000</v>
      </c>
      <c r="R734" s="99">
        <f>SUMIF(Import!$B:$B,$A734,Import!L:L)</f>
        <v>0</v>
      </c>
      <c r="S734" s="99">
        <f>SUMIF(Import!$B:$B,$A734,Import!M:M)</f>
        <v>0</v>
      </c>
      <c r="T734" s="99">
        <f>SUMIF(Import!$B:$B,$A734,Import!N:N)</f>
        <v>-200000</v>
      </c>
      <c r="U734" s="99">
        <f t="shared" si="721"/>
        <v>24718</v>
      </c>
      <c r="V734" s="255">
        <f t="shared" si="722"/>
        <v>-0.10999563897863096</v>
      </c>
      <c r="W734" s="102" t="s">
        <v>1543</v>
      </c>
      <c r="X734" s="148"/>
      <c r="Y734" s="267"/>
      <c r="Z734" s="121"/>
      <c r="AA734" s="121"/>
      <c r="AB734" s="121"/>
      <c r="AC734" s="121"/>
      <c r="AD734" s="121"/>
      <c r="AE734" s="121"/>
      <c r="AF734" s="121"/>
      <c r="AG734" s="121"/>
      <c r="AH734" s="121"/>
      <c r="AI734" s="121"/>
      <c r="AJ734" s="121"/>
      <c r="AK734" s="121"/>
      <c r="AL734" s="121"/>
    </row>
    <row r="735" spans="1:38" s="115" customFormat="1" ht="15" customHeight="1">
      <c r="A735" s="555" t="s">
        <v>1544</v>
      </c>
      <c r="B735" s="217" t="str">
        <f t="shared" si="715"/>
        <v>125</v>
      </c>
      <c r="C735" s="217" t="str">
        <f t="shared" si="716"/>
        <v>00</v>
      </c>
      <c r="D735" s="101" t="str">
        <f t="shared" si="717"/>
        <v>000</v>
      </c>
      <c r="E735" s="217" t="str">
        <f t="shared" si="718"/>
        <v>125-00-000</v>
      </c>
      <c r="F735" s="294" t="str">
        <f t="shared" si="719"/>
        <v>43415</v>
      </c>
      <c r="G735" s="295" t="str">
        <f>VLOOKUP(F735,'GL Category'!A:C,3,FALSE)</f>
        <v>CHARGES FOR SERVICE</v>
      </c>
      <c r="H735" s="98" t="str">
        <f>VLOOKUP(F735,'GL Category'!A:C,2,FALSE)</f>
        <v>MEMBERSHIP FEES</v>
      </c>
      <c r="I735" s="99">
        <f>SUMIF(Import!$B:$B,$A735,Import!D:D)</f>
        <v>-1504797.73</v>
      </c>
      <c r="J735" s="99">
        <f>SUMIF(Import!$B:$B,$A735,Import!E:E)</f>
        <v>-1613480.85</v>
      </c>
      <c r="K735" s="99">
        <f>SUMIF(Import!$B:$B,$A735,Import!F:F)</f>
        <v>-1668870.02</v>
      </c>
      <c r="L735" s="99">
        <f>SUMIF(Import!$B:$B,$A735,Import!G:G)</f>
        <v>-1782024.49</v>
      </c>
      <c r="M735" s="99">
        <f>SUMIF(Import!$B:$B,$A735,Import!H:H)</f>
        <v>-1876762</v>
      </c>
      <c r="N735" s="99">
        <f>SUMIF(Import!$B:$B,$A735,Import!I:I)</f>
        <v>-1538349.86</v>
      </c>
      <c r="O735" s="99">
        <f>SUMIF(Import!$B:$B,$A735,Import!J:J)</f>
        <v>-1825000</v>
      </c>
      <c r="P735" s="99">
        <f t="shared" si="720"/>
        <v>51762</v>
      </c>
      <c r="Q735" s="99">
        <f>SUMIF(Import!$B:$B,$A735,Import!K:K)</f>
        <v>-1850000</v>
      </c>
      <c r="R735" s="99">
        <f>SUMIF(Import!$B:$B,$A735,Import!L:L)</f>
        <v>0</v>
      </c>
      <c r="S735" s="99">
        <f>SUMIF(Import!$B:$B,$A735,Import!M:M)</f>
        <v>0</v>
      </c>
      <c r="T735" s="99">
        <f>SUMIF(Import!$B:$B,$A735,Import!N:N)</f>
        <v>-1850000</v>
      </c>
      <c r="U735" s="99">
        <f t="shared" si="721"/>
        <v>26762</v>
      </c>
      <c r="V735" s="255">
        <f t="shared" si="722"/>
        <v>-1.4259666382844483E-2</v>
      </c>
      <c r="W735" s="102" t="s">
        <v>1544</v>
      </c>
      <c r="X735" s="148"/>
      <c r="Y735" s="267"/>
      <c r="Z735" s="121"/>
      <c r="AA735" s="121"/>
      <c r="AB735" s="121"/>
      <c r="AC735" s="121"/>
      <c r="AD735" s="121"/>
      <c r="AE735" s="121"/>
      <c r="AF735" s="121"/>
      <c r="AG735" s="121"/>
      <c r="AH735" s="121"/>
      <c r="AI735" s="121"/>
      <c r="AJ735" s="121"/>
      <c r="AK735" s="121"/>
      <c r="AL735" s="121"/>
    </row>
    <row r="736" spans="1:38" s="115" customFormat="1" ht="15" customHeight="1">
      <c r="A736" s="555" t="s">
        <v>1545</v>
      </c>
      <c r="B736" s="217" t="str">
        <f t="shared" si="715"/>
        <v>125</v>
      </c>
      <c r="C736" s="217" t="str">
        <f t="shared" si="716"/>
        <v>00</v>
      </c>
      <c r="D736" s="101" t="str">
        <f t="shared" si="717"/>
        <v>000</v>
      </c>
      <c r="E736" s="217" t="str">
        <f t="shared" si="718"/>
        <v>125-00-000</v>
      </c>
      <c r="F736" s="294" t="str">
        <f t="shared" si="719"/>
        <v>43420</v>
      </c>
      <c r="G736" s="295" t="str">
        <f>VLOOKUP(F736,'GL Category'!A:C,3,FALSE)</f>
        <v>CHARGES FOR SERVICE</v>
      </c>
      <c r="H736" s="98" t="str">
        <f>VLOOKUP(F736,'GL Category'!A:C,2,FALSE)</f>
        <v>EMPLOYEE PASS REVENUE</v>
      </c>
      <c r="I736" s="99">
        <f>SUMIF(Import!$B:$B,$A736,Import!D:D)</f>
        <v>-96396</v>
      </c>
      <c r="J736" s="99">
        <f>SUMIF(Import!$B:$B,$A736,Import!E:E)</f>
        <v>-96396</v>
      </c>
      <c r="K736" s="99">
        <f>SUMIF(Import!$B:$B,$A736,Import!F:F)</f>
        <v>-96396</v>
      </c>
      <c r="L736" s="99">
        <f>SUMIF(Import!$B:$B,$A736,Import!G:G)</f>
        <v>-100252</v>
      </c>
      <c r="M736" s="99">
        <f>SUMIF(Import!$B:$B,$A736,Import!H:H)</f>
        <v>-100252</v>
      </c>
      <c r="N736" s="99">
        <f>SUMIF(Import!$B:$B,$A736,Import!I:I)</f>
        <v>-62175.42</v>
      </c>
      <c r="O736" s="99">
        <f>SUMIF(Import!$B:$B,$A736,Import!J:J)</f>
        <v>-100252</v>
      </c>
      <c r="P736" s="99">
        <f t="shared" si="720"/>
        <v>0</v>
      </c>
      <c r="Q736" s="99">
        <f>SUMIF(Import!$B:$B,$A736,Import!K:K)</f>
        <v>-100252</v>
      </c>
      <c r="R736" s="99">
        <f>SUMIF(Import!$B:$B,$A736,Import!L:L)</f>
        <v>0</v>
      </c>
      <c r="S736" s="99">
        <f>SUMIF(Import!$B:$B,$A736,Import!M:M)</f>
        <v>0</v>
      </c>
      <c r="T736" s="99">
        <f>SUMIF(Import!$B:$B,$A736,Import!N:N)</f>
        <v>-100252</v>
      </c>
      <c r="U736" s="99">
        <f t="shared" si="721"/>
        <v>0</v>
      </c>
      <c r="V736" s="255">
        <f t="shared" si="722"/>
        <v>0</v>
      </c>
      <c r="W736" s="102" t="s">
        <v>1545</v>
      </c>
      <c r="X736" s="148"/>
      <c r="Y736" s="267"/>
      <c r="Z736" s="121"/>
      <c r="AA736" s="121"/>
      <c r="AB736" s="121"/>
      <c r="AC736" s="121"/>
      <c r="AD736" s="121"/>
      <c r="AE736" s="121"/>
      <c r="AF736" s="121"/>
      <c r="AG736" s="121"/>
      <c r="AH736" s="121"/>
      <c r="AI736" s="121"/>
      <c r="AJ736" s="121"/>
      <c r="AK736" s="121"/>
      <c r="AL736" s="121"/>
    </row>
    <row r="737" spans="1:38" s="115" customFormat="1" ht="15" customHeight="1">
      <c r="A737" s="555" t="s">
        <v>1546</v>
      </c>
      <c r="B737" s="217" t="str">
        <f t="shared" si="715"/>
        <v>125</v>
      </c>
      <c r="C737" s="217" t="str">
        <f t="shared" si="716"/>
        <v>00</v>
      </c>
      <c r="D737" s="101" t="str">
        <f t="shared" si="717"/>
        <v>000</v>
      </c>
      <c r="E737" s="217" t="str">
        <f t="shared" si="718"/>
        <v>125-00-000</v>
      </c>
      <c r="F737" s="294" t="str">
        <f t="shared" si="719"/>
        <v>43421</v>
      </c>
      <c r="G737" s="295" t="str">
        <f>VLOOKUP(F737,'GL Category'!A:C,3,FALSE)</f>
        <v>CHARGES FOR SERVICE</v>
      </c>
      <c r="H737" s="98" t="str">
        <f>VLOOKUP(F737,'GL Category'!A:C,2,FALSE)</f>
        <v>EMPL DEPENDENT PASS REVENUE</v>
      </c>
      <c r="I737" s="99">
        <f>SUMIF(Import!$B:$B,$A737,Import!D:D)</f>
        <v>-15915.1</v>
      </c>
      <c r="J737" s="99">
        <f>SUMIF(Import!$B:$B,$A737,Import!E:E)</f>
        <v>-20308.36</v>
      </c>
      <c r="K737" s="99">
        <f>SUMIF(Import!$B:$B,$A737,Import!F:F)</f>
        <v>-19118.939999999999</v>
      </c>
      <c r="L737" s="99">
        <f>SUMIF(Import!$B:$B,$A737,Import!G:G)</f>
        <v>-20250.439999999999</v>
      </c>
      <c r="M737" s="99">
        <f>SUMIF(Import!$B:$B,$A737,Import!H:H)</f>
        <v>-21158</v>
      </c>
      <c r="N737" s="99">
        <f>SUMIF(Import!$B:$B,$A737,Import!I:I)</f>
        <v>-17210.48</v>
      </c>
      <c r="O737" s="99">
        <f>SUMIF(Import!$B:$B,$A737,Import!J:J)</f>
        <v>-21158</v>
      </c>
      <c r="P737" s="99">
        <f t="shared" si="720"/>
        <v>0</v>
      </c>
      <c r="Q737" s="99">
        <f>SUMIF(Import!$B:$B,$A737,Import!K:K)</f>
        <v>-21598</v>
      </c>
      <c r="R737" s="99">
        <f>SUMIF(Import!$B:$B,$A737,Import!L:L)</f>
        <v>0</v>
      </c>
      <c r="S737" s="99">
        <f>SUMIF(Import!$B:$B,$A737,Import!M:M)</f>
        <v>0</v>
      </c>
      <c r="T737" s="99">
        <f>SUMIF(Import!$B:$B,$A737,Import!N:N)</f>
        <v>-21598</v>
      </c>
      <c r="U737" s="99">
        <f t="shared" si="721"/>
        <v>-440</v>
      </c>
      <c r="V737" s="255">
        <f t="shared" si="722"/>
        <v>2.0795916438226758E-2</v>
      </c>
      <c r="W737" s="102" t="s">
        <v>1546</v>
      </c>
      <c r="X737" s="148"/>
      <c r="Y737" s="267"/>
      <c r="Z737" s="121"/>
      <c r="AA737" s="121"/>
      <c r="AB737" s="121"/>
      <c r="AC737" s="121"/>
      <c r="AD737" s="121"/>
      <c r="AE737" s="121"/>
      <c r="AF737" s="121"/>
      <c r="AG737" s="121"/>
      <c r="AH737" s="121"/>
      <c r="AI737" s="121"/>
      <c r="AJ737" s="121"/>
      <c r="AK737" s="121"/>
      <c r="AL737" s="121"/>
    </row>
    <row r="738" spans="1:38" s="115" customFormat="1" ht="15" customHeight="1">
      <c r="A738" s="555" t="s">
        <v>1547</v>
      </c>
      <c r="B738" s="217" t="str">
        <f t="shared" si="715"/>
        <v>125</v>
      </c>
      <c r="C738" s="217" t="str">
        <f t="shared" si="716"/>
        <v>00</v>
      </c>
      <c r="D738" s="101" t="str">
        <f t="shared" si="717"/>
        <v>000</v>
      </c>
      <c r="E738" s="217" t="str">
        <f t="shared" si="718"/>
        <v>125-00-000</v>
      </c>
      <c r="F738" s="294" t="str">
        <f t="shared" si="719"/>
        <v>43450</v>
      </c>
      <c r="G738" s="295" t="str">
        <f>VLOOKUP(F738,'GL Category'!A:C,3,FALSE)</f>
        <v>CHARGES FOR SERVICE</v>
      </c>
      <c r="H738" s="98" t="str">
        <f>VLOOKUP(F738,'GL Category'!A:C,2,FALSE)</f>
        <v>PARTY REVENUES</v>
      </c>
      <c r="I738" s="99">
        <f>SUMIF(Import!$B:$B,$A738,Import!D:D)</f>
        <v>-32820</v>
      </c>
      <c r="J738" s="99">
        <f>SUMIF(Import!$B:$B,$A738,Import!E:E)</f>
        <v>-63270</v>
      </c>
      <c r="K738" s="99">
        <f>SUMIF(Import!$B:$B,$A738,Import!F:F)</f>
        <v>-50159</v>
      </c>
      <c r="L738" s="99">
        <f>SUMIF(Import!$B:$B,$A738,Import!G:G)</f>
        <v>-139225</v>
      </c>
      <c r="M738" s="99">
        <f>SUMIF(Import!$B:$B,$A738,Import!H:H)</f>
        <v>-85044</v>
      </c>
      <c r="N738" s="99">
        <f>SUMIF(Import!$B:$B,$A738,Import!I:I)</f>
        <v>-120886.5</v>
      </c>
      <c r="O738" s="99">
        <f>SUMIF(Import!$B:$B,$A738,Import!J:J)</f>
        <v>-160000</v>
      </c>
      <c r="P738" s="99">
        <f t="shared" si="720"/>
        <v>-74956</v>
      </c>
      <c r="Q738" s="99">
        <f>SUMIF(Import!$B:$B,$A738,Import!K:K)</f>
        <v>-150000</v>
      </c>
      <c r="R738" s="99">
        <f>SUMIF(Import!$B:$B,$A738,Import!L:L)</f>
        <v>-50000</v>
      </c>
      <c r="S738" s="99">
        <f>SUMIF(Import!$B:$B,$A738,Import!M:M)</f>
        <v>0</v>
      </c>
      <c r="T738" s="99">
        <f>SUMIF(Import!$B:$B,$A738,Import!N:N)</f>
        <v>-200000</v>
      </c>
      <c r="U738" s="99">
        <f t="shared" si="721"/>
        <v>-114956</v>
      </c>
      <c r="V738" s="255">
        <f t="shared" si="722"/>
        <v>1.3517238135553362</v>
      </c>
      <c r="W738" s="102" t="s">
        <v>1547</v>
      </c>
      <c r="X738" s="148"/>
      <c r="Y738" s="267"/>
      <c r="Z738" s="121"/>
      <c r="AA738" s="121"/>
      <c r="AB738" s="121"/>
      <c r="AC738" s="121"/>
      <c r="AD738" s="121"/>
      <c r="AE738" s="121"/>
      <c r="AF738" s="121"/>
      <c r="AG738" s="121"/>
      <c r="AH738" s="121"/>
      <c r="AI738" s="121"/>
      <c r="AJ738" s="121"/>
      <c r="AK738" s="121"/>
      <c r="AL738" s="121"/>
    </row>
    <row r="739" spans="1:38" s="115" customFormat="1" ht="15" customHeight="1">
      <c r="A739" s="555" t="s">
        <v>1548</v>
      </c>
      <c r="B739" s="217" t="str">
        <f t="shared" si="715"/>
        <v>125</v>
      </c>
      <c r="C739" s="217" t="str">
        <f t="shared" si="716"/>
        <v>00</v>
      </c>
      <c r="D739" s="101" t="str">
        <f t="shared" si="717"/>
        <v>000</v>
      </c>
      <c r="E739" s="217" t="str">
        <f t="shared" si="718"/>
        <v>125-00-000</v>
      </c>
      <c r="F739" s="294" t="str">
        <f t="shared" si="719"/>
        <v>43455</v>
      </c>
      <c r="G739" s="295" t="str">
        <f>VLOOKUP(F739,'GL Category'!A:C,3,FALSE)</f>
        <v>CHARGES FOR SERVICE</v>
      </c>
      <c r="H739" s="98" t="str">
        <f>VLOOKUP(F739,'GL Category'!A:C,2,FALSE)</f>
        <v>EXPIRED GIFT CARD REVENUE</v>
      </c>
      <c r="I739" s="99">
        <f>SUMIF(Import!$B:$B,$A739,Import!D:D)</f>
        <v>0</v>
      </c>
      <c r="J739" s="99">
        <f>SUMIF(Import!$B:$B,$A739,Import!E:E)</f>
        <v>-6048.4</v>
      </c>
      <c r="K739" s="99">
        <f>SUMIF(Import!$B:$B,$A739,Import!F:F)</f>
        <v>0</v>
      </c>
      <c r="L739" s="99">
        <f>SUMIF(Import!$B:$B,$A739,Import!G:G)</f>
        <v>0</v>
      </c>
      <c r="M739" s="99">
        <f>SUMIF(Import!$B:$B,$A739,Import!H:H)</f>
        <v>0</v>
      </c>
      <c r="N739" s="99">
        <f>SUMIF(Import!$B:$B,$A739,Import!I:I)</f>
        <v>0</v>
      </c>
      <c r="O739" s="99">
        <f>SUMIF(Import!$B:$B,$A739,Import!J:J)</f>
        <v>0</v>
      </c>
      <c r="P739" s="99">
        <f t="shared" si="720"/>
        <v>0</v>
      </c>
      <c r="Q739" s="99">
        <f>SUMIF(Import!$B:$B,$A739,Import!K:K)</f>
        <v>0</v>
      </c>
      <c r="R739" s="99">
        <f>SUMIF(Import!$B:$B,$A739,Import!L:L)</f>
        <v>0</v>
      </c>
      <c r="S739" s="99">
        <f>SUMIF(Import!$B:$B,$A739,Import!M:M)</f>
        <v>0</v>
      </c>
      <c r="T739" s="99">
        <f>SUMIF(Import!$B:$B,$A739,Import!N:N)</f>
        <v>0</v>
      </c>
      <c r="U739" s="99">
        <f t="shared" si="721"/>
        <v>0</v>
      </c>
      <c r="V739" s="255" t="str">
        <f t="shared" si="722"/>
        <v>N/A</v>
      </c>
      <c r="W739" s="102" t="s">
        <v>1548</v>
      </c>
      <c r="X739" s="148"/>
      <c r="Y739" s="267"/>
      <c r="Z739" s="121"/>
      <c r="AA739" s="121"/>
      <c r="AB739" s="121"/>
      <c r="AC739" s="121"/>
      <c r="AD739" s="121"/>
      <c r="AE739" s="121"/>
      <c r="AF739" s="121"/>
      <c r="AG739" s="121"/>
      <c r="AH739" s="121"/>
      <c r="AI739" s="121"/>
      <c r="AJ739" s="121"/>
      <c r="AK739" s="121"/>
      <c r="AL739" s="121"/>
    </row>
    <row r="740" spans="1:38" s="115" customFormat="1" ht="15" customHeight="1">
      <c r="A740" s="555" t="s">
        <v>1549</v>
      </c>
      <c r="B740" s="217" t="str">
        <f t="shared" si="715"/>
        <v>125</v>
      </c>
      <c r="C740" s="217" t="str">
        <f t="shared" si="716"/>
        <v>00</v>
      </c>
      <c r="D740" s="101" t="str">
        <f t="shared" si="717"/>
        <v>000</v>
      </c>
      <c r="E740" s="217" t="str">
        <f t="shared" si="718"/>
        <v>125-00-000</v>
      </c>
      <c r="F740" s="294" t="str">
        <f t="shared" si="719"/>
        <v>43460</v>
      </c>
      <c r="G740" s="295" t="str">
        <f>VLOOKUP(F740,'GL Category'!A:C,3,FALSE)</f>
        <v>CHARGES FOR SERVICE</v>
      </c>
      <c r="H740" s="98" t="str">
        <f>VLOOKUP(F740,'GL Category'!A:C,2,FALSE)</f>
        <v>CONCESSION SALES/PROCEEDS</v>
      </c>
      <c r="I740" s="99">
        <f>SUMIF(Import!$B:$B,$A740,Import!D:D)</f>
        <v>-1281.73</v>
      </c>
      <c r="J740" s="99">
        <f>SUMIF(Import!$B:$B,$A740,Import!E:E)</f>
        <v>-588.29</v>
      </c>
      <c r="K740" s="99">
        <f>SUMIF(Import!$B:$B,$A740,Import!F:F)</f>
        <v>-1622.15</v>
      </c>
      <c r="L740" s="99">
        <f>SUMIF(Import!$B:$B,$A740,Import!G:G)</f>
        <v>-1373.34</v>
      </c>
      <c r="M740" s="99">
        <f>SUMIF(Import!$B:$B,$A740,Import!H:H)</f>
        <v>-4414</v>
      </c>
      <c r="N740" s="99">
        <f>SUMIF(Import!$B:$B,$A740,Import!I:I)</f>
        <v>-661.53</v>
      </c>
      <c r="O740" s="99">
        <f>SUMIF(Import!$B:$B,$A740,Import!J:J)</f>
        <v>-1261</v>
      </c>
      <c r="P740" s="99">
        <f t="shared" si="720"/>
        <v>3153</v>
      </c>
      <c r="Q740" s="99">
        <f>SUMIF(Import!$B:$B,$A740,Import!K:K)</f>
        <v>-1203</v>
      </c>
      <c r="R740" s="99">
        <f>SUMIF(Import!$B:$B,$A740,Import!L:L)</f>
        <v>0</v>
      </c>
      <c r="S740" s="99">
        <f>SUMIF(Import!$B:$B,$A740,Import!M:M)</f>
        <v>0</v>
      </c>
      <c r="T740" s="99">
        <f>SUMIF(Import!$B:$B,$A740,Import!N:N)</f>
        <v>-1203</v>
      </c>
      <c r="U740" s="99">
        <f t="shared" si="721"/>
        <v>3211</v>
      </c>
      <c r="V740" s="255">
        <f t="shared" si="722"/>
        <v>-0.72745808790212951</v>
      </c>
      <c r="W740" s="102" t="s">
        <v>1549</v>
      </c>
      <c r="X740" s="148"/>
      <c r="Y740" s="267"/>
      <c r="Z740" s="121"/>
      <c r="AA740" s="121"/>
      <c r="AB740" s="121"/>
      <c r="AC740" s="121"/>
      <c r="AD740" s="121"/>
      <c r="AE740" s="121"/>
      <c r="AF740" s="121"/>
      <c r="AG740" s="121"/>
      <c r="AH740" s="121"/>
      <c r="AI740" s="121"/>
      <c r="AJ740" s="121"/>
      <c r="AK740" s="121"/>
      <c r="AL740" s="121"/>
    </row>
    <row r="741" spans="1:38" s="115" customFormat="1" ht="15" customHeight="1">
      <c r="A741" s="555" t="s">
        <v>1550</v>
      </c>
      <c r="B741" s="217" t="str">
        <f t="shared" si="715"/>
        <v>125</v>
      </c>
      <c r="C741" s="217" t="str">
        <f t="shared" si="716"/>
        <v>00</v>
      </c>
      <c r="D741" s="101" t="str">
        <f t="shared" si="717"/>
        <v>000</v>
      </c>
      <c r="E741" s="217" t="str">
        <f t="shared" si="718"/>
        <v>125-00-000</v>
      </c>
      <c r="F741" s="294" t="str">
        <f t="shared" si="719"/>
        <v>43462</v>
      </c>
      <c r="G741" s="295" t="str">
        <f>VLOOKUP(F741,'GL Category'!A:C,3,FALSE)</f>
        <v>CHARGES FOR SERVICE</v>
      </c>
      <c r="H741" s="98" t="str">
        <f>VLOOKUP(F741,'GL Category'!A:C,2,FALSE)</f>
        <v>MERCHANDISE SALES</v>
      </c>
      <c r="I741" s="99">
        <f>SUMIF(Import!$B:$B,$A741,Import!D:D)</f>
        <v>-347.41</v>
      </c>
      <c r="J741" s="99">
        <f>SUMIF(Import!$B:$B,$A741,Import!E:E)</f>
        <v>-25.87</v>
      </c>
      <c r="K741" s="99">
        <f>SUMIF(Import!$B:$B,$A741,Import!F:F)</f>
        <v>0</v>
      </c>
      <c r="L741" s="99">
        <f>SUMIF(Import!$B:$B,$A741,Import!G:G)</f>
        <v>-1642.41</v>
      </c>
      <c r="M741" s="99">
        <f>SUMIF(Import!$B:$B,$A741,Import!H:H)</f>
        <v>-351</v>
      </c>
      <c r="N741" s="99">
        <f>SUMIF(Import!$B:$B,$A741,Import!I:I)</f>
        <v>-2129.91</v>
      </c>
      <c r="O741" s="99">
        <f>SUMIF(Import!$B:$B,$A741,Import!J:J)</f>
        <v>-2500</v>
      </c>
      <c r="P741" s="99">
        <f t="shared" si="720"/>
        <v>-2149</v>
      </c>
      <c r="Q741" s="99">
        <f>SUMIF(Import!$B:$B,$A741,Import!K:K)</f>
        <v>-355</v>
      </c>
      <c r="R741" s="99">
        <f>SUMIF(Import!$B:$B,$A741,Import!L:L)</f>
        <v>0</v>
      </c>
      <c r="S741" s="99">
        <f>SUMIF(Import!$B:$B,$A741,Import!M:M)</f>
        <v>0</v>
      </c>
      <c r="T741" s="99">
        <f>SUMIF(Import!$B:$B,$A741,Import!N:N)</f>
        <v>-355</v>
      </c>
      <c r="U741" s="99">
        <f t="shared" si="721"/>
        <v>-4</v>
      </c>
      <c r="V741" s="255">
        <f t="shared" si="722"/>
        <v>1.139601139601143E-2</v>
      </c>
      <c r="W741" s="102" t="s">
        <v>1550</v>
      </c>
      <c r="X741" s="148"/>
      <c r="Y741" s="267"/>
      <c r="Z741" s="121"/>
      <c r="AA741" s="121"/>
      <c r="AB741" s="121"/>
      <c r="AC741" s="121"/>
      <c r="AD741" s="121"/>
      <c r="AE741" s="121"/>
      <c r="AF741" s="121"/>
      <c r="AG741" s="121"/>
      <c r="AH741" s="121"/>
      <c r="AI741" s="121"/>
      <c r="AJ741" s="121"/>
      <c r="AK741" s="121"/>
      <c r="AL741" s="121"/>
    </row>
    <row r="742" spans="1:38" s="115" customFormat="1" ht="15" customHeight="1">
      <c r="A742" s="555" t="s">
        <v>1551</v>
      </c>
      <c r="B742" s="217" t="str">
        <f t="shared" si="715"/>
        <v>125</v>
      </c>
      <c r="C742" s="217" t="str">
        <f t="shared" si="716"/>
        <v>00</v>
      </c>
      <c r="D742" s="101" t="str">
        <f t="shared" si="717"/>
        <v>000</v>
      </c>
      <c r="E742" s="217" t="str">
        <f t="shared" si="718"/>
        <v>125-00-000</v>
      </c>
      <c r="F742" s="294" t="str">
        <f t="shared" si="719"/>
        <v>43463</v>
      </c>
      <c r="G742" s="295" t="str">
        <f>VLOOKUP(F742,'GL Category'!A:C,3,FALSE)</f>
        <v>CHARGES FOR SERVICE</v>
      </c>
      <c r="H742" s="98" t="str">
        <f>VLOOKUP(F742,'GL Category'!A:C,2,FALSE)</f>
        <v>AQUATICS MERCHANDISE SALES</v>
      </c>
      <c r="I742" s="99">
        <f>SUMIF(Import!$B:$B,$A742,Import!D:D)</f>
        <v>-2706.84</v>
      </c>
      <c r="J742" s="99">
        <f>SUMIF(Import!$B:$B,$A742,Import!E:E)</f>
        <v>-3517.22</v>
      </c>
      <c r="K742" s="99">
        <f>SUMIF(Import!$B:$B,$A742,Import!F:F)</f>
        <v>-2660.52</v>
      </c>
      <c r="L742" s="99">
        <f>SUMIF(Import!$B:$B,$A742,Import!G:G)</f>
        <v>-5105.7</v>
      </c>
      <c r="M742" s="99">
        <f>SUMIF(Import!$B:$B,$A742,Import!H:H)</f>
        <v>-3443</v>
      </c>
      <c r="N742" s="99">
        <f>SUMIF(Import!$B:$B,$A742,Import!I:I)</f>
        <v>-5635.07</v>
      </c>
      <c r="O742" s="99">
        <f>SUMIF(Import!$B:$B,$A742,Import!J:J)</f>
        <v>-6800</v>
      </c>
      <c r="P742" s="99">
        <f t="shared" si="720"/>
        <v>-3357</v>
      </c>
      <c r="Q742" s="99">
        <f>SUMIF(Import!$B:$B,$A742,Import!K:K)</f>
        <v>-5291</v>
      </c>
      <c r="R742" s="99">
        <f>SUMIF(Import!$B:$B,$A742,Import!L:L)</f>
        <v>0</v>
      </c>
      <c r="S742" s="99">
        <f>SUMIF(Import!$B:$B,$A742,Import!M:M)</f>
        <v>0</v>
      </c>
      <c r="T742" s="99">
        <f>SUMIF(Import!$B:$B,$A742,Import!N:N)</f>
        <v>-5291</v>
      </c>
      <c r="U742" s="99">
        <f t="shared" si="721"/>
        <v>-1848</v>
      </c>
      <c r="V742" s="255">
        <f t="shared" si="722"/>
        <v>0.53674121405750808</v>
      </c>
      <c r="W742" s="102" t="s">
        <v>1551</v>
      </c>
      <c r="X742" s="148"/>
      <c r="Y742" s="267"/>
      <c r="Z742" s="121"/>
      <c r="AA742" s="121"/>
      <c r="AB742" s="121"/>
      <c r="AC742" s="121"/>
      <c r="AD742" s="121"/>
      <c r="AE742" s="121"/>
      <c r="AF742" s="121"/>
      <c r="AG742" s="121"/>
      <c r="AH742" s="121"/>
      <c r="AI742" s="121"/>
      <c r="AJ742" s="121"/>
      <c r="AK742" s="121"/>
      <c r="AL742" s="121"/>
    </row>
    <row r="743" spans="1:38" s="115" customFormat="1" ht="15" customHeight="1">
      <c r="A743" s="555" t="s">
        <v>1552</v>
      </c>
      <c r="B743" s="217" t="str">
        <f t="shared" si="715"/>
        <v>125</v>
      </c>
      <c r="C743" s="217" t="str">
        <f t="shared" si="716"/>
        <v>00</v>
      </c>
      <c r="D743" s="101" t="str">
        <f t="shared" si="717"/>
        <v>000</v>
      </c>
      <c r="E743" s="217" t="str">
        <f t="shared" si="718"/>
        <v>125-00-000</v>
      </c>
      <c r="F743" s="294" t="str">
        <f t="shared" si="719"/>
        <v>43465</v>
      </c>
      <c r="G743" s="295" t="str">
        <f>VLOOKUP(F743,'GL Category'!A:C,3,FALSE)</f>
        <v>CHARGES FOR SERVICE</v>
      </c>
      <c r="H743" s="98" t="str">
        <f>VLOOKUP(F743,'GL Category'!A:C,2,FALSE)</f>
        <v>OUTDOOR CONCESSION SALES</v>
      </c>
      <c r="I743" s="99">
        <f>SUMIF(Import!$B:$B,$A743,Import!D:D)</f>
        <v>0</v>
      </c>
      <c r="J743" s="99">
        <f>SUMIF(Import!$B:$B,$A743,Import!E:E)</f>
        <v>0</v>
      </c>
      <c r="K743" s="99">
        <f>SUMIF(Import!$B:$B,$A743,Import!F:F)</f>
        <v>0</v>
      </c>
      <c r="L743" s="99">
        <f>SUMIF(Import!$B:$B,$A743,Import!G:G)</f>
        <v>0</v>
      </c>
      <c r="M743" s="99">
        <f>SUMIF(Import!$B:$B,$A743,Import!H:H)</f>
        <v>-197</v>
      </c>
      <c r="N743" s="99">
        <f>SUMIF(Import!$B:$B,$A743,Import!I:I)</f>
        <v>0</v>
      </c>
      <c r="O743" s="99">
        <f>SUMIF(Import!$B:$B,$A743,Import!J:J)</f>
        <v>0</v>
      </c>
      <c r="P743" s="99">
        <f t="shared" si="720"/>
        <v>197</v>
      </c>
      <c r="Q743" s="99">
        <f>SUMIF(Import!$B:$B,$A743,Import!K:K)</f>
        <v>0</v>
      </c>
      <c r="R743" s="99">
        <f>SUMIF(Import!$B:$B,$A743,Import!L:L)</f>
        <v>0</v>
      </c>
      <c r="S743" s="99">
        <f>SUMIF(Import!$B:$B,$A743,Import!M:M)</f>
        <v>0</v>
      </c>
      <c r="T743" s="99">
        <f>SUMIF(Import!$B:$B,$A743,Import!N:N)</f>
        <v>0</v>
      </c>
      <c r="U743" s="99">
        <f t="shared" si="721"/>
        <v>197</v>
      </c>
      <c r="V743" s="255">
        <f t="shared" si="722"/>
        <v>-1</v>
      </c>
      <c r="W743" s="102" t="s">
        <v>1552</v>
      </c>
      <c r="X743" s="148"/>
      <c r="Y743" s="267"/>
      <c r="Z743" s="121"/>
      <c r="AA743" s="121"/>
      <c r="AB743" s="121"/>
      <c r="AC743" s="121"/>
      <c r="AD743" s="121"/>
      <c r="AE743" s="121"/>
      <c r="AF743" s="121"/>
      <c r="AG743" s="121"/>
      <c r="AH743" s="121"/>
      <c r="AI743" s="121"/>
      <c r="AJ743" s="121"/>
      <c r="AK743" s="121"/>
      <c r="AL743" s="121"/>
    </row>
    <row r="744" spans="1:38" s="115" customFormat="1" ht="15" customHeight="1">
      <c r="A744" s="555" t="s">
        <v>1553</v>
      </c>
      <c r="B744" s="217" t="str">
        <f t="shared" si="715"/>
        <v>125</v>
      </c>
      <c r="C744" s="217" t="str">
        <f t="shared" si="716"/>
        <v>00</v>
      </c>
      <c r="D744" s="101" t="str">
        <f t="shared" si="717"/>
        <v>000</v>
      </c>
      <c r="E744" s="217" t="str">
        <f t="shared" si="718"/>
        <v>125-00-000</v>
      </c>
      <c r="F744" s="294" t="str">
        <f t="shared" si="719"/>
        <v>43466</v>
      </c>
      <c r="G744" s="295" t="str">
        <f>VLOOKUP(F744,'GL Category'!A:C,3,FALSE)</f>
        <v>CHARGES FOR SERVICE</v>
      </c>
      <c r="H744" s="98" t="str">
        <f>VLOOKUP(F744,'GL Category'!A:C,2,FALSE)</f>
        <v>OUTDOOR MERCHANDISE SALES</v>
      </c>
      <c r="I744" s="99">
        <f>SUMIF(Import!$B:$B,$A744,Import!D:D)</f>
        <v>0</v>
      </c>
      <c r="J744" s="99">
        <f>SUMIF(Import!$B:$B,$A744,Import!E:E)</f>
        <v>0</v>
      </c>
      <c r="K744" s="99">
        <f>SUMIF(Import!$B:$B,$A744,Import!F:F)</f>
        <v>0</v>
      </c>
      <c r="L744" s="99">
        <f>SUMIF(Import!$B:$B,$A744,Import!G:G)</f>
        <v>0</v>
      </c>
      <c r="M744" s="99">
        <f>SUMIF(Import!$B:$B,$A744,Import!H:H)</f>
        <v>0</v>
      </c>
      <c r="N744" s="99">
        <f>SUMIF(Import!$B:$B,$A744,Import!I:I)</f>
        <v>0</v>
      </c>
      <c r="O744" s="99">
        <f>SUMIF(Import!$B:$B,$A744,Import!J:J)</f>
        <v>0</v>
      </c>
      <c r="P744" s="99">
        <f t="shared" si="720"/>
        <v>0</v>
      </c>
      <c r="Q744" s="99">
        <f>SUMIF(Import!$B:$B,$A744,Import!K:K)</f>
        <v>0</v>
      </c>
      <c r="R744" s="99">
        <f>SUMIF(Import!$B:$B,$A744,Import!L:L)</f>
        <v>0</v>
      </c>
      <c r="S744" s="99">
        <f>SUMIF(Import!$B:$B,$A744,Import!M:M)</f>
        <v>0</v>
      </c>
      <c r="T744" s="99">
        <f>SUMIF(Import!$B:$B,$A744,Import!N:N)</f>
        <v>0</v>
      </c>
      <c r="U744" s="99">
        <f t="shared" si="721"/>
        <v>0</v>
      </c>
      <c r="V744" s="255" t="str">
        <f t="shared" si="722"/>
        <v>N/A</v>
      </c>
      <c r="W744" s="102" t="s">
        <v>1553</v>
      </c>
      <c r="X744" s="148"/>
      <c r="Y744" s="267"/>
      <c r="Z744" s="121"/>
      <c r="AA744" s="121"/>
      <c r="AB744" s="121"/>
      <c r="AC744" s="121"/>
      <c r="AD744" s="121"/>
      <c r="AE744" s="121"/>
      <c r="AF744" s="121"/>
      <c r="AG744" s="121"/>
      <c r="AH744" s="121"/>
      <c r="AI744" s="121"/>
      <c r="AJ744" s="121"/>
      <c r="AK744" s="121"/>
      <c r="AL744" s="121"/>
    </row>
    <row r="745" spans="1:38" s="115" customFormat="1" ht="15" customHeight="1">
      <c r="A745" s="555" t="s">
        <v>1554</v>
      </c>
      <c r="B745" s="217" t="str">
        <f t="shared" si="715"/>
        <v>125</v>
      </c>
      <c r="C745" s="217" t="str">
        <f t="shared" si="716"/>
        <v>00</v>
      </c>
      <c r="D745" s="101" t="str">
        <f t="shared" si="717"/>
        <v>000</v>
      </c>
      <c r="E745" s="217" t="str">
        <f t="shared" si="718"/>
        <v>125-00-000</v>
      </c>
      <c r="F745" s="294" t="str">
        <f t="shared" si="719"/>
        <v>43480</v>
      </c>
      <c r="G745" s="295" t="str">
        <f>VLOOKUP(F745,'GL Category'!A:C,3,FALSE)</f>
        <v>CHARGES FOR SERVICE</v>
      </c>
      <c r="H745" s="98" t="str">
        <f>VLOOKUP(F745,'GL Category'!A:C,2,FALSE)</f>
        <v>STAY &amp; PLAY</v>
      </c>
      <c r="I745" s="99">
        <f>SUMIF(Import!$B:$B,$A745,Import!D:D)</f>
        <v>-8476</v>
      </c>
      <c r="J745" s="99">
        <f>SUMIF(Import!$B:$B,$A745,Import!E:E)</f>
        <v>-8712</v>
      </c>
      <c r="K745" s="99">
        <f>SUMIF(Import!$B:$B,$A745,Import!F:F)</f>
        <v>-8354</v>
      </c>
      <c r="L745" s="99">
        <f>SUMIF(Import!$B:$B,$A745,Import!G:G)</f>
        <v>-11454</v>
      </c>
      <c r="M745" s="99">
        <f>SUMIF(Import!$B:$B,$A745,Import!H:H)</f>
        <v>-10965</v>
      </c>
      <c r="N745" s="99">
        <f>SUMIF(Import!$B:$B,$A745,Import!I:I)</f>
        <v>-10796</v>
      </c>
      <c r="O745" s="99">
        <f>SUMIF(Import!$B:$B,$A745,Import!J:J)</f>
        <v>-13000</v>
      </c>
      <c r="P745" s="99">
        <f t="shared" si="720"/>
        <v>-2035</v>
      </c>
      <c r="Q745" s="99">
        <f>SUMIF(Import!$B:$B,$A745,Import!K:K)</f>
        <v>-11643</v>
      </c>
      <c r="R745" s="99">
        <f>SUMIF(Import!$B:$B,$A745,Import!L:L)</f>
        <v>0</v>
      </c>
      <c r="S745" s="99">
        <f>SUMIF(Import!$B:$B,$A745,Import!M:M)</f>
        <v>0</v>
      </c>
      <c r="T745" s="99">
        <f>SUMIF(Import!$B:$B,$A745,Import!N:N)</f>
        <v>-11643</v>
      </c>
      <c r="U745" s="99">
        <f t="shared" si="721"/>
        <v>-678</v>
      </c>
      <c r="V745" s="255">
        <f t="shared" si="722"/>
        <v>6.183310533515729E-2</v>
      </c>
      <c r="W745" s="102" t="s">
        <v>1554</v>
      </c>
      <c r="X745" s="148"/>
      <c r="Y745" s="267"/>
      <c r="Z745" s="121"/>
      <c r="AA745" s="121"/>
      <c r="AB745" s="121"/>
      <c r="AC745" s="121"/>
      <c r="AD745" s="121"/>
      <c r="AE745" s="121"/>
      <c r="AF745" s="121"/>
      <c r="AG745" s="121"/>
      <c r="AH745" s="121"/>
      <c r="AI745" s="121"/>
      <c r="AJ745" s="121"/>
      <c r="AK745" s="121"/>
      <c r="AL745" s="121"/>
    </row>
    <row r="746" spans="1:38" s="115" customFormat="1" ht="15" customHeight="1">
      <c r="A746" s="555" t="s">
        <v>1555</v>
      </c>
      <c r="B746" s="217" t="str">
        <f t="shared" si="715"/>
        <v>125</v>
      </c>
      <c r="C746" s="217" t="str">
        <f t="shared" si="716"/>
        <v>00</v>
      </c>
      <c r="D746" s="101" t="str">
        <f t="shared" si="717"/>
        <v>000</v>
      </c>
      <c r="E746" s="217" t="str">
        <f t="shared" si="718"/>
        <v>125-00-000</v>
      </c>
      <c r="F746" s="294" t="str">
        <f t="shared" si="719"/>
        <v>43481</v>
      </c>
      <c r="G746" s="295" t="str">
        <f>VLOOKUP(F746,'GL Category'!A:C,3,FALSE)</f>
        <v>CHARGES FOR SERVICE</v>
      </c>
      <c r="H746" s="98" t="str">
        <f>VLOOKUP(F746,'GL Category'!A:C,2,FALSE)</f>
        <v>AQUATICS PROGRAM REVENUES</v>
      </c>
      <c r="I746" s="99">
        <f>SUMIF(Import!$B:$B,$A746,Import!D:D)</f>
        <v>-24281.62</v>
      </c>
      <c r="J746" s="99">
        <f>SUMIF(Import!$B:$B,$A746,Import!E:E)</f>
        <v>-99196.72</v>
      </c>
      <c r="K746" s="99">
        <f>SUMIF(Import!$B:$B,$A746,Import!F:F)</f>
        <v>-47215</v>
      </c>
      <c r="L746" s="99">
        <f>SUMIF(Import!$B:$B,$A746,Import!G:G)</f>
        <v>-153221.76999999999</v>
      </c>
      <c r="M746" s="99">
        <f>SUMIF(Import!$B:$B,$A746,Import!H:H)</f>
        <v>-134112</v>
      </c>
      <c r="N746" s="99">
        <f>SUMIF(Import!$B:$B,$A746,Import!I:I)</f>
        <v>-143220.1</v>
      </c>
      <c r="O746" s="99">
        <f>SUMIF(Import!$B:$B,$A746,Import!J:J)</f>
        <v>-150000</v>
      </c>
      <c r="P746" s="99">
        <f t="shared" si="720"/>
        <v>-15888</v>
      </c>
      <c r="Q746" s="99">
        <f>SUMIF(Import!$B:$B,$A746,Import!K:K)</f>
        <v>-150000</v>
      </c>
      <c r="R746" s="99">
        <f>SUMIF(Import!$B:$B,$A746,Import!L:L)</f>
        <v>-17000</v>
      </c>
      <c r="S746" s="99">
        <f>SUMIF(Import!$B:$B,$A746,Import!M:M)</f>
        <v>0</v>
      </c>
      <c r="T746" s="99">
        <f>SUMIF(Import!$B:$B,$A746,Import!N:N)</f>
        <v>-167000</v>
      </c>
      <c r="U746" s="99">
        <f t="shared" si="721"/>
        <v>-32888</v>
      </c>
      <c r="V746" s="255">
        <f t="shared" si="722"/>
        <v>0.24522786924361717</v>
      </c>
      <c r="W746" s="102" t="s">
        <v>1555</v>
      </c>
      <c r="X746" s="148"/>
      <c r="Y746" s="267"/>
      <c r="Z746" s="121"/>
      <c r="AA746" s="121"/>
      <c r="AB746" s="121"/>
      <c r="AC746" s="121"/>
      <c r="AD746" s="121"/>
      <c r="AE746" s="121"/>
      <c r="AF746" s="121"/>
      <c r="AG746" s="121"/>
      <c r="AH746" s="121"/>
      <c r="AI746" s="121"/>
      <c r="AJ746" s="121"/>
      <c r="AK746" s="121"/>
      <c r="AL746" s="121"/>
    </row>
    <row r="747" spans="1:38" s="115" customFormat="1" ht="15" customHeight="1">
      <c r="A747" s="555" t="s">
        <v>1556</v>
      </c>
      <c r="B747" s="217" t="str">
        <f t="shared" si="715"/>
        <v>125</v>
      </c>
      <c r="C747" s="217" t="str">
        <f t="shared" si="716"/>
        <v>00</v>
      </c>
      <c r="D747" s="101" t="str">
        <f t="shared" si="717"/>
        <v>000</v>
      </c>
      <c r="E747" s="217" t="str">
        <f t="shared" si="718"/>
        <v>125-00-000</v>
      </c>
      <c r="F747" s="294" t="str">
        <f t="shared" si="719"/>
        <v>43482</v>
      </c>
      <c r="G747" s="295" t="str">
        <f>VLOOKUP(F747,'GL Category'!A:C,3,FALSE)</f>
        <v>CHARGES FOR SERVICE</v>
      </c>
      <c r="H747" s="98" t="str">
        <f>VLOOKUP(F747,'GL Category'!A:C,2,FALSE)</f>
        <v>FITNESS PROGRAM REVENUES</v>
      </c>
      <c r="I747" s="99">
        <f>SUMIF(Import!$B:$B,$A747,Import!D:D)</f>
        <v>0</v>
      </c>
      <c r="J747" s="99">
        <f>SUMIF(Import!$B:$B,$A747,Import!E:E)</f>
        <v>0</v>
      </c>
      <c r="K747" s="99">
        <f>SUMIF(Import!$B:$B,$A747,Import!F:F)</f>
        <v>0</v>
      </c>
      <c r="L747" s="99">
        <f>SUMIF(Import!$B:$B,$A747,Import!G:G)</f>
        <v>0</v>
      </c>
      <c r="M747" s="99">
        <f>SUMIF(Import!$B:$B,$A747,Import!H:H)</f>
        <v>0</v>
      </c>
      <c r="N747" s="99">
        <f>SUMIF(Import!$B:$B,$A747,Import!I:I)</f>
        <v>0</v>
      </c>
      <c r="O747" s="99">
        <f>SUMIF(Import!$B:$B,$A747,Import!J:J)</f>
        <v>0</v>
      </c>
      <c r="P747" s="99">
        <f t="shared" si="720"/>
        <v>0</v>
      </c>
      <c r="Q747" s="99">
        <f>SUMIF(Import!$B:$B,$A747,Import!K:K)</f>
        <v>0</v>
      </c>
      <c r="R747" s="99">
        <f>SUMIF(Import!$B:$B,$A747,Import!L:L)</f>
        <v>0</v>
      </c>
      <c r="S747" s="99">
        <f>SUMIF(Import!$B:$B,$A747,Import!M:M)</f>
        <v>0</v>
      </c>
      <c r="T747" s="99">
        <f>SUMIF(Import!$B:$B,$A747,Import!N:N)</f>
        <v>0</v>
      </c>
      <c r="U747" s="99">
        <f t="shared" si="721"/>
        <v>0</v>
      </c>
      <c r="V747" s="255" t="str">
        <f t="shared" si="722"/>
        <v>N/A</v>
      </c>
      <c r="W747" s="102" t="s">
        <v>1556</v>
      </c>
      <c r="X747" s="148"/>
      <c r="Y747" s="267"/>
      <c r="Z747" s="121"/>
      <c r="AA747" s="121"/>
      <c r="AB747" s="121"/>
      <c r="AC747" s="121"/>
      <c r="AD747" s="121"/>
      <c r="AE747" s="121"/>
      <c r="AF747" s="121"/>
      <c r="AG747" s="121"/>
      <c r="AH747" s="121"/>
      <c r="AI747" s="121"/>
      <c r="AJ747" s="121"/>
      <c r="AK747" s="121"/>
      <c r="AL747" s="121"/>
    </row>
    <row r="748" spans="1:38" s="115" customFormat="1" ht="15" customHeight="1">
      <c r="A748" s="555" t="s">
        <v>1557</v>
      </c>
      <c r="B748" s="217" t="str">
        <f t="shared" si="715"/>
        <v>125</v>
      </c>
      <c r="C748" s="217" t="str">
        <f t="shared" si="716"/>
        <v>00</v>
      </c>
      <c r="D748" s="101" t="str">
        <f t="shared" si="717"/>
        <v>000</v>
      </c>
      <c r="E748" s="217" t="str">
        <f t="shared" si="718"/>
        <v>125-00-000</v>
      </c>
      <c r="F748" s="294" t="str">
        <f t="shared" si="719"/>
        <v>43483</v>
      </c>
      <c r="G748" s="295" t="str">
        <f>VLOOKUP(F748,'GL Category'!A:C,3,FALSE)</f>
        <v>CHARGES FOR SERVICE</v>
      </c>
      <c r="H748" s="98" t="str">
        <f>VLOOKUP(F748,'GL Category'!A:C,2,FALSE)</f>
        <v>GROUP EXERCISE REVENUE</v>
      </c>
      <c r="I748" s="99">
        <f>SUMIF(Import!$B:$B,$A748,Import!D:D)</f>
        <v>-283</v>
      </c>
      <c r="J748" s="99">
        <f>SUMIF(Import!$B:$B,$A748,Import!E:E)</f>
        <v>-714</v>
      </c>
      <c r="K748" s="99">
        <f>SUMIF(Import!$B:$B,$A748,Import!F:F)</f>
        <v>-258</v>
      </c>
      <c r="L748" s="99">
        <f>SUMIF(Import!$B:$B,$A748,Import!G:G)</f>
        <v>-838</v>
      </c>
      <c r="M748" s="99">
        <f>SUMIF(Import!$B:$B,$A748,Import!H:H)</f>
        <v>-587</v>
      </c>
      <c r="N748" s="99">
        <f>SUMIF(Import!$B:$B,$A748,Import!I:I)</f>
        <v>-557</v>
      </c>
      <c r="O748" s="99">
        <f>SUMIF(Import!$B:$B,$A748,Import!J:J)</f>
        <v>-600</v>
      </c>
      <c r="P748" s="99">
        <f t="shared" si="720"/>
        <v>-13</v>
      </c>
      <c r="Q748" s="99">
        <f>SUMIF(Import!$B:$B,$A748,Import!K:K)</f>
        <v>-1044</v>
      </c>
      <c r="R748" s="99">
        <f>SUMIF(Import!$B:$B,$A748,Import!L:L)</f>
        <v>0</v>
      </c>
      <c r="S748" s="99">
        <f>SUMIF(Import!$B:$B,$A748,Import!M:M)</f>
        <v>0</v>
      </c>
      <c r="T748" s="99">
        <f>SUMIF(Import!$B:$B,$A748,Import!N:N)</f>
        <v>-1044</v>
      </c>
      <c r="U748" s="99">
        <f t="shared" si="721"/>
        <v>-457</v>
      </c>
      <c r="V748" s="255">
        <f t="shared" si="722"/>
        <v>0.77853492333901197</v>
      </c>
      <c r="W748" s="102" t="s">
        <v>1557</v>
      </c>
      <c r="X748" s="148"/>
      <c r="Y748" s="267"/>
      <c r="Z748" s="121"/>
      <c r="AA748" s="121"/>
      <c r="AB748" s="121"/>
      <c r="AC748" s="121"/>
      <c r="AD748" s="121"/>
      <c r="AE748" s="121"/>
      <c r="AF748" s="121"/>
      <c r="AG748" s="121"/>
      <c r="AH748" s="121"/>
      <c r="AI748" s="121"/>
      <c r="AJ748" s="121"/>
      <c r="AK748" s="121"/>
      <c r="AL748" s="121"/>
    </row>
    <row r="749" spans="1:38" s="115" customFormat="1" ht="15" customHeight="1">
      <c r="A749" s="555" t="s">
        <v>1558</v>
      </c>
      <c r="B749" s="217" t="str">
        <f t="shared" si="715"/>
        <v>125</v>
      </c>
      <c r="C749" s="217" t="str">
        <f t="shared" si="716"/>
        <v>00</v>
      </c>
      <c r="D749" s="101" t="str">
        <f t="shared" si="717"/>
        <v>000</v>
      </c>
      <c r="E749" s="217" t="str">
        <f t="shared" si="718"/>
        <v>125-00-000</v>
      </c>
      <c r="F749" s="294" t="str">
        <f t="shared" si="719"/>
        <v>43484</v>
      </c>
      <c r="G749" s="295" t="str">
        <f>VLOOKUP(F749,'GL Category'!A:C,3,FALSE)</f>
        <v>CHARGES FOR SERVICE</v>
      </c>
      <c r="H749" s="98" t="str">
        <f>VLOOKUP(F749,'GL Category'!A:C,2,FALSE)</f>
        <v>PERSONAL TRAINING REVENUE</v>
      </c>
      <c r="I749" s="99">
        <f>SUMIF(Import!$B:$B,$A749,Import!D:D)</f>
        <v>-16680.32</v>
      </c>
      <c r="J749" s="99">
        <f>SUMIF(Import!$B:$B,$A749,Import!E:E)</f>
        <v>-12720</v>
      </c>
      <c r="K749" s="99">
        <f>SUMIF(Import!$B:$B,$A749,Import!F:F)</f>
        <v>-3240</v>
      </c>
      <c r="L749" s="99">
        <f>SUMIF(Import!$B:$B,$A749,Import!G:G)</f>
        <v>-43401</v>
      </c>
      <c r="M749" s="99">
        <f>SUMIF(Import!$B:$B,$A749,Import!H:H)</f>
        <v>-13500</v>
      </c>
      <c r="N749" s="99">
        <f>SUMIF(Import!$B:$B,$A749,Import!I:I)</f>
        <v>-89795</v>
      </c>
      <c r="O749" s="99">
        <f>SUMIF(Import!$B:$B,$A749,Import!J:J)</f>
        <v>-100000</v>
      </c>
      <c r="P749" s="99">
        <f t="shared" si="720"/>
        <v>-86500</v>
      </c>
      <c r="Q749" s="99">
        <f>SUMIF(Import!$B:$B,$A749,Import!K:K)</f>
        <v>-117115</v>
      </c>
      <c r="R749" s="99">
        <f>SUMIF(Import!$B:$B,$A749,Import!L:L)</f>
        <v>-84000</v>
      </c>
      <c r="S749" s="99">
        <f>SUMIF(Import!$B:$B,$A749,Import!M:M)</f>
        <v>0</v>
      </c>
      <c r="T749" s="99">
        <f>SUMIF(Import!$B:$B,$A749,Import!N:N)</f>
        <v>-201115</v>
      </c>
      <c r="U749" s="99">
        <f t="shared" si="721"/>
        <v>-187615</v>
      </c>
      <c r="V749" s="255">
        <f t="shared" si="722"/>
        <v>13.897407407407407</v>
      </c>
      <c r="W749" s="102" t="s">
        <v>1558</v>
      </c>
      <c r="X749" s="148"/>
      <c r="Y749" s="267"/>
      <c r="Z749" s="121"/>
      <c r="AA749" s="121"/>
      <c r="AB749" s="121"/>
      <c r="AC749" s="121"/>
      <c r="AD749" s="121"/>
      <c r="AE749" s="121"/>
      <c r="AF749" s="121"/>
      <c r="AG749" s="121"/>
      <c r="AH749" s="121"/>
      <c r="AI749" s="121"/>
      <c r="AJ749" s="121"/>
      <c r="AK749" s="121"/>
      <c r="AL749" s="121"/>
    </row>
    <row r="750" spans="1:38" s="115" customFormat="1" ht="15" customHeight="1">
      <c r="A750" s="555" t="s">
        <v>1559</v>
      </c>
      <c r="B750" s="217" t="str">
        <f t="shared" si="715"/>
        <v>125</v>
      </c>
      <c r="C750" s="217" t="str">
        <f t="shared" si="716"/>
        <v>00</v>
      </c>
      <c r="D750" s="101" t="str">
        <f t="shared" si="717"/>
        <v>000</v>
      </c>
      <c r="E750" s="217" t="str">
        <f t="shared" si="718"/>
        <v>125-00-000</v>
      </c>
      <c r="F750" s="294" t="str">
        <f t="shared" si="719"/>
        <v>43485</v>
      </c>
      <c r="G750" s="295" t="str">
        <f>VLOOKUP(F750,'GL Category'!A:C,3,FALSE)</f>
        <v>CHARGES FOR SERVICE</v>
      </c>
      <c r="H750" s="98" t="str">
        <f>VLOOKUP(F750,'GL Category'!A:C,2,FALSE)</f>
        <v>RECREATION PROGRAM REVENUE</v>
      </c>
      <c r="I750" s="99">
        <f>SUMIF(Import!$B:$B,$A750,Import!D:D)</f>
        <v>-63576.08</v>
      </c>
      <c r="J750" s="99">
        <f>SUMIF(Import!$B:$B,$A750,Import!E:E)</f>
        <v>-191821.38</v>
      </c>
      <c r="K750" s="99">
        <f>SUMIF(Import!$B:$B,$A750,Import!F:F)</f>
        <v>-252767.25</v>
      </c>
      <c r="L750" s="99">
        <f>SUMIF(Import!$B:$B,$A750,Import!G:G)</f>
        <v>-264139.5</v>
      </c>
      <c r="M750" s="99">
        <f>SUMIF(Import!$B:$B,$A750,Import!H:H)</f>
        <v>-293000</v>
      </c>
      <c r="N750" s="99">
        <f>SUMIF(Import!$B:$B,$A750,Import!I:I)</f>
        <v>-211615.25</v>
      </c>
      <c r="O750" s="99">
        <f>SUMIF(Import!$B:$B,$A750,Import!J:J)</f>
        <v>-245000</v>
      </c>
      <c r="P750" s="99">
        <f t="shared" si="720"/>
        <v>48000</v>
      </c>
      <c r="Q750" s="99">
        <f>SUMIF(Import!$B:$B,$A750,Import!K:K)</f>
        <v>-244412</v>
      </c>
      <c r="R750" s="99">
        <f>SUMIF(Import!$B:$B,$A750,Import!L:L)</f>
        <v>0</v>
      </c>
      <c r="S750" s="99">
        <f>SUMIF(Import!$B:$B,$A750,Import!M:M)</f>
        <v>0</v>
      </c>
      <c r="T750" s="99">
        <f>SUMIF(Import!$B:$B,$A750,Import!N:N)</f>
        <v>-244412</v>
      </c>
      <c r="U750" s="99">
        <f t="shared" si="721"/>
        <v>48588</v>
      </c>
      <c r="V750" s="255">
        <f t="shared" si="722"/>
        <v>-0.16582935153583622</v>
      </c>
      <c r="W750" s="102" t="s">
        <v>1559</v>
      </c>
      <c r="X750" s="148"/>
      <c r="Y750" s="267"/>
      <c r="Z750" s="121"/>
      <c r="AA750" s="121"/>
      <c r="AB750" s="121"/>
      <c r="AC750" s="121"/>
      <c r="AD750" s="121"/>
      <c r="AE750" s="121"/>
      <c r="AF750" s="121"/>
      <c r="AG750" s="121"/>
      <c r="AH750" s="121"/>
      <c r="AI750" s="121"/>
      <c r="AJ750" s="121"/>
      <c r="AK750" s="121"/>
      <c r="AL750" s="121"/>
    </row>
    <row r="751" spans="1:38" s="115" customFormat="1" ht="15" customHeight="1">
      <c r="A751" s="555" t="s">
        <v>1560</v>
      </c>
      <c r="B751" s="217" t="str">
        <f t="shared" si="715"/>
        <v>125</v>
      </c>
      <c r="C751" s="217" t="str">
        <f t="shared" si="716"/>
        <v>00</v>
      </c>
      <c r="D751" s="101" t="str">
        <f t="shared" si="717"/>
        <v>000</v>
      </c>
      <c r="E751" s="217" t="str">
        <f t="shared" si="718"/>
        <v>125-00-000</v>
      </c>
      <c r="F751" s="294" t="str">
        <f t="shared" si="719"/>
        <v>43487</v>
      </c>
      <c r="G751" s="295" t="str">
        <f>VLOOKUP(F751,'GL Category'!A:C,3,FALSE)</f>
        <v>CHARGES FOR SERVICE</v>
      </c>
      <c r="H751" s="98" t="str">
        <f>VLOOKUP(F751,'GL Category'!A:C,2,FALSE)</f>
        <v>SPRING/SUMMER CAMP</v>
      </c>
      <c r="I751" s="99">
        <f>SUMIF(Import!$B:$B,$A751,Import!D:D)</f>
        <v>-4704</v>
      </c>
      <c r="J751" s="99">
        <f>SUMIF(Import!$B:$B,$A751,Import!E:E)</f>
        <v>-151157.5</v>
      </c>
      <c r="K751" s="99">
        <f>SUMIF(Import!$B:$B,$A751,Import!F:F)</f>
        <v>-162233</v>
      </c>
      <c r="L751" s="99">
        <f>SUMIF(Import!$B:$B,$A751,Import!G:G)</f>
        <v>-189179</v>
      </c>
      <c r="M751" s="99">
        <f>SUMIF(Import!$B:$B,$A751,Import!H:H)</f>
        <v>-166600</v>
      </c>
      <c r="N751" s="99">
        <f>SUMIF(Import!$B:$B,$A751,Import!I:I)</f>
        <v>-171222.75</v>
      </c>
      <c r="O751" s="99">
        <f>SUMIF(Import!$B:$B,$A751,Import!J:J)</f>
        <v>-175000</v>
      </c>
      <c r="P751" s="99">
        <f t="shared" si="720"/>
        <v>-8400</v>
      </c>
      <c r="Q751" s="99">
        <f>SUMIF(Import!$B:$B,$A751,Import!K:K)</f>
        <v>-166600</v>
      </c>
      <c r="R751" s="99">
        <f>SUMIF(Import!$B:$B,$A751,Import!L:L)</f>
        <v>0</v>
      </c>
      <c r="S751" s="99">
        <f>SUMIF(Import!$B:$B,$A751,Import!M:M)</f>
        <v>0</v>
      </c>
      <c r="T751" s="99">
        <f>SUMIF(Import!$B:$B,$A751,Import!N:N)</f>
        <v>-166600</v>
      </c>
      <c r="U751" s="99">
        <f t="shared" si="721"/>
        <v>0</v>
      </c>
      <c r="V751" s="255">
        <f t="shared" si="722"/>
        <v>0</v>
      </c>
      <c r="W751" s="102" t="s">
        <v>1560</v>
      </c>
      <c r="X751" s="148"/>
      <c r="Y751" s="267"/>
      <c r="Z751" s="121"/>
      <c r="AA751" s="121"/>
      <c r="AB751" s="121"/>
      <c r="AC751" s="121"/>
      <c r="AD751" s="121"/>
      <c r="AE751" s="121"/>
      <c r="AF751" s="121"/>
      <c r="AG751" s="121"/>
      <c r="AH751" s="121"/>
      <c r="AI751" s="121"/>
      <c r="AJ751" s="121"/>
      <c r="AK751" s="121"/>
      <c r="AL751" s="121"/>
    </row>
    <row r="752" spans="1:38" s="115" customFormat="1" ht="15" customHeight="1">
      <c r="A752" s="555" t="s">
        <v>1561</v>
      </c>
      <c r="B752" s="217" t="str">
        <f t="shared" si="715"/>
        <v>125</v>
      </c>
      <c r="C752" s="217" t="str">
        <f t="shared" si="716"/>
        <v>00</v>
      </c>
      <c r="D752" s="101" t="str">
        <f t="shared" si="717"/>
        <v>000</v>
      </c>
      <c r="E752" s="217" t="str">
        <f t="shared" si="718"/>
        <v>125-00-000</v>
      </c>
      <c r="F752" s="294" t="str">
        <f t="shared" si="719"/>
        <v>43488</v>
      </c>
      <c r="G752" s="295" t="str">
        <f>VLOOKUP(F752,'GL Category'!A:C,3,FALSE)</f>
        <v>CHARGES FOR SERVICE</v>
      </c>
      <c r="H752" s="98" t="str">
        <f>VLOOKUP(F752,'GL Category'!A:C,2,FALSE)</f>
        <v>MARTIAL ARTS</v>
      </c>
      <c r="I752" s="99">
        <f>SUMIF(Import!$B:$B,$A752,Import!D:D)</f>
        <v>-37600</v>
      </c>
      <c r="J752" s="99">
        <f>SUMIF(Import!$B:$B,$A752,Import!E:E)</f>
        <v>-30350</v>
      </c>
      <c r="K752" s="99">
        <f>SUMIF(Import!$B:$B,$A752,Import!F:F)</f>
        <v>-75050</v>
      </c>
      <c r="L752" s="99">
        <f>SUMIF(Import!$B:$B,$A752,Import!G:G)</f>
        <v>-71508</v>
      </c>
      <c r="M752" s="99">
        <f>SUMIF(Import!$B:$B,$A752,Import!H:H)</f>
        <v>-83836</v>
      </c>
      <c r="N752" s="99">
        <f>SUMIF(Import!$B:$B,$A752,Import!I:I)</f>
        <v>-74783.94</v>
      </c>
      <c r="O752" s="99">
        <f>SUMIF(Import!$B:$B,$A752,Import!J:J)</f>
        <v>-85000</v>
      </c>
      <c r="P752" s="99">
        <f t="shared" si="720"/>
        <v>-1164</v>
      </c>
      <c r="Q752" s="99">
        <f>SUMIF(Import!$B:$B,$A752,Import!K:K)</f>
        <v>-90000</v>
      </c>
      <c r="R752" s="99">
        <f>SUMIF(Import!$B:$B,$A752,Import!L:L)</f>
        <v>0</v>
      </c>
      <c r="S752" s="99">
        <f>SUMIF(Import!$B:$B,$A752,Import!M:M)</f>
        <v>0</v>
      </c>
      <c r="T752" s="99">
        <f>SUMIF(Import!$B:$B,$A752,Import!N:N)</f>
        <v>-90000</v>
      </c>
      <c r="U752" s="99">
        <f t="shared" si="721"/>
        <v>-6164</v>
      </c>
      <c r="V752" s="255">
        <f t="shared" si="722"/>
        <v>7.3524500214704913E-2</v>
      </c>
      <c r="W752" s="102" t="s">
        <v>1561</v>
      </c>
      <c r="X752" s="148"/>
      <c r="Y752" s="267"/>
      <c r="Z752" s="121"/>
      <c r="AA752" s="121"/>
      <c r="AB752" s="121"/>
      <c r="AC752" s="121"/>
      <c r="AD752" s="121"/>
      <c r="AE752" s="121"/>
      <c r="AF752" s="121"/>
      <c r="AG752" s="121"/>
      <c r="AH752" s="121"/>
      <c r="AI752" s="121"/>
      <c r="AJ752" s="121"/>
      <c r="AK752" s="121"/>
      <c r="AL752" s="121"/>
    </row>
    <row r="753" spans="1:38" s="115" customFormat="1" ht="15" customHeight="1">
      <c r="A753" s="555" t="s">
        <v>1562</v>
      </c>
      <c r="B753" s="217" t="str">
        <f t="shared" si="715"/>
        <v>125</v>
      </c>
      <c r="C753" s="217" t="str">
        <f t="shared" si="716"/>
        <v>00</v>
      </c>
      <c r="D753" s="101" t="str">
        <f t="shared" si="717"/>
        <v>000</v>
      </c>
      <c r="E753" s="217" t="str">
        <f t="shared" si="718"/>
        <v>125-00-000</v>
      </c>
      <c r="F753" s="294" t="str">
        <f t="shared" si="719"/>
        <v>43501</v>
      </c>
      <c r="G753" s="295" t="str">
        <f>VLOOKUP(F753,'GL Category'!A:C,3,FALSE)</f>
        <v>CHARGES FOR SERVICE</v>
      </c>
      <c r="H753" s="98" t="str">
        <f>VLOOKUP(F753,'GL Category'!A:C,2,FALSE)</f>
        <v>GYM RENTAL FEES</v>
      </c>
      <c r="I753" s="99">
        <f>SUMIF(Import!$B:$B,$A753,Import!D:D)</f>
        <v>-2447</v>
      </c>
      <c r="J753" s="99">
        <f>SUMIF(Import!$B:$B,$A753,Import!E:E)</f>
        <v>-1660</v>
      </c>
      <c r="K753" s="99">
        <f>SUMIF(Import!$B:$B,$A753,Import!F:F)</f>
        <v>-1450</v>
      </c>
      <c r="L753" s="99">
        <f>SUMIF(Import!$B:$B,$A753,Import!G:G)</f>
        <v>-5550</v>
      </c>
      <c r="M753" s="99">
        <f>SUMIF(Import!$B:$B,$A753,Import!H:H)</f>
        <v>-1018</v>
      </c>
      <c r="N753" s="99">
        <f>SUMIF(Import!$B:$B,$A753,Import!I:I)</f>
        <v>-4785</v>
      </c>
      <c r="O753" s="99">
        <f>SUMIF(Import!$B:$B,$A753,Import!J:J)</f>
        <v>-5500</v>
      </c>
      <c r="P753" s="99">
        <f t="shared" si="720"/>
        <v>-4482</v>
      </c>
      <c r="Q753" s="99">
        <f>SUMIF(Import!$B:$B,$A753,Import!K:K)</f>
        <v>-10039</v>
      </c>
      <c r="R753" s="99">
        <f>SUMIF(Import!$B:$B,$A753,Import!L:L)</f>
        <v>0</v>
      </c>
      <c r="S753" s="99">
        <f>SUMIF(Import!$B:$B,$A753,Import!M:M)</f>
        <v>0</v>
      </c>
      <c r="T753" s="99">
        <f>SUMIF(Import!$B:$B,$A753,Import!N:N)</f>
        <v>-10039</v>
      </c>
      <c r="U753" s="99">
        <f t="shared" si="721"/>
        <v>-9021</v>
      </c>
      <c r="V753" s="255">
        <f t="shared" si="722"/>
        <v>8.8614931237721013</v>
      </c>
      <c r="W753" s="102" t="s">
        <v>1562</v>
      </c>
      <c r="X753" s="148"/>
      <c r="Y753" s="267"/>
      <c r="Z753" s="121"/>
      <c r="AA753" s="121"/>
      <c r="AB753" s="121"/>
      <c r="AC753" s="121"/>
      <c r="AD753" s="121"/>
      <c r="AE753" s="121"/>
      <c r="AF753" s="121"/>
      <c r="AG753" s="121"/>
      <c r="AH753" s="121"/>
      <c r="AI753" s="121"/>
      <c r="AJ753" s="121"/>
      <c r="AK753" s="121"/>
      <c r="AL753" s="121"/>
    </row>
    <row r="754" spans="1:38" s="115" customFormat="1" ht="15" customHeight="1">
      <c r="A754" s="555" t="s">
        <v>1563</v>
      </c>
      <c r="B754" s="217" t="str">
        <f t="shared" si="715"/>
        <v>125</v>
      </c>
      <c r="C754" s="217" t="str">
        <f t="shared" si="716"/>
        <v>00</v>
      </c>
      <c r="D754" s="101" t="str">
        <f t="shared" si="717"/>
        <v>000</v>
      </c>
      <c r="E754" s="217" t="str">
        <f t="shared" si="718"/>
        <v>125-00-000</v>
      </c>
      <c r="F754" s="294" t="str">
        <f t="shared" si="719"/>
        <v>43503</v>
      </c>
      <c r="G754" s="295" t="str">
        <f>VLOOKUP(F754,'GL Category'!A:C,3,FALSE)</f>
        <v>CHARGES FOR SERVICE</v>
      </c>
      <c r="H754" s="98" t="str">
        <f>VLOOKUP(F754,'GL Category'!A:C,2,FALSE)</f>
        <v>POOL RENTAL FEES</v>
      </c>
      <c r="I754" s="99">
        <f>SUMIF(Import!$B:$B,$A754,Import!D:D)</f>
        <v>-930</v>
      </c>
      <c r="J754" s="99">
        <f>SUMIF(Import!$B:$B,$A754,Import!E:E)</f>
        <v>-23965</v>
      </c>
      <c r="K754" s="99">
        <f>SUMIF(Import!$B:$B,$A754,Import!F:F)</f>
        <v>-18775</v>
      </c>
      <c r="L754" s="99">
        <f>SUMIF(Import!$B:$B,$A754,Import!G:G)</f>
        <v>-26135</v>
      </c>
      <c r="M754" s="99">
        <f>SUMIF(Import!$B:$B,$A754,Import!H:H)</f>
        <v>-18629</v>
      </c>
      <c r="N754" s="99">
        <f>SUMIF(Import!$B:$B,$A754,Import!I:I)</f>
        <v>-21465</v>
      </c>
      <c r="O754" s="99">
        <f>SUMIF(Import!$B:$B,$A754,Import!J:J)</f>
        <v>-24000</v>
      </c>
      <c r="P754" s="99">
        <f t="shared" si="720"/>
        <v>-5371</v>
      </c>
      <c r="Q754" s="99">
        <f>SUMIF(Import!$B:$B,$A754,Import!K:K)</f>
        <v>-16713</v>
      </c>
      <c r="R754" s="99">
        <f>SUMIF(Import!$B:$B,$A754,Import!L:L)</f>
        <v>0</v>
      </c>
      <c r="S754" s="99">
        <f>SUMIF(Import!$B:$B,$A754,Import!M:M)</f>
        <v>0</v>
      </c>
      <c r="T754" s="99">
        <f>SUMIF(Import!$B:$B,$A754,Import!N:N)</f>
        <v>-16713</v>
      </c>
      <c r="U754" s="99">
        <f t="shared" si="721"/>
        <v>1916</v>
      </c>
      <c r="V754" s="255">
        <f t="shared" si="722"/>
        <v>-0.10285039454613776</v>
      </c>
      <c r="W754" s="102" t="s">
        <v>1563</v>
      </c>
      <c r="X754" s="148"/>
      <c r="Y754" s="267"/>
      <c r="Z754" s="121"/>
      <c r="AA754" s="121"/>
      <c r="AB754" s="121"/>
      <c r="AC754" s="121"/>
      <c r="AD754" s="121"/>
      <c r="AE754" s="121"/>
      <c r="AF754" s="121"/>
      <c r="AG754" s="121"/>
      <c r="AH754" s="121"/>
      <c r="AI754" s="121"/>
      <c r="AJ754" s="121"/>
      <c r="AK754" s="121"/>
      <c r="AL754" s="121"/>
    </row>
    <row r="755" spans="1:38" s="115" customFormat="1" ht="15" customHeight="1">
      <c r="A755" s="555" t="s">
        <v>1564</v>
      </c>
      <c r="B755" s="217" t="str">
        <f t="shared" si="715"/>
        <v>125</v>
      </c>
      <c r="C755" s="217" t="str">
        <f t="shared" si="716"/>
        <v>00</v>
      </c>
      <c r="D755" s="101" t="str">
        <f t="shared" si="717"/>
        <v>000</v>
      </c>
      <c r="E755" s="217" t="str">
        <f t="shared" si="718"/>
        <v>125-00-000</v>
      </c>
      <c r="F755" s="294" t="str">
        <f t="shared" si="719"/>
        <v>44790</v>
      </c>
      <c r="G755" s="295" t="str">
        <f>VLOOKUP(F755,'GL Category'!A:C,3,FALSE)</f>
        <v>CHARGES FOR SERVICE</v>
      </c>
      <c r="H755" s="98" t="str">
        <f>VLOOKUP(F755,'GL Category'!A:C,2,FALSE)</f>
        <v>WRITE OFF RECOVERY</v>
      </c>
      <c r="I755" s="99">
        <f>SUMIF(Import!$B:$B,$A755,Import!D:D)</f>
        <v>-9239.0499999999993</v>
      </c>
      <c r="J755" s="99">
        <f>SUMIF(Import!$B:$B,$A755,Import!E:E)</f>
        <v>-6301.45</v>
      </c>
      <c r="K755" s="99">
        <f>SUMIF(Import!$B:$B,$A755,Import!F:F)</f>
        <v>-2881</v>
      </c>
      <c r="L755" s="99">
        <f>SUMIF(Import!$B:$B,$A755,Import!G:G)</f>
        <v>-3486</v>
      </c>
      <c r="M755" s="99">
        <f>SUMIF(Import!$B:$B,$A755,Import!H:H)</f>
        <v>-3788</v>
      </c>
      <c r="N755" s="99">
        <f>SUMIF(Import!$B:$B,$A755,Import!I:I)</f>
        <v>-2000</v>
      </c>
      <c r="O755" s="99">
        <f>SUMIF(Import!$B:$B,$A755,Import!J:J)</f>
        <v>-3788</v>
      </c>
      <c r="P755" s="99">
        <f t="shared" si="720"/>
        <v>0</v>
      </c>
      <c r="Q755" s="99">
        <f>SUMIF(Import!$B:$B,$A755,Import!K:K)</f>
        <v>-1796</v>
      </c>
      <c r="R755" s="99">
        <f>SUMIF(Import!$B:$B,$A755,Import!L:L)</f>
        <v>0</v>
      </c>
      <c r="S755" s="99">
        <f>SUMIF(Import!$B:$B,$A755,Import!M:M)</f>
        <v>0</v>
      </c>
      <c r="T755" s="99">
        <f>SUMIF(Import!$B:$B,$A755,Import!N:N)</f>
        <v>-1796</v>
      </c>
      <c r="U755" s="99">
        <f t="shared" si="721"/>
        <v>1992</v>
      </c>
      <c r="V755" s="255">
        <f t="shared" si="722"/>
        <v>-0.52587117212249201</v>
      </c>
      <c r="W755" s="102" t="s">
        <v>1564</v>
      </c>
      <c r="X755" s="148"/>
      <c r="Y755" s="267"/>
      <c r="Z755" s="121"/>
      <c r="AA755" s="121"/>
      <c r="AB755" s="121"/>
      <c r="AC755" s="121"/>
      <c r="AD755" s="121"/>
      <c r="AE755" s="121"/>
      <c r="AF755" s="121"/>
      <c r="AG755" s="121"/>
      <c r="AH755" s="121"/>
      <c r="AI755" s="121"/>
      <c r="AJ755" s="121"/>
      <c r="AK755" s="121"/>
      <c r="AL755" s="121"/>
    </row>
    <row r="756" spans="1:38" s="115" customFormat="1" ht="15" customHeight="1">
      <c r="A756" s="555" t="s">
        <v>1565</v>
      </c>
      <c r="B756" s="217" t="str">
        <f t="shared" si="715"/>
        <v>125</v>
      </c>
      <c r="C756" s="217" t="str">
        <f t="shared" si="716"/>
        <v>00</v>
      </c>
      <c r="D756" s="101" t="str">
        <f t="shared" si="717"/>
        <v>000</v>
      </c>
      <c r="E756" s="217" t="str">
        <f t="shared" si="718"/>
        <v>125-00-000</v>
      </c>
      <c r="F756" s="294" t="str">
        <f t="shared" si="719"/>
        <v>47010</v>
      </c>
      <c r="G756" s="295" t="str">
        <f>VLOOKUP(F756,'GL Category'!A:C,3,FALSE)</f>
        <v>OTHER REVENUE</v>
      </c>
      <c r="H756" s="98" t="str">
        <f>VLOOKUP(F756,'GL Category'!A:C,2,FALSE)</f>
        <v>MISCELLANEOUS REVENUE</v>
      </c>
      <c r="I756" s="99">
        <f>SUMIF(Import!$B:$B,$A756,Import!D:D)</f>
        <v>-6129.91</v>
      </c>
      <c r="J756" s="99">
        <f>SUMIF(Import!$B:$B,$A756,Import!E:E)</f>
        <v>-52983.23</v>
      </c>
      <c r="K756" s="99">
        <f>SUMIF(Import!$B:$B,$A756,Import!F:F)</f>
        <v>-2886.94</v>
      </c>
      <c r="L756" s="99">
        <f>SUMIF(Import!$B:$B,$A756,Import!G:G)</f>
        <v>-2685.82</v>
      </c>
      <c r="M756" s="99">
        <f>SUMIF(Import!$B:$B,$A756,Import!H:H)</f>
        <v>-6881</v>
      </c>
      <c r="N756" s="99">
        <f>SUMIF(Import!$B:$B,$A756,Import!I:I)</f>
        <v>-2540</v>
      </c>
      <c r="O756" s="99">
        <f>SUMIF(Import!$B:$B,$A756,Import!J:J)</f>
        <v>-3000</v>
      </c>
      <c r="P756" s="99">
        <f t="shared" si="720"/>
        <v>3881</v>
      </c>
      <c r="Q756" s="99">
        <f>SUMIF(Import!$B:$B,$A756,Import!K:K)</f>
        <v>-5264</v>
      </c>
      <c r="R756" s="99">
        <f>SUMIF(Import!$B:$B,$A756,Import!L:L)</f>
        <v>0</v>
      </c>
      <c r="S756" s="99">
        <f>SUMIF(Import!$B:$B,$A756,Import!M:M)</f>
        <v>0</v>
      </c>
      <c r="T756" s="99">
        <f>SUMIF(Import!$B:$B,$A756,Import!N:N)</f>
        <v>-5264</v>
      </c>
      <c r="U756" s="99">
        <f t="shared" si="721"/>
        <v>1617</v>
      </c>
      <c r="V756" s="255">
        <f t="shared" si="722"/>
        <v>-0.23499491353001012</v>
      </c>
      <c r="W756" s="102" t="s">
        <v>1565</v>
      </c>
      <c r="X756" s="148"/>
      <c r="Y756" s="267"/>
      <c r="Z756" s="121"/>
      <c r="AA756" s="121"/>
      <c r="AB756" s="121"/>
      <c r="AC756" s="121"/>
      <c r="AD756" s="121"/>
      <c r="AE756" s="121"/>
      <c r="AF756" s="121"/>
      <c r="AG756" s="121"/>
      <c r="AH756" s="121"/>
      <c r="AI756" s="121"/>
      <c r="AJ756" s="121"/>
      <c r="AK756" s="121"/>
      <c r="AL756" s="121"/>
    </row>
    <row r="757" spans="1:38" s="115" customFormat="1" ht="15" customHeight="1">
      <c r="A757" s="555" t="s">
        <v>1566</v>
      </c>
      <c r="B757" s="217" t="str">
        <f t="shared" si="715"/>
        <v>125</v>
      </c>
      <c r="C757" s="217" t="str">
        <f t="shared" si="716"/>
        <v>00</v>
      </c>
      <c r="D757" s="101" t="str">
        <f t="shared" si="717"/>
        <v>000</v>
      </c>
      <c r="E757" s="217" t="str">
        <f t="shared" si="718"/>
        <v>125-00-000</v>
      </c>
      <c r="F757" s="294" t="str">
        <f t="shared" si="719"/>
        <v>47020</v>
      </c>
      <c r="G757" s="295" t="str">
        <f>VLOOKUP(F757,'GL Category'!A:C,3,FALSE)</f>
        <v>OTHER REVENUE</v>
      </c>
      <c r="H757" s="98" t="str">
        <f>VLOOKUP(F757,'GL Category'!A:C,2,FALSE)</f>
        <v>AUCTION PROCEEDS</v>
      </c>
      <c r="I757" s="99">
        <f>SUMIF(Import!$B:$B,$A757,Import!D:D)</f>
        <v>-7666.27</v>
      </c>
      <c r="J757" s="99">
        <f>SUMIF(Import!$B:$B,$A757,Import!E:E)</f>
        <v>-4091.24</v>
      </c>
      <c r="K757" s="99">
        <f>SUMIF(Import!$B:$B,$A757,Import!F:F)</f>
        <v>-629.92999999999995</v>
      </c>
      <c r="L757" s="99">
        <f>SUMIF(Import!$B:$B,$A757,Import!G:G)</f>
        <v>0</v>
      </c>
      <c r="M757" s="99">
        <f>SUMIF(Import!$B:$B,$A757,Import!H:H)</f>
        <v>-1222</v>
      </c>
      <c r="N757" s="99">
        <f>SUMIF(Import!$B:$B,$A757,Import!I:I)</f>
        <v>-1136.96</v>
      </c>
      <c r="O757" s="99">
        <f>SUMIF(Import!$B:$B,$A757,Import!J:J)</f>
        <v>-1137</v>
      </c>
      <c r="P757" s="99">
        <f t="shared" si="720"/>
        <v>85</v>
      </c>
      <c r="Q757" s="99">
        <f>SUMIF(Import!$B:$B,$A757,Import!K:K)</f>
        <v>-1222</v>
      </c>
      <c r="R757" s="99">
        <f>SUMIF(Import!$B:$B,$A757,Import!L:L)</f>
        <v>0</v>
      </c>
      <c r="S757" s="99">
        <f>SUMIF(Import!$B:$B,$A757,Import!M:M)</f>
        <v>0</v>
      </c>
      <c r="T757" s="99">
        <f>SUMIF(Import!$B:$B,$A757,Import!N:N)</f>
        <v>-1222</v>
      </c>
      <c r="U757" s="99">
        <f t="shared" si="721"/>
        <v>0</v>
      </c>
      <c r="V757" s="255">
        <f t="shared" si="722"/>
        <v>0</v>
      </c>
      <c r="W757" s="102" t="s">
        <v>1566</v>
      </c>
      <c r="X757" s="148"/>
      <c r="Y757" s="267"/>
      <c r="Z757" s="121"/>
      <c r="AA757" s="121"/>
      <c r="AB757" s="121"/>
      <c r="AC757" s="121"/>
      <c r="AD757" s="121"/>
      <c r="AE757" s="121"/>
      <c r="AF757" s="121"/>
      <c r="AG757" s="121"/>
      <c r="AH757" s="121"/>
      <c r="AI757" s="121"/>
      <c r="AJ757" s="121"/>
      <c r="AK757" s="121"/>
      <c r="AL757" s="121"/>
    </row>
    <row r="758" spans="1:38" s="115" customFormat="1" ht="15" customHeight="1">
      <c r="A758" s="555" t="s">
        <v>1567</v>
      </c>
      <c r="B758" s="217" t="str">
        <f t="shared" si="715"/>
        <v>125</v>
      </c>
      <c r="C758" s="217" t="str">
        <f t="shared" si="716"/>
        <v>00</v>
      </c>
      <c r="D758" s="101" t="str">
        <f t="shared" si="717"/>
        <v>000</v>
      </c>
      <c r="E758" s="217" t="str">
        <f t="shared" si="718"/>
        <v>125-00-000</v>
      </c>
      <c r="F758" s="294" t="str">
        <f t="shared" si="719"/>
        <v>47030</v>
      </c>
      <c r="G758" s="295" t="str">
        <f>VLOOKUP(F758,'GL Category'!A:C,3,FALSE)</f>
        <v>OTHER REVENUE</v>
      </c>
      <c r="H758" s="98" t="str">
        <f>VLOOKUP(F758,'GL Category'!A:C,2,FALSE)</f>
        <v>GAIN/LOSS ON DISP OF ASSETS</v>
      </c>
      <c r="I758" s="99">
        <f>SUMIF(Import!$B:$B,$A758,Import!D:D)</f>
        <v>0</v>
      </c>
      <c r="J758" s="99">
        <f>SUMIF(Import!$B:$B,$A758,Import!E:E)</f>
        <v>-1350</v>
      </c>
      <c r="K758" s="99">
        <f>SUMIF(Import!$B:$B,$A758,Import!F:F)</f>
        <v>-7000</v>
      </c>
      <c r="L758" s="99">
        <f>SUMIF(Import!$B:$B,$A758,Import!G:G)</f>
        <v>599.88</v>
      </c>
      <c r="M758" s="99">
        <f>SUMIF(Import!$B:$B,$A758,Import!H:H)</f>
        <v>0</v>
      </c>
      <c r="N758" s="99">
        <f>SUMIF(Import!$B:$B,$A758,Import!I:I)</f>
        <v>0</v>
      </c>
      <c r="O758" s="99">
        <f>SUMIF(Import!$B:$B,$A758,Import!J:J)</f>
        <v>0</v>
      </c>
      <c r="P758" s="99">
        <f t="shared" si="720"/>
        <v>0</v>
      </c>
      <c r="Q758" s="99">
        <f>SUMIF(Import!$B:$B,$A758,Import!K:K)</f>
        <v>0</v>
      </c>
      <c r="R758" s="99">
        <f>SUMIF(Import!$B:$B,$A758,Import!L:L)</f>
        <v>0</v>
      </c>
      <c r="S758" s="99">
        <f>SUMIF(Import!$B:$B,$A758,Import!M:M)</f>
        <v>0</v>
      </c>
      <c r="T758" s="99">
        <f>SUMIF(Import!$B:$B,$A758,Import!N:N)</f>
        <v>0</v>
      </c>
      <c r="U758" s="99">
        <f t="shared" si="721"/>
        <v>0</v>
      </c>
      <c r="V758" s="255" t="str">
        <f t="shared" si="722"/>
        <v>N/A</v>
      </c>
      <c r="W758" s="102" t="s">
        <v>1567</v>
      </c>
      <c r="X758" s="148"/>
      <c r="Y758" s="267"/>
      <c r="Z758" s="121"/>
      <c r="AA758" s="121"/>
      <c r="AB758" s="121"/>
      <c r="AC758" s="121"/>
      <c r="AD758" s="121"/>
      <c r="AE758" s="121"/>
      <c r="AF758" s="121"/>
      <c r="AG758" s="121"/>
      <c r="AH758" s="121"/>
      <c r="AI758" s="121"/>
      <c r="AJ758" s="121"/>
      <c r="AK758" s="121"/>
      <c r="AL758" s="121"/>
    </row>
    <row r="759" spans="1:38" s="115" customFormat="1" ht="15" customHeight="1">
      <c r="A759" s="555" t="s">
        <v>1568</v>
      </c>
      <c r="B759" s="217" t="str">
        <f t="shared" si="715"/>
        <v>125</v>
      </c>
      <c r="C759" s="217" t="str">
        <f t="shared" si="716"/>
        <v>00</v>
      </c>
      <c r="D759" s="101" t="str">
        <f t="shared" si="717"/>
        <v>000</v>
      </c>
      <c r="E759" s="217" t="str">
        <f t="shared" si="718"/>
        <v>125-00-000</v>
      </c>
      <c r="F759" s="294" t="str">
        <f t="shared" si="719"/>
        <v>47070</v>
      </c>
      <c r="G759" s="295" t="str">
        <f>VLOOKUP(F759,'GL Category'!A:C,3,FALSE)</f>
        <v>OTHER REVENUE</v>
      </c>
      <c r="H759" s="98" t="str">
        <f>VLOOKUP(F759,'GL Category'!A:C,2,FALSE)</f>
        <v>CASH OVER/SHORT</v>
      </c>
      <c r="I759" s="99">
        <f>SUMIF(Import!$B:$B,$A759,Import!D:D)</f>
        <v>14.33</v>
      </c>
      <c r="J759" s="99">
        <f>SUMIF(Import!$B:$B,$A759,Import!E:E)</f>
        <v>-94.62</v>
      </c>
      <c r="K759" s="99">
        <f>SUMIF(Import!$B:$B,$A759,Import!F:F)</f>
        <v>6.92</v>
      </c>
      <c r="L759" s="99">
        <f>SUMIF(Import!$B:$B,$A759,Import!G:G)</f>
        <v>-28.08</v>
      </c>
      <c r="M759" s="99">
        <f>SUMIF(Import!$B:$B,$A759,Import!H:H)</f>
        <v>0</v>
      </c>
      <c r="N759" s="99">
        <f>SUMIF(Import!$B:$B,$A759,Import!I:I)</f>
        <v>253.28</v>
      </c>
      <c r="O759" s="99">
        <f>SUMIF(Import!$B:$B,$A759,Import!J:J)</f>
        <v>0</v>
      </c>
      <c r="P759" s="99">
        <f t="shared" si="720"/>
        <v>0</v>
      </c>
      <c r="Q759" s="99">
        <f>SUMIF(Import!$B:$B,$A759,Import!K:K)</f>
        <v>0</v>
      </c>
      <c r="R759" s="99">
        <f>SUMIF(Import!$B:$B,$A759,Import!L:L)</f>
        <v>0</v>
      </c>
      <c r="S759" s="99">
        <f>SUMIF(Import!$B:$B,$A759,Import!M:M)</f>
        <v>0</v>
      </c>
      <c r="T759" s="99">
        <f>SUMIF(Import!$B:$B,$A759,Import!N:N)</f>
        <v>0</v>
      </c>
      <c r="U759" s="99">
        <f t="shared" si="721"/>
        <v>0</v>
      </c>
      <c r="V759" s="255" t="str">
        <f t="shared" si="722"/>
        <v>N/A</v>
      </c>
      <c r="W759" s="102" t="s">
        <v>1568</v>
      </c>
      <c r="X759" s="148"/>
      <c r="Y759" s="267"/>
      <c r="Z759" s="121"/>
      <c r="AA759" s="121"/>
      <c r="AB759" s="121"/>
      <c r="AC759" s="121"/>
      <c r="AD759" s="121"/>
      <c r="AE759" s="121"/>
      <c r="AF759" s="121"/>
      <c r="AG759" s="121"/>
      <c r="AH759" s="121"/>
      <c r="AI759" s="121"/>
      <c r="AJ759" s="121"/>
      <c r="AK759" s="121"/>
      <c r="AL759" s="121"/>
    </row>
    <row r="760" spans="1:38" s="115" customFormat="1" ht="15" customHeight="1">
      <c r="A760" s="555" t="s">
        <v>1569</v>
      </c>
      <c r="B760" s="217" t="str">
        <f t="shared" si="715"/>
        <v>125</v>
      </c>
      <c r="C760" s="217" t="str">
        <f t="shared" si="716"/>
        <v>00</v>
      </c>
      <c r="D760" s="101" t="str">
        <f t="shared" si="717"/>
        <v>000</v>
      </c>
      <c r="E760" s="217" t="str">
        <f t="shared" si="718"/>
        <v>125-00-000</v>
      </c>
      <c r="F760" s="294" t="str">
        <f t="shared" si="719"/>
        <v>47090</v>
      </c>
      <c r="G760" s="295" t="str">
        <f>VLOOKUP(F760,'GL Category'!A:C,3,FALSE)</f>
        <v>OTHER REVENUE</v>
      </c>
      <c r="H760" s="98" t="str">
        <f>VLOOKUP(F760,'GL Category'!A:C,2,FALSE)</f>
        <v>INTEREST REVENUE-INVESTMENTS</v>
      </c>
      <c r="I760" s="99">
        <f>SUMIF(Import!$B:$B,$A760,Import!D:D)</f>
        <v>-32964.959999999999</v>
      </c>
      <c r="J760" s="99">
        <f>SUMIF(Import!$B:$B,$A760,Import!E:E)</f>
        <v>-4409.3100000000004</v>
      </c>
      <c r="K760" s="99">
        <f>SUMIF(Import!$B:$B,$A760,Import!F:F)</f>
        <v>-6350.13</v>
      </c>
      <c r="L760" s="99">
        <f>SUMIF(Import!$B:$B,$A760,Import!G:G)</f>
        <v>-41413.85</v>
      </c>
      <c r="M760" s="99">
        <f>SUMIF(Import!$B:$B,$A760,Import!H:H)</f>
        <v>-14671</v>
      </c>
      <c r="N760" s="99">
        <f>SUMIF(Import!$B:$B,$A760,Import!I:I)</f>
        <v>-55570.720000000001</v>
      </c>
      <c r="O760" s="99">
        <f>SUMIF(Import!$B:$B,$A760,Import!J:J)</f>
        <v>-61000</v>
      </c>
      <c r="P760" s="99">
        <f t="shared" si="720"/>
        <v>-46329</v>
      </c>
      <c r="Q760" s="99">
        <f>SUMIF(Import!$B:$B,$A760,Import!K:K)</f>
        <v>-61000</v>
      </c>
      <c r="R760" s="99">
        <f>SUMIF(Import!$B:$B,$A760,Import!L:L)</f>
        <v>0</v>
      </c>
      <c r="S760" s="99">
        <f>SUMIF(Import!$B:$B,$A760,Import!M:M)</f>
        <v>0</v>
      </c>
      <c r="T760" s="99">
        <f>SUMIF(Import!$B:$B,$A760,Import!N:N)</f>
        <v>-61000</v>
      </c>
      <c r="U760" s="99">
        <f t="shared" si="721"/>
        <v>-46329</v>
      </c>
      <c r="V760" s="255">
        <f t="shared" si="722"/>
        <v>3.1578624497307617</v>
      </c>
      <c r="W760" s="102" t="s">
        <v>1569</v>
      </c>
      <c r="X760" s="148"/>
      <c r="Y760" s="267"/>
      <c r="Z760" s="121"/>
      <c r="AA760" s="121"/>
      <c r="AB760" s="121"/>
      <c r="AC760" s="121"/>
      <c r="AD760" s="121"/>
      <c r="AE760" s="121"/>
      <c r="AF760" s="121"/>
      <c r="AG760" s="121"/>
      <c r="AH760" s="121"/>
      <c r="AI760" s="121"/>
      <c r="AJ760" s="121"/>
      <c r="AK760" s="121"/>
      <c r="AL760" s="121"/>
    </row>
    <row r="761" spans="1:38" s="115" customFormat="1" ht="15" customHeight="1">
      <c r="A761" s="555" t="s">
        <v>1570</v>
      </c>
      <c r="B761" s="217" t="str">
        <f t="shared" si="715"/>
        <v>125</v>
      </c>
      <c r="C761" s="217" t="str">
        <f t="shared" si="716"/>
        <v>00</v>
      </c>
      <c r="D761" s="101" t="str">
        <f t="shared" si="717"/>
        <v>000</v>
      </c>
      <c r="E761" s="217" t="str">
        <f t="shared" si="718"/>
        <v>125-00-000</v>
      </c>
      <c r="F761" s="294" t="str">
        <f t="shared" si="719"/>
        <v>47099</v>
      </c>
      <c r="G761" s="295" t="str">
        <f>VLOOKUP(F761,'GL Category'!A:C,3,FALSE)</f>
        <v>OTHER REVENUE</v>
      </c>
      <c r="H761" s="98" t="str">
        <f>VLOOKUP(F761,'GL Category'!A:C,2,FALSE)</f>
        <v>INCR/DECR IN FAIR VALUE OF INV</v>
      </c>
      <c r="I761" s="99">
        <f>SUMIF(Import!$B:$B,$A761,Import!D:D)</f>
        <v>0</v>
      </c>
      <c r="J761" s="99">
        <f>SUMIF(Import!$B:$B,$A761,Import!E:E)</f>
        <v>0</v>
      </c>
      <c r="K761" s="99">
        <f>SUMIF(Import!$B:$B,$A761,Import!F:F)</f>
        <v>0</v>
      </c>
      <c r="L761" s="99">
        <f>SUMIF(Import!$B:$B,$A761,Import!G:G)</f>
        <v>0</v>
      </c>
      <c r="M761" s="99">
        <f>SUMIF(Import!$B:$B,$A761,Import!H:H)</f>
        <v>0</v>
      </c>
      <c r="N761" s="99">
        <f>SUMIF(Import!$B:$B,$A761,Import!I:I)</f>
        <v>0</v>
      </c>
      <c r="O761" s="99">
        <f>SUMIF(Import!$B:$B,$A761,Import!J:J)</f>
        <v>0</v>
      </c>
      <c r="P761" s="99">
        <f t="shared" si="720"/>
        <v>0</v>
      </c>
      <c r="Q761" s="99">
        <f>SUMIF(Import!$B:$B,$A761,Import!K:K)</f>
        <v>0</v>
      </c>
      <c r="R761" s="99">
        <f>SUMIF(Import!$B:$B,$A761,Import!L:L)</f>
        <v>0</v>
      </c>
      <c r="S761" s="99">
        <f>SUMIF(Import!$B:$B,$A761,Import!M:M)</f>
        <v>0</v>
      </c>
      <c r="T761" s="99">
        <f>SUMIF(Import!$B:$B,$A761,Import!N:N)</f>
        <v>0</v>
      </c>
      <c r="U761" s="99">
        <f t="shared" si="721"/>
        <v>0</v>
      </c>
      <c r="V761" s="255" t="str">
        <f t="shared" si="722"/>
        <v>N/A</v>
      </c>
      <c r="W761" s="102" t="s">
        <v>1570</v>
      </c>
      <c r="X761" s="148"/>
      <c r="Y761" s="267"/>
      <c r="Z761" s="121"/>
      <c r="AA761" s="121"/>
      <c r="AB761" s="121"/>
      <c r="AC761" s="121"/>
      <c r="AD761" s="121"/>
      <c r="AE761" s="121"/>
      <c r="AF761" s="121"/>
      <c r="AG761" s="121"/>
      <c r="AH761" s="121"/>
      <c r="AI761" s="121"/>
      <c r="AJ761" s="121"/>
      <c r="AK761" s="121"/>
      <c r="AL761" s="121"/>
    </row>
    <row r="762" spans="1:38" s="115" customFormat="1" ht="15" customHeight="1">
      <c r="A762" s="555" t="s">
        <v>3324</v>
      </c>
      <c r="B762" s="217" t="str">
        <f t="shared" ref="B762" si="723">LEFT(A762,3)</f>
        <v>125</v>
      </c>
      <c r="C762" s="217" t="str">
        <f t="shared" ref="C762" si="724">MID(A762,5,2)</f>
        <v>00</v>
      </c>
      <c r="D762" s="101" t="str">
        <f t="shared" ref="D762" si="725">MID(A762,8,3)</f>
        <v>000</v>
      </c>
      <c r="E762" s="217" t="str">
        <f t="shared" ref="E762" si="726">LEFT(A762,10)</f>
        <v>125-00-000</v>
      </c>
      <c r="F762" s="294" t="str">
        <f t="shared" ref="F762" si="727">RIGHT(A762,5)</f>
        <v>47250</v>
      </c>
      <c r="G762" s="295" t="str">
        <f>VLOOKUP(F762,'GL Category'!A:C,3,FALSE)</f>
        <v>OTHER REVENUE</v>
      </c>
      <c r="H762" s="98" t="str">
        <f>VLOOKUP(F762,'GL Category'!A:C,2,FALSE)</f>
        <v>REIMB-INSURANCE PROCEEDS</v>
      </c>
      <c r="I762" s="99">
        <f>SUMIF(Import!$B:$B,$A762,Import!D:D)</f>
        <v>0</v>
      </c>
      <c r="J762" s="99">
        <f>SUMIF(Import!$B:$B,$A762,Import!E:E)</f>
        <v>0</v>
      </c>
      <c r="K762" s="99">
        <f>SUMIF(Import!$B:$B,$A762,Import!F:F)</f>
        <v>0</v>
      </c>
      <c r="L762" s="99">
        <f>SUMIF(Import!$B:$B,$A762,Import!G:G)</f>
        <v>0</v>
      </c>
      <c r="M762" s="99">
        <f>SUMIF(Import!$B:$B,$A762,Import!H:H)</f>
        <v>0</v>
      </c>
      <c r="N762" s="99">
        <f>SUMIF(Import!$B:$B,$A762,Import!I:I)</f>
        <v>0</v>
      </c>
      <c r="O762" s="99">
        <f>SUMIF(Import!$B:$B,$A762,Import!J:J)</f>
        <v>0</v>
      </c>
      <c r="P762" s="99">
        <f t="shared" ref="P762" si="728">O762-M762</f>
        <v>0</v>
      </c>
      <c r="Q762" s="99">
        <f>SUMIF(Import!$B:$B,$A762,Import!K:K)</f>
        <v>0</v>
      </c>
      <c r="R762" s="99">
        <f>SUMIF(Import!$B:$B,$A762,Import!L:L)</f>
        <v>0</v>
      </c>
      <c r="S762" s="99">
        <f>SUMIF(Import!$B:$B,$A762,Import!M:M)</f>
        <v>0</v>
      </c>
      <c r="T762" s="99">
        <f>SUMIF(Import!$B:$B,$A762,Import!N:N)</f>
        <v>0</v>
      </c>
      <c r="U762" s="99">
        <f t="shared" ref="U762" si="729">T762-M762</f>
        <v>0</v>
      </c>
      <c r="V762" s="255" t="str">
        <f t="shared" ref="V762" si="730">IF(M762=0,"N/A",T762/M762-1)</f>
        <v>N/A</v>
      </c>
      <c r="W762" s="102" t="s">
        <v>1570</v>
      </c>
      <c r="X762" s="148"/>
      <c r="Y762" s="267"/>
      <c r="Z762" s="121"/>
      <c r="AA762" s="121"/>
      <c r="AB762" s="121"/>
      <c r="AC762" s="121"/>
      <c r="AD762" s="121"/>
      <c r="AE762" s="121"/>
      <c r="AF762" s="121"/>
      <c r="AG762" s="121"/>
      <c r="AH762" s="121"/>
      <c r="AI762" s="121"/>
      <c r="AJ762" s="121"/>
      <c r="AK762" s="121"/>
      <c r="AL762" s="121"/>
    </row>
    <row r="763" spans="1:38" s="115" customFormat="1" ht="15" customHeight="1">
      <c r="A763" s="555" t="s">
        <v>1571</v>
      </c>
      <c r="B763" s="217" t="str">
        <f t="shared" si="715"/>
        <v>125</v>
      </c>
      <c r="C763" s="217" t="str">
        <f t="shared" si="716"/>
        <v>00</v>
      </c>
      <c r="D763" s="101" t="str">
        <f t="shared" si="717"/>
        <v>000</v>
      </c>
      <c r="E763" s="217" t="str">
        <f t="shared" si="718"/>
        <v>125-00-000</v>
      </c>
      <c r="F763" s="294" t="str">
        <f t="shared" si="719"/>
        <v>48565</v>
      </c>
      <c r="G763" s="295" t="str">
        <f>VLOOKUP(F763,'GL Category'!A:C,3,FALSE)</f>
        <v>OTHER REVENUE</v>
      </c>
      <c r="H763" s="98" t="str">
        <f>VLOOKUP(F763,'GL Category'!A:C,2,FALSE)</f>
        <v>DONATIONS-SR SVS</v>
      </c>
      <c r="I763" s="99">
        <f>SUMIF(Import!$B:$B,$A763,Import!D:D)</f>
        <v>0</v>
      </c>
      <c r="J763" s="99">
        <f>SUMIF(Import!$B:$B,$A763,Import!E:E)</f>
        <v>0</v>
      </c>
      <c r="K763" s="99">
        <f>SUMIF(Import!$B:$B,$A763,Import!F:F)</f>
        <v>0</v>
      </c>
      <c r="L763" s="99">
        <f>SUMIF(Import!$B:$B,$A763,Import!G:G)</f>
        <v>0</v>
      </c>
      <c r="M763" s="99">
        <f>SUMIF(Import!$B:$B,$A763,Import!H:H)</f>
        <v>0</v>
      </c>
      <c r="N763" s="99">
        <f>SUMIF(Import!$B:$B,$A763,Import!I:I)</f>
        <v>0</v>
      </c>
      <c r="O763" s="99">
        <f>SUMIF(Import!$B:$B,$A763,Import!J:J)</f>
        <v>0</v>
      </c>
      <c r="P763" s="99">
        <f t="shared" si="720"/>
        <v>0</v>
      </c>
      <c r="Q763" s="99">
        <f>SUMIF(Import!$B:$B,$A763,Import!K:K)</f>
        <v>0</v>
      </c>
      <c r="R763" s="99">
        <f>SUMIF(Import!$B:$B,$A763,Import!L:L)</f>
        <v>0</v>
      </c>
      <c r="S763" s="99">
        <f>SUMIF(Import!$B:$B,$A763,Import!M:M)</f>
        <v>0</v>
      </c>
      <c r="T763" s="99">
        <f>SUMIF(Import!$B:$B,$A763,Import!N:N)</f>
        <v>0</v>
      </c>
      <c r="U763" s="99">
        <f t="shared" si="721"/>
        <v>0</v>
      </c>
      <c r="V763" s="255" t="str">
        <f t="shared" si="722"/>
        <v>N/A</v>
      </c>
      <c r="W763" s="102" t="s">
        <v>1571</v>
      </c>
      <c r="X763" s="148"/>
      <c r="Y763" s="267"/>
      <c r="Z763" s="121"/>
      <c r="AA763" s="121"/>
      <c r="AB763" s="121"/>
      <c r="AC763" s="121"/>
      <c r="AD763" s="121"/>
      <c r="AE763" s="121"/>
      <c r="AF763" s="121"/>
      <c r="AG763" s="121"/>
      <c r="AH763" s="121"/>
      <c r="AI763" s="121"/>
      <c r="AJ763" s="121"/>
      <c r="AK763" s="121"/>
      <c r="AL763" s="121"/>
    </row>
    <row r="764" spans="1:38" s="115" customFormat="1" ht="15" customHeight="1">
      <c r="A764" s="555" t="s">
        <v>1572</v>
      </c>
      <c r="B764" s="217" t="str">
        <f t="shared" ref="B764" si="731">LEFT(A764,3)</f>
        <v>125</v>
      </c>
      <c r="C764" s="217" t="str">
        <f t="shared" ref="C764" si="732">MID(A764,5,2)</f>
        <v>00</v>
      </c>
      <c r="D764" s="101" t="str">
        <f t="shared" ref="D764" si="733">MID(A764,8,3)</f>
        <v>000</v>
      </c>
      <c r="E764" s="217" t="str">
        <f t="shared" ref="E764" si="734">LEFT(A764,10)</f>
        <v>125-00-000</v>
      </c>
      <c r="F764" s="294" t="str">
        <f t="shared" ref="F764" si="735">RIGHT(A764,5)</f>
        <v>48570</v>
      </c>
      <c r="G764" s="295" t="str">
        <f>VLOOKUP(F764,'GL Category'!A:C,3,FALSE)</f>
        <v>OTHER REVENUE</v>
      </c>
      <c r="H764" s="98" t="str">
        <f>VLOOKUP(F764,'GL Category'!A:C,2,FALSE)</f>
        <v>DONATIONS-PARKS</v>
      </c>
      <c r="I764" s="99">
        <f>SUMIF(Import!$B:$B,$A764,Import!D:D)</f>
        <v>0</v>
      </c>
      <c r="J764" s="99">
        <f>SUMIF(Import!$B:$B,$A764,Import!E:E)</f>
        <v>0</v>
      </c>
      <c r="K764" s="99">
        <f>SUMIF(Import!$B:$B,$A764,Import!F:F)</f>
        <v>0</v>
      </c>
      <c r="L764" s="99">
        <f>SUMIF(Import!$B:$B,$A764,Import!G:G)</f>
        <v>0</v>
      </c>
      <c r="M764" s="99">
        <f>SUMIF(Import!$B:$B,$A764,Import!H:H)</f>
        <v>0</v>
      </c>
      <c r="N764" s="99">
        <f>SUMIF(Import!$B:$B,$A764,Import!I:I)</f>
        <v>0</v>
      </c>
      <c r="O764" s="99">
        <f>SUMIF(Import!$B:$B,$A764,Import!J:J)</f>
        <v>0</v>
      </c>
      <c r="P764" s="99">
        <f t="shared" ref="P764" si="736">O764-M764</f>
        <v>0</v>
      </c>
      <c r="Q764" s="99">
        <f>SUMIF(Import!$B:$B,$A764,Import!K:K)</f>
        <v>0</v>
      </c>
      <c r="R764" s="99">
        <f>SUMIF(Import!$B:$B,$A764,Import!L:L)</f>
        <v>0</v>
      </c>
      <c r="S764" s="99">
        <f>SUMIF(Import!$B:$B,$A764,Import!M:M)</f>
        <v>0</v>
      </c>
      <c r="T764" s="99">
        <f>SUMIF(Import!$B:$B,$A764,Import!N:N)</f>
        <v>0</v>
      </c>
      <c r="U764" s="99">
        <f t="shared" ref="U764" si="737">T764-M764</f>
        <v>0</v>
      </c>
      <c r="V764" s="255" t="str">
        <f t="shared" ref="V764" si="738">IF(M764=0,"N/A",T764/M764-1)</f>
        <v>N/A</v>
      </c>
      <c r="W764" s="102" t="s">
        <v>1572</v>
      </c>
      <c r="X764" s="148"/>
      <c r="Y764" s="267"/>
      <c r="Z764" s="121"/>
      <c r="AA764" s="121"/>
      <c r="AB764" s="121"/>
      <c r="AC764" s="121"/>
      <c r="AD764" s="121"/>
      <c r="AE764" s="121"/>
      <c r="AF764" s="121"/>
      <c r="AG764" s="121"/>
      <c r="AH764" s="121"/>
      <c r="AI764" s="121"/>
      <c r="AJ764" s="121"/>
      <c r="AK764" s="121"/>
      <c r="AL764" s="121"/>
    </row>
    <row r="765" spans="1:38" s="115" customFormat="1" ht="15" customHeight="1">
      <c r="A765" s="555" t="s">
        <v>3337</v>
      </c>
      <c r="B765" s="217" t="str">
        <f t="shared" si="715"/>
        <v>125</v>
      </c>
      <c r="C765" s="217" t="str">
        <f t="shared" si="716"/>
        <v>00</v>
      </c>
      <c r="D765" s="101" t="str">
        <f t="shared" si="717"/>
        <v>000</v>
      </c>
      <c r="E765" s="217" t="str">
        <f t="shared" si="718"/>
        <v>125-00-000</v>
      </c>
      <c r="F765" s="294" t="str">
        <f t="shared" si="719"/>
        <v>48569</v>
      </c>
      <c r="G765" s="295" t="str">
        <f>VLOOKUP(F765,'GL Category'!A:C,3,FALSE)</f>
        <v>REVENUE</v>
      </c>
      <c r="H765" s="98" t="str">
        <f>VLOOKUP(F765,'GL Category'!A:C,2,FALSE)</f>
        <v>DONATIONS-MISC</v>
      </c>
      <c r="I765" s="99">
        <f>SUMIF(Import!$B:$B,$A765,Import!D:D)</f>
        <v>-4000</v>
      </c>
      <c r="J765" s="99">
        <f>SUMIF(Import!$B:$B,$A765,Import!E:E)</f>
        <v>0</v>
      </c>
      <c r="K765" s="99">
        <f>SUMIF(Import!$B:$B,$A765,Import!F:F)</f>
        <v>-1000</v>
      </c>
      <c r="L765" s="99">
        <f>SUMIF(Import!$B:$B,$A765,Import!G:G)</f>
        <v>-2000</v>
      </c>
      <c r="M765" s="99">
        <f>SUMIF(Import!$B:$B,$A765,Import!H:H)</f>
        <v>0</v>
      </c>
      <c r="N765" s="99">
        <f>SUMIF(Import!$B:$B,$A765,Import!I:I)</f>
        <v>-17100</v>
      </c>
      <c r="O765" s="99">
        <f>SUMIF(Import!$B:$B,$A765,Import!J:J)</f>
        <v>-18000</v>
      </c>
      <c r="P765" s="99">
        <f t="shared" si="720"/>
        <v>-18000</v>
      </c>
      <c r="Q765" s="99">
        <f>SUMIF(Import!$B:$B,$A765,Import!K:K)</f>
        <v>0</v>
      </c>
      <c r="R765" s="99">
        <f>SUMIF(Import!$B:$B,$A765,Import!L:L)</f>
        <v>0</v>
      </c>
      <c r="S765" s="99">
        <f>SUMIF(Import!$B:$B,$A765,Import!M:M)</f>
        <v>0</v>
      </c>
      <c r="T765" s="99">
        <f>SUMIF(Import!$B:$B,$A765,Import!N:N)</f>
        <v>0</v>
      </c>
      <c r="U765" s="99">
        <f t="shared" si="721"/>
        <v>0</v>
      </c>
      <c r="V765" s="255" t="str">
        <f t="shared" si="722"/>
        <v>N/A</v>
      </c>
      <c r="W765" s="102" t="s">
        <v>1572</v>
      </c>
      <c r="X765" s="148"/>
      <c r="Y765" s="267"/>
      <c r="Z765" s="121"/>
      <c r="AA765" s="121"/>
      <c r="AB765" s="121"/>
      <c r="AC765" s="121"/>
      <c r="AD765" s="121"/>
      <c r="AE765" s="121"/>
      <c r="AF765" s="121"/>
      <c r="AG765" s="121"/>
      <c r="AH765" s="121"/>
      <c r="AI765" s="121"/>
      <c r="AJ765" s="121"/>
      <c r="AK765" s="121"/>
      <c r="AL765" s="121"/>
    </row>
    <row r="766" spans="1:38" s="115" customFormat="1" ht="15" customHeight="1">
      <c r="A766" s="555" t="s">
        <v>3522</v>
      </c>
      <c r="B766" s="217" t="str">
        <f t="shared" ref="B766" si="739">LEFT(A766,3)</f>
        <v>125</v>
      </c>
      <c r="C766" s="217" t="str">
        <f t="shared" ref="C766" si="740">MID(A766,5,2)</f>
        <v>00</v>
      </c>
      <c r="D766" s="101" t="str">
        <f t="shared" ref="D766" si="741">MID(A766,8,3)</f>
        <v>000</v>
      </c>
      <c r="E766" s="217" t="str">
        <f t="shared" ref="E766" si="742">LEFT(A766,10)</f>
        <v>125-00-000</v>
      </c>
      <c r="F766" s="294" t="str">
        <f t="shared" ref="F766" si="743">RIGHT(A766,5)</f>
        <v>49160</v>
      </c>
      <c r="G766" s="295" t="s">
        <v>916</v>
      </c>
      <c r="H766" s="98" t="str">
        <f>VLOOKUP(F766,'GL Category'!A:C,2,FALSE)</f>
        <v>TRANSFER FROM GRANT FUND</v>
      </c>
      <c r="I766" s="99">
        <f>SUMIF(Import!$B:$B,$A766,Import!D:D)</f>
        <v>0</v>
      </c>
      <c r="J766" s="99">
        <f>SUMIF(Import!$B:$B,$A766,Import!E:E)</f>
        <v>0</v>
      </c>
      <c r="K766" s="99">
        <f>SUMIF(Import!$B:$B,$A766,Import!F:F)</f>
        <v>0</v>
      </c>
      <c r="L766" s="99">
        <f>SUMIF(Import!$B:$B,$A766,Import!G:G)</f>
        <v>-698718</v>
      </c>
      <c r="M766" s="99">
        <f>SUMIF(Import!$B:$B,$A766,Import!H:H)</f>
        <v>0</v>
      </c>
      <c r="N766" s="99">
        <f>SUMIF(Import!$B:$B,$A766,Import!I:I)</f>
        <v>0</v>
      </c>
      <c r="O766" s="99">
        <f>SUMIF(Import!$B:$B,$A766,Import!J:J)</f>
        <v>0</v>
      </c>
      <c r="P766" s="99">
        <f t="shared" ref="P766" si="744">O766-M766</f>
        <v>0</v>
      </c>
      <c r="Q766" s="99">
        <f>SUMIF(Import!$B:$B,$A766,Import!K:K)</f>
        <v>0</v>
      </c>
      <c r="R766" s="99">
        <f>SUMIF(Import!$B:$B,$A766,Import!L:L)</f>
        <v>0</v>
      </c>
      <c r="S766" s="99">
        <f>SUMIF(Import!$B:$B,$A766,Import!M:M)</f>
        <v>0</v>
      </c>
      <c r="T766" s="99">
        <f>SUMIF(Import!$B:$B,$A766,Import!N:N)</f>
        <v>0</v>
      </c>
      <c r="U766" s="99">
        <f t="shared" ref="U766" si="745">T766-M766</f>
        <v>0</v>
      </c>
      <c r="V766" s="255" t="str">
        <f t="shared" ref="V766" si="746">IF(M766=0,"N/A",T766/M766-1)</f>
        <v>N/A</v>
      </c>
      <c r="W766" s="102" t="s">
        <v>1573</v>
      </c>
      <c r="X766" s="148"/>
      <c r="Y766" s="267"/>
      <c r="Z766" s="121"/>
      <c r="AA766" s="121"/>
      <c r="AB766" s="121"/>
      <c r="AC766" s="121"/>
      <c r="AD766" s="121"/>
      <c r="AE766" s="121"/>
      <c r="AF766" s="121"/>
      <c r="AG766" s="121"/>
      <c r="AH766" s="121"/>
      <c r="AI766" s="121"/>
      <c r="AJ766" s="121"/>
      <c r="AK766" s="121"/>
      <c r="AL766" s="121"/>
    </row>
    <row r="767" spans="1:38" s="115" customFormat="1" ht="15" customHeight="1">
      <c r="A767" s="555" t="s">
        <v>1573</v>
      </c>
      <c r="B767" s="217" t="str">
        <f t="shared" si="715"/>
        <v>125</v>
      </c>
      <c r="C767" s="217" t="str">
        <f t="shared" si="716"/>
        <v>00</v>
      </c>
      <c r="D767" s="101" t="str">
        <f t="shared" si="717"/>
        <v>000</v>
      </c>
      <c r="E767" s="217" t="str">
        <f t="shared" si="718"/>
        <v>125-00-000</v>
      </c>
      <c r="F767" s="294" t="str">
        <f t="shared" si="719"/>
        <v>49999</v>
      </c>
      <c r="G767" s="295" t="s">
        <v>916</v>
      </c>
      <c r="H767" s="98" t="str">
        <f>VLOOKUP(F767,'GL Category'!A:C,2,FALSE)</f>
        <v>USE OF FUND BALANCE</v>
      </c>
      <c r="I767" s="99">
        <f>SUMIF(Import!$B:$B,$A767,Import!D:D)</f>
        <v>78350.92</v>
      </c>
      <c r="J767" s="99">
        <f>SUMIF(Import!$B:$B,$A767,Import!E:E)</f>
        <v>0</v>
      </c>
      <c r="K767" s="99">
        <f>SUMIF(Import!$B:$B,$A767,Import!F:F)</f>
        <v>-1029539.48</v>
      </c>
      <c r="L767" s="99">
        <f>SUMIF(Import!$B:$B,$A767,Import!G:G)</f>
        <v>-869057.5</v>
      </c>
      <c r="M767" s="99">
        <f>SUMIF(Import!$B:$B,$A767,Import!H:H)</f>
        <v>0</v>
      </c>
      <c r="N767" s="99">
        <f>SUMIF(Import!$B:$B,$A767,Import!I:I)</f>
        <v>0</v>
      </c>
      <c r="O767" s="99">
        <f>SUMIF(Import!$B:$B,$A767,Import!J:J)</f>
        <v>0</v>
      </c>
      <c r="P767" s="99">
        <f t="shared" si="720"/>
        <v>0</v>
      </c>
      <c r="Q767" s="99">
        <f>SUMIF(Import!$B:$B,$A767,Import!K:K)</f>
        <v>0</v>
      </c>
      <c r="R767" s="99">
        <f>SUMIF(Import!$B:$B,$A767,Import!L:L)</f>
        <v>0</v>
      </c>
      <c r="S767" s="99">
        <f>SUMIF(Import!$B:$B,$A767,Import!M:M)</f>
        <v>0</v>
      </c>
      <c r="T767" s="99">
        <f>SUMIF(Import!$B:$B,$A767,Import!N:N)</f>
        <v>0</v>
      </c>
      <c r="U767" s="99">
        <f t="shared" si="721"/>
        <v>0</v>
      </c>
      <c r="V767" s="255" t="str">
        <f t="shared" si="722"/>
        <v>N/A</v>
      </c>
      <c r="W767" s="102" t="s">
        <v>1573</v>
      </c>
      <c r="X767" s="148"/>
      <c r="Y767" s="267"/>
      <c r="Z767" s="121"/>
      <c r="AA767" s="121"/>
      <c r="AB767" s="121"/>
      <c r="AC767" s="121"/>
      <c r="AD767" s="121"/>
      <c r="AE767" s="121"/>
      <c r="AF767" s="121"/>
      <c r="AG767" s="121"/>
      <c r="AH767" s="121"/>
      <c r="AI767" s="121"/>
      <c r="AJ767" s="121"/>
      <c r="AK767" s="121"/>
      <c r="AL767" s="121"/>
    </row>
    <row r="768" spans="1:38" s="115" customFormat="1" ht="15" customHeight="1">
      <c r="A768" s="555"/>
      <c r="B768" s="217"/>
      <c r="C768" s="217"/>
      <c r="D768" s="101"/>
      <c r="E768" s="217"/>
      <c r="F768" s="294"/>
      <c r="G768" s="146"/>
      <c r="H768" s="107" t="str">
        <f>UPPER(G767)&amp;" TOTAL"</f>
        <v>REVENUE TOTAL</v>
      </c>
      <c r="I768" s="108">
        <f t="shared" ref="I768" si="747">SUBTOTAL(9,I733:I767)</f>
        <v>-1886476.2700000003</v>
      </c>
      <c r="J768" s="108">
        <f t="shared" ref="J768:P768" si="748">SUBTOTAL(9,J733:J767)</f>
        <v>-2585189.9400000009</v>
      </c>
      <c r="K768" s="108">
        <f t="shared" ref="K768" si="749">SUBTOTAL(9,K733:K767)</f>
        <v>-3637345.44</v>
      </c>
      <c r="L768" s="108">
        <f t="shared" ref="L768" si="750">SUBTOTAL(9,L733:L767)</f>
        <v>-4683478.0200000005</v>
      </c>
      <c r="M768" s="108">
        <f t="shared" si="748"/>
        <v>-3102806</v>
      </c>
      <c r="N768" s="109">
        <f t="shared" ref="N768" si="751">SUBTOTAL(9,N733:N767)</f>
        <v>-2757754.2100000004</v>
      </c>
      <c r="O768" s="109">
        <f t="shared" si="748"/>
        <v>-3233996</v>
      </c>
      <c r="P768" s="109">
        <f t="shared" si="748"/>
        <v>-131190</v>
      </c>
      <c r="Q768" s="109">
        <f t="shared" ref="Q768:T768" si="752">SUBTOTAL(9,Q733:Q767)</f>
        <v>-3240666</v>
      </c>
      <c r="R768" s="109">
        <f t="shared" si="752"/>
        <v>-151000</v>
      </c>
      <c r="S768" s="109">
        <f t="shared" si="752"/>
        <v>0</v>
      </c>
      <c r="T768" s="109">
        <f t="shared" si="752"/>
        <v>-3391666</v>
      </c>
      <c r="U768" s="99">
        <f>T768-M768</f>
        <v>-288860</v>
      </c>
      <c r="V768" s="259">
        <f>IF(M768=0,"N/A",T768/M768-1)</f>
        <v>9.3096377923724605E-2</v>
      </c>
      <c r="W768" s="104"/>
      <c r="X768" s="148"/>
      <c r="Y768" s="267"/>
      <c r="Z768" s="121"/>
      <c r="AA768" s="121"/>
      <c r="AB768" s="121"/>
      <c r="AC768" s="121"/>
      <c r="AD768" s="121"/>
      <c r="AE768" s="121"/>
      <c r="AF768" s="121"/>
      <c r="AG768" s="121"/>
      <c r="AH768" s="121"/>
      <c r="AI768" s="121"/>
      <c r="AJ768" s="121"/>
      <c r="AK768" s="121"/>
      <c r="AL768" s="121"/>
    </row>
    <row r="769" spans="1:38" s="115" customFormat="1" ht="15" customHeight="1">
      <c r="A769" s="555"/>
      <c r="B769" s="217"/>
      <c r="C769" s="217"/>
      <c r="D769" s="101"/>
      <c r="E769" s="217"/>
      <c r="F769" s="294"/>
      <c r="G769" s="146"/>
      <c r="H769" s="232"/>
      <c r="I769" s="233"/>
      <c r="J769" s="233"/>
      <c r="K769" s="233"/>
      <c r="L769" s="233"/>
      <c r="M769" s="233"/>
      <c r="N769" s="202"/>
      <c r="O769" s="202"/>
      <c r="P769" s="202"/>
      <c r="Q769" s="202"/>
      <c r="R769" s="202"/>
      <c r="S769" s="202"/>
      <c r="T769" s="202"/>
      <c r="U769" s="202"/>
      <c r="V769" s="202"/>
      <c r="W769" s="104"/>
      <c r="X769" s="148"/>
      <c r="Y769" s="267"/>
      <c r="Z769" s="121"/>
      <c r="AA769" s="121"/>
      <c r="AB769" s="121"/>
      <c r="AC769" s="121"/>
      <c r="AD769" s="121"/>
      <c r="AE769" s="121"/>
      <c r="AF769" s="121"/>
      <c r="AG769" s="121"/>
      <c r="AH769" s="121"/>
      <c r="AI769" s="121"/>
      <c r="AJ769" s="121"/>
      <c r="AK769" s="121"/>
      <c r="AL769" s="121"/>
    </row>
    <row r="770" spans="1:38" s="115" customFormat="1" ht="15" customHeight="1" thickBot="1">
      <c r="A770" s="555"/>
      <c r="B770" s="217"/>
      <c r="C770" s="217"/>
      <c r="D770" s="101"/>
      <c r="E770" s="217"/>
      <c r="F770" s="294"/>
      <c r="G770" s="146"/>
      <c r="H770" s="98"/>
      <c r="I770" s="106"/>
      <c r="J770" s="106"/>
      <c r="K770" s="106"/>
      <c r="L770" s="106"/>
      <c r="M770" s="106"/>
      <c r="N770" s="112"/>
      <c r="O770" s="112"/>
      <c r="P770" s="112"/>
      <c r="Q770" s="113"/>
      <c r="R770" s="113"/>
      <c r="S770" s="113"/>
      <c r="T770" s="113"/>
      <c r="U770" s="113"/>
      <c r="V770" s="113"/>
      <c r="W770" s="104"/>
      <c r="X770" s="148"/>
      <c r="Y770" s="267"/>
      <c r="Z770" s="121"/>
      <c r="AA770" s="121"/>
      <c r="AB770" s="121"/>
      <c r="AC770" s="121"/>
      <c r="AD770" s="121"/>
      <c r="AE770" s="121"/>
      <c r="AF770" s="121"/>
      <c r="AG770" s="121"/>
      <c r="AH770" s="121"/>
      <c r="AI770" s="121"/>
      <c r="AJ770" s="121"/>
      <c r="AK770" s="121"/>
      <c r="AL770" s="121"/>
    </row>
    <row r="771" spans="1:38" s="115" customFormat="1" ht="23.4" customHeight="1" thickBot="1">
      <c r="A771" s="555"/>
      <c r="B771" s="217"/>
      <c r="C771" s="217"/>
      <c r="D771" s="101"/>
      <c r="E771" s="217"/>
      <c r="F771" s="294"/>
      <c r="G771" s="146"/>
      <c r="H771" s="665" t="s">
        <v>83</v>
      </c>
      <c r="I771" s="666"/>
      <c r="J771" s="666"/>
      <c r="K771" s="666"/>
      <c r="L771" s="666"/>
      <c r="M771" s="666"/>
      <c r="N771" s="666"/>
      <c r="O771" s="666"/>
      <c r="P771" s="666"/>
      <c r="Q771" s="666"/>
      <c r="R771" s="666"/>
      <c r="S771" s="666"/>
      <c r="T771" s="667"/>
      <c r="U771" s="247"/>
      <c r="V771" s="261"/>
      <c r="W771" s="104"/>
      <c r="X771" s="148"/>
      <c r="Y771" s="267"/>
      <c r="Z771" s="121"/>
      <c r="AA771" s="121"/>
      <c r="AB771" s="121"/>
      <c r="AC771" s="121"/>
      <c r="AD771" s="121"/>
      <c r="AE771" s="121"/>
      <c r="AF771" s="121"/>
      <c r="AG771" s="121"/>
      <c r="AH771" s="121"/>
      <c r="AI771" s="121"/>
      <c r="AJ771" s="121"/>
      <c r="AK771" s="121"/>
      <c r="AL771" s="121"/>
    </row>
    <row r="772" spans="1:38" s="115" customFormat="1" ht="15" customHeight="1">
      <c r="A772" s="555"/>
      <c r="B772" s="217"/>
      <c r="C772" s="217"/>
      <c r="D772" s="101"/>
      <c r="E772" s="217"/>
      <c r="F772" s="294"/>
      <c r="G772" s="146"/>
      <c r="H772" s="225"/>
      <c r="I772" s="225"/>
      <c r="J772" s="225"/>
      <c r="K772" s="225"/>
      <c r="L772" s="225"/>
      <c r="M772" s="225"/>
      <c r="N772" s="225"/>
      <c r="O772" s="225"/>
      <c r="P772" s="225"/>
      <c r="Q772" s="225"/>
      <c r="R772" s="225"/>
      <c r="S772" s="225"/>
      <c r="T772" s="225"/>
      <c r="U772" s="225"/>
      <c r="V772" s="260"/>
      <c r="W772" s="104"/>
      <c r="X772" s="148"/>
      <c r="Y772" s="267"/>
      <c r="Z772" s="121"/>
      <c r="AA772" s="121"/>
      <c r="AB772" s="121"/>
      <c r="AC772" s="121"/>
      <c r="AD772" s="121"/>
      <c r="AE772" s="121"/>
      <c r="AF772" s="121"/>
      <c r="AG772" s="121"/>
      <c r="AH772" s="121"/>
      <c r="AI772" s="121"/>
      <c r="AJ772" s="121"/>
      <c r="AK772" s="121"/>
      <c r="AL772" s="121"/>
    </row>
    <row r="773" spans="1:38" s="115" customFormat="1" ht="15" customHeight="1">
      <c r="A773" s="555" t="s">
        <v>1574</v>
      </c>
      <c r="B773" s="217" t="str">
        <f t="shared" si="715"/>
        <v>125</v>
      </c>
      <c r="C773" s="217" t="str">
        <f t="shared" si="716"/>
        <v>65</v>
      </c>
      <c r="D773" s="101" t="str">
        <f t="shared" si="717"/>
        <v>651</v>
      </c>
      <c r="E773" s="217" t="str">
        <f t="shared" si="718"/>
        <v>125-65-651</v>
      </c>
      <c r="F773" s="294" t="str">
        <f t="shared" si="719"/>
        <v>50101</v>
      </c>
      <c r="G773" s="295" t="str">
        <f>VLOOKUP(F773,'GL Category'!A:C,3,FALSE)</f>
        <v>Personnel services</v>
      </c>
      <c r="H773" s="98" t="str">
        <f>VLOOKUP(F773,'GL Category'!A:C,2,FALSE)</f>
        <v>EXEMPT SALARIES</v>
      </c>
      <c r="I773" s="99">
        <f>SUMIF(Import!$B:$B,$A773,Import!D:D)</f>
        <v>71964.33</v>
      </c>
      <c r="J773" s="99">
        <f>SUMIF(Import!$B:$B,$A773,Import!E:E)</f>
        <v>102481.23</v>
      </c>
      <c r="K773" s="99">
        <f>SUMIF(Import!$B:$B,$A773,Import!F:F)</f>
        <v>167486.91</v>
      </c>
      <c r="L773" s="99">
        <f>SUMIF(Import!$B:$B,$A773,Import!G:G)</f>
        <v>184532.58</v>
      </c>
      <c r="M773" s="99">
        <f>SUMIF(Import!$B:$B,$A773,Import!H:H)</f>
        <v>191612</v>
      </c>
      <c r="N773" s="99">
        <f>SUMIF(Import!$B:$B,$A773,Import!I:I)</f>
        <v>146812.79</v>
      </c>
      <c r="O773" s="99">
        <f>SUMIF(Import!$B:$B,$A773,Import!J:J)</f>
        <v>192724</v>
      </c>
      <c r="P773" s="99">
        <f t="shared" ref="P773:P783" si="753">O773-M773</f>
        <v>1112</v>
      </c>
      <c r="Q773" s="99">
        <f>SUMIF(Import!$B:$B,$A773,Import!K:K)</f>
        <v>199344</v>
      </c>
      <c r="R773" s="99">
        <f>SUMIF(Import!$B:$B,$A773,Import!L:L)</f>
        <v>0</v>
      </c>
      <c r="S773" s="99">
        <f>SUMIF(Import!$B:$B,$A773,Import!M:M)</f>
        <v>0</v>
      </c>
      <c r="T773" s="99">
        <f>SUMIF(Import!$B:$B,$A773,Import!N:N)</f>
        <v>199344</v>
      </c>
      <c r="U773" s="99">
        <f t="shared" ref="U773:U783" si="754">T773-M773</f>
        <v>7732</v>
      </c>
      <c r="V773" s="255">
        <f t="shared" ref="V773:V783" si="755">IF(M773=0,"N/A",T773/M773-1)</f>
        <v>4.0352378765421859E-2</v>
      </c>
      <c r="W773" s="102" t="s">
        <v>1574</v>
      </c>
      <c r="X773" s="148"/>
      <c r="Y773" s="267"/>
      <c r="Z773" s="121"/>
      <c r="AA773" s="121"/>
      <c r="AB773" s="121"/>
      <c r="AC773" s="121"/>
      <c r="AD773" s="121"/>
      <c r="AE773" s="121"/>
      <c r="AF773" s="121"/>
      <c r="AG773" s="121"/>
      <c r="AH773" s="121"/>
      <c r="AI773" s="121"/>
      <c r="AJ773" s="121"/>
      <c r="AK773" s="121"/>
      <c r="AL773" s="121"/>
    </row>
    <row r="774" spans="1:38" s="115" customFormat="1" ht="15" customHeight="1">
      <c r="A774" s="555" t="s">
        <v>1575</v>
      </c>
      <c r="B774" s="217" t="str">
        <f t="shared" si="715"/>
        <v>125</v>
      </c>
      <c r="C774" s="217" t="str">
        <f t="shared" si="716"/>
        <v>65</v>
      </c>
      <c r="D774" s="101" t="str">
        <f t="shared" si="717"/>
        <v>651</v>
      </c>
      <c r="E774" s="217" t="str">
        <f t="shared" si="718"/>
        <v>125-65-651</v>
      </c>
      <c r="F774" s="294" t="str">
        <f t="shared" si="719"/>
        <v>50102</v>
      </c>
      <c r="G774" s="295" t="str">
        <f>VLOOKUP(F774,'GL Category'!A:C,3,FALSE)</f>
        <v>Personnel services</v>
      </c>
      <c r="H774" s="98" t="str">
        <f>VLOOKUP(F774,'GL Category'!A:C,2,FALSE)</f>
        <v>NON EXEMPT SALARIES</v>
      </c>
      <c r="I774" s="99">
        <f>SUMIF(Import!$B:$B,$A774,Import!D:D)</f>
        <v>89703.63</v>
      </c>
      <c r="J774" s="99">
        <f>SUMIF(Import!$B:$B,$A774,Import!E:E)</f>
        <v>59539.74</v>
      </c>
      <c r="K774" s="99">
        <f>SUMIF(Import!$B:$B,$A774,Import!F:F)</f>
        <v>30075.73</v>
      </c>
      <c r="L774" s="99">
        <f>SUMIF(Import!$B:$B,$A774,Import!G:G)</f>
        <v>37949.300000000003</v>
      </c>
      <c r="M774" s="99">
        <f>SUMIF(Import!$B:$B,$A774,Import!H:H)</f>
        <v>39806</v>
      </c>
      <c r="N774" s="99">
        <f>SUMIF(Import!$B:$B,$A774,Import!I:I)</f>
        <v>26443.95</v>
      </c>
      <c r="O774" s="99">
        <f>SUMIF(Import!$B:$B,$A774,Import!J:J)</f>
        <v>33000</v>
      </c>
      <c r="P774" s="99">
        <f t="shared" si="753"/>
        <v>-6806</v>
      </c>
      <c r="Q774" s="99">
        <f>SUMIF(Import!$B:$B,$A774,Import!K:K)</f>
        <v>0</v>
      </c>
      <c r="R774" s="99">
        <f>SUMIF(Import!$B:$B,$A774,Import!L:L)</f>
        <v>0</v>
      </c>
      <c r="S774" s="99">
        <f>SUMIF(Import!$B:$B,$A774,Import!M:M)</f>
        <v>0</v>
      </c>
      <c r="T774" s="99">
        <f>SUMIF(Import!$B:$B,$A774,Import!N:N)</f>
        <v>0</v>
      </c>
      <c r="U774" s="99">
        <f t="shared" si="754"/>
        <v>-39806</v>
      </c>
      <c r="V774" s="255">
        <f t="shared" si="755"/>
        <v>-1</v>
      </c>
      <c r="W774" s="102" t="s">
        <v>1575</v>
      </c>
      <c r="X774" s="148"/>
      <c r="Y774" s="267"/>
      <c r="Z774" s="121"/>
      <c r="AA774" s="121"/>
      <c r="AB774" s="121"/>
      <c r="AC774" s="121"/>
      <c r="AD774" s="121"/>
      <c r="AE774" s="121"/>
      <c r="AF774" s="121"/>
      <c r="AG774" s="121"/>
      <c r="AH774" s="121"/>
      <c r="AI774" s="121"/>
      <c r="AJ774" s="121"/>
      <c r="AK774" s="121"/>
      <c r="AL774" s="121"/>
    </row>
    <row r="775" spans="1:38" s="115" customFormat="1" ht="15" customHeight="1">
      <c r="A775" s="555" t="s">
        <v>1576</v>
      </c>
      <c r="B775" s="217" t="str">
        <f t="shared" si="715"/>
        <v>125</v>
      </c>
      <c r="C775" s="217" t="str">
        <f t="shared" si="716"/>
        <v>65</v>
      </c>
      <c r="D775" s="101" t="str">
        <f t="shared" si="717"/>
        <v>651</v>
      </c>
      <c r="E775" s="217" t="str">
        <f t="shared" si="718"/>
        <v>125-65-651</v>
      </c>
      <c r="F775" s="294" t="str">
        <f t="shared" si="719"/>
        <v>50109</v>
      </c>
      <c r="G775" s="295" t="str">
        <f>VLOOKUP(F775,'GL Category'!A:C,3,FALSE)</f>
        <v>Personnel services</v>
      </c>
      <c r="H775" s="98" t="str">
        <f>VLOOKUP(F775,'GL Category'!A:C,2,FALSE)</f>
        <v>OVERTIME</v>
      </c>
      <c r="I775" s="99">
        <f>SUMIF(Import!$B:$B,$A775,Import!D:D)</f>
        <v>8.3699999999999992</v>
      </c>
      <c r="J775" s="99">
        <f>SUMIF(Import!$B:$B,$A775,Import!E:E)</f>
        <v>39.659999999999997</v>
      </c>
      <c r="K775" s="99">
        <f>SUMIF(Import!$B:$B,$A775,Import!F:F)</f>
        <v>39.020000000000003</v>
      </c>
      <c r="L775" s="99">
        <f>SUMIF(Import!$B:$B,$A775,Import!G:G)</f>
        <v>13.66</v>
      </c>
      <c r="M775" s="99">
        <f>SUMIF(Import!$B:$B,$A775,Import!H:H)</f>
        <v>500</v>
      </c>
      <c r="N775" s="99">
        <f>SUMIF(Import!$B:$B,$A775,Import!I:I)</f>
        <v>13.97</v>
      </c>
      <c r="O775" s="99">
        <f>SUMIF(Import!$B:$B,$A775,Import!J:J)</f>
        <v>11</v>
      </c>
      <c r="P775" s="99">
        <f t="shared" si="753"/>
        <v>-489</v>
      </c>
      <c r="Q775" s="99">
        <f>SUMIF(Import!$B:$B,$A775,Import!K:K)</f>
        <v>500</v>
      </c>
      <c r="R775" s="99">
        <f>SUMIF(Import!$B:$B,$A775,Import!L:L)</f>
        <v>0</v>
      </c>
      <c r="S775" s="99">
        <f>SUMIF(Import!$B:$B,$A775,Import!M:M)</f>
        <v>0</v>
      </c>
      <c r="T775" s="99">
        <f>SUMIF(Import!$B:$B,$A775,Import!N:N)</f>
        <v>500</v>
      </c>
      <c r="U775" s="99">
        <f t="shared" si="754"/>
        <v>0</v>
      </c>
      <c r="V775" s="255">
        <f t="shared" si="755"/>
        <v>0</v>
      </c>
      <c r="W775" s="102" t="s">
        <v>1576</v>
      </c>
      <c r="X775" s="148"/>
      <c r="Y775" s="267"/>
      <c r="Z775" s="121"/>
      <c r="AA775" s="121"/>
      <c r="AB775" s="121"/>
      <c r="AC775" s="121"/>
      <c r="AD775" s="121"/>
      <c r="AE775" s="121"/>
      <c r="AF775" s="121"/>
      <c r="AG775" s="121"/>
      <c r="AH775" s="121"/>
      <c r="AI775" s="121"/>
      <c r="AJ775" s="121"/>
      <c r="AK775" s="121"/>
      <c r="AL775" s="121"/>
    </row>
    <row r="776" spans="1:38" s="115" customFormat="1" ht="15" customHeight="1">
      <c r="A776" s="555" t="s">
        <v>1577</v>
      </c>
      <c r="B776" s="217" t="str">
        <f t="shared" si="715"/>
        <v>125</v>
      </c>
      <c r="C776" s="217" t="str">
        <f t="shared" si="716"/>
        <v>65</v>
      </c>
      <c r="D776" s="101" t="str">
        <f t="shared" si="717"/>
        <v>651</v>
      </c>
      <c r="E776" s="217" t="str">
        <f t="shared" si="718"/>
        <v>125-65-651</v>
      </c>
      <c r="F776" s="294" t="str">
        <f t="shared" si="719"/>
        <v>50110</v>
      </c>
      <c r="G776" s="295" t="str">
        <f>VLOOKUP(F776,'GL Category'!A:C,3,FALSE)</f>
        <v>Personnel services</v>
      </c>
      <c r="H776" s="98" t="str">
        <f>VLOOKUP(F776,'GL Category'!A:C,2,FALSE)</f>
        <v>PART-TIME WAGES</v>
      </c>
      <c r="I776" s="99">
        <f>SUMIF(Import!$B:$B,$A776,Import!D:D)</f>
        <v>3844.68</v>
      </c>
      <c r="J776" s="99">
        <f>SUMIF(Import!$B:$B,$A776,Import!E:E)</f>
        <v>0</v>
      </c>
      <c r="K776" s="99">
        <f>SUMIF(Import!$B:$B,$A776,Import!F:F)</f>
        <v>588</v>
      </c>
      <c r="L776" s="99">
        <f>SUMIF(Import!$B:$B,$A776,Import!G:G)</f>
        <v>0</v>
      </c>
      <c r="M776" s="99">
        <f>SUMIF(Import!$B:$B,$A776,Import!H:H)</f>
        <v>0</v>
      </c>
      <c r="N776" s="99">
        <f>SUMIF(Import!$B:$B,$A776,Import!I:I)</f>
        <v>0</v>
      </c>
      <c r="O776" s="99">
        <f>SUMIF(Import!$B:$B,$A776,Import!J:J)</f>
        <v>0</v>
      </c>
      <c r="P776" s="99">
        <f t="shared" si="753"/>
        <v>0</v>
      </c>
      <c r="Q776" s="99">
        <f>SUMIF(Import!$B:$B,$A776,Import!K:K)</f>
        <v>0</v>
      </c>
      <c r="R776" s="99">
        <f>SUMIF(Import!$B:$B,$A776,Import!L:L)</f>
        <v>0</v>
      </c>
      <c r="S776" s="99">
        <f>SUMIF(Import!$B:$B,$A776,Import!M:M)</f>
        <v>0</v>
      </c>
      <c r="T776" s="99">
        <f>SUMIF(Import!$B:$B,$A776,Import!N:N)</f>
        <v>0</v>
      </c>
      <c r="U776" s="99">
        <f t="shared" si="754"/>
        <v>0</v>
      </c>
      <c r="V776" s="255" t="str">
        <f t="shared" si="755"/>
        <v>N/A</v>
      </c>
      <c r="W776" s="102" t="s">
        <v>1577</v>
      </c>
      <c r="X776" s="148"/>
      <c r="Y776" s="267"/>
      <c r="Z776" s="121"/>
      <c r="AA776" s="121"/>
      <c r="AB776" s="121"/>
      <c r="AC776" s="121"/>
      <c r="AD776" s="121"/>
      <c r="AE776" s="121"/>
      <c r="AF776" s="121"/>
      <c r="AG776" s="121"/>
      <c r="AH776" s="121"/>
      <c r="AI776" s="121"/>
      <c r="AJ776" s="121"/>
      <c r="AK776" s="121"/>
      <c r="AL776" s="121"/>
    </row>
    <row r="777" spans="1:38" s="115" customFormat="1" ht="15" customHeight="1">
      <c r="A777" s="555" t="s">
        <v>1578</v>
      </c>
      <c r="B777" s="217" t="str">
        <f t="shared" si="715"/>
        <v>125</v>
      </c>
      <c r="C777" s="217" t="str">
        <f t="shared" si="716"/>
        <v>65</v>
      </c>
      <c r="D777" s="101" t="str">
        <f t="shared" si="717"/>
        <v>651</v>
      </c>
      <c r="E777" s="217" t="str">
        <f t="shared" si="718"/>
        <v>125-65-651</v>
      </c>
      <c r="F777" s="294" t="str">
        <f t="shared" si="719"/>
        <v>50111</v>
      </c>
      <c r="G777" s="295" t="str">
        <f>VLOOKUP(F777,'GL Category'!A:C,3,FALSE)</f>
        <v>Personnel services</v>
      </c>
      <c r="H777" s="98" t="str">
        <f>VLOOKUP(F777,'GL Category'!A:C,2,FALSE)</f>
        <v>LONGEVITY PAY</v>
      </c>
      <c r="I777" s="99">
        <f>SUMIF(Import!$B:$B,$A777,Import!D:D)</f>
        <v>850</v>
      </c>
      <c r="J777" s="99">
        <f>SUMIF(Import!$B:$B,$A777,Import!E:E)</f>
        <v>1030</v>
      </c>
      <c r="K777" s="99">
        <f>SUMIF(Import!$B:$B,$A777,Import!F:F)</f>
        <v>900</v>
      </c>
      <c r="L777" s="99">
        <f>SUMIF(Import!$B:$B,$A777,Import!G:G)</f>
        <v>555</v>
      </c>
      <c r="M777" s="99">
        <f>SUMIF(Import!$B:$B,$A777,Import!H:H)</f>
        <v>940</v>
      </c>
      <c r="N777" s="99">
        <f>SUMIF(Import!$B:$B,$A777,Import!I:I)</f>
        <v>915</v>
      </c>
      <c r="O777" s="99">
        <f>SUMIF(Import!$B:$B,$A777,Import!J:J)</f>
        <v>915</v>
      </c>
      <c r="P777" s="99">
        <f t="shared" si="753"/>
        <v>-25</v>
      </c>
      <c r="Q777" s="99">
        <f>SUMIF(Import!$B:$B,$A777,Import!K:K)</f>
        <v>982</v>
      </c>
      <c r="R777" s="99">
        <f>SUMIF(Import!$B:$B,$A777,Import!L:L)</f>
        <v>0</v>
      </c>
      <c r="S777" s="99">
        <f>SUMIF(Import!$B:$B,$A777,Import!M:M)</f>
        <v>0</v>
      </c>
      <c r="T777" s="99">
        <f>SUMIF(Import!$B:$B,$A777,Import!N:N)</f>
        <v>982</v>
      </c>
      <c r="U777" s="99">
        <f t="shared" si="754"/>
        <v>42</v>
      </c>
      <c r="V777" s="255">
        <f t="shared" si="755"/>
        <v>4.4680851063829685E-2</v>
      </c>
      <c r="W777" s="102" t="s">
        <v>1578</v>
      </c>
      <c r="X777" s="148"/>
      <c r="Y777" s="267"/>
      <c r="Z777" s="121"/>
      <c r="AA777" s="121"/>
      <c r="AB777" s="121"/>
      <c r="AC777" s="121"/>
      <c r="AD777" s="121"/>
      <c r="AE777" s="121"/>
      <c r="AF777" s="121"/>
      <c r="AG777" s="121"/>
      <c r="AH777" s="121"/>
      <c r="AI777" s="121"/>
      <c r="AJ777" s="121"/>
      <c r="AK777" s="121"/>
      <c r="AL777" s="121"/>
    </row>
    <row r="778" spans="1:38" s="115" customFormat="1" ht="15" customHeight="1">
      <c r="A778" s="555" t="s">
        <v>1579</v>
      </c>
      <c r="B778" s="217" t="str">
        <f t="shared" si="715"/>
        <v>125</v>
      </c>
      <c r="C778" s="217" t="str">
        <f t="shared" si="716"/>
        <v>65</v>
      </c>
      <c r="D778" s="101" t="str">
        <f t="shared" si="717"/>
        <v>651</v>
      </c>
      <c r="E778" s="217" t="str">
        <f t="shared" si="718"/>
        <v>125-65-651</v>
      </c>
      <c r="F778" s="294" t="str">
        <f t="shared" si="719"/>
        <v>50116</v>
      </c>
      <c r="G778" s="295" t="e">
        <f>VLOOKUP(F778,'GL Category'!A:C,3,FALSE)</f>
        <v>#N/A</v>
      </c>
      <c r="H778" s="98" t="e">
        <f>VLOOKUP(F778,'GL Category'!A:C,2,FALSE)</f>
        <v>#N/A</v>
      </c>
      <c r="I778" s="99">
        <f>SUMIF(Import!$B:$B,$A778,Import!D:D)</f>
        <v>0</v>
      </c>
      <c r="J778" s="99">
        <f>SUMIF(Import!$B:$B,$A778,Import!E:E)</f>
        <v>0</v>
      </c>
      <c r="K778" s="99">
        <f>SUMIF(Import!$B:$B,$A778,Import!F:F)</f>
        <v>0</v>
      </c>
      <c r="L778" s="99">
        <f>SUMIF(Import!$B:$B,$A778,Import!G:G)</f>
        <v>0</v>
      </c>
      <c r="M778" s="99">
        <f>SUMIF(Import!$B:$B,$A778,Import!H:H)</f>
        <v>0</v>
      </c>
      <c r="N778" s="99">
        <f>SUMIF(Import!$B:$B,$A778,Import!I:I)</f>
        <v>0</v>
      </c>
      <c r="O778" s="99">
        <f>SUMIF(Import!$B:$B,$A778,Import!J:J)</f>
        <v>0</v>
      </c>
      <c r="P778" s="99">
        <f t="shared" si="753"/>
        <v>0</v>
      </c>
      <c r="Q778" s="99">
        <f>SUMIF(Import!$B:$B,$A778,Import!K:K)</f>
        <v>0</v>
      </c>
      <c r="R778" s="99">
        <f>SUMIF(Import!$B:$B,$A778,Import!L:L)</f>
        <v>0</v>
      </c>
      <c r="S778" s="99">
        <f>SUMIF(Import!$B:$B,$A778,Import!M:M)</f>
        <v>0</v>
      </c>
      <c r="T778" s="99">
        <f>SUMIF(Import!$B:$B,$A778,Import!N:N)</f>
        <v>0</v>
      </c>
      <c r="U778" s="99">
        <f t="shared" si="754"/>
        <v>0</v>
      </c>
      <c r="V778" s="255" t="str">
        <f t="shared" si="755"/>
        <v>N/A</v>
      </c>
      <c r="W778" s="102" t="s">
        <v>1579</v>
      </c>
      <c r="X778" s="148"/>
      <c r="Y778" s="267"/>
      <c r="Z778" s="121"/>
      <c r="AA778" s="121"/>
      <c r="AB778" s="121"/>
      <c r="AC778" s="121"/>
      <c r="AD778" s="121"/>
      <c r="AE778" s="121"/>
      <c r="AF778" s="121"/>
      <c r="AG778" s="121"/>
      <c r="AH778" s="121"/>
      <c r="AI778" s="121"/>
      <c r="AJ778" s="121"/>
      <c r="AK778" s="121"/>
      <c r="AL778" s="121"/>
    </row>
    <row r="779" spans="1:38" s="115" customFormat="1" ht="15" customHeight="1">
      <c r="A779" s="555" t="s">
        <v>1580</v>
      </c>
      <c r="B779" s="217" t="str">
        <f t="shared" si="715"/>
        <v>125</v>
      </c>
      <c r="C779" s="217" t="str">
        <f t="shared" si="716"/>
        <v>65</v>
      </c>
      <c r="D779" s="101" t="str">
        <f t="shared" si="717"/>
        <v>651</v>
      </c>
      <c r="E779" s="217" t="str">
        <f t="shared" si="718"/>
        <v>125-65-651</v>
      </c>
      <c r="F779" s="294" t="str">
        <f t="shared" si="719"/>
        <v>50610</v>
      </c>
      <c r="G779" s="295" t="str">
        <f>VLOOKUP(F779,'GL Category'!A:C,3,FALSE)</f>
        <v>Personnel services</v>
      </c>
      <c r="H779" s="98" t="str">
        <f>VLOOKUP(F779,'GL Category'!A:C,2,FALSE)</f>
        <v>SOCIAL SECURITY</v>
      </c>
      <c r="I779" s="99">
        <f>SUMIF(Import!$B:$B,$A779,Import!D:D)</f>
        <v>11719.33</v>
      </c>
      <c r="J779" s="99">
        <f>SUMIF(Import!$B:$B,$A779,Import!E:E)</f>
        <v>11577.9</v>
      </c>
      <c r="K779" s="99">
        <f>SUMIF(Import!$B:$B,$A779,Import!F:F)</f>
        <v>14153.23</v>
      </c>
      <c r="L779" s="99">
        <f>SUMIF(Import!$B:$B,$A779,Import!G:G)</f>
        <v>15784.38</v>
      </c>
      <c r="M779" s="99">
        <f>SUMIF(Import!$B:$B,$A779,Import!H:H)</f>
        <v>18010</v>
      </c>
      <c r="N779" s="99">
        <f>SUMIF(Import!$B:$B,$A779,Import!I:I)</f>
        <v>12232.3</v>
      </c>
      <c r="O779" s="99">
        <f>SUMIF(Import!$B:$B,$A779,Import!J:J)</f>
        <v>15625</v>
      </c>
      <c r="P779" s="99">
        <f t="shared" si="753"/>
        <v>-2385</v>
      </c>
      <c r="Q779" s="99">
        <f>SUMIF(Import!$B:$B,$A779,Import!K:K)</f>
        <v>15510</v>
      </c>
      <c r="R779" s="99">
        <f>SUMIF(Import!$B:$B,$A779,Import!L:L)</f>
        <v>0</v>
      </c>
      <c r="S779" s="99">
        <f>SUMIF(Import!$B:$B,$A779,Import!M:M)</f>
        <v>0</v>
      </c>
      <c r="T779" s="99">
        <f>SUMIF(Import!$B:$B,$A779,Import!N:N)</f>
        <v>15510</v>
      </c>
      <c r="U779" s="99">
        <f t="shared" si="754"/>
        <v>-2500</v>
      </c>
      <c r="V779" s="255">
        <f t="shared" si="755"/>
        <v>-0.13881177123820099</v>
      </c>
      <c r="W779" s="102" t="s">
        <v>1580</v>
      </c>
      <c r="X779" s="148"/>
      <c r="Y779" s="267"/>
      <c r="Z779" s="121"/>
      <c r="AA779" s="121"/>
      <c r="AB779" s="121"/>
      <c r="AC779" s="121"/>
      <c r="AD779" s="121"/>
      <c r="AE779" s="121"/>
      <c r="AF779" s="121"/>
      <c r="AG779" s="121"/>
      <c r="AH779" s="121"/>
      <c r="AI779" s="121"/>
      <c r="AJ779" s="121"/>
      <c r="AK779" s="121"/>
      <c r="AL779" s="121"/>
    </row>
    <row r="780" spans="1:38" s="115" customFormat="1" ht="15" customHeight="1">
      <c r="A780" s="555" t="s">
        <v>1581</v>
      </c>
      <c r="B780" s="217" t="str">
        <f t="shared" si="715"/>
        <v>125</v>
      </c>
      <c r="C780" s="217" t="str">
        <f t="shared" si="716"/>
        <v>65</v>
      </c>
      <c r="D780" s="101" t="str">
        <f t="shared" si="717"/>
        <v>651</v>
      </c>
      <c r="E780" s="217" t="str">
        <f t="shared" si="718"/>
        <v>125-65-651</v>
      </c>
      <c r="F780" s="294" t="str">
        <f t="shared" si="719"/>
        <v>50620</v>
      </c>
      <c r="G780" s="295" t="str">
        <f>VLOOKUP(F780,'GL Category'!A:C,3,FALSE)</f>
        <v>Personnel services</v>
      </c>
      <c r="H780" s="98" t="str">
        <f>VLOOKUP(F780,'GL Category'!A:C,2,FALSE)</f>
        <v>HEALTH/LIFE INSURANCE</v>
      </c>
      <c r="I780" s="99">
        <f>SUMIF(Import!$B:$B,$A780,Import!D:D)</f>
        <v>43489.02</v>
      </c>
      <c r="J780" s="99">
        <f>SUMIF(Import!$B:$B,$A780,Import!E:E)</f>
        <v>42091.47</v>
      </c>
      <c r="K780" s="99">
        <f>SUMIF(Import!$B:$B,$A780,Import!F:F)</f>
        <v>53981.1</v>
      </c>
      <c r="L780" s="99">
        <f>SUMIF(Import!$B:$B,$A780,Import!G:G)</f>
        <v>63269.32</v>
      </c>
      <c r="M780" s="99">
        <f>SUMIF(Import!$B:$B,$A780,Import!H:H)</f>
        <v>61745</v>
      </c>
      <c r="N780" s="99">
        <f>SUMIF(Import!$B:$B,$A780,Import!I:I)</f>
        <v>44940.49</v>
      </c>
      <c r="O780" s="99">
        <f>SUMIF(Import!$B:$B,$A780,Import!J:J)</f>
        <v>56372</v>
      </c>
      <c r="P780" s="99">
        <f t="shared" si="753"/>
        <v>-5373</v>
      </c>
      <c r="Q780" s="99">
        <f>SUMIF(Import!$B:$B,$A780,Import!K:K)</f>
        <v>43892</v>
      </c>
      <c r="R780" s="99">
        <f>SUMIF(Import!$B:$B,$A780,Import!L:L)</f>
        <v>0</v>
      </c>
      <c r="S780" s="99">
        <f>SUMIF(Import!$B:$B,$A780,Import!M:M)</f>
        <v>0</v>
      </c>
      <c r="T780" s="99">
        <f>SUMIF(Import!$B:$B,$A780,Import!N:N)</f>
        <v>43892</v>
      </c>
      <c r="U780" s="99">
        <f t="shared" si="754"/>
        <v>-17853</v>
      </c>
      <c r="V780" s="255">
        <f t="shared" si="755"/>
        <v>-0.28914082111911898</v>
      </c>
      <c r="W780" s="102" t="s">
        <v>1581</v>
      </c>
      <c r="X780" s="148"/>
      <c r="Y780" s="267"/>
      <c r="Z780" s="121"/>
      <c r="AA780" s="121"/>
      <c r="AB780" s="121"/>
      <c r="AC780" s="121"/>
      <c r="AD780" s="121"/>
      <c r="AE780" s="121"/>
      <c r="AF780" s="121"/>
      <c r="AG780" s="121"/>
      <c r="AH780" s="121"/>
      <c r="AI780" s="121"/>
      <c r="AJ780" s="121"/>
      <c r="AK780" s="121"/>
      <c r="AL780" s="121"/>
    </row>
    <row r="781" spans="1:38" s="115" customFormat="1" ht="15" customHeight="1">
      <c r="A781" s="555" t="s">
        <v>1582</v>
      </c>
      <c r="B781" s="217" t="str">
        <f t="shared" si="715"/>
        <v>125</v>
      </c>
      <c r="C781" s="217" t="str">
        <f t="shared" si="716"/>
        <v>65</v>
      </c>
      <c r="D781" s="101" t="str">
        <f t="shared" si="717"/>
        <v>651</v>
      </c>
      <c r="E781" s="217" t="str">
        <f t="shared" si="718"/>
        <v>125-65-651</v>
      </c>
      <c r="F781" s="294" t="str">
        <f t="shared" si="719"/>
        <v>50630</v>
      </c>
      <c r="G781" s="295" t="str">
        <f>VLOOKUP(F781,'GL Category'!A:C,3,FALSE)</f>
        <v>Personnel services</v>
      </c>
      <c r="H781" s="98" t="str">
        <f>VLOOKUP(F781,'GL Category'!A:C,2,FALSE)</f>
        <v>WORKER COMPENSATION</v>
      </c>
      <c r="I781" s="99">
        <f>SUMIF(Import!$B:$B,$A781,Import!D:D)</f>
        <v>118.19</v>
      </c>
      <c r="J781" s="99">
        <f>SUMIF(Import!$B:$B,$A781,Import!E:E)</f>
        <v>113.23</v>
      </c>
      <c r="K781" s="99">
        <f>SUMIF(Import!$B:$B,$A781,Import!F:F)</f>
        <v>152.79</v>
      </c>
      <c r="L781" s="99">
        <f>SUMIF(Import!$B:$B,$A781,Import!G:G)</f>
        <v>261.99</v>
      </c>
      <c r="M781" s="99">
        <f>SUMIF(Import!$B:$B,$A781,Import!H:H)</f>
        <v>336</v>
      </c>
      <c r="N781" s="99">
        <f>SUMIF(Import!$B:$B,$A781,Import!I:I)</f>
        <v>617.47</v>
      </c>
      <c r="O781" s="99">
        <f>SUMIF(Import!$B:$B,$A781,Import!J:J)</f>
        <v>617</v>
      </c>
      <c r="P781" s="99">
        <f t="shared" si="753"/>
        <v>281</v>
      </c>
      <c r="Q781" s="99">
        <f>SUMIF(Import!$B:$B,$A781,Import!K:K)</f>
        <v>279</v>
      </c>
      <c r="R781" s="99">
        <f>SUMIF(Import!$B:$B,$A781,Import!L:L)</f>
        <v>0</v>
      </c>
      <c r="S781" s="99">
        <f>SUMIF(Import!$B:$B,$A781,Import!M:M)</f>
        <v>0</v>
      </c>
      <c r="T781" s="99">
        <f>SUMIF(Import!$B:$B,$A781,Import!N:N)</f>
        <v>279</v>
      </c>
      <c r="U781" s="99">
        <f t="shared" si="754"/>
        <v>-57</v>
      </c>
      <c r="V781" s="255">
        <f t="shared" si="755"/>
        <v>-0.1696428571428571</v>
      </c>
      <c r="W781" s="102" t="s">
        <v>1582</v>
      </c>
      <c r="X781" s="148"/>
      <c r="Y781" s="267"/>
      <c r="Z781" s="121"/>
      <c r="AA781" s="121"/>
      <c r="AB781" s="121"/>
      <c r="AC781" s="121"/>
      <c r="AD781" s="121"/>
      <c r="AE781" s="121"/>
      <c r="AF781" s="121"/>
      <c r="AG781" s="121"/>
      <c r="AH781" s="121"/>
      <c r="AI781" s="121"/>
      <c r="AJ781" s="121"/>
      <c r="AK781" s="121"/>
      <c r="AL781" s="121"/>
    </row>
    <row r="782" spans="1:38" s="115" customFormat="1" ht="15" customHeight="1">
      <c r="A782" s="555" t="s">
        <v>1583</v>
      </c>
      <c r="B782" s="217" t="str">
        <f t="shared" si="715"/>
        <v>125</v>
      </c>
      <c r="C782" s="217" t="str">
        <f t="shared" si="716"/>
        <v>65</v>
      </c>
      <c r="D782" s="101" t="str">
        <f t="shared" si="717"/>
        <v>651</v>
      </c>
      <c r="E782" s="217" t="str">
        <f t="shared" si="718"/>
        <v>125-65-651</v>
      </c>
      <c r="F782" s="294" t="str">
        <f t="shared" si="719"/>
        <v>50640</v>
      </c>
      <c r="G782" s="295" t="str">
        <f>VLOOKUP(F782,'GL Category'!A:C,3,FALSE)</f>
        <v>Personnel services</v>
      </c>
      <c r="H782" s="98" t="str">
        <f>VLOOKUP(F782,'GL Category'!A:C,2,FALSE)</f>
        <v>UNEMPLOYMENT INSURANCE</v>
      </c>
      <c r="I782" s="99">
        <f>SUMIF(Import!$B:$B,$A782,Import!D:D)</f>
        <v>0</v>
      </c>
      <c r="J782" s="99">
        <f>SUMIF(Import!$B:$B,$A782,Import!E:E)</f>
        <v>0</v>
      </c>
      <c r="K782" s="99">
        <f>SUMIF(Import!$B:$B,$A782,Import!F:F)</f>
        <v>0</v>
      </c>
      <c r="L782" s="99">
        <f>SUMIF(Import!$B:$B,$A782,Import!G:G)</f>
        <v>0</v>
      </c>
      <c r="M782" s="99">
        <f>SUMIF(Import!$B:$B,$A782,Import!H:H)</f>
        <v>0</v>
      </c>
      <c r="N782" s="99">
        <f>SUMIF(Import!$B:$B,$A782,Import!I:I)</f>
        <v>0</v>
      </c>
      <c r="O782" s="99">
        <f>SUMIF(Import!$B:$B,$A782,Import!J:J)</f>
        <v>0</v>
      </c>
      <c r="P782" s="99">
        <f t="shared" si="753"/>
        <v>0</v>
      </c>
      <c r="Q782" s="99">
        <f>SUMIF(Import!$B:$B,$A782,Import!K:K)</f>
        <v>0</v>
      </c>
      <c r="R782" s="99">
        <f>SUMIF(Import!$B:$B,$A782,Import!L:L)</f>
        <v>0</v>
      </c>
      <c r="S782" s="99">
        <f>SUMIF(Import!$B:$B,$A782,Import!M:M)</f>
        <v>0</v>
      </c>
      <c r="T782" s="99">
        <f>SUMIF(Import!$B:$B,$A782,Import!N:N)</f>
        <v>0</v>
      </c>
      <c r="U782" s="99">
        <f t="shared" si="754"/>
        <v>0</v>
      </c>
      <c r="V782" s="255" t="str">
        <f t="shared" si="755"/>
        <v>N/A</v>
      </c>
      <c r="W782" s="102" t="s">
        <v>1583</v>
      </c>
      <c r="X782" s="148"/>
      <c r="Y782" s="267"/>
      <c r="Z782" s="121"/>
      <c r="AA782" s="121"/>
      <c r="AB782" s="121"/>
      <c r="AC782" s="121"/>
      <c r="AD782" s="121"/>
      <c r="AE782" s="121"/>
      <c r="AF782" s="121"/>
      <c r="AG782" s="121"/>
      <c r="AH782" s="121"/>
      <c r="AI782" s="121"/>
      <c r="AJ782" s="121"/>
      <c r="AK782" s="121"/>
      <c r="AL782" s="121"/>
    </row>
    <row r="783" spans="1:38" s="115" customFormat="1" ht="15" customHeight="1">
      <c r="A783" s="555" t="s">
        <v>1584</v>
      </c>
      <c r="B783" s="217" t="str">
        <f t="shared" si="715"/>
        <v>125</v>
      </c>
      <c r="C783" s="217" t="str">
        <f t="shared" si="716"/>
        <v>65</v>
      </c>
      <c r="D783" s="101" t="str">
        <f t="shared" si="717"/>
        <v>651</v>
      </c>
      <c r="E783" s="217" t="str">
        <f t="shared" si="718"/>
        <v>125-65-651</v>
      </c>
      <c r="F783" s="294" t="str">
        <f t="shared" si="719"/>
        <v>50650</v>
      </c>
      <c r="G783" s="295" t="str">
        <f>VLOOKUP(F783,'GL Category'!A:C,3,FALSE)</f>
        <v>Personnel services</v>
      </c>
      <c r="H783" s="98" t="str">
        <f>VLOOKUP(F783,'GL Category'!A:C,2,FALSE)</f>
        <v>RETIREMENT</v>
      </c>
      <c r="I783" s="99">
        <f>SUMIF(Import!$B:$B,$A783,Import!D:D)</f>
        <v>38049.199999999997</v>
      </c>
      <c r="J783" s="99">
        <f>SUMIF(Import!$B:$B,$A783,Import!E:E)</f>
        <v>26526.83</v>
      </c>
      <c r="K783" s="99">
        <f>SUMIF(Import!$B:$B,$A783,Import!F:F)</f>
        <v>32143.87</v>
      </c>
      <c r="L783" s="99">
        <f>SUMIF(Import!$B:$B,$A783,Import!G:G)</f>
        <v>36330.300000000003</v>
      </c>
      <c r="M783" s="99">
        <f>SUMIF(Import!$B:$B,$A783,Import!H:H)</f>
        <v>38889</v>
      </c>
      <c r="N783" s="99">
        <f>SUMIF(Import!$B:$B,$A783,Import!I:I)</f>
        <v>29043.55</v>
      </c>
      <c r="O783" s="99">
        <f>SUMIF(Import!$B:$B,$A783,Import!J:J)</f>
        <v>36044</v>
      </c>
      <c r="P783" s="99">
        <f t="shared" si="753"/>
        <v>-2845</v>
      </c>
      <c r="Q783" s="99">
        <f>SUMIF(Import!$B:$B,$A783,Import!K:K)</f>
        <v>34299</v>
      </c>
      <c r="R783" s="99">
        <f>SUMIF(Import!$B:$B,$A783,Import!L:L)</f>
        <v>0</v>
      </c>
      <c r="S783" s="99">
        <f>SUMIF(Import!$B:$B,$A783,Import!M:M)</f>
        <v>0</v>
      </c>
      <c r="T783" s="99">
        <f>SUMIF(Import!$B:$B,$A783,Import!N:N)</f>
        <v>34299</v>
      </c>
      <c r="U783" s="99">
        <f t="shared" si="754"/>
        <v>-4590</v>
      </c>
      <c r="V783" s="255">
        <f t="shared" si="755"/>
        <v>-0.11802823420504516</v>
      </c>
      <c r="W783" s="102" t="s">
        <v>1584</v>
      </c>
      <c r="X783" s="148"/>
      <c r="Y783" s="267"/>
      <c r="Z783" s="121"/>
      <c r="AA783" s="121"/>
      <c r="AB783" s="121"/>
      <c r="AC783" s="121"/>
      <c r="AD783" s="121"/>
      <c r="AE783" s="121"/>
      <c r="AF783" s="121"/>
      <c r="AG783" s="121"/>
      <c r="AH783" s="121"/>
      <c r="AI783" s="121"/>
      <c r="AJ783" s="121"/>
      <c r="AK783" s="121"/>
      <c r="AL783" s="121"/>
    </row>
    <row r="784" spans="1:38" s="115" customFormat="1" ht="15" customHeight="1">
      <c r="A784" s="555"/>
      <c r="B784" s="217"/>
      <c r="C784" s="217"/>
      <c r="D784" s="101"/>
      <c r="E784" s="217"/>
      <c r="F784" s="294"/>
      <c r="G784" s="146"/>
      <c r="H784" s="107" t="str">
        <f>UPPER(G783)&amp;" TOTAL"</f>
        <v>PERSONNEL SERVICES TOTAL</v>
      </c>
      <c r="I784" s="108">
        <f t="shared" ref="I784" si="756">SUBTOTAL(9,I773:I783)</f>
        <v>259746.75</v>
      </c>
      <c r="J784" s="108">
        <f t="shared" ref="J784:P784" si="757">SUBTOTAL(9,J773:J783)</f>
        <v>243400.06</v>
      </c>
      <c r="K784" s="108">
        <f t="shared" ref="K784" si="758">SUBTOTAL(9,K773:K783)</f>
        <v>299520.64999999997</v>
      </c>
      <c r="L784" s="108">
        <f t="shared" ref="L784" si="759">SUBTOTAL(9,L773:L783)</f>
        <v>338696.52999999997</v>
      </c>
      <c r="M784" s="108">
        <f t="shared" si="757"/>
        <v>351838</v>
      </c>
      <c r="N784" s="109">
        <f t="shared" ref="N784" si="760">SUBTOTAL(9,N773:N783)</f>
        <v>261019.51999999999</v>
      </c>
      <c r="O784" s="109">
        <f t="shared" si="757"/>
        <v>335308</v>
      </c>
      <c r="P784" s="109">
        <f t="shared" si="757"/>
        <v>-16530</v>
      </c>
      <c r="Q784" s="109">
        <f t="shared" ref="Q784:T784" si="761">SUBTOTAL(9,Q773:Q783)</f>
        <v>294806</v>
      </c>
      <c r="R784" s="109">
        <f t="shared" si="761"/>
        <v>0</v>
      </c>
      <c r="S784" s="109">
        <f t="shared" si="761"/>
        <v>0</v>
      </c>
      <c r="T784" s="109">
        <f t="shared" si="761"/>
        <v>294806</v>
      </c>
      <c r="U784" s="99">
        <f>T784-M784</f>
        <v>-57032</v>
      </c>
      <c r="V784" s="259">
        <f>IF(M784=0,"N/A",T784/M784-1)</f>
        <v>-0.16209732888431605</v>
      </c>
      <c r="W784" s="104"/>
      <c r="X784" s="148"/>
      <c r="Y784" s="267"/>
      <c r="Z784" s="121"/>
      <c r="AA784" s="121"/>
      <c r="AB784" s="121"/>
      <c r="AC784" s="121"/>
      <c r="AD784" s="121"/>
      <c r="AE784" s="121"/>
      <c r="AF784" s="121"/>
      <c r="AG784" s="121"/>
      <c r="AH784" s="121"/>
      <c r="AI784" s="121"/>
      <c r="AJ784" s="121"/>
      <c r="AK784" s="121"/>
      <c r="AL784" s="121"/>
    </row>
    <row r="785" spans="1:38" s="115" customFormat="1" ht="15" customHeight="1">
      <c r="A785" s="555"/>
      <c r="B785" s="217"/>
      <c r="C785" s="217"/>
      <c r="D785" s="101"/>
      <c r="E785" s="217"/>
      <c r="F785" s="294"/>
      <c r="G785" s="146"/>
      <c r="H785" s="98"/>
      <c r="I785" s="106"/>
      <c r="J785" s="106"/>
      <c r="K785" s="106"/>
      <c r="L785" s="106"/>
      <c r="M785" s="106"/>
      <c r="N785" s="112"/>
      <c r="O785" s="112"/>
      <c r="P785" s="112"/>
      <c r="Q785" s="113"/>
      <c r="R785" s="113"/>
      <c r="S785" s="113"/>
      <c r="T785" s="113"/>
      <c r="U785" s="113"/>
      <c r="V785" s="113"/>
      <c r="W785" s="104"/>
      <c r="X785" s="148"/>
      <c r="Y785" s="267"/>
      <c r="Z785" s="121"/>
      <c r="AA785" s="121"/>
      <c r="AB785" s="121"/>
      <c r="AC785" s="121"/>
      <c r="AD785" s="121"/>
      <c r="AE785" s="121"/>
      <c r="AF785" s="121"/>
      <c r="AG785" s="121"/>
      <c r="AH785" s="121"/>
      <c r="AI785" s="121"/>
      <c r="AJ785" s="121"/>
      <c r="AK785" s="121"/>
      <c r="AL785" s="121"/>
    </row>
    <row r="786" spans="1:38" s="115" customFormat="1" ht="15" customHeight="1">
      <c r="A786" s="555" t="s">
        <v>1585</v>
      </c>
      <c r="B786" s="217" t="str">
        <f t="shared" si="715"/>
        <v>125</v>
      </c>
      <c r="C786" s="217" t="str">
        <f t="shared" si="716"/>
        <v>65</v>
      </c>
      <c r="D786" s="101" t="str">
        <f t="shared" si="717"/>
        <v>651</v>
      </c>
      <c r="E786" s="217" t="str">
        <f t="shared" si="718"/>
        <v>125-65-651</v>
      </c>
      <c r="F786" s="294" t="str">
        <f t="shared" si="719"/>
        <v>51210</v>
      </c>
      <c r="G786" s="295" t="str">
        <f>VLOOKUP(F786,'GL Category'!A:C,3,FALSE)</f>
        <v>Operations &amp; maintenance</v>
      </c>
      <c r="H786" s="98" t="str">
        <f>VLOOKUP(F786,'GL Category'!A:C,2,FALSE)</f>
        <v>OFFICE SUPPLIES</v>
      </c>
      <c r="I786" s="99">
        <f>SUMIF(Import!$B:$B,$A786,Import!D:D)</f>
        <v>3348.84</v>
      </c>
      <c r="J786" s="99">
        <f>SUMIF(Import!$B:$B,$A786,Import!E:E)</f>
        <v>2452.64</v>
      </c>
      <c r="K786" s="99">
        <f>SUMIF(Import!$B:$B,$A786,Import!F:F)</f>
        <v>4143.3100000000004</v>
      </c>
      <c r="L786" s="99">
        <f>SUMIF(Import!$B:$B,$A786,Import!G:G)</f>
        <v>3719.3</v>
      </c>
      <c r="M786" s="99">
        <f>SUMIF(Import!$B:$B,$A786,Import!H:H)</f>
        <v>6000</v>
      </c>
      <c r="N786" s="99">
        <f>SUMIF(Import!$B:$B,$A786,Import!I:I)</f>
        <v>4040.91</v>
      </c>
      <c r="O786" s="99">
        <f>SUMIF(Import!$B:$B,$A786,Import!J:J)</f>
        <v>5600</v>
      </c>
      <c r="P786" s="99">
        <f t="shared" ref="P786:P793" si="762">O786-M786</f>
        <v>-400</v>
      </c>
      <c r="Q786" s="99">
        <f>SUMIF(Import!$B:$B,$A786,Import!K:K)</f>
        <v>6000</v>
      </c>
      <c r="R786" s="99">
        <f>SUMIF(Import!$B:$B,$A786,Import!L:L)</f>
        <v>0</v>
      </c>
      <c r="S786" s="99">
        <f>SUMIF(Import!$B:$B,$A786,Import!M:M)</f>
        <v>0</v>
      </c>
      <c r="T786" s="99">
        <f>SUMIF(Import!$B:$B,$A786,Import!N:N)</f>
        <v>6000</v>
      </c>
      <c r="U786" s="99">
        <f t="shared" ref="U786:U793" si="763">T786-M786</f>
        <v>0</v>
      </c>
      <c r="V786" s="255">
        <f t="shared" ref="V786:V793" si="764">IF(M786=0,"N/A",T786/M786-1)</f>
        <v>0</v>
      </c>
      <c r="W786" s="102" t="s">
        <v>1585</v>
      </c>
      <c r="X786" s="148"/>
      <c r="Y786" s="267"/>
      <c r="Z786" s="121"/>
      <c r="AA786" s="121"/>
      <c r="AB786" s="121"/>
      <c r="AC786" s="121"/>
      <c r="AD786" s="121"/>
      <c r="AE786" s="121"/>
      <c r="AF786" s="121"/>
      <c r="AG786" s="121"/>
      <c r="AH786" s="121"/>
      <c r="AI786" s="121"/>
      <c r="AJ786" s="121"/>
      <c r="AK786" s="121"/>
      <c r="AL786" s="121"/>
    </row>
    <row r="787" spans="1:38" s="115" customFormat="1" ht="15" customHeight="1">
      <c r="A787" s="555" t="s">
        <v>1586</v>
      </c>
      <c r="B787" s="217" t="str">
        <f t="shared" si="715"/>
        <v>125</v>
      </c>
      <c r="C787" s="217" t="str">
        <f t="shared" si="716"/>
        <v>65</v>
      </c>
      <c r="D787" s="101" t="str">
        <f t="shared" si="717"/>
        <v>651</v>
      </c>
      <c r="E787" s="217" t="str">
        <f t="shared" si="718"/>
        <v>125-65-651</v>
      </c>
      <c r="F787" s="294" t="str">
        <f t="shared" si="719"/>
        <v>51220</v>
      </c>
      <c r="G787" s="295" t="str">
        <f>VLOOKUP(F787,'GL Category'!A:C,3,FALSE)</f>
        <v>Operations &amp; maintenance</v>
      </c>
      <c r="H787" s="98" t="str">
        <f>VLOOKUP(F787,'GL Category'!A:C,2,FALSE)</f>
        <v>POSTAGE SUPPLIES</v>
      </c>
      <c r="I787" s="99">
        <f>SUMIF(Import!$B:$B,$A787,Import!D:D)</f>
        <v>7209.6</v>
      </c>
      <c r="J787" s="99">
        <f>SUMIF(Import!$B:$B,$A787,Import!E:E)</f>
        <v>3815.09</v>
      </c>
      <c r="K787" s="99">
        <f>SUMIF(Import!$B:$B,$A787,Import!F:F)</f>
        <v>1603.96</v>
      </c>
      <c r="L787" s="99">
        <f>SUMIF(Import!$B:$B,$A787,Import!G:G)</f>
        <v>2553.96</v>
      </c>
      <c r="M787" s="99">
        <f>SUMIF(Import!$B:$B,$A787,Import!H:H)</f>
        <v>4000</v>
      </c>
      <c r="N787" s="99">
        <f>SUMIF(Import!$B:$B,$A787,Import!I:I)</f>
        <v>491.61</v>
      </c>
      <c r="O787" s="99">
        <f>SUMIF(Import!$B:$B,$A787,Import!J:J)</f>
        <v>1800</v>
      </c>
      <c r="P787" s="99">
        <f t="shared" si="762"/>
        <v>-2200</v>
      </c>
      <c r="Q787" s="99">
        <f>SUMIF(Import!$B:$B,$A787,Import!K:K)</f>
        <v>4000</v>
      </c>
      <c r="R787" s="99">
        <f>SUMIF(Import!$B:$B,$A787,Import!L:L)</f>
        <v>0</v>
      </c>
      <c r="S787" s="99">
        <f>SUMIF(Import!$B:$B,$A787,Import!M:M)</f>
        <v>0</v>
      </c>
      <c r="T787" s="99">
        <f>SUMIF(Import!$B:$B,$A787,Import!N:N)</f>
        <v>4000</v>
      </c>
      <c r="U787" s="99">
        <f t="shared" si="763"/>
        <v>0</v>
      </c>
      <c r="V787" s="255">
        <f t="shared" si="764"/>
        <v>0</v>
      </c>
      <c r="W787" s="102" t="s">
        <v>1586</v>
      </c>
      <c r="X787" s="148"/>
      <c r="Y787" s="267"/>
      <c r="Z787" s="121"/>
      <c r="AA787" s="121"/>
      <c r="AB787" s="121"/>
      <c r="AC787" s="121"/>
      <c r="AD787" s="121"/>
      <c r="AE787" s="121"/>
      <c r="AF787" s="121"/>
      <c r="AG787" s="121"/>
      <c r="AH787" s="121"/>
      <c r="AI787" s="121"/>
      <c r="AJ787" s="121"/>
      <c r="AK787" s="121"/>
      <c r="AL787" s="121"/>
    </row>
    <row r="788" spans="1:38" s="115" customFormat="1" ht="15" customHeight="1">
      <c r="A788" s="555" t="s">
        <v>1587</v>
      </c>
      <c r="B788" s="217" t="str">
        <f t="shared" si="715"/>
        <v>125</v>
      </c>
      <c r="C788" s="217" t="str">
        <f t="shared" si="716"/>
        <v>65</v>
      </c>
      <c r="D788" s="101" t="str">
        <f t="shared" si="717"/>
        <v>651</v>
      </c>
      <c r="E788" s="217" t="str">
        <f t="shared" si="718"/>
        <v>125-65-651</v>
      </c>
      <c r="F788" s="294" t="str">
        <f t="shared" si="719"/>
        <v>51245</v>
      </c>
      <c r="G788" s="295" t="str">
        <f>VLOOKUP(F788,'GL Category'!A:C,3,FALSE)</f>
        <v>Operations &amp; maintenance</v>
      </c>
      <c r="H788" s="98" t="str">
        <f>VLOOKUP(F788,'GL Category'!A:C,2,FALSE)</f>
        <v>SMALL TOOLS &amp; EQUIPMENT</v>
      </c>
      <c r="I788" s="99">
        <f>SUMIF(Import!$B:$B,$A788,Import!D:D)</f>
        <v>0</v>
      </c>
      <c r="J788" s="99">
        <f>SUMIF(Import!$B:$B,$A788,Import!E:E)</f>
        <v>0</v>
      </c>
      <c r="K788" s="99">
        <f>SUMIF(Import!$B:$B,$A788,Import!F:F)</f>
        <v>0</v>
      </c>
      <c r="L788" s="99">
        <f>SUMIF(Import!$B:$B,$A788,Import!G:G)</f>
        <v>0</v>
      </c>
      <c r="M788" s="99">
        <f>SUMIF(Import!$B:$B,$A788,Import!H:H)</f>
        <v>0</v>
      </c>
      <c r="N788" s="99">
        <f>SUMIF(Import!$B:$B,$A788,Import!I:I)</f>
        <v>0</v>
      </c>
      <c r="O788" s="99">
        <f>SUMIF(Import!$B:$B,$A788,Import!J:J)</f>
        <v>0</v>
      </c>
      <c r="P788" s="99">
        <f t="shared" si="762"/>
        <v>0</v>
      </c>
      <c r="Q788" s="99">
        <f>SUMIF(Import!$B:$B,$A788,Import!K:K)</f>
        <v>0</v>
      </c>
      <c r="R788" s="99">
        <f>SUMIF(Import!$B:$B,$A788,Import!L:L)</f>
        <v>0</v>
      </c>
      <c r="S788" s="99">
        <f>SUMIF(Import!$B:$B,$A788,Import!M:M)</f>
        <v>0</v>
      </c>
      <c r="T788" s="99">
        <f>SUMIF(Import!$B:$B,$A788,Import!N:N)</f>
        <v>0</v>
      </c>
      <c r="U788" s="99">
        <f t="shared" si="763"/>
        <v>0</v>
      </c>
      <c r="V788" s="255" t="str">
        <f t="shared" si="764"/>
        <v>N/A</v>
      </c>
      <c r="W788" s="102" t="s">
        <v>1587</v>
      </c>
      <c r="X788" s="148"/>
      <c r="Y788" s="267"/>
      <c r="Z788" s="121"/>
      <c r="AA788" s="121"/>
      <c r="AB788" s="121"/>
      <c r="AC788" s="121"/>
      <c r="AD788" s="121"/>
      <c r="AE788" s="121"/>
      <c r="AF788" s="121"/>
      <c r="AG788" s="121"/>
      <c r="AH788" s="121"/>
      <c r="AI788" s="121"/>
      <c r="AJ788" s="121"/>
      <c r="AK788" s="121"/>
      <c r="AL788" s="121"/>
    </row>
    <row r="789" spans="1:38" s="115" customFormat="1" ht="15" customHeight="1">
      <c r="A789" s="555" t="s">
        <v>1588</v>
      </c>
      <c r="B789" s="217" t="str">
        <f t="shared" si="715"/>
        <v>125</v>
      </c>
      <c r="C789" s="217" t="str">
        <f t="shared" si="716"/>
        <v>65</v>
      </c>
      <c r="D789" s="101" t="str">
        <f t="shared" si="717"/>
        <v>651</v>
      </c>
      <c r="E789" s="217" t="str">
        <f t="shared" si="718"/>
        <v>125-65-651</v>
      </c>
      <c r="F789" s="294" t="str">
        <f t="shared" si="719"/>
        <v>51260</v>
      </c>
      <c r="G789" s="295" t="str">
        <f>VLOOKUP(F789,'GL Category'!A:C,3,FALSE)</f>
        <v>Operations &amp; maintenance</v>
      </c>
      <c r="H789" s="98" t="str">
        <f>VLOOKUP(F789,'GL Category'!A:C,2,FALSE)</f>
        <v>EDUCATION/RECREATION SUPPLIES</v>
      </c>
      <c r="I789" s="99">
        <f>SUMIF(Import!$B:$B,$A789,Import!D:D)</f>
        <v>5065.1899999999996</v>
      </c>
      <c r="J789" s="99">
        <f>SUMIF(Import!$B:$B,$A789,Import!E:E)</f>
        <v>268.87</v>
      </c>
      <c r="K789" s="99">
        <f>SUMIF(Import!$B:$B,$A789,Import!F:F)</f>
        <v>189.13</v>
      </c>
      <c r="L789" s="99">
        <f>SUMIF(Import!$B:$B,$A789,Import!G:G)</f>
        <v>825.2</v>
      </c>
      <c r="M789" s="99">
        <f>SUMIF(Import!$B:$B,$A789,Import!H:H)</f>
        <v>2500</v>
      </c>
      <c r="N789" s="99">
        <f>SUMIF(Import!$B:$B,$A789,Import!I:I)</f>
        <v>0</v>
      </c>
      <c r="O789" s="99">
        <f>SUMIF(Import!$B:$B,$A789,Import!J:J)</f>
        <v>600</v>
      </c>
      <c r="P789" s="99">
        <f t="shared" si="762"/>
        <v>-1900</v>
      </c>
      <c r="Q789" s="99">
        <f>SUMIF(Import!$B:$B,$A789,Import!K:K)</f>
        <v>2500</v>
      </c>
      <c r="R789" s="99">
        <f>SUMIF(Import!$B:$B,$A789,Import!L:L)</f>
        <v>0</v>
      </c>
      <c r="S789" s="99">
        <f>SUMIF(Import!$B:$B,$A789,Import!M:M)</f>
        <v>0</v>
      </c>
      <c r="T789" s="99">
        <f>SUMIF(Import!$B:$B,$A789,Import!N:N)</f>
        <v>2500</v>
      </c>
      <c r="U789" s="99">
        <f t="shared" si="763"/>
        <v>0</v>
      </c>
      <c r="V789" s="255">
        <f t="shared" si="764"/>
        <v>0</v>
      </c>
      <c r="W789" s="102" t="s">
        <v>1588</v>
      </c>
      <c r="X789" s="148"/>
      <c r="Y789" s="267"/>
      <c r="Z789" s="121"/>
      <c r="AA789" s="121"/>
      <c r="AB789" s="121"/>
      <c r="AC789" s="121"/>
      <c r="AD789" s="121"/>
      <c r="AE789" s="121"/>
      <c r="AF789" s="121"/>
      <c r="AG789" s="121"/>
      <c r="AH789" s="121"/>
      <c r="AI789" s="121"/>
      <c r="AJ789" s="121"/>
      <c r="AK789" s="121"/>
      <c r="AL789" s="121"/>
    </row>
    <row r="790" spans="1:38" s="115" customFormat="1" ht="15" customHeight="1">
      <c r="A790" s="555" t="s">
        <v>1589</v>
      </c>
      <c r="B790" s="217" t="str">
        <f t="shared" si="715"/>
        <v>125</v>
      </c>
      <c r="C790" s="217" t="str">
        <f t="shared" si="716"/>
        <v>65</v>
      </c>
      <c r="D790" s="101" t="str">
        <f t="shared" si="717"/>
        <v>651</v>
      </c>
      <c r="E790" s="217" t="str">
        <f t="shared" si="718"/>
        <v>125-65-651</v>
      </c>
      <c r="F790" s="294" t="str">
        <f t="shared" si="719"/>
        <v>51280</v>
      </c>
      <c r="G790" s="295" t="str">
        <f>VLOOKUP(F790,'GL Category'!A:C,3,FALSE)</f>
        <v>Operations &amp; maintenance</v>
      </c>
      <c r="H790" s="98" t="str">
        <f>VLOOKUP(F790,'GL Category'!A:C,2,FALSE)</f>
        <v>CONCESSION SUPPLIES</v>
      </c>
      <c r="I790" s="99">
        <f>SUMIF(Import!$B:$B,$A790,Import!D:D)</f>
        <v>0</v>
      </c>
      <c r="J790" s="99">
        <f>SUMIF(Import!$B:$B,$A790,Import!E:E)</f>
        <v>0</v>
      </c>
      <c r="K790" s="99">
        <f>SUMIF(Import!$B:$B,$A790,Import!F:F)</f>
        <v>0</v>
      </c>
      <c r="L790" s="99">
        <f>SUMIF(Import!$B:$B,$A790,Import!G:G)</f>
        <v>0</v>
      </c>
      <c r="M790" s="99">
        <f>SUMIF(Import!$B:$B,$A790,Import!H:H)</f>
        <v>0</v>
      </c>
      <c r="N790" s="99">
        <f>SUMIF(Import!$B:$B,$A790,Import!I:I)</f>
        <v>0</v>
      </c>
      <c r="O790" s="99">
        <f>SUMIF(Import!$B:$B,$A790,Import!J:J)</f>
        <v>0</v>
      </c>
      <c r="P790" s="99">
        <f t="shared" si="762"/>
        <v>0</v>
      </c>
      <c r="Q790" s="99">
        <f>SUMIF(Import!$B:$B,$A790,Import!K:K)</f>
        <v>0</v>
      </c>
      <c r="R790" s="99">
        <f>SUMIF(Import!$B:$B,$A790,Import!L:L)</f>
        <v>0</v>
      </c>
      <c r="S790" s="99">
        <f>SUMIF(Import!$B:$B,$A790,Import!M:M)</f>
        <v>0</v>
      </c>
      <c r="T790" s="99">
        <f>SUMIF(Import!$B:$B,$A790,Import!N:N)</f>
        <v>0</v>
      </c>
      <c r="U790" s="99">
        <f t="shared" si="763"/>
        <v>0</v>
      </c>
      <c r="V790" s="255" t="str">
        <f t="shared" si="764"/>
        <v>N/A</v>
      </c>
      <c r="W790" s="102" t="s">
        <v>1589</v>
      </c>
      <c r="X790" s="148"/>
      <c r="Y790" s="267"/>
      <c r="Z790" s="121"/>
      <c r="AA790" s="121"/>
      <c r="AB790" s="121"/>
      <c r="AC790" s="121"/>
      <c r="AD790" s="121"/>
      <c r="AE790" s="121"/>
      <c r="AF790" s="121"/>
      <c r="AG790" s="121"/>
      <c r="AH790" s="121"/>
      <c r="AI790" s="121"/>
      <c r="AJ790" s="121"/>
      <c r="AK790" s="121"/>
      <c r="AL790" s="121"/>
    </row>
    <row r="791" spans="1:38" s="115" customFormat="1" ht="15" customHeight="1">
      <c r="A791" s="555" t="s">
        <v>1590</v>
      </c>
      <c r="B791" s="217" t="str">
        <f t="shared" si="715"/>
        <v>125</v>
      </c>
      <c r="C791" s="217" t="str">
        <f t="shared" si="716"/>
        <v>65</v>
      </c>
      <c r="D791" s="101" t="str">
        <f t="shared" si="717"/>
        <v>651</v>
      </c>
      <c r="E791" s="217" t="str">
        <f t="shared" si="718"/>
        <v>125-65-651</v>
      </c>
      <c r="F791" s="294" t="str">
        <f t="shared" si="719"/>
        <v>51285</v>
      </c>
      <c r="G791" s="295" t="str">
        <f>VLOOKUP(F791,'GL Category'!A:C,3,FALSE)</f>
        <v>Operations &amp; maintenance</v>
      </c>
      <c r="H791" s="98" t="str">
        <f>VLOOKUP(F791,'GL Category'!A:C,2,FALSE)</f>
        <v>WEARING APPAREL</v>
      </c>
      <c r="I791" s="99">
        <f>SUMIF(Import!$B:$B,$A791,Import!D:D)</f>
        <v>177.44</v>
      </c>
      <c r="J791" s="99">
        <f>SUMIF(Import!$B:$B,$A791,Import!E:E)</f>
        <v>1588.34</v>
      </c>
      <c r="K791" s="99">
        <f>SUMIF(Import!$B:$B,$A791,Import!F:F)</f>
        <v>826.7</v>
      </c>
      <c r="L791" s="99">
        <f>SUMIF(Import!$B:$B,$A791,Import!G:G)</f>
        <v>959.24</v>
      </c>
      <c r="M791" s="99">
        <f>SUMIF(Import!$B:$B,$A791,Import!H:H)</f>
        <v>2800</v>
      </c>
      <c r="N791" s="99">
        <f>SUMIF(Import!$B:$B,$A791,Import!I:I)</f>
        <v>1083.23</v>
      </c>
      <c r="O791" s="99">
        <f>SUMIF(Import!$B:$B,$A791,Import!J:J)</f>
        <v>1500</v>
      </c>
      <c r="P791" s="99">
        <f t="shared" si="762"/>
        <v>-1300</v>
      </c>
      <c r="Q791" s="99">
        <f>SUMIF(Import!$B:$B,$A791,Import!K:K)</f>
        <v>1800</v>
      </c>
      <c r="R791" s="99">
        <f>SUMIF(Import!$B:$B,$A791,Import!L:L)</f>
        <v>0</v>
      </c>
      <c r="S791" s="99">
        <f>SUMIF(Import!$B:$B,$A791,Import!M:M)</f>
        <v>0</v>
      </c>
      <c r="T791" s="99">
        <f>SUMIF(Import!$B:$B,$A791,Import!N:N)</f>
        <v>1800</v>
      </c>
      <c r="U791" s="99">
        <f t="shared" si="763"/>
        <v>-1000</v>
      </c>
      <c r="V791" s="255">
        <f t="shared" si="764"/>
        <v>-0.3571428571428571</v>
      </c>
      <c r="W791" s="102" t="s">
        <v>1590</v>
      </c>
      <c r="X791" s="148"/>
      <c r="Y791" s="267"/>
      <c r="Z791" s="121"/>
      <c r="AA791" s="121"/>
      <c r="AB791" s="121"/>
      <c r="AC791" s="121"/>
      <c r="AD791" s="121"/>
      <c r="AE791" s="121"/>
      <c r="AF791" s="121"/>
      <c r="AG791" s="121"/>
      <c r="AH791" s="121"/>
      <c r="AI791" s="121"/>
      <c r="AJ791" s="121"/>
      <c r="AK791" s="121"/>
      <c r="AL791" s="121"/>
    </row>
    <row r="792" spans="1:38" s="115" customFormat="1" ht="15" customHeight="1">
      <c r="A792" s="555" t="s">
        <v>1591</v>
      </c>
      <c r="B792" s="217" t="str">
        <f t="shared" si="715"/>
        <v>125</v>
      </c>
      <c r="C792" s="217" t="str">
        <f t="shared" si="716"/>
        <v>65</v>
      </c>
      <c r="D792" s="101" t="str">
        <f t="shared" si="717"/>
        <v>651</v>
      </c>
      <c r="E792" s="217" t="str">
        <f t="shared" si="718"/>
        <v>125-65-651</v>
      </c>
      <c r="F792" s="294" t="str">
        <f t="shared" si="719"/>
        <v>51299</v>
      </c>
      <c r="G792" s="295" t="str">
        <f>VLOOKUP(F792,'GL Category'!A:C,3,FALSE)</f>
        <v>Operations &amp; maintenance</v>
      </c>
      <c r="H792" s="98" t="str">
        <f>VLOOKUP(F792,'GL Category'!A:C,2,FALSE)</f>
        <v>MISCELLANEOUS SUPPLIES</v>
      </c>
      <c r="I792" s="99">
        <f>SUMIF(Import!$B:$B,$A792,Import!D:D)</f>
        <v>0</v>
      </c>
      <c r="J792" s="99">
        <f>SUMIF(Import!$B:$B,$A792,Import!E:E)</f>
        <v>0</v>
      </c>
      <c r="K792" s="99">
        <f>SUMIF(Import!$B:$B,$A792,Import!F:F)</f>
        <v>0</v>
      </c>
      <c r="L792" s="99">
        <f>SUMIF(Import!$B:$B,$A792,Import!G:G)</f>
        <v>0</v>
      </c>
      <c r="M792" s="99">
        <f>SUMIF(Import!$B:$B,$A792,Import!H:H)</f>
        <v>0</v>
      </c>
      <c r="N792" s="99">
        <f>SUMIF(Import!$B:$B,$A792,Import!I:I)</f>
        <v>0</v>
      </c>
      <c r="O792" s="99">
        <f>SUMIF(Import!$B:$B,$A792,Import!J:J)</f>
        <v>0</v>
      </c>
      <c r="P792" s="99">
        <f t="shared" si="762"/>
        <v>0</v>
      </c>
      <c r="Q792" s="99">
        <f>SUMIF(Import!$B:$B,$A792,Import!K:K)</f>
        <v>0</v>
      </c>
      <c r="R792" s="99">
        <f>SUMIF(Import!$B:$B,$A792,Import!L:L)</f>
        <v>0</v>
      </c>
      <c r="S792" s="99">
        <f>SUMIF(Import!$B:$B,$A792,Import!M:M)</f>
        <v>0</v>
      </c>
      <c r="T792" s="99">
        <f>SUMIF(Import!$B:$B,$A792,Import!N:N)</f>
        <v>0</v>
      </c>
      <c r="U792" s="99">
        <f t="shared" si="763"/>
        <v>0</v>
      </c>
      <c r="V792" s="255" t="str">
        <f t="shared" si="764"/>
        <v>N/A</v>
      </c>
      <c r="W792" s="102" t="s">
        <v>1591</v>
      </c>
      <c r="X792" s="148"/>
      <c r="Y792" s="267"/>
      <c r="Z792" s="121"/>
      <c r="AA792" s="121"/>
      <c r="AB792" s="121"/>
      <c r="AC792" s="121"/>
      <c r="AD792" s="121"/>
      <c r="AE792" s="121"/>
      <c r="AF792" s="121"/>
      <c r="AG792" s="121"/>
      <c r="AH792" s="121"/>
      <c r="AI792" s="121"/>
      <c r="AJ792" s="121"/>
      <c r="AK792" s="121"/>
      <c r="AL792" s="121"/>
    </row>
    <row r="793" spans="1:38" s="115" customFormat="1" ht="15" customHeight="1">
      <c r="A793" s="555" t="s">
        <v>1592</v>
      </c>
      <c r="B793" s="217" t="str">
        <f t="shared" si="715"/>
        <v>125</v>
      </c>
      <c r="C793" s="217" t="str">
        <f t="shared" si="716"/>
        <v>65</v>
      </c>
      <c r="D793" s="101" t="str">
        <f t="shared" si="717"/>
        <v>651</v>
      </c>
      <c r="E793" s="217" t="str">
        <f t="shared" si="718"/>
        <v>125-65-651</v>
      </c>
      <c r="F793" s="294" t="str">
        <f t="shared" si="719"/>
        <v>52485</v>
      </c>
      <c r="G793" s="295" t="str">
        <f>VLOOKUP(F793,'GL Category'!A:C,3,FALSE)</f>
        <v>Operations &amp; maintenance</v>
      </c>
      <c r="H793" s="98" t="str">
        <f>VLOOKUP(F793,'GL Category'!A:C,2,FALSE)</f>
        <v>SOFTWARE LICENSE &amp; MAINTENANCE</v>
      </c>
      <c r="I793" s="99">
        <f>SUMIF(Import!$B:$B,$A793,Import!D:D)</f>
        <v>514</v>
      </c>
      <c r="J793" s="99">
        <f>SUMIF(Import!$B:$B,$A793,Import!E:E)</f>
        <v>511</v>
      </c>
      <c r="K793" s="99">
        <f>SUMIF(Import!$B:$B,$A793,Import!F:F)</f>
        <v>510</v>
      </c>
      <c r="L793" s="99">
        <f>SUMIF(Import!$B:$B,$A793,Import!G:G)</f>
        <v>3849</v>
      </c>
      <c r="M793" s="99">
        <f>SUMIF(Import!$B:$B,$A793,Import!H:H)</f>
        <v>1000</v>
      </c>
      <c r="N793" s="99">
        <f>SUMIF(Import!$B:$B,$A793,Import!I:I)</f>
        <v>3235</v>
      </c>
      <c r="O793" s="99">
        <f>SUMIF(Import!$B:$B,$A793,Import!J:J)</f>
        <v>3400</v>
      </c>
      <c r="P793" s="99">
        <f t="shared" si="762"/>
        <v>2400</v>
      </c>
      <c r="Q793" s="99">
        <f>SUMIF(Import!$B:$B,$A793,Import!K:K)</f>
        <v>3000</v>
      </c>
      <c r="R793" s="99">
        <f>SUMIF(Import!$B:$B,$A793,Import!L:L)</f>
        <v>0</v>
      </c>
      <c r="S793" s="99">
        <f>SUMIF(Import!$B:$B,$A793,Import!M:M)</f>
        <v>0</v>
      </c>
      <c r="T793" s="99">
        <f>SUMIF(Import!$B:$B,$A793,Import!N:N)</f>
        <v>3000</v>
      </c>
      <c r="U793" s="99">
        <f t="shared" si="763"/>
        <v>2000</v>
      </c>
      <c r="V793" s="255">
        <f t="shared" si="764"/>
        <v>2</v>
      </c>
      <c r="W793" s="102" t="s">
        <v>1592</v>
      </c>
      <c r="X793" s="148"/>
      <c r="Y793" s="267"/>
      <c r="Z793" s="121"/>
      <c r="AA793" s="121"/>
      <c r="AB793" s="121"/>
      <c r="AC793" s="121"/>
      <c r="AD793" s="121"/>
      <c r="AE793" s="121"/>
      <c r="AF793" s="121"/>
      <c r="AG793" s="121"/>
      <c r="AH793" s="121"/>
      <c r="AI793" s="121"/>
      <c r="AJ793" s="121"/>
      <c r="AK793" s="121"/>
      <c r="AL793" s="121"/>
    </row>
    <row r="794" spans="1:38" s="115" customFormat="1" ht="25.35" customHeight="1">
      <c r="A794" s="555"/>
      <c r="B794" s="217"/>
      <c r="C794" s="217"/>
      <c r="D794" s="101"/>
      <c r="E794" s="217"/>
      <c r="F794" s="294"/>
      <c r="G794" s="146"/>
      <c r="H794" s="107" t="str">
        <f>UPPER(G793)&amp;" TOTAL"</f>
        <v>OPERATIONS &amp; MAINTENANCE TOTAL</v>
      </c>
      <c r="I794" s="109">
        <f t="shared" ref="I794" si="765">SUBTOTAL(9,I786:I793)</f>
        <v>16315.070000000002</v>
      </c>
      <c r="J794" s="109">
        <f t="shared" ref="J794:T794" si="766">SUBTOTAL(9,J786:J793)</f>
        <v>8635.9399999999987</v>
      </c>
      <c r="K794" s="109">
        <f t="shared" ref="K794" si="767">SUBTOTAL(9,K786:K793)</f>
        <v>7273.1</v>
      </c>
      <c r="L794" s="109">
        <f t="shared" ref="L794" si="768">SUBTOTAL(9,L786:L793)</f>
        <v>11906.7</v>
      </c>
      <c r="M794" s="109">
        <f t="shared" si="766"/>
        <v>16300</v>
      </c>
      <c r="N794" s="109">
        <f t="shared" ref="N794" si="769">SUBTOTAL(9,N786:N793)</f>
        <v>8850.75</v>
      </c>
      <c r="O794" s="109">
        <f t="shared" si="766"/>
        <v>12900</v>
      </c>
      <c r="P794" s="109">
        <f t="shared" si="766"/>
        <v>-3400</v>
      </c>
      <c r="Q794" s="109">
        <f t="shared" si="766"/>
        <v>17300</v>
      </c>
      <c r="R794" s="109">
        <f t="shared" si="766"/>
        <v>0</v>
      </c>
      <c r="S794" s="109">
        <f t="shared" si="766"/>
        <v>0</v>
      </c>
      <c r="T794" s="109">
        <f t="shared" si="766"/>
        <v>17300</v>
      </c>
      <c r="U794" s="99">
        <f>T794-M794</f>
        <v>1000</v>
      </c>
      <c r="V794" s="259">
        <f>IF(M794=0,"N/A",T794/M794-1)</f>
        <v>6.1349693251533832E-2</v>
      </c>
      <c r="W794" s="104"/>
      <c r="X794" s="148"/>
      <c r="Y794" s="267"/>
      <c r="Z794" s="121"/>
      <c r="AA794" s="121"/>
      <c r="AB794" s="121"/>
      <c r="AC794" s="121"/>
      <c r="AD794" s="121"/>
      <c r="AE794" s="121"/>
      <c r="AF794" s="121"/>
      <c r="AG794" s="121"/>
      <c r="AH794" s="121"/>
      <c r="AI794" s="121"/>
      <c r="AJ794" s="121"/>
      <c r="AK794" s="121"/>
      <c r="AL794" s="121"/>
    </row>
    <row r="795" spans="1:38" s="115" customFormat="1" ht="15" customHeight="1">
      <c r="A795" s="555"/>
      <c r="B795" s="217"/>
      <c r="C795" s="217"/>
      <c r="D795" s="101"/>
      <c r="E795" s="217"/>
      <c r="F795" s="294"/>
      <c r="G795" s="146"/>
      <c r="H795" s="98"/>
      <c r="I795" s="106"/>
      <c r="J795" s="106"/>
      <c r="K795" s="106"/>
      <c r="L795" s="106"/>
      <c r="M795" s="106"/>
      <c r="N795" s="112"/>
      <c r="O795" s="112"/>
      <c r="P795" s="112"/>
      <c r="Q795" s="113"/>
      <c r="R795" s="113"/>
      <c r="S795" s="113"/>
      <c r="T795" s="113"/>
      <c r="U795" s="113"/>
      <c r="V795" s="113"/>
      <c r="W795" s="104"/>
      <c r="X795" s="148"/>
      <c r="Y795" s="267"/>
      <c r="Z795" s="121"/>
      <c r="AA795" s="121"/>
      <c r="AB795" s="121"/>
      <c r="AC795" s="121"/>
      <c r="AD795" s="121"/>
      <c r="AE795" s="121"/>
      <c r="AF795" s="121"/>
      <c r="AG795" s="121"/>
      <c r="AH795" s="121"/>
      <c r="AI795" s="121"/>
      <c r="AJ795" s="121"/>
      <c r="AK795" s="121"/>
      <c r="AL795" s="121"/>
    </row>
    <row r="796" spans="1:38" s="115" customFormat="1" ht="15" customHeight="1">
      <c r="A796" s="555" t="s">
        <v>1593</v>
      </c>
      <c r="B796" s="217" t="str">
        <f t="shared" si="715"/>
        <v>125</v>
      </c>
      <c r="C796" s="217" t="str">
        <f t="shared" si="716"/>
        <v>65</v>
      </c>
      <c r="D796" s="101" t="str">
        <f t="shared" si="717"/>
        <v>651</v>
      </c>
      <c r="E796" s="217" t="str">
        <f t="shared" si="718"/>
        <v>125-65-651</v>
      </c>
      <c r="F796" s="294" t="str">
        <f t="shared" si="719"/>
        <v>53507</v>
      </c>
      <c r="G796" s="295" t="str">
        <f>VLOOKUP(F796,'GL Category'!A:C,3,FALSE)</f>
        <v>Services &amp; other</v>
      </c>
      <c r="H796" s="98" t="str">
        <f>VLOOKUP(F796,'GL Category'!A:C,2,FALSE)</f>
        <v>ATTORNEY &amp; LEGAL SERVICES</v>
      </c>
      <c r="I796" s="99">
        <f>SUMIF(Import!$B:$B,$A796,Import!D:D)</f>
        <v>0</v>
      </c>
      <c r="J796" s="99">
        <f>SUMIF(Import!$B:$B,$A796,Import!E:E)</f>
        <v>0</v>
      </c>
      <c r="K796" s="99">
        <f>SUMIF(Import!$B:$B,$A796,Import!F:F)</f>
        <v>0</v>
      </c>
      <c r="L796" s="99">
        <f>SUMIF(Import!$B:$B,$A796,Import!G:G)</f>
        <v>0</v>
      </c>
      <c r="M796" s="99">
        <f>SUMIF(Import!$B:$B,$A796,Import!H:H)</f>
        <v>0</v>
      </c>
      <c r="N796" s="99">
        <f>SUMIF(Import!$B:$B,$A796,Import!I:I)</f>
        <v>0</v>
      </c>
      <c r="O796" s="99">
        <f>SUMIF(Import!$B:$B,$A796,Import!J:J)</f>
        <v>0</v>
      </c>
      <c r="P796" s="99">
        <f t="shared" ref="P796:P818" si="770">O796-M796</f>
        <v>0</v>
      </c>
      <c r="Q796" s="99">
        <f>SUMIF(Import!$B:$B,$A796,Import!K:K)</f>
        <v>0</v>
      </c>
      <c r="R796" s="99">
        <f>SUMIF(Import!$B:$B,$A796,Import!L:L)</f>
        <v>0</v>
      </c>
      <c r="S796" s="99">
        <f>SUMIF(Import!$B:$B,$A796,Import!M:M)</f>
        <v>0</v>
      </c>
      <c r="T796" s="99">
        <f>SUMIF(Import!$B:$B,$A796,Import!N:N)</f>
        <v>0</v>
      </c>
      <c r="U796" s="99">
        <f t="shared" ref="U796:U818" si="771">T796-M796</f>
        <v>0</v>
      </c>
      <c r="V796" s="255" t="str">
        <f t="shared" ref="V796:V818" si="772">IF(M796=0,"N/A",T796/M796-1)</f>
        <v>N/A</v>
      </c>
      <c r="W796" s="102" t="s">
        <v>1593</v>
      </c>
      <c r="X796" s="148"/>
      <c r="Y796" s="267"/>
      <c r="Z796" s="121"/>
      <c r="AA796" s="121"/>
      <c r="AB796" s="121"/>
      <c r="AC796" s="121"/>
      <c r="AD796" s="121"/>
      <c r="AE796" s="121"/>
      <c r="AF796" s="121"/>
      <c r="AG796" s="121"/>
      <c r="AH796" s="121"/>
      <c r="AI796" s="121"/>
      <c r="AJ796" s="121"/>
      <c r="AK796" s="121"/>
      <c r="AL796" s="121"/>
    </row>
    <row r="797" spans="1:38" s="115" customFormat="1" ht="15" customHeight="1">
      <c r="A797" s="555" t="s">
        <v>1594</v>
      </c>
      <c r="B797" s="217" t="str">
        <f t="shared" si="715"/>
        <v>125</v>
      </c>
      <c r="C797" s="217" t="str">
        <f t="shared" si="716"/>
        <v>65</v>
      </c>
      <c r="D797" s="101" t="str">
        <f t="shared" si="717"/>
        <v>651</v>
      </c>
      <c r="E797" s="217" t="str">
        <f t="shared" si="718"/>
        <v>125-65-651</v>
      </c>
      <c r="F797" s="294" t="str">
        <f t="shared" si="719"/>
        <v>53599</v>
      </c>
      <c r="G797" s="295" t="str">
        <f>VLOOKUP(F797,'GL Category'!A:C,3,FALSE)</f>
        <v>Services &amp; other</v>
      </c>
      <c r="H797" s="98" t="str">
        <f>VLOOKUP(F797,'GL Category'!A:C,2,FALSE)</f>
        <v>MISCELLANEOUS SERVICES</v>
      </c>
      <c r="I797" s="99">
        <f>SUMIF(Import!$B:$B,$A797,Import!D:D)</f>
        <v>0</v>
      </c>
      <c r="J797" s="99">
        <f>SUMIF(Import!$B:$B,$A797,Import!E:E)</f>
        <v>0</v>
      </c>
      <c r="K797" s="99">
        <f>SUMIF(Import!$B:$B,$A797,Import!F:F)</f>
        <v>0</v>
      </c>
      <c r="L797" s="99">
        <f>SUMIF(Import!$B:$B,$A797,Import!G:G)</f>
        <v>0</v>
      </c>
      <c r="M797" s="99">
        <f>SUMIF(Import!$B:$B,$A797,Import!H:H)</f>
        <v>0</v>
      </c>
      <c r="N797" s="99">
        <f>SUMIF(Import!$B:$B,$A797,Import!I:I)</f>
        <v>0</v>
      </c>
      <c r="O797" s="99">
        <f>SUMIF(Import!$B:$B,$A797,Import!J:J)</f>
        <v>0</v>
      </c>
      <c r="P797" s="99">
        <f t="shared" si="770"/>
        <v>0</v>
      </c>
      <c r="Q797" s="99">
        <f>SUMIF(Import!$B:$B,$A797,Import!K:K)</f>
        <v>0</v>
      </c>
      <c r="R797" s="99">
        <f>SUMIF(Import!$B:$B,$A797,Import!L:L)</f>
        <v>0</v>
      </c>
      <c r="S797" s="99">
        <f>SUMIF(Import!$B:$B,$A797,Import!M:M)</f>
        <v>0</v>
      </c>
      <c r="T797" s="99">
        <f>SUMIF(Import!$B:$B,$A797,Import!N:N)</f>
        <v>0</v>
      </c>
      <c r="U797" s="99">
        <f t="shared" si="771"/>
        <v>0</v>
      </c>
      <c r="V797" s="255" t="str">
        <f t="shared" si="772"/>
        <v>N/A</v>
      </c>
      <c r="W797" s="102" t="s">
        <v>1594</v>
      </c>
      <c r="X797" s="148"/>
      <c r="Y797" s="267"/>
      <c r="Z797" s="121"/>
      <c r="AA797" s="121"/>
      <c r="AB797" s="121"/>
      <c r="AC797" s="121"/>
      <c r="AD797" s="121"/>
      <c r="AE797" s="121"/>
      <c r="AF797" s="121"/>
      <c r="AG797" s="121"/>
      <c r="AH797" s="121"/>
      <c r="AI797" s="121"/>
      <c r="AJ797" s="121"/>
      <c r="AK797" s="121"/>
      <c r="AL797" s="121"/>
    </row>
    <row r="798" spans="1:38" s="115" customFormat="1" ht="15" customHeight="1">
      <c r="A798" s="555" t="s">
        <v>1595</v>
      </c>
      <c r="B798" s="217" t="str">
        <f t="shared" si="715"/>
        <v>125</v>
      </c>
      <c r="C798" s="217" t="str">
        <f t="shared" si="716"/>
        <v>65</v>
      </c>
      <c r="D798" s="101" t="str">
        <f t="shared" si="717"/>
        <v>651</v>
      </c>
      <c r="E798" s="217" t="str">
        <f t="shared" si="718"/>
        <v>125-65-651</v>
      </c>
      <c r="F798" s="294" t="str">
        <f t="shared" si="719"/>
        <v>53510</v>
      </c>
      <c r="G798" s="295" t="str">
        <f>VLOOKUP(F798,'GL Category'!A:C,3,FALSE)</f>
        <v>Services &amp; other</v>
      </c>
      <c r="H798" s="98" t="str">
        <f>VLOOKUP(F798,'GL Category'!A:C,2,FALSE)</f>
        <v>DUES &amp; SUBSCRIPTIONS</v>
      </c>
      <c r="I798" s="99">
        <f>SUMIF(Import!$B:$B,$A798,Import!D:D)</f>
        <v>3275</v>
      </c>
      <c r="J798" s="99">
        <f>SUMIF(Import!$B:$B,$A798,Import!E:E)</f>
        <v>5381.55</v>
      </c>
      <c r="K798" s="99">
        <f>SUMIF(Import!$B:$B,$A798,Import!F:F)</f>
        <v>2070</v>
      </c>
      <c r="L798" s="99">
        <f>SUMIF(Import!$B:$B,$A798,Import!G:G)</f>
        <v>7649.56</v>
      </c>
      <c r="M798" s="99">
        <f>SUMIF(Import!$B:$B,$A798,Import!H:H)</f>
        <v>4175</v>
      </c>
      <c r="N798" s="99">
        <f>SUMIF(Import!$B:$B,$A798,Import!I:I)</f>
        <v>2492</v>
      </c>
      <c r="O798" s="99">
        <f>SUMIF(Import!$B:$B,$A798,Import!J:J)</f>
        <v>4175</v>
      </c>
      <c r="P798" s="99">
        <f t="shared" si="770"/>
        <v>0</v>
      </c>
      <c r="Q798" s="99">
        <f>SUMIF(Import!$B:$B,$A798,Import!K:K)</f>
        <v>2675</v>
      </c>
      <c r="R798" s="99">
        <f>SUMIF(Import!$B:$B,$A798,Import!L:L)</f>
        <v>0</v>
      </c>
      <c r="S798" s="99">
        <f>SUMIF(Import!$B:$B,$A798,Import!M:M)</f>
        <v>0</v>
      </c>
      <c r="T798" s="99">
        <f>SUMIF(Import!$B:$B,$A798,Import!N:N)</f>
        <v>2675</v>
      </c>
      <c r="U798" s="99">
        <f t="shared" si="771"/>
        <v>-1500</v>
      </c>
      <c r="V798" s="255">
        <f t="shared" si="772"/>
        <v>-0.35928143712574845</v>
      </c>
      <c r="W798" s="102" t="s">
        <v>1595</v>
      </c>
      <c r="X798" s="148"/>
      <c r="Y798" s="267"/>
      <c r="Z798" s="121"/>
      <c r="AA798" s="121"/>
      <c r="AB798" s="121"/>
      <c r="AC798" s="121"/>
      <c r="AD798" s="121"/>
      <c r="AE798" s="121"/>
      <c r="AF798" s="121"/>
      <c r="AG798" s="121"/>
      <c r="AH798" s="121"/>
      <c r="AI798" s="121"/>
      <c r="AJ798" s="121"/>
      <c r="AK798" s="121"/>
      <c r="AL798" s="121"/>
    </row>
    <row r="799" spans="1:38" s="115" customFormat="1" ht="15" customHeight="1">
      <c r="A799" s="555" t="s">
        <v>1596</v>
      </c>
      <c r="B799" s="217" t="str">
        <f t="shared" ref="B799:B859" si="773">LEFT(A799,3)</f>
        <v>125</v>
      </c>
      <c r="C799" s="217" t="str">
        <f t="shared" ref="C799:C859" si="774">MID(A799,5,2)</f>
        <v>65</v>
      </c>
      <c r="D799" s="101" t="str">
        <f t="shared" ref="D799:D859" si="775">MID(A799,8,3)</f>
        <v>651</v>
      </c>
      <c r="E799" s="217" t="str">
        <f t="shared" ref="E799:E859" si="776">LEFT(A799,10)</f>
        <v>125-65-651</v>
      </c>
      <c r="F799" s="294" t="str">
        <f t="shared" ref="F799:F859" si="777">RIGHT(A799,5)</f>
        <v>53515</v>
      </c>
      <c r="G799" s="295" t="str">
        <f>VLOOKUP(F799,'GL Category'!A:C,3,FALSE)</f>
        <v>Services &amp; other</v>
      </c>
      <c r="H799" s="98" t="str">
        <f>VLOOKUP(F799,'GL Category'!A:C,2,FALSE)</f>
        <v>TRAVEL, TRAINING &amp; EDUCATION</v>
      </c>
      <c r="I799" s="99">
        <f>SUMIF(Import!$B:$B,$A799,Import!D:D)</f>
        <v>2564.87</v>
      </c>
      <c r="J799" s="99">
        <f>SUMIF(Import!$B:$B,$A799,Import!E:E)</f>
        <v>173.75</v>
      </c>
      <c r="K799" s="99">
        <f>SUMIF(Import!$B:$B,$A799,Import!F:F)</f>
        <v>169.44</v>
      </c>
      <c r="L799" s="99">
        <f>SUMIF(Import!$B:$B,$A799,Import!G:G)</f>
        <v>367</v>
      </c>
      <c r="M799" s="99">
        <f>SUMIF(Import!$B:$B,$A799,Import!H:H)</f>
        <v>2000</v>
      </c>
      <c r="N799" s="99">
        <f>SUMIF(Import!$B:$B,$A799,Import!I:I)</f>
        <v>3026.19</v>
      </c>
      <c r="O799" s="99">
        <f>SUMIF(Import!$B:$B,$A799,Import!J:J)</f>
        <v>3113</v>
      </c>
      <c r="P799" s="99">
        <f t="shared" si="770"/>
        <v>1113</v>
      </c>
      <c r="Q799" s="99">
        <f>SUMIF(Import!$B:$B,$A799,Import!K:K)</f>
        <v>2000</v>
      </c>
      <c r="R799" s="99">
        <f>SUMIF(Import!$B:$B,$A799,Import!L:L)</f>
        <v>0</v>
      </c>
      <c r="S799" s="99">
        <f>SUMIF(Import!$B:$B,$A799,Import!M:M)</f>
        <v>0</v>
      </c>
      <c r="T799" s="99">
        <f>SUMIF(Import!$B:$B,$A799,Import!N:N)</f>
        <v>2000</v>
      </c>
      <c r="U799" s="99">
        <f t="shared" si="771"/>
        <v>0</v>
      </c>
      <c r="V799" s="255">
        <f t="shared" si="772"/>
        <v>0</v>
      </c>
      <c r="W799" s="102" t="s">
        <v>1596</v>
      </c>
      <c r="X799" s="148"/>
      <c r="Y799" s="267"/>
      <c r="Z799" s="121"/>
      <c r="AA799" s="121"/>
      <c r="AB799" s="121"/>
      <c r="AC799" s="121"/>
      <c r="AD799" s="121"/>
      <c r="AE799" s="121"/>
      <c r="AF799" s="121"/>
      <c r="AG799" s="121"/>
      <c r="AH799" s="121"/>
      <c r="AI799" s="121"/>
      <c r="AJ799" s="121"/>
      <c r="AK799" s="121"/>
      <c r="AL799" s="121"/>
    </row>
    <row r="800" spans="1:38" s="115" customFormat="1" ht="15" customHeight="1">
      <c r="A800" s="555" t="s">
        <v>1597</v>
      </c>
      <c r="B800" s="217" t="str">
        <f t="shared" si="773"/>
        <v>125</v>
      </c>
      <c r="C800" s="217" t="str">
        <f t="shared" si="774"/>
        <v>65</v>
      </c>
      <c r="D800" s="101" t="str">
        <f t="shared" si="775"/>
        <v>651</v>
      </c>
      <c r="E800" s="217" t="str">
        <f t="shared" si="776"/>
        <v>125-65-651</v>
      </c>
      <c r="F800" s="294" t="str">
        <f t="shared" si="777"/>
        <v>53517</v>
      </c>
      <c r="G800" s="295" t="str">
        <f>VLOOKUP(F800,'GL Category'!A:C,3,FALSE)</f>
        <v>Services &amp; other</v>
      </c>
      <c r="H800" s="98" t="str">
        <f>VLOOKUP(F800,'GL Category'!A:C,2,FALSE)</f>
        <v>MEDICAL SERVICES</v>
      </c>
      <c r="I800" s="99">
        <f>SUMIF(Import!$B:$B,$A800,Import!D:D)</f>
        <v>8014</v>
      </c>
      <c r="J800" s="99">
        <f>SUMIF(Import!$B:$B,$A800,Import!E:E)</f>
        <v>11570</v>
      </c>
      <c r="K800" s="99">
        <f>SUMIF(Import!$B:$B,$A800,Import!F:F)</f>
        <v>4598.5</v>
      </c>
      <c r="L800" s="99">
        <f>SUMIF(Import!$B:$B,$A800,Import!G:G)</f>
        <v>7398</v>
      </c>
      <c r="M800" s="99">
        <f>SUMIF(Import!$B:$B,$A800,Import!H:H)</f>
        <v>8730</v>
      </c>
      <c r="N800" s="99">
        <f>SUMIF(Import!$B:$B,$A800,Import!I:I)</f>
        <v>6915</v>
      </c>
      <c r="O800" s="99">
        <f>SUMIF(Import!$B:$B,$A800,Import!J:J)</f>
        <v>7000</v>
      </c>
      <c r="P800" s="99">
        <f t="shared" si="770"/>
        <v>-1730</v>
      </c>
      <c r="Q800" s="99">
        <f>SUMIF(Import!$B:$B,$A800,Import!K:K)</f>
        <v>8730</v>
      </c>
      <c r="R800" s="99">
        <f>SUMIF(Import!$B:$B,$A800,Import!L:L)</f>
        <v>0</v>
      </c>
      <c r="S800" s="99">
        <f>SUMIF(Import!$B:$B,$A800,Import!M:M)</f>
        <v>0</v>
      </c>
      <c r="T800" s="99">
        <f>SUMIF(Import!$B:$B,$A800,Import!N:N)</f>
        <v>8730</v>
      </c>
      <c r="U800" s="99">
        <f t="shared" si="771"/>
        <v>0</v>
      </c>
      <c r="V800" s="255">
        <f t="shared" si="772"/>
        <v>0</v>
      </c>
      <c r="W800" s="102" t="s">
        <v>1597</v>
      </c>
      <c r="X800" s="148"/>
      <c r="Y800" s="267"/>
      <c r="Z800" s="121"/>
      <c r="AA800" s="121"/>
      <c r="AB800" s="121"/>
      <c r="AC800" s="121"/>
      <c r="AD800" s="121"/>
      <c r="AE800" s="121"/>
      <c r="AF800" s="121"/>
      <c r="AG800" s="121"/>
      <c r="AH800" s="121"/>
      <c r="AI800" s="121"/>
      <c r="AJ800" s="121"/>
      <c r="AK800" s="121"/>
      <c r="AL800" s="121"/>
    </row>
    <row r="801" spans="1:38" s="115" customFormat="1" ht="15" customHeight="1">
      <c r="A801" s="555" t="s">
        <v>1598</v>
      </c>
      <c r="B801" s="217" t="str">
        <f t="shared" si="773"/>
        <v>125</v>
      </c>
      <c r="C801" s="217" t="str">
        <f t="shared" si="774"/>
        <v>65</v>
      </c>
      <c r="D801" s="101" t="str">
        <f t="shared" si="775"/>
        <v>651</v>
      </c>
      <c r="E801" s="217" t="str">
        <f t="shared" si="776"/>
        <v>125-65-651</v>
      </c>
      <c r="F801" s="294" t="str">
        <f t="shared" si="777"/>
        <v>53522</v>
      </c>
      <c r="G801" s="295" t="str">
        <f>VLOOKUP(F801,'GL Category'!A:C,3,FALSE)</f>
        <v>Services &amp; other</v>
      </c>
      <c r="H801" s="98" t="str">
        <f>VLOOKUP(F801,'GL Category'!A:C,2,FALSE)</f>
        <v>ADVERTISING &amp; RECORDING</v>
      </c>
      <c r="I801" s="99">
        <f>SUMIF(Import!$B:$B,$A801,Import!D:D)</f>
        <v>0</v>
      </c>
      <c r="J801" s="99">
        <f>SUMIF(Import!$B:$B,$A801,Import!E:E)</f>
        <v>0</v>
      </c>
      <c r="K801" s="99">
        <f>SUMIF(Import!$B:$B,$A801,Import!F:F)</f>
        <v>0</v>
      </c>
      <c r="L801" s="99">
        <f>SUMIF(Import!$B:$B,$A801,Import!G:G)</f>
        <v>0</v>
      </c>
      <c r="M801" s="99">
        <f>SUMIF(Import!$B:$B,$A801,Import!H:H)</f>
        <v>0</v>
      </c>
      <c r="N801" s="99">
        <f>SUMIF(Import!$B:$B,$A801,Import!I:I)</f>
        <v>0</v>
      </c>
      <c r="O801" s="99">
        <f>SUMIF(Import!$B:$B,$A801,Import!J:J)</f>
        <v>0</v>
      </c>
      <c r="P801" s="99">
        <f t="shared" si="770"/>
        <v>0</v>
      </c>
      <c r="Q801" s="99">
        <f>SUMIF(Import!$B:$B,$A801,Import!K:K)</f>
        <v>0</v>
      </c>
      <c r="R801" s="99">
        <f>SUMIF(Import!$B:$B,$A801,Import!L:L)</f>
        <v>0</v>
      </c>
      <c r="S801" s="99">
        <f>SUMIF(Import!$B:$B,$A801,Import!M:M)</f>
        <v>0</v>
      </c>
      <c r="T801" s="99">
        <f>SUMIF(Import!$B:$B,$A801,Import!N:N)</f>
        <v>0</v>
      </c>
      <c r="U801" s="99">
        <f t="shared" si="771"/>
        <v>0</v>
      </c>
      <c r="V801" s="255" t="str">
        <f t="shared" si="772"/>
        <v>N/A</v>
      </c>
      <c r="W801" s="102" t="s">
        <v>1598</v>
      </c>
      <c r="X801" s="148"/>
      <c r="Y801" s="267"/>
      <c r="Z801" s="121"/>
      <c r="AA801" s="121"/>
      <c r="AB801" s="121"/>
      <c r="AC801" s="121"/>
      <c r="AD801" s="121"/>
      <c r="AE801" s="121"/>
      <c r="AF801" s="121"/>
      <c r="AG801" s="121"/>
      <c r="AH801" s="121"/>
      <c r="AI801" s="121"/>
      <c r="AJ801" s="121"/>
      <c r="AK801" s="121"/>
      <c r="AL801" s="121"/>
    </row>
    <row r="802" spans="1:38" s="115" customFormat="1" ht="15" customHeight="1">
      <c r="A802" s="555" t="s">
        <v>1599</v>
      </c>
      <c r="B802" s="217" t="str">
        <f t="shared" si="773"/>
        <v>125</v>
      </c>
      <c r="C802" s="217" t="str">
        <f t="shared" si="774"/>
        <v>65</v>
      </c>
      <c r="D802" s="101" t="str">
        <f t="shared" si="775"/>
        <v>651</v>
      </c>
      <c r="E802" s="217" t="str">
        <f t="shared" si="776"/>
        <v>125-65-651</v>
      </c>
      <c r="F802" s="294" t="str">
        <f t="shared" si="777"/>
        <v>53524</v>
      </c>
      <c r="G802" s="295" t="str">
        <f>VLOOKUP(F802,'GL Category'!A:C,3,FALSE)</f>
        <v>Services &amp; other</v>
      </c>
      <c r="H802" s="98" t="str">
        <f>VLOOKUP(F802,'GL Category'!A:C,2,FALSE)</f>
        <v>EQUIPMENT RENTAL</v>
      </c>
      <c r="I802" s="99">
        <f>SUMIF(Import!$B:$B,$A802,Import!D:D)</f>
        <v>0</v>
      </c>
      <c r="J802" s="99">
        <f>SUMIF(Import!$B:$B,$A802,Import!E:E)</f>
        <v>0</v>
      </c>
      <c r="K802" s="99">
        <f>SUMIF(Import!$B:$B,$A802,Import!F:F)</f>
        <v>0</v>
      </c>
      <c r="L802" s="99">
        <f>SUMIF(Import!$B:$B,$A802,Import!G:G)</f>
        <v>0</v>
      </c>
      <c r="M802" s="99">
        <f>SUMIF(Import!$B:$B,$A802,Import!H:H)</f>
        <v>0</v>
      </c>
      <c r="N802" s="99">
        <f>SUMIF(Import!$B:$B,$A802,Import!I:I)</f>
        <v>0</v>
      </c>
      <c r="O802" s="99">
        <f>SUMIF(Import!$B:$B,$A802,Import!J:J)</f>
        <v>0</v>
      </c>
      <c r="P802" s="99">
        <f t="shared" si="770"/>
        <v>0</v>
      </c>
      <c r="Q802" s="99">
        <f>SUMIF(Import!$B:$B,$A802,Import!K:K)</f>
        <v>0</v>
      </c>
      <c r="R802" s="99">
        <f>SUMIF(Import!$B:$B,$A802,Import!L:L)</f>
        <v>0</v>
      </c>
      <c r="S802" s="99">
        <f>SUMIF(Import!$B:$B,$A802,Import!M:M)</f>
        <v>0</v>
      </c>
      <c r="T802" s="99">
        <f>SUMIF(Import!$B:$B,$A802,Import!N:N)</f>
        <v>0</v>
      </c>
      <c r="U802" s="99">
        <f t="shared" si="771"/>
        <v>0</v>
      </c>
      <c r="V802" s="255" t="str">
        <f t="shared" si="772"/>
        <v>N/A</v>
      </c>
      <c r="W802" s="102" t="s">
        <v>1599</v>
      </c>
      <c r="X802" s="148"/>
      <c r="Y802" s="267"/>
      <c r="Z802" s="121"/>
      <c r="AA802" s="121"/>
      <c r="AB802" s="121"/>
      <c r="AC802" s="121"/>
      <c r="AD802" s="121"/>
      <c r="AE802" s="121"/>
      <c r="AF802" s="121"/>
      <c r="AG802" s="121"/>
      <c r="AH802" s="121"/>
      <c r="AI802" s="121"/>
      <c r="AJ802" s="121"/>
      <c r="AK802" s="121"/>
      <c r="AL802" s="121"/>
    </row>
    <row r="803" spans="1:38" s="115" customFormat="1" ht="15" customHeight="1">
      <c r="A803" s="555" t="s">
        <v>1600</v>
      </c>
      <c r="B803" s="217" t="str">
        <f t="shared" si="773"/>
        <v>125</v>
      </c>
      <c r="C803" s="217" t="str">
        <f t="shared" si="774"/>
        <v>65</v>
      </c>
      <c r="D803" s="101" t="str">
        <f t="shared" si="775"/>
        <v>651</v>
      </c>
      <c r="E803" s="217" t="str">
        <f t="shared" si="776"/>
        <v>125-65-651</v>
      </c>
      <c r="F803" s="294" t="str">
        <f t="shared" si="777"/>
        <v>53527</v>
      </c>
      <c r="G803" s="295" t="str">
        <f>VLOOKUP(F803,'GL Category'!A:C,3,FALSE)</f>
        <v>Services &amp; other</v>
      </c>
      <c r="H803" s="98" t="str">
        <f>VLOOKUP(F803,'GL Category'!A:C,2,FALSE)</f>
        <v>EMPLOYEE ACTIVITIES</v>
      </c>
      <c r="I803" s="99">
        <f>SUMIF(Import!$B:$B,$A803,Import!D:D)</f>
        <v>214.4</v>
      </c>
      <c r="J803" s="99">
        <f>SUMIF(Import!$B:$B,$A803,Import!E:E)</f>
        <v>1158.1199999999999</v>
      </c>
      <c r="K803" s="99">
        <f>SUMIF(Import!$B:$B,$A803,Import!F:F)</f>
        <v>2434.96</v>
      </c>
      <c r="L803" s="99">
        <f>SUMIF(Import!$B:$B,$A803,Import!G:G)</f>
        <v>472.91</v>
      </c>
      <c r="M803" s="99">
        <f>SUMIF(Import!$B:$B,$A803,Import!H:H)</f>
        <v>4000</v>
      </c>
      <c r="N803" s="99">
        <f>SUMIF(Import!$B:$B,$A803,Import!I:I)</f>
        <v>0</v>
      </c>
      <c r="O803" s="99">
        <f>SUMIF(Import!$B:$B,$A803,Import!J:J)</f>
        <v>400</v>
      </c>
      <c r="P803" s="99">
        <f t="shared" si="770"/>
        <v>-3600</v>
      </c>
      <c r="Q803" s="99">
        <f>SUMIF(Import!$B:$B,$A803,Import!K:K)</f>
        <v>2000</v>
      </c>
      <c r="R803" s="99">
        <f>SUMIF(Import!$B:$B,$A803,Import!L:L)</f>
        <v>0</v>
      </c>
      <c r="S803" s="99">
        <f>SUMIF(Import!$B:$B,$A803,Import!M:M)</f>
        <v>0</v>
      </c>
      <c r="T803" s="99">
        <f>SUMIF(Import!$B:$B,$A803,Import!N:N)</f>
        <v>2000</v>
      </c>
      <c r="U803" s="99">
        <f t="shared" si="771"/>
        <v>-2000</v>
      </c>
      <c r="V803" s="255">
        <f t="shared" si="772"/>
        <v>-0.5</v>
      </c>
      <c r="W803" s="102" t="s">
        <v>1600</v>
      </c>
      <c r="X803" s="148"/>
      <c r="Y803" s="267"/>
      <c r="Z803" s="121"/>
      <c r="AA803" s="121"/>
      <c r="AB803" s="121"/>
      <c r="AC803" s="121"/>
      <c r="AD803" s="121"/>
      <c r="AE803" s="121"/>
      <c r="AF803" s="121"/>
      <c r="AG803" s="121"/>
      <c r="AH803" s="121"/>
      <c r="AI803" s="121"/>
      <c r="AJ803" s="121"/>
      <c r="AK803" s="121"/>
      <c r="AL803" s="121"/>
    </row>
    <row r="804" spans="1:38" s="115" customFormat="1" ht="15" customHeight="1">
      <c r="A804" s="555" t="s">
        <v>1601</v>
      </c>
      <c r="B804" s="217" t="str">
        <f t="shared" si="773"/>
        <v>125</v>
      </c>
      <c r="C804" s="217" t="str">
        <f t="shared" si="774"/>
        <v>65</v>
      </c>
      <c r="D804" s="101" t="str">
        <f t="shared" si="775"/>
        <v>651</v>
      </c>
      <c r="E804" s="217" t="str">
        <f t="shared" si="776"/>
        <v>125-65-651</v>
      </c>
      <c r="F804" s="294" t="str">
        <f t="shared" si="777"/>
        <v>53534</v>
      </c>
      <c r="G804" s="295" t="str">
        <f>VLOOKUP(F804,'GL Category'!A:C,3,FALSE)</f>
        <v>Services &amp; other</v>
      </c>
      <c r="H804" s="98" t="str">
        <f>VLOOKUP(F804,'GL Category'!A:C,2,FALSE)</f>
        <v>MARKETING &amp; PROMOTIONAL</v>
      </c>
      <c r="I804" s="99">
        <f>SUMIF(Import!$B:$B,$A804,Import!D:D)</f>
        <v>30428.54</v>
      </c>
      <c r="J804" s="99">
        <f>SUMIF(Import!$B:$B,$A804,Import!E:E)</f>
        <v>17808.18</v>
      </c>
      <c r="K804" s="99">
        <f>SUMIF(Import!$B:$B,$A804,Import!F:F)</f>
        <v>41906.480000000003</v>
      </c>
      <c r="L804" s="99">
        <f>SUMIF(Import!$B:$B,$A804,Import!G:G)</f>
        <v>41276.080000000002</v>
      </c>
      <c r="M804" s="99">
        <f>SUMIF(Import!$B:$B,$A804,Import!H:H)</f>
        <v>51500</v>
      </c>
      <c r="N804" s="99">
        <f>SUMIF(Import!$B:$B,$A804,Import!I:I)</f>
        <v>42784.75</v>
      </c>
      <c r="O804" s="99">
        <f>SUMIF(Import!$B:$B,$A804,Import!J:J)</f>
        <v>46600</v>
      </c>
      <c r="P804" s="99">
        <f t="shared" si="770"/>
        <v>-4900</v>
      </c>
      <c r="Q804" s="99">
        <f>SUMIF(Import!$B:$B,$A804,Import!K:K)</f>
        <v>39800</v>
      </c>
      <c r="R804" s="99">
        <f>SUMIF(Import!$B:$B,$A804,Import!L:L)</f>
        <v>0</v>
      </c>
      <c r="S804" s="99">
        <f>SUMIF(Import!$B:$B,$A804,Import!M:M)</f>
        <v>0</v>
      </c>
      <c r="T804" s="99">
        <f>SUMIF(Import!$B:$B,$A804,Import!N:N)</f>
        <v>39800</v>
      </c>
      <c r="U804" s="99">
        <f t="shared" si="771"/>
        <v>-11700</v>
      </c>
      <c r="V804" s="255">
        <f t="shared" si="772"/>
        <v>-0.22718446601941744</v>
      </c>
      <c r="W804" s="102" t="s">
        <v>1601</v>
      </c>
      <c r="X804" s="148"/>
      <c r="Y804" s="267"/>
      <c r="Z804" s="121"/>
      <c r="AA804" s="121"/>
      <c r="AB804" s="121"/>
      <c r="AC804" s="121"/>
      <c r="AD804" s="121"/>
      <c r="AE804" s="121"/>
      <c r="AF804" s="121"/>
      <c r="AG804" s="121"/>
      <c r="AH804" s="121"/>
      <c r="AI804" s="121"/>
      <c r="AJ804" s="121"/>
      <c r="AK804" s="121"/>
      <c r="AL804" s="121"/>
    </row>
    <row r="805" spans="1:38" s="115" customFormat="1" ht="15" customHeight="1">
      <c r="A805" s="555" t="s">
        <v>1602</v>
      </c>
      <c r="B805" s="217" t="str">
        <f t="shared" si="773"/>
        <v>125</v>
      </c>
      <c r="C805" s="217" t="str">
        <f t="shared" si="774"/>
        <v>65</v>
      </c>
      <c r="D805" s="101" t="str">
        <f t="shared" si="775"/>
        <v>651</v>
      </c>
      <c r="E805" s="217" t="str">
        <f t="shared" si="776"/>
        <v>125-65-651</v>
      </c>
      <c r="F805" s="294" t="str">
        <f t="shared" si="777"/>
        <v>53535</v>
      </c>
      <c r="G805" s="295" t="str">
        <f>VLOOKUP(F805,'GL Category'!A:C,3,FALSE)</f>
        <v>Services &amp; other</v>
      </c>
      <c r="H805" s="98" t="str">
        <f>VLOOKUP(F805,'GL Category'!A:C,2,FALSE)</f>
        <v>RECREATION &amp; CULTURE PROGRAMS</v>
      </c>
      <c r="I805" s="99">
        <f>SUMIF(Import!$B:$B,$A805,Import!D:D)</f>
        <v>0</v>
      </c>
      <c r="J805" s="99">
        <f>SUMIF(Import!$B:$B,$A805,Import!E:E)</f>
        <v>0</v>
      </c>
      <c r="K805" s="99">
        <f>SUMIF(Import!$B:$B,$A805,Import!F:F)</f>
        <v>0</v>
      </c>
      <c r="L805" s="99">
        <f>SUMIF(Import!$B:$B,$A805,Import!G:G)</f>
        <v>0</v>
      </c>
      <c r="M805" s="99">
        <f>SUMIF(Import!$B:$B,$A805,Import!H:H)</f>
        <v>0</v>
      </c>
      <c r="N805" s="99">
        <f>SUMIF(Import!$B:$B,$A805,Import!I:I)</f>
        <v>0</v>
      </c>
      <c r="O805" s="99">
        <f>SUMIF(Import!$B:$B,$A805,Import!J:J)</f>
        <v>0</v>
      </c>
      <c r="P805" s="99">
        <f t="shared" si="770"/>
        <v>0</v>
      </c>
      <c r="Q805" s="99">
        <f>SUMIF(Import!$B:$B,$A805,Import!K:K)</f>
        <v>0</v>
      </c>
      <c r="R805" s="99">
        <f>SUMIF(Import!$B:$B,$A805,Import!L:L)</f>
        <v>0</v>
      </c>
      <c r="S805" s="99">
        <f>SUMIF(Import!$B:$B,$A805,Import!M:M)</f>
        <v>0</v>
      </c>
      <c r="T805" s="99">
        <f>SUMIF(Import!$B:$B,$A805,Import!N:N)</f>
        <v>0</v>
      </c>
      <c r="U805" s="99">
        <f t="shared" si="771"/>
        <v>0</v>
      </c>
      <c r="V805" s="255" t="str">
        <f t="shared" si="772"/>
        <v>N/A</v>
      </c>
      <c r="W805" s="102" t="s">
        <v>1602</v>
      </c>
      <c r="X805" s="148"/>
      <c r="Y805" s="267"/>
      <c r="Z805" s="121"/>
      <c r="AA805" s="121"/>
      <c r="AB805" s="121"/>
      <c r="AC805" s="121"/>
      <c r="AD805" s="121"/>
      <c r="AE805" s="121"/>
      <c r="AF805" s="121"/>
      <c r="AG805" s="121"/>
      <c r="AH805" s="121"/>
      <c r="AI805" s="121"/>
      <c r="AJ805" s="121"/>
      <c r="AK805" s="121"/>
      <c r="AL805" s="121"/>
    </row>
    <row r="806" spans="1:38" s="115" customFormat="1" ht="15" customHeight="1">
      <c r="A806" s="555" t="s">
        <v>1603</v>
      </c>
      <c r="B806" s="217" t="str">
        <f t="shared" si="773"/>
        <v>125</v>
      </c>
      <c r="C806" s="217" t="str">
        <f t="shared" si="774"/>
        <v>65</v>
      </c>
      <c r="D806" s="101" t="str">
        <f t="shared" si="775"/>
        <v>651</v>
      </c>
      <c r="E806" s="217" t="str">
        <f t="shared" si="776"/>
        <v>125-65-651</v>
      </c>
      <c r="F806" s="294" t="str">
        <f t="shared" si="777"/>
        <v>53538</v>
      </c>
      <c r="G806" s="295" t="e">
        <f>VLOOKUP(F806,'GL Category'!A:C,3,FALSE)</f>
        <v>#N/A</v>
      </c>
      <c r="H806" s="98" t="e">
        <f>VLOOKUP(F806,'GL Category'!A:C,2,FALSE)</f>
        <v>#N/A</v>
      </c>
      <c r="I806" s="99">
        <f>SUMIF(Import!$B:$B,$A806,Import!D:D)</f>
        <v>0</v>
      </c>
      <c r="J806" s="99">
        <f>SUMIF(Import!$B:$B,$A806,Import!E:E)</f>
        <v>0</v>
      </c>
      <c r="K806" s="99">
        <f>SUMIF(Import!$B:$B,$A806,Import!F:F)</f>
        <v>0</v>
      </c>
      <c r="L806" s="99">
        <f>SUMIF(Import!$B:$B,$A806,Import!G:G)</f>
        <v>0</v>
      </c>
      <c r="M806" s="99">
        <f>SUMIF(Import!$B:$B,$A806,Import!H:H)</f>
        <v>0</v>
      </c>
      <c r="N806" s="99">
        <f>SUMIF(Import!$B:$B,$A806,Import!I:I)</f>
        <v>0</v>
      </c>
      <c r="O806" s="99">
        <f>SUMIF(Import!$B:$B,$A806,Import!J:J)</f>
        <v>0</v>
      </c>
      <c r="P806" s="99">
        <f t="shared" si="770"/>
        <v>0</v>
      </c>
      <c r="Q806" s="99">
        <f>SUMIF(Import!$B:$B,$A806,Import!K:K)</f>
        <v>0</v>
      </c>
      <c r="R806" s="99">
        <f>SUMIF(Import!$B:$B,$A806,Import!L:L)</f>
        <v>0</v>
      </c>
      <c r="S806" s="99">
        <f>SUMIF(Import!$B:$B,$A806,Import!M:M)</f>
        <v>0</v>
      </c>
      <c r="T806" s="99">
        <f>SUMIF(Import!$B:$B,$A806,Import!N:N)</f>
        <v>0</v>
      </c>
      <c r="U806" s="99">
        <f t="shared" si="771"/>
        <v>0</v>
      </c>
      <c r="V806" s="255" t="str">
        <f t="shared" si="772"/>
        <v>N/A</v>
      </c>
      <c r="W806" s="102" t="s">
        <v>1603</v>
      </c>
      <c r="X806" s="148"/>
      <c r="Y806" s="267"/>
      <c r="Z806" s="121"/>
      <c r="AA806" s="121"/>
      <c r="AB806" s="121"/>
      <c r="AC806" s="121"/>
      <c r="AD806" s="121"/>
      <c r="AE806" s="121"/>
      <c r="AF806" s="121"/>
      <c r="AG806" s="121"/>
      <c r="AH806" s="121"/>
      <c r="AI806" s="121"/>
      <c r="AJ806" s="121"/>
      <c r="AK806" s="121"/>
      <c r="AL806" s="121"/>
    </row>
    <row r="807" spans="1:38" s="115" customFormat="1" ht="15" customHeight="1">
      <c r="A807" s="555" t="s">
        <v>1604</v>
      </c>
      <c r="B807" s="217" t="str">
        <f t="shared" si="773"/>
        <v>125</v>
      </c>
      <c r="C807" s="217" t="str">
        <f t="shared" si="774"/>
        <v>65</v>
      </c>
      <c r="D807" s="101" t="str">
        <f t="shared" si="775"/>
        <v>651</v>
      </c>
      <c r="E807" s="217" t="str">
        <f t="shared" si="776"/>
        <v>125-65-651</v>
      </c>
      <c r="F807" s="294" t="str">
        <f t="shared" si="777"/>
        <v>53540</v>
      </c>
      <c r="G807" s="295" t="str">
        <f>VLOOKUP(F807,'GL Category'!A:C,3,FALSE)</f>
        <v>Services &amp; other</v>
      </c>
      <c r="H807" s="98" t="str">
        <f>VLOOKUP(F807,'GL Category'!A:C,2,FALSE)</f>
        <v>PRINTING &amp; BINDING SERVICES</v>
      </c>
      <c r="I807" s="99">
        <f>SUMIF(Import!$B:$B,$A807,Import!D:D)</f>
        <v>5815.14</v>
      </c>
      <c r="J807" s="99">
        <f>SUMIF(Import!$B:$B,$A807,Import!E:E)</f>
        <v>662.97</v>
      </c>
      <c r="K807" s="99">
        <f>SUMIF(Import!$B:$B,$A807,Import!F:F)</f>
        <v>1982.88</v>
      </c>
      <c r="L807" s="99">
        <f>SUMIF(Import!$B:$B,$A807,Import!G:G)</f>
        <v>0</v>
      </c>
      <c r="M807" s="99">
        <f>SUMIF(Import!$B:$B,$A807,Import!H:H)</f>
        <v>0</v>
      </c>
      <c r="N807" s="99">
        <f>SUMIF(Import!$B:$B,$A807,Import!I:I)</f>
        <v>0</v>
      </c>
      <c r="O807" s="99">
        <f>SUMIF(Import!$B:$B,$A807,Import!J:J)</f>
        <v>0</v>
      </c>
      <c r="P807" s="99">
        <f t="shared" si="770"/>
        <v>0</v>
      </c>
      <c r="Q807" s="99">
        <f>SUMIF(Import!$B:$B,$A807,Import!K:K)</f>
        <v>0</v>
      </c>
      <c r="R807" s="99">
        <f>SUMIF(Import!$B:$B,$A807,Import!L:L)</f>
        <v>0</v>
      </c>
      <c r="S807" s="99">
        <f>SUMIF(Import!$B:$B,$A807,Import!M:M)</f>
        <v>0</v>
      </c>
      <c r="T807" s="99">
        <f>SUMIF(Import!$B:$B,$A807,Import!N:N)</f>
        <v>0</v>
      </c>
      <c r="U807" s="99">
        <f t="shared" si="771"/>
        <v>0</v>
      </c>
      <c r="V807" s="255" t="str">
        <f t="shared" si="772"/>
        <v>N/A</v>
      </c>
      <c r="W807" s="102" t="s">
        <v>1604</v>
      </c>
      <c r="X807" s="148"/>
      <c r="Y807" s="267"/>
      <c r="Z807" s="121"/>
      <c r="AA807" s="121"/>
      <c r="AB807" s="121"/>
      <c r="AC807" s="121"/>
      <c r="AD807" s="121"/>
      <c r="AE807" s="121"/>
      <c r="AF807" s="121"/>
      <c r="AG807" s="121"/>
      <c r="AH807" s="121"/>
      <c r="AI807" s="121"/>
      <c r="AJ807" s="121"/>
      <c r="AK807" s="121"/>
      <c r="AL807" s="121"/>
    </row>
    <row r="808" spans="1:38" s="115" customFormat="1" ht="15" customHeight="1">
      <c r="A808" s="555" t="s">
        <v>1605</v>
      </c>
      <c r="B808" s="217" t="str">
        <f t="shared" si="773"/>
        <v>125</v>
      </c>
      <c r="C808" s="217" t="str">
        <f t="shared" si="774"/>
        <v>65</v>
      </c>
      <c r="D808" s="101" t="str">
        <f t="shared" si="775"/>
        <v>651</v>
      </c>
      <c r="E808" s="217" t="str">
        <f t="shared" si="776"/>
        <v>125-65-651</v>
      </c>
      <c r="F808" s="294" t="str">
        <f t="shared" si="777"/>
        <v>53541</v>
      </c>
      <c r="G808" s="295" t="str">
        <f>VLOOKUP(F808,'GL Category'!A:C,3,FALSE)</f>
        <v>Services &amp; other</v>
      </c>
      <c r="H808" s="98" t="str">
        <f>VLOOKUP(F808,'GL Category'!A:C,2,FALSE)</f>
        <v>WEBSITE/TECHNOLOGY SERVICES</v>
      </c>
      <c r="I808" s="99">
        <f>SUMIF(Import!$B:$B,$A808,Import!D:D)</f>
        <v>3583</v>
      </c>
      <c r="J808" s="99">
        <f>SUMIF(Import!$B:$B,$A808,Import!E:E)</f>
        <v>3762.15</v>
      </c>
      <c r="K808" s="99">
        <f>SUMIF(Import!$B:$B,$A808,Import!F:F)</f>
        <v>3950.26</v>
      </c>
      <c r="L808" s="99">
        <f>SUMIF(Import!$B:$B,$A808,Import!G:G)</f>
        <v>4147.7700000000004</v>
      </c>
      <c r="M808" s="99">
        <f>SUMIF(Import!$B:$B,$A808,Import!H:H)</f>
        <v>4000</v>
      </c>
      <c r="N808" s="99">
        <f>SUMIF(Import!$B:$B,$A808,Import!I:I)</f>
        <v>0</v>
      </c>
      <c r="O808" s="99">
        <f>SUMIF(Import!$B:$B,$A808,Import!J:J)</f>
        <v>4300</v>
      </c>
      <c r="P808" s="99">
        <f t="shared" si="770"/>
        <v>300</v>
      </c>
      <c r="Q808" s="99">
        <f>SUMIF(Import!$B:$B,$A808,Import!K:K)</f>
        <v>5000</v>
      </c>
      <c r="R808" s="99">
        <f>SUMIF(Import!$B:$B,$A808,Import!L:L)</f>
        <v>0</v>
      </c>
      <c r="S808" s="99">
        <f>SUMIF(Import!$B:$B,$A808,Import!M:M)</f>
        <v>0</v>
      </c>
      <c r="T808" s="99">
        <f>SUMIF(Import!$B:$B,$A808,Import!N:N)</f>
        <v>5000</v>
      </c>
      <c r="U808" s="99">
        <f t="shared" si="771"/>
        <v>1000</v>
      </c>
      <c r="V808" s="255">
        <f t="shared" si="772"/>
        <v>0.25</v>
      </c>
      <c r="W808" s="102" t="s">
        <v>1605</v>
      </c>
      <c r="X808" s="148"/>
      <c r="Y808" s="267"/>
      <c r="Z808" s="121"/>
      <c r="AA808" s="121"/>
      <c r="AB808" s="121"/>
      <c r="AC808" s="121"/>
      <c r="AD808" s="121"/>
      <c r="AE808" s="121"/>
      <c r="AF808" s="121"/>
      <c r="AG808" s="121"/>
      <c r="AH808" s="121"/>
      <c r="AI808" s="121"/>
      <c r="AJ808" s="121"/>
      <c r="AK808" s="121"/>
      <c r="AL808" s="121"/>
    </row>
    <row r="809" spans="1:38" s="115" customFormat="1" ht="15" customHeight="1">
      <c r="A809" s="555" t="s">
        <v>1606</v>
      </c>
      <c r="B809" s="217" t="str">
        <f t="shared" si="773"/>
        <v>125</v>
      </c>
      <c r="C809" s="217" t="str">
        <f t="shared" si="774"/>
        <v>65</v>
      </c>
      <c r="D809" s="101" t="str">
        <f t="shared" si="775"/>
        <v>651</v>
      </c>
      <c r="E809" s="217" t="str">
        <f t="shared" si="776"/>
        <v>125-65-651</v>
      </c>
      <c r="F809" s="294" t="str">
        <f t="shared" si="777"/>
        <v>53550</v>
      </c>
      <c r="G809" s="295" t="str">
        <f>VLOOKUP(F809,'GL Category'!A:C,3,FALSE)</f>
        <v>Services &amp; other</v>
      </c>
      <c r="H809" s="98" t="str">
        <f>VLOOKUP(F809,'GL Category'!A:C,2,FALSE)</f>
        <v>BAD DEBT EXPENSE</v>
      </c>
      <c r="I809" s="99">
        <f>SUMIF(Import!$B:$B,$A809,Import!D:D)</f>
        <v>20787.16</v>
      </c>
      <c r="J809" s="99">
        <f>SUMIF(Import!$B:$B,$A809,Import!E:E)</f>
        <v>11019.03</v>
      </c>
      <c r="K809" s="99">
        <f>SUMIF(Import!$B:$B,$A809,Import!F:F)</f>
        <v>6471.56</v>
      </c>
      <c r="L809" s="99">
        <f>SUMIF(Import!$B:$B,$A809,Import!G:G)</f>
        <v>6378.57</v>
      </c>
      <c r="M809" s="99">
        <f>SUMIF(Import!$B:$B,$A809,Import!H:H)</f>
        <v>22000</v>
      </c>
      <c r="N809" s="99">
        <f>SUMIF(Import!$B:$B,$A809,Import!I:I)</f>
        <v>6518.83</v>
      </c>
      <c r="O809" s="99">
        <f>SUMIF(Import!$B:$B,$A809,Import!J:J)</f>
        <v>12000</v>
      </c>
      <c r="P809" s="99">
        <f t="shared" si="770"/>
        <v>-10000</v>
      </c>
      <c r="Q809" s="99">
        <f>SUMIF(Import!$B:$B,$A809,Import!K:K)</f>
        <v>22000</v>
      </c>
      <c r="R809" s="99">
        <f>SUMIF(Import!$B:$B,$A809,Import!L:L)</f>
        <v>0</v>
      </c>
      <c r="S809" s="99">
        <f>SUMIF(Import!$B:$B,$A809,Import!M:M)</f>
        <v>0</v>
      </c>
      <c r="T809" s="99">
        <f>SUMIF(Import!$B:$B,$A809,Import!N:N)</f>
        <v>22000</v>
      </c>
      <c r="U809" s="99">
        <f t="shared" si="771"/>
        <v>0</v>
      </c>
      <c r="V809" s="255">
        <f t="shared" si="772"/>
        <v>0</v>
      </c>
      <c r="W809" s="102" t="s">
        <v>1606</v>
      </c>
      <c r="X809" s="148"/>
      <c r="Y809" s="267"/>
      <c r="Z809" s="121"/>
      <c r="AA809" s="121"/>
      <c r="AB809" s="121"/>
      <c r="AC809" s="121"/>
      <c r="AD809" s="121"/>
      <c r="AE809" s="121"/>
      <c r="AF809" s="121"/>
      <c r="AG809" s="121"/>
      <c r="AH809" s="121"/>
      <c r="AI809" s="121"/>
      <c r="AJ809" s="121"/>
      <c r="AK809" s="121"/>
      <c r="AL809" s="121"/>
    </row>
    <row r="810" spans="1:38" s="115" customFormat="1" ht="15" customHeight="1">
      <c r="A810" s="555" t="s">
        <v>1607</v>
      </c>
      <c r="B810" s="217" t="str">
        <f t="shared" si="773"/>
        <v>125</v>
      </c>
      <c r="C810" s="217" t="str">
        <f t="shared" si="774"/>
        <v>65</v>
      </c>
      <c r="D810" s="101" t="str">
        <f t="shared" si="775"/>
        <v>651</v>
      </c>
      <c r="E810" s="217" t="str">
        <f t="shared" si="776"/>
        <v>125-65-651</v>
      </c>
      <c r="F810" s="294" t="str">
        <f t="shared" si="777"/>
        <v>53552</v>
      </c>
      <c r="G810" s="295" t="str">
        <f>VLOOKUP(F810,'GL Category'!A:C,3,FALSE)</f>
        <v>Services &amp; other</v>
      </c>
      <c r="H810" s="98" t="str">
        <f>VLOOKUP(F810,'GL Category'!A:C,2,FALSE)</f>
        <v>INVESTIGATIVE SERVICES</v>
      </c>
      <c r="I810" s="99">
        <f>SUMIF(Import!$B:$B,$A810,Import!D:D)</f>
        <v>1992.5</v>
      </c>
      <c r="J810" s="99">
        <f>SUMIF(Import!$B:$B,$A810,Import!E:E)</f>
        <v>2614.6</v>
      </c>
      <c r="K810" s="99">
        <f>SUMIF(Import!$B:$B,$A810,Import!F:F)</f>
        <v>2642.25</v>
      </c>
      <c r="L810" s="99">
        <f>SUMIF(Import!$B:$B,$A810,Import!G:G)</f>
        <v>1839.3</v>
      </c>
      <c r="M810" s="99">
        <f>SUMIF(Import!$B:$B,$A810,Import!H:H)</f>
        <v>3500</v>
      </c>
      <c r="N810" s="99">
        <f>SUMIF(Import!$B:$B,$A810,Import!I:I)</f>
        <v>0</v>
      </c>
      <c r="O810" s="99">
        <f>SUMIF(Import!$B:$B,$A810,Import!J:J)</f>
        <v>2000</v>
      </c>
      <c r="P810" s="99">
        <f t="shared" si="770"/>
        <v>-1500</v>
      </c>
      <c r="Q810" s="99">
        <f>SUMIF(Import!$B:$B,$A810,Import!K:K)</f>
        <v>3500</v>
      </c>
      <c r="R810" s="99">
        <f>SUMIF(Import!$B:$B,$A810,Import!L:L)</f>
        <v>0</v>
      </c>
      <c r="S810" s="99">
        <f>SUMIF(Import!$B:$B,$A810,Import!M:M)</f>
        <v>0</v>
      </c>
      <c r="T810" s="99">
        <f>SUMIF(Import!$B:$B,$A810,Import!N:N)</f>
        <v>3500</v>
      </c>
      <c r="U810" s="99">
        <f t="shared" si="771"/>
        <v>0</v>
      </c>
      <c r="V810" s="255">
        <f t="shared" si="772"/>
        <v>0</v>
      </c>
      <c r="W810" s="102" t="s">
        <v>1607</v>
      </c>
      <c r="X810" s="148"/>
      <c r="Y810" s="267"/>
      <c r="Z810" s="121"/>
      <c r="AA810" s="121"/>
      <c r="AB810" s="121"/>
      <c r="AC810" s="121"/>
      <c r="AD810" s="121"/>
      <c r="AE810" s="121"/>
      <c r="AF810" s="121"/>
      <c r="AG810" s="121"/>
      <c r="AH810" s="121"/>
      <c r="AI810" s="121"/>
      <c r="AJ810" s="121"/>
      <c r="AK810" s="121"/>
      <c r="AL810" s="121"/>
    </row>
    <row r="811" spans="1:38" s="115" customFormat="1" ht="15" customHeight="1">
      <c r="A811" s="555" t="s">
        <v>1608</v>
      </c>
      <c r="B811" s="217" t="str">
        <f t="shared" si="773"/>
        <v>125</v>
      </c>
      <c r="C811" s="217" t="str">
        <f t="shared" si="774"/>
        <v>65</v>
      </c>
      <c r="D811" s="101" t="str">
        <f t="shared" si="775"/>
        <v>651</v>
      </c>
      <c r="E811" s="217" t="str">
        <f t="shared" si="776"/>
        <v>125-65-651</v>
      </c>
      <c r="F811" s="294" t="str">
        <f t="shared" si="777"/>
        <v>53560</v>
      </c>
      <c r="G811" s="295" t="str">
        <f>VLOOKUP(F811,'GL Category'!A:C,3,FALSE)</f>
        <v>Services &amp; other</v>
      </c>
      <c r="H811" s="98" t="str">
        <f>VLOOKUP(F811,'GL Category'!A:C,2,FALSE)</f>
        <v>GENERAL INSURANCE</v>
      </c>
      <c r="I811" s="99">
        <f>SUMIF(Import!$B:$B,$A811,Import!D:D)</f>
        <v>37835.9</v>
      </c>
      <c r="J811" s="99">
        <f>SUMIF(Import!$B:$B,$A811,Import!E:E)</f>
        <v>41095.339999999997</v>
      </c>
      <c r="K811" s="99">
        <f>SUMIF(Import!$B:$B,$A811,Import!F:F)</f>
        <v>50361.33</v>
      </c>
      <c r="L811" s="99">
        <f>SUMIF(Import!$B:$B,$A811,Import!G:G)</f>
        <v>56600.09</v>
      </c>
      <c r="M811" s="99">
        <f>SUMIF(Import!$B:$B,$A811,Import!H:H)</f>
        <v>64250</v>
      </c>
      <c r="N811" s="99">
        <f>SUMIF(Import!$B:$B,$A811,Import!I:I)</f>
        <v>63559.51</v>
      </c>
      <c r="O811" s="99">
        <f>SUMIF(Import!$B:$B,$A811,Import!J:J)</f>
        <v>64000</v>
      </c>
      <c r="P811" s="99">
        <f t="shared" si="770"/>
        <v>-250</v>
      </c>
      <c r="Q811" s="99">
        <f>SUMIF(Import!$B:$B,$A811,Import!K:K)</f>
        <v>64250</v>
      </c>
      <c r="R811" s="99">
        <f>SUMIF(Import!$B:$B,$A811,Import!L:L)</f>
        <v>0</v>
      </c>
      <c r="S811" s="99">
        <f>SUMIF(Import!$B:$B,$A811,Import!M:M)</f>
        <v>0</v>
      </c>
      <c r="T811" s="99">
        <f>SUMIF(Import!$B:$B,$A811,Import!N:N)</f>
        <v>64250</v>
      </c>
      <c r="U811" s="99">
        <f t="shared" si="771"/>
        <v>0</v>
      </c>
      <c r="V811" s="255">
        <f t="shared" si="772"/>
        <v>0</v>
      </c>
      <c r="W811" s="102" t="s">
        <v>1608</v>
      </c>
      <c r="X811" s="148"/>
      <c r="Y811" s="267"/>
      <c r="Z811" s="121"/>
      <c r="AA811" s="121"/>
      <c r="AB811" s="121"/>
      <c r="AC811" s="121"/>
      <c r="AD811" s="121"/>
      <c r="AE811" s="121"/>
      <c r="AF811" s="121"/>
      <c r="AG811" s="121"/>
      <c r="AH811" s="121"/>
      <c r="AI811" s="121"/>
      <c r="AJ811" s="121"/>
      <c r="AK811" s="121"/>
      <c r="AL811" s="121"/>
    </row>
    <row r="812" spans="1:38" s="115" customFormat="1" ht="15" customHeight="1">
      <c r="A812" s="555" t="s">
        <v>1609</v>
      </c>
      <c r="B812" s="217" t="str">
        <f t="shared" si="773"/>
        <v>125</v>
      </c>
      <c r="C812" s="217" t="str">
        <f t="shared" si="774"/>
        <v>65</v>
      </c>
      <c r="D812" s="101" t="str">
        <f t="shared" si="775"/>
        <v>651</v>
      </c>
      <c r="E812" s="217" t="str">
        <f t="shared" si="776"/>
        <v>125-65-651</v>
      </c>
      <c r="F812" s="294" t="str">
        <f t="shared" si="777"/>
        <v>53570</v>
      </c>
      <c r="G812" s="295" t="str">
        <f>VLOOKUP(F812,'GL Category'!A:C,3,FALSE)</f>
        <v>Services &amp; other</v>
      </c>
      <c r="H812" s="98" t="str">
        <f>VLOOKUP(F812,'GL Category'!A:C,2,FALSE)</f>
        <v>TELEPHONE/COMMUNICATIONS</v>
      </c>
      <c r="I812" s="99">
        <f>SUMIF(Import!$B:$B,$A812,Import!D:D)</f>
        <v>125.36</v>
      </c>
      <c r="J812" s="99">
        <f>SUMIF(Import!$B:$B,$A812,Import!E:E)</f>
        <v>137.4</v>
      </c>
      <c r="K812" s="99">
        <f>SUMIF(Import!$B:$B,$A812,Import!F:F)</f>
        <v>659.1</v>
      </c>
      <c r="L812" s="99">
        <f>SUMIF(Import!$B:$B,$A812,Import!G:G)</f>
        <v>105.7</v>
      </c>
      <c r="M812" s="99">
        <f>SUMIF(Import!$B:$B,$A812,Import!H:H)</f>
        <v>300</v>
      </c>
      <c r="N812" s="99">
        <f>SUMIF(Import!$B:$B,$A812,Import!I:I)</f>
        <v>63</v>
      </c>
      <c r="O812" s="99">
        <f>SUMIF(Import!$B:$B,$A812,Import!J:J)</f>
        <v>108</v>
      </c>
      <c r="P812" s="99">
        <f t="shared" si="770"/>
        <v>-192</v>
      </c>
      <c r="Q812" s="99">
        <f>SUMIF(Import!$B:$B,$A812,Import!K:K)</f>
        <v>300</v>
      </c>
      <c r="R812" s="99">
        <f>SUMIF(Import!$B:$B,$A812,Import!L:L)</f>
        <v>0</v>
      </c>
      <c r="S812" s="99">
        <f>SUMIF(Import!$B:$B,$A812,Import!M:M)</f>
        <v>0</v>
      </c>
      <c r="T812" s="99">
        <f>SUMIF(Import!$B:$B,$A812,Import!N:N)</f>
        <v>300</v>
      </c>
      <c r="U812" s="99">
        <f t="shared" si="771"/>
        <v>0</v>
      </c>
      <c r="V812" s="255">
        <f t="shared" si="772"/>
        <v>0</v>
      </c>
      <c r="W812" s="102" t="s">
        <v>1609</v>
      </c>
      <c r="X812" s="148"/>
      <c r="Y812" s="267"/>
      <c r="Z812" s="121"/>
      <c r="AA812" s="121"/>
      <c r="AB812" s="121"/>
      <c r="AC812" s="121"/>
      <c r="AD812" s="121"/>
      <c r="AE812" s="121"/>
      <c r="AF812" s="121"/>
      <c r="AG812" s="121"/>
      <c r="AH812" s="121"/>
      <c r="AI812" s="121"/>
      <c r="AJ812" s="121"/>
      <c r="AK812" s="121"/>
      <c r="AL812" s="121"/>
    </row>
    <row r="813" spans="1:38" s="115" customFormat="1" ht="15" customHeight="1">
      <c r="A813" s="555" t="s">
        <v>1610</v>
      </c>
      <c r="B813" s="217" t="str">
        <f t="shared" si="773"/>
        <v>125</v>
      </c>
      <c r="C813" s="217" t="str">
        <f t="shared" si="774"/>
        <v>65</v>
      </c>
      <c r="D813" s="101" t="str">
        <f t="shared" si="775"/>
        <v>651</v>
      </c>
      <c r="E813" s="217" t="str">
        <f t="shared" si="776"/>
        <v>125-65-651</v>
      </c>
      <c r="F813" s="294" t="str">
        <f t="shared" si="777"/>
        <v>53571</v>
      </c>
      <c r="G813" s="295" t="str">
        <f>VLOOKUP(F813,'GL Category'!A:C,3,FALSE)</f>
        <v>Services &amp; other</v>
      </c>
      <c r="H813" s="98" t="str">
        <f>VLOOKUP(F813,'GL Category'!A:C,2,FALSE)</f>
        <v>NATURAL GAS UTILITY SERVICE</v>
      </c>
      <c r="I813" s="99">
        <f>SUMIF(Import!$B:$B,$A813,Import!D:D)</f>
        <v>21163.919999999998</v>
      </c>
      <c r="J813" s="99">
        <f>SUMIF(Import!$B:$B,$A813,Import!E:E)</f>
        <v>23565.51</v>
      </c>
      <c r="K813" s="99">
        <f>SUMIF(Import!$B:$B,$A813,Import!F:F)</f>
        <v>12098.17</v>
      </c>
      <c r="L813" s="99">
        <f>SUMIF(Import!$B:$B,$A813,Import!G:G)</f>
        <v>25742.87</v>
      </c>
      <c r="M813" s="99">
        <f>SUMIF(Import!$B:$B,$A813,Import!H:H)</f>
        <v>32000</v>
      </c>
      <c r="N813" s="99">
        <f>SUMIF(Import!$B:$B,$A813,Import!I:I)</f>
        <v>39915.26</v>
      </c>
      <c r="O813" s="99">
        <f>SUMIF(Import!$B:$B,$A813,Import!J:J)</f>
        <v>43550</v>
      </c>
      <c r="P813" s="99">
        <f t="shared" si="770"/>
        <v>11550</v>
      </c>
      <c r="Q813" s="99">
        <f>SUMIF(Import!$B:$B,$A813,Import!K:K)</f>
        <v>32000</v>
      </c>
      <c r="R813" s="99">
        <f>SUMIF(Import!$B:$B,$A813,Import!L:L)</f>
        <v>0</v>
      </c>
      <c r="S813" s="99">
        <f>SUMIF(Import!$B:$B,$A813,Import!M:M)</f>
        <v>0</v>
      </c>
      <c r="T813" s="99">
        <f>SUMIF(Import!$B:$B,$A813,Import!N:N)</f>
        <v>32000</v>
      </c>
      <c r="U813" s="99">
        <f t="shared" si="771"/>
        <v>0</v>
      </c>
      <c r="V813" s="255">
        <f t="shared" si="772"/>
        <v>0</v>
      </c>
      <c r="W813" s="102" t="s">
        <v>1610</v>
      </c>
      <c r="X813" s="148"/>
      <c r="Y813" s="267"/>
      <c r="Z813" s="121"/>
      <c r="AA813" s="121"/>
      <c r="AB813" s="121"/>
      <c r="AC813" s="121"/>
      <c r="AD813" s="121"/>
      <c r="AE813" s="121"/>
      <c r="AF813" s="121"/>
      <c r="AG813" s="121"/>
      <c r="AH813" s="121"/>
      <c r="AI813" s="121"/>
      <c r="AJ813" s="121"/>
      <c r="AK813" s="121"/>
      <c r="AL813" s="121"/>
    </row>
    <row r="814" spans="1:38" s="115" customFormat="1" ht="15" customHeight="1">
      <c r="A814" s="555" t="s">
        <v>1611</v>
      </c>
      <c r="B814" s="217" t="str">
        <f t="shared" si="773"/>
        <v>125</v>
      </c>
      <c r="C814" s="217" t="str">
        <f t="shared" si="774"/>
        <v>65</v>
      </c>
      <c r="D814" s="101" t="str">
        <f t="shared" si="775"/>
        <v>651</v>
      </c>
      <c r="E814" s="217" t="str">
        <f t="shared" si="776"/>
        <v>125-65-651</v>
      </c>
      <c r="F814" s="294" t="str">
        <f t="shared" si="777"/>
        <v>53572</v>
      </c>
      <c r="G814" s="295" t="str">
        <f>VLOOKUP(F814,'GL Category'!A:C,3,FALSE)</f>
        <v>Services &amp; other</v>
      </c>
      <c r="H814" s="98" t="str">
        <f>VLOOKUP(F814,'GL Category'!A:C,2,FALSE)</f>
        <v>ELECTRICAL UTILITY SERVICE</v>
      </c>
      <c r="I814" s="99">
        <f>SUMIF(Import!$B:$B,$A814,Import!D:D)</f>
        <v>163518.59</v>
      </c>
      <c r="J814" s="99">
        <f>SUMIF(Import!$B:$B,$A814,Import!E:E)</f>
        <v>178283.30000000002</v>
      </c>
      <c r="K814" s="99">
        <f>SUMIF(Import!$B:$B,$A814,Import!F:F)</f>
        <v>131908.14000000001</v>
      </c>
      <c r="L814" s="99">
        <f>SUMIF(Import!$B:$B,$A814,Import!G:G)</f>
        <v>180174.7</v>
      </c>
      <c r="M814" s="99">
        <f>SUMIF(Import!$B:$B,$A814,Import!H:H)</f>
        <v>187970</v>
      </c>
      <c r="N814" s="99">
        <f>SUMIF(Import!$B:$B,$A814,Import!I:I)</f>
        <v>81305</v>
      </c>
      <c r="O814" s="99">
        <f>SUMIF(Import!$B:$B,$A814,Import!J:J)</f>
        <v>187970</v>
      </c>
      <c r="P814" s="99">
        <f t="shared" si="770"/>
        <v>0</v>
      </c>
      <c r="Q814" s="99">
        <f>SUMIF(Import!$B:$B,$A814,Import!K:K)</f>
        <v>187970</v>
      </c>
      <c r="R814" s="99">
        <f>SUMIF(Import!$B:$B,$A814,Import!L:L)</f>
        <v>0</v>
      </c>
      <c r="S814" s="99">
        <f>SUMIF(Import!$B:$B,$A814,Import!M:M)</f>
        <v>0</v>
      </c>
      <c r="T814" s="99">
        <f>SUMIF(Import!$B:$B,$A814,Import!N:N)</f>
        <v>187970</v>
      </c>
      <c r="U814" s="99">
        <f t="shared" si="771"/>
        <v>0</v>
      </c>
      <c r="V814" s="255">
        <f t="shared" si="772"/>
        <v>0</v>
      </c>
      <c r="W814" s="102" t="s">
        <v>1611</v>
      </c>
      <c r="X814" s="148"/>
      <c r="Y814" s="267"/>
      <c r="Z814" s="121"/>
      <c r="AA814" s="121"/>
      <c r="AB814" s="121"/>
      <c r="AC814" s="121"/>
      <c r="AD814" s="121"/>
      <c r="AE814" s="121"/>
      <c r="AF814" s="121"/>
      <c r="AG814" s="121"/>
      <c r="AH814" s="121"/>
      <c r="AI814" s="121"/>
      <c r="AJ814" s="121"/>
      <c r="AK814" s="121"/>
      <c r="AL814" s="121"/>
    </row>
    <row r="815" spans="1:38" s="115" customFormat="1" ht="15" customHeight="1">
      <c r="A815" s="555" t="s">
        <v>1612</v>
      </c>
      <c r="B815" s="217" t="str">
        <f t="shared" si="773"/>
        <v>125</v>
      </c>
      <c r="C815" s="217" t="str">
        <f t="shared" si="774"/>
        <v>65</v>
      </c>
      <c r="D815" s="101" t="str">
        <f t="shared" si="775"/>
        <v>651</v>
      </c>
      <c r="E815" s="217" t="str">
        <f t="shared" si="776"/>
        <v>125-65-651</v>
      </c>
      <c r="F815" s="294" t="str">
        <f t="shared" si="777"/>
        <v>53574</v>
      </c>
      <c r="G815" s="295" t="str">
        <f>VLOOKUP(F815,'GL Category'!A:C,3,FALSE)</f>
        <v>Services &amp; other</v>
      </c>
      <c r="H815" s="98" t="str">
        <f>VLOOKUP(F815,'GL Category'!A:C,2,FALSE)</f>
        <v>WATER/SEWER UTILITY SERVICE</v>
      </c>
      <c r="I815" s="99">
        <f>SUMIF(Import!$B:$B,$A815,Import!D:D)</f>
        <v>26189.24</v>
      </c>
      <c r="J815" s="99">
        <f>SUMIF(Import!$B:$B,$A815,Import!E:E)</f>
        <v>16674.900000000001</v>
      </c>
      <c r="K815" s="99">
        <f>SUMIF(Import!$B:$B,$A815,Import!F:F)</f>
        <v>19131.830000000002</v>
      </c>
      <c r="L815" s="99">
        <f>SUMIF(Import!$B:$B,$A815,Import!G:G)</f>
        <v>24421.41</v>
      </c>
      <c r="M815" s="99">
        <f>SUMIF(Import!$B:$B,$A815,Import!H:H)</f>
        <v>37000</v>
      </c>
      <c r="N815" s="99">
        <f>SUMIF(Import!$B:$B,$A815,Import!I:I)</f>
        <v>13471.82</v>
      </c>
      <c r="O815" s="99">
        <f>SUMIF(Import!$B:$B,$A815,Import!J:J)</f>
        <v>26000</v>
      </c>
      <c r="P815" s="99">
        <f t="shared" si="770"/>
        <v>-11000</v>
      </c>
      <c r="Q815" s="99">
        <f>SUMIF(Import!$B:$B,$A815,Import!K:K)</f>
        <v>37000</v>
      </c>
      <c r="R815" s="99">
        <f>SUMIF(Import!$B:$B,$A815,Import!L:L)</f>
        <v>0</v>
      </c>
      <c r="S815" s="99">
        <f>SUMIF(Import!$B:$B,$A815,Import!M:M)</f>
        <v>0</v>
      </c>
      <c r="T815" s="99">
        <f>SUMIF(Import!$B:$B,$A815,Import!N:N)</f>
        <v>37000</v>
      </c>
      <c r="U815" s="99">
        <f t="shared" si="771"/>
        <v>0</v>
      </c>
      <c r="V815" s="255">
        <f t="shared" si="772"/>
        <v>0</v>
      </c>
      <c r="W815" s="102" t="s">
        <v>1612</v>
      </c>
      <c r="X815" s="148"/>
      <c r="Y815" s="267"/>
      <c r="Z815" s="121"/>
      <c r="AA815" s="121"/>
      <c r="AB815" s="121"/>
      <c r="AC815" s="121"/>
      <c r="AD815" s="121"/>
      <c r="AE815" s="121"/>
      <c r="AF815" s="121"/>
      <c r="AG815" s="121"/>
      <c r="AH815" s="121"/>
      <c r="AI815" s="121"/>
      <c r="AJ815" s="121"/>
      <c r="AK815" s="121"/>
      <c r="AL815" s="121"/>
    </row>
    <row r="816" spans="1:38" s="115" customFormat="1" ht="15" customHeight="1">
      <c r="A816" s="555" t="s">
        <v>1613</v>
      </c>
      <c r="B816" s="217" t="str">
        <f t="shared" si="773"/>
        <v>125</v>
      </c>
      <c r="C816" s="217" t="str">
        <f t="shared" si="774"/>
        <v>65</v>
      </c>
      <c r="D816" s="101" t="str">
        <f t="shared" si="775"/>
        <v>651</v>
      </c>
      <c r="E816" s="217" t="str">
        <f t="shared" si="776"/>
        <v>125-65-651</v>
      </c>
      <c r="F816" s="294" t="str">
        <f t="shared" si="777"/>
        <v>52310</v>
      </c>
      <c r="G816" s="295" t="str">
        <f>VLOOKUP(F816,'GL Category'!A:C,3,FALSE)</f>
        <v>Operations &amp; maintenance</v>
      </c>
      <c r="H816" s="98" t="str">
        <f>VLOOKUP(F816,'GL Category'!A:C,2,FALSE)</f>
        <v>BUILDING MAINTENANCE</v>
      </c>
      <c r="I816" s="99">
        <f>SUMIF(Import!$B:$B,$A816,Import!D:D)</f>
        <v>0</v>
      </c>
      <c r="J816" s="99">
        <f>SUMIF(Import!$B:$B,$A816,Import!E:E)</f>
        <v>0</v>
      </c>
      <c r="K816" s="99">
        <f>SUMIF(Import!$B:$B,$A816,Import!F:F)</f>
        <v>0</v>
      </c>
      <c r="L816" s="99">
        <f>SUMIF(Import!$B:$B,$A816,Import!G:G)</f>
        <v>0</v>
      </c>
      <c r="M816" s="99">
        <f>SUMIF(Import!$B:$B,$A816,Import!H:H)</f>
        <v>0</v>
      </c>
      <c r="N816" s="99">
        <f>SUMIF(Import!$B:$B,$A816,Import!I:I)</f>
        <v>0</v>
      </c>
      <c r="O816" s="99">
        <f>SUMIF(Import!$B:$B,$A816,Import!J:J)</f>
        <v>0</v>
      </c>
      <c r="P816" s="99">
        <f t="shared" si="770"/>
        <v>0</v>
      </c>
      <c r="Q816" s="99">
        <f>SUMIF(Import!$B:$B,$A816,Import!K:K)</f>
        <v>0</v>
      </c>
      <c r="R816" s="99">
        <f>SUMIF(Import!$B:$B,$A816,Import!L:L)</f>
        <v>0</v>
      </c>
      <c r="S816" s="99">
        <f>SUMIF(Import!$B:$B,$A816,Import!M:M)</f>
        <v>0</v>
      </c>
      <c r="T816" s="99">
        <f>SUMIF(Import!$B:$B,$A816,Import!N:N)</f>
        <v>0</v>
      </c>
      <c r="U816" s="99">
        <f t="shared" si="771"/>
        <v>0</v>
      </c>
      <c r="V816" s="255" t="str">
        <f t="shared" si="772"/>
        <v>N/A</v>
      </c>
      <c r="W816" s="102" t="s">
        <v>1613</v>
      </c>
      <c r="X816" s="148"/>
      <c r="Y816" s="267"/>
      <c r="Z816" s="121"/>
      <c r="AA816" s="121"/>
      <c r="AB816" s="121"/>
      <c r="AC816" s="121"/>
      <c r="AD816" s="121"/>
      <c r="AE816" s="121"/>
      <c r="AF816" s="121"/>
      <c r="AG816" s="121"/>
      <c r="AH816" s="121"/>
      <c r="AI816" s="121"/>
      <c r="AJ816" s="121"/>
      <c r="AK816" s="121"/>
      <c r="AL816" s="121"/>
    </row>
    <row r="817" spans="1:38" s="115" customFormat="1" ht="15" customHeight="1">
      <c r="A817" s="555" t="s">
        <v>1614</v>
      </c>
      <c r="B817" s="217" t="str">
        <f t="shared" si="773"/>
        <v>125</v>
      </c>
      <c r="C817" s="217" t="str">
        <f t="shared" si="774"/>
        <v>65</v>
      </c>
      <c r="D817" s="101" t="str">
        <f t="shared" si="775"/>
        <v>651</v>
      </c>
      <c r="E817" s="217" t="str">
        <f t="shared" si="776"/>
        <v>125-65-651</v>
      </c>
      <c r="F817" s="294" t="str">
        <f t="shared" si="777"/>
        <v>53585</v>
      </c>
      <c r="G817" s="295" t="str">
        <f>VLOOKUP(F817,'GL Category'!A:C,3,FALSE)</f>
        <v>Services &amp; other</v>
      </c>
      <c r="H817" s="98" t="str">
        <f>VLOOKUP(F817,'GL Category'!A:C,2,FALSE)</f>
        <v>BANKING SERVICES CHARGES</v>
      </c>
      <c r="I817" s="99">
        <f>SUMIF(Import!$B:$B,$A817,Import!D:D)</f>
        <v>40922.160000000003</v>
      </c>
      <c r="J817" s="99">
        <f>SUMIF(Import!$B:$B,$A817,Import!E:E)</f>
        <v>42624.03</v>
      </c>
      <c r="K817" s="99">
        <f>SUMIF(Import!$B:$B,$A817,Import!F:F)</f>
        <v>49759.88</v>
      </c>
      <c r="L817" s="99">
        <f>SUMIF(Import!$B:$B,$A817,Import!G:G)</f>
        <v>86119.71</v>
      </c>
      <c r="M817" s="99">
        <f>SUMIF(Import!$B:$B,$A817,Import!H:H)</f>
        <v>64000</v>
      </c>
      <c r="N817" s="99">
        <f>SUMIF(Import!$B:$B,$A817,Import!I:I)</f>
        <v>121251.27</v>
      </c>
      <c r="O817" s="99">
        <f>SUMIF(Import!$B:$B,$A817,Import!J:J)</f>
        <v>129419</v>
      </c>
      <c r="P817" s="99">
        <f t="shared" si="770"/>
        <v>65419</v>
      </c>
      <c r="Q817" s="99">
        <f>SUMIF(Import!$B:$B,$A817,Import!K:K)</f>
        <v>64000</v>
      </c>
      <c r="R817" s="99">
        <f>SUMIF(Import!$B:$B,$A817,Import!L:L)</f>
        <v>0</v>
      </c>
      <c r="S817" s="99">
        <f>SUMIF(Import!$B:$B,$A817,Import!M:M)</f>
        <v>0</v>
      </c>
      <c r="T817" s="99">
        <f>SUMIF(Import!$B:$B,$A817,Import!N:N)</f>
        <v>64000</v>
      </c>
      <c r="U817" s="99">
        <f t="shared" si="771"/>
        <v>0</v>
      </c>
      <c r="V817" s="255">
        <f t="shared" si="772"/>
        <v>0</v>
      </c>
      <c r="W817" s="102" t="s">
        <v>1614</v>
      </c>
      <c r="X817" s="148"/>
      <c r="Y817" s="267"/>
      <c r="Z817" s="121"/>
      <c r="AA817" s="121"/>
      <c r="AB817" s="121"/>
      <c r="AC817" s="121"/>
      <c r="AD817" s="121"/>
      <c r="AE817" s="121"/>
      <c r="AF817" s="121"/>
      <c r="AG817" s="121"/>
      <c r="AH817" s="121"/>
      <c r="AI817" s="121"/>
      <c r="AJ817" s="121"/>
      <c r="AK817" s="121"/>
      <c r="AL817" s="121"/>
    </row>
    <row r="818" spans="1:38" s="115" customFormat="1" ht="15" customHeight="1">
      <c r="A818" s="555" t="s">
        <v>1615</v>
      </c>
      <c r="B818" s="217" t="str">
        <f t="shared" si="773"/>
        <v>125</v>
      </c>
      <c r="C818" s="217" t="str">
        <f t="shared" si="774"/>
        <v>65</v>
      </c>
      <c r="D818" s="101" t="str">
        <f t="shared" si="775"/>
        <v>651</v>
      </c>
      <c r="E818" s="217" t="str">
        <f t="shared" si="776"/>
        <v>125-65-651</v>
      </c>
      <c r="F818" s="294" t="str">
        <f t="shared" si="777"/>
        <v>55119</v>
      </c>
      <c r="G818" s="295" t="str">
        <f>VLOOKUP(F818,'GL Category'!A:C,3,FALSE)</f>
        <v>Services &amp; other</v>
      </c>
      <c r="H818" s="98" t="str">
        <f>VLOOKUP(F818,'GL Category'!A:C,2,FALSE)</f>
        <v>OFFICE EQUIP LEASE EXP-CITY</v>
      </c>
      <c r="I818" s="99">
        <f>SUMIF(Import!$B:$B,$A818,Import!D:D)</f>
        <v>72677</v>
      </c>
      <c r="J818" s="99">
        <f>SUMIF(Import!$B:$B,$A818,Import!E:E)</f>
        <v>80671</v>
      </c>
      <c r="K818" s="99">
        <f>SUMIF(Import!$B:$B,$A818,Import!F:F)</f>
        <v>72268</v>
      </c>
      <c r="L818" s="99">
        <f>SUMIF(Import!$B:$B,$A818,Import!G:G)</f>
        <v>72140</v>
      </c>
      <c r="M818" s="99">
        <f>SUMIF(Import!$B:$B,$A818,Import!H:H)</f>
        <v>76320</v>
      </c>
      <c r="N818" s="99">
        <f>SUMIF(Import!$B:$B,$A818,Import!I:I)</f>
        <v>57240</v>
      </c>
      <c r="O818" s="99">
        <f>SUMIF(Import!$B:$B,$A818,Import!J:J)</f>
        <v>76320</v>
      </c>
      <c r="P818" s="99">
        <f t="shared" si="770"/>
        <v>0</v>
      </c>
      <c r="Q818" s="99">
        <f>SUMIF(Import!$B:$B,$A818,Import!K:K)</f>
        <v>85654</v>
      </c>
      <c r="R818" s="99">
        <f>SUMIF(Import!$B:$B,$A818,Import!L:L)</f>
        <v>0</v>
      </c>
      <c r="S818" s="99">
        <f>SUMIF(Import!$B:$B,$A818,Import!M:M)</f>
        <v>0</v>
      </c>
      <c r="T818" s="99">
        <f>SUMIF(Import!$B:$B,$A818,Import!N:N)</f>
        <v>85654</v>
      </c>
      <c r="U818" s="99">
        <f t="shared" si="771"/>
        <v>9334</v>
      </c>
      <c r="V818" s="255">
        <f t="shared" si="772"/>
        <v>0.12230083857442353</v>
      </c>
      <c r="W818" s="102" t="s">
        <v>1615</v>
      </c>
      <c r="X818" s="148"/>
      <c r="Y818" s="267"/>
      <c r="Z818" s="121"/>
      <c r="AA818" s="121"/>
      <c r="AB818" s="121"/>
      <c r="AC818" s="121"/>
      <c r="AD818" s="121"/>
      <c r="AE818" s="121"/>
      <c r="AF818" s="121"/>
      <c r="AG818" s="121"/>
      <c r="AH818" s="121"/>
      <c r="AI818" s="121"/>
      <c r="AJ818" s="121"/>
      <c r="AK818" s="121"/>
      <c r="AL818" s="121"/>
    </row>
    <row r="819" spans="1:38" s="115" customFormat="1" ht="15" customHeight="1">
      <c r="A819" s="555"/>
      <c r="B819" s="217"/>
      <c r="C819" s="217"/>
      <c r="D819" s="101"/>
      <c r="E819" s="217"/>
      <c r="F819" s="294"/>
      <c r="G819" s="146"/>
      <c r="H819" s="107" t="str">
        <f>UPPER(G818)&amp;" TOTAL"</f>
        <v>SERVICES &amp; OTHER TOTAL</v>
      </c>
      <c r="I819" s="109">
        <f t="shared" ref="I819" si="778">SUBTOTAL(9,I796:I818)</f>
        <v>439106.78</v>
      </c>
      <c r="J819" s="109">
        <f t="shared" ref="J819:T819" si="779">SUBTOTAL(9,J796:J818)</f>
        <v>437201.83000000007</v>
      </c>
      <c r="K819" s="109">
        <f t="shared" ref="K819" si="780">SUBTOTAL(9,K796:K818)</f>
        <v>402412.78</v>
      </c>
      <c r="L819" s="109">
        <f t="shared" ref="L819" si="781">SUBTOTAL(9,L796:L818)</f>
        <v>514833.67000000004</v>
      </c>
      <c r="M819" s="109">
        <f t="shared" si="779"/>
        <v>561745</v>
      </c>
      <c r="N819" s="109">
        <f t="shared" ref="N819" si="782">SUBTOTAL(9,N796:N818)</f>
        <v>438542.63</v>
      </c>
      <c r="O819" s="109">
        <f t="shared" si="779"/>
        <v>606955</v>
      </c>
      <c r="P819" s="109">
        <f t="shared" si="779"/>
        <v>45210</v>
      </c>
      <c r="Q819" s="109">
        <f t="shared" si="779"/>
        <v>556879</v>
      </c>
      <c r="R819" s="109">
        <f t="shared" si="779"/>
        <v>0</v>
      </c>
      <c r="S819" s="109">
        <f t="shared" si="779"/>
        <v>0</v>
      </c>
      <c r="T819" s="109">
        <f t="shared" si="779"/>
        <v>556879</v>
      </c>
      <c r="U819" s="99">
        <f>T819-M819</f>
        <v>-4866</v>
      </c>
      <c r="V819" s="259">
        <f>IF(M819=0,"N/A",T819/M819-1)</f>
        <v>-8.6622933893492071E-3</v>
      </c>
      <c r="W819" s="104"/>
      <c r="X819" s="148"/>
      <c r="Y819" s="267"/>
      <c r="Z819" s="121"/>
      <c r="AA819" s="121"/>
      <c r="AB819" s="121"/>
      <c r="AC819" s="121"/>
      <c r="AD819" s="121"/>
      <c r="AE819" s="121"/>
      <c r="AF819" s="121"/>
      <c r="AG819" s="121"/>
      <c r="AH819" s="121"/>
      <c r="AI819" s="121"/>
      <c r="AJ819" s="121"/>
      <c r="AK819" s="121"/>
      <c r="AL819" s="121"/>
    </row>
    <row r="820" spans="1:38" s="115" customFormat="1" ht="15" customHeight="1">
      <c r="A820" s="555"/>
      <c r="B820" s="217"/>
      <c r="C820" s="217"/>
      <c r="D820" s="101"/>
      <c r="E820" s="217"/>
      <c r="F820" s="294"/>
      <c r="G820" s="146"/>
      <c r="H820" s="98"/>
      <c r="I820" s="106"/>
      <c r="J820" s="106"/>
      <c r="K820" s="106"/>
      <c r="L820" s="106"/>
      <c r="M820" s="106"/>
      <c r="N820" s="112"/>
      <c r="O820" s="112"/>
      <c r="P820" s="112"/>
      <c r="Q820" s="113"/>
      <c r="R820" s="113"/>
      <c r="S820" s="113"/>
      <c r="T820" s="113"/>
      <c r="U820" s="113"/>
      <c r="V820" s="113"/>
      <c r="W820" s="104"/>
      <c r="X820" s="148"/>
      <c r="Y820" s="267"/>
      <c r="Z820" s="121"/>
      <c r="AA820" s="121"/>
      <c r="AB820" s="121"/>
      <c r="AC820" s="121"/>
      <c r="AD820" s="121"/>
      <c r="AE820" s="121"/>
      <c r="AF820" s="121"/>
      <c r="AG820" s="121"/>
      <c r="AH820" s="121"/>
      <c r="AI820" s="121"/>
      <c r="AJ820" s="121"/>
      <c r="AK820" s="121"/>
      <c r="AL820" s="121"/>
    </row>
    <row r="821" spans="1:38" s="115" customFormat="1" ht="15" customHeight="1">
      <c r="A821" s="555" t="s">
        <v>1616</v>
      </c>
      <c r="B821" s="217" t="str">
        <f t="shared" si="773"/>
        <v>125</v>
      </c>
      <c r="C821" s="217" t="str">
        <f t="shared" si="774"/>
        <v>65</v>
      </c>
      <c r="D821" s="101" t="str">
        <f t="shared" si="775"/>
        <v>651</v>
      </c>
      <c r="E821" s="217" t="str">
        <f t="shared" si="776"/>
        <v>125-65-651</v>
      </c>
      <c r="F821" s="294" t="str">
        <f t="shared" si="777"/>
        <v>58828</v>
      </c>
      <c r="G821" s="295" t="str">
        <f>VLOOKUP(F821,'GL Category'!A:C,3,FALSE)</f>
        <v>Capital Outlay</v>
      </c>
      <c r="H821" s="98" t="str">
        <f>VLOOKUP(F821,'GL Category'!A:C,2,FALSE)</f>
        <v>BUILDINGS &amp; IMPROVEMENTS</v>
      </c>
      <c r="I821" s="99">
        <f>SUMIF(Import!$B:$B,$A821,Import!D:D)</f>
        <v>0</v>
      </c>
      <c r="J821" s="99">
        <f>SUMIF(Import!$B:$B,$A821,Import!E:E)</f>
        <v>0</v>
      </c>
      <c r="K821" s="99">
        <f>SUMIF(Import!$B:$B,$A821,Import!F:F)</f>
        <v>0</v>
      </c>
      <c r="L821" s="99">
        <f>SUMIF(Import!$B:$B,$A821,Import!G:G)</f>
        <v>0</v>
      </c>
      <c r="M821" s="99">
        <f>SUMIF(Import!$B:$B,$A821,Import!H:H)</f>
        <v>0</v>
      </c>
      <c r="N821" s="99">
        <f>SUMIF(Import!$B:$B,$A821,Import!I:I)</f>
        <v>0</v>
      </c>
      <c r="O821" s="99">
        <f>SUMIF(Import!$B:$B,$A821,Import!J:J)</f>
        <v>0</v>
      </c>
      <c r="P821" s="99">
        <f t="shared" ref="P821" si="783">O821-M821</f>
        <v>0</v>
      </c>
      <c r="Q821" s="99">
        <f>SUMIF(Import!$B:$B,$A821,Import!K:K)</f>
        <v>0</v>
      </c>
      <c r="R821" s="99">
        <f>SUMIF(Import!$B:$B,$A821,Import!L:L)</f>
        <v>0</v>
      </c>
      <c r="S821" s="99">
        <f>SUMIF(Import!$B:$B,$A821,Import!M:M)</f>
        <v>0</v>
      </c>
      <c r="T821" s="99">
        <f>SUMIF(Import!$B:$B,$A821,Import!N:N)</f>
        <v>0</v>
      </c>
      <c r="U821" s="99">
        <f t="shared" ref="U821" si="784">T821-M821</f>
        <v>0</v>
      </c>
      <c r="V821" s="255" t="str">
        <f t="shared" ref="V821" si="785">IF(M821=0,"N/A",T821/M821-1)</f>
        <v>N/A</v>
      </c>
      <c r="W821" s="102" t="s">
        <v>1616</v>
      </c>
      <c r="X821" s="148"/>
      <c r="Y821" s="267"/>
      <c r="Z821" s="121"/>
      <c r="AA821" s="121"/>
      <c r="AB821" s="121"/>
      <c r="AC821" s="121"/>
      <c r="AD821" s="121"/>
      <c r="AE821" s="121"/>
      <c r="AF821" s="121"/>
      <c r="AG821" s="121"/>
      <c r="AH821" s="121"/>
      <c r="AI821" s="121"/>
      <c r="AJ821" s="121"/>
      <c r="AK821" s="121"/>
      <c r="AL821" s="121"/>
    </row>
    <row r="822" spans="1:38" s="115" customFormat="1" ht="15" customHeight="1">
      <c r="A822" s="555"/>
      <c r="B822" s="217"/>
      <c r="C822" s="217"/>
      <c r="D822" s="101"/>
      <c r="E822" s="217"/>
      <c r="F822" s="294"/>
      <c r="G822" s="146"/>
      <c r="H822" s="107" t="str">
        <f>UPPER(G821)&amp;" TOTAL"</f>
        <v>CAPITAL OUTLAY TOTAL</v>
      </c>
      <c r="I822" s="108">
        <f t="shared" ref="I822" si="786">SUBTOTAL(9,I821:I821)</f>
        <v>0</v>
      </c>
      <c r="J822" s="108">
        <f t="shared" ref="J822:O822" si="787">SUBTOTAL(9,J821:J821)</f>
        <v>0</v>
      </c>
      <c r="K822" s="108">
        <f t="shared" ref="K822" si="788">SUBTOTAL(9,K821:K821)</f>
        <v>0</v>
      </c>
      <c r="L822" s="108">
        <f t="shared" ref="L822" si="789">SUBTOTAL(9,L821:L821)</f>
        <v>0</v>
      </c>
      <c r="M822" s="108">
        <f t="shared" si="787"/>
        <v>0</v>
      </c>
      <c r="N822" s="109">
        <f t="shared" ref="N822" si="790">SUBTOTAL(9,N821:N821)</f>
        <v>0</v>
      </c>
      <c r="O822" s="109">
        <f t="shared" si="787"/>
        <v>0</v>
      </c>
      <c r="P822" s="109">
        <f>SUBTOTAL(9,P821:P821)</f>
        <v>0</v>
      </c>
      <c r="Q822" s="109">
        <f t="shared" ref="Q822:T822" si="791">SUBTOTAL(9,Q821:Q821)</f>
        <v>0</v>
      </c>
      <c r="R822" s="109">
        <f t="shared" si="791"/>
        <v>0</v>
      </c>
      <c r="S822" s="109">
        <f t="shared" si="791"/>
        <v>0</v>
      </c>
      <c r="T822" s="109">
        <f t="shared" si="791"/>
        <v>0</v>
      </c>
      <c r="U822" s="99">
        <f>T822-M822</f>
        <v>0</v>
      </c>
      <c r="V822" s="259" t="str">
        <f>IF(M822=0,"N/A",T822/M822-1)</f>
        <v>N/A</v>
      </c>
      <c r="W822" s="104"/>
      <c r="X822" s="148"/>
      <c r="Y822" s="267"/>
      <c r="Z822" s="121"/>
      <c r="AA822" s="121"/>
      <c r="AB822" s="121"/>
      <c r="AC822" s="121"/>
      <c r="AD822" s="121"/>
      <c r="AE822" s="121"/>
      <c r="AF822" s="121"/>
      <c r="AG822" s="121"/>
      <c r="AH822" s="121"/>
      <c r="AI822" s="121"/>
      <c r="AJ822" s="121"/>
      <c r="AK822" s="121"/>
      <c r="AL822" s="121"/>
    </row>
    <row r="823" spans="1:38" s="115" customFormat="1" ht="15" customHeight="1">
      <c r="A823" s="555"/>
      <c r="B823" s="217"/>
      <c r="C823" s="217"/>
      <c r="D823" s="101"/>
      <c r="E823" s="217"/>
      <c r="F823" s="294"/>
      <c r="G823" s="146"/>
      <c r="H823" s="98"/>
      <c r="I823" s="106"/>
      <c r="J823" s="106"/>
      <c r="K823" s="106"/>
      <c r="L823" s="106"/>
      <c r="M823" s="106"/>
      <c r="N823" s="112"/>
      <c r="O823" s="112"/>
      <c r="P823" s="112"/>
      <c r="Q823" s="113"/>
      <c r="R823" s="113"/>
      <c r="S823" s="113"/>
      <c r="T823" s="113"/>
      <c r="U823" s="113"/>
      <c r="V823" s="113"/>
      <c r="W823" s="104"/>
      <c r="X823" s="148"/>
      <c r="Y823" s="267"/>
      <c r="Z823" s="121"/>
      <c r="AA823" s="121"/>
      <c r="AB823" s="121"/>
      <c r="AC823" s="121"/>
      <c r="AD823" s="121"/>
      <c r="AE823" s="121"/>
      <c r="AF823" s="121"/>
      <c r="AG823" s="121"/>
      <c r="AH823" s="121"/>
      <c r="AI823" s="121"/>
      <c r="AJ823" s="121"/>
      <c r="AK823" s="121"/>
      <c r="AL823" s="121"/>
    </row>
    <row r="824" spans="1:38" s="115" customFormat="1" ht="15" customHeight="1">
      <c r="A824" s="555"/>
      <c r="B824" s="217"/>
      <c r="C824" s="217"/>
      <c r="D824" s="101"/>
      <c r="E824" s="217"/>
      <c r="F824" s="294"/>
      <c r="G824" s="146"/>
      <c r="H824" s="114" t="s">
        <v>763</v>
      </c>
      <c r="I824" s="108">
        <f t="shared" ref="I824" si="792">SUBTOTAL(9,I773:I823)</f>
        <v>715168.6</v>
      </c>
      <c r="J824" s="108">
        <f t="shared" ref="J824:T824" si="793">SUBTOTAL(9,J773:J823)</f>
        <v>689237.83000000007</v>
      </c>
      <c r="K824" s="108">
        <f t="shared" ref="K824" si="794">SUBTOTAL(9,K773:K823)</f>
        <v>709206.53</v>
      </c>
      <c r="L824" s="108">
        <f t="shared" ref="L824" si="795">SUBTOTAL(9,L773:L823)</f>
        <v>865436.9</v>
      </c>
      <c r="M824" s="108">
        <f t="shared" si="793"/>
        <v>929883</v>
      </c>
      <c r="N824" s="108">
        <f t="shared" ref="N824" si="796">SUBTOTAL(9,N773:N823)</f>
        <v>708412.9</v>
      </c>
      <c r="O824" s="108">
        <f t="shared" si="793"/>
        <v>955163</v>
      </c>
      <c r="P824" s="108">
        <f t="shared" si="793"/>
        <v>25280</v>
      </c>
      <c r="Q824" s="108">
        <f t="shared" si="793"/>
        <v>868985</v>
      </c>
      <c r="R824" s="108">
        <f t="shared" si="793"/>
        <v>0</v>
      </c>
      <c r="S824" s="108">
        <f t="shared" si="793"/>
        <v>0</v>
      </c>
      <c r="T824" s="108">
        <f t="shared" si="793"/>
        <v>868985</v>
      </c>
      <c r="U824" s="99">
        <f>T824-M824</f>
        <v>-60898</v>
      </c>
      <c r="V824" s="259">
        <f>IF(M824=0,"N/A",T824/M824-1)</f>
        <v>-6.5489959489527183E-2</v>
      </c>
      <c r="W824" s="104"/>
      <c r="X824" s="148"/>
      <c r="Y824" s="267"/>
      <c r="Z824" s="121"/>
      <c r="AA824" s="121"/>
      <c r="AB824" s="121"/>
      <c r="AC824" s="121"/>
      <c r="AD824" s="121"/>
      <c r="AE824" s="121"/>
      <c r="AF824" s="121"/>
      <c r="AG824" s="121"/>
      <c r="AH824" s="121"/>
      <c r="AI824" s="121"/>
      <c r="AJ824" s="121"/>
      <c r="AK824" s="121"/>
      <c r="AL824" s="121"/>
    </row>
    <row r="825" spans="1:38" s="115" customFormat="1" ht="15" customHeight="1">
      <c r="A825" s="555"/>
      <c r="B825" s="217"/>
      <c r="C825" s="217"/>
      <c r="D825" s="101"/>
      <c r="E825" s="217"/>
      <c r="F825" s="294"/>
      <c r="G825" s="146"/>
      <c r="H825" s="89"/>
      <c r="I825" s="233"/>
      <c r="J825" s="233"/>
      <c r="K825" s="233"/>
      <c r="L825" s="233"/>
      <c r="M825" s="233"/>
      <c r="N825" s="233"/>
      <c r="O825" s="233"/>
      <c r="P825" s="233"/>
      <c r="Q825" s="233"/>
      <c r="R825" s="233"/>
      <c r="S825" s="233"/>
      <c r="T825" s="233"/>
      <c r="U825" s="233"/>
      <c r="V825" s="233"/>
      <c r="W825" s="104"/>
      <c r="X825" s="148"/>
      <c r="Y825" s="267"/>
      <c r="Z825" s="121"/>
      <c r="AA825" s="121"/>
      <c r="AB825" s="121"/>
      <c r="AC825" s="121"/>
      <c r="AD825" s="121"/>
      <c r="AE825" s="121"/>
      <c r="AF825" s="121"/>
      <c r="AG825" s="121"/>
      <c r="AH825" s="121"/>
      <c r="AI825" s="121"/>
      <c r="AJ825" s="121"/>
      <c r="AK825" s="121"/>
      <c r="AL825" s="121"/>
    </row>
    <row r="826" spans="1:38" s="115" customFormat="1" ht="15" customHeight="1" thickBot="1">
      <c r="A826" s="555"/>
      <c r="B826" s="217"/>
      <c r="C826" s="217"/>
      <c r="D826" s="101"/>
      <c r="E826" s="217"/>
      <c r="F826" s="294"/>
      <c r="G826" s="146"/>
      <c r="H826" s="89"/>
      <c r="I826" s="233"/>
      <c r="J826" s="233"/>
      <c r="K826" s="233"/>
      <c r="L826" s="233"/>
      <c r="M826" s="233"/>
      <c r="N826" s="233"/>
      <c r="O826" s="233"/>
      <c r="P826" s="233"/>
      <c r="Q826" s="233"/>
      <c r="R826" s="233"/>
      <c r="S826" s="233"/>
      <c r="T826" s="233"/>
      <c r="U826" s="233"/>
      <c r="V826" s="233"/>
      <c r="W826" s="104"/>
      <c r="X826" s="148"/>
      <c r="Y826" s="267"/>
      <c r="Z826" s="121"/>
      <c r="AA826" s="121"/>
      <c r="AB826" s="121"/>
      <c r="AC826" s="121"/>
      <c r="AD826" s="121"/>
      <c r="AE826" s="121"/>
      <c r="AF826" s="121"/>
      <c r="AG826" s="121"/>
      <c r="AH826" s="121"/>
      <c r="AI826" s="121"/>
      <c r="AJ826" s="121"/>
      <c r="AK826" s="121"/>
      <c r="AL826" s="121"/>
    </row>
    <row r="827" spans="1:38" s="115" customFormat="1" ht="23.4" customHeight="1" thickBot="1">
      <c r="A827" s="555"/>
      <c r="B827" s="217"/>
      <c r="C827" s="217"/>
      <c r="D827" s="101"/>
      <c r="E827" s="217"/>
      <c r="F827" s="294"/>
      <c r="G827" s="146"/>
      <c r="H827" s="665" t="s">
        <v>744</v>
      </c>
      <c r="I827" s="666"/>
      <c r="J827" s="666"/>
      <c r="K827" s="666"/>
      <c r="L827" s="666"/>
      <c r="M827" s="666"/>
      <c r="N827" s="666"/>
      <c r="O827" s="666"/>
      <c r="P827" s="666"/>
      <c r="Q827" s="666"/>
      <c r="R827" s="666"/>
      <c r="S827" s="666"/>
      <c r="T827" s="667"/>
      <c r="U827" s="247"/>
      <c r="V827" s="261"/>
      <c r="W827" s="104"/>
      <c r="X827" s="148"/>
      <c r="Y827" s="267"/>
      <c r="Z827" s="121"/>
      <c r="AA827" s="121"/>
      <c r="AB827" s="121"/>
      <c r="AC827" s="121"/>
      <c r="AD827" s="121"/>
      <c r="AE827" s="121"/>
      <c r="AF827" s="121"/>
      <c r="AG827" s="121"/>
      <c r="AH827" s="121"/>
      <c r="AI827" s="121"/>
      <c r="AJ827" s="121"/>
      <c r="AK827" s="121"/>
      <c r="AL827" s="121"/>
    </row>
    <row r="828" spans="1:38" s="115" customFormat="1" ht="15" customHeight="1">
      <c r="A828" s="555"/>
      <c r="B828" s="217"/>
      <c r="C828" s="217"/>
      <c r="D828" s="101"/>
      <c r="E828" s="217"/>
      <c r="F828" s="294"/>
      <c r="G828" s="146"/>
      <c r="H828" s="225"/>
      <c r="I828" s="225"/>
      <c r="J828" s="225"/>
      <c r="K828" s="225"/>
      <c r="L828" s="225"/>
      <c r="M828" s="225"/>
      <c r="N828" s="225"/>
      <c r="O828" s="225"/>
      <c r="P828" s="225"/>
      <c r="Q828" s="225"/>
      <c r="R828" s="225"/>
      <c r="S828" s="225"/>
      <c r="T828" s="225"/>
      <c r="U828" s="225"/>
      <c r="V828" s="260"/>
      <c r="W828" s="104"/>
      <c r="X828" s="148"/>
      <c r="Y828" s="267"/>
      <c r="Z828" s="121"/>
      <c r="AA828" s="121"/>
      <c r="AB828" s="121"/>
      <c r="AC828" s="121"/>
      <c r="AD828" s="121"/>
      <c r="AE828" s="121"/>
      <c r="AF828" s="121"/>
      <c r="AG828" s="121"/>
      <c r="AH828" s="121"/>
      <c r="AI828" s="121"/>
      <c r="AJ828" s="121"/>
      <c r="AK828" s="121"/>
      <c r="AL828" s="121"/>
    </row>
    <row r="829" spans="1:38" s="115" customFormat="1" ht="15" customHeight="1">
      <c r="A829" s="555" t="s">
        <v>1617</v>
      </c>
      <c r="B829" s="217" t="str">
        <f t="shared" si="773"/>
        <v>125</v>
      </c>
      <c r="C829" s="217" t="str">
        <f t="shared" si="774"/>
        <v>65</v>
      </c>
      <c r="D829" s="101" t="str">
        <f t="shared" si="775"/>
        <v>652</v>
      </c>
      <c r="E829" s="217" t="str">
        <f t="shared" si="776"/>
        <v>125-65-652</v>
      </c>
      <c r="F829" s="294" t="str">
        <f t="shared" si="777"/>
        <v>50101</v>
      </c>
      <c r="G829" s="295" t="str">
        <f>VLOOKUP(F829,'GL Category'!A:C,3,FALSE)</f>
        <v>Personnel services</v>
      </c>
      <c r="H829" s="98" t="str">
        <f>VLOOKUP(F829,'GL Category'!A:C,2,FALSE)</f>
        <v>EXEMPT SALARIES</v>
      </c>
      <c r="I829" s="99">
        <f>SUMIF(Import!$B:$B,$A829,Import!D:D)</f>
        <v>52130.35</v>
      </c>
      <c r="J829" s="99">
        <f>SUMIF(Import!$B:$B,$A829,Import!E:E)</f>
        <v>72795.38</v>
      </c>
      <c r="K829" s="99">
        <f>SUMIF(Import!$B:$B,$A829,Import!F:F)</f>
        <v>96412.6</v>
      </c>
      <c r="L829" s="99">
        <f>SUMIF(Import!$B:$B,$A829,Import!G:G)</f>
        <v>114553.47</v>
      </c>
      <c r="M829" s="99">
        <f>SUMIF(Import!$B:$B,$A829,Import!H:H)</f>
        <v>119159</v>
      </c>
      <c r="N829" s="99">
        <f>SUMIF(Import!$B:$B,$A829,Import!I:I)</f>
        <v>81795.539999999994</v>
      </c>
      <c r="O829" s="99">
        <f>SUMIF(Import!$B:$B,$A829,Import!J:J)</f>
        <v>110045</v>
      </c>
      <c r="P829" s="99">
        <f t="shared" ref="P829:P838" si="797">O829-M829</f>
        <v>-9114</v>
      </c>
      <c r="Q829" s="99">
        <f>SUMIF(Import!$B:$B,$A829,Import!K:K)</f>
        <v>122698</v>
      </c>
      <c r="R829" s="99">
        <f>SUMIF(Import!$B:$B,$A829,Import!L:L)</f>
        <v>0</v>
      </c>
      <c r="S829" s="99">
        <f>SUMIF(Import!$B:$B,$A829,Import!M:M)</f>
        <v>0</v>
      </c>
      <c r="T829" s="99">
        <f>SUMIF(Import!$B:$B,$A829,Import!N:N)</f>
        <v>122698</v>
      </c>
      <c r="U829" s="99">
        <f t="shared" ref="U829:U838" si="798">T829-M829</f>
        <v>3539</v>
      </c>
      <c r="V829" s="255">
        <f t="shared" ref="V829:V838" si="799">IF(M829=0,"N/A",T829/M829-1)</f>
        <v>2.9699812855092711E-2</v>
      </c>
      <c r="W829" s="102" t="s">
        <v>1617</v>
      </c>
      <c r="X829" s="148"/>
      <c r="Y829" s="267"/>
      <c r="Z829" s="121"/>
      <c r="AA829" s="121"/>
      <c r="AB829" s="121"/>
      <c r="AC829" s="121"/>
      <c r="AD829" s="121"/>
      <c r="AE829" s="121"/>
      <c r="AF829" s="121"/>
      <c r="AG829" s="121"/>
      <c r="AH829" s="121"/>
      <c r="AI829" s="121"/>
      <c r="AJ829" s="121"/>
      <c r="AK829" s="121"/>
      <c r="AL829" s="121"/>
    </row>
    <row r="830" spans="1:38" s="115" customFormat="1" ht="15" customHeight="1">
      <c r="A830" s="555" t="s">
        <v>1618</v>
      </c>
      <c r="B830" s="217" t="str">
        <f t="shared" si="773"/>
        <v>125</v>
      </c>
      <c r="C830" s="217" t="str">
        <f t="shared" si="774"/>
        <v>65</v>
      </c>
      <c r="D830" s="101" t="str">
        <f t="shared" si="775"/>
        <v>652</v>
      </c>
      <c r="E830" s="217" t="str">
        <f t="shared" si="776"/>
        <v>125-65-652</v>
      </c>
      <c r="F830" s="294" t="str">
        <f t="shared" si="777"/>
        <v>50102</v>
      </c>
      <c r="G830" s="295" t="str">
        <f>VLOOKUP(F830,'GL Category'!A:C,3,FALSE)</f>
        <v>Personnel services</v>
      </c>
      <c r="H830" s="98" t="str">
        <f>VLOOKUP(F830,'GL Category'!A:C,2,FALSE)</f>
        <v>NON EXEMPT SALARIES</v>
      </c>
      <c r="I830" s="99">
        <f>SUMIF(Import!$B:$B,$A830,Import!D:D)</f>
        <v>19220.759999999998</v>
      </c>
      <c r="J830" s="99">
        <f>SUMIF(Import!$B:$B,$A830,Import!E:E)</f>
        <v>1852.57</v>
      </c>
      <c r="K830" s="99">
        <f>SUMIF(Import!$B:$B,$A830,Import!F:F)</f>
        <v>0</v>
      </c>
      <c r="L830" s="99">
        <f>SUMIF(Import!$B:$B,$A830,Import!G:G)</f>
        <v>0</v>
      </c>
      <c r="M830" s="99">
        <f>SUMIF(Import!$B:$B,$A830,Import!H:H)</f>
        <v>0</v>
      </c>
      <c r="N830" s="99">
        <f>SUMIF(Import!$B:$B,$A830,Import!I:I)</f>
        <v>0</v>
      </c>
      <c r="O830" s="99">
        <f>SUMIF(Import!$B:$B,$A830,Import!J:J)</f>
        <v>0</v>
      </c>
      <c r="P830" s="99">
        <f t="shared" si="797"/>
        <v>0</v>
      </c>
      <c r="Q830" s="99">
        <f>SUMIF(Import!$B:$B,$A830,Import!K:K)</f>
        <v>0</v>
      </c>
      <c r="R830" s="99">
        <f>SUMIF(Import!$B:$B,$A830,Import!L:L)</f>
        <v>0</v>
      </c>
      <c r="S830" s="99">
        <f>SUMIF(Import!$B:$B,$A830,Import!M:M)</f>
        <v>0</v>
      </c>
      <c r="T830" s="99">
        <f>SUMIF(Import!$B:$B,$A830,Import!N:N)</f>
        <v>0</v>
      </c>
      <c r="U830" s="99">
        <f t="shared" si="798"/>
        <v>0</v>
      </c>
      <c r="V830" s="255" t="str">
        <f t="shared" si="799"/>
        <v>N/A</v>
      </c>
      <c r="W830" s="102" t="s">
        <v>1618</v>
      </c>
      <c r="X830" s="148"/>
      <c r="Y830" s="267"/>
      <c r="Z830" s="121"/>
      <c r="AA830" s="121"/>
      <c r="AB830" s="121"/>
      <c r="AC830" s="121"/>
      <c r="AD830" s="121"/>
      <c r="AE830" s="121"/>
      <c r="AF830" s="121"/>
      <c r="AG830" s="121"/>
      <c r="AH830" s="121"/>
      <c r="AI830" s="121"/>
      <c r="AJ830" s="121"/>
      <c r="AK830" s="121"/>
      <c r="AL830" s="121"/>
    </row>
    <row r="831" spans="1:38" s="115" customFormat="1" ht="15" customHeight="1">
      <c r="A831" s="555" t="s">
        <v>1619</v>
      </c>
      <c r="B831" s="217" t="str">
        <f t="shared" si="773"/>
        <v>125</v>
      </c>
      <c r="C831" s="217" t="str">
        <f t="shared" si="774"/>
        <v>65</v>
      </c>
      <c r="D831" s="101" t="str">
        <f t="shared" si="775"/>
        <v>652</v>
      </c>
      <c r="E831" s="217" t="str">
        <f t="shared" si="776"/>
        <v>125-65-652</v>
      </c>
      <c r="F831" s="294" t="str">
        <f t="shared" si="777"/>
        <v>50109</v>
      </c>
      <c r="G831" s="295" t="str">
        <f>VLOOKUP(F831,'GL Category'!A:C,3,FALSE)</f>
        <v>Personnel services</v>
      </c>
      <c r="H831" s="98" t="str">
        <f>VLOOKUP(F831,'GL Category'!A:C,2,FALSE)</f>
        <v>OVERTIME</v>
      </c>
      <c r="I831" s="99">
        <f>SUMIF(Import!$B:$B,$A831,Import!D:D)</f>
        <v>149.06</v>
      </c>
      <c r="J831" s="99">
        <f>SUMIF(Import!$B:$B,$A831,Import!E:E)</f>
        <v>346.01</v>
      </c>
      <c r="K831" s="99">
        <f>SUMIF(Import!$B:$B,$A831,Import!F:F)</f>
        <v>0</v>
      </c>
      <c r="L831" s="99">
        <f>SUMIF(Import!$B:$B,$A831,Import!G:G)</f>
        <v>55.45</v>
      </c>
      <c r="M831" s="99">
        <f>SUMIF(Import!$B:$B,$A831,Import!H:H)</f>
        <v>600</v>
      </c>
      <c r="N831" s="99">
        <f>SUMIF(Import!$B:$B,$A831,Import!I:I)</f>
        <v>0</v>
      </c>
      <c r="O831" s="99">
        <f>SUMIF(Import!$B:$B,$A831,Import!J:J)</f>
        <v>0</v>
      </c>
      <c r="P831" s="99">
        <f t="shared" si="797"/>
        <v>-600</v>
      </c>
      <c r="Q831" s="99">
        <f>SUMIF(Import!$B:$B,$A831,Import!K:K)</f>
        <v>600</v>
      </c>
      <c r="R831" s="99">
        <f>SUMIF(Import!$B:$B,$A831,Import!L:L)</f>
        <v>0</v>
      </c>
      <c r="S831" s="99">
        <f>SUMIF(Import!$B:$B,$A831,Import!M:M)</f>
        <v>0</v>
      </c>
      <c r="T831" s="99">
        <f>SUMIF(Import!$B:$B,$A831,Import!N:N)</f>
        <v>600</v>
      </c>
      <c r="U831" s="99">
        <f t="shared" si="798"/>
        <v>0</v>
      </c>
      <c r="V831" s="255">
        <f t="shared" si="799"/>
        <v>0</v>
      </c>
      <c r="W831" s="102" t="s">
        <v>1619</v>
      </c>
      <c r="X831" s="148"/>
      <c r="Y831" s="267"/>
      <c r="Z831" s="121"/>
      <c r="AA831" s="121"/>
      <c r="AB831" s="121"/>
      <c r="AC831" s="121"/>
      <c r="AD831" s="121"/>
      <c r="AE831" s="121"/>
      <c r="AF831" s="121"/>
      <c r="AG831" s="121"/>
      <c r="AH831" s="121"/>
      <c r="AI831" s="121"/>
      <c r="AJ831" s="121"/>
      <c r="AK831" s="121"/>
      <c r="AL831" s="121"/>
    </row>
    <row r="832" spans="1:38" s="115" customFormat="1" ht="15" customHeight="1">
      <c r="A832" s="555" t="s">
        <v>1620</v>
      </c>
      <c r="B832" s="217" t="str">
        <f t="shared" si="773"/>
        <v>125</v>
      </c>
      <c r="C832" s="217" t="str">
        <f t="shared" si="774"/>
        <v>65</v>
      </c>
      <c r="D832" s="101" t="str">
        <f t="shared" si="775"/>
        <v>652</v>
      </c>
      <c r="E832" s="217" t="str">
        <f t="shared" si="776"/>
        <v>125-65-652</v>
      </c>
      <c r="F832" s="294" t="str">
        <f t="shared" si="777"/>
        <v>50110</v>
      </c>
      <c r="G832" s="295" t="str">
        <f>VLOOKUP(F832,'GL Category'!A:C,3,FALSE)</f>
        <v>Personnel services</v>
      </c>
      <c r="H832" s="98" t="str">
        <f>VLOOKUP(F832,'GL Category'!A:C,2,FALSE)</f>
        <v>PART-TIME WAGES</v>
      </c>
      <c r="I832" s="99">
        <f>SUMIF(Import!$B:$B,$A832,Import!D:D)</f>
        <v>110097.26</v>
      </c>
      <c r="J832" s="99">
        <f>SUMIF(Import!$B:$B,$A832,Import!E:E)</f>
        <v>117071.01</v>
      </c>
      <c r="K832" s="99">
        <f>SUMIF(Import!$B:$B,$A832,Import!F:F)</f>
        <v>109024.76</v>
      </c>
      <c r="L832" s="99">
        <f>SUMIF(Import!$B:$B,$A832,Import!G:G)</f>
        <v>307962.74</v>
      </c>
      <c r="M832" s="99">
        <f>SUMIF(Import!$B:$B,$A832,Import!H:H)</f>
        <v>288133</v>
      </c>
      <c r="N832" s="99">
        <f>SUMIF(Import!$B:$B,$A832,Import!I:I)</f>
        <v>246580.19</v>
      </c>
      <c r="O832" s="99">
        <f>SUMIF(Import!$B:$B,$A832,Import!J:J)</f>
        <v>295000</v>
      </c>
      <c r="P832" s="99">
        <f t="shared" si="797"/>
        <v>6867</v>
      </c>
      <c r="Q832" s="99">
        <f>SUMIF(Import!$B:$B,$A832,Import!K:K)</f>
        <v>288133</v>
      </c>
      <c r="R832" s="99">
        <f>SUMIF(Import!$B:$B,$A832,Import!L:L)</f>
        <v>0</v>
      </c>
      <c r="S832" s="99">
        <f>SUMIF(Import!$B:$B,$A832,Import!M:M)</f>
        <v>0</v>
      </c>
      <c r="T832" s="99">
        <f>SUMIF(Import!$B:$B,$A832,Import!N:N)</f>
        <v>288133</v>
      </c>
      <c r="U832" s="99">
        <f t="shared" si="798"/>
        <v>0</v>
      </c>
      <c r="V832" s="255">
        <f t="shared" si="799"/>
        <v>0</v>
      </c>
      <c r="W832" s="102" t="s">
        <v>1620</v>
      </c>
      <c r="X832" s="148"/>
      <c r="Y832" s="267"/>
      <c r="Z832" s="121"/>
      <c r="AA832" s="121"/>
      <c r="AB832" s="121"/>
      <c r="AC832" s="121"/>
      <c r="AD832" s="121"/>
      <c r="AE832" s="121"/>
      <c r="AF832" s="121"/>
      <c r="AG832" s="121"/>
      <c r="AH832" s="121"/>
      <c r="AI832" s="121"/>
      <c r="AJ832" s="121"/>
      <c r="AK832" s="121"/>
      <c r="AL832" s="121"/>
    </row>
    <row r="833" spans="1:38" s="115" customFormat="1" ht="15" customHeight="1">
      <c r="A833" s="555" t="s">
        <v>1621</v>
      </c>
      <c r="B833" s="217" t="str">
        <f t="shared" si="773"/>
        <v>125</v>
      </c>
      <c r="C833" s="217" t="str">
        <f t="shared" si="774"/>
        <v>65</v>
      </c>
      <c r="D833" s="101" t="str">
        <f t="shared" si="775"/>
        <v>652</v>
      </c>
      <c r="E833" s="217" t="str">
        <f t="shared" si="776"/>
        <v>125-65-652</v>
      </c>
      <c r="F833" s="294" t="str">
        <f t="shared" si="777"/>
        <v>50111</v>
      </c>
      <c r="G833" s="295" t="str">
        <f>VLOOKUP(F833,'GL Category'!A:C,3,FALSE)</f>
        <v>Personnel services</v>
      </c>
      <c r="H833" s="98" t="str">
        <f>VLOOKUP(F833,'GL Category'!A:C,2,FALSE)</f>
        <v>LONGEVITY PAY</v>
      </c>
      <c r="I833" s="99">
        <f>SUMIF(Import!$B:$B,$A833,Import!D:D)</f>
        <v>0</v>
      </c>
      <c r="J833" s="99">
        <f>SUMIF(Import!$B:$B,$A833,Import!E:E)</f>
        <v>0</v>
      </c>
      <c r="K833" s="99">
        <f>SUMIF(Import!$B:$B,$A833,Import!F:F)</f>
        <v>65</v>
      </c>
      <c r="L833" s="99">
        <f>SUMIF(Import!$B:$B,$A833,Import!G:G)</f>
        <v>105</v>
      </c>
      <c r="M833" s="99">
        <f>SUMIF(Import!$B:$B,$A833,Import!H:H)</f>
        <v>422</v>
      </c>
      <c r="N833" s="99">
        <f>SUMIF(Import!$B:$B,$A833,Import!I:I)</f>
        <v>165</v>
      </c>
      <c r="O833" s="99">
        <f>SUMIF(Import!$B:$B,$A833,Import!J:J)</f>
        <v>165</v>
      </c>
      <c r="P833" s="99">
        <f t="shared" si="797"/>
        <v>-257</v>
      </c>
      <c r="Q833" s="99">
        <f>SUMIF(Import!$B:$B,$A833,Import!K:K)</f>
        <v>469</v>
      </c>
      <c r="R833" s="99">
        <f>SUMIF(Import!$B:$B,$A833,Import!L:L)</f>
        <v>0</v>
      </c>
      <c r="S833" s="99">
        <f>SUMIF(Import!$B:$B,$A833,Import!M:M)</f>
        <v>0</v>
      </c>
      <c r="T833" s="99">
        <f>SUMIF(Import!$B:$B,$A833,Import!N:N)</f>
        <v>469</v>
      </c>
      <c r="U833" s="99">
        <f t="shared" si="798"/>
        <v>47</v>
      </c>
      <c r="V833" s="255">
        <f t="shared" si="799"/>
        <v>0.11137440758293837</v>
      </c>
      <c r="W833" s="102" t="s">
        <v>1621</v>
      </c>
      <c r="X833" s="148"/>
      <c r="Y833" s="267"/>
      <c r="Z833" s="121"/>
      <c r="AA833" s="121"/>
      <c r="AB833" s="121"/>
      <c r="AC833" s="121"/>
      <c r="AD833" s="121"/>
      <c r="AE833" s="121"/>
      <c r="AF833" s="121"/>
      <c r="AG833" s="121"/>
      <c r="AH833" s="121"/>
      <c r="AI833" s="121"/>
      <c r="AJ833" s="121"/>
      <c r="AK833" s="121"/>
      <c r="AL833" s="121"/>
    </row>
    <row r="834" spans="1:38" s="115" customFormat="1" ht="15" customHeight="1">
      <c r="A834" s="555" t="s">
        <v>1622</v>
      </c>
      <c r="B834" s="217" t="str">
        <f t="shared" si="773"/>
        <v>125</v>
      </c>
      <c r="C834" s="217" t="str">
        <f t="shared" si="774"/>
        <v>65</v>
      </c>
      <c r="D834" s="101" t="str">
        <f t="shared" si="775"/>
        <v>652</v>
      </c>
      <c r="E834" s="217" t="str">
        <f t="shared" si="776"/>
        <v>125-65-652</v>
      </c>
      <c r="F834" s="294" t="str">
        <f t="shared" si="777"/>
        <v>50112</v>
      </c>
      <c r="G834" s="295" t="str">
        <f>VLOOKUP(F834,'GL Category'!A:C,3,FALSE)</f>
        <v>Personnel services</v>
      </c>
      <c r="H834" s="98" t="str">
        <f>VLOOKUP(F834,'GL Category'!A:C,2,FALSE)</f>
        <v>TEMPORARY/SEASONAL WAGES</v>
      </c>
      <c r="I834" s="99">
        <f>SUMIF(Import!$B:$B,$A834,Import!D:D)</f>
        <v>82805.62</v>
      </c>
      <c r="J834" s="99">
        <f>SUMIF(Import!$B:$B,$A834,Import!E:E)</f>
        <v>96211.14</v>
      </c>
      <c r="K834" s="99">
        <f>SUMIF(Import!$B:$B,$A834,Import!F:F)</f>
        <v>68.75</v>
      </c>
      <c r="L834" s="99">
        <f>SUMIF(Import!$B:$B,$A834,Import!G:G)</f>
        <v>0</v>
      </c>
      <c r="M834" s="99">
        <f>SUMIF(Import!$B:$B,$A834,Import!H:H)</f>
        <v>0</v>
      </c>
      <c r="N834" s="99">
        <f>SUMIF(Import!$B:$B,$A834,Import!I:I)</f>
        <v>0</v>
      </c>
      <c r="O834" s="99">
        <f>SUMIF(Import!$B:$B,$A834,Import!J:J)</f>
        <v>0</v>
      </c>
      <c r="P834" s="99">
        <f t="shared" si="797"/>
        <v>0</v>
      </c>
      <c r="Q834" s="99">
        <f>SUMIF(Import!$B:$B,$A834,Import!K:K)</f>
        <v>0</v>
      </c>
      <c r="R834" s="99">
        <f>SUMIF(Import!$B:$B,$A834,Import!L:L)</f>
        <v>0</v>
      </c>
      <c r="S834" s="99">
        <f>SUMIF(Import!$B:$B,$A834,Import!M:M)</f>
        <v>0</v>
      </c>
      <c r="T834" s="99">
        <f>SUMIF(Import!$B:$B,$A834,Import!N:N)</f>
        <v>0</v>
      </c>
      <c r="U834" s="99">
        <f t="shared" si="798"/>
        <v>0</v>
      </c>
      <c r="V834" s="255" t="str">
        <f t="shared" si="799"/>
        <v>N/A</v>
      </c>
      <c r="W834" s="102" t="s">
        <v>1622</v>
      </c>
      <c r="X834" s="148"/>
      <c r="Y834" s="267"/>
      <c r="Z834" s="121"/>
      <c r="AA834" s="121"/>
      <c r="AB834" s="121"/>
      <c r="AC834" s="121"/>
      <c r="AD834" s="121"/>
      <c r="AE834" s="121"/>
      <c r="AF834" s="121"/>
      <c r="AG834" s="121"/>
      <c r="AH834" s="121"/>
      <c r="AI834" s="121"/>
      <c r="AJ834" s="121"/>
      <c r="AK834" s="121"/>
      <c r="AL834" s="121"/>
    </row>
    <row r="835" spans="1:38" s="115" customFormat="1" ht="15" customHeight="1">
      <c r="A835" s="555" t="s">
        <v>1623</v>
      </c>
      <c r="B835" s="217" t="str">
        <f t="shared" si="773"/>
        <v>125</v>
      </c>
      <c r="C835" s="217" t="str">
        <f t="shared" si="774"/>
        <v>65</v>
      </c>
      <c r="D835" s="101" t="str">
        <f t="shared" si="775"/>
        <v>652</v>
      </c>
      <c r="E835" s="217" t="str">
        <f t="shared" si="776"/>
        <v>125-65-652</v>
      </c>
      <c r="F835" s="294" t="str">
        <f t="shared" si="777"/>
        <v>50610</v>
      </c>
      <c r="G835" s="295" t="str">
        <f>VLOOKUP(F835,'GL Category'!A:C,3,FALSE)</f>
        <v>Personnel services</v>
      </c>
      <c r="H835" s="98" t="str">
        <f>VLOOKUP(F835,'GL Category'!A:C,2,FALSE)</f>
        <v>SOCIAL SECURITY</v>
      </c>
      <c r="I835" s="99">
        <f>SUMIF(Import!$B:$B,$A835,Import!D:D)</f>
        <v>20225.39</v>
      </c>
      <c r="J835" s="99">
        <f>SUMIF(Import!$B:$B,$A835,Import!E:E)</f>
        <v>22021.06</v>
      </c>
      <c r="K835" s="99">
        <f>SUMIF(Import!$B:$B,$A835,Import!F:F)</f>
        <v>15746</v>
      </c>
      <c r="L835" s="99">
        <f>SUMIF(Import!$B:$B,$A835,Import!G:G)</f>
        <v>32337.03</v>
      </c>
      <c r="M835" s="99">
        <f>SUMIF(Import!$B:$B,$A835,Import!H:H)</f>
        <v>31370</v>
      </c>
      <c r="N835" s="99">
        <f>SUMIF(Import!$B:$B,$A835,Import!I:I)</f>
        <v>25083.55</v>
      </c>
      <c r="O835" s="99">
        <f>SUMIF(Import!$B:$B,$A835,Import!J:J)</f>
        <v>35000</v>
      </c>
      <c r="P835" s="99">
        <f t="shared" si="797"/>
        <v>3630</v>
      </c>
      <c r="Q835" s="99">
        <f>SUMIF(Import!$B:$B,$A835,Import!K:K)</f>
        <v>25360</v>
      </c>
      <c r="R835" s="99">
        <f>SUMIF(Import!$B:$B,$A835,Import!L:L)</f>
        <v>0</v>
      </c>
      <c r="S835" s="99">
        <f>SUMIF(Import!$B:$B,$A835,Import!M:M)</f>
        <v>0</v>
      </c>
      <c r="T835" s="99">
        <f>SUMIF(Import!$B:$B,$A835,Import!N:N)</f>
        <v>25360</v>
      </c>
      <c r="U835" s="99">
        <f t="shared" si="798"/>
        <v>-6010</v>
      </c>
      <c r="V835" s="255">
        <f t="shared" si="799"/>
        <v>-0.19158431622569339</v>
      </c>
      <c r="W835" s="102" t="s">
        <v>1623</v>
      </c>
      <c r="X835" s="148"/>
      <c r="Y835" s="267"/>
      <c r="Z835" s="121"/>
      <c r="AA835" s="121"/>
      <c r="AB835" s="121"/>
      <c r="AC835" s="121"/>
      <c r="AD835" s="121"/>
      <c r="AE835" s="121"/>
      <c r="AF835" s="121"/>
      <c r="AG835" s="121"/>
      <c r="AH835" s="121"/>
      <c r="AI835" s="121"/>
      <c r="AJ835" s="121"/>
      <c r="AK835" s="121"/>
      <c r="AL835" s="121"/>
    </row>
    <row r="836" spans="1:38" s="115" customFormat="1" ht="15" customHeight="1">
      <c r="A836" s="555" t="s">
        <v>1624</v>
      </c>
      <c r="B836" s="217" t="str">
        <f t="shared" si="773"/>
        <v>125</v>
      </c>
      <c r="C836" s="217" t="str">
        <f t="shared" si="774"/>
        <v>65</v>
      </c>
      <c r="D836" s="101" t="str">
        <f t="shared" si="775"/>
        <v>652</v>
      </c>
      <c r="E836" s="217" t="str">
        <f t="shared" si="776"/>
        <v>125-65-652</v>
      </c>
      <c r="F836" s="294" t="str">
        <f t="shared" si="777"/>
        <v>50620</v>
      </c>
      <c r="G836" s="295" t="str">
        <f>VLOOKUP(F836,'GL Category'!A:C,3,FALSE)</f>
        <v>Personnel services</v>
      </c>
      <c r="H836" s="98" t="str">
        <f>VLOOKUP(F836,'GL Category'!A:C,2,FALSE)</f>
        <v>HEALTH/LIFE INSURANCE</v>
      </c>
      <c r="I836" s="99">
        <f>SUMIF(Import!$B:$B,$A836,Import!D:D)</f>
        <v>10178.469999999999</v>
      </c>
      <c r="J836" s="99">
        <f>SUMIF(Import!$B:$B,$A836,Import!E:E)</f>
        <v>910.38</v>
      </c>
      <c r="K836" s="99">
        <f>SUMIF(Import!$B:$B,$A836,Import!F:F)</f>
        <v>7572.25</v>
      </c>
      <c r="L836" s="99">
        <f>SUMIF(Import!$B:$B,$A836,Import!G:G)</f>
        <v>10865.92</v>
      </c>
      <c r="M836" s="99">
        <f>SUMIF(Import!$B:$B,$A836,Import!H:H)</f>
        <v>11649</v>
      </c>
      <c r="N836" s="99">
        <f>SUMIF(Import!$B:$B,$A836,Import!I:I)</f>
        <v>10414.06</v>
      </c>
      <c r="O836" s="99">
        <f>SUMIF(Import!$B:$B,$A836,Import!J:J)</f>
        <v>16008</v>
      </c>
      <c r="P836" s="99">
        <f t="shared" si="797"/>
        <v>4359</v>
      </c>
      <c r="Q836" s="99">
        <f>SUMIF(Import!$B:$B,$A836,Import!K:K)</f>
        <v>19505</v>
      </c>
      <c r="R836" s="99">
        <f>SUMIF(Import!$B:$B,$A836,Import!L:L)</f>
        <v>0</v>
      </c>
      <c r="S836" s="99">
        <f>SUMIF(Import!$B:$B,$A836,Import!M:M)</f>
        <v>0</v>
      </c>
      <c r="T836" s="99">
        <f>SUMIF(Import!$B:$B,$A836,Import!N:N)</f>
        <v>19505</v>
      </c>
      <c r="U836" s="99">
        <f t="shared" si="798"/>
        <v>7856</v>
      </c>
      <c r="V836" s="255">
        <f t="shared" si="799"/>
        <v>0.67439265172976226</v>
      </c>
      <c r="W836" s="102" t="s">
        <v>1624</v>
      </c>
      <c r="X836" s="148"/>
      <c r="Y836" s="267"/>
      <c r="Z836" s="121"/>
      <c r="AA836" s="121"/>
      <c r="AB836" s="121"/>
      <c r="AC836" s="121"/>
      <c r="AD836" s="121"/>
      <c r="AE836" s="121"/>
      <c r="AF836" s="121"/>
      <c r="AG836" s="121"/>
      <c r="AH836" s="121"/>
      <c r="AI836" s="121"/>
      <c r="AJ836" s="121"/>
      <c r="AK836" s="121"/>
      <c r="AL836" s="121"/>
    </row>
    <row r="837" spans="1:38" s="115" customFormat="1" ht="15" customHeight="1">
      <c r="A837" s="555" t="s">
        <v>1625</v>
      </c>
      <c r="B837" s="217" t="str">
        <f t="shared" si="773"/>
        <v>125</v>
      </c>
      <c r="C837" s="217" t="str">
        <f t="shared" si="774"/>
        <v>65</v>
      </c>
      <c r="D837" s="101" t="str">
        <f t="shared" si="775"/>
        <v>652</v>
      </c>
      <c r="E837" s="217" t="str">
        <f t="shared" si="776"/>
        <v>125-65-652</v>
      </c>
      <c r="F837" s="294" t="str">
        <f t="shared" si="777"/>
        <v>50630</v>
      </c>
      <c r="G837" s="295" t="str">
        <f>VLOOKUP(F837,'GL Category'!A:C,3,FALSE)</f>
        <v>Personnel services</v>
      </c>
      <c r="H837" s="98" t="str">
        <f>VLOOKUP(F837,'GL Category'!A:C,2,FALSE)</f>
        <v>WORKER COMPENSATION</v>
      </c>
      <c r="I837" s="99">
        <f>SUMIF(Import!$B:$B,$A837,Import!D:D)</f>
        <v>2407.75</v>
      </c>
      <c r="J837" s="99">
        <f>SUMIF(Import!$B:$B,$A837,Import!E:E)</f>
        <v>1908.04</v>
      </c>
      <c r="K837" s="99">
        <f>SUMIF(Import!$B:$B,$A837,Import!F:F)</f>
        <v>2216.36</v>
      </c>
      <c r="L837" s="99">
        <f>SUMIF(Import!$B:$B,$A837,Import!G:G)</f>
        <v>3344.98</v>
      </c>
      <c r="M837" s="99">
        <f>SUMIF(Import!$B:$B,$A837,Import!H:H)</f>
        <v>5135</v>
      </c>
      <c r="N837" s="99">
        <f>SUMIF(Import!$B:$B,$A837,Import!I:I)</f>
        <v>5130.8100000000004</v>
      </c>
      <c r="O837" s="99">
        <f>SUMIF(Import!$B:$B,$A837,Import!J:J)</f>
        <v>5131</v>
      </c>
      <c r="P837" s="99">
        <f t="shared" si="797"/>
        <v>-4</v>
      </c>
      <c r="Q837" s="99">
        <f>SUMIF(Import!$B:$B,$A837,Import!K:K)</f>
        <v>4743</v>
      </c>
      <c r="R837" s="99">
        <f>SUMIF(Import!$B:$B,$A837,Import!L:L)</f>
        <v>0</v>
      </c>
      <c r="S837" s="99">
        <f>SUMIF(Import!$B:$B,$A837,Import!M:M)</f>
        <v>0</v>
      </c>
      <c r="T837" s="99">
        <f>SUMIF(Import!$B:$B,$A837,Import!N:N)</f>
        <v>4743</v>
      </c>
      <c r="U837" s="99">
        <f t="shared" si="798"/>
        <v>-392</v>
      </c>
      <c r="V837" s="255">
        <f t="shared" si="799"/>
        <v>-7.6338851022395349E-2</v>
      </c>
      <c r="W837" s="102" t="s">
        <v>1625</v>
      </c>
      <c r="X837" s="148"/>
      <c r="Y837" s="267"/>
      <c r="Z837" s="121"/>
      <c r="AA837" s="121"/>
      <c r="AB837" s="121"/>
      <c r="AC837" s="121"/>
      <c r="AD837" s="121"/>
      <c r="AE837" s="121"/>
      <c r="AF837" s="121"/>
      <c r="AG837" s="121"/>
      <c r="AH837" s="121"/>
      <c r="AI837" s="121"/>
      <c r="AJ837" s="121"/>
      <c r="AK837" s="121"/>
      <c r="AL837" s="121"/>
    </row>
    <row r="838" spans="1:38" s="115" customFormat="1" ht="15" customHeight="1">
      <c r="A838" s="555" t="s">
        <v>1626</v>
      </c>
      <c r="B838" s="217" t="str">
        <f t="shared" si="773"/>
        <v>125</v>
      </c>
      <c r="C838" s="217" t="str">
        <f t="shared" si="774"/>
        <v>65</v>
      </c>
      <c r="D838" s="101" t="str">
        <f t="shared" si="775"/>
        <v>652</v>
      </c>
      <c r="E838" s="217" t="str">
        <f t="shared" si="776"/>
        <v>125-65-652</v>
      </c>
      <c r="F838" s="294" t="str">
        <f t="shared" si="777"/>
        <v>50650</v>
      </c>
      <c r="G838" s="295" t="str">
        <f>VLOOKUP(F838,'GL Category'!A:C,3,FALSE)</f>
        <v>Personnel services</v>
      </c>
      <c r="H838" s="98" t="str">
        <f>VLOOKUP(F838,'GL Category'!A:C,2,FALSE)</f>
        <v>RETIREMENT</v>
      </c>
      <c r="I838" s="99">
        <f>SUMIF(Import!$B:$B,$A838,Import!D:D)</f>
        <v>11319.96</v>
      </c>
      <c r="J838" s="99">
        <f>SUMIF(Import!$B:$B,$A838,Import!E:E)</f>
        <v>11709.57</v>
      </c>
      <c r="K838" s="99">
        <f>SUMIF(Import!$B:$B,$A838,Import!F:F)</f>
        <v>15652.07</v>
      </c>
      <c r="L838" s="99">
        <f>SUMIF(Import!$B:$B,$A838,Import!G:G)</f>
        <v>18651.62</v>
      </c>
      <c r="M838" s="99">
        <f>SUMIF(Import!$B:$B,$A838,Import!H:H)</f>
        <v>20111</v>
      </c>
      <c r="N838" s="99">
        <f>SUMIF(Import!$B:$B,$A838,Import!I:I)</f>
        <v>13740.28</v>
      </c>
      <c r="O838" s="99">
        <f>SUMIF(Import!$B:$B,$A838,Import!J:J)</f>
        <v>18434</v>
      </c>
      <c r="P838" s="99">
        <f t="shared" si="797"/>
        <v>-1677</v>
      </c>
      <c r="Q838" s="99">
        <f>SUMIF(Import!$B:$B,$A838,Import!K:K)</f>
        <v>21205</v>
      </c>
      <c r="R838" s="99">
        <f>SUMIF(Import!$B:$B,$A838,Import!L:L)</f>
        <v>0</v>
      </c>
      <c r="S838" s="99">
        <f>SUMIF(Import!$B:$B,$A838,Import!M:M)</f>
        <v>0</v>
      </c>
      <c r="T838" s="99">
        <f>SUMIF(Import!$B:$B,$A838,Import!N:N)</f>
        <v>21205</v>
      </c>
      <c r="U838" s="99">
        <f t="shared" si="798"/>
        <v>1094</v>
      </c>
      <c r="V838" s="255">
        <f t="shared" si="799"/>
        <v>5.43980905971857E-2</v>
      </c>
      <c r="W838" s="102" t="s">
        <v>1626</v>
      </c>
      <c r="X838" s="148"/>
      <c r="Y838" s="267"/>
      <c r="Z838" s="121"/>
      <c r="AA838" s="121"/>
      <c r="AB838" s="121"/>
      <c r="AC838" s="121"/>
      <c r="AD838" s="121"/>
      <c r="AE838" s="121"/>
      <c r="AF838" s="121"/>
      <c r="AG838" s="121"/>
      <c r="AH838" s="121"/>
      <c r="AI838" s="121"/>
      <c r="AJ838" s="121"/>
      <c r="AK838" s="121"/>
      <c r="AL838" s="121"/>
    </row>
    <row r="839" spans="1:38" s="115" customFormat="1" ht="15" customHeight="1">
      <c r="A839" s="555"/>
      <c r="B839" s="217"/>
      <c r="C839" s="217"/>
      <c r="D839" s="101"/>
      <c r="E839" s="217"/>
      <c r="F839" s="294"/>
      <c r="G839" s="146"/>
      <c r="H839" s="107" t="str">
        <f>UPPER(G838)&amp;" TOTAL"</f>
        <v>PERSONNEL SERVICES TOTAL</v>
      </c>
      <c r="I839" s="108">
        <f t="shared" ref="I839" si="800">SUBTOTAL(9,I829:I838)</f>
        <v>308534.62</v>
      </c>
      <c r="J839" s="108">
        <f t="shared" ref="J839:P839" si="801">SUBTOTAL(9,J829:J838)</f>
        <v>324825.15999999997</v>
      </c>
      <c r="K839" s="108">
        <f t="shared" ref="K839" si="802">SUBTOTAL(9,K829:K838)</f>
        <v>246757.78999999998</v>
      </c>
      <c r="L839" s="108">
        <f t="shared" ref="L839" si="803">SUBTOTAL(9,L829:L838)</f>
        <v>487876.2099999999</v>
      </c>
      <c r="M839" s="108">
        <f t="shared" si="801"/>
        <v>476579</v>
      </c>
      <c r="N839" s="109">
        <f t="shared" ref="N839" si="804">SUBTOTAL(9,N829:N838)</f>
        <v>382909.43</v>
      </c>
      <c r="O839" s="109">
        <f t="shared" si="801"/>
        <v>479783</v>
      </c>
      <c r="P839" s="109">
        <f t="shared" si="801"/>
        <v>3204</v>
      </c>
      <c r="Q839" s="109">
        <f t="shared" ref="Q839:T839" si="805">SUBTOTAL(9,Q829:Q838)</f>
        <v>482713</v>
      </c>
      <c r="R839" s="109">
        <f t="shared" si="805"/>
        <v>0</v>
      </c>
      <c r="S839" s="109">
        <f t="shared" si="805"/>
        <v>0</v>
      </c>
      <c r="T839" s="109">
        <f t="shared" si="805"/>
        <v>482713</v>
      </c>
      <c r="U839" s="99">
        <f>T839-M839</f>
        <v>6134</v>
      </c>
      <c r="V839" s="259">
        <f>IF(M839=0,"N/A",T839/M839-1)</f>
        <v>1.2870898633804639E-2</v>
      </c>
      <c r="W839" s="104"/>
      <c r="X839" s="148"/>
      <c r="Y839" s="267"/>
      <c r="Z839" s="121"/>
      <c r="AA839" s="121"/>
      <c r="AB839" s="121"/>
      <c r="AC839" s="121"/>
      <c r="AD839" s="121"/>
      <c r="AE839" s="121"/>
      <c r="AF839" s="121"/>
      <c r="AG839" s="121"/>
      <c r="AH839" s="121"/>
      <c r="AI839" s="121"/>
      <c r="AJ839" s="121"/>
      <c r="AK839" s="121"/>
      <c r="AL839" s="121"/>
    </row>
    <row r="840" spans="1:38" s="115" customFormat="1" ht="15" customHeight="1">
      <c r="A840" s="555"/>
      <c r="B840" s="217"/>
      <c r="C840" s="217"/>
      <c r="D840" s="101"/>
      <c r="E840" s="217"/>
      <c r="F840" s="294"/>
      <c r="G840" s="146"/>
      <c r="H840" s="98"/>
      <c r="I840" s="106"/>
      <c r="J840" s="106"/>
      <c r="K840" s="106"/>
      <c r="L840" s="106"/>
      <c r="M840" s="106"/>
      <c r="N840" s="112"/>
      <c r="O840" s="112"/>
      <c r="P840" s="112"/>
      <c r="Q840" s="113"/>
      <c r="R840" s="113"/>
      <c r="S840" s="113"/>
      <c r="T840" s="113"/>
      <c r="U840" s="113"/>
      <c r="V840" s="113"/>
      <c r="W840" s="104"/>
      <c r="X840" s="148"/>
      <c r="Y840" s="267"/>
      <c r="Z840" s="121"/>
      <c r="AA840" s="121"/>
      <c r="AB840" s="121"/>
      <c r="AC840" s="121"/>
      <c r="AD840" s="121"/>
      <c r="AE840" s="121"/>
      <c r="AF840" s="121"/>
      <c r="AG840" s="121"/>
      <c r="AH840" s="121"/>
      <c r="AI840" s="121"/>
      <c r="AJ840" s="121"/>
      <c r="AK840" s="121"/>
      <c r="AL840" s="121"/>
    </row>
    <row r="841" spans="1:38" s="115" customFormat="1" ht="15" customHeight="1">
      <c r="A841" s="555" t="s">
        <v>3182</v>
      </c>
      <c r="B841" s="217" t="str">
        <f t="shared" ref="B841" si="806">LEFT(A841,3)</f>
        <v>125</v>
      </c>
      <c r="C841" s="217" t="str">
        <f t="shared" ref="C841" si="807">MID(A841,5,2)</f>
        <v>65</v>
      </c>
      <c r="D841" s="101" t="str">
        <f t="shared" ref="D841" si="808">MID(A841,8,3)</f>
        <v>652</v>
      </c>
      <c r="E841" s="217" t="str">
        <f t="shared" ref="E841" si="809">LEFT(A841,10)</f>
        <v>125-65-652</v>
      </c>
      <c r="F841" s="294" t="str">
        <f t="shared" ref="F841" si="810">RIGHT(A841,5)</f>
        <v>51225</v>
      </c>
      <c r="G841" s="295" t="str">
        <f>VLOOKUP(F841,'GL Category'!A:C,3,FALSE)</f>
        <v>Operations &amp; maintenance</v>
      </c>
      <c r="H841" s="98" t="str">
        <f>VLOOKUP(F841,'GL Category'!A:C,2,FALSE)</f>
        <v>JANITORIAL SUPPLIES</v>
      </c>
      <c r="I841" s="99">
        <f>SUMIF(Import!$B:$B,$A841,Import!D:D)</f>
        <v>0</v>
      </c>
      <c r="J841" s="99">
        <f>SUMIF(Import!$B:$B,$A841,Import!E:E)</f>
        <v>55.35</v>
      </c>
      <c r="K841" s="99">
        <f>SUMIF(Import!$B:$B,$A841,Import!F:F)</f>
        <v>40.86</v>
      </c>
      <c r="L841" s="99">
        <f>SUMIF(Import!$B:$B,$A841,Import!G:G)</f>
        <v>0</v>
      </c>
      <c r="M841" s="99">
        <f>SUMIF(Import!$B:$B,$A841,Import!H:H)</f>
        <v>0</v>
      </c>
      <c r="N841" s="99">
        <f>SUMIF(Import!$B:$B,$A841,Import!I:I)</f>
        <v>0</v>
      </c>
      <c r="O841" s="99">
        <f>SUMIF(Import!$B:$B,$A841,Import!J:J)</f>
        <v>0</v>
      </c>
      <c r="P841" s="99">
        <f t="shared" ref="P841" si="811">O841-M841</f>
        <v>0</v>
      </c>
      <c r="Q841" s="99">
        <f>SUMIF(Import!$B:$B,$A841,Import!K:K)</f>
        <v>0</v>
      </c>
      <c r="R841" s="99">
        <f>SUMIF(Import!$B:$B,$A841,Import!L:L)</f>
        <v>0</v>
      </c>
      <c r="S841" s="99">
        <f>SUMIF(Import!$B:$B,$A841,Import!M:M)</f>
        <v>0</v>
      </c>
      <c r="T841" s="99">
        <f>SUMIF(Import!$B:$B,$A841,Import!N:N)</f>
        <v>0</v>
      </c>
      <c r="U841" s="99">
        <f t="shared" ref="U841" si="812">T841-M841</f>
        <v>0</v>
      </c>
      <c r="V841" s="255" t="str">
        <f t="shared" ref="V841" si="813">IF(M841=0,"N/A",T841/M841-1)</f>
        <v>N/A</v>
      </c>
      <c r="W841" s="104"/>
      <c r="X841" s="148"/>
      <c r="Y841" s="267"/>
      <c r="Z841" s="121"/>
      <c r="AA841" s="121"/>
      <c r="AB841" s="121"/>
      <c r="AC841" s="121"/>
      <c r="AD841" s="121"/>
      <c r="AE841" s="121"/>
      <c r="AF841" s="121"/>
      <c r="AG841" s="121"/>
      <c r="AH841" s="121"/>
      <c r="AI841" s="121"/>
      <c r="AJ841" s="121"/>
      <c r="AK841" s="121"/>
      <c r="AL841" s="121"/>
    </row>
    <row r="842" spans="1:38" s="115" customFormat="1" ht="15" customHeight="1">
      <c r="A842" s="555" t="s">
        <v>1627</v>
      </c>
      <c r="B842" s="217" t="str">
        <f t="shared" si="773"/>
        <v>125</v>
      </c>
      <c r="C842" s="217" t="str">
        <f t="shared" si="774"/>
        <v>65</v>
      </c>
      <c r="D842" s="101" t="str">
        <f t="shared" si="775"/>
        <v>652</v>
      </c>
      <c r="E842" s="217" t="str">
        <f t="shared" si="776"/>
        <v>125-65-652</v>
      </c>
      <c r="F842" s="294" t="str">
        <f t="shared" si="777"/>
        <v>51226</v>
      </c>
      <c r="G842" s="295" t="str">
        <f>VLOOKUP(F842,'GL Category'!A:C,3,FALSE)</f>
        <v>Operations &amp; maintenance</v>
      </c>
      <c r="H842" s="98" t="str">
        <f>VLOOKUP(F842,'GL Category'!A:C,2,FALSE)</f>
        <v>MEDICAL SUPPLIES</v>
      </c>
      <c r="I842" s="99">
        <f>SUMIF(Import!$B:$B,$A842,Import!D:D)</f>
        <v>0</v>
      </c>
      <c r="J842" s="99">
        <f>SUMIF(Import!$B:$B,$A842,Import!E:E)</f>
        <v>0</v>
      </c>
      <c r="K842" s="99">
        <f>SUMIF(Import!$B:$B,$A842,Import!F:F)</f>
        <v>0</v>
      </c>
      <c r="L842" s="99">
        <f>SUMIF(Import!$B:$B,$A842,Import!G:G)</f>
        <v>0</v>
      </c>
      <c r="M842" s="99">
        <f>SUMIF(Import!$B:$B,$A842,Import!H:H)</f>
        <v>0</v>
      </c>
      <c r="N842" s="99">
        <f>SUMIF(Import!$B:$B,$A842,Import!I:I)</f>
        <v>0</v>
      </c>
      <c r="O842" s="99">
        <f>SUMIF(Import!$B:$B,$A842,Import!J:J)</f>
        <v>0</v>
      </c>
      <c r="P842" s="99">
        <f t="shared" ref="P842:P851" si="814">O842-M842</f>
        <v>0</v>
      </c>
      <c r="Q842" s="99">
        <f>SUMIF(Import!$B:$B,$A842,Import!K:K)</f>
        <v>0</v>
      </c>
      <c r="R842" s="99">
        <f>SUMIF(Import!$B:$B,$A842,Import!L:L)</f>
        <v>0</v>
      </c>
      <c r="S842" s="99">
        <f>SUMIF(Import!$B:$B,$A842,Import!M:M)</f>
        <v>0</v>
      </c>
      <c r="T842" s="99">
        <f>SUMIF(Import!$B:$B,$A842,Import!N:N)</f>
        <v>0</v>
      </c>
      <c r="U842" s="99">
        <f t="shared" ref="U842:U851" si="815">T842-M842</f>
        <v>0</v>
      </c>
      <c r="V842" s="255" t="str">
        <f t="shared" ref="V842:V851" si="816">IF(M842=0,"N/A",T842/M842-1)</f>
        <v>N/A</v>
      </c>
      <c r="W842" s="102" t="s">
        <v>1627</v>
      </c>
      <c r="X842" s="148"/>
      <c r="Y842" s="267"/>
      <c r="Z842" s="121"/>
      <c r="AA842" s="121"/>
      <c r="AB842" s="121"/>
      <c r="AC842" s="121"/>
      <c r="AD842" s="121"/>
      <c r="AE842" s="121"/>
      <c r="AF842" s="121"/>
      <c r="AG842" s="121"/>
      <c r="AH842" s="121"/>
      <c r="AI842" s="121"/>
      <c r="AJ842" s="121"/>
      <c r="AK842" s="121"/>
      <c r="AL842" s="121"/>
    </row>
    <row r="843" spans="1:38" s="115" customFormat="1" ht="15.6" customHeight="1">
      <c r="A843" s="555" t="s">
        <v>1628</v>
      </c>
      <c r="B843" s="217" t="str">
        <f t="shared" si="773"/>
        <v>125</v>
      </c>
      <c r="C843" s="217" t="str">
        <f t="shared" si="774"/>
        <v>65</v>
      </c>
      <c r="D843" s="101" t="str">
        <f t="shared" si="775"/>
        <v>652</v>
      </c>
      <c r="E843" s="217" t="str">
        <f t="shared" si="776"/>
        <v>125-65-652</v>
      </c>
      <c r="F843" s="294" t="str">
        <f t="shared" si="777"/>
        <v>51245</v>
      </c>
      <c r="G843" s="295" t="str">
        <f>VLOOKUP(F843,'GL Category'!A:C,3,FALSE)</f>
        <v>Operations &amp; maintenance</v>
      </c>
      <c r="H843" s="98" t="str">
        <f>VLOOKUP(F843,'GL Category'!A:C,2,FALSE)</f>
        <v>SMALL TOOLS &amp; EQUIPMENT</v>
      </c>
      <c r="I843" s="99">
        <f>SUMIF(Import!$B:$B,$A843,Import!D:D)</f>
        <v>1030.07</v>
      </c>
      <c r="J843" s="99">
        <f>SUMIF(Import!$B:$B,$A843,Import!E:E)</f>
        <v>799.24</v>
      </c>
      <c r="K843" s="99">
        <f>SUMIF(Import!$B:$B,$A843,Import!F:F)</f>
        <v>955.35</v>
      </c>
      <c r="L843" s="99">
        <f>SUMIF(Import!$B:$B,$A843,Import!G:G)</f>
        <v>4354.17</v>
      </c>
      <c r="M843" s="99">
        <f>SUMIF(Import!$B:$B,$A843,Import!H:H)</f>
        <v>2000</v>
      </c>
      <c r="N843" s="99">
        <f>SUMIF(Import!$B:$B,$A843,Import!I:I)</f>
        <v>550.63</v>
      </c>
      <c r="O843" s="99">
        <f>SUMIF(Import!$B:$B,$A843,Import!J:J)</f>
        <v>1700</v>
      </c>
      <c r="P843" s="99">
        <f t="shared" si="814"/>
        <v>-300</v>
      </c>
      <c r="Q843" s="99">
        <f>SUMIF(Import!$B:$B,$A843,Import!K:K)</f>
        <v>2000</v>
      </c>
      <c r="R843" s="99">
        <f>SUMIF(Import!$B:$B,$A843,Import!L:L)</f>
        <v>0</v>
      </c>
      <c r="S843" s="99">
        <f>SUMIF(Import!$B:$B,$A843,Import!M:M)</f>
        <v>0</v>
      </c>
      <c r="T843" s="99">
        <f>SUMIF(Import!$B:$B,$A843,Import!N:N)</f>
        <v>2000</v>
      </c>
      <c r="U843" s="99">
        <f t="shared" si="815"/>
        <v>0</v>
      </c>
      <c r="V843" s="255">
        <f t="shared" si="816"/>
        <v>0</v>
      </c>
      <c r="W843" s="102" t="s">
        <v>1628</v>
      </c>
      <c r="X843" s="148"/>
      <c r="Y843" s="267"/>
      <c r="Z843" s="121"/>
      <c r="AA843" s="121"/>
      <c r="AB843" s="121"/>
      <c r="AC843" s="121"/>
      <c r="AD843" s="121"/>
      <c r="AE843" s="121"/>
      <c r="AF843" s="121"/>
      <c r="AG843" s="121"/>
      <c r="AH843" s="121"/>
      <c r="AI843" s="121"/>
      <c r="AJ843" s="121"/>
      <c r="AK843" s="121"/>
      <c r="AL843" s="121"/>
    </row>
    <row r="844" spans="1:38" s="115" customFormat="1" ht="15.6" customHeight="1">
      <c r="A844" s="555" t="s">
        <v>1629</v>
      </c>
      <c r="B844" s="217" t="str">
        <f t="shared" si="773"/>
        <v>125</v>
      </c>
      <c r="C844" s="217" t="str">
        <f t="shared" si="774"/>
        <v>65</v>
      </c>
      <c r="D844" s="101" t="str">
        <f t="shared" si="775"/>
        <v>652</v>
      </c>
      <c r="E844" s="217" t="str">
        <f t="shared" si="776"/>
        <v>125-65-652</v>
      </c>
      <c r="F844" s="294" t="str">
        <f t="shared" si="777"/>
        <v>51260</v>
      </c>
      <c r="G844" s="295" t="str">
        <f>VLOOKUP(F844,'GL Category'!A:C,3,FALSE)</f>
        <v>Operations &amp; maintenance</v>
      </c>
      <c r="H844" s="98" t="str">
        <f>VLOOKUP(F844,'GL Category'!A:C,2,FALSE)</f>
        <v>EDUCATION/RECREATION SUPPLIES</v>
      </c>
      <c r="I844" s="99">
        <f>SUMIF(Import!$B:$B,$A844,Import!D:D)</f>
        <v>2722.27</v>
      </c>
      <c r="J844" s="99">
        <f>SUMIF(Import!$B:$B,$A844,Import!E:E)</f>
        <v>1787.38</v>
      </c>
      <c r="K844" s="99">
        <f>SUMIF(Import!$B:$B,$A844,Import!F:F)</f>
        <v>2773.36</v>
      </c>
      <c r="L844" s="99">
        <f>SUMIF(Import!$B:$B,$A844,Import!G:G)</f>
        <v>2731.93</v>
      </c>
      <c r="M844" s="99">
        <f>SUMIF(Import!$B:$B,$A844,Import!H:H)</f>
        <v>6000</v>
      </c>
      <c r="N844" s="99">
        <f>SUMIF(Import!$B:$B,$A844,Import!I:I)</f>
        <v>3920</v>
      </c>
      <c r="O844" s="99">
        <f>SUMIF(Import!$B:$B,$A844,Import!J:J)</f>
        <v>6000</v>
      </c>
      <c r="P844" s="99">
        <f t="shared" si="814"/>
        <v>0</v>
      </c>
      <c r="Q844" s="99">
        <f>SUMIF(Import!$B:$B,$A844,Import!K:K)</f>
        <v>6000</v>
      </c>
      <c r="R844" s="99">
        <f>SUMIF(Import!$B:$B,$A844,Import!L:L)</f>
        <v>0</v>
      </c>
      <c r="S844" s="99">
        <f>SUMIF(Import!$B:$B,$A844,Import!M:M)</f>
        <v>0</v>
      </c>
      <c r="T844" s="99">
        <f>SUMIF(Import!$B:$B,$A844,Import!N:N)</f>
        <v>6000</v>
      </c>
      <c r="U844" s="99">
        <f t="shared" si="815"/>
        <v>0</v>
      </c>
      <c r="V844" s="255">
        <f t="shared" si="816"/>
        <v>0</v>
      </c>
      <c r="W844" s="102" t="s">
        <v>1629</v>
      </c>
      <c r="X844" s="148"/>
      <c r="Y844" s="267"/>
      <c r="Z844" s="121"/>
      <c r="AA844" s="121"/>
      <c r="AB844" s="121"/>
      <c r="AC844" s="121"/>
      <c r="AD844" s="121"/>
      <c r="AE844" s="121"/>
      <c r="AF844" s="121"/>
      <c r="AG844" s="121"/>
      <c r="AH844" s="121"/>
      <c r="AI844" s="121"/>
      <c r="AJ844" s="121"/>
      <c r="AK844" s="121"/>
      <c r="AL844" s="121"/>
    </row>
    <row r="845" spans="1:38" s="115" customFormat="1" ht="15" customHeight="1">
      <c r="A845" s="555" t="s">
        <v>1630</v>
      </c>
      <c r="B845" s="217" t="str">
        <f t="shared" si="773"/>
        <v>125</v>
      </c>
      <c r="C845" s="217" t="str">
        <f t="shared" si="774"/>
        <v>65</v>
      </c>
      <c r="D845" s="101" t="str">
        <f t="shared" si="775"/>
        <v>652</v>
      </c>
      <c r="E845" s="217" t="str">
        <f t="shared" si="776"/>
        <v>125-65-652</v>
      </c>
      <c r="F845" s="294" t="str">
        <f t="shared" si="777"/>
        <v>51270</v>
      </c>
      <c r="G845" s="295" t="str">
        <f>VLOOKUP(F845,'GL Category'!A:C,3,FALSE)</f>
        <v>Operations &amp; maintenance</v>
      </c>
      <c r="H845" s="98" t="str">
        <f>VLOOKUP(F845,'GL Category'!A:C,2,FALSE)</f>
        <v>CHEMICAL SUPPLIES</v>
      </c>
      <c r="I845" s="99">
        <f>SUMIF(Import!$B:$B,$A845,Import!D:D)</f>
        <v>23698.34</v>
      </c>
      <c r="J845" s="99">
        <f>SUMIF(Import!$B:$B,$A845,Import!E:E)</f>
        <v>21709.06</v>
      </c>
      <c r="K845" s="99">
        <f>SUMIF(Import!$B:$B,$A845,Import!F:F)</f>
        <v>26309.14</v>
      </c>
      <c r="L845" s="99">
        <f>SUMIF(Import!$B:$B,$A845,Import!G:G)</f>
        <v>36765.919999999998</v>
      </c>
      <c r="M845" s="99">
        <f>SUMIF(Import!$B:$B,$A845,Import!H:H)</f>
        <v>32200</v>
      </c>
      <c r="N845" s="99">
        <f>SUMIF(Import!$B:$B,$A845,Import!I:I)</f>
        <v>26352.29</v>
      </c>
      <c r="O845" s="99">
        <f>SUMIF(Import!$B:$B,$A845,Import!J:J)</f>
        <v>43200</v>
      </c>
      <c r="P845" s="99">
        <f t="shared" si="814"/>
        <v>11000</v>
      </c>
      <c r="Q845" s="99">
        <f>SUMIF(Import!$B:$B,$A845,Import!K:K)</f>
        <v>42200</v>
      </c>
      <c r="R845" s="99">
        <f>SUMIF(Import!$B:$B,$A845,Import!L:L)</f>
        <v>0</v>
      </c>
      <c r="S845" s="99">
        <f>SUMIF(Import!$B:$B,$A845,Import!M:M)</f>
        <v>0</v>
      </c>
      <c r="T845" s="99">
        <f>SUMIF(Import!$B:$B,$A845,Import!N:N)</f>
        <v>42200</v>
      </c>
      <c r="U845" s="99">
        <f t="shared" si="815"/>
        <v>10000</v>
      </c>
      <c r="V845" s="255">
        <f t="shared" si="816"/>
        <v>0.31055900621118004</v>
      </c>
      <c r="W845" s="102" t="s">
        <v>1630</v>
      </c>
      <c r="X845" s="148"/>
      <c r="Y845" s="267"/>
      <c r="Z845" s="121"/>
      <c r="AA845" s="121"/>
      <c r="AB845" s="121"/>
      <c r="AC845" s="121"/>
      <c r="AD845" s="121"/>
      <c r="AE845" s="121"/>
      <c r="AF845" s="121"/>
      <c r="AG845" s="121"/>
      <c r="AH845" s="121"/>
      <c r="AI845" s="121"/>
      <c r="AJ845" s="121"/>
      <c r="AK845" s="121"/>
      <c r="AL845" s="121"/>
    </row>
    <row r="846" spans="1:38" s="115" customFormat="1" ht="15" customHeight="1">
      <c r="A846" s="555" t="s">
        <v>1631</v>
      </c>
      <c r="B846" s="217" t="str">
        <f t="shared" si="773"/>
        <v>125</v>
      </c>
      <c r="C846" s="217" t="str">
        <f t="shared" si="774"/>
        <v>65</v>
      </c>
      <c r="D846" s="101" t="str">
        <f t="shared" si="775"/>
        <v>652</v>
      </c>
      <c r="E846" s="217" t="str">
        <f t="shared" si="776"/>
        <v>125-65-652</v>
      </c>
      <c r="F846" s="294" t="str">
        <f t="shared" si="777"/>
        <v>51281</v>
      </c>
      <c r="G846" s="295" t="e">
        <f>VLOOKUP(F846,'GL Category'!A:C,3,FALSE)</f>
        <v>#N/A</v>
      </c>
      <c r="H846" s="98" t="e">
        <f>VLOOKUP(F846,'GL Category'!A:C,2,FALSE)</f>
        <v>#N/A</v>
      </c>
      <c r="I846" s="99">
        <f>SUMIF(Import!$B:$B,$A846,Import!D:D)</f>
        <v>0</v>
      </c>
      <c r="J846" s="99">
        <f>SUMIF(Import!$B:$B,$A846,Import!E:E)</f>
        <v>0</v>
      </c>
      <c r="K846" s="99">
        <f>SUMIF(Import!$B:$B,$A846,Import!F:F)</f>
        <v>0</v>
      </c>
      <c r="L846" s="99">
        <f>SUMIF(Import!$B:$B,$A846,Import!G:G)</f>
        <v>0</v>
      </c>
      <c r="M846" s="99">
        <f>SUMIF(Import!$B:$B,$A846,Import!H:H)</f>
        <v>0</v>
      </c>
      <c r="N846" s="99">
        <f>SUMIF(Import!$B:$B,$A846,Import!I:I)</f>
        <v>0</v>
      </c>
      <c r="O846" s="99">
        <f>SUMIF(Import!$B:$B,$A846,Import!J:J)</f>
        <v>0</v>
      </c>
      <c r="P846" s="99">
        <f t="shared" si="814"/>
        <v>0</v>
      </c>
      <c r="Q846" s="99">
        <f>SUMIF(Import!$B:$B,$A846,Import!K:K)</f>
        <v>0</v>
      </c>
      <c r="R846" s="99">
        <f>SUMIF(Import!$B:$B,$A846,Import!L:L)</f>
        <v>0</v>
      </c>
      <c r="S846" s="99">
        <f>SUMIF(Import!$B:$B,$A846,Import!M:M)</f>
        <v>0</v>
      </c>
      <c r="T846" s="99">
        <f>SUMIF(Import!$B:$B,$A846,Import!N:N)</f>
        <v>0</v>
      </c>
      <c r="U846" s="99">
        <f t="shared" si="815"/>
        <v>0</v>
      </c>
      <c r="V846" s="255" t="str">
        <f t="shared" si="816"/>
        <v>N/A</v>
      </c>
      <c r="W846" s="102" t="s">
        <v>1631</v>
      </c>
      <c r="X846" s="148"/>
      <c r="Y846" s="267"/>
      <c r="Z846" s="121"/>
      <c r="AA846" s="121"/>
      <c r="AB846" s="121"/>
      <c r="AC846" s="121"/>
      <c r="AD846" s="121"/>
      <c r="AE846" s="121"/>
      <c r="AF846" s="121"/>
      <c r="AG846" s="121"/>
      <c r="AH846" s="121"/>
      <c r="AI846" s="121"/>
      <c r="AJ846" s="121"/>
      <c r="AK846" s="121"/>
      <c r="AL846" s="121"/>
    </row>
    <row r="847" spans="1:38" s="115" customFormat="1" ht="15" customHeight="1">
      <c r="A847" s="555" t="s">
        <v>1632</v>
      </c>
      <c r="B847" s="217" t="str">
        <f t="shared" si="773"/>
        <v>125</v>
      </c>
      <c r="C847" s="217" t="str">
        <f t="shared" si="774"/>
        <v>65</v>
      </c>
      <c r="D847" s="101" t="str">
        <f t="shared" si="775"/>
        <v>652</v>
      </c>
      <c r="E847" s="217" t="str">
        <f t="shared" si="776"/>
        <v>125-65-652</v>
      </c>
      <c r="F847" s="294" t="str">
        <f t="shared" si="777"/>
        <v>51282</v>
      </c>
      <c r="G847" s="295" t="str">
        <f>VLOOKUP(F847,'GL Category'!A:C,3,FALSE)</f>
        <v>Operations &amp; maintenance</v>
      </c>
      <c r="H847" s="98" t="str">
        <f>VLOOKUP(F847,'GL Category'!A:C,2,FALSE)</f>
        <v>COST OF GOODS SOLD</v>
      </c>
      <c r="I847" s="99">
        <f>SUMIF(Import!$B:$B,$A847,Import!D:D)</f>
        <v>2190.21</v>
      </c>
      <c r="J847" s="99">
        <f>SUMIF(Import!$B:$B,$A847,Import!E:E)</f>
        <v>3376.86</v>
      </c>
      <c r="K847" s="99">
        <f>SUMIF(Import!$B:$B,$A847,Import!F:F)</f>
        <v>1402.01</v>
      </c>
      <c r="L847" s="99">
        <f>SUMIF(Import!$B:$B,$A847,Import!G:G)</f>
        <v>4231.8599999999997</v>
      </c>
      <c r="M847" s="99">
        <f>SUMIF(Import!$B:$B,$A847,Import!H:H)</f>
        <v>2500</v>
      </c>
      <c r="N847" s="99">
        <f>SUMIF(Import!$B:$B,$A847,Import!I:I)</f>
        <v>3752.79</v>
      </c>
      <c r="O847" s="99">
        <f>SUMIF(Import!$B:$B,$A847,Import!J:J)</f>
        <v>6000</v>
      </c>
      <c r="P847" s="99">
        <f t="shared" si="814"/>
        <v>3500</v>
      </c>
      <c r="Q847" s="99">
        <f>SUMIF(Import!$B:$B,$A847,Import!K:K)</f>
        <v>2500</v>
      </c>
      <c r="R847" s="99">
        <f>SUMIF(Import!$B:$B,$A847,Import!L:L)</f>
        <v>0</v>
      </c>
      <c r="S847" s="99">
        <f>SUMIF(Import!$B:$B,$A847,Import!M:M)</f>
        <v>0</v>
      </c>
      <c r="T847" s="99">
        <f>SUMIF(Import!$B:$B,$A847,Import!N:N)</f>
        <v>2500</v>
      </c>
      <c r="U847" s="99">
        <f t="shared" si="815"/>
        <v>0</v>
      </c>
      <c r="V847" s="255">
        <f t="shared" si="816"/>
        <v>0</v>
      </c>
      <c r="W847" s="102" t="s">
        <v>1632</v>
      </c>
      <c r="X847" s="148"/>
      <c r="Y847" s="267"/>
      <c r="Z847" s="121"/>
      <c r="AA847" s="121"/>
      <c r="AB847" s="121"/>
      <c r="AC847" s="121"/>
      <c r="AD847" s="121"/>
      <c r="AE847" s="121"/>
      <c r="AF847" s="121"/>
      <c r="AG847" s="121"/>
      <c r="AH847" s="121"/>
      <c r="AI847" s="121"/>
      <c r="AJ847" s="121"/>
      <c r="AK847" s="121"/>
      <c r="AL847" s="121"/>
    </row>
    <row r="848" spans="1:38" s="115" customFormat="1" ht="15" customHeight="1">
      <c r="A848" s="555" t="s">
        <v>1633</v>
      </c>
      <c r="B848" s="217" t="str">
        <f t="shared" si="773"/>
        <v>125</v>
      </c>
      <c r="C848" s="217" t="str">
        <f t="shared" si="774"/>
        <v>65</v>
      </c>
      <c r="D848" s="101" t="str">
        <f t="shared" si="775"/>
        <v>652</v>
      </c>
      <c r="E848" s="217" t="str">
        <f t="shared" si="776"/>
        <v>125-65-652</v>
      </c>
      <c r="F848" s="294" t="str">
        <f t="shared" si="777"/>
        <v>51287</v>
      </c>
      <c r="G848" s="295" t="str">
        <f>VLOOKUP(F848,'GL Category'!A:C,3,FALSE)</f>
        <v>Operations &amp; maintenance</v>
      </c>
      <c r="H848" s="98" t="str">
        <f>VLOOKUP(F848,'GL Category'!A:C,2,FALSE)</f>
        <v>SAFETY EQUIPMENT/SUPPLIES</v>
      </c>
      <c r="I848" s="99">
        <f>SUMIF(Import!$B:$B,$A848,Import!D:D)</f>
        <v>1274.5899999999999</v>
      </c>
      <c r="J848" s="99">
        <f>SUMIF(Import!$B:$B,$A848,Import!E:E)</f>
        <v>1768.62</v>
      </c>
      <c r="K848" s="99">
        <f>SUMIF(Import!$B:$B,$A848,Import!F:F)</f>
        <v>1018.03</v>
      </c>
      <c r="L848" s="99">
        <f>SUMIF(Import!$B:$B,$A848,Import!G:G)</f>
        <v>1268.6400000000001</v>
      </c>
      <c r="M848" s="99">
        <f>SUMIF(Import!$B:$B,$A848,Import!H:H)</f>
        <v>1340</v>
      </c>
      <c r="N848" s="99">
        <f>SUMIF(Import!$B:$B,$A848,Import!I:I)</f>
        <v>895.32</v>
      </c>
      <c r="O848" s="99">
        <f>SUMIF(Import!$B:$B,$A848,Import!J:J)</f>
        <v>1500</v>
      </c>
      <c r="P848" s="99">
        <f t="shared" si="814"/>
        <v>160</v>
      </c>
      <c r="Q848" s="99">
        <f>SUMIF(Import!$B:$B,$A848,Import!K:K)</f>
        <v>4000</v>
      </c>
      <c r="R848" s="99">
        <f>SUMIF(Import!$B:$B,$A848,Import!L:L)</f>
        <v>0</v>
      </c>
      <c r="S848" s="99">
        <f>SUMIF(Import!$B:$B,$A848,Import!M:M)</f>
        <v>0</v>
      </c>
      <c r="T848" s="99">
        <f>SUMIF(Import!$B:$B,$A848,Import!N:N)</f>
        <v>4000</v>
      </c>
      <c r="U848" s="99">
        <f t="shared" si="815"/>
        <v>2660</v>
      </c>
      <c r="V848" s="255">
        <f t="shared" si="816"/>
        <v>1.9850746268656718</v>
      </c>
      <c r="W848" s="102" t="s">
        <v>1633</v>
      </c>
      <c r="X848" s="148"/>
      <c r="Y848" s="267"/>
      <c r="Z848" s="121"/>
      <c r="AA848" s="121"/>
      <c r="AB848" s="121"/>
      <c r="AC848" s="121"/>
      <c r="AD848" s="121"/>
      <c r="AE848" s="121"/>
      <c r="AF848" s="121"/>
      <c r="AG848" s="121"/>
      <c r="AH848" s="121"/>
      <c r="AI848" s="121"/>
      <c r="AJ848" s="121"/>
      <c r="AK848" s="121"/>
      <c r="AL848" s="121"/>
    </row>
    <row r="849" spans="1:38" s="115" customFormat="1" ht="15" customHeight="1">
      <c r="A849" s="555" t="s">
        <v>1634</v>
      </c>
      <c r="B849" s="217" t="str">
        <f t="shared" si="773"/>
        <v>125</v>
      </c>
      <c r="C849" s="217" t="str">
        <f t="shared" si="774"/>
        <v>65</v>
      </c>
      <c r="D849" s="101" t="str">
        <f t="shared" si="775"/>
        <v>652</v>
      </c>
      <c r="E849" s="217" t="str">
        <f t="shared" si="776"/>
        <v>125-65-652</v>
      </c>
      <c r="F849" s="294" t="str">
        <f t="shared" si="777"/>
        <v>51299</v>
      </c>
      <c r="G849" s="295" t="str">
        <f>VLOOKUP(F849,'GL Category'!A:C,3,FALSE)</f>
        <v>Operations &amp; maintenance</v>
      </c>
      <c r="H849" s="98" t="str">
        <f>VLOOKUP(F849,'GL Category'!A:C,2,FALSE)</f>
        <v>MISCELLANEOUS SUPPLIES</v>
      </c>
      <c r="I849" s="99">
        <f>SUMIF(Import!$B:$B,$A849,Import!D:D)</f>
        <v>0</v>
      </c>
      <c r="J849" s="99">
        <f>SUMIF(Import!$B:$B,$A849,Import!E:E)</f>
        <v>0</v>
      </c>
      <c r="K849" s="99">
        <f>SUMIF(Import!$B:$B,$A849,Import!F:F)</f>
        <v>0</v>
      </c>
      <c r="L849" s="99">
        <f>SUMIF(Import!$B:$B,$A849,Import!G:G)</f>
        <v>0</v>
      </c>
      <c r="M849" s="99">
        <f>SUMIF(Import!$B:$B,$A849,Import!H:H)</f>
        <v>0</v>
      </c>
      <c r="N849" s="99">
        <f>SUMIF(Import!$B:$B,$A849,Import!I:I)</f>
        <v>0</v>
      </c>
      <c r="O849" s="99">
        <f>SUMIF(Import!$B:$B,$A849,Import!J:J)</f>
        <v>0</v>
      </c>
      <c r="P849" s="99">
        <f t="shared" si="814"/>
        <v>0</v>
      </c>
      <c r="Q849" s="99">
        <f>SUMIF(Import!$B:$B,$A849,Import!K:K)</f>
        <v>0</v>
      </c>
      <c r="R849" s="99">
        <f>SUMIF(Import!$B:$B,$A849,Import!L:L)</f>
        <v>0</v>
      </c>
      <c r="S849" s="99">
        <f>SUMIF(Import!$B:$B,$A849,Import!M:M)</f>
        <v>0</v>
      </c>
      <c r="T849" s="99">
        <f>SUMIF(Import!$B:$B,$A849,Import!N:N)</f>
        <v>0</v>
      </c>
      <c r="U849" s="99">
        <f t="shared" si="815"/>
        <v>0</v>
      </c>
      <c r="V849" s="255" t="str">
        <f t="shared" si="816"/>
        <v>N/A</v>
      </c>
      <c r="W849" s="102" t="s">
        <v>1634</v>
      </c>
      <c r="X849" s="148"/>
      <c r="Y849" s="267"/>
      <c r="Z849" s="121"/>
      <c r="AA849" s="121"/>
      <c r="AB849" s="121"/>
      <c r="AC849" s="121"/>
      <c r="AD849" s="121"/>
      <c r="AE849" s="121"/>
      <c r="AF849" s="121"/>
      <c r="AG849" s="121"/>
      <c r="AH849" s="121"/>
      <c r="AI849" s="121"/>
      <c r="AJ849" s="121"/>
      <c r="AK849" s="121"/>
      <c r="AL849" s="121"/>
    </row>
    <row r="850" spans="1:38" s="115" customFormat="1" ht="15" customHeight="1">
      <c r="A850" s="555" t="s">
        <v>1635</v>
      </c>
      <c r="B850" s="217" t="str">
        <f t="shared" si="773"/>
        <v>125</v>
      </c>
      <c r="C850" s="217" t="str">
        <f t="shared" si="774"/>
        <v>65</v>
      </c>
      <c r="D850" s="101" t="str">
        <f t="shared" si="775"/>
        <v>652</v>
      </c>
      <c r="E850" s="217" t="str">
        <f t="shared" si="776"/>
        <v>125-65-652</v>
      </c>
      <c r="F850" s="294" t="str">
        <f t="shared" si="777"/>
        <v>52399</v>
      </c>
      <c r="G850" s="295" t="str">
        <f>VLOOKUP(F850,'GL Category'!A:C,3,FALSE)</f>
        <v>Operations &amp; maintenance</v>
      </c>
      <c r="H850" s="98" t="str">
        <f>VLOOKUP(F850,'GL Category'!A:C,2,FALSE)</f>
        <v>MISCELLANEOUS MAINTENANCE</v>
      </c>
      <c r="I850" s="99">
        <f>SUMIF(Import!$B:$B,$A850,Import!D:D)</f>
        <v>176.84</v>
      </c>
      <c r="J850" s="99">
        <f>SUMIF(Import!$B:$B,$A850,Import!E:E)</f>
        <v>0</v>
      </c>
      <c r="K850" s="99">
        <f>SUMIF(Import!$B:$B,$A850,Import!F:F)</f>
        <v>37.950000000000003</v>
      </c>
      <c r="L850" s="99">
        <f>SUMIF(Import!$B:$B,$A850,Import!G:G)</f>
        <v>0</v>
      </c>
      <c r="M850" s="99">
        <f>SUMIF(Import!$B:$B,$A850,Import!H:H)</f>
        <v>0</v>
      </c>
      <c r="N850" s="99">
        <f>SUMIF(Import!$B:$B,$A850,Import!I:I)</f>
        <v>0</v>
      </c>
      <c r="O850" s="99">
        <f>SUMIF(Import!$B:$B,$A850,Import!J:J)</f>
        <v>0</v>
      </c>
      <c r="P850" s="99">
        <f t="shared" si="814"/>
        <v>0</v>
      </c>
      <c r="Q850" s="99">
        <f>SUMIF(Import!$B:$B,$A850,Import!K:K)</f>
        <v>0</v>
      </c>
      <c r="R850" s="99">
        <f>SUMIF(Import!$B:$B,$A850,Import!L:L)</f>
        <v>0</v>
      </c>
      <c r="S850" s="99">
        <f>SUMIF(Import!$B:$B,$A850,Import!M:M)</f>
        <v>0</v>
      </c>
      <c r="T850" s="99">
        <f>SUMIF(Import!$B:$B,$A850,Import!N:N)</f>
        <v>0</v>
      </c>
      <c r="U850" s="99">
        <f t="shared" si="815"/>
        <v>0</v>
      </c>
      <c r="V850" s="255" t="str">
        <f t="shared" si="816"/>
        <v>N/A</v>
      </c>
      <c r="W850" s="102" t="s">
        <v>1635</v>
      </c>
      <c r="X850" s="148"/>
      <c r="Y850" s="267"/>
      <c r="Z850" s="121"/>
      <c r="AA850" s="121"/>
      <c r="AB850" s="121"/>
      <c r="AC850" s="121"/>
      <c r="AD850" s="121"/>
      <c r="AE850" s="121"/>
      <c r="AF850" s="121"/>
      <c r="AG850" s="121"/>
      <c r="AH850" s="121"/>
      <c r="AI850" s="121"/>
      <c r="AJ850" s="121"/>
      <c r="AK850" s="121"/>
      <c r="AL850" s="121"/>
    </row>
    <row r="851" spans="1:38" s="115" customFormat="1" ht="15" customHeight="1">
      <c r="A851" s="555" t="s">
        <v>1636</v>
      </c>
      <c r="B851" s="217" t="str">
        <f t="shared" si="773"/>
        <v>125</v>
      </c>
      <c r="C851" s="217" t="str">
        <f t="shared" si="774"/>
        <v>65</v>
      </c>
      <c r="D851" s="101" t="str">
        <f t="shared" si="775"/>
        <v>652</v>
      </c>
      <c r="E851" s="217" t="str">
        <f t="shared" si="776"/>
        <v>125-65-652</v>
      </c>
      <c r="F851" s="294" t="str">
        <f t="shared" si="777"/>
        <v>52470</v>
      </c>
      <c r="G851" s="295" t="str">
        <f>VLOOKUP(F851,'GL Category'!A:C,3,FALSE)</f>
        <v>Operations &amp; maintenance</v>
      </c>
      <c r="H851" s="98" t="str">
        <f>VLOOKUP(F851,'GL Category'!A:C,2,FALSE)</f>
        <v>EQUIPMENT MAINTENANCE</v>
      </c>
      <c r="I851" s="99">
        <f>SUMIF(Import!$B:$B,$A851,Import!D:D)</f>
        <v>12809.02</v>
      </c>
      <c r="J851" s="99">
        <f>SUMIF(Import!$B:$B,$A851,Import!E:E)</f>
        <v>26902.11</v>
      </c>
      <c r="K851" s="99">
        <f>SUMIF(Import!$B:$B,$A851,Import!F:F)</f>
        <v>49411.3</v>
      </c>
      <c r="L851" s="99">
        <f>SUMIF(Import!$B:$B,$A851,Import!G:G)</f>
        <v>26745.68</v>
      </c>
      <c r="M851" s="99">
        <f>SUMIF(Import!$B:$B,$A851,Import!H:H)</f>
        <v>27700</v>
      </c>
      <c r="N851" s="99">
        <f>SUMIF(Import!$B:$B,$A851,Import!I:I)</f>
        <v>36345.1</v>
      </c>
      <c r="O851" s="99">
        <f>SUMIF(Import!$B:$B,$A851,Import!J:J)</f>
        <v>45700</v>
      </c>
      <c r="P851" s="99">
        <f t="shared" si="814"/>
        <v>18000</v>
      </c>
      <c r="Q851" s="99">
        <f>SUMIF(Import!$B:$B,$A851,Import!K:K)</f>
        <v>27700</v>
      </c>
      <c r="R851" s="99">
        <f>SUMIF(Import!$B:$B,$A851,Import!L:L)</f>
        <v>0</v>
      </c>
      <c r="S851" s="99">
        <f>SUMIF(Import!$B:$B,$A851,Import!M:M)</f>
        <v>0</v>
      </c>
      <c r="T851" s="99">
        <f>SUMIF(Import!$B:$B,$A851,Import!N:N)</f>
        <v>27700</v>
      </c>
      <c r="U851" s="99">
        <f t="shared" si="815"/>
        <v>0</v>
      </c>
      <c r="V851" s="255">
        <f t="shared" si="816"/>
        <v>0</v>
      </c>
      <c r="W851" s="102" t="s">
        <v>1636</v>
      </c>
      <c r="X851" s="148"/>
      <c r="Y851" s="267"/>
      <c r="Z851" s="121"/>
      <c r="AA851" s="121"/>
      <c r="AB851" s="121"/>
      <c r="AC851" s="121"/>
      <c r="AD851" s="121"/>
      <c r="AE851" s="121"/>
      <c r="AF851" s="121"/>
      <c r="AG851" s="121"/>
      <c r="AH851" s="121"/>
      <c r="AI851" s="121"/>
      <c r="AJ851" s="121"/>
      <c r="AK851" s="121"/>
      <c r="AL851" s="121"/>
    </row>
    <row r="852" spans="1:38" s="115" customFormat="1" ht="27" customHeight="1">
      <c r="A852" s="555"/>
      <c r="B852" s="217"/>
      <c r="C852" s="217"/>
      <c r="D852" s="101"/>
      <c r="E852" s="217"/>
      <c r="F852" s="294"/>
      <c r="G852" s="146"/>
      <c r="H852" s="107" t="str">
        <f>UPPER(G851)&amp;" TOTAL"</f>
        <v>OPERATIONS &amp; MAINTENANCE TOTAL</v>
      </c>
      <c r="I852" s="109">
        <f t="shared" ref="I852" si="817">SUBTOTAL(9,I842:I851)</f>
        <v>43901.34</v>
      </c>
      <c r="J852" s="109">
        <f t="shared" ref="J852:T852" si="818">SUBTOTAL(9,J842:J851)</f>
        <v>56343.270000000004</v>
      </c>
      <c r="K852" s="109">
        <f t="shared" ref="K852" si="819">SUBTOTAL(9,K842:K851)</f>
        <v>81907.14</v>
      </c>
      <c r="L852" s="109">
        <f t="shared" ref="L852" si="820">SUBTOTAL(9,L842:L851)</f>
        <v>76098.2</v>
      </c>
      <c r="M852" s="109">
        <f t="shared" si="818"/>
        <v>71740</v>
      </c>
      <c r="N852" s="109">
        <f t="shared" si="818"/>
        <v>71816.13</v>
      </c>
      <c r="O852" s="109">
        <f t="shared" si="818"/>
        <v>104100</v>
      </c>
      <c r="P852" s="109">
        <f t="shared" si="818"/>
        <v>32360</v>
      </c>
      <c r="Q852" s="109">
        <f t="shared" si="818"/>
        <v>84400</v>
      </c>
      <c r="R852" s="109">
        <f t="shared" si="818"/>
        <v>0</v>
      </c>
      <c r="S852" s="109">
        <f t="shared" si="818"/>
        <v>0</v>
      </c>
      <c r="T852" s="109">
        <f t="shared" si="818"/>
        <v>84400</v>
      </c>
      <c r="U852" s="99">
        <f>T852-M852</f>
        <v>12660</v>
      </c>
      <c r="V852" s="259">
        <f>IF(M852=0,"N/A",T852/M852-1)</f>
        <v>0.17647058823529416</v>
      </c>
      <c r="W852" s="104"/>
      <c r="X852" s="148"/>
      <c r="Y852" s="267"/>
      <c r="Z852" s="121"/>
      <c r="AA852" s="121"/>
      <c r="AB852" s="121"/>
      <c r="AC852" s="121"/>
      <c r="AD852" s="121"/>
      <c r="AE852" s="121"/>
      <c r="AF852" s="121"/>
      <c r="AG852" s="121"/>
      <c r="AH852" s="121"/>
      <c r="AI852" s="121"/>
      <c r="AJ852" s="121"/>
      <c r="AK852" s="121"/>
      <c r="AL852" s="121"/>
    </row>
    <row r="853" spans="1:38" s="115" customFormat="1" ht="15" customHeight="1">
      <c r="A853" s="555"/>
      <c r="B853" s="217"/>
      <c r="C853" s="217"/>
      <c r="D853" s="101"/>
      <c r="E853" s="217"/>
      <c r="F853" s="294"/>
      <c r="G853" s="146"/>
      <c r="H853" s="98"/>
      <c r="I853" s="106"/>
      <c r="J853" s="106"/>
      <c r="K853" s="106"/>
      <c r="L853" s="106"/>
      <c r="M853" s="106"/>
      <c r="N853" s="112"/>
      <c r="O853" s="112"/>
      <c r="P853" s="112"/>
      <c r="Q853" s="113"/>
      <c r="R853" s="113"/>
      <c r="S853" s="113"/>
      <c r="T853" s="113"/>
      <c r="U853" s="113"/>
      <c r="V853" s="113"/>
      <c r="W853" s="104"/>
      <c r="X853" s="148"/>
      <c r="Y853" s="267"/>
      <c r="Z853" s="121"/>
      <c r="AA853" s="121"/>
      <c r="AB853" s="121"/>
      <c r="AC853" s="121"/>
      <c r="AD853" s="121"/>
      <c r="AE853" s="121"/>
      <c r="AF853" s="121"/>
      <c r="AG853" s="121"/>
      <c r="AH853" s="121"/>
      <c r="AI853" s="121"/>
      <c r="AJ853" s="121"/>
      <c r="AK853" s="121"/>
      <c r="AL853" s="121"/>
    </row>
    <row r="854" spans="1:38" s="115" customFormat="1" ht="15" customHeight="1">
      <c r="A854" s="555" t="s">
        <v>1637</v>
      </c>
      <c r="B854" s="217" t="str">
        <f t="shared" si="773"/>
        <v>125</v>
      </c>
      <c r="C854" s="217" t="str">
        <f t="shared" si="774"/>
        <v>65</v>
      </c>
      <c r="D854" s="101" t="str">
        <f t="shared" si="775"/>
        <v>652</v>
      </c>
      <c r="E854" s="217" t="str">
        <f t="shared" si="776"/>
        <v>125-65-652</v>
      </c>
      <c r="F854" s="294" t="str">
        <f t="shared" si="777"/>
        <v>53599</v>
      </c>
      <c r="G854" s="295" t="str">
        <f>VLOOKUP(F854,'GL Category'!A:C,3,FALSE)</f>
        <v>Services &amp; other</v>
      </c>
      <c r="H854" s="98" t="str">
        <f>VLOOKUP(F854,'GL Category'!A:C,2,FALSE)</f>
        <v>MISCELLANEOUS SERVICES</v>
      </c>
      <c r="I854" s="99">
        <f>SUMIF(Import!$B:$B,$A854,Import!D:D)</f>
        <v>0</v>
      </c>
      <c r="J854" s="99">
        <f>SUMIF(Import!$B:$B,$A854,Import!E:E)</f>
        <v>0</v>
      </c>
      <c r="K854" s="99">
        <f>SUMIF(Import!$B:$B,$A854,Import!F:F)</f>
        <v>0</v>
      </c>
      <c r="L854" s="99">
        <f>SUMIF(Import!$B:$B,$A854,Import!G:G)</f>
        <v>0</v>
      </c>
      <c r="M854" s="99">
        <f>SUMIF(Import!$B:$B,$A854,Import!H:H)</f>
        <v>0</v>
      </c>
      <c r="N854" s="99">
        <f>SUMIF(Import!$B:$B,$A854,Import!I:I)</f>
        <v>0</v>
      </c>
      <c r="O854" s="99">
        <f>SUMIF(Import!$B:$B,$A854,Import!J:J)</f>
        <v>0</v>
      </c>
      <c r="P854" s="99">
        <f t="shared" ref="P854:P859" si="821">O854-M854</f>
        <v>0</v>
      </c>
      <c r="Q854" s="99">
        <f>SUMIF(Import!$B:$B,$A854,Import!K:K)</f>
        <v>0</v>
      </c>
      <c r="R854" s="99">
        <f>SUMIF(Import!$B:$B,$A854,Import!L:L)</f>
        <v>0</v>
      </c>
      <c r="S854" s="99">
        <f>SUMIF(Import!$B:$B,$A854,Import!M:M)</f>
        <v>0</v>
      </c>
      <c r="T854" s="99">
        <f>SUMIF(Import!$B:$B,$A854,Import!N:N)</f>
        <v>0</v>
      </c>
      <c r="U854" s="99">
        <f t="shared" ref="U854:U859" si="822">T854-M854</f>
        <v>0</v>
      </c>
      <c r="V854" s="255" t="str">
        <f t="shared" ref="V854:V859" si="823">IF(M854=0,"N/A",T854/M854-1)</f>
        <v>N/A</v>
      </c>
      <c r="W854" s="102" t="s">
        <v>1637</v>
      </c>
      <c r="X854" s="148"/>
      <c r="Y854" s="267"/>
      <c r="Z854" s="121"/>
      <c r="AA854" s="121"/>
      <c r="AB854" s="121"/>
      <c r="AC854" s="121"/>
      <c r="AD854" s="121"/>
      <c r="AE854" s="121"/>
      <c r="AF854" s="121"/>
      <c r="AG854" s="121"/>
      <c r="AH854" s="121"/>
      <c r="AI854" s="121"/>
      <c r="AJ854" s="121"/>
      <c r="AK854" s="121"/>
      <c r="AL854" s="121"/>
    </row>
    <row r="855" spans="1:38" s="115" customFormat="1" ht="15" customHeight="1">
      <c r="A855" s="555" t="s">
        <v>1638</v>
      </c>
      <c r="B855" s="217" t="str">
        <f t="shared" si="773"/>
        <v>125</v>
      </c>
      <c r="C855" s="217" t="str">
        <f t="shared" si="774"/>
        <v>65</v>
      </c>
      <c r="D855" s="101" t="str">
        <f t="shared" si="775"/>
        <v>652</v>
      </c>
      <c r="E855" s="217" t="str">
        <f t="shared" si="776"/>
        <v>125-65-652</v>
      </c>
      <c r="F855" s="294" t="str">
        <f t="shared" si="777"/>
        <v>53510</v>
      </c>
      <c r="G855" s="295" t="str">
        <f>VLOOKUP(F855,'GL Category'!A:C,3,FALSE)</f>
        <v>Services &amp; other</v>
      </c>
      <c r="H855" s="98" t="str">
        <f>VLOOKUP(F855,'GL Category'!A:C,2,FALSE)</f>
        <v>DUES &amp; SUBSCRIPTIONS</v>
      </c>
      <c r="I855" s="99">
        <f>SUMIF(Import!$B:$B,$A855,Import!D:D)</f>
        <v>484</v>
      </c>
      <c r="J855" s="99">
        <f>SUMIF(Import!$B:$B,$A855,Import!E:E)</f>
        <v>439</v>
      </c>
      <c r="K855" s="99">
        <f>SUMIF(Import!$B:$B,$A855,Import!F:F)</f>
        <v>459</v>
      </c>
      <c r="L855" s="99">
        <f>SUMIF(Import!$B:$B,$A855,Import!G:G)</f>
        <v>588.95000000000005</v>
      </c>
      <c r="M855" s="99">
        <f>SUMIF(Import!$B:$B,$A855,Import!H:H)</f>
        <v>800</v>
      </c>
      <c r="N855" s="99">
        <f>SUMIF(Import!$B:$B,$A855,Import!I:I)</f>
        <v>699</v>
      </c>
      <c r="O855" s="99">
        <f>SUMIF(Import!$B:$B,$A855,Import!J:J)</f>
        <v>800</v>
      </c>
      <c r="P855" s="99">
        <f t="shared" si="821"/>
        <v>0</v>
      </c>
      <c r="Q855" s="99">
        <f>SUMIF(Import!$B:$B,$A855,Import!K:K)</f>
        <v>800</v>
      </c>
      <c r="R855" s="99">
        <f>SUMIF(Import!$B:$B,$A855,Import!L:L)</f>
        <v>0</v>
      </c>
      <c r="S855" s="99">
        <f>SUMIF(Import!$B:$B,$A855,Import!M:M)</f>
        <v>0</v>
      </c>
      <c r="T855" s="99">
        <f>SUMIF(Import!$B:$B,$A855,Import!N:N)</f>
        <v>800</v>
      </c>
      <c r="U855" s="99">
        <f t="shared" si="822"/>
        <v>0</v>
      </c>
      <c r="V855" s="255">
        <f t="shared" si="823"/>
        <v>0</v>
      </c>
      <c r="W855" s="102" t="s">
        <v>1638</v>
      </c>
      <c r="X855" s="148"/>
      <c r="Y855" s="267"/>
      <c r="Z855" s="121"/>
      <c r="AA855" s="121"/>
      <c r="AB855" s="121"/>
      <c r="AC855" s="121"/>
      <c r="AD855" s="121"/>
      <c r="AE855" s="121"/>
      <c r="AF855" s="121"/>
      <c r="AG855" s="121"/>
      <c r="AH855" s="121"/>
      <c r="AI855" s="121"/>
      <c r="AJ855" s="121"/>
      <c r="AK855" s="121"/>
      <c r="AL855" s="121"/>
    </row>
    <row r="856" spans="1:38" s="115" customFormat="1" ht="15" customHeight="1">
      <c r="A856" s="555" t="s">
        <v>1639</v>
      </c>
      <c r="B856" s="217" t="str">
        <f t="shared" si="773"/>
        <v>125</v>
      </c>
      <c r="C856" s="217" t="str">
        <f t="shared" si="774"/>
        <v>65</v>
      </c>
      <c r="D856" s="101" t="str">
        <f t="shared" si="775"/>
        <v>652</v>
      </c>
      <c r="E856" s="217" t="str">
        <f t="shared" si="776"/>
        <v>125-65-652</v>
      </c>
      <c r="F856" s="294" t="str">
        <f t="shared" si="777"/>
        <v>53515</v>
      </c>
      <c r="G856" s="295" t="str">
        <f>VLOOKUP(F856,'GL Category'!A:C,3,FALSE)</f>
        <v>Services &amp; other</v>
      </c>
      <c r="H856" s="98" t="str">
        <f>VLOOKUP(F856,'GL Category'!A:C,2,FALSE)</f>
        <v>TRAVEL, TRAINING &amp; EDUCATION</v>
      </c>
      <c r="I856" s="99">
        <f>SUMIF(Import!$B:$B,$A856,Import!D:D)</f>
        <v>7413.63</v>
      </c>
      <c r="J856" s="99">
        <f>SUMIF(Import!$B:$B,$A856,Import!E:E)</f>
        <v>6837.04</v>
      </c>
      <c r="K856" s="99">
        <f>SUMIF(Import!$B:$B,$A856,Import!F:F)</f>
        <v>4654</v>
      </c>
      <c r="L856" s="99">
        <f>SUMIF(Import!$B:$B,$A856,Import!G:G)</f>
        <v>7104</v>
      </c>
      <c r="M856" s="99">
        <f>SUMIF(Import!$B:$B,$A856,Import!H:H)</f>
        <v>7750</v>
      </c>
      <c r="N856" s="99">
        <f>SUMIF(Import!$B:$B,$A856,Import!I:I)</f>
        <v>4638.09</v>
      </c>
      <c r="O856" s="99">
        <f>SUMIF(Import!$B:$B,$A856,Import!J:J)</f>
        <v>7750</v>
      </c>
      <c r="P856" s="99">
        <f t="shared" si="821"/>
        <v>0</v>
      </c>
      <c r="Q856" s="99">
        <f>SUMIF(Import!$B:$B,$A856,Import!K:K)</f>
        <v>7750</v>
      </c>
      <c r="R856" s="99">
        <f>SUMIF(Import!$B:$B,$A856,Import!L:L)</f>
        <v>0</v>
      </c>
      <c r="S856" s="99">
        <f>SUMIF(Import!$B:$B,$A856,Import!M:M)</f>
        <v>0</v>
      </c>
      <c r="T856" s="99">
        <f>SUMIF(Import!$B:$B,$A856,Import!N:N)</f>
        <v>7750</v>
      </c>
      <c r="U856" s="99">
        <f t="shared" si="822"/>
        <v>0</v>
      </c>
      <c r="V856" s="255">
        <f t="shared" si="823"/>
        <v>0</v>
      </c>
      <c r="W856" s="102" t="s">
        <v>1639</v>
      </c>
      <c r="X856" s="148"/>
      <c r="Y856" s="267"/>
      <c r="Z856" s="121"/>
      <c r="AA856" s="121"/>
      <c r="AB856" s="121"/>
      <c r="AC856" s="121"/>
      <c r="AD856" s="121"/>
      <c r="AE856" s="121"/>
      <c r="AF856" s="121"/>
      <c r="AG856" s="121"/>
      <c r="AH856" s="121"/>
      <c r="AI856" s="121"/>
      <c r="AJ856" s="121"/>
      <c r="AK856" s="121"/>
      <c r="AL856" s="121"/>
    </row>
    <row r="857" spans="1:38" s="115" customFormat="1" ht="15" customHeight="1">
      <c r="A857" s="555" t="s">
        <v>1640</v>
      </c>
      <c r="B857" s="217" t="str">
        <f t="shared" si="773"/>
        <v>125</v>
      </c>
      <c r="C857" s="217" t="str">
        <f t="shared" si="774"/>
        <v>65</v>
      </c>
      <c r="D857" s="101" t="str">
        <f t="shared" si="775"/>
        <v>652</v>
      </c>
      <c r="E857" s="217" t="str">
        <f t="shared" si="776"/>
        <v>125-65-652</v>
      </c>
      <c r="F857" s="294" t="str">
        <f t="shared" si="777"/>
        <v>53535</v>
      </c>
      <c r="G857" s="295" t="str">
        <f>VLOOKUP(F857,'GL Category'!A:C,3,FALSE)</f>
        <v>Services &amp; other</v>
      </c>
      <c r="H857" s="98" t="str">
        <f>VLOOKUP(F857,'GL Category'!A:C,2,FALSE)</f>
        <v>RECREATION &amp; CULTURE PROGRAMS</v>
      </c>
      <c r="I857" s="99">
        <f>SUMIF(Import!$B:$B,$A857,Import!D:D)</f>
        <v>5462.85</v>
      </c>
      <c r="J857" s="99">
        <f>SUMIF(Import!$B:$B,$A857,Import!E:E)</f>
        <v>95071.78</v>
      </c>
      <c r="K857" s="99">
        <f>SUMIF(Import!$B:$B,$A857,Import!F:F)</f>
        <v>165105.82</v>
      </c>
      <c r="L857" s="99">
        <f>SUMIF(Import!$B:$B,$A857,Import!G:G)</f>
        <v>80975.259999999995</v>
      </c>
      <c r="M857" s="99">
        <f>SUMIF(Import!$B:$B,$A857,Import!H:H)</f>
        <v>61000</v>
      </c>
      <c r="N857" s="99">
        <f>SUMIF(Import!$B:$B,$A857,Import!I:I)</f>
        <v>67728.86</v>
      </c>
      <c r="O857" s="99">
        <f>SUMIF(Import!$B:$B,$A857,Import!J:J)</f>
        <v>76000</v>
      </c>
      <c r="P857" s="99">
        <f t="shared" si="821"/>
        <v>15000</v>
      </c>
      <c r="Q857" s="99">
        <f>SUMIF(Import!$B:$B,$A857,Import!K:K)</f>
        <v>61000</v>
      </c>
      <c r="R857" s="99">
        <f>SUMIF(Import!$B:$B,$A857,Import!L:L)</f>
        <v>18000</v>
      </c>
      <c r="S857" s="99">
        <f>SUMIF(Import!$B:$B,$A857,Import!M:M)</f>
        <v>0</v>
      </c>
      <c r="T857" s="99">
        <f>SUMIF(Import!$B:$B,$A857,Import!N:N)</f>
        <v>79000</v>
      </c>
      <c r="U857" s="99">
        <f t="shared" si="822"/>
        <v>18000</v>
      </c>
      <c r="V857" s="255">
        <f t="shared" si="823"/>
        <v>0.29508196721311486</v>
      </c>
      <c r="W857" s="102" t="s">
        <v>1640</v>
      </c>
      <c r="X857" s="148"/>
      <c r="Y857" s="267"/>
      <c r="Z857" s="121"/>
      <c r="AA857" s="121"/>
      <c r="AB857" s="121"/>
      <c r="AC857" s="121"/>
      <c r="AD857" s="121"/>
      <c r="AE857" s="121"/>
      <c r="AF857" s="121"/>
      <c r="AG857" s="121"/>
      <c r="AH857" s="121"/>
      <c r="AI857" s="121"/>
      <c r="AJ857" s="121"/>
      <c r="AK857" s="121"/>
      <c r="AL857" s="121"/>
    </row>
    <row r="858" spans="1:38" s="115" customFormat="1" ht="15" customHeight="1">
      <c r="A858" s="555" t="s">
        <v>1641</v>
      </c>
      <c r="B858" s="217" t="str">
        <f t="shared" si="773"/>
        <v>125</v>
      </c>
      <c r="C858" s="217" t="str">
        <f t="shared" si="774"/>
        <v>65</v>
      </c>
      <c r="D858" s="101" t="str">
        <f t="shared" si="775"/>
        <v>652</v>
      </c>
      <c r="E858" s="217" t="str">
        <f t="shared" si="776"/>
        <v>125-65-652</v>
      </c>
      <c r="F858" s="294" t="str">
        <f t="shared" si="777"/>
        <v>52310</v>
      </c>
      <c r="G858" s="295" t="str">
        <f>VLOOKUP(F858,'GL Category'!A:C,3,FALSE)</f>
        <v>Operations &amp; maintenance</v>
      </c>
      <c r="H858" s="98" t="str">
        <f>VLOOKUP(F858,'GL Category'!A:C,2,FALSE)</f>
        <v>BUILDING MAINTENANCE</v>
      </c>
      <c r="I858" s="99">
        <f>SUMIF(Import!$B:$B,$A858,Import!D:D)</f>
        <v>659.14</v>
      </c>
      <c r="J858" s="99">
        <f>SUMIF(Import!$B:$B,$A858,Import!E:E)</f>
        <v>185.45</v>
      </c>
      <c r="K858" s="99">
        <f>SUMIF(Import!$B:$B,$A858,Import!F:F)</f>
        <v>42.95</v>
      </c>
      <c r="L858" s="99">
        <f>SUMIF(Import!$B:$B,$A858,Import!G:G)</f>
        <v>1352.86</v>
      </c>
      <c r="M858" s="99">
        <f>SUMIF(Import!$B:$B,$A858,Import!H:H)</f>
        <v>120</v>
      </c>
      <c r="N858" s="99">
        <f>SUMIF(Import!$B:$B,$A858,Import!I:I)</f>
        <v>42.95</v>
      </c>
      <c r="O858" s="99">
        <f>SUMIF(Import!$B:$B,$A858,Import!J:J)</f>
        <v>120</v>
      </c>
      <c r="P858" s="99">
        <f t="shared" si="821"/>
        <v>0</v>
      </c>
      <c r="Q858" s="99">
        <f>SUMIF(Import!$B:$B,$A858,Import!K:K)</f>
        <v>120</v>
      </c>
      <c r="R858" s="99">
        <f>SUMIF(Import!$B:$B,$A858,Import!L:L)</f>
        <v>0</v>
      </c>
      <c r="S858" s="99">
        <f>SUMIF(Import!$B:$B,$A858,Import!M:M)</f>
        <v>0</v>
      </c>
      <c r="T858" s="99">
        <f>SUMIF(Import!$B:$B,$A858,Import!N:N)</f>
        <v>120</v>
      </c>
      <c r="U858" s="99">
        <f t="shared" si="822"/>
        <v>0</v>
      </c>
      <c r="V858" s="255">
        <f t="shared" si="823"/>
        <v>0</v>
      </c>
      <c r="W858" s="102" t="s">
        <v>1641</v>
      </c>
      <c r="X858" s="148"/>
      <c r="Y858" s="267"/>
      <c r="Z858" s="121"/>
      <c r="AA858" s="121"/>
      <c r="AB858" s="121"/>
      <c r="AC858" s="121"/>
      <c r="AD858" s="121"/>
      <c r="AE858" s="121"/>
      <c r="AF858" s="121"/>
      <c r="AG858" s="121"/>
      <c r="AH858" s="121"/>
      <c r="AI858" s="121"/>
      <c r="AJ858" s="121"/>
      <c r="AK858" s="121"/>
      <c r="AL858" s="121"/>
    </row>
    <row r="859" spans="1:38" s="115" customFormat="1" ht="15" customHeight="1">
      <c r="A859" s="555" t="s">
        <v>1642</v>
      </c>
      <c r="B859" s="217" t="str">
        <f t="shared" si="773"/>
        <v>125</v>
      </c>
      <c r="C859" s="217" t="str">
        <f t="shared" si="774"/>
        <v>65</v>
      </c>
      <c r="D859" s="101" t="str">
        <f t="shared" si="775"/>
        <v>652</v>
      </c>
      <c r="E859" s="217" t="str">
        <f t="shared" si="776"/>
        <v>125-65-652</v>
      </c>
      <c r="F859" s="294" t="str">
        <f t="shared" si="777"/>
        <v>55119</v>
      </c>
      <c r="G859" s="295" t="str">
        <f>VLOOKUP(F859,'GL Category'!A:C,3,FALSE)</f>
        <v>Services &amp; other</v>
      </c>
      <c r="H859" s="98" t="str">
        <f>VLOOKUP(F859,'GL Category'!A:C,2,FALSE)</f>
        <v>OFFICE EQUIP LEASE EXP-CITY</v>
      </c>
      <c r="I859" s="99">
        <f>SUMIF(Import!$B:$B,$A859,Import!D:D)</f>
        <v>3651</v>
      </c>
      <c r="J859" s="99">
        <f>SUMIF(Import!$B:$B,$A859,Import!E:E)</f>
        <v>8760</v>
      </c>
      <c r="K859" s="99">
        <f>SUMIF(Import!$B:$B,$A859,Import!F:F)</f>
        <v>1410</v>
      </c>
      <c r="L859" s="99">
        <f>SUMIF(Import!$B:$B,$A859,Import!G:G)</f>
        <v>3674</v>
      </c>
      <c r="M859" s="99">
        <f>SUMIF(Import!$B:$B,$A859,Import!H:H)</f>
        <v>3560</v>
      </c>
      <c r="N859" s="99">
        <f>SUMIF(Import!$B:$B,$A859,Import!I:I)</f>
        <v>2670</v>
      </c>
      <c r="O859" s="99">
        <f>SUMIF(Import!$B:$B,$A859,Import!J:J)</f>
        <v>3560</v>
      </c>
      <c r="P859" s="99">
        <f t="shared" si="821"/>
        <v>0</v>
      </c>
      <c r="Q859" s="99">
        <f>SUMIF(Import!$B:$B,$A859,Import!K:K)</f>
        <v>4701</v>
      </c>
      <c r="R859" s="99">
        <f>SUMIF(Import!$B:$B,$A859,Import!L:L)</f>
        <v>0</v>
      </c>
      <c r="S859" s="99">
        <f>SUMIF(Import!$B:$B,$A859,Import!M:M)</f>
        <v>0</v>
      </c>
      <c r="T859" s="99">
        <f>SUMIF(Import!$B:$B,$A859,Import!N:N)</f>
        <v>4701</v>
      </c>
      <c r="U859" s="99">
        <f t="shared" si="822"/>
        <v>1141</v>
      </c>
      <c r="V859" s="255">
        <f t="shared" si="823"/>
        <v>0.32050561797752808</v>
      </c>
      <c r="W859" s="102" t="s">
        <v>1642</v>
      </c>
      <c r="X859" s="148"/>
      <c r="Y859" s="267"/>
      <c r="Z859" s="121"/>
      <c r="AA859" s="121"/>
      <c r="AB859" s="121"/>
      <c r="AC859" s="121"/>
      <c r="AD859" s="121"/>
      <c r="AE859" s="121"/>
      <c r="AF859" s="121"/>
      <c r="AG859" s="121"/>
      <c r="AH859" s="121"/>
      <c r="AI859" s="121"/>
      <c r="AJ859" s="121"/>
      <c r="AK859" s="121"/>
      <c r="AL859" s="121"/>
    </row>
    <row r="860" spans="1:38" s="115" customFormat="1" ht="15" customHeight="1">
      <c r="A860" s="555"/>
      <c r="B860" s="217"/>
      <c r="C860" s="217"/>
      <c r="D860" s="101"/>
      <c r="E860" s="217"/>
      <c r="F860" s="294"/>
      <c r="G860" s="146"/>
      <c r="H860" s="107" t="str">
        <f>UPPER(G859)&amp;" TOTAL"</f>
        <v>SERVICES &amp; OTHER TOTAL</v>
      </c>
      <c r="I860" s="109">
        <f t="shared" ref="I860" si="824">SUBTOTAL(9,I854:I859)</f>
        <v>17670.62</v>
      </c>
      <c r="J860" s="109">
        <f t="shared" ref="J860:T860" si="825">SUBTOTAL(9,J854:J859)</f>
        <v>111293.26999999999</v>
      </c>
      <c r="K860" s="109">
        <f t="shared" ref="K860" si="826">SUBTOTAL(9,K854:K859)</f>
        <v>171671.77000000002</v>
      </c>
      <c r="L860" s="109">
        <f t="shared" ref="L860" si="827">SUBTOTAL(9,L854:L859)</f>
        <v>93695.069999999992</v>
      </c>
      <c r="M860" s="109">
        <f t="shared" si="825"/>
        <v>73230</v>
      </c>
      <c r="N860" s="109">
        <f t="shared" ref="N860" si="828">SUBTOTAL(9,N854:N859)</f>
        <v>75778.899999999994</v>
      </c>
      <c r="O860" s="109">
        <f t="shared" si="825"/>
        <v>88230</v>
      </c>
      <c r="P860" s="109">
        <f t="shared" si="825"/>
        <v>15000</v>
      </c>
      <c r="Q860" s="109">
        <f t="shared" si="825"/>
        <v>74371</v>
      </c>
      <c r="R860" s="109">
        <f t="shared" si="825"/>
        <v>18000</v>
      </c>
      <c r="S860" s="109">
        <f t="shared" si="825"/>
        <v>0</v>
      </c>
      <c r="T860" s="109">
        <f t="shared" si="825"/>
        <v>92371</v>
      </c>
      <c r="U860" s="99">
        <f>T860-M860</f>
        <v>19141</v>
      </c>
      <c r="V860" s="259">
        <f>IF(M860=0,"N/A",T860/M860-1)</f>
        <v>0.26138194728936237</v>
      </c>
      <c r="W860" s="104"/>
      <c r="X860" s="148"/>
      <c r="Y860" s="267"/>
      <c r="Z860" s="121"/>
      <c r="AA860" s="121"/>
      <c r="AB860" s="121"/>
      <c r="AC860" s="121"/>
      <c r="AD860" s="121"/>
      <c r="AE860" s="121"/>
      <c r="AF860" s="121"/>
      <c r="AG860" s="121"/>
      <c r="AH860" s="121"/>
      <c r="AI860" s="121"/>
      <c r="AJ860" s="121"/>
      <c r="AK860" s="121"/>
      <c r="AL860" s="121"/>
    </row>
    <row r="861" spans="1:38" s="115" customFormat="1" ht="15" customHeight="1">
      <c r="A861" s="555"/>
      <c r="B861" s="217"/>
      <c r="C861" s="217"/>
      <c r="D861" s="101"/>
      <c r="E861" s="217"/>
      <c r="F861" s="294"/>
      <c r="G861" s="146"/>
      <c r="H861" s="98"/>
      <c r="I861" s="106"/>
      <c r="J861" s="106"/>
      <c r="K861" s="106"/>
      <c r="L861" s="106"/>
      <c r="M861" s="106"/>
      <c r="N861" s="112"/>
      <c r="O861" s="112"/>
      <c r="P861" s="112"/>
      <c r="Q861" s="113"/>
      <c r="R861" s="113"/>
      <c r="S861" s="113"/>
      <c r="T861" s="113"/>
      <c r="U861" s="113"/>
      <c r="V861" s="113"/>
      <c r="W861" s="104"/>
      <c r="X861" s="148"/>
      <c r="Y861" s="267"/>
      <c r="Z861" s="121"/>
      <c r="AA861" s="121"/>
      <c r="AB861" s="121"/>
      <c r="AC861" s="121"/>
      <c r="AD861" s="121"/>
      <c r="AE861" s="121"/>
      <c r="AF861" s="121"/>
      <c r="AG861" s="121"/>
      <c r="AH861" s="121"/>
      <c r="AI861" s="121"/>
      <c r="AJ861" s="121"/>
      <c r="AK861" s="121"/>
      <c r="AL861" s="121"/>
    </row>
    <row r="862" spans="1:38" s="115" customFormat="1" ht="15" customHeight="1">
      <c r="A862" s="555" t="s">
        <v>1643</v>
      </c>
      <c r="B862" s="217" t="str">
        <f t="shared" ref="B862:B922" si="829">LEFT(A862,3)</f>
        <v>125</v>
      </c>
      <c r="C862" s="217" t="str">
        <f t="shared" ref="C862:C922" si="830">MID(A862,5,2)</f>
        <v>65</v>
      </c>
      <c r="D862" s="101" t="str">
        <f t="shared" ref="D862:D922" si="831">MID(A862,8,3)</f>
        <v>652</v>
      </c>
      <c r="E862" s="217" t="str">
        <f t="shared" ref="E862:E922" si="832">LEFT(A862,10)</f>
        <v>125-65-652</v>
      </c>
      <c r="F862" s="294" t="str">
        <f t="shared" ref="F862:F922" si="833">RIGHT(A862,5)</f>
        <v>58828</v>
      </c>
      <c r="G862" s="295" t="str">
        <f>VLOOKUP(F862,'GL Category'!A:C,3,FALSE)</f>
        <v>Capital Outlay</v>
      </c>
      <c r="H862" s="98" t="str">
        <f>VLOOKUP(F862,'GL Category'!A:C,2,FALSE)</f>
        <v>BUILDINGS &amp; IMPROVEMENTS</v>
      </c>
      <c r="I862" s="99">
        <f>SUMIF(Import!$B:$B,$A862,Import!D:D)</f>
        <v>0</v>
      </c>
      <c r="J862" s="99">
        <f>SUMIF(Import!$B:$B,$A862,Import!E:E)</f>
        <v>0</v>
      </c>
      <c r="K862" s="99">
        <f>SUMIF(Import!$B:$B,$A862,Import!F:F)</f>
        <v>0</v>
      </c>
      <c r="L862" s="99">
        <f>SUMIF(Import!$B:$B,$A862,Import!G:G)</f>
        <v>0</v>
      </c>
      <c r="M862" s="99">
        <f>SUMIF(Import!$B:$B,$A862,Import!H:H)</f>
        <v>0</v>
      </c>
      <c r="N862" s="99">
        <f>SUMIF(Import!$B:$B,$A862,Import!I:I)</f>
        <v>0</v>
      </c>
      <c r="O862" s="99">
        <f>SUMIF(Import!$B:$B,$A862,Import!J:J)</f>
        <v>0</v>
      </c>
      <c r="P862" s="99">
        <f t="shared" ref="P862:P863" si="834">O862-M862</f>
        <v>0</v>
      </c>
      <c r="Q862" s="99">
        <f>SUMIF(Import!$B:$B,$A862,Import!K:K)</f>
        <v>0</v>
      </c>
      <c r="R862" s="99">
        <f>SUMIF(Import!$B:$B,$A862,Import!L:L)</f>
        <v>0</v>
      </c>
      <c r="S862" s="99">
        <f>SUMIF(Import!$B:$B,$A862,Import!M:M)</f>
        <v>0</v>
      </c>
      <c r="T862" s="99">
        <f>SUMIF(Import!$B:$B,$A862,Import!N:N)</f>
        <v>0</v>
      </c>
      <c r="U862" s="99">
        <f t="shared" ref="U862:U863" si="835">T862-M862</f>
        <v>0</v>
      </c>
      <c r="V862" s="255" t="str">
        <f t="shared" ref="V862:V863" si="836">IF(M862=0,"N/A",T862/M862-1)</f>
        <v>N/A</v>
      </c>
      <c r="W862" s="102" t="s">
        <v>1643</v>
      </c>
      <c r="X862" s="148"/>
      <c r="Y862" s="267"/>
      <c r="Z862" s="121"/>
      <c r="AA862" s="121"/>
      <c r="AB862" s="121"/>
      <c r="AC862" s="121"/>
      <c r="AD862" s="121"/>
      <c r="AE862" s="121"/>
      <c r="AF862" s="121"/>
      <c r="AG862" s="121"/>
      <c r="AH862" s="121"/>
      <c r="AI862" s="121"/>
      <c r="AJ862" s="121"/>
      <c r="AK862" s="121"/>
      <c r="AL862" s="121"/>
    </row>
    <row r="863" spans="1:38" s="115" customFormat="1" ht="15" customHeight="1">
      <c r="A863" s="555" t="s">
        <v>1644</v>
      </c>
      <c r="B863" s="217" t="str">
        <f t="shared" si="829"/>
        <v>125</v>
      </c>
      <c r="C863" s="217" t="str">
        <f t="shared" si="830"/>
        <v>65</v>
      </c>
      <c r="D863" s="101" t="str">
        <f t="shared" si="831"/>
        <v>652</v>
      </c>
      <c r="E863" s="217" t="str">
        <f t="shared" si="832"/>
        <v>125-65-652</v>
      </c>
      <c r="F863" s="294" t="str">
        <f t="shared" si="833"/>
        <v>58853</v>
      </c>
      <c r="G863" s="295" t="str">
        <f>VLOOKUP(F863,'GL Category'!A:C,3,FALSE)</f>
        <v>Capital Outlay</v>
      </c>
      <c r="H863" s="98" t="str">
        <f>VLOOKUP(F863,'GL Category'!A:C,2,FALSE)</f>
        <v>IMPROVEMENTS OTHER THAN BLDGS</v>
      </c>
      <c r="I863" s="99">
        <f>SUMIF(Import!$B:$B,$A863,Import!D:D)</f>
        <v>0</v>
      </c>
      <c r="J863" s="99">
        <f>SUMIF(Import!$B:$B,$A863,Import!E:E)</f>
        <v>0</v>
      </c>
      <c r="K863" s="99">
        <f>SUMIF(Import!$B:$B,$A863,Import!F:F)</f>
        <v>0</v>
      </c>
      <c r="L863" s="99">
        <f>SUMIF(Import!$B:$B,$A863,Import!G:G)</f>
        <v>0</v>
      </c>
      <c r="M863" s="99">
        <f>SUMIF(Import!$B:$B,$A863,Import!H:H)</f>
        <v>0</v>
      </c>
      <c r="N863" s="99">
        <f>SUMIF(Import!$B:$B,$A863,Import!I:I)</f>
        <v>0</v>
      </c>
      <c r="O863" s="99">
        <f>SUMIF(Import!$B:$B,$A863,Import!J:J)</f>
        <v>0</v>
      </c>
      <c r="P863" s="99">
        <f t="shared" si="834"/>
        <v>0</v>
      </c>
      <c r="Q863" s="99">
        <f>SUMIF(Import!$B:$B,$A863,Import!K:K)</f>
        <v>0</v>
      </c>
      <c r="R863" s="99">
        <f>SUMIF(Import!$B:$B,$A863,Import!L:L)</f>
        <v>0</v>
      </c>
      <c r="S863" s="99">
        <f>SUMIF(Import!$B:$B,$A863,Import!M:M)</f>
        <v>0</v>
      </c>
      <c r="T863" s="99">
        <f>SUMIF(Import!$B:$B,$A863,Import!N:N)</f>
        <v>0</v>
      </c>
      <c r="U863" s="99">
        <f t="shared" si="835"/>
        <v>0</v>
      </c>
      <c r="V863" s="255" t="str">
        <f t="shared" si="836"/>
        <v>N/A</v>
      </c>
      <c r="W863" s="102" t="s">
        <v>1644</v>
      </c>
      <c r="X863" s="148"/>
      <c r="Y863" s="267"/>
      <c r="Z863" s="121"/>
      <c r="AA863" s="121"/>
      <c r="AB863" s="121"/>
      <c r="AC863" s="121"/>
      <c r="AD863" s="121"/>
      <c r="AE863" s="121"/>
      <c r="AF863" s="121"/>
      <c r="AG863" s="121"/>
      <c r="AH863" s="121"/>
      <c r="AI863" s="121"/>
      <c r="AJ863" s="121"/>
      <c r="AK863" s="121"/>
      <c r="AL863" s="121"/>
    </row>
    <row r="864" spans="1:38" s="115" customFormat="1" ht="15" customHeight="1">
      <c r="A864" s="555"/>
      <c r="B864" s="217"/>
      <c r="C864" s="217"/>
      <c r="D864" s="101"/>
      <c r="E864" s="217"/>
      <c r="F864" s="294"/>
      <c r="G864" s="146"/>
      <c r="H864" s="107" t="str">
        <f>UPPER(G863)&amp;" TOTAL"</f>
        <v>CAPITAL OUTLAY TOTAL</v>
      </c>
      <c r="I864" s="109">
        <f t="shared" ref="I864" si="837">SUBTOTAL(9,I858:I863)</f>
        <v>4310.1400000000003</v>
      </c>
      <c r="J864" s="109">
        <f t="shared" ref="J864:T864" si="838">SUBTOTAL(9,J858:J863)</f>
        <v>8945.4500000000007</v>
      </c>
      <c r="K864" s="109">
        <f t="shared" ref="K864" si="839">SUBTOTAL(9,K858:K863)</f>
        <v>1452.95</v>
      </c>
      <c r="L864" s="109">
        <f t="shared" ref="L864" si="840">SUBTOTAL(9,L858:L863)</f>
        <v>5026.8599999999997</v>
      </c>
      <c r="M864" s="109">
        <f t="shared" si="838"/>
        <v>3680</v>
      </c>
      <c r="N864" s="109">
        <f t="shared" ref="N864" si="841">SUBTOTAL(9,N858:N863)</f>
        <v>2712.95</v>
      </c>
      <c r="O864" s="109">
        <f t="shared" si="838"/>
        <v>3680</v>
      </c>
      <c r="P864" s="109">
        <f t="shared" si="838"/>
        <v>0</v>
      </c>
      <c r="Q864" s="109">
        <f t="shared" si="838"/>
        <v>4821</v>
      </c>
      <c r="R864" s="109">
        <f t="shared" si="838"/>
        <v>0</v>
      </c>
      <c r="S864" s="109">
        <f t="shared" si="838"/>
        <v>0</v>
      </c>
      <c r="T864" s="109">
        <f t="shared" si="838"/>
        <v>4821</v>
      </c>
      <c r="U864" s="99">
        <f>T864-M864</f>
        <v>1141</v>
      </c>
      <c r="V864" s="259">
        <f>IF(M864=0,"N/A",T864/M864-1)</f>
        <v>0.31005434782608687</v>
      </c>
      <c r="W864" s="104"/>
      <c r="X864" s="148"/>
      <c r="Y864" s="267"/>
      <c r="Z864" s="121"/>
      <c r="AA864" s="121"/>
      <c r="AB864" s="121"/>
      <c r="AC864" s="121"/>
      <c r="AD864" s="121"/>
      <c r="AE864" s="121"/>
      <c r="AF864" s="121"/>
      <c r="AG864" s="121"/>
      <c r="AH864" s="121"/>
      <c r="AI864" s="121"/>
      <c r="AJ864" s="121"/>
      <c r="AK864" s="121"/>
      <c r="AL864" s="121"/>
    </row>
    <row r="865" spans="1:38" s="115" customFormat="1" ht="15" customHeight="1">
      <c r="A865" s="555"/>
      <c r="B865" s="217"/>
      <c r="C865" s="217"/>
      <c r="D865" s="101"/>
      <c r="E865" s="217"/>
      <c r="F865" s="294"/>
      <c r="G865" s="146"/>
      <c r="H865" s="98"/>
      <c r="I865" s="106"/>
      <c r="J865" s="106"/>
      <c r="K865" s="106"/>
      <c r="L865" s="106"/>
      <c r="M865" s="106"/>
      <c r="N865" s="112"/>
      <c r="O865" s="112"/>
      <c r="P865" s="112"/>
      <c r="Q865" s="113"/>
      <c r="R865" s="113"/>
      <c r="S865" s="113"/>
      <c r="T865" s="113"/>
      <c r="U865" s="113"/>
      <c r="V865" s="113"/>
      <c r="W865" s="104"/>
      <c r="X865" s="148"/>
      <c r="Y865" s="267"/>
      <c r="Z865" s="121"/>
      <c r="AA865" s="121"/>
      <c r="AB865" s="121"/>
      <c r="AC865" s="121"/>
      <c r="AD865" s="121"/>
      <c r="AE865" s="121"/>
      <c r="AF865" s="121"/>
      <c r="AG865" s="121"/>
      <c r="AH865" s="121"/>
      <c r="AI865" s="121"/>
      <c r="AJ865" s="121"/>
      <c r="AK865" s="121"/>
      <c r="AL865" s="121"/>
    </row>
    <row r="866" spans="1:38" s="115" customFormat="1" ht="15" customHeight="1">
      <c r="A866" s="555"/>
      <c r="B866" s="217"/>
      <c r="C866" s="217"/>
      <c r="D866" s="101"/>
      <c r="E866" s="217"/>
      <c r="F866" s="294"/>
      <c r="G866" s="146"/>
      <c r="H866" s="114" t="s">
        <v>763</v>
      </c>
      <c r="I866" s="108">
        <f t="shared" ref="I866" si="842">SUBTOTAL(9,I829:I864)</f>
        <v>370106.58000000013</v>
      </c>
      <c r="J866" s="108">
        <f t="shared" ref="J866:T866" si="843">SUBTOTAL(9,J829:J864)</f>
        <v>492517.04999999987</v>
      </c>
      <c r="K866" s="108">
        <f t="shared" ref="K866" si="844">SUBTOTAL(9,K829:K864)</f>
        <v>500377.56</v>
      </c>
      <c r="L866" s="108">
        <f t="shared" ref="L866" si="845">SUBTOTAL(9,L829:L864)</f>
        <v>657669.47999999986</v>
      </c>
      <c r="M866" s="108">
        <f t="shared" si="843"/>
        <v>621549</v>
      </c>
      <c r="N866" s="108">
        <f t="shared" si="843"/>
        <v>530504.46</v>
      </c>
      <c r="O866" s="108">
        <f t="shared" si="843"/>
        <v>672113</v>
      </c>
      <c r="P866" s="108">
        <f t="shared" si="843"/>
        <v>50564</v>
      </c>
      <c r="Q866" s="108">
        <f t="shared" si="843"/>
        <v>641484</v>
      </c>
      <c r="R866" s="108">
        <f t="shared" si="843"/>
        <v>18000</v>
      </c>
      <c r="S866" s="108">
        <f t="shared" si="843"/>
        <v>0</v>
      </c>
      <c r="T866" s="108">
        <f t="shared" si="843"/>
        <v>659484</v>
      </c>
      <c r="U866" s="99">
        <f>T866-M866</f>
        <v>37935</v>
      </c>
      <c r="V866" s="259">
        <f>IF(M866=0,"N/A",T866/M866-1)</f>
        <v>6.1032999811760691E-2</v>
      </c>
      <c r="W866" s="104"/>
      <c r="X866" s="148"/>
      <c r="Y866" s="267"/>
      <c r="Z866" s="121"/>
      <c r="AA866" s="121"/>
      <c r="AB866" s="121"/>
      <c r="AC866" s="121"/>
      <c r="AD866" s="121"/>
      <c r="AE866" s="121"/>
      <c r="AF866" s="121"/>
      <c r="AG866" s="121"/>
      <c r="AH866" s="121"/>
      <c r="AI866" s="121"/>
      <c r="AJ866" s="121"/>
      <c r="AK866" s="121"/>
      <c r="AL866" s="121"/>
    </row>
    <row r="867" spans="1:38" s="115" customFormat="1" ht="15" customHeight="1">
      <c r="A867" s="555"/>
      <c r="B867" s="217"/>
      <c r="C867" s="217"/>
      <c r="D867" s="101"/>
      <c r="E867" s="217"/>
      <c r="F867" s="294"/>
      <c r="G867" s="146"/>
      <c r="H867" s="89"/>
      <c r="I867" s="233"/>
      <c r="J867" s="233"/>
      <c r="K867" s="233"/>
      <c r="L867" s="233"/>
      <c r="M867" s="233"/>
      <c r="N867" s="233"/>
      <c r="O867" s="233"/>
      <c r="P867" s="233"/>
      <c r="Q867" s="233"/>
      <c r="R867" s="233"/>
      <c r="S867" s="233"/>
      <c r="T867" s="233"/>
      <c r="U867" s="233"/>
      <c r="V867" s="233"/>
      <c r="W867" s="104"/>
      <c r="X867" s="148"/>
      <c r="Y867" s="267"/>
      <c r="Z867" s="121"/>
      <c r="AA867" s="121"/>
      <c r="AB867" s="121"/>
      <c r="AC867" s="121"/>
      <c r="AD867" s="121"/>
      <c r="AE867" s="121"/>
      <c r="AF867" s="121"/>
      <c r="AG867" s="121"/>
      <c r="AH867" s="121"/>
      <c r="AI867" s="121"/>
      <c r="AJ867" s="121"/>
      <c r="AK867" s="121"/>
      <c r="AL867" s="121"/>
    </row>
    <row r="868" spans="1:38" s="115" customFormat="1" ht="15" customHeight="1" thickBot="1">
      <c r="A868" s="555"/>
      <c r="B868" s="217"/>
      <c r="C868" s="217"/>
      <c r="D868" s="101"/>
      <c r="E868" s="217"/>
      <c r="F868" s="294"/>
      <c r="G868" s="146"/>
      <c r="H868" s="98"/>
      <c r="I868" s="218"/>
      <c r="J868" s="218"/>
      <c r="K868" s="218"/>
      <c r="L868" s="218"/>
      <c r="M868" s="218"/>
      <c r="N868" s="96"/>
      <c r="O868" s="96"/>
      <c r="P868" s="96"/>
      <c r="Q868" s="212"/>
      <c r="R868" s="212"/>
      <c r="S868" s="212"/>
      <c r="T868" s="212"/>
      <c r="U868" s="212"/>
      <c r="V868" s="113"/>
      <c r="W868" s="104"/>
      <c r="X868" s="148"/>
      <c r="Y868" s="267"/>
      <c r="Z868" s="121"/>
      <c r="AA868" s="121"/>
      <c r="AB868" s="121"/>
      <c r="AC868" s="121"/>
      <c r="AD868" s="121"/>
      <c r="AE868" s="121"/>
      <c r="AF868" s="121"/>
      <c r="AG868" s="121"/>
      <c r="AH868" s="121"/>
      <c r="AI868" s="121"/>
      <c r="AJ868" s="121"/>
      <c r="AK868" s="121"/>
      <c r="AL868" s="121"/>
    </row>
    <row r="869" spans="1:38" s="115" customFormat="1" ht="23.4" customHeight="1" thickBot="1">
      <c r="A869" s="555"/>
      <c r="B869" s="217"/>
      <c r="C869" s="217"/>
      <c r="D869" s="101"/>
      <c r="E869" s="217"/>
      <c r="F869" s="294"/>
      <c r="G869" s="146"/>
      <c r="H869" s="665" t="s">
        <v>743</v>
      </c>
      <c r="I869" s="666"/>
      <c r="J869" s="666"/>
      <c r="K869" s="666"/>
      <c r="L869" s="666"/>
      <c r="M869" s="666"/>
      <c r="N869" s="666"/>
      <c r="O869" s="666"/>
      <c r="P869" s="666"/>
      <c r="Q869" s="666"/>
      <c r="R869" s="666"/>
      <c r="S869" s="666"/>
      <c r="T869" s="667"/>
      <c r="U869" s="247"/>
      <c r="V869" s="261"/>
      <c r="W869" s="104"/>
      <c r="X869" s="148"/>
      <c r="Y869" s="267"/>
      <c r="Z869" s="121"/>
      <c r="AA869" s="121"/>
      <c r="AB869" s="121"/>
      <c r="AC869" s="121"/>
      <c r="AD869" s="121"/>
      <c r="AE869" s="121"/>
      <c r="AF869" s="121"/>
      <c r="AG869" s="121"/>
      <c r="AH869" s="121"/>
      <c r="AI869" s="121"/>
      <c r="AJ869" s="121"/>
      <c r="AK869" s="121"/>
      <c r="AL869" s="121"/>
    </row>
    <row r="870" spans="1:38" s="115" customFormat="1" ht="15" customHeight="1">
      <c r="A870" s="555"/>
      <c r="B870" s="217"/>
      <c r="C870" s="217"/>
      <c r="D870" s="101"/>
      <c r="E870" s="217"/>
      <c r="F870" s="294"/>
      <c r="G870" s="146"/>
      <c r="H870" s="225"/>
      <c r="I870" s="225"/>
      <c r="J870" s="225"/>
      <c r="K870" s="225"/>
      <c r="L870" s="225"/>
      <c r="M870" s="225"/>
      <c r="N870" s="225"/>
      <c r="O870" s="225"/>
      <c r="P870" s="225"/>
      <c r="Q870" s="225"/>
      <c r="R870" s="225"/>
      <c r="S870" s="225"/>
      <c r="T870" s="225"/>
      <c r="U870" s="225"/>
      <c r="V870" s="260"/>
      <c r="W870" s="104"/>
      <c r="X870" s="148"/>
      <c r="Y870" s="267"/>
      <c r="Z870" s="121"/>
      <c r="AA870" s="121"/>
      <c r="AB870" s="121"/>
      <c r="AC870" s="121"/>
      <c r="AD870" s="121"/>
      <c r="AE870" s="121"/>
      <c r="AF870" s="121"/>
      <c r="AG870" s="121"/>
      <c r="AH870" s="121"/>
      <c r="AI870" s="121"/>
      <c r="AJ870" s="121"/>
      <c r="AK870" s="121"/>
      <c r="AL870" s="121"/>
    </row>
    <row r="871" spans="1:38" s="115" customFormat="1" ht="15" customHeight="1">
      <c r="A871" s="555" t="s">
        <v>1645</v>
      </c>
      <c r="B871" s="217" t="str">
        <f t="shared" si="829"/>
        <v>125</v>
      </c>
      <c r="C871" s="217" t="str">
        <f t="shared" si="830"/>
        <v>65</v>
      </c>
      <c r="D871" s="101" t="str">
        <f t="shared" si="831"/>
        <v>653</v>
      </c>
      <c r="E871" s="217" t="str">
        <f t="shared" si="832"/>
        <v>125-65-653</v>
      </c>
      <c r="F871" s="294" t="str">
        <f t="shared" si="833"/>
        <v>50102</v>
      </c>
      <c r="G871" s="295" t="str">
        <f>VLOOKUP(F871,'GL Category'!A:C,3,FALSE)</f>
        <v>Personnel services</v>
      </c>
      <c r="H871" s="98" t="str">
        <f>VLOOKUP(F871,'GL Category'!A:C,2,FALSE)</f>
        <v>NON EXEMPT SALARIES</v>
      </c>
      <c r="I871" s="99">
        <f>SUMIF(Import!$B:$B,$A871,Import!D:D)</f>
        <v>0</v>
      </c>
      <c r="J871" s="99">
        <f>SUMIF(Import!$B:$B,$A871,Import!E:E)</f>
        <v>0</v>
      </c>
      <c r="K871" s="99">
        <f>SUMIF(Import!$B:$B,$A871,Import!F:F)</f>
        <v>0</v>
      </c>
      <c r="L871" s="99">
        <f>SUMIF(Import!$B:$B,$A871,Import!G:G)</f>
        <v>0</v>
      </c>
      <c r="M871" s="99">
        <f>SUMIF(Import!$B:$B,$A871,Import!H:H)</f>
        <v>0</v>
      </c>
      <c r="N871" s="99">
        <f>SUMIF(Import!$B:$B,$A871,Import!I:I)</f>
        <v>0</v>
      </c>
      <c r="O871" s="99">
        <f>SUMIF(Import!$B:$B,$A871,Import!J:J)</f>
        <v>0</v>
      </c>
      <c r="P871" s="99">
        <f t="shared" ref="P871:P880" si="846">O871-M871</f>
        <v>0</v>
      </c>
      <c r="Q871" s="99">
        <f>SUMIF(Import!$B:$B,$A871,Import!K:K)</f>
        <v>0</v>
      </c>
      <c r="R871" s="99">
        <f>SUMIF(Import!$B:$B,$A871,Import!L:L)</f>
        <v>0</v>
      </c>
      <c r="S871" s="99">
        <f>SUMIF(Import!$B:$B,$A871,Import!M:M)</f>
        <v>0</v>
      </c>
      <c r="T871" s="99">
        <f>SUMIF(Import!$B:$B,$A871,Import!N:N)</f>
        <v>0</v>
      </c>
      <c r="U871" s="99">
        <f t="shared" ref="U871:U880" si="847">T871-M871</f>
        <v>0</v>
      </c>
      <c r="V871" s="255" t="str">
        <f t="shared" ref="V871:V880" si="848">IF(M871=0,"N/A",T871/M871-1)</f>
        <v>N/A</v>
      </c>
      <c r="W871" s="102" t="s">
        <v>1645</v>
      </c>
      <c r="X871" s="148"/>
      <c r="Y871" s="267"/>
      <c r="Z871" s="121"/>
      <c r="AA871" s="121"/>
      <c r="AB871" s="121"/>
      <c r="AC871" s="121"/>
      <c r="AD871" s="121"/>
      <c r="AE871" s="121"/>
      <c r="AF871" s="121"/>
      <c r="AG871" s="121"/>
      <c r="AH871" s="121"/>
      <c r="AI871" s="121"/>
      <c r="AJ871" s="121"/>
      <c r="AK871" s="121"/>
      <c r="AL871" s="121"/>
    </row>
    <row r="872" spans="1:38" s="115" customFormat="1" ht="15" customHeight="1">
      <c r="A872" s="555" t="s">
        <v>1646</v>
      </c>
      <c r="B872" s="217" t="str">
        <f t="shared" si="829"/>
        <v>125</v>
      </c>
      <c r="C872" s="217" t="str">
        <f t="shared" si="830"/>
        <v>65</v>
      </c>
      <c r="D872" s="101" t="str">
        <f t="shared" si="831"/>
        <v>653</v>
      </c>
      <c r="E872" s="217" t="str">
        <f t="shared" si="832"/>
        <v>125-65-653</v>
      </c>
      <c r="F872" s="294" t="str">
        <f t="shared" si="833"/>
        <v>50109</v>
      </c>
      <c r="G872" s="295" t="str">
        <f>VLOOKUP(F872,'GL Category'!A:C,3,FALSE)</f>
        <v>Personnel services</v>
      </c>
      <c r="H872" s="98" t="str">
        <f>VLOOKUP(F872,'GL Category'!A:C,2,FALSE)</f>
        <v>OVERTIME</v>
      </c>
      <c r="I872" s="99">
        <f>SUMIF(Import!$B:$B,$A872,Import!D:D)</f>
        <v>0</v>
      </c>
      <c r="J872" s="99">
        <f>SUMIF(Import!$B:$B,$A872,Import!E:E)</f>
        <v>0</v>
      </c>
      <c r="K872" s="99">
        <f>SUMIF(Import!$B:$B,$A872,Import!F:F)</f>
        <v>33.75</v>
      </c>
      <c r="L872" s="99">
        <f>SUMIF(Import!$B:$B,$A872,Import!G:G)</f>
        <v>0</v>
      </c>
      <c r="M872" s="99">
        <f>SUMIF(Import!$B:$B,$A872,Import!H:H)</f>
        <v>0</v>
      </c>
      <c r="N872" s="99">
        <f>SUMIF(Import!$B:$B,$A872,Import!I:I)</f>
        <v>0</v>
      </c>
      <c r="O872" s="99">
        <f>SUMIF(Import!$B:$B,$A872,Import!J:J)</f>
        <v>0</v>
      </c>
      <c r="P872" s="99">
        <f t="shared" si="846"/>
        <v>0</v>
      </c>
      <c r="Q872" s="99">
        <f>SUMIF(Import!$B:$B,$A872,Import!K:K)</f>
        <v>0</v>
      </c>
      <c r="R872" s="99">
        <f>SUMIF(Import!$B:$B,$A872,Import!L:L)</f>
        <v>0</v>
      </c>
      <c r="S872" s="99">
        <f>SUMIF(Import!$B:$B,$A872,Import!M:M)</f>
        <v>0</v>
      </c>
      <c r="T872" s="99">
        <f>SUMIF(Import!$B:$B,$A872,Import!N:N)</f>
        <v>0</v>
      </c>
      <c r="U872" s="99">
        <f t="shared" si="847"/>
        <v>0</v>
      </c>
      <c r="V872" s="255" t="str">
        <f t="shared" si="848"/>
        <v>N/A</v>
      </c>
      <c r="W872" s="102" t="s">
        <v>1646</v>
      </c>
      <c r="X872" s="148"/>
      <c r="Y872" s="267"/>
      <c r="Z872" s="121"/>
      <c r="AA872" s="121"/>
      <c r="AB872" s="121"/>
      <c r="AC872" s="121"/>
      <c r="AD872" s="121"/>
      <c r="AE872" s="121"/>
      <c r="AF872" s="121"/>
      <c r="AG872" s="121"/>
      <c r="AH872" s="121"/>
      <c r="AI872" s="121"/>
      <c r="AJ872" s="121"/>
      <c r="AK872" s="121"/>
      <c r="AL872" s="121"/>
    </row>
    <row r="873" spans="1:38" s="115" customFormat="1" ht="15" customHeight="1">
      <c r="A873" s="555" t="s">
        <v>1647</v>
      </c>
      <c r="B873" s="217" t="str">
        <f t="shared" si="829"/>
        <v>125</v>
      </c>
      <c r="C873" s="217" t="str">
        <f t="shared" si="830"/>
        <v>65</v>
      </c>
      <c r="D873" s="101" t="str">
        <f t="shared" si="831"/>
        <v>653</v>
      </c>
      <c r="E873" s="217" t="str">
        <f t="shared" si="832"/>
        <v>125-65-653</v>
      </c>
      <c r="F873" s="294" t="str">
        <f t="shared" si="833"/>
        <v>50110</v>
      </c>
      <c r="G873" s="295" t="str">
        <f>VLOOKUP(F873,'GL Category'!A:C,3,FALSE)</f>
        <v>Personnel services</v>
      </c>
      <c r="H873" s="98" t="str">
        <f>VLOOKUP(F873,'GL Category'!A:C,2,FALSE)</f>
        <v>PART-TIME WAGES</v>
      </c>
      <c r="I873" s="99">
        <f>SUMIF(Import!$B:$B,$A873,Import!D:D)</f>
        <v>5831.07</v>
      </c>
      <c r="J873" s="99">
        <f>SUMIF(Import!$B:$B,$A873,Import!E:E)</f>
        <v>8239.42</v>
      </c>
      <c r="K873" s="99">
        <f>SUMIF(Import!$B:$B,$A873,Import!F:F)</f>
        <v>13601</v>
      </c>
      <c r="L873" s="99">
        <f>SUMIF(Import!$B:$B,$A873,Import!G:G)</f>
        <v>11890.7</v>
      </c>
      <c r="M873" s="99">
        <f>SUMIF(Import!$B:$B,$A873,Import!H:H)</f>
        <v>15892</v>
      </c>
      <c r="N873" s="99">
        <f>SUMIF(Import!$B:$B,$A873,Import!I:I)</f>
        <v>6996.28</v>
      </c>
      <c r="O873" s="99">
        <f>SUMIF(Import!$B:$B,$A873,Import!J:J)</f>
        <v>9000</v>
      </c>
      <c r="P873" s="99">
        <f t="shared" si="846"/>
        <v>-6892</v>
      </c>
      <c r="Q873" s="99">
        <f>SUMIF(Import!$B:$B,$A873,Import!K:K)</f>
        <v>0</v>
      </c>
      <c r="R873" s="99">
        <f>SUMIF(Import!$B:$B,$A873,Import!L:L)</f>
        <v>0</v>
      </c>
      <c r="S873" s="99">
        <f>SUMIF(Import!$B:$B,$A873,Import!M:M)</f>
        <v>0</v>
      </c>
      <c r="T873" s="99">
        <f>SUMIF(Import!$B:$B,$A873,Import!N:N)</f>
        <v>0</v>
      </c>
      <c r="U873" s="99">
        <f t="shared" si="847"/>
        <v>-15892</v>
      </c>
      <c r="V873" s="255">
        <f t="shared" si="848"/>
        <v>-1</v>
      </c>
      <c r="W873" s="102" t="s">
        <v>1647</v>
      </c>
      <c r="X873" s="148"/>
      <c r="Y873" s="267"/>
      <c r="Z873" s="121"/>
      <c r="AA873" s="121"/>
      <c r="AB873" s="121"/>
      <c r="AC873" s="121"/>
      <c r="AD873" s="121"/>
      <c r="AE873" s="121"/>
      <c r="AF873" s="121"/>
      <c r="AG873" s="121"/>
      <c r="AH873" s="121"/>
      <c r="AI873" s="121"/>
      <c r="AJ873" s="121"/>
      <c r="AK873" s="121"/>
      <c r="AL873" s="121"/>
    </row>
    <row r="874" spans="1:38" s="115" customFormat="1" ht="15" customHeight="1">
      <c r="A874" s="555" t="s">
        <v>1648</v>
      </c>
      <c r="B874" s="217" t="str">
        <f t="shared" si="829"/>
        <v>125</v>
      </c>
      <c r="C874" s="217" t="str">
        <f t="shared" si="830"/>
        <v>65</v>
      </c>
      <c r="D874" s="101" t="str">
        <f t="shared" si="831"/>
        <v>653</v>
      </c>
      <c r="E874" s="217" t="str">
        <f t="shared" si="832"/>
        <v>125-65-653</v>
      </c>
      <c r="F874" s="294" t="str">
        <f t="shared" si="833"/>
        <v>50111</v>
      </c>
      <c r="G874" s="295" t="str">
        <f>VLOOKUP(F874,'GL Category'!A:C,3,FALSE)</f>
        <v>Personnel services</v>
      </c>
      <c r="H874" s="98" t="str">
        <f>VLOOKUP(F874,'GL Category'!A:C,2,FALSE)</f>
        <v>LONGEVITY PAY</v>
      </c>
      <c r="I874" s="99">
        <f>SUMIF(Import!$B:$B,$A874,Import!D:D)</f>
        <v>0</v>
      </c>
      <c r="J874" s="99">
        <f>SUMIF(Import!$B:$B,$A874,Import!E:E)</f>
        <v>0</v>
      </c>
      <c r="K874" s="99">
        <f>SUMIF(Import!$B:$B,$A874,Import!F:F)</f>
        <v>0</v>
      </c>
      <c r="L874" s="99">
        <f>SUMIF(Import!$B:$B,$A874,Import!G:G)</f>
        <v>0</v>
      </c>
      <c r="M874" s="99">
        <f>SUMIF(Import!$B:$B,$A874,Import!H:H)</f>
        <v>0</v>
      </c>
      <c r="N874" s="99">
        <f>SUMIF(Import!$B:$B,$A874,Import!I:I)</f>
        <v>0</v>
      </c>
      <c r="O874" s="99">
        <f>SUMIF(Import!$B:$B,$A874,Import!J:J)</f>
        <v>0</v>
      </c>
      <c r="P874" s="99">
        <f t="shared" si="846"/>
        <v>0</v>
      </c>
      <c r="Q874" s="99">
        <f>SUMIF(Import!$B:$B,$A874,Import!K:K)</f>
        <v>0</v>
      </c>
      <c r="R874" s="99">
        <f>SUMIF(Import!$B:$B,$A874,Import!L:L)</f>
        <v>0</v>
      </c>
      <c r="S874" s="99">
        <f>SUMIF(Import!$B:$B,$A874,Import!M:M)</f>
        <v>0</v>
      </c>
      <c r="T874" s="99">
        <f>SUMIF(Import!$B:$B,$A874,Import!N:N)</f>
        <v>0</v>
      </c>
      <c r="U874" s="99">
        <f t="shared" si="847"/>
        <v>0</v>
      </c>
      <c r="V874" s="255" t="str">
        <f t="shared" si="848"/>
        <v>N/A</v>
      </c>
      <c r="W874" s="102" t="s">
        <v>1648</v>
      </c>
      <c r="X874" s="148"/>
      <c r="Y874" s="267"/>
      <c r="Z874" s="121"/>
      <c r="AA874" s="121"/>
      <c r="AB874" s="121"/>
      <c r="AC874" s="121"/>
      <c r="AD874" s="121"/>
      <c r="AE874" s="121"/>
      <c r="AF874" s="121"/>
      <c r="AG874" s="121"/>
      <c r="AH874" s="121"/>
      <c r="AI874" s="121"/>
      <c r="AJ874" s="121"/>
      <c r="AK874" s="121"/>
      <c r="AL874" s="121"/>
    </row>
    <row r="875" spans="1:38" s="115" customFormat="1" ht="15" customHeight="1">
      <c r="A875" s="555" t="s">
        <v>1649</v>
      </c>
      <c r="B875" s="217" t="str">
        <f t="shared" si="829"/>
        <v>125</v>
      </c>
      <c r="C875" s="217" t="str">
        <f t="shared" si="830"/>
        <v>65</v>
      </c>
      <c r="D875" s="101" t="str">
        <f t="shared" si="831"/>
        <v>653</v>
      </c>
      <c r="E875" s="217" t="str">
        <f t="shared" si="832"/>
        <v>125-65-653</v>
      </c>
      <c r="F875" s="294" t="str">
        <f t="shared" si="833"/>
        <v>50116</v>
      </c>
      <c r="G875" s="295" t="e">
        <f>VLOOKUP(F875,'GL Category'!A:C,3,FALSE)</f>
        <v>#N/A</v>
      </c>
      <c r="H875" s="98" t="e">
        <f>VLOOKUP(F875,'GL Category'!A:C,2,FALSE)</f>
        <v>#N/A</v>
      </c>
      <c r="I875" s="99">
        <f>SUMIF(Import!$B:$B,$A875,Import!D:D)</f>
        <v>0</v>
      </c>
      <c r="J875" s="99">
        <f>SUMIF(Import!$B:$B,$A875,Import!E:E)</f>
        <v>0</v>
      </c>
      <c r="K875" s="99">
        <f>SUMIF(Import!$B:$B,$A875,Import!F:F)</f>
        <v>0</v>
      </c>
      <c r="L875" s="99">
        <f>SUMIF(Import!$B:$B,$A875,Import!G:G)</f>
        <v>0</v>
      </c>
      <c r="M875" s="99">
        <f>SUMIF(Import!$B:$B,$A875,Import!H:H)</f>
        <v>0</v>
      </c>
      <c r="N875" s="99">
        <f>SUMIF(Import!$B:$B,$A875,Import!I:I)</f>
        <v>0</v>
      </c>
      <c r="O875" s="99">
        <f>SUMIF(Import!$B:$B,$A875,Import!J:J)</f>
        <v>0</v>
      </c>
      <c r="P875" s="99">
        <f t="shared" si="846"/>
        <v>0</v>
      </c>
      <c r="Q875" s="99">
        <f>SUMIF(Import!$B:$B,$A875,Import!K:K)</f>
        <v>0</v>
      </c>
      <c r="R875" s="99">
        <f>SUMIF(Import!$B:$B,$A875,Import!L:L)</f>
        <v>0</v>
      </c>
      <c r="S875" s="99">
        <f>SUMIF(Import!$B:$B,$A875,Import!M:M)</f>
        <v>0</v>
      </c>
      <c r="T875" s="99">
        <f>SUMIF(Import!$B:$B,$A875,Import!N:N)</f>
        <v>0</v>
      </c>
      <c r="U875" s="99">
        <f t="shared" si="847"/>
        <v>0</v>
      </c>
      <c r="V875" s="255" t="str">
        <f t="shared" si="848"/>
        <v>N/A</v>
      </c>
      <c r="W875" s="102" t="s">
        <v>1649</v>
      </c>
      <c r="X875" s="148"/>
      <c r="Y875" s="267"/>
      <c r="Z875" s="121"/>
      <c r="AA875" s="121"/>
      <c r="AB875" s="121"/>
      <c r="AC875" s="121"/>
      <c r="AD875" s="121"/>
      <c r="AE875" s="121"/>
      <c r="AF875" s="121"/>
      <c r="AG875" s="121"/>
      <c r="AH875" s="121"/>
      <c r="AI875" s="121"/>
      <c r="AJ875" s="121"/>
      <c r="AK875" s="121"/>
      <c r="AL875" s="121"/>
    </row>
    <row r="876" spans="1:38" s="115" customFormat="1" ht="15" customHeight="1">
      <c r="A876" s="555" t="s">
        <v>1650</v>
      </c>
      <c r="B876" s="217" t="str">
        <f t="shared" si="829"/>
        <v>125</v>
      </c>
      <c r="C876" s="217" t="str">
        <f t="shared" si="830"/>
        <v>65</v>
      </c>
      <c r="D876" s="101" t="str">
        <f t="shared" si="831"/>
        <v>653</v>
      </c>
      <c r="E876" s="217" t="str">
        <f t="shared" si="832"/>
        <v>125-65-653</v>
      </c>
      <c r="F876" s="294" t="str">
        <f t="shared" si="833"/>
        <v>50117</v>
      </c>
      <c r="G876" s="295" t="str">
        <f>VLOOKUP(F876,'GL Category'!A:C,3,FALSE)</f>
        <v>Personnel services</v>
      </c>
      <c r="H876" s="98" t="str">
        <f>VLOOKUP(F876,'GL Category'!A:C,2,FALSE)</f>
        <v>GROUP EXERCISE PAY</v>
      </c>
      <c r="I876" s="99">
        <f>SUMIF(Import!$B:$B,$A876,Import!D:D)</f>
        <v>425</v>
      </c>
      <c r="J876" s="99">
        <f>SUMIF(Import!$B:$B,$A876,Import!E:E)</f>
        <v>943</v>
      </c>
      <c r="K876" s="99">
        <f>SUMIF(Import!$B:$B,$A876,Import!F:F)</f>
        <v>2682</v>
      </c>
      <c r="L876" s="99">
        <f>SUMIF(Import!$B:$B,$A876,Import!G:G)</f>
        <v>2475</v>
      </c>
      <c r="M876" s="99">
        <f>SUMIF(Import!$B:$B,$A876,Import!H:H)</f>
        <v>0</v>
      </c>
      <c r="N876" s="99">
        <f>SUMIF(Import!$B:$B,$A876,Import!I:I)</f>
        <v>3225</v>
      </c>
      <c r="O876" s="99">
        <f>SUMIF(Import!$B:$B,$A876,Import!J:J)</f>
        <v>4000</v>
      </c>
      <c r="P876" s="99">
        <f t="shared" si="846"/>
        <v>4000</v>
      </c>
      <c r="Q876" s="99">
        <f>SUMIF(Import!$B:$B,$A876,Import!K:K)</f>
        <v>0</v>
      </c>
      <c r="R876" s="99">
        <f>SUMIF(Import!$B:$B,$A876,Import!L:L)</f>
        <v>0</v>
      </c>
      <c r="S876" s="99">
        <f>SUMIF(Import!$B:$B,$A876,Import!M:M)</f>
        <v>0</v>
      </c>
      <c r="T876" s="99">
        <f>SUMIF(Import!$B:$B,$A876,Import!N:N)</f>
        <v>0</v>
      </c>
      <c r="U876" s="99">
        <f t="shared" si="847"/>
        <v>0</v>
      </c>
      <c r="V876" s="255" t="str">
        <f t="shared" si="848"/>
        <v>N/A</v>
      </c>
      <c r="W876" s="102" t="s">
        <v>1650</v>
      </c>
      <c r="X876" s="148"/>
      <c r="Y876" s="267"/>
      <c r="Z876" s="121"/>
      <c r="AA876" s="121"/>
      <c r="AB876" s="121"/>
      <c r="AC876" s="121"/>
      <c r="AD876" s="121"/>
      <c r="AE876" s="121"/>
      <c r="AF876" s="121"/>
      <c r="AG876" s="121"/>
      <c r="AH876" s="121"/>
      <c r="AI876" s="121"/>
      <c r="AJ876" s="121"/>
      <c r="AK876" s="121"/>
      <c r="AL876" s="121"/>
    </row>
    <row r="877" spans="1:38" s="115" customFormat="1" ht="15" customHeight="1">
      <c r="A877" s="555" t="s">
        <v>1651</v>
      </c>
      <c r="B877" s="217" t="str">
        <f t="shared" si="829"/>
        <v>125</v>
      </c>
      <c r="C877" s="217" t="str">
        <f t="shared" si="830"/>
        <v>65</v>
      </c>
      <c r="D877" s="101" t="str">
        <f t="shared" si="831"/>
        <v>653</v>
      </c>
      <c r="E877" s="217" t="str">
        <f t="shared" si="832"/>
        <v>125-65-653</v>
      </c>
      <c r="F877" s="294" t="str">
        <f t="shared" si="833"/>
        <v>50610</v>
      </c>
      <c r="G877" s="295" t="str">
        <f>VLOOKUP(F877,'GL Category'!A:C,3,FALSE)</f>
        <v>Personnel services</v>
      </c>
      <c r="H877" s="98" t="str">
        <f>VLOOKUP(F877,'GL Category'!A:C,2,FALSE)</f>
        <v>SOCIAL SECURITY</v>
      </c>
      <c r="I877" s="99">
        <f>SUMIF(Import!$B:$B,$A877,Import!D:D)</f>
        <v>478.51</v>
      </c>
      <c r="J877" s="99">
        <f>SUMIF(Import!$B:$B,$A877,Import!E:E)</f>
        <v>702.88</v>
      </c>
      <c r="K877" s="99">
        <f>SUMIF(Import!$B:$B,$A877,Import!F:F)</f>
        <v>1251.6600000000001</v>
      </c>
      <c r="L877" s="99">
        <f>SUMIF(Import!$B:$B,$A877,Import!G:G)</f>
        <v>1102.96</v>
      </c>
      <c r="M877" s="99">
        <f>SUMIF(Import!$B:$B,$A877,Import!H:H)</f>
        <v>1220</v>
      </c>
      <c r="N877" s="99">
        <f>SUMIF(Import!$B:$B,$A877,Import!I:I)</f>
        <v>670.87</v>
      </c>
      <c r="O877" s="99">
        <f>SUMIF(Import!$B:$B,$A877,Import!J:J)</f>
        <v>900</v>
      </c>
      <c r="P877" s="99">
        <f t="shared" si="846"/>
        <v>-320</v>
      </c>
      <c r="Q877" s="99">
        <f>SUMIF(Import!$B:$B,$A877,Import!K:K)</f>
        <v>0</v>
      </c>
      <c r="R877" s="99">
        <f>SUMIF(Import!$B:$B,$A877,Import!L:L)</f>
        <v>0</v>
      </c>
      <c r="S877" s="99">
        <f>SUMIF(Import!$B:$B,$A877,Import!M:M)</f>
        <v>0</v>
      </c>
      <c r="T877" s="99">
        <f>SUMIF(Import!$B:$B,$A877,Import!N:N)</f>
        <v>0</v>
      </c>
      <c r="U877" s="99">
        <f t="shared" si="847"/>
        <v>-1220</v>
      </c>
      <c r="V877" s="255">
        <f t="shared" si="848"/>
        <v>-1</v>
      </c>
      <c r="W877" s="102" t="s">
        <v>1651</v>
      </c>
      <c r="X877" s="148"/>
      <c r="Y877" s="267"/>
      <c r="Z877" s="121"/>
      <c r="AA877" s="121"/>
      <c r="AB877" s="121"/>
      <c r="AC877" s="121"/>
      <c r="AD877" s="121"/>
      <c r="AE877" s="121"/>
      <c r="AF877" s="121"/>
      <c r="AG877" s="121"/>
      <c r="AH877" s="121"/>
      <c r="AI877" s="121"/>
      <c r="AJ877" s="121"/>
      <c r="AK877" s="121"/>
      <c r="AL877" s="121"/>
    </row>
    <row r="878" spans="1:38" s="115" customFormat="1" ht="15" customHeight="1">
      <c r="A878" s="555" t="s">
        <v>1652</v>
      </c>
      <c r="B878" s="217" t="str">
        <f t="shared" si="829"/>
        <v>125</v>
      </c>
      <c r="C878" s="217" t="str">
        <f t="shared" si="830"/>
        <v>65</v>
      </c>
      <c r="D878" s="101" t="str">
        <f t="shared" si="831"/>
        <v>653</v>
      </c>
      <c r="E878" s="217" t="str">
        <f t="shared" si="832"/>
        <v>125-65-653</v>
      </c>
      <c r="F878" s="294" t="str">
        <f t="shared" si="833"/>
        <v>50620</v>
      </c>
      <c r="G878" s="295" t="str">
        <f>VLOOKUP(F878,'GL Category'!A:C,3,FALSE)</f>
        <v>Personnel services</v>
      </c>
      <c r="H878" s="98" t="str">
        <f>VLOOKUP(F878,'GL Category'!A:C,2,FALSE)</f>
        <v>HEALTH/LIFE INSURANCE</v>
      </c>
      <c r="I878" s="99">
        <f>SUMIF(Import!$B:$B,$A878,Import!D:D)</f>
        <v>20.47</v>
      </c>
      <c r="J878" s="99">
        <f>SUMIF(Import!$B:$B,$A878,Import!E:E)</f>
        <v>0</v>
      </c>
      <c r="K878" s="99">
        <f>SUMIF(Import!$B:$B,$A878,Import!F:F)</f>
        <v>0</v>
      </c>
      <c r="L878" s="99">
        <f>SUMIF(Import!$B:$B,$A878,Import!G:G)</f>
        <v>0</v>
      </c>
      <c r="M878" s="99">
        <f>SUMIF(Import!$B:$B,$A878,Import!H:H)</f>
        <v>0</v>
      </c>
      <c r="N878" s="99">
        <f>SUMIF(Import!$B:$B,$A878,Import!I:I)</f>
        <v>0</v>
      </c>
      <c r="O878" s="99">
        <f>SUMIF(Import!$B:$B,$A878,Import!J:J)</f>
        <v>0</v>
      </c>
      <c r="P878" s="99">
        <f t="shared" si="846"/>
        <v>0</v>
      </c>
      <c r="Q878" s="99">
        <f>SUMIF(Import!$B:$B,$A878,Import!K:K)</f>
        <v>0</v>
      </c>
      <c r="R878" s="99">
        <f>SUMIF(Import!$B:$B,$A878,Import!L:L)</f>
        <v>0</v>
      </c>
      <c r="S878" s="99">
        <f>SUMIF(Import!$B:$B,$A878,Import!M:M)</f>
        <v>0</v>
      </c>
      <c r="T878" s="99">
        <f>SUMIF(Import!$B:$B,$A878,Import!N:N)</f>
        <v>0</v>
      </c>
      <c r="U878" s="99">
        <f t="shared" si="847"/>
        <v>0</v>
      </c>
      <c r="V878" s="255" t="str">
        <f t="shared" si="848"/>
        <v>N/A</v>
      </c>
      <c r="W878" s="102" t="s">
        <v>1652</v>
      </c>
      <c r="X878" s="148"/>
      <c r="Y878" s="267"/>
      <c r="Z878" s="121"/>
      <c r="AA878" s="121"/>
      <c r="AB878" s="121"/>
      <c r="AC878" s="121"/>
      <c r="AD878" s="121"/>
      <c r="AE878" s="121"/>
      <c r="AF878" s="121"/>
      <c r="AG878" s="121"/>
      <c r="AH878" s="121"/>
      <c r="AI878" s="121"/>
      <c r="AJ878" s="121"/>
      <c r="AK878" s="121"/>
      <c r="AL878" s="121"/>
    </row>
    <row r="879" spans="1:38" s="115" customFormat="1" ht="15" customHeight="1">
      <c r="A879" s="555" t="s">
        <v>1653</v>
      </c>
      <c r="B879" s="217" t="str">
        <f t="shared" si="829"/>
        <v>125</v>
      </c>
      <c r="C879" s="217" t="str">
        <f t="shared" si="830"/>
        <v>65</v>
      </c>
      <c r="D879" s="101" t="str">
        <f t="shared" si="831"/>
        <v>653</v>
      </c>
      <c r="E879" s="217" t="str">
        <f t="shared" si="832"/>
        <v>125-65-653</v>
      </c>
      <c r="F879" s="294" t="str">
        <f t="shared" si="833"/>
        <v>50630</v>
      </c>
      <c r="G879" s="295" t="str">
        <f>VLOOKUP(F879,'GL Category'!A:C,3,FALSE)</f>
        <v>Personnel services</v>
      </c>
      <c r="H879" s="98" t="str">
        <f>VLOOKUP(F879,'GL Category'!A:C,2,FALSE)</f>
        <v>WORKER COMPENSATION</v>
      </c>
      <c r="I879" s="99">
        <f>SUMIF(Import!$B:$B,$A879,Import!D:D)</f>
        <v>90.7</v>
      </c>
      <c r="J879" s="99">
        <f>SUMIF(Import!$B:$B,$A879,Import!E:E)</f>
        <v>81.38</v>
      </c>
      <c r="K879" s="99">
        <f>SUMIF(Import!$B:$B,$A879,Import!F:F)</f>
        <v>90.72</v>
      </c>
      <c r="L879" s="99">
        <f>SUMIF(Import!$B:$B,$A879,Import!G:G)</f>
        <v>160.51</v>
      </c>
      <c r="M879" s="99">
        <f>SUMIF(Import!$B:$B,$A879,Import!H:H)</f>
        <v>199</v>
      </c>
      <c r="N879" s="99">
        <f>SUMIF(Import!$B:$B,$A879,Import!I:I)</f>
        <v>198.84</v>
      </c>
      <c r="O879" s="99">
        <f>SUMIF(Import!$B:$B,$A879,Import!J:J)</f>
        <v>199</v>
      </c>
      <c r="P879" s="99">
        <f t="shared" si="846"/>
        <v>0</v>
      </c>
      <c r="Q879" s="99">
        <f>SUMIF(Import!$B:$B,$A879,Import!K:K)</f>
        <v>0</v>
      </c>
      <c r="R879" s="99">
        <f>SUMIF(Import!$B:$B,$A879,Import!L:L)</f>
        <v>0</v>
      </c>
      <c r="S879" s="99">
        <f>SUMIF(Import!$B:$B,$A879,Import!M:M)</f>
        <v>0</v>
      </c>
      <c r="T879" s="99">
        <f>SUMIF(Import!$B:$B,$A879,Import!N:N)</f>
        <v>0</v>
      </c>
      <c r="U879" s="99">
        <f t="shared" si="847"/>
        <v>-199</v>
      </c>
      <c r="V879" s="255">
        <f t="shared" si="848"/>
        <v>-1</v>
      </c>
      <c r="W879" s="102" t="s">
        <v>1653</v>
      </c>
      <c r="X879" s="148"/>
      <c r="Y879" s="267"/>
      <c r="Z879" s="121"/>
      <c r="AA879" s="121"/>
      <c r="AB879" s="121"/>
      <c r="AC879" s="121"/>
      <c r="AD879" s="121"/>
      <c r="AE879" s="121"/>
      <c r="AF879" s="121"/>
      <c r="AG879" s="121"/>
      <c r="AH879" s="121"/>
      <c r="AI879" s="121"/>
      <c r="AJ879" s="121"/>
      <c r="AK879" s="121"/>
      <c r="AL879" s="121"/>
    </row>
    <row r="880" spans="1:38" s="115" customFormat="1" ht="15" customHeight="1">
      <c r="A880" s="555" t="s">
        <v>1654</v>
      </c>
      <c r="B880" s="217" t="str">
        <f t="shared" si="829"/>
        <v>125</v>
      </c>
      <c r="C880" s="217" t="str">
        <f t="shared" si="830"/>
        <v>65</v>
      </c>
      <c r="D880" s="101" t="str">
        <f t="shared" si="831"/>
        <v>653</v>
      </c>
      <c r="E880" s="217" t="str">
        <f t="shared" si="832"/>
        <v>125-65-653</v>
      </c>
      <c r="F880" s="294" t="str">
        <f t="shared" si="833"/>
        <v>50650</v>
      </c>
      <c r="G880" s="295" t="str">
        <f>VLOOKUP(F880,'GL Category'!A:C,3,FALSE)</f>
        <v>Personnel services</v>
      </c>
      <c r="H880" s="98" t="str">
        <f>VLOOKUP(F880,'GL Category'!A:C,2,FALSE)</f>
        <v>RETIREMENT</v>
      </c>
      <c r="I880" s="99">
        <f>SUMIF(Import!$B:$B,$A880,Import!D:D)</f>
        <v>11.69</v>
      </c>
      <c r="J880" s="99">
        <f>SUMIF(Import!$B:$B,$A880,Import!E:E)</f>
        <v>0</v>
      </c>
      <c r="K880" s="99">
        <f>SUMIF(Import!$B:$B,$A880,Import!F:F)</f>
        <v>0</v>
      </c>
      <c r="L880" s="99">
        <f>SUMIF(Import!$B:$B,$A880,Import!G:G)</f>
        <v>0</v>
      </c>
      <c r="M880" s="99">
        <f>SUMIF(Import!$B:$B,$A880,Import!H:H)</f>
        <v>0</v>
      </c>
      <c r="N880" s="99">
        <f>SUMIF(Import!$B:$B,$A880,Import!I:I)</f>
        <v>0</v>
      </c>
      <c r="O880" s="99">
        <f>SUMIF(Import!$B:$B,$A880,Import!J:J)</f>
        <v>0</v>
      </c>
      <c r="P880" s="99">
        <f t="shared" si="846"/>
        <v>0</v>
      </c>
      <c r="Q880" s="99">
        <f>SUMIF(Import!$B:$B,$A880,Import!K:K)</f>
        <v>0</v>
      </c>
      <c r="R880" s="99">
        <f>SUMIF(Import!$B:$B,$A880,Import!L:L)</f>
        <v>0</v>
      </c>
      <c r="S880" s="99">
        <f>SUMIF(Import!$B:$B,$A880,Import!M:M)</f>
        <v>0</v>
      </c>
      <c r="T880" s="99">
        <f>SUMIF(Import!$B:$B,$A880,Import!N:N)</f>
        <v>0</v>
      </c>
      <c r="U880" s="99">
        <f t="shared" si="847"/>
        <v>0</v>
      </c>
      <c r="V880" s="255" t="str">
        <f t="shared" si="848"/>
        <v>N/A</v>
      </c>
      <c r="W880" s="102" t="s">
        <v>1654</v>
      </c>
      <c r="X880" s="148"/>
      <c r="Y880" s="267"/>
      <c r="Z880" s="121"/>
      <c r="AA880" s="121"/>
      <c r="AB880" s="121"/>
      <c r="AC880" s="121"/>
      <c r="AD880" s="121"/>
      <c r="AE880" s="121"/>
      <c r="AF880" s="121"/>
      <c r="AG880" s="121"/>
      <c r="AH880" s="121"/>
      <c r="AI880" s="121"/>
      <c r="AJ880" s="121"/>
      <c r="AK880" s="121"/>
      <c r="AL880" s="121"/>
    </row>
    <row r="881" spans="1:38" s="115" customFormat="1" ht="15" customHeight="1">
      <c r="A881" s="555"/>
      <c r="B881" s="217"/>
      <c r="C881" s="217"/>
      <c r="D881" s="101"/>
      <c r="E881" s="217"/>
      <c r="F881" s="294"/>
      <c r="G881" s="146"/>
      <c r="H881" s="107" t="str">
        <f>UPPER(G880)&amp;" TOTAL"</f>
        <v>PERSONNEL SERVICES TOTAL</v>
      </c>
      <c r="I881" s="108">
        <f t="shared" ref="I881" si="849">SUBTOTAL(9,I871:I880)</f>
        <v>6857.44</v>
      </c>
      <c r="J881" s="108">
        <f t="shared" ref="J881:P881" si="850">SUBTOTAL(9,J871:J880)</f>
        <v>9966.6799999999985</v>
      </c>
      <c r="K881" s="108">
        <f t="shared" ref="K881" si="851">SUBTOTAL(9,K871:K880)</f>
        <v>17659.13</v>
      </c>
      <c r="L881" s="108">
        <f t="shared" ref="L881" si="852">SUBTOTAL(9,L871:L880)</f>
        <v>15629.17</v>
      </c>
      <c r="M881" s="108">
        <f t="shared" si="850"/>
        <v>17311</v>
      </c>
      <c r="N881" s="109">
        <f t="shared" ref="N881" si="853">SUBTOTAL(9,N871:N880)</f>
        <v>11090.99</v>
      </c>
      <c r="O881" s="109">
        <f t="shared" si="850"/>
        <v>14099</v>
      </c>
      <c r="P881" s="109">
        <f t="shared" si="850"/>
        <v>-3212</v>
      </c>
      <c r="Q881" s="109">
        <f t="shared" ref="Q881:T881" si="854">SUBTOTAL(9,Q871:Q880)</f>
        <v>0</v>
      </c>
      <c r="R881" s="109">
        <f t="shared" si="854"/>
        <v>0</v>
      </c>
      <c r="S881" s="109">
        <f t="shared" si="854"/>
        <v>0</v>
      </c>
      <c r="T881" s="109">
        <f t="shared" si="854"/>
        <v>0</v>
      </c>
      <c r="U881" s="99">
        <f>T881-M881</f>
        <v>-17311</v>
      </c>
      <c r="V881" s="259">
        <f>IF(M881=0,"N/A",T881/M881-1)</f>
        <v>-1</v>
      </c>
      <c r="W881" s="104"/>
      <c r="X881" s="148"/>
      <c r="Y881" s="267"/>
      <c r="Z881" s="121"/>
      <c r="AA881" s="121"/>
      <c r="AB881" s="121"/>
      <c r="AC881" s="121"/>
      <c r="AD881" s="121"/>
      <c r="AE881" s="121"/>
      <c r="AF881" s="121"/>
      <c r="AG881" s="121"/>
      <c r="AH881" s="121"/>
      <c r="AI881" s="121"/>
      <c r="AJ881" s="121"/>
      <c r="AK881" s="121"/>
      <c r="AL881" s="121"/>
    </row>
    <row r="882" spans="1:38" s="115" customFormat="1" ht="15" customHeight="1">
      <c r="A882" s="555"/>
      <c r="B882" s="217"/>
      <c r="C882" s="217"/>
      <c r="D882" s="101"/>
      <c r="E882" s="217"/>
      <c r="F882" s="294"/>
      <c r="G882" s="146"/>
      <c r="H882" s="98"/>
      <c r="I882" s="106"/>
      <c r="J882" s="106"/>
      <c r="K882" s="106"/>
      <c r="L882" s="106"/>
      <c r="M882" s="106"/>
      <c r="N882" s="112"/>
      <c r="O882" s="112"/>
      <c r="P882" s="112"/>
      <c r="Q882" s="113"/>
      <c r="R882" s="113"/>
      <c r="S882" s="113"/>
      <c r="T882" s="113"/>
      <c r="U882" s="113"/>
      <c r="V882" s="113"/>
      <c r="W882" s="104"/>
      <c r="X882" s="148"/>
      <c r="Y882" s="267"/>
      <c r="Z882" s="121"/>
      <c r="AA882" s="121"/>
      <c r="AB882" s="121"/>
      <c r="AC882" s="121"/>
      <c r="AD882" s="121"/>
      <c r="AE882" s="121"/>
      <c r="AF882" s="121"/>
      <c r="AG882" s="121"/>
      <c r="AH882" s="121"/>
      <c r="AI882" s="121"/>
      <c r="AJ882" s="121"/>
      <c r="AK882" s="121"/>
      <c r="AL882" s="121"/>
    </row>
    <row r="883" spans="1:38" s="115" customFormat="1" ht="15" customHeight="1">
      <c r="A883" s="555" t="s">
        <v>1655</v>
      </c>
      <c r="B883" s="217" t="str">
        <f t="shared" si="829"/>
        <v>125</v>
      </c>
      <c r="C883" s="217" t="str">
        <f t="shared" si="830"/>
        <v>65</v>
      </c>
      <c r="D883" s="101" t="str">
        <f t="shared" si="831"/>
        <v>653</v>
      </c>
      <c r="E883" s="217" t="str">
        <f t="shared" si="832"/>
        <v>125-65-653</v>
      </c>
      <c r="F883" s="294" t="str">
        <f t="shared" si="833"/>
        <v>51245</v>
      </c>
      <c r="G883" s="295" t="str">
        <f>VLOOKUP(F883,'GL Category'!A:C,3,FALSE)</f>
        <v>Operations &amp; maintenance</v>
      </c>
      <c r="H883" s="98" t="str">
        <f>VLOOKUP(F883,'GL Category'!A:C,2,FALSE)</f>
        <v>SMALL TOOLS &amp; EQUIPMENT</v>
      </c>
      <c r="I883" s="99">
        <f>SUMIF(Import!$B:$B,$A883,Import!D:D)</f>
        <v>1725.47</v>
      </c>
      <c r="J883" s="99">
        <f>SUMIF(Import!$B:$B,$A883,Import!E:E)</f>
        <v>1885.13</v>
      </c>
      <c r="K883" s="99">
        <f>SUMIF(Import!$B:$B,$A883,Import!F:F)</f>
        <v>10323.09</v>
      </c>
      <c r="L883" s="99">
        <f>SUMIF(Import!$B:$B,$A883,Import!G:G)</f>
        <v>1449.07</v>
      </c>
      <c r="M883" s="99">
        <f>SUMIF(Import!$B:$B,$A883,Import!H:H)</f>
        <v>5000</v>
      </c>
      <c r="N883" s="99">
        <f>SUMIF(Import!$B:$B,$A883,Import!I:I)</f>
        <v>1993.37</v>
      </c>
      <c r="O883" s="99">
        <f>SUMIF(Import!$B:$B,$A883,Import!J:J)</f>
        <v>3500</v>
      </c>
      <c r="P883" s="99">
        <f t="shared" ref="P883:P885" si="855">O883-M883</f>
        <v>-1500</v>
      </c>
      <c r="Q883" s="99">
        <f>SUMIF(Import!$B:$B,$A883,Import!K:K)</f>
        <v>5000</v>
      </c>
      <c r="R883" s="99">
        <f>SUMIF(Import!$B:$B,$A883,Import!L:L)</f>
        <v>0</v>
      </c>
      <c r="S883" s="99">
        <f>SUMIF(Import!$B:$B,$A883,Import!M:M)</f>
        <v>0</v>
      </c>
      <c r="T883" s="99">
        <f>SUMIF(Import!$B:$B,$A883,Import!N:N)</f>
        <v>5000</v>
      </c>
      <c r="U883" s="99">
        <f t="shared" ref="U883:U885" si="856">T883-M883</f>
        <v>0</v>
      </c>
      <c r="V883" s="255">
        <f t="shared" ref="V883:V885" si="857">IF(M883=0,"N/A",T883/M883-1)</f>
        <v>0</v>
      </c>
      <c r="W883" s="102" t="s">
        <v>1655</v>
      </c>
      <c r="X883" s="148"/>
      <c r="Y883" s="267"/>
      <c r="Z883" s="121"/>
      <c r="AA883" s="121"/>
      <c r="AB883" s="121"/>
      <c r="AC883" s="121"/>
      <c r="AD883" s="121"/>
      <c r="AE883" s="121"/>
      <c r="AF883" s="121"/>
      <c r="AG883" s="121"/>
      <c r="AH883" s="121"/>
      <c r="AI883" s="121"/>
      <c r="AJ883" s="121"/>
      <c r="AK883" s="121"/>
      <c r="AL883" s="121"/>
    </row>
    <row r="884" spans="1:38" s="115" customFormat="1" ht="15" customHeight="1">
      <c r="A884" s="555" t="s">
        <v>1656</v>
      </c>
      <c r="B884" s="217" t="str">
        <f t="shared" si="829"/>
        <v>125</v>
      </c>
      <c r="C884" s="217" t="str">
        <f t="shared" si="830"/>
        <v>65</v>
      </c>
      <c r="D884" s="101" t="str">
        <f t="shared" si="831"/>
        <v>653</v>
      </c>
      <c r="E884" s="217" t="str">
        <f t="shared" si="832"/>
        <v>125-65-653</v>
      </c>
      <c r="F884" s="294" t="str">
        <f t="shared" si="833"/>
        <v>51280</v>
      </c>
      <c r="G884" s="295" t="str">
        <f>VLOOKUP(F884,'GL Category'!A:C,3,FALSE)</f>
        <v>Operations &amp; maintenance</v>
      </c>
      <c r="H884" s="98" t="str">
        <f>VLOOKUP(F884,'GL Category'!A:C,2,FALSE)</f>
        <v>CONCESSION SUPPLIES</v>
      </c>
      <c r="I884" s="99">
        <f>SUMIF(Import!$B:$B,$A884,Import!D:D)</f>
        <v>0</v>
      </c>
      <c r="J884" s="99">
        <f>SUMIF(Import!$B:$B,$A884,Import!E:E)</f>
        <v>0</v>
      </c>
      <c r="K884" s="99">
        <f>SUMIF(Import!$B:$B,$A884,Import!F:F)</f>
        <v>0</v>
      </c>
      <c r="L884" s="99">
        <f>SUMIF(Import!$B:$B,$A884,Import!G:G)</f>
        <v>0</v>
      </c>
      <c r="M884" s="99">
        <f>SUMIF(Import!$B:$B,$A884,Import!H:H)</f>
        <v>0</v>
      </c>
      <c r="N884" s="99">
        <f>SUMIF(Import!$B:$B,$A884,Import!I:I)</f>
        <v>0</v>
      </c>
      <c r="O884" s="99">
        <f>SUMIF(Import!$B:$B,$A884,Import!J:J)</f>
        <v>0</v>
      </c>
      <c r="P884" s="99">
        <f t="shared" si="855"/>
        <v>0</v>
      </c>
      <c r="Q884" s="99">
        <f>SUMIF(Import!$B:$B,$A884,Import!K:K)</f>
        <v>0</v>
      </c>
      <c r="R884" s="99">
        <f>SUMIF(Import!$B:$B,$A884,Import!L:L)</f>
        <v>0</v>
      </c>
      <c r="S884" s="99">
        <f>SUMIF(Import!$B:$B,$A884,Import!M:M)</f>
        <v>0</v>
      </c>
      <c r="T884" s="99">
        <f>SUMIF(Import!$B:$B,$A884,Import!N:N)</f>
        <v>0</v>
      </c>
      <c r="U884" s="99">
        <f t="shared" si="856"/>
        <v>0</v>
      </c>
      <c r="V884" s="255" t="str">
        <f t="shared" si="857"/>
        <v>N/A</v>
      </c>
      <c r="W884" s="102" t="s">
        <v>1656</v>
      </c>
      <c r="X884" s="148"/>
      <c r="Y884" s="267"/>
      <c r="Z884" s="121"/>
      <c r="AA884" s="121"/>
      <c r="AB884" s="121"/>
      <c r="AC884" s="121"/>
      <c r="AD884" s="121"/>
      <c r="AE884" s="121"/>
      <c r="AF884" s="121"/>
      <c r="AG884" s="121"/>
      <c r="AH884" s="121"/>
      <c r="AI884" s="121"/>
      <c r="AJ884" s="121"/>
      <c r="AK884" s="121"/>
      <c r="AL884" s="121"/>
    </row>
    <row r="885" spans="1:38" s="115" customFormat="1" ht="15" customHeight="1">
      <c r="A885" s="555" t="s">
        <v>1657</v>
      </c>
      <c r="B885" s="217" t="str">
        <f t="shared" si="829"/>
        <v>125</v>
      </c>
      <c r="C885" s="217" t="str">
        <f t="shared" si="830"/>
        <v>65</v>
      </c>
      <c r="D885" s="101" t="str">
        <f t="shared" si="831"/>
        <v>653</v>
      </c>
      <c r="E885" s="217" t="str">
        <f t="shared" si="832"/>
        <v>125-65-653</v>
      </c>
      <c r="F885" s="294" t="str">
        <f t="shared" si="833"/>
        <v>52470</v>
      </c>
      <c r="G885" s="295" t="str">
        <f>VLOOKUP(F885,'GL Category'!A:C,3,FALSE)</f>
        <v>Operations &amp; maintenance</v>
      </c>
      <c r="H885" s="98" t="str">
        <f>VLOOKUP(F885,'GL Category'!A:C,2,FALSE)</f>
        <v>EQUIPMENT MAINTENANCE</v>
      </c>
      <c r="I885" s="99">
        <f>SUMIF(Import!$B:$B,$A885,Import!D:D)</f>
        <v>6782.27</v>
      </c>
      <c r="J885" s="99">
        <f>SUMIF(Import!$B:$B,$A885,Import!E:E)</f>
        <v>8538.5300000000007</v>
      </c>
      <c r="K885" s="99">
        <f>SUMIF(Import!$B:$B,$A885,Import!F:F)</f>
        <v>8221.2000000000007</v>
      </c>
      <c r="L885" s="99">
        <f>SUMIF(Import!$B:$B,$A885,Import!G:G)</f>
        <v>15440.55</v>
      </c>
      <c r="M885" s="99">
        <f>SUMIF(Import!$B:$B,$A885,Import!H:H)</f>
        <v>8000</v>
      </c>
      <c r="N885" s="99">
        <f>SUMIF(Import!$B:$B,$A885,Import!I:I)</f>
        <v>14680.41</v>
      </c>
      <c r="O885" s="99">
        <f>SUMIF(Import!$B:$B,$A885,Import!J:J)</f>
        <v>17500</v>
      </c>
      <c r="P885" s="99">
        <f t="shared" si="855"/>
        <v>9500</v>
      </c>
      <c r="Q885" s="99">
        <f>SUMIF(Import!$B:$B,$A885,Import!K:K)</f>
        <v>18000</v>
      </c>
      <c r="R885" s="99">
        <f>SUMIF(Import!$B:$B,$A885,Import!L:L)</f>
        <v>0</v>
      </c>
      <c r="S885" s="99">
        <f>SUMIF(Import!$B:$B,$A885,Import!M:M)</f>
        <v>0</v>
      </c>
      <c r="T885" s="99">
        <f>SUMIF(Import!$B:$B,$A885,Import!N:N)</f>
        <v>18000</v>
      </c>
      <c r="U885" s="99">
        <f t="shared" si="856"/>
        <v>10000</v>
      </c>
      <c r="V885" s="255">
        <f t="shared" si="857"/>
        <v>1.25</v>
      </c>
      <c r="W885" s="102" t="s">
        <v>1657</v>
      </c>
      <c r="X885" s="148"/>
      <c r="Y885" s="267"/>
      <c r="Z885" s="121"/>
      <c r="AA885" s="121"/>
      <c r="AB885" s="121"/>
      <c r="AC885" s="121"/>
      <c r="AD885" s="121"/>
      <c r="AE885" s="121"/>
      <c r="AF885" s="121"/>
      <c r="AG885" s="121"/>
      <c r="AH885" s="121"/>
      <c r="AI885" s="121"/>
      <c r="AJ885" s="121"/>
      <c r="AK885" s="121"/>
      <c r="AL885" s="121"/>
    </row>
    <row r="886" spans="1:38" s="115" customFormat="1" ht="30.6" customHeight="1">
      <c r="A886" s="555"/>
      <c r="B886" s="217"/>
      <c r="C886" s="217"/>
      <c r="D886" s="101"/>
      <c r="E886" s="217"/>
      <c r="F886" s="294"/>
      <c r="G886" s="146"/>
      <c r="H886" s="107" t="str">
        <f>UPPER(G885)&amp;" TOTAL"</f>
        <v>OPERATIONS &amp; MAINTENANCE TOTAL</v>
      </c>
      <c r="I886" s="108">
        <f t="shared" ref="I886" si="858">SUBTOTAL(9,I883:I885)</f>
        <v>8507.74</v>
      </c>
      <c r="J886" s="108">
        <f t="shared" ref="J886:P886" si="859">SUBTOTAL(9,J883:J885)</f>
        <v>10423.66</v>
      </c>
      <c r="K886" s="108">
        <f t="shared" ref="K886" si="860">SUBTOTAL(9,K883:K885)</f>
        <v>18544.29</v>
      </c>
      <c r="L886" s="108">
        <f t="shared" ref="L886" si="861">SUBTOTAL(9,L883:L885)</f>
        <v>16889.62</v>
      </c>
      <c r="M886" s="108">
        <f t="shared" si="859"/>
        <v>13000</v>
      </c>
      <c r="N886" s="109">
        <f t="shared" ref="N886" si="862">SUBTOTAL(9,N883:N885)</f>
        <v>16673.78</v>
      </c>
      <c r="O886" s="109">
        <f t="shared" si="859"/>
        <v>21000</v>
      </c>
      <c r="P886" s="109">
        <f t="shared" si="859"/>
        <v>8000</v>
      </c>
      <c r="Q886" s="109">
        <f t="shared" ref="Q886:T886" si="863">SUBTOTAL(9,Q883:Q885)</f>
        <v>23000</v>
      </c>
      <c r="R886" s="109">
        <f t="shared" si="863"/>
        <v>0</v>
      </c>
      <c r="S886" s="109">
        <f t="shared" si="863"/>
        <v>0</v>
      </c>
      <c r="T886" s="109">
        <f t="shared" si="863"/>
        <v>23000</v>
      </c>
      <c r="U886" s="99">
        <f>T886-M886</f>
        <v>10000</v>
      </c>
      <c r="V886" s="259">
        <f>IF(M886=0,"N/A",T886/M886-1)</f>
        <v>0.76923076923076916</v>
      </c>
      <c r="W886" s="104"/>
      <c r="X886" s="148"/>
      <c r="Y886" s="267"/>
      <c r="Z886" s="121"/>
      <c r="AA886" s="121"/>
      <c r="AB886" s="121"/>
      <c r="AC886" s="121"/>
      <c r="AD886" s="121"/>
      <c r="AE886" s="121"/>
      <c r="AF886" s="121"/>
      <c r="AG886" s="121"/>
      <c r="AH886" s="121"/>
      <c r="AI886" s="121"/>
      <c r="AJ886" s="121"/>
      <c r="AK886" s="121"/>
      <c r="AL886" s="121"/>
    </row>
    <row r="887" spans="1:38" s="115" customFormat="1" ht="15" customHeight="1">
      <c r="A887" s="555"/>
      <c r="B887" s="217"/>
      <c r="C887" s="217"/>
      <c r="D887" s="101"/>
      <c r="E887" s="217"/>
      <c r="F887" s="294"/>
      <c r="G887" s="146"/>
      <c r="H887" s="98"/>
      <c r="I887" s="106"/>
      <c r="J887" s="106"/>
      <c r="K887" s="106"/>
      <c r="L887" s="106"/>
      <c r="M887" s="106"/>
      <c r="N887" s="112"/>
      <c r="O887" s="112"/>
      <c r="P887" s="112"/>
      <c r="Q887" s="113"/>
      <c r="R887" s="113"/>
      <c r="S887" s="113"/>
      <c r="T887" s="113"/>
      <c r="U887" s="113"/>
      <c r="V887" s="113"/>
      <c r="W887" s="104"/>
      <c r="X887" s="148"/>
      <c r="Y887" s="267"/>
      <c r="Z887" s="121"/>
      <c r="AA887" s="121"/>
      <c r="AB887" s="121"/>
      <c r="AC887" s="121"/>
      <c r="AD887" s="121"/>
      <c r="AE887" s="121"/>
      <c r="AF887" s="121"/>
      <c r="AG887" s="121"/>
      <c r="AH887" s="121"/>
      <c r="AI887" s="121"/>
      <c r="AJ887" s="121"/>
      <c r="AK887" s="121"/>
      <c r="AL887" s="121"/>
    </row>
    <row r="888" spans="1:38" s="115" customFormat="1" ht="15" customHeight="1">
      <c r="A888" s="555" t="s">
        <v>1658</v>
      </c>
      <c r="B888" s="217" t="str">
        <f t="shared" si="829"/>
        <v>125</v>
      </c>
      <c r="C888" s="217" t="str">
        <f t="shared" si="830"/>
        <v>65</v>
      </c>
      <c r="D888" s="101" t="str">
        <f t="shared" si="831"/>
        <v>653</v>
      </c>
      <c r="E888" s="217" t="str">
        <f t="shared" si="832"/>
        <v>125-65-653</v>
      </c>
      <c r="F888" s="294" t="str">
        <f t="shared" si="833"/>
        <v>53599</v>
      </c>
      <c r="G888" s="295" t="str">
        <f>VLOOKUP(F888,'GL Category'!A:C,3,FALSE)</f>
        <v>Services &amp; other</v>
      </c>
      <c r="H888" s="98" t="str">
        <f>VLOOKUP(F888,'GL Category'!A:C,2,FALSE)</f>
        <v>MISCELLANEOUS SERVICES</v>
      </c>
      <c r="I888" s="99">
        <f>SUMIF(Import!$B:$B,$A888,Import!D:D)</f>
        <v>0</v>
      </c>
      <c r="J888" s="99">
        <f>SUMIF(Import!$B:$B,$A888,Import!E:E)</f>
        <v>0</v>
      </c>
      <c r="K888" s="99">
        <f>SUMIF(Import!$B:$B,$A888,Import!F:F)</f>
        <v>0</v>
      </c>
      <c r="L888" s="99">
        <f>SUMIF(Import!$B:$B,$A888,Import!G:G)</f>
        <v>0</v>
      </c>
      <c r="M888" s="99">
        <f>SUMIF(Import!$B:$B,$A888,Import!H:H)</f>
        <v>0</v>
      </c>
      <c r="N888" s="99">
        <f>SUMIF(Import!$B:$B,$A888,Import!I:I)</f>
        <v>0</v>
      </c>
      <c r="O888" s="99">
        <f>SUMIF(Import!$B:$B,$A888,Import!J:J)</f>
        <v>0</v>
      </c>
      <c r="P888" s="99">
        <f t="shared" ref="P888:P893" si="864">O888-M888</f>
        <v>0</v>
      </c>
      <c r="Q888" s="99">
        <f>SUMIF(Import!$B:$B,$A888,Import!K:K)</f>
        <v>0</v>
      </c>
      <c r="R888" s="99">
        <f>SUMIF(Import!$B:$B,$A888,Import!L:L)</f>
        <v>0</v>
      </c>
      <c r="S888" s="99">
        <f>SUMIF(Import!$B:$B,$A888,Import!M:M)</f>
        <v>0</v>
      </c>
      <c r="T888" s="99">
        <f>SUMIF(Import!$B:$B,$A888,Import!N:N)</f>
        <v>0</v>
      </c>
      <c r="U888" s="99">
        <f t="shared" ref="U888:U893" si="865">T888-M888</f>
        <v>0</v>
      </c>
      <c r="V888" s="255" t="str">
        <f t="shared" ref="V888:V893" si="866">IF(M888=0,"N/A",T888/M888-1)</f>
        <v>N/A</v>
      </c>
      <c r="W888" s="102" t="s">
        <v>1658</v>
      </c>
      <c r="X888" s="148"/>
      <c r="Y888" s="267"/>
      <c r="Z888" s="121"/>
      <c r="AA888" s="121"/>
      <c r="AB888" s="121"/>
      <c r="AC888" s="121"/>
      <c r="AD888" s="121"/>
      <c r="AE888" s="121"/>
      <c r="AF888" s="121"/>
      <c r="AG888" s="121"/>
      <c r="AH888" s="121"/>
      <c r="AI888" s="121"/>
      <c r="AJ888" s="121"/>
      <c r="AK888" s="121"/>
      <c r="AL888" s="121"/>
    </row>
    <row r="889" spans="1:38" s="115" customFormat="1" ht="15" customHeight="1">
      <c r="A889" s="555" t="s">
        <v>1659</v>
      </c>
      <c r="B889" s="217" t="str">
        <f t="shared" si="829"/>
        <v>125</v>
      </c>
      <c r="C889" s="217" t="str">
        <f t="shared" si="830"/>
        <v>65</v>
      </c>
      <c r="D889" s="101" t="str">
        <f t="shared" si="831"/>
        <v>653</v>
      </c>
      <c r="E889" s="217" t="str">
        <f t="shared" si="832"/>
        <v>125-65-653</v>
      </c>
      <c r="F889" s="294" t="str">
        <f t="shared" si="833"/>
        <v>53510</v>
      </c>
      <c r="G889" s="295" t="str">
        <f>VLOOKUP(F889,'GL Category'!A:C,3,FALSE)</f>
        <v>Services &amp; other</v>
      </c>
      <c r="H889" s="98" t="str">
        <f>VLOOKUP(F889,'GL Category'!A:C,2,FALSE)</f>
        <v>DUES &amp; SUBSCRIPTIONS</v>
      </c>
      <c r="I889" s="99">
        <f>SUMIF(Import!$B:$B,$A889,Import!D:D)</f>
        <v>0</v>
      </c>
      <c r="J889" s="99">
        <f>SUMIF(Import!$B:$B,$A889,Import!E:E)</f>
        <v>0</v>
      </c>
      <c r="K889" s="99">
        <f>SUMIF(Import!$B:$B,$A889,Import!F:F)</f>
        <v>0</v>
      </c>
      <c r="L889" s="99">
        <f>SUMIF(Import!$B:$B,$A889,Import!G:G)</f>
        <v>0</v>
      </c>
      <c r="M889" s="99">
        <f>SUMIF(Import!$B:$B,$A889,Import!H:H)</f>
        <v>0</v>
      </c>
      <c r="N889" s="99">
        <f>SUMIF(Import!$B:$B,$A889,Import!I:I)</f>
        <v>0</v>
      </c>
      <c r="O889" s="99">
        <f>SUMIF(Import!$B:$B,$A889,Import!J:J)</f>
        <v>0</v>
      </c>
      <c r="P889" s="99">
        <f t="shared" si="864"/>
        <v>0</v>
      </c>
      <c r="Q889" s="99">
        <f>SUMIF(Import!$B:$B,$A889,Import!K:K)</f>
        <v>0</v>
      </c>
      <c r="R889" s="99">
        <f>SUMIF(Import!$B:$B,$A889,Import!L:L)</f>
        <v>0</v>
      </c>
      <c r="S889" s="99">
        <f>SUMIF(Import!$B:$B,$A889,Import!M:M)</f>
        <v>0</v>
      </c>
      <c r="T889" s="99">
        <f>SUMIF(Import!$B:$B,$A889,Import!N:N)</f>
        <v>0</v>
      </c>
      <c r="U889" s="99">
        <f t="shared" si="865"/>
        <v>0</v>
      </c>
      <c r="V889" s="255" t="str">
        <f t="shared" si="866"/>
        <v>N/A</v>
      </c>
      <c r="W889" s="102" t="s">
        <v>1659</v>
      </c>
      <c r="X889" s="148"/>
      <c r="Y889" s="267"/>
      <c r="Z889" s="121"/>
      <c r="AA889" s="121"/>
      <c r="AB889" s="121"/>
      <c r="AC889" s="121"/>
      <c r="AD889" s="121"/>
      <c r="AE889" s="121"/>
      <c r="AF889" s="121"/>
      <c r="AG889" s="121"/>
      <c r="AH889" s="121"/>
      <c r="AI889" s="121"/>
      <c r="AJ889" s="121"/>
      <c r="AK889" s="121"/>
      <c r="AL889" s="121"/>
    </row>
    <row r="890" spans="1:38" s="115" customFormat="1" ht="15" customHeight="1">
      <c r="A890" s="555" t="s">
        <v>1660</v>
      </c>
      <c r="B890" s="217" t="str">
        <f t="shared" si="829"/>
        <v>125</v>
      </c>
      <c r="C890" s="217" t="str">
        <f t="shared" si="830"/>
        <v>65</v>
      </c>
      <c r="D890" s="101" t="str">
        <f t="shared" si="831"/>
        <v>653</v>
      </c>
      <c r="E890" s="217" t="str">
        <f t="shared" si="832"/>
        <v>125-65-653</v>
      </c>
      <c r="F890" s="294" t="str">
        <f t="shared" si="833"/>
        <v>53515</v>
      </c>
      <c r="G890" s="295" t="str">
        <f>VLOOKUP(F890,'GL Category'!A:C,3,FALSE)</f>
        <v>Services &amp; other</v>
      </c>
      <c r="H890" s="98" t="str">
        <f>VLOOKUP(F890,'GL Category'!A:C,2,FALSE)</f>
        <v>TRAVEL, TRAINING &amp; EDUCATION</v>
      </c>
      <c r="I890" s="99">
        <f>SUMIF(Import!$B:$B,$A890,Import!D:D)</f>
        <v>0</v>
      </c>
      <c r="J890" s="99">
        <f>SUMIF(Import!$B:$B,$A890,Import!E:E)</f>
        <v>0</v>
      </c>
      <c r="K890" s="99">
        <f>SUMIF(Import!$B:$B,$A890,Import!F:F)</f>
        <v>0</v>
      </c>
      <c r="L890" s="99">
        <f>SUMIF(Import!$B:$B,$A890,Import!G:G)</f>
        <v>0</v>
      </c>
      <c r="M890" s="99">
        <f>SUMIF(Import!$B:$B,$A890,Import!H:H)</f>
        <v>0</v>
      </c>
      <c r="N890" s="99">
        <f>SUMIF(Import!$B:$B,$A890,Import!I:I)</f>
        <v>0</v>
      </c>
      <c r="O890" s="99">
        <f>SUMIF(Import!$B:$B,$A890,Import!J:J)</f>
        <v>0</v>
      </c>
      <c r="P890" s="99">
        <f t="shared" si="864"/>
        <v>0</v>
      </c>
      <c r="Q890" s="99">
        <f>SUMIF(Import!$B:$B,$A890,Import!K:K)</f>
        <v>0</v>
      </c>
      <c r="R890" s="99">
        <f>SUMIF(Import!$B:$B,$A890,Import!L:L)</f>
        <v>0</v>
      </c>
      <c r="S890" s="99">
        <f>SUMIF(Import!$B:$B,$A890,Import!M:M)</f>
        <v>0</v>
      </c>
      <c r="T890" s="99">
        <f>SUMIF(Import!$B:$B,$A890,Import!N:N)</f>
        <v>0</v>
      </c>
      <c r="U890" s="99">
        <f t="shared" si="865"/>
        <v>0</v>
      </c>
      <c r="V890" s="255" t="str">
        <f t="shared" si="866"/>
        <v>N/A</v>
      </c>
      <c r="W890" s="102" t="s">
        <v>1660</v>
      </c>
      <c r="X890" s="148"/>
      <c r="Y890" s="267"/>
      <c r="Z890" s="121"/>
      <c r="AA890" s="121"/>
      <c r="AB890" s="121"/>
      <c r="AC890" s="121"/>
      <c r="AD890" s="121"/>
      <c r="AE890" s="121"/>
      <c r="AF890" s="121"/>
      <c r="AG890" s="121"/>
      <c r="AH890" s="121"/>
      <c r="AI890" s="121"/>
      <c r="AJ890" s="121"/>
      <c r="AK890" s="121"/>
      <c r="AL890" s="121"/>
    </row>
    <row r="891" spans="1:38" s="115" customFormat="1" ht="15" customHeight="1">
      <c r="A891" s="555" t="s">
        <v>1661</v>
      </c>
      <c r="B891" s="217" t="str">
        <f t="shared" si="829"/>
        <v>125</v>
      </c>
      <c r="C891" s="217" t="str">
        <f t="shared" si="830"/>
        <v>65</v>
      </c>
      <c r="D891" s="101" t="str">
        <f t="shared" si="831"/>
        <v>653</v>
      </c>
      <c r="E891" s="217" t="str">
        <f t="shared" si="832"/>
        <v>125-65-653</v>
      </c>
      <c r="F891" s="294" t="str">
        <f t="shared" si="833"/>
        <v>53535</v>
      </c>
      <c r="G891" s="295" t="str">
        <f>VLOOKUP(F891,'GL Category'!A:C,3,FALSE)</f>
        <v>Services &amp; other</v>
      </c>
      <c r="H891" s="98" t="str">
        <f>VLOOKUP(F891,'GL Category'!A:C,2,FALSE)</f>
        <v>RECREATION &amp; CULTURE PROGRAMS</v>
      </c>
      <c r="I891" s="99">
        <f>SUMIF(Import!$B:$B,$A891,Import!D:D)</f>
        <v>47443.82</v>
      </c>
      <c r="J891" s="99">
        <f>SUMIF(Import!$B:$B,$A891,Import!E:E)</f>
        <v>69450.25</v>
      </c>
      <c r="K891" s="99">
        <f>SUMIF(Import!$B:$B,$A891,Import!F:F)</f>
        <v>56159</v>
      </c>
      <c r="L891" s="99">
        <f>SUMIF(Import!$B:$B,$A891,Import!G:G)</f>
        <v>75083.7</v>
      </c>
      <c r="M891" s="99">
        <f>SUMIF(Import!$B:$B,$A891,Import!H:H)</f>
        <v>84000</v>
      </c>
      <c r="N891" s="99">
        <f>SUMIF(Import!$B:$B,$A891,Import!I:I)</f>
        <v>117185.85</v>
      </c>
      <c r="O891" s="99">
        <f>SUMIF(Import!$B:$B,$A891,Import!J:J)</f>
        <v>162000</v>
      </c>
      <c r="P891" s="99">
        <f t="shared" si="864"/>
        <v>78000</v>
      </c>
      <c r="Q891" s="99">
        <f>SUMIF(Import!$B:$B,$A891,Import!K:K)</f>
        <v>74000</v>
      </c>
      <c r="R891" s="99">
        <f>SUMIF(Import!$B:$B,$A891,Import!L:L)</f>
        <v>84000</v>
      </c>
      <c r="S891" s="99">
        <f>SUMIF(Import!$B:$B,$A891,Import!M:M)</f>
        <v>0</v>
      </c>
      <c r="T891" s="99">
        <f>SUMIF(Import!$B:$B,$A891,Import!N:N)</f>
        <v>158000</v>
      </c>
      <c r="U891" s="99">
        <f t="shared" si="865"/>
        <v>74000</v>
      </c>
      <c r="V891" s="255">
        <f t="shared" si="866"/>
        <v>0.88095238095238093</v>
      </c>
      <c r="W891" s="102" t="s">
        <v>1661</v>
      </c>
      <c r="X891" s="148"/>
      <c r="Y891" s="267"/>
      <c r="Z891" s="121"/>
      <c r="AA891" s="121"/>
      <c r="AB891" s="121"/>
      <c r="AC891" s="121"/>
      <c r="AD891" s="121"/>
      <c r="AE891" s="121"/>
      <c r="AF891" s="121"/>
      <c r="AG891" s="121"/>
      <c r="AH891" s="121"/>
      <c r="AI891" s="121"/>
      <c r="AJ891" s="121"/>
      <c r="AK891" s="121"/>
      <c r="AL891" s="121"/>
    </row>
    <row r="892" spans="1:38" s="115" customFormat="1" ht="15" customHeight="1">
      <c r="A892" s="555" t="s">
        <v>1662</v>
      </c>
      <c r="B892" s="217" t="str">
        <f t="shared" si="829"/>
        <v>125</v>
      </c>
      <c r="C892" s="217" t="str">
        <f t="shared" si="830"/>
        <v>65</v>
      </c>
      <c r="D892" s="101" t="str">
        <f t="shared" si="831"/>
        <v>653</v>
      </c>
      <c r="E892" s="217" t="str">
        <f t="shared" si="832"/>
        <v>125-65-653</v>
      </c>
      <c r="F892" s="294" t="str">
        <f t="shared" si="833"/>
        <v>52310</v>
      </c>
      <c r="G892" s="295" t="str">
        <f>VLOOKUP(F892,'GL Category'!A:C,3,FALSE)</f>
        <v>Operations &amp; maintenance</v>
      </c>
      <c r="H892" s="98" t="str">
        <f>VLOOKUP(F892,'GL Category'!A:C,2,FALSE)</f>
        <v>BUILDING MAINTENANCE</v>
      </c>
      <c r="I892" s="99">
        <f>SUMIF(Import!$B:$B,$A892,Import!D:D)</f>
        <v>318.83999999999997</v>
      </c>
      <c r="J892" s="99">
        <f>SUMIF(Import!$B:$B,$A892,Import!E:E)</f>
        <v>184.08</v>
      </c>
      <c r="K892" s="99">
        <f>SUMIF(Import!$B:$B,$A892,Import!F:F)</f>
        <v>453.42</v>
      </c>
      <c r="L892" s="99">
        <f>SUMIF(Import!$B:$B,$A892,Import!G:G)</f>
        <v>491.32</v>
      </c>
      <c r="M892" s="99">
        <f>SUMIF(Import!$B:$B,$A892,Import!H:H)</f>
        <v>0</v>
      </c>
      <c r="N892" s="99">
        <f>SUMIF(Import!$B:$B,$A892,Import!I:I)</f>
        <v>398.25</v>
      </c>
      <c r="O892" s="99">
        <f>SUMIF(Import!$B:$B,$A892,Import!J:J)</f>
        <v>0</v>
      </c>
      <c r="P892" s="99">
        <f t="shared" si="864"/>
        <v>0</v>
      </c>
      <c r="Q892" s="99">
        <f>SUMIF(Import!$B:$B,$A892,Import!K:K)</f>
        <v>0</v>
      </c>
      <c r="R892" s="99">
        <f>SUMIF(Import!$B:$B,$A892,Import!L:L)</f>
        <v>0</v>
      </c>
      <c r="S892" s="99">
        <f>SUMIF(Import!$B:$B,$A892,Import!M:M)</f>
        <v>0</v>
      </c>
      <c r="T892" s="99">
        <f>SUMIF(Import!$B:$B,$A892,Import!N:N)</f>
        <v>0</v>
      </c>
      <c r="U892" s="99">
        <f t="shared" si="865"/>
        <v>0</v>
      </c>
      <c r="V892" s="255" t="str">
        <f t="shared" si="866"/>
        <v>N/A</v>
      </c>
      <c r="W892" s="102" t="s">
        <v>1662</v>
      </c>
      <c r="X892" s="148"/>
      <c r="Y892" s="267"/>
      <c r="Z892" s="121"/>
      <c r="AA892" s="121"/>
      <c r="AB892" s="121"/>
      <c r="AC892" s="121"/>
      <c r="AD892" s="121"/>
      <c r="AE892" s="121"/>
      <c r="AF892" s="121"/>
      <c r="AG892" s="121"/>
      <c r="AH892" s="121"/>
      <c r="AI892" s="121"/>
      <c r="AJ892" s="121"/>
      <c r="AK892" s="121"/>
      <c r="AL892" s="121"/>
    </row>
    <row r="893" spans="1:38" s="115" customFormat="1" ht="15" customHeight="1">
      <c r="A893" s="555" t="s">
        <v>1663</v>
      </c>
      <c r="B893" s="217" t="str">
        <f t="shared" si="829"/>
        <v>125</v>
      </c>
      <c r="C893" s="217" t="str">
        <f t="shared" si="830"/>
        <v>65</v>
      </c>
      <c r="D893" s="101" t="str">
        <f t="shared" si="831"/>
        <v>653</v>
      </c>
      <c r="E893" s="217" t="str">
        <f t="shared" si="832"/>
        <v>125-65-653</v>
      </c>
      <c r="F893" s="294" t="str">
        <f t="shared" si="833"/>
        <v>55119</v>
      </c>
      <c r="G893" s="295" t="str">
        <f>VLOOKUP(F893,'GL Category'!A:C,3,FALSE)</f>
        <v>Services &amp; other</v>
      </c>
      <c r="H893" s="98" t="str">
        <f>VLOOKUP(F893,'GL Category'!A:C,2,FALSE)</f>
        <v>OFFICE EQUIP LEASE EXP-CITY</v>
      </c>
      <c r="I893" s="99">
        <f>SUMIF(Import!$B:$B,$A893,Import!D:D)</f>
        <v>78</v>
      </c>
      <c r="J893" s="99">
        <f>SUMIF(Import!$B:$B,$A893,Import!E:E)</f>
        <v>257</v>
      </c>
      <c r="K893" s="99">
        <f>SUMIF(Import!$B:$B,$A893,Import!F:F)</f>
        <v>0</v>
      </c>
      <c r="L893" s="99">
        <f>SUMIF(Import!$B:$B,$A893,Import!G:G)</f>
        <v>79</v>
      </c>
      <c r="M893" s="99">
        <f>SUMIF(Import!$B:$B,$A893,Import!H:H)</f>
        <v>70</v>
      </c>
      <c r="N893" s="99">
        <f>SUMIF(Import!$B:$B,$A893,Import!I:I)</f>
        <v>52.5</v>
      </c>
      <c r="O893" s="99">
        <f>SUMIF(Import!$B:$B,$A893,Import!J:J)</f>
        <v>70</v>
      </c>
      <c r="P893" s="99">
        <f t="shared" si="864"/>
        <v>0</v>
      </c>
      <c r="Q893" s="99">
        <f>SUMIF(Import!$B:$B,$A893,Import!K:K)</f>
        <v>100</v>
      </c>
      <c r="R893" s="99">
        <f>SUMIF(Import!$B:$B,$A893,Import!L:L)</f>
        <v>0</v>
      </c>
      <c r="S893" s="99">
        <f>SUMIF(Import!$B:$B,$A893,Import!M:M)</f>
        <v>0</v>
      </c>
      <c r="T893" s="99">
        <f>SUMIF(Import!$B:$B,$A893,Import!N:N)</f>
        <v>100</v>
      </c>
      <c r="U893" s="99">
        <f t="shared" si="865"/>
        <v>30</v>
      </c>
      <c r="V893" s="255">
        <f t="shared" si="866"/>
        <v>0.4285714285714286</v>
      </c>
      <c r="W893" s="102" t="s">
        <v>1663</v>
      </c>
      <c r="X893" s="148"/>
      <c r="Y893" s="267"/>
      <c r="Z893" s="121"/>
      <c r="AA893" s="121"/>
      <c r="AB893" s="121"/>
      <c r="AC893" s="121"/>
      <c r="AD893" s="121"/>
      <c r="AE893" s="121"/>
      <c r="AF893" s="121"/>
      <c r="AG893" s="121"/>
      <c r="AH893" s="121"/>
      <c r="AI893" s="121"/>
      <c r="AJ893" s="121"/>
      <c r="AK893" s="121"/>
      <c r="AL893" s="121"/>
    </row>
    <row r="894" spans="1:38" s="115" customFormat="1" ht="15" customHeight="1">
      <c r="A894" s="555"/>
      <c r="B894" s="217"/>
      <c r="C894" s="217"/>
      <c r="D894" s="101"/>
      <c r="E894" s="217"/>
      <c r="F894" s="294"/>
      <c r="G894" s="146"/>
      <c r="H894" s="107" t="str">
        <f>UPPER(G893)&amp;" TOTAL"</f>
        <v>SERVICES &amp; OTHER TOTAL</v>
      </c>
      <c r="I894" s="109">
        <f t="shared" ref="I894" si="867">SUBTOTAL(9,I888:I893)</f>
        <v>47840.659999999996</v>
      </c>
      <c r="J894" s="109">
        <f t="shared" ref="J894:T894" si="868">SUBTOTAL(9,J888:J893)</f>
        <v>69891.33</v>
      </c>
      <c r="K894" s="109">
        <f t="shared" ref="K894" si="869">SUBTOTAL(9,K888:K893)</f>
        <v>56612.42</v>
      </c>
      <c r="L894" s="109">
        <f t="shared" ref="L894" si="870">SUBTOTAL(9,L888:L893)</f>
        <v>75654.02</v>
      </c>
      <c r="M894" s="109">
        <f t="shared" si="868"/>
        <v>84070</v>
      </c>
      <c r="N894" s="109">
        <f t="shared" ref="N894" si="871">SUBTOTAL(9,N888:N893)</f>
        <v>117636.6</v>
      </c>
      <c r="O894" s="109">
        <f t="shared" si="868"/>
        <v>162070</v>
      </c>
      <c r="P894" s="109">
        <f t="shared" si="868"/>
        <v>78000</v>
      </c>
      <c r="Q894" s="109">
        <f t="shared" si="868"/>
        <v>74100</v>
      </c>
      <c r="R894" s="109">
        <f t="shared" si="868"/>
        <v>84000</v>
      </c>
      <c r="S894" s="109">
        <f t="shared" si="868"/>
        <v>0</v>
      </c>
      <c r="T894" s="109">
        <f t="shared" si="868"/>
        <v>158100</v>
      </c>
      <c r="U894" s="99">
        <f>T894-M894</f>
        <v>74030</v>
      </c>
      <c r="V894" s="259">
        <f>IF(M894=0,"N/A",T894/M894-1)</f>
        <v>0.88057571071725937</v>
      </c>
      <c r="W894" s="104"/>
      <c r="X894" s="148"/>
      <c r="Y894" s="267"/>
      <c r="Z894" s="121"/>
      <c r="AA894" s="121"/>
      <c r="AB894" s="121"/>
      <c r="AC894" s="121"/>
      <c r="AD894" s="121"/>
      <c r="AE894" s="121"/>
      <c r="AF894" s="121"/>
      <c r="AG894" s="121"/>
      <c r="AH894" s="121"/>
      <c r="AI894" s="121"/>
      <c r="AJ894" s="121"/>
      <c r="AK894" s="121"/>
      <c r="AL894" s="121"/>
    </row>
    <row r="895" spans="1:38" s="115" customFormat="1" ht="15" customHeight="1">
      <c r="A895" s="555"/>
      <c r="B895" s="217"/>
      <c r="C895" s="217"/>
      <c r="D895" s="101"/>
      <c r="E895" s="217"/>
      <c r="F895" s="294"/>
      <c r="G895" s="146"/>
      <c r="H895" s="98"/>
      <c r="I895" s="106"/>
      <c r="J895" s="106"/>
      <c r="K895" s="106"/>
      <c r="L895" s="106"/>
      <c r="M895" s="106"/>
      <c r="N895" s="112"/>
      <c r="O895" s="112"/>
      <c r="P895" s="112"/>
      <c r="Q895" s="113"/>
      <c r="R895" s="113"/>
      <c r="S895" s="113"/>
      <c r="T895" s="113"/>
      <c r="U895" s="113"/>
      <c r="V895" s="113"/>
      <c r="W895" s="104"/>
      <c r="X895" s="148"/>
      <c r="Y895" s="267"/>
      <c r="Z895" s="121"/>
      <c r="AA895" s="121"/>
      <c r="AB895" s="121"/>
      <c r="AC895" s="121"/>
      <c r="AD895" s="121"/>
      <c r="AE895" s="121"/>
      <c r="AF895" s="121"/>
      <c r="AG895" s="121"/>
      <c r="AH895" s="121"/>
      <c r="AI895" s="121"/>
      <c r="AJ895" s="121"/>
      <c r="AK895" s="121"/>
      <c r="AL895" s="121"/>
    </row>
    <row r="896" spans="1:38" s="115" customFormat="1" ht="15" customHeight="1">
      <c r="A896" s="555" t="s">
        <v>1664</v>
      </c>
      <c r="B896" s="217" t="str">
        <f t="shared" si="829"/>
        <v>125</v>
      </c>
      <c r="C896" s="217" t="str">
        <f t="shared" si="830"/>
        <v>65</v>
      </c>
      <c r="D896" s="101" t="str">
        <f t="shared" si="831"/>
        <v>653</v>
      </c>
      <c r="E896" s="217" t="str">
        <f t="shared" si="832"/>
        <v>125-65-653</v>
      </c>
      <c r="F896" s="294" t="str">
        <f t="shared" si="833"/>
        <v>58830</v>
      </c>
      <c r="G896" s="295" t="str">
        <f>VLOOKUP(F896,'GL Category'!A:C,3,FALSE)</f>
        <v>Capital Outlay</v>
      </c>
      <c r="H896" s="98" t="str">
        <f>VLOOKUP(F896,'GL Category'!A:C,2,FALSE)</f>
        <v>MACHINERY &amp; EQUIPMENT</v>
      </c>
      <c r="I896" s="99">
        <f>SUMIF(Import!$B:$B,$A896,Import!D:D)</f>
        <v>0</v>
      </c>
      <c r="J896" s="99">
        <f>SUMIF(Import!$B:$B,$A896,Import!E:E)</f>
        <v>16159.5</v>
      </c>
      <c r="K896" s="99">
        <f>SUMIF(Import!$B:$B,$A896,Import!F:F)</f>
        <v>0</v>
      </c>
      <c r="L896" s="99">
        <f>SUMIF(Import!$B:$B,$A896,Import!G:G)</f>
        <v>0</v>
      </c>
      <c r="M896" s="99">
        <f>SUMIF(Import!$B:$B,$A896,Import!H:H)</f>
        <v>0</v>
      </c>
      <c r="N896" s="99">
        <f>SUMIF(Import!$B:$B,$A896,Import!I:I)</f>
        <v>0</v>
      </c>
      <c r="O896" s="99">
        <f>SUMIF(Import!$B:$B,$A896,Import!J:J)</f>
        <v>0</v>
      </c>
      <c r="P896" s="99">
        <f t="shared" ref="P896:P897" si="872">O896-M896</f>
        <v>0</v>
      </c>
      <c r="Q896" s="99">
        <f>SUMIF(Import!$B:$B,$A896,Import!K:K)</f>
        <v>0</v>
      </c>
      <c r="R896" s="99">
        <f>SUMIF(Import!$B:$B,$A896,Import!L:L)</f>
        <v>0</v>
      </c>
      <c r="S896" s="99">
        <f>SUMIF(Import!$B:$B,$A896,Import!M:M)</f>
        <v>0</v>
      </c>
      <c r="T896" s="99">
        <f>SUMIF(Import!$B:$B,$A896,Import!N:N)</f>
        <v>0</v>
      </c>
      <c r="U896" s="99">
        <f t="shared" ref="U896:U897" si="873">T896-M896</f>
        <v>0</v>
      </c>
      <c r="V896" s="255" t="str">
        <f t="shared" ref="V896:V897" si="874">IF(M896=0,"N/A",T896/M896-1)</f>
        <v>N/A</v>
      </c>
      <c r="W896" s="102" t="s">
        <v>1664</v>
      </c>
      <c r="X896" s="148"/>
      <c r="Y896" s="267"/>
      <c r="Z896" s="121"/>
      <c r="AA896" s="121"/>
      <c r="AB896" s="121"/>
      <c r="AC896" s="121"/>
      <c r="AD896" s="121"/>
      <c r="AE896" s="121"/>
      <c r="AF896" s="121"/>
      <c r="AG896" s="121"/>
      <c r="AH896" s="121"/>
      <c r="AI896" s="121"/>
      <c r="AJ896" s="121"/>
      <c r="AK896" s="121"/>
      <c r="AL896" s="121"/>
    </row>
    <row r="897" spans="1:38" s="115" customFormat="1" ht="15" customHeight="1">
      <c r="A897" s="555" t="s">
        <v>1665</v>
      </c>
      <c r="B897" s="217" t="str">
        <f t="shared" si="829"/>
        <v>125</v>
      </c>
      <c r="C897" s="217" t="str">
        <f t="shared" si="830"/>
        <v>65</v>
      </c>
      <c r="D897" s="101" t="str">
        <f t="shared" si="831"/>
        <v>653</v>
      </c>
      <c r="E897" s="217" t="str">
        <f t="shared" si="832"/>
        <v>125-65-653</v>
      </c>
      <c r="F897" s="294" t="str">
        <f t="shared" si="833"/>
        <v>58851</v>
      </c>
      <c r="G897" s="295" t="str">
        <f>VLOOKUP(F897,'GL Category'!A:C,3,FALSE)</f>
        <v>Capital Outlay</v>
      </c>
      <c r="H897" s="98" t="str">
        <f>VLOOKUP(F897,'GL Category'!A:C,2,FALSE)</f>
        <v>FURNITURE &amp; FIXTURES</v>
      </c>
      <c r="I897" s="99">
        <f>SUMIF(Import!$B:$B,$A897,Import!D:D)</f>
        <v>0</v>
      </c>
      <c r="J897" s="99">
        <f>SUMIF(Import!$B:$B,$A897,Import!E:E)</f>
        <v>0</v>
      </c>
      <c r="K897" s="99">
        <f>SUMIF(Import!$B:$B,$A897,Import!F:F)</f>
        <v>0</v>
      </c>
      <c r="L897" s="99">
        <f>SUMIF(Import!$B:$B,$A897,Import!G:G)</f>
        <v>0</v>
      </c>
      <c r="M897" s="99">
        <f>SUMIF(Import!$B:$B,$A897,Import!H:H)</f>
        <v>0</v>
      </c>
      <c r="N897" s="99">
        <f>SUMIF(Import!$B:$B,$A897,Import!I:I)</f>
        <v>0</v>
      </c>
      <c r="O897" s="99">
        <f>SUMIF(Import!$B:$B,$A897,Import!J:J)</f>
        <v>0</v>
      </c>
      <c r="P897" s="99">
        <f t="shared" si="872"/>
        <v>0</v>
      </c>
      <c r="Q897" s="99">
        <f>SUMIF(Import!$B:$B,$A897,Import!K:K)</f>
        <v>0</v>
      </c>
      <c r="R897" s="99">
        <f>SUMIF(Import!$B:$B,$A897,Import!L:L)</f>
        <v>0</v>
      </c>
      <c r="S897" s="99">
        <f>SUMIF(Import!$B:$B,$A897,Import!M:M)</f>
        <v>0</v>
      </c>
      <c r="T897" s="99">
        <f>SUMIF(Import!$B:$B,$A897,Import!N:N)</f>
        <v>0</v>
      </c>
      <c r="U897" s="99">
        <f t="shared" si="873"/>
        <v>0</v>
      </c>
      <c r="V897" s="255" t="str">
        <f t="shared" si="874"/>
        <v>N/A</v>
      </c>
      <c r="W897" s="102" t="s">
        <v>1665</v>
      </c>
      <c r="X897" s="148"/>
      <c r="Y897" s="267"/>
      <c r="Z897" s="121"/>
      <c r="AA897" s="121"/>
      <c r="AB897" s="121"/>
      <c r="AC897" s="121"/>
      <c r="AD897" s="121"/>
      <c r="AE897" s="121"/>
      <c r="AF897" s="121"/>
      <c r="AG897" s="121"/>
      <c r="AH897" s="121"/>
      <c r="AI897" s="121"/>
      <c r="AJ897" s="121"/>
      <c r="AK897" s="121"/>
      <c r="AL897" s="121"/>
    </row>
    <row r="898" spans="1:38" s="115" customFormat="1" ht="15" customHeight="1">
      <c r="A898" s="555"/>
      <c r="B898" s="217"/>
      <c r="C898" s="217"/>
      <c r="D898" s="101"/>
      <c r="E898" s="217"/>
      <c r="F898" s="294"/>
      <c r="G898" s="146"/>
      <c r="H898" s="107" t="str">
        <f>UPPER(G897)&amp;" TOTAL"</f>
        <v>CAPITAL OUTLAY TOTAL</v>
      </c>
      <c r="I898" s="109">
        <f t="shared" ref="I898" si="875">SUBTOTAL(9,I896:I897)</f>
        <v>0</v>
      </c>
      <c r="J898" s="109">
        <f t="shared" ref="J898:M898" si="876">SUBTOTAL(9,J896:J897)</f>
        <v>16159.5</v>
      </c>
      <c r="K898" s="109">
        <f t="shared" ref="K898" si="877">SUBTOTAL(9,K896:K897)</f>
        <v>0</v>
      </c>
      <c r="L898" s="109">
        <f t="shared" ref="L898" si="878">SUBTOTAL(9,L896:L897)</f>
        <v>0</v>
      </c>
      <c r="M898" s="109">
        <f t="shared" si="876"/>
        <v>0</v>
      </c>
      <c r="N898" s="109">
        <f t="shared" ref="N898:O898" si="879">SUBTOTAL(9,N896:N897)</f>
        <v>0</v>
      </c>
      <c r="O898" s="109">
        <f t="shared" si="879"/>
        <v>0</v>
      </c>
      <c r="P898" s="109">
        <f t="shared" ref="P898:T898" si="880">SUBTOTAL(9,P896:P897)</f>
        <v>0</v>
      </c>
      <c r="Q898" s="109">
        <f t="shared" si="880"/>
        <v>0</v>
      </c>
      <c r="R898" s="109">
        <f t="shared" si="880"/>
        <v>0</v>
      </c>
      <c r="S898" s="109">
        <f t="shared" si="880"/>
        <v>0</v>
      </c>
      <c r="T898" s="109">
        <f t="shared" si="880"/>
        <v>0</v>
      </c>
      <c r="U898" s="99">
        <f>T898-M898</f>
        <v>0</v>
      </c>
      <c r="V898" s="259" t="str">
        <f>IF(M898=0,"N/A",T898/M898-1)</f>
        <v>N/A</v>
      </c>
      <c r="W898" s="104"/>
      <c r="X898" s="148"/>
      <c r="Y898" s="267"/>
      <c r="Z898" s="121"/>
      <c r="AA898" s="121"/>
      <c r="AB898" s="121"/>
      <c r="AC898" s="121"/>
      <c r="AD898" s="121"/>
      <c r="AE898" s="121"/>
      <c r="AF898" s="121"/>
      <c r="AG898" s="121"/>
      <c r="AH898" s="121"/>
      <c r="AI898" s="121"/>
      <c r="AJ898" s="121"/>
      <c r="AK898" s="121"/>
      <c r="AL898" s="121"/>
    </row>
    <row r="899" spans="1:38" s="115" customFormat="1" ht="15" customHeight="1">
      <c r="A899" s="555"/>
      <c r="B899" s="217"/>
      <c r="C899" s="217"/>
      <c r="D899" s="101"/>
      <c r="E899" s="217"/>
      <c r="F899" s="294"/>
      <c r="G899" s="146"/>
      <c r="H899" s="98"/>
      <c r="I899" s="106"/>
      <c r="J899" s="106"/>
      <c r="K899" s="106"/>
      <c r="L899" s="106"/>
      <c r="M899" s="106"/>
      <c r="N899" s="112"/>
      <c r="O899" s="112"/>
      <c r="P899" s="112"/>
      <c r="Q899" s="113"/>
      <c r="R899" s="113"/>
      <c r="S899" s="113"/>
      <c r="T899" s="113"/>
      <c r="U899" s="113"/>
      <c r="V899" s="113"/>
      <c r="W899" s="104"/>
      <c r="X899" s="148"/>
      <c r="Y899" s="267"/>
      <c r="Z899" s="121"/>
      <c r="AA899" s="121"/>
      <c r="AB899" s="121"/>
      <c r="AC899" s="121"/>
      <c r="AD899" s="121"/>
      <c r="AE899" s="121"/>
      <c r="AF899" s="121"/>
      <c r="AG899" s="121"/>
      <c r="AH899" s="121"/>
      <c r="AI899" s="121"/>
      <c r="AJ899" s="121"/>
      <c r="AK899" s="121"/>
      <c r="AL899" s="121"/>
    </row>
    <row r="900" spans="1:38" s="115" customFormat="1" ht="15" customHeight="1">
      <c r="A900" s="555"/>
      <c r="B900" s="217"/>
      <c r="C900" s="217"/>
      <c r="D900" s="101"/>
      <c r="E900" s="217"/>
      <c r="F900" s="294"/>
      <c r="G900" s="146"/>
      <c r="H900" s="114" t="s">
        <v>763</v>
      </c>
      <c r="I900" s="108">
        <f t="shared" ref="I900" si="881">SUBTOTAL(9,I871:I898)</f>
        <v>63205.84</v>
      </c>
      <c r="J900" s="108">
        <f t="shared" ref="J900:T900" si="882">SUBTOTAL(9,J871:J898)</f>
        <v>106441.17</v>
      </c>
      <c r="K900" s="108">
        <f t="shared" ref="K900" si="883">SUBTOTAL(9,K871:K898)</f>
        <v>92815.84</v>
      </c>
      <c r="L900" s="108">
        <f t="shared" ref="L900" si="884">SUBTOTAL(9,L871:L898)</f>
        <v>108172.81</v>
      </c>
      <c r="M900" s="108">
        <f t="shared" si="882"/>
        <v>114381</v>
      </c>
      <c r="N900" s="108">
        <f t="shared" ref="N900" si="885">SUBTOTAL(9,N871:N898)</f>
        <v>145401.37</v>
      </c>
      <c r="O900" s="108">
        <f t="shared" si="882"/>
        <v>197169</v>
      </c>
      <c r="P900" s="108">
        <f t="shared" si="882"/>
        <v>82788</v>
      </c>
      <c r="Q900" s="108">
        <f t="shared" si="882"/>
        <v>97100</v>
      </c>
      <c r="R900" s="108">
        <f t="shared" si="882"/>
        <v>84000</v>
      </c>
      <c r="S900" s="108">
        <f t="shared" si="882"/>
        <v>0</v>
      </c>
      <c r="T900" s="108">
        <f t="shared" si="882"/>
        <v>181100</v>
      </c>
      <c r="U900" s="99">
        <f>T900-M900</f>
        <v>66719</v>
      </c>
      <c r="V900" s="259">
        <f>IF(M900=0,"N/A",T900/M900-1)</f>
        <v>0.58330491952334751</v>
      </c>
      <c r="W900" s="104"/>
      <c r="X900" s="148"/>
      <c r="Y900" s="267"/>
      <c r="Z900" s="121"/>
      <c r="AA900" s="121"/>
      <c r="AB900" s="121"/>
      <c r="AC900" s="121"/>
      <c r="AD900" s="121"/>
      <c r="AE900" s="121"/>
      <c r="AF900" s="121"/>
      <c r="AG900" s="121"/>
      <c r="AH900" s="121"/>
      <c r="AI900" s="121"/>
      <c r="AJ900" s="121"/>
      <c r="AK900" s="121"/>
      <c r="AL900" s="121"/>
    </row>
    <row r="901" spans="1:38" s="115" customFormat="1" ht="15" customHeight="1" thickBot="1">
      <c r="A901" s="555"/>
      <c r="B901" s="217"/>
      <c r="C901" s="217"/>
      <c r="D901" s="101"/>
      <c r="E901" s="217"/>
      <c r="F901" s="294"/>
      <c r="G901" s="146"/>
      <c r="H901" s="98"/>
      <c r="I901" s="218"/>
      <c r="J901" s="218"/>
      <c r="K901" s="218"/>
      <c r="L901" s="218"/>
      <c r="M901" s="218"/>
      <c r="N901" s="96"/>
      <c r="O901" s="96"/>
      <c r="P901" s="96"/>
      <c r="Q901" s="212"/>
      <c r="R901" s="212"/>
      <c r="S901" s="212"/>
      <c r="T901" s="212"/>
      <c r="U901" s="212"/>
      <c r="V901" s="113"/>
      <c r="W901" s="104"/>
      <c r="X901" s="148"/>
      <c r="Y901" s="267"/>
      <c r="Z901" s="121"/>
      <c r="AA901" s="121"/>
      <c r="AB901" s="121"/>
      <c r="AC901" s="121"/>
      <c r="AD901" s="121"/>
      <c r="AE901" s="121"/>
      <c r="AF901" s="121"/>
      <c r="AG901" s="121"/>
      <c r="AH901" s="121"/>
      <c r="AI901" s="121"/>
      <c r="AJ901" s="121"/>
      <c r="AK901" s="121"/>
      <c r="AL901" s="121"/>
    </row>
    <row r="902" spans="1:38" s="115" customFormat="1" ht="23.4" customHeight="1" thickBot="1">
      <c r="A902" s="555"/>
      <c r="B902" s="217"/>
      <c r="C902" s="217"/>
      <c r="D902" s="101"/>
      <c r="E902" s="217"/>
      <c r="F902" s="294"/>
      <c r="G902" s="146"/>
      <c r="H902" s="665" t="s">
        <v>747</v>
      </c>
      <c r="I902" s="666"/>
      <c r="J902" s="666"/>
      <c r="K902" s="666"/>
      <c r="L902" s="666"/>
      <c r="M902" s="666"/>
      <c r="N902" s="666"/>
      <c r="O902" s="666"/>
      <c r="P902" s="666"/>
      <c r="Q902" s="666"/>
      <c r="R902" s="666"/>
      <c r="S902" s="666"/>
      <c r="T902" s="667"/>
      <c r="U902" s="247"/>
      <c r="V902" s="261"/>
      <c r="W902" s="104"/>
      <c r="X902" s="148"/>
      <c r="Y902" s="267"/>
      <c r="Z902" s="121"/>
      <c r="AA902" s="121"/>
      <c r="AB902" s="121"/>
      <c r="AC902" s="121"/>
      <c r="AD902" s="121"/>
      <c r="AE902" s="121"/>
      <c r="AF902" s="121"/>
      <c r="AG902" s="121"/>
      <c r="AH902" s="121"/>
      <c r="AI902" s="121"/>
      <c r="AJ902" s="121"/>
      <c r="AK902" s="121"/>
      <c r="AL902" s="121"/>
    </row>
    <row r="903" spans="1:38" s="115" customFormat="1" ht="15" customHeight="1">
      <c r="A903" s="555"/>
      <c r="B903" s="217"/>
      <c r="C903" s="217"/>
      <c r="D903" s="101"/>
      <c r="E903" s="217"/>
      <c r="F903" s="294"/>
      <c r="G903" s="146"/>
      <c r="H903" s="225"/>
      <c r="I903" s="225"/>
      <c r="J903" s="225"/>
      <c r="K903" s="225"/>
      <c r="L903" s="225"/>
      <c r="M903" s="225"/>
      <c r="N903" s="225"/>
      <c r="O903" s="225"/>
      <c r="P903" s="225"/>
      <c r="Q903" s="225"/>
      <c r="R903" s="225"/>
      <c r="S903" s="225"/>
      <c r="T903" s="225"/>
      <c r="U903" s="225"/>
      <c r="V903" s="260"/>
      <c r="W903" s="104"/>
      <c r="X903" s="148"/>
      <c r="Y903" s="267"/>
      <c r="Z903" s="121"/>
      <c r="AA903" s="121"/>
      <c r="AB903" s="121"/>
      <c r="AC903" s="121"/>
      <c r="AD903" s="121"/>
      <c r="AE903" s="121"/>
      <c r="AF903" s="121"/>
      <c r="AG903" s="121"/>
      <c r="AH903" s="121"/>
      <c r="AI903" s="121"/>
      <c r="AJ903" s="121"/>
      <c r="AK903" s="121"/>
      <c r="AL903" s="121"/>
    </row>
    <row r="904" spans="1:38" s="115" customFormat="1" ht="15" customHeight="1">
      <c r="A904" s="555" t="s">
        <v>1666</v>
      </c>
      <c r="B904" s="217" t="str">
        <f t="shared" si="829"/>
        <v>125</v>
      </c>
      <c r="C904" s="217" t="str">
        <f t="shared" si="830"/>
        <v>65</v>
      </c>
      <c r="D904" s="101" t="str">
        <f t="shared" si="831"/>
        <v>654</v>
      </c>
      <c r="E904" s="217" t="str">
        <f t="shared" si="832"/>
        <v>125-65-654</v>
      </c>
      <c r="F904" s="294" t="str">
        <f t="shared" si="833"/>
        <v>50101</v>
      </c>
      <c r="G904" s="295" t="str">
        <f>VLOOKUP(F904,'GL Category'!A:C,3,FALSE)</f>
        <v>Personnel services</v>
      </c>
      <c r="H904" s="98" t="str">
        <f>VLOOKUP(F904,'GL Category'!A:C,2,FALSE)</f>
        <v>EXEMPT SALARIES</v>
      </c>
      <c r="I904" s="99">
        <f>SUMIF(Import!$B:$B,$A904,Import!D:D)</f>
        <v>51350.53</v>
      </c>
      <c r="J904" s="99">
        <f>SUMIF(Import!$B:$B,$A904,Import!E:E)</f>
        <v>85197.36</v>
      </c>
      <c r="K904" s="99">
        <f>SUMIF(Import!$B:$B,$A904,Import!F:F)</f>
        <v>96152.76</v>
      </c>
      <c r="L904" s="99">
        <f>SUMIF(Import!$B:$B,$A904,Import!G:G)</f>
        <v>115648.05</v>
      </c>
      <c r="M904" s="99">
        <f>SUMIF(Import!$B:$B,$A904,Import!H:H)</f>
        <v>120097</v>
      </c>
      <c r="N904" s="99">
        <f>SUMIF(Import!$B:$B,$A904,Import!I:I)</f>
        <v>92774.21</v>
      </c>
      <c r="O904" s="99">
        <f>SUMIF(Import!$B:$B,$A904,Import!J:J)</f>
        <v>125000</v>
      </c>
      <c r="P904" s="99">
        <f t="shared" ref="P904:P913" si="886">O904-M904</f>
        <v>4903</v>
      </c>
      <c r="Q904" s="99">
        <f>SUMIF(Import!$B:$B,$A904,Import!K:K)</f>
        <v>182410</v>
      </c>
      <c r="R904" s="99">
        <f>SUMIF(Import!$B:$B,$A904,Import!L:L)</f>
        <v>0</v>
      </c>
      <c r="S904" s="99">
        <f>SUMIF(Import!$B:$B,$A904,Import!M:M)</f>
        <v>0</v>
      </c>
      <c r="T904" s="99">
        <f>SUMIF(Import!$B:$B,$A904,Import!N:N)</f>
        <v>182410</v>
      </c>
      <c r="U904" s="99">
        <f t="shared" ref="U904:U913" si="887">T904-M904</f>
        <v>62313</v>
      </c>
      <c r="V904" s="255">
        <f t="shared" ref="V904:V913" si="888">IF(M904=0,"N/A",T904/M904-1)</f>
        <v>0.51885559173001816</v>
      </c>
      <c r="W904" s="102" t="s">
        <v>1666</v>
      </c>
      <c r="X904" s="148"/>
      <c r="Y904" s="267"/>
      <c r="Z904" s="121"/>
      <c r="AA904" s="121"/>
      <c r="AB904" s="121"/>
      <c r="AC904" s="121"/>
      <c r="AD904" s="121"/>
      <c r="AE904" s="121"/>
      <c r="AF904" s="121"/>
      <c r="AG904" s="121"/>
      <c r="AH904" s="121"/>
      <c r="AI904" s="121"/>
      <c r="AJ904" s="121"/>
      <c r="AK904" s="121"/>
      <c r="AL904" s="121"/>
    </row>
    <row r="905" spans="1:38" s="115" customFormat="1" ht="15" customHeight="1">
      <c r="A905" s="555" t="s">
        <v>1667</v>
      </c>
      <c r="B905" s="217" t="str">
        <f t="shared" si="829"/>
        <v>125</v>
      </c>
      <c r="C905" s="217" t="str">
        <f t="shared" si="830"/>
        <v>65</v>
      </c>
      <c r="D905" s="101" t="str">
        <f t="shared" si="831"/>
        <v>654</v>
      </c>
      <c r="E905" s="217" t="str">
        <f t="shared" si="832"/>
        <v>125-65-654</v>
      </c>
      <c r="F905" s="294" t="str">
        <f t="shared" si="833"/>
        <v>50102</v>
      </c>
      <c r="G905" s="295" t="str">
        <f>VLOOKUP(F905,'GL Category'!A:C,3,FALSE)</f>
        <v>Personnel services</v>
      </c>
      <c r="H905" s="98" t="str">
        <f>VLOOKUP(F905,'GL Category'!A:C,2,FALSE)</f>
        <v>NON EXEMPT SALARIES</v>
      </c>
      <c r="I905" s="99">
        <f>SUMIF(Import!$B:$B,$A905,Import!D:D)</f>
        <v>27457.599999999999</v>
      </c>
      <c r="J905" s="99">
        <f>SUMIF(Import!$B:$B,$A905,Import!E:E)</f>
        <v>5631.47</v>
      </c>
      <c r="K905" s="99">
        <f>SUMIF(Import!$B:$B,$A905,Import!F:F)</f>
        <v>60</v>
      </c>
      <c r="L905" s="99">
        <f>SUMIF(Import!$B:$B,$A905,Import!G:G)</f>
        <v>0</v>
      </c>
      <c r="M905" s="99">
        <f>SUMIF(Import!$B:$B,$A905,Import!H:H)</f>
        <v>0</v>
      </c>
      <c r="N905" s="99">
        <f>SUMIF(Import!$B:$B,$A905,Import!I:I)</f>
        <v>0</v>
      </c>
      <c r="O905" s="99">
        <f>SUMIF(Import!$B:$B,$A905,Import!J:J)</f>
        <v>0</v>
      </c>
      <c r="P905" s="99">
        <f t="shared" si="886"/>
        <v>0</v>
      </c>
      <c r="Q905" s="99">
        <f>SUMIF(Import!$B:$B,$A905,Import!K:K)</f>
        <v>0</v>
      </c>
      <c r="R905" s="99">
        <f>SUMIF(Import!$B:$B,$A905,Import!L:L)</f>
        <v>0</v>
      </c>
      <c r="S905" s="99">
        <f>SUMIF(Import!$B:$B,$A905,Import!M:M)</f>
        <v>0</v>
      </c>
      <c r="T905" s="99">
        <f>SUMIF(Import!$B:$B,$A905,Import!N:N)</f>
        <v>0</v>
      </c>
      <c r="U905" s="99">
        <f t="shared" si="887"/>
        <v>0</v>
      </c>
      <c r="V905" s="255" t="str">
        <f t="shared" si="888"/>
        <v>N/A</v>
      </c>
      <c r="W905" s="102" t="s">
        <v>1667</v>
      </c>
      <c r="X905" s="148"/>
      <c r="Y905" s="267"/>
      <c r="Z905" s="121"/>
      <c r="AA905" s="121"/>
      <c r="AB905" s="121"/>
      <c r="AC905" s="121"/>
      <c r="AD905" s="121"/>
      <c r="AE905" s="121"/>
      <c r="AF905" s="121"/>
      <c r="AG905" s="121"/>
      <c r="AH905" s="121"/>
      <c r="AI905" s="121"/>
      <c r="AJ905" s="121"/>
      <c r="AK905" s="121"/>
      <c r="AL905" s="121"/>
    </row>
    <row r="906" spans="1:38" s="115" customFormat="1" ht="15" customHeight="1">
      <c r="A906" s="555" t="s">
        <v>1668</v>
      </c>
      <c r="B906" s="217" t="str">
        <f t="shared" si="829"/>
        <v>125</v>
      </c>
      <c r="C906" s="217" t="str">
        <f t="shared" si="830"/>
        <v>65</v>
      </c>
      <c r="D906" s="101" t="str">
        <f t="shared" si="831"/>
        <v>654</v>
      </c>
      <c r="E906" s="217" t="str">
        <f t="shared" si="832"/>
        <v>125-65-654</v>
      </c>
      <c r="F906" s="294" t="str">
        <f t="shared" si="833"/>
        <v>50109</v>
      </c>
      <c r="G906" s="295" t="str">
        <f>VLOOKUP(F906,'GL Category'!A:C,3,FALSE)</f>
        <v>Personnel services</v>
      </c>
      <c r="H906" s="98" t="str">
        <f>VLOOKUP(F906,'GL Category'!A:C,2,FALSE)</f>
        <v>OVERTIME</v>
      </c>
      <c r="I906" s="99">
        <f>SUMIF(Import!$B:$B,$A906,Import!D:D)</f>
        <v>46.58</v>
      </c>
      <c r="J906" s="99">
        <f>SUMIF(Import!$B:$B,$A906,Import!E:E)</f>
        <v>1321.07</v>
      </c>
      <c r="K906" s="99">
        <f>SUMIF(Import!$B:$B,$A906,Import!F:F)</f>
        <v>20.25</v>
      </c>
      <c r="L906" s="99">
        <f>SUMIF(Import!$B:$B,$A906,Import!G:G)</f>
        <v>0</v>
      </c>
      <c r="M906" s="99">
        <f>SUMIF(Import!$B:$B,$A906,Import!H:H)</f>
        <v>800</v>
      </c>
      <c r="N906" s="99">
        <f>SUMIF(Import!$B:$B,$A906,Import!I:I)</f>
        <v>0</v>
      </c>
      <c r="O906" s="99">
        <f>SUMIF(Import!$B:$B,$A906,Import!J:J)</f>
        <v>0</v>
      </c>
      <c r="P906" s="99">
        <f t="shared" si="886"/>
        <v>-800</v>
      </c>
      <c r="Q906" s="99">
        <f>SUMIF(Import!$B:$B,$A906,Import!K:K)</f>
        <v>800</v>
      </c>
      <c r="R906" s="99">
        <f>SUMIF(Import!$B:$B,$A906,Import!L:L)</f>
        <v>0</v>
      </c>
      <c r="S906" s="99">
        <f>SUMIF(Import!$B:$B,$A906,Import!M:M)</f>
        <v>0</v>
      </c>
      <c r="T906" s="99">
        <f>SUMIF(Import!$B:$B,$A906,Import!N:N)</f>
        <v>800</v>
      </c>
      <c r="U906" s="99">
        <f t="shared" si="887"/>
        <v>0</v>
      </c>
      <c r="V906" s="255">
        <f t="shared" si="888"/>
        <v>0</v>
      </c>
      <c r="W906" s="102" t="s">
        <v>1668</v>
      </c>
      <c r="X906" s="148"/>
      <c r="Y906" s="267"/>
      <c r="Z906" s="121"/>
      <c r="AA906" s="121"/>
      <c r="AB906" s="121"/>
      <c r="AC906" s="121"/>
      <c r="AD906" s="121"/>
      <c r="AE906" s="121"/>
      <c r="AF906" s="121"/>
      <c r="AG906" s="121"/>
      <c r="AH906" s="121"/>
      <c r="AI906" s="121"/>
      <c r="AJ906" s="121"/>
      <c r="AK906" s="121"/>
      <c r="AL906" s="121"/>
    </row>
    <row r="907" spans="1:38" s="115" customFormat="1" ht="15" customHeight="1">
      <c r="A907" s="555" t="s">
        <v>1669</v>
      </c>
      <c r="B907" s="217" t="str">
        <f t="shared" si="829"/>
        <v>125</v>
      </c>
      <c r="C907" s="217" t="str">
        <f t="shared" si="830"/>
        <v>65</v>
      </c>
      <c r="D907" s="101" t="str">
        <f t="shared" si="831"/>
        <v>654</v>
      </c>
      <c r="E907" s="217" t="str">
        <f t="shared" si="832"/>
        <v>125-65-654</v>
      </c>
      <c r="F907" s="294" t="str">
        <f t="shared" si="833"/>
        <v>50110</v>
      </c>
      <c r="G907" s="295" t="str">
        <f>VLOOKUP(F907,'GL Category'!A:C,3,FALSE)</f>
        <v>Personnel services</v>
      </c>
      <c r="H907" s="98" t="str">
        <f>VLOOKUP(F907,'GL Category'!A:C,2,FALSE)</f>
        <v>PART-TIME WAGES</v>
      </c>
      <c r="I907" s="99">
        <f>SUMIF(Import!$B:$B,$A907,Import!D:D)</f>
        <v>61601.02</v>
      </c>
      <c r="J907" s="99">
        <f>SUMIF(Import!$B:$B,$A907,Import!E:E)</f>
        <v>66613.41</v>
      </c>
      <c r="K907" s="99">
        <f>SUMIF(Import!$B:$B,$A907,Import!F:F)</f>
        <v>166989.07</v>
      </c>
      <c r="L907" s="99">
        <f>SUMIF(Import!$B:$B,$A907,Import!G:G)</f>
        <v>191333.31</v>
      </c>
      <c r="M907" s="99">
        <f>SUMIF(Import!$B:$B,$A907,Import!H:H)</f>
        <v>222331</v>
      </c>
      <c r="N907" s="99">
        <f>SUMIF(Import!$B:$B,$A907,Import!I:I)</f>
        <v>169707.5</v>
      </c>
      <c r="O907" s="99">
        <f>SUMIF(Import!$B:$B,$A907,Import!J:J)</f>
        <v>222000</v>
      </c>
      <c r="P907" s="99">
        <f t="shared" si="886"/>
        <v>-331</v>
      </c>
      <c r="Q907" s="99">
        <f>SUMIF(Import!$B:$B,$A907,Import!K:K)</f>
        <v>216331</v>
      </c>
      <c r="R907" s="99">
        <f>SUMIF(Import!$B:$B,$A907,Import!L:L)</f>
        <v>0</v>
      </c>
      <c r="S907" s="99">
        <f>SUMIF(Import!$B:$B,$A907,Import!M:M)</f>
        <v>0</v>
      </c>
      <c r="T907" s="99">
        <f>SUMIF(Import!$B:$B,$A907,Import!N:N)</f>
        <v>216331</v>
      </c>
      <c r="U907" s="99">
        <f t="shared" si="887"/>
        <v>-6000</v>
      </c>
      <c r="V907" s="255">
        <f t="shared" si="888"/>
        <v>-2.6986789966311542E-2</v>
      </c>
      <c r="W907" s="102" t="s">
        <v>1669</v>
      </c>
      <c r="X907" s="148"/>
      <c r="Y907" s="267"/>
      <c r="Z907" s="121"/>
      <c r="AA907" s="121"/>
      <c r="AB907" s="121"/>
      <c r="AC907" s="121"/>
      <c r="AD907" s="121"/>
      <c r="AE907" s="121"/>
      <c r="AF907" s="121"/>
      <c r="AG907" s="121"/>
      <c r="AH907" s="121"/>
      <c r="AI907" s="121"/>
      <c r="AJ907" s="121"/>
      <c r="AK907" s="121"/>
      <c r="AL907" s="121"/>
    </row>
    <row r="908" spans="1:38" s="115" customFormat="1" ht="15" customHeight="1">
      <c r="A908" s="555" t="s">
        <v>1670</v>
      </c>
      <c r="B908" s="217" t="str">
        <f t="shared" si="829"/>
        <v>125</v>
      </c>
      <c r="C908" s="217" t="str">
        <f t="shared" si="830"/>
        <v>65</v>
      </c>
      <c r="D908" s="101" t="str">
        <f t="shared" si="831"/>
        <v>654</v>
      </c>
      <c r="E908" s="217" t="str">
        <f t="shared" si="832"/>
        <v>125-65-654</v>
      </c>
      <c r="F908" s="294" t="str">
        <f t="shared" si="833"/>
        <v>50111</v>
      </c>
      <c r="G908" s="295" t="str">
        <f>VLOOKUP(F908,'GL Category'!A:C,3,FALSE)</f>
        <v>Personnel services</v>
      </c>
      <c r="H908" s="98" t="str">
        <f>VLOOKUP(F908,'GL Category'!A:C,2,FALSE)</f>
        <v>LONGEVITY PAY</v>
      </c>
      <c r="I908" s="99">
        <f>SUMIF(Import!$B:$B,$A908,Import!D:D)</f>
        <v>440</v>
      </c>
      <c r="J908" s="99">
        <f>SUMIF(Import!$B:$B,$A908,Import!E:E)</f>
        <v>370</v>
      </c>
      <c r="K908" s="99">
        <f>SUMIF(Import!$B:$B,$A908,Import!F:F)</f>
        <v>740</v>
      </c>
      <c r="L908" s="99">
        <f>SUMIF(Import!$B:$B,$A908,Import!G:G)</f>
        <v>125</v>
      </c>
      <c r="M908" s="99">
        <f>SUMIF(Import!$B:$B,$A908,Import!H:H)</f>
        <v>289</v>
      </c>
      <c r="N908" s="99">
        <f>SUMIF(Import!$B:$B,$A908,Import!I:I)</f>
        <v>285</v>
      </c>
      <c r="O908" s="99">
        <f>SUMIF(Import!$B:$B,$A908,Import!J:J)</f>
        <v>285</v>
      </c>
      <c r="P908" s="99">
        <f t="shared" si="886"/>
        <v>-4</v>
      </c>
      <c r="Q908" s="99">
        <f>SUMIF(Import!$B:$B,$A908,Import!K:K)</f>
        <v>613</v>
      </c>
      <c r="R908" s="99">
        <f>SUMIF(Import!$B:$B,$A908,Import!L:L)</f>
        <v>0</v>
      </c>
      <c r="S908" s="99">
        <f>SUMIF(Import!$B:$B,$A908,Import!M:M)</f>
        <v>0</v>
      </c>
      <c r="T908" s="99">
        <f>SUMIF(Import!$B:$B,$A908,Import!N:N)</f>
        <v>613</v>
      </c>
      <c r="U908" s="99">
        <f t="shared" si="887"/>
        <v>324</v>
      </c>
      <c r="V908" s="255">
        <f t="shared" si="888"/>
        <v>1.121107266435986</v>
      </c>
      <c r="W908" s="102" t="s">
        <v>1670</v>
      </c>
      <c r="X908" s="148"/>
      <c r="Y908" s="267"/>
      <c r="Z908" s="121"/>
      <c r="AA908" s="121"/>
      <c r="AB908" s="121"/>
      <c r="AC908" s="121"/>
      <c r="AD908" s="121"/>
      <c r="AE908" s="121"/>
      <c r="AF908" s="121"/>
      <c r="AG908" s="121"/>
      <c r="AH908" s="121"/>
      <c r="AI908" s="121"/>
      <c r="AJ908" s="121"/>
      <c r="AK908" s="121"/>
      <c r="AL908" s="121"/>
    </row>
    <row r="909" spans="1:38" s="115" customFormat="1" ht="15" customHeight="1">
      <c r="A909" s="555" t="s">
        <v>1671</v>
      </c>
      <c r="B909" s="217" t="str">
        <f t="shared" si="829"/>
        <v>125</v>
      </c>
      <c r="C909" s="217" t="str">
        <f t="shared" si="830"/>
        <v>65</v>
      </c>
      <c r="D909" s="101" t="str">
        <f t="shared" si="831"/>
        <v>654</v>
      </c>
      <c r="E909" s="217" t="str">
        <f t="shared" si="832"/>
        <v>125-65-654</v>
      </c>
      <c r="F909" s="294" t="str">
        <f t="shared" si="833"/>
        <v>50112</v>
      </c>
      <c r="G909" s="295" t="str">
        <f>VLOOKUP(F909,'GL Category'!A:C,3,FALSE)</f>
        <v>Personnel services</v>
      </c>
      <c r="H909" s="98" t="str">
        <f>VLOOKUP(F909,'GL Category'!A:C,2,FALSE)</f>
        <v>TEMPORARY/SEASONAL WAGES</v>
      </c>
      <c r="I909" s="99">
        <f>SUMIF(Import!$B:$B,$A909,Import!D:D)</f>
        <v>14179.95</v>
      </c>
      <c r="J909" s="99">
        <f>SUMIF(Import!$B:$B,$A909,Import!E:E)</f>
        <v>78569.61</v>
      </c>
      <c r="K909" s="99">
        <f>SUMIF(Import!$B:$B,$A909,Import!F:F)</f>
        <v>230.71</v>
      </c>
      <c r="L909" s="99">
        <f>SUMIF(Import!$B:$B,$A909,Import!G:G)</f>
        <v>0</v>
      </c>
      <c r="M909" s="99">
        <f>SUMIF(Import!$B:$B,$A909,Import!H:H)</f>
        <v>0</v>
      </c>
      <c r="N909" s="99">
        <f>SUMIF(Import!$B:$B,$A909,Import!I:I)</f>
        <v>0</v>
      </c>
      <c r="O909" s="99">
        <f>SUMIF(Import!$B:$B,$A909,Import!J:J)</f>
        <v>0</v>
      </c>
      <c r="P909" s="99">
        <f t="shared" si="886"/>
        <v>0</v>
      </c>
      <c r="Q909" s="99">
        <f>SUMIF(Import!$B:$B,$A909,Import!K:K)</f>
        <v>0</v>
      </c>
      <c r="R909" s="99">
        <f>SUMIF(Import!$B:$B,$A909,Import!L:L)</f>
        <v>0</v>
      </c>
      <c r="S909" s="99">
        <f>SUMIF(Import!$B:$B,$A909,Import!M:M)</f>
        <v>0</v>
      </c>
      <c r="T909" s="99">
        <f>SUMIF(Import!$B:$B,$A909,Import!N:N)</f>
        <v>0</v>
      </c>
      <c r="U909" s="99">
        <f t="shared" si="887"/>
        <v>0</v>
      </c>
      <c r="V909" s="255" t="str">
        <f t="shared" si="888"/>
        <v>N/A</v>
      </c>
      <c r="W909" s="102" t="s">
        <v>1671</v>
      </c>
      <c r="X909" s="148"/>
      <c r="Y909" s="267"/>
      <c r="Z909" s="121"/>
      <c r="AA909" s="121"/>
      <c r="AB909" s="121"/>
      <c r="AC909" s="121"/>
      <c r="AD909" s="121"/>
      <c r="AE909" s="121"/>
      <c r="AF909" s="121"/>
      <c r="AG909" s="121"/>
      <c r="AH909" s="121"/>
      <c r="AI909" s="121"/>
      <c r="AJ909" s="121"/>
      <c r="AK909" s="121"/>
      <c r="AL909" s="121"/>
    </row>
    <row r="910" spans="1:38" s="115" customFormat="1" ht="15" customHeight="1">
      <c r="A910" s="555" t="s">
        <v>1672</v>
      </c>
      <c r="B910" s="217" t="str">
        <f t="shared" si="829"/>
        <v>125</v>
      </c>
      <c r="C910" s="217" t="str">
        <f t="shared" si="830"/>
        <v>65</v>
      </c>
      <c r="D910" s="101" t="str">
        <f t="shared" si="831"/>
        <v>654</v>
      </c>
      <c r="E910" s="217" t="str">
        <f t="shared" si="832"/>
        <v>125-65-654</v>
      </c>
      <c r="F910" s="294" t="str">
        <f t="shared" si="833"/>
        <v>50610</v>
      </c>
      <c r="G910" s="295" t="str">
        <f>VLOOKUP(F910,'GL Category'!A:C,3,FALSE)</f>
        <v>Personnel services</v>
      </c>
      <c r="H910" s="98" t="str">
        <f>VLOOKUP(F910,'GL Category'!A:C,2,FALSE)</f>
        <v>SOCIAL SECURITY</v>
      </c>
      <c r="I910" s="99">
        <f>SUMIF(Import!$B:$B,$A910,Import!D:D)</f>
        <v>11575.09</v>
      </c>
      <c r="J910" s="99">
        <f>SUMIF(Import!$B:$B,$A910,Import!E:E)</f>
        <v>16879.47</v>
      </c>
      <c r="K910" s="99">
        <f>SUMIF(Import!$B:$B,$A910,Import!F:F)</f>
        <v>19729.439999999999</v>
      </c>
      <c r="L910" s="99">
        <f>SUMIF(Import!$B:$B,$A910,Import!G:G)</f>
        <v>23321.82</v>
      </c>
      <c r="M910" s="99">
        <f>SUMIF(Import!$B:$B,$A910,Import!H:H)</f>
        <v>25960</v>
      </c>
      <c r="N910" s="99">
        <f>SUMIF(Import!$B:$B,$A910,Import!I:I)</f>
        <v>19998.87</v>
      </c>
      <c r="O910" s="99">
        <f>SUMIF(Import!$B:$B,$A910,Import!J:J)</f>
        <v>26000</v>
      </c>
      <c r="P910" s="99">
        <f t="shared" si="886"/>
        <v>40</v>
      </c>
      <c r="Q910" s="99">
        <f>SUMIF(Import!$B:$B,$A910,Import!K:K)</f>
        <v>30750</v>
      </c>
      <c r="R910" s="99">
        <f>SUMIF(Import!$B:$B,$A910,Import!L:L)</f>
        <v>0</v>
      </c>
      <c r="S910" s="99">
        <f>SUMIF(Import!$B:$B,$A910,Import!M:M)</f>
        <v>0</v>
      </c>
      <c r="T910" s="99">
        <f>SUMIF(Import!$B:$B,$A910,Import!N:N)</f>
        <v>30750</v>
      </c>
      <c r="U910" s="99">
        <f t="shared" si="887"/>
        <v>4790</v>
      </c>
      <c r="V910" s="255">
        <f t="shared" si="888"/>
        <v>0.18451463790446843</v>
      </c>
      <c r="W910" s="102" t="s">
        <v>1672</v>
      </c>
      <c r="X910" s="148"/>
      <c r="Y910" s="267"/>
      <c r="Z910" s="121"/>
      <c r="AA910" s="121"/>
      <c r="AB910" s="121"/>
      <c r="AC910" s="121"/>
      <c r="AD910" s="121"/>
      <c r="AE910" s="121"/>
      <c r="AF910" s="121"/>
      <c r="AG910" s="121"/>
      <c r="AH910" s="121"/>
      <c r="AI910" s="121"/>
      <c r="AJ910" s="121"/>
      <c r="AK910" s="121"/>
      <c r="AL910" s="121"/>
    </row>
    <row r="911" spans="1:38" s="115" customFormat="1" ht="15" customHeight="1">
      <c r="A911" s="555" t="s">
        <v>1673</v>
      </c>
      <c r="B911" s="217" t="str">
        <f t="shared" si="829"/>
        <v>125</v>
      </c>
      <c r="C911" s="217" t="str">
        <f t="shared" si="830"/>
        <v>65</v>
      </c>
      <c r="D911" s="101" t="str">
        <f t="shared" si="831"/>
        <v>654</v>
      </c>
      <c r="E911" s="217" t="str">
        <f t="shared" si="832"/>
        <v>125-65-654</v>
      </c>
      <c r="F911" s="294" t="str">
        <f t="shared" si="833"/>
        <v>50620</v>
      </c>
      <c r="G911" s="295" t="str">
        <f>VLOOKUP(F911,'GL Category'!A:C,3,FALSE)</f>
        <v>Personnel services</v>
      </c>
      <c r="H911" s="98" t="str">
        <f>VLOOKUP(F911,'GL Category'!A:C,2,FALSE)</f>
        <v>HEALTH/LIFE INSURANCE</v>
      </c>
      <c r="I911" s="99">
        <f>SUMIF(Import!$B:$B,$A911,Import!D:D)</f>
        <v>30974.87</v>
      </c>
      <c r="J911" s="99">
        <f>SUMIF(Import!$B:$B,$A911,Import!E:E)</f>
        <v>28056.17</v>
      </c>
      <c r="K911" s="99">
        <f>SUMIF(Import!$B:$B,$A911,Import!F:F)</f>
        <v>21806.78</v>
      </c>
      <c r="L911" s="99">
        <f>SUMIF(Import!$B:$B,$A911,Import!G:G)</f>
        <v>19396.3</v>
      </c>
      <c r="M911" s="99">
        <f>SUMIF(Import!$B:$B,$A911,Import!H:H)</f>
        <v>19715</v>
      </c>
      <c r="N911" s="99">
        <f>SUMIF(Import!$B:$B,$A911,Import!I:I)</f>
        <v>14062</v>
      </c>
      <c r="O911" s="99">
        <f>SUMIF(Import!$B:$B,$A911,Import!J:J)</f>
        <v>20117</v>
      </c>
      <c r="P911" s="99">
        <f t="shared" si="886"/>
        <v>402</v>
      </c>
      <c r="Q911" s="99">
        <f>SUMIF(Import!$B:$B,$A911,Import!K:K)</f>
        <v>20681</v>
      </c>
      <c r="R911" s="99">
        <f>SUMIF(Import!$B:$B,$A911,Import!L:L)</f>
        <v>0</v>
      </c>
      <c r="S911" s="99">
        <f>SUMIF(Import!$B:$B,$A911,Import!M:M)</f>
        <v>0</v>
      </c>
      <c r="T911" s="99">
        <f>SUMIF(Import!$B:$B,$A911,Import!N:N)</f>
        <v>20681</v>
      </c>
      <c r="U911" s="99">
        <f t="shared" si="887"/>
        <v>966</v>
      </c>
      <c r="V911" s="255">
        <f t="shared" si="888"/>
        <v>4.8998224702003546E-2</v>
      </c>
      <c r="W911" s="102" t="s">
        <v>1673</v>
      </c>
      <c r="X911" s="148"/>
      <c r="Y911" s="267"/>
      <c r="Z911" s="121"/>
      <c r="AA911" s="121"/>
      <c r="AB911" s="121"/>
      <c r="AC911" s="121"/>
      <c r="AD911" s="121"/>
      <c r="AE911" s="121"/>
      <c r="AF911" s="121"/>
      <c r="AG911" s="121"/>
      <c r="AH911" s="121"/>
      <c r="AI911" s="121"/>
      <c r="AJ911" s="121"/>
      <c r="AK911" s="121"/>
      <c r="AL911" s="121"/>
    </row>
    <row r="912" spans="1:38" s="115" customFormat="1" ht="15" customHeight="1">
      <c r="A912" s="555" t="s">
        <v>1674</v>
      </c>
      <c r="B912" s="217" t="str">
        <f t="shared" si="829"/>
        <v>125</v>
      </c>
      <c r="C912" s="217" t="str">
        <f t="shared" si="830"/>
        <v>65</v>
      </c>
      <c r="D912" s="101" t="str">
        <f t="shared" si="831"/>
        <v>654</v>
      </c>
      <c r="E912" s="217" t="str">
        <f t="shared" si="832"/>
        <v>125-65-654</v>
      </c>
      <c r="F912" s="294" t="str">
        <f t="shared" si="833"/>
        <v>50630</v>
      </c>
      <c r="G912" s="295" t="str">
        <f>VLOOKUP(F912,'GL Category'!A:C,3,FALSE)</f>
        <v>Personnel services</v>
      </c>
      <c r="H912" s="98" t="str">
        <f>VLOOKUP(F912,'GL Category'!A:C,2,FALSE)</f>
        <v>WORKER COMPENSATION</v>
      </c>
      <c r="I912" s="99">
        <f>SUMIF(Import!$B:$B,$A912,Import!D:D)</f>
        <v>1899.27</v>
      </c>
      <c r="J912" s="99">
        <f>SUMIF(Import!$B:$B,$A912,Import!E:E)</f>
        <v>1586.94</v>
      </c>
      <c r="K912" s="99">
        <f>SUMIF(Import!$B:$B,$A912,Import!F:F)</f>
        <v>1852.54</v>
      </c>
      <c r="L912" s="99">
        <f>SUMIF(Import!$B:$B,$A912,Import!G:G)</f>
        <v>3297.01</v>
      </c>
      <c r="M912" s="99">
        <f>SUMIF(Import!$B:$B,$A912,Import!H:H)</f>
        <v>4245</v>
      </c>
      <c r="N912" s="99">
        <f>SUMIF(Import!$B:$B,$A912,Import!I:I)</f>
        <v>3959.79</v>
      </c>
      <c r="O912" s="99">
        <f>SUMIF(Import!$B:$B,$A912,Import!J:J)</f>
        <v>3960</v>
      </c>
      <c r="P912" s="99">
        <f t="shared" si="886"/>
        <v>-285</v>
      </c>
      <c r="Q912" s="99">
        <f>SUMIF(Import!$B:$B,$A912,Import!K:K)</f>
        <v>4606</v>
      </c>
      <c r="R912" s="99">
        <f>SUMIF(Import!$B:$B,$A912,Import!L:L)</f>
        <v>0</v>
      </c>
      <c r="S912" s="99">
        <f>SUMIF(Import!$B:$B,$A912,Import!M:M)</f>
        <v>0</v>
      </c>
      <c r="T912" s="99">
        <f>SUMIF(Import!$B:$B,$A912,Import!N:N)</f>
        <v>4606</v>
      </c>
      <c r="U912" s="99">
        <f t="shared" si="887"/>
        <v>361</v>
      </c>
      <c r="V912" s="255">
        <f t="shared" si="888"/>
        <v>8.5041224970553664E-2</v>
      </c>
      <c r="W912" s="102" t="s">
        <v>1674</v>
      </c>
      <c r="X912" s="148"/>
      <c r="Y912" s="267"/>
      <c r="Z912" s="121"/>
      <c r="AA912" s="121"/>
      <c r="AB912" s="121"/>
      <c r="AC912" s="121"/>
      <c r="AD912" s="121"/>
      <c r="AE912" s="121"/>
      <c r="AF912" s="121"/>
      <c r="AG912" s="121"/>
      <c r="AH912" s="121"/>
      <c r="AI912" s="121"/>
      <c r="AJ912" s="121"/>
      <c r="AK912" s="121"/>
      <c r="AL912" s="121"/>
    </row>
    <row r="913" spans="1:38" s="115" customFormat="1" ht="15" customHeight="1">
      <c r="A913" s="555" t="s">
        <v>1675</v>
      </c>
      <c r="B913" s="217" t="str">
        <f t="shared" si="829"/>
        <v>125</v>
      </c>
      <c r="C913" s="217" t="str">
        <f t="shared" si="830"/>
        <v>65</v>
      </c>
      <c r="D913" s="101" t="str">
        <f t="shared" si="831"/>
        <v>654</v>
      </c>
      <c r="E913" s="217" t="str">
        <f t="shared" si="832"/>
        <v>125-65-654</v>
      </c>
      <c r="F913" s="294" t="str">
        <f t="shared" si="833"/>
        <v>50650</v>
      </c>
      <c r="G913" s="295" t="str">
        <f>VLOOKUP(F913,'GL Category'!A:C,3,FALSE)</f>
        <v>Personnel services</v>
      </c>
      <c r="H913" s="98" t="str">
        <f>VLOOKUP(F913,'GL Category'!A:C,2,FALSE)</f>
        <v>RETIREMENT</v>
      </c>
      <c r="I913" s="99">
        <f>SUMIF(Import!$B:$B,$A913,Import!D:D)</f>
        <v>14070.47</v>
      </c>
      <c r="J913" s="99">
        <f>SUMIF(Import!$B:$B,$A913,Import!E:E)</f>
        <v>13233.82</v>
      </c>
      <c r="K913" s="99">
        <f>SUMIF(Import!$B:$B,$A913,Import!F:F)</f>
        <v>15719.88</v>
      </c>
      <c r="L913" s="99">
        <f>SUMIF(Import!$B:$B,$A913,Import!G:G)</f>
        <v>18868.55</v>
      </c>
      <c r="M913" s="99">
        <f>SUMIF(Import!$B:$B,$A913,Import!H:H)</f>
        <v>20277</v>
      </c>
      <c r="N913" s="99">
        <f>SUMIF(Import!$B:$B,$A913,Import!I:I)</f>
        <v>15553.93</v>
      </c>
      <c r="O913" s="99">
        <f>SUMIF(Import!$B:$B,$A913,Import!J:J)</f>
        <v>23636</v>
      </c>
      <c r="P913" s="99">
        <f t="shared" si="886"/>
        <v>3359</v>
      </c>
      <c r="Q913" s="99">
        <f>SUMIF(Import!$B:$B,$A913,Import!K:K)</f>
        <v>31379</v>
      </c>
      <c r="R913" s="99">
        <f>SUMIF(Import!$B:$B,$A913,Import!L:L)</f>
        <v>0</v>
      </c>
      <c r="S913" s="99">
        <f>SUMIF(Import!$B:$B,$A913,Import!M:M)</f>
        <v>0</v>
      </c>
      <c r="T913" s="99">
        <f>SUMIF(Import!$B:$B,$A913,Import!N:N)</f>
        <v>31379</v>
      </c>
      <c r="U913" s="99">
        <f t="shared" si="887"/>
        <v>11102</v>
      </c>
      <c r="V913" s="255">
        <f t="shared" si="888"/>
        <v>0.54751689105883505</v>
      </c>
      <c r="W913" s="102" t="s">
        <v>1675</v>
      </c>
      <c r="X913" s="148"/>
      <c r="Y913" s="267"/>
      <c r="Z913" s="121"/>
      <c r="AA913" s="121"/>
      <c r="AB913" s="121"/>
      <c r="AC913" s="121"/>
      <c r="AD913" s="121"/>
      <c r="AE913" s="121"/>
      <c r="AF913" s="121"/>
      <c r="AG913" s="121"/>
      <c r="AH913" s="121"/>
      <c r="AI913" s="121"/>
      <c r="AJ913" s="121"/>
      <c r="AK913" s="121"/>
      <c r="AL913" s="121"/>
    </row>
    <row r="914" spans="1:38" s="115" customFormat="1" ht="15" customHeight="1">
      <c r="A914" s="555"/>
      <c r="B914" s="217"/>
      <c r="C914" s="217"/>
      <c r="D914" s="101"/>
      <c r="E914" s="217"/>
      <c r="F914" s="294"/>
      <c r="G914" s="146"/>
      <c r="H914" s="107" t="str">
        <f>UPPER(G913)&amp;" TOTAL"</f>
        <v>PERSONNEL SERVICES TOTAL</v>
      </c>
      <c r="I914" s="108">
        <f t="shared" ref="I914" si="889">SUBTOTAL(9,I904:I913)</f>
        <v>213595.38</v>
      </c>
      <c r="J914" s="108">
        <f t="shared" ref="J914:T914" si="890">SUBTOTAL(9,J904:J913)</f>
        <v>297459.32</v>
      </c>
      <c r="K914" s="108">
        <f t="shared" ref="K914" si="891">SUBTOTAL(9,K904:K913)</f>
        <v>323301.43</v>
      </c>
      <c r="L914" s="108">
        <f t="shared" ref="L914" si="892">SUBTOTAL(9,L904:L913)</f>
        <v>371990.04</v>
      </c>
      <c r="M914" s="108">
        <f t="shared" si="890"/>
        <v>413714</v>
      </c>
      <c r="N914" s="108">
        <f t="shared" ref="N914" si="893">SUBTOTAL(9,N904:N913)</f>
        <v>316341.3</v>
      </c>
      <c r="O914" s="108">
        <f t="shared" si="890"/>
        <v>420998</v>
      </c>
      <c r="P914" s="108">
        <f t="shared" si="890"/>
        <v>7284</v>
      </c>
      <c r="Q914" s="108">
        <f t="shared" si="890"/>
        <v>487570</v>
      </c>
      <c r="R914" s="108">
        <f t="shared" si="890"/>
        <v>0</v>
      </c>
      <c r="S914" s="108">
        <f t="shared" si="890"/>
        <v>0</v>
      </c>
      <c r="T914" s="108">
        <f t="shared" si="890"/>
        <v>487570</v>
      </c>
      <c r="U914" s="99">
        <f>T914-M914</f>
        <v>73856</v>
      </c>
      <c r="V914" s="259">
        <f>IF(M914=0,"N/A",T914/M914-1)</f>
        <v>0.17851946030349475</v>
      </c>
      <c r="W914" s="104"/>
      <c r="X914" s="148"/>
      <c r="Y914" s="267"/>
      <c r="Z914" s="121"/>
      <c r="AA914" s="121"/>
      <c r="AB914" s="121"/>
      <c r="AC914" s="121"/>
      <c r="AD914" s="121"/>
      <c r="AE914" s="121"/>
      <c r="AF914" s="121"/>
      <c r="AG914" s="121"/>
      <c r="AH914" s="121"/>
      <c r="AI914" s="121"/>
      <c r="AJ914" s="121"/>
      <c r="AK914" s="121"/>
      <c r="AL914" s="121"/>
    </row>
    <row r="915" spans="1:38" s="115" customFormat="1" ht="15" customHeight="1">
      <c r="A915" s="555"/>
      <c r="B915" s="217"/>
      <c r="C915" s="217"/>
      <c r="D915" s="101"/>
      <c r="E915" s="217"/>
      <c r="F915" s="294"/>
      <c r="G915" s="146"/>
      <c r="H915" s="98"/>
      <c r="I915" s="106"/>
      <c r="J915" s="106"/>
      <c r="K915" s="106"/>
      <c r="L915" s="106"/>
      <c r="M915" s="106"/>
      <c r="N915" s="112"/>
      <c r="O915" s="112"/>
      <c r="P915" s="112"/>
      <c r="Q915" s="113"/>
      <c r="R915" s="113"/>
      <c r="S915" s="113"/>
      <c r="T915" s="113"/>
      <c r="U915" s="113"/>
      <c r="V915" s="113"/>
      <c r="W915" s="104"/>
      <c r="X915" s="148"/>
      <c r="Y915" s="267"/>
      <c r="Z915" s="121"/>
      <c r="AA915" s="121"/>
      <c r="AB915" s="121"/>
      <c r="AC915" s="121"/>
      <c r="AD915" s="121"/>
      <c r="AE915" s="121"/>
      <c r="AF915" s="121"/>
      <c r="AG915" s="121"/>
      <c r="AH915" s="121"/>
      <c r="AI915" s="121"/>
      <c r="AJ915" s="121"/>
      <c r="AK915" s="121"/>
      <c r="AL915" s="121"/>
    </row>
    <row r="916" spans="1:38" s="115" customFormat="1" ht="15" customHeight="1">
      <c r="A916" s="555" t="s">
        <v>1676</v>
      </c>
      <c r="B916" s="217" t="str">
        <f t="shared" si="829"/>
        <v>125</v>
      </c>
      <c r="C916" s="217" t="str">
        <f t="shared" si="830"/>
        <v>65</v>
      </c>
      <c r="D916" s="101" t="str">
        <f t="shared" si="831"/>
        <v>654</v>
      </c>
      <c r="E916" s="217" t="str">
        <f t="shared" si="832"/>
        <v>125-65-654</v>
      </c>
      <c r="F916" s="294" t="str">
        <f t="shared" si="833"/>
        <v>51260</v>
      </c>
      <c r="G916" s="295" t="str">
        <f>VLOOKUP(F916,'GL Category'!A:C,3,FALSE)</f>
        <v>Operations &amp; maintenance</v>
      </c>
      <c r="H916" s="98" t="str">
        <f>VLOOKUP(F916,'GL Category'!A:C,2,FALSE)</f>
        <v>EDUCATION/RECREATION SUPPLIES</v>
      </c>
      <c r="I916" s="99">
        <f>SUMIF(Import!$B:$B,$A916,Import!D:D)</f>
        <v>12998.64</v>
      </c>
      <c r="J916" s="99">
        <f>SUMIF(Import!$B:$B,$A916,Import!E:E)</f>
        <v>16440.259999999998</v>
      </c>
      <c r="K916" s="99">
        <f>SUMIF(Import!$B:$B,$A916,Import!F:F)</f>
        <v>28465.599999999999</v>
      </c>
      <c r="L916" s="99">
        <f>SUMIF(Import!$B:$B,$A916,Import!G:G)</f>
        <v>40100.49</v>
      </c>
      <c r="M916" s="99">
        <f>SUMIF(Import!$B:$B,$A916,Import!H:H)</f>
        <v>30700</v>
      </c>
      <c r="N916" s="99">
        <f>SUMIF(Import!$B:$B,$A916,Import!I:I)</f>
        <v>14249.189999999999</v>
      </c>
      <c r="O916" s="99">
        <f>SUMIF(Import!$B:$B,$A916,Import!J:J)</f>
        <v>40700</v>
      </c>
      <c r="P916" s="99">
        <f t="shared" ref="P916" si="894">O916-M916</f>
        <v>10000</v>
      </c>
      <c r="Q916" s="99">
        <f>SUMIF(Import!$B:$B,$A916,Import!K:K)</f>
        <v>30700</v>
      </c>
      <c r="R916" s="99">
        <f>SUMIF(Import!$B:$B,$A916,Import!L:L)</f>
        <v>5000</v>
      </c>
      <c r="S916" s="99">
        <f>SUMIF(Import!$B:$B,$A916,Import!M:M)</f>
        <v>0</v>
      </c>
      <c r="T916" s="99">
        <f>SUMIF(Import!$B:$B,$A916,Import!N:N)</f>
        <v>35700</v>
      </c>
      <c r="U916" s="99">
        <f t="shared" ref="U916" si="895">T916-M916</f>
        <v>5000</v>
      </c>
      <c r="V916" s="255">
        <f t="shared" ref="V916" si="896">IF(M916=0,"N/A",T916/M916-1)</f>
        <v>0.16286644951140072</v>
      </c>
      <c r="W916" s="102" t="s">
        <v>1676</v>
      </c>
      <c r="X916" s="148"/>
      <c r="Y916" s="267"/>
      <c r="Z916" s="121"/>
      <c r="AA916" s="121"/>
      <c r="AB916" s="121"/>
      <c r="AC916" s="121"/>
      <c r="AD916" s="121"/>
      <c r="AE916" s="121"/>
      <c r="AF916" s="121"/>
      <c r="AG916" s="121"/>
      <c r="AH916" s="121"/>
      <c r="AI916" s="121"/>
      <c r="AJ916" s="121"/>
      <c r="AK916" s="121"/>
      <c r="AL916" s="121"/>
    </row>
    <row r="917" spans="1:38" s="115" customFormat="1" ht="32.1" customHeight="1">
      <c r="A917" s="555"/>
      <c r="B917" s="217"/>
      <c r="C917" s="217"/>
      <c r="D917" s="101"/>
      <c r="E917" s="217"/>
      <c r="F917" s="294"/>
      <c r="G917" s="146"/>
      <c r="H917" s="107" t="str">
        <f>UPPER(G916)&amp;" TOTAL"</f>
        <v>OPERATIONS &amp; MAINTENANCE TOTAL</v>
      </c>
      <c r="I917" s="109">
        <f t="shared" ref="I917" si="897">SUBTOTAL(9,I916:I916)</f>
        <v>12998.64</v>
      </c>
      <c r="J917" s="109">
        <f t="shared" ref="J917:T917" si="898">SUBTOTAL(9,J916:J916)</f>
        <v>16440.259999999998</v>
      </c>
      <c r="K917" s="109">
        <f t="shared" ref="K917" si="899">SUBTOTAL(9,K916:K916)</f>
        <v>28465.599999999999</v>
      </c>
      <c r="L917" s="109">
        <f t="shared" ref="L917" si="900">SUBTOTAL(9,L916:L916)</f>
        <v>40100.49</v>
      </c>
      <c r="M917" s="109">
        <f t="shared" si="898"/>
        <v>30700</v>
      </c>
      <c r="N917" s="109">
        <f t="shared" ref="N917" si="901">SUBTOTAL(9,N916:N916)</f>
        <v>14249.189999999999</v>
      </c>
      <c r="O917" s="109">
        <f t="shared" si="898"/>
        <v>40700</v>
      </c>
      <c r="P917" s="109">
        <f t="shared" si="898"/>
        <v>10000</v>
      </c>
      <c r="Q917" s="109">
        <f t="shared" si="898"/>
        <v>30700</v>
      </c>
      <c r="R917" s="109">
        <f t="shared" si="898"/>
        <v>5000</v>
      </c>
      <c r="S917" s="109">
        <f t="shared" si="898"/>
        <v>0</v>
      </c>
      <c r="T917" s="109">
        <f t="shared" si="898"/>
        <v>35700</v>
      </c>
      <c r="U917" s="99">
        <f>T917-M917</f>
        <v>5000</v>
      </c>
      <c r="V917" s="259">
        <f>IF(M917=0,"N/A",T917/M917-1)</f>
        <v>0.16286644951140072</v>
      </c>
      <c r="W917" s="104"/>
      <c r="X917" s="148"/>
      <c r="Y917" s="267"/>
      <c r="Z917" s="121"/>
      <c r="AA917" s="121"/>
      <c r="AB917" s="121"/>
      <c r="AC917" s="121"/>
      <c r="AD917" s="121"/>
      <c r="AE917" s="121"/>
      <c r="AF917" s="121"/>
      <c r="AG917" s="121"/>
      <c r="AH917" s="121"/>
      <c r="AI917" s="121"/>
      <c r="AJ917" s="121"/>
      <c r="AK917" s="121"/>
      <c r="AL917" s="121"/>
    </row>
    <row r="918" spans="1:38" s="115" customFormat="1" ht="15" customHeight="1">
      <c r="A918" s="555"/>
      <c r="B918" s="217"/>
      <c r="C918" s="217"/>
      <c r="D918" s="101"/>
      <c r="E918" s="217"/>
      <c r="F918" s="294"/>
      <c r="G918" s="146"/>
      <c r="H918" s="98"/>
      <c r="I918" s="106"/>
      <c r="J918" s="106"/>
      <c r="K918" s="106"/>
      <c r="L918" s="106"/>
      <c r="M918" s="106"/>
      <c r="N918" s="112"/>
      <c r="O918" s="112"/>
      <c r="P918" s="112"/>
      <c r="Q918" s="113"/>
      <c r="R918" s="113"/>
      <c r="S918" s="113"/>
      <c r="T918" s="113"/>
      <c r="U918" s="113"/>
      <c r="V918" s="113"/>
      <c r="W918" s="104"/>
      <c r="X918" s="148"/>
      <c r="Y918" s="267"/>
      <c r="Z918" s="121"/>
      <c r="AA918" s="121"/>
      <c r="AB918" s="121"/>
      <c r="AC918" s="121"/>
      <c r="AD918" s="121"/>
      <c r="AE918" s="121"/>
      <c r="AF918" s="121"/>
      <c r="AG918" s="121"/>
      <c r="AH918" s="121"/>
      <c r="AI918" s="121"/>
      <c r="AJ918" s="121"/>
      <c r="AK918" s="121"/>
      <c r="AL918" s="121"/>
    </row>
    <row r="919" spans="1:38" s="115" customFormat="1" ht="15" customHeight="1">
      <c r="A919" s="555" t="s">
        <v>1677</v>
      </c>
      <c r="B919" s="217" t="str">
        <f t="shared" si="829"/>
        <v>125</v>
      </c>
      <c r="C919" s="217" t="str">
        <f t="shared" si="830"/>
        <v>65</v>
      </c>
      <c r="D919" s="101" t="str">
        <f t="shared" si="831"/>
        <v>654</v>
      </c>
      <c r="E919" s="217" t="str">
        <f t="shared" si="832"/>
        <v>125-65-654</v>
      </c>
      <c r="F919" s="294" t="str">
        <f t="shared" si="833"/>
        <v>53599</v>
      </c>
      <c r="G919" s="295" t="str">
        <f>VLOOKUP(F919,'GL Category'!A:C,3,FALSE)</f>
        <v>Services &amp; other</v>
      </c>
      <c r="H919" s="98" t="str">
        <f>VLOOKUP(F919,'GL Category'!A:C,2,FALSE)</f>
        <v>MISCELLANEOUS SERVICES</v>
      </c>
      <c r="I919" s="99">
        <f>SUMIF(Import!$B:$B,$A919,Import!D:D)</f>
        <v>0</v>
      </c>
      <c r="J919" s="99">
        <f>SUMIF(Import!$B:$B,$A919,Import!E:E)</f>
        <v>0</v>
      </c>
      <c r="K919" s="99">
        <f>SUMIF(Import!$B:$B,$A919,Import!F:F)</f>
        <v>0</v>
      </c>
      <c r="L919" s="99">
        <f>SUMIF(Import!$B:$B,$A919,Import!G:G)</f>
        <v>0</v>
      </c>
      <c r="M919" s="99">
        <f>SUMIF(Import!$B:$B,$A919,Import!H:H)</f>
        <v>0</v>
      </c>
      <c r="N919" s="99">
        <f>SUMIF(Import!$B:$B,$A919,Import!I:I)</f>
        <v>0</v>
      </c>
      <c r="O919" s="99">
        <f>SUMIF(Import!$B:$B,$A919,Import!J:J)</f>
        <v>0</v>
      </c>
      <c r="P919" s="99">
        <f t="shared" ref="P919:P925" si="902">O919-M919</f>
        <v>0</v>
      </c>
      <c r="Q919" s="99">
        <f>SUMIF(Import!$B:$B,$A919,Import!K:K)</f>
        <v>0</v>
      </c>
      <c r="R919" s="99">
        <f>SUMIF(Import!$B:$B,$A919,Import!L:L)</f>
        <v>0</v>
      </c>
      <c r="S919" s="99">
        <f>SUMIF(Import!$B:$B,$A919,Import!M:M)</f>
        <v>0</v>
      </c>
      <c r="T919" s="99">
        <f>SUMIF(Import!$B:$B,$A919,Import!N:N)</f>
        <v>0</v>
      </c>
      <c r="U919" s="99">
        <f t="shared" ref="U919:U925" si="903">T919-M919</f>
        <v>0</v>
      </c>
      <c r="V919" s="255" t="str">
        <f t="shared" ref="V919:V925" si="904">IF(M919=0,"N/A",T919/M919-1)</f>
        <v>N/A</v>
      </c>
      <c r="W919" s="102" t="s">
        <v>1677</v>
      </c>
      <c r="X919" s="148"/>
      <c r="Y919" s="267"/>
      <c r="Z919" s="121"/>
      <c r="AA919" s="121"/>
      <c r="AB919" s="121"/>
      <c r="AC919" s="121"/>
      <c r="AD919" s="121"/>
      <c r="AE919" s="121"/>
      <c r="AF919" s="121"/>
      <c r="AG919" s="121"/>
      <c r="AH919" s="121"/>
      <c r="AI919" s="121"/>
      <c r="AJ919" s="121"/>
      <c r="AK919" s="121"/>
      <c r="AL919" s="121"/>
    </row>
    <row r="920" spans="1:38" s="115" customFormat="1" ht="15" customHeight="1">
      <c r="A920" s="555" t="s">
        <v>1678</v>
      </c>
      <c r="B920" s="217" t="str">
        <f t="shared" si="829"/>
        <v>125</v>
      </c>
      <c r="C920" s="217" t="str">
        <f t="shared" si="830"/>
        <v>65</v>
      </c>
      <c r="D920" s="101" t="str">
        <f t="shared" si="831"/>
        <v>654</v>
      </c>
      <c r="E920" s="217" t="str">
        <f t="shared" si="832"/>
        <v>125-65-654</v>
      </c>
      <c r="F920" s="294" t="str">
        <f t="shared" si="833"/>
        <v>53510</v>
      </c>
      <c r="G920" s="295" t="str">
        <f>VLOOKUP(F920,'GL Category'!A:C,3,FALSE)</f>
        <v>Services &amp; other</v>
      </c>
      <c r="H920" s="98" t="str">
        <f>VLOOKUP(F920,'GL Category'!A:C,2,FALSE)</f>
        <v>DUES &amp; SUBSCRIPTIONS</v>
      </c>
      <c r="I920" s="99">
        <f>SUMIF(Import!$B:$B,$A920,Import!D:D)</f>
        <v>140</v>
      </c>
      <c r="J920" s="99">
        <f>SUMIF(Import!$B:$B,$A920,Import!E:E)</f>
        <v>100</v>
      </c>
      <c r="K920" s="99">
        <f>SUMIF(Import!$B:$B,$A920,Import!F:F)</f>
        <v>200</v>
      </c>
      <c r="L920" s="99">
        <f>SUMIF(Import!$B:$B,$A920,Import!G:G)</f>
        <v>0</v>
      </c>
      <c r="M920" s="99">
        <f>SUMIF(Import!$B:$B,$A920,Import!H:H)</f>
        <v>300</v>
      </c>
      <c r="N920" s="99">
        <f>SUMIF(Import!$B:$B,$A920,Import!I:I)</f>
        <v>280</v>
      </c>
      <c r="O920" s="99">
        <f>SUMIF(Import!$B:$B,$A920,Import!J:J)</f>
        <v>300</v>
      </c>
      <c r="P920" s="99">
        <f t="shared" si="902"/>
        <v>0</v>
      </c>
      <c r="Q920" s="99">
        <f>SUMIF(Import!$B:$B,$A920,Import!K:K)</f>
        <v>300</v>
      </c>
      <c r="R920" s="99">
        <f>SUMIF(Import!$B:$B,$A920,Import!L:L)</f>
        <v>0</v>
      </c>
      <c r="S920" s="99">
        <f>SUMIF(Import!$B:$B,$A920,Import!M:M)</f>
        <v>0</v>
      </c>
      <c r="T920" s="99">
        <f>SUMIF(Import!$B:$B,$A920,Import!N:N)</f>
        <v>300</v>
      </c>
      <c r="U920" s="99">
        <f t="shared" si="903"/>
        <v>0</v>
      </c>
      <c r="V920" s="255">
        <f t="shared" si="904"/>
        <v>0</v>
      </c>
      <c r="W920" s="102" t="s">
        <v>1678</v>
      </c>
      <c r="X920" s="148"/>
      <c r="Y920" s="267"/>
      <c r="Z920" s="121"/>
      <c r="AA920" s="121"/>
      <c r="AB920" s="121"/>
      <c r="AC920" s="121"/>
      <c r="AD920" s="121"/>
      <c r="AE920" s="121"/>
      <c r="AF920" s="121"/>
      <c r="AG920" s="121"/>
      <c r="AH920" s="121"/>
      <c r="AI920" s="121"/>
      <c r="AJ920" s="121"/>
      <c r="AK920" s="121"/>
      <c r="AL920" s="121"/>
    </row>
    <row r="921" spans="1:38" s="115" customFormat="1" ht="15" customHeight="1">
      <c r="A921" s="555" t="s">
        <v>1679</v>
      </c>
      <c r="B921" s="217" t="str">
        <f t="shared" si="829"/>
        <v>125</v>
      </c>
      <c r="C921" s="217" t="str">
        <f t="shared" si="830"/>
        <v>65</v>
      </c>
      <c r="D921" s="101" t="str">
        <f t="shared" si="831"/>
        <v>654</v>
      </c>
      <c r="E921" s="217" t="str">
        <f t="shared" si="832"/>
        <v>125-65-654</v>
      </c>
      <c r="F921" s="294" t="str">
        <f t="shared" si="833"/>
        <v>53515</v>
      </c>
      <c r="G921" s="295" t="str">
        <f>VLOOKUP(F921,'GL Category'!A:C,3,FALSE)</f>
        <v>Services &amp; other</v>
      </c>
      <c r="H921" s="98" t="str">
        <f>VLOOKUP(F921,'GL Category'!A:C,2,FALSE)</f>
        <v>TRAVEL, TRAINING &amp; EDUCATION</v>
      </c>
      <c r="I921" s="99">
        <f>SUMIF(Import!$B:$B,$A921,Import!D:D)</f>
        <v>2518.89</v>
      </c>
      <c r="J921" s="99">
        <f>SUMIF(Import!$B:$B,$A921,Import!E:E)</f>
        <v>0</v>
      </c>
      <c r="K921" s="99">
        <f>SUMIF(Import!$B:$B,$A921,Import!F:F)</f>
        <v>553</v>
      </c>
      <c r="L921" s="99">
        <f>SUMIF(Import!$B:$B,$A921,Import!G:G)</f>
        <v>1043.95</v>
      </c>
      <c r="M921" s="99">
        <f>SUMIF(Import!$B:$B,$A921,Import!H:H)</f>
        <v>1930</v>
      </c>
      <c r="N921" s="99">
        <f>SUMIF(Import!$B:$B,$A921,Import!I:I)</f>
        <v>2447.9299999999998</v>
      </c>
      <c r="O921" s="99">
        <f>SUMIF(Import!$B:$B,$A921,Import!J:J)</f>
        <v>2500</v>
      </c>
      <c r="P921" s="99">
        <f t="shared" si="902"/>
        <v>570</v>
      </c>
      <c r="Q921" s="99">
        <f>SUMIF(Import!$B:$B,$A921,Import!K:K)</f>
        <v>1930</v>
      </c>
      <c r="R921" s="99">
        <f>SUMIF(Import!$B:$B,$A921,Import!L:L)</f>
        <v>1500</v>
      </c>
      <c r="S921" s="99">
        <f>SUMIF(Import!$B:$B,$A921,Import!M:M)</f>
        <v>0</v>
      </c>
      <c r="T921" s="99">
        <f>SUMIF(Import!$B:$B,$A921,Import!N:N)</f>
        <v>3430</v>
      </c>
      <c r="U921" s="99">
        <f t="shared" si="903"/>
        <v>1500</v>
      </c>
      <c r="V921" s="255">
        <f t="shared" si="904"/>
        <v>0.7772020725388602</v>
      </c>
      <c r="W921" s="102" t="s">
        <v>1679</v>
      </c>
      <c r="X921" s="148"/>
      <c r="Y921" s="267"/>
      <c r="Z921" s="121"/>
      <c r="AA921" s="121"/>
      <c r="AB921" s="121"/>
      <c r="AC921" s="121"/>
      <c r="AD921" s="121"/>
      <c r="AE921" s="121"/>
      <c r="AF921" s="121"/>
      <c r="AG921" s="121"/>
      <c r="AH921" s="121"/>
      <c r="AI921" s="121"/>
      <c r="AJ921" s="121"/>
      <c r="AK921" s="121"/>
      <c r="AL921" s="121"/>
    </row>
    <row r="922" spans="1:38" s="115" customFormat="1" ht="15" customHeight="1">
      <c r="A922" s="555" t="s">
        <v>1680</v>
      </c>
      <c r="B922" s="217" t="str">
        <f t="shared" si="829"/>
        <v>125</v>
      </c>
      <c r="C922" s="217" t="str">
        <f t="shared" si="830"/>
        <v>65</v>
      </c>
      <c r="D922" s="101" t="str">
        <f t="shared" si="831"/>
        <v>654</v>
      </c>
      <c r="E922" s="217" t="str">
        <f t="shared" si="832"/>
        <v>125-65-654</v>
      </c>
      <c r="F922" s="294" t="str">
        <f t="shared" si="833"/>
        <v>53535</v>
      </c>
      <c r="G922" s="295" t="str">
        <f>VLOOKUP(F922,'GL Category'!A:C,3,FALSE)</f>
        <v>Services &amp; other</v>
      </c>
      <c r="H922" s="98" t="str">
        <f>VLOOKUP(F922,'GL Category'!A:C,2,FALSE)</f>
        <v>RECREATION &amp; CULTURE PROGRAMS</v>
      </c>
      <c r="I922" s="99">
        <f>SUMIF(Import!$B:$B,$A922,Import!D:D)</f>
        <v>51890.7</v>
      </c>
      <c r="J922" s="99">
        <f>SUMIF(Import!$B:$B,$A922,Import!E:E)</f>
        <v>85545.74</v>
      </c>
      <c r="K922" s="99">
        <f>SUMIF(Import!$B:$B,$A922,Import!F:F)</f>
        <v>148365.79</v>
      </c>
      <c r="L922" s="99">
        <f>SUMIF(Import!$B:$B,$A922,Import!G:G)</f>
        <v>157298.68</v>
      </c>
      <c r="M922" s="99">
        <f>SUMIF(Import!$B:$B,$A922,Import!H:H)</f>
        <v>160180</v>
      </c>
      <c r="N922" s="99">
        <f>SUMIF(Import!$B:$B,$A922,Import!I:I)</f>
        <v>111671.82</v>
      </c>
      <c r="O922" s="99">
        <f>SUMIF(Import!$B:$B,$A922,Import!J:J)</f>
        <v>164500</v>
      </c>
      <c r="P922" s="99">
        <f t="shared" si="902"/>
        <v>4320</v>
      </c>
      <c r="Q922" s="99">
        <f>SUMIF(Import!$B:$B,$A922,Import!K:K)</f>
        <v>160180</v>
      </c>
      <c r="R922" s="99">
        <f>SUMIF(Import!$B:$B,$A922,Import!L:L)</f>
        <v>6000</v>
      </c>
      <c r="S922" s="99">
        <f>SUMIF(Import!$B:$B,$A922,Import!M:M)</f>
        <v>0</v>
      </c>
      <c r="T922" s="99">
        <f>SUMIF(Import!$B:$B,$A922,Import!N:N)</f>
        <v>166180</v>
      </c>
      <c r="U922" s="99">
        <f t="shared" si="903"/>
        <v>6000</v>
      </c>
      <c r="V922" s="255">
        <f t="shared" si="904"/>
        <v>3.7457859907603863E-2</v>
      </c>
      <c r="W922" s="102" t="s">
        <v>1680</v>
      </c>
      <c r="X922" s="148"/>
      <c r="Y922" s="267"/>
      <c r="Z922" s="121"/>
      <c r="AA922" s="121"/>
      <c r="AB922" s="121"/>
      <c r="AC922" s="121"/>
      <c r="AD922" s="121"/>
      <c r="AE922" s="121"/>
      <c r="AF922" s="121"/>
      <c r="AG922" s="121"/>
      <c r="AH922" s="121"/>
      <c r="AI922" s="121"/>
      <c r="AJ922" s="121"/>
      <c r="AK922" s="121"/>
      <c r="AL922" s="121"/>
    </row>
    <row r="923" spans="1:38" s="115" customFormat="1" ht="15" customHeight="1">
      <c r="A923" s="555" t="s">
        <v>1681</v>
      </c>
      <c r="B923" s="217" t="str">
        <f t="shared" ref="B923:B984" si="905">LEFT(A923,3)</f>
        <v>125</v>
      </c>
      <c r="C923" s="217" t="str">
        <f t="shared" ref="C923:C984" si="906">MID(A923,5,2)</f>
        <v>65</v>
      </c>
      <c r="D923" s="101" t="str">
        <f t="shared" ref="D923:D984" si="907">MID(A923,8,3)</f>
        <v>654</v>
      </c>
      <c r="E923" s="217" t="str">
        <f t="shared" ref="E923:E984" si="908">LEFT(A923,10)</f>
        <v>125-65-654</v>
      </c>
      <c r="F923" s="294" t="str">
        <f t="shared" ref="F923:F984" si="909">RIGHT(A923,5)</f>
        <v>53537</v>
      </c>
      <c r="G923" s="295" t="str">
        <f>VLOOKUP(F923,'GL Category'!A:C,3,FALSE)</f>
        <v>Services &amp; other</v>
      </c>
      <c r="H923" s="98" t="str">
        <f>VLOOKUP(F923,'GL Category'!A:C,2,FALSE)</f>
        <v>RECREATION/BIRTHDAY PARTY PRGM</v>
      </c>
      <c r="I923" s="99">
        <f>SUMIF(Import!$B:$B,$A923,Import!D:D)</f>
        <v>8034.98</v>
      </c>
      <c r="J923" s="99">
        <f>SUMIF(Import!$B:$B,$A923,Import!E:E)</f>
        <v>20898.330000000002</v>
      </c>
      <c r="K923" s="99">
        <f>SUMIF(Import!$B:$B,$A923,Import!F:F)</f>
        <v>14667.4</v>
      </c>
      <c r="L923" s="99">
        <f>SUMIF(Import!$B:$B,$A923,Import!G:G)</f>
        <v>38439.69</v>
      </c>
      <c r="M923" s="99">
        <f>SUMIF(Import!$B:$B,$A923,Import!H:H)</f>
        <v>32350</v>
      </c>
      <c r="N923" s="99">
        <f>SUMIF(Import!$B:$B,$A923,Import!I:I)</f>
        <v>35639.379999999997</v>
      </c>
      <c r="O923" s="99">
        <f>SUMIF(Import!$B:$B,$A923,Import!J:J)</f>
        <v>40850</v>
      </c>
      <c r="P923" s="99">
        <f t="shared" si="902"/>
        <v>8500</v>
      </c>
      <c r="Q923" s="99">
        <f>SUMIF(Import!$B:$B,$A923,Import!K:K)</f>
        <v>32850</v>
      </c>
      <c r="R923" s="99">
        <f>SUMIF(Import!$B:$B,$A923,Import!L:L)</f>
        <v>10000</v>
      </c>
      <c r="S923" s="99">
        <f>SUMIF(Import!$B:$B,$A923,Import!M:M)</f>
        <v>0</v>
      </c>
      <c r="T923" s="99">
        <f>SUMIF(Import!$B:$B,$A923,Import!N:N)</f>
        <v>42850</v>
      </c>
      <c r="U923" s="99">
        <f t="shared" si="903"/>
        <v>10500</v>
      </c>
      <c r="V923" s="255">
        <f t="shared" si="904"/>
        <v>0.32457496136012365</v>
      </c>
      <c r="W923" s="102" t="s">
        <v>1681</v>
      </c>
      <c r="X923" s="148"/>
      <c r="Y923" s="267"/>
      <c r="Z923" s="121"/>
      <c r="AA923" s="121"/>
      <c r="AB923" s="121"/>
      <c r="AC923" s="121"/>
      <c r="AD923" s="121"/>
      <c r="AE923" s="121"/>
      <c r="AF923" s="121"/>
      <c r="AG923" s="121"/>
      <c r="AH923" s="121"/>
      <c r="AI923" s="121"/>
      <c r="AJ923" s="121"/>
      <c r="AK923" s="121"/>
      <c r="AL923" s="121"/>
    </row>
    <row r="924" spans="1:38" s="115" customFormat="1" ht="15" customHeight="1">
      <c r="A924" s="555" t="s">
        <v>1682</v>
      </c>
      <c r="B924" s="217" t="str">
        <f t="shared" si="905"/>
        <v>125</v>
      </c>
      <c r="C924" s="217" t="str">
        <f t="shared" si="906"/>
        <v>65</v>
      </c>
      <c r="D924" s="101" t="str">
        <f t="shared" si="907"/>
        <v>654</v>
      </c>
      <c r="E924" s="217" t="str">
        <f t="shared" si="908"/>
        <v>125-65-654</v>
      </c>
      <c r="F924" s="294" t="str">
        <f t="shared" si="909"/>
        <v>53540</v>
      </c>
      <c r="G924" s="295" t="str">
        <f>VLOOKUP(F924,'GL Category'!A:C,3,FALSE)</f>
        <v>Services &amp; other</v>
      </c>
      <c r="H924" s="98" t="str">
        <f>VLOOKUP(F924,'GL Category'!A:C,2,FALSE)</f>
        <v>PRINTING &amp; BINDING SERVICES</v>
      </c>
      <c r="I924" s="99">
        <f>SUMIF(Import!$B:$B,$A924,Import!D:D)</f>
        <v>440.51</v>
      </c>
      <c r="J924" s="99">
        <f>SUMIF(Import!$B:$B,$A924,Import!E:E)</f>
        <v>0</v>
      </c>
      <c r="K924" s="99">
        <f>SUMIF(Import!$B:$B,$A924,Import!F:F)</f>
        <v>366.7</v>
      </c>
      <c r="L924" s="99">
        <f>SUMIF(Import!$B:$B,$A924,Import!G:G)</f>
        <v>0</v>
      </c>
      <c r="M924" s="99">
        <f>SUMIF(Import!$B:$B,$A924,Import!H:H)</f>
        <v>0</v>
      </c>
      <c r="N924" s="99">
        <f>SUMIF(Import!$B:$B,$A924,Import!I:I)</f>
        <v>0</v>
      </c>
      <c r="O924" s="99">
        <f>SUMIF(Import!$B:$B,$A924,Import!J:J)</f>
        <v>0</v>
      </c>
      <c r="P924" s="99">
        <f t="shared" si="902"/>
        <v>0</v>
      </c>
      <c r="Q924" s="99">
        <f>SUMIF(Import!$B:$B,$A924,Import!K:K)</f>
        <v>0</v>
      </c>
      <c r="R924" s="99">
        <f>SUMIF(Import!$B:$B,$A924,Import!L:L)</f>
        <v>0</v>
      </c>
      <c r="S924" s="99">
        <f>SUMIF(Import!$B:$B,$A924,Import!M:M)</f>
        <v>0</v>
      </c>
      <c r="T924" s="99">
        <f>SUMIF(Import!$B:$B,$A924,Import!N:N)</f>
        <v>0</v>
      </c>
      <c r="U924" s="99">
        <f t="shared" si="903"/>
        <v>0</v>
      </c>
      <c r="V924" s="255" t="str">
        <f t="shared" si="904"/>
        <v>N/A</v>
      </c>
      <c r="W924" s="102" t="s">
        <v>1682</v>
      </c>
      <c r="X924" s="148"/>
      <c r="Y924" s="267"/>
      <c r="Z924" s="121"/>
      <c r="AA924" s="121"/>
      <c r="AB924" s="121"/>
      <c r="AC924" s="121"/>
      <c r="AD924" s="121"/>
      <c r="AE924" s="121"/>
      <c r="AF924" s="121"/>
      <c r="AG924" s="121"/>
      <c r="AH924" s="121"/>
      <c r="AI924" s="121"/>
      <c r="AJ924" s="121"/>
      <c r="AK924" s="121"/>
      <c r="AL924" s="121"/>
    </row>
    <row r="925" spans="1:38" s="115" customFormat="1" ht="15" customHeight="1">
      <c r="A925" s="555" t="s">
        <v>1683</v>
      </c>
      <c r="B925" s="217" t="str">
        <f t="shared" si="905"/>
        <v>125</v>
      </c>
      <c r="C925" s="217" t="str">
        <f t="shared" si="906"/>
        <v>65</v>
      </c>
      <c r="D925" s="101" t="str">
        <f t="shared" si="907"/>
        <v>654</v>
      </c>
      <c r="E925" s="217" t="str">
        <f t="shared" si="908"/>
        <v>125-65-654</v>
      </c>
      <c r="F925" s="294" t="str">
        <f t="shared" si="909"/>
        <v>55119</v>
      </c>
      <c r="G925" s="295" t="str">
        <f>VLOOKUP(F925,'GL Category'!A:C,3,FALSE)</f>
        <v>Services &amp; other</v>
      </c>
      <c r="H925" s="98" t="str">
        <f>VLOOKUP(F925,'GL Category'!A:C,2,FALSE)</f>
        <v>OFFICE EQUIP LEASE EXP-CITY</v>
      </c>
      <c r="I925" s="99">
        <f>SUMIF(Import!$B:$B,$A925,Import!D:D)</f>
        <v>3078</v>
      </c>
      <c r="J925" s="99">
        <f>SUMIF(Import!$B:$B,$A925,Import!E:E)</f>
        <v>6880</v>
      </c>
      <c r="K925" s="99">
        <f>SUMIF(Import!$B:$B,$A925,Import!F:F)</f>
        <v>1410</v>
      </c>
      <c r="L925" s="99">
        <f>SUMIF(Import!$B:$B,$A925,Import!G:G)</f>
        <v>3095</v>
      </c>
      <c r="M925" s="99">
        <f>SUMIF(Import!$B:$B,$A925,Import!H:H)</f>
        <v>3050</v>
      </c>
      <c r="N925" s="99">
        <f>SUMIF(Import!$B:$B,$A925,Import!I:I)</f>
        <v>2287.5</v>
      </c>
      <c r="O925" s="99">
        <f>SUMIF(Import!$B:$B,$A925,Import!J:J)</f>
        <v>3050</v>
      </c>
      <c r="P925" s="99">
        <f t="shared" si="902"/>
        <v>0</v>
      </c>
      <c r="Q925" s="99">
        <f>SUMIF(Import!$B:$B,$A925,Import!K:K)</f>
        <v>3905</v>
      </c>
      <c r="R925" s="99">
        <f>SUMIF(Import!$B:$B,$A925,Import!L:L)</f>
        <v>0</v>
      </c>
      <c r="S925" s="99">
        <f>SUMIF(Import!$B:$B,$A925,Import!M:M)</f>
        <v>0</v>
      </c>
      <c r="T925" s="99">
        <f>SUMIF(Import!$B:$B,$A925,Import!N:N)</f>
        <v>3905</v>
      </c>
      <c r="U925" s="99">
        <f t="shared" si="903"/>
        <v>855</v>
      </c>
      <c r="V925" s="255">
        <f t="shared" si="904"/>
        <v>0.28032786885245908</v>
      </c>
      <c r="W925" s="102" t="s">
        <v>1683</v>
      </c>
      <c r="X925" s="148"/>
      <c r="Y925" s="267"/>
      <c r="Z925" s="121"/>
      <c r="AA925" s="121"/>
      <c r="AB925" s="121"/>
      <c r="AC925" s="121"/>
      <c r="AD925" s="121"/>
      <c r="AE925" s="121"/>
      <c r="AF925" s="121"/>
      <c r="AG925" s="121"/>
      <c r="AH925" s="121"/>
      <c r="AI925" s="121"/>
      <c r="AJ925" s="121"/>
      <c r="AK925" s="121"/>
      <c r="AL925" s="121"/>
    </row>
    <row r="926" spans="1:38" s="115" customFormat="1" ht="15" customHeight="1">
      <c r="A926" s="555"/>
      <c r="B926" s="217"/>
      <c r="C926" s="217"/>
      <c r="D926" s="101"/>
      <c r="E926" s="217"/>
      <c r="F926" s="294"/>
      <c r="G926" s="146"/>
      <c r="H926" s="107" t="str">
        <f>UPPER(G925)&amp;" TOTAL"</f>
        <v>SERVICES &amp; OTHER TOTAL</v>
      </c>
      <c r="I926" s="109">
        <f t="shared" ref="I926" si="910">SUBTOTAL(9,I919:I925)</f>
        <v>66103.079999999987</v>
      </c>
      <c r="J926" s="109">
        <f t="shared" ref="J926:T926" si="911">SUBTOTAL(9,J919:J925)</f>
        <v>113424.07</v>
      </c>
      <c r="K926" s="109">
        <f t="shared" ref="K926" si="912">SUBTOTAL(9,K919:K925)</f>
        <v>165562.89000000001</v>
      </c>
      <c r="L926" s="109">
        <f t="shared" ref="L926" si="913">SUBTOTAL(9,L919:L925)</f>
        <v>199877.32</v>
      </c>
      <c r="M926" s="109">
        <f t="shared" si="911"/>
        <v>197810</v>
      </c>
      <c r="N926" s="109">
        <f t="shared" ref="N926" si="914">SUBTOTAL(9,N919:N925)</f>
        <v>152326.63</v>
      </c>
      <c r="O926" s="109">
        <f t="shared" si="911"/>
        <v>211200</v>
      </c>
      <c r="P926" s="109">
        <f t="shared" si="911"/>
        <v>13390</v>
      </c>
      <c r="Q926" s="109">
        <f t="shared" si="911"/>
        <v>199165</v>
      </c>
      <c r="R926" s="109">
        <f t="shared" si="911"/>
        <v>17500</v>
      </c>
      <c r="S926" s="109">
        <f t="shared" si="911"/>
        <v>0</v>
      </c>
      <c r="T926" s="109">
        <f t="shared" si="911"/>
        <v>216665</v>
      </c>
      <c r="U926" s="99">
        <f>T926-M926</f>
        <v>18855</v>
      </c>
      <c r="V926" s="259">
        <f>IF(M926=0,"N/A",T926/M926-1)</f>
        <v>9.5318740205247554E-2</v>
      </c>
      <c r="W926" s="104"/>
      <c r="X926" s="148"/>
      <c r="Y926" s="267"/>
      <c r="Z926" s="121"/>
      <c r="AA926" s="121"/>
      <c r="AB926" s="121"/>
      <c r="AC926" s="121"/>
      <c r="AD926" s="121"/>
      <c r="AE926" s="121"/>
      <c r="AF926" s="121"/>
      <c r="AG926" s="121"/>
      <c r="AH926" s="121"/>
      <c r="AI926" s="121"/>
      <c r="AJ926" s="121"/>
      <c r="AK926" s="121"/>
      <c r="AL926" s="121"/>
    </row>
    <row r="927" spans="1:38" s="115" customFormat="1" ht="15" customHeight="1">
      <c r="A927" s="555"/>
      <c r="B927" s="217"/>
      <c r="C927" s="217"/>
      <c r="D927" s="101"/>
      <c r="E927" s="217"/>
      <c r="F927" s="294"/>
      <c r="G927" s="146"/>
      <c r="H927" s="98"/>
      <c r="I927" s="106"/>
      <c r="J927" s="106"/>
      <c r="K927" s="106"/>
      <c r="L927" s="106"/>
      <c r="M927" s="106"/>
      <c r="N927" s="112"/>
      <c r="O927" s="112"/>
      <c r="P927" s="112"/>
      <c r="Q927" s="113"/>
      <c r="R927" s="113"/>
      <c r="S927" s="113"/>
      <c r="T927" s="113"/>
      <c r="U927" s="113"/>
      <c r="V927" s="113"/>
      <c r="W927" s="104"/>
      <c r="X927" s="148"/>
      <c r="Y927" s="267"/>
      <c r="Z927" s="121"/>
      <c r="AA927" s="121"/>
      <c r="AB927" s="121"/>
      <c r="AC927" s="121"/>
      <c r="AD927" s="121"/>
      <c r="AE927" s="121"/>
      <c r="AF927" s="121"/>
      <c r="AG927" s="121"/>
      <c r="AH927" s="121"/>
      <c r="AI927" s="121"/>
      <c r="AJ927" s="121"/>
      <c r="AK927" s="121"/>
      <c r="AL927" s="121"/>
    </row>
    <row r="928" spans="1:38" s="115" customFormat="1" ht="15" customHeight="1">
      <c r="A928" s="555"/>
      <c r="B928" s="217"/>
      <c r="C928" s="217"/>
      <c r="D928" s="101"/>
      <c r="E928" s="217"/>
      <c r="F928" s="294"/>
      <c r="G928" s="146"/>
      <c r="H928" s="114" t="s">
        <v>763</v>
      </c>
      <c r="I928" s="108">
        <f t="shared" ref="I928" si="915">SUBTOTAL(9,I904:I927)</f>
        <v>292697.10000000003</v>
      </c>
      <c r="J928" s="108">
        <f t="shared" ref="J928:T928" si="916">SUBTOTAL(9,J904:J927)</f>
        <v>427323.65</v>
      </c>
      <c r="K928" s="108">
        <f t="shared" ref="K928" si="917">SUBTOTAL(9,K904:K927)</f>
        <v>517329.91999999998</v>
      </c>
      <c r="L928" s="108">
        <f t="shared" ref="L928" si="918">SUBTOTAL(9,L904:L927)</f>
        <v>611967.84999999986</v>
      </c>
      <c r="M928" s="108">
        <f t="shared" si="916"/>
        <v>642224</v>
      </c>
      <c r="N928" s="108">
        <f t="shared" ref="N928" si="919">SUBTOTAL(9,N904:N927)</f>
        <v>482917.12</v>
      </c>
      <c r="O928" s="108">
        <f t="shared" si="916"/>
        <v>672898</v>
      </c>
      <c r="P928" s="108">
        <f t="shared" si="916"/>
        <v>30674</v>
      </c>
      <c r="Q928" s="108">
        <f t="shared" si="916"/>
        <v>717435</v>
      </c>
      <c r="R928" s="108">
        <f t="shared" si="916"/>
        <v>22500</v>
      </c>
      <c r="S928" s="108">
        <f t="shared" si="916"/>
        <v>0</v>
      </c>
      <c r="T928" s="108">
        <f t="shared" si="916"/>
        <v>739935</v>
      </c>
      <c r="U928" s="99">
        <f>T928-M928</f>
        <v>97711</v>
      </c>
      <c r="V928" s="259">
        <f>IF(M928=0,"N/A",T928/M928-1)</f>
        <v>0.15214473454744759</v>
      </c>
      <c r="W928" s="104"/>
      <c r="X928" s="148"/>
      <c r="Y928" s="267"/>
      <c r="Z928" s="121"/>
      <c r="AA928" s="121"/>
      <c r="AB928" s="121"/>
      <c r="AC928" s="121"/>
      <c r="AD928" s="121"/>
      <c r="AE928" s="121"/>
      <c r="AF928" s="121"/>
      <c r="AG928" s="121"/>
      <c r="AH928" s="121"/>
      <c r="AI928" s="121"/>
      <c r="AJ928" s="121"/>
      <c r="AK928" s="121"/>
      <c r="AL928" s="121"/>
    </row>
    <row r="929" spans="1:38" s="115" customFormat="1" ht="15" customHeight="1">
      <c r="A929" s="555"/>
      <c r="B929" s="217"/>
      <c r="C929" s="217"/>
      <c r="D929" s="101"/>
      <c r="E929" s="217"/>
      <c r="F929" s="294"/>
      <c r="G929" s="146"/>
      <c r="H929" s="89"/>
      <c r="I929" s="233"/>
      <c r="J929" s="233"/>
      <c r="K929" s="233"/>
      <c r="L929" s="233"/>
      <c r="M929" s="233"/>
      <c r="N929" s="233"/>
      <c r="O929" s="233"/>
      <c r="P929" s="233"/>
      <c r="Q929" s="233"/>
      <c r="R929" s="233"/>
      <c r="S929" s="233"/>
      <c r="T929" s="233"/>
      <c r="U929" s="233"/>
      <c r="V929" s="233"/>
      <c r="W929" s="104"/>
      <c r="X929" s="148"/>
      <c r="Y929" s="267"/>
      <c r="Z929" s="121"/>
      <c r="AA929" s="121"/>
      <c r="AB929" s="121"/>
      <c r="AC929" s="121"/>
      <c r="AD929" s="121"/>
      <c r="AE929" s="121"/>
      <c r="AF929" s="121"/>
      <c r="AG929" s="121"/>
      <c r="AH929" s="121"/>
      <c r="AI929" s="121"/>
      <c r="AJ929" s="121"/>
      <c r="AK929" s="121"/>
      <c r="AL929" s="121"/>
    </row>
    <row r="930" spans="1:38" s="115" customFormat="1" ht="15" customHeight="1" thickBot="1">
      <c r="A930" s="555"/>
      <c r="B930" s="217"/>
      <c r="C930" s="217"/>
      <c r="D930" s="101"/>
      <c r="E930" s="217"/>
      <c r="F930" s="294"/>
      <c r="G930" s="146"/>
      <c r="H930" s="98"/>
      <c r="I930" s="218"/>
      <c r="J930" s="218"/>
      <c r="K930" s="218"/>
      <c r="L930" s="218"/>
      <c r="M930" s="218"/>
      <c r="N930" s="96"/>
      <c r="O930" s="96"/>
      <c r="P930" s="96"/>
      <c r="Q930" s="212"/>
      <c r="R930" s="212"/>
      <c r="S930" s="212"/>
      <c r="T930" s="212"/>
      <c r="U930" s="212"/>
      <c r="V930" s="113"/>
      <c r="W930" s="104"/>
      <c r="X930" s="148"/>
      <c r="Y930" s="267"/>
      <c r="Z930" s="121"/>
      <c r="AA930" s="121"/>
      <c r="AB930" s="121"/>
      <c r="AC930" s="121"/>
      <c r="AD930" s="121"/>
      <c r="AE930" s="121"/>
      <c r="AF930" s="121"/>
      <c r="AG930" s="121"/>
      <c r="AH930" s="121"/>
      <c r="AI930" s="121"/>
      <c r="AJ930" s="121"/>
      <c r="AK930" s="121"/>
      <c r="AL930" s="121"/>
    </row>
    <row r="931" spans="1:38" s="115" customFormat="1" ht="23.4" customHeight="1" thickBot="1">
      <c r="A931" s="555"/>
      <c r="B931" s="217"/>
      <c r="C931" s="217"/>
      <c r="D931" s="101"/>
      <c r="E931" s="217"/>
      <c r="F931" s="294"/>
      <c r="G931" s="146"/>
      <c r="H931" s="665" t="s">
        <v>107</v>
      </c>
      <c r="I931" s="666"/>
      <c r="J931" s="666"/>
      <c r="K931" s="666"/>
      <c r="L931" s="666"/>
      <c r="M931" s="666"/>
      <c r="N931" s="666"/>
      <c r="O931" s="666"/>
      <c r="P931" s="666"/>
      <c r="Q931" s="666"/>
      <c r="R931" s="666"/>
      <c r="S931" s="666"/>
      <c r="T931" s="667"/>
      <c r="U931" s="247"/>
      <c r="V931" s="261"/>
      <c r="W931" s="104"/>
      <c r="X931" s="148"/>
      <c r="Y931" s="267"/>
      <c r="Z931" s="121"/>
      <c r="AA931" s="121"/>
      <c r="AB931" s="121"/>
      <c r="AC931" s="121"/>
      <c r="AD931" s="121"/>
      <c r="AE931" s="121"/>
      <c r="AF931" s="121"/>
      <c r="AG931" s="121"/>
      <c r="AH931" s="121"/>
      <c r="AI931" s="121"/>
      <c r="AJ931" s="121"/>
      <c r="AK931" s="121"/>
      <c r="AL931" s="121"/>
    </row>
    <row r="932" spans="1:38" s="115" customFormat="1" ht="15" customHeight="1">
      <c r="A932" s="555"/>
      <c r="B932" s="217"/>
      <c r="C932" s="217"/>
      <c r="D932" s="101"/>
      <c r="E932" s="217"/>
      <c r="F932" s="294"/>
      <c r="G932" s="146"/>
      <c r="H932" s="225"/>
      <c r="I932" s="225"/>
      <c r="J932" s="225"/>
      <c r="K932" s="225"/>
      <c r="L932" s="225"/>
      <c r="M932" s="225"/>
      <c r="N932" s="225"/>
      <c r="O932" s="225"/>
      <c r="P932" s="225"/>
      <c r="Q932" s="225"/>
      <c r="R932" s="225"/>
      <c r="S932" s="225"/>
      <c r="T932" s="225"/>
      <c r="U932" s="225"/>
      <c r="V932" s="260"/>
      <c r="W932" s="104"/>
      <c r="X932" s="148"/>
      <c r="Y932" s="267"/>
      <c r="Z932" s="121"/>
      <c r="AA932" s="121"/>
      <c r="AB932" s="121"/>
      <c r="AC932" s="121"/>
      <c r="AD932" s="121"/>
      <c r="AE932" s="121"/>
      <c r="AF932" s="121"/>
      <c r="AG932" s="121"/>
      <c r="AH932" s="121"/>
      <c r="AI932" s="121"/>
      <c r="AJ932" s="121"/>
      <c r="AK932" s="121"/>
      <c r="AL932" s="121"/>
    </row>
    <row r="933" spans="1:38" s="115" customFormat="1" ht="15" customHeight="1">
      <c r="A933" s="555" t="s">
        <v>1684</v>
      </c>
      <c r="B933" s="217" t="str">
        <f t="shared" si="905"/>
        <v>125</v>
      </c>
      <c r="C933" s="217" t="str">
        <f t="shared" si="906"/>
        <v>65</v>
      </c>
      <c r="D933" s="101" t="str">
        <f t="shared" si="907"/>
        <v>655</v>
      </c>
      <c r="E933" s="217" t="str">
        <f t="shared" si="908"/>
        <v>125-65-655</v>
      </c>
      <c r="F933" s="294" t="str">
        <f t="shared" si="909"/>
        <v>50101</v>
      </c>
      <c r="G933" s="295" t="str">
        <f>VLOOKUP(F933,'GL Category'!A:C,3,FALSE)</f>
        <v>Personnel services</v>
      </c>
      <c r="H933" s="98" t="str">
        <f>VLOOKUP(F933,'GL Category'!A:C,2,FALSE)</f>
        <v>EXEMPT SALARIES</v>
      </c>
      <c r="I933" s="99">
        <f>SUMIF(Import!$B:$B,$A933,Import!D:D)</f>
        <v>58059.24</v>
      </c>
      <c r="J933" s="99">
        <f>SUMIF(Import!$B:$B,$A933,Import!E:E)</f>
        <v>50033.599999999999</v>
      </c>
      <c r="K933" s="99">
        <f>SUMIF(Import!$B:$B,$A933,Import!F:F)</f>
        <v>53616.98</v>
      </c>
      <c r="L933" s="99">
        <f>SUMIF(Import!$B:$B,$A933,Import!G:G)</f>
        <v>57574.03</v>
      </c>
      <c r="M933" s="99">
        <f>SUMIF(Import!$B:$B,$A933,Import!H:H)</f>
        <v>59798</v>
      </c>
      <c r="N933" s="99">
        <f>SUMIF(Import!$B:$B,$A933,Import!I:I)</f>
        <v>45806.64</v>
      </c>
      <c r="O933" s="99">
        <f>SUMIF(Import!$B:$B,$A933,Import!J:J)</f>
        <v>60131</v>
      </c>
      <c r="P933" s="99">
        <f t="shared" ref="P933:P942" si="920">O933-M933</f>
        <v>333</v>
      </c>
      <c r="Q933" s="99">
        <f>SUMIF(Import!$B:$B,$A933,Import!K:K)</f>
        <v>62182</v>
      </c>
      <c r="R933" s="99">
        <f>SUMIF(Import!$B:$B,$A933,Import!L:L)</f>
        <v>0</v>
      </c>
      <c r="S933" s="99">
        <f>SUMIF(Import!$B:$B,$A933,Import!M:M)</f>
        <v>0</v>
      </c>
      <c r="T933" s="99">
        <f>SUMIF(Import!$B:$B,$A933,Import!N:N)</f>
        <v>62182</v>
      </c>
      <c r="U933" s="99">
        <f t="shared" ref="U933:U942" si="921">T933-M933</f>
        <v>2384</v>
      </c>
      <c r="V933" s="255">
        <f t="shared" ref="V933:V942" si="922">IF(M933=0,"N/A",T933/M933-1)</f>
        <v>3.9867554098799385E-2</v>
      </c>
      <c r="W933" s="102" t="s">
        <v>1684</v>
      </c>
      <c r="X933" s="148"/>
      <c r="Y933" s="267"/>
      <c r="Z933" s="121"/>
      <c r="AA933" s="121"/>
      <c r="AB933" s="121"/>
      <c r="AC933" s="121"/>
      <c r="AD933" s="121"/>
      <c r="AE933" s="121"/>
      <c r="AF933" s="121"/>
      <c r="AG933" s="121"/>
      <c r="AH933" s="121"/>
      <c r="AI933" s="121"/>
      <c r="AJ933" s="121"/>
      <c r="AK933" s="121"/>
      <c r="AL933" s="121"/>
    </row>
    <row r="934" spans="1:38" s="115" customFormat="1" ht="15" customHeight="1">
      <c r="A934" s="555" t="s">
        <v>1685</v>
      </c>
      <c r="B934" s="217" t="str">
        <f t="shared" si="905"/>
        <v>125</v>
      </c>
      <c r="C934" s="217" t="str">
        <f t="shared" si="906"/>
        <v>65</v>
      </c>
      <c r="D934" s="101" t="str">
        <f t="shared" si="907"/>
        <v>655</v>
      </c>
      <c r="E934" s="217" t="str">
        <f t="shared" si="908"/>
        <v>125-65-655</v>
      </c>
      <c r="F934" s="294" t="str">
        <f t="shared" si="909"/>
        <v>50102</v>
      </c>
      <c r="G934" s="295" t="str">
        <f>VLOOKUP(F934,'GL Category'!A:C,3,FALSE)</f>
        <v>Personnel services</v>
      </c>
      <c r="H934" s="98" t="str">
        <f>VLOOKUP(F934,'GL Category'!A:C,2,FALSE)</f>
        <v>NON EXEMPT SALARIES</v>
      </c>
      <c r="I934" s="99">
        <f>SUMIF(Import!$B:$B,$A934,Import!D:D)</f>
        <v>0</v>
      </c>
      <c r="J934" s="99">
        <f>SUMIF(Import!$B:$B,$A934,Import!E:E)</f>
        <v>0</v>
      </c>
      <c r="K934" s="99">
        <f>SUMIF(Import!$B:$B,$A934,Import!F:F)</f>
        <v>0</v>
      </c>
      <c r="L934" s="99">
        <f>SUMIF(Import!$B:$B,$A934,Import!G:G)</f>
        <v>0</v>
      </c>
      <c r="M934" s="99">
        <f>SUMIF(Import!$B:$B,$A934,Import!H:H)</f>
        <v>0</v>
      </c>
      <c r="N934" s="99">
        <f>SUMIF(Import!$B:$B,$A934,Import!I:I)</f>
        <v>0</v>
      </c>
      <c r="O934" s="99">
        <f>SUMIF(Import!$B:$B,$A934,Import!J:J)</f>
        <v>0</v>
      </c>
      <c r="P934" s="99">
        <f t="shared" si="920"/>
        <v>0</v>
      </c>
      <c r="Q934" s="99">
        <f>SUMIF(Import!$B:$B,$A934,Import!K:K)</f>
        <v>0</v>
      </c>
      <c r="R934" s="99">
        <f>SUMIF(Import!$B:$B,$A934,Import!L:L)</f>
        <v>0</v>
      </c>
      <c r="S934" s="99">
        <f>SUMIF(Import!$B:$B,$A934,Import!M:M)</f>
        <v>0</v>
      </c>
      <c r="T934" s="99">
        <f>SUMIF(Import!$B:$B,$A934,Import!N:N)</f>
        <v>0</v>
      </c>
      <c r="U934" s="99">
        <f t="shared" si="921"/>
        <v>0</v>
      </c>
      <c r="V934" s="255" t="str">
        <f t="shared" si="922"/>
        <v>N/A</v>
      </c>
      <c r="W934" s="102" t="s">
        <v>1685</v>
      </c>
      <c r="X934" s="148"/>
      <c r="Y934" s="267"/>
      <c r="Z934" s="121"/>
      <c r="AA934" s="121"/>
      <c r="AB934" s="121"/>
      <c r="AC934" s="121"/>
      <c r="AD934" s="121"/>
      <c r="AE934" s="121"/>
      <c r="AF934" s="121"/>
      <c r="AG934" s="121"/>
      <c r="AH934" s="121"/>
      <c r="AI934" s="121"/>
      <c r="AJ934" s="121"/>
      <c r="AK934" s="121"/>
      <c r="AL934" s="121"/>
    </row>
    <row r="935" spans="1:38" s="115" customFormat="1" ht="15" customHeight="1">
      <c r="A935" s="555" t="s">
        <v>1686</v>
      </c>
      <c r="B935" s="217" t="str">
        <f t="shared" si="905"/>
        <v>125</v>
      </c>
      <c r="C935" s="217" t="str">
        <f t="shared" si="906"/>
        <v>65</v>
      </c>
      <c r="D935" s="101" t="str">
        <f t="shared" si="907"/>
        <v>655</v>
      </c>
      <c r="E935" s="217" t="str">
        <f t="shared" si="908"/>
        <v>125-65-655</v>
      </c>
      <c r="F935" s="294" t="str">
        <f t="shared" si="909"/>
        <v>50109</v>
      </c>
      <c r="G935" s="295" t="str">
        <f>VLOOKUP(F935,'GL Category'!A:C,3,FALSE)</f>
        <v>Personnel services</v>
      </c>
      <c r="H935" s="98" t="str">
        <f>VLOOKUP(F935,'GL Category'!A:C,2,FALSE)</f>
        <v>OVERTIME</v>
      </c>
      <c r="I935" s="99">
        <f>SUMIF(Import!$B:$B,$A935,Import!D:D)</f>
        <v>0</v>
      </c>
      <c r="J935" s="99">
        <f>SUMIF(Import!$B:$B,$A935,Import!E:E)</f>
        <v>0</v>
      </c>
      <c r="K935" s="99">
        <f>SUMIF(Import!$B:$B,$A935,Import!F:F)</f>
        <v>0</v>
      </c>
      <c r="L935" s="99">
        <f>SUMIF(Import!$B:$B,$A935,Import!G:G)</f>
        <v>0</v>
      </c>
      <c r="M935" s="99">
        <f>SUMIF(Import!$B:$B,$A935,Import!H:H)</f>
        <v>0</v>
      </c>
      <c r="N935" s="99">
        <f>SUMIF(Import!$B:$B,$A935,Import!I:I)</f>
        <v>0</v>
      </c>
      <c r="O935" s="99">
        <f>SUMIF(Import!$B:$B,$A935,Import!J:J)</f>
        <v>0</v>
      </c>
      <c r="P935" s="99">
        <f t="shared" si="920"/>
        <v>0</v>
      </c>
      <c r="Q935" s="99">
        <f>SUMIF(Import!$B:$B,$A935,Import!K:K)</f>
        <v>0</v>
      </c>
      <c r="R935" s="99">
        <f>SUMIF(Import!$B:$B,$A935,Import!L:L)</f>
        <v>0</v>
      </c>
      <c r="S935" s="99">
        <f>SUMIF(Import!$B:$B,$A935,Import!M:M)</f>
        <v>0</v>
      </c>
      <c r="T935" s="99">
        <f>SUMIF(Import!$B:$B,$A935,Import!N:N)</f>
        <v>0</v>
      </c>
      <c r="U935" s="99">
        <f t="shared" si="921"/>
        <v>0</v>
      </c>
      <c r="V935" s="255" t="str">
        <f t="shared" si="922"/>
        <v>N/A</v>
      </c>
      <c r="W935" s="102" t="s">
        <v>1686</v>
      </c>
      <c r="X935" s="148"/>
      <c r="Y935" s="267"/>
      <c r="Z935" s="121"/>
      <c r="AA935" s="121"/>
      <c r="AB935" s="121"/>
      <c r="AC935" s="121"/>
      <c r="AD935" s="121"/>
      <c r="AE935" s="121"/>
      <c r="AF935" s="121"/>
      <c r="AG935" s="121"/>
      <c r="AH935" s="121"/>
      <c r="AI935" s="121"/>
      <c r="AJ935" s="121"/>
      <c r="AK935" s="121"/>
      <c r="AL935" s="121"/>
    </row>
    <row r="936" spans="1:38" s="115" customFormat="1" ht="15" customHeight="1">
      <c r="A936" s="555" t="s">
        <v>1687</v>
      </c>
      <c r="B936" s="217" t="str">
        <f t="shared" si="905"/>
        <v>125</v>
      </c>
      <c r="C936" s="217" t="str">
        <f t="shared" si="906"/>
        <v>65</v>
      </c>
      <c r="D936" s="101" t="str">
        <f t="shared" si="907"/>
        <v>655</v>
      </c>
      <c r="E936" s="217" t="str">
        <f t="shared" si="908"/>
        <v>125-65-655</v>
      </c>
      <c r="F936" s="294" t="str">
        <f t="shared" si="909"/>
        <v>50110</v>
      </c>
      <c r="G936" s="295" t="str">
        <f>VLOOKUP(F936,'GL Category'!A:C,3,FALSE)</f>
        <v>Personnel services</v>
      </c>
      <c r="H936" s="98" t="str">
        <f>VLOOKUP(F936,'GL Category'!A:C,2,FALSE)</f>
        <v>PART-TIME WAGES</v>
      </c>
      <c r="I936" s="99">
        <f>SUMIF(Import!$B:$B,$A936,Import!D:D)</f>
        <v>9676.34</v>
      </c>
      <c r="J936" s="99">
        <f>SUMIF(Import!$B:$B,$A936,Import!E:E)</f>
        <v>6508.07</v>
      </c>
      <c r="K936" s="99">
        <f>SUMIF(Import!$B:$B,$A936,Import!F:F)</f>
        <v>12324.75</v>
      </c>
      <c r="L936" s="99">
        <f>SUMIF(Import!$B:$B,$A936,Import!G:G)</f>
        <v>873.75</v>
      </c>
      <c r="M936" s="99">
        <f>SUMIF(Import!$B:$B,$A936,Import!H:H)</f>
        <v>27300</v>
      </c>
      <c r="N936" s="99">
        <f>SUMIF(Import!$B:$B,$A936,Import!I:I)</f>
        <v>7818.33</v>
      </c>
      <c r="O936" s="99">
        <f>SUMIF(Import!$B:$B,$A936,Import!J:J)</f>
        <v>13000</v>
      </c>
      <c r="P936" s="99">
        <f t="shared" si="920"/>
        <v>-14300</v>
      </c>
      <c r="Q936" s="99">
        <f>SUMIF(Import!$B:$B,$A936,Import!K:K)</f>
        <v>43192</v>
      </c>
      <c r="R936" s="99">
        <f>SUMIF(Import!$B:$B,$A936,Import!L:L)</f>
        <v>0</v>
      </c>
      <c r="S936" s="99">
        <f>SUMIF(Import!$B:$B,$A936,Import!M:M)</f>
        <v>0</v>
      </c>
      <c r="T936" s="99">
        <f>SUMIF(Import!$B:$B,$A936,Import!N:N)</f>
        <v>43192</v>
      </c>
      <c r="U936" s="99">
        <f t="shared" si="921"/>
        <v>15892</v>
      </c>
      <c r="V936" s="255">
        <f t="shared" si="922"/>
        <v>0.58212454212454223</v>
      </c>
      <c r="W936" s="102" t="s">
        <v>1687</v>
      </c>
      <c r="X936" s="148"/>
      <c r="Y936" s="267"/>
      <c r="Z936" s="121"/>
      <c r="AA936" s="121"/>
      <c r="AB936" s="121"/>
      <c r="AC936" s="121"/>
      <c r="AD936" s="121"/>
      <c r="AE936" s="121"/>
      <c r="AF936" s="121"/>
      <c r="AG936" s="121"/>
      <c r="AH936" s="121"/>
      <c r="AI936" s="121"/>
      <c r="AJ936" s="121"/>
      <c r="AK936" s="121"/>
      <c r="AL936" s="121"/>
    </row>
    <row r="937" spans="1:38" s="115" customFormat="1" ht="15" customHeight="1">
      <c r="A937" s="555" t="s">
        <v>1688</v>
      </c>
      <c r="B937" s="217" t="str">
        <f t="shared" si="905"/>
        <v>125</v>
      </c>
      <c r="C937" s="217" t="str">
        <f t="shared" si="906"/>
        <v>65</v>
      </c>
      <c r="D937" s="101" t="str">
        <f t="shared" si="907"/>
        <v>655</v>
      </c>
      <c r="E937" s="217" t="str">
        <f t="shared" si="908"/>
        <v>125-65-655</v>
      </c>
      <c r="F937" s="294" t="str">
        <f t="shared" si="909"/>
        <v>50111</v>
      </c>
      <c r="G937" s="295" t="str">
        <f>VLOOKUP(F937,'GL Category'!A:C,3,FALSE)</f>
        <v>Personnel services</v>
      </c>
      <c r="H937" s="98" t="str">
        <f>VLOOKUP(F937,'GL Category'!A:C,2,FALSE)</f>
        <v>LONGEVITY PAY</v>
      </c>
      <c r="I937" s="99">
        <f>SUMIF(Import!$B:$B,$A937,Import!D:D)</f>
        <v>250</v>
      </c>
      <c r="J937" s="99">
        <f>SUMIF(Import!$B:$B,$A937,Import!E:E)</f>
        <v>310</v>
      </c>
      <c r="K937" s="99">
        <f>SUMIF(Import!$B:$B,$A937,Import!F:F)</f>
        <v>0</v>
      </c>
      <c r="L937" s="99">
        <f>SUMIF(Import!$B:$B,$A937,Import!G:G)</f>
        <v>275</v>
      </c>
      <c r="M937" s="99">
        <f>SUMIF(Import!$B:$B,$A937,Import!H:H)</f>
        <v>339</v>
      </c>
      <c r="N937" s="99">
        <f>SUMIF(Import!$B:$B,$A937,Import!I:I)</f>
        <v>335</v>
      </c>
      <c r="O937" s="99">
        <f>SUMIF(Import!$B:$B,$A937,Import!J:J)</f>
        <v>335</v>
      </c>
      <c r="P937" s="99">
        <f t="shared" si="920"/>
        <v>-4</v>
      </c>
      <c r="Q937" s="99">
        <f>SUMIF(Import!$B:$B,$A937,Import!K:K)</f>
        <v>400</v>
      </c>
      <c r="R937" s="99">
        <f>SUMIF(Import!$B:$B,$A937,Import!L:L)</f>
        <v>0</v>
      </c>
      <c r="S937" s="99">
        <f>SUMIF(Import!$B:$B,$A937,Import!M:M)</f>
        <v>0</v>
      </c>
      <c r="T937" s="99">
        <f>SUMIF(Import!$B:$B,$A937,Import!N:N)</f>
        <v>400</v>
      </c>
      <c r="U937" s="99">
        <f t="shared" si="921"/>
        <v>61</v>
      </c>
      <c r="V937" s="255">
        <f t="shared" si="922"/>
        <v>0.17994100294985249</v>
      </c>
      <c r="W937" s="102" t="s">
        <v>1688</v>
      </c>
      <c r="X937" s="148"/>
      <c r="Y937" s="267"/>
      <c r="Z937" s="121"/>
      <c r="AA937" s="121"/>
      <c r="AB937" s="121"/>
      <c r="AC937" s="121"/>
      <c r="AD937" s="121"/>
      <c r="AE937" s="121"/>
      <c r="AF937" s="121"/>
      <c r="AG937" s="121"/>
      <c r="AH937" s="121"/>
      <c r="AI937" s="121"/>
      <c r="AJ937" s="121"/>
      <c r="AK937" s="121"/>
      <c r="AL937" s="121"/>
    </row>
    <row r="938" spans="1:38" s="115" customFormat="1" ht="15" customHeight="1">
      <c r="A938" s="555" t="s">
        <v>1689</v>
      </c>
      <c r="B938" s="217" t="str">
        <f t="shared" si="905"/>
        <v>125</v>
      </c>
      <c r="C938" s="217" t="str">
        <f t="shared" si="906"/>
        <v>65</v>
      </c>
      <c r="D938" s="101" t="str">
        <f t="shared" si="907"/>
        <v>655</v>
      </c>
      <c r="E938" s="217" t="str">
        <f t="shared" si="908"/>
        <v>125-65-655</v>
      </c>
      <c r="F938" s="294" t="str">
        <f t="shared" si="909"/>
        <v>50112</v>
      </c>
      <c r="G938" s="295" t="str">
        <f>VLOOKUP(F938,'GL Category'!A:C,3,FALSE)</f>
        <v>Personnel services</v>
      </c>
      <c r="H938" s="98" t="str">
        <f>VLOOKUP(F938,'GL Category'!A:C,2,FALSE)</f>
        <v>TEMPORARY/SEASONAL WAGES</v>
      </c>
      <c r="I938" s="99">
        <f>SUMIF(Import!$B:$B,$A938,Import!D:D)</f>
        <v>0</v>
      </c>
      <c r="J938" s="99">
        <f>SUMIF(Import!$B:$B,$A938,Import!E:E)</f>
        <v>0</v>
      </c>
      <c r="K938" s="99">
        <f>SUMIF(Import!$B:$B,$A938,Import!F:F)</f>
        <v>0</v>
      </c>
      <c r="L938" s="99">
        <f>SUMIF(Import!$B:$B,$A938,Import!G:G)</f>
        <v>0</v>
      </c>
      <c r="M938" s="99">
        <f>SUMIF(Import!$B:$B,$A938,Import!H:H)</f>
        <v>0</v>
      </c>
      <c r="N938" s="99">
        <f>SUMIF(Import!$B:$B,$A938,Import!I:I)</f>
        <v>0</v>
      </c>
      <c r="O938" s="99">
        <f>SUMIF(Import!$B:$B,$A938,Import!J:J)</f>
        <v>0</v>
      </c>
      <c r="P938" s="99">
        <f t="shared" si="920"/>
        <v>0</v>
      </c>
      <c r="Q938" s="99">
        <f>SUMIF(Import!$B:$B,$A938,Import!K:K)</f>
        <v>0</v>
      </c>
      <c r="R938" s="99">
        <f>SUMIF(Import!$B:$B,$A938,Import!L:L)</f>
        <v>0</v>
      </c>
      <c r="S938" s="99">
        <f>SUMIF(Import!$B:$B,$A938,Import!M:M)</f>
        <v>0</v>
      </c>
      <c r="T938" s="99">
        <f>SUMIF(Import!$B:$B,$A938,Import!N:N)</f>
        <v>0</v>
      </c>
      <c r="U938" s="99">
        <f t="shared" si="921"/>
        <v>0</v>
      </c>
      <c r="V938" s="255" t="str">
        <f t="shared" si="922"/>
        <v>N/A</v>
      </c>
      <c r="W938" s="102" t="s">
        <v>1689</v>
      </c>
      <c r="X938" s="148"/>
      <c r="Y938" s="267"/>
      <c r="Z938" s="121"/>
      <c r="AA938" s="121"/>
      <c r="AB938" s="121"/>
      <c r="AC938" s="121"/>
      <c r="AD938" s="121"/>
      <c r="AE938" s="121"/>
      <c r="AF938" s="121"/>
      <c r="AG938" s="121"/>
      <c r="AH938" s="121"/>
      <c r="AI938" s="121"/>
      <c r="AJ938" s="121"/>
      <c r="AK938" s="121"/>
      <c r="AL938" s="121"/>
    </row>
    <row r="939" spans="1:38" s="115" customFormat="1" ht="15" customHeight="1">
      <c r="A939" s="555" t="s">
        <v>1690</v>
      </c>
      <c r="B939" s="217" t="str">
        <f t="shared" si="905"/>
        <v>125</v>
      </c>
      <c r="C939" s="217" t="str">
        <f t="shared" si="906"/>
        <v>65</v>
      </c>
      <c r="D939" s="101" t="str">
        <f t="shared" si="907"/>
        <v>655</v>
      </c>
      <c r="E939" s="217" t="str">
        <f t="shared" si="908"/>
        <v>125-65-655</v>
      </c>
      <c r="F939" s="294" t="str">
        <f t="shared" si="909"/>
        <v>50610</v>
      </c>
      <c r="G939" s="295" t="str">
        <f>VLOOKUP(F939,'GL Category'!A:C,3,FALSE)</f>
        <v>Personnel services</v>
      </c>
      <c r="H939" s="98" t="str">
        <f>VLOOKUP(F939,'GL Category'!A:C,2,FALSE)</f>
        <v>SOCIAL SECURITY</v>
      </c>
      <c r="I939" s="99">
        <f>SUMIF(Import!$B:$B,$A939,Import!D:D)</f>
        <v>4911.6899999999996</v>
      </c>
      <c r="J939" s="99">
        <f>SUMIF(Import!$B:$B,$A939,Import!E:E)</f>
        <v>4031.69</v>
      </c>
      <c r="K939" s="99">
        <f>SUMIF(Import!$B:$B,$A939,Import!F:F)</f>
        <v>4663.6000000000004</v>
      </c>
      <c r="L939" s="99">
        <f>SUMIF(Import!$B:$B,$A939,Import!G:G)</f>
        <v>4278.05</v>
      </c>
      <c r="M939" s="99">
        <f>SUMIF(Import!$B:$B,$A939,Import!H:H)</f>
        <v>6770</v>
      </c>
      <c r="N939" s="99">
        <f>SUMIF(Import!$B:$B,$A939,Import!I:I)</f>
        <v>4238.84</v>
      </c>
      <c r="O939" s="99">
        <f>SUMIF(Import!$B:$B,$A939,Import!J:J)</f>
        <v>6349</v>
      </c>
      <c r="P939" s="99">
        <f t="shared" si="920"/>
        <v>-421</v>
      </c>
      <c r="Q939" s="99">
        <f>SUMIF(Import!$B:$B,$A939,Import!K:K)</f>
        <v>8180</v>
      </c>
      <c r="R939" s="99">
        <f>SUMIF(Import!$B:$B,$A939,Import!L:L)</f>
        <v>0</v>
      </c>
      <c r="S939" s="99">
        <f>SUMIF(Import!$B:$B,$A939,Import!M:M)</f>
        <v>0</v>
      </c>
      <c r="T939" s="99">
        <f>SUMIF(Import!$B:$B,$A939,Import!N:N)</f>
        <v>8180</v>
      </c>
      <c r="U939" s="99">
        <f t="shared" si="921"/>
        <v>1410</v>
      </c>
      <c r="V939" s="255">
        <f t="shared" si="922"/>
        <v>0.20827178729689799</v>
      </c>
      <c r="W939" s="102" t="s">
        <v>1690</v>
      </c>
      <c r="X939" s="148"/>
      <c r="Y939" s="267"/>
      <c r="Z939" s="121"/>
      <c r="AA939" s="121"/>
      <c r="AB939" s="121"/>
      <c r="AC939" s="121"/>
      <c r="AD939" s="121"/>
      <c r="AE939" s="121"/>
      <c r="AF939" s="121"/>
      <c r="AG939" s="121"/>
      <c r="AH939" s="121"/>
      <c r="AI939" s="121"/>
      <c r="AJ939" s="121"/>
      <c r="AK939" s="121"/>
      <c r="AL939" s="121"/>
    </row>
    <row r="940" spans="1:38" s="115" customFormat="1" ht="15" customHeight="1">
      <c r="A940" s="555" t="s">
        <v>1691</v>
      </c>
      <c r="B940" s="217" t="str">
        <f t="shared" si="905"/>
        <v>125</v>
      </c>
      <c r="C940" s="217" t="str">
        <f t="shared" si="906"/>
        <v>65</v>
      </c>
      <c r="D940" s="101" t="str">
        <f t="shared" si="907"/>
        <v>655</v>
      </c>
      <c r="E940" s="217" t="str">
        <f t="shared" si="908"/>
        <v>125-65-655</v>
      </c>
      <c r="F940" s="294" t="str">
        <f t="shared" si="909"/>
        <v>50620</v>
      </c>
      <c r="G940" s="295" t="str">
        <f>VLOOKUP(F940,'GL Category'!A:C,3,FALSE)</f>
        <v>Personnel services</v>
      </c>
      <c r="H940" s="98" t="str">
        <f>VLOOKUP(F940,'GL Category'!A:C,2,FALSE)</f>
        <v>HEALTH/LIFE INSURANCE</v>
      </c>
      <c r="I940" s="99">
        <f>SUMIF(Import!$B:$B,$A940,Import!D:D)</f>
        <v>18689.57</v>
      </c>
      <c r="J940" s="99">
        <f>SUMIF(Import!$B:$B,$A940,Import!E:E)</f>
        <v>18228.02</v>
      </c>
      <c r="K940" s="99">
        <f>SUMIF(Import!$B:$B,$A940,Import!F:F)</f>
        <v>21129.599999999999</v>
      </c>
      <c r="L940" s="99">
        <f>SUMIF(Import!$B:$B,$A940,Import!G:G)</f>
        <v>18416.18</v>
      </c>
      <c r="M940" s="99">
        <f>SUMIF(Import!$B:$B,$A940,Import!H:H)</f>
        <v>18411</v>
      </c>
      <c r="N940" s="99">
        <f>SUMIF(Import!$B:$B,$A940,Import!I:I)</f>
        <v>8771.84</v>
      </c>
      <c r="O940" s="99">
        <f>SUMIF(Import!$B:$B,$A940,Import!J:J)</f>
        <v>12270</v>
      </c>
      <c r="P940" s="99">
        <f t="shared" si="920"/>
        <v>-6141</v>
      </c>
      <c r="Q940" s="99">
        <f>SUMIF(Import!$B:$B,$A940,Import!K:K)</f>
        <v>11519</v>
      </c>
      <c r="R940" s="99">
        <f>SUMIF(Import!$B:$B,$A940,Import!L:L)</f>
        <v>0</v>
      </c>
      <c r="S940" s="99">
        <f>SUMIF(Import!$B:$B,$A940,Import!M:M)</f>
        <v>0</v>
      </c>
      <c r="T940" s="99">
        <f>SUMIF(Import!$B:$B,$A940,Import!N:N)</f>
        <v>11519</v>
      </c>
      <c r="U940" s="99">
        <f t="shared" si="921"/>
        <v>-6892</v>
      </c>
      <c r="V940" s="255">
        <f t="shared" si="922"/>
        <v>-0.37434142632122103</v>
      </c>
      <c r="W940" s="102" t="s">
        <v>1691</v>
      </c>
      <c r="X940" s="148"/>
      <c r="Y940" s="267"/>
      <c r="Z940" s="121"/>
      <c r="AA940" s="121"/>
      <c r="AB940" s="121"/>
      <c r="AC940" s="121"/>
      <c r="AD940" s="121"/>
      <c r="AE940" s="121"/>
      <c r="AF940" s="121"/>
      <c r="AG940" s="121"/>
      <c r="AH940" s="121"/>
      <c r="AI940" s="121"/>
      <c r="AJ940" s="121"/>
      <c r="AK940" s="121"/>
      <c r="AL940" s="121"/>
    </row>
    <row r="941" spans="1:38" s="115" customFormat="1" ht="15" customHeight="1">
      <c r="A941" s="555" t="s">
        <v>1692</v>
      </c>
      <c r="B941" s="217" t="str">
        <f t="shared" si="905"/>
        <v>125</v>
      </c>
      <c r="C941" s="217" t="str">
        <f t="shared" si="906"/>
        <v>65</v>
      </c>
      <c r="D941" s="101" t="str">
        <f t="shared" si="907"/>
        <v>655</v>
      </c>
      <c r="E941" s="217" t="str">
        <f t="shared" si="908"/>
        <v>125-65-655</v>
      </c>
      <c r="F941" s="294" t="str">
        <f t="shared" si="909"/>
        <v>50630</v>
      </c>
      <c r="G941" s="295" t="str">
        <f>VLOOKUP(F941,'GL Category'!A:C,3,FALSE)</f>
        <v>Personnel services</v>
      </c>
      <c r="H941" s="98" t="str">
        <f>VLOOKUP(F941,'GL Category'!A:C,2,FALSE)</f>
        <v>WORKER COMPENSATION</v>
      </c>
      <c r="I941" s="99">
        <f>SUMIF(Import!$B:$B,$A941,Import!D:D)</f>
        <v>578.12</v>
      </c>
      <c r="J941" s="99">
        <f>SUMIF(Import!$B:$B,$A941,Import!E:E)</f>
        <v>458.21</v>
      </c>
      <c r="K941" s="99">
        <f>SUMIF(Import!$B:$B,$A941,Import!F:F)</f>
        <v>534.75</v>
      </c>
      <c r="L941" s="99">
        <f>SUMIF(Import!$B:$B,$A941,Import!G:G)</f>
        <v>950.17</v>
      </c>
      <c r="M941" s="99">
        <f>SUMIF(Import!$B:$B,$A941,Import!H:H)</f>
        <v>1259</v>
      </c>
      <c r="N941" s="99">
        <f>SUMIF(Import!$B:$B,$A941,Import!I:I)</f>
        <v>1257.97</v>
      </c>
      <c r="O941" s="99">
        <f>SUMIF(Import!$B:$B,$A941,Import!J:J)</f>
        <v>1258</v>
      </c>
      <c r="P941" s="99">
        <f t="shared" si="920"/>
        <v>-1</v>
      </c>
      <c r="Q941" s="99">
        <f>SUMIF(Import!$B:$B,$A941,Import!K:K)</f>
        <v>1554</v>
      </c>
      <c r="R941" s="99">
        <f>SUMIF(Import!$B:$B,$A941,Import!L:L)</f>
        <v>0</v>
      </c>
      <c r="S941" s="99">
        <f>SUMIF(Import!$B:$B,$A941,Import!M:M)</f>
        <v>0</v>
      </c>
      <c r="T941" s="99">
        <f>SUMIF(Import!$B:$B,$A941,Import!N:N)</f>
        <v>1554</v>
      </c>
      <c r="U941" s="99">
        <f t="shared" si="921"/>
        <v>295</v>
      </c>
      <c r="V941" s="255">
        <f t="shared" si="922"/>
        <v>0.23431294678316128</v>
      </c>
      <c r="W941" s="102" t="s">
        <v>1692</v>
      </c>
      <c r="X941" s="148"/>
      <c r="Y941" s="267"/>
      <c r="Z941" s="121"/>
      <c r="AA941" s="121"/>
      <c r="AB941" s="121"/>
      <c r="AC941" s="121"/>
      <c r="AD941" s="121"/>
      <c r="AE941" s="121"/>
      <c r="AF941" s="121"/>
      <c r="AG941" s="121"/>
      <c r="AH941" s="121"/>
      <c r="AI941" s="121"/>
      <c r="AJ941" s="121"/>
      <c r="AK941" s="121"/>
      <c r="AL941" s="121"/>
    </row>
    <row r="942" spans="1:38" s="115" customFormat="1" ht="15" customHeight="1">
      <c r="A942" s="555" t="s">
        <v>1693</v>
      </c>
      <c r="B942" s="217" t="str">
        <f t="shared" si="905"/>
        <v>125</v>
      </c>
      <c r="C942" s="217" t="str">
        <f t="shared" si="906"/>
        <v>65</v>
      </c>
      <c r="D942" s="101" t="str">
        <f t="shared" si="907"/>
        <v>655</v>
      </c>
      <c r="E942" s="217" t="str">
        <f t="shared" si="908"/>
        <v>125-65-655</v>
      </c>
      <c r="F942" s="294" t="str">
        <f t="shared" si="909"/>
        <v>50650</v>
      </c>
      <c r="G942" s="295" t="str">
        <f>VLOOKUP(F942,'GL Category'!A:C,3,FALSE)</f>
        <v>Personnel services</v>
      </c>
      <c r="H942" s="98" t="str">
        <f>VLOOKUP(F942,'GL Category'!A:C,2,FALSE)</f>
        <v>RETIREMENT</v>
      </c>
      <c r="I942" s="99">
        <f>SUMIF(Import!$B:$B,$A942,Import!D:D)</f>
        <v>9261.7900000000009</v>
      </c>
      <c r="J942" s="99">
        <f>SUMIF(Import!$B:$B,$A942,Import!E:E)</f>
        <v>8129.19</v>
      </c>
      <c r="K942" s="99">
        <f>SUMIF(Import!$B:$B,$A942,Import!F:F)</f>
        <v>8691.82</v>
      </c>
      <c r="L942" s="99">
        <f>SUMIF(Import!$B:$B,$A942,Import!G:G)</f>
        <v>9436.81</v>
      </c>
      <c r="M942" s="99">
        <f>SUMIF(Import!$B:$B,$A942,Import!H:H)</f>
        <v>10118</v>
      </c>
      <c r="N942" s="99">
        <f>SUMIF(Import!$B:$B,$A942,Import!I:I)</f>
        <v>7750.22</v>
      </c>
      <c r="O942" s="99">
        <f>SUMIF(Import!$B:$B,$A942,Import!J:J)</f>
        <v>11000</v>
      </c>
      <c r="P942" s="99">
        <f t="shared" si="920"/>
        <v>882</v>
      </c>
      <c r="Q942" s="99">
        <f>SUMIF(Import!$B:$B,$A942,Import!K:K)</f>
        <v>10777</v>
      </c>
      <c r="R942" s="99">
        <f>SUMIF(Import!$B:$B,$A942,Import!L:L)</f>
        <v>0</v>
      </c>
      <c r="S942" s="99">
        <f>SUMIF(Import!$B:$B,$A942,Import!M:M)</f>
        <v>0</v>
      </c>
      <c r="T942" s="99">
        <f>SUMIF(Import!$B:$B,$A942,Import!N:N)</f>
        <v>10777</v>
      </c>
      <c r="U942" s="99">
        <f t="shared" si="921"/>
        <v>659</v>
      </c>
      <c r="V942" s="255">
        <f t="shared" si="922"/>
        <v>6.513144890294531E-2</v>
      </c>
      <c r="W942" s="102" t="s">
        <v>1693</v>
      </c>
      <c r="X942" s="148"/>
      <c r="Y942" s="267"/>
      <c r="Z942" s="121"/>
      <c r="AA942" s="121"/>
      <c r="AB942" s="121"/>
      <c r="AC942" s="121"/>
      <c r="AD942" s="121"/>
      <c r="AE942" s="121"/>
      <c r="AF942" s="121"/>
      <c r="AG942" s="121"/>
      <c r="AH942" s="121"/>
      <c r="AI942" s="121"/>
      <c r="AJ942" s="121"/>
      <c r="AK942" s="121"/>
      <c r="AL942" s="121"/>
    </row>
    <row r="943" spans="1:38" s="115" customFormat="1" ht="15" customHeight="1">
      <c r="A943" s="555"/>
      <c r="B943" s="217"/>
      <c r="C943" s="217"/>
      <c r="D943" s="101"/>
      <c r="E943" s="217"/>
      <c r="F943" s="294"/>
      <c r="G943" s="146"/>
      <c r="H943" s="107" t="str">
        <f>UPPER(G942)&amp;" TOTAL"</f>
        <v>PERSONNEL SERVICES TOTAL</v>
      </c>
      <c r="I943" s="108">
        <f t="shared" ref="I943" si="923">SUBTOTAL(9,I933:I942)</f>
        <v>101426.75</v>
      </c>
      <c r="J943" s="108">
        <f t="shared" ref="J943:P943" si="924">SUBTOTAL(9,J933:J942)</f>
        <v>87698.780000000013</v>
      </c>
      <c r="K943" s="108">
        <f t="shared" ref="K943" si="925">SUBTOTAL(9,K933:K942)</f>
        <v>100961.50000000003</v>
      </c>
      <c r="L943" s="108">
        <f t="shared" ref="L943" si="926">SUBTOTAL(9,L933:L942)</f>
        <v>91803.99</v>
      </c>
      <c r="M943" s="108">
        <f t="shared" si="924"/>
        <v>123995</v>
      </c>
      <c r="N943" s="109">
        <f t="shared" ref="N943" si="927">SUBTOTAL(9,N933:N942)</f>
        <v>75978.84</v>
      </c>
      <c r="O943" s="109">
        <f t="shared" si="924"/>
        <v>104343</v>
      </c>
      <c r="P943" s="109">
        <f t="shared" si="924"/>
        <v>-19652</v>
      </c>
      <c r="Q943" s="109">
        <f t="shared" ref="Q943:T943" si="928">SUBTOTAL(9,Q933:Q942)</f>
        <v>137804</v>
      </c>
      <c r="R943" s="109">
        <f t="shared" si="928"/>
        <v>0</v>
      </c>
      <c r="S943" s="109">
        <f t="shared" si="928"/>
        <v>0</v>
      </c>
      <c r="T943" s="109">
        <f t="shared" si="928"/>
        <v>137804</v>
      </c>
      <c r="U943" s="99">
        <f>T943-M943</f>
        <v>13809</v>
      </c>
      <c r="V943" s="259">
        <f>IF(M943=0,"N/A",T943/M943-1)</f>
        <v>0.11136739384652605</v>
      </c>
      <c r="W943" s="104"/>
      <c r="X943" s="148"/>
      <c r="Y943" s="267"/>
      <c r="Z943" s="121"/>
      <c r="AA943" s="121"/>
      <c r="AB943" s="121"/>
      <c r="AC943" s="121"/>
      <c r="AD943" s="121"/>
      <c r="AE943" s="121"/>
      <c r="AF943" s="121"/>
      <c r="AG943" s="121"/>
      <c r="AH943" s="121"/>
      <c r="AI943" s="121"/>
      <c r="AJ943" s="121"/>
      <c r="AK943" s="121"/>
      <c r="AL943" s="121"/>
    </row>
    <row r="944" spans="1:38" s="115" customFormat="1" ht="15" customHeight="1">
      <c r="A944" s="555"/>
      <c r="B944" s="217"/>
      <c r="C944" s="217"/>
      <c r="D944" s="101"/>
      <c r="E944" s="217"/>
      <c r="F944" s="294"/>
      <c r="G944" s="146"/>
      <c r="H944" s="98"/>
      <c r="I944" s="106"/>
      <c r="J944" s="106"/>
      <c r="K944" s="106"/>
      <c r="L944" s="106"/>
      <c r="M944" s="106"/>
      <c r="N944" s="112"/>
      <c r="O944" s="112"/>
      <c r="P944" s="112"/>
      <c r="Q944" s="113"/>
      <c r="R944" s="113"/>
      <c r="S944" s="113"/>
      <c r="T944" s="113"/>
      <c r="U944" s="113"/>
      <c r="V944" s="113"/>
      <c r="W944" s="104"/>
      <c r="X944" s="148"/>
      <c r="Y944" s="267"/>
      <c r="Z944" s="121"/>
      <c r="AA944" s="121"/>
      <c r="AB944" s="121"/>
      <c r="AC944" s="121"/>
      <c r="AD944" s="121"/>
      <c r="AE944" s="121"/>
      <c r="AF944" s="121"/>
      <c r="AG944" s="121"/>
      <c r="AH944" s="121"/>
      <c r="AI944" s="121"/>
      <c r="AJ944" s="121"/>
      <c r="AK944" s="121"/>
      <c r="AL944" s="121"/>
    </row>
    <row r="945" spans="1:38" s="115" customFormat="1" ht="15" customHeight="1">
      <c r="A945" s="555" t="s">
        <v>1694</v>
      </c>
      <c r="B945" s="217" t="str">
        <f t="shared" si="905"/>
        <v>125</v>
      </c>
      <c r="C945" s="217" t="str">
        <f t="shared" si="906"/>
        <v>65</v>
      </c>
      <c r="D945" s="101" t="str">
        <f t="shared" si="907"/>
        <v>655</v>
      </c>
      <c r="E945" s="217" t="str">
        <f t="shared" si="908"/>
        <v>125-65-655</v>
      </c>
      <c r="F945" s="294" t="str">
        <f t="shared" si="909"/>
        <v>51225</v>
      </c>
      <c r="G945" s="295" t="str">
        <f>VLOOKUP(F945,'GL Category'!A:C,3,FALSE)</f>
        <v>Operations &amp; maintenance</v>
      </c>
      <c r="H945" s="98" t="str">
        <f>VLOOKUP(F945,'GL Category'!A:C,2,FALSE)</f>
        <v>JANITORIAL SUPPLIES</v>
      </c>
      <c r="I945" s="99">
        <f>SUMIF(Import!$B:$B,$A945,Import!D:D)</f>
        <v>8722.6</v>
      </c>
      <c r="J945" s="99">
        <f>SUMIF(Import!$B:$B,$A945,Import!E:E)</f>
        <v>16451.02</v>
      </c>
      <c r="K945" s="99">
        <f>SUMIF(Import!$B:$B,$A945,Import!F:F)</f>
        <v>14602.84</v>
      </c>
      <c r="L945" s="99">
        <f>SUMIF(Import!$B:$B,$A945,Import!G:G)</f>
        <v>17311.28</v>
      </c>
      <c r="M945" s="99">
        <f>SUMIF(Import!$B:$B,$A945,Import!H:H)</f>
        <v>29935</v>
      </c>
      <c r="N945" s="99">
        <f>SUMIF(Import!$B:$B,$A945,Import!I:I)</f>
        <v>14225.91</v>
      </c>
      <c r="O945" s="99">
        <f>SUMIF(Import!$B:$B,$A945,Import!J:J)</f>
        <v>22935</v>
      </c>
      <c r="P945" s="99">
        <f t="shared" ref="P945:P955" si="929">O945-M945</f>
        <v>-7000</v>
      </c>
      <c r="Q945" s="99">
        <f>SUMIF(Import!$B:$B,$A945,Import!K:K)</f>
        <v>22935</v>
      </c>
      <c r="R945" s="99">
        <f>SUMIF(Import!$B:$B,$A945,Import!L:L)</f>
        <v>0</v>
      </c>
      <c r="S945" s="99">
        <f>SUMIF(Import!$B:$B,$A945,Import!M:M)</f>
        <v>0</v>
      </c>
      <c r="T945" s="99">
        <f>SUMIF(Import!$B:$B,$A945,Import!N:N)</f>
        <v>22935</v>
      </c>
      <c r="U945" s="99">
        <f t="shared" ref="U945:U955" si="930">T945-M945</f>
        <v>-7000</v>
      </c>
      <c r="V945" s="255">
        <f t="shared" ref="V945:V955" si="931">IF(M945=0,"N/A",T945/M945-1)</f>
        <v>-0.2338399866377151</v>
      </c>
      <c r="W945" s="102" t="s">
        <v>1694</v>
      </c>
      <c r="X945" s="148"/>
      <c r="Y945" s="267"/>
      <c r="Z945" s="121"/>
      <c r="AA945" s="121"/>
      <c r="AB945" s="121"/>
      <c r="AC945" s="121"/>
      <c r="AD945" s="121"/>
      <c r="AE945" s="121"/>
      <c r="AF945" s="121"/>
      <c r="AG945" s="121"/>
      <c r="AH945" s="121"/>
      <c r="AI945" s="121"/>
      <c r="AJ945" s="121"/>
      <c r="AK945" s="121"/>
      <c r="AL945" s="121"/>
    </row>
    <row r="946" spans="1:38" s="115" customFormat="1" ht="15" customHeight="1">
      <c r="A946" s="555" t="s">
        <v>1695</v>
      </c>
      <c r="B946" s="217" t="str">
        <f t="shared" si="905"/>
        <v>125</v>
      </c>
      <c r="C946" s="217" t="str">
        <f t="shared" si="906"/>
        <v>65</v>
      </c>
      <c r="D946" s="101" t="str">
        <f t="shared" si="907"/>
        <v>655</v>
      </c>
      <c r="E946" s="217" t="str">
        <f t="shared" si="908"/>
        <v>125-65-655</v>
      </c>
      <c r="F946" s="294" t="str">
        <f t="shared" si="909"/>
        <v>51210</v>
      </c>
      <c r="G946" s="295" t="str">
        <f>VLOOKUP(F946,'GL Category'!A:C,3,FALSE)</f>
        <v>Operations &amp; maintenance</v>
      </c>
      <c r="H946" s="98" t="str">
        <f>VLOOKUP(F946,'GL Category'!A:C,2,FALSE)</f>
        <v>OFFICE SUPPLIES</v>
      </c>
      <c r="I946" s="99">
        <f>SUMIF(Import!$B:$B,$A946,Import!D:D)</f>
        <v>0</v>
      </c>
      <c r="J946" s="99">
        <f>SUMIF(Import!$B:$B,$A946,Import!E:E)</f>
        <v>0</v>
      </c>
      <c r="K946" s="99">
        <f>SUMIF(Import!$B:$B,$A946,Import!F:F)</f>
        <v>0</v>
      </c>
      <c r="L946" s="99">
        <f>SUMIF(Import!$B:$B,$A946,Import!G:G)</f>
        <v>0</v>
      </c>
      <c r="M946" s="99">
        <f>SUMIF(Import!$B:$B,$A946,Import!H:H)</f>
        <v>0</v>
      </c>
      <c r="N946" s="99">
        <f>SUMIF(Import!$B:$B,$A946,Import!I:I)</f>
        <v>0</v>
      </c>
      <c r="O946" s="99">
        <f>SUMIF(Import!$B:$B,$A946,Import!J:J)</f>
        <v>0</v>
      </c>
      <c r="P946" s="99">
        <f t="shared" si="929"/>
        <v>0</v>
      </c>
      <c r="Q946" s="99">
        <f>SUMIF(Import!$B:$B,$A946,Import!K:K)</f>
        <v>0</v>
      </c>
      <c r="R946" s="99">
        <f>SUMIF(Import!$B:$B,$A946,Import!L:L)</f>
        <v>0</v>
      </c>
      <c r="S946" s="99">
        <f>SUMIF(Import!$B:$B,$A946,Import!M:M)</f>
        <v>0</v>
      </c>
      <c r="T946" s="99">
        <f>SUMIF(Import!$B:$B,$A946,Import!N:N)</f>
        <v>0</v>
      </c>
      <c r="U946" s="99">
        <f t="shared" si="930"/>
        <v>0</v>
      </c>
      <c r="V946" s="255" t="str">
        <f t="shared" si="931"/>
        <v>N/A</v>
      </c>
      <c r="W946" s="102" t="s">
        <v>1695</v>
      </c>
      <c r="X946" s="148"/>
      <c r="Y946" s="267"/>
      <c r="Z946" s="121"/>
      <c r="AA946" s="121"/>
      <c r="AB946" s="121"/>
      <c r="AC946" s="121"/>
      <c r="AD946" s="121"/>
      <c r="AE946" s="121"/>
      <c r="AF946" s="121"/>
      <c r="AG946" s="121"/>
      <c r="AH946" s="121"/>
      <c r="AI946" s="121"/>
      <c r="AJ946" s="121"/>
      <c r="AK946" s="121"/>
      <c r="AL946" s="121"/>
    </row>
    <row r="947" spans="1:38" s="115" customFormat="1" ht="15" customHeight="1">
      <c r="A947" s="555" t="s">
        <v>1696</v>
      </c>
      <c r="B947" s="217" t="str">
        <f t="shared" si="905"/>
        <v>125</v>
      </c>
      <c r="C947" s="217" t="str">
        <f t="shared" si="906"/>
        <v>65</v>
      </c>
      <c r="D947" s="101" t="str">
        <f t="shared" si="907"/>
        <v>655</v>
      </c>
      <c r="E947" s="217" t="str">
        <f t="shared" si="908"/>
        <v>125-65-655</v>
      </c>
      <c r="F947" s="294" t="str">
        <f t="shared" si="909"/>
        <v>51245</v>
      </c>
      <c r="G947" s="295" t="str">
        <f>VLOOKUP(F947,'GL Category'!A:C,3,FALSE)</f>
        <v>Operations &amp; maintenance</v>
      </c>
      <c r="H947" s="98" t="str">
        <f>VLOOKUP(F947,'GL Category'!A:C,2,FALSE)</f>
        <v>SMALL TOOLS &amp; EQUIPMENT</v>
      </c>
      <c r="I947" s="99">
        <f>SUMIF(Import!$B:$B,$A947,Import!D:D)</f>
        <v>11057.99</v>
      </c>
      <c r="J947" s="99">
        <f>SUMIF(Import!$B:$B,$A947,Import!E:E)</f>
        <v>1695.53</v>
      </c>
      <c r="K947" s="99">
        <f>SUMIF(Import!$B:$B,$A947,Import!F:F)</f>
        <v>3062.26</v>
      </c>
      <c r="L947" s="99">
        <f>SUMIF(Import!$B:$B,$A947,Import!G:G)</f>
        <v>5613.58</v>
      </c>
      <c r="M947" s="99">
        <f>SUMIF(Import!$B:$B,$A947,Import!H:H)</f>
        <v>9700</v>
      </c>
      <c r="N947" s="99">
        <f>SUMIF(Import!$B:$B,$A947,Import!I:I)</f>
        <v>1404.77</v>
      </c>
      <c r="O947" s="99">
        <f>SUMIF(Import!$B:$B,$A947,Import!J:J)</f>
        <v>4600</v>
      </c>
      <c r="P947" s="99">
        <f t="shared" si="929"/>
        <v>-5100</v>
      </c>
      <c r="Q947" s="99">
        <f>SUMIF(Import!$B:$B,$A947,Import!K:K)</f>
        <v>9700</v>
      </c>
      <c r="R947" s="99">
        <f>SUMIF(Import!$B:$B,$A947,Import!L:L)</f>
        <v>0</v>
      </c>
      <c r="S947" s="99">
        <f>SUMIF(Import!$B:$B,$A947,Import!M:M)</f>
        <v>0</v>
      </c>
      <c r="T947" s="99">
        <f>SUMIF(Import!$B:$B,$A947,Import!N:N)</f>
        <v>9700</v>
      </c>
      <c r="U947" s="99">
        <f t="shared" si="930"/>
        <v>0</v>
      </c>
      <c r="V947" s="255">
        <f t="shared" si="931"/>
        <v>0</v>
      </c>
      <c r="W947" s="102" t="s">
        <v>1696</v>
      </c>
      <c r="X947" s="148"/>
      <c r="Y947" s="267"/>
      <c r="Z947" s="121"/>
      <c r="AA947" s="121"/>
      <c r="AB947" s="121"/>
      <c r="AC947" s="121"/>
      <c r="AD947" s="121"/>
      <c r="AE947" s="121"/>
      <c r="AF947" s="121"/>
      <c r="AG947" s="121"/>
      <c r="AH947" s="121"/>
      <c r="AI947" s="121"/>
      <c r="AJ947" s="121"/>
      <c r="AK947" s="121"/>
      <c r="AL947" s="121"/>
    </row>
    <row r="948" spans="1:38" s="115" customFormat="1" ht="15" customHeight="1">
      <c r="A948" s="555" t="s">
        <v>1697</v>
      </c>
      <c r="B948" s="217" t="str">
        <f t="shared" si="905"/>
        <v>125</v>
      </c>
      <c r="C948" s="217" t="str">
        <f t="shared" si="906"/>
        <v>65</v>
      </c>
      <c r="D948" s="101" t="str">
        <f t="shared" si="907"/>
        <v>655</v>
      </c>
      <c r="E948" s="217" t="str">
        <f t="shared" si="908"/>
        <v>125-65-655</v>
      </c>
      <c r="F948" s="294" t="str">
        <f t="shared" si="909"/>
        <v>51255</v>
      </c>
      <c r="G948" s="295" t="str">
        <f>VLOOKUP(F948,'GL Category'!A:C,3,FALSE)</f>
        <v>Operations &amp; maintenance</v>
      </c>
      <c r="H948" s="98" t="str">
        <f>VLOOKUP(F948,'GL Category'!A:C,2,FALSE)</f>
        <v>FUEL/OILS/LUBRICANTS</v>
      </c>
      <c r="I948" s="99">
        <f>SUMIF(Import!$B:$B,$A948,Import!D:D)</f>
        <v>175.75</v>
      </c>
      <c r="J948" s="99">
        <f>SUMIF(Import!$B:$B,$A948,Import!E:E)</f>
        <v>144.97</v>
      </c>
      <c r="K948" s="99">
        <f>SUMIF(Import!$B:$B,$A948,Import!F:F)</f>
        <v>351.14</v>
      </c>
      <c r="L948" s="99">
        <f>SUMIF(Import!$B:$B,$A948,Import!G:G)</f>
        <v>391.03</v>
      </c>
      <c r="M948" s="99">
        <f>SUMIF(Import!$B:$B,$A948,Import!H:H)</f>
        <v>800</v>
      </c>
      <c r="N948" s="99">
        <f>SUMIF(Import!$B:$B,$A948,Import!I:I)</f>
        <v>392.39</v>
      </c>
      <c r="O948" s="99">
        <f>SUMIF(Import!$B:$B,$A948,Import!J:J)</f>
        <v>800</v>
      </c>
      <c r="P948" s="99">
        <f t="shared" si="929"/>
        <v>0</v>
      </c>
      <c r="Q948" s="99">
        <f>SUMIF(Import!$B:$B,$A948,Import!K:K)</f>
        <v>800</v>
      </c>
      <c r="R948" s="99">
        <f>SUMIF(Import!$B:$B,$A948,Import!L:L)</f>
        <v>0</v>
      </c>
      <c r="S948" s="99">
        <f>SUMIF(Import!$B:$B,$A948,Import!M:M)</f>
        <v>0</v>
      </c>
      <c r="T948" s="99">
        <f>SUMIF(Import!$B:$B,$A948,Import!N:N)</f>
        <v>800</v>
      </c>
      <c r="U948" s="99">
        <f t="shared" si="930"/>
        <v>0</v>
      </c>
      <c r="V948" s="255">
        <f t="shared" si="931"/>
        <v>0</v>
      </c>
      <c r="W948" s="102" t="s">
        <v>1697</v>
      </c>
      <c r="X948" s="148"/>
      <c r="Y948" s="267"/>
      <c r="Z948" s="121"/>
      <c r="AA948" s="121"/>
      <c r="AB948" s="121"/>
      <c r="AC948" s="121"/>
      <c r="AD948" s="121"/>
      <c r="AE948" s="121"/>
      <c r="AF948" s="121"/>
      <c r="AG948" s="121"/>
      <c r="AH948" s="121"/>
      <c r="AI948" s="121"/>
      <c r="AJ948" s="121"/>
      <c r="AK948" s="121"/>
      <c r="AL948" s="121"/>
    </row>
    <row r="949" spans="1:38" s="115" customFormat="1" ht="15" customHeight="1">
      <c r="A949" s="555" t="s">
        <v>1698</v>
      </c>
      <c r="B949" s="217" t="str">
        <f t="shared" si="905"/>
        <v>125</v>
      </c>
      <c r="C949" s="217" t="str">
        <f t="shared" si="906"/>
        <v>65</v>
      </c>
      <c r="D949" s="101" t="str">
        <f t="shared" si="907"/>
        <v>655</v>
      </c>
      <c r="E949" s="217" t="str">
        <f t="shared" si="908"/>
        <v>125-65-655</v>
      </c>
      <c r="F949" s="294" t="str">
        <f t="shared" si="909"/>
        <v>51271</v>
      </c>
      <c r="G949" s="295" t="str">
        <f>VLOOKUP(F949,'GL Category'!A:C,3,FALSE)</f>
        <v>Operations &amp; maintenance</v>
      </c>
      <c r="H949" s="98" t="str">
        <f>VLOOKUP(F949,'GL Category'!A:C,2,FALSE)</f>
        <v>BUILDING MATERIALS &amp; SUPPLIES</v>
      </c>
      <c r="I949" s="99">
        <f>SUMIF(Import!$B:$B,$A949,Import!D:D)</f>
        <v>2312.62</v>
      </c>
      <c r="J949" s="99">
        <f>SUMIF(Import!$B:$B,$A949,Import!E:E)</f>
        <v>3284.15</v>
      </c>
      <c r="K949" s="99">
        <f>SUMIF(Import!$B:$B,$A949,Import!F:F)</f>
        <v>2270.36</v>
      </c>
      <c r="L949" s="99">
        <f>SUMIF(Import!$B:$B,$A949,Import!G:G)</f>
        <v>3432.16</v>
      </c>
      <c r="M949" s="99">
        <f>SUMIF(Import!$B:$B,$A949,Import!H:H)</f>
        <v>9200</v>
      </c>
      <c r="N949" s="99">
        <f>SUMIF(Import!$B:$B,$A949,Import!I:I)</f>
        <v>3442.87</v>
      </c>
      <c r="O949" s="99">
        <f>SUMIF(Import!$B:$B,$A949,Import!J:J)</f>
        <v>6000</v>
      </c>
      <c r="P949" s="99">
        <f t="shared" si="929"/>
        <v>-3200</v>
      </c>
      <c r="Q949" s="99">
        <f>SUMIF(Import!$B:$B,$A949,Import!K:K)</f>
        <v>9200</v>
      </c>
      <c r="R949" s="99">
        <f>SUMIF(Import!$B:$B,$A949,Import!L:L)</f>
        <v>0</v>
      </c>
      <c r="S949" s="99">
        <f>SUMIF(Import!$B:$B,$A949,Import!M:M)</f>
        <v>0</v>
      </c>
      <c r="T949" s="99">
        <f>SUMIF(Import!$B:$B,$A949,Import!N:N)</f>
        <v>9200</v>
      </c>
      <c r="U949" s="99">
        <f t="shared" si="930"/>
        <v>0</v>
      </c>
      <c r="V949" s="255">
        <f t="shared" si="931"/>
        <v>0</v>
      </c>
      <c r="W949" s="102" t="s">
        <v>1698</v>
      </c>
      <c r="X949" s="148"/>
      <c r="Y949" s="267"/>
      <c r="Z949" s="121"/>
      <c r="AA949" s="121"/>
      <c r="AB949" s="121"/>
      <c r="AC949" s="121"/>
      <c r="AD949" s="121"/>
      <c r="AE949" s="121"/>
      <c r="AF949" s="121"/>
      <c r="AG949" s="121"/>
      <c r="AH949" s="121"/>
      <c r="AI949" s="121"/>
      <c r="AJ949" s="121"/>
      <c r="AK949" s="121"/>
      <c r="AL949" s="121"/>
    </row>
    <row r="950" spans="1:38" s="115" customFormat="1" ht="15" customHeight="1">
      <c r="A950" s="555" t="s">
        <v>1699</v>
      </c>
      <c r="B950" s="217" t="str">
        <f t="shared" si="905"/>
        <v>125</v>
      </c>
      <c r="C950" s="217" t="str">
        <f t="shared" si="906"/>
        <v>65</v>
      </c>
      <c r="D950" s="101" t="str">
        <f t="shared" si="907"/>
        <v>655</v>
      </c>
      <c r="E950" s="217" t="str">
        <f t="shared" si="908"/>
        <v>125-65-655</v>
      </c>
      <c r="F950" s="294" t="str">
        <f t="shared" si="909"/>
        <v>51299</v>
      </c>
      <c r="G950" s="295" t="str">
        <f>VLOOKUP(F950,'GL Category'!A:C,3,FALSE)</f>
        <v>Operations &amp; maintenance</v>
      </c>
      <c r="H950" s="98" t="str">
        <f>VLOOKUP(F950,'GL Category'!A:C,2,FALSE)</f>
        <v>MISCELLANEOUS SUPPLIES</v>
      </c>
      <c r="I950" s="99">
        <f>SUMIF(Import!$B:$B,$A950,Import!D:D)</f>
        <v>0</v>
      </c>
      <c r="J950" s="99">
        <f>SUMIF(Import!$B:$B,$A950,Import!E:E)</f>
        <v>0</v>
      </c>
      <c r="K950" s="99">
        <f>SUMIF(Import!$B:$B,$A950,Import!F:F)</f>
        <v>0</v>
      </c>
      <c r="L950" s="99">
        <f>SUMIF(Import!$B:$B,$A950,Import!G:G)</f>
        <v>0</v>
      </c>
      <c r="M950" s="99">
        <f>SUMIF(Import!$B:$B,$A950,Import!H:H)</f>
        <v>0</v>
      </c>
      <c r="N950" s="99">
        <f>SUMIF(Import!$B:$B,$A950,Import!I:I)</f>
        <v>0</v>
      </c>
      <c r="O950" s="99">
        <f>SUMIF(Import!$B:$B,$A950,Import!J:J)</f>
        <v>0</v>
      </c>
      <c r="P950" s="99">
        <f t="shared" si="929"/>
        <v>0</v>
      </c>
      <c r="Q950" s="99">
        <f>SUMIF(Import!$B:$B,$A950,Import!K:K)</f>
        <v>0</v>
      </c>
      <c r="R950" s="99">
        <f>SUMIF(Import!$B:$B,$A950,Import!L:L)</f>
        <v>0</v>
      </c>
      <c r="S950" s="99">
        <f>SUMIF(Import!$B:$B,$A950,Import!M:M)</f>
        <v>0</v>
      </c>
      <c r="T950" s="99">
        <f>SUMIF(Import!$B:$B,$A950,Import!N:N)</f>
        <v>0</v>
      </c>
      <c r="U950" s="99">
        <f t="shared" si="930"/>
        <v>0</v>
      </c>
      <c r="V950" s="255" t="str">
        <f t="shared" si="931"/>
        <v>N/A</v>
      </c>
      <c r="W950" s="102" t="s">
        <v>1699</v>
      </c>
      <c r="X950" s="148"/>
      <c r="Y950" s="267"/>
      <c r="Z950" s="121"/>
      <c r="AA950" s="121"/>
      <c r="AB950" s="121"/>
      <c r="AC950" s="121"/>
      <c r="AD950" s="121"/>
      <c r="AE950" s="121"/>
      <c r="AF950" s="121"/>
      <c r="AG950" s="121"/>
      <c r="AH950" s="121"/>
      <c r="AI950" s="121"/>
      <c r="AJ950" s="121"/>
      <c r="AK950" s="121"/>
      <c r="AL950" s="121"/>
    </row>
    <row r="951" spans="1:38" s="115" customFormat="1" ht="15" customHeight="1">
      <c r="A951" s="555" t="s">
        <v>1700</v>
      </c>
      <c r="B951" s="217" t="str">
        <f t="shared" si="905"/>
        <v>125</v>
      </c>
      <c r="C951" s="217" t="str">
        <f t="shared" si="906"/>
        <v>65</v>
      </c>
      <c r="D951" s="101" t="str">
        <f t="shared" si="907"/>
        <v>655</v>
      </c>
      <c r="E951" s="217" t="str">
        <f t="shared" si="908"/>
        <v>125-65-655</v>
      </c>
      <c r="F951" s="294" t="str">
        <f t="shared" si="909"/>
        <v>52310</v>
      </c>
      <c r="G951" s="295" t="str">
        <f>VLOOKUP(F951,'GL Category'!A:C,3,FALSE)</f>
        <v>Operations &amp; maintenance</v>
      </c>
      <c r="H951" s="98" t="str">
        <f>VLOOKUP(F951,'GL Category'!A:C,2,FALSE)</f>
        <v>BUILDING MAINTENANCE</v>
      </c>
      <c r="I951" s="99">
        <f>SUMIF(Import!$B:$B,$A951,Import!D:D)</f>
        <v>69152.600000000006</v>
      </c>
      <c r="J951" s="99">
        <f>SUMIF(Import!$B:$B,$A951,Import!E:E)</f>
        <v>177212.35</v>
      </c>
      <c r="K951" s="99">
        <f>SUMIF(Import!$B:$B,$A951,Import!F:F)</f>
        <v>46906.01</v>
      </c>
      <c r="L951" s="99">
        <f>SUMIF(Import!$B:$B,$A951,Import!G:G)</f>
        <v>84336.68</v>
      </c>
      <c r="M951" s="99">
        <f>SUMIF(Import!$B:$B,$A951,Import!H:H)</f>
        <v>72259</v>
      </c>
      <c r="N951" s="99">
        <f>SUMIF(Import!$B:$B,$A951,Import!I:I)</f>
        <v>85519.34</v>
      </c>
      <c r="O951" s="99">
        <f>SUMIF(Import!$B:$B,$A951,Import!J:J)</f>
        <v>100000</v>
      </c>
      <c r="P951" s="99">
        <f t="shared" si="929"/>
        <v>27741</v>
      </c>
      <c r="Q951" s="99">
        <f>SUMIF(Import!$B:$B,$A951,Import!K:K)</f>
        <v>72259</v>
      </c>
      <c r="R951" s="99">
        <f>SUMIF(Import!$B:$B,$A951,Import!L:L)</f>
        <v>0</v>
      </c>
      <c r="S951" s="99">
        <f>SUMIF(Import!$B:$B,$A951,Import!M:M)</f>
        <v>0</v>
      </c>
      <c r="T951" s="99">
        <f>SUMIF(Import!$B:$B,$A951,Import!N:N)</f>
        <v>72259</v>
      </c>
      <c r="U951" s="99">
        <f t="shared" si="930"/>
        <v>0</v>
      </c>
      <c r="V951" s="255">
        <f t="shared" si="931"/>
        <v>0</v>
      </c>
      <c r="W951" s="102" t="s">
        <v>1700</v>
      </c>
      <c r="X951" s="148"/>
      <c r="Y951" s="267"/>
      <c r="Z951" s="121"/>
      <c r="AA951" s="121"/>
      <c r="AB951" s="121"/>
      <c r="AC951" s="121"/>
      <c r="AD951" s="121"/>
      <c r="AE951" s="121"/>
      <c r="AF951" s="121"/>
      <c r="AG951" s="121"/>
      <c r="AH951" s="121"/>
      <c r="AI951" s="121"/>
      <c r="AJ951" s="121"/>
      <c r="AK951" s="121"/>
      <c r="AL951" s="121"/>
    </row>
    <row r="952" spans="1:38" s="115" customFormat="1" ht="15" customHeight="1">
      <c r="A952" s="555" t="s">
        <v>1701</v>
      </c>
      <c r="B952" s="217" t="str">
        <f t="shared" si="905"/>
        <v>125</v>
      </c>
      <c r="C952" s="217" t="str">
        <f t="shared" si="906"/>
        <v>65</v>
      </c>
      <c r="D952" s="101" t="str">
        <f t="shared" si="907"/>
        <v>655</v>
      </c>
      <c r="E952" s="217" t="str">
        <f t="shared" si="908"/>
        <v>125-65-655</v>
      </c>
      <c r="F952" s="294" t="str">
        <f t="shared" si="909"/>
        <v>52311</v>
      </c>
      <c r="G952" s="295" t="str">
        <f>VLOOKUP(F952,'GL Category'!A:C,3,FALSE)</f>
        <v>Operations &amp; maintenance</v>
      </c>
      <c r="H952" s="98" t="str">
        <f>VLOOKUP(F952,'GL Category'!A:C,2,FALSE)</f>
        <v>GROUNDS MAINTENANCE</v>
      </c>
      <c r="I952" s="99">
        <f>SUMIF(Import!$B:$B,$A952,Import!D:D)</f>
        <v>0</v>
      </c>
      <c r="J952" s="99">
        <f>SUMIF(Import!$B:$B,$A952,Import!E:E)</f>
        <v>0</v>
      </c>
      <c r="K952" s="99">
        <f>SUMIF(Import!$B:$B,$A952,Import!F:F)</f>
        <v>0</v>
      </c>
      <c r="L952" s="99">
        <f>SUMIF(Import!$B:$B,$A952,Import!G:G)</f>
        <v>0</v>
      </c>
      <c r="M952" s="99">
        <f>SUMIF(Import!$B:$B,$A952,Import!H:H)</f>
        <v>0</v>
      </c>
      <c r="N952" s="99">
        <f>SUMIF(Import!$B:$B,$A952,Import!I:I)</f>
        <v>0</v>
      </c>
      <c r="O952" s="99">
        <f>SUMIF(Import!$B:$B,$A952,Import!J:J)</f>
        <v>0</v>
      </c>
      <c r="P952" s="99">
        <f t="shared" si="929"/>
        <v>0</v>
      </c>
      <c r="Q952" s="99">
        <f>SUMIF(Import!$B:$B,$A952,Import!K:K)</f>
        <v>0</v>
      </c>
      <c r="R952" s="99">
        <f>SUMIF(Import!$B:$B,$A952,Import!L:L)</f>
        <v>0</v>
      </c>
      <c r="S952" s="99">
        <f>SUMIF(Import!$B:$B,$A952,Import!M:M)</f>
        <v>0</v>
      </c>
      <c r="T952" s="99">
        <f>SUMIF(Import!$B:$B,$A952,Import!N:N)</f>
        <v>0</v>
      </c>
      <c r="U952" s="99">
        <f t="shared" si="930"/>
        <v>0</v>
      </c>
      <c r="V952" s="255" t="str">
        <f t="shared" si="931"/>
        <v>N/A</v>
      </c>
      <c r="W952" s="102" t="s">
        <v>1701</v>
      </c>
      <c r="X952" s="148"/>
      <c r="Y952" s="267"/>
      <c r="Z952" s="121"/>
      <c r="AA952" s="121"/>
      <c r="AB952" s="121"/>
      <c r="AC952" s="121"/>
      <c r="AD952" s="121"/>
      <c r="AE952" s="121"/>
      <c r="AF952" s="121"/>
      <c r="AG952" s="121"/>
      <c r="AH952" s="121"/>
      <c r="AI952" s="121"/>
      <c r="AJ952" s="121"/>
      <c r="AK952" s="121"/>
      <c r="AL952" s="121"/>
    </row>
    <row r="953" spans="1:38" s="115" customFormat="1" ht="15" customHeight="1">
      <c r="A953" s="555" t="s">
        <v>1702</v>
      </c>
      <c r="B953" s="217" t="str">
        <f t="shared" si="905"/>
        <v>125</v>
      </c>
      <c r="C953" s="217" t="str">
        <f t="shared" si="906"/>
        <v>65</v>
      </c>
      <c r="D953" s="101" t="str">
        <f t="shared" si="907"/>
        <v>655</v>
      </c>
      <c r="E953" s="217" t="str">
        <f t="shared" si="908"/>
        <v>125-65-655</v>
      </c>
      <c r="F953" s="294" t="str">
        <f t="shared" si="909"/>
        <v>52460</v>
      </c>
      <c r="G953" s="295" t="str">
        <f>VLOOKUP(F953,'GL Category'!A:C,3,FALSE)</f>
        <v>Operations &amp; maintenance</v>
      </c>
      <c r="H953" s="98" t="str">
        <f>VLOOKUP(F953,'GL Category'!A:C,2,FALSE)</f>
        <v>VEHICLE MAINTENANCE</v>
      </c>
      <c r="I953" s="99">
        <f>SUMIF(Import!$B:$B,$A953,Import!D:D)</f>
        <v>712.2</v>
      </c>
      <c r="J953" s="99">
        <f>SUMIF(Import!$B:$B,$A953,Import!E:E)</f>
        <v>726.54</v>
      </c>
      <c r="K953" s="99">
        <f>SUMIF(Import!$B:$B,$A953,Import!F:F)</f>
        <v>177.51</v>
      </c>
      <c r="L953" s="99">
        <f>SUMIF(Import!$B:$B,$A953,Import!G:G)</f>
        <v>30.78</v>
      </c>
      <c r="M953" s="99">
        <f>SUMIF(Import!$B:$B,$A953,Import!H:H)</f>
        <v>500</v>
      </c>
      <c r="N953" s="99">
        <f>SUMIF(Import!$B:$B,$A953,Import!I:I)</f>
        <v>60</v>
      </c>
      <c r="O953" s="99">
        <f>SUMIF(Import!$B:$B,$A953,Import!J:J)</f>
        <v>500</v>
      </c>
      <c r="P953" s="99">
        <f t="shared" si="929"/>
        <v>0</v>
      </c>
      <c r="Q953" s="99">
        <f>SUMIF(Import!$B:$B,$A953,Import!K:K)</f>
        <v>500</v>
      </c>
      <c r="R953" s="99">
        <f>SUMIF(Import!$B:$B,$A953,Import!L:L)</f>
        <v>0</v>
      </c>
      <c r="S953" s="99">
        <f>SUMIF(Import!$B:$B,$A953,Import!M:M)</f>
        <v>0</v>
      </c>
      <c r="T953" s="99">
        <f>SUMIF(Import!$B:$B,$A953,Import!N:N)</f>
        <v>500</v>
      </c>
      <c r="U953" s="99">
        <f t="shared" si="930"/>
        <v>0</v>
      </c>
      <c r="V953" s="255">
        <f t="shared" si="931"/>
        <v>0</v>
      </c>
      <c r="W953" s="102" t="s">
        <v>1702</v>
      </c>
      <c r="X953" s="148"/>
      <c r="Y953" s="267"/>
      <c r="Z953" s="121"/>
      <c r="AA953" s="121"/>
      <c r="AB953" s="121"/>
      <c r="AC953" s="121"/>
      <c r="AD953" s="121"/>
      <c r="AE953" s="121"/>
      <c r="AF953" s="121"/>
      <c r="AG953" s="121"/>
      <c r="AH953" s="121"/>
      <c r="AI953" s="121"/>
      <c r="AJ953" s="121"/>
      <c r="AK953" s="121"/>
      <c r="AL953" s="121"/>
    </row>
    <row r="954" spans="1:38" s="115" customFormat="1" ht="15" customHeight="1">
      <c r="A954" s="555" t="s">
        <v>1703</v>
      </c>
      <c r="B954" s="217" t="str">
        <f t="shared" si="905"/>
        <v>125</v>
      </c>
      <c r="C954" s="217" t="str">
        <f t="shared" si="906"/>
        <v>65</v>
      </c>
      <c r="D954" s="101" t="str">
        <f t="shared" si="907"/>
        <v>655</v>
      </c>
      <c r="E954" s="217" t="str">
        <f t="shared" si="908"/>
        <v>125-65-655</v>
      </c>
      <c r="F954" s="294" t="str">
        <f t="shared" si="909"/>
        <v>52470</v>
      </c>
      <c r="G954" s="295" t="str">
        <f>VLOOKUP(F954,'GL Category'!A:C,3,FALSE)</f>
        <v>Operations &amp; maintenance</v>
      </c>
      <c r="H954" s="98" t="str">
        <f>VLOOKUP(F954,'GL Category'!A:C,2,FALSE)</f>
        <v>EQUIPMENT MAINTENANCE</v>
      </c>
      <c r="I954" s="99">
        <f>SUMIF(Import!$B:$B,$A954,Import!D:D)</f>
        <v>0</v>
      </c>
      <c r="J954" s="99">
        <f>SUMIF(Import!$B:$B,$A954,Import!E:E)</f>
        <v>0</v>
      </c>
      <c r="K954" s="99">
        <f>SUMIF(Import!$B:$B,$A954,Import!F:F)</f>
        <v>94.5</v>
      </c>
      <c r="L954" s="99">
        <f>SUMIF(Import!$B:$B,$A954,Import!G:G)</f>
        <v>0</v>
      </c>
      <c r="M954" s="99">
        <f>SUMIF(Import!$B:$B,$A954,Import!H:H)</f>
        <v>0</v>
      </c>
      <c r="N954" s="99">
        <f>SUMIF(Import!$B:$B,$A954,Import!I:I)</f>
        <v>1299.5</v>
      </c>
      <c r="O954" s="99">
        <f>SUMIF(Import!$B:$B,$A954,Import!J:J)</f>
        <v>0</v>
      </c>
      <c r="P954" s="99">
        <f t="shared" si="929"/>
        <v>0</v>
      </c>
      <c r="Q954" s="99">
        <f>SUMIF(Import!$B:$B,$A954,Import!K:K)</f>
        <v>0</v>
      </c>
      <c r="R954" s="99">
        <f>SUMIF(Import!$B:$B,$A954,Import!L:L)</f>
        <v>0</v>
      </c>
      <c r="S954" s="99">
        <f>SUMIF(Import!$B:$B,$A954,Import!M:M)</f>
        <v>0</v>
      </c>
      <c r="T954" s="99">
        <f>SUMIF(Import!$B:$B,$A954,Import!N:N)</f>
        <v>0</v>
      </c>
      <c r="U954" s="99">
        <f t="shared" si="930"/>
        <v>0</v>
      </c>
      <c r="V954" s="255" t="str">
        <f t="shared" si="931"/>
        <v>N/A</v>
      </c>
      <c r="W954" s="102" t="s">
        <v>1703</v>
      </c>
      <c r="X954" s="148"/>
      <c r="Y954" s="267"/>
      <c r="Z954" s="121"/>
      <c r="AA954" s="121"/>
      <c r="AB954" s="121"/>
      <c r="AC954" s="121"/>
      <c r="AD954" s="121"/>
      <c r="AE954" s="121"/>
      <c r="AF954" s="121"/>
      <c r="AG954" s="121"/>
      <c r="AH954" s="121"/>
      <c r="AI954" s="121"/>
      <c r="AJ954" s="121"/>
      <c r="AK954" s="121"/>
      <c r="AL954" s="121"/>
    </row>
    <row r="955" spans="1:38" s="115" customFormat="1" ht="15" customHeight="1">
      <c r="A955" s="555" t="s">
        <v>1704</v>
      </c>
      <c r="B955" s="217" t="str">
        <f t="shared" si="905"/>
        <v>125</v>
      </c>
      <c r="C955" s="217" t="str">
        <f t="shared" si="906"/>
        <v>65</v>
      </c>
      <c r="D955" s="101" t="str">
        <f t="shared" si="907"/>
        <v>655</v>
      </c>
      <c r="E955" s="217" t="str">
        <f t="shared" si="908"/>
        <v>125-65-655</v>
      </c>
      <c r="F955" s="294" t="str">
        <f t="shared" si="909"/>
        <v>52490</v>
      </c>
      <c r="G955" s="295" t="str">
        <f>VLOOKUP(F955,'GL Category'!A:C,3,FALSE)</f>
        <v>Operations &amp; maintenance</v>
      </c>
      <c r="H955" s="98" t="str">
        <f>VLOOKUP(F955,'GL Category'!A:C,2,FALSE)</f>
        <v>A/C &amp; HEATING MAINTENANCE</v>
      </c>
      <c r="I955" s="99">
        <f>SUMIF(Import!$B:$B,$A955,Import!D:D)</f>
        <v>13123.52</v>
      </c>
      <c r="J955" s="99">
        <f>SUMIF(Import!$B:$B,$A955,Import!E:E)</f>
        <v>21826.370000000003</v>
      </c>
      <c r="K955" s="99">
        <f>SUMIF(Import!$B:$B,$A955,Import!F:F)</f>
        <v>37483.96</v>
      </c>
      <c r="L955" s="99">
        <f>SUMIF(Import!$B:$B,$A955,Import!G:G)</f>
        <v>58241.66</v>
      </c>
      <c r="M955" s="99">
        <f>SUMIF(Import!$B:$B,$A955,Import!H:H)</f>
        <v>68500</v>
      </c>
      <c r="N955" s="99">
        <f>SUMIF(Import!$B:$B,$A955,Import!I:I)</f>
        <v>34860.620000000003</v>
      </c>
      <c r="O955" s="99">
        <f>SUMIF(Import!$B:$B,$A955,Import!J:J)</f>
        <v>62030</v>
      </c>
      <c r="P955" s="99">
        <f t="shared" si="929"/>
        <v>-6470</v>
      </c>
      <c r="Q955" s="99">
        <f>SUMIF(Import!$B:$B,$A955,Import!K:K)</f>
        <v>68500</v>
      </c>
      <c r="R955" s="99">
        <f>SUMIF(Import!$B:$B,$A955,Import!L:L)</f>
        <v>0</v>
      </c>
      <c r="S955" s="99">
        <f>SUMIF(Import!$B:$B,$A955,Import!M:M)</f>
        <v>0</v>
      </c>
      <c r="T955" s="99">
        <f>SUMIF(Import!$B:$B,$A955,Import!N:N)</f>
        <v>68500</v>
      </c>
      <c r="U955" s="99">
        <f t="shared" si="930"/>
        <v>0</v>
      </c>
      <c r="V955" s="255">
        <f t="shared" si="931"/>
        <v>0</v>
      </c>
      <c r="W955" s="102" t="s">
        <v>1704</v>
      </c>
      <c r="X955" s="148"/>
      <c r="Y955" s="267"/>
      <c r="Z955" s="121"/>
      <c r="AA955" s="121"/>
      <c r="AB955" s="121"/>
      <c r="AC955" s="121"/>
      <c r="AD955" s="121"/>
      <c r="AE955" s="121"/>
      <c r="AF955" s="121"/>
      <c r="AG955" s="121"/>
      <c r="AH955" s="121"/>
      <c r="AI955" s="121"/>
      <c r="AJ955" s="121"/>
      <c r="AK955" s="121"/>
      <c r="AL955" s="121"/>
    </row>
    <row r="956" spans="1:38" s="115" customFormat="1" ht="27" customHeight="1">
      <c r="A956" s="555"/>
      <c r="B956" s="217"/>
      <c r="C956" s="217"/>
      <c r="D956" s="101"/>
      <c r="E956" s="217"/>
      <c r="F956" s="294"/>
      <c r="G956" s="146"/>
      <c r="H956" s="107" t="str">
        <f>UPPER(G955)&amp;" TOTAL"</f>
        <v>OPERATIONS &amp; MAINTENANCE TOTAL</v>
      </c>
      <c r="I956" s="108">
        <f t="shared" ref="I956" si="932">SUBTOTAL(9,I945:I955)</f>
        <v>105257.28</v>
      </c>
      <c r="J956" s="108">
        <f t="shared" ref="J956:P956" si="933">SUBTOTAL(9,J945:J955)</f>
        <v>221340.93000000002</v>
      </c>
      <c r="K956" s="108">
        <f t="shared" ref="K956" si="934">SUBTOTAL(9,K945:K955)</f>
        <v>104948.57999999999</v>
      </c>
      <c r="L956" s="108">
        <f t="shared" ref="L956" si="935">SUBTOTAL(9,L945:L955)</f>
        <v>169357.16999999998</v>
      </c>
      <c r="M956" s="108">
        <f t="shared" si="933"/>
        <v>190894</v>
      </c>
      <c r="N956" s="109">
        <f t="shared" ref="N956" si="936">SUBTOTAL(9,N945:N955)</f>
        <v>141205.4</v>
      </c>
      <c r="O956" s="109">
        <f t="shared" si="933"/>
        <v>196865</v>
      </c>
      <c r="P956" s="109">
        <f t="shared" si="933"/>
        <v>5971</v>
      </c>
      <c r="Q956" s="109">
        <f t="shared" ref="Q956:T956" si="937">SUBTOTAL(9,Q945:Q955)</f>
        <v>183894</v>
      </c>
      <c r="R956" s="109">
        <f t="shared" si="937"/>
        <v>0</v>
      </c>
      <c r="S956" s="109">
        <f t="shared" si="937"/>
        <v>0</v>
      </c>
      <c r="T956" s="109">
        <f t="shared" si="937"/>
        <v>183894</v>
      </c>
      <c r="U956" s="99">
        <f>T956-M956</f>
        <v>-7000</v>
      </c>
      <c r="V956" s="259">
        <f>IF(M956=0,"N/A",T956/M956-1)</f>
        <v>-3.6669565308495855E-2</v>
      </c>
      <c r="W956" s="104"/>
      <c r="X956" s="148"/>
      <c r="Y956" s="267"/>
      <c r="Z956" s="121"/>
      <c r="AA956" s="121"/>
      <c r="AB956" s="121"/>
      <c r="AC956" s="121"/>
      <c r="AD956" s="121"/>
      <c r="AE956" s="121"/>
      <c r="AF956" s="121"/>
      <c r="AG956" s="121"/>
      <c r="AH956" s="121"/>
      <c r="AI956" s="121"/>
      <c r="AJ956" s="121"/>
      <c r="AK956" s="121"/>
      <c r="AL956" s="121"/>
    </row>
    <row r="957" spans="1:38" s="115" customFormat="1" ht="15" customHeight="1">
      <c r="A957" s="555"/>
      <c r="B957" s="217"/>
      <c r="C957" s="217"/>
      <c r="D957" s="101"/>
      <c r="E957" s="217"/>
      <c r="F957" s="294"/>
      <c r="G957" s="146"/>
      <c r="H957" s="98"/>
      <c r="I957" s="106"/>
      <c r="J957" s="106"/>
      <c r="K957" s="106"/>
      <c r="L957" s="106"/>
      <c r="M957" s="106"/>
      <c r="N957" s="112"/>
      <c r="O957" s="112"/>
      <c r="P957" s="112"/>
      <c r="Q957" s="113"/>
      <c r="R957" s="113"/>
      <c r="S957" s="113"/>
      <c r="T957" s="113"/>
      <c r="U957" s="113"/>
      <c r="V957" s="113"/>
      <c r="W957" s="104"/>
      <c r="X957" s="148"/>
      <c r="Y957" s="267"/>
      <c r="Z957" s="121"/>
      <c r="AA957" s="121"/>
      <c r="AB957" s="121"/>
      <c r="AC957" s="121"/>
      <c r="AD957" s="121"/>
      <c r="AE957" s="121"/>
      <c r="AF957" s="121"/>
      <c r="AG957" s="121"/>
      <c r="AH957" s="121"/>
      <c r="AI957" s="121"/>
      <c r="AJ957" s="121"/>
      <c r="AK957" s="121"/>
      <c r="AL957" s="121"/>
    </row>
    <row r="958" spans="1:38" s="115" customFormat="1" ht="15" customHeight="1">
      <c r="A958" s="555" t="s">
        <v>1705</v>
      </c>
      <c r="B958" s="217" t="str">
        <f t="shared" si="905"/>
        <v>125</v>
      </c>
      <c r="C958" s="217" t="str">
        <f t="shared" si="906"/>
        <v>65</v>
      </c>
      <c r="D958" s="101" t="str">
        <f t="shared" si="907"/>
        <v>655</v>
      </c>
      <c r="E958" s="217" t="str">
        <f t="shared" si="908"/>
        <v>125-65-655</v>
      </c>
      <c r="F958" s="294" t="str">
        <f t="shared" si="909"/>
        <v>53599</v>
      </c>
      <c r="G958" s="295" t="str">
        <f>VLOOKUP(F958,'GL Category'!A:C,3,FALSE)</f>
        <v>Services &amp; other</v>
      </c>
      <c r="H958" s="98" t="str">
        <f>VLOOKUP(F958,'GL Category'!A:C,2,FALSE)</f>
        <v>MISCELLANEOUS SERVICES</v>
      </c>
      <c r="I958" s="99">
        <f>SUMIF(Import!$B:$B,$A958,Import!D:D)</f>
        <v>0</v>
      </c>
      <c r="J958" s="99">
        <f>SUMIF(Import!$B:$B,$A958,Import!E:E)</f>
        <v>0</v>
      </c>
      <c r="K958" s="99">
        <f>SUMIF(Import!$B:$B,$A958,Import!F:F)</f>
        <v>3148.86</v>
      </c>
      <c r="L958" s="99">
        <f>SUMIF(Import!$B:$B,$A958,Import!G:G)</f>
        <v>120</v>
      </c>
      <c r="M958" s="99">
        <f>SUMIF(Import!$B:$B,$A958,Import!H:H)</f>
        <v>0</v>
      </c>
      <c r="N958" s="99">
        <f>SUMIF(Import!$B:$B,$A958,Import!I:I)</f>
        <v>0</v>
      </c>
      <c r="O958" s="99">
        <f>SUMIF(Import!$B:$B,$A958,Import!J:J)</f>
        <v>0</v>
      </c>
      <c r="P958" s="99">
        <f t="shared" ref="P958:P964" si="938">O958-M958</f>
        <v>0</v>
      </c>
      <c r="Q958" s="99">
        <f>SUMIF(Import!$B:$B,$A958,Import!K:K)</f>
        <v>0</v>
      </c>
      <c r="R958" s="99">
        <f>SUMIF(Import!$B:$B,$A958,Import!L:L)</f>
        <v>0</v>
      </c>
      <c r="S958" s="99">
        <f>SUMIF(Import!$B:$B,$A958,Import!M:M)</f>
        <v>0</v>
      </c>
      <c r="T958" s="99">
        <f>SUMIF(Import!$B:$B,$A958,Import!N:N)</f>
        <v>0</v>
      </c>
      <c r="U958" s="99">
        <f t="shared" ref="U958:U964" si="939">T958-M958</f>
        <v>0</v>
      </c>
      <c r="V958" s="255" t="str">
        <f t="shared" ref="V958:V964" si="940">IF(M958=0,"N/A",T958/M958-1)</f>
        <v>N/A</v>
      </c>
      <c r="W958" s="102" t="s">
        <v>1705</v>
      </c>
      <c r="X958" s="148"/>
      <c r="Y958" s="267"/>
      <c r="Z958" s="121"/>
      <c r="AA958" s="121"/>
      <c r="AB958" s="121"/>
      <c r="AC958" s="121"/>
      <c r="AD958" s="121"/>
      <c r="AE958" s="121"/>
      <c r="AF958" s="121"/>
      <c r="AG958" s="121"/>
      <c r="AH958" s="121"/>
      <c r="AI958" s="121"/>
      <c r="AJ958" s="121"/>
      <c r="AK958" s="121"/>
      <c r="AL958" s="121"/>
    </row>
    <row r="959" spans="1:38" s="115" customFormat="1" ht="15" customHeight="1">
      <c r="A959" s="555" t="s">
        <v>1706</v>
      </c>
      <c r="B959" s="217" t="str">
        <f t="shared" si="905"/>
        <v>125</v>
      </c>
      <c r="C959" s="217" t="str">
        <f t="shared" si="906"/>
        <v>65</v>
      </c>
      <c r="D959" s="101" t="str">
        <f t="shared" si="907"/>
        <v>655</v>
      </c>
      <c r="E959" s="217" t="str">
        <f t="shared" si="908"/>
        <v>125-65-655</v>
      </c>
      <c r="F959" s="294" t="str">
        <f t="shared" si="909"/>
        <v>53510</v>
      </c>
      <c r="G959" s="295" t="str">
        <f>VLOOKUP(F959,'GL Category'!A:C,3,FALSE)</f>
        <v>Services &amp; other</v>
      </c>
      <c r="H959" s="98" t="str">
        <f>VLOOKUP(F959,'GL Category'!A:C,2,FALSE)</f>
        <v>DUES &amp; SUBSCRIPTIONS</v>
      </c>
      <c r="I959" s="99">
        <f>SUMIF(Import!$B:$B,$A959,Import!D:D)</f>
        <v>0</v>
      </c>
      <c r="J959" s="99">
        <f>SUMIF(Import!$B:$B,$A959,Import!E:E)</f>
        <v>0</v>
      </c>
      <c r="K959" s="99">
        <f>SUMIF(Import!$B:$B,$A959,Import!F:F)</f>
        <v>0</v>
      </c>
      <c r="L959" s="99">
        <f>SUMIF(Import!$B:$B,$A959,Import!G:G)</f>
        <v>0</v>
      </c>
      <c r="M959" s="99">
        <f>SUMIF(Import!$B:$B,$A959,Import!H:H)</f>
        <v>0</v>
      </c>
      <c r="N959" s="99">
        <f>SUMIF(Import!$B:$B,$A959,Import!I:I)</f>
        <v>0</v>
      </c>
      <c r="O959" s="99">
        <f>SUMIF(Import!$B:$B,$A959,Import!J:J)</f>
        <v>0</v>
      </c>
      <c r="P959" s="99">
        <f t="shared" si="938"/>
        <v>0</v>
      </c>
      <c r="Q959" s="99">
        <f>SUMIF(Import!$B:$B,$A959,Import!K:K)</f>
        <v>0</v>
      </c>
      <c r="R959" s="99">
        <f>SUMIF(Import!$B:$B,$A959,Import!L:L)</f>
        <v>0</v>
      </c>
      <c r="S959" s="99">
        <f>SUMIF(Import!$B:$B,$A959,Import!M:M)</f>
        <v>0</v>
      </c>
      <c r="T959" s="99">
        <f>SUMIF(Import!$B:$B,$A959,Import!N:N)</f>
        <v>0</v>
      </c>
      <c r="U959" s="99">
        <f t="shared" si="939"/>
        <v>0</v>
      </c>
      <c r="V959" s="255" t="str">
        <f t="shared" si="940"/>
        <v>N/A</v>
      </c>
      <c r="W959" s="102" t="s">
        <v>1706</v>
      </c>
      <c r="X959" s="148"/>
      <c r="Y959" s="267"/>
      <c r="Z959" s="121"/>
      <c r="AA959" s="121"/>
      <c r="AB959" s="121"/>
      <c r="AC959" s="121"/>
      <c r="AD959" s="121"/>
      <c r="AE959" s="121"/>
      <c r="AF959" s="121"/>
      <c r="AG959" s="121"/>
      <c r="AH959" s="121"/>
      <c r="AI959" s="121"/>
      <c r="AJ959" s="121"/>
      <c r="AK959" s="121"/>
      <c r="AL959" s="121"/>
    </row>
    <row r="960" spans="1:38" s="115" customFormat="1" ht="15" customHeight="1">
      <c r="A960" s="555" t="s">
        <v>1707</v>
      </c>
      <c r="B960" s="217" t="str">
        <f t="shared" si="905"/>
        <v>125</v>
      </c>
      <c r="C960" s="217" t="str">
        <f t="shared" si="906"/>
        <v>65</v>
      </c>
      <c r="D960" s="101" t="str">
        <f t="shared" si="907"/>
        <v>655</v>
      </c>
      <c r="E960" s="217" t="str">
        <f t="shared" si="908"/>
        <v>125-65-655</v>
      </c>
      <c r="F960" s="294" t="str">
        <f t="shared" si="909"/>
        <v>53515</v>
      </c>
      <c r="G960" s="295" t="str">
        <f>VLOOKUP(F960,'GL Category'!A:C,3,FALSE)</f>
        <v>Services &amp; other</v>
      </c>
      <c r="H960" s="98" t="str">
        <f>VLOOKUP(F960,'GL Category'!A:C,2,FALSE)</f>
        <v>TRAVEL, TRAINING &amp; EDUCATION</v>
      </c>
      <c r="I960" s="99">
        <f>SUMIF(Import!$B:$B,$A960,Import!D:D)</f>
        <v>0</v>
      </c>
      <c r="J960" s="99">
        <f>SUMIF(Import!$B:$B,$A960,Import!E:E)</f>
        <v>0</v>
      </c>
      <c r="K960" s="99">
        <f>SUMIF(Import!$B:$B,$A960,Import!F:F)</f>
        <v>0</v>
      </c>
      <c r="L960" s="99">
        <f>SUMIF(Import!$B:$B,$A960,Import!G:G)</f>
        <v>0</v>
      </c>
      <c r="M960" s="99">
        <f>SUMIF(Import!$B:$B,$A960,Import!H:H)</f>
        <v>1500</v>
      </c>
      <c r="N960" s="99">
        <f>SUMIF(Import!$B:$B,$A960,Import!I:I)</f>
        <v>0</v>
      </c>
      <c r="O960" s="99">
        <f>SUMIF(Import!$B:$B,$A960,Import!J:J)</f>
        <v>1500</v>
      </c>
      <c r="P960" s="99">
        <f t="shared" si="938"/>
        <v>0</v>
      </c>
      <c r="Q960" s="99">
        <f>SUMIF(Import!$B:$B,$A960,Import!K:K)</f>
        <v>1500</v>
      </c>
      <c r="R960" s="99">
        <f>SUMIF(Import!$B:$B,$A960,Import!L:L)</f>
        <v>0</v>
      </c>
      <c r="S960" s="99">
        <f>SUMIF(Import!$B:$B,$A960,Import!M:M)</f>
        <v>0</v>
      </c>
      <c r="T960" s="99">
        <f>SUMIF(Import!$B:$B,$A960,Import!N:N)</f>
        <v>1500</v>
      </c>
      <c r="U960" s="99">
        <f t="shared" si="939"/>
        <v>0</v>
      </c>
      <c r="V960" s="255">
        <f t="shared" si="940"/>
        <v>0</v>
      </c>
      <c r="W960" s="102" t="s">
        <v>1707</v>
      </c>
      <c r="X960" s="148"/>
      <c r="Y960" s="267"/>
      <c r="Z960" s="121"/>
      <c r="AA960" s="121"/>
      <c r="AB960" s="121"/>
      <c r="AC960" s="121"/>
      <c r="AD960" s="121"/>
      <c r="AE960" s="121"/>
      <c r="AF960" s="121"/>
      <c r="AG960" s="121"/>
      <c r="AH960" s="121"/>
      <c r="AI960" s="121"/>
      <c r="AJ960" s="121"/>
      <c r="AK960" s="121"/>
      <c r="AL960" s="121"/>
    </row>
    <row r="961" spans="1:38" s="115" customFormat="1" ht="15" customHeight="1">
      <c r="A961" s="555" t="s">
        <v>1708</v>
      </c>
      <c r="B961" s="217" t="str">
        <f t="shared" si="905"/>
        <v>125</v>
      </c>
      <c r="C961" s="217" t="str">
        <f t="shared" si="906"/>
        <v>65</v>
      </c>
      <c r="D961" s="101" t="str">
        <f t="shared" si="907"/>
        <v>655</v>
      </c>
      <c r="E961" s="217" t="str">
        <f t="shared" si="908"/>
        <v>125-65-655</v>
      </c>
      <c r="F961" s="294" t="str">
        <f t="shared" si="909"/>
        <v>53524</v>
      </c>
      <c r="G961" s="295" t="str">
        <f>VLOOKUP(F961,'GL Category'!A:C,3,FALSE)</f>
        <v>Services &amp; other</v>
      </c>
      <c r="H961" s="98" t="str">
        <f>VLOOKUP(F961,'GL Category'!A:C,2,FALSE)</f>
        <v>EQUIPMENT RENTAL</v>
      </c>
      <c r="I961" s="99">
        <f>SUMIF(Import!$B:$B,$A961,Import!D:D)</f>
        <v>1300</v>
      </c>
      <c r="J961" s="99">
        <f>SUMIF(Import!$B:$B,$A961,Import!E:E)</f>
        <v>641.89</v>
      </c>
      <c r="K961" s="99">
        <f>SUMIF(Import!$B:$B,$A961,Import!F:F)</f>
        <v>753.19</v>
      </c>
      <c r="L961" s="99">
        <f>SUMIF(Import!$B:$B,$A961,Import!G:G)</f>
        <v>1717.29</v>
      </c>
      <c r="M961" s="99">
        <f>SUMIF(Import!$B:$B,$A961,Import!H:H)</f>
        <v>3200</v>
      </c>
      <c r="N961" s="99">
        <f>SUMIF(Import!$B:$B,$A961,Import!I:I)</f>
        <v>2419.33</v>
      </c>
      <c r="O961" s="99">
        <f>SUMIF(Import!$B:$B,$A961,Import!J:J)</f>
        <v>2800</v>
      </c>
      <c r="P961" s="99">
        <f t="shared" si="938"/>
        <v>-400</v>
      </c>
      <c r="Q961" s="99">
        <f>SUMIF(Import!$B:$B,$A961,Import!K:K)</f>
        <v>3200</v>
      </c>
      <c r="R961" s="99">
        <f>SUMIF(Import!$B:$B,$A961,Import!L:L)</f>
        <v>0</v>
      </c>
      <c r="S961" s="99">
        <f>SUMIF(Import!$B:$B,$A961,Import!M:M)</f>
        <v>0</v>
      </c>
      <c r="T961" s="99">
        <f>SUMIF(Import!$B:$B,$A961,Import!N:N)</f>
        <v>3200</v>
      </c>
      <c r="U961" s="99">
        <f t="shared" si="939"/>
        <v>0</v>
      </c>
      <c r="V961" s="255">
        <f t="shared" si="940"/>
        <v>0</v>
      </c>
      <c r="W961" s="102" t="s">
        <v>1708</v>
      </c>
      <c r="X961" s="148"/>
      <c r="Y961" s="267"/>
      <c r="Z961" s="121"/>
      <c r="AA961" s="121"/>
      <c r="AB961" s="121"/>
      <c r="AC961" s="121"/>
      <c r="AD961" s="121"/>
      <c r="AE961" s="121"/>
      <c r="AF961" s="121"/>
      <c r="AG961" s="121"/>
      <c r="AH961" s="121"/>
      <c r="AI961" s="121"/>
      <c r="AJ961" s="121"/>
      <c r="AK961" s="121"/>
      <c r="AL961" s="121"/>
    </row>
    <row r="962" spans="1:38" s="115" customFormat="1" ht="15" customHeight="1">
      <c r="A962" s="555" t="s">
        <v>1709</v>
      </c>
      <c r="B962" s="217" t="str">
        <f t="shared" si="905"/>
        <v>125</v>
      </c>
      <c r="C962" s="217" t="str">
        <f t="shared" si="906"/>
        <v>65</v>
      </c>
      <c r="D962" s="101" t="str">
        <f t="shared" si="907"/>
        <v>655</v>
      </c>
      <c r="E962" s="217" t="str">
        <f t="shared" si="908"/>
        <v>125-65-655</v>
      </c>
      <c r="F962" s="294" t="str">
        <f t="shared" si="909"/>
        <v>53529</v>
      </c>
      <c r="G962" s="295" t="str">
        <f>VLOOKUP(F962,'GL Category'!A:C,3,FALSE)</f>
        <v>Services &amp; other</v>
      </c>
      <c r="H962" s="98" t="str">
        <f>VLOOKUP(F962,'GL Category'!A:C,2,FALSE)</f>
        <v>JANITORIAL SERVICES</v>
      </c>
      <c r="I962" s="99">
        <f>SUMIF(Import!$B:$B,$A962,Import!D:D)</f>
        <v>159120</v>
      </c>
      <c r="J962" s="99">
        <f>SUMIF(Import!$B:$B,$A962,Import!E:E)</f>
        <v>159120</v>
      </c>
      <c r="K962" s="99">
        <f>SUMIF(Import!$B:$B,$A962,Import!F:F)</f>
        <v>159920</v>
      </c>
      <c r="L962" s="99">
        <f>SUMIF(Import!$B:$B,$A962,Import!G:G)</f>
        <v>163686.66</v>
      </c>
      <c r="M962" s="99">
        <f>SUMIF(Import!$B:$B,$A962,Import!H:H)</f>
        <v>160000</v>
      </c>
      <c r="N962" s="99">
        <f>SUMIF(Import!$B:$B,$A962,Import!I:I)</f>
        <v>111502</v>
      </c>
      <c r="O962" s="99">
        <f>SUMIF(Import!$B:$B,$A962,Import!J:J)</f>
        <v>167000</v>
      </c>
      <c r="P962" s="99">
        <f t="shared" si="938"/>
        <v>7000</v>
      </c>
      <c r="Q962" s="99">
        <f>SUMIF(Import!$B:$B,$A962,Import!K:K)</f>
        <v>167000</v>
      </c>
      <c r="R962" s="99">
        <f>SUMIF(Import!$B:$B,$A962,Import!L:L)</f>
        <v>0</v>
      </c>
      <c r="S962" s="99">
        <f>SUMIF(Import!$B:$B,$A962,Import!M:M)</f>
        <v>0</v>
      </c>
      <c r="T962" s="99">
        <f>SUMIF(Import!$B:$B,$A962,Import!N:N)</f>
        <v>167000</v>
      </c>
      <c r="U962" s="99">
        <f t="shared" si="939"/>
        <v>7000</v>
      </c>
      <c r="V962" s="255">
        <f t="shared" si="940"/>
        <v>4.3749999999999956E-2</v>
      </c>
      <c r="W962" s="102" t="s">
        <v>1709</v>
      </c>
      <c r="X962" s="148"/>
      <c r="Y962" s="267"/>
      <c r="Z962" s="121"/>
      <c r="AA962" s="121"/>
      <c r="AB962" s="121"/>
      <c r="AC962" s="121"/>
      <c r="AD962" s="121"/>
      <c r="AE962" s="121"/>
      <c r="AF962" s="121"/>
      <c r="AG962" s="121"/>
      <c r="AH962" s="121"/>
      <c r="AI962" s="121"/>
      <c r="AJ962" s="121"/>
      <c r="AK962" s="121"/>
      <c r="AL962" s="121"/>
    </row>
    <row r="963" spans="1:38" s="115" customFormat="1" ht="15" customHeight="1">
      <c r="A963" s="555" t="s">
        <v>1710</v>
      </c>
      <c r="B963" s="217" t="str">
        <f t="shared" si="905"/>
        <v>125</v>
      </c>
      <c r="C963" s="217" t="str">
        <f t="shared" si="906"/>
        <v>65</v>
      </c>
      <c r="D963" s="101" t="str">
        <f t="shared" si="907"/>
        <v>655</v>
      </c>
      <c r="E963" s="217" t="str">
        <f t="shared" si="908"/>
        <v>125-65-655</v>
      </c>
      <c r="F963" s="294" t="str">
        <f t="shared" si="909"/>
        <v>55175</v>
      </c>
      <c r="G963" s="295" t="str">
        <f>VLOOKUP(F963,'GL Category'!A:C,3,FALSE)</f>
        <v>Services &amp; other</v>
      </c>
      <c r="H963" s="98" t="str">
        <f>VLOOKUP(F963,'GL Category'!A:C,2,FALSE)</f>
        <v>VEHICLE/EQUIP LEASE EXP-CITY</v>
      </c>
      <c r="I963" s="99">
        <f>SUMIF(Import!$B:$B,$A963,Import!D:D)</f>
        <v>4733</v>
      </c>
      <c r="J963" s="99">
        <f>SUMIF(Import!$B:$B,$A963,Import!E:E)</f>
        <v>4727</v>
      </c>
      <c r="K963" s="99">
        <f>SUMIF(Import!$B:$B,$A963,Import!F:F)</f>
        <v>5561</v>
      </c>
      <c r="L963" s="99">
        <f>SUMIF(Import!$B:$B,$A963,Import!G:G)</f>
        <v>7840</v>
      </c>
      <c r="M963" s="99">
        <f>SUMIF(Import!$B:$B,$A963,Import!H:H)</f>
        <v>8280</v>
      </c>
      <c r="N963" s="99">
        <f>SUMIF(Import!$B:$B,$A963,Import!I:I)</f>
        <v>6210</v>
      </c>
      <c r="O963" s="99">
        <f>SUMIF(Import!$B:$B,$A963,Import!J:J)</f>
        <v>8280</v>
      </c>
      <c r="P963" s="99">
        <f t="shared" si="938"/>
        <v>0</v>
      </c>
      <c r="Q963" s="99">
        <f>SUMIF(Import!$B:$B,$A963,Import!K:K)</f>
        <v>6766</v>
      </c>
      <c r="R963" s="99">
        <f>SUMIF(Import!$B:$B,$A963,Import!L:L)</f>
        <v>0</v>
      </c>
      <c r="S963" s="99">
        <f>SUMIF(Import!$B:$B,$A963,Import!M:M)</f>
        <v>0</v>
      </c>
      <c r="T963" s="99">
        <f>SUMIF(Import!$B:$B,$A963,Import!N:N)</f>
        <v>6766</v>
      </c>
      <c r="U963" s="99">
        <f t="shared" si="939"/>
        <v>-1514</v>
      </c>
      <c r="V963" s="255">
        <f t="shared" si="940"/>
        <v>-0.18285024154589369</v>
      </c>
      <c r="W963" s="102" t="s">
        <v>1710</v>
      </c>
      <c r="X963" s="148"/>
      <c r="Y963" s="267"/>
      <c r="Z963" s="121"/>
      <c r="AA963" s="121"/>
      <c r="AB963" s="121"/>
      <c r="AC963" s="121"/>
      <c r="AD963" s="121"/>
      <c r="AE963" s="121"/>
      <c r="AF963" s="121"/>
      <c r="AG963" s="121"/>
      <c r="AH963" s="121"/>
      <c r="AI963" s="121"/>
      <c r="AJ963" s="121"/>
      <c r="AK963" s="121"/>
      <c r="AL963" s="121"/>
    </row>
    <row r="964" spans="1:38" s="115" customFormat="1" ht="15" customHeight="1">
      <c r="A964" s="555" t="s">
        <v>1711</v>
      </c>
      <c r="B964" s="217" t="str">
        <f t="shared" si="905"/>
        <v>125</v>
      </c>
      <c r="C964" s="217" t="str">
        <f t="shared" si="906"/>
        <v>65</v>
      </c>
      <c r="D964" s="101" t="str">
        <f t="shared" si="907"/>
        <v>655</v>
      </c>
      <c r="E964" s="217" t="str">
        <f t="shared" si="908"/>
        <v>125-65-655</v>
      </c>
      <c r="F964" s="294" t="str">
        <f t="shared" si="909"/>
        <v>55119</v>
      </c>
      <c r="G964" s="295" t="str">
        <f>VLOOKUP(F964,'GL Category'!A:C,3,FALSE)</f>
        <v>Services &amp; other</v>
      </c>
      <c r="H964" s="98" t="str">
        <f>VLOOKUP(F964,'GL Category'!A:C,2,FALSE)</f>
        <v>OFFICE EQUIP LEASE EXP-CITY</v>
      </c>
      <c r="I964" s="99">
        <f>SUMIF(Import!$B:$B,$A964,Import!D:D)</f>
        <v>1096</v>
      </c>
      <c r="J964" s="99">
        <f>SUMIF(Import!$B:$B,$A964,Import!E:E)</f>
        <v>1783</v>
      </c>
      <c r="K964" s="99">
        <f>SUMIF(Import!$B:$B,$A964,Import!F:F)</f>
        <v>795</v>
      </c>
      <c r="L964" s="99">
        <f>SUMIF(Import!$B:$B,$A964,Import!G:G)</f>
        <v>1099</v>
      </c>
      <c r="M964" s="99">
        <f>SUMIF(Import!$B:$B,$A964,Import!H:H)</f>
        <v>1300</v>
      </c>
      <c r="N964" s="99">
        <f>SUMIF(Import!$B:$B,$A964,Import!I:I)</f>
        <v>975</v>
      </c>
      <c r="O964" s="99">
        <f>SUMIF(Import!$B:$B,$A964,Import!J:J)</f>
        <v>1300</v>
      </c>
      <c r="P964" s="99">
        <f t="shared" si="938"/>
        <v>0</v>
      </c>
      <c r="Q964" s="99">
        <f>SUMIF(Import!$B:$B,$A964,Import!K:K)</f>
        <v>1445</v>
      </c>
      <c r="R964" s="99">
        <f>SUMIF(Import!$B:$B,$A964,Import!L:L)</f>
        <v>0</v>
      </c>
      <c r="S964" s="99">
        <f>SUMIF(Import!$B:$B,$A964,Import!M:M)</f>
        <v>0</v>
      </c>
      <c r="T964" s="99">
        <f>SUMIF(Import!$B:$B,$A964,Import!N:N)</f>
        <v>1445</v>
      </c>
      <c r="U964" s="99">
        <f t="shared" si="939"/>
        <v>145</v>
      </c>
      <c r="V964" s="255">
        <f t="shared" si="940"/>
        <v>0.11153846153846159</v>
      </c>
      <c r="W964" s="102" t="s">
        <v>1711</v>
      </c>
      <c r="X964" s="148"/>
      <c r="Y964" s="267"/>
      <c r="Z964" s="121"/>
      <c r="AA964" s="121"/>
      <c r="AB964" s="121"/>
      <c r="AC964" s="121"/>
      <c r="AD964" s="121"/>
      <c r="AE964" s="121"/>
      <c r="AF964" s="121"/>
      <c r="AG964" s="121"/>
      <c r="AH964" s="121"/>
      <c r="AI964" s="121"/>
      <c r="AJ964" s="121"/>
      <c r="AK964" s="121"/>
      <c r="AL964" s="121"/>
    </row>
    <row r="965" spans="1:38" s="115" customFormat="1" ht="15" customHeight="1">
      <c r="A965" s="555"/>
      <c r="B965" s="217"/>
      <c r="C965" s="217"/>
      <c r="D965" s="101"/>
      <c r="E965" s="217"/>
      <c r="F965" s="294"/>
      <c r="G965" s="146"/>
      <c r="H965" s="107" t="str">
        <f>UPPER(G964)&amp;" TOTAL"</f>
        <v>SERVICES &amp; OTHER TOTAL</v>
      </c>
      <c r="I965" s="108">
        <f t="shared" ref="I965" si="941">SUBTOTAL(9,I958:I964)</f>
        <v>166249</v>
      </c>
      <c r="J965" s="108">
        <f t="shared" ref="J965:T965" si="942">SUBTOTAL(9,J958:J964)</f>
        <v>166271.89000000001</v>
      </c>
      <c r="K965" s="108">
        <f t="shared" ref="K965" si="943">SUBTOTAL(9,K958:K964)</f>
        <v>170178.05</v>
      </c>
      <c r="L965" s="108">
        <f t="shared" ref="L965" si="944">SUBTOTAL(9,L958:L964)</f>
        <v>174462.95</v>
      </c>
      <c r="M965" s="108">
        <f t="shared" si="942"/>
        <v>174280</v>
      </c>
      <c r="N965" s="109">
        <f t="shared" ref="N965" si="945">SUBTOTAL(9,N958:N964)</f>
        <v>121106.33</v>
      </c>
      <c r="O965" s="109">
        <f t="shared" si="942"/>
        <v>180880</v>
      </c>
      <c r="P965" s="109">
        <f t="shared" si="942"/>
        <v>6600</v>
      </c>
      <c r="Q965" s="109">
        <f t="shared" si="942"/>
        <v>179911</v>
      </c>
      <c r="R965" s="109">
        <f t="shared" si="942"/>
        <v>0</v>
      </c>
      <c r="S965" s="109">
        <f t="shared" si="942"/>
        <v>0</v>
      </c>
      <c r="T965" s="109">
        <f t="shared" si="942"/>
        <v>179911</v>
      </c>
      <c r="U965" s="99">
        <f>T965-M965</f>
        <v>5631</v>
      </c>
      <c r="V965" s="259">
        <f>IF(M965=0,"N/A",T965/M965-1)</f>
        <v>3.2310075740188182E-2</v>
      </c>
      <c r="W965" s="104"/>
      <c r="X965" s="148"/>
      <c r="Y965" s="267"/>
      <c r="Z965" s="121"/>
      <c r="AA965" s="121"/>
      <c r="AB965" s="121"/>
      <c r="AC965" s="121"/>
      <c r="AD965" s="121"/>
      <c r="AE965" s="121"/>
      <c r="AF965" s="121"/>
      <c r="AG965" s="121"/>
      <c r="AH965" s="121"/>
      <c r="AI965" s="121"/>
      <c r="AJ965" s="121"/>
      <c r="AK965" s="121"/>
      <c r="AL965" s="121"/>
    </row>
    <row r="966" spans="1:38" s="115" customFormat="1" ht="15" customHeight="1">
      <c r="A966" s="555"/>
      <c r="B966" s="217"/>
      <c r="C966" s="217"/>
      <c r="D966" s="101"/>
      <c r="E966" s="217"/>
      <c r="F966" s="294"/>
      <c r="G966" s="146"/>
      <c r="H966" s="98"/>
      <c r="I966" s="106"/>
      <c r="J966" s="106"/>
      <c r="K966" s="106"/>
      <c r="L966" s="106"/>
      <c r="M966" s="106"/>
      <c r="N966" s="112"/>
      <c r="O966" s="112"/>
      <c r="P966" s="112"/>
      <c r="Q966" s="113"/>
      <c r="R966" s="113"/>
      <c r="S966" s="113"/>
      <c r="T966" s="113"/>
      <c r="U966" s="113"/>
      <c r="V966" s="113"/>
      <c r="W966" s="104"/>
      <c r="X966" s="148"/>
      <c r="Y966" s="267"/>
      <c r="Z966" s="121"/>
      <c r="AA966" s="121"/>
      <c r="AB966" s="121"/>
      <c r="AC966" s="121"/>
      <c r="AD966" s="121"/>
      <c r="AE966" s="121"/>
      <c r="AF966" s="121"/>
      <c r="AG966" s="121"/>
      <c r="AH966" s="121"/>
      <c r="AI966" s="121"/>
      <c r="AJ966" s="121"/>
      <c r="AK966" s="121"/>
      <c r="AL966" s="121"/>
    </row>
    <row r="967" spans="1:38" s="115" customFormat="1" ht="15" customHeight="1">
      <c r="A967" s="555" t="s">
        <v>1712</v>
      </c>
      <c r="B967" s="217" t="str">
        <f t="shared" si="905"/>
        <v>125</v>
      </c>
      <c r="C967" s="217" t="str">
        <f t="shared" si="906"/>
        <v>65</v>
      </c>
      <c r="D967" s="101" t="str">
        <f t="shared" si="907"/>
        <v>655</v>
      </c>
      <c r="E967" s="217" t="str">
        <f t="shared" si="908"/>
        <v>125-65-655</v>
      </c>
      <c r="F967" s="294" t="str">
        <f t="shared" si="909"/>
        <v>58830</v>
      </c>
      <c r="G967" s="295" t="str">
        <f>VLOOKUP(F967,'GL Category'!A:C,3,FALSE)</f>
        <v>Capital Outlay</v>
      </c>
      <c r="H967" s="98" t="str">
        <f>VLOOKUP(F967,'GL Category'!A:C,2,FALSE)</f>
        <v>MACHINERY &amp; EQUIPMENT</v>
      </c>
      <c r="I967" s="99">
        <f>SUMIF(Import!$B:$B,$A967,Import!D:D)</f>
        <v>0</v>
      </c>
      <c r="J967" s="99">
        <f>SUMIF(Import!$B:$B,$A967,Import!E:E)</f>
        <v>0</v>
      </c>
      <c r="K967" s="99">
        <f>SUMIF(Import!$B:$B,$A967,Import!F:F)</f>
        <v>0</v>
      </c>
      <c r="L967" s="99">
        <f>SUMIF(Import!$B:$B,$A967,Import!G:G)</f>
        <v>0</v>
      </c>
      <c r="M967" s="99">
        <f>SUMIF(Import!$B:$B,$A967,Import!H:H)</f>
        <v>0</v>
      </c>
      <c r="N967" s="99">
        <f>SUMIF(Import!$B:$B,$A967,Import!I:I)</f>
        <v>0</v>
      </c>
      <c r="O967" s="99">
        <f>SUMIF(Import!$B:$B,$A967,Import!J:J)</f>
        <v>0</v>
      </c>
      <c r="P967" s="99">
        <f t="shared" ref="P967" si="946">O967-M967</f>
        <v>0</v>
      </c>
      <c r="Q967" s="99">
        <f>SUMIF(Import!$B:$B,$A967,Import!K:K)</f>
        <v>0</v>
      </c>
      <c r="R967" s="99">
        <f>SUMIF(Import!$B:$B,$A967,Import!L:L)</f>
        <v>0</v>
      </c>
      <c r="S967" s="99">
        <f>SUMIF(Import!$B:$B,$A967,Import!M:M)</f>
        <v>0</v>
      </c>
      <c r="T967" s="99">
        <f>SUMIF(Import!$B:$B,$A967,Import!N:N)</f>
        <v>0</v>
      </c>
      <c r="U967" s="99">
        <f t="shared" ref="U967" si="947">T967-M967</f>
        <v>0</v>
      </c>
      <c r="V967" s="255" t="str">
        <f t="shared" ref="V967" si="948">IF(M967=0,"N/A",T967/M967-1)</f>
        <v>N/A</v>
      </c>
      <c r="W967" s="102" t="s">
        <v>1712</v>
      </c>
      <c r="X967" s="148"/>
      <c r="Y967" s="267"/>
      <c r="Z967" s="121"/>
      <c r="AA967" s="121"/>
      <c r="AB967" s="121"/>
      <c r="AC967" s="121"/>
      <c r="AD967" s="121"/>
      <c r="AE967" s="121"/>
      <c r="AF967" s="121"/>
      <c r="AG967" s="121"/>
      <c r="AH967" s="121"/>
      <c r="AI967" s="121"/>
      <c r="AJ967" s="121"/>
      <c r="AK967" s="121"/>
      <c r="AL967" s="121"/>
    </row>
    <row r="968" spans="1:38" s="115" customFormat="1" ht="15" customHeight="1">
      <c r="A968" s="555"/>
      <c r="B968" s="217"/>
      <c r="C968" s="217"/>
      <c r="D968" s="101"/>
      <c r="E968" s="217"/>
      <c r="F968" s="294"/>
      <c r="G968" s="146"/>
      <c r="H968" s="107" t="str">
        <f>UPPER(G967)&amp;" TOTAL"</f>
        <v>CAPITAL OUTLAY TOTAL</v>
      </c>
      <c r="I968" s="108">
        <f t="shared" ref="I968" si="949">SUBTOTAL(9,I967)</f>
        <v>0</v>
      </c>
      <c r="J968" s="108">
        <f t="shared" ref="J968:T968" si="950">SUBTOTAL(9,J967)</f>
        <v>0</v>
      </c>
      <c r="K968" s="108">
        <f t="shared" ref="K968" si="951">SUBTOTAL(9,K967)</f>
        <v>0</v>
      </c>
      <c r="L968" s="108">
        <f t="shared" ref="L968" si="952">SUBTOTAL(9,L967)</f>
        <v>0</v>
      </c>
      <c r="M968" s="108">
        <f t="shared" si="950"/>
        <v>0</v>
      </c>
      <c r="N968" s="108">
        <f t="shared" ref="N968" si="953">SUBTOTAL(9,N967)</f>
        <v>0</v>
      </c>
      <c r="O968" s="108">
        <f t="shared" si="950"/>
        <v>0</v>
      </c>
      <c r="P968" s="108">
        <f t="shared" si="950"/>
        <v>0</v>
      </c>
      <c r="Q968" s="108">
        <f t="shared" si="950"/>
        <v>0</v>
      </c>
      <c r="R968" s="108">
        <f t="shared" si="950"/>
        <v>0</v>
      </c>
      <c r="S968" s="108">
        <f t="shared" si="950"/>
        <v>0</v>
      </c>
      <c r="T968" s="108">
        <f t="shared" si="950"/>
        <v>0</v>
      </c>
      <c r="U968" s="99">
        <f>T968-M968</f>
        <v>0</v>
      </c>
      <c r="V968" s="259" t="str">
        <f>IF(M968=0,"N/A",T968/M968-1)</f>
        <v>N/A</v>
      </c>
      <c r="W968" s="104"/>
      <c r="X968" s="148"/>
      <c r="Y968" s="267"/>
      <c r="Z968" s="121"/>
      <c r="AA968" s="121"/>
      <c r="AB968" s="121"/>
      <c r="AC968" s="121"/>
      <c r="AD968" s="121"/>
      <c r="AE968" s="121"/>
      <c r="AF968" s="121"/>
      <c r="AG968" s="121"/>
      <c r="AH968" s="121"/>
      <c r="AI968" s="121"/>
      <c r="AJ968" s="121"/>
      <c r="AK968" s="121"/>
      <c r="AL968" s="121"/>
    </row>
    <row r="969" spans="1:38" s="115" customFormat="1" ht="15" customHeight="1">
      <c r="A969" s="555"/>
      <c r="B969" s="217"/>
      <c r="C969" s="217"/>
      <c r="D969" s="101"/>
      <c r="E969" s="217"/>
      <c r="F969" s="294"/>
      <c r="G969" s="146"/>
      <c r="H969" s="98"/>
      <c r="I969" s="106"/>
      <c r="J969" s="106"/>
      <c r="K969" s="106"/>
      <c r="L969" s="106"/>
      <c r="M969" s="106"/>
      <c r="N969" s="112"/>
      <c r="O969" s="112"/>
      <c r="P969" s="112"/>
      <c r="Q969" s="113"/>
      <c r="R969" s="113"/>
      <c r="S969" s="113"/>
      <c r="T969" s="113"/>
      <c r="U969" s="113"/>
      <c r="V969" s="113"/>
      <c r="W969" s="104"/>
      <c r="X969" s="148"/>
      <c r="Y969" s="267"/>
      <c r="Z969" s="121"/>
      <c r="AA969" s="121"/>
      <c r="AB969" s="121"/>
      <c r="AC969" s="121"/>
      <c r="AD969" s="121"/>
      <c r="AE969" s="121"/>
      <c r="AF969" s="121"/>
      <c r="AG969" s="121"/>
      <c r="AH969" s="121"/>
      <c r="AI969" s="121"/>
      <c r="AJ969" s="121"/>
      <c r="AK969" s="121"/>
      <c r="AL969" s="121"/>
    </row>
    <row r="970" spans="1:38" s="115" customFormat="1" ht="15" customHeight="1">
      <c r="A970" s="555"/>
      <c r="B970" s="217"/>
      <c r="C970" s="217"/>
      <c r="D970" s="101"/>
      <c r="E970" s="217"/>
      <c r="F970" s="294"/>
      <c r="G970" s="146"/>
      <c r="H970" s="114" t="s">
        <v>763</v>
      </c>
      <c r="I970" s="108">
        <f t="shared" ref="I970" si="954">SUBTOTAL(9,I933:I968)</f>
        <v>372933.03</v>
      </c>
      <c r="J970" s="108">
        <f t="shared" ref="J970:T970" si="955">SUBTOTAL(9,J933:J968)</f>
        <v>475311.60000000003</v>
      </c>
      <c r="K970" s="108">
        <f t="shared" ref="K970" si="956">SUBTOTAL(9,K933:K968)</f>
        <v>376088.13</v>
      </c>
      <c r="L970" s="108">
        <f t="shared" ref="L970" si="957">SUBTOTAL(9,L933:L968)</f>
        <v>435624.11</v>
      </c>
      <c r="M970" s="108">
        <f t="shared" si="955"/>
        <v>489169</v>
      </c>
      <c r="N970" s="108">
        <f t="shared" ref="N970" si="958">SUBTOTAL(9,N933:N968)</f>
        <v>338290.56999999995</v>
      </c>
      <c r="O970" s="108">
        <f t="shared" si="955"/>
        <v>482088</v>
      </c>
      <c r="P970" s="108">
        <f t="shared" si="955"/>
        <v>-7081</v>
      </c>
      <c r="Q970" s="108">
        <f t="shared" si="955"/>
        <v>501609</v>
      </c>
      <c r="R970" s="108">
        <f t="shared" si="955"/>
        <v>0</v>
      </c>
      <c r="S970" s="108">
        <f t="shared" si="955"/>
        <v>0</v>
      </c>
      <c r="T970" s="108">
        <f t="shared" si="955"/>
        <v>501609</v>
      </c>
      <c r="U970" s="99">
        <f>T970-M970</f>
        <v>12440</v>
      </c>
      <c r="V970" s="259">
        <f>IF(M970=0,"N/A",T970/M970-1)</f>
        <v>2.5430883804983484E-2</v>
      </c>
      <c r="W970" s="104"/>
      <c r="X970" s="148"/>
      <c r="Y970" s="267"/>
      <c r="Z970" s="121"/>
      <c r="AA970" s="121"/>
      <c r="AB970" s="121"/>
      <c r="AC970" s="121"/>
      <c r="AD970" s="121"/>
      <c r="AE970" s="121"/>
      <c r="AF970" s="121"/>
      <c r="AG970" s="121"/>
      <c r="AH970" s="121"/>
      <c r="AI970" s="121"/>
      <c r="AJ970" s="121"/>
      <c r="AK970" s="121"/>
      <c r="AL970" s="121"/>
    </row>
    <row r="971" spans="1:38" s="115" customFormat="1" ht="15" customHeight="1">
      <c r="A971" s="555"/>
      <c r="B971" s="217"/>
      <c r="C971" s="217"/>
      <c r="D971" s="101"/>
      <c r="E971" s="217"/>
      <c r="F971" s="294"/>
      <c r="G971" s="146"/>
      <c r="H971" s="89"/>
      <c r="I971" s="233"/>
      <c r="J971" s="233"/>
      <c r="K971" s="233"/>
      <c r="L971" s="233"/>
      <c r="M971" s="233"/>
      <c r="N971" s="233"/>
      <c r="O971" s="233"/>
      <c r="P971" s="233"/>
      <c r="Q971" s="233"/>
      <c r="R971" s="233"/>
      <c r="S971" s="233"/>
      <c r="T971" s="233"/>
      <c r="U971" s="233"/>
      <c r="V971" s="233"/>
      <c r="W971" s="104"/>
      <c r="X971" s="148"/>
      <c r="Y971" s="267"/>
      <c r="Z971" s="121"/>
      <c r="AA971" s="121"/>
      <c r="AB971" s="121"/>
      <c r="AC971" s="121"/>
      <c r="AD971" s="121"/>
      <c r="AE971" s="121"/>
      <c r="AF971" s="121"/>
      <c r="AG971" s="121"/>
      <c r="AH971" s="121"/>
      <c r="AI971" s="121"/>
      <c r="AJ971" s="121"/>
      <c r="AK971" s="121"/>
      <c r="AL971" s="121"/>
    </row>
    <row r="972" spans="1:38" s="115" customFormat="1" ht="15" customHeight="1" thickBot="1">
      <c r="A972" s="555"/>
      <c r="B972" s="217"/>
      <c r="C972" s="217"/>
      <c r="D972" s="101"/>
      <c r="E972" s="217"/>
      <c r="F972" s="294"/>
      <c r="G972" s="146"/>
      <c r="H972" s="98"/>
      <c r="I972" s="218"/>
      <c r="J972" s="218"/>
      <c r="K972" s="218"/>
      <c r="L972" s="218"/>
      <c r="M972" s="218"/>
      <c r="N972" s="96"/>
      <c r="O972" s="96"/>
      <c r="P972" s="96"/>
      <c r="Q972" s="212"/>
      <c r="R972" s="212"/>
      <c r="S972" s="212"/>
      <c r="T972" s="212"/>
      <c r="U972" s="212"/>
      <c r="V972" s="113"/>
      <c r="W972" s="104"/>
      <c r="X972" s="148"/>
      <c r="Y972" s="267"/>
      <c r="Z972" s="121"/>
      <c r="AA972" s="121"/>
      <c r="AB972" s="121"/>
      <c r="AC972" s="121"/>
      <c r="AD972" s="121"/>
      <c r="AE972" s="121"/>
      <c r="AF972" s="121"/>
      <c r="AG972" s="121"/>
      <c r="AH972" s="121"/>
      <c r="AI972" s="121"/>
      <c r="AJ972" s="121"/>
      <c r="AK972" s="121"/>
      <c r="AL972" s="121"/>
    </row>
    <row r="973" spans="1:38" s="115" customFormat="1" ht="23.4" customHeight="1" thickBot="1">
      <c r="A973" s="555"/>
      <c r="B973" s="217"/>
      <c r="C973" s="217"/>
      <c r="D973" s="101"/>
      <c r="E973" s="217"/>
      <c r="F973" s="294"/>
      <c r="G973" s="146"/>
      <c r="H973" s="665" t="s">
        <v>742</v>
      </c>
      <c r="I973" s="666"/>
      <c r="J973" s="666"/>
      <c r="K973" s="666"/>
      <c r="L973" s="666"/>
      <c r="M973" s="666"/>
      <c r="N973" s="666"/>
      <c r="O973" s="666"/>
      <c r="P973" s="666"/>
      <c r="Q973" s="666"/>
      <c r="R973" s="666"/>
      <c r="S973" s="666"/>
      <c r="T973" s="667"/>
      <c r="U973" s="247"/>
      <c r="V973" s="261"/>
      <c r="W973" s="104"/>
      <c r="X973" s="148"/>
      <c r="Y973" s="267"/>
      <c r="Z973" s="121"/>
      <c r="AA973" s="121"/>
      <c r="AB973" s="121"/>
      <c r="AC973" s="121"/>
      <c r="AD973" s="121"/>
      <c r="AE973" s="121"/>
      <c r="AF973" s="121"/>
      <c r="AG973" s="121"/>
      <c r="AH973" s="121"/>
      <c r="AI973" s="121"/>
      <c r="AJ973" s="121"/>
      <c r="AK973" s="121"/>
      <c r="AL973" s="121"/>
    </row>
    <row r="974" spans="1:38" s="115" customFormat="1" ht="15" customHeight="1">
      <c r="A974" s="555"/>
      <c r="B974" s="217"/>
      <c r="C974" s="217"/>
      <c r="D974" s="101"/>
      <c r="E974" s="217"/>
      <c r="F974" s="294"/>
      <c r="G974" s="146"/>
      <c r="H974" s="225"/>
      <c r="I974" s="225"/>
      <c r="J974" s="225"/>
      <c r="K974" s="225"/>
      <c r="L974" s="225"/>
      <c r="M974" s="225"/>
      <c r="N974" s="225"/>
      <c r="O974" s="225"/>
      <c r="P974" s="225"/>
      <c r="Q974" s="225"/>
      <c r="R974" s="225"/>
      <c r="S974" s="225"/>
      <c r="T974" s="225"/>
      <c r="U974" s="225"/>
      <c r="V974" s="260"/>
      <c r="W974" s="104"/>
      <c r="X974" s="148"/>
      <c r="Y974" s="267"/>
      <c r="Z974" s="121"/>
      <c r="AA974" s="121"/>
      <c r="AB974" s="121"/>
      <c r="AC974" s="121"/>
      <c r="AD974" s="121"/>
      <c r="AE974" s="121"/>
      <c r="AF974" s="121"/>
      <c r="AG974" s="121"/>
      <c r="AH974" s="121"/>
      <c r="AI974" s="121"/>
      <c r="AJ974" s="121"/>
      <c r="AK974" s="121"/>
      <c r="AL974" s="121"/>
    </row>
    <row r="975" spans="1:38" s="115" customFormat="1" ht="15" customHeight="1">
      <c r="A975" s="555" t="s">
        <v>1713</v>
      </c>
      <c r="B975" s="217" t="str">
        <f t="shared" si="905"/>
        <v>125</v>
      </c>
      <c r="C975" s="217" t="str">
        <f t="shared" si="906"/>
        <v>65</v>
      </c>
      <c r="D975" s="101" t="str">
        <f t="shared" si="907"/>
        <v>656</v>
      </c>
      <c r="E975" s="217" t="str">
        <f t="shared" si="908"/>
        <v>125-65-656</v>
      </c>
      <c r="F975" s="294" t="str">
        <f t="shared" si="909"/>
        <v>50101</v>
      </c>
      <c r="G975" s="295" t="str">
        <f>VLOOKUP(F975,'GL Category'!A:C,3,FALSE)</f>
        <v>Personnel services</v>
      </c>
      <c r="H975" s="98" t="str">
        <f>VLOOKUP(F975,'GL Category'!A:C,2,FALSE)</f>
        <v>EXEMPT SALARIES</v>
      </c>
      <c r="I975" s="99">
        <f>SUMIF(Import!$B:$B,$A975,Import!D:D)</f>
        <v>54476.9</v>
      </c>
      <c r="J975" s="99">
        <f>SUMIF(Import!$B:$B,$A975,Import!E:E)</f>
        <v>47623.4</v>
      </c>
      <c r="K975" s="99">
        <f>SUMIF(Import!$B:$B,$A975,Import!F:F)</f>
        <v>46463.1</v>
      </c>
      <c r="L975" s="99">
        <f>SUMIF(Import!$B:$B,$A975,Import!G:G)</f>
        <v>61028.3</v>
      </c>
      <c r="M975" s="99">
        <f>SUMIF(Import!$B:$B,$A975,Import!H:H)</f>
        <v>63307</v>
      </c>
      <c r="N975" s="99">
        <f>SUMIF(Import!$B:$B,$A975,Import!I:I)</f>
        <v>48497.63</v>
      </c>
      <c r="O975" s="99">
        <f>SUMIF(Import!$B:$B,$A975,Import!J:J)</f>
        <v>63666</v>
      </c>
      <c r="P975" s="99">
        <f t="shared" ref="P975:P984" si="959">O975-M975</f>
        <v>359</v>
      </c>
      <c r="Q975" s="99">
        <f>SUMIF(Import!$B:$B,$A975,Import!K:K)</f>
        <v>65843</v>
      </c>
      <c r="R975" s="99">
        <f>SUMIF(Import!$B:$B,$A975,Import!L:L)</f>
        <v>0</v>
      </c>
      <c r="S975" s="99">
        <f>SUMIF(Import!$B:$B,$A975,Import!M:M)</f>
        <v>0</v>
      </c>
      <c r="T975" s="99">
        <f>SUMIF(Import!$B:$B,$A975,Import!N:N)</f>
        <v>65843</v>
      </c>
      <c r="U975" s="99">
        <f t="shared" ref="U975:U984" si="960">T975-M975</f>
        <v>2536</v>
      </c>
      <c r="V975" s="255">
        <f t="shared" ref="V975:V984" si="961">IF(M975=0,"N/A",T975/M975-1)</f>
        <v>4.0058761274424537E-2</v>
      </c>
      <c r="W975" s="102" t="s">
        <v>1713</v>
      </c>
      <c r="X975" s="148"/>
      <c r="Y975" s="267"/>
      <c r="Z975" s="121"/>
      <c r="AA975" s="121"/>
      <c r="AB975" s="121"/>
      <c r="AC975" s="121"/>
      <c r="AD975" s="121"/>
      <c r="AE975" s="121"/>
      <c r="AF975" s="121"/>
      <c r="AG975" s="121"/>
      <c r="AH975" s="121"/>
      <c r="AI975" s="121"/>
      <c r="AJ975" s="121"/>
      <c r="AK975" s="121"/>
      <c r="AL975" s="121"/>
    </row>
    <row r="976" spans="1:38" s="115" customFormat="1" ht="15" customHeight="1">
      <c r="A976" s="555" t="s">
        <v>1714</v>
      </c>
      <c r="B976" s="217" t="str">
        <f t="shared" si="905"/>
        <v>125</v>
      </c>
      <c r="C976" s="217" t="str">
        <f t="shared" si="906"/>
        <v>65</v>
      </c>
      <c r="D976" s="101" t="str">
        <f t="shared" si="907"/>
        <v>656</v>
      </c>
      <c r="E976" s="217" t="str">
        <f t="shared" si="908"/>
        <v>125-65-656</v>
      </c>
      <c r="F976" s="294" t="str">
        <f t="shared" si="909"/>
        <v>50102</v>
      </c>
      <c r="G976" s="295" t="str">
        <f>VLOOKUP(F976,'GL Category'!A:C,3,FALSE)</f>
        <v>Personnel services</v>
      </c>
      <c r="H976" s="98" t="str">
        <f>VLOOKUP(F976,'GL Category'!A:C,2,FALSE)</f>
        <v>NON EXEMPT SALARIES</v>
      </c>
      <c r="I976" s="99">
        <f>SUMIF(Import!$B:$B,$A976,Import!D:D)</f>
        <v>0</v>
      </c>
      <c r="J976" s="99">
        <f>SUMIF(Import!$B:$B,$A976,Import!E:E)</f>
        <v>0</v>
      </c>
      <c r="K976" s="99">
        <f>SUMIF(Import!$B:$B,$A976,Import!F:F)</f>
        <v>0</v>
      </c>
      <c r="L976" s="99">
        <f>SUMIF(Import!$B:$B,$A976,Import!G:G)</f>
        <v>0</v>
      </c>
      <c r="M976" s="99">
        <f>SUMIF(Import!$B:$B,$A976,Import!H:H)</f>
        <v>0</v>
      </c>
      <c r="N976" s="99">
        <f>SUMIF(Import!$B:$B,$A976,Import!I:I)</f>
        <v>0</v>
      </c>
      <c r="O976" s="99">
        <f>SUMIF(Import!$B:$B,$A976,Import!J:J)</f>
        <v>0</v>
      </c>
      <c r="P976" s="99">
        <f t="shared" si="959"/>
        <v>0</v>
      </c>
      <c r="Q976" s="99">
        <f>SUMIF(Import!$B:$B,$A976,Import!K:K)</f>
        <v>0</v>
      </c>
      <c r="R976" s="99">
        <f>SUMIF(Import!$B:$B,$A976,Import!L:L)</f>
        <v>0</v>
      </c>
      <c r="S976" s="99">
        <f>SUMIF(Import!$B:$B,$A976,Import!M:M)</f>
        <v>0</v>
      </c>
      <c r="T976" s="99">
        <f>SUMIF(Import!$B:$B,$A976,Import!N:N)</f>
        <v>0</v>
      </c>
      <c r="U976" s="99">
        <f t="shared" si="960"/>
        <v>0</v>
      </c>
      <c r="V976" s="255" t="str">
        <f t="shared" si="961"/>
        <v>N/A</v>
      </c>
      <c r="W976" s="102" t="s">
        <v>1714</v>
      </c>
      <c r="X976" s="148"/>
      <c r="Y976" s="267"/>
      <c r="Z976" s="121"/>
      <c r="AA976" s="121"/>
      <c r="AB976" s="121"/>
      <c r="AC976" s="121"/>
      <c r="AD976" s="121"/>
      <c r="AE976" s="121"/>
      <c r="AF976" s="121"/>
      <c r="AG976" s="121"/>
      <c r="AH976" s="121"/>
      <c r="AI976" s="121"/>
      <c r="AJ976" s="121"/>
      <c r="AK976" s="121"/>
      <c r="AL976" s="121"/>
    </row>
    <row r="977" spans="1:38" s="115" customFormat="1" ht="15" customHeight="1">
      <c r="A977" s="555" t="s">
        <v>1715</v>
      </c>
      <c r="B977" s="217" t="str">
        <f t="shared" si="905"/>
        <v>125</v>
      </c>
      <c r="C977" s="217" t="str">
        <f t="shared" si="906"/>
        <v>65</v>
      </c>
      <c r="D977" s="101" t="str">
        <f t="shared" si="907"/>
        <v>656</v>
      </c>
      <c r="E977" s="217" t="str">
        <f t="shared" si="908"/>
        <v>125-65-656</v>
      </c>
      <c r="F977" s="294" t="str">
        <f t="shared" si="909"/>
        <v>50109</v>
      </c>
      <c r="G977" s="295" t="str">
        <f>VLOOKUP(F977,'GL Category'!A:C,3,FALSE)</f>
        <v>Personnel services</v>
      </c>
      <c r="H977" s="98" t="str">
        <f>VLOOKUP(F977,'GL Category'!A:C,2,FALSE)</f>
        <v>OVERTIME</v>
      </c>
      <c r="I977" s="99">
        <f>SUMIF(Import!$B:$B,$A977,Import!D:D)</f>
        <v>0</v>
      </c>
      <c r="J977" s="99">
        <f>SUMIF(Import!$B:$B,$A977,Import!E:E)</f>
        <v>272.13</v>
      </c>
      <c r="K977" s="99">
        <f>SUMIF(Import!$B:$B,$A977,Import!F:F)</f>
        <v>87.12</v>
      </c>
      <c r="L977" s="99">
        <f>SUMIF(Import!$B:$B,$A977,Import!G:G)</f>
        <v>172.13</v>
      </c>
      <c r="M977" s="99">
        <f>SUMIF(Import!$B:$B,$A977,Import!H:H)</f>
        <v>800</v>
      </c>
      <c r="N977" s="99">
        <f>SUMIF(Import!$B:$B,$A977,Import!I:I)</f>
        <v>0</v>
      </c>
      <c r="O977" s="99">
        <f>SUMIF(Import!$B:$B,$A977,Import!J:J)</f>
        <v>0</v>
      </c>
      <c r="P977" s="99">
        <f t="shared" si="959"/>
        <v>-800</v>
      </c>
      <c r="Q977" s="99">
        <f>SUMIF(Import!$B:$B,$A977,Import!K:K)</f>
        <v>800</v>
      </c>
      <c r="R977" s="99">
        <f>SUMIF(Import!$B:$B,$A977,Import!L:L)</f>
        <v>0</v>
      </c>
      <c r="S977" s="99">
        <f>SUMIF(Import!$B:$B,$A977,Import!M:M)</f>
        <v>0</v>
      </c>
      <c r="T977" s="99">
        <f>SUMIF(Import!$B:$B,$A977,Import!N:N)</f>
        <v>800</v>
      </c>
      <c r="U977" s="99">
        <f t="shared" si="960"/>
        <v>0</v>
      </c>
      <c r="V977" s="255">
        <f t="shared" si="961"/>
        <v>0</v>
      </c>
      <c r="W977" s="102" t="s">
        <v>1715</v>
      </c>
      <c r="X977" s="148"/>
      <c r="Y977" s="267"/>
      <c r="Z977" s="121"/>
      <c r="AA977" s="121"/>
      <c r="AB977" s="121"/>
      <c r="AC977" s="121"/>
      <c r="AD977" s="121"/>
      <c r="AE977" s="121"/>
      <c r="AF977" s="121"/>
      <c r="AG977" s="121"/>
      <c r="AH977" s="121"/>
      <c r="AI977" s="121"/>
      <c r="AJ977" s="121"/>
      <c r="AK977" s="121"/>
      <c r="AL977" s="121"/>
    </row>
    <row r="978" spans="1:38" s="115" customFormat="1" ht="15" customHeight="1">
      <c r="A978" s="555" t="s">
        <v>1716</v>
      </c>
      <c r="B978" s="217" t="str">
        <f t="shared" si="905"/>
        <v>125</v>
      </c>
      <c r="C978" s="217" t="str">
        <f t="shared" si="906"/>
        <v>65</v>
      </c>
      <c r="D978" s="101" t="str">
        <f t="shared" si="907"/>
        <v>656</v>
      </c>
      <c r="E978" s="217" t="str">
        <f t="shared" si="908"/>
        <v>125-65-656</v>
      </c>
      <c r="F978" s="294" t="str">
        <f t="shared" si="909"/>
        <v>50110</v>
      </c>
      <c r="G978" s="295" t="str">
        <f>VLOOKUP(F978,'GL Category'!A:C,3,FALSE)</f>
        <v>Personnel services</v>
      </c>
      <c r="H978" s="98" t="str">
        <f>VLOOKUP(F978,'GL Category'!A:C,2,FALSE)</f>
        <v>PART-TIME WAGES</v>
      </c>
      <c r="I978" s="99">
        <f>SUMIF(Import!$B:$B,$A978,Import!D:D)</f>
        <v>104558.33</v>
      </c>
      <c r="J978" s="99">
        <f>SUMIF(Import!$B:$B,$A978,Import!E:E)</f>
        <v>104931.33</v>
      </c>
      <c r="K978" s="99">
        <f>SUMIF(Import!$B:$B,$A978,Import!F:F)</f>
        <v>132771.54999999999</v>
      </c>
      <c r="L978" s="99">
        <f>SUMIF(Import!$B:$B,$A978,Import!G:G)</f>
        <v>221395.51</v>
      </c>
      <c r="M978" s="99">
        <f>SUMIF(Import!$B:$B,$A978,Import!H:H)</f>
        <v>190633</v>
      </c>
      <c r="N978" s="99">
        <f>SUMIF(Import!$B:$B,$A978,Import!I:I)</f>
        <v>154089.18</v>
      </c>
      <c r="O978" s="99">
        <f>SUMIF(Import!$B:$B,$A978,Import!J:J)</f>
        <v>195000</v>
      </c>
      <c r="P978" s="99">
        <f t="shared" si="959"/>
        <v>4367</v>
      </c>
      <c r="Q978" s="99">
        <f>SUMIF(Import!$B:$B,$A978,Import!K:K)</f>
        <v>190633</v>
      </c>
      <c r="R978" s="99">
        <f>SUMIF(Import!$B:$B,$A978,Import!L:L)</f>
        <v>0</v>
      </c>
      <c r="S978" s="99">
        <f>SUMIF(Import!$B:$B,$A978,Import!M:M)</f>
        <v>0</v>
      </c>
      <c r="T978" s="99">
        <f>SUMIF(Import!$B:$B,$A978,Import!N:N)</f>
        <v>190633</v>
      </c>
      <c r="U978" s="99">
        <f t="shared" si="960"/>
        <v>0</v>
      </c>
      <c r="V978" s="255">
        <f t="shared" si="961"/>
        <v>0</v>
      </c>
      <c r="W978" s="102" t="s">
        <v>1716</v>
      </c>
      <c r="X978" s="148"/>
      <c r="Y978" s="267"/>
      <c r="Z978" s="121"/>
      <c r="AA978" s="121"/>
      <c r="AB978" s="121"/>
      <c r="AC978" s="121"/>
      <c r="AD978" s="121"/>
      <c r="AE978" s="121"/>
      <c r="AF978" s="121"/>
      <c r="AG978" s="121"/>
      <c r="AH978" s="121"/>
      <c r="AI978" s="121"/>
      <c r="AJ978" s="121"/>
      <c r="AK978" s="121"/>
      <c r="AL978" s="121"/>
    </row>
    <row r="979" spans="1:38" s="115" customFormat="1" ht="15" customHeight="1">
      <c r="A979" s="555" t="s">
        <v>1717</v>
      </c>
      <c r="B979" s="217" t="str">
        <f t="shared" si="905"/>
        <v>125</v>
      </c>
      <c r="C979" s="217" t="str">
        <f t="shared" si="906"/>
        <v>65</v>
      </c>
      <c r="D979" s="101" t="str">
        <f t="shared" si="907"/>
        <v>656</v>
      </c>
      <c r="E979" s="217" t="str">
        <f t="shared" si="908"/>
        <v>125-65-656</v>
      </c>
      <c r="F979" s="294" t="str">
        <f t="shared" si="909"/>
        <v>50111</v>
      </c>
      <c r="G979" s="295" t="str">
        <f>VLOOKUP(F979,'GL Category'!A:C,3,FALSE)</f>
        <v>Personnel services</v>
      </c>
      <c r="H979" s="98" t="str">
        <f>VLOOKUP(F979,'GL Category'!A:C,2,FALSE)</f>
        <v>LONGEVITY PAY</v>
      </c>
      <c r="I979" s="99">
        <f>SUMIF(Import!$B:$B,$A979,Import!D:D)</f>
        <v>215</v>
      </c>
      <c r="J979" s="99">
        <f>SUMIF(Import!$B:$B,$A979,Import!E:E)</f>
        <v>275</v>
      </c>
      <c r="K979" s="99">
        <f>SUMIF(Import!$B:$B,$A979,Import!F:F)</f>
        <v>0</v>
      </c>
      <c r="L979" s="99">
        <f>SUMIF(Import!$B:$B,$A979,Import!G:G)</f>
        <v>370</v>
      </c>
      <c r="M979" s="99">
        <f>SUMIF(Import!$B:$B,$A979,Import!H:H)</f>
        <v>434</v>
      </c>
      <c r="N979" s="99">
        <f>SUMIF(Import!$B:$B,$A979,Import!I:I)</f>
        <v>430</v>
      </c>
      <c r="O979" s="99">
        <f>SUMIF(Import!$B:$B,$A979,Import!J:J)</f>
        <v>430</v>
      </c>
      <c r="P979" s="99">
        <f t="shared" si="959"/>
        <v>-4</v>
      </c>
      <c r="Q979" s="99">
        <f>SUMIF(Import!$B:$B,$A979,Import!K:K)</f>
        <v>495</v>
      </c>
      <c r="R979" s="99">
        <f>SUMIF(Import!$B:$B,$A979,Import!L:L)</f>
        <v>0</v>
      </c>
      <c r="S979" s="99">
        <f>SUMIF(Import!$B:$B,$A979,Import!M:M)</f>
        <v>0</v>
      </c>
      <c r="T979" s="99">
        <f>SUMIF(Import!$B:$B,$A979,Import!N:N)</f>
        <v>495</v>
      </c>
      <c r="U979" s="99">
        <f t="shared" si="960"/>
        <v>61</v>
      </c>
      <c r="V979" s="255">
        <f t="shared" si="961"/>
        <v>0.14055299539170507</v>
      </c>
      <c r="W979" s="102" t="s">
        <v>1717</v>
      </c>
      <c r="X979" s="148"/>
      <c r="Y979" s="267"/>
      <c r="Z979" s="121"/>
      <c r="AA979" s="121"/>
      <c r="AB979" s="121"/>
      <c r="AC979" s="121"/>
      <c r="AD979" s="121"/>
      <c r="AE979" s="121"/>
      <c r="AF979" s="121"/>
      <c r="AG979" s="121"/>
      <c r="AH979" s="121"/>
      <c r="AI979" s="121"/>
      <c r="AJ979" s="121"/>
      <c r="AK979" s="121"/>
      <c r="AL979" s="121"/>
    </row>
    <row r="980" spans="1:38" s="115" customFormat="1" ht="15" customHeight="1">
      <c r="A980" s="555" t="s">
        <v>1718</v>
      </c>
      <c r="B980" s="217" t="str">
        <f t="shared" si="905"/>
        <v>125</v>
      </c>
      <c r="C980" s="217" t="str">
        <f t="shared" si="906"/>
        <v>65</v>
      </c>
      <c r="D980" s="101" t="str">
        <f t="shared" si="907"/>
        <v>656</v>
      </c>
      <c r="E980" s="217" t="str">
        <f t="shared" si="908"/>
        <v>125-65-656</v>
      </c>
      <c r="F980" s="294" t="str">
        <f t="shared" si="909"/>
        <v>50112</v>
      </c>
      <c r="G980" s="295" t="str">
        <f>VLOOKUP(F980,'GL Category'!A:C,3,FALSE)</f>
        <v>Personnel services</v>
      </c>
      <c r="H980" s="98" t="str">
        <f>VLOOKUP(F980,'GL Category'!A:C,2,FALSE)</f>
        <v>TEMPORARY/SEASONAL WAGES</v>
      </c>
      <c r="I980" s="99">
        <f>SUMIF(Import!$B:$B,$A980,Import!D:D)</f>
        <v>22968.13</v>
      </c>
      <c r="J980" s="99">
        <f>SUMIF(Import!$B:$B,$A980,Import!E:E)</f>
        <v>37414.25</v>
      </c>
      <c r="K980" s="99">
        <f>SUMIF(Import!$B:$B,$A980,Import!F:F)</f>
        <v>0</v>
      </c>
      <c r="L980" s="99">
        <f>SUMIF(Import!$B:$B,$A980,Import!G:G)</f>
        <v>0</v>
      </c>
      <c r="M980" s="99">
        <f>SUMIF(Import!$B:$B,$A980,Import!H:H)</f>
        <v>0</v>
      </c>
      <c r="N980" s="99">
        <f>SUMIF(Import!$B:$B,$A980,Import!I:I)</f>
        <v>0</v>
      </c>
      <c r="O980" s="99">
        <f>SUMIF(Import!$B:$B,$A980,Import!J:J)</f>
        <v>0</v>
      </c>
      <c r="P980" s="99">
        <f t="shared" si="959"/>
        <v>0</v>
      </c>
      <c r="Q980" s="99">
        <f>SUMIF(Import!$B:$B,$A980,Import!K:K)</f>
        <v>0</v>
      </c>
      <c r="R980" s="99">
        <f>SUMIF(Import!$B:$B,$A980,Import!L:L)</f>
        <v>0</v>
      </c>
      <c r="S980" s="99">
        <f>SUMIF(Import!$B:$B,$A980,Import!M:M)</f>
        <v>0</v>
      </c>
      <c r="T980" s="99">
        <f>SUMIF(Import!$B:$B,$A980,Import!N:N)</f>
        <v>0</v>
      </c>
      <c r="U980" s="99">
        <f t="shared" si="960"/>
        <v>0</v>
      </c>
      <c r="V980" s="255" t="str">
        <f t="shared" si="961"/>
        <v>N/A</v>
      </c>
      <c r="W980" s="102" t="s">
        <v>1718</v>
      </c>
      <c r="X980" s="148"/>
      <c r="Y980" s="267"/>
      <c r="Z980" s="121"/>
      <c r="AA980" s="121"/>
      <c r="AB980" s="121"/>
      <c r="AC980" s="121"/>
      <c r="AD980" s="121"/>
      <c r="AE980" s="121"/>
      <c r="AF980" s="121"/>
      <c r="AG980" s="121"/>
      <c r="AH980" s="121"/>
      <c r="AI980" s="121"/>
      <c r="AJ980" s="121"/>
      <c r="AK980" s="121"/>
      <c r="AL980" s="121"/>
    </row>
    <row r="981" spans="1:38" s="115" customFormat="1" ht="15" customHeight="1">
      <c r="A981" s="555" t="s">
        <v>1719</v>
      </c>
      <c r="B981" s="217" t="str">
        <f t="shared" si="905"/>
        <v>125</v>
      </c>
      <c r="C981" s="217" t="str">
        <f t="shared" si="906"/>
        <v>65</v>
      </c>
      <c r="D981" s="101" t="str">
        <f t="shared" si="907"/>
        <v>656</v>
      </c>
      <c r="E981" s="217" t="str">
        <f t="shared" si="908"/>
        <v>125-65-656</v>
      </c>
      <c r="F981" s="294" t="str">
        <f t="shared" si="909"/>
        <v>50610</v>
      </c>
      <c r="G981" s="295" t="str">
        <f>VLOOKUP(F981,'GL Category'!A:C,3,FALSE)</f>
        <v>Personnel services</v>
      </c>
      <c r="H981" s="98" t="str">
        <f>VLOOKUP(F981,'GL Category'!A:C,2,FALSE)</f>
        <v>SOCIAL SECURITY</v>
      </c>
      <c r="I981" s="99">
        <f>SUMIF(Import!$B:$B,$A981,Import!D:D)</f>
        <v>13654.61</v>
      </c>
      <c r="J981" s="99">
        <f>SUMIF(Import!$B:$B,$A981,Import!E:E)</f>
        <v>14217.58</v>
      </c>
      <c r="K981" s="99">
        <f>SUMIF(Import!$B:$B,$A981,Import!F:F)</f>
        <v>13716.78</v>
      </c>
      <c r="L981" s="99">
        <f>SUMIF(Import!$B:$B,$A981,Import!G:G)</f>
        <v>21661.06</v>
      </c>
      <c r="M981" s="99">
        <f>SUMIF(Import!$B:$B,$A981,Import!H:H)</f>
        <v>19600</v>
      </c>
      <c r="N981" s="99">
        <f>SUMIF(Import!$B:$B,$A981,Import!I:I)</f>
        <v>15562.56</v>
      </c>
      <c r="O981" s="99">
        <f>SUMIF(Import!$B:$B,$A981,Import!J:J)</f>
        <v>21000</v>
      </c>
      <c r="P981" s="99">
        <f t="shared" si="959"/>
        <v>1400</v>
      </c>
      <c r="Q981" s="99">
        <f>SUMIF(Import!$B:$B,$A981,Import!K:K)</f>
        <v>14710</v>
      </c>
      <c r="R981" s="99">
        <f>SUMIF(Import!$B:$B,$A981,Import!L:L)</f>
        <v>0</v>
      </c>
      <c r="S981" s="99">
        <f>SUMIF(Import!$B:$B,$A981,Import!M:M)</f>
        <v>0</v>
      </c>
      <c r="T981" s="99">
        <f>SUMIF(Import!$B:$B,$A981,Import!N:N)</f>
        <v>14710</v>
      </c>
      <c r="U981" s="99">
        <f t="shared" si="960"/>
        <v>-4890</v>
      </c>
      <c r="V981" s="255">
        <f t="shared" si="961"/>
        <v>-0.2494897959183674</v>
      </c>
      <c r="W981" s="102" t="s">
        <v>1719</v>
      </c>
      <c r="X981" s="148"/>
      <c r="Y981" s="267"/>
      <c r="Z981" s="121"/>
      <c r="AA981" s="121"/>
      <c r="AB981" s="121"/>
      <c r="AC981" s="121"/>
      <c r="AD981" s="121"/>
      <c r="AE981" s="121"/>
      <c r="AF981" s="121"/>
      <c r="AG981" s="121"/>
      <c r="AH981" s="121"/>
      <c r="AI981" s="121"/>
      <c r="AJ981" s="121"/>
      <c r="AK981" s="121"/>
      <c r="AL981" s="121"/>
    </row>
    <row r="982" spans="1:38" s="115" customFormat="1" ht="15" customHeight="1">
      <c r="A982" s="555" t="s">
        <v>1720</v>
      </c>
      <c r="B982" s="217" t="str">
        <f t="shared" si="905"/>
        <v>125</v>
      </c>
      <c r="C982" s="217" t="str">
        <f t="shared" si="906"/>
        <v>65</v>
      </c>
      <c r="D982" s="101" t="str">
        <f t="shared" si="907"/>
        <v>656</v>
      </c>
      <c r="E982" s="217" t="str">
        <f t="shared" si="908"/>
        <v>125-65-656</v>
      </c>
      <c r="F982" s="294" t="str">
        <f t="shared" si="909"/>
        <v>50620</v>
      </c>
      <c r="G982" s="295" t="str">
        <f>VLOOKUP(F982,'GL Category'!A:C,3,FALSE)</f>
        <v>Personnel services</v>
      </c>
      <c r="H982" s="98" t="str">
        <f>VLOOKUP(F982,'GL Category'!A:C,2,FALSE)</f>
        <v>HEALTH/LIFE INSURANCE</v>
      </c>
      <c r="I982" s="99">
        <f>SUMIF(Import!$B:$B,$A982,Import!D:D)</f>
        <v>21877.08</v>
      </c>
      <c r="J982" s="99">
        <f>SUMIF(Import!$B:$B,$A982,Import!E:E)</f>
        <v>17251.91</v>
      </c>
      <c r="K982" s="99">
        <f>SUMIF(Import!$B:$B,$A982,Import!F:F)</f>
        <v>2477.65</v>
      </c>
      <c r="L982" s="99">
        <f>SUMIF(Import!$B:$B,$A982,Import!G:G)</f>
        <v>1104.53</v>
      </c>
      <c r="M982" s="99">
        <f>SUMIF(Import!$B:$B,$A982,Import!H:H)</f>
        <v>1490</v>
      </c>
      <c r="N982" s="99">
        <f>SUMIF(Import!$B:$B,$A982,Import!I:I)</f>
        <v>830.41</v>
      </c>
      <c r="O982" s="99">
        <f>SUMIF(Import!$B:$B,$A982,Import!J:J)</f>
        <v>1100</v>
      </c>
      <c r="P982" s="99">
        <f t="shared" si="959"/>
        <v>-390</v>
      </c>
      <c r="Q982" s="99">
        <f>SUMIF(Import!$B:$B,$A982,Import!K:K)</f>
        <v>1494</v>
      </c>
      <c r="R982" s="99">
        <f>SUMIF(Import!$B:$B,$A982,Import!L:L)</f>
        <v>0</v>
      </c>
      <c r="S982" s="99">
        <f>SUMIF(Import!$B:$B,$A982,Import!M:M)</f>
        <v>0</v>
      </c>
      <c r="T982" s="99">
        <f>SUMIF(Import!$B:$B,$A982,Import!N:N)</f>
        <v>1494</v>
      </c>
      <c r="U982" s="99">
        <f t="shared" si="960"/>
        <v>4</v>
      </c>
      <c r="V982" s="255">
        <f t="shared" si="961"/>
        <v>2.6845637583892135E-3</v>
      </c>
      <c r="W982" s="102" t="s">
        <v>1720</v>
      </c>
      <c r="X982" s="148"/>
      <c r="Y982" s="267"/>
      <c r="Z982" s="121"/>
      <c r="AA982" s="121"/>
      <c r="AB982" s="121"/>
      <c r="AC982" s="121"/>
      <c r="AD982" s="121"/>
      <c r="AE982" s="121"/>
      <c r="AF982" s="121"/>
      <c r="AG982" s="121"/>
      <c r="AH982" s="121"/>
      <c r="AI982" s="121"/>
      <c r="AJ982" s="121"/>
      <c r="AK982" s="121"/>
      <c r="AL982" s="121"/>
    </row>
    <row r="983" spans="1:38" s="115" customFormat="1" ht="15" customHeight="1">
      <c r="A983" s="555" t="s">
        <v>1721</v>
      </c>
      <c r="B983" s="217" t="str">
        <f t="shared" si="905"/>
        <v>125</v>
      </c>
      <c r="C983" s="217" t="str">
        <f t="shared" si="906"/>
        <v>65</v>
      </c>
      <c r="D983" s="101" t="str">
        <f t="shared" si="907"/>
        <v>656</v>
      </c>
      <c r="E983" s="217" t="str">
        <f t="shared" si="908"/>
        <v>125-65-656</v>
      </c>
      <c r="F983" s="294" t="str">
        <f t="shared" si="909"/>
        <v>50630</v>
      </c>
      <c r="G983" s="295" t="str">
        <f>VLOOKUP(F983,'GL Category'!A:C,3,FALSE)</f>
        <v>Personnel services</v>
      </c>
      <c r="H983" s="98" t="str">
        <f>VLOOKUP(F983,'GL Category'!A:C,2,FALSE)</f>
        <v>WORKER COMPENSATION</v>
      </c>
      <c r="I983" s="99">
        <f>SUMIF(Import!$B:$B,$A983,Import!D:D)</f>
        <v>1147.99</v>
      </c>
      <c r="J983" s="99">
        <f>SUMIF(Import!$B:$B,$A983,Import!E:E)</f>
        <v>934.12</v>
      </c>
      <c r="K983" s="99">
        <f>SUMIF(Import!$B:$B,$A983,Import!F:F)</f>
        <v>1098.1600000000001</v>
      </c>
      <c r="L983" s="99">
        <f>SUMIF(Import!$B:$B,$A983,Import!G:G)</f>
        <v>1923.41</v>
      </c>
      <c r="M983" s="99">
        <f>SUMIF(Import!$B:$B,$A983,Import!H:H)</f>
        <v>2486</v>
      </c>
      <c r="N983" s="99">
        <f>SUMIF(Import!$B:$B,$A983,Import!I:I)</f>
        <v>2483.9699999999998</v>
      </c>
      <c r="O983" s="99">
        <f>SUMIF(Import!$B:$B,$A983,Import!J:J)</f>
        <v>2484</v>
      </c>
      <c r="P983" s="99">
        <f t="shared" si="959"/>
        <v>-2</v>
      </c>
      <c r="Q983" s="99">
        <f>SUMIF(Import!$B:$B,$A983,Import!K:K)</f>
        <v>2284</v>
      </c>
      <c r="R983" s="99">
        <f>SUMIF(Import!$B:$B,$A983,Import!L:L)</f>
        <v>0</v>
      </c>
      <c r="S983" s="99">
        <f>SUMIF(Import!$B:$B,$A983,Import!M:M)</f>
        <v>0</v>
      </c>
      <c r="T983" s="99">
        <f>SUMIF(Import!$B:$B,$A983,Import!N:N)</f>
        <v>2284</v>
      </c>
      <c r="U983" s="99">
        <f t="shared" si="960"/>
        <v>-202</v>
      </c>
      <c r="V983" s="255">
        <f t="shared" si="961"/>
        <v>-8.125502815768304E-2</v>
      </c>
      <c r="W983" s="102" t="s">
        <v>1721</v>
      </c>
      <c r="X983" s="148"/>
      <c r="Y983" s="267"/>
      <c r="Z983" s="121"/>
      <c r="AA983" s="121"/>
      <c r="AB983" s="121"/>
      <c r="AC983" s="121"/>
      <c r="AD983" s="121"/>
      <c r="AE983" s="121"/>
      <c r="AF983" s="121"/>
      <c r="AG983" s="121"/>
      <c r="AH983" s="121"/>
      <c r="AI983" s="121"/>
      <c r="AJ983" s="121"/>
      <c r="AK983" s="121"/>
      <c r="AL983" s="121"/>
    </row>
    <row r="984" spans="1:38" s="115" customFormat="1" ht="15" customHeight="1">
      <c r="A984" s="555" t="s">
        <v>1722</v>
      </c>
      <c r="B984" s="217" t="str">
        <f t="shared" si="905"/>
        <v>125</v>
      </c>
      <c r="C984" s="217" t="str">
        <f t="shared" si="906"/>
        <v>65</v>
      </c>
      <c r="D984" s="101" t="str">
        <f t="shared" si="907"/>
        <v>656</v>
      </c>
      <c r="E984" s="217" t="str">
        <f t="shared" si="908"/>
        <v>125-65-656</v>
      </c>
      <c r="F984" s="294" t="str">
        <f t="shared" si="909"/>
        <v>50650</v>
      </c>
      <c r="G984" s="295" t="str">
        <f>VLOOKUP(F984,'GL Category'!A:C,3,FALSE)</f>
        <v>Personnel services</v>
      </c>
      <c r="H984" s="98" t="str">
        <f>VLOOKUP(F984,'GL Category'!A:C,2,FALSE)</f>
        <v>RETIREMENT</v>
      </c>
      <c r="I984" s="99">
        <f>SUMIF(Import!$B:$B,$A984,Import!D:D)</f>
        <v>8687.2800000000007</v>
      </c>
      <c r="J984" s="99">
        <f>SUMIF(Import!$B:$B,$A984,Import!E:E)</f>
        <v>7734.49</v>
      </c>
      <c r="K984" s="99">
        <f>SUMIF(Import!$B:$B,$A984,Import!F:F)</f>
        <v>7536.39</v>
      </c>
      <c r="L984" s="99">
        <f>SUMIF(Import!$B:$B,$A984,Import!G:G)</f>
        <v>9990.75</v>
      </c>
      <c r="M984" s="99">
        <f>SUMIF(Import!$B:$B,$A984,Import!H:H)</f>
        <v>10807</v>
      </c>
      <c r="N984" s="99">
        <f>SUMIF(Import!$B:$B,$A984,Import!I:I)</f>
        <v>8180.4</v>
      </c>
      <c r="O984" s="99">
        <f>SUMIF(Import!$B:$B,$A984,Import!J:J)</f>
        <v>10729</v>
      </c>
      <c r="P984" s="99">
        <f t="shared" si="959"/>
        <v>-78</v>
      </c>
      <c r="Q984" s="99">
        <f>SUMIF(Import!$B:$B,$A984,Import!K:K)</f>
        <v>11508</v>
      </c>
      <c r="R984" s="99">
        <f>SUMIF(Import!$B:$B,$A984,Import!L:L)</f>
        <v>0</v>
      </c>
      <c r="S984" s="99">
        <f>SUMIF(Import!$B:$B,$A984,Import!M:M)</f>
        <v>0</v>
      </c>
      <c r="T984" s="99">
        <f>SUMIF(Import!$B:$B,$A984,Import!N:N)</f>
        <v>11508</v>
      </c>
      <c r="U984" s="99">
        <f t="shared" si="960"/>
        <v>701</v>
      </c>
      <c r="V984" s="255">
        <f t="shared" si="961"/>
        <v>6.4865365041177014E-2</v>
      </c>
      <c r="W984" s="102" t="s">
        <v>1722</v>
      </c>
      <c r="X984" s="148"/>
      <c r="Y984" s="267"/>
      <c r="Z984" s="121"/>
      <c r="AA984" s="121"/>
      <c r="AB984" s="121"/>
      <c r="AC984" s="121"/>
      <c r="AD984" s="121"/>
      <c r="AE984" s="121"/>
      <c r="AF984" s="121"/>
      <c r="AG984" s="121"/>
      <c r="AH984" s="121"/>
      <c r="AI984" s="121"/>
      <c r="AJ984" s="121"/>
      <c r="AK984" s="121"/>
      <c r="AL984" s="121"/>
    </row>
    <row r="985" spans="1:38" s="115" customFormat="1" ht="15" customHeight="1">
      <c r="A985" s="555"/>
      <c r="B985" s="217"/>
      <c r="C985" s="217"/>
      <c r="D985" s="101"/>
      <c r="E985" s="217"/>
      <c r="F985" s="294"/>
      <c r="G985" s="146"/>
      <c r="H985" s="107" t="str">
        <f>UPPER(G984)&amp;" TOTAL"</f>
        <v>PERSONNEL SERVICES TOTAL</v>
      </c>
      <c r="I985" s="108">
        <f t="shared" ref="I985" si="962">SUBTOTAL(9,I975:I984)</f>
        <v>227585.32000000004</v>
      </c>
      <c r="J985" s="108">
        <f t="shared" ref="J985:P985" si="963">SUBTOTAL(9,J975:J984)</f>
        <v>230654.20999999996</v>
      </c>
      <c r="K985" s="108">
        <f t="shared" ref="K985" si="964">SUBTOTAL(9,K975:K984)</f>
        <v>204150.75</v>
      </c>
      <c r="L985" s="108">
        <f t="shared" ref="L985" si="965">SUBTOTAL(9,L975:L984)</f>
        <v>317645.69</v>
      </c>
      <c r="M985" s="108">
        <f t="shared" si="963"/>
        <v>289557</v>
      </c>
      <c r="N985" s="109">
        <f t="shared" ref="N985" si="966">SUBTOTAL(9,N975:N984)</f>
        <v>230074.15</v>
      </c>
      <c r="O985" s="109">
        <f t="shared" si="963"/>
        <v>294409</v>
      </c>
      <c r="P985" s="109">
        <f t="shared" si="963"/>
        <v>4852</v>
      </c>
      <c r="Q985" s="109">
        <f t="shared" ref="Q985:T985" si="967">SUBTOTAL(9,Q975:Q984)</f>
        <v>287767</v>
      </c>
      <c r="R985" s="109">
        <f t="shared" si="967"/>
        <v>0</v>
      </c>
      <c r="S985" s="109">
        <f t="shared" si="967"/>
        <v>0</v>
      </c>
      <c r="T985" s="109">
        <f t="shared" si="967"/>
        <v>287767</v>
      </c>
      <c r="U985" s="99">
        <f>T985-M985</f>
        <v>-1790</v>
      </c>
      <c r="V985" s="259">
        <f>IF(M985=0,"N/A",T985/M985-1)</f>
        <v>-6.1818571127618682E-3</v>
      </c>
      <c r="W985" s="104"/>
      <c r="X985" s="148"/>
      <c r="Y985" s="267"/>
      <c r="Z985" s="121"/>
      <c r="AA985" s="121"/>
      <c r="AB985" s="121"/>
      <c r="AC985" s="121"/>
      <c r="AD985" s="121"/>
      <c r="AE985" s="121"/>
      <c r="AF985" s="121"/>
      <c r="AG985" s="121"/>
      <c r="AH985" s="121"/>
      <c r="AI985" s="121"/>
      <c r="AJ985" s="121"/>
      <c r="AK985" s="121"/>
      <c r="AL985" s="121"/>
    </row>
    <row r="986" spans="1:38" s="115" customFormat="1" ht="15" customHeight="1">
      <c r="A986" s="555"/>
      <c r="B986" s="217"/>
      <c r="C986" s="217"/>
      <c r="D986" s="101"/>
      <c r="E986" s="217"/>
      <c r="F986" s="294"/>
      <c r="G986" s="146"/>
      <c r="H986" s="98"/>
      <c r="I986" s="106"/>
      <c r="J986" s="106"/>
      <c r="K986" s="106"/>
      <c r="L986" s="106"/>
      <c r="M986" s="106"/>
      <c r="N986" s="112"/>
      <c r="O986" s="112"/>
      <c r="P986" s="112"/>
      <c r="Q986" s="113"/>
      <c r="R986" s="113"/>
      <c r="S986" s="113"/>
      <c r="T986" s="113"/>
      <c r="U986" s="113"/>
      <c r="V986" s="113"/>
      <c r="W986" s="104"/>
      <c r="X986" s="148"/>
      <c r="Y986" s="267"/>
      <c r="Z986" s="121"/>
      <c r="AA986" s="121"/>
      <c r="AB986" s="121"/>
      <c r="AC986" s="121"/>
      <c r="AD986" s="121"/>
      <c r="AE986" s="121"/>
      <c r="AF986" s="121"/>
      <c r="AG986" s="121"/>
      <c r="AH986" s="121"/>
      <c r="AI986" s="121"/>
      <c r="AJ986" s="121"/>
      <c r="AK986" s="121"/>
      <c r="AL986" s="121"/>
    </row>
    <row r="987" spans="1:38" s="115" customFormat="1" ht="15" customHeight="1">
      <c r="A987" s="555" t="s">
        <v>1723</v>
      </c>
      <c r="B987" s="217" t="str">
        <f t="shared" ref="B987:B1048" si="968">LEFT(A987,3)</f>
        <v>125</v>
      </c>
      <c r="C987" s="217" t="str">
        <f t="shared" ref="C987:C1048" si="969">MID(A987,5,2)</f>
        <v>65</v>
      </c>
      <c r="D987" s="101" t="str">
        <f t="shared" ref="D987:D1048" si="970">MID(A987,8,3)</f>
        <v>656</v>
      </c>
      <c r="E987" s="217" t="str">
        <f t="shared" ref="E987:E1048" si="971">LEFT(A987,10)</f>
        <v>125-65-656</v>
      </c>
      <c r="F987" s="294" t="str">
        <f t="shared" ref="F987:F1048" si="972">RIGHT(A987,5)</f>
        <v>51245</v>
      </c>
      <c r="G987" s="295" t="str">
        <f>VLOOKUP(F987,'GL Category'!A:C,3,FALSE)</f>
        <v>Operations &amp; maintenance</v>
      </c>
      <c r="H987" s="98" t="str">
        <f>VLOOKUP(F987,'GL Category'!A:C,2,FALSE)</f>
        <v>SMALL TOOLS &amp; EQUIPMENT</v>
      </c>
      <c r="I987" s="99">
        <f>SUMIF(Import!$B:$B,$A987,Import!D:D)</f>
        <v>514.5</v>
      </c>
      <c r="J987" s="99">
        <f>SUMIF(Import!$B:$B,$A987,Import!E:E)</f>
        <v>118.76</v>
      </c>
      <c r="K987" s="99">
        <f>SUMIF(Import!$B:$B,$A987,Import!F:F)</f>
        <v>188.9</v>
      </c>
      <c r="L987" s="99">
        <f>SUMIF(Import!$B:$B,$A987,Import!G:G)</f>
        <v>2294.15</v>
      </c>
      <c r="M987" s="99">
        <f>SUMIF(Import!$B:$B,$A987,Import!H:H)</f>
        <v>300</v>
      </c>
      <c r="N987" s="99">
        <f>SUMIF(Import!$B:$B,$A987,Import!I:I)</f>
        <v>124.74</v>
      </c>
      <c r="O987" s="99">
        <f>SUMIF(Import!$B:$B,$A987,Import!J:J)</f>
        <v>300</v>
      </c>
      <c r="P987" s="99">
        <f t="shared" ref="P987:P994" si="973">O987-M987</f>
        <v>0</v>
      </c>
      <c r="Q987" s="99">
        <f>SUMIF(Import!$B:$B,$A987,Import!K:K)</f>
        <v>800</v>
      </c>
      <c r="R987" s="99">
        <f>SUMIF(Import!$B:$B,$A987,Import!L:L)</f>
        <v>0</v>
      </c>
      <c r="S987" s="99">
        <f>SUMIF(Import!$B:$B,$A987,Import!M:M)</f>
        <v>0</v>
      </c>
      <c r="T987" s="99">
        <f>SUMIF(Import!$B:$B,$A987,Import!N:N)</f>
        <v>800</v>
      </c>
      <c r="U987" s="99">
        <f t="shared" ref="U987:U994" si="974">T987-M987</f>
        <v>500</v>
      </c>
      <c r="V987" s="255">
        <f t="shared" ref="V987:V994" si="975">IF(M987=0,"N/A",T987/M987-1)</f>
        <v>1.6666666666666665</v>
      </c>
      <c r="W987" s="102" t="s">
        <v>1723</v>
      </c>
      <c r="X987" s="148"/>
      <c r="Y987" s="267"/>
      <c r="Z987" s="121"/>
      <c r="AA987" s="121"/>
      <c r="AB987" s="121"/>
      <c r="AC987" s="121"/>
      <c r="AD987" s="121"/>
      <c r="AE987" s="121"/>
      <c r="AF987" s="121"/>
      <c r="AG987" s="121"/>
      <c r="AH987" s="121"/>
      <c r="AI987" s="121"/>
      <c r="AJ987" s="121"/>
      <c r="AK987" s="121"/>
      <c r="AL987" s="121"/>
    </row>
    <row r="988" spans="1:38" s="115" customFormat="1" ht="15" customHeight="1">
      <c r="A988" s="555" t="s">
        <v>1724</v>
      </c>
      <c r="B988" s="217" t="str">
        <f t="shared" si="968"/>
        <v>125</v>
      </c>
      <c r="C988" s="217" t="str">
        <f t="shared" si="969"/>
        <v>65</v>
      </c>
      <c r="D988" s="101" t="str">
        <f t="shared" si="970"/>
        <v>656</v>
      </c>
      <c r="E988" s="217" t="str">
        <f t="shared" si="971"/>
        <v>125-65-656</v>
      </c>
      <c r="F988" s="294" t="str">
        <f t="shared" si="972"/>
        <v>51260</v>
      </c>
      <c r="G988" s="295" t="str">
        <f>VLOOKUP(F988,'GL Category'!A:C,3,FALSE)</f>
        <v>Operations &amp; maintenance</v>
      </c>
      <c r="H988" s="98" t="str">
        <f>VLOOKUP(F988,'GL Category'!A:C,2,FALSE)</f>
        <v>EDUCATION/RECREATION SUPPLIES</v>
      </c>
      <c r="I988" s="99">
        <f>SUMIF(Import!$B:$B,$A988,Import!D:D)</f>
        <v>134.24</v>
      </c>
      <c r="J988" s="99">
        <f>SUMIF(Import!$B:$B,$A988,Import!E:E)</f>
        <v>1912.87</v>
      </c>
      <c r="K988" s="99">
        <f>SUMIF(Import!$B:$B,$A988,Import!F:F)</f>
        <v>2043.97</v>
      </c>
      <c r="L988" s="99">
        <f>SUMIF(Import!$B:$B,$A988,Import!G:G)</f>
        <v>1864.25</v>
      </c>
      <c r="M988" s="99">
        <f>SUMIF(Import!$B:$B,$A988,Import!H:H)</f>
        <v>1400</v>
      </c>
      <c r="N988" s="99">
        <f>SUMIF(Import!$B:$B,$A988,Import!I:I)</f>
        <v>3401.71</v>
      </c>
      <c r="O988" s="99">
        <f>SUMIF(Import!$B:$B,$A988,Import!J:J)</f>
        <v>3300</v>
      </c>
      <c r="P988" s="99">
        <f t="shared" si="973"/>
        <v>1900</v>
      </c>
      <c r="Q988" s="99">
        <f>SUMIF(Import!$B:$B,$A988,Import!K:K)</f>
        <v>1900</v>
      </c>
      <c r="R988" s="99">
        <f>SUMIF(Import!$B:$B,$A988,Import!L:L)</f>
        <v>0</v>
      </c>
      <c r="S988" s="99">
        <f>SUMIF(Import!$B:$B,$A988,Import!M:M)</f>
        <v>0</v>
      </c>
      <c r="T988" s="99">
        <f>SUMIF(Import!$B:$B,$A988,Import!N:N)</f>
        <v>1900</v>
      </c>
      <c r="U988" s="99">
        <f t="shared" si="974"/>
        <v>500</v>
      </c>
      <c r="V988" s="255">
        <f t="shared" si="975"/>
        <v>0.35714285714285721</v>
      </c>
      <c r="W988" s="102" t="s">
        <v>1724</v>
      </c>
      <c r="X988" s="148"/>
      <c r="Y988" s="267"/>
      <c r="Z988" s="121"/>
      <c r="AA988" s="121"/>
      <c r="AB988" s="121"/>
      <c r="AC988" s="121"/>
      <c r="AD988" s="121"/>
      <c r="AE988" s="121"/>
      <c r="AF988" s="121"/>
      <c r="AG988" s="121"/>
      <c r="AH988" s="121"/>
      <c r="AI988" s="121"/>
      <c r="AJ988" s="121"/>
      <c r="AK988" s="121"/>
      <c r="AL988" s="121"/>
    </row>
    <row r="989" spans="1:38" s="115" customFormat="1" ht="15" customHeight="1">
      <c r="A989" s="555" t="s">
        <v>1725</v>
      </c>
      <c r="B989" s="217" t="str">
        <f t="shared" si="968"/>
        <v>125</v>
      </c>
      <c r="C989" s="217" t="str">
        <f t="shared" si="969"/>
        <v>65</v>
      </c>
      <c r="D989" s="101" t="str">
        <f t="shared" si="970"/>
        <v>656</v>
      </c>
      <c r="E989" s="217" t="str">
        <f t="shared" si="971"/>
        <v>125-65-656</v>
      </c>
      <c r="F989" s="294" t="str">
        <f t="shared" si="972"/>
        <v>51280</v>
      </c>
      <c r="G989" s="295" t="str">
        <f>VLOOKUP(F989,'GL Category'!A:C,3,FALSE)</f>
        <v>Operations &amp; maintenance</v>
      </c>
      <c r="H989" s="98" t="str">
        <f>VLOOKUP(F989,'GL Category'!A:C,2,FALSE)</f>
        <v>CONCESSION SUPPLIES</v>
      </c>
      <c r="I989" s="99">
        <f>SUMIF(Import!$B:$B,$A989,Import!D:D)</f>
        <v>4479.4799999999996</v>
      </c>
      <c r="J989" s="99">
        <f>SUMIF(Import!$B:$B,$A989,Import!E:E)</f>
        <v>0</v>
      </c>
      <c r="K989" s="99">
        <f>SUMIF(Import!$B:$B,$A989,Import!F:F)</f>
        <v>6580.44</v>
      </c>
      <c r="L989" s="99">
        <f>SUMIF(Import!$B:$B,$A989,Import!G:G)</f>
        <v>7581.02</v>
      </c>
      <c r="M989" s="99">
        <f>SUMIF(Import!$B:$B,$A989,Import!H:H)</f>
        <v>6750</v>
      </c>
      <c r="N989" s="99">
        <f>SUMIF(Import!$B:$B,$A989,Import!I:I)</f>
        <v>5149.22</v>
      </c>
      <c r="O989" s="99">
        <f>SUMIF(Import!$B:$B,$A989,Import!J:J)</f>
        <v>8500</v>
      </c>
      <c r="P989" s="99">
        <f t="shared" si="973"/>
        <v>1750</v>
      </c>
      <c r="Q989" s="99">
        <f>SUMIF(Import!$B:$B,$A989,Import!K:K)</f>
        <v>6750</v>
      </c>
      <c r="R989" s="99">
        <f>SUMIF(Import!$B:$B,$A989,Import!L:L)</f>
        <v>0</v>
      </c>
      <c r="S989" s="99">
        <f>SUMIF(Import!$B:$B,$A989,Import!M:M)</f>
        <v>0</v>
      </c>
      <c r="T989" s="99">
        <f>SUMIF(Import!$B:$B,$A989,Import!N:N)</f>
        <v>6750</v>
      </c>
      <c r="U989" s="99">
        <f t="shared" si="974"/>
        <v>0</v>
      </c>
      <c r="V989" s="255">
        <f t="shared" si="975"/>
        <v>0</v>
      </c>
      <c r="W989" s="102" t="s">
        <v>1725</v>
      </c>
      <c r="X989" s="148"/>
      <c r="Y989" s="267"/>
      <c r="Z989" s="121"/>
      <c r="AA989" s="121"/>
      <c r="AB989" s="121"/>
      <c r="AC989" s="121"/>
      <c r="AD989" s="121"/>
      <c r="AE989" s="121"/>
      <c r="AF989" s="121"/>
      <c r="AG989" s="121"/>
      <c r="AH989" s="121"/>
      <c r="AI989" s="121"/>
      <c r="AJ989" s="121"/>
      <c r="AK989" s="121"/>
      <c r="AL989" s="121"/>
    </row>
    <row r="990" spans="1:38" s="115" customFormat="1" ht="15" customHeight="1">
      <c r="A990" s="555" t="s">
        <v>1726</v>
      </c>
      <c r="B990" s="217" t="str">
        <f t="shared" si="968"/>
        <v>125</v>
      </c>
      <c r="C990" s="217" t="str">
        <f t="shared" si="969"/>
        <v>65</v>
      </c>
      <c r="D990" s="101" t="str">
        <f t="shared" si="970"/>
        <v>656</v>
      </c>
      <c r="E990" s="217" t="str">
        <f t="shared" si="971"/>
        <v>125-65-656</v>
      </c>
      <c r="F990" s="294" t="str">
        <f t="shared" si="972"/>
        <v>51281</v>
      </c>
      <c r="G990" s="295" t="e">
        <f>VLOOKUP(F990,'GL Category'!A:C,3,FALSE)</f>
        <v>#N/A</v>
      </c>
      <c r="H990" s="98" t="e">
        <f>VLOOKUP(F990,'GL Category'!A:C,2,FALSE)</f>
        <v>#N/A</v>
      </c>
      <c r="I990" s="99">
        <f>SUMIF(Import!$B:$B,$A990,Import!D:D)</f>
        <v>0</v>
      </c>
      <c r="J990" s="99">
        <f>SUMIF(Import!$B:$B,$A990,Import!E:E)</f>
        <v>0</v>
      </c>
      <c r="K990" s="99">
        <f>SUMIF(Import!$B:$B,$A990,Import!F:F)</f>
        <v>0</v>
      </c>
      <c r="L990" s="99">
        <f>SUMIF(Import!$B:$B,$A990,Import!G:G)</f>
        <v>0</v>
      </c>
      <c r="M990" s="99">
        <f>SUMIF(Import!$B:$B,$A990,Import!H:H)</f>
        <v>0</v>
      </c>
      <c r="N990" s="99">
        <f>SUMIF(Import!$B:$B,$A990,Import!I:I)</f>
        <v>0</v>
      </c>
      <c r="O990" s="99">
        <f>SUMIF(Import!$B:$B,$A990,Import!J:J)</f>
        <v>0</v>
      </c>
      <c r="P990" s="99">
        <f t="shared" si="973"/>
        <v>0</v>
      </c>
      <c r="Q990" s="99">
        <f>SUMIF(Import!$B:$B,$A990,Import!K:K)</f>
        <v>0</v>
      </c>
      <c r="R990" s="99">
        <f>SUMIF(Import!$B:$B,$A990,Import!L:L)</f>
        <v>0</v>
      </c>
      <c r="S990" s="99">
        <f>SUMIF(Import!$B:$B,$A990,Import!M:M)</f>
        <v>0</v>
      </c>
      <c r="T990" s="99">
        <f>SUMIF(Import!$B:$B,$A990,Import!N:N)</f>
        <v>0</v>
      </c>
      <c r="U990" s="99">
        <f t="shared" si="974"/>
        <v>0</v>
      </c>
      <c r="V990" s="255" t="str">
        <f t="shared" si="975"/>
        <v>N/A</v>
      </c>
      <c r="W990" s="102" t="s">
        <v>1726</v>
      </c>
      <c r="X990" s="148"/>
      <c r="Y990" s="267"/>
      <c r="Z990" s="121"/>
      <c r="AA990" s="121"/>
      <c r="AB990" s="121"/>
      <c r="AC990" s="121"/>
      <c r="AD990" s="121"/>
      <c r="AE990" s="121"/>
      <c r="AF990" s="121"/>
      <c r="AG990" s="121"/>
      <c r="AH990" s="121"/>
      <c r="AI990" s="121"/>
      <c r="AJ990" s="121"/>
      <c r="AK990" s="121"/>
      <c r="AL990" s="121"/>
    </row>
    <row r="991" spans="1:38" s="115" customFormat="1" ht="15" customHeight="1">
      <c r="A991" s="555" t="s">
        <v>1727</v>
      </c>
      <c r="B991" s="217" t="str">
        <f t="shared" si="968"/>
        <v>125</v>
      </c>
      <c r="C991" s="217" t="str">
        <f t="shared" si="969"/>
        <v>65</v>
      </c>
      <c r="D991" s="101" t="str">
        <f t="shared" si="970"/>
        <v>656</v>
      </c>
      <c r="E991" s="217" t="str">
        <f t="shared" si="971"/>
        <v>125-65-656</v>
      </c>
      <c r="F991" s="294" t="str">
        <f t="shared" si="972"/>
        <v>51282</v>
      </c>
      <c r="G991" s="295" t="str">
        <f>VLOOKUP(F991,'GL Category'!A:C,3,FALSE)</f>
        <v>Operations &amp; maintenance</v>
      </c>
      <c r="H991" s="98" t="str">
        <f>VLOOKUP(F991,'GL Category'!A:C,2,FALSE)</f>
        <v>COST OF GOODS SOLD</v>
      </c>
      <c r="I991" s="99">
        <f>SUMIF(Import!$B:$B,$A991,Import!D:D)</f>
        <v>169.18</v>
      </c>
      <c r="J991" s="99">
        <f>SUMIF(Import!$B:$B,$A991,Import!E:E)</f>
        <v>22.36</v>
      </c>
      <c r="K991" s="99">
        <f>SUMIF(Import!$B:$B,$A991,Import!F:F)</f>
        <v>0</v>
      </c>
      <c r="L991" s="99">
        <f>SUMIF(Import!$B:$B,$A991,Import!G:G)</f>
        <v>1166.17</v>
      </c>
      <c r="M991" s="99">
        <f>SUMIF(Import!$B:$B,$A991,Import!H:H)</f>
        <v>1000</v>
      </c>
      <c r="N991" s="99">
        <f>SUMIF(Import!$B:$B,$A991,Import!I:I)</f>
        <v>1122.98</v>
      </c>
      <c r="O991" s="99">
        <f>SUMIF(Import!$B:$B,$A991,Import!J:J)</f>
        <v>1300</v>
      </c>
      <c r="P991" s="99">
        <f t="shared" si="973"/>
        <v>300</v>
      </c>
      <c r="Q991" s="99">
        <f>SUMIF(Import!$B:$B,$A991,Import!K:K)</f>
        <v>1000</v>
      </c>
      <c r="R991" s="99">
        <f>SUMIF(Import!$B:$B,$A991,Import!L:L)</f>
        <v>0</v>
      </c>
      <c r="S991" s="99">
        <f>SUMIF(Import!$B:$B,$A991,Import!M:M)</f>
        <v>0</v>
      </c>
      <c r="T991" s="99">
        <f>SUMIF(Import!$B:$B,$A991,Import!N:N)</f>
        <v>1000</v>
      </c>
      <c r="U991" s="99">
        <f t="shared" si="974"/>
        <v>0</v>
      </c>
      <c r="V991" s="255">
        <f t="shared" si="975"/>
        <v>0</v>
      </c>
      <c r="W991" s="102" t="s">
        <v>1727</v>
      </c>
      <c r="X991" s="148"/>
      <c r="Y991" s="267"/>
      <c r="Z991" s="121"/>
      <c r="AA991" s="121"/>
      <c r="AB991" s="121"/>
      <c r="AC991" s="121"/>
      <c r="AD991" s="121"/>
      <c r="AE991" s="121"/>
      <c r="AF991" s="121"/>
      <c r="AG991" s="121"/>
      <c r="AH991" s="121"/>
      <c r="AI991" s="121"/>
      <c r="AJ991" s="121"/>
      <c r="AK991" s="121"/>
      <c r="AL991" s="121"/>
    </row>
    <row r="992" spans="1:38" s="115" customFormat="1" ht="15" customHeight="1">
      <c r="A992" s="555" t="s">
        <v>1728</v>
      </c>
      <c r="B992" s="217" t="str">
        <f t="shared" si="968"/>
        <v>125</v>
      </c>
      <c r="C992" s="217" t="str">
        <f t="shared" si="969"/>
        <v>65</v>
      </c>
      <c r="D992" s="101" t="str">
        <f t="shared" si="970"/>
        <v>656</v>
      </c>
      <c r="E992" s="217" t="str">
        <f t="shared" si="971"/>
        <v>125-65-656</v>
      </c>
      <c r="F992" s="294" t="str">
        <f t="shared" si="972"/>
        <v>51285</v>
      </c>
      <c r="G992" s="295" t="str">
        <f>VLOOKUP(F992,'GL Category'!A:C,3,FALSE)</f>
        <v>Operations &amp; maintenance</v>
      </c>
      <c r="H992" s="98" t="str">
        <f>VLOOKUP(F992,'GL Category'!A:C,2,FALSE)</f>
        <v>WEARING APPAREL</v>
      </c>
      <c r="I992" s="99">
        <f>SUMIF(Import!$B:$B,$A992,Import!D:D)</f>
        <v>320</v>
      </c>
      <c r="J992" s="99">
        <f>SUMIF(Import!$B:$B,$A992,Import!E:E)</f>
        <v>1281.72</v>
      </c>
      <c r="K992" s="99">
        <f>SUMIF(Import!$B:$B,$A992,Import!F:F)</f>
        <v>2993.55</v>
      </c>
      <c r="L992" s="99">
        <f>SUMIF(Import!$B:$B,$A992,Import!G:G)</f>
        <v>1704.58</v>
      </c>
      <c r="M992" s="99">
        <f>SUMIF(Import!$B:$B,$A992,Import!H:H)</f>
        <v>2500</v>
      </c>
      <c r="N992" s="99">
        <f>SUMIF(Import!$B:$B,$A992,Import!I:I)</f>
        <v>0</v>
      </c>
      <c r="O992" s="99">
        <f>SUMIF(Import!$B:$B,$A992,Import!J:J)</f>
        <v>1500</v>
      </c>
      <c r="P992" s="99">
        <f t="shared" si="973"/>
        <v>-1000</v>
      </c>
      <c r="Q992" s="99">
        <f>SUMIF(Import!$B:$B,$A992,Import!K:K)</f>
        <v>2000</v>
      </c>
      <c r="R992" s="99">
        <f>SUMIF(Import!$B:$B,$A992,Import!L:L)</f>
        <v>0</v>
      </c>
      <c r="S992" s="99">
        <f>SUMIF(Import!$B:$B,$A992,Import!M:M)</f>
        <v>0</v>
      </c>
      <c r="T992" s="99">
        <f>SUMIF(Import!$B:$B,$A992,Import!N:N)</f>
        <v>2000</v>
      </c>
      <c r="U992" s="99">
        <f t="shared" si="974"/>
        <v>-500</v>
      </c>
      <c r="V992" s="255">
        <f t="shared" si="975"/>
        <v>-0.19999999999999996</v>
      </c>
      <c r="W992" s="102" t="s">
        <v>1728</v>
      </c>
      <c r="X992" s="148"/>
      <c r="Y992" s="267"/>
      <c r="Z992" s="121"/>
      <c r="AA992" s="121"/>
      <c r="AB992" s="121"/>
      <c r="AC992" s="121"/>
      <c r="AD992" s="121"/>
      <c r="AE992" s="121"/>
      <c r="AF992" s="121"/>
      <c r="AG992" s="121"/>
      <c r="AH992" s="121"/>
      <c r="AI992" s="121"/>
      <c r="AJ992" s="121"/>
      <c r="AK992" s="121"/>
      <c r="AL992" s="121"/>
    </row>
    <row r="993" spans="1:38" s="115" customFormat="1" ht="15" customHeight="1">
      <c r="A993" s="555" t="s">
        <v>1729</v>
      </c>
      <c r="B993" s="217" t="str">
        <f t="shared" si="968"/>
        <v>125</v>
      </c>
      <c r="C993" s="217" t="str">
        <f t="shared" si="969"/>
        <v>65</v>
      </c>
      <c r="D993" s="101" t="str">
        <f t="shared" si="970"/>
        <v>656</v>
      </c>
      <c r="E993" s="217" t="str">
        <f t="shared" si="971"/>
        <v>125-65-656</v>
      </c>
      <c r="F993" s="294" t="str">
        <f t="shared" si="972"/>
        <v>51299</v>
      </c>
      <c r="G993" s="295" t="str">
        <f>VLOOKUP(F993,'GL Category'!A:C,3,FALSE)</f>
        <v>Operations &amp; maintenance</v>
      </c>
      <c r="H993" s="98" t="str">
        <f>VLOOKUP(F993,'GL Category'!A:C,2,FALSE)</f>
        <v>MISCELLANEOUS SUPPLIES</v>
      </c>
      <c r="I993" s="99">
        <f>SUMIF(Import!$B:$B,$A993,Import!D:D)</f>
        <v>955.81</v>
      </c>
      <c r="J993" s="99">
        <f>SUMIF(Import!$B:$B,$A993,Import!E:E)</f>
        <v>-196.03</v>
      </c>
      <c r="K993" s="99">
        <f>SUMIF(Import!$B:$B,$A993,Import!F:F)</f>
        <v>0</v>
      </c>
      <c r="L993" s="99">
        <f>SUMIF(Import!$B:$B,$A993,Import!G:G)</f>
        <v>0</v>
      </c>
      <c r="M993" s="99">
        <f>SUMIF(Import!$B:$B,$A993,Import!H:H)</f>
        <v>0</v>
      </c>
      <c r="N993" s="99">
        <f>SUMIF(Import!$B:$B,$A993,Import!I:I)</f>
        <v>0</v>
      </c>
      <c r="O993" s="99">
        <f>SUMIF(Import!$B:$B,$A993,Import!J:J)</f>
        <v>0</v>
      </c>
      <c r="P993" s="99">
        <f t="shared" si="973"/>
        <v>0</v>
      </c>
      <c r="Q993" s="99">
        <f>SUMIF(Import!$B:$B,$A993,Import!K:K)</f>
        <v>0</v>
      </c>
      <c r="R993" s="99">
        <f>SUMIF(Import!$B:$B,$A993,Import!L:L)</f>
        <v>0</v>
      </c>
      <c r="S993" s="99">
        <f>SUMIF(Import!$B:$B,$A993,Import!M:M)</f>
        <v>0</v>
      </c>
      <c r="T993" s="99">
        <f>SUMIF(Import!$B:$B,$A993,Import!N:N)</f>
        <v>0</v>
      </c>
      <c r="U993" s="99">
        <f t="shared" si="974"/>
        <v>0</v>
      </c>
      <c r="V993" s="255" t="str">
        <f t="shared" si="975"/>
        <v>N/A</v>
      </c>
      <c r="W993" s="102" t="s">
        <v>1729</v>
      </c>
      <c r="X993" s="148"/>
      <c r="Y993" s="267"/>
      <c r="Z993" s="121"/>
      <c r="AA993" s="121"/>
      <c r="AB993" s="121"/>
      <c r="AC993" s="121"/>
      <c r="AD993" s="121"/>
      <c r="AE993" s="121"/>
      <c r="AF993" s="121"/>
      <c r="AG993" s="121"/>
      <c r="AH993" s="121"/>
      <c r="AI993" s="121"/>
      <c r="AJ993" s="121"/>
      <c r="AK993" s="121"/>
      <c r="AL993" s="121"/>
    </row>
    <row r="994" spans="1:38" s="115" customFormat="1" ht="15" customHeight="1">
      <c r="A994" s="555" t="s">
        <v>1730</v>
      </c>
      <c r="B994" s="217" t="str">
        <f t="shared" si="968"/>
        <v>125</v>
      </c>
      <c r="C994" s="217" t="str">
        <f t="shared" si="969"/>
        <v>65</v>
      </c>
      <c r="D994" s="101" t="str">
        <f t="shared" si="970"/>
        <v>656</v>
      </c>
      <c r="E994" s="217" t="str">
        <f t="shared" si="971"/>
        <v>125-65-656</v>
      </c>
      <c r="F994" s="294" t="str">
        <f t="shared" si="972"/>
        <v>52470</v>
      </c>
      <c r="G994" s="295" t="str">
        <f>VLOOKUP(F994,'GL Category'!A:C,3,FALSE)</f>
        <v>Operations &amp; maintenance</v>
      </c>
      <c r="H994" s="98" t="str">
        <f>VLOOKUP(F994,'GL Category'!A:C,2,FALSE)</f>
        <v>EQUIPMENT MAINTENANCE</v>
      </c>
      <c r="I994" s="99">
        <f>SUMIF(Import!$B:$B,$A994,Import!D:D)</f>
        <v>0</v>
      </c>
      <c r="J994" s="99">
        <f>SUMIF(Import!$B:$B,$A994,Import!E:E)</f>
        <v>0</v>
      </c>
      <c r="K994" s="99">
        <f>SUMIF(Import!$B:$B,$A994,Import!F:F)</f>
        <v>0</v>
      </c>
      <c r="L994" s="99">
        <f>SUMIF(Import!$B:$B,$A994,Import!G:G)</f>
        <v>0</v>
      </c>
      <c r="M994" s="99">
        <f>SUMIF(Import!$B:$B,$A994,Import!H:H)</f>
        <v>0</v>
      </c>
      <c r="N994" s="99">
        <f>SUMIF(Import!$B:$B,$A994,Import!I:I)</f>
        <v>0</v>
      </c>
      <c r="O994" s="99">
        <f>SUMIF(Import!$B:$B,$A994,Import!J:J)</f>
        <v>0</v>
      </c>
      <c r="P994" s="99">
        <f t="shared" si="973"/>
        <v>0</v>
      </c>
      <c r="Q994" s="99">
        <f>SUMIF(Import!$B:$B,$A994,Import!K:K)</f>
        <v>0</v>
      </c>
      <c r="R994" s="99">
        <f>SUMIF(Import!$B:$B,$A994,Import!L:L)</f>
        <v>0</v>
      </c>
      <c r="S994" s="99">
        <f>SUMIF(Import!$B:$B,$A994,Import!M:M)</f>
        <v>0</v>
      </c>
      <c r="T994" s="99">
        <f>SUMIF(Import!$B:$B,$A994,Import!N:N)</f>
        <v>0</v>
      </c>
      <c r="U994" s="99">
        <f t="shared" si="974"/>
        <v>0</v>
      </c>
      <c r="V994" s="255" t="str">
        <f t="shared" si="975"/>
        <v>N/A</v>
      </c>
      <c r="W994" s="102" t="s">
        <v>1730</v>
      </c>
      <c r="X994" s="148"/>
      <c r="Y994" s="267"/>
      <c r="Z994" s="121"/>
      <c r="AA994" s="121"/>
      <c r="AB994" s="121"/>
      <c r="AC994" s="121"/>
      <c r="AD994" s="121"/>
      <c r="AE994" s="121"/>
      <c r="AF994" s="121"/>
      <c r="AG994" s="121"/>
      <c r="AH994" s="121"/>
      <c r="AI994" s="121"/>
      <c r="AJ994" s="121"/>
      <c r="AK994" s="121"/>
      <c r="AL994" s="121"/>
    </row>
    <row r="995" spans="1:38" s="115" customFormat="1" ht="30.6" customHeight="1">
      <c r="A995" s="555"/>
      <c r="B995" s="217"/>
      <c r="C995" s="217"/>
      <c r="D995" s="101"/>
      <c r="E995" s="217"/>
      <c r="F995" s="294"/>
      <c r="G995" s="146"/>
      <c r="H995" s="107" t="str">
        <f>UPPER(G994)&amp;" TOTAL"</f>
        <v>OPERATIONS &amp; MAINTENANCE TOTAL</v>
      </c>
      <c r="I995" s="109">
        <f t="shared" ref="I995" si="976">SUBTOTAL(9,I987:I994)</f>
        <v>6573.2099999999991</v>
      </c>
      <c r="J995" s="109">
        <f t="shared" ref="J995:T995" si="977">SUBTOTAL(9,J987:J994)</f>
        <v>3139.68</v>
      </c>
      <c r="K995" s="109">
        <f t="shared" ref="K995" si="978">SUBTOTAL(9,K987:K994)</f>
        <v>11806.86</v>
      </c>
      <c r="L995" s="109">
        <f t="shared" ref="L995" si="979">SUBTOTAL(9,L987:L994)</f>
        <v>14610.17</v>
      </c>
      <c r="M995" s="109">
        <f t="shared" si="977"/>
        <v>11950</v>
      </c>
      <c r="N995" s="109">
        <f t="shared" ref="N995" si="980">SUBTOTAL(9,N987:N994)</f>
        <v>9798.65</v>
      </c>
      <c r="O995" s="109">
        <f t="shared" si="977"/>
        <v>14900</v>
      </c>
      <c r="P995" s="109">
        <f t="shared" si="977"/>
        <v>2950</v>
      </c>
      <c r="Q995" s="109">
        <f t="shared" si="977"/>
        <v>12450</v>
      </c>
      <c r="R995" s="109">
        <f t="shared" si="977"/>
        <v>0</v>
      </c>
      <c r="S995" s="109">
        <f t="shared" si="977"/>
        <v>0</v>
      </c>
      <c r="T995" s="109">
        <f t="shared" si="977"/>
        <v>12450</v>
      </c>
      <c r="U995" s="99">
        <f>T995-M995</f>
        <v>500</v>
      </c>
      <c r="V995" s="259">
        <f>IF(M995=0,"N/A",T995/M995-1)</f>
        <v>4.1841004184100417E-2</v>
      </c>
      <c r="W995" s="104"/>
      <c r="X995" s="148"/>
      <c r="Y995" s="267"/>
      <c r="Z995" s="121"/>
      <c r="AA995" s="121"/>
      <c r="AB995" s="121"/>
      <c r="AC995" s="121"/>
      <c r="AD995" s="121"/>
      <c r="AE995" s="121"/>
      <c r="AF995" s="121"/>
      <c r="AG995" s="121"/>
      <c r="AH995" s="121"/>
      <c r="AI995" s="121"/>
      <c r="AJ995" s="121"/>
      <c r="AK995" s="121"/>
      <c r="AL995" s="121"/>
    </row>
    <row r="996" spans="1:38" s="115" customFormat="1" ht="15" customHeight="1">
      <c r="A996" s="555"/>
      <c r="B996" s="217"/>
      <c r="C996" s="217"/>
      <c r="D996" s="101"/>
      <c r="E996" s="217"/>
      <c r="F996" s="294"/>
      <c r="G996" s="146"/>
      <c r="H996" s="98"/>
      <c r="I996" s="106"/>
      <c r="J996" s="106"/>
      <c r="K996" s="106"/>
      <c r="L996" s="106"/>
      <c r="M996" s="106"/>
      <c r="N996" s="112"/>
      <c r="O996" s="112"/>
      <c r="P996" s="112"/>
      <c r="Q996" s="113"/>
      <c r="R996" s="113"/>
      <c r="S996" s="113"/>
      <c r="T996" s="113"/>
      <c r="U996" s="113"/>
      <c r="V996" s="113"/>
      <c r="W996" s="104"/>
      <c r="X996" s="148"/>
      <c r="Y996" s="267"/>
      <c r="Z996" s="121"/>
      <c r="AA996" s="121"/>
      <c r="AB996" s="121"/>
      <c r="AC996" s="121"/>
      <c r="AD996" s="121"/>
      <c r="AE996" s="121"/>
      <c r="AF996" s="121"/>
      <c r="AG996" s="121"/>
      <c r="AH996" s="121"/>
      <c r="AI996" s="121"/>
      <c r="AJ996" s="121"/>
      <c r="AK996" s="121"/>
      <c r="AL996" s="121"/>
    </row>
    <row r="997" spans="1:38" s="115" customFormat="1" ht="15" customHeight="1">
      <c r="A997" s="555" t="s">
        <v>1731</v>
      </c>
      <c r="B997" s="217" t="str">
        <f t="shared" si="968"/>
        <v>125</v>
      </c>
      <c r="C997" s="217" t="str">
        <f t="shared" si="969"/>
        <v>65</v>
      </c>
      <c r="D997" s="101" t="str">
        <f t="shared" si="970"/>
        <v>656</v>
      </c>
      <c r="E997" s="217" t="str">
        <f t="shared" si="971"/>
        <v>125-65-656</v>
      </c>
      <c r="F997" s="294" t="str">
        <f t="shared" si="972"/>
        <v>53510</v>
      </c>
      <c r="G997" s="295" t="str">
        <f>VLOOKUP(F997,'GL Category'!A:C,3,FALSE)</f>
        <v>Services &amp; other</v>
      </c>
      <c r="H997" s="98" t="str">
        <f>VLOOKUP(F997,'GL Category'!A:C,2,FALSE)</f>
        <v>DUES &amp; SUBSCRIPTIONS</v>
      </c>
      <c r="I997" s="99">
        <f>SUMIF(Import!$B:$B,$A997,Import!D:D)</f>
        <v>0</v>
      </c>
      <c r="J997" s="99">
        <f>SUMIF(Import!$B:$B,$A997,Import!E:E)</f>
        <v>0</v>
      </c>
      <c r="K997" s="99">
        <f>SUMIF(Import!$B:$B,$A997,Import!F:F)</f>
        <v>0</v>
      </c>
      <c r="L997" s="99">
        <f>SUMIF(Import!$B:$B,$A997,Import!G:G)</f>
        <v>0</v>
      </c>
      <c r="M997" s="99">
        <f>SUMIF(Import!$B:$B,$A997,Import!H:H)</f>
        <v>0</v>
      </c>
      <c r="N997" s="99">
        <f>SUMIF(Import!$B:$B,$A997,Import!I:I)</f>
        <v>0</v>
      </c>
      <c r="O997" s="99">
        <f>SUMIF(Import!$B:$B,$A997,Import!J:J)</f>
        <v>0</v>
      </c>
      <c r="P997" s="99">
        <f t="shared" ref="P997:P999" si="981">O997-M997</f>
        <v>0</v>
      </c>
      <c r="Q997" s="99">
        <f>SUMIF(Import!$B:$B,$A997,Import!K:K)</f>
        <v>0</v>
      </c>
      <c r="R997" s="99">
        <f>SUMIF(Import!$B:$B,$A997,Import!L:L)</f>
        <v>0</v>
      </c>
      <c r="S997" s="99">
        <f>SUMIF(Import!$B:$B,$A997,Import!M:M)</f>
        <v>0</v>
      </c>
      <c r="T997" s="99">
        <f>SUMIF(Import!$B:$B,$A997,Import!N:N)</f>
        <v>0</v>
      </c>
      <c r="U997" s="99">
        <f t="shared" ref="U997:U999" si="982">T997-M997</f>
        <v>0</v>
      </c>
      <c r="V997" s="255" t="str">
        <f t="shared" ref="V997:V999" si="983">IF(M997=0,"N/A",T997/M997-1)</f>
        <v>N/A</v>
      </c>
      <c r="W997" s="102" t="s">
        <v>1731</v>
      </c>
      <c r="X997" s="148"/>
      <c r="Y997" s="267"/>
      <c r="Z997" s="121"/>
      <c r="AA997" s="121"/>
      <c r="AB997" s="121"/>
      <c r="AC997" s="121"/>
      <c r="AD997" s="121"/>
      <c r="AE997" s="121"/>
      <c r="AF997" s="121"/>
      <c r="AG997" s="121"/>
      <c r="AH997" s="121"/>
      <c r="AI997" s="121"/>
      <c r="AJ997" s="121"/>
      <c r="AK997" s="121"/>
      <c r="AL997" s="121"/>
    </row>
    <row r="998" spans="1:38" s="115" customFormat="1" ht="15" customHeight="1">
      <c r="A998" s="555" t="s">
        <v>1732</v>
      </c>
      <c r="B998" s="217" t="str">
        <f t="shared" si="968"/>
        <v>125</v>
      </c>
      <c r="C998" s="217" t="str">
        <f t="shared" si="969"/>
        <v>65</v>
      </c>
      <c r="D998" s="101" t="str">
        <f t="shared" si="970"/>
        <v>656</v>
      </c>
      <c r="E998" s="217" t="str">
        <f t="shared" si="971"/>
        <v>125-65-656</v>
      </c>
      <c r="F998" s="294" t="str">
        <f t="shared" si="972"/>
        <v>53515</v>
      </c>
      <c r="G998" s="295" t="str">
        <f>VLOOKUP(F998,'GL Category'!A:C,3,FALSE)</f>
        <v>Services &amp; other</v>
      </c>
      <c r="H998" s="98" t="str">
        <f>VLOOKUP(F998,'GL Category'!A:C,2,FALSE)</f>
        <v>TRAVEL, TRAINING &amp; EDUCATION</v>
      </c>
      <c r="I998" s="99">
        <f>SUMIF(Import!$B:$B,$A998,Import!D:D)</f>
        <v>0</v>
      </c>
      <c r="J998" s="99">
        <f>SUMIF(Import!$B:$B,$A998,Import!E:E)</f>
        <v>35</v>
      </c>
      <c r="K998" s="99">
        <f>SUMIF(Import!$B:$B,$A998,Import!F:F)</f>
        <v>420</v>
      </c>
      <c r="L998" s="99">
        <f>SUMIF(Import!$B:$B,$A998,Import!G:G)</f>
        <v>424</v>
      </c>
      <c r="M998" s="99">
        <f>SUMIF(Import!$B:$B,$A998,Import!H:H)</f>
        <v>500</v>
      </c>
      <c r="N998" s="99">
        <f>SUMIF(Import!$B:$B,$A998,Import!I:I)</f>
        <v>1217.45</v>
      </c>
      <c r="O998" s="99">
        <f>SUMIF(Import!$B:$B,$A998,Import!J:J)</f>
        <v>1600</v>
      </c>
      <c r="P998" s="99">
        <f t="shared" si="981"/>
        <v>1100</v>
      </c>
      <c r="Q998" s="99">
        <f>SUMIF(Import!$B:$B,$A998,Import!K:K)</f>
        <v>1500</v>
      </c>
      <c r="R998" s="99">
        <f>SUMIF(Import!$B:$B,$A998,Import!L:L)</f>
        <v>0</v>
      </c>
      <c r="S998" s="99">
        <f>SUMIF(Import!$B:$B,$A998,Import!M:M)</f>
        <v>0</v>
      </c>
      <c r="T998" s="99">
        <f>SUMIF(Import!$B:$B,$A998,Import!N:N)</f>
        <v>1500</v>
      </c>
      <c r="U998" s="99">
        <f t="shared" si="982"/>
        <v>1000</v>
      </c>
      <c r="V998" s="255">
        <f t="shared" si="983"/>
        <v>2</v>
      </c>
      <c r="W998" s="102" t="s">
        <v>1732</v>
      </c>
      <c r="X998" s="148"/>
      <c r="Y998" s="267"/>
      <c r="Z998" s="121"/>
      <c r="AA998" s="121"/>
      <c r="AB998" s="121"/>
      <c r="AC998" s="121"/>
      <c r="AD998" s="121"/>
      <c r="AE998" s="121"/>
      <c r="AF998" s="121"/>
      <c r="AG998" s="121"/>
      <c r="AH998" s="121"/>
      <c r="AI998" s="121"/>
      <c r="AJ998" s="121"/>
      <c r="AK998" s="121"/>
      <c r="AL998" s="121"/>
    </row>
    <row r="999" spans="1:38" s="115" customFormat="1" ht="15" customHeight="1">
      <c r="A999" s="555" t="s">
        <v>1733</v>
      </c>
      <c r="B999" s="217" t="str">
        <f t="shared" si="968"/>
        <v>125</v>
      </c>
      <c r="C999" s="217" t="str">
        <f t="shared" si="969"/>
        <v>65</v>
      </c>
      <c r="D999" s="101" t="str">
        <f t="shared" si="970"/>
        <v>656</v>
      </c>
      <c r="E999" s="217" t="str">
        <f t="shared" si="971"/>
        <v>125-65-656</v>
      </c>
      <c r="F999" s="294" t="str">
        <f t="shared" si="972"/>
        <v>55119</v>
      </c>
      <c r="G999" s="295" t="str">
        <f>VLOOKUP(F999,'GL Category'!A:C,3,FALSE)</f>
        <v>Services &amp; other</v>
      </c>
      <c r="H999" s="98" t="str">
        <f>VLOOKUP(F999,'GL Category'!A:C,2,FALSE)</f>
        <v>OFFICE EQUIP LEASE EXP-CITY</v>
      </c>
      <c r="I999" s="99">
        <f>SUMIF(Import!$B:$B,$A999,Import!D:D)</f>
        <v>2045</v>
      </c>
      <c r="J999" s="99">
        <f>SUMIF(Import!$B:$B,$A999,Import!E:E)</f>
        <v>4894</v>
      </c>
      <c r="K999" s="99">
        <f>SUMIF(Import!$B:$B,$A999,Import!F:F)</f>
        <v>795</v>
      </c>
      <c r="L999" s="99">
        <f>SUMIF(Import!$B:$B,$A999,Import!G:G)</f>
        <v>2058</v>
      </c>
      <c r="M999" s="99">
        <f>SUMIF(Import!$B:$B,$A999,Import!H:H)</f>
        <v>2040</v>
      </c>
      <c r="N999" s="99">
        <f>SUMIF(Import!$B:$B,$A999,Import!I:I)</f>
        <v>1530</v>
      </c>
      <c r="O999" s="99">
        <f>SUMIF(Import!$B:$B,$A999,Import!J:J)</f>
        <v>2040</v>
      </c>
      <c r="P999" s="99">
        <f t="shared" si="981"/>
        <v>0</v>
      </c>
      <c r="Q999" s="99">
        <f>SUMIF(Import!$B:$B,$A999,Import!K:K)</f>
        <v>2696</v>
      </c>
      <c r="R999" s="99">
        <f>SUMIF(Import!$B:$B,$A999,Import!L:L)</f>
        <v>0</v>
      </c>
      <c r="S999" s="99">
        <f>SUMIF(Import!$B:$B,$A999,Import!M:M)</f>
        <v>0</v>
      </c>
      <c r="T999" s="99">
        <f>SUMIF(Import!$B:$B,$A999,Import!N:N)</f>
        <v>2696</v>
      </c>
      <c r="U999" s="99">
        <f t="shared" si="982"/>
        <v>656</v>
      </c>
      <c r="V999" s="255">
        <f t="shared" si="983"/>
        <v>0.32156862745098036</v>
      </c>
      <c r="W999" s="102" t="s">
        <v>1733</v>
      </c>
      <c r="X999" s="148"/>
      <c r="Y999" s="267"/>
      <c r="Z999" s="121"/>
      <c r="AA999" s="121"/>
      <c r="AB999" s="121"/>
      <c r="AC999" s="121"/>
      <c r="AD999" s="121"/>
      <c r="AE999" s="121"/>
      <c r="AF999" s="121"/>
      <c r="AG999" s="121"/>
      <c r="AH999" s="121"/>
      <c r="AI999" s="121"/>
      <c r="AJ999" s="121"/>
      <c r="AK999" s="121"/>
      <c r="AL999" s="121"/>
    </row>
    <row r="1000" spans="1:38" s="115" customFormat="1" ht="15" customHeight="1">
      <c r="A1000" s="555"/>
      <c r="B1000" s="217"/>
      <c r="C1000" s="217"/>
      <c r="D1000" s="101"/>
      <c r="E1000" s="217"/>
      <c r="F1000" s="294"/>
      <c r="G1000" s="146"/>
      <c r="H1000" s="107" t="str">
        <f>UPPER(G999)&amp;" TOTAL"</f>
        <v>SERVICES &amp; OTHER TOTAL</v>
      </c>
      <c r="I1000" s="109">
        <f t="shared" ref="I1000" si="984">SUBTOTAL(9,I997:I999)</f>
        <v>2045</v>
      </c>
      <c r="J1000" s="109">
        <f t="shared" ref="J1000:T1000" si="985">SUBTOTAL(9,J997:J999)</f>
        <v>4929</v>
      </c>
      <c r="K1000" s="109">
        <f t="shared" ref="K1000" si="986">SUBTOTAL(9,K997:K999)</f>
        <v>1215</v>
      </c>
      <c r="L1000" s="109">
        <f t="shared" ref="L1000" si="987">SUBTOTAL(9,L997:L999)</f>
        <v>2482</v>
      </c>
      <c r="M1000" s="109">
        <f t="shared" si="985"/>
        <v>2540</v>
      </c>
      <c r="N1000" s="109">
        <f t="shared" ref="N1000" si="988">SUBTOTAL(9,N997:N999)</f>
        <v>2747.45</v>
      </c>
      <c r="O1000" s="109">
        <f t="shared" si="985"/>
        <v>3640</v>
      </c>
      <c r="P1000" s="109">
        <f t="shared" si="985"/>
        <v>1100</v>
      </c>
      <c r="Q1000" s="109">
        <f t="shared" si="985"/>
        <v>4196</v>
      </c>
      <c r="R1000" s="109">
        <f t="shared" si="985"/>
        <v>0</v>
      </c>
      <c r="S1000" s="109">
        <f t="shared" si="985"/>
        <v>0</v>
      </c>
      <c r="T1000" s="109">
        <f t="shared" si="985"/>
        <v>4196</v>
      </c>
      <c r="U1000" s="99">
        <f>T1000-M1000</f>
        <v>1656</v>
      </c>
      <c r="V1000" s="259">
        <f>IF(M1000=0,"N/A",T1000/M1000-1)</f>
        <v>0.65196850393700778</v>
      </c>
      <c r="W1000" s="104"/>
      <c r="X1000" s="148"/>
      <c r="Y1000" s="267"/>
      <c r="Z1000" s="121"/>
      <c r="AA1000" s="121"/>
      <c r="AB1000" s="121"/>
      <c r="AC1000" s="121"/>
      <c r="AD1000" s="121"/>
      <c r="AE1000" s="121"/>
      <c r="AF1000" s="121"/>
      <c r="AG1000" s="121"/>
      <c r="AH1000" s="121"/>
      <c r="AI1000" s="121"/>
      <c r="AJ1000" s="121"/>
      <c r="AK1000" s="121"/>
      <c r="AL1000" s="121"/>
    </row>
    <row r="1001" spans="1:38" s="115" customFormat="1" ht="15" customHeight="1">
      <c r="A1001" s="555"/>
      <c r="B1001" s="217"/>
      <c r="C1001" s="217"/>
      <c r="D1001" s="101"/>
      <c r="E1001" s="217"/>
      <c r="F1001" s="294"/>
      <c r="G1001" s="146"/>
      <c r="H1001" s="98"/>
      <c r="I1001" s="106"/>
      <c r="J1001" s="106"/>
      <c r="K1001" s="106"/>
      <c r="L1001" s="106"/>
      <c r="M1001" s="106"/>
      <c r="N1001" s="112"/>
      <c r="O1001" s="112"/>
      <c r="P1001" s="112"/>
      <c r="Q1001" s="113"/>
      <c r="R1001" s="113"/>
      <c r="S1001" s="113"/>
      <c r="T1001" s="113"/>
      <c r="U1001" s="113"/>
      <c r="V1001" s="113"/>
      <c r="W1001" s="104"/>
      <c r="X1001" s="148"/>
      <c r="Y1001" s="267"/>
      <c r="Z1001" s="121"/>
      <c r="AA1001" s="121"/>
      <c r="AB1001" s="121"/>
      <c r="AC1001" s="121"/>
      <c r="AD1001" s="121"/>
      <c r="AE1001" s="121"/>
      <c r="AF1001" s="121"/>
      <c r="AG1001" s="121"/>
      <c r="AH1001" s="121"/>
      <c r="AI1001" s="121"/>
      <c r="AJ1001" s="121"/>
      <c r="AK1001" s="121"/>
      <c r="AL1001" s="121"/>
    </row>
    <row r="1002" spans="1:38" s="115" customFormat="1" ht="15" customHeight="1">
      <c r="A1002" s="555"/>
      <c r="B1002" s="217"/>
      <c r="C1002" s="217"/>
      <c r="D1002" s="101"/>
      <c r="E1002" s="217"/>
      <c r="F1002" s="294"/>
      <c r="G1002" s="146"/>
      <c r="H1002" s="114" t="s">
        <v>763</v>
      </c>
      <c r="I1002" s="108">
        <f t="shared" ref="I1002" si="989">SUBTOTAL(9,I975:I1001)</f>
        <v>236203.53000000003</v>
      </c>
      <c r="J1002" s="108">
        <f t="shared" ref="J1002:P1002" si="990">SUBTOTAL(9,J975:J1001)</f>
        <v>238722.88999999996</v>
      </c>
      <c r="K1002" s="108">
        <f t="shared" ref="K1002" si="991">SUBTOTAL(9,K975:K1001)</f>
        <v>217172.61</v>
      </c>
      <c r="L1002" s="108">
        <f t="shared" ref="L1002" si="992">SUBTOTAL(9,L975:L1001)</f>
        <v>334737.86000000004</v>
      </c>
      <c r="M1002" s="108">
        <f t="shared" si="990"/>
        <v>304047</v>
      </c>
      <c r="N1002" s="108">
        <f t="shared" ref="N1002" si="993">SUBTOTAL(9,N975:N1001)</f>
        <v>242620.25</v>
      </c>
      <c r="O1002" s="108">
        <f t="shared" si="990"/>
        <v>312949</v>
      </c>
      <c r="P1002" s="108">
        <f t="shared" si="990"/>
        <v>8902</v>
      </c>
      <c r="Q1002" s="108">
        <f t="shared" ref="Q1002:T1002" si="994">SUBTOTAL(9,Q975:Q1001)</f>
        <v>304413</v>
      </c>
      <c r="R1002" s="108">
        <f t="shared" si="994"/>
        <v>0</v>
      </c>
      <c r="S1002" s="108">
        <f t="shared" si="994"/>
        <v>0</v>
      </c>
      <c r="T1002" s="108">
        <f t="shared" si="994"/>
        <v>304413</v>
      </c>
      <c r="U1002" s="99">
        <f>T1002-M1002</f>
        <v>366</v>
      </c>
      <c r="V1002" s="259">
        <f>IF(M1002=0,"N/A",T1002/M1002-1)</f>
        <v>1.2037612605946268E-3</v>
      </c>
      <c r="W1002" s="104"/>
      <c r="X1002" s="148"/>
      <c r="Y1002" s="267"/>
      <c r="Z1002" s="121"/>
      <c r="AA1002" s="121"/>
      <c r="AB1002" s="121"/>
      <c r="AC1002" s="121"/>
      <c r="AD1002" s="121"/>
      <c r="AE1002" s="121"/>
      <c r="AF1002" s="121"/>
      <c r="AG1002" s="121"/>
      <c r="AH1002" s="121"/>
      <c r="AI1002" s="121"/>
      <c r="AJ1002" s="121"/>
      <c r="AK1002" s="121"/>
      <c r="AL1002" s="121"/>
    </row>
    <row r="1003" spans="1:38" s="115" customFormat="1" ht="15" customHeight="1">
      <c r="A1003" s="555"/>
      <c r="B1003" s="217"/>
      <c r="C1003" s="217"/>
      <c r="D1003" s="101"/>
      <c r="E1003" s="217"/>
      <c r="F1003" s="294"/>
      <c r="G1003" s="146"/>
      <c r="H1003" s="98"/>
      <c r="I1003" s="218"/>
      <c r="J1003" s="218"/>
      <c r="K1003" s="218"/>
      <c r="L1003" s="218"/>
      <c r="M1003" s="218"/>
      <c r="N1003" s="96"/>
      <c r="O1003" s="96"/>
      <c r="P1003" s="96"/>
      <c r="Q1003" s="212"/>
      <c r="R1003" s="212"/>
      <c r="S1003" s="212"/>
      <c r="T1003" s="212"/>
      <c r="U1003" s="212"/>
      <c r="V1003" s="113"/>
      <c r="W1003" s="104"/>
      <c r="X1003" s="148"/>
      <c r="Y1003" s="267"/>
      <c r="Z1003" s="121"/>
      <c r="AA1003" s="121"/>
      <c r="AB1003" s="121"/>
      <c r="AC1003" s="121"/>
      <c r="AD1003" s="121"/>
      <c r="AE1003" s="121"/>
      <c r="AF1003" s="121"/>
      <c r="AG1003" s="121"/>
      <c r="AH1003" s="121"/>
      <c r="AI1003" s="121"/>
      <c r="AJ1003" s="121"/>
      <c r="AK1003" s="121"/>
      <c r="AL1003" s="121"/>
    </row>
    <row r="1004" spans="1:38" s="115" customFormat="1" ht="15" customHeight="1" thickBot="1">
      <c r="A1004" s="555"/>
      <c r="B1004" s="217"/>
      <c r="C1004" s="217"/>
      <c r="D1004" s="101"/>
      <c r="E1004" s="217"/>
      <c r="F1004" s="294"/>
      <c r="G1004" s="146"/>
      <c r="H1004" s="98"/>
      <c r="I1004" s="218"/>
      <c r="J1004" s="218"/>
      <c r="K1004" s="218"/>
      <c r="L1004" s="218"/>
      <c r="M1004" s="218"/>
      <c r="N1004" s="96"/>
      <c r="O1004" s="96"/>
      <c r="P1004" s="96"/>
      <c r="Q1004" s="212"/>
      <c r="R1004" s="212"/>
      <c r="S1004" s="212"/>
      <c r="T1004" s="212"/>
      <c r="U1004" s="212"/>
      <c r="V1004" s="113"/>
      <c r="W1004" s="104"/>
      <c r="X1004" s="148"/>
      <c r="Y1004" s="267"/>
      <c r="Z1004" s="121"/>
      <c r="AA1004" s="121"/>
      <c r="AB1004" s="121"/>
      <c r="AC1004" s="121"/>
      <c r="AD1004" s="121"/>
      <c r="AE1004" s="121"/>
      <c r="AF1004" s="121"/>
      <c r="AG1004" s="121"/>
      <c r="AH1004" s="121"/>
      <c r="AI1004" s="121"/>
      <c r="AJ1004" s="121"/>
      <c r="AK1004" s="121"/>
      <c r="AL1004" s="121"/>
    </row>
    <row r="1005" spans="1:38" s="115" customFormat="1" ht="23.4" customHeight="1" thickBot="1">
      <c r="A1005" s="555"/>
      <c r="B1005" s="217"/>
      <c r="C1005" s="217"/>
      <c r="D1005" s="101"/>
      <c r="E1005" s="217"/>
      <c r="F1005" s="294"/>
      <c r="G1005" s="146"/>
      <c r="H1005" s="665" t="s">
        <v>741</v>
      </c>
      <c r="I1005" s="666"/>
      <c r="J1005" s="666"/>
      <c r="K1005" s="666"/>
      <c r="L1005" s="666"/>
      <c r="M1005" s="666"/>
      <c r="N1005" s="666"/>
      <c r="O1005" s="666"/>
      <c r="P1005" s="666"/>
      <c r="Q1005" s="666"/>
      <c r="R1005" s="666"/>
      <c r="S1005" s="666"/>
      <c r="T1005" s="667"/>
      <c r="U1005" s="247"/>
      <c r="V1005" s="261"/>
      <c r="W1005" s="104"/>
      <c r="X1005" s="148"/>
      <c r="Y1005" s="267"/>
      <c r="Z1005" s="121"/>
      <c r="AA1005" s="121"/>
      <c r="AB1005" s="121"/>
      <c r="AC1005" s="121"/>
      <c r="AD1005" s="121"/>
      <c r="AE1005" s="121"/>
      <c r="AF1005" s="121"/>
      <c r="AG1005" s="121"/>
      <c r="AH1005" s="121"/>
      <c r="AI1005" s="121"/>
      <c r="AJ1005" s="121"/>
      <c r="AK1005" s="121"/>
      <c r="AL1005" s="121"/>
    </row>
    <row r="1006" spans="1:38" s="115" customFormat="1" ht="15" customHeight="1">
      <c r="A1006" s="555"/>
      <c r="B1006" s="217"/>
      <c r="C1006" s="217"/>
      <c r="D1006" s="101"/>
      <c r="E1006" s="217"/>
      <c r="F1006" s="294"/>
      <c r="G1006" s="146"/>
      <c r="H1006" s="225"/>
      <c r="I1006" s="225"/>
      <c r="J1006" s="225"/>
      <c r="K1006" s="225"/>
      <c r="L1006" s="225"/>
      <c r="M1006" s="225"/>
      <c r="N1006" s="225"/>
      <c r="O1006" s="225"/>
      <c r="P1006" s="225"/>
      <c r="Q1006" s="225"/>
      <c r="R1006" s="225"/>
      <c r="S1006" s="225"/>
      <c r="T1006" s="225"/>
      <c r="U1006" s="225"/>
      <c r="V1006" s="260"/>
      <c r="W1006" s="104"/>
      <c r="X1006" s="148"/>
      <c r="Y1006" s="267"/>
      <c r="Z1006" s="121"/>
      <c r="AA1006" s="121"/>
      <c r="AB1006" s="121"/>
      <c r="AC1006" s="121"/>
      <c r="AD1006" s="121"/>
      <c r="AE1006" s="121"/>
      <c r="AF1006" s="121"/>
      <c r="AG1006" s="121"/>
      <c r="AH1006" s="121"/>
      <c r="AI1006" s="121"/>
      <c r="AJ1006" s="121"/>
      <c r="AK1006" s="121"/>
      <c r="AL1006" s="121"/>
    </row>
    <row r="1007" spans="1:38" s="115" customFormat="1" ht="15" customHeight="1">
      <c r="A1007" s="555"/>
      <c r="B1007" s="217"/>
      <c r="C1007" s="217"/>
      <c r="D1007" s="101"/>
      <c r="E1007" s="217"/>
      <c r="F1007" s="294"/>
      <c r="G1007" s="295"/>
      <c r="H1007" s="98"/>
      <c r="I1007" s="99"/>
      <c r="J1007" s="99"/>
      <c r="K1007" s="99"/>
      <c r="L1007" s="99"/>
      <c r="M1007" s="99"/>
      <c r="N1007" s="99"/>
      <c r="O1007" s="99"/>
      <c r="P1007" s="99"/>
      <c r="Q1007" s="99"/>
      <c r="R1007" s="99"/>
      <c r="S1007" s="99"/>
      <c r="T1007" s="99"/>
      <c r="U1007" s="99"/>
      <c r="V1007" s="259"/>
      <c r="W1007" s="102"/>
      <c r="X1007" s="148"/>
      <c r="Y1007" s="267"/>
      <c r="Z1007" s="121"/>
      <c r="AA1007" s="121"/>
      <c r="AB1007" s="121"/>
      <c r="AC1007" s="121"/>
      <c r="AD1007" s="121"/>
      <c r="AE1007" s="121"/>
      <c r="AF1007" s="121"/>
      <c r="AG1007" s="121"/>
      <c r="AH1007" s="121"/>
      <c r="AI1007" s="121"/>
      <c r="AJ1007" s="121"/>
      <c r="AK1007" s="121"/>
      <c r="AL1007" s="121"/>
    </row>
    <row r="1008" spans="1:38" s="115" customFormat="1" ht="15" customHeight="1">
      <c r="A1008" s="555"/>
      <c r="B1008" s="217"/>
      <c r="C1008" s="217"/>
      <c r="D1008" s="101"/>
      <c r="E1008" s="217"/>
      <c r="F1008" s="294"/>
      <c r="G1008" s="295"/>
      <c r="H1008" s="98"/>
      <c r="I1008" s="99"/>
      <c r="J1008" s="99"/>
      <c r="K1008" s="99"/>
      <c r="L1008" s="99"/>
      <c r="M1008" s="99"/>
      <c r="N1008" s="99"/>
      <c r="O1008" s="99"/>
      <c r="P1008" s="99"/>
      <c r="Q1008" s="99"/>
      <c r="R1008" s="99"/>
      <c r="S1008" s="99"/>
      <c r="T1008" s="99"/>
      <c r="U1008" s="99"/>
      <c r="V1008" s="259"/>
      <c r="W1008" s="102"/>
      <c r="X1008" s="148"/>
      <c r="Y1008" s="267"/>
      <c r="Z1008" s="121"/>
      <c r="AA1008" s="121"/>
      <c r="AB1008" s="121"/>
      <c r="AC1008" s="121"/>
      <c r="AD1008" s="121"/>
      <c r="AE1008" s="121"/>
      <c r="AF1008" s="121"/>
      <c r="AG1008" s="121"/>
      <c r="AH1008" s="121"/>
      <c r="AI1008" s="121"/>
      <c r="AJ1008" s="121"/>
      <c r="AK1008" s="121"/>
      <c r="AL1008" s="121"/>
    </row>
    <row r="1009" spans="1:38" s="115" customFormat="1" ht="15" customHeight="1">
      <c r="A1009" s="555"/>
      <c r="B1009" s="217"/>
      <c r="C1009" s="217"/>
      <c r="D1009" s="101"/>
      <c r="E1009" s="217"/>
      <c r="F1009" s="294"/>
      <c r="G1009" s="295"/>
      <c r="H1009" s="98"/>
      <c r="I1009" s="99"/>
      <c r="J1009" s="99"/>
      <c r="K1009" s="99"/>
      <c r="L1009" s="99"/>
      <c r="M1009" s="99"/>
      <c r="N1009" s="99"/>
      <c r="O1009" s="99"/>
      <c r="P1009" s="99"/>
      <c r="Q1009" s="99"/>
      <c r="R1009" s="99"/>
      <c r="S1009" s="99"/>
      <c r="T1009" s="99"/>
      <c r="U1009" s="99"/>
      <c r="V1009" s="259"/>
      <c r="W1009" s="102"/>
      <c r="X1009" s="148"/>
      <c r="Y1009" s="267"/>
      <c r="Z1009" s="121"/>
      <c r="AA1009" s="121"/>
      <c r="AB1009" s="121"/>
      <c r="AC1009" s="121"/>
      <c r="AD1009" s="121"/>
      <c r="AE1009" s="121"/>
      <c r="AF1009" s="121"/>
      <c r="AG1009" s="121"/>
      <c r="AH1009" s="121"/>
      <c r="AI1009" s="121"/>
      <c r="AJ1009" s="121"/>
      <c r="AK1009" s="121"/>
      <c r="AL1009" s="121"/>
    </row>
    <row r="1010" spans="1:38" s="115" customFormat="1" ht="15" customHeight="1">
      <c r="A1010" s="555"/>
      <c r="B1010" s="217"/>
      <c r="C1010" s="217"/>
      <c r="D1010" s="101"/>
      <c r="E1010" s="217"/>
      <c r="F1010" s="294"/>
      <c r="G1010" s="295"/>
      <c r="H1010" s="98"/>
      <c r="I1010" s="99"/>
      <c r="J1010" s="99"/>
      <c r="K1010" s="99"/>
      <c r="L1010" s="99"/>
      <c r="M1010" s="99"/>
      <c r="N1010" s="99"/>
      <c r="O1010" s="99"/>
      <c r="P1010" s="99"/>
      <c r="Q1010" s="99"/>
      <c r="R1010" s="99"/>
      <c r="S1010" s="99"/>
      <c r="T1010" s="99"/>
      <c r="U1010" s="99"/>
      <c r="V1010" s="259"/>
      <c r="W1010" s="102"/>
      <c r="X1010" s="148"/>
      <c r="Y1010" s="267"/>
      <c r="Z1010" s="121"/>
      <c r="AA1010" s="121"/>
      <c r="AB1010" s="121"/>
      <c r="AC1010" s="121"/>
      <c r="AD1010" s="121"/>
      <c r="AE1010" s="121"/>
      <c r="AF1010" s="121"/>
      <c r="AG1010" s="121"/>
      <c r="AH1010" s="121"/>
      <c r="AI1010" s="121"/>
      <c r="AJ1010" s="121"/>
      <c r="AK1010" s="121"/>
      <c r="AL1010" s="121"/>
    </row>
    <row r="1011" spans="1:38" s="115" customFormat="1" ht="15" customHeight="1">
      <c r="A1011" s="555"/>
      <c r="B1011" s="217"/>
      <c r="C1011" s="217"/>
      <c r="D1011" s="101"/>
      <c r="E1011" s="217"/>
      <c r="F1011" s="294"/>
      <c r="G1011" s="146"/>
      <c r="H1011" s="107" t="str">
        <f>UPPER(G1010)&amp;" TOTAL"</f>
        <v xml:space="preserve"> TOTAL</v>
      </c>
      <c r="I1011" s="108">
        <f t="shared" ref="I1011" si="995">SUBTOTAL(9,I1007:I1010)</f>
        <v>0</v>
      </c>
      <c r="J1011" s="108">
        <f t="shared" ref="J1011:P1011" si="996">SUBTOTAL(9,J1007:J1010)</f>
        <v>0</v>
      </c>
      <c r="K1011" s="108">
        <f t="shared" ref="K1011" si="997">SUBTOTAL(9,K1007:K1010)</f>
        <v>0</v>
      </c>
      <c r="L1011" s="108">
        <f t="shared" ref="L1011" si="998">SUBTOTAL(9,L1007:L1010)</f>
        <v>0</v>
      </c>
      <c r="M1011" s="108">
        <f t="shared" si="996"/>
        <v>0</v>
      </c>
      <c r="N1011" s="109">
        <f t="shared" ref="N1011" si="999">SUBTOTAL(9,N1007:N1010)</f>
        <v>0</v>
      </c>
      <c r="O1011" s="109">
        <f t="shared" si="996"/>
        <v>0</v>
      </c>
      <c r="P1011" s="109">
        <f t="shared" si="996"/>
        <v>0</v>
      </c>
      <c r="Q1011" s="109">
        <f t="shared" ref="Q1011:T1011" si="1000">SUBTOTAL(9,Q1007:Q1010)</f>
        <v>0</v>
      </c>
      <c r="R1011" s="109">
        <f t="shared" si="1000"/>
        <v>0</v>
      </c>
      <c r="S1011" s="109">
        <f t="shared" si="1000"/>
        <v>0</v>
      </c>
      <c r="T1011" s="109">
        <f t="shared" si="1000"/>
        <v>0</v>
      </c>
      <c r="U1011" s="99">
        <f>T1011-M1011</f>
        <v>0</v>
      </c>
      <c r="V1011" s="259" t="str">
        <f>IF(M1011=0,"N/A",T1011/M1011-1)</f>
        <v>N/A</v>
      </c>
      <c r="W1011" s="104"/>
      <c r="X1011" s="148"/>
      <c r="Y1011" s="267"/>
      <c r="Z1011" s="121"/>
      <c r="AA1011" s="121"/>
      <c r="AB1011" s="121"/>
      <c r="AC1011" s="121"/>
      <c r="AD1011" s="121"/>
      <c r="AE1011" s="121"/>
      <c r="AF1011" s="121"/>
      <c r="AG1011" s="121"/>
      <c r="AH1011" s="121"/>
      <c r="AI1011" s="121"/>
      <c r="AJ1011" s="121"/>
      <c r="AK1011" s="121"/>
      <c r="AL1011" s="121"/>
    </row>
    <row r="1012" spans="1:38" s="115" customFormat="1" ht="15" customHeight="1">
      <c r="A1012" s="555"/>
      <c r="B1012" s="217"/>
      <c r="C1012" s="217"/>
      <c r="D1012" s="101"/>
      <c r="E1012" s="217"/>
      <c r="F1012" s="294"/>
      <c r="G1012" s="146"/>
      <c r="H1012" s="98"/>
      <c r="I1012" s="106"/>
      <c r="J1012" s="106"/>
      <c r="K1012" s="106"/>
      <c r="L1012" s="106"/>
      <c r="M1012" s="106"/>
      <c r="N1012" s="112"/>
      <c r="O1012" s="112"/>
      <c r="P1012" s="112"/>
      <c r="Q1012" s="113"/>
      <c r="R1012" s="113"/>
      <c r="S1012" s="113"/>
      <c r="T1012" s="113"/>
      <c r="U1012" s="113"/>
      <c r="V1012" s="113"/>
      <c r="W1012" s="104"/>
      <c r="X1012" s="148"/>
      <c r="Y1012" s="267"/>
      <c r="Z1012" s="121"/>
      <c r="AA1012" s="121"/>
      <c r="AB1012" s="121"/>
      <c r="AC1012" s="121"/>
      <c r="AD1012" s="121"/>
      <c r="AE1012" s="121"/>
      <c r="AF1012" s="121"/>
      <c r="AG1012" s="121"/>
      <c r="AH1012" s="121"/>
      <c r="AI1012" s="121"/>
      <c r="AJ1012" s="121"/>
      <c r="AK1012" s="121"/>
      <c r="AL1012" s="121"/>
    </row>
    <row r="1013" spans="1:38" s="115" customFormat="1" ht="15" customHeight="1">
      <c r="A1013" s="555"/>
      <c r="B1013" s="217"/>
      <c r="C1013" s="217"/>
      <c r="D1013" s="101"/>
      <c r="E1013" s="217"/>
      <c r="F1013" s="294"/>
      <c r="G1013" s="295"/>
      <c r="H1013" s="98"/>
      <c r="I1013" s="99"/>
      <c r="J1013" s="99"/>
      <c r="K1013" s="99"/>
      <c r="L1013" s="99"/>
      <c r="M1013" s="99"/>
      <c r="N1013" s="99"/>
      <c r="O1013" s="99"/>
      <c r="P1013" s="99"/>
      <c r="Q1013" s="99"/>
      <c r="R1013" s="99"/>
      <c r="S1013" s="99"/>
      <c r="T1013" s="99"/>
      <c r="U1013" s="99"/>
      <c r="V1013" s="259"/>
      <c r="W1013" s="102"/>
      <c r="X1013" s="148"/>
      <c r="Y1013" s="267"/>
      <c r="Z1013" s="121"/>
      <c r="AA1013" s="121"/>
      <c r="AB1013" s="121"/>
      <c r="AC1013" s="121"/>
      <c r="AD1013" s="121"/>
      <c r="AE1013" s="121"/>
      <c r="AF1013" s="121"/>
      <c r="AG1013" s="121"/>
      <c r="AH1013" s="121"/>
      <c r="AI1013" s="121"/>
      <c r="AJ1013" s="121"/>
      <c r="AK1013" s="121"/>
      <c r="AL1013" s="121"/>
    </row>
    <row r="1014" spans="1:38" s="115" customFormat="1" ht="15" customHeight="1">
      <c r="A1014" s="555"/>
      <c r="B1014" s="217"/>
      <c r="C1014" s="217"/>
      <c r="D1014" s="101"/>
      <c r="E1014" s="217"/>
      <c r="F1014" s="294"/>
      <c r="G1014" s="295"/>
      <c r="H1014" s="98"/>
      <c r="I1014" s="99"/>
      <c r="J1014" s="99"/>
      <c r="K1014" s="99"/>
      <c r="L1014" s="99"/>
      <c r="M1014" s="99"/>
      <c r="N1014" s="99"/>
      <c r="O1014" s="99"/>
      <c r="P1014" s="99"/>
      <c r="Q1014" s="99"/>
      <c r="R1014" s="99"/>
      <c r="S1014" s="99"/>
      <c r="T1014" s="99"/>
      <c r="U1014" s="99"/>
      <c r="V1014" s="259"/>
      <c r="W1014" s="102"/>
      <c r="X1014" s="148"/>
      <c r="Y1014" s="267"/>
      <c r="Z1014" s="121"/>
      <c r="AA1014" s="121"/>
      <c r="AB1014" s="121"/>
      <c r="AC1014" s="121"/>
      <c r="AD1014" s="121"/>
      <c r="AE1014" s="121"/>
      <c r="AF1014" s="121"/>
      <c r="AG1014" s="121"/>
      <c r="AH1014" s="121"/>
      <c r="AI1014" s="121"/>
      <c r="AJ1014" s="121"/>
      <c r="AK1014" s="121"/>
      <c r="AL1014" s="121"/>
    </row>
    <row r="1015" spans="1:38" s="115" customFormat="1" ht="15" customHeight="1">
      <c r="A1015" s="555"/>
      <c r="B1015" s="217"/>
      <c r="C1015" s="217"/>
      <c r="D1015" s="101"/>
      <c r="E1015" s="217"/>
      <c r="F1015" s="294"/>
      <c r="G1015" s="295"/>
      <c r="H1015" s="98"/>
      <c r="I1015" s="99"/>
      <c r="J1015" s="99"/>
      <c r="K1015" s="99"/>
      <c r="L1015" s="99"/>
      <c r="M1015" s="99"/>
      <c r="N1015" s="99"/>
      <c r="O1015" s="99"/>
      <c r="P1015" s="99"/>
      <c r="Q1015" s="99"/>
      <c r="R1015" s="99"/>
      <c r="S1015" s="99"/>
      <c r="T1015" s="99"/>
      <c r="U1015" s="99"/>
      <c r="V1015" s="259"/>
      <c r="W1015" s="102"/>
      <c r="X1015" s="148"/>
      <c r="Y1015" s="267"/>
      <c r="Z1015" s="121"/>
      <c r="AA1015" s="121"/>
      <c r="AB1015" s="121"/>
      <c r="AC1015" s="121"/>
      <c r="AD1015" s="121"/>
      <c r="AE1015" s="121"/>
      <c r="AF1015" s="121"/>
      <c r="AG1015" s="121"/>
      <c r="AH1015" s="121"/>
      <c r="AI1015" s="121"/>
      <c r="AJ1015" s="121"/>
      <c r="AK1015" s="121"/>
      <c r="AL1015" s="121"/>
    </row>
    <row r="1016" spans="1:38" s="115" customFormat="1" ht="15" customHeight="1">
      <c r="A1016" s="555"/>
      <c r="B1016" s="217"/>
      <c r="C1016" s="217"/>
      <c r="D1016" s="101"/>
      <c r="E1016" s="217"/>
      <c r="F1016" s="294"/>
      <c r="G1016" s="295"/>
      <c r="H1016" s="98"/>
      <c r="I1016" s="99"/>
      <c r="J1016" s="99"/>
      <c r="K1016" s="99"/>
      <c r="L1016" s="99"/>
      <c r="M1016" s="99"/>
      <c r="N1016" s="99"/>
      <c r="O1016" s="99"/>
      <c r="P1016" s="99"/>
      <c r="Q1016" s="99"/>
      <c r="R1016" s="99"/>
      <c r="S1016" s="99"/>
      <c r="T1016" s="99"/>
      <c r="U1016" s="99"/>
      <c r="V1016" s="259"/>
      <c r="W1016" s="102"/>
      <c r="X1016" s="148"/>
      <c r="Y1016" s="267"/>
      <c r="Z1016" s="121"/>
      <c r="AA1016" s="121"/>
      <c r="AB1016" s="121"/>
      <c r="AC1016" s="121"/>
      <c r="AD1016" s="121"/>
      <c r="AE1016" s="121"/>
      <c r="AF1016" s="121"/>
      <c r="AG1016" s="121"/>
      <c r="AH1016" s="121"/>
      <c r="AI1016" s="121"/>
      <c r="AJ1016" s="121"/>
      <c r="AK1016" s="121"/>
      <c r="AL1016" s="121"/>
    </row>
    <row r="1017" spans="1:38" s="115" customFormat="1" ht="15" customHeight="1">
      <c r="A1017" s="555"/>
      <c r="B1017" s="217"/>
      <c r="C1017" s="217"/>
      <c r="D1017" s="101"/>
      <c r="E1017" s="217"/>
      <c r="F1017" s="294"/>
      <c r="G1017" s="295"/>
      <c r="H1017" s="98"/>
      <c r="I1017" s="99"/>
      <c r="J1017" s="99"/>
      <c r="K1017" s="99"/>
      <c r="L1017" s="99"/>
      <c r="M1017" s="99"/>
      <c r="N1017" s="99"/>
      <c r="O1017" s="99"/>
      <c r="P1017" s="99"/>
      <c r="Q1017" s="99"/>
      <c r="R1017" s="99"/>
      <c r="S1017" s="99"/>
      <c r="T1017" s="99"/>
      <c r="U1017" s="99"/>
      <c r="V1017" s="259"/>
      <c r="W1017" s="102"/>
      <c r="X1017" s="148"/>
      <c r="Y1017" s="267"/>
      <c r="Z1017" s="121"/>
      <c r="AA1017" s="121"/>
      <c r="AB1017" s="121"/>
      <c r="AC1017" s="121"/>
      <c r="AD1017" s="121"/>
      <c r="AE1017" s="121"/>
      <c r="AF1017" s="121"/>
      <c r="AG1017" s="121"/>
      <c r="AH1017" s="121"/>
      <c r="AI1017" s="121"/>
      <c r="AJ1017" s="121"/>
      <c r="AK1017" s="121"/>
      <c r="AL1017" s="121"/>
    </row>
    <row r="1018" spans="1:38" s="115" customFormat="1" ht="29.4" customHeight="1">
      <c r="A1018" s="555"/>
      <c r="B1018" s="217"/>
      <c r="C1018" s="217"/>
      <c r="D1018" s="101"/>
      <c r="E1018" s="217"/>
      <c r="F1018" s="294"/>
      <c r="G1018" s="146"/>
      <c r="H1018" s="107" t="str">
        <f>UPPER(G1017)&amp;" TOTAL"</f>
        <v xml:space="preserve"> TOTAL</v>
      </c>
      <c r="I1018" s="109">
        <f t="shared" ref="I1018" si="1001">SUBTOTAL(9,I1013:I1017)</f>
        <v>0</v>
      </c>
      <c r="J1018" s="109">
        <f t="shared" ref="J1018:T1018" si="1002">SUBTOTAL(9,J1013:J1017)</f>
        <v>0</v>
      </c>
      <c r="K1018" s="109">
        <f t="shared" ref="K1018" si="1003">SUBTOTAL(9,K1013:K1017)</f>
        <v>0</v>
      </c>
      <c r="L1018" s="109">
        <f t="shared" ref="L1018" si="1004">SUBTOTAL(9,L1013:L1017)</f>
        <v>0</v>
      </c>
      <c r="M1018" s="109">
        <f t="shared" si="1002"/>
        <v>0</v>
      </c>
      <c r="N1018" s="109">
        <f t="shared" ref="N1018" si="1005">SUBTOTAL(9,N1013:N1017)</f>
        <v>0</v>
      </c>
      <c r="O1018" s="109">
        <f t="shared" si="1002"/>
        <v>0</v>
      </c>
      <c r="P1018" s="109">
        <f t="shared" si="1002"/>
        <v>0</v>
      </c>
      <c r="Q1018" s="109">
        <f t="shared" si="1002"/>
        <v>0</v>
      </c>
      <c r="R1018" s="109">
        <f t="shared" si="1002"/>
        <v>0</v>
      </c>
      <c r="S1018" s="109">
        <f t="shared" si="1002"/>
        <v>0</v>
      </c>
      <c r="T1018" s="109">
        <f t="shared" si="1002"/>
        <v>0</v>
      </c>
      <c r="U1018" s="99">
        <f>T1018-M1018</f>
        <v>0</v>
      </c>
      <c r="V1018" s="259" t="str">
        <f>IF(M1018=0,"N/A",T1018/M1018-1)</f>
        <v>N/A</v>
      </c>
      <c r="W1018" s="104"/>
      <c r="X1018" s="148"/>
      <c r="Y1018" s="267"/>
      <c r="Z1018" s="121"/>
      <c r="AA1018" s="121"/>
      <c r="AB1018" s="121"/>
      <c r="AC1018" s="121"/>
      <c r="AD1018" s="121"/>
      <c r="AE1018" s="121"/>
      <c r="AF1018" s="121"/>
      <c r="AG1018" s="121"/>
      <c r="AH1018" s="121"/>
      <c r="AI1018" s="121"/>
      <c r="AJ1018" s="121"/>
      <c r="AK1018" s="121"/>
      <c r="AL1018" s="121"/>
    </row>
    <row r="1019" spans="1:38" s="115" customFormat="1" ht="15" customHeight="1">
      <c r="A1019" s="555"/>
      <c r="B1019" s="217"/>
      <c r="C1019" s="217"/>
      <c r="D1019" s="101"/>
      <c r="E1019" s="217"/>
      <c r="F1019" s="294"/>
      <c r="G1019" s="146"/>
      <c r="H1019" s="98"/>
      <c r="I1019" s="106"/>
      <c r="J1019" s="106"/>
      <c r="K1019" s="106"/>
      <c r="L1019" s="106"/>
      <c r="M1019" s="106"/>
      <c r="N1019" s="112"/>
      <c r="O1019" s="112"/>
      <c r="P1019" s="112"/>
      <c r="Q1019" s="113"/>
      <c r="R1019" s="113"/>
      <c r="S1019" s="113"/>
      <c r="T1019" s="113"/>
      <c r="U1019" s="113"/>
      <c r="V1019" s="113"/>
      <c r="W1019" s="104"/>
      <c r="X1019" s="148"/>
      <c r="Y1019" s="267"/>
      <c r="Z1019" s="121"/>
      <c r="AA1019" s="121"/>
      <c r="AB1019" s="121"/>
      <c r="AC1019" s="121"/>
      <c r="AD1019" s="121"/>
      <c r="AE1019" s="121"/>
      <c r="AF1019" s="121"/>
      <c r="AG1019" s="121"/>
      <c r="AH1019" s="121"/>
      <c r="AI1019" s="121"/>
      <c r="AJ1019" s="121"/>
      <c r="AK1019" s="121"/>
      <c r="AL1019" s="121"/>
    </row>
    <row r="1020" spans="1:38" s="115" customFormat="1" ht="15" customHeight="1">
      <c r="A1020" s="555"/>
      <c r="B1020" s="217"/>
      <c r="C1020" s="217"/>
      <c r="D1020" s="101"/>
      <c r="E1020" s="217"/>
      <c r="F1020" s="294"/>
      <c r="G1020" s="295"/>
      <c r="H1020" s="98"/>
      <c r="I1020" s="99"/>
      <c r="J1020" s="99"/>
      <c r="K1020" s="99"/>
      <c r="L1020" s="99"/>
      <c r="M1020" s="99"/>
      <c r="N1020" s="99"/>
      <c r="O1020" s="99"/>
      <c r="P1020" s="99"/>
      <c r="Q1020" s="99"/>
      <c r="R1020" s="99"/>
      <c r="S1020" s="99"/>
      <c r="T1020" s="99"/>
      <c r="U1020" s="99"/>
      <c r="V1020" s="259"/>
      <c r="W1020" s="102"/>
      <c r="X1020" s="148"/>
      <c r="Y1020" s="267"/>
      <c r="Z1020" s="121"/>
      <c r="AA1020" s="121"/>
      <c r="AB1020" s="121"/>
      <c r="AC1020" s="121"/>
      <c r="AD1020" s="121"/>
      <c r="AE1020" s="121"/>
      <c r="AF1020" s="121"/>
      <c r="AG1020" s="121"/>
      <c r="AH1020" s="121"/>
      <c r="AI1020" s="121"/>
      <c r="AJ1020" s="121"/>
      <c r="AK1020" s="121"/>
      <c r="AL1020" s="121"/>
    </row>
    <row r="1021" spans="1:38" s="115" customFormat="1" ht="15" customHeight="1">
      <c r="A1021" s="555"/>
      <c r="B1021" s="217"/>
      <c r="C1021" s="217"/>
      <c r="D1021" s="101"/>
      <c r="E1021" s="217"/>
      <c r="F1021" s="294"/>
      <c r="G1021" s="146"/>
      <c r="H1021" s="107" t="str">
        <f>UPPER(G1020)&amp;" TOTAL"</f>
        <v xml:space="preserve"> TOTAL</v>
      </c>
      <c r="I1021" s="109">
        <f t="shared" ref="I1021" si="1006">SUBTOTAL(9,I1020:I1020)</f>
        <v>0</v>
      </c>
      <c r="J1021" s="109">
        <f t="shared" ref="J1021:T1021" si="1007">SUBTOTAL(9,J1020:J1020)</f>
        <v>0</v>
      </c>
      <c r="K1021" s="109">
        <f t="shared" ref="K1021" si="1008">SUBTOTAL(9,K1020:K1020)</f>
        <v>0</v>
      </c>
      <c r="L1021" s="109">
        <f t="shared" ref="L1021" si="1009">SUBTOTAL(9,L1020:L1020)</f>
        <v>0</v>
      </c>
      <c r="M1021" s="109">
        <f t="shared" si="1007"/>
        <v>0</v>
      </c>
      <c r="N1021" s="109">
        <f t="shared" ref="N1021" si="1010">SUBTOTAL(9,N1020:N1020)</f>
        <v>0</v>
      </c>
      <c r="O1021" s="109">
        <f t="shared" si="1007"/>
        <v>0</v>
      </c>
      <c r="P1021" s="109">
        <f t="shared" si="1007"/>
        <v>0</v>
      </c>
      <c r="Q1021" s="109">
        <f t="shared" si="1007"/>
        <v>0</v>
      </c>
      <c r="R1021" s="109">
        <f t="shared" si="1007"/>
        <v>0</v>
      </c>
      <c r="S1021" s="109">
        <f t="shared" si="1007"/>
        <v>0</v>
      </c>
      <c r="T1021" s="109">
        <f t="shared" si="1007"/>
        <v>0</v>
      </c>
      <c r="U1021" s="99">
        <f>T1021-M1021</f>
        <v>0</v>
      </c>
      <c r="V1021" s="259" t="str">
        <f>IF(M1021=0,"N/A",T1021/M1021-1)</f>
        <v>N/A</v>
      </c>
      <c r="W1021" s="104"/>
      <c r="X1021" s="148"/>
      <c r="Y1021" s="267"/>
      <c r="Z1021" s="121"/>
      <c r="AA1021" s="121"/>
      <c r="AB1021" s="121"/>
      <c r="AC1021" s="121"/>
      <c r="AD1021" s="121"/>
      <c r="AE1021" s="121"/>
      <c r="AF1021" s="121"/>
      <c r="AG1021" s="121"/>
      <c r="AH1021" s="121"/>
      <c r="AI1021" s="121"/>
      <c r="AJ1021" s="121"/>
      <c r="AK1021" s="121"/>
      <c r="AL1021" s="121"/>
    </row>
    <row r="1022" spans="1:38" s="115" customFormat="1" ht="15" customHeight="1">
      <c r="A1022" s="555"/>
      <c r="B1022" s="217"/>
      <c r="C1022" s="217"/>
      <c r="D1022" s="101"/>
      <c r="E1022" s="217"/>
      <c r="F1022" s="294"/>
      <c r="G1022" s="146"/>
      <c r="H1022" s="98"/>
      <c r="I1022" s="106"/>
      <c r="J1022" s="106"/>
      <c r="K1022" s="106"/>
      <c r="L1022" s="106"/>
      <c r="M1022" s="106"/>
      <c r="N1022" s="112"/>
      <c r="O1022" s="112"/>
      <c r="P1022" s="112"/>
      <c r="Q1022" s="113"/>
      <c r="R1022" s="113"/>
      <c r="S1022" s="113"/>
      <c r="T1022" s="113"/>
      <c r="U1022" s="113"/>
      <c r="V1022" s="113"/>
      <c r="W1022" s="104"/>
      <c r="X1022" s="148"/>
      <c r="Y1022" s="267"/>
      <c r="Z1022" s="121"/>
      <c r="AA1022" s="121"/>
      <c r="AB1022" s="121"/>
      <c r="AC1022" s="121"/>
      <c r="AD1022" s="121"/>
      <c r="AE1022" s="121"/>
      <c r="AF1022" s="121"/>
      <c r="AG1022" s="121"/>
      <c r="AH1022" s="121"/>
      <c r="AI1022" s="121"/>
      <c r="AJ1022" s="121"/>
      <c r="AK1022" s="121"/>
      <c r="AL1022" s="121"/>
    </row>
    <row r="1023" spans="1:38" s="115" customFormat="1" ht="15" customHeight="1">
      <c r="A1023" s="555"/>
      <c r="B1023" s="217"/>
      <c r="C1023" s="217"/>
      <c r="D1023" s="101"/>
      <c r="E1023" s="217"/>
      <c r="F1023" s="294"/>
      <c r="G1023" s="146"/>
      <c r="H1023" s="114" t="s">
        <v>763</v>
      </c>
      <c r="I1023" s="108">
        <f t="shared" ref="I1023" si="1011">SUBTOTAL(9,I1007:I1021)</f>
        <v>0</v>
      </c>
      <c r="J1023" s="108">
        <f t="shared" ref="J1023:P1023" si="1012">SUBTOTAL(9,J1007:J1021)</f>
        <v>0</v>
      </c>
      <c r="K1023" s="108">
        <f t="shared" ref="K1023" si="1013">SUBTOTAL(9,K1007:K1021)</f>
        <v>0</v>
      </c>
      <c r="L1023" s="108">
        <f t="shared" ref="L1023" si="1014">SUBTOTAL(9,L1007:L1021)</f>
        <v>0</v>
      </c>
      <c r="M1023" s="108">
        <f t="shared" si="1012"/>
        <v>0</v>
      </c>
      <c r="N1023" s="108">
        <f t="shared" ref="N1023" si="1015">SUBTOTAL(9,N1007:N1021)</f>
        <v>0</v>
      </c>
      <c r="O1023" s="108">
        <f t="shared" si="1012"/>
        <v>0</v>
      </c>
      <c r="P1023" s="108">
        <f t="shared" si="1012"/>
        <v>0</v>
      </c>
      <c r="Q1023" s="108">
        <f t="shared" ref="Q1023:T1023" si="1016">SUBTOTAL(9,Q1007:Q1021)</f>
        <v>0</v>
      </c>
      <c r="R1023" s="108">
        <f t="shared" si="1016"/>
        <v>0</v>
      </c>
      <c r="S1023" s="108">
        <f t="shared" si="1016"/>
        <v>0</v>
      </c>
      <c r="T1023" s="108">
        <f t="shared" si="1016"/>
        <v>0</v>
      </c>
      <c r="U1023" s="99">
        <f>T1023-M1023</f>
        <v>0</v>
      </c>
      <c r="V1023" s="259" t="str">
        <f>IF(M1023=0,"N/A",T1023/M1023-1)</f>
        <v>N/A</v>
      </c>
      <c r="W1023" s="104"/>
      <c r="X1023" s="148"/>
      <c r="Y1023" s="267"/>
      <c r="Z1023" s="121"/>
      <c r="AA1023" s="121"/>
      <c r="AB1023" s="121"/>
      <c r="AC1023" s="121"/>
      <c r="AD1023" s="121"/>
      <c r="AE1023" s="121"/>
      <c r="AF1023" s="121"/>
      <c r="AG1023" s="121"/>
      <c r="AH1023" s="121"/>
      <c r="AI1023" s="121"/>
      <c r="AJ1023" s="121"/>
      <c r="AK1023" s="121"/>
      <c r="AL1023" s="121"/>
    </row>
    <row r="1024" spans="1:38" s="115" customFormat="1" ht="15" customHeight="1">
      <c r="A1024" s="555"/>
      <c r="B1024" s="217"/>
      <c r="C1024" s="217"/>
      <c r="D1024" s="101"/>
      <c r="E1024" s="217"/>
      <c r="F1024" s="294"/>
      <c r="G1024" s="146"/>
      <c r="H1024" s="89"/>
      <c r="I1024" s="233"/>
      <c r="J1024" s="233"/>
      <c r="K1024" s="233"/>
      <c r="L1024" s="233"/>
      <c r="M1024" s="233"/>
      <c r="N1024" s="233"/>
      <c r="O1024" s="233"/>
      <c r="P1024" s="233"/>
      <c r="Q1024" s="233"/>
      <c r="R1024" s="233"/>
      <c r="S1024" s="233"/>
      <c r="T1024" s="233"/>
      <c r="U1024" s="233"/>
      <c r="V1024" s="233"/>
      <c r="W1024" s="104"/>
      <c r="X1024" s="148"/>
      <c r="Y1024" s="267"/>
      <c r="Z1024" s="121"/>
      <c r="AA1024" s="121"/>
      <c r="AB1024" s="121"/>
      <c r="AC1024" s="121"/>
      <c r="AD1024" s="121"/>
      <c r="AE1024" s="121"/>
      <c r="AF1024" s="121"/>
      <c r="AG1024" s="121"/>
      <c r="AH1024" s="121"/>
      <c r="AI1024" s="121"/>
      <c r="AJ1024" s="121"/>
      <c r="AK1024" s="121"/>
      <c r="AL1024" s="121"/>
    </row>
    <row r="1025" spans="1:38" s="115" customFormat="1" ht="15" customHeight="1" thickBot="1">
      <c r="A1025" s="555"/>
      <c r="B1025" s="217"/>
      <c r="C1025" s="217"/>
      <c r="D1025" s="101"/>
      <c r="E1025" s="217"/>
      <c r="F1025" s="294"/>
      <c r="G1025" s="146"/>
      <c r="H1025" s="98"/>
      <c r="I1025" s="218"/>
      <c r="J1025" s="218"/>
      <c r="K1025" s="218"/>
      <c r="L1025" s="218"/>
      <c r="M1025" s="218"/>
      <c r="N1025" s="96"/>
      <c r="O1025" s="96"/>
      <c r="P1025" s="96"/>
      <c r="Q1025" s="212"/>
      <c r="R1025" s="212"/>
      <c r="S1025" s="212"/>
      <c r="T1025" s="212"/>
      <c r="U1025" s="212"/>
      <c r="V1025" s="113"/>
      <c r="W1025" s="104"/>
      <c r="X1025" s="148"/>
      <c r="Y1025" s="267"/>
      <c r="Z1025" s="121"/>
      <c r="AA1025" s="121"/>
      <c r="AB1025" s="121"/>
      <c r="AC1025" s="121"/>
      <c r="AD1025" s="121"/>
      <c r="AE1025" s="121"/>
      <c r="AF1025" s="121"/>
      <c r="AG1025" s="121"/>
      <c r="AH1025" s="121"/>
      <c r="AI1025" s="121"/>
      <c r="AJ1025" s="121"/>
      <c r="AK1025" s="121"/>
      <c r="AL1025" s="121"/>
    </row>
    <row r="1026" spans="1:38" s="115" customFormat="1" ht="23.4" customHeight="1" thickBot="1">
      <c r="A1026" s="555"/>
      <c r="B1026" s="217"/>
      <c r="C1026" s="217"/>
      <c r="D1026" s="101"/>
      <c r="E1026" s="217"/>
      <c r="F1026" s="294"/>
      <c r="G1026" s="146"/>
      <c r="H1026" s="665" t="s">
        <v>740</v>
      </c>
      <c r="I1026" s="666"/>
      <c r="J1026" s="666"/>
      <c r="K1026" s="666"/>
      <c r="L1026" s="666"/>
      <c r="M1026" s="666"/>
      <c r="N1026" s="666"/>
      <c r="O1026" s="666"/>
      <c r="P1026" s="666"/>
      <c r="Q1026" s="666"/>
      <c r="R1026" s="666"/>
      <c r="S1026" s="666"/>
      <c r="T1026" s="667"/>
      <c r="U1026" s="247"/>
      <c r="V1026" s="261"/>
      <c r="W1026" s="104"/>
      <c r="X1026" s="148"/>
      <c r="Y1026" s="267"/>
      <c r="Z1026" s="121"/>
      <c r="AA1026" s="121"/>
      <c r="AB1026" s="121"/>
      <c r="AC1026" s="121"/>
      <c r="AD1026" s="121"/>
      <c r="AE1026" s="121"/>
      <c r="AF1026" s="121"/>
      <c r="AG1026" s="121"/>
      <c r="AH1026" s="121"/>
      <c r="AI1026" s="121"/>
      <c r="AJ1026" s="121"/>
      <c r="AK1026" s="121"/>
      <c r="AL1026" s="121"/>
    </row>
    <row r="1027" spans="1:38" s="115" customFormat="1" ht="15" customHeight="1">
      <c r="A1027" s="555"/>
      <c r="B1027" s="217"/>
      <c r="C1027" s="217"/>
      <c r="D1027" s="101"/>
      <c r="E1027" s="217"/>
      <c r="F1027" s="294"/>
      <c r="G1027" s="146"/>
      <c r="H1027" s="225"/>
      <c r="I1027" s="225"/>
      <c r="J1027" s="225"/>
      <c r="K1027" s="225"/>
      <c r="L1027" s="225"/>
      <c r="M1027" s="225"/>
      <c r="N1027" s="225"/>
      <c r="O1027" s="225"/>
      <c r="P1027" s="225"/>
      <c r="Q1027" s="225"/>
      <c r="R1027" s="225"/>
      <c r="S1027" s="225"/>
      <c r="T1027" s="225"/>
      <c r="U1027" s="225"/>
      <c r="V1027" s="260"/>
      <c r="W1027" s="104"/>
      <c r="X1027" s="148"/>
      <c r="Y1027" s="267"/>
      <c r="Z1027" s="121"/>
      <c r="AA1027" s="121"/>
      <c r="AB1027" s="121"/>
      <c r="AC1027" s="121"/>
      <c r="AD1027" s="121"/>
      <c r="AE1027" s="121"/>
      <c r="AF1027" s="121"/>
      <c r="AG1027" s="121"/>
      <c r="AH1027" s="121"/>
      <c r="AI1027" s="121"/>
      <c r="AJ1027" s="121"/>
      <c r="AK1027" s="121"/>
      <c r="AL1027" s="121"/>
    </row>
    <row r="1028" spans="1:38" s="115" customFormat="1" ht="15" customHeight="1">
      <c r="A1028" s="555" t="s">
        <v>1734</v>
      </c>
      <c r="B1028" s="217" t="str">
        <f t="shared" si="968"/>
        <v>125</v>
      </c>
      <c r="C1028" s="217" t="str">
        <f t="shared" si="969"/>
        <v>65</v>
      </c>
      <c r="D1028" s="101" t="str">
        <f t="shared" si="970"/>
        <v>658</v>
      </c>
      <c r="E1028" s="217" t="str">
        <f t="shared" si="971"/>
        <v>125-65-658</v>
      </c>
      <c r="F1028" s="294" t="str">
        <f t="shared" si="972"/>
        <v>52310</v>
      </c>
      <c r="G1028" s="295" t="str">
        <f>VLOOKUP(F1028,'GL Category'!A:C,3,FALSE)</f>
        <v>Operations &amp; maintenance</v>
      </c>
      <c r="H1028" s="98" t="str">
        <f>VLOOKUP(F1028,'GL Category'!A:C,2,FALSE)</f>
        <v>BUILDING MAINTENANCE</v>
      </c>
      <c r="I1028" s="99">
        <f>SUMIF(Import!$B:$B,$A1028,Import!D:D)</f>
        <v>0</v>
      </c>
      <c r="J1028" s="99">
        <f>SUMIF(Import!$B:$B,$A1028,Import!E:E)</f>
        <v>0</v>
      </c>
      <c r="K1028" s="99">
        <f>SUMIF(Import!$B:$B,$A1028,Import!F:F)</f>
        <v>19185.96</v>
      </c>
      <c r="L1028" s="99">
        <f>SUMIF(Import!$B:$B,$A1028,Import!G:G)</f>
        <v>13003.25</v>
      </c>
      <c r="M1028" s="99">
        <f>SUMIF(Import!$B:$B,$A1028,Import!H:H)</f>
        <v>0</v>
      </c>
      <c r="N1028" s="99">
        <f>SUMIF(Import!$B:$B,$A1028,Import!I:I)</f>
        <v>0</v>
      </c>
      <c r="O1028" s="99">
        <f>SUMIF(Import!$B:$B,$A1028,Import!J:J)</f>
        <v>0</v>
      </c>
      <c r="P1028" s="99">
        <f t="shared" ref="P1028" si="1017">O1028-M1028</f>
        <v>0</v>
      </c>
      <c r="Q1028" s="99">
        <f>SUMIF(Import!$B:$B,$A1028,Import!K:K)</f>
        <v>0</v>
      </c>
      <c r="R1028" s="99">
        <f>SUMIF(Import!$B:$B,$A1028,Import!L:L)</f>
        <v>0</v>
      </c>
      <c r="S1028" s="99">
        <f>SUMIF(Import!$B:$B,$A1028,Import!M:M)</f>
        <v>0</v>
      </c>
      <c r="T1028" s="99">
        <f>SUMIF(Import!$B:$B,$A1028,Import!N:N)</f>
        <v>0</v>
      </c>
      <c r="U1028" s="99">
        <f t="shared" ref="U1028" si="1018">T1028-M1028</f>
        <v>0</v>
      </c>
      <c r="V1028" s="255" t="str">
        <f t="shared" ref="V1028" si="1019">IF(M1028=0,"N/A",T1028/M1028-1)</f>
        <v>N/A</v>
      </c>
      <c r="W1028" s="102" t="s">
        <v>1734</v>
      </c>
      <c r="X1028" s="148"/>
      <c r="Y1028" s="267"/>
      <c r="Z1028" s="121"/>
      <c r="AA1028" s="121"/>
      <c r="AB1028" s="121"/>
      <c r="AC1028" s="121"/>
      <c r="AD1028" s="121"/>
      <c r="AE1028" s="121"/>
      <c r="AF1028" s="121"/>
      <c r="AG1028" s="121"/>
      <c r="AH1028" s="121"/>
      <c r="AI1028" s="121"/>
      <c r="AJ1028" s="121"/>
      <c r="AK1028" s="121"/>
      <c r="AL1028" s="121"/>
    </row>
    <row r="1029" spans="1:38" s="115" customFormat="1" ht="28.35" customHeight="1">
      <c r="A1029" s="555"/>
      <c r="B1029" s="217"/>
      <c r="C1029" s="217"/>
      <c r="D1029" s="101"/>
      <c r="E1029" s="217"/>
      <c r="F1029" s="294"/>
      <c r="G1029" s="146"/>
      <c r="H1029" s="107" t="str">
        <f>UPPER(G1028)&amp;" TOTAL"</f>
        <v>OPERATIONS &amp; MAINTENANCE TOTAL</v>
      </c>
      <c r="I1029" s="108">
        <f t="shared" ref="I1029" si="1020">SUBTOTAL(9,I1028:I1028)</f>
        <v>0</v>
      </c>
      <c r="J1029" s="108">
        <f t="shared" ref="J1029:P1029" si="1021">SUBTOTAL(9,J1028:J1028)</f>
        <v>0</v>
      </c>
      <c r="K1029" s="108">
        <f t="shared" ref="K1029" si="1022">SUBTOTAL(9,K1028:K1028)</f>
        <v>19185.96</v>
      </c>
      <c r="L1029" s="108">
        <f t="shared" ref="L1029" si="1023">SUBTOTAL(9,L1028:L1028)</f>
        <v>13003.25</v>
      </c>
      <c r="M1029" s="108">
        <f t="shared" si="1021"/>
        <v>0</v>
      </c>
      <c r="N1029" s="109">
        <f t="shared" ref="N1029" si="1024">SUBTOTAL(9,N1028:N1028)</f>
        <v>0</v>
      </c>
      <c r="O1029" s="109">
        <f t="shared" si="1021"/>
        <v>0</v>
      </c>
      <c r="P1029" s="109">
        <f t="shared" si="1021"/>
        <v>0</v>
      </c>
      <c r="Q1029" s="109">
        <f t="shared" ref="Q1029:T1029" si="1025">SUBTOTAL(9,Q1028:Q1028)</f>
        <v>0</v>
      </c>
      <c r="R1029" s="109">
        <f t="shared" si="1025"/>
        <v>0</v>
      </c>
      <c r="S1029" s="109">
        <f t="shared" si="1025"/>
        <v>0</v>
      </c>
      <c r="T1029" s="109">
        <f t="shared" si="1025"/>
        <v>0</v>
      </c>
      <c r="U1029" s="99">
        <f>T1029-M1029</f>
        <v>0</v>
      </c>
      <c r="V1029" s="259" t="str">
        <f>IF(M1029=0,"N/A",T1029/M1029-1)</f>
        <v>N/A</v>
      </c>
      <c r="W1029" s="104"/>
      <c r="X1029" s="148"/>
      <c r="Y1029" s="267"/>
      <c r="Z1029" s="121"/>
      <c r="AA1029" s="121"/>
      <c r="AB1029" s="121"/>
      <c r="AC1029" s="121"/>
      <c r="AD1029" s="121"/>
      <c r="AE1029" s="121"/>
      <c r="AF1029" s="121"/>
      <c r="AG1029" s="121"/>
      <c r="AH1029" s="121"/>
      <c r="AI1029" s="121"/>
      <c r="AJ1029" s="121"/>
      <c r="AK1029" s="121"/>
      <c r="AL1029" s="121"/>
    </row>
    <row r="1030" spans="1:38" s="115" customFormat="1" ht="15" customHeight="1">
      <c r="A1030" s="555"/>
      <c r="B1030" s="217"/>
      <c r="C1030" s="217"/>
      <c r="D1030" s="101"/>
      <c r="E1030" s="217"/>
      <c r="F1030" s="294"/>
      <c r="G1030" s="146"/>
      <c r="H1030" s="98"/>
      <c r="I1030" s="106"/>
      <c r="J1030" s="106"/>
      <c r="K1030" s="106"/>
      <c r="L1030" s="106"/>
      <c r="M1030" s="106"/>
      <c r="N1030" s="112"/>
      <c r="O1030" s="112"/>
      <c r="P1030" s="112"/>
      <c r="Q1030" s="113"/>
      <c r="R1030" s="113"/>
      <c r="S1030" s="113"/>
      <c r="T1030" s="113"/>
      <c r="U1030" s="113"/>
      <c r="V1030" s="113"/>
      <c r="W1030" s="104"/>
      <c r="X1030" s="148"/>
      <c r="Y1030" s="267"/>
      <c r="Z1030" s="121"/>
      <c r="AA1030" s="121"/>
      <c r="AB1030" s="121"/>
      <c r="AC1030" s="121"/>
      <c r="AD1030" s="121"/>
      <c r="AE1030" s="121"/>
      <c r="AF1030" s="121"/>
      <c r="AG1030" s="121"/>
      <c r="AH1030" s="121"/>
      <c r="AI1030" s="121"/>
      <c r="AJ1030" s="121"/>
      <c r="AK1030" s="121"/>
      <c r="AL1030" s="121"/>
    </row>
    <row r="1031" spans="1:38" s="115" customFormat="1" ht="15" customHeight="1">
      <c r="A1031" s="555" t="s">
        <v>1735</v>
      </c>
      <c r="B1031" s="217" t="str">
        <f t="shared" si="968"/>
        <v>125</v>
      </c>
      <c r="C1031" s="217" t="str">
        <f t="shared" si="969"/>
        <v>65</v>
      </c>
      <c r="D1031" s="101" t="str">
        <f t="shared" si="970"/>
        <v>658</v>
      </c>
      <c r="E1031" s="217" t="str">
        <f t="shared" si="971"/>
        <v>125-65-658</v>
      </c>
      <c r="F1031" s="294" t="str">
        <f t="shared" si="972"/>
        <v>58828</v>
      </c>
      <c r="G1031" s="295" t="str">
        <f>VLOOKUP(F1031,'GL Category'!A:C,3,FALSE)</f>
        <v>Capital Outlay</v>
      </c>
      <c r="H1031" s="98" t="str">
        <f>VLOOKUP(F1031,'GL Category'!A:C,2,FALSE)</f>
        <v>BUILDINGS &amp; IMPROVEMENTS</v>
      </c>
      <c r="I1031" s="99">
        <f>SUMIF(Import!$B:$B,$A1031,Import!D:D)</f>
        <v>0</v>
      </c>
      <c r="J1031" s="99">
        <f>SUMIF(Import!$B:$B,$A1031,Import!E:E)</f>
        <v>0</v>
      </c>
      <c r="K1031" s="99">
        <f>SUMIF(Import!$B:$B,$A1031,Import!F:F)</f>
        <v>36048.800000000003</v>
      </c>
      <c r="L1031" s="99">
        <f>SUMIF(Import!$B:$B,$A1031,Import!G:G)</f>
        <v>324708.08</v>
      </c>
      <c r="M1031" s="99">
        <f>SUMIF(Import!$B:$B,$A1031,Import!H:H)</f>
        <v>0</v>
      </c>
      <c r="N1031" s="99">
        <f>SUMIF(Import!$B:$B,$A1031,Import!I:I)</f>
        <v>54997.86</v>
      </c>
      <c r="O1031" s="99">
        <f>SUMIF(Import!$B:$B,$A1031,Import!J:J)</f>
        <v>55000</v>
      </c>
      <c r="P1031" s="99">
        <f t="shared" ref="P1031:P1033" si="1026">O1031-M1031</f>
        <v>55000</v>
      </c>
      <c r="Q1031" s="99">
        <f>SUMIF(Import!$B:$B,$A1031,Import!K:K)</f>
        <v>0</v>
      </c>
      <c r="R1031" s="99">
        <f>SUMIF(Import!$B:$B,$A1031,Import!L:L)</f>
        <v>0</v>
      </c>
      <c r="S1031" s="99">
        <f>SUMIF(Import!$B:$B,$A1031,Import!M:M)</f>
        <v>0</v>
      </c>
      <c r="T1031" s="99">
        <f>SUMIF(Import!$B:$B,$A1031,Import!N:N)</f>
        <v>0</v>
      </c>
      <c r="U1031" s="99">
        <f t="shared" ref="U1031:U1033" si="1027">T1031-M1031</f>
        <v>0</v>
      </c>
      <c r="V1031" s="255" t="str">
        <f t="shared" ref="V1031:V1033" si="1028">IF(M1031=0,"N/A",T1031/M1031-1)</f>
        <v>N/A</v>
      </c>
      <c r="W1031" s="102" t="s">
        <v>1735</v>
      </c>
      <c r="X1031" s="148"/>
      <c r="Y1031" s="267"/>
      <c r="Z1031" s="121"/>
      <c r="AA1031" s="121"/>
      <c r="AB1031" s="121"/>
      <c r="AC1031" s="121"/>
      <c r="AD1031" s="121"/>
      <c r="AE1031" s="121"/>
      <c r="AF1031" s="121"/>
      <c r="AG1031" s="121"/>
      <c r="AH1031" s="121"/>
      <c r="AI1031" s="121"/>
      <c r="AJ1031" s="121"/>
      <c r="AK1031" s="121"/>
      <c r="AL1031" s="121"/>
    </row>
    <row r="1032" spans="1:38" s="115" customFormat="1" ht="15" customHeight="1">
      <c r="A1032" s="555" t="s">
        <v>1736</v>
      </c>
      <c r="B1032" s="217" t="str">
        <f t="shared" si="968"/>
        <v>125</v>
      </c>
      <c r="C1032" s="217" t="str">
        <f t="shared" si="969"/>
        <v>65</v>
      </c>
      <c r="D1032" s="101" t="str">
        <f t="shared" si="970"/>
        <v>658</v>
      </c>
      <c r="E1032" s="217" t="str">
        <f t="shared" si="971"/>
        <v>125-65-658</v>
      </c>
      <c r="F1032" s="294" t="str">
        <f t="shared" si="972"/>
        <v>58830</v>
      </c>
      <c r="G1032" s="295" t="str">
        <f>VLOOKUP(F1032,'GL Category'!A:C,3,FALSE)</f>
        <v>Capital Outlay</v>
      </c>
      <c r="H1032" s="98" t="str">
        <f>VLOOKUP(F1032,'GL Category'!A:C,2,FALSE)</f>
        <v>MACHINERY &amp; EQUIPMENT</v>
      </c>
      <c r="I1032" s="99">
        <f>SUMIF(Import!$B:$B,$A1032,Import!D:D)</f>
        <v>28699.05</v>
      </c>
      <c r="J1032" s="99">
        <f>SUMIF(Import!$B:$B,$A1032,Import!E:E)</f>
        <v>0</v>
      </c>
      <c r="K1032" s="99">
        <f>SUMIF(Import!$B:$B,$A1032,Import!F:F)</f>
        <v>770679.35</v>
      </c>
      <c r="L1032" s="99">
        <f>SUMIF(Import!$B:$B,$A1032,Import!G:G)</f>
        <v>1368</v>
      </c>
      <c r="M1032" s="99">
        <f>SUMIF(Import!$B:$B,$A1032,Import!H:H)</f>
        <v>0</v>
      </c>
      <c r="N1032" s="99">
        <f>SUMIF(Import!$B:$B,$A1032,Import!I:I)</f>
        <v>0</v>
      </c>
      <c r="O1032" s="99">
        <f>SUMIF(Import!$B:$B,$A1032,Import!J:J)</f>
        <v>0</v>
      </c>
      <c r="P1032" s="99">
        <f t="shared" si="1026"/>
        <v>0</v>
      </c>
      <c r="Q1032" s="99">
        <f>SUMIF(Import!$B:$B,$A1032,Import!K:K)</f>
        <v>0</v>
      </c>
      <c r="R1032" s="99">
        <f>SUMIF(Import!$B:$B,$A1032,Import!L:L)</f>
        <v>0</v>
      </c>
      <c r="S1032" s="99">
        <f>SUMIF(Import!$B:$B,$A1032,Import!M:M)</f>
        <v>0</v>
      </c>
      <c r="T1032" s="99">
        <f>SUMIF(Import!$B:$B,$A1032,Import!N:N)</f>
        <v>0</v>
      </c>
      <c r="U1032" s="99">
        <f t="shared" si="1027"/>
        <v>0</v>
      </c>
      <c r="V1032" s="255" t="str">
        <f t="shared" si="1028"/>
        <v>N/A</v>
      </c>
      <c r="W1032" s="102" t="s">
        <v>1736</v>
      </c>
      <c r="X1032" s="148"/>
      <c r="Y1032" s="267"/>
      <c r="Z1032" s="121"/>
      <c r="AA1032" s="121"/>
      <c r="AB1032" s="121"/>
      <c r="AC1032" s="121"/>
      <c r="AD1032" s="121"/>
      <c r="AE1032" s="121"/>
      <c r="AF1032" s="121"/>
      <c r="AG1032" s="121"/>
      <c r="AH1032" s="121"/>
      <c r="AI1032" s="121"/>
      <c r="AJ1032" s="121"/>
      <c r="AK1032" s="121"/>
      <c r="AL1032" s="121"/>
    </row>
    <row r="1033" spans="1:38" s="115" customFormat="1" ht="15" customHeight="1">
      <c r="A1033" s="555" t="s">
        <v>1737</v>
      </c>
      <c r="B1033" s="217" t="str">
        <f t="shared" si="968"/>
        <v>125</v>
      </c>
      <c r="C1033" s="217" t="str">
        <f t="shared" si="969"/>
        <v>65</v>
      </c>
      <c r="D1033" s="101" t="str">
        <f t="shared" si="970"/>
        <v>658</v>
      </c>
      <c r="E1033" s="217" t="str">
        <f t="shared" si="971"/>
        <v>125-65-658</v>
      </c>
      <c r="F1033" s="294" t="str">
        <f t="shared" si="972"/>
        <v>59105</v>
      </c>
      <c r="G1033" s="295" t="str">
        <f>VLOOKUP(F1033,'GL Category'!A:C,3,FALSE)</f>
        <v>Transfers to other funds</v>
      </c>
      <c r="H1033" s="98" t="str">
        <f>VLOOKUP(F1033,'GL Category'!A:C,2,FALSE)</f>
        <v>TRANSFER TO CIP-GENERAL GOVERN</v>
      </c>
      <c r="I1033" s="99">
        <f>SUMIF(Import!$B:$B,$A1033,Import!D:D)</f>
        <v>0</v>
      </c>
      <c r="J1033" s="99">
        <f>SUMIF(Import!$B:$B,$A1033,Import!E:E)</f>
        <v>0</v>
      </c>
      <c r="K1033" s="99">
        <f>SUMIF(Import!$B:$B,$A1033,Import!F:F)</f>
        <v>0</v>
      </c>
      <c r="L1033" s="99">
        <f>SUMIF(Import!$B:$B,$A1033,Import!G:G)</f>
        <v>0</v>
      </c>
      <c r="M1033" s="99">
        <f>SUMIF(Import!$B:$B,$A1033,Import!H:H)</f>
        <v>0</v>
      </c>
      <c r="N1033" s="99">
        <f>SUMIF(Import!$B:$B,$A1033,Import!I:I)</f>
        <v>0</v>
      </c>
      <c r="O1033" s="99">
        <f>SUMIF(Import!$B:$B,$A1033,Import!J:J)</f>
        <v>0</v>
      </c>
      <c r="P1033" s="99">
        <f t="shared" si="1026"/>
        <v>0</v>
      </c>
      <c r="Q1033" s="99">
        <f>SUMIF(Import!$B:$B,$A1033,Import!K:K)</f>
        <v>0</v>
      </c>
      <c r="R1033" s="99">
        <f>SUMIF(Import!$B:$B,$A1033,Import!L:L)</f>
        <v>0</v>
      </c>
      <c r="S1033" s="99">
        <f>SUMIF(Import!$B:$B,$A1033,Import!M:M)</f>
        <v>0</v>
      </c>
      <c r="T1033" s="99">
        <f>SUMIF(Import!$B:$B,$A1033,Import!N:N)</f>
        <v>0</v>
      </c>
      <c r="U1033" s="99">
        <f t="shared" si="1027"/>
        <v>0</v>
      </c>
      <c r="V1033" s="255" t="str">
        <f t="shared" si="1028"/>
        <v>N/A</v>
      </c>
      <c r="W1033" s="102" t="s">
        <v>1737</v>
      </c>
      <c r="X1033" s="148"/>
      <c r="Y1033" s="267"/>
      <c r="Z1033" s="121"/>
      <c r="AA1033" s="121"/>
      <c r="AB1033" s="121"/>
      <c r="AC1033" s="121"/>
      <c r="AD1033" s="121"/>
      <c r="AE1033" s="121"/>
      <c r="AF1033" s="121"/>
      <c r="AG1033" s="121"/>
      <c r="AH1033" s="121"/>
      <c r="AI1033" s="121"/>
      <c r="AJ1033" s="121"/>
      <c r="AK1033" s="121"/>
      <c r="AL1033" s="121"/>
    </row>
    <row r="1034" spans="1:38" s="115" customFormat="1" ht="15" customHeight="1">
      <c r="A1034" s="555">
        <v>0</v>
      </c>
      <c r="B1034" s="217" t="str">
        <f t="shared" si="968"/>
        <v>0</v>
      </c>
      <c r="C1034" s="217" t="str">
        <f t="shared" si="969"/>
        <v/>
      </c>
      <c r="D1034" s="101" t="str">
        <f t="shared" si="970"/>
        <v/>
      </c>
      <c r="E1034" s="217" t="str">
        <f t="shared" si="971"/>
        <v>0</v>
      </c>
      <c r="F1034" s="294" t="str">
        <f t="shared" si="972"/>
        <v>0</v>
      </c>
      <c r="G1034" s="146"/>
      <c r="H1034" s="107" t="str">
        <f>UPPER(G1032)&amp;" TOTAL"</f>
        <v>CAPITAL OUTLAY TOTAL</v>
      </c>
      <c r="I1034" s="108">
        <f t="shared" ref="I1034" si="1029">SUBTOTAL(9,I1031:I1033)</f>
        <v>28699.05</v>
      </c>
      <c r="J1034" s="108">
        <f t="shared" ref="J1034:T1034" si="1030">SUBTOTAL(9,J1031:J1033)</f>
        <v>0</v>
      </c>
      <c r="K1034" s="108">
        <f t="shared" ref="K1034" si="1031">SUBTOTAL(9,K1031:K1033)</f>
        <v>806728.15</v>
      </c>
      <c r="L1034" s="108">
        <f t="shared" ref="L1034" si="1032">SUBTOTAL(9,L1031:L1033)</f>
        <v>326076.08</v>
      </c>
      <c r="M1034" s="108">
        <f t="shared" si="1030"/>
        <v>0</v>
      </c>
      <c r="N1034" s="108">
        <f t="shared" ref="N1034" si="1033">SUBTOTAL(9,N1031:N1033)</f>
        <v>54997.86</v>
      </c>
      <c r="O1034" s="108">
        <f t="shared" si="1030"/>
        <v>55000</v>
      </c>
      <c r="P1034" s="108">
        <f t="shared" si="1030"/>
        <v>55000</v>
      </c>
      <c r="Q1034" s="108">
        <f t="shared" si="1030"/>
        <v>0</v>
      </c>
      <c r="R1034" s="108">
        <f t="shared" si="1030"/>
        <v>0</v>
      </c>
      <c r="S1034" s="108">
        <f t="shared" si="1030"/>
        <v>0</v>
      </c>
      <c r="T1034" s="108">
        <f t="shared" si="1030"/>
        <v>0</v>
      </c>
      <c r="U1034" s="99">
        <f>T1034-M1034</f>
        <v>0</v>
      </c>
      <c r="V1034" s="259" t="str">
        <f>IF(M1034=0,"N/A",T1034/M1034-1)</f>
        <v>N/A</v>
      </c>
      <c r="W1034" s="104"/>
      <c r="X1034" s="148"/>
      <c r="Y1034" s="267"/>
      <c r="Z1034" s="121"/>
      <c r="AA1034" s="121"/>
      <c r="AB1034" s="121"/>
      <c r="AC1034" s="121"/>
      <c r="AD1034" s="121"/>
      <c r="AE1034" s="121"/>
      <c r="AF1034" s="121"/>
      <c r="AG1034" s="121"/>
      <c r="AH1034" s="121"/>
      <c r="AI1034" s="121"/>
      <c r="AJ1034" s="121"/>
      <c r="AK1034" s="121"/>
      <c r="AL1034" s="121"/>
    </row>
    <row r="1035" spans="1:38" s="115" customFormat="1" ht="15" customHeight="1">
      <c r="A1035" s="555"/>
      <c r="B1035" s="217"/>
      <c r="C1035" s="217"/>
      <c r="D1035" s="101"/>
      <c r="E1035" s="217"/>
      <c r="F1035" s="294"/>
      <c r="G1035" s="146"/>
      <c r="H1035" s="98"/>
      <c r="I1035" s="106"/>
      <c r="J1035" s="106"/>
      <c r="K1035" s="106"/>
      <c r="L1035" s="106"/>
      <c r="M1035" s="106"/>
      <c r="N1035" s="112"/>
      <c r="O1035" s="112"/>
      <c r="P1035" s="112"/>
      <c r="Q1035" s="113"/>
      <c r="R1035" s="113"/>
      <c r="S1035" s="113"/>
      <c r="T1035" s="113"/>
      <c r="U1035" s="113"/>
      <c r="V1035" s="113"/>
      <c r="W1035" s="104"/>
      <c r="X1035" s="148"/>
      <c r="Y1035" s="267"/>
      <c r="Z1035" s="121"/>
      <c r="AA1035" s="121"/>
      <c r="AB1035" s="121"/>
      <c r="AC1035" s="121"/>
      <c r="AD1035" s="121"/>
      <c r="AE1035" s="121"/>
      <c r="AF1035" s="121"/>
      <c r="AG1035" s="121"/>
      <c r="AH1035" s="121"/>
      <c r="AI1035" s="121"/>
      <c r="AJ1035" s="121"/>
      <c r="AK1035" s="121"/>
      <c r="AL1035" s="121"/>
    </row>
    <row r="1036" spans="1:38" s="115" customFormat="1" ht="15" customHeight="1">
      <c r="A1036" s="555"/>
      <c r="B1036" s="217"/>
      <c r="C1036" s="217"/>
      <c r="D1036" s="101"/>
      <c r="E1036" s="217"/>
      <c r="F1036" s="294"/>
      <c r="G1036" s="146"/>
      <c r="H1036" s="114" t="s">
        <v>763</v>
      </c>
      <c r="I1036" s="108">
        <f t="shared" ref="I1036" si="1034">SUBTOTAL(9,I1028:I1033)</f>
        <v>28699.05</v>
      </c>
      <c r="J1036" s="108">
        <f t="shared" ref="J1036:M1036" si="1035">SUBTOTAL(9,J1028:J1033)</f>
        <v>0</v>
      </c>
      <c r="K1036" s="108">
        <f t="shared" ref="K1036" si="1036">SUBTOTAL(9,K1028:K1033)</f>
        <v>825914.11</v>
      </c>
      <c r="L1036" s="108">
        <f t="shared" ref="L1036" si="1037">SUBTOTAL(9,L1028:L1033)</f>
        <v>339079.33</v>
      </c>
      <c r="M1036" s="108">
        <f t="shared" si="1035"/>
        <v>0</v>
      </c>
      <c r="N1036" s="108">
        <f>SUBTOTAL(9,N1028:N1033)</f>
        <v>54997.86</v>
      </c>
      <c r="O1036" s="108">
        <f>SUBTOTAL(9,O1028:O1033)</f>
        <v>55000</v>
      </c>
      <c r="P1036" s="108">
        <f>SUBTOTAL(9,P1028:P1032)</f>
        <v>55000</v>
      </c>
      <c r="Q1036" s="108">
        <f t="shared" ref="Q1036:R1036" si="1038">SUBTOTAL(9,Q1028:Q1033)</f>
        <v>0</v>
      </c>
      <c r="R1036" s="108">
        <f t="shared" si="1038"/>
        <v>0</v>
      </c>
      <c r="S1036" s="108">
        <f>SUBTOTAL(9,S1028:S1033)</f>
        <v>0</v>
      </c>
      <c r="T1036" s="108">
        <f>SUBTOTAL(9,T1028:T1033)</f>
        <v>0</v>
      </c>
      <c r="U1036" s="99">
        <f>T1036-M1036</f>
        <v>0</v>
      </c>
      <c r="V1036" s="259" t="str">
        <f>IF(M1036=0,"N/A",T1036/M1036-1)</f>
        <v>N/A</v>
      </c>
      <c r="W1036" s="104"/>
      <c r="X1036" s="148"/>
      <c r="Y1036" s="267"/>
      <c r="Z1036" s="121"/>
      <c r="AA1036" s="121"/>
      <c r="AB1036" s="121"/>
      <c r="AC1036" s="121"/>
      <c r="AD1036" s="121"/>
      <c r="AE1036" s="121"/>
      <c r="AF1036" s="121"/>
      <c r="AG1036" s="121"/>
      <c r="AH1036" s="121"/>
      <c r="AI1036" s="121"/>
      <c r="AJ1036" s="121"/>
      <c r="AK1036" s="121"/>
      <c r="AL1036" s="121"/>
    </row>
    <row r="1037" spans="1:38" s="115" customFormat="1" ht="15" customHeight="1" thickBot="1">
      <c r="A1037" s="555"/>
      <c r="B1037" s="217"/>
      <c r="C1037" s="217"/>
      <c r="D1037" s="101"/>
      <c r="E1037" s="217"/>
      <c r="F1037" s="294"/>
      <c r="G1037" s="146"/>
      <c r="H1037" s="98"/>
      <c r="I1037" s="218"/>
      <c r="J1037" s="218"/>
      <c r="K1037" s="218"/>
      <c r="L1037" s="218"/>
      <c r="M1037" s="218"/>
      <c r="N1037" s="96"/>
      <c r="O1037" s="96"/>
      <c r="P1037" s="96"/>
      <c r="Q1037" s="212"/>
      <c r="R1037" s="212"/>
      <c r="S1037" s="212"/>
      <c r="T1037" s="212"/>
      <c r="U1037" s="212"/>
      <c r="V1037" s="113"/>
      <c r="W1037" s="104"/>
      <c r="X1037" s="148"/>
      <c r="Y1037" s="267"/>
      <c r="Z1037" s="121"/>
      <c r="AA1037" s="121"/>
      <c r="AB1037" s="121"/>
      <c r="AC1037" s="121"/>
      <c r="AD1037" s="121"/>
      <c r="AE1037" s="121"/>
      <c r="AF1037" s="121"/>
      <c r="AG1037" s="121"/>
      <c r="AH1037" s="121"/>
      <c r="AI1037" s="121"/>
      <c r="AJ1037" s="121"/>
      <c r="AK1037" s="121"/>
      <c r="AL1037" s="121"/>
    </row>
    <row r="1038" spans="1:38" s="115" customFormat="1" ht="23.4" customHeight="1" thickBot="1">
      <c r="A1038" s="555"/>
      <c r="B1038" s="217"/>
      <c r="C1038" s="217"/>
      <c r="D1038" s="101"/>
      <c r="E1038" s="217"/>
      <c r="F1038" s="294"/>
      <c r="G1038" s="146"/>
      <c r="H1038" s="665" t="s">
        <v>639</v>
      </c>
      <c r="I1038" s="666"/>
      <c r="J1038" s="666"/>
      <c r="K1038" s="666"/>
      <c r="L1038" s="666"/>
      <c r="M1038" s="666"/>
      <c r="N1038" s="666"/>
      <c r="O1038" s="666"/>
      <c r="P1038" s="666"/>
      <c r="Q1038" s="666"/>
      <c r="R1038" s="666"/>
      <c r="S1038" s="666"/>
      <c r="T1038" s="667"/>
      <c r="U1038" s="247"/>
      <c r="V1038" s="261"/>
      <c r="W1038" s="104"/>
      <c r="X1038" s="148"/>
      <c r="Y1038" s="267"/>
      <c r="Z1038" s="121"/>
      <c r="AA1038" s="121"/>
      <c r="AB1038" s="121"/>
      <c r="AC1038" s="121"/>
      <c r="AD1038" s="121"/>
      <c r="AE1038" s="121"/>
      <c r="AF1038" s="121"/>
      <c r="AG1038" s="121"/>
      <c r="AH1038" s="121"/>
      <c r="AI1038" s="121"/>
      <c r="AJ1038" s="121"/>
      <c r="AK1038" s="121"/>
      <c r="AL1038" s="121"/>
    </row>
    <row r="1039" spans="1:38" s="115" customFormat="1" ht="15" customHeight="1">
      <c r="A1039" s="555"/>
      <c r="B1039" s="217"/>
      <c r="C1039" s="217"/>
      <c r="D1039" s="101"/>
      <c r="E1039" s="217"/>
      <c r="F1039" s="294"/>
      <c r="G1039" s="146"/>
      <c r="H1039" s="225"/>
      <c r="I1039" s="225"/>
      <c r="J1039" s="225"/>
      <c r="K1039" s="225"/>
      <c r="L1039" s="225"/>
      <c r="M1039" s="225"/>
      <c r="N1039" s="225"/>
      <c r="O1039" s="225"/>
      <c r="P1039" s="225"/>
      <c r="Q1039" s="225"/>
      <c r="R1039" s="225"/>
      <c r="S1039" s="225"/>
      <c r="T1039" s="225"/>
      <c r="U1039" s="225"/>
      <c r="V1039" s="260"/>
      <c r="W1039" s="104"/>
      <c r="X1039" s="148"/>
      <c r="Y1039" s="267"/>
      <c r="Z1039" s="121"/>
      <c r="AA1039" s="121"/>
      <c r="AB1039" s="121"/>
      <c r="AC1039" s="121"/>
      <c r="AD1039" s="121"/>
      <c r="AE1039" s="121"/>
      <c r="AF1039" s="121"/>
      <c r="AG1039" s="121"/>
      <c r="AH1039" s="121"/>
      <c r="AI1039" s="121"/>
      <c r="AJ1039" s="121"/>
      <c r="AK1039" s="121"/>
      <c r="AL1039" s="121"/>
    </row>
    <row r="1040" spans="1:38" s="115" customFormat="1" ht="15" customHeight="1">
      <c r="A1040" s="555" t="s">
        <v>1738</v>
      </c>
      <c r="B1040" s="217" t="str">
        <f t="shared" si="968"/>
        <v>125</v>
      </c>
      <c r="C1040" s="217" t="str">
        <f t="shared" si="969"/>
        <v>99</v>
      </c>
      <c r="D1040" s="101" t="str">
        <f t="shared" si="970"/>
        <v>998</v>
      </c>
      <c r="E1040" s="217" t="str">
        <f t="shared" si="971"/>
        <v>125-99-998</v>
      </c>
      <c r="F1040" s="294" t="str">
        <f t="shared" si="972"/>
        <v>59105</v>
      </c>
      <c r="G1040" s="295" t="str">
        <f>VLOOKUP(F1040,'GL Category'!A:C,3,FALSE)</f>
        <v>Transfers to other funds</v>
      </c>
      <c r="H1040" s="98" t="str">
        <f>VLOOKUP(F1040,'GL Category'!A:C,2,FALSE)</f>
        <v>TRANSFER TO CIP-GENERAL GOVERN</v>
      </c>
      <c r="I1040" s="99">
        <f>SUMIF(Import!$B:$B,$A1040,Import!D:D)</f>
        <v>627222</v>
      </c>
      <c r="J1040" s="99">
        <f>SUMIF(Import!$B:$B,$A1040,Import!E:E)</f>
        <v>0</v>
      </c>
      <c r="K1040" s="99">
        <f>SUMIF(Import!$B:$B,$A1040,Import!F:F)</f>
        <v>0</v>
      </c>
      <c r="L1040" s="99">
        <f>SUMIF(Import!$B:$B,$A1040,Import!G:G)</f>
        <v>0</v>
      </c>
      <c r="M1040" s="99">
        <f>SUMIF(Import!$B:$B,$A1040,Import!H:H)</f>
        <v>0</v>
      </c>
      <c r="N1040" s="99">
        <f>SUMIF(Import!$B:$B,$A1040,Import!I:I)</f>
        <v>0</v>
      </c>
      <c r="O1040" s="99">
        <f>SUMIF(Import!$B:$B,$A1040,Import!J:J)</f>
        <v>0</v>
      </c>
      <c r="P1040" s="99">
        <f t="shared" ref="P1040:P1042" si="1039">O1040-M1040</f>
        <v>0</v>
      </c>
      <c r="Q1040" s="99">
        <f>SUMIF(Import!$B:$B,$A1040,Import!K:K)</f>
        <v>0</v>
      </c>
      <c r="R1040" s="99">
        <f>SUMIF(Import!$B:$B,$A1040,Import!L:L)</f>
        <v>0</v>
      </c>
      <c r="S1040" s="99">
        <f>SUMIF(Import!$B:$B,$A1040,Import!M:M)</f>
        <v>0</v>
      </c>
      <c r="T1040" s="99">
        <f>SUMIF(Import!$B:$B,$A1040,Import!N:N)</f>
        <v>0</v>
      </c>
      <c r="U1040" s="99">
        <f t="shared" ref="U1040:U1042" si="1040">T1040-M1040</f>
        <v>0</v>
      </c>
      <c r="V1040" s="255" t="str">
        <f t="shared" ref="V1040:V1042" si="1041">IF(M1040=0,"N/A",T1040/M1040-1)</f>
        <v>N/A</v>
      </c>
      <c r="W1040" s="102" t="s">
        <v>1738</v>
      </c>
      <c r="X1040" s="148"/>
      <c r="Y1040" s="267"/>
      <c r="Z1040" s="121"/>
      <c r="AA1040" s="121"/>
      <c r="AB1040" s="121"/>
      <c r="AC1040" s="121"/>
      <c r="AD1040" s="121"/>
      <c r="AE1040" s="121"/>
      <c r="AF1040" s="121"/>
      <c r="AG1040" s="121"/>
      <c r="AH1040" s="121"/>
      <c r="AI1040" s="121"/>
      <c r="AJ1040" s="121"/>
      <c r="AK1040" s="121"/>
      <c r="AL1040" s="121"/>
    </row>
    <row r="1041" spans="1:56" s="115" customFormat="1" ht="15" customHeight="1">
      <c r="A1041" s="555" t="s">
        <v>3125</v>
      </c>
      <c r="B1041" s="217" t="str">
        <f t="shared" si="968"/>
        <v>125</v>
      </c>
      <c r="C1041" s="217" t="str">
        <f t="shared" si="969"/>
        <v>99</v>
      </c>
      <c r="D1041" s="101" t="str">
        <f t="shared" si="970"/>
        <v>998</v>
      </c>
      <c r="E1041" s="217" t="str">
        <f t="shared" si="971"/>
        <v>125-99-998</v>
      </c>
      <c r="F1041" s="294" t="str">
        <f t="shared" si="972"/>
        <v>59106</v>
      </c>
      <c r="G1041" s="295" t="str">
        <f>VLOOKUP(F1041,'GL Category'!A:C,3,FALSE)</f>
        <v>Transfers to other funds</v>
      </c>
      <c r="H1041" s="98" t="str">
        <f>VLOOKUP(F1041,'GL Category'!A:C,2,FALSE)</f>
        <v>TRANSFER TO CIP-RECR/AQUA CTR</v>
      </c>
      <c r="I1041" s="99">
        <f>SUMIF(Import!$B:$B,$A1041,Import!D:D)</f>
        <v>0</v>
      </c>
      <c r="J1041" s="99">
        <f>SUMIF(Import!$B:$B,$A1041,Import!E:E)</f>
        <v>0</v>
      </c>
      <c r="K1041" s="99">
        <f>SUMIF(Import!$B:$B,$A1041,Import!F:F)</f>
        <v>0</v>
      </c>
      <c r="L1041" s="99">
        <f>SUMIF(Import!$B:$B,$A1041,Import!G:G)</f>
        <v>0</v>
      </c>
      <c r="M1041" s="99">
        <f>SUMIF(Import!$B:$B,$A1041,Import!H:H)</f>
        <v>0</v>
      </c>
      <c r="N1041" s="99">
        <f>SUMIF(Import!$B:$B,$A1041,Import!I:I)</f>
        <v>0</v>
      </c>
      <c r="O1041" s="99">
        <f>SUMIF(Import!$B:$B,$A1041,Import!J:J)</f>
        <v>0</v>
      </c>
      <c r="P1041" s="99">
        <f t="shared" si="1039"/>
        <v>0</v>
      </c>
      <c r="Q1041" s="99">
        <f>SUMIF(Import!$B:$B,$A1041,Import!K:K)</f>
        <v>0</v>
      </c>
      <c r="R1041" s="99">
        <f>SUMIF(Import!$B:$B,$A1041,Import!L:L)</f>
        <v>0</v>
      </c>
      <c r="S1041" s="99">
        <f>SUMIF(Import!$B:$B,$A1041,Import!M:M)</f>
        <v>0</v>
      </c>
      <c r="T1041" s="99">
        <f>SUMIF(Import!$B:$B,$A1041,Import!N:N)</f>
        <v>0</v>
      </c>
      <c r="U1041" s="99">
        <f t="shared" si="1040"/>
        <v>0</v>
      </c>
      <c r="V1041" s="255" t="str">
        <f t="shared" si="1041"/>
        <v>N/A</v>
      </c>
      <c r="W1041" s="102" t="e">
        <v>#N/A</v>
      </c>
      <c r="X1041" s="148"/>
      <c r="Y1041" s="267"/>
      <c r="Z1041" s="121"/>
      <c r="AA1041" s="121"/>
      <c r="AB1041" s="121"/>
      <c r="AC1041" s="121"/>
      <c r="AD1041" s="121"/>
      <c r="AE1041" s="121"/>
      <c r="AF1041" s="121"/>
      <c r="AG1041" s="121"/>
      <c r="AH1041" s="121"/>
      <c r="AI1041" s="121"/>
      <c r="AJ1041" s="121"/>
      <c r="AK1041" s="121"/>
      <c r="AL1041" s="121"/>
    </row>
    <row r="1042" spans="1:56" s="115" customFormat="1" ht="15" customHeight="1">
      <c r="A1042" s="555" t="s">
        <v>1739</v>
      </c>
      <c r="B1042" s="217" t="str">
        <f t="shared" si="968"/>
        <v>125</v>
      </c>
      <c r="C1042" s="217" t="str">
        <f t="shared" si="969"/>
        <v>99</v>
      </c>
      <c r="D1042" s="101" t="str">
        <f t="shared" si="970"/>
        <v>998</v>
      </c>
      <c r="E1042" s="217" t="str">
        <f t="shared" si="971"/>
        <v>125-99-998</v>
      </c>
      <c r="F1042" s="294" t="str">
        <f t="shared" si="972"/>
        <v>59110</v>
      </c>
      <c r="G1042" s="295" t="e">
        <f>VLOOKUP(F1042,'GL Category'!A:C,3,FALSE)</f>
        <v>#N/A</v>
      </c>
      <c r="H1042" s="98" t="e">
        <f>VLOOKUP(F1042,'GL Category'!A:C,2,FALSE)</f>
        <v>#N/A</v>
      </c>
      <c r="I1042" s="99">
        <f>SUMIF(Import!$B:$B,$A1042,Import!D:D)</f>
        <v>0</v>
      </c>
      <c r="J1042" s="99">
        <f>SUMIF(Import!$B:$B,$A1042,Import!E:E)</f>
        <v>0</v>
      </c>
      <c r="K1042" s="99">
        <f>SUMIF(Import!$B:$B,$A1042,Import!F:F)</f>
        <v>0</v>
      </c>
      <c r="L1042" s="99">
        <f>SUMIF(Import!$B:$B,$A1042,Import!G:G)</f>
        <v>0</v>
      </c>
      <c r="M1042" s="99">
        <f>SUMIF(Import!$B:$B,$A1042,Import!H:H)</f>
        <v>0</v>
      </c>
      <c r="N1042" s="99">
        <f>SUMIF(Import!$B:$B,$A1042,Import!I:I)</f>
        <v>0</v>
      </c>
      <c r="O1042" s="99">
        <f>SUMIF(Import!$B:$B,$A1042,Import!J:J)</f>
        <v>0</v>
      </c>
      <c r="P1042" s="99">
        <f t="shared" si="1039"/>
        <v>0</v>
      </c>
      <c r="Q1042" s="99">
        <f>SUMIF(Import!$B:$B,$A1042,Import!K:K)</f>
        <v>0</v>
      </c>
      <c r="R1042" s="99">
        <f>SUMIF(Import!$B:$B,$A1042,Import!L:L)</f>
        <v>0</v>
      </c>
      <c r="S1042" s="99">
        <f>SUMIF(Import!$B:$B,$A1042,Import!M:M)</f>
        <v>0</v>
      </c>
      <c r="T1042" s="99">
        <f>SUMIF(Import!$B:$B,$A1042,Import!N:N)</f>
        <v>0</v>
      </c>
      <c r="U1042" s="99">
        <f t="shared" si="1040"/>
        <v>0</v>
      </c>
      <c r="V1042" s="255" t="str">
        <f t="shared" si="1041"/>
        <v>N/A</v>
      </c>
      <c r="W1042" s="102" t="s">
        <v>1739</v>
      </c>
      <c r="X1042" s="148"/>
      <c r="Y1042" s="267"/>
      <c r="Z1042" s="121"/>
      <c r="AA1042" s="121"/>
      <c r="AB1042" s="121"/>
      <c r="AC1042" s="121"/>
      <c r="AD1042" s="121"/>
      <c r="AE1042" s="121"/>
      <c r="AF1042" s="121"/>
      <c r="AG1042" s="121"/>
      <c r="AH1042" s="121"/>
      <c r="AI1042" s="121"/>
      <c r="AJ1042" s="121"/>
      <c r="AK1042" s="121"/>
      <c r="AL1042" s="121"/>
    </row>
    <row r="1043" spans="1:56" s="115" customFormat="1" ht="27" customHeight="1">
      <c r="A1043" s="555">
        <v>0</v>
      </c>
      <c r="B1043" s="217" t="str">
        <f t="shared" si="968"/>
        <v>0</v>
      </c>
      <c r="C1043" s="217" t="str">
        <f t="shared" si="969"/>
        <v/>
      </c>
      <c r="D1043" s="101" t="str">
        <f t="shared" si="970"/>
        <v/>
      </c>
      <c r="E1043" s="217" t="str">
        <f t="shared" si="971"/>
        <v>0</v>
      </c>
      <c r="F1043" s="294" t="str">
        <f t="shared" si="972"/>
        <v>0</v>
      </c>
      <c r="G1043" s="146"/>
      <c r="H1043" s="107" t="e">
        <f>UPPER(G1042)&amp;" TOTAL"</f>
        <v>#N/A</v>
      </c>
      <c r="I1043" s="108">
        <f t="shared" ref="I1043" si="1042">SUBTOTAL(9,I1040:I1042)</f>
        <v>627222</v>
      </c>
      <c r="J1043" s="108">
        <f t="shared" ref="J1043:T1043" si="1043">SUBTOTAL(9,J1040:J1042)</f>
        <v>0</v>
      </c>
      <c r="K1043" s="108">
        <f t="shared" ref="K1043" si="1044">SUBTOTAL(9,K1040:K1042)</f>
        <v>0</v>
      </c>
      <c r="L1043" s="108">
        <f t="shared" ref="L1043" si="1045">SUBTOTAL(9,L1040:L1042)</f>
        <v>0</v>
      </c>
      <c r="M1043" s="108">
        <f t="shared" si="1043"/>
        <v>0</v>
      </c>
      <c r="N1043" s="108">
        <f t="shared" ref="N1043" si="1046">SUBTOTAL(9,N1040:N1042)</f>
        <v>0</v>
      </c>
      <c r="O1043" s="108">
        <f t="shared" si="1043"/>
        <v>0</v>
      </c>
      <c r="P1043" s="108">
        <f t="shared" si="1043"/>
        <v>0</v>
      </c>
      <c r="Q1043" s="108">
        <f t="shared" si="1043"/>
        <v>0</v>
      </c>
      <c r="R1043" s="108">
        <f t="shared" si="1043"/>
        <v>0</v>
      </c>
      <c r="S1043" s="108">
        <f t="shared" si="1043"/>
        <v>0</v>
      </c>
      <c r="T1043" s="108">
        <f t="shared" si="1043"/>
        <v>0</v>
      </c>
      <c r="U1043" s="99">
        <f>T1043-M1043</f>
        <v>0</v>
      </c>
      <c r="V1043" s="259" t="str">
        <f>IF(M1043=0,"N/A",T1043/M1043-1)</f>
        <v>N/A</v>
      </c>
      <c r="W1043" s="104"/>
      <c r="X1043" s="148"/>
      <c r="Y1043" s="267"/>
      <c r="Z1043" s="121"/>
      <c r="AA1043" s="121"/>
      <c r="AB1043" s="121"/>
      <c r="AC1043" s="121"/>
      <c r="AD1043" s="121"/>
      <c r="AE1043" s="121"/>
      <c r="AF1043" s="121"/>
      <c r="AG1043" s="121"/>
      <c r="AH1043" s="121"/>
      <c r="AI1043" s="121"/>
      <c r="AJ1043" s="121"/>
      <c r="AK1043" s="121"/>
      <c r="AL1043" s="121"/>
    </row>
    <row r="1044" spans="1:56" s="115" customFormat="1" ht="15" customHeight="1">
      <c r="A1044" s="555">
        <v>0</v>
      </c>
      <c r="B1044" s="217" t="str">
        <f t="shared" si="968"/>
        <v>0</v>
      </c>
      <c r="C1044" s="217" t="str">
        <f t="shared" si="969"/>
        <v/>
      </c>
      <c r="D1044" s="101" t="str">
        <f t="shared" si="970"/>
        <v/>
      </c>
      <c r="E1044" s="217" t="str">
        <f t="shared" si="971"/>
        <v>0</v>
      </c>
      <c r="F1044" s="294" t="str">
        <f t="shared" si="972"/>
        <v>0</v>
      </c>
      <c r="G1044" s="146"/>
      <c r="H1044" s="98"/>
      <c r="I1044" s="106"/>
      <c r="J1044" s="106"/>
      <c r="K1044" s="106"/>
      <c r="L1044" s="106"/>
      <c r="M1044" s="106"/>
      <c r="N1044" s="112"/>
      <c r="O1044" s="112"/>
      <c r="P1044" s="112"/>
      <c r="Q1044" s="113"/>
      <c r="R1044" s="113"/>
      <c r="S1044" s="113"/>
      <c r="T1044" s="113"/>
      <c r="U1044" s="113"/>
      <c r="V1044" s="113"/>
      <c r="W1044" s="104"/>
      <c r="X1044" s="148"/>
      <c r="Y1044" s="267"/>
      <c r="Z1044" s="121"/>
      <c r="AA1044" s="121"/>
      <c r="AB1044" s="121"/>
      <c r="AC1044" s="121"/>
      <c r="AD1044" s="121"/>
      <c r="AE1044" s="121"/>
      <c r="AF1044" s="121"/>
      <c r="AG1044" s="121"/>
      <c r="AH1044" s="121"/>
      <c r="AI1044" s="121"/>
      <c r="AJ1044" s="121"/>
      <c r="AK1044" s="121"/>
      <c r="AL1044" s="121"/>
    </row>
    <row r="1045" spans="1:56" s="115" customFormat="1" ht="15" customHeight="1">
      <c r="A1045" s="555">
        <v>0</v>
      </c>
      <c r="B1045" s="217" t="str">
        <f t="shared" si="968"/>
        <v>0</v>
      </c>
      <c r="C1045" s="217" t="str">
        <f t="shared" si="969"/>
        <v/>
      </c>
      <c r="D1045" s="101" t="str">
        <f t="shared" si="970"/>
        <v/>
      </c>
      <c r="E1045" s="217" t="str">
        <f t="shared" si="971"/>
        <v>0</v>
      </c>
      <c r="F1045" s="294" t="str">
        <f t="shared" si="972"/>
        <v>0</v>
      </c>
      <c r="G1045" s="146"/>
      <c r="H1045" s="114" t="s">
        <v>763</v>
      </c>
      <c r="I1045" s="108">
        <f t="shared" ref="I1045" si="1047">SUBTOTAL(9,I1042:I1044)</f>
        <v>0</v>
      </c>
      <c r="J1045" s="108">
        <f t="shared" ref="J1045:O1045" si="1048">SUBTOTAL(9,J1042:J1044)</f>
        <v>0</v>
      </c>
      <c r="K1045" s="108">
        <f t="shared" ref="K1045" si="1049">SUBTOTAL(9,K1042:K1044)</f>
        <v>0</v>
      </c>
      <c r="L1045" s="108">
        <f t="shared" ref="L1045" si="1050">SUBTOTAL(9,L1042:L1044)</f>
        <v>0</v>
      </c>
      <c r="M1045" s="108">
        <f t="shared" si="1048"/>
        <v>0</v>
      </c>
      <c r="N1045" s="108">
        <f t="shared" ref="N1045" si="1051">SUBTOTAL(9,N1042:N1044)</f>
        <v>0</v>
      </c>
      <c r="O1045" s="108">
        <f t="shared" si="1048"/>
        <v>0</v>
      </c>
      <c r="P1045" s="108">
        <f>SUBTOTAL(9,P1042:P1044)</f>
        <v>0</v>
      </c>
      <c r="Q1045" s="108">
        <f t="shared" ref="Q1045:T1045" si="1052">SUBTOTAL(9,Q1042:Q1044)</f>
        <v>0</v>
      </c>
      <c r="R1045" s="108">
        <f t="shared" si="1052"/>
        <v>0</v>
      </c>
      <c r="S1045" s="108">
        <f t="shared" si="1052"/>
        <v>0</v>
      </c>
      <c r="T1045" s="108">
        <f t="shared" si="1052"/>
        <v>0</v>
      </c>
      <c r="U1045" s="99">
        <f>T1045-M1045</f>
        <v>0</v>
      </c>
      <c r="V1045" s="259" t="str">
        <f>IF(M1045=0,"N/A",T1045/M1045-1)</f>
        <v>N/A</v>
      </c>
      <c r="W1045" s="104"/>
      <c r="X1045" s="148"/>
      <c r="Y1045" s="267"/>
      <c r="Z1045" s="121"/>
      <c r="AA1045" s="121"/>
      <c r="AB1045" s="121"/>
      <c r="AC1045" s="121"/>
      <c r="AD1045" s="121"/>
      <c r="AE1045" s="121"/>
      <c r="AF1045" s="121"/>
      <c r="AG1045" s="121"/>
      <c r="AH1045" s="121"/>
      <c r="AI1045" s="121"/>
      <c r="AJ1045" s="121"/>
      <c r="AK1045" s="121"/>
      <c r="AL1045" s="121"/>
    </row>
    <row r="1046" spans="1:56" s="115" customFormat="1" ht="15" customHeight="1">
      <c r="A1046" s="555">
        <v>0</v>
      </c>
      <c r="B1046" s="217" t="str">
        <f t="shared" si="968"/>
        <v>0</v>
      </c>
      <c r="C1046" s="217" t="str">
        <f t="shared" si="969"/>
        <v/>
      </c>
      <c r="D1046" s="101" t="str">
        <f t="shared" si="970"/>
        <v/>
      </c>
      <c r="E1046" s="217" t="str">
        <f t="shared" si="971"/>
        <v>0</v>
      </c>
      <c r="F1046" s="294" t="str">
        <f t="shared" si="972"/>
        <v>0</v>
      </c>
      <c r="G1046" s="146"/>
      <c r="H1046" s="98"/>
      <c r="I1046" s="218"/>
      <c r="J1046" s="218"/>
      <c r="K1046" s="218"/>
      <c r="L1046" s="218"/>
      <c r="M1046" s="218"/>
      <c r="N1046" s="96"/>
      <c r="O1046" s="96"/>
      <c r="P1046" s="96"/>
      <c r="Q1046" s="212"/>
      <c r="R1046" s="212"/>
      <c r="S1046" s="212"/>
      <c r="T1046" s="212"/>
      <c r="U1046" s="212"/>
      <c r="V1046" s="113"/>
      <c r="W1046" s="104"/>
      <c r="X1046" s="148"/>
      <c r="Y1046" s="267"/>
      <c r="Z1046" s="121"/>
      <c r="AA1046" s="121"/>
      <c r="AB1046" s="121"/>
      <c r="AC1046" s="121"/>
      <c r="AD1046" s="121"/>
      <c r="AE1046" s="121"/>
      <c r="AF1046" s="121"/>
      <c r="AG1046" s="121"/>
      <c r="AH1046" s="121"/>
      <c r="AI1046" s="121"/>
      <c r="AJ1046" s="121"/>
      <c r="AK1046" s="121"/>
      <c r="AL1046" s="121"/>
    </row>
    <row r="1047" spans="1:56" s="115" customFormat="1" ht="15" customHeight="1">
      <c r="A1047" s="555">
        <v>0</v>
      </c>
      <c r="B1047" s="217" t="str">
        <f t="shared" si="968"/>
        <v>0</v>
      </c>
      <c r="C1047" s="217" t="str">
        <f t="shared" si="969"/>
        <v/>
      </c>
      <c r="D1047" s="101" t="str">
        <f t="shared" si="970"/>
        <v/>
      </c>
      <c r="E1047" s="217" t="str">
        <f t="shared" si="971"/>
        <v>0</v>
      </c>
      <c r="F1047" s="294" t="str">
        <f t="shared" si="972"/>
        <v>0</v>
      </c>
      <c r="G1047" s="146"/>
      <c r="H1047" s="114" t="s">
        <v>51</v>
      </c>
      <c r="I1047" s="108">
        <f t="shared" ref="I1047" si="1053">SUBTOTAL(9,I773:I1046)</f>
        <v>2706235.7300000004</v>
      </c>
      <c r="J1047" s="108">
        <f t="shared" ref="J1047:S1047" si="1054">SUBTOTAL(9,J773:J1046)</f>
        <v>2429554.1900000004</v>
      </c>
      <c r="K1047" s="108">
        <f t="shared" ref="K1047" si="1055">SUBTOTAL(9,K773:K1046)</f>
        <v>3238904.6999999997</v>
      </c>
      <c r="L1047" s="108">
        <f t="shared" ref="L1047" si="1056">SUBTOTAL(9,L773:L1046)</f>
        <v>3352688.34</v>
      </c>
      <c r="M1047" s="108">
        <f t="shared" si="1054"/>
        <v>3101253</v>
      </c>
      <c r="N1047" s="108">
        <f t="shared" si="1054"/>
        <v>2503144.5300000017</v>
      </c>
      <c r="O1047" s="108">
        <f t="shared" si="1054"/>
        <v>3347380</v>
      </c>
      <c r="P1047" s="108">
        <f t="shared" si="1054"/>
        <v>246127</v>
      </c>
      <c r="Q1047" s="108">
        <f t="shared" si="1054"/>
        <v>3131026</v>
      </c>
      <c r="R1047" s="108">
        <f t="shared" si="1054"/>
        <v>124500</v>
      </c>
      <c r="S1047" s="108">
        <f t="shared" si="1054"/>
        <v>0</v>
      </c>
      <c r="T1047" s="108">
        <f>SUBTOTAL(9,T773:T1046)</f>
        <v>3255526</v>
      </c>
      <c r="U1047" s="99">
        <f>T1047-M1047</f>
        <v>154273</v>
      </c>
      <c r="V1047" s="255">
        <f>IF(M1047=0,"N/A",T1047/M1047-1)</f>
        <v>4.9745377110477662E-2</v>
      </c>
      <c r="W1047" s="104"/>
      <c r="X1047" s="148"/>
      <c r="Y1047" s="267"/>
      <c r="Z1047" s="121"/>
      <c r="AA1047" s="121"/>
      <c r="AB1047" s="121"/>
      <c r="AC1047" s="121"/>
      <c r="AD1047" s="121"/>
      <c r="AE1047" s="121"/>
      <c r="AF1047" s="121"/>
      <c r="AG1047" s="121"/>
      <c r="AH1047" s="121"/>
      <c r="AI1047" s="121"/>
      <c r="AJ1047" s="121"/>
      <c r="AK1047" s="121"/>
      <c r="AL1047" s="121"/>
    </row>
    <row r="1048" spans="1:56">
      <c r="A1048" s="555">
        <v>0</v>
      </c>
      <c r="B1048" s="217" t="str">
        <f t="shared" si="968"/>
        <v>0</v>
      </c>
      <c r="C1048" s="217" t="str">
        <f t="shared" si="969"/>
        <v/>
      </c>
      <c r="D1048" s="101" t="str">
        <f t="shared" si="970"/>
        <v/>
      </c>
      <c r="E1048" s="217" t="str">
        <f t="shared" si="971"/>
        <v>0</v>
      </c>
      <c r="F1048" s="294" t="str">
        <f t="shared" si="972"/>
        <v>0</v>
      </c>
    </row>
    <row r="1052" spans="1:56" s="71" customFormat="1" ht="15" customHeight="1">
      <c r="A1052" s="185" t="s">
        <v>1128</v>
      </c>
      <c r="B1052" s="217" t="str">
        <f t="shared" ref="B1052:B1063" si="1057">LEFT(A1052,3)</f>
        <v>125</v>
      </c>
      <c r="C1052" s="217" t="str">
        <f t="shared" ref="C1052:C1063" si="1058">RIGHT(A1052,3)</f>
        <v>650</v>
      </c>
      <c r="D1052" s="101">
        <v>0</v>
      </c>
      <c r="E1052" s="101" t="str">
        <f t="shared" ref="E1052:E1063" si="1059">B1052&amp;"-"&amp;C1052</f>
        <v>125-650</v>
      </c>
      <c r="F1052" s="294" t="str">
        <f t="shared" ref="F1052:F1063" si="1060">MID(A1052,5,5)</f>
        <v>50101</v>
      </c>
      <c r="G1052" s="295" t="str">
        <f>VLOOKUP(F1052,'GL Category'!A:C,3,FALSE)</f>
        <v>Personnel services</v>
      </c>
      <c r="H1052" s="98" t="str">
        <f>VLOOKUP(F1052,'GL Category'!A:C,2,FALSE)</f>
        <v>EXEMPT SALARIES</v>
      </c>
      <c r="I1052" s="99">
        <f>SUMIFS(I$1:I1043,$C$1:$C1043,$C1052,$F$1:$F1043,$F1052)</f>
        <v>0</v>
      </c>
      <c r="J1052" s="99">
        <f>SUMIFS(J$1:J1043,$C$1:$C1043,$C1052,$F$1:$F1043,$F1052)</f>
        <v>0</v>
      </c>
      <c r="K1052" s="99">
        <f>SUMIFS(K$1:K1043,$C$1:$C1043,$C1052,$F$1:$F1043,$F1052)</f>
        <v>0</v>
      </c>
      <c r="L1052" s="99">
        <f>SUMIFS(L$1:L1043,$C$1:$C1043,$C1052,$F$1:$F1043,$F1052)</f>
        <v>0</v>
      </c>
      <c r="M1052" s="99">
        <f>SUMIFS(M$1:M1043,$C$1:$C1043,$C1052,$F$1:$F1043,$F1052)</f>
        <v>0</v>
      </c>
      <c r="N1052" s="99">
        <f>SUMIFS(N$1:N1043,$C$1:$C1043,$C1052,$F$1:$F1043,$F1052)</f>
        <v>0</v>
      </c>
      <c r="O1052" s="99">
        <f>SUMIFS(O$1:O1043,$C$1:$C1043,$C1052,$F$1:$F1043,$F1052)</f>
        <v>0</v>
      </c>
      <c r="P1052" s="99">
        <f t="shared" ref="P1052:P1063" si="1061">O1052-M1052</f>
        <v>0</v>
      </c>
      <c r="Q1052" s="99">
        <f>SUMIFS(Q$1:Q1043,$C$1:$C1043,$C1052,$F$1:$F1043,$F1052)</f>
        <v>0</v>
      </c>
      <c r="R1052" s="99">
        <f>SUMIFS(R$1:R1043,$C$1:$C1043,$C1052,$F$1:$F1043,$F1052)</f>
        <v>0</v>
      </c>
      <c r="S1052" s="99">
        <f>SUMIFS(S$1:S1043,$C$1:$C1043,$C1052,$F$1:$F1043,$F1052)</f>
        <v>0</v>
      </c>
      <c r="T1052" s="99">
        <f>SUMIFS(T$1:T1043,$C$1:$C1043,$C1052,$F$1:$F1043,$F1052)</f>
        <v>0</v>
      </c>
      <c r="U1052" s="99">
        <f t="shared" ref="U1052:U1064" si="1062">T1052-M1052</f>
        <v>0</v>
      </c>
      <c r="V1052" s="255" t="str">
        <f t="shared" ref="V1052:V1064" si="1063">IF(M1052=0,"N/A",T1052/M1052-1)</f>
        <v>N/A</v>
      </c>
      <c r="W1052" s="103" t="str">
        <f t="shared" ref="W1052:W1083" si="1064">IF(T1052=SUM(Q1052:S1052),"OK","NO")</f>
        <v>OK</v>
      </c>
      <c r="Y1052" s="476"/>
      <c r="Z1052" s="308"/>
      <c r="AA1052" s="308"/>
      <c r="AB1052" s="308"/>
      <c r="AC1052" s="308"/>
      <c r="AD1052" s="308"/>
      <c r="AE1052" s="308"/>
      <c r="AF1052" s="308"/>
      <c r="AG1052" s="308"/>
      <c r="AH1052" s="308"/>
      <c r="AI1052" s="308"/>
      <c r="AJ1052" s="308"/>
      <c r="AK1052" s="308"/>
      <c r="AL1052" s="308"/>
      <c r="AM1052" s="70"/>
      <c r="AN1052" s="70"/>
      <c r="AO1052" s="70"/>
      <c r="AP1052" s="70"/>
      <c r="AQ1052" s="70"/>
      <c r="AR1052" s="70"/>
      <c r="AS1052" s="70"/>
      <c r="AT1052" s="70"/>
      <c r="AU1052" s="70"/>
      <c r="AV1052" s="70"/>
      <c r="AW1052" s="70"/>
      <c r="AX1052" s="70"/>
      <c r="AY1052" s="70"/>
      <c r="AZ1052" s="70"/>
      <c r="BA1052" s="70"/>
      <c r="BB1052" s="70"/>
      <c r="BC1052" s="70"/>
      <c r="BD1052" s="70"/>
    </row>
    <row r="1053" spans="1:56" s="71" customFormat="1" ht="15" customHeight="1">
      <c r="A1053" s="185" t="s">
        <v>1129</v>
      </c>
      <c r="B1053" s="217" t="str">
        <f t="shared" si="1057"/>
        <v>125</v>
      </c>
      <c r="C1053" s="217" t="str">
        <f t="shared" si="1058"/>
        <v>650</v>
      </c>
      <c r="D1053" s="101">
        <v>0</v>
      </c>
      <c r="E1053" s="101" t="str">
        <f t="shared" si="1059"/>
        <v>125-650</v>
      </c>
      <c r="F1053" s="294" t="str">
        <f t="shared" si="1060"/>
        <v>50102</v>
      </c>
      <c r="G1053" s="295" t="str">
        <f>VLOOKUP(F1053,'GL Category'!A:C,3,FALSE)</f>
        <v>Personnel services</v>
      </c>
      <c r="H1053" s="98" t="str">
        <f>VLOOKUP(F1053,'GL Category'!A:C,2,FALSE)</f>
        <v>NON EXEMPT SALARIES</v>
      </c>
      <c r="I1053" s="99">
        <f>SUMIFS(I$1:I1047,$C$1:$C1047,$C1053,$F$1:$F1047,$F1053)</f>
        <v>0</v>
      </c>
      <c r="J1053" s="99">
        <f>SUMIFS(J$1:J1047,$C$1:$C1047,$C1053,$F$1:$F1047,$F1053)</f>
        <v>0</v>
      </c>
      <c r="K1053" s="99">
        <f>SUMIFS(K$1:K1047,$C$1:$C1047,$C1053,$F$1:$F1047,$F1053)</f>
        <v>0</v>
      </c>
      <c r="L1053" s="99">
        <f>SUMIFS(L$1:L1047,$C$1:$C1047,$C1053,$F$1:$F1047,$F1053)</f>
        <v>0</v>
      </c>
      <c r="M1053" s="99">
        <f>SUMIFS(M$1:M1047,$C$1:$C1047,$C1053,$F$1:$F1047,$F1053)</f>
        <v>0</v>
      </c>
      <c r="N1053" s="99">
        <f>SUMIFS(N$1:N1047,$C$1:$C1047,$C1053,$F$1:$F1047,$F1053)</f>
        <v>0</v>
      </c>
      <c r="O1053" s="99">
        <f>SUMIFS(O$1:O1047,$C$1:$C1047,$C1053,$F$1:$F1047,$F1053)</f>
        <v>0</v>
      </c>
      <c r="P1053" s="99">
        <f t="shared" si="1061"/>
        <v>0</v>
      </c>
      <c r="Q1053" s="99">
        <f>SUMIFS(Q$1:Q1047,$C$1:$C1047,$C1053,$F$1:$F1047,$F1053)</f>
        <v>0</v>
      </c>
      <c r="R1053" s="99">
        <f>SUMIFS(R$1:R1047,$C$1:$C1047,$C1053,$F$1:$F1047,$F1053)</f>
        <v>0</v>
      </c>
      <c r="S1053" s="99">
        <f>SUMIFS(S$1:S1047,$C$1:$C1047,$C1053,$F$1:$F1047,$F1053)</f>
        <v>0</v>
      </c>
      <c r="T1053" s="99">
        <f>SUMIFS(T$1:T1047,$C$1:$C1047,$C1053,$F$1:$F1047,$F1053)</f>
        <v>0</v>
      </c>
      <c r="U1053" s="99">
        <f t="shared" si="1062"/>
        <v>0</v>
      </c>
      <c r="V1053" s="255" t="str">
        <f t="shared" si="1063"/>
        <v>N/A</v>
      </c>
      <c r="W1053" s="103" t="str">
        <f t="shared" si="1064"/>
        <v>OK</v>
      </c>
      <c r="Y1053" s="476"/>
      <c r="Z1053" s="308"/>
      <c r="AA1053" s="308"/>
      <c r="AB1053" s="308"/>
      <c r="AC1053" s="308"/>
      <c r="AD1053" s="308"/>
      <c r="AE1053" s="308"/>
      <c r="AF1053" s="308"/>
      <c r="AG1053" s="308"/>
      <c r="AH1053" s="308"/>
      <c r="AI1053" s="308"/>
      <c r="AJ1053" s="308"/>
      <c r="AK1053" s="308"/>
      <c r="AL1053" s="308"/>
      <c r="AM1053" s="70"/>
      <c r="AN1053" s="70"/>
      <c r="AO1053" s="70"/>
      <c r="AP1053" s="70"/>
      <c r="AQ1053" s="70"/>
      <c r="AR1053" s="70"/>
      <c r="AS1053" s="70"/>
      <c r="AT1053" s="70"/>
      <c r="AU1053" s="70"/>
      <c r="AV1053" s="70"/>
      <c r="AW1053" s="70"/>
      <c r="AX1053" s="70"/>
      <c r="AY1053" s="70"/>
      <c r="AZ1053" s="70"/>
      <c r="BA1053" s="70"/>
      <c r="BB1053" s="70"/>
      <c r="BC1053" s="70"/>
      <c r="BD1053" s="70"/>
    </row>
    <row r="1054" spans="1:56" s="71" customFormat="1" ht="15" customHeight="1">
      <c r="A1054" s="185" t="s">
        <v>1130</v>
      </c>
      <c r="B1054" s="217" t="str">
        <f t="shared" si="1057"/>
        <v>125</v>
      </c>
      <c r="C1054" s="217" t="str">
        <f t="shared" si="1058"/>
        <v>650</v>
      </c>
      <c r="D1054" s="101">
        <v>0</v>
      </c>
      <c r="E1054" s="101" t="str">
        <f t="shared" si="1059"/>
        <v>125-650</v>
      </c>
      <c r="F1054" s="294" t="str">
        <f t="shared" si="1060"/>
        <v>50109</v>
      </c>
      <c r="G1054" s="295" t="str">
        <f>VLOOKUP(F1054,'GL Category'!A:C,3,FALSE)</f>
        <v>Personnel services</v>
      </c>
      <c r="H1054" s="98" t="str">
        <f>VLOOKUP(F1054,'GL Category'!A:C,2,FALSE)</f>
        <v>OVERTIME</v>
      </c>
      <c r="I1054" s="99">
        <f>SUMIFS(I$1:I1048,$C$1:$C1048,$C1054,$F$1:$F1048,$F1054)</f>
        <v>0</v>
      </c>
      <c r="J1054" s="99">
        <f>SUMIFS(J$1:J1048,$C$1:$C1048,$C1054,$F$1:$F1048,$F1054)</f>
        <v>0</v>
      </c>
      <c r="K1054" s="99">
        <f>SUMIFS(K$1:K1048,$C$1:$C1048,$C1054,$F$1:$F1048,$F1054)</f>
        <v>0</v>
      </c>
      <c r="L1054" s="99">
        <f>SUMIFS(L$1:L1048,$C$1:$C1048,$C1054,$F$1:$F1048,$F1054)</f>
        <v>0</v>
      </c>
      <c r="M1054" s="99">
        <f>SUMIFS(M$1:M1048,$C$1:$C1048,$C1054,$F$1:$F1048,$F1054)</f>
        <v>0</v>
      </c>
      <c r="N1054" s="99">
        <f>SUMIFS(N$1:N1048,$C$1:$C1048,$C1054,$F$1:$F1048,$F1054)</f>
        <v>0</v>
      </c>
      <c r="O1054" s="99">
        <f>SUMIFS(O$1:O1048,$C$1:$C1048,$C1054,$F$1:$F1048,$F1054)</f>
        <v>0</v>
      </c>
      <c r="P1054" s="99">
        <f t="shared" si="1061"/>
        <v>0</v>
      </c>
      <c r="Q1054" s="99">
        <f>SUMIFS(Q$1:Q1048,$C$1:$C1048,$C1054,$F$1:$F1048,$F1054)</f>
        <v>0</v>
      </c>
      <c r="R1054" s="99">
        <f>SUMIFS(R$1:R1048,$C$1:$C1048,$C1054,$F$1:$F1048,$F1054)</f>
        <v>0</v>
      </c>
      <c r="S1054" s="99">
        <f>SUMIFS(S$1:S1048,$C$1:$C1048,$C1054,$F$1:$F1048,$F1054)</f>
        <v>0</v>
      </c>
      <c r="T1054" s="99">
        <f>SUMIFS(T$1:T1048,$C$1:$C1048,$C1054,$F$1:$F1048,$F1054)</f>
        <v>0</v>
      </c>
      <c r="U1054" s="99">
        <f t="shared" si="1062"/>
        <v>0</v>
      </c>
      <c r="V1054" s="255" t="str">
        <f t="shared" si="1063"/>
        <v>N/A</v>
      </c>
      <c r="W1054" s="103" t="str">
        <f t="shared" si="1064"/>
        <v>OK</v>
      </c>
      <c r="Y1054" s="476"/>
      <c r="Z1054" s="308"/>
      <c r="AA1054" s="308"/>
      <c r="AB1054" s="308"/>
      <c r="AC1054" s="308"/>
      <c r="AD1054" s="308"/>
      <c r="AE1054" s="308"/>
      <c r="AF1054" s="308"/>
      <c r="AG1054" s="308"/>
      <c r="AH1054" s="308"/>
      <c r="AI1054" s="308"/>
      <c r="AJ1054" s="308"/>
      <c r="AK1054" s="308"/>
      <c r="AL1054" s="308"/>
      <c r="AM1054" s="70"/>
      <c r="AN1054" s="70"/>
      <c r="AO1054" s="70"/>
      <c r="AP1054" s="70"/>
      <c r="AQ1054" s="70"/>
      <c r="AR1054" s="70"/>
      <c r="AS1054" s="70"/>
      <c r="AT1054" s="70"/>
      <c r="AU1054" s="70"/>
      <c r="AV1054" s="70"/>
      <c r="AW1054" s="70"/>
      <c r="AX1054" s="70"/>
      <c r="AY1054" s="70"/>
      <c r="AZ1054" s="70"/>
      <c r="BA1054" s="70"/>
      <c r="BB1054" s="70"/>
      <c r="BC1054" s="70"/>
      <c r="BD1054" s="70"/>
    </row>
    <row r="1055" spans="1:56" s="71" customFormat="1" ht="15" customHeight="1">
      <c r="A1055" s="185" t="s">
        <v>1131</v>
      </c>
      <c r="B1055" s="217" t="str">
        <f t="shared" si="1057"/>
        <v>125</v>
      </c>
      <c r="C1055" s="217" t="str">
        <f t="shared" si="1058"/>
        <v>650</v>
      </c>
      <c r="D1055" s="101">
        <v>0</v>
      </c>
      <c r="E1055" s="101" t="str">
        <f t="shared" si="1059"/>
        <v>125-650</v>
      </c>
      <c r="F1055" s="294" t="str">
        <f t="shared" si="1060"/>
        <v>50110</v>
      </c>
      <c r="G1055" s="295" t="str">
        <f>VLOOKUP(F1055,'GL Category'!A:C,3,FALSE)</f>
        <v>Personnel services</v>
      </c>
      <c r="H1055" s="98" t="str">
        <f>VLOOKUP(F1055,'GL Category'!A:C,2,FALSE)</f>
        <v>PART-TIME WAGES</v>
      </c>
      <c r="I1055" s="99">
        <f>SUMIFS(I$1:I1049,$C$1:$C1049,$C1055,$F$1:$F1049,$F1055)</f>
        <v>0</v>
      </c>
      <c r="J1055" s="99">
        <f>SUMIFS(J$1:J1049,$C$1:$C1049,$C1055,$F$1:$F1049,$F1055)</f>
        <v>0</v>
      </c>
      <c r="K1055" s="99">
        <f>SUMIFS(K$1:K1049,$C$1:$C1049,$C1055,$F$1:$F1049,$F1055)</f>
        <v>0</v>
      </c>
      <c r="L1055" s="99">
        <f>SUMIFS(L$1:L1049,$C$1:$C1049,$C1055,$F$1:$F1049,$F1055)</f>
        <v>0</v>
      </c>
      <c r="M1055" s="99">
        <f>SUMIFS(M$1:M1049,$C$1:$C1049,$C1055,$F$1:$F1049,$F1055)</f>
        <v>0</v>
      </c>
      <c r="N1055" s="99">
        <f>SUMIFS(N$1:N1049,$C$1:$C1049,$C1055,$F$1:$F1049,$F1055)</f>
        <v>0</v>
      </c>
      <c r="O1055" s="99">
        <f>SUMIFS(O$1:O1049,$C$1:$C1049,$C1055,$F$1:$F1049,$F1055)</f>
        <v>0</v>
      </c>
      <c r="P1055" s="99">
        <f t="shared" si="1061"/>
        <v>0</v>
      </c>
      <c r="Q1055" s="99">
        <f>SUMIFS(Q$1:Q1049,$C$1:$C1049,$C1055,$F$1:$F1049,$F1055)</f>
        <v>0</v>
      </c>
      <c r="R1055" s="99">
        <f>SUMIFS(R$1:R1049,$C$1:$C1049,$C1055,$F$1:$F1049,$F1055)</f>
        <v>0</v>
      </c>
      <c r="S1055" s="99">
        <f>SUMIFS(S$1:S1049,$C$1:$C1049,$C1055,$F$1:$F1049,$F1055)</f>
        <v>0</v>
      </c>
      <c r="T1055" s="99">
        <f>SUMIFS(T$1:T1049,$C$1:$C1049,$C1055,$F$1:$F1049,$F1055)</f>
        <v>0</v>
      </c>
      <c r="U1055" s="99">
        <f t="shared" si="1062"/>
        <v>0</v>
      </c>
      <c r="V1055" s="255" t="str">
        <f t="shared" si="1063"/>
        <v>N/A</v>
      </c>
      <c r="W1055" s="103" t="str">
        <f t="shared" si="1064"/>
        <v>OK</v>
      </c>
      <c r="Y1055" s="476"/>
      <c r="Z1055" s="308"/>
      <c r="AA1055" s="308"/>
      <c r="AB1055" s="308"/>
      <c r="AC1055" s="308"/>
      <c r="AD1055" s="308"/>
      <c r="AE1055" s="308"/>
      <c r="AF1055" s="308"/>
      <c r="AG1055" s="308"/>
      <c r="AH1055" s="308"/>
      <c r="AI1055" s="308"/>
      <c r="AJ1055" s="308"/>
      <c r="AK1055" s="308"/>
      <c r="AL1055" s="308"/>
      <c r="AM1055" s="70"/>
      <c r="AN1055" s="70"/>
      <c r="AO1055" s="70"/>
      <c r="AP1055" s="70"/>
      <c r="AQ1055" s="70"/>
      <c r="AR1055" s="70"/>
      <c r="AS1055" s="70"/>
      <c r="AT1055" s="70"/>
      <c r="AU1055" s="70"/>
      <c r="AV1055" s="70"/>
      <c r="AW1055" s="70"/>
      <c r="AX1055" s="70"/>
      <c r="AY1055" s="70"/>
      <c r="AZ1055" s="70"/>
      <c r="BA1055" s="70"/>
      <c r="BB1055" s="70"/>
      <c r="BC1055" s="70"/>
      <c r="BD1055" s="70"/>
    </row>
    <row r="1056" spans="1:56" s="71" customFormat="1" ht="15" customHeight="1">
      <c r="A1056" s="185" t="s">
        <v>1132</v>
      </c>
      <c r="B1056" s="217" t="str">
        <f t="shared" si="1057"/>
        <v>125</v>
      </c>
      <c r="C1056" s="217" t="str">
        <f t="shared" si="1058"/>
        <v>650</v>
      </c>
      <c r="D1056" s="101">
        <v>0</v>
      </c>
      <c r="E1056" s="101" t="str">
        <f t="shared" si="1059"/>
        <v>125-650</v>
      </c>
      <c r="F1056" s="294" t="str">
        <f t="shared" si="1060"/>
        <v>50111</v>
      </c>
      <c r="G1056" s="295" t="str">
        <f>VLOOKUP(F1056,'GL Category'!A:C,3,FALSE)</f>
        <v>Personnel services</v>
      </c>
      <c r="H1056" s="98" t="str">
        <f>VLOOKUP(F1056,'GL Category'!A:C,2,FALSE)</f>
        <v>LONGEVITY PAY</v>
      </c>
      <c r="I1056" s="99">
        <f>SUMIFS(I$1:I1050,$C$1:$C1050,$C1056,$F$1:$F1050,$F1056)</f>
        <v>0</v>
      </c>
      <c r="J1056" s="99">
        <f>SUMIFS(J$1:J1050,$C$1:$C1050,$C1056,$F$1:$F1050,$F1056)</f>
        <v>0</v>
      </c>
      <c r="K1056" s="99">
        <f>SUMIFS(K$1:K1050,$C$1:$C1050,$C1056,$F$1:$F1050,$F1056)</f>
        <v>0</v>
      </c>
      <c r="L1056" s="99">
        <f>SUMIFS(L$1:L1050,$C$1:$C1050,$C1056,$F$1:$F1050,$F1056)</f>
        <v>0</v>
      </c>
      <c r="M1056" s="99">
        <f>SUMIFS(M$1:M1050,$C$1:$C1050,$C1056,$F$1:$F1050,$F1056)</f>
        <v>0</v>
      </c>
      <c r="N1056" s="99">
        <f>SUMIFS(N$1:N1050,$C$1:$C1050,$C1056,$F$1:$F1050,$F1056)</f>
        <v>0</v>
      </c>
      <c r="O1056" s="99">
        <f>SUMIFS(O$1:O1050,$C$1:$C1050,$C1056,$F$1:$F1050,$F1056)</f>
        <v>0</v>
      </c>
      <c r="P1056" s="99">
        <f t="shared" si="1061"/>
        <v>0</v>
      </c>
      <c r="Q1056" s="99">
        <f>SUMIFS(Q$1:Q1050,$C$1:$C1050,$C1056,$F$1:$F1050,$F1056)</f>
        <v>0</v>
      </c>
      <c r="R1056" s="99">
        <f>SUMIFS(R$1:R1050,$C$1:$C1050,$C1056,$F$1:$F1050,$F1056)</f>
        <v>0</v>
      </c>
      <c r="S1056" s="99">
        <f>SUMIFS(S$1:S1050,$C$1:$C1050,$C1056,$F$1:$F1050,$F1056)</f>
        <v>0</v>
      </c>
      <c r="T1056" s="99">
        <f>SUMIFS(T$1:T1050,$C$1:$C1050,$C1056,$F$1:$F1050,$F1056)</f>
        <v>0</v>
      </c>
      <c r="U1056" s="99">
        <f t="shared" si="1062"/>
        <v>0</v>
      </c>
      <c r="V1056" s="255" t="str">
        <f t="shared" si="1063"/>
        <v>N/A</v>
      </c>
      <c r="W1056" s="103" t="str">
        <f t="shared" si="1064"/>
        <v>OK</v>
      </c>
      <c r="Y1056" s="476"/>
      <c r="Z1056" s="308"/>
      <c r="AA1056" s="308"/>
      <c r="AB1056" s="308"/>
      <c r="AC1056" s="308"/>
      <c r="AD1056" s="308"/>
      <c r="AE1056" s="308"/>
      <c r="AF1056" s="308"/>
      <c r="AG1056" s="308"/>
      <c r="AH1056" s="308"/>
      <c r="AI1056" s="308"/>
      <c r="AJ1056" s="308"/>
      <c r="AK1056" s="308"/>
      <c r="AL1056" s="308"/>
      <c r="AM1056" s="70"/>
      <c r="AN1056" s="70"/>
      <c r="AO1056" s="70"/>
      <c r="AP1056" s="70"/>
      <c r="AQ1056" s="70"/>
      <c r="AR1056" s="70"/>
      <c r="AS1056" s="70"/>
      <c r="AT1056" s="70"/>
      <c r="AU1056" s="70"/>
      <c r="AV1056" s="70"/>
      <c r="AW1056" s="70"/>
      <c r="AX1056" s="70"/>
      <c r="AY1056" s="70"/>
      <c r="AZ1056" s="70"/>
      <c r="BA1056" s="70"/>
      <c r="BB1056" s="70"/>
      <c r="BC1056" s="70"/>
      <c r="BD1056" s="70"/>
    </row>
    <row r="1057" spans="1:56" s="71" customFormat="1" ht="15" customHeight="1">
      <c r="A1057" s="185" t="s">
        <v>1133</v>
      </c>
      <c r="B1057" s="217" t="str">
        <f t="shared" si="1057"/>
        <v>125</v>
      </c>
      <c r="C1057" s="217" t="str">
        <f t="shared" si="1058"/>
        <v>650</v>
      </c>
      <c r="D1057" s="101">
        <v>0</v>
      </c>
      <c r="E1057" s="101" t="str">
        <f t="shared" si="1059"/>
        <v>125-650</v>
      </c>
      <c r="F1057" s="294" t="str">
        <f t="shared" si="1060"/>
        <v>50112</v>
      </c>
      <c r="G1057" s="295" t="str">
        <f>VLOOKUP(F1057,'GL Category'!A:C,3,FALSE)</f>
        <v>Personnel services</v>
      </c>
      <c r="H1057" s="98" t="str">
        <f>VLOOKUP(F1057,'GL Category'!A:C,2,FALSE)</f>
        <v>TEMPORARY/SEASONAL WAGES</v>
      </c>
      <c r="I1057" s="99">
        <f>SUMIFS(I$1:I1051,$C$1:$C1051,$C1057,$F$1:$F1051,$F1057)</f>
        <v>0</v>
      </c>
      <c r="J1057" s="99">
        <f>SUMIFS(J$1:J1051,$C$1:$C1051,$C1057,$F$1:$F1051,$F1057)</f>
        <v>0</v>
      </c>
      <c r="K1057" s="99">
        <f>SUMIFS(K$1:K1051,$C$1:$C1051,$C1057,$F$1:$F1051,$F1057)</f>
        <v>0</v>
      </c>
      <c r="L1057" s="99">
        <f>SUMIFS(L$1:L1051,$C$1:$C1051,$C1057,$F$1:$F1051,$F1057)</f>
        <v>0</v>
      </c>
      <c r="M1057" s="99">
        <f>SUMIFS(M$1:M1051,$C$1:$C1051,$C1057,$F$1:$F1051,$F1057)</f>
        <v>0</v>
      </c>
      <c r="N1057" s="99">
        <f>SUMIFS(N$1:N1051,$C$1:$C1051,$C1057,$F$1:$F1051,$F1057)</f>
        <v>0</v>
      </c>
      <c r="O1057" s="99">
        <f>SUMIFS(O$1:O1051,$C$1:$C1051,$C1057,$F$1:$F1051,$F1057)</f>
        <v>0</v>
      </c>
      <c r="P1057" s="99">
        <f t="shared" si="1061"/>
        <v>0</v>
      </c>
      <c r="Q1057" s="99">
        <f>SUMIFS(Q$1:Q1051,$C$1:$C1051,$C1057,$F$1:$F1051,$F1057)</f>
        <v>0</v>
      </c>
      <c r="R1057" s="99">
        <f>SUMIFS(R$1:R1051,$C$1:$C1051,$C1057,$F$1:$F1051,$F1057)</f>
        <v>0</v>
      </c>
      <c r="S1057" s="99">
        <f>SUMIFS(S$1:S1051,$C$1:$C1051,$C1057,$F$1:$F1051,$F1057)</f>
        <v>0</v>
      </c>
      <c r="T1057" s="99">
        <f>SUMIFS(T$1:T1051,$C$1:$C1051,$C1057,$F$1:$F1051,$F1057)</f>
        <v>0</v>
      </c>
      <c r="U1057" s="99">
        <f t="shared" si="1062"/>
        <v>0</v>
      </c>
      <c r="V1057" s="255" t="str">
        <f t="shared" si="1063"/>
        <v>N/A</v>
      </c>
      <c r="W1057" s="103" t="str">
        <f t="shared" si="1064"/>
        <v>OK</v>
      </c>
      <c r="Y1057" s="476"/>
      <c r="Z1057" s="308"/>
      <c r="AA1057" s="308"/>
      <c r="AB1057" s="308"/>
      <c r="AC1057" s="308"/>
      <c r="AD1057" s="308"/>
      <c r="AE1057" s="308"/>
      <c r="AF1057" s="308"/>
      <c r="AG1057" s="308"/>
      <c r="AH1057" s="308"/>
      <c r="AI1057" s="308"/>
      <c r="AJ1057" s="308"/>
      <c r="AK1057" s="308"/>
      <c r="AL1057" s="308"/>
      <c r="AM1057" s="70"/>
      <c r="AN1057" s="70"/>
      <c r="AO1057" s="70"/>
      <c r="AP1057" s="70"/>
      <c r="AQ1057" s="70"/>
      <c r="AR1057" s="70"/>
      <c r="AS1057" s="70"/>
      <c r="AT1057" s="70"/>
      <c r="AU1057" s="70"/>
      <c r="AV1057" s="70"/>
      <c r="AW1057" s="70"/>
      <c r="AX1057" s="70"/>
      <c r="AY1057" s="70"/>
      <c r="AZ1057" s="70"/>
      <c r="BA1057" s="70"/>
      <c r="BB1057" s="70"/>
      <c r="BC1057" s="70"/>
      <c r="BD1057" s="70"/>
    </row>
    <row r="1058" spans="1:56" s="71" customFormat="1" ht="15" customHeight="1">
      <c r="A1058" s="185" t="s">
        <v>1198</v>
      </c>
      <c r="B1058" s="217" t="str">
        <f t="shared" ref="B1058" si="1065">LEFT(A1058,3)</f>
        <v>125</v>
      </c>
      <c r="C1058" s="217" t="str">
        <f t="shared" ref="C1058" si="1066">RIGHT(A1058,3)</f>
        <v>650</v>
      </c>
      <c r="D1058" s="101">
        <v>0</v>
      </c>
      <c r="E1058" s="101" t="str">
        <f t="shared" ref="E1058" si="1067">B1058&amp;"-"&amp;C1058</f>
        <v>125-650</v>
      </c>
      <c r="F1058" s="294" t="str">
        <f t="shared" ref="F1058" si="1068">MID(A1058,5,5)</f>
        <v>50117</v>
      </c>
      <c r="G1058" s="295" t="str">
        <f>VLOOKUP(F1058,'GL Category'!A:C,3,FALSE)</f>
        <v>Personnel services</v>
      </c>
      <c r="H1058" s="98" t="str">
        <f>VLOOKUP(F1058,'GL Category'!A:C,2,FALSE)</f>
        <v>GROUP EXERCISE PAY</v>
      </c>
      <c r="I1058" s="99">
        <f>SUMIFS(I$1:I1052,$C$1:$C1052,$C1058,$F$1:$F1052,$F1058)</f>
        <v>0</v>
      </c>
      <c r="J1058" s="99">
        <f>SUMIFS(J$1:J1052,$C$1:$C1052,$C1058,$F$1:$F1052,$F1058)</f>
        <v>0</v>
      </c>
      <c r="K1058" s="99">
        <f>SUMIFS(K$1:K1052,$C$1:$C1052,$C1058,$F$1:$F1052,$F1058)</f>
        <v>0</v>
      </c>
      <c r="L1058" s="99">
        <f>SUMIFS(L$1:L1052,$C$1:$C1052,$C1058,$F$1:$F1052,$F1058)</f>
        <v>0</v>
      </c>
      <c r="M1058" s="99">
        <f>SUMIFS(M$1:M1052,$C$1:$C1052,$C1058,$F$1:$F1052,$F1058)</f>
        <v>0</v>
      </c>
      <c r="N1058" s="99">
        <f>SUMIFS(N$1:N1052,$C$1:$C1052,$C1058,$F$1:$F1052,$F1058)</f>
        <v>0</v>
      </c>
      <c r="O1058" s="99">
        <f>SUMIFS(O$1:O1052,$C$1:$C1052,$C1058,$F$1:$F1052,$F1058)</f>
        <v>0</v>
      </c>
      <c r="P1058" s="99">
        <f t="shared" ref="P1058" si="1069">O1058-M1058</f>
        <v>0</v>
      </c>
      <c r="Q1058" s="99">
        <f>SUMIFS(Q$1:Q1052,$C$1:$C1052,$C1058,$F$1:$F1052,$F1058)</f>
        <v>0</v>
      </c>
      <c r="R1058" s="99">
        <f>SUMIFS(R$1:R1052,$C$1:$C1052,$C1058,$F$1:$F1052,$F1058)</f>
        <v>0</v>
      </c>
      <c r="S1058" s="99">
        <f>SUMIFS(S$1:S1052,$C$1:$C1052,$C1058,$F$1:$F1052,$F1058)</f>
        <v>0</v>
      </c>
      <c r="T1058" s="99">
        <f>SUMIFS(T$1:T1052,$C$1:$C1052,$C1058,$F$1:$F1052,$F1058)</f>
        <v>0</v>
      </c>
      <c r="U1058" s="99">
        <f t="shared" si="1062"/>
        <v>0</v>
      </c>
      <c r="V1058" s="255" t="str">
        <f t="shared" si="1063"/>
        <v>N/A</v>
      </c>
      <c r="W1058" s="103" t="str">
        <f t="shared" si="1064"/>
        <v>OK</v>
      </c>
      <c r="Y1058" s="476"/>
      <c r="Z1058" s="308"/>
      <c r="AA1058" s="308"/>
      <c r="AB1058" s="308"/>
      <c r="AC1058" s="308"/>
      <c r="AD1058" s="308"/>
      <c r="AE1058" s="308"/>
      <c r="AF1058" s="308"/>
      <c r="AG1058" s="308"/>
      <c r="AH1058" s="308"/>
      <c r="AI1058" s="308"/>
      <c r="AJ1058" s="308"/>
      <c r="AK1058" s="308"/>
      <c r="AL1058" s="308"/>
      <c r="AM1058" s="70"/>
      <c r="AN1058" s="70"/>
      <c r="AO1058" s="70"/>
      <c r="AP1058" s="70"/>
      <c r="AQ1058" s="70"/>
      <c r="AR1058" s="70"/>
      <c r="AS1058" s="70"/>
      <c r="AT1058" s="70"/>
      <c r="AU1058" s="70"/>
      <c r="AV1058" s="70"/>
      <c r="AW1058" s="70"/>
      <c r="AX1058" s="70"/>
      <c r="AY1058" s="70"/>
      <c r="AZ1058" s="70"/>
      <c r="BA1058" s="70"/>
      <c r="BB1058" s="70"/>
      <c r="BC1058" s="70"/>
      <c r="BD1058" s="70"/>
    </row>
    <row r="1059" spans="1:56" s="71" customFormat="1" ht="15" customHeight="1">
      <c r="A1059" s="185" t="s">
        <v>1134</v>
      </c>
      <c r="B1059" s="217" t="str">
        <f t="shared" si="1057"/>
        <v>125</v>
      </c>
      <c r="C1059" s="217" t="str">
        <f t="shared" si="1058"/>
        <v>650</v>
      </c>
      <c r="D1059" s="101">
        <v>0</v>
      </c>
      <c r="E1059" s="101" t="str">
        <f t="shared" si="1059"/>
        <v>125-650</v>
      </c>
      <c r="F1059" s="294" t="str">
        <f t="shared" si="1060"/>
        <v>50120</v>
      </c>
      <c r="G1059" s="295" t="str">
        <f>VLOOKUP(F1059,'GL Category'!A:C,3,FALSE)</f>
        <v>Personnel services</v>
      </c>
      <c r="H1059" s="98" t="str">
        <f>VLOOKUP(F1059,'GL Category'!A:C,2,FALSE)</f>
        <v>AUTO ALLOWANCE</v>
      </c>
      <c r="I1059" s="99">
        <f>SUMIFS(I$1:I1052,$C$1:$C1052,$C1059,$F$1:$F1052,$F1059)</f>
        <v>0</v>
      </c>
      <c r="J1059" s="99">
        <f>SUMIFS(J$1:J1052,$C$1:$C1052,$C1059,$F$1:$F1052,$F1059)</f>
        <v>0</v>
      </c>
      <c r="K1059" s="99">
        <f>SUMIFS(K$1:K1052,$C$1:$C1052,$C1059,$F$1:$F1052,$F1059)</f>
        <v>0</v>
      </c>
      <c r="L1059" s="99">
        <f>SUMIFS(L$1:L1052,$C$1:$C1052,$C1059,$F$1:$F1052,$F1059)</f>
        <v>0</v>
      </c>
      <c r="M1059" s="99">
        <f>SUMIFS(M$1:M1052,$C$1:$C1052,$C1059,$F$1:$F1052,$F1059)</f>
        <v>0</v>
      </c>
      <c r="N1059" s="99">
        <f>SUMIFS(N$1:N1052,$C$1:$C1052,$C1059,$F$1:$F1052,$F1059)</f>
        <v>0</v>
      </c>
      <c r="O1059" s="99">
        <f>SUMIFS(O$1:O1052,$C$1:$C1052,$C1059,$F$1:$F1052,$F1059)</f>
        <v>0</v>
      </c>
      <c r="P1059" s="99">
        <f t="shared" si="1061"/>
        <v>0</v>
      </c>
      <c r="Q1059" s="99">
        <f>SUMIFS(Q$1:Q1052,$C$1:$C1052,$C1059,$F$1:$F1052,$F1059)</f>
        <v>0</v>
      </c>
      <c r="R1059" s="99">
        <f>SUMIFS(R$1:R1052,$C$1:$C1052,$C1059,$F$1:$F1052,$F1059)</f>
        <v>0</v>
      </c>
      <c r="S1059" s="99">
        <f>SUMIFS(S$1:S1052,$C$1:$C1052,$C1059,$F$1:$F1052,$F1059)</f>
        <v>0</v>
      </c>
      <c r="T1059" s="99">
        <f>SUMIFS(T$1:T1052,$C$1:$C1052,$C1059,$F$1:$F1052,$F1059)</f>
        <v>0</v>
      </c>
      <c r="U1059" s="99">
        <f t="shared" si="1062"/>
        <v>0</v>
      </c>
      <c r="V1059" s="255" t="str">
        <f t="shared" si="1063"/>
        <v>N/A</v>
      </c>
      <c r="W1059" s="103" t="str">
        <f t="shared" si="1064"/>
        <v>OK</v>
      </c>
      <c r="Y1059" s="476"/>
      <c r="Z1059" s="308"/>
      <c r="AA1059" s="308"/>
      <c r="AB1059" s="308"/>
      <c r="AC1059" s="308"/>
      <c r="AD1059" s="308"/>
      <c r="AE1059" s="308"/>
      <c r="AF1059" s="308"/>
      <c r="AG1059" s="308"/>
      <c r="AH1059" s="308"/>
      <c r="AI1059" s="308"/>
      <c r="AJ1059" s="308"/>
      <c r="AK1059" s="308"/>
      <c r="AL1059" s="308"/>
      <c r="AM1059" s="70"/>
      <c r="AN1059" s="70"/>
      <c r="AO1059" s="70"/>
      <c r="AP1059" s="70"/>
      <c r="AQ1059" s="70"/>
      <c r="AR1059" s="70"/>
      <c r="AS1059" s="70"/>
      <c r="AT1059" s="70"/>
      <c r="AU1059" s="70"/>
      <c r="AV1059" s="70"/>
      <c r="AW1059" s="70"/>
      <c r="AX1059" s="70"/>
      <c r="AY1059" s="70"/>
      <c r="AZ1059" s="70"/>
      <c r="BA1059" s="70"/>
      <c r="BB1059" s="70"/>
      <c r="BC1059" s="70"/>
      <c r="BD1059" s="70"/>
    </row>
    <row r="1060" spans="1:56" s="71" customFormat="1" ht="15" customHeight="1">
      <c r="A1060" s="185" t="s">
        <v>1135</v>
      </c>
      <c r="B1060" s="217" t="str">
        <f t="shared" si="1057"/>
        <v>125</v>
      </c>
      <c r="C1060" s="217" t="str">
        <f t="shared" si="1058"/>
        <v>650</v>
      </c>
      <c r="D1060" s="101">
        <v>0</v>
      </c>
      <c r="E1060" s="101" t="str">
        <f t="shared" si="1059"/>
        <v>125-650</v>
      </c>
      <c r="F1060" s="294" t="str">
        <f t="shared" si="1060"/>
        <v>50610</v>
      </c>
      <c r="G1060" s="295" t="str">
        <f>VLOOKUP(F1060,'GL Category'!A:C,3,FALSE)</f>
        <v>Personnel services</v>
      </c>
      <c r="H1060" s="98" t="str">
        <f>VLOOKUP(F1060,'GL Category'!A:C,2,FALSE)</f>
        <v>SOCIAL SECURITY</v>
      </c>
      <c r="I1060" s="99">
        <f>SUMIFS(I$1:I1053,$C$1:$C1053,$C1060,$F$1:$F1053,$F1060)</f>
        <v>0</v>
      </c>
      <c r="J1060" s="99">
        <f>SUMIFS(J$1:J1053,$C$1:$C1053,$C1060,$F$1:$F1053,$F1060)</f>
        <v>0</v>
      </c>
      <c r="K1060" s="99">
        <f>SUMIFS(K$1:K1053,$C$1:$C1053,$C1060,$F$1:$F1053,$F1060)</f>
        <v>0</v>
      </c>
      <c r="L1060" s="99">
        <f>SUMIFS(L$1:L1053,$C$1:$C1053,$C1060,$F$1:$F1053,$F1060)</f>
        <v>0</v>
      </c>
      <c r="M1060" s="99">
        <f>SUMIFS(M$1:M1053,$C$1:$C1053,$C1060,$F$1:$F1053,$F1060)</f>
        <v>0</v>
      </c>
      <c r="N1060" s="99">
        <f>SUMIFS(N$1:N1053,$C$1:$C1053,$C1060,$F$1:$F1053,$F1060)</f>
        <v>0</v>
      </c>
      <c r="O1060" s="99">
        <f>SUMIFS(O$1:O1053,$C$1:$C1053,$C1060,$F$1:$F1053,$F1060)</f>
        <v>0</v>
      </c>
      <c r="P1060" s="99">
        <f t="shared" si="1061"/>
        <v>0</v>
      </c>
      <c r="Q1060" s="99">
        <f>SUMIFS(Q$1:Q1053,$C$1:$C1053,$C1060,$F$1:$F1053,$F1060)</f>
        <v>0</v>
      </c>
      <c r="R1060" s="99">
        <f>SUMIFS(R$1:R1053,$C$1:$C1053,$C1060,$F$1:$F1053,$F1060)</f>
        <v>0</v>
      </c>
      <c r="S1060" s="99">
        <f>SUMIFS(S$1:S1053,$C$1:$C1053,$C1060,$F$1:$F1053,$F1060)</f>
        <v>0</v>
      </c>
      <c r="T1060" s="99">
        <f>SUMIFS(T$1:T1053,$C$1:$C1053,$C1060,$F$1:$F1053,$F1060)</f>
        <v>0</v>
      </c>
      <c r="U1060" s="99">
        <f t="shared" si="1062"/>
        <v>0</v>
      </c>
      <c r="V1060" s="255" t="str">
        <f t="shared" si="1063"/>
        <v>N/A</v>
      </c>
      <c r="W1060" s="103" t="str">
        <f t="shared" si="1064"/>
        <v>OK</v>
      </c>
      <c r="Y1060" s="476"/>
      <c r="Z1060" s="308"/>
      <c r="AA1060" s="308"/>
      <c r="AB1060" s="308"/>
      <c r="AC1060" s="308"/>
      <c r="AD1060" s="308"/>
      <c r="AE1060" s="308"/>
      <c r="AF1060" s="308"/>
      <c r="AG1060" s="308"/>
      <c r="AH1060" s="308"/>
      <c r="AI1060" s="308"/>
      <c r="AJ1060" s="308"/>
      <c r="AK1060" s="308"/>
      <c r="AL1060" s="308"/>
      <c r="AM1060" s="70"/>
      <c r="AN1060" s="70"/>
      <c r="AO1060" s="70"/>
      <c r="AP1060" s="70"/>
      <c r="AQ1060" s="70"/>
      <c r="AR1060" s="70"/>
      <c r="AS1060" s="70"/>
      <c r="AT1060" s="70"/>
      <c r="AU1060" s="70"/>
      <c r="AV1060" s="70"/>
      <c r="AW1060" s="70"/>
      <c r="AX1060" s="70"/>
      <c r="AY1060" s="70"/>
      <c r="AZ1060" s="70"/>
      <c r="BA1060" s="70"/>
      <c r="BB1060" s="70"/>
      <c r="BC1060" s="70"/>
      <c r="BD1060" s="70"/>
    </row>
    <row r="1061" spans="1:56" s="71" customFormat="1" ht="15" customHeight="1">
      <c r="A1061" s="185" t="s">
        <v>1136</v>
      </c>
      <c r="B1061" s="217" t="str">
        <f t="shared" si="1057"/>
        <v>125</v>
      </c>
      <c r="C1061" s="217" t="str">
        <f t="shared" si="1058"/>
        <v>650</v>
      </c>
      <c r="D1061" s="101">
        <v>0</v>
      </c>
      <c r="E1061" s="101" t="str">
        <f t="shared" si="1059"/>
        <v>125-650</v>
      </c>
      <c r="F1061" s="294" t="str">
        <f t="shared" si="1060"/>
        <v>50620</v>
      </c>
      <c r="G1061" s="295" t="str">
        <f>VLOOKUP(F1061,'GL Category'!A:C,3,FALSE)</f>
        <v>Personnel services</v>
      </c>
      <c r="H1061" s="98" t="str">
        <f>VLOOKUP(F1061,'GL Category'!A:C,2,FALSE)</f>
        <v>HEALTH/LIFE INSURANCE</v>
      </c>
      <c r="I1061" s="99">
        <f>SUMIFS(I$1:I1054,$C$1:$C1054,$C1061,$F$1:$F1054,$F1061)</f>
        <v>0</v>
      </c>
      <c r="J1061" s="99">
        <f>SUMIFS(J$1:J1054,$C$1:$C1054,$C1061,$F$1:$F1054,$F1061)</f>
        <v>0</v>
      </c>
      <c r="K1061" s="99">
        <f>SUMIFS(K$1:K1054,$C$1:$C1054,$C1061,$F$1:$F1054,$F1061)</f>
        <v>0</v>
      </c>
      <c r="L1061" s="99">
        <f>SUMIFS(L$1:L1054,$C$1:$C1054,$C1061,$F$1:$F1054,$F1061)</f>
        <v>0</v>
      </c>
      <c r="M1061" s="99">
        <f>SUMIFS(M$1:M1054,$C$1:$C1054,$C1061,$F$1:$F1054,$F1061)</f>
        <v>0</v>
      </c>
      <c r="N1061" s="99">
        <f>SUMIFS(N$1:N1054,$C$1:$C1054,$C1061,$F$1:$F1054,$F1061)</f>
        <v>0</v>
      </c>
      <c r="O1061" s="99">
        <f>SUMIFS(O$1:O1054,$C$1:$C1054,$C1061,$F$1:$F1054,$F1061)</f>
        <v>0</v>
      </c>
      <c r="P1061" s="99">
        <f t="shared" si="1061"/>
        <v>0</v>
      </c>
      <c r="Q1061" s="99">
        <f>SUMIFS(Q$1:Q1054,$C$1:$C1054,$C1061,$F$1:$F1054,$F1061)</f>
        <v>0</v>
      </c>
      <c r="R1061" s="99">
        <f>SUMIFS(R$1:R1054,$C$1:$C1054,$C1061,$F$1:$F1054,$F1061)</f>
        <v>0</v>
      </c>
      <c r="S1061" s="99">
        <f>SUMIFS(S$1:S1054,$C$1:$C1054,$C1061,$F$1:$F1054,$F1061)</f>
        <v>0</v>
      </c>
      <c r="T1061" s="99">
        <f>SUMIFS(T$1:T1054,$C$1:$C1054,$C1061,$F$1:$F1054,$F1061)</f>
        <v>0</v>
      </c>
      <c r="U1061" s="99">
        <f t="shared" si="1062"/>
        <v>0</v>
      </c>
      <c r="V1061" s="255" t="str">
        <f t="shared" si="1063"/>
        <v>N/A</v>
      </c>
      <c r="W1061" s="103" t="str">
        <f t="shared" si="1064"/>
        <v>OK</v>
      </c>
      <c r="Y1061" s="476"/>
      <c r="Z1061" s="308"/>
      <c r="AA1061" s="308"/>
      <c r="AB1061" s="308"/>
      <c r="AC1061" s="308"/>
      <c r="AD1061" s="308"/>
      <c r="AE1061" s="308"/>
      <c r="AF1061" s="308"/>
      <c r="AG1061" s="308"/>
      <c r="AH1061" s="308"/>
      <c r="AI1061" s="308"/>
      <c r="AJ1061" s="308"/>
      <c r="AK1061" s="308"/>
      <c r="AL1061" s="308"/>
      <c r="AM1061" s="70"/>
      <c r="AN1061" s="70"/>
      <c r="AO1061" s="70"/>
      <c r="AP1061" s="70"/>
      <c r="AQ1061" s="70"/>
      <c r="AR1061" s="70"/>
      <c r="AS1061" s="70"/>
      <c r="AT1061" s="70"/>
      <c r="AU1061" s="70"/>
      <c r="AV1061" s="70"/>
      <c r="AW1061" s="70"/>
      <c r="AX1061" s="70"/>
      <c r="AY1061" s="70"/>
      <c r="AZ1061" s="70"/>
      <c r="BA1061" s="70"/>
      <c r="BB1061" s="70"/>
      <c r="BC1061" s="70"/>
      <c r="BD1061" s="70"/>
    </row>
    <row r="1062" spans="1:56" s="71" customFormat="1" ht="15" customHeight="1">
      <c r="A1062" s="185" t="s">
        <v>1137</v>
      </c>
      <c r="B1062" s="217" t="str">
        <f t="shared" si="1057"/>
        <v>125</v>
      </c>
      <c r="C1062" s="217" t="str">
        <f t="shared" si="1058"/>
        <v>650</v>
      </c>
      <c r="D1062" s="101">
        <v>0</v>
      </c>
      <c r="E1062" s="101" t="str">
        <f t="shared" si="1059"/>
        <v>125-650</v>
      </c>
      <c r="F1062" s="294" t="str">
        <f t="shared" si="1060"/>
        <v>50630</v>
      </c>
      <c r="G1062" s="295" t="str">
        <f>VLOOKUP(F1062,'GL Category'!A:C,3,FALSE)</f>
        <v>Personnel services</v>
      </c>
      <c r="H1062" s="98" t="str">
        <f>VLOOKUP(F1062,'GL Category'!A:C,2,FALSE)</f>
        <v>WORKER COMPENSATION</v>
      </c>
      <c r="I1062" s="99">
        <f>SUMIFS(I$1:I1055,$C$1:$C1055,$C1062,$F$1:$F1055,$F1062)</f>
        <v>0</v>
      </c>
      <c r="J1062" s="99">
        <f>SUMIFS(J$1:J1055,$C$1:$C1055,$C1062,$F$1:$F1055,$F1062)</f>
        <v>0</v>
      </c>
      <c r="K1062" s="99">
        <f>SUMIFS(K$1:K1055,$C$1:$C1055,$C1062,$F$1:$F1055,$F1062)</f>
        <v>0</v>
      </c>
      <c r="L1062" s="99">
        <f>SUMIFS(L$1:L1055,$C$1:$C1055,$C1062,$F$1:$F1055,$F1062)</f>
        <v>0</v>
      </c>
      <c r="M1062" s="99">
        <f>SUMIFS(M$1:M1055,$C$1:$C1055,$C1062,$F$1:$F1055,$F1062)</f>
        <v>0</v>
      </c>
      <c r="N1062" s="99">
        <f>SUMIFS(N$1:N1055,$C$1:$C1055,$C1062,$F$1:$F1055,$F1062)</f>
        <v>0</v>
      </c>
      <c r="O1062" s="99">
        <f>SUMIFS(O$1:O1055,$C$1:$C1055,$C1062,$F$1:$F1055,$F1062)</f>
        <v>0</v>
      </c>
      <c r="P1062" s="99">
        <f t="shared" si="1061"/>
        <v>0</v>
      </c>
      <c r="Q1062" s="99">
        <f>SUMIFS(Q$1:Q1055,$C$1:$C1055,$C1062,$F$1:$F1055,$F1062)</f>
        <v>0</v>
      </c>
      <c r="R1062" s="99">
        <f>SUMIFS(R$1:R1055,$C$1:$C1055,$C1062,$F$1:$F1055,$F1062)</f>
        <v>0</v>
      </c>
      <c r="S1062" s="99">
        <f>SUMIFS(S$1:S1055,$C$1:$C1055,$C1062,$F$1:$F1055,$F1062)</f>
        <v>0</v>
      </c>
      <c r="T1062" s="99">
        <f>SUMIFS(T$1:T1055,$C$1:$C1055,$C1062,$F$1:$F1055,$F1062)</f>
        <v>0</v>
      </c>
      <c r="U1062" s="99">
        <f t="shared" si="1062"/>
        <v>0</v>
      </c>
      <c r="V1062" s="255" t="str">
        <f t="shared" si="1063"/>
        <v>N/A</v>
      </c>
      <c r="W1062" s="103" t="str">
        <f t="shared" si="1064"/>
        <v>OK</v>
      </c>
      <c r="Y1062" s="476"/>
      <c r="Z1062" s="308"/>
      <c r="AA1062" s="308"/>
      <c r="AB1062" s="308"/>
      <c r="AC1062" s="308"/>
      <c r="AD1062" s="308"/>
      <c r="AE1062" s="308"/>
      <c r="AF1062" s="308"/>
      <c r="AG1062" s="308"/>
      <c r="AH1062" s="308"/>
      <c r="AI1062" s="308"/>
      <c r="AJ1062" s="308"/>
      <c r="AK1062" s="308"/>
      <c r="AL1062" s="308"/>
      <c r="AM1062" s="70"/>
      <c r="AN1062" s="70"/>
      <c r="AO1062" s="70"/>
      <c r="AP1062" s="70"/>
      <c r="AQ1062" s="70"/>
      <c r="AR1062" s="70"/>
      <c r="AS1062" s="70"/>
      <c r="AT1062" s="70"/>
      <c r="AU1062" s="70"/>
      <c r="AV1062" s="70"/>
      <c r="AW1062" s="70"/>
      <c r="AX1062" s="70"/>
      <c r="AY1062" s="70"/>
      <c r="AZ1062" s="70"/>
      <c r="BA1062" s="70"/>
      <c r="BB1062" s="70"/>
      <c r="BC1062" s="70"/>
      <c r="BD1062" s="70"/>
    </row>
    <row r="1063" spans="1:56" s="71" customFormat="1" ht="15" customHeight="1">
      <c r="A1063" s="185" t="s">
        <v>1138</v>
      </c>
      <c r="B1063" s="217" t="str">
        <f t="shared" si="1057"/>
        <v>125</v>
      </c>
      <c r="C1063" s="217" t="str">
        <f t="shared" si="1058"/>
        <v>650</v>
      </c>
      <c r="D1063" s="101">
        <v>0</v>
      </c>
      <c r="E1063" s="101" t="str">
        <f t="shared" si="1059"/>
        <v>125-650</v>
      </c>
      <c r="F1063" s="294" t="str">
        <f t="shared" si="1060"/>
        <v>50650</v>
      </c>
      <c r="G1063" s="295" t="str">
        <f>VLOOKUP(F1063,'GL Category'!A:C,3,FALSE)</f>
        <v>Personnel services</v>
      </c>
      <c r="H1063" s="98" t="str">
        <f>VLOOKUP(F1063,'GL Category'!A:C,2,FALSE)</f>
        <v>RETIREMENT</v>
      </c>
      <c r="I1063" s="99">
        <f>SUMIFS(I$1:I1056,$C$1:$C1056,$C1063,$F$1:$F1056,$F1063)</f>
        <v>0</v>
      </c>
      <c r="J1063" s="99">
        <f>SUMIFS(J$1:J1056,$C$1:$C1056,$C1063,$F$1:$F1056,$F1063)</f>
        <v>0</v>
      </c>
      <c r="K1063" s="99">
        <f>SUMIFS(K$1:K1056,$C$1:$C1056,$C1063,$F$1:$F1056,$F1063)</f>
        <v>0</v>
      </c>
      <c r="L1063" s="99">
        <f>SUMIFS(L$1:L1056,$C$1:$C1056,$C1063,$F$1:$F1056,$F1063)</f>
        <v>0</v>
      </c>
      <c r="M1063" s="99">
        <f>SUMIFS(M$1:M1056,$C$1:$C1056,$C1063,$F$1:$F1056,$F1063)</f>
        <v>0</v>
      </c>
      <c r="N1063" s="99">
        <f>SUMIFS(N$1:N1056,$C$1:$C1056,$C1063,$F$1:$F1056,$F1063)</f>
        <v>0</v>
      </c>
      <c r="O1063" s="99">
        <f>SUMIFS(O$1:O1056,$C$1:$C1056,$C1063,$F$1:$F1056,$F1063)</f>
        <v>0</v>
      </c>
      <c r="P1063" s="99">
        <f t="shared" si="1061"/>
        <v>0</v>
      </c>
      <c r="Q1063" s="99">
        <f>SUMIFS(Q$1:Q1056,$C$1:$C1056,$C1063,$F$1:$F1056,$F1063)</f>
        <v>0</v>
      </c>
      <c r="R1063" s="99">
        <f>SUMIFS(R$1:R1056,$C$1:$C1056,$C1063,$F$1:$F1056,$F1063)</f>
        <v>0</v>
      </c>
      <c r="S1063" s="99">
        <f>SUMIFS(S$1:S1056,$C$1:$C1056,$C1063,$F$1:$F1056,$F1063)</f>
        <v>0</v>
      </c>
      <c r="T1063" s="99">
        <f>SUMIFS(T$1:T1056,$C$1:$C1056,$C1063,$F$1:$F1056,$F1063)</f>
        <v>0</v>
      </c>
      <c r="U1063" s="99">
        <f t="shared" si="1062"/>
        <v>0</v>
      </c>
      <c r="V1063" s="255" t="str">
        <f t="shared" si="1063"/>
        <v>N/A</v>
      </c>
      <c r="W1063" s="103" t="str">
        <f t="shared" si="1064"/>
        <v>OK</v>
      </c>
      <c r="Y1063" s="476"/>
      <c r="Z1063" s="308"/>
      <c r="AA1063" s="308"/>
      <c r="AB1063" s="308"/>
      <c r="AC1063" s="308"/>
      <c r="AD1063" s="308"/>
      <c r="AE1063" s="308"/>
      <c r="AF1063" s="308"/>
      <c r="AG1063" s="308"/>
      <c r="AH1063" s="308"/>
      <c r="AI1063" s="308"/>
      <c r="AJ1063" s="308"/>
      <c r="AK1063" s="308"/>
      <c r="AL1063" s="308"/>
      <c r="AM1063" s="70"/>
      <c r="AN1063" s="70"/>
      <c r="AO1063" s="70"/>
      <c r="AP1063" s="70"/>
      <c r="AQ1063" s="70"/>
      <c r="AR1063" s="70"/>
      <c r="AS1063" s="70"/>
      <c r="AT1063" s="70"/>
      <c r="AU1063" s="70"/>
      <c r="AV1063" s="70"/>
      <c r="AW1063" s="70"/>
      <c r="AX1063" s="70"/>
      <c r="AY1063" s="70"/>
      <c r="AZ1063" s="70"/>
      <c r="BA1063" s="70"/>
      <c r="BB1063" s="70"/>
      <c r="BC1063" s="70"/>
      <c r="BD1063" s="70"/>
    </row>
    <row r="1064" spans="1:56" s="71" customFormat="1" ht="15" customHeight="1">
      <c r="A1064" s="297"/>
      <c r="B1064" s="217"/>
      <c r="C1064" s="217"/>
      <c r="D1064" s="101"/>
      <c r="E1064" s="101"/>
      <c r="F1064" s="294"/>
      <c r="G1064" s="295"/>
      <c r="H1064" s="107" t="str">
        <f>UPPER(G1063)&amp;" TOTAL"</f>
        <v>PERSONNEL SERVICES TOTAL</v>
      </c>
      <c r="I1064" s="108">
        <f t="shared" ref="I1064" si="1070">SUBTOTAL(9,I1052:I1063)</f>
        <v>0</v>
      </c>
      <c r="J1064" s="108">
        <f t="shared" ref="J1064:T1064" si="1071">SUBTOTAL(9,J1052:J1063)</f>
        <v>0</v>
      </c>
      <c r="K1064" s="108">
        <f t="shared" ref="K1064" si="1072">SUBTOTAL(9,K1052:K1063)</f>
        <v>0</v>
      </c>
      <c r="L1064" s="108">
        <f t="shared" ref="L1064" si="1073">SUBTOTAL(9,L1052:L1063)</f>
        <v>0</v>
      </c>
      <c r="M1064" s="108">
        <f t="shared" si="1071"/>
        <v>0</v>
      </c>
      <c r="N1064" s="109">
        <f t="shared" ref="N1064" si="1074">SUBTOTAL(9,N1052:N1063)</f>
        <v>0</v>
      </c>
      <c r="O1064" s="109">
        <f t="shared" si="1071"/>
        <v>0</v>
      </c>
      <c r="P1064" s="109">
        <f t="shared" si="1071"/>
        <v>0</v>
      </c>
      <c r="Q1064" s="109">
        <f t="shared" si="1071"/>
        <v>0</v>
      </c>
      <c r="R1064" s="109">
        <f t="shared" si="1071"/>
        <v>0</v>
      </c>
      <c r="S1064" s="109">
        <f t="shared" si="1071"/>
        <v>0</v>
      </c>
      <c r="T1064" s="109">
        <f t="shared" si="1071"/>
        <v>0</v>
      </c>
      <c r="U1064" s="99">
        <f t="shared" si="1062"/>
        <v>0</v>
      </c>
      <c r="V1064" s="255" t="str">
        <f t="shared" si="1063"/>
        <v>N/A</v>
      </c>
      <c r="W1064" s="103" t="str">
        <f t="shared" si="1064"/>
        <v>OK</v>
      </c>
      <c r="Y1064" s="476"/>
      <c r="Z1064" s="308"/>
      <c r="AA1064" s="308"/>
      <c r="AB1064" s="308"/>
      <c r="AC1064" s="308"/>
      <c r="AD1064" s="308"/>
      <c r="AE1064" s="308"/>
      <c r="AF1064" s="308"/>
      <c r="AG1064" s="308"/>
      <c r="AH1064" s="308"/>
      <c r="AI1064" s="308"/>
      <c r="AJ1064" s="308"/>
      <c r="AK1064" s="308"/>
      <c r="AL1064" s="308"/>
      <c r="AM1064" s="70"/>
      <c r="AN1064" s="70"/>
      <c r="AO1064" s="70"/>
      <c r="AP1064" s="70"/>
      <c r="AQ1064" s="70"/>
      <c r="AR1064" s="70"/>
      <c r="AS1064" s="70"/>
      <c r="AT1064" s="70"/>
      <c r="AU1064" s="70"/>
      <c r="AV1064" s="70"/>
      <c r="AW1064" s="70"/>
      <c r="AX1064" s="70"/>
      <c r="AY1064" s="70"/>
      <c r="AZ1064" s="70"/>
      <c r="BA1064" s="70"/>
      <c r="BB1064" s="70"/>
      <c r="BC1064" s="70"/>
      <c r="BD1064" s="70"/>
    </row>
    <row r="1065" spans="1:56" s="71" customFormat="1" ht="15" customHeight="1">
      <c r="A1065" s="297"/>
      <c r="B1065" s="217"/>
      <c r="C1065" s="217"/>
      <c r="D1065" s="101"/>
      <c r="E1065" s="101"/>
      <c r="F1065" s="294"/>
      <c r="G1065" s="295"/>
      <c r="H1065" s="98"/>
      <c r="I1065" s="106"/>
      <c r="J1065" s="106"/>
      <c r="K1065" s="106"/>
      <c r="L1065" s="106"/>
      <c r="M1065" s="106"/>
      <c r="N1065" s="112"/>
      <c r="O1065" s="112"/>
      <c r="P1065" s="112"/>
      <c r="Q1065" s="113"/>
      <c r="R1065" s="113"/>
      <c r="S1065" s="113"/>
      <c r="T1065" s="113"/>
      <c r="U1065" s="99"/>
      <c r="V1065" s="255"/>
      <c r="W1065" s="103" t="str">
        <f t="shared" si="1064"/>
        <v>OK</v>
      </c>
      <c r="Y1065" s="476"/>
      <c r="Z1065" s="308"/>
      <c r="AA1065" s="308"/>
      <c r="AB1065" s="308"/>
      <c r="AC1065" s="308"/>
      <c r="AD1065" s="308"/>
      <c r="AE1065" s="308"/>
      <c r="AF1065" s="308"/>
      <c r="AG1065" s="308"/>
      <c r="AH1065" s="308"/>
      <c r="AI1065" s="308"/>
      <c r="AJ1065" s="308"/>
      <c r="AK1065" s="308"/>
      <c r="AL1065" s="308"/>
      <c r="AM1065" s="70"/>
      <c r="AN1065" s="70"/>
      <c r="AO1065" s="70"/>
      <c r="AP1065" s="70"/>
      <c r="AQ1065" s="70"/>
      <c r="AR1065" s="70"/>
      <c r="AS1065" s="70"/>
      <c r="AT1065" s="70"/>
      <c r="AU1065" s="70"/>
      <c r="AV1065" s="70"/>
      <c r="AW1065" s="70"/>
      <c r="AX1065" s="70"/>
      <c r="AY1065" s="70"/>
      <c r="AZ1065" s="70"/>
      <c r="BA1065" s="70"/>
      <c r="BB1065" s="70"/>
      <c r="BC1065" s="70"/>
      <c r="BD1065" s="70"/>
    </row>
    <row r="1066" spans="1:56" s="71" customFormat="1" ht="15" customHeight="1">
      <c r="A1066" s="185" t="s">
        <v>1139</v>
      </c>
      <c r="B1066" s="217" t="str">
        <f t="shared" ref="B1066:B1093" si="1075">LEFT(A1066,3)</f>
        <v>125</v>
      </c>
      <c r="C1066" s="217" t="str">
        <f t="shared" ref="C1066:C1093" si="1076">RIGHT(A1066,3)</f>
        <v>650</v>
      </c>
      <c r="D1066" s="101">
        <v>0</v>
      </c>
      <c r="E1066" s="101" t="str">
        <f t="shared" ref="E1066:E1093" si="1077">B1066&amp;"-"&amp;C1066</f>
        <v>125-650</v>
      </c>
      <c r="F1066" s="294" t="str">
        <f t="shared" ref="F1066:F1093" si="1078">MID(A1066,5,5)</f>
        <v>51210</v>
      </c>
      <c r="G1066" s="295" t="str">
        <f>VLOOKUP(F1066,'GL Category'!A:C,3,FALSE)</f>
        <v>Operations &amp; maintenance</v>
      </c>
      <c r="H1066" s="98" t="str">
        <f>VLOOKUP(F1066,'GL Category'!A:C,2,FALSE)</f>
        <v>OFFICE SUPPLIES</v>
      </c>
      <c r="I1066" s="99">
        <f>SUMIFS(I$1:I1060,$C$1:$C1060,$C1066,$F$1:$F1060,$F1066)</f>
        <v>0</v>
      </c>
      <c r="J1066" s="99">
        <f>SUMIFS(J$1:J1060,$C$1:$C1060,$C1066,$F$1:$F1060,$F1066)</f>
        <v>0</v>
      </c>
      <c r="K1066" s="99">
        <f>SUMIFS(K$1:K1060,$C$1:$C1060,$C1066,$F$1:$F1060,$F1066)</f>
        <v>0</v>
      </c>
      <c r="L1066" s="99">
        <f>SUMIFS(L$1:L1060,$C$1:$C1060,$C1066,$F$1:$F1060,$F1066)</f>
        <v>0</v>
      </c>
      <c r="M1066" s="99">
        <f>SUMIFS(M$1:M1060,$C$1:$C1060,$C1066,$F$1:$F1060,$F1066)</f>
        <v>0</v>
      </c>
      <c r="N1066" s="99">
        <f>SUMIFS(N$1:N1060,$C$1:$C1060,$C1066,$F$1:$F1060,$F1066)</f>
        <v>0</v>
      </c>
      <c r="O1066" s="99">
        <f>SUMIFS(O$1:O1060,$C$1:$C1060,$C1066,$F$1:$F1060,$F1066)</f>
        <v>0</v>
      </c>
      <c r="P1066" s="99">
        <f t="shared" ref="P1066:P1093" si="1079">O1066-M1066</f>
        <v>0</v>
      </c>
      <c r="Q1066" s="99">
        <f>SUMIFS(Q$1:Q1060,$C$1:$C1060,$C1066,$F$1:$F1060,$F1066)</f>
        <v>0</v>
      </c>
      <c r="R1066" s="99">
        <f>SUMIFS(R$1:R1060,$C$1:$C1060,$C1066,$F$1:$F1060,$F1066)</f>
        <v>0</v>
      </c>
      <c r="S1066" s="99">
        <f>SUMIFS(S$1:S1060,$C$1:$C1060,$C1066,$F$1:$F1060,$F1066)</f>
        <v>0</v>
      </c>
      <c r="T1066" s="99">
        <f>SUMIFS(T$1:T1060,$C$1:$C1060,$C1066,$F$1:$F1060,$F1066)</f>
        <v>0</v>
      </c>
      <c r="U1066" s="99">
        <f t="shared" ref="U1066:U1094" si="1080">T1066-M1066</f>
        <v>0</v>
      </c>
      <c r="V1066" s="255" t="str">
        <f t="shared" ref="V1066:V1094" si="1081">IF(M1066=0,"N/A",T1066/M1066-1)</f>
        <v>N/A</v>
      </c>
      <c r="W1066" s="103" t="str">
        <f t="shared" si="1064"/>
        <v>OK</v>
      </c>
      <c r="Y1066" s="476"/>
      <c r="Z1066" s="308"/>
      <c r="AA1066" s="308"/>
      <c r="AB1066" s="308"/>
      <c r="AC1066" s="308"/>
      <c r="AD1066" s="308"/>
      <c r="AE1066" s="308"/>
      <c r="AF1066" s="308"/>
      <c r="AG1066" s="308"/>
      <c r="AH1066" s="308"/>
      <c r="AI1066" s="308"/>
      <c r="AJ1066" s="308"/>
      <c r="AK1066" s="308"/>
      <c r="AL1066" s="308"/>
      <c r="AM1066" s="70"/>
      <c r="AN1066" s="70"/>
      <c r="AO1066" s="70"/>
      <c r="AP1066" s="70"/>
      <c r="AQ1066" s="70"/>
      <c r="AR1066" s="70"/>
      <c r="AS1066" s="70"/>
      <c r="AT1066" s="70"/>
      <c r="AU1066" s="70"/>
      <c r="AV1066" s="70"/>
      <c r="AW1066" s="70"/>
      <c r="AX1066" s="70"/>
      <c r="AY1066" s="70"/>
      <c r="AZ1066" s="70"/>
      <c r="BA1066" s="70"/>
      <c r="BB1066" s="70"/>
      <c r="BC1066" s="70"/>
      <c r="BD1066" s="70"/>
    </row>
    <row r="1067" spans="1:56" s="71" customFormat="1" ht="15" customHeight="1">
      <c r="A1067" s="185" t="s">
        <v>1200</v>
      </c>
      <c r="B1067" s="217" t="str">
        <f t="shared" ref="B1067" si="1082">LEFT(A1067,3)</f>
        <v>125</v>
      </c>
      <c r="C1067" s="217" t="str">
        <f t="shared" ref="C1067" si="1083">RIGHT(A1067,3)</f>
        <v>650</v>
      </c>
      <c r="D1067" s="101">
        <v>0</v>
      </c>
      <c r="E1067" s="101" t="str">
        <f t="shared" ref="E1067" si="1084">B1067&amp;"-"&amp;C1067</f>
        <v>125-650</v>
      </c>
      <c r="F1067" s="294" t="str">
        <f t="shared" ref="F1067" si="1085">MID(A1067,5,5)</f>
        <v>51220</v>
      </c>
      <c r="G1067" s="295" t="str">
        <f>VLOOKUP(F1067,'GL Category'!A:C,3,FALSE)</f>
        <v>Operations &amp; maintenance</v>
      </c>
      <c r="H1067" s="98" t="str">
        <f>VLOOKUP(F1067,'GL Category'!A:C,2,FALSE)</f>
        <v>POSTAGE SUPPLIES</v>
      </c>
      <c r="I1067" s="99">
        <f>SUMIFS(I$1:I1060,$C$1:$C1060,$C1067,$F$1:$F1060,$F1067)</f>
        <v>0</v>
      </c>
      <c r="J1067" s="99">
        <f>SUMIFS(J$1:J1060,$C$1:$C1060,$C1067,$F$1:$F1060,$F1067)</f>
        <v>0</v>
      </c>
      <c r="K1067" s="99">
        <f>SUMIFS(K$1:K1060,$C$1:$C1060,$C1067,$F$1:$F1060,$F1067)</f>
        <v>0</v>
      </c>
      <c r="L1067" s="99">
        <f>SUMIFS(L$1:L1060,$C$1:$C1060,$C1067,$F$1:$F1060,$F1067)</f>
        <v>0</v>
      </c>
      <c r="M1067" s="99">
        <f>SUMIFS(M$1:M1060,$C$1:$C1060,$C1067,$F$1:$F1060,$F1067)</f>
        <v>0</v>
      </c>
      <c r="N1067" s="99">
        <f>SUMIFS(N$1:N1060,$C$1:$C1060,$C1067,$F$1:$F1060,$F1067)</f>
        <v>0</v>
      </c>
      <c r="O1067" s="99">
        <f>SUMIFS(O$1:O1060,$C$1:$C1060,$C1067,$F$1:$F1060,$F1067)</f>
        <v>0</v>
      </c>
      <c r="P1067" s="99">
        <f t="shared" ref="P1067" si="1086">O1067-M1067</f>
        <v>0</v>
      </c>
      <c r="Q1067" s="99">
        <f>SUMIFS(Q$1:Q1060,$C$1:$C1060,$C1067,$F$1:$F1060,$F1067)</f>
        <v>0</v>
      </c>
      <c r="R1067" s="99">
        <f>SUMIFS(R$1:R1060,$C$1:$C1060,$C1067,$F$1:$F1060,$F1067)</f>
        <v>0</v>
      </c>
      <c r="S1067" s="99">
        <f>SUMIFS(S$1:S1060,$C$1:$C1060,$C1067,$F$1:$F1060,$F1067)</f>
        <v>0</v>
      </c>
      <c r="T1067" s="99">
        <f>SUMIFS(T$1:T1060,$C$1:$C1060,$C1067,$F$1:$F1060,$F1067)</f>
        <v>0</v>
      </c>
      <c r="U1067" s="99">
        <f t="shared" si="1080"/>
        <v>0</v>
      </c>
      <c r="V1067" s="255" t="str">
        <f t="shared" si="1081"/>
        <v>N/A</v>
      </c>
      <c r="W1067" s="103" t="str">
        <f t="shared" si="1064"/>
        <v>OK</v>
      </c>
      <c r="Y1067" s="476"/>
      <c r="Z1067" s="308"/>
      <c r="AA1067" s="308"/>
      <c r="AB1067" s="308"/>
      <c r="AC1067" s="308"/>
      <c r="AD1067" s="308"/>
      <c r="AE1067" s="308"/>
      <c r="AF1067" s="308"/>
      <c r="AG1067" s="308"/>
      <c r="AH1067" s="308"/>
      <c r="AI1067" s="308"/>
      <c r="AJ1067" s="308"/>
      <c r="AK1067" s="308"/>
      <c r="AL1067" s="308"/>
      <c r="AM1067" s="70"/>
      <c r="AN1067" s="70"/>
      <c r="AO1067" s="70"/>
      <c r="AP1067" s="70"/>
      <c r="AQ1067" s="70"/>
      <c r="AR1067" s="70"/>
      <c r="AS1067" s="70"/>
      <c r="AT1067" s="70"/>
      <c r="AU1067" s="70"/>
      <c r="AV1067" s="70"/>
      <c r="AW1067" s="70"/>
      <c r="AX1067" s="70"/>
      <c r="AY1067" s="70"/>
      <c r="AZ1067" s="70"/>
      <c r="BA1067" s="70"/>
      <c r="BB1067" s="70"/>
      <c r="BC1067" s="70"/>
      <c r="BD1067" s="70"/>
    </row>
    <row r="1068" spans="1:56" s="71" customFormat="1" ht="15" customHeight="1">
      <c r="A1068" s="185" t="s">
        <v>1140</v>
      </c>
      <c r="B1068" s="217" t="str">
        <f t="shared" si="1075"/>
        <v>125</v>
      </c>
      <c r="C1068" s="217" t="str">
        <f t="shared" si="1076"/>
        <v>650</v>
      </c>
      <c r="D1068" s="101">
        <v>0</v>
      </c>
      <c r="E1068" s="101" t="str">
        <f t="shared" si="1077"/>
        <v>125-650</v>
      </c>
      <c r="F1068" s="294" t="str">
        <f t="shared" si="1078"/>
        <v>51221</v>
      </c>
      <c r="G1068" s="295" t="str">
        <f>VLOOKUP(F1068,'GL Category'!A:C,3,FALSE)</f>
        <v>Operations &amp; maintenance</v>
      </c>
      <c r="H1068" s="98" t="str">
        <f>VLOOKUP(F1068,'GL Category'!A:C,2,FALSE)</f>
        <v>BOTANICAL/AGRICULTURAL SUPPLY</v>
      </c>
      <c r="I1068" s="99">
        <f>SUMIFS(I$1:I1061,$C$1:$C1061,$C1068,$F$1:$F1061,$F1068)</f>
        <v>0</v>
      </c>
      <c r="J1068" s="99">
        <f>SUMIFS(J$1:J1061,$C$1:$C1061,$C1068,$F$1:$F1061,$F1068)</f>
        <v>0</v>
      </c>
      <c r="K1068" s="99">
        <f>SUMIFS(K$1:K1061,$C$1:$C1061,$C1068,$F$1:$F1061,$F1068)</f>
        <v>0</v>
      </c>
      <c r="L1068" s="99">
        <f>SUMIFS(L$1:L1061,$C$1:$C1061,$C1068,$F$1:$F1061,$F1068)</f>
        <v>0</v>
      </c>
      <c r="M1068" s="99">
        <f>SUMIFS(M$1:M1061,$C$1:$C1061,$C1068,$F$1:$F1061,$F1068)</f>
        <v>0</v>
      </c>
      <c r="N1068" s="99">
        <f>SUMIFS(N$1:N1061,$C$1:$C1061,$C1068,$F$1:$F1061,$F1068)</f>
        <v>0</v>
      </c>
      <c r="O1068" s="99">
        <f>SUMIFS(O$1:O1061,$C$1:$C1061,$C1068,$F$1:$F1061,$F1068)</f>
        <v>0</v>
      </c>
      <c r="P1068" s="99">
        <f t="shared" si="1079"/>
        <v>0</v>
      </c>
      <c r="Q1068" s="99">
        <f>SUMIFS(Q$1:Q1061,$C$1:$C1061,$C1068,$F$1:$F1061,$F1068)</f>
        <v>0</v>
      </c>
      <c r="R1068" s="99">
        <f>SUMIFS(R$1:R1061,$C$1:$C1061,$C1068,$F$1:$F1061,$F1068)</f>
        <v>0</v>
      </c>
      <c r="S1068" s="99">
        <f>SUMIFS(S$1:S1061,$C$1:$C1061,$C1068,$F$1:$F1061,$F1068)</f>
        <v>0</v>
      </c>
      <c r="T1068" s="99">
        <f>SUMIFS(T$1:T1061,$C$1:$C1061,$C1068,$F$1:$F1061,$F1068)</f>
        <v>0</v>
      </c>
      <c r="U1068" s="99">
        <f t="shared" si="1080"/>
        <v>0</v>
      </c>
      <c r="V1068" s="255" t="str">
        <f t="shared" si="1081"/>
        <v>N/A</v>
      </c>
      <c r="W1068" s="103" t="str">
        <f t="shared" si="1064"/>
        <v>OK</v>
      </c>
      <c r="Y1068" s="476"/>
      <c r="Z1068" s="308"/>
      <c r="AA1068" s="308"/>
      <c r="AB1068" s="308"/>
      <c r="AC1068" s="308"/>
      <c r="AD1068" s="308"/>
      <c r="AE1068" s="308"/>
      <c r="AF1068" s="308"/>
      <c r="AG1068" s="308"/>
      <c r="AH1068" s="308"/>
      <c r="AI1068" s="308"/>
      <c r="AJ1068" s="308"/>
      <c r="AK1068" s="308"/>
      <c r="AL1068" s="308"/>
      <c r="AM1068" s="70"/>
      <c r="AN1068" s="70"/>
      <c r="AO1068" s="70"/>
      <c r="AP1068" s="70"/>
      <c r="AQ1068" s="70"/>
      <c r="AR1068" s="70"/>
      <c r="AS1068" s="70"/>
      <c r="AT1068" s="70"/>
      <c r="AU1068" s="70"/>
      <c r="AV1068" s="70"/>
      <c r="AW1068" s="70"/>
      <c r="AX1068" s="70"/>
      <c r="AY1068" s="70"/>
      <c r="AZ1068" s="70"/>
      <c r="BA1068" s="70"/>
      <c r="BB1068" s="70"/>
      <c r="BC1068" s="70"/>
      <c r="BD1068" s="70"/>
    </row>
    <row r="1069" spans="1:56" s="71" customFormat="1" ht="15" customHeight="1">
      <c r="A1069" s="185" t="s">
        <v>1141</v>
      </c>
      <c r="B1069" s="217" t="str">
        <f t="shared" si="1075"/>
        <v>125</v>
      </c>
      <c r="C1069" s="217" t="str">
        <f t="shared" si="1076"/>
        <v>650</v>
      </c>
      <c r="D1069" s="101">
        <v>0</v>
      </c>
      <c r="E1069" s="101" t="str">
        <f t="shared" si="1077"/>
        <v>125-650</v>
      </c>
      <c r="F1069" s="294" t="str">
        <f t="shared" si="1078"/>
        <v>51225</v>
      </c>
      <c r="G1069" s="295" t="str">
        <f>VLOOKUP(F1069,'GL Category'!A:C,3,FALSE)</f>
        <v>Operations &amp; maintenance</v>
      </c>
      <c r="H1069" s="98" t="str">
        <f>VLOOKUP(F1069,'GL Category'!A:C,2,FALSE)</f>
        <v>JANITORIAL SUPPLIES</v>
      </c>
      <c r="I1069" s="99">
        <f>SUMIFS(I$1:I1062,$C$1:$C1062,$C1069,$F$1:$F1062,$F1069)</f>
        <v>0</v>
      </c>
      <c r="J1069" s="99">
        <f>SUMIFS(J$1:J1062,$C$1:$C1062,$C1069,$F$1:$F1062,$F1069)</f>
        <v>0</v>
      </c>
      <c r="K1069" s="99">
        <f>SUMIFS(K$1:K1062,$C$1:$C1062,$C1069,$F$1:$F1062,$F1069)</f>
        <v>0</v>
      </c>
      <c r="L1069" s="99">
        <f>SUMIFS(L$1:L1062,$C$1:$C1062,$C1069,$F$1:$F1062,$F1069)</f>
        <v>0</v>
      </c>
      <c r="M1069" s="99">
        <f>SUMIFS(M$1:M1062,$C$1:$C1062,$C1069,$F$1:$F1062,$F1069)</f>
        <v>0</v>
      </c>
      <c r="N1069" s="99">
        <f>SUMIFS(N$1:N1062,$C$1:$C1062,$C1069,$F$1:$F1062,$F1069)</f>
        <v>0</v>
      </c>
      <c r="O1069" s="99">
        <f>SUMIFS(O$1:O1062,$C$1:$C1062,$C1069,$F$1:$F1062,$F1069)</f>
        <v>0</v>
      </c>
      <c r="P1069" s="99">
        <f t="shared" si="1079"/>
        <v>0</v>
      </c>
      <c r="Q1069" s="99">
        <f>SUMIFS(Q$1:Q1062,$C$1:$C1062,$C1069,$F$1:$F1062,$F1069)</f>
        <v>0</v>
      </c>
      <c r="R1069" s="99">
        <f>SUMIFS(R$1:R1062,$C$1:$C1062,$C1069,$F$1:$F1062,$F1069)</f>
        <v>0</v>
      </c>
      <c r="S1069" s="99">
        <f>SUMIFS(S$1:S1062,$C$1:$C1062,$C1069,$F$1:$F1062,$F1069)</f>
        <v>0</v>
      </c>
      <c r="T1069" s="99">
        <f>SUMIFS(T$1:T1062,$C$1:$C1062,$C1069,$F$1:$F1062,$F1069)</f>
        <v>0</v>
      </c>
      <c r="U1069" s="99">
        <f t="shared" si="1080"/>
        <v>0</v>
      </c>
      <c r="V1069" s="255" t="str">
        <f t="shared" si="1081"/>
        <v>N/A</v>
      </c>
      <c r="W1069" s="103" t="str">
        <f t="shared" si="1064"/>
        <v>OK</v>
      </c>
      <c r="Y1069" s="476"/>
      <c r="Z1069" s="308"/>
      <c r="AA1069" s="308"/>
      <c r="AB1069" s="308"/>
      <c r="AC1069" s="308"/>
      <c r="AD1069" s="308"/>
      <c r="AE1069" s="308"/>
      <c r="AF1069" s="308"/>
      <c r="AG1069" s="308"/>
      <c r="AH1069" s="308"/>
      <c r="AI1069" s="308"/>
      <c r="AJ1069" s="308"/>
      <c r="AK1069" s="308"/>
      <c r="AL1069" s="308"/>
      <c r="AM1069" s="70"/>
      <c r="AN1069" s="70"/>
      <c r="AO1069" s="70"/>
      <c r="AP1069" s="70"/>
      <c r="AQ1069" s="70"/>
      <c r="AR1069" s="70"/>
      <c r="AS1069" s="70"/>
      <c r="AT1069" s="70"/>
      <c r="AU1069" s="70"/>
      <c r="AV1069" s="70"/>
      <c r="AW1069" s="70"/>
      <c r="AX1069" s="70"/>
      <c r="AY1069" s="70"/>
      <c r="AZ1069" s="70"/>
      <c r="BA1069" s="70"/>
      <c r="BB1069" s="70"/>
      <c r="BC1069" s="70"/>
      <c r="BD1069" s="70"/>
    </row>
    <row r="1070" spans="1:56" s="71" customFormat="1" ht="15" customHeight="1">
      <c r="A1070" s="185" t="s">
        <v>1142</v>
      </c>
      <c r="B1070" s="217" t="str">
        <f t="shared" si="1075"/>
        <v>125</v>
      </c>
      <c r="C1070" s="217" t="str">
        <f t="shared" si="1076"/>
        <v>650</v>
      </c>
      <c r="D1070" s="101">
        <v>0</v>
      </c>
      <c r="E1070" s="101" t="str">
        <f t="shared" si="1077"/>
        <v>125-650</v>
      </c>
      <c r="F1070" s="294" t="str">
        <f t="shared" si="1078"/>
        <v>51226</v>
      </c>
      <c r="G1070" s="295" t="str">
        <f>VLOOKUP(F1070,'GL Category'!A:C,3,FALSE)</f>
        <v>Operations &amp; maintenance</v>
      </c>
      <c r="H1070" s="98" t="str">
        <f>VLOOKUP(F1070,'GL Category'!A:C,2,FALSE)</f>
        <v>MEDICAL SUPPLIES</v>
      </c>
      <c r="I1070" s="99">
        <f>SUMIFS(I$1:I1063,$C$1:$C1063,$C1070,$F$1:$F1063,$F1070)</f>
        <v>0</v>
      </c>
      <c r="J1070" s="99">
        <f>SUMIFS(J$1:J1063,$C$1:$C1063,$C1070,$F$1:$F1063,$F1070)</f>
        <v>0</v>
      </c>
      <c r="K1070" s="99">
        <f>SUMIFS(K$1:K1063,$C$1:$C1063,$C1070,$F$1:$F1063,$F1070)</f>
        <v>0</v>
      </c>
      <c r="L1070" s="99">
        <f>SUMIFS(L$1:L1063,$C$1:$C1063,$C1070,$F$1:$F1063,$F1070)</f>
        <v>0</v>
      </c>
      <c r="M1070" s="99">
        <f>SUMIFS(M$1:M1063,$C$1:$C1063,$C1070,$F$1:$F1063,$F1070)</f>
        <v>0</v>
      </c>
      <c r="N1070" s="99">
        <f>SUMIFS(N$1:N1063,$C$1:$C1063,$C1070,$F$1:$F1063,$F1070)</f>
        <v>0</v>
      </c>
      <c r="O1070" s="99">
        <f>SUMIFS(O$1:O1063,$C$1:$C1063,$C1070,$F$1:$F1063,$F1070)</f>
        <v>0</v>
      </c>
      <c r="P1070" s="99">
        <f t="shared" si="1079"/>
        <v>0</v>
      </c>
      <c r="Q1070" s="99">
        <f>SUMIFS(Q$1:Q1063,$C$1:$C1063,$C1070,$F$1:$F1063,$F1070)</f>
        <v>0</v>
      </c>
      <c r="R1070" s="99">
        <f>SUMIFS(R$1:R1063,$C$1:$C1063,$C1070,$F$1:$F1063,$F1070)</f>
        <v>0</v>
      </c>
      <c r="S1070" s="99">
        <f>SUMIFS(S$1:S1063,$C$1:$C1063,$C1070,$F$1:$F1063,$F1070)</f>
        <v>0</v>
      </c>
      <c r="T1070" s="99">
        <f>SUMIFS(T$1:T1063,$C$1:$C1063,$C1070,$F$1:$F1063,$F1070)</f>
        <v>0</v>
      </c>
      <c r="U1070" s="99">
        <f t="shared" si="1080"/>
        <v>0</v>
      </c>
      <c r="V1070" s="255" t="str">
        <f t="shared" si="1081"/>
        <v>N/A</v>
      </c>
      <c r="W1070" s="103" t="str">
        <f t="shared" si="1064"/>
        <v>OK</v>
      </c>
      <c r="Y1070" s="476"/>
      <c r="Z1070" s="308"/>
      <c r="AA1070" s="308"/>
      <c r="AB1070" s="308"/>
      <c r="AC1070" s="308"/>
      <c r="AD1070" s="308"/>
      <c r="AE1070" s="308"/>
      <c r="AF1070" s="308"/>
      <c r="AG1070" s="308"/>
      <c r="AH1070" s="308"/>
      <c r="AI1070" s="308"/>
      <c r="AJ1070" s="308"/>
      <c r="AK1070" s="308"/>
      <c r="AL1070" s="308"/>
      <c r="AM1070" s="70"/>
      <c r="AN1070" s="70"/>
      <c r="AO1070" s="70"/>
      <c r="AP1070" s="70"/>
      <c r="AQ1070" s="70"/>
      <c r="AR1070" s="70"/>
      <c r="AS1070" s="70"/>
      <c r="AT1070" s="70"/>
      <c r="AU1070" s="70"/>
      <c r="AV1070" s="70"/>
      <c r="AW1070" s="70"/>
      <c r="AX1070" s="70"/>
      <c r="AY1070" s="70"/>
      <c r="AZ1070" s="70"/>
      <c r="BA1070" s="70"/>
      <c r="BB1070" s="70"/>
      <c r="BC1070" s="70"/>
      <c r="BD1070" s="70"/>
    </row>
    <row r="1071" spans="1:56" s="71" customFormat="1" ht="15" customHeight="1">
      <c r="A1071" s="185" t="s">
        <v>1205</v>
      </c>
      <c r="B1071" s="217" t="str">
        <f t="shared" ref="B1071" si="1087">LEFT(A1071,3)</f>
        <v>125</v>
      </c>
      <c r="C1071" s="217" t="str">
        <f t="shared" ref="C1071" si="1088">RIGHT(A1071,3)</f>
        <v>650</v>
      </c>
      <c r="D1071" s="101">
        <v>0</v>
      </c>
      <c r="E1071" s="101" t="str">
        <f t="shared" ref="E1071" si="1089">B1071&amp;"-"&amp;C1071</f>
        <v>125-650</v>
      </c>
      <c r="F1071" s="294" t="str">
        <f t="shared" ref="F1071" si="1090">MID(A1071,5,5)</f>
        <v>51230</v>
      </c>
      <c r="G1071" s="295" t="str">
        <f>VLOOKUP(F1071,'GL Category'!A:C,3,FALSE)</f>
        <v>Operations &amp; maintenance</v>
      </c>
      <c r="H1071" s="98" t="str">
        <f>VLOOKUP(F1071,'GL Category'!A:C,2,FALSE)</f>
        <v>COMPUTER SUPPLIES</v>
      </c>
      <c r="I1071" s="99">
        <f>SUMIFS(I$1:I1063,$C$1:$C1063,$C1071,$F$1:$F1063,$F1071)</f>
        <v>0</v>
      </c>
      <c r="J1071" s="99">
        <f>SUMIFS(J$1:J1063,$C$1:$C1063,$C1071,$F$1:$F1063,$F1071)</f>
        <v>0</v>
      </c>
      <c r="K1071" s="99">
        <f>SUMIFS(K$1:K1063,$C$1:$C1063,$C1071,$F$1:$F1063,$F1071)</f>
        <v>0</v>
      </c>
      <c r="L1071" s="99">
        <f>SUMIFS(L$1:L1063,$C$1:$C1063,$C1071,$F$1:$F1063,$F1071)</f>
        <v>0</v>
      </c>
      <c r="M1071" s="99">
        <f>SUMIFS(M$1:M1063,$C$1:$C1063,$C1071,$F$1:$F1063,$F1071)</f>
        <v>0</v>
      </c>
      <c r="N1071" s="99">
        <f>SUMIFS(N$1:N1063,$C$1:$C1063,$C1071,$F$1:$F1063,$F1071)</f>
        <v>0</v>
      </c>
      <c r="O1071" s="99">
        <f>SUMIFS(O$1:O1063,$C$1:$C1063,$C1071,$F$1:$F1063,$F1071)</f>
        <v>0</v>
      </c>
      <c r="P1071" s="99">
        <f t="shared" ref="P1071" si="1091">O1071-M1071</f>
        <v>0</v>
      </c>
      <c r="Q1071" s="99">
        <f>SUMIFS(Q$1:Q1063,$C$1:$C1063,$C1071,$F$1:$F1063,$F1071)</f>
        <v>0</v>
      </c>
      <c r="R1071" s="99">
        <f>SUMIFS(R$1:R1063,$C$1:$C1063,$C1071,$F$1:$F1063,$F1071)</f>
        <v>0</v>
      </c>
      <c r="S1071" s="99">
        <f>SUMIFS(S$1:S1063,$C$1:$C1063,$C1071,$F$1:$F1063,$F1071)</f>
        <v>0</v>
      </c>
      <c r="T1071" s="99">
        <f>SUMIFS(T$1:T1063,$C$1:$C1063,$C1071,$F$1:$F1063,$F1071)</f>
        <v>0</v>
      </c>
      <c r="U1071" s="99">
        <f t="shared" si="1080"/>
        <v>0</v>
      </c>
      <c r="V1071" s="255" t="str">
        <f t="shared" si="1081"/>
        <v>N/A</v>
      </c>
      <c r="W1071" s="103" t="str">
        <f t="shared" si="1064"/>
        <v>OK</v>
      </c>
      <c r="Y1071" s="476"/>
      <c r="Z1071" s="308"/>
      <c r="AA1071" s="308"/>
      <c r="AB1071" s="308"/>
      <c r="AC1071" s="308"/>
      <c r="AD1071" s="308"/>
      <c r="AE1071" s="308"/>
      <c r="AF1071" s="308"/>
      <c r="AG1071" s="308"/>
      <c r="AH1071" s="308"/>
      <c r="AI1071" s="308"/>
      <c r="AJ1071" s="308"/>
      <c r="AK1071" s="308"/>
      <c r="AL1071" s="308"/>
      <c r="AM1071" s="70"/>
      <c r="AN1071" s="70"/>
      <c r="AO1071" s="70"/>
      <c r="AP1071" s="70"/>
      <c r="AQ1071" s="70"/>
      <c r="AR1071" s="70"/>
      <c r="AS1071" s="70"/>
      <c r="AT1071" s="70"/>
      <c r="AU1071" s="70"/>
      <c r="AV1071" s="70"/>
      <c r="AW1071" s="70"/>
      <c r="AX1071" s="70"/>
      <c r="AY1071" s="70"/>
      <c r="AZ1071" s="70"/>
      <c r="BA1071" s="70"/>
      <c r="BB1071" s="70"/>
      <c r="BC1071" s="70"/>
      <c r="BD1071" s="70"/>
    </row>
    <row r="1072" spans="1:56" s="71" customFormat="1" ht="15" customHeight="1">
      <c r="A1072" s="185" t="s">
        <v>1143</v>
      </c>
      <c r="B1072" s="217" t="str">
        <f t="shared" si="1075"/>
        <v>125</v>
      </c>
      <c r="C1072" s="217" t="str">
        <f t="shared" si="1076"/>
        <v>650</v>
      </c>
      <c r="D1072" s="101">
        <v>0</v>
      </c>
      <c r="E1072" s="101" t="str">
        <f t="shared" si="1077"/>
        <v>125-650</v>
      </c>
      <c r="F1072" s="294" t="str">
        <f t="shared" si="1078"/>
        <v>51240</v>
      </c>
      <c r="G1072" s="295" t="e">
        <f>VLOOKUP(F1072,'GL Category'!A:C,3,FALSE)</f>
        <v>#N/A</v>
      </c>
      <c r="H1072" s="98" t="e">
        <f>VLOOKUP(F1072,'GL Category'!A:C,2,FALSE)</f>
        <v>#N/A</v>
      </c>
      <c r="I1072" s="99">
        <f>SUMIFS(I$1:I1064,$C$1:$C1064,$C1072,$F$1:$F1064,$F1072)</f>
        <v>0</v>
      </c>
      <c r="J1072" s="99">
        <f>SUMIFS(J$1:J1064,$C$1:$C1064,$C1072,$F$1:$F1064,$F1072)</f>
        <v>0</v>
      </c>
      <c r="K1072" s="99">
        <f>SUMIFS(K$1:K1064,$C$1:$C1064,$C1072,$F$1:$F1064,$F1072)</f>
        <v>0</v>
      </c>
      <c r="L1072" s="99">
        <f>SUMIFS(L$1:L1064,$C$1:$C1064,$C1072,$F$1:$F1064,$F1072)</f>
        <v>0</v>
      </c>
      <c r="M1072" s="99">
        <f>SUMIFS(M$1:M1064,$C$1:$C1064,$C1072,$F$1:$F1064,$F1072)</f>
        <v>0</v>
      </c>
      <c r="N1072" s="99">
        <f>SUMIFS(N$1:N1064,$C$1:$C1064,$C1072,$F$1:$F1064,$F1072)</f>
        <v>0</v>
      </c>
      <c r="O1072" s="99">
        <f>SUMIFS(O$1:O1064,$C$1:$C1064,$C1072,$F$1:$F1064,$F1072)</f>
        <v>0</v>
      </c>
      <c r="P1072" s="99">
        <f t="shared" si="1079"/>
        <v>0</v>
      </c>
      <c r="Q1072" s="99">
        <f>SUMIFS(Q$1:Q1064,$C$1:$C1064,$C1072,$F$1:$F1064,$F1072)</f>
        <v>0</v>
      </c>
      <c r="R1072" s="99">
        <f>SUMIFS(R$1:R1064,$C$1:$C1064,$C1072,$F$1:$F1064,$F1072)</f>
        <v>0</v>
      </c>
      <c r="S1072" s="99">
        <f>SUMIFS(S$1:S1064,$C$1:$C1064,$C1072,$F$1:$F1064,$F1072)</f>
        <v>0</v>
      </c>
      <c r="T1072" s="99">
        <f>SUMIFS(T$1:T1064,$C$1:$C1064,$C1072,$F$1:$F1064,$F1072)</f>
        <v>0</v>
      </c>
      <c r="U1072" s="99">
        <f t="shared" si="1080"/>
        <v>0</v>
      </c>
      <c r="V1072" s="255" t="str">
        <f t="shared" si="1081"/>
        <v>N/A</v>
      </c>
      <c r="W1072" s="103" t="str">
        <f t="shared" si="1064"/>
        <v>OK</v>
      </c>
      <c r="Y1072" s="476"/>
      <c r="Z1072" s="308"/>
      <c r="AA1072" s="308"/>
      <c r="AB1072" s="308"/>
      <c r="AC1072" s="308"/>
      <c r="AD1072" s="308"/>
      <c r="AE1072" s="308"/>
      <c r="AF1072" s="308"/>
      <c r="AG1072" s="308"/>
      <c r="AH1072" s="308"/>
      <c r="AI1072" s="308"/>
      <c r="AJ1072" s="308"/>
      <c r="AK1072" s="308"/>
      <c r="AL1072" s="308"/>
      <c r="AM1072" s="70"/>
      <c r="AN1072" s="70"/>
      <c r="AO1072" s="70"/>
      <c r="AP1072" s="70"/>
      <c r="AQ1072" s="70"/>
      <c r="AR1072" s="70"/>
      <c r="AS1072" s="70"/>
      <c r="AT1072" s="70"/>
      <c r="AU1072" s="70"/>
      <c r="AV1072" s="70"/>
      <c r="AW1072" s="70"/>
      <c r="AX1072" s="70"/>
      <c r="AY1072" s="70"/>
      <c r="AZ1072" s="70"/>
      <c r="BA1072" s="70"/>
      <c r="BB1072" s="70"/>
      <c r="BC1072" s="70"/>
      <c r="BD1072" s="70"/>
    </row>
    <row r="1073" spans="1:56" s="71" customFormat="1" ht="15" customHeight="1">
      <c r="A1073" s="185" t="s">
        <v>1144</v>
      </c>
      <c r="B1073" s="217" t="str">
        <f t="shared" si="1075"/>
        <v>125</v>
      </c>
      <c r="C1073" s="217" t="str">
        <f t="shared" si="1076"/>
        <v>650</v>
      </c>
      <c r="D1073" s="101">
        <v>0</v>
      </c>
      <c r="E1073" s="101" t="str">
        <f t="shared" si="1077"/>
        <v>125-650</v>
      </c>
      <c r="F1073" s="294" t="str">
        <f t="shared" si="1078"/>
        <v>51245</v>
      </c>
      <c r="G1073" s="295" t="str">
        <f>VLOOKUP(F1073,'GL Category'!A:C,3,FALSE)</f>
        <v>Operations &amp; maintenance</v>
      </c>
      <c r="H1073" s="98" t="str">
        <f>VLOOKUP(F1073,'GL Category'!A:C,2,FALSE)</f>
        <v>SMALL TOOLS &amp; EQUIPMENT</v>
      </c>
      <c r="I1073" s="99">
        <f>SUMIFS(I$1:I1065,$C$1:$C1065,$C1073,$F$1:$F1065,$F1073)</f>
        <v>0</v>
      </c>
      <c r="J1073" s="99">
        <f>SUMIFS(J$1:J1065,$C$1:$C1065,$C1073,$F$1:$F1065,$F1073)</f>
        <v>0</v>
      </c>
      <c r="K1073" s="99">
        <f>SUMIFS(K$1:K1065,$C$1:$C1065,$C1073,$F$1:$F1065,$F1073)</f>
        <v>0</v>
      </c>
      <c r="L1073" s="99">
        <f>SUMIFS(L$1:L1065,$C$1:$C1065,$C1073,$F$1:$F1065,$F1073)</f>
        <v>0</v>
      </c>
      <c r="M1073" s="99">
        <f>SUMIFS(M$1:M1065,$C$1:$C1065,$C1073,$F$1:$F1065,$F1073)</f>
        <v>0</v>
      </c>
      <c r="N1073" s="99">
        <f>SUMIFS(N$1:N1065,$C$1:$C1065,$C1073,$F$1:$F1065,$F1073)</f>
        <v>0</v>
      </c>
      <c r="O1073" s="99">
        <f>SUMIFS(O$1:O1065,$C$1:$C1065,$C1073,$F$1:$F1065,$F1073)</f>
        <v>0</v>
      </c>
      <c r="P1073" s="99">
        <f t="shared" si="1079"/>
        <v>0</v>
      </c>
      <c r="Q1073" s="99">
        <f>SUMIFS(Q$1:Q1065,$C$1:$C1065,$C1073,$F$1:$F1065,$F1073)</f>
        <v>0</v>
      </c>
      <c r="R1073" s="99">
        <f>SUMIFS(R$1:R1065,$C$1:$C1065,$C1073,$F$1:$F1065,$F1073)</f>
        <v>0</v>
      </c>
      <c r="S1073" s="99">
        <f>SUMIFS(S$1:S1065,$C$1:$C1065,$C1073,$F$1:$F1065,$F1073)</f>
        <v>0</v>
      </c>
      <c r="T1073" s="99">
        <f>SUMIFS(T$1:T1065,$C$1:$C1065,$C1073,$F$1:$F1065,$F1073)</f>
        <v>0</v>
      </c>
      <c r="U1073" s="99">
        <f t="shared" si="1080"/>
        <v>0</v>
      </c>
      <c r="V1073" s="255" t="str">
        <f t="shared" si="1081"/>
        <v>N/A</v>
      </c>
      <c r="W1073" s="103" t="str">
        <f t="shared" si="1064"/>
        <v>OK</v>
      </c>
      <c r="Y1073" s="476"/>
      <c r="Z1073" s="308"/>
      <c r="AA1073" s="308"/>
      <c r="AB1073" s="308"/>
      <c r="AC1073" s="308"/>
      <c r="AD1073" s="308"/>
      <c r="AE1073" s="308"/>
      <c r="AF1073" s="308"/>
      <c r="AG1073" s="308"/>
      <c r="AH1073" s="308"/>
      <c r="AI1073" s="308"/>
      <c r="AJ1073" s="308"/>
      <c r="AK1073" s="308"/>
      <c r="AL1073" s="308"/>
      <c r="AM1073" s="70"/>
      <c r="AN1073" s="70"/>
      <c r="AO1073" s="70"/>
      <c r="AP1073" s="70"/>
      <c r="AQ1073" s="70"/>
      <c r="AR1073" s="70"/>
      <c r="AS1073" s="70"/>
      <c r="AT1073" s="70"/>
      <c r="AU1073" s="70"/>
      <c r="AV1073" s="70"/>
      <c r="AW1073" s="70"/>
      <c r="AX1073" s="70"/>
      <c r="AY1073" s="70"/>
      <c r="AZ1073" s="70"/>
      <c r="BA1073" s="70"/>
      <c r="BB1073" s="70"/>
      <c r="BC1073" s="70"/>
      <c r="BD1073" s="70"/>
    </row>
    <row r="1074" spans="1:56" s="71" customFormat="1" ht="15" customHeight="1">
      <c r="A1074" s="185" t="s">
        <v>1145</v>
      </c>
      <c r="B1074" s="217" t="str">
        <f t="shared" si="1075"/>
        <v>125</v>
      </c>
      <c r="C1074" s="217" t="str">
        <f t="shared" si="1076"/>
        <v>650</v>
      </c>
      <c r="D1074" s="101">
        <v>0</v>
      </c>
      <c r="E1074" s="101" t="str">
        <f t="shared" si="1077"/>
        <v>125-650</v>
      </c>
      <c r="F1074" s="294" t="str">
        <f t="shared" si="1078"/>
        <v>51255</v>
      </c>
      <c r="G1074" s="295" t="str">
        <f>VLOOKUP(F1074,'GL Category'!A:C,3,FALSE)</f>
        <v>Operations &amp; maintenance</v>
      </c>
      <c r="H1074" s="98" t="str">
        <f>VLOOKUP(F1074,'GL Category'!A:C,2,FALSE)</f>
        <v>FUEL/OILS/LUBRICANTS</v>
      </c>
      <c r="I1074" s="99">
        <f>SUMIFS(I$1:I1066,$C$1:$C1066,$C1074,$F$1:$F1066,$F1074)</f>
        <v>0</v>
      </c>
      <c r="J1074" s="99">
        <f>SUMIFS(J$1:J1066,$C$1:$C1066,$C1074,$F$1:$F1066,$F1074)</f>
        <v>0</v>
      </c>
      <c r="K1074" s="99">
        <f>SUMIFS(K$1:K1066,$C$1:$C1066,$C1074,$F$1:$F1066,$F1074)</f>
        <v>0</v>
      </c>
      <c r="L1074" s="99">
        <f>SUMIFS(L$1:L1066,$C$1:$C1066,$C1074,$F$1:$F1066,$F1074)</f>
        <v>0</v>
      </c>
      <c r="M1074" s="99">
        <f>SUMIFS(M$1:M1066,$C$1:$C1066,$C1074,$F$1:$F1066,$F1074)</f>
        <v>0</v>
      </c>
      <c r="N1074" s="99">
        <f>SUMIFS(N$1:N1066,$C$1:$C1066,$C1074,$F$1:$F1066,$F1074)</f>
        <v>0</v>
      </c>
      <c r="O1074" s="99">
        <f>SUMIFS(O$1:O1066,$C$1:$C1066,$C1074,$F$1:$F1066,$F1074)</f>
        <v>0</v>
      </c>
      <c r="P1074" s="99">
        <f t="shared" si="1079"/>
        <v>0</v>
      </c>
      <c r="Q1074" s="99">
        <f>SUMIFS(Q$1:Q1066,$C$1:$C1066,$C1074,$F$1:$F1066,$F1074)</f>
        <v>0</v>
      </c>
      <c r="R1074" s="99">
        <f>SUMIFS(R$1:R1066,$C$1:$C1066,$C1074,$F$1:$F1066,$F1074)</f>
        <v>0</v>
      </c>
      <c r="S1074" s="99">
        <f>SUMIFS(S$1:S1066,$C$1:$C1066,$C1074,$F$1:$F1066,$F1074)</f>
        <v>0</v>
      </c>
      <c r="T1074" s="99">
        <f>SUMIFS(T$1:T1066,$C$1:$C1066,$C1074,$F$1:$F1066,$F1074)</f>
        <v>0</v>
      </c>
      <c r="U1074" s="99">
        <f t="shared" si="1080"/>
        <v>0</v>
      </c>
      <c r="V1074" s="255" t="str">
        <f t="shared" si="1081"/>
        <v>N/A</v>
      </c>
      <c r="W1074" s="103" t="str">
        <f t="shared" si="1064"/>
        <v>OK</v>
      </c>
      <c r="Y1074" s="476"/>
      <c r="Z1074" s="308"/>
      <c r="AA1074" s="308"/>
      <c r="AB1074" s="308"/>
      <c r="AC1074" s="308"/>
      <c r="AD1074" s="308"/>
      <c r="AE1074" s="308"/>
      <c r="AF1074" s="308"/>
      <c r="AG1074" s="308"/>
      <c r="AH1074" s="308"/>
      <c r="AI1074" s="308"/>
      <c r="AJ1074" s="308"/>
      <c r="AK1074" s="308"/>
      <c r="AL1074" s="308"/>
      <c r="AM1074" s="70"/>
      <c r="AN1074" s="70"/>
      <c r="AO1074" s="70"/>
      <c r="AP1074" s="70"/>
      <c r="AQ1074" s="70"/>
      <c r="AR1074" s="70"/>
      <c r="AS1074" s="70"/>
      <c r="AT1074" s="70"/>
      <c r="AU1074" s="70"/>
      <c r="AV1074" s="70"/>
      <c r="AW1074" s="70"/>
      <c r="AX1074" s="70"/>
      <c r="AY1074" s="70"/>
      <c r="AZ1074" s="70"/>
      <c r="BA1074" s="70"/>
      <c r="BB1074" s="70"/>
      <c r="BC1074" s="70"/>
      <c r="BD1074" s="70"/>
    </row>
    <row r="1075" spans="1:56" s="71" customFormat="1" ht="15" customHeight="1">
      <c r="A1075" s="185" t="s">
        <v>1146</v>
      </c>
      <c r="B1075" s="217" t="str">
        <f t="shared" si="1075"/>
        <v>125</v>
      </c>
      <c r="C1075" s="217" t="str">
        <f t="shared" si="1076"/>
        <v>650</v>
      </c>
      <c r="D1075" s="101">
        <v>0</v>
      </c>
      <c r="E1075" s="101" t="str">
        <f t="shared" si="1077"/>
        <v>125-650</v>
      </c>
      <c r="F1075" s="294" t="str">
        <f t="shared" si="1078"/>
        <v>51257</v>
      </c>
      <c r="G1075" s="295" t="str">
        <f>VLOOKUP(F1075,'GL Category'!A:C,3,FALSE)</f>
        <v>Operations &amp; maintenance</v>
      </c>
      <c r="H1075" s="98" t="str">
        <f>VLOOKUP(F1075,'GL Category'!A:C,2,FALSE)</f>
        <v>MEETING SPONSORSHIP/SUPPLIES</v>
      </c>
      <c r="I1075" s="99">
        <f>SUMIFS(I$1:I1068,$C$1:$C1068,$C1075,$F$1:$F1068,$F1075)</f>
        <v>0</v>
      </c>
      <c r="J1075" s="99">
        <f>SUMIFS(J$1:J1068,$C$1:$C1068,$C1075,$F$1:$F1068,$F1075)</f>
        <v>0</v>
      </c>
      <c r="K1075" s="99">
        <f>SUMIFS(K$1:K1068,$C$1:$C1068,$C1075,$F$1:$F1068,$F1075)</f>
        <v>0</v>
      </c>
      <c r="L1075" s="99">
        <f>SUMIFS(L$1:L1068,$C$1:$C1068,$C1075,$F$1:$F1068,$F1075)</f>
        <v>0</v>
      </c>
      <c r="M1075" s="99">
        <f>SUMIFS(M$1:M1068,$C$1:$C1068,$C1075,$F$1:$F1068,$F1075)</f>
        <v>0</v>
      </c>
      <c r="N1075" s="99">
        <f>SUMIFS(N$1:N1068,$C$1:$C1068,$C1075,$F$1:$F1068,$F1075)</f>
        <v>0</v>
      </c>
      <c r="O1075" s="99">
        <f>SUMIFS(O$1:O1068,$C$1:$C1068,$C1075,$F$1:$F1068,$F1075)</f>
        <v>0</v>
      </c>
      <c r="P1075" s="99">
        <f t="shared" si="1079"/>
        <v>0</v>
      </c>
      <c r="Q1075" s="99">
        <f>SUMIFS(Q$1:Q1068,$C$1:$C1068,$C1075,$F$1:$F1068,$F1075)</f>
        <v>0</v>
      </c>
      <c r="R1075" s="99">
        <f>SUMIFS(R$1:R1068,$C$1:$C1068,$C1075,$F$1:$F1068,$F1075)</f>
        <v>0</v>
      </c>
      <c r="S1075" s="99">
        <f>SUMIFS(S$1:S1068,$C$1:$C1068,$C1075,$F$1:$F1068,$F1075)</f>
        <v>0</v>
      </c>
      <c r="T1075" s="99">
        <f>SUMIFS(T$1:T1068,$C$1:$C1068,$C1075,$F$1:$F1068,$F1075)</f>
        <v>0</v>
      </c>
      <c r="U1075" s="99">
        <f t="shared" si="1080"/>
        <v>0</v>
      </c>
      <c r="V1075" s="255" t="str">
        <f t="shared" si="1081"/>
        <v>N/A</v>
      </c>
      <c r="W1075" s="103" t="str">
        <f t="shared" si="1064"/>
        <v>OK</v>
      </c>
      <c r="Y1075" s="476"/>
      <c r="Z1075" s="308"/>
      <c r="AA1075" s="308"/>
      <c r="AB1075" s="308"/>
      <c r="AC1075" s="308"/>
      <c r="AD1075" s="308"/>
      <c r="AE1075" s="308"/>
      <c r="AF1075" s="308"/>
      <c r="AG1075" s="308"/>
      <c r="AH1075" s="308"/>
      <c r="AI1075" s="308"/>
      <c r="AJ1075" s="308"/>
      <c r="AK1075" s="308"/>
      <c r="AL1075" s="308"/>
      <c r="AM1075" s="70"/>
      <c r="AN1075" s="70"/>
      <c r="AO1075" s="70"/>
      <c r="AP1075" s="70"/>
      <c r="AQ1075" s="70"/>
      <c r="AR1075" s="70"/>
      <c r="AS1075" s="70"/>
      <c r="AT1075" s="70"/>
      <c r="AU1075" s="70"/>
      <c r="AV1075" s="70"/>
      <c r="AW1075" s="70"/>
      <c r="AX1075" s="70"/>
      <c r="AY1075" s="70"/>
      <c r="AZ1075" s="70"/>
      <c r="BA1075" s="70"/>
      <c r="BB1075" s="70"/>
      <c r="BC1075" s="70"/>
      <c r="BD1075" s="70"/>
    </row>
    <row r="1076" spans="1:56" s="71" customFormat="1" ht="15" customHeight="1">
      <c r="A1076" s="185" t="s">
        <v>1147</v>
      </c>
      <c r="B1076" s="217" t="str">
        <f t="shared" si="1075"/>
        <v>125</v>
      </c>
      <c r="C1076" s="217" t="str">
        <f t="shared" si="1076"/>
        <v>650</v>
      </c>
      <c r="D1076" s="101">
        <v>0</v>
      </c>
      <c r="E1076" s="101" t="str">
        <f t="shared" si="1077"/>
        <v>125-650</v>
      </c>
      <c r="F1076" s="294" t="str">
        <f t="shared" si="1078"/>
        <v>51260</v>
      </c>
      <c r="G1076" s="295" t="str">
        <f>VLOOKUP(F1076,'GL Category'!A:C,3,FALSE)</f>
        <v>Operations &amp; maintenance</v>
      </c>
      <c r="H1076" s="98" t="str">
        <f>VLOOKUP(F1076,'GL Category'!A:C,2,FALSE)</f>
        <v>EDUCATION/RECREATION SUPPLIES</v>
      </c>
      <c r="I1076" s="99">
        <f>SUMIFS(I$1:I1069,$C$1:$C1069,$C1076,$F$1:$F1069,$F1076)</f>
        <v>0</v>
      </c>
      <c r="J1076" s="99">
        <f>SUMIFS(J$1:J1069,$C$1:$C1069,$C1076,$F$1:$F1069,$F1076)</f>
        <v>0</v>
      </c>
      <c r="K1076" s="99">
        <f>SUMIFS(K$1:K1069,$C$1:$C1069,$C1076,$F$1:$F1069,$F1076)</f>
        <v>0</v>
      </c>
      <c r="L1076" s="99">
        <f>SUMIFS(L$1:L1069,$C$1:$C1069,$C1076,$F$1:$F1069,$F1076)</f>
        <v>0</v>
      </c>
      <c r="M1076" s="99">
        <f>SUMIFS(M$1:M1069,$C$1:$C1069,$C1076,$F$1:$F1069,$F1076)</f>
        <v>0</v>
      </c>
      <c r="N1076" s="99">
        <f>SUMIFS(N$1:N1069,$C$1:$C1069,$C1076,$F$1:$F1069,$F1076)</f>
        <v>0</v>
      </c>
      <c r="O1076" s="99">
        <f>SUMIFS(O$1:O1069,$C$1:$C1069,$C1076,$F$1:$F1069,$F1076)</f>
        <v>0</v>
      </c>
      <c r="P1076" s="99">
        <f t="shared" si="1079"/>
        <v>0</v>
      </c>
      <c r="Q1076" s="99">
        <f>SUMIFS(Q$1:Q1069,$C$1:$C1069,$C1076,$F$1:$F1069,$F1076)</f>
        <v>0</v>
      </c>
      <c r="R1076" s="99">
        <f>SUMIFS(R$1:R1069,$C$1:$C1069,$C1076,$F$1:$F1069,$F1076)</f>
        <v>0</v>
      </c>
      <c r="S1076" s="99">
        <f>SUMIFS(S$1:S1069,$C$1:$C1069,$C1076,$F$1:$F1069,$F1076)</f>
        <v>0</v>
      </c>
      <c r="T1076" s="99">
        <f>SUMIFS(T$1:T1069,$C$1:$C1069,$C1076,$F$1:$F1069,$F1076)</f>
        <v>0</v>
      </c>
      <c r="U1076" s="99">
        <f t="shared" si="1080"/>
        <v>0</v>
      </c>
      <c r="V1076" s="255" t="str">
        <f t="shared" si="1081"/>
        <v>N/A</v>
      </c>
      <c r="W1076" s="103" t="str">
        <f t="shared" si="1064"/>
        <v>OK</v>
      </c>
      <c r="Y1076" s="476"/>
      <c r="Z1076" s="308"/>
      <c r="AA1076" s="308"/>
      <c r="AB1076" s="308"/>
      <c r="AC1076" s="308"/>
      <c r="AD1076" s="308"/>
      <c r="AE1076" s="308"/>
      <c r="AF1076" s="308"/>
      <c r="AG1076" s="308"/>
      <c r="AH1076" s="308"/>
      <c r="AI1076" s="308"/>
      <c r="AJ1076" s="308"/>
      <c r="AK1076" s="308"/>
      <c r="AL1076" s="308"/>
      <c r="AM1076" s="70"/>
      <c r="AN1076" s="70"/>
      <c r="AO1076" s="70"/>
      <c r="AP1076" s="70"/>
      <c r="AQ1076" s="70"/>
      <c r="AR1076" s="70"/>
      <c r="AS1076" s="70"/>
      <c r="AT1076" s="70"/>
      <c r="AU1076" s="70"/>
      <c r="AV1076" s="70"/>
      <c r="AW1076" s="70"/>
      <c r="AX1076" s="70"/>
      <c r="AY1076" s="70"/>
      <c r="AZ1076" s="70"/>
      <c r="BA1076" s="70"/>
      <c r="BB1076" s="70"/>
      <c r="BC1076" s="70"/>
      <c r="BD1076" s="70"/>
    </row>
    <row r="1077" spans="1:56" s="71" customFormat="1" ht="15" customHeight="1">
      <c r="A1077" s="185" t="s">
        <v>1148</v>
      </c>
      <c r="B1077" s="217" t="str">
        <f t="shared" si="1075"/>
        <v>125</v>
      </c>
      <c r="C1077" s="217" t="str">
        <f t="shared" si="1076"/>
        <v>650</v>
      </c>
      <c r="D1077" s="101">
        <v>0</v>
      </c>
      <c r="E1077" s="101" t="str">
        <f t="shared" si="1077"/>
        <v>125-650</v>
      </c>
      <c r="F1077" s="294" t="str">
        <f t="shared" si="1078"/>
        <v>51270</v>
      </c>
      <c r="G1077" s="295" t="str">
        <f>VLOOKUP(F1077,'GL Category'!A:C,3,FALSE)</f>
        <v>Operations &amp; maintenance</v>
      </c>
      <c r="H1077" s="98" t="str">
        <f>VLOOKUP(F1077,'GL Category'!A:C,2,FALSE)</f>
        <v>CHEMICAL SUPPLIES</v>
      </c>
      <c r="I1077" s="99">
        <f>SUMIFS(I$1:I1070,$C$1:$C1070,$C1077,$F$1:$F1070,$F1077)</f>
        <v>0</v>
      </c>
      <c r="J1077" s="99">
        <f>SUMIFS(J$1:J1070,$C$1:$C1070,$C1077,$F$1:$F1070,$F1077)</f>
        <v>0</v>
      </c>
      <c r="K1077" s="99">
        <f>SUMIFS(K$1:K1070,$C$1:$C1070,$C1077,$F$1:$F1070,$F1077)</f>
        <v>0</v>
      </c>
      <c r="L1077" s="99">
        <f>SUMIFS(L$1:L1070,$C$1:$C1070,$C1077,$F$1:$F1070,$F1077)</f>
        <v>0</v>
      </c>
      <c r="M1077" s="99">
        <f>SUMIFS(M$1:M1070,$C$1:$C1070,$C1077,$F$1:$F1070,$F1077)</f>
        <v>0</v>
      </c>
      <c r="N1077" s="99">
        <f>SUMIFS(N$1:N1070,$C$1:$C1070,$C1077,$F$1:$F1070,$F1077)</f>
        <v>0</v>
      </c>
      <c r="O1077" s="99">
        <f>SUMIFS(O$1:O1070,$C$1:$C1070,$C1077,$F$1:$F1070,$F1077)</f>
        <v>0</v>
      </c>
      <c r="P1077" s="99">
        <f t="shared" si="1079"/>
        <v>0</v>
      </c>
      <c r="Q1077" s="99">
        <f>SUMIFS(Q$1:Q1070,$C$1:$C1070,$C1077,$F$1:$F1070,$F1077)</f>
        <v>0</v>
      </c>
      <c r="R1077" s="99">
        <f>SUMIFS(R$1:R1070,$C$1:$C1070,$C1077,$F$1:$F1070,$F1077)</f>
        <v>0</v>
      </c>
      <c r="S1077" s="99">
        <f>SUMIFS(S$1:S1070,$C$1:$C1070,$C1077,$F$1:$F1070,$F1077)</f>
        <v>0</v>
      </c>
      <c r="T1077" s="99">
        <f>SUMIFS(T$1:T1070,$C$1:$C1070,$C1077,$F$1:$F1070,$F1077)</f>
        <v>0</v>
      </c>
      <c r="U1077" s="99">
        <f t="shared" si="1080"/>
        <v>0</v>
      </c>
      <c r="V1077" s="255" t="str">
        <f t="shared" si="1081"/>
        <v>N/A</v>
      </c>
      <c r="W1077" s="103" t="str">
        <f t="shared" si="1064"/>
        <v>OK</v>
      </c>
      <c r="Y1077" s="476"/>
      <c r="Z1077" s="308"/>
      <c r="AA1077" s="308"/>
      <c r="AB1077" s="308"/>
      <c r="AC1077" s="308"/>
      <c r="AD1077" s="308"/>
      <c r="AE1077" s="308"/>
      <c r="AF1077" s="308"/>
      <c r="AG1077" s="308"/>
      <c r="AH1077" s="308"/>
      <c r="AI1077" s="308"/>
      <c r="AJ1077" s="308"/>
      <c r="AK1077" s="308"/>
      <c r="AL1077" s="308"/>
      <c r="AM1077" s="70"/>
      <c r="AN1077" s="70"/>
      <c r="AO1077" s="70"/>
      <c r="AP1077" s="70"/>
      <c r="AQ1077" s="70"/>
      <c r="AR1077" s="70"/>
      <c r="AS1077" s="70"/>
      <c r="AT1077" s="70"/>
      <c r="AU1077" s="70"/>
      <c r="AV1077" s="70"/>
      <c r="AW1077" s="70"/>
      <c r="AX1077" s="70"/>
      <c r="AY1077" s="70"/>
      <c r="AZ1077" s="70"/>
      <c r="BA1077" s="70"/>
      <c r="BB1077" s="70"/>
      <c r="BC1077" s="70"/>
      <c r="BD1077" s="70"/>
    </row>
    <row r="1078" spans="1:56" s="71" customFormat="1" ht="15" customHeight="1">
      <c r="A1078" s="185" t="s">
        <v>1149</v>
      </c>
      <c r="B1078" s="217" t="str">
        <f t="shared" si="1075"/>
        <v>125</v>
      </c>
      <c r="C1078" s="217" t="str">
        <f t="shared" si="1076"/>
        <v>650</v>
      </c>
      <c r="D1078" s="101">
        <v>0</v>
      </c>
      <c r="E1078" s="101" t="str">
        <f t="shared" si="1077"/>
        <v>125-650</v>
      </c>
      <c r="F1078" s="294" t="str">
        <f t="shared" si="1078"/>
        <v>51271</v>
      </c>
      <c r="G1078" s="295" t="str">
        <f>VLOOKUP(F1078,'GL Category'!A:C,3,FALSE)</f>
        <v>Operations &amp; maintenance</v>
      </c>
      <c r="H1078" s="98" t="str">
        <f>VLOOKUP(F1078,'GL Category'!A:C,2,FALSE)</f>
        <v>BUILDING MATERIALS &amp; SUPPLIES</v>
      </c>
      <c r="I1078" s="99">
        <f>SUMIFS(I$1:I1072,$C$1:$C1072,$C1078,$F$1:$F1072,$F1078)</f>
        <v>0</v>
      </c>
      <c r="J1078" s="99">
        <f>SUMIFS(J$1:J1072,$C$1:$C1072,$C1078,$F$1:$F1072,$F1078)</f>
        <v>0</v>
      </c>
      <c r="K1078" s="99">
        <f>SUMIFS(K$1:K1072,$C$1:$C1072,$C1078,$F$1:$F1072,$F1078)</f>
        <v>0</v>
      </c>
      <c r="L1078" s="99">
        <f>SUMIFS(L$1:L1072,$C$1:$C1072,$C1078,$F$1:$F1072,$F1078)</f>
        <v>0</v>
      </c>
      <c r="M1078" s="99">
        <f>SUMIFS(M$1:M1072,$C$1:$C1072,$C1078,$F$1:$F1072,$F1078)</f>
        <v>0</v>
      </c>
      <c r="N1078" s="99">
        <f>SUMIFS(N$1:N1072,$C$1:$C1072,$C1078,$F$1:$F1072,$F1078)</f>
        <v>0</v>
      </c>
      <c r="O1078" s="99">
        <f>SUMIFS(O$1:O1072,$C$1:$C1072,$C1078,$F$1:$F1072,$F1078)</f>
        <v>0</v>
      </c>
      <c r="P1078" s="99">
        <f t="shared" si="1079"/>
        <v>0</v>
      </c>
      <c r="Q1078" s="99">
        <f>SUMIFS(Q$1:Q1072,$C$1:$C1072,$C1078,$F$1:$F1072,$F1078)</f>
        <v>0</v>
      </c>
      <c r="R1078" s="99">
        <f>SUMIFS(R$1:R1072,$C$1:$C1072,$C1078,$F$1:$F1072,$F1078)</f>
        <v>0</v>
      </c>
      <c r="S1078" s="99">
        <f>SUMIFS(S$1:S1072,$C$1:$C1072,$C1078,$F$1:$F1072,$F1078)</f>
        <v>0</v>
      </c>
      <c r="T1078" s="99">
        <f>SUMIFS(T$1:T1072,$C$1:$C1072,$C1078,$F$1:$F1072,$F1078)</f>
        <v>0</v>
      </c>
      <c r="U1078" s="99">
        <f t="shared" si="1080"/>
        <v>0</v>
      </c>
      <c r="V1078" s="255" t="str">
        <f t="shared" si="1081"/>
        <v>N/A</v>
      </c>
      <c r="W1078" s="103" t="str">
        <f t="shared" si="1064"/>
        <v>OK</v>
      </c>
      <c r="Y1078" s="476"/>
      <c r="Z1078" s="308"/>
      <c r="AA1078" s="308"/>
      <c r="AB1078" s="308"/>
      <c r="AC1078" s="308"/>
      <c r="AD1078" s="308"/>
      <c r="AE1078" s="308"/>
      <c r="AF1078" s="308"/>
      <c r="AG1078" s="308"/>
      <c r="AH1078" s="308"/>
      <c r="AI1078" s="308"/>
      <c r="AJ1078" s="308"/>
      <c r="AK1078" s="308"/>
      <c r="AL1078" s="308"/>
      <c r="AM1078" s="70"/>
      <c r="AN1078" s="70"/>
      <c r="AO1078" s="70"/>
      <c r="AP1078" s="70"/>
      <c r="AQ1078" s="70"/>
      <c r="AR1078" s="70"/>
      <c r="AS1078" s="70"/>
      <c r="AT1078" s="70"/>
      <c r="AU1078" s="70"/>
      <c r="AV1078" s="70"/>
      <c r="AW1078" s="70"/>
      <c r="AX1078" s="70"/>
      <c r="AY1078" s="70"/>
      <c r="AZ1078" s="70"/>
      <c r="BA1078" s="70"/>
      <c r="BB1078" s="70"/>
      <c r="BC1078" s="70"/>
      <c r="BD1078" s="70"/>
    </row>
    <row r="1079" spans="1:56" s="71" customFormat="1" ht="15" customHeight="1">
      <c r="A1079" s="185" t="s">
        <v>1195</v>
      </c>
      <c r="B1079" s="217" t="str">
        <f t="shared" ref="B1079" si="1092">LEFT(A1079,3)</f>
        <v>125</v>
      </c>
      <c r="C1079" s="217" t="str">
        <f t="shared" ref="C1079" si="1093">RIGHT(A1079,3)</f>
        <v>650</v>
      </c>
      <c r="D1079" s="101">
        <v>0</v>
      </c>
      <c r="E1079" s="101" t="str">
        <f t="shared" ref="E1079" si="1094">B1079&amp;"-"&amp;C1079</f>
        <v>125-650</v>
      </c>
      <c r="F1079" s="294" t="str">
        <f t="shared" ref="F1079" si="1095">MID(A1079,5,5)</f>
        <v>51280</v>
      </c>
      <c r="G1079" s="295" t="str">
        <f>VLOOKUP(F1079,'GL Category'!A:C,3,FALSE)</f>
        <v>Operations &amp; maintenance</v>
      </c>
      <c r="H1079" s="98" t="str">
        <f>VLOOKUP(F1079,'GL Category'!A:C,2,FALSE)</f>
        <v>CONCESSION SUPPLIES</v>
      </c>
      <c r="I1079" s="99">
        <f>SUMIFS(I$1:I1072,$C$1:$C1072,$C1079,$F$1:$F1072,$F1079)</f>
        <v>0</v>
      </c>
      <c r="J1079" s="99">
        <f>SUMIFS(J$1:J1072,$C$1:$C1072,$C1079,$F$1:$F1072,$F1079)</f>
        <v>0</v>
      </c>
      <c r="K1079" s="99">
        <f>SUMIFS(K$1:K1072,$C$1:$C1072,$C1079,$F$1:$F1072,$F1079)</f>
        <v>0</v>
      </c>
      <c r="L1079" s="99">
        <f>SUMIFS(L$1:L1072,$C$1:$C1072,$C1079,$F$1:$F1072,$F1079)</f>
        <v>0</v>
      </c>
      <c r="M1079" s="99">
        <f>SUMIFS(M$1:M1072,$C$1:$C1072,$C1079,$F$1:$F1072,$F1079)</f>
        <v>0</v>
      </c>
      <c r="N1079" s="99">
        <f>SUMIFS(N$1:N1072,$C$1:$C1072,$C1079,$F$1:$F1072,$F1079)</f>
        <v>0</v>
      </c>
      <c r="O1079" s="99">
        <f>SUMIFS(O$1:O1072,$C$1:$C1072,$C1079,$F$1:$F1072,$F1079)</f>
        <v>0</v>
      </c>
      <c r="P1079" s="99">
        <f t="shared" ref="P1079" si="1096">O1079-M1079</f>
        <v>0</v>
      </c>
      <c r="Q1079" s="99">
        <f>SUMIFS(Q$1:Q1072,$C$1:$C1072,$C1079,$F$1:$F1072,$F1079)</f>
        <v>0</v>
      </c>
      <c r="R1079" s="99">
        <f>SUMIFS(R$1:R1072,$C$1:$C1072,$C1079,$F$1:$F1072,$F1079)</f>
        <v>0</v>
      </c>
      <c r="S1079" s="99">
        <f>SUMIFS(S$1:S1072,$C$1:$C1072,$C1079,$F$1:$F1072,$F1079)</f>
        <v>0</v>
      </c>
      <c r="T1079" s="99">
        <f>SUMIFS(T$1:T1072,$C$1:$C1072,$C1079,$F$1:$F1072,$F1079)</f>
        <v>0</v>
      </c>
      <c r="U1079" s="99">
        <f t="shared" si="1080"/>
        <v>0</v>
      </c>
      <c r="V1079" s="255" t="str">
        <f t="shared" si="1081"/>
        <v>N/A</v>
      </c>
      <c r="W1079" s="103" t="str">
        <f t="shared" si="1064"/>
        <v>OK</v>
      </c>
      <c r="Y1079" s="476"/>
      <c r="Z1079" s="308"/>
      <c r="AA1079" s="308"/>
      <c r="AB1079" s="308"/>
      <c r="AC1079" s="308"/>
      <c r="AD1079" s="308"/>
      <c r="AE1079" s="308"/>
      <c r="AF1079" s="308"/>
      <c r="AG1079" s="308"/>
      <c r="AH1079" s="308"/>
      <c r="AI1079" s="308"/>
      <c r="AJ1079" s="308"/>
      <c r="AK1079" s="308"/>
      <c r="AL1079" s="308"/>
      <c r="AM1079" s="70"/>
      <c r="AN1079" s="70"/>
      <c r="AO1079" s="70"/>
      <c r="AP1079" s="70"/>
      <c r="AQ1079" s="70"/>
      <c r="AR1079" s="70"/>
      <c r="AS1079" s="70"/>
      <c r="AT1079" s="70"/>
      <c r="AU1079" s="70"/>
      <c r="AV1079" s="70"/>
      <c r="AW1079" s="70"/>
      <c r="AX1079" s="70"/>
      <c r="AY1079" s="70"/>
      <c r="AZ1079" s="70"/>
      <c r="BA1079" s="70"/>
      <c r="BB1079" s="70"/>
      <c r="BC1079" s="70"/>
      <c r="BD1079" s="70"/>
    </row>
    <row r="1080" spans="1:56" s="71" customFormat="1" ht="15" customHeight="1">
      <c r="A1080" s="185" t="s">
        <v>1196</v>
      </c>
      <c r="B1080" s="217" t="str">
        <f t="shared" ref="B1080" si="1097">LEFT(A1080,3)</f>
        <v>125</v>
      </c>
      <c r="C1080" s="217" t="str">
        <f t="shared" ref="C1080" si="1098">RIGHT(A1080,3)</f>
        <v>650</v>
      </c>
      <c r="D1080" s="101">
        <v>0</v>
      </c>
      <c r="E1080" s="101" t="str">
        <f t="shared" ref="E1080" si="1099">B1080&amp;"-"&amp;C1080</f>
        <v>125-650</v>
      </c>
      <c r="F1080" s="294" t="str">
        <f t="shared" ref="F1080" si="1100">MID(A1080,5,5)</f>
        <v>51281</v>
      </c>
      <c r="G1080" s="295" t="e">
        <f>VLOOKUP(F1080,'GL Category'!A:C,3,FALSE)</f>
        <v>#N/A</v>
      </c>
      <c r="H1080" s="98" t="e">
        <f>VLOOKUP(F1080,'GL Category'!A:C,2,FALSE)</f>
        <v>#N/A</v>
      </c>
      <c r="I1080" s="99">
        <f>SUMIFS(I$1:I1073,$C$1:$C1073,$C1080,$F$1:$F1073,$F1080)</f>
        <v>0</v>
      </c>
      <c r="J1080" s="99">
        <f>SUMIFS(J$1:J1073,$C$1:$C1073,$C1080,$F$1:$F1073,$F1080)</f>
        <v>0</v>
      </c>
      <c r="K1080" s="99">
        <f>SUMIFS(K$1:K1073,$C$1:$C1073,$C1080,$F$1:$F1073,$F1080)</f>
        <v>0</v>
      </c>
      <c r="L1080" s="99">
        <f>SUMIFS(L$1:L1073,$C$1:$C1073,$C1080,$F$1:$F1073,$F1080)</f>
        <v>0</v>
      </c>
      <c r="M1080" s="99">
        <f>SUMIFS(M$1:M1073,$C$1:$C1073,$C1080,$F$1:$F1073,$F1080)</f>
        <v>0</v>
      </c>
      <c r="N1080" s="99">
        <f>SUMIFS(N$1:N1073,$C$1:$C1073,$C1080,$F$1:$F1073,$F1080)</f>
        <v>0</v>
      </c>
      <c r="O1080" s="99">
        <f>SUMIFS(O$1:O1073,$C$1:$C1073,$C1080,$F$1:$F1073,$F1080)</f>
        <v>0</v>
      </c>
      <c r="P1080" s="99">
        <f t="shared" ref="P1080" si="1101">O1080-M1080</f>
        <v>0</v>
      </c>
      <c r="Q1080" s="99">
        <f>SUMIFS(Q$1:Q1073,$C$1:$C1073,$C1080,$F$1:$F1073,$F1080)</f>
        <v>0</v>
      </c>
      <c r="R1080" s="99">
        <f>SUMIFS(R$1:R1073,$C$1:$C1073,$C1080,$F$1:$F1073,$F1080)</f>
        <v>0</v>
      </c>
      <c r="S1080" s="99">
        <f>SUMIFS(S$1:S1073,$C$1:$C1073,$C1080,$F$1:$F1073,$F1080)</f>
        <v>0</v>
      </c>
      <c r="T1080" s="99">
        <f>SUMIFS(T$1:T1073,$C$1:$C1073,$C1080,$F$1:$F1073,$F1080)</f>
        <v>0</v>
      </c>
      <c r="U1080" s="99">
        <f t="shared" si="1080"/>
        <v>0</v>
      </c>
      <c r="V1080" s="255" t="str">
        <f t="shared" si="1081"/>
        <v>N/A</v>
      </c>
      <c r="W1080" s="103" t="str">
        <f t="shared" si="1064"/>
        <v>OK</v>
      </c>
      <c r="Y1080" s="476"/>
      <c r="Z1080" s="308"/>
      <c r="AA1080" s="308"/>
      <c r="AB1080" s="308"/>
      <c r="AC1080" s="308"/>
      <c r="AD1080" s="308"/>
      <c r="AE1080" s="308"/>
      <c r="AF1080" s="308"/>
      <c r="AG1080" s="308"/>
      <c r="AH1080" s="308"/>
      <c r="AI1080" s="308"/>
      <c r="AJ1080" s="308"/>
      <c r="AK1080" s="308"/>
      <c r="AL1080" s="308"/>
      <c r="AM1080" s="70"/>
      <c r="AN1080" s="70"/>
      <c r="AO1080" s="70"/>
      <c r="AP1080" s="70"/>
      <c r="AQ1080" s="70"/>
      <c r="AR1080" s="70"/>
      <c r="AS1080" s="70"/>
      <c r="AT1080" s="70"/>
      <c r="AU1080" s="70"/>
      <c r="AV1080" s="70"/>
      <c r="AW1080" s="70"/>
      <c r="AX1080" s="70"/>
      <c r="AY1080" s="70"/>
      <c r="AZ1080" s="70"/>
      <c r="BA1080" s="70"/>
      <c r="BB1080" s="70"/>
      <c r="BC1080" s="70"/>
      <c r="BD1080" s="70"/>
    </row>
    <row r="1081" spans="1:56" s="71" customFormat="1" ht="15" customHeight="1">
      <c r="A1081" s="185" t="s">
        <v>1197</v>
      </c>
      <c r="B1081" s="217" t="str">
        <f t="shared" ref="B1081" si="1102">LEFT(A1081,3)</f>
        <v>125</v>
      </c>
      <c r="C1081" s="217" t="str">
        <f t="shared" ref="C1081" si="1103">RIGHT(A1081,3)</f>
        <v>650</v>
      </c>
      <c r="D1081" s="101">
        <v>0</v>
      </c>
      <c r="E1081" s="101" t="str">
        <f t="shared" ref="E1081" si="1104">B1081&amp;"-"&amp;C1081</f>
        <v>125-650</v>
      </c>
      <c r="F1081" s="294" t="str">
        <f t="shared" ref="F1081" si="1105">MID(A1081,5,5)</f>
        <v>51282</v>
      </c>
      <c r="G1081" s="295" t="str">
        <f>VLOOKUP(F1081,'GL Category'!A:C,3,FALSE)</f>
        <v>Operations &amp; maintenance</v>
      </c>
      <c r="H1081" s="98" t="str">
        <f>VLOOKUP(F1081,'GL Category'!A:C,2,FALSE)</f>
        <v>COST OF GOODS SOLD</v>
      </c>
      <c r="I1081" s="99">
        <f>SUMIFS(I$1:I1073,$C$1:$C1073,$C1081,$F$1:$F1073,$F1081)</f>
        <v>0</v>
      </c>
      <c r="J1081" s="99">
        <f>SUMIFS(J$1:J1073,$C$1:$C1073,$C1081,$F$1:$F1073,$F1081)</f>
        <v>0</v>
      </c>
      <c r="K1081" s="99">
        <f>SUMIFS(K$1:K1073,$C$1:$C1073,$C1081,$F$1:$F1073,$F1081)</f>
        <v>0</v>
      </c>
      <c r="L1081" s="99">
        <f>SUMIFS(L$1:L1073,$C$1:$C1073,$C1081,$F$1:$F1073,$F1081)</f>
        <v>0</v>
      </c>
      <c r="M1081" s="99">
        <f>SUMIFS(M$1:M1073,$C$1:$C1073,$C1081,$F$1:$F1073,$F1081)</f>
        <v>0</v>
      </c>
      <c r="N1081" s="99">
        <f>SUMIFS(N$1:N1073,$C$1:$C1073,$C1081,$F$1:$F1073,$F1081)</f>
        <v>0</v>
      </c>
      <c r="O1081" s="99">
        <f>SUMIFS(O$1:O1073,$C$1:$C1073,$C1081,$F$1:$F1073,$F1081)</f>
        <v>0</v>
      </c>
      <c r="P1081" s="99">
        <f t="shared" ref="P1081" si="1106">O1081-M1081</f>
        <v>0</v>
      </c>
      <c r="Q1081" s="99">
        <f>SUMIFS(Q$1:Q1073,$C$1:$C1073,$C1081,$F$1:$F1073,$F1081)</f>
        <v>0</v>
      </c>
      <c r="R1081" s="99">
        <f>SUMIFS(R$1:R1073,$C$1:$C1073,$C1081,$F$1:$F1073,$F1081)</f>
        <v>0</v>
      </c>
      <c r="S1081" s="99">
        <f>SUMIFS(S$1:S1073,$C$1:$C1073,$C1081,$F$1:$F1073,$F1081)</f>
        <v>0</v>
      </c>
      <c r="T1081" s="99">
        <f>SUMIFS(T$1:T1073,$C$1:$C1073,$C1081,$F$1:$F1073,$F1081)</f>
        <v>0</v>
      </c>
      <c r="U1081" s="99">
        <f t="shared" si="1080"/>
        <v>0</v>
      </c>
      <c r="V1081" s="255" t="str">
        <f t="shared" si="1081"/>
        <v>N/A</v>
      </c>
      <c r="W1081" s="103" t="str">
        <f t="shared" si="1064"/>
        <v>OK</v>
      </c>
      <c r="Y1081" s="476"/>
      <c r="Z1081" s="308"/>
      <c r="AA1081" s="308"/>
      <c r="AB1081" s="308"/>
      <c r="AC1081" s="308"/>
      <c r="AD1081" s="308"/>
      <c r="AE1081" s="308"/>
      <c r="AF1081" s="308"/>
      <c r="AG1081" s="308"/>
      <c r="AH1081" s="308"/>
      <c r="AI1081" s="308"/>
      <c r="AJ1081" s="308"/>
      <c r="AK1081" s="308"/>
      <c r="AL1081" s="308"/>
      <c r="AM1081" s="70"/>
      <c r="AN1081" s="70"/>
      <c r="AO1081" s="70"/>
      <c r="AP1081" s="70"/>
      <c r="AQ1081" s="70"/>
      <c r="AR1081" s="70"/>
      <c r="AS1081" s="70"/>
      <c r="AT1081" s="70"/>
      <c r="AU1081" s="70"/>
      <c r="AV1081" s="70"/>
      <c r="AW1081" s="70"/>
      <c r="AX1081" s="70"/>
      <c r="AY1081" s="70"/>
      <c r="AZ1081" s="70"/>
      <c r="BA1081" s="70"/>
      <c r="BB1081" s="70"/>
      <c r="BC1081" s="70"/>
      <c r="BD1081" s="70"/>
    </row>
    <row r="1082" spans="1:56" s="71" customFormat="1" ht="15" customHeight="1">
      <c r="A1082" s="185" t="s">
        <v>1150</v>
      </c>
      <c r="B1082" s="217" t="str">
        <f t="shared" si="1075"/>
        <v>125</v>
      </c>
      <c r="C1082" s="217" t="str">
        <f t="shared" si="1076"/>
        <v>650</v>
      </c>
      <c r="D1082" s="101">
        <v>0</v>
      </c>
      <c r="E1082" s="101" t="str">
        <f t="shared" si="1077"/>
        <v>125-650</v>
      </c>
      <c r="F1082" s="294" t="str">
        <f t="shared" si="1078"/>
        <v>51285</v>
      </c>
      <c r="G1082" s="295" t="str">
        <f>VLOOKUP(F1082,'GL Category'!A:C,3,FALSE)</f>
        <v>Operations &amp; maintenance</v>
      </c>
      <c r="H1082" s="98" t="str">
        <f>VLOOKUP(F1082,'GL Category'!A:C,2,FALSE)</f>
        <v>WEARING APPAREL</v>
      </c>
      <c r="I1082" s="99">
        <f>SUMIFS(I$1:I1073,$C$1:$C1073,$C1082,$F$1:$F1073,$F1082)</f>
        <v>0</v>
      </c>
      <c r="J1082" s="99">
        <f>SUMIFS(J$1:J1073,$C$1:$C1073,$C1082,$F$1:$F1073,$F1082)</f>
        <v>0</v>
      </c>
      <c r="K1082" s="99">
        <f>SUMIFS(K$1:K1073,$C$1:$C1073,$C1082,$F$1:$F1073,$F1082)</f>
        <v>0</v>
      </c>
      <c r="L1082" s="99">
        <f>SUMIFS(L$1:L1073,$C$1:$C1073,$C1082,$F$1:$F1073,$F1082)</f>
        <v>0</v>
      </c>
      <c r="M1082" s="99">
        <f>SUMIFS(M$1:M1073,$C$1:$C1073,$C1082,$F$1:$F1073,$F1082)</f>
        <v>0</v>
      </c>
      <c r="N1082" s="99">
        <f>SUMIFS(N$1:N1073,$C$1:$C1073,$C1082,$F$1:$F1073,$F1082)</f>
        <v>0</v>
      </c>
      <c r="O1082" s="99">
        <f>SUMIFS(O$1:O1073,$C$1:$C1073,$C1082,$F$1:$F1073,$F1082)</f>
        <v>0</v>
      </c>
      <c r="P1082" s="99">
        <f t="shared" si="1079"/>
        <v>0</v>
      </c>
      <c r="Q1082" s="99">
        <f>SUMIFS(Q$1:Q1073,$C$1:$C1073,$C1082,$F$1:$F1073,$F1082)</f>
        <v>0</v>
      </c>
      <c r="R1082" s="99">
        <f>SUMIFS(R$1:R1073,$C$1:$C1073,$C1082,$F$1:$F1073,$F1082)</f>
        <v>0</v>
      </c>
      <c r="S1082" s="99">
        <f>SUMIFS(S$1:S1073,$C$1:$C1073,$C1082,$F$1:$F1073,$F1082)</f>
        <v>0</v>
      </c>
      <c r="T1082" s="99">
        <f>SUMIFS(T$1:T1073,$C$1:$C1073,$C1082,$F$1:$F1073,$F1082)</f>
        <v>0</v>
      </c>
      <c r="U1082" s="99">
        <f t="shared" si="1080"/>
        <v>0</v>
      </c>
      <c r="V1082" s="255" t="str">
        <f t="shared" si="1081"/>
        <v>N/A</v>
      </c>
      <c r="W1082" s="103" t="str">
        <f t="shared" si="1064"/>
        <v>OK</v>
      </c>
      <c r="Y1082" s="476"/>
      <c r="Z1082" s="308"/>
      <c r="AA1082" s="308"/>
      <c r="AB1082" s="308"/>
      <c r="AC1082" s="308"/>
      <c r="AD1082" s="308"/>
      <c r="AE1082" s="308"/>
      <c r="AF1082" s="308"/>
      <c r="AG1082" s="308"/>
      <c r="AH1082" s="308"/>
      <c r="AI1082" s="308"/>
      <c r="AJ1082" s="308"/>
      <c r="AK1082" s="308"/>
      <c r="AL1082" s="308"/>
      <c r="AM1082" s="70"/>
      <c r="AN1082" s="70"/>
      <c r="AO1082" s="70"/>
      <c r="AP1082" s="70"/>
      <c r="AQ1082" s="70"/>
      <c r="AR1082" s="70"/>
      <c r="AS1082" s="70"/>
      <c r="AT1082" s="70"/>
      <c r="AU1082" s="70"/>
      <c r="AV1082" s="70"/>
      <c r="AW1082" s="70"/>
      <c r="AX1082" s="70"/>
      <c r="AY1082" s="70"/>
      <c r="AZ1082" s="70"/>
      <c r="BA1082" s="70"/>
      <c r="BB1082" s="70"/>
      <c r="BC1082" s="70"/>
      <c r="BD1082" s="70"/>
    </row>
    <row r="1083" spans="1:56" s="71" customFormat="1" ht="15" customHeight="1">
      <c r="A1083" s="185" t="s">
        <v>1151</v>
      </c>
      <c r="B1083" s="217" t="str">
        <f t="shared" si="1075"/>
        <v>125</v>
      </c>
      <c r="C1083" s="217" t="str">
        <f t="shared" si="1076"/>
        <v>650</v>
      </c>
      <c r="D1083" s="101">
        <v>0</v>
      </c>
      <c r="E1083" s="101" t="str">
        <f t="shared" si="1077"/>
        <v>125-650</v>
      </c>
      <c r="F1083" s="294" t="str">
        <f t="shared" si="1078"/>
        <v>51287</v>
      </c>
      <c r="G1083" s="295" t="str">
        <f>VLOOKUP(F1083,'GL Category'!A:C,3,FALSE)</f>
        <v>Operations &amp; maintenance</v>
      </c>
      <c r="H1083" s="98" t="str">
        <f>VLOOKUP(F1083,'GL Category'!A:C,2,FALSE)</f>
        <v>SAFETY EQUIPMENT/SUPPLIES</v>
      </c>
      <c r="I1083" s="99">
        <f>SUMIFS(I$1:I1074,$C$1:$C1074,$C1083,$F$1:$F1074,$F1083)</f>
        <v>0</v>
      </c>
      <c r="J1083" s="99">
        <f>SUMIFS(J$1:J1074,$C$1:$C1074,$C1083,$F$1:$F1074,$F1083)</f>
        <v>0</v>
      </c>
      <c r="K1083" s="99">
        <f>SUMIFS(K$1:K1074,$C$1:$C1074,$C1083,$F$1:$F1074,$F1083)</f>
        <v>0</v>
      </c>
      <c r="L1083" s="99">
        <f>SUMIFS(L$1:L1074,$C$1:$C1074,$C1083,$F$1:$F1074,$F1083)</f>
        <v>0</v>
      </c>
      <c r="M1083" s="99">
        <f>SUMIFS(M$1:M1074,$C$1:$C1074,$C1083,$F$1:$F1074,$F1083)</f>
        <v>0</v>
      </c>
      <c r="N1083" s="99">
        <f>SUMIFS(N$1:N1074,$C$1:$C1074,$C1083,$F$1:$F1074,$F1083)</f>
        <v>0</v>
      </c>
      <c r="O1083" s="99">
        <f>SUMIFS(O$1:O1074,$C$1:$C1074,$C1083,$F$1:$F1074,$F1083)</f>
        <v>0</v>
      </c>
      <c r="P1083" s="99">
        <f t="shared" si="1079"/>
        <v>0</v>
      </c>
      <c r="Q1083" s="99">
        <f>SUMIFS(Q$1:Q1074,$C$1:$C1074,$C1083,$F$1:$F1074,$F1083)</f>
        <v>0</v>
      </c>
      <c r="R1083" s="99">
        <f>SUMIFS(R$1:R1074,$C$1:$C1074,$C1083,$F$1:$F1074,$F1083)</f>
        <v>0</v>
      </c>
      <c r="S1083" s="99">
        <f>SUMIFS(S$1:S1074,$C$1:$C1074,$C1083,$F$1:$F1074,$F1083)</f>
        <v>0</v>
      </c>
      <c r="T1083" s="99">
        <f>SUMIFS(T$1:T1074,$C$1:$C1074,$C1083,$F$1:$F1074,$F1083)</f>
        <v>0</v>
      </c>
      <c r="U1083" s="99">
        <f t="shared" si="1080"/>
        <v>0</v>
      </c>
      <c r="V1083" s="255" t="str">
        <f t="shared" si="1081"/>
        <v>N/A</v>
      </c>
      <c r="W1083" s="103" t="str">
        <f t="shared" si="1064"/>
        <v>OK</v>
      </c>
      <c r="Y1083" s="476"/>
      <c r="Z1083" s="308"/>
      <c r="AA1083" s="308"/>
      <c r="AB1083" s="308"/>
      <c r="AC1083" s="308"/>
      <c r="AD1083" s="308"/>
      <c r="AE1083" s="308"/>
      <c r="AF1083" s="308"/>
      <c r="AG1083" s="308"/>
      <c r="AH1083" s="308"/>
      <c r="AI1083" s="308"/>
      <c r="AJ1083" s="308"/>
      <c r="AK1083" s="308"/>
      <c r="AL1083" s="308"/>
      <c r="AM1083" s="70"/>
      <c r="AN1083" s="70"/>
      <c r="AO1083" s="70"/>
      <c r="AP1083" s="70"/>
      <c r="AQ1083" s="70"/>
      <c r="AR1083" s="70"/>
      <c r="AS1083" s="70"/>
      <c r="AT1083" s="70"/>
      <c r="AU1083" s="70"/>
      <c r="AV1083" s="70"/>
      <c r="AW1083" s="70"/>
      <c r="AX1083" s="70"/>
      <c r="AY1083" s="70"/>
      <c r="AZ1083" s="70"/>
      <c r="BA1083" s="70"/>
      <c r="BB1083" s="70"/>
      <c r="BC1083" s="70"/>
      <c r="BD1083" s="70"/>
    </row>
    <row r="1084" spans="1:56" s="71" customFormat="1" ht="15" customHeight="1">
      <c r="A1084" s="185" t="s">
        <v>1152</v>
      </c>
      <c r="B1084" s="217" t="str">
        <f t="shared" si="1075"/>
        <v>125</v>
      </c>
      <c r="C1084" s="217" t="str">
        <f t="shared" si="1076"/>
        <v>650</v>
      </c>
      <c r="D1084" s="101">
        <v>0</v>
      </c>
      <c r="E1084" s="101" t="str">
        <f t="shared" si="1077"/>
        <v>125-650</v>
      </c>
      <c r="F1084" s="294" t="str">
        <f t="shared" si="1078"/>
        <v>51299</v>
      </c>
      <c r="G1084" s="295" t="str">
        <f>VLOOKUP(F1084,'GL Category'!A:C,3,FALSE)</f>
        <v>Operations &amp; maintenance</v>
      </c>
      <c r="H1084" s="98" t="str">
        <f>VLOOKUP(F1084,'GL Category'!A:C,2,FALSE)</f>
        <v>MISCELLANEOUS SUPPLIES</v>
      </c>
      <c r="I1084" s="99">
        <f>SUMIFS(I$1:I1075,$C$1:$C1075,$C1084,$F$1:$F1075,$F1084)</f>
        <v>0</v>
      </c>
      <c r="J1084" s="99">
        <f>SUMIFS(J$1:J1075,$C$1:$C1075,$C1084,$F$1:$F1075,$F1084)</f>
        <v>0</v>
      </c>
      <c r="K1084" s="99">
        <f>SUMIFS(K$1:K1075,$C$1:$C1075,$C1084,$F$1:$F1075,$F1084)</f>
        <v>0</v>
      </c>
      <c r="L1084" s="99">
        <f>SUMIFS(L$1:L1075,$C$1:$C1075,$C1084,$F$1:$F1075,$F1084)</f>
        <v>0</v>
      </c>
      <c r="M1084" s="99">
        <f>SUMIFS(M$1:M1075,$C$1:$C1075,$C1084,$F$1:$F1075,$F1084)</f>
        <v>0</v>
      </c>
      <c r="N1084" s="99">
        <f>SUMIFS(N$1:N1075,$C$1:$C1075,$C1084,$F$1:$F1075,$F1084)</f>
        <v>0</v>
      </c>
      <c r="O1084" s="99">
        <f>SUMIFS(O$1:O1075,$C$1:$C1075,$C1084,$F$1:$F1075,$F1084)</f>
        <v>0</v>
      </c>
      <c r="P1084" s="99">
        <f t="shared" si="1079"/>
        <v>0</v>
      </c>
      <c r="Q1084" s="99">
        <f>SUMIFS(Q$1:Q1075,$C$1:$C1075,$C1084,$F$1:$F1075,$F1084)</f>
        <v>0</v>
      </c>
      <c r="R1084" s="99">
        <f>SUMIFS(R$1:R1075,$C$1:$C1075,$C1084,$F$1:$F1075,$F1084)</f>
        <v>0</v>
      </c>
      <c r="S1084" s="99">
        <f>SUMIFS(S$1:S1075,$C$1:$C1075,$C1084,$F$1:$F1075,$F1084)</f>
        <v>0</v>
      </c>
      <c r="T1084" s="99">
        <f>SUMIFS(T$1:T1075,$C$1:$C1075,$C1084,$F$1:$F1075,$F1084)</f>
        <v>0</v>
      </c>
      <c r="U1084" s="99">
        <f t="shared" si="1080"/>
        <v>0</v>
      </c>
      <c r="V1084" s="255" t="str">
        <f t="shared" si="1081"/>
        <v>N/A</v>
      </c>
      <c r="W1084" s="103" t="str">
        <f t="shared" ref="W1084:W1115" si="1107">IF(T1084=SUM(Q1084:S1084),"OK","NO")</f>
        <v>OK</v>
      </c>
      <c r="Y1084" s="476"/>
      <c r="Z1084" s="308"/>
      <c r="AA1084" s="308"/>
      <c r="AB1084" s="308"/>
      <c r="AC1084" s="308"/>
      <c r="AD1084" s="308"/>
      <c r="AE1084" s="308"/>
      <c r="AF1084" s="308"/>
      <c r="AG1084" s="308"/>
      <c r="AH1084" s="308"/>
      <c r="AI1084" s="308"/>
      <c r="AJ1084" s="308"/>
      <c r="AK1084" s="308"/>
      <c r="AL1084" s="308"/>
      <c r="AM1084" s="70"/>
      <c r="AN1084" s="70"/>
      <c r="AO1084" s="70"/>
      <c r="AP1084" s="70"/>
      <c r="AQ1084" s="70"/>
      <c r="AR1084" s="70"/>
      <c r="AS1084" s="70"/>
      <c r="AT1084" s="70"/>
      <c r="AU1084" s="70"/>
      <c r="AV1084" s="70"/>
      <c r="AW1084" s="70"/>
      <c r="AX1084" s="70"/>
      <c r="AY1084" s="70"/>
      <c r="AZ1084" s="70"/>
      <c r="BA1084" s="70"/>
      <c r="BB1084" s="70"/>
      <c r="BC1084" s="70"/>
      <c r="BD1084" s="70"/>
    </row>
    <row r="1085" spans="1:56" s="71" customFormat="1" ht="15" customHeight="1">
      <c r="A1085" s="185" t="s">
        <v>1153</v>
      </c>
      <c r="B1085" s="217" t="str">
        <f t="shared" si="1075"/>
        <v>125</v>
      </c>
      <c r="C1085" s="217" t="str">
        <f t="shared" si="1076"/>
        <v>650</v>
      </c>
      <c r="D1085" s="101">
        <v>0</v>
      </c>
      <c r="E1085" s="101" t="str">
        <f t="shared" si="1077"/>
        <v>125-650</v>
      </c>
      <c r="F1085" s="294" t="str">
        <f t="shared" si="1078"/>
        <v>52310</v>
      </c>
      <c r="G1085" s="295" t="str">
        <f>VLOOKUP(F1085,'GL Category'!A:C,3,FALSE)</f>
        <v>Operations &amp; maintenance</v>
      </c>
      <c r="H1085" s="98" t="str">
        <f>VLOOKUP(F1085,'GL Category'!A:C,2,FALSE)</f>
        <v>BUILDING MAINTENANCE</v>
      </c>
      <c r="I1085" s="99">
        <f>SUMIFS(I$1:I1076,$C$1:$C1076,$C1085,$F$1:$F1076,$F1085)</f>
        <v>0</v>
      </c>
      <c r="J1085" s="99">
        <f>SUMIFS(J$1:J1076,$C$1:$C1076,$C1085,$F$1:$F1076,$F1085)</f>
        <v>0</v>
      </c>
      <c r="K1085" s="99">
        <f>SUMIFS(K$1:K1076,$C$1:$C1076,$C1085,$F$1:$F1076,$F1085)</f>
        <v>0</v>
      </c>
      <c r="L1085" s="99">
        <f>SUMIFS(L$1:L1076,$C$1:$C1076,$C1085,$F$1:$F1076,$F1085)</f>
        <v>0</v>
      </c>
      <c r="M1085" s="99">
        <f>SUMIFS(M$1:M1076,$C$1:$C1076,$C1085,$F$1:$F1076,$F1085)</f>
        <v>0</v>
      </c>
      <c r="N1085" s="99">
        <f>SUMIFS(N$1:N1076,$C$1:$C1076,$C1085,$F$1:$F1076,$F1085)</f>
        <v>0</v>
      </c>
      <c r="O1085" s="99">
        <f>SUMIFS(O$1:O1076,$C$1:$C1076,$C1085,$F$1:$F1076,$F1085)</f>
        <v>0</v>
      </c>
      <c r="P1085" s="99">
        <f t="shared" si="1079"/>
        <v>0</v>
      </c>
      <c r="Q1085" s="99">
        <f>SUMIFS(Q$1:Q1076,$C$1:$C1076,$C1085,$F$1:$F1076,$F1085)</f>
        <v>0</v>
      </c>
      <c r="R1085" s="99">
        <f>SUMIFS(R$1:R1076,$C$1:$C1076,$C1085,$F$1:$F1076,$F1085)</f>
        <v>0</v>
      </c>
      <c r="S1085" s="99">
        <f>SUMIFS(S$1:S1076,$C$1:$C1076,$C1085,$F$1:$F1076,$F1085)</f>
        <v>0</v>
      </c>
      <c r="T1085" s="99">
        <f>SUMIFS(T$1:T1076,$C$1:$C1076,$C1085,$F$1:$F1076,$F1085)</f>
        <v>0</v>
      </c>
      <c r="U1085" s="99">
        <f t="shared" si="1080"/>
        <v>0</v>
      </c>
      <c r="V1085" s="255" t="str">
        <f t="shared" si="1081"/>
        <v>N/A</v>
      </c>
      <c r="W1085" s="103" t="str">
        <f t="shared" si="1107"/>
        <v>OK</v>
      </c>
      <c r="Y1085" s="476"/>
      <c r="Z1085" s="308"/>
      <c r="AA1085" s="308"/>
      <c r="AB1085" s="308"/>
      <c r="AC1085" s="308"/>
      <c r="AD1085" s="308"/>
      <c r="AE1085" s="308"/>
      <c r="AF1085" s="308"/>
      <c r="AG1085" s="308"/>
      <c r="AH1085" s="308"/>
      <c r="AI1085" s="308"/>
      <c r="AJ1085" s="308"/>
      <c r="AK1085" s="308"/>
      <c r="AL1085" s="308"/>
      <c r="AM1085" s="70"/>
      <c r="AN1085" s="70"/>
      <c r="AO1085" s="70"/>
      <c r="AP1085" s="70"/>
      <c r="AQ1085" s="70"/>
      <c r="AR1085" s="70"/>
      <c r="AS1085" s="70"/>
      <c r="AT1085" s="70"/>
      <c r="AU1085" s="70"/>
      <c r="AV1085" s="70"/>
      <c r="AW1085" s="70"/>
      <c r="AX1085" s="70"/>
      <c r="AY1085" s="70"/>
      <c r="AZ1085" s="70"/>
      <c r="BA1085" s="70"/>
      <c r="BB1085" s="70"/>
      <c r="BC1085" s="70"/>
      <c r="BD1085" s="70"/>
    </row>
    <row r="1086" spans="1:56" s="71" customFormat="1" ht="15" customHeight="1">
      <c r="A1086" s="185" t="s">
        <v>1154</v>
      </c>
      <c r="B1086" s="217" t="str">
        <f t="shared" si="1075"/>
        <v>125</v>
      </c>
      <c r="C1086" s="217" t="str">
        <f t="shared" si="1076"/>
        <v>650</v>
      </c>
      <c r="D1086" s="101">
        <v>0</v>
      </c>
      <c r="E1086" s="101" t="str">
        <f t="shared" si="1077"/>
        <v>125-650</v>
      </c>
      <c r="F1086" s="294" t="str">
        <f t="shared" si="1078"/>
        <v>52311</v>
      </c>
      <c r="G1086" s="295" t="str">
        <f>VLOOKUP(F1086,'GL Category'!A:C,3,FALSE)</f>
        <v>Operations &amp; maintenance</v>
      </c>
      <c r="H1086" s="98" t="str">
        <f>VLOOKUP(F1086,'GL Category'!A:C,2,FALSE)</f>
        <v>GROUNDS MAINTENANCE</v>
      </c>
      <c r="I1086" s="99">
        <f>SUMIFS(I$1:I1077,$C$1:$C1077,$C1086,$F$1:$F1077,$F1086)</f>
        <v>0</v>
      </c>
      <c r="J1086" s="99">
        <f>SUMIFS(J$1:J1077,$C$1:$C1077,$C1086,$F$1:$F1077,$F1086)</f>
        <v>0</v>
      </c>
      <c r="K1086" s="99">
        <f>SUMIFS(K$1:K1077,$C$1:$C1077,$C1086,$F$1:$F1077,$F1086)</f>
        <v>0</v>
      </c>
      <c r="L1086" s="99">
        <f>SUMIFS(L$1:L1077,$C$1:$C1077,$C1086,$F$1:$F1077,$F1086)</f>
        <v>0</v>
      </c>
      <c r="M1086" s="99">
        <f>SUMIFS(M$1:M1077,$C$1:$C1077,$C1086,$F$1:$F1077,$F1086)</f>
        <v>0</v>
      </c>
      <c r="N1086" s="99">
        <f>SUMIFS(N$1:N1077,$C$1:$C1077,$C1086,$F$1:$F1077,$F1086)</f>
        <v>0</v>
      </c>
      <c r="O1086" s="99">
        <f>SUMIFS(O$1:O1077,$C$1:$C1077,$C1086,$F$1:$F1077,$F1086)</f>
        <v>0</v>
      </c>
      <c r="P1086" s="99">
        <f t="shared" si="1079"/>
        <v>0</v>
      </c>
      <c r="Q1086" s="99">
        <f>SUMIFS(Q$1:Q1077,$C$1:$C1077,$C1086,$F$1:$F1077,$F1086)</f>
        <v>0</v>
      </c>
      <c r="R1086" s="99">
        <f>SUMIFS(R$1:R1077,$C$1:$C1077,$C1086,$F$1:$F1077,$F1086)</f>
        <v>0</v>
      </c>
      <c r="S1086" s="99">
        <f>SUMIFS(S$1:S1077,$C$1:$C1077,$C1086,$F$1:$F1077,$F1086)</f>
        <v>0</v>
      </c>
      <c r="T1086" s="99">
        <f>SUMIFS(T$1:T1077,$C$1:$C1077,$C1086,$F$1:$F1077,$F1086)</f>
        <v>0</v>
      </c>
      <c r="U1086" s="99">
        <f t="shared" si="1080"/>
        <v>0</v>
      </c>
      <c r="V1086" s="255" t="str">
        <f t="shared" si="1081"/>
        <v>N/A</v>
      </c>
      <c r="W1086" s="103" t="str">
        <f t="shared" si="1107"/>
        <v>OK</v>
      </c>
      <c r="Y1086" s="476"/>
      <c r="Z1086" s="308"/>
      <c r="AA1086" s="308"/>
      <c r="AB1086" s="308"/>
      <c r="AC1086" s="308"/>
      <c r="AD1086" s="308"/>
      <c r="AE1086" s="308"/>
      <c r="AF1086" s="308"/>
      <c r="AG1086" s="308"/>
      <c r="AH1086" s="308"/>
      <c r="AI1086" s="308"/>
      <c r="AJ1086" s="308"/>
      <c r="AK1086" s="308"/>
      <c r="AL1086" s="308"/>
      <c r="AM1086" s="70"/>
      <c r="AN1086" s="70"/>
      <c r="AO1086" s="70"/>
      <c r="AP1086" s="70"/>
      <c r="AQ1086" s="70"/>
    </row>
    <row r="1087" spans="1:56" s="71" customFormat="1" ht="15" customHeight="1">
      <c r="A1087" s="185" t="s">
        <v>1155</v>
      </c>
      <c r="B1087" s="217" t="str">
        <f t="shared" si="1075"/>
        <v>125</v>
      </c>
      <c r="C1087" s="217" t="str">
        <f t="shared" si="1076"/>
        <v>650</v>
      </c>
      <c r="D1087" s="101">
        <v>0</v>
      </c>
      <c r="E1087" s="101" t="str">
        <f t="shared" si="1077"/>
        <v>125-650</v>
      </c>
      <c r="F1087" s="294" t="str">
        <f t="shared" si="1078"/>
        <v>52350</v>
      </c>
      <c r="G1087" s="295" t="str">
        <f>VLOOKUP(F1087,'GL Category'!A:C,3,FALSE)</f>
        <v>Operations &amp; maintenance</v>
      </c>
      <c r="H1087" s="98" t="str">
        <f>VLOOKUP(F1087,'GL Category'!A:C,2,FALSE)</f>
        <v>SIGN &amp; SIGNAL MAINTENANCE</v>
      </c>
      <c r="I1087" s="99">
        <f>SUMIFS(I$1:I1078,$C$1:$C1078,$C1087,$F$1:$F1078,$F1087)</f>
        <v>0</v>
      </c>
      <c r="J1087" s="99">
        <f>SUMIFS(J$1:J1078,$C$1:$C1078,$C1087,$F$1:$F1078,$F1087)</f>
        <v>0</v>
      </c>
      <c r="K1087" s="99">
        <f>SUMIFS(K$1:K1078,$C$1:$C1078,$C1087,$F$1:$F1078,$F1087)</f>
        <v>0</v>
      </c>
      <c r="L1087" s="99">
        <f>SUMIFS(L$1:L1078,$C$1:$C1078,$C1087,$F$1:$F1078,$F1087)</f>
        <v>0</v>
      </c>
      <c r="M1087" s="99">
        <f>SUMIFS(M$1:M1078,$C$1:$C1078,$C1087,$F$1:$F1078,$F1087)</f>
        <v>0</v>
      </c>
      <c r="N1087" s="99">
        <f>SUMIFS(N$1:N1078,$C$1:$C1078,$C1087,$F$1:$F1078,$F1087)</f>
        <v>0</v>
      </c>
      <c r="O1087" s="99">
        <f>SUMIFS(O$1:O1078,$C$1:$C1078,$C1087,$F$1:$F1078,$F1087)</f>
        <v>0</v>
      </c>
      <c r="P1087" s="99">
        <f t="shared" si="1079"/>
        <v>0</v>
      </c>
      <c r="Q1087" s="99">
        <f>SUMIFS(Q$1:Q1078,$C$1:$C1078,$C1087,$F$1:$F1078,$F1087)</f>
        <v>0</v>
      </c>
      <c r="R1087" s="99">
        <f>SUMIFS(R$1:R1078,$C$1:$C1078,$C1087,$F$1:$F1078,$F1087)</f>
        <v>0</v>
      </c>
      <c r="S1087" s="99">
        <f>SUMIFS(S$1:S1078,$C$1:$C1078,$C1087,$F$1:$F1078,$F1087)</f>
        <v>0</v>
      </c>
      <c r="T1087" s="99">
        <f>SUMIFS(T$1:T1078,$C$1:$C1078,$C1087,$F$1:$F1078,$F1087)</f>
        <v>0</v>
      </c>
      <c r="U1087" s="99">
        <f t="shared" si="1080"/>
        <v>0</v>
      </c>
      <c r="V1087" s="255" t="str">
        <f t="shared" si="1081"/>
        <v>N/A</v>
      </c>
      <c r="W1087" s="103" t="str">
        <f t="shared" si="1107"/>
        <v>OK</v>
      </c>
      <c r="Y1087" s="476"/>
      <c r="Z1087" s="308"/>
      <c r="AA1087" s="308"/>
      <c r="AB1087" s="308"/>
      <c r="AC1087" s="308"/>
      <c r="AD1087" s="308"/>
      <c r="AE1087" s="308"/>
      <c r="AF1087" s="308"/>
      <c r="AG1087" s="308"/>
      <c r="AH1087" s="308"/>
      <c r="AI1087" s="308"/>
      <c r="AJ1087" s="308"/>
      <c r="AK1087" s="308"/>
      <c r="AL1087" s="308"/>
      <c r="AM1087" s="70"/>
      <c r="AN1087" s="70"/>
      <c r="AO1087" s="70"/>
      <c r="AP1087" s="70"/>
      <c r="AQ1087" s="70"/>
    </row>
    <row r="1088" spans="1:56" s="71" customFormat="1" ht="15" customHeight="1">
      <c r="A1088" s="185" t="s">
        <v>1199</v>
      </c>
      <c r="B1088" s="217" t="str">
        <f t="shared" ref="B1088" si="1108">LEFT(A1088,3)</f>
        <v>125</v>
      </c>
      <c r="C1088" s="217" t="str">
        <f t="shared" ref="C1088" si="1109">RIGHT(A1088,3)</f>
        <v>650</v>
      </c>
      <c r="D1088" s="101">
        <v>0</v>
      </c>
      <c r="E1088" s="101" t="str">
        <f t="shared" ref="E1088" si="1110">B1088&amp;"-"&amp;C1088</f>
        <v>125-650</v>
      </c>
      <c r="F1088" s="294" t="str">
        <f t="shared" ref="F1088" si="1111">MID(A1088,5,5)</f>
        <v>52399</v>
      </c>
      <c r="G1088" s="295" t="str">
        <f>VLOOKUP(F1088,'GL Category'!A:C,3,FALSE)</f>
        <v>Operations &amp; maintenance</v>
      </c>
      <c r="H1088" s="98" t="str">
        <f>VLOOKUP(F1088,'GL Category'!A:C,2,FALSE)</f>
        <v>MISCELLANEOUS MAINTENANCE</v>
      </c>
      <c r="I1088" s="99">
        <f>SUMIFS(I$1:I1079,$C$1:$C1079,$C1088,$F$1:$F1079,$F1088)</f>
        <v>0</v>
      </c>
      <c r="J1088" s="99">
        <f>SUMIFS(J$1:J1079,$C$1:$C1079,$C1088,$F$1:$F1079,$F1088)</f>
        <v>0</v>
      </c>
      <c r="K1088" s="99">
        <f>SUMIFS(K$1:K1079,$C$1:$C1079,$C1088,$F$1:$F1079,$F1088)</f>
        <v>0</v>
      </c>
      <c r="L1088" s="99">
        <f>SUMIFS(L$1:L1079,$C$1:$C1079,$C1088,$F$1:$F1079,$F1088)</f>
        <v>0</v>
      </c>
      <c r="M1088" s="99">
        <f>SUMIFS(M$1:M1079,$C$1:$C1079,$C1088,$F$1:$F1079,$F1088)</f>
        <v>0</v>
      </c>
      <c r="N1088" s="99">
        <f>SUMIFS(N$1:N1079,$C$1:$C1079,$C1088,$F$1:$F1079,$F1088)</f>
        <v>0</v>
      </c>
      <c r="O1088" s="99">
        <f>SUMIFS(O$1:O1079,$C$1:$C1079,$C1088,$F$1:$F1079,$F1088)</f>
        <v>0</v>
      </c>
      <c r="P1088" s="99">
        <f t="shared" ref="P1088" si="1112">O1088-M1088</f>
        <v>0</v>
      </c>
      <c r="Q1088" s="99">
        <f>SUMIFS(Q$1:Q1079,$C$1:$C1079,$C1088,$F$1:$F1079,$F1088)</f>
        <v>0</v>
      </c>
      <c r="R1088" s="99">
        <f>SUMIFS(R$1:R1079,$C$1:$C1079,$C1088,$F$1:$F1079,$F1088)</f>
        <v>0</v>
      </c>
      <c r="S1088" s="99">
        <f>SUMIFS(S$1:S1079,$C$1:$C1079,$C1088,$F$1:$F1079,$F1088)</f>
        <v>0</v>
      </c>
      <c r="T1088" s="99">
        <f>SUMIFS(T$1:T1079,$C$1:$C1079,$C1088,$F$1:$F1079,$F1088)</f>
        <v>0</v>
      </c>
      <c r="U1088" s="99">
        <f t="shared" si="1080"/>
        <v>0</v>
      </c>
      <c r="V1088" s="255" t="str">
        <f t="shared" si="1081"/>
        <v>N/A</v>
      </c>
      <c r="W1088" s="103" t="str">
        <f t="shared" si="1107"/>
        <v>OK</v>
      </c>
      <c r="Y1088" s="476"/>
      <c r="Z1088" s="308"/>
      <c r="AA1088" s="308"/>
      <c r="AB1088" s="308"/>
      <c r="AC1088" s="308"/>
      <c r="AD1088" s="308"/>
      <c r="AE1088" s="308"/>
      <c r="AF1088" s="308"/>
      <c r="AG1088" s="308"/>
      <c r="AH1088" s="308"/>
      <c r="AI1088" s="308"/>
      <c r="AJ1088" s="308"/>
      <c r="AK1088" s="308"/>
      <c r="AL1088" s="308"/>
      <c r="AM1088" s="70"/>
      <c r="AN1088" s="70"/>
      <c r="AO1088" s="70"/>
      <c r="AP1088" s="70"/>
      <c r="AQ1088" s="70"/>
    </row>
    <row r="1089" spans="1:43" s="71" customFormat="1" ht="15" customHeight="1">
      <c r="A1089" s="185" t="s">
        <v>1156</v>
      </c>
      <c r="B1089" s="217" t="str">
        <f t="shared" si="1075"/>
        <v>125</v>
      </c>
      <c r="C1089" s="217" t="str">
        <f t="shared" si="1076"/>
        <v>650</v>
      </c>
      <c r="D1089" s="101">
        <v>0</v>
      </c>
      <c r="E1089" s="101" t="str">
        <f t="shared" si="1077"/>
        <v>125-650</v>
      </c>
      <c r="F1089" s="294" t="str">
        <f t="shared" si="1078"/>
        <v>52440</v>
      </c>
      <c r="G1089" s="295" t="str">
        <f>VLOOKUP(F1089,'GL Category'!A:C,3,FALSE)</f>
        <v>Operations &amp; maintenance</v>
      </c>
      <c r="H1089" s="98" t="str">
        <f>VLOOKUP(F1089,'GL Category'!A:C,2,FALSE)</f>
        <v>RADIO MAINTENANCE</v>
      </c>
      <c r="I1089" s="99">
        <f>SUMIFS(I$1:I1082,$C$1:$C1082,$C1089,$F$1:$F1082,$F1089)</f>
        <v>0</v>
      </c>
      <c r="J1089" s="99">
        <f>SUMIFS(J$1:J1082,$C$1:$C1082,$C1089,$F$1:$F1082,$F1089)</f>
        <v>0</v>
      </c>
      <c r="K1089" s="99">
        <f>SUMIFS(K$1:K1082,$C$1:$C1082,$C1089,$F$1:$F1082,$F1089)</f>
        <v>0</v>
      </c>
      <c r="L1089" s="99">
        <f>SUMIFS(L$1:L1082,$C$1:$C1082,$C1089,$F$1:$F1082,$F1089)</f>
        <v>0</v>
      </c>
      <c r="M1089" s="99">
        <f>SUMIFS(M$1:M1082,$C$1:$C1082,$C1089,$F$1:$F1082,$F1089)</f>
        <v>0</v>
      </c>
      <c r="N1089" s="99">
        <f>SUMIFS(N$1:N1082,$C$1:$C1082,$C1089,$F$1:$F1082,$F1089)</f>
        <v>0</v>
      </c>
      <c r="O1089" s="99">
        <f>SUMIFS(O$1:O1082,$C$1:$C1082,$C1089,$F$1:$F1082,$F1089)</f>
        <v>0</v>
      </c>
      <c r="P1089" s="99">
        <f t="shared" si="1079"/>
        <v>0</v>
      </c>
      <c r="Q1089" s="99">
        <f>SUMIFS(Q$1:Q1082,$C$1:$C1082,$C1089,$F$1:$F1082,$F1089)</f>
        <v>0</v>
      </c>
      <c r="R1089" s="99">
        <f>SUMIFS(R$1:R1082,$C$1:$C1082,$C1089,$F$1:$F1082,$F1089)</f>
        <v>0</v>
      </c>
      <c r="S1089" s="99">
        <f>SUMIFS(S$1:S1082,$C$1:$C1082,$C1089,$F$1:$F1082,$F1089)</f>
        <v>0</v>
      </c>
      <c r="T1089" s="99">
        <f>SUMIFS(T$1:T1082,$C$1:$C1082,$C1089,$F$1:$F1082,$F1089)</f>
        <v>0</v>
      </c>
      <c r="U1089" s="99">
        <f t="shared" si="1080"/>
        <v>0</v>
      </c>
      <c r="V1089" s="255" t="str">
        <f t="shared" si="1081"/>
        <v>N/A</v>
      </c>
      <c r="W1089" s="103" t="str">
        <f t="shared" si="1107"/>
        <v>OK</v>
      </c>
      <c r="Y1089" s="476"/>
      <c r="Z1089" s="308"/>
      <c r="AA1089" s="308"/>
      <c r="AB1089" s="308"/>
      <c r="AC1089" s="308"/>
      <c r="AD1089" s="308"/>
      <c r="AE1089" s="308"/>
      <c r="AF1089" s="308"/>
      <c r="AG1089" s="308"/>
      <c r="AH1089" s="308"/>
      <c r="AI1089" s="308"/>
      <c r="AJ1089" s="308"/>
      <c r="AK1089" s="308"/>
      <c r="AL1089" s="308"/>
      <c r="AM1089" s="70"/>
      <c r="AN1089" s="70"/>
      <c r="AO1089" s="70"/>
      <c r="AP1089" s="70"/>
      <c r="AQ1089" s="70"/>
    </row>
    <row r="1090" spans="1:43" s="71" customFormat="1" ht="15" customHeight="1">
      <c r="A1090" s="185" t="s">
        <v>1157</v>
      </c>
      <c r="B1090" s="217" t="str">
        <f t="shared" si="1075"/>
        <v>125</v>
      </c>
      <c r="C1090" s="217" t="str">
        <f t="shared" si="1076"/>
        <v>650</v>
      </c>
      <c r="D1090" s="101">
        <v>0</v>
      </c>
      <c r="E1090" s="101" t="str">
        <f t="shared" si="1077"/>
        <v>125-650</v>
      </c>
      <c r="F1090" s="294" t="str">
        <f t="shared" si="1078"/>
        <v>52460</v>
      </c>
      <c r="G1090" s="295" t="str">
        <f>VLOOKUP(F1090,'GL Category'!A:C,3,FALSE)</f>
        <v>Operations &amp; maintenance</v>
      </c>
      <c r="H1090" s="98" t="str">
        <f>VLOOKUP(F1090,'GL Category'!A:C,2,FALSE)</f>
        <v>VEHICLE MAINTENANCE</v>
      </c>
      <c r="I1090" s="99">
        <f>SUMIFS(I$1:I1083,$C$1:$C1083,$C1090,$F$1:$F1083,$F1090)</f>
        <v>0</v>
      </c>
      <c r="J1090" s="99">
        <f>SUMIFS(J$1:J1083,$C$1:$C1083,$C1090,$F$1:$F1083,$F1090)</f>
        <v>0</v>
      </c>
      <c r="K1090" s="99">
        <f>SUMIFS(K$1:K1083,$C$1:$C1083,$C1090,$F$1:$F1083,$F1090)</f>
        <v>0</v>
      </c>
      <c r="L1090" s="99">
        <f>SUMIFS(L$1:L1083,$C$1:$C1083,$C1090,$F$1:$F1083,$F1090)</f>
        <v>0</v>
      </c>
      <c r="M1090" s="99">
        <f>SUMIFS(M$1:M1083,$C$1:$C1083,$C1090,$F$1:$F1083,$F1090)</f>
        <v>0</v>
      </c>
      <c r="N1090" s="99">
        <f>SUMIFS(N$1:N1083,$C$1:$C1083,$C1090,$F$1:$F1083,$F1090)</f>
        <v>0</v>
      </c>
      <c r="O1090" s="99">
        <f>SUMIFS(O$1:O1083,$C$1:$C1083,$C1090,$F$1:$F1083,$F1090)</f>
        <v>0</v>
      </c>
      <c r="P1090" s="99">
        <f t="shared" si="1079"/>
        <v>0</v>
      </c>
      <c r="Q1090" s="99">
        <f>SUMIFS(Q$1:Q1083,$C$1:$C1083,$C1090,$F$1:$F1083,$F1090)</f>
        <v>0</v>
      </c>
      <c r="R1090" s="99">
        <f>SUMIFS(R$1:R1083,$C$1:$C1083,$C1090,$F$1:$F1083,$F1090)</f>
        <v>0</v>
      </c>
      <c r="S1090" s="99">
        <f>SUMIFS(S$1:S1083,$C$1:$C1083,$C1090,$F$1:$F1083,$F1090)</f>
        <v>0</v>
      </c>
      <c r="T1090" s="99">
        <f>SUMIFS(T$1:T1083,$C$1:$C1083,$C1090,$F$1:$F1083,$F1090)</f>
        <v>0</v>
      </c>
      <c r="U1090" s="99">
        <f t="shared" si="1080"/>
        <v>0</v>
      </c>
      <c r="V1090" s="255" t="str">
        <f t="shared" si="1081"/>
        <v>N/A</v>
      </c>
      <c r="W1090" s="103" t="str">
        <f t="shared" si="1107"/>
        <v>OK</v>
      </c>
      <c r="Y1090" s="476"/>
      <c r="Z1090" s="308"/>
      <c r="AA1090" s="308"/>
      <c r="AB1090" s="308"/>
      <c r="AC1090" s="308"/>
      <c r="AD1090" s="308"/>
      <c r="AE1090" s="308"/>
      <c r="AF1090" s="308"/>
      <c r="AG1090" s="308"/>
      <c r="AH1090" s="308"/>
      <c r="AI1090" s="308"/>
      <c r="AJ1090" s="308"/>
      <c r="AK1090" s="308"/>
      <c r="AL1090" s="308"/>
      <c r="AM1090" s="70"/>
      <c r="AN1090" s="70"/>
      <c r="AO1090" s="70"/>
      <c r="AP1090" s="70"/>
      <c r="AQ1090" s="70"/>
    </row>
    <row r="1091" spans="1:43" s="71" customFormat="1" ht="15" customHeight="1">
      <c r="A1091" s="185" t="s">
        <v>1158</v>
      </c>
      <c r="B1091" s="217" t="str">
        <f>LEFT(A1091,3)</f>
        <v>125</v>
      </c>
      <c r="C1091" s="217" t="str">
        <f>RIGHT(A1091,3)</f>
        <v>650</v>
      </c>
      <c r="D1091" s="101">
        <v>0</v>
      </c>
      <c r="E1091" s="101" t="str">
        <f>B1091&amp;"-"&amp;C1091</f>
        <v>125-650</v>
      </c>
      <c r="F1091" s="294" t="str">
        <f>MID(A1091,5,5)</f>
        <v>52470</v>
      </c>
      <c r="G1091" s="295" t="str">
        <f>VLOOKUP(F1091,'GL Category'!A:C,3,FALSE)</f>
        <v>Operations &amp; maintenance</v>
      </c>
      <c r="H1091" s="98" t="str">
        <f>VLOOKUP(F1091,'GL Category'!A:C,2,FALSE)</f>
        <v>EQUIPMENT MAINTENANCE</v>
      </c>
      <c r="I1091" s="99">
        <f>SUMIFS(I$1:I1083,$C$1:$C1083,$C1091,$F$1:$F1083,$F1091)</f>
        <v>0</v>
      </c>
      <c r="J1091" s="99">
        <f>SUMIFS(J$1:J1083,$C$1:$C1083,$C1091,$F$1:$F1083,$F1091)</f>
        <v>0</v>
      </c>
      <c r="K1091" s="99">
        <f>SUMIFS(K$1:K1083,$C$1:$C1083,$C1091,$F$1:$F1083,$F1091)</f>
        <v>0</v>
      </c>
      <c r="L1091" s="99">
        <f>SUMIFS(L$1:L1083,$C$1:$C1083,$C1091,$F$1:$F1083,$F1091)</f>
        <v>0</v>
      </c>
      <c r="M1091" s="99">
        <f>SUMIFS(M$1:M1083,$C$1:$C1083,$C1091,$F$1:$F1083,$F1091)</f>
        <v>0</v>
      </c>
      <c r="N1091" s="99">
        <f>SUMIFS(N$1:N1083,$C$1:$C1083,$C1091,$F$1:$F1083,$F1091)</f>
        <v>0</v>
      </c>
      <c r="O1091" s="99">
        <f>SUMIFS(O$1:O1083,$C$1:$C1083,$C1091,$F$1:$F1083,$F1091)</f>
        <v>0</v>
      </c>
      <c r="P1091" s="99">
        <f>O1091-M1091</f>
        <v>0</v>
      </c>
      <c r="Q1091" s="99">
        <f>SUMIFS(Q$1:Q1083,$C$1:$C1083,$C1091,$F$1:$F1083,$F1091)</f>
        <v>0</v>
      </c>
      <c r="R1091" s="99">
        <f>SUMIFS(R$1:R1083,$C$1:$C1083,$C1091,$F$1:$F1083,$F1091)</f>
        <v>0</v>
      </c>
      <c r="S1091" s="99">
        <f>SUMIFS(S$1:S1083,$C$1:$C1083,$C1091,$F$1:$F1083,$F1091)</f>
        <v>0</v>
      </c>
      <c r="T1091" s="99">
        <f>SUMIFS(T$1:T1083,$C$1:$C1083,$C1091,$F$1:$F1083,$F1091)</f>
        <v>0</v>
      </c>
      <c r="U1091" s="99">
        <f t="shared" si="1080"/>
        <v>0</v>
      </c>
      <c r="V1091" s="255" t="str">
        <f t="shared" si="1081"/>
        <v>N/A</v>
      </c>
      <c r="W1091" s="103" t="str">
        <f t="shared" si="1107"/>
        <v>OK</v>
      </c>
      <c r="Y1091" s="476"/>
      <c r="Z1091" s="308"/>
      <c r="AA1091" s="308"/>
      <c r="AB1091" s="308"/>
      <c r="AC1091" s="308"/>
      <c r="AD1091" s="308"/>
      <c r="AE1091" s="308"/>
      <c r="AF1091" s="308"/>
      <c r="AG1091" s="308"/>
      <c r="AH1091" s="308"/>
      <c r="AI1091" s="308"/>
      <c r="AJ1091" s="308"/>
      <c r="AK1091" s="308"/>
      <c r="AL1091" s="308"/>
      <c r="AM1091" s="70"/>
      <c r="AN1091" s="70"/>
      <c r="AO1091" s="70"/>
      <c r="AP1091" s="70"/>
      <c r="AQ1091" s="70"/>
    </row>
    <row r="1092" spans="1:43" s="71" customFormat="1" ht="15" customHeight="1">
      <c r="A1092" s="185" t="s">
        <v>1159</v>
      </c>
      <c r="B1092" s="217" t="str">
        <f t="shared" si="1075"/>
        <v>125</v>
      </c>
      <c r="C1092" s="217" t="str">
        <f t="shared" si="1076"/>
        <v>650</v>
      </c>
      <c r="D1092" s="101">
        <v>0</v>
      </c>
      <c r="E1092" s="101" t="str">
        <f t="shared" si="1077"/>
        <v>125-650</v>
      </c>
      <c r="F1092" s="294" t="str">
        <f t="shared" si="1078"/>
        <v>52485</v>
      </c>
      <c r="G1092" s="295" t="str">
        <f>VLOOKUP(F1092,'GL Category'!A:C,3,FALSE)</f>
        <v>Operations &amp; maintenance</v>
      </c>
      <c r="H1092" s="98" t="str">
        <f>VLOOKUP(F1092,'GL Category'!A:C,2,FALSE)</f>
        <v>SOFTWARE LICENSE &amp; MAINTENANCE</v>
      </c>
      <c r="I1092" s="99">
        <f>SUMIFS(I$1:I1084,$C$1:$C1084,$C1092,$F$1:$F1084,$F1092)</f>
        <v>0</v>
      </c>
      <c r="J1092" s="99">
        <f>SUMIFS(J$1:J1084,$C$1:$C1084,$C1092,$F$1:$F1084,$F1092)</f>
        <v>0</v>
      </c>
      <c r="K1092" s="99">
        <f>SUMIFS(K$1:K1084,$C$1:$C1084,$C1092,$F$1:$F1084,$F1092)</f>
        <v>0</v>
      </c>
      <c r="L1092" s="99">
        <f>SUMIFS(L$1:L1084,$C$1:$C1084,$C1092,$F$1:$F1084,$F1092)</f>
        <v>0</v>
      </c>
      <c r="M1092" s="99">
        <f>SUMIFS(M$1:M1084,$C$1:$C1084,$C1092,$F$1:$F1084,$F1092)</f>
        <v>0</v>
      </c>
      <c r="N1092" s="99">
        <f>SUMIFS(N$1:N1084,$C$1:$C1084,$C1092,$F$1:$F1084,$F1092)</f>
        <v>0</v>
      </c>
      <c r="O1092" s="99">
        <f>SUMIFS(O$1:O1084,$C$1:$C1084,$C1092,$F$1:$F1084,$F1092)</f>
        <v>0</v>
      </c>
      <c r="P1092" s="99">
        <f t="shared" si="1079"/>
        <v>0</v>
      </c>
      <c r="Q1092" s="99">
        <f>SUMIFS(Q$1:Q1084,$C$1:$C1084,$C1092,$F$1:$F1084,$F1092)</f>
        <v>0</v>
      </c>
      <c r="R1092" s="99">
        <f>SUMIFS(R$1:R1084,$C$1:$C1084,$C1092,$F$1:$F1084,$F1092)</f>
        <v>0</v>
      </c>
      <c r="S1092" s="99">
        <f>SUMIFS(S$1:S1084,$C$1:$C1084,$C1092,$F$1:$F1084,$F1092)</f>
        <v>0</v>
      </c>
      <c r="T1092" s="99">
        <f>SUMIFS(T$1:T1084,$C$1:$C1084,$C1092,$F$1:$F1084,$F1092)</f>
        <v>0</v>
      </c>
      <c r="U1092" s="99">
        <f t="shared" si="1080"/>
        <v>0</v>
      </c>
      <c r="V1092" s="255" t="str">
        <f t="shared" si="1081"/>
        <v>N/A</v>
      </c>
      <c r="W1092" s="103" t="str">
        <f t="shared" si="1107"/>
        <v>OK</v>
      </c>
      <c r="Y1092" s="476"/>
      <c r="Z1092" s="308"/>
      <c r="AA1092" s="308"/>
      <c r="AB1092" s="308"/>
      <c r="AC1092" s="308"/>
      <c r="AD1092" s="308"/>
      <c r="AE1092" s="308"/>
      <c r="AF1092" s="308"/>
      <c r="AG1092" s="308"/>
      <c r="AH1092" s="308"/>
      <c r="AI1092" s="308"/>
      <c r="AJ1092" s="308"/>
      <c r="AK1092" s="308"/>
      <c r="AL1092" s="308"/>
      <c r="AM1092" s="70"/>
      <c r="AN1092" s="70"/>
      <c r="AO1092" s="70"/>
      <c r="AP1092" s="70"/>
      <c r="AQ1092" s="70"/>
    </row>
    <row r="1093" spans="1:43" s="71" customFormat="1" ht="15" customHeight="1">
      <c r="A1093" s="185" t="s">
        <v>1160</v>
      </c>
      <c r="B1093" s="217" t="str">
        <f t="shared" si="1075"/>
        <v>125</v>
      </c>
      <c r="C1093" s="217" t="str">
        <f t="shared" si="1076"/>
        <v>650</v>
      </c>
      <c r="D1093" s="101">
        <v>0</v>
      </c>
      <c r="E1093" s="101" t="str">
        <f t="shared" si="1077"/>
        <v>125-650</v>
      </c>
      <c r="F1093" s="294" t="str">
        <f t="shared" si="1078"/>
        <v>52490</v>
      </c>
      <c r="G1093" s="295" t="str">
        <f>VLOOKUP(F1093,'GL Category'!A:C,3,FALSE)</f>
        <v>Operations &amp; maintenance</v>
      </c>
      <c r="H1093" s="98" t="str">
        <f>VLOOKUP(F1093,'GL Category'!A:C,2,FALSE)</f>
        <v>A/C &amp; HEATING MAINTENANCE</v>
      </c>
      <c r="I1093" s="99">
        <f>SUMIFS(I$1:I1085,$C$1:$C1085,$C1093,$F$1:$F1085,$F1093)</f>
        <v>0</v>
      </c>
      <c r="J1093" s="99">
        <f>SUMIFS(J$1:J1085,$C$1:$C1085,$C1093,$F$1:$F1085,$F1093)</f>
        <v>0</v>
      </c>
      <c r="K1093" s="99">
        <f>SUMIFS(K$1:K1085,$C$1:$C1085,$C1093,$F$1:$F1085,$F1093)</f>
        <v>0</v>
      </c>
      <c r="L1093" s="99">
        <f>SUMIFS(L$1:L1085,$C$1:$C1085,$C1093,$F$1:$F1085,$F1093)</f>
        <v>0</v>
      </c>
      <c r="M1093" s="99">
        <f>SUMIFS(M$1:M1085,$C$1:$C1085,$C1093,$F$1:$F1085,$F1093)</f>
        <v>0</v>
      </c>
      <c r="N1093" s="99">
        <f>SUMIFS(N$1:N1085,$C$1:$C1085,$C1093,$F$1:$F1085,$F1093)</f>
        <v>0</v>
      </c>
      <c r="O1093" s="99">
        <f>SUMIFS(O$1:O1085,$C$1:$C1085,$C1093,$F$1:$F1085,$F1093)</f>
        <v>0</v>
      </c>
      <c r="P1093" s="99">
        <f t="shared" si="1079"/>
        <v>0</v>
      </c>
      <c r="Q1093" s="99">
        <f>SUMIFS(Q$1:Q1085,$C$1:$C1085,$C1093,$F$1:$F1085,$F1093)</f>
        <v>0</v>
      </c>
      <c r="R1093" s="99">
        <f>SUMIFS(R$1:R1085,$C$1:$C1085,$C1093,$F$1:$F1085,$F1093)</f>
        <v>0</v>
      </c>
      <c r="S1093" s="99">
        <f>SUMIFS(S$1:S1085,$C$1:$C1085,$C1093,$F$1:$F1085,$F1093)</f>
        <v>0</v>
      </c>
      <c r="T1093" s="99">
        <f>SUMIFS(T$1:T1085,$C$1:$C1085,$C1093,$F$1:$F1085,$F1093)</f>
        <v>0</v>
      </c>
      <c r="U1093" s="99">
        <f t="shared" si="1080"/>
        <v>0</v>
      </c>
      <c r="V1093" s="255" t="str">
        <f t="shared" si="1081"/>
        <v>N/A</v>
      </c>
      <c r="W1093" s="103" t="str">
        <f t="shared" si="1107"/>
        <v>OK</v>
      </c>
      <c r="Y1093" s="476"/>
      <c r="Z1093" s="308"/>
      <c r="AA1093" s="308"/>
      <c r="AB1093" s="308"/>
      <c r="AC1093" s="308"/>
      <c r="AD1093" s="308"/>
      <c r="AE1093" s="308"/>
      <c r="AF1093" s="308"/>
      <c r="AG1093" s="308"/>
      <c r="AH1093" s="308"/>
      <c r="AI1093" s="308"/>
      <c r="AJ1093" s="308"/>
      <c r="AK1093" s="308"/>
      <c r="AL1093" s="308"/>
      <c r="AM1093" s="70"/>
      <c r="AN1093" s="70"/>
      <c r="AO1093" s="70"/>
      <c r="AP1093" s="70"/>
      <c r="AQ1093" s="70"/>
    </row>
    <row r="1094" spans="1:43" s="71" customFormat="1" ht="28.35" customHeight="1">
      <c r="A1094" s="297"/>
      <c r="B1094" s="217"/>
      <c r="C1094" s="217"/>
      <c r="D1094" s="101"/>
      <c r="E1094" s="101"/>
      <c r="F1094" s="294"/>
      <c r="G1094" s="295"/>
      <c r="H1094" s="107" t="str">
        <f>UPPER(G1093)&amp;" TOTAL"</f>
        <v>OPERATIONS &amp; MAINTENANCE TOTAL</v>
      </c>
      <c r="I1094" s="109">
        <f t="shared" ref="I1094" si="1113">SUBTOTAL(9,I1066:I1093)</f>
        <v>0</v>
      </c>
      <c r="J1094" s="109">
        <f t="shared" ref="J1094:T1094" si="1114">SUBTOTAL(9,J1066:J1093)</f>
        <v>0</v>
      </c>
      <c r="K1094" s="109">
        <f t="shared" ref="K1094" si="1115">SUBTOTAL(9,K1066:K1093)</f>
        <v>0</v>
      </c>
      <c r="L1094" s="109">
        <f t="shared" ref="L1094" si="1116">SUBTOTAL(9,L1066:L1093)</f>
        <v>0</v>
      </c>
      <c r="M1094" s="109">
        <f t="shared" si="1114"/>
        <v>0</v>
      </c>
      <c r="N1094" s="109">
        <f t="shared" ref="N1094" si="1117">SUBTOTAL(9,N1066:N1093)</f>
        <v>0</v>
      </c>
      <c r="O1094" s="109">
        <f t="shared" si="1114"/>
        <v>0</v>
      </c>
      <c r="P1094" s="109">
        <f t="shared" si="1114"/>
        <v>0</v>
      </c>
      <c r="Q1094" s="109">
        <f t="shared" si="1114"/>
        <v>0</v>
      </c>
      <c r="R1094" s="109">
        <f t="shared" si="1114"/>
        <v>0</v>
      </c>
      <c r="S1094" s="109">
        <f t="shared" si="1114"/>
        <v>0</v>
      </c>
      <c r="T1094" s="109">
        <f t="shared" si="1114"/>
        <v>0</v>
      </c>
      <c r="U1094" s="99">
        <f t="shared" si="1080"/>
        <v>0</v>
      </c>
      <c r="V1094" s="255" t="str">
        <f t="shared" si="1081"/>
        <v>N/A</v>
      </c>
      <c r="W1094" s="103" t="str">
        <f t="shared" si="1107"/>
        <v>OK</v>
      </c>
      <c r="Y1094" s="476"/>
      <c r="Z1094" s="308"/>
      <c r="AA1094" s="308"/>
      <c r="AB1094" s="308"/>
      <c r="AC1094" s="308"/>
      <c r="AD1094" s="308"/>
      <c r="AE1094" s="308"/>
      <c r="AF1094" s="308"/>
      <c r="AG1094" s="308"/>
      <c r="AH1094" s="308"/>
      <c r="AI1094" s="308"/>
      <c r="AJ1094" s="308"/>
      <c r="AK1094" s="308"/>
      <c r="AL1094" s="308"/>
      <c r="AM1094" s="70"/>
      <c r="AN1094" s="70"/>
      <c r="AO1094" s="70"/>
      <c r="AP1094" s="70"/>
      <c r="AQ1094" s="70"/>
    </row>
    <row r="1095" spans="1:43" s="71" customFormat="1" ht="15" customHeight="1">
      <c r="A1095" s="297"/>
      <c r="B1095" s="217"/>
      <c r="C1095" s="217"/>
      <c r="D1095" s="101"/>
      <c r="E1095" s="101"/>
      <c r="F1095" s="294"/>
      <c r="G1095" s="295"/>
      <c r="H1095" s="98"/>
      <c r="I1095" s="106"/>
      <c r="J1095" s="106"/>
      <c r="K1095" s="106"/>
      <c r="L1095" s="106"/>
      <c r="M1095" s="106"/>
      <c r="N1095" s="112"/>
      <c r="O1095" s="112"/>
      <c r="P1095" s="112"/>
      <c r="Q1095" s="113"/>
      <c r="R1095" s="113"/>
      <c r="S1095" s="113"/>
      <c r="T1095" s="113"/>
      <c r="U1095" s="99"/>
      <c r="V1095" s="255"/>
      <c r="W1095" s="103" t="str">
        <f t="shared" si="1107"/>
        <v>OK</v>
      </c>
      <c r="Y1095" s="476"/>
      <c r="Z1095" s="308"/>
      <c r="AA1095" s="308"/>
      <c r="AB1095" s="308"/>
      <c r="AC1095" s="308"/>
      <c r="AD1095" s="308"/>
      <c r="AE1095" s="308"/>
      <c r="AF1095" s="308"/>
      <c r="AG1095" s="308"/>
      <c r="AH1095" s="308"/>
      <c r="AI1095" s="308"/>
      <c r="AJ1095" s="308"/>
      <c r="AK1095" s="308"/>
      <c r="AL1095" s="308"/>
      <c r="AM1095" s="70"/>
      <c r="AN1095" s="70"/>
      <c r="AO1095" s="70"/>
      <c r="AP1095" s="70"/>
      <c r="AQ1095" s="70"/>
    </row>
    <row r="1096" spans="1:43" s="71" customFormat="1" ht="15" customHeight="1">
      <c r="A1096" s="185" t="s">
        <v>1161</v>
      </c>
      <c r="B1096" s="217" t="str">
        <f t="shared" ref="B1096:B1124" si="1118">LEFT(A1096,3)</f>
        <v>125</v>
      </c>
      <c r="C1096" s="217" t="str">
        <f t="shared" ref="C1096:C1124" si="1119">RIGHT(A1096,3)</f>
        <v>650</v>
      </c>
      <c r="D1096" s="101">
        <v>0</v>
      </c>
      <c r="E1096" s="101" t="str">
        <f t="shared" ref="E1096:E1124" si="1120">B1096&amp;"-"&amp;C1096</f>
        <v>125-650</v>
      </c>
      <c r="F1096" s="294" t="str">
        <f t="shared" ref="F1096:F1124" si="1121">MID(A1096,5,5)</f>
        <v>53509</v>
      </c>
      <c r="G1096" s="295" t="e">
        <f>VLOOKUP(F1096,'GL Category'!A:C,3,FALSE)</f>
        <v>#N/A</v>
      </c>
      <c r="H1096" s="98" t="e">
        <f>VLOOKUP(F1096,'GL Category'!A:C,2,FALSE)</f>
        <v>#N/A</v>
      </c>
      <c r="I1096" s="99">
        <f>SUMIFS(I$1:I1089,$C$1:$C1089,$C1096,$F$1:$F1089,$F1096)</f>
        <v>0</v>
      </c>
      <c r="J1096" s="99">
        <f>SUMIFS(J$1:J1089,$C$1:$C1089,$C1096,$F$1:$F1089,$F1096)</f>
        <v>0</v>
      </c>
      <c r="K1096" s="99">
        <f>SUMIFS(K$1:K1089,$C$1:$C1089,$C1096,$F$1:$F1089,$F1096)</f>
        <v>0</v>
      </c>
      <c r="L1096" s="99">
        <f>SUMIFS(L$1:L1089,$C$1:$C1089,$C1096,$F$1:$F1089,$F1096)</f>
        <v>0</v>
      </c>
      <c r="M1096" s="99">
        <f>SUMIFS(M$1:M1089,$C$1:$C1089,$C1096,$F$1:$F1089,$F1096)</f>
        <v>0</v>
      </c>
      <c r="N1096" s="99">
        <f>SUMIFS(N$1:N1089,$C$1:$C1089,$C1096,$F$1:$F1089,$F1096)</f>
        <v>0</v>
      </c>
      <c r="O1096" s="99">
        <f>SUMIFS(O$1:O1089,$C$1:$C1089,$C1096,$F$1:$F1089,$F1096)</f>
        <v>0</v>
      </c>
      <c r="P1096" s="99">
        <f t="shared" ref="P1096:P1124" si="1122">O1096-M1096</f>
        <v>0</v>
      </c>
      <c r="Q1096" s="99">
        <f>SUMIFS(Q$1:Q1089,$C$1:$C1089,$C1096,$F$1:$F1089,$F1096)</f>
        <v>0</v>
      </c>
      <c r="R1096" s="99">
        <f>SUMIFS(R$1:R1089,$C$1:$C1089,$C1096,$F$1:$F1089,$F1096)</f>
        <v>0</v>
      </c>
      <c r="S1096" s="99">
        <f>SUMIFS(S$1:S1089,$C$1:$C1089,$C1096,$F$1:$F1089,$F1096)</f>
        <v>0</v>
      </c>
      <c r="T1096" s="99">
        <f>SUMIFS(T$1:T1089,$C$1:$C1089,$C1096,$F$1:$F1089,$F1096)</f>
        <v>0</v>
      </c>
      <c r="U1096" s="99">
        <f t="shared" ref="U1096:U1125" si="1123">T1096-M1096</f>
        <v>0</v>
      </c>
      <c r="V1096" s="255" t="str">
        <f t="shared" ref="V1096:V1125" si="1124">IF(M1096=0,"N/A",T1096/M1096-1)</f>
        <v>N/A</v>
      </c>
      <c r="W1096" s="103" t="str">
        <f t="shared" si="1107"/>
        <v>OK</v>
      </c>
      <c r="Y1096" s="476"/>
      <c r="Z1096" s="308"/>
      <c r="AA1096" s="308"/>
      <c r="AB1096" s="308"/>
      <c r="AC1096" s="308"/>
      <c r="AD1096" s="308"/>
      <c r="AE1096" s="308"/>
      <c r="AF1096" s="308"/>
      <c r="AG1096" s="308"/>
      <c r="AH1096" s="308"/>
      <c r="AI1096" s="308"/>
      <c r="AJ1096" s="308"/>
      <c r="AK1096" s="308"/>
      <c r="AL1096" s="308"/>
      <c r="AM1096" s="70"/>
      <c r="AN1096" s="70"/>
      <c r="AO1096" s="70"/>
      <c r="AP1096" s="70"/>
      <c r="AQ1096" s="70"/>
    </row>
    <row r="1097" spans="1:43" s="71" customFormat="1" ht="15" customHeight="1">
      <c r="A1097" s="185" t="s">
        <v>1162</v>
      </c>
      <c r="B1097" s="217" t="str">
        <f t="shared" si="1118"/>
        <v>125</v>
      </c>
      <c r="C1097" s="217" t="str">
        <f t="shared" si="1119"/>
        <v>650</v>
      </c>
      <c r="D1097" s="101">
        <v>0</v>
      </c>
      <c r="E1097" s="101" t="str">
        <f t="shared" si="1120"/>
        <v>125-650</v>
      </c>
      <c r="F1097" s="294" t="str">
        <f t="shared" si="1121"/>
        <v>53510</v>
      </c>
      <c r="G1097" s="295" t="str">
        <f>VLOOKUP(F1097,'GL Category'!A:C,3,FALSE)</f>
        <v>Services &amp; other</v>
      </c>
      <c r="H1097" s="98" t="str">
        <f>VLOOKUP(F1097,'GL Category'!A:C,2,FALSE)</f>
        <v>DUES &amp; SUBSCRIPTIONS</v>
      </c>
      <c r="I1097" s="99">
        <f>SUMIFS(I$1:I1090,$C$1:$C1090,$C1097,$F$1:$F1090,$F1097)</f>
        <v>0</v>
      </c>
      <c r="J1097" s="99">
        <f>SUMIFS(J$1:J1090,$C$1:$C1090,$C1097,$F$1:$F1090,$F1097)</f>
        <v>0</v>
      </c>
      <c r="K1097" s="99">
        <f>SUMIFS(K$1:K1090,$C$1:$C1090,$C1097,$F$1:$F1090,$F1097)</f>
        <v>0</v>
      </c>
      <c r="L1097" s="99">
        <f>SUMIFS(L$1:L1090,$C$1:$C1090,$C1097,$F$1:$F1090,$F1097)</f>
        <v>0</v>
      </c>
      <c r="M1097" s="99">
        <f>SUMIFS(M$1:M1090,$C$1:$C1090,$C1097,$F$1:$F1090,$F1097)</f>
        <v>0</v>
      </c>
      <c r="N1097" s="99">
        <f>SUMIFS(N$1:N1090,$C$1:$C1090,$C1097,$F$1:$F1090,$F1097)</f>
        <v>0</v>
      </c>
      <c r="O1097" s="99">
        <f>SUMIFS(O$1:O1090,$C$1:$C1090,$C1097,$F$1:$F1090,$F1097)</f>
        <v>0</v>
      </c>
      <c r="P1097" s="99">
        <f t="shared" si="1122"/>
        <v>0</v>
      </c>
      <c r="Q1097" s="99">
        <f>SUMIFS(Q$1:Q1090,$C$1:$C1090,$C1097,$F$1:$F1090,$F1097)</f>
        <v>0</v>
      </c>
      <c r="R1097" s="99">
        <f>SUMIFS(R$1:R1090,$C$1:$C1090,$C1097,$F$1:$F1090,$F1097)</f>
        <v>0</v>
      </c>
      <c r="S1097" s="99">
        <f>SUMIFS(S$1:S1090,$C$1:$C1090,$C1097,$F$1:$F1090,$F1097)</f>
        <v>0</v>
      </c>
      <c r="T1097" s="99">
        <f>SUMIFS(T$1:T1090,$C$1:$C1090,$C1097,$F$1:$F1090,$F1097)</f>
        <v>0</v>
      </c>
      <c r="U1097" s="99">
        <f t="shared" si="1123"/>
        <v>0</v>
      </c>
      <c r="V1097" s="255" t="str">
        <f t="shared" si="1124"/>
        <v>N/A</v>
      </c>
      <c r="W1097" s="103" t="str">
        <f t="shared" si="1107"/>
        <v>OK</v>
      </c>
      <c r="Y1097" s="476"/>
      <c r="Z1097" s="308"/>
      <c r="AA1097" s="308"/>
      <c r="AB1097" s="308"/>
      <c r="AC1097" s="308"/>
      <c r="AD1097" s="308"/>
      <c r="AE1097" s="308"/>
      <c r="AF1097" s="308"/>
      <c r="AG1097" s="308"/>
      <c r="AH1097" s="308"/>
      <c r="AI1097" s="308"/>
      <c r="AJ1097" s="308"/>
      <c r="AK1097" s="308"/>
      <c r="AL1097" s="308"/>
      <c r="AM1097" s="70"/>
      <c r="AN1097" s="70"/>
      <c r="AO1097" s="70"/>
      <c r="AP1097" s="70"/>
      <c r="AQ1097" s="70"/>
    </row>
    <row r="1098" spans="1:43" s="71" customFormat="1" ht="15" customHeight="1">
      <c r="A1098" s="185" t="s">
        <v>1163</v>
      </c>
      <c r="B1098" s="217" t="str">
        <f t="shared" si="1118"/>
        <v>125</v>
      </c>
      <c r="C1098" s="217" t="str">
        <f t="shared" si="1119"/>
        <v>650</v>
      </c>
      <c r="D1098" s="101">
        <v>0</v>
      </c>
      <c r="E1098" s="101" t="str">
        <f t="shared" si="1120"/>
        <v>125-650</v>
      </c>
      <c r="F1098" s="294" t="str">
        <f t="shared" si="1121"/>
        <v>53511</v>
      </c>
      <c r="G1098" s="295" t="e">
        <f>VLOOKUP(F1098,'GL Category'!A:C,3,FALSE)</f>
        <v>#N/A</v>
      </c>
      <c r="H1098" s="98" t="e">
        <f>VLOOKUP(F1098,'GL Category'!A:C,2,FALSE)</f>
        <v>#N/A</v>
      </c>
      <c r="I1098" s="99">
        <f>SUMIFS(I$1:I1092,$C$1:$C1092,$C1098,$F$1:$F1092,$F1098)</f>
        <v>0</v>
      </c>
      <c r="J1098" s="99">
        <f>SUMIFS(J$1:J1092,$C$1:$C1092,$C1098,$F$1:$F1092,$F1098)</f>
        <v>0</v>
      </c>
      <c r="K1098" s="99">
        <f>SUMIFS(K$1:K1092,$C$1:$C1092,$C1098,$F$1:$F1092,$F1098)</f>
        <v>0</v>
      </c>
      <c r="L1098" s="99">
        <f>SUMIFS(L$1:L1092,$C$1:$C1092,$C1098,$F$1:$F1092,$F1098)</f>
        <v>0</v>
      </c>
      <c r="M1098" s="99">
        <f>SUMIFS(M$1:M1092,$C$1:$C1092,$C1098,$F$1:$F1092,$F1098)</f>
        <v>0</v>
      </c>
      <c r="N1098" s="99">
        <f>SUMIFS(N$1:N1092,$C$1:$C1092,$C1098,$F$1:$F1092,$F1098)</f>
        <v>0</v>
      </c>
      <c r="O1098" s="99">
        <f>SUMIFS(O$1:O1092,$C$1:$C1092,$C1098,$F$1:$F1092,$F1098)</f>
        <v>0</v>
      </c>
      <c r="P1098" s="99">
        <f t="shared" si="1122"/>
        <v>0</v>
      </c>
      <c r="Q1098" s="99">
        <f>SUMIFS(Q$1:Q1092,$C$1:$C1092,$C1098,$F$1:$F1092,$F1098)</f>
        <v>0</v>
      </c>
      <c r="R1098" s="99">
        <f>SUMIFS(R$1:R1092,$C$1:$C1092,$C1098,$F$1:$F1092,$F1098)</f>
        <v>0</v>
      </c>
      <c r="S1098" s="99">
        <f>SUMIFS(S$1:S1092,$C$1:$C1092,$C1098,$F$1:$F1092,$F1098)</f>
        <v>0</v>
      </c>
      <c r="T1098" s="99">
        <f>SUMIFS(T$1:T1092,$C$1:$C1092,$C1098,$F$1:$F1092,$F1098)</f>
        <v>0</v>
      </c>
      <c r="U1098" s="99">
        <f t="shared" si="1123"/>
        <v>0</v>
      </c>
      <c r="V1098" s="255" t="str">
        <f t="shared" si="1124"/>
        <v>N/A</v>
      </c>
      <c r="W1098" s="103" t="str">
        <f t="shared" si="1107"/>
        <v>OK</v>
      </c>
      <c r="Y1098" s="476"/>
      <c r="Z1098" s="308"/>
      <c r="AA1098" s="308"/>
      <c r="AB1098" s="308"/>
      <c r="AC1098" s="308"/>
      <c r="AD1098" s="308"/>
      <c r="AE1098" s="308"/>
      <c r="AF1098" s="308"/>
      <c r="AG1098" s="308"/>
      <c r="AH1098" s="308"/>
      <c r="AI1098" s="308"/>
      <c r="AJ1098" s="308"/>
      <c r="AK1098" s="308"/>
      <c r="AL1098" s="308"/>
      <c r="AM1098" s="70"/>
      <c r="AN1098" s="70"/>
      <c r="AO1098" s="70"/>
      <c r="AP1098" s="70"/>
      <c r="AQ1098" s="70"/>
    </row>
    <row r="1099" spans="1:43" s="71" customFormat="1" ht="15" customHeight="1">
      <c r="A1099" s="185" t="s">
        <v>1164</v>
      </c>
      <c r="B1099" s="217" t="str">
        <f t="shared" si="1118"/>
        <v>125</v>
      </c>
      <c r="C1099" s="217" t="str">
        <f t="shared" si="1119"/>
        <v>650</v>
      </c>
      <c r="D1099" s="101">
        <v>0</v>
      </c>
      <c r="E1099" s="101" t="str">
        <f t="shared" si="1120"/>
        <v>125-650</v>
      </c>
      <c r="F1099" s="294" t="str">
        <f t="shared" si="1121"/>
        <v>53513</v>
      </c>
      <c r="G1099" s="295" t="str">
        <f>VLOOKUP(F1099,'GL Category'!A:C,3,FALSE)</f>
        <v>Services &amp; other</v>
      </c>
      <c r="H1099" s="98" t="str">
        <f>VLOOKUP(F1099,'GL Category'!A:C,2,FALSE)</f>
        <v>CONSULTING SERVICES</v>
      </c>
      <c r="I1099" s="99">
        <f>SUMIFS(I$1:I1093,$C$1:$C1093,$C1099,$F$1:$F1093,$F1099)</f>
        <v>0</v>
      </c>
      <c r="J1099" s="99">
        <f>SUMIFS(J$1:J1093,$C$1:$C1093,$C1099,$F$1:$F1093,$F1099)</f>
        <v>0</v>
      </c>
      <c r="K1099" s="99">
        <f>SUMIFS(K$1:K1093,$C$1:$C1093,$C1099,$F$1:$F1093,$F1099)</f>
        <v>0</v>
      </c>
      <c r="L1099" s="99">
        <f>SUMIFS(L$1:L1093,$C$1:$C1093,$C1099,$F$1:$F1093,$F1099)</f>
        <v>0</v>
      </c>
      <c r="M1099" s="99">
        <f>SUMIFS(M$1:M1093,$C$1:$C1093,$C1099,$F$1:$F1093,$F1099)</f>
        <v>0</v>
      </c>
      <c r="N1099" s="99">
        <f>SUMIFS(N$1:N1093,$C$1:$C1093,$C1099,$F$1:$F1093,$F1099)</f>
        <v>0</v>
      </c>
      <c r="O1099" s="99">
        <f>SUMIFS(O$1:O1093,$C$1:$C1093,$C1099,$F$1:$F1093,$F1099)</f>
        <v>0</v>
      </c>
      <c r="P1099" s="99">
        <f t="shared" si="1122"/>
        <v>0</v>
      </c>
      <c r="Q1099" s="99">
        <f>SUMIFS(Q$1:Q1093,$C$1:$C1093,$C1099,$F$1:$F1093,$F1099)</f>
        <v>0</v>
      </c>
      <c r="R1099" s="99">
        <f>SUMIFS(R$1:R1093,$C$1:$C1093,$C1099,$F$1:$F1093,$F1099)</f>
        <v>0</v>
      </c>
      <c r="S1099" s="99">
        <f>SUMIFS(S$1:S1093,$C$1:$C1093,$C1099,$F$1:$F1093,$F1099)</f>
        <v>0</v>
      </c>
      <c r="T1099" s="99">
        <f>SUMIFS(T$1:T1093,$C$1:$C1093,$C1099,$F$1:$F1093,$F1099)</f>
        <v>0</v>
      </c>
      <c r="U1099" s="99">
        <f t="shared" si="1123"/>
        <v>0</v>
      </c>
      <c r="V1099" s="255" t="str">
        <f t="shared" si="1124"/>
        <v>N/A</v>
      </c>
      <c r="W1099" s="103" t="str">
        <f t="shared" si="1107"/>
        <v>OK</v>
      </c>
      <c r="Y1099" s="476"/>
      <c r="Z1099" s="308"/>
      <c r="AA1099" s="308"/>
      <c r="AB1099" s="308"/>
      <c r="AC1099" s="308"/>
      <c r="AD1099" s="308"/>
      <c r="AE1099" s="308"/>
      <c r="AF1099" s="308"/>
      <c r="AG1099" s="308"/>
      <c r="AH1099" s="308"/>
      <c r="AI1099" s="308"/>
      <c r="AJ1099" s="308"/>
      <c r="AK1099" s="308"/>
      <c r="AL1099" s="308"/>
      <c r="AM1099" s="70"/>
      <c r="AN1099" s="70"/>
      <c r="AO1099" s="70"/>
      <c r="AP1099" s="70"/>
      <c r="AQ1099" s="70"/>
    </row>
    <row r="1100" spans="1:43" s="71" customFormat="1" ht="15" customHeight="1">
      <c r="A1100" s="185" t="s">
        <v>1203</v>
      </c>
      <c r="B1100" s="217" t="str">
        <f t="shared" ref="B1100" si="1125">LEFT(A1100,3)</f>
        <v>125</v>
      </c>
      <c r="C1100" s="217" t="str">
        <f t="shared" ref="C1100" si="1126">RIGHT(A1100,3)</f>
        <v>650</v>
      </c>
      <c r="D1100" s="101">
        <v>0</v>
      </c>
      <c r="E1100" s="101" t="str">
        <f t="shared" ref="E1100" si="1127">B1100&amp;"-"&amp;C1100</f>
        <v>125-650</v>
      </c>
      <c r="F1100" s="294" t="str">
        <f t="shared" ref="F1100" si="1128">MID(A1100,5,5)</f>
        <v>53517</v>
      </c>
      <c r="G1100" s="295" t="str">
        <f>VLOOKUP(F1100,'GL Category'!A:C,3,FALSE)</f>
        <v>Services &amp; other</v>
      </c>
      <c r="H1100" s="98" t="str">
        <f>VLOOKUP(F1100,'GL Category'!A:C,2,FALSE)</f>
        <v>MEDICAL SERVICES</v>
      </c>
      <c r="I1100" s="99">
        <f>SUMIFS(I$1:I1094,$C$1:$C1094,$C1100,$F$1:$F1094,$F1100)</f>
        <v>0</v>
      </c>
      <c r="J1100" s="99">
        <f>SUMIFS(J$1:J1094,$C$1:$C1094,$C1100,$F$1:$F1094,$F1100)</f>
        <v>0</v>
      </c>
      <c r="K1100" s="99">
        <f>SUMIFS(K$1:K1094,$C$1:$C1094,$C1100,$F$1:$F1094,$F1100)</f>
        <v>0</v>
      </c>
      <c r="L1100" s="99">
        <f>SUMIFS(L$1:L1094,$C$1:$C1094,$C1100,$F$1:$F1094,$F1100)</f>
        <v>0</v>
      </c>
      <c r="M1100" s="99">
        <f>SUMIFS(M$1:M1094,$C$1:$C1094,$C1100,$F$1:$F1094,$F1100)</f>
        <v>0</v>
      </c>
      <c r="N1100" s="99">
        <f>SUMIFS(N$1:N1094,$C$1:$C1094,$C1100,$F$1:$F1094,$F1100)</f>
        <v>0</v>
      </c>
      <c r="O1100" s="99">
        <f>SUMIFS(O$1:O1094,$C$1:$C1094,$C1100,$F$1:$F1094,$F1100)</f>
        <v>0</v>
      </c>
      <c r="P1100" s="99">
        <f t="shared" ref="P1100" si="1129">O1100-M1100</f>
        <v>0</v>
      </c>
      <c r="Q1100" s="99">
        <f>SUMIFS(Q$1:Q1094,$C$1:$C1094,$C1100,$F$1:$F1094,$F1100)</f>
        <v>0</v>
      </c>
      <c r="R1100" s="99">
        <f>SUMIFS(R$1:R1094,$C$1:$C1094,$C1100,$F$1:$F1094,$F1100)</f>
        <v>0</v>
      </c>
      <c r="S1100" s="99">
        <f>SUMIFS(S$1:S1094,$C$1:$C1094,$C1100,$F$1:$F1094,$F1100)</f>
        <v>0</v>
      </c>
      <c r="T1100" s="99">
        <f>SUMIFS(T$1:T1094,$C$1:$C1094,$C1100,$F$1:$F1094,$F1100)</f>
        <v>0</v>
      </c>
      <c r="U1100" s="99">
        <f t="shared" si="1123"/>
        <v>0</v>
      </c>
      <c r="V1100" s="255" t="str">
        <f t="shared" si="1124"/>
        <v>N/A</v>
      </c>
      <c r="W1100" s="103" t="str">
        <f t="shared" si="1107"/>
        <v>OK</v>
      </c>
      <c r="Y1100" s="476"/>
      <c r="Z1100" s="308"/>
      <c r="AA1100" s="308"/>
      <c r="AB1100" s="308"/>
      <c r="AC1100" s="308"/>
      <c r="AD1100" s="308"/>
      <c r="AE1100" s="308"/>
      <c r="AF1100" s="308"/>
      <c r="AG1100" s="308"/>
      <c r="AH1100" s="308"/>
      <c r="AI1100" s="308"/>
      <c r="AJ1100" s="308"/>
      <c r="AK1100" s="308"/>
      <c r="AL1100" s="308"/>
      <c r="AM1100" s="70"/>
      <c r="AN1100" s="70"/>
      <c r="AO1100" s="70"/>
      <c r="AP1100" s="70"/>
      <c r="AQ1100" s="70"/>
    </row>
    <row r="1101" spans="1:43" s="71" customFormat="1" ht="15" customHeight="1">
      <c r="A1101" s="185" t="s">
        <v>1165</v>
      </c>
      <c r="B1101" s="217" t="str">
        <f t="shared" si="1118"/>
        <v>125</v>
      </c>
      <c r="C1101" s="217" t="str">
        <f t="shared" si="1119"/>
        <v>650</v>
      </c>
      <c r="D1101" s="101">
        <v>0</v>
      </c>
      <c r="E1101" s="101" t="str">
        <f t="shared" si="1120"/>
        <v>125-650</v>
      </c>
      <c r="F1101" s="294" t="str">
        <f t="shared" si="1121"/>
        <v>53522</v>
      </c>
      <c r="G1101" s="295" t="str">
        <f>VLOOKUP(F1101,'GL Category'!A:C,3,FALSE)</f>
        <v>Services &amp; other</v>
      </c>
      <c r="H1101" s="98" t="str">
        <f>VLOOKUP(F1101,'GL Category'!A:C,2,FALSE)</f>
        <v>ADVERTISING &amp; RECORDING</v>
      </c>
      <c r="I1101" s="99">
        <f>SUMIFS(I$1:I1093,$C$1:$C1093,$C1101,$F$1:$F1093,$F1101)</f>
        <v>0</v>
      </c>
      <c r="J1101" s="99">
        <f>SUMIFS(J$1:J1093,$C$1:$C1093,$C1101,$F$1:$F1093,$F1101)</f>
        <v>0</v>
      </c>
      <c r="K1101" s="99">
        <f>SUMIFS(K$1:K1093,$C$1:$C1093,$C1101,$F$1:$F1093,$F1101)</f>
        <v>0</v>
      </c>
      <c r="L1101" s="99">
        <f>SUMIFS(L$1:L1093,$C$1:$C1093,$C1101,$F$1:$F1093,$F1101)</f>
        <v>0</v>
      </c>
      <c r="M1101" s="99">
        <f>SUMIFS(M$1:M1093,$C$1:$C1093,$C1101,$F$1:$F1093,$F1101)</f>
        <v>0</v>
      </c>
      <c r="N1101" s="99">
        <f>SUMIFS(N$1:N1093,$C$1:$C1093,$C1101,$F$1:$F1093,$F1101)</f>
        <v>0</v>
      </c>
      <c r="O1101" s="99">
        <f>SUMIFS(O$1:O1093,$C$1:$C1093,$C1101,$F$1:$F1093,$F1101)</f>
        <v>0</v>
      </c>
      <c r="P1101" s="99">
        <f t="shared" si="1122"/>
        <v>0</v>
      </c>
      <c r="Q1101" s="99">
        <f>SUMIFS(Q$1:Q1093,$C$1:$C1093,$C1101,$F$1:$F1093,$F1101)</f>
        <v>0</v>
      </c>
      <c r="R1101" s="99">
        <f>SUMIFS(R$1:R1093,$C$1:$C1093,$C1101,$F$1:$F1093,$F1101)</f>
        <v>0</v>
      </c>
      <c r="S1101" s="99">
        <f>SUMIFS(S$1:S1093,$C$1:$C1093,$C1101,$F$1:$F1093,$F1101)</f>
        <v>0</v>
      </c>
      <c r="T1101" s="99">
        <f>SUMIFS(T$1:T1093,$C$1:$C1093,$C1101,$F$1:$F1093,$F1101)</f>
        <v>0</v>
      </c>
      <c r="U1101" s="99">
        <f t="shared" si="1123"/>
        <v>0</v>
      </c>
      <c r="V1101" s="255" t="str">
        <f t="shared" si="1124"/>
        <v>N/A</v>
      </c>
      <c r="W1101" s="103" t="str">
        <f t="shared" si="1107"/>
        <v>OK</v>
      </c>
      <c r="Y1101" s="476"/>
      <c r="Z1101" s="308"/>
      <c r="AA1101" s="308"/>
      <c r="AB1101" s="308"/>
      <c r="AC1101" s="308"/>
      <c r="AD1101" s="308"/>
      <c r="AE1101" s="308"/>
      <c r="AF1101" s="308"/>
      <c r="AG1101" s="308"/>
      <c r="AH1101" s="308"/>
      <c r="AI1101" s="308"/>
      <c r="AJ1101" s="308"/>
      <c r="AK1101" s="308"/>
      <c r="AL1101" s="308"/>
      <c r="AM1101" s="70"/>
      <c r="AN1101" s="70"/>
      <c r="AO1101" s="70"/>
      <c r="AP1101" s="70"/>
      <c r="AQ1101" s="70"/>
    </row>
    <row r="1102" spans="1:43" s="71" customFormat="1" ht="15" customHeight="1">
      <c r="A1102" s="185" t="s">
        <v>1166</v>
      </c>
      <c r="B1102" s="217" t="str">
        <f t="shared" si="1118"/>
        <v>125</v>
      </c>
      <c r="C1102" s="217" t="str">
        <f t="shared" si="1119"/>
        <v>650</v>
      </c>
      <c r="D1102" s="101">
        <v>0</v>
      </c>
      <c r="E1102" s="101" t="str">
        <f t="shared" si="1120"/>
        <v>125-650</v>
      </c>
      <c r="F1102" s="294" t="str">
        <f t="shared" si="1121"/>
        <v>53524</v>
      </c>
      <c r="G1102" s="295" t="str">
        <f>VLOOKUP(F1102,'GL Category'!A:C,3,FALSE)</f>
        <v>Services &amp; other</v>
      </c>
      <c r="H1102" s="98" t="str">
        <f>VLOOKUP(F1102,'GL Category'!A:C,2,FALSE)</f>
        <v>EQUIPMENT RENTAL</v>
      </c>
      <c r="I1102" s="99">
        <f>SUMIFS(I$1:I1094,$C$1:$C1094,$C1102,$F$1:$F1094,$F1102)</f>
        <v>0</v>
      </c>
      <c r="J1102" s="99">
        <f>SUMIFS(J$1:J1094,$C$1:$C1094,$C1102,$F$1:$F1094,$F1102)</f>
        <v>0</v>
      </c>
      <c r="K1102" s="99">
        <f>SUMIFS(K$1:K1094,$C$1:$C1094,$C1102,$F$1:$F1094,$F1102)</f>
        <v>0</v>
      </c>
      <c r="L1102" s="99">
        <f>SUMIFS(L$1:L1094,$C$1:$C1094,$C1102,$F$1:$F1094,$F1102)</f>
        <v>0</v>
      </c>
      <c r="M1102" s="99">
        <f>SUMIFS(M$1:M1094,$C$1:$C1094,$C1102,$F$1:$F1094,$F1102)</f>
        <v>0</v>
      </c>
      <c r="N1102" s="99">
        <f>SUMIFS(N$1:N1094,$C$1:$C1094,$C1102,$F$1:$F1094,$F1102)</f>
        <v>0</v>
      </c>
      <c r="O1102" s="99">
        <f>SUMIFS(O$1:O1094,$C$1:$C1094,$C1102,$F$1:$F1094,$F1102)</f>
        <v>0</v>
      </c>
      <c r="P1102" s="99">
        <f t="shared" si="1122"/>
        <v>0</v>
      </c>
      <c r="Q1102" s="99">
        <f>SUMIFS(Q$1:Q1094,$C$1:$C1094,$C1102,$F$1:$F1094,$F1102)</f>
        <v>0</v>
      </c>
      <c r="R1102" s="99">
        <f>SUMIFS(R$1:R1094,$C$1:$C1094,$C1102,$F$1:$F1094,$F1102)</f>
        <v>0</v>
      </c>
      <c r="S1102" s="99">
        <f>SUMIFS(S$1:S1094,$C$1:$C1094,$C1102,$F$1:$F1094,$F1102)</f>
        <v>0</v>
      </c>
      <c r="T1102" s="99">
        <f>SUMIFS(T$1:T1094,$C$1:$C1094,$C1102,$F$1:$F1094,$F1102)</f>
        <v>0</v>
      </c>
      <c r="U1102" s="99">
        <f t="shared" si="1123"/>
        <v>0</v>
      </c>
      <c r="V1102" s="255" t="str">
        <f t="shared" si="1124"/>
        <v>N/A</v>
      </c>
      <c r="W1102" s="103" t="str">
        <f t="shared" si="1107"/>
        <v>OK</v>
      </c>
      <c r="Y1102" s="476"/>
      <c r="Z1102" s="308"/>
      <c r="AA1102" s="308"/>
      <c r="AB1102" s="308"/>
      <c r="AC1102" s="308"/>
      <c r="AD1102" s="308"/>
      <c r="AE1102" s="308"/>
      <c r="AF1102" s="308"/>
      <c r="AG1102" s="308"/>
      <c r="AH1102" s="308"/>
      <c r="AI1102" s="308"/>
      <c r="AJ1102" s="308"/>
      <c r="AK1102" s="308"/>
      <c r="AL1102" s="308"/>
      <c r="AM1102" s="70"/>
      <c r="AN1102" s="70"/>
      <c r="AO1102" s="70"/>
      <c r="AP1102" s="70"/>
      <c r="AQ1102" s="70"/>
    </row>
    <row r="1103" spans="1:43" s="71" customFormat="1" ht="15" customHeight="1">
      <c r="A1103" s="185" t="s">
        <v>1167</v>
      </c>
      <c r="B1103" s="217" t="str">
        <f>LEFT(A1103,3)</f>
        <v>125</v>
      </c>
      <c r="C1103" s="217" t="str">
        <f>RIGHT(A1103,3)</f>
        <v>650</v>
      </c>
      <c r="D1103" s="101">
        <v>0</v>
      </c>
      <c r="E1103" s="101" t="str">
        <f>B1103&amp;"-"&amp;C1103</f>
        <v>125-650</v>
      </c>
      <c r="F1103" s="294" t="str">
        <f>MID(A1103,5,5)</f>
        <v>53525</v>
      </c>
      <c r="G1103" s="295" t="str">
        <f>VLOOKUP(F1103,'GL Category'!A:C,3,FALSE)</f>
        <v>Services &amp; other</v>
      </c>
      <c r="H1103" s="98" t="str">
        <f>VLOOKUP(F1103,'GL Category'!A:C,2,FALSE)</f>
        <v>LANDSCAPE SERVICES</v>
      </c>
      <c r="I1103" s="99">
        <f>SUMIFS(I$1:I1095,$C$1:$C1095,$C1103,$F$1:$F1095,$F1103)</f>
        <v>0</v>
      </c>
      <c r="J1103" s="99">
        <f>SUMIFS(J$1:J1095,$C$1:$C1095,$C1103,$F$1:$F1095,$F1103)</f>
        <v>0</v>
      </c>
      <c r="K1103" s="99">
        <f>SUMIFS(K$1:K1095,$C$1:$C1095,$C1103,$F$1:$F1095,$F1103)</f>
        <v>0</v>
      </c>
      <c r="L1103" s="99">
        <f>SUMIFS(L$1:L1095,$C$1:$C1095,$C1103,$F$1:$F1095,$F1103)</f>
        <v>0</v>
      </c>
      <c r="M1103" s="99">
        <f>SUMIFS(M$1:M1095,$C$1:$C1095,$C1103,$F$1:$F1095,$F1103)</f>
        <v>0</v>
      </c>
      <c r="N1103" s="99">
        <f>SUMIFS(N$1:N1095,$C$1:$C1095,$C1103,$F$1:$F1095,$F1103)</f>
        <v>0</v>
      </c>
      <c r="O1103" s="99">
        <f>SUMIFS(O$1:O1095,$C$1:$C1095,$C1103,$F$1:$F1095,$F1103)</f>
        <v>0</v>
      </c>
      <c r="P1103" s="99">
        <f>O1103-M1103</f>
        <v>0</v>
      </c>
      <c r="Q1103" s="99">
        <f>SUMIFS(Q$1:Q1095,$C$1:$C1095,$C1103,$F$1:$F1095,$F1103)</f>
        <v>0</v>
      </c>
      <c r="R1103" s="99">
        <f>SUMIFS(R$1:R1095,$C$1:$C1095,$C1103,$F$1:$F1095,$F1103)</f>
        <v>0</v>
      </c>
      <c r="S1103" s="99">
        <f>SUMIFS(S$1:S1095,$C$1:$C1095,$C1103,$F$1:$F1095,$F1103)</f>
        <v>0</v>
      </c>
      <c r="T1103" s="99">
        <f>SUMIFS(T$1:T1095,$C$1:$C1095,$C1103,$F$1:$F1095,$F1103)</f>
        <v>0</v>
      </c>
      <c r="U1103" s="99">
        <f t="shared" si="1123"/>
        <v>0</v>
      </c>
      <c r="V1103" s="255" t="str">
        <f t="shared" si="1124"/>
        <v>N/A</v>
      </c>
      <c r="W1103" s="103" t="str">
        <f t="shared" si="1107"/>
        <v>OK</v>
      </c>
      <c r="Y1103" s="476"/>
      <c r="Z1103" s="308"/>
      <c r="AA1103" s="308"/>
      <c r="AB1103" s="308"/>
      <c r="AC1103" s="308"/>
      <c r="AD1103" s="308"/>
      <c r="AE1103" s="308"/>
      <c r="AF1103" s="308"/>
      <c r="AG1103" s="308"/>
      <c r="AH1103" s="308"/>
      <c r="AI1103" s="308"/>
      <c r="AJ1103" s="308"/>
      <c r="AK1103" s="308"/>
      <c r="AL1103" s="308"/>
      <c r="AM1103" s="70"/>
      <c r="AN1103" s="70"/>
      <c r="AO1103" s="70"/>
      <c r="AP1103" s="70"/>
      <c r="AQ1103" s="70"/>
    </row>
    <row r="1104" spans="1:43" s="71" customFormat="1" ht="15" customHeight="1">
      <c r="A1104" s="185" t="s">
        <v>1193</v>
      </c>
      <c r="B1104" s="217" t="str">
        <f>LEFT(A1104,3)</f>
        <v>125</v>
      </c>
      <c r="C1104" s="217" t="str">
        <f>RIGHT(A1104,3)</f>
        <v>650</v>
      </c>
      <c r="D1104" s="101">
        <v>0</v>
      </c>
      <c r="E1104" s="101" t="str">
        <f>B1104&amp;"-"&amp;C1104</f>
        <v>125-650</v>
      </c>
      <c r="F1104" s="294" t="str">
        <f>MID(A1104,5,5)</f>
        <v>53527</v>
      </c>
      <c r="G1104" s="295" t="str">
        <f>VLOOKUP(F1104,'GL Category'!A:C,3,FALSE)</f>
        <v>Services &amp; other</v>
      </c>
      <c r="H1104" s="98" t="str">
        <f>VLOOKUP(F1104,'GL Category'!A:C,2,FALSE)</f>
        <v>EMPLOYEE ACTIVITIES</v>
      </c>
      <c r="I1104" s="99">
        <f>SUMIFS(I$1:I1096,$C$1:$C1096,$C1104,$F$1:$F1096,$F1104)</f>
        <v>0</v>
      </c>
      <c r="J1104" s="99">
        <f>SUMIFS(J$1:J1096,$C$1:$C1096,$C1104,$F$1:$F1096,$F1104)</f>
        <v>0</v>
      </c>
      <c r="K1104" s="99">
        <f>SUMIFS(K$1:K1096,$C$1:$C1096,$C1104,$F$1:$F1096,$F1104)</f>
        <v>0</v>
      </c>
      <c r="L1104" s="99">
        <f>SUMIFS(L$1:L1096,$C$1:$C1096,$C1104,$F$1:$F1096,$F1104)</f>
        <v>0</v>
      </c>
      <c r="M1104" s="99">
        <f>SUMIFS(M$1:M1096,$C$1:$C1096,$C1104,$F$1:$F1096,$F1104)</f>
        <v>0</v>
      </c>
      <c r="N1104" s="99">
        <f>SUMIFS(N$1:N1096,$C$1:$C1096,$C1104,$F$1:$F1096,$F1104)</f>
        <v>0</v>
      </c>
      <c r="O1104" s="99">
        <f>SUMIFS(O$1:O1096,$C$1:$C1096,$C1104,$F$1:$F1096,$F1104)</f>
        <v>0</v>
      </c>
      <c r="P1104" s="99">
        <f>O1104-M1104</f>
        <v>0</v>
      </c>
      <c r="Q1104" s="99">
        <f>SUMIFS(Q$1:Q1096,$C$1:$C1096,$C1104,$F$1:$F1096,$F1104)</f>
        <v>0</v>
      </c>
      <c r="R1104" s="99">
        <f>SUMIFS(R$1:R1096,$C$1:$C1096,$C1104,$F$1:$F1096,$F1104)</f>
        <v>0</v>
      </c>
      <c r="S1104" s="99">
        <f>SUMIFS(S$1:S1096,$C$1:$C1096,$C1104,$F$1:$F1096,$F1104)</f>
        <v>0</v>
      </c>
      <c r="T1104" s="99">
        <f>SUMIFS(T$1:T1096,$C$1:$C1096,$C1104,$F$1:$F1096,$F1104)</f>
        <v>0</v>
      </c>
      <c r="U1104" s="99">
        <f t="shared" si="1123"/>
        <v>0</v>
      </c>
      <c r="V1104" s="255" t="str">
        <f t="shared" si="1124"/>
        <v>N/A</v>
      </c>
      <c r="W1104" s="103" t="str">
        <f t="shared" si="1107"/>
        <v>OK</v>
      </c>
      <c r="Y1104" s="476"/>
      <c r="Z1104" s="308"/>
      <c r="AA1104" s="308"/>
      <c r="AB1104" s="308"/>
      <c r="AC1104" s="308"/>
      <c r="AD1104" s="308"/>
      <c r="AE1104" s="308"/>
      <c r="AF1104" s="308"/>
      <c r="AG1104" s="308"/>
      <c r="AH1104" s="308"/>
      <c r="AI1104" s="308"/>
      <c r="AJ1104" s="308"/>
      <c r="AK1104" s="308"/>
      <c r="AL1104" s="308"/>
      <c r="AM1104" s="70"/>
      <c r="AN1104" s="70"/>
      <c r="AO1104" s="70"/>
      <c r="AP1104" s="70"/>
      <c r="AQ1104" s="70"/>
    </row>
    <row r="1105" spans="1:43" s="71" customFormat="1" ht="15" customHeight="1">
      <c r="A1105" s="185" t="s">
        <v>1168</v>
      </c>
      <c r="B1105" s="217" t="str">
        <f>LEFT(A1105,3)</f>
        <v>125</v>
      </c>
      <c r="C1105" s="217" t="str">
        <f>RIGHT(A1105,3)</f>
        <v>650</v>
      </c>
      <c r="D1105" s="101">
        <v>0</v>
      </c>
      <c r="E1105" s="101" t="str">
        <f>B1105&amp;"-"&amp;C1105</f>
        <v>125-650</v>
      </c>
      <c r="F1105" s="294" t="str">
        <f>MID(A1105,5,5)</f>
        <v>53529</v>
      </c>
      <c r="G1105" s="295" t="str">
        <f>VLOOKUP(F1105,'GL Category'!A:C,3,FALSE)</f>
        <v>Services &amp; other</v>
      </c>
      <c r="H1105" s="98" t="str">
        <f>VLOOKUP(F1105,'GL Category'!A:C,2,FALSE)</f>
        <v>JANITORIAL SERVICES</v>
      </c>
      <c r="I1105" s="99">
        <f>SUMIFS(I$1:I1096,$C$1:$C1096,$C1105,$F$1:$F1096,$F1105)</f>
        <v>0</v>
      </c>
      <c r="J1105" s="99">
        <f>SUMIFS(J$1:J1096,$C$1:$C1096,$C1105,$F$1:$F1096,$F1105)</f>
        <v>0</v>
      </c>
      <c r="K1105" s="99">
        <f>SUMIFS(K$1:K1096,$C$1:$C1096,$C1105,$F$1:$F1096,$F1105)</f>
        <v>0</v>
      </c>
      <c r="L1105" s="99">
        <f>SUMIFS(L$1:L1096,$C$1:$C1096,$C1105,$F$1:$F1096,$F1105)</f>
        <v>0</v>
      </c>
      <c r="M1105" s="99">
        <f>SUMIFS(M$1:M1096,$C$1:$C1096,$C1105,$F$1:$F1096,$F1105)</f>
        <v>0</v>
      </c>
      <c r="N1105" s="99">
        <f>SUMIFS(N$1:N1096,$C$1:$C1096,$C1105,$F$1:$F1096,$F1105)</f>
        <v>0</v>
      </c>
      <c r="O1105" s="99">
        <f>SUMIFS(O$1:O1096,$C$1:$C1096,$C1105,$F$1:$F1096,$F1105)</f>
        <v>0</v>
      </c>
      <c r="P1105" s="99">
        <f>O1105-M1105</f>
        <v>0</v>
      </c>
      <c r="Q1105" s="99">
        <f>SUMIFS(Q$1:Q1096,$C$1:$C1096,$C1105,$F$1:$F1096,$F1105)</f>
        <v>0</v>
      </c>
      <c r="R1105" s="99">
        <f>SUMIFS(R$1:R1096,$C$1:$C1096,$C1105,$F$1:$F1096,$F1105)</f>
        <v>0</v>
      </c>
      <c r="S1105" s="99">
        <f>SUMIFS(S$1:S1096,$C$1:$C1096,$C1105,$F$1:$F1096,$F1105)</f>
        <v>0</v>
      </c>
      <c r="T1105" s="99">
        <f>SUMIFS(T$1:T1096,$C$1:$C1096,$C1105,$F$1:$F1096,$F1105)</f>
        <v>0</v>
      </c>
      <c r="U1105" s="99">
        <f t="shared" si="1123"/>
        <v>0</v>
      </c>
      <c r="V1105" s="255" t="str">
        <f t="shared" si="1124"/>
        <v>N/A</v>
      </c>
      <c r="W1105" s="103" t="str">
        <f t="shared" si="1107"/>
        <v>OK</v>
      </c>
      <c r="Y1105" s="476"/>
      <c r="Z1105" s="308"/>
      <c r="AA1105" s="308"/>
      <c r="AB1105" s="308"/>
      <c r="AC1105" s="308"/>
      <c r="AD1105" s="308"/>
      <c r="AE1105" s="308"/>
      <c r="AF1105" s="308"/>
      <c r="AG1105" s="308"/>
      <c r="AH1105" s="308"/>
      <c r="AI1105" s="308"/>
      <c r="AJ1105" s="308"/>
      <c r="AK1105" s="308"/>
      <c r="AL1105" s="308"/>
      <c r="AM1105" s="70"/>
      <c r="AN1105" s="70"/>
      <c r="AO1105" s="70"/>
      <c r="AP1105" s="70"/>
      <c r="AQ1105" s="70"/>
    </row>
    <row r="1106" spans="1:43" s="71" customFormat="1" ht="15" customHeight="1">
      <c r="A1106" s="185" t="s">
        <v>1169</v>
      </c>
      <c r="B1106" s="217" t="str">
        <f t="shared" si="1118"/>
        <v>125</v>
      </c>
      <c r="C1106" s="217" t="str">
        <f t="shared" si="1119"/>
        <v>650</v>
      </c>
      <c r="D1106" s="101">
        <v>0</v>
      </c>
      <c r="E1106" s="101" t="str">
        <f t="shared" si="1120"/>
        <v>125-650</v>
      </c>
      <c r="F1106" s="294" t="str">
        <f t="shared" si="1121"/>
        <v>53534</v>
      </c>
      <c r="G1106" s="295" t="str">
        <f>VLOOKUP(F1106,'GL Category'!A:C,3,FALSE)</f>
        <v>Services &amp; other</v>
      </c>
      <c r="H1106" s="98" t="str">
        <f>VLOOKUP(F1106,'GL Category'!A:C,2,FALSE)</f>
        <v>MARKETING &amp; PROMOTIONAL</v>
      </c>
      <c r="I1106" s="99">
        <f>SUMIFS(I$1:I1095,$C$1:$C1095,$C1106,$F$1:$F1095,$F1106)</f>
        <v>0</v>
      </c>
      <c r="J1106" s="99">
        <f>SUMIFS(J$1:J1095,$C$1:$C1095,$C1106,$F$1:$F1095,$F1106)</f>
        <v>0</v>
      </c>
      <c r="K1106" s="99">
        <f>SUMIFS(K$1:K1095,$C$1:$C1095,$C1106,$F$1:$F1095,$F1106)</f>
        <v>0</v>
      </c>
      <c r="L1106" s="99">
        <f>SUMIFS(L$1:L1095,$C$1:$C1095,$C1106,$F$1:$F1095,$F1106)</f>
        <v>0</v>
      </c>
      <c r="M1106" s="99">
        <f>SUMIFS(M$1:M1095,$C$1:$C1095,$C1106,$F$1:$F1095,$F1106)</f>
        <v>0</v>
      </c>
      <c r="N1106" s="99">
        <f>SUMIFS(N$1:N1095,$C$1:$C1095,$C1106,$F$1:$F1095,$F1106)</f>
        <v>0</v>
      </c>
      <c r="O1106" s="99">
        <f>SUMIFS(O$1:O1095,$C$1:$C1095,$C1106,$F$1:$F1095,$F1106)</f>
        <v>0</v>
      </c>
      <c r="P1106" s="99">
        <f t="shared" si="1122"/>
        <v>0</v>
      </c>
      <c r="Q1106" s="99">
        <f>SUMIFS(Q$1:Q1095,$C$1:$C1095,$C1106,$F$1:$F1095,$F1106)</f>
        <v>0</v>
      </c>
      <c r="R1106" s="99">
        <f>SUMIFS(R$1:R1095,$C$1:$C1095,$C1106,$F$1:$F1095,$F1106)</f>
        <v>0</v>
      </c>
      <c r="S1106" s="99">
        <f>SUMIFS(S$1:S1095,$C$1:$C1095,$C1106,$F$1:$F1095,$F1106)</f>
        <v>0</v>
      </c>
      <c r="T1106" s="99">
        <f>SUMIFS(T$1:T1095,$C$1:$C1095,$C1106,$F$1:$F1095,$F1106)</f>
        <v>0</v>
      </c>
      <c r="U1106" s="99">
        <f t="shared" si="1123"/>
        <v>0</v>
      </c>
      <c r="V1106" s="255" t="str">
        <f t="shared" si="1124"/>
        <v>N/A</v>
      </c>
      <c r="W1106" s="103" t="str">
        <f t="shared" si="1107"/>
        <v>OK</v>
      </c>
      <c r="Y1106" s="476"/>
      <c r="Z1106" s="308"/>
      <c r="AA1106" s="308"/>
      <c r="AB1106" s="308"/>
      <c r="AC1106" s="308"/>
      <c r="AD1106" s="308"/>
      <c r="AE1106" s="308"/>
      <c r="AF1106" s="308"/>
      <c r="AG1106" s="308"/>
      <c r="AH1106" s="308"/>
      <c r="AI1106" s="308"/>
      <c r="AJ1106" s="308"/>
      <c r="AK1106" s="308"/>
      <c r="AL1106" s="308"/>
      <c r="AM1106" s="70"/>
      <c r="AN1106" s="70"/>
      <c r="AO1106" s="70"/>
      <c r="AP1106" s="70"/>
      <c r="AQ1106" s="70"/>
    </row>
    <row r="1107" spans="1:43" s="71" customFormat="1" ht="15" customHeight="1">
      <c r="A1107" s="185" t="s">
        <v>1170</v>
      </c>
      <c r="B1107" s="217" t="str">
        <f t="shared" si="1118"/>
        <v>125</v>
      </c>
      <c r="C1107" s="217" t="str">
        <f t="shared" si="1119"/>
        <v>650</v>
      </c>
      <c r="D1107" s="101">
        <v>0</v>
      </c>
      <c r="E1107" s="101" t="str">
        <f t="shared" si="1120"/>
        <v>125-650</v>
      </c>
      <c r="F1107" s="294" t="str">
        <f t="shared" si="1121"/>
        <v>53535</v>
      </c>
      <c r="G1107" s="295" t="str">
        <f>VLOOKUP(F1107,'GL Category'!A:C,3,FALSE)</f>
        <v>Services &amp; other</v>
      </c>
      <c r="H1107" s="98" t="str">
        <f>VLOOKUP(F1107,'GL Category'!A:C,2,FALSE)</f>
        <v>RECREATION &amp; CULTURE PROGRAMS</v>
      </c>
      <c r="I1107" s="99">
        <f>SUMIFS(I$1:I1096,$C$1:$C1096,$C1107,$F$1:$F1096,$F1107)</f>
        <v>0</v>
      </c>
      <c r="J1107" s="99">
        <f>SUMIFS(J$1:J1096,$C$1:$C1096,$C1107,$F$1:$F1096,$F1107)</f>
        <v>0</v>
      </c>
      <c r="K1107" s="99">
        <f>SUMIFS(K$1:K1096,$C$1:$C1096,$C1107,$F$1:$F1096,$F1107)</f>
        <v>0</v>
      </c>
      <c r="L1107" s="99">
        <f>SUMIFS(L$1:L1096,$C$1:$C1096,$C1107,$F$1:$F1096,$F1107)</f>
        <v>0</v>
      </c>
      <c r="M1107" s="99">
        <f>SUMIFS(M$1:M1096,$C$1:$C1096,$C1107,$F$1:$F1096,$F1107)</f>
        <v>0</v>
      </c>
      <c r="N1107" s="99">
        <f>SUMIFS(N$1:N1096,$C$1:$C1096,$C1107,$F$1:$F1096,$F1107)</f>
        <v>0</v>
      </c>
      <c r="O1107" s="99">
        <f>SUMIFS(O$1:O1096,$C$1:$C1096,$C1107,$F$1:$F1096,$F1107)</f>
        <v>0</v>
      </c>
      <c r="P1107" s="99">
        <f t="shared" si="1122"/>
        <v>0</v>
      </c>
      <c r="Q1107" s="99">
        <f>SUMIFS(Q$1:Q1096,$C$1:$C1096,$C1107,$F$1:$F1096,$F1107)</f>
        <v>0</v>
      </c>
      <c r="R1107" s="99">
        <f>SUMIFS(R$1:R1096,$C$1:$C1096,$C1107,$F$1:$F1096,$F1107)</f>
        <v>0</v>
      </c>
      <c r="S1107" s="99">
        <f>SUMIFS(S$1:S1096,$C$1:$C1096,$C1107,$F$1:$F1096,$F1107)</f>
        <v>0</v>
      </c>
      <c r="T1107" s="99">
        <f>SUMIFS(T$1:T1096,$C$1:$C1096,$C1107,$F$1:$F1096,$F1107)</f>
        <v>0</v>
      </c>
      <c r="U1107" s="99">
        <f t="shared" si="1123"/>
        <v>0</v>
      </c>
      <c r="V1107" s="255" t="str">
        <f t="shared" si="1124"/>
        <v>N/A</v>
      </c>
      <c r="W1107" s="103" t="str">
        <f t="shared" si="1107"/>
        <v>OK</v>
      </c>
      <c r="Y1107" s="476"/>
      <c r="Z1107" s="308"/>
      <c r="AA1107" s="308"/>
      <c r="AB1107" s="308"/>
      <c r="AC1107" s="308"/>
      <c r="AD1107" s="308"/>
      <c r="AE1107" s="308"/>
      <c r="AF1107" s="308"/>
      <c r="AG1107" s="308"/>
      <c r="AH1107" s="308"/>
      <c r="AI1107" s="308"/>
      <c r="AJ1107" s="308"/>
      <c r="AK1107" s="308"/>
      <c r="AL1107" s="308"/>
      <c r="AM1107" s="70"/>
      <c r="AN1107" s="70"/>
      <c r="AO1107" s="70"/>
      <c r="AP1107" s="70"/>
      <c r="AQ1107" s="70"/>
    </row>
    <row r="1108" spans="1:43" s="71" customFormat="1" ht="15" customHeight="1">
      <c r="A1108" s="185" t="s">
        <v>1192</v>
      </c>
      <c r="B1108" s="217" t="str">
        <f t="shared" ref="B1108" si="1130">LEFT(A1108,3)</f>
        <v>125</v>
      </c>
      <c r="C1108" s="217" t="str">
        <f t="shared" ref="C1108" si="1131">RIGHT(A1108,3)</f>
        <v>650</v>
      </c>
      <c r="D1108" s="101">
        <v>0</v>
      </c>
      <c r="E1108" s="101" t="str">
        <f t="shared" ref="E1108" si="1132">B1108&amp;"-"&amp;C1108</f>
        <v>125-650</v>
      </c>
      <c r="F1108" s="294" t="str">
        <f t="shared" ref="F1108" si="1133">MID(A1108,5,5)</f>
        <v>53537</v>
      </c>
      <c r="G1108" s="295" t="str">
        <f>VLOOKUP(F1108,'GL Category'!A:C,3,FALSE)</f>
        <v>Services &amp; other</v>
      </c>
      <c r="H1108" s="98" t="str">
        <f>VLOOKUP(F1108,'GL Category'!A:C,2,FALSE)</f>
        <v>RECREATION/BIRTHDAY PARTY PRGM</v>
      </c>
      <c r="I1108" s="99">
        <f>SUMIFS(I$1:I1097,$C$1:$C1097,$C1108,$F$1:$F1097,$F1108)</f>
        <v>0</v>
      </c>
      <c r="J1108" s="99">
        <f>SUMIFS(J$1:J1097,$C$1:$C1097,$C1108,$F$1:$F1097,$F1108)</f>
        <v>0</v>
      </c>
      <c r="K1108" s="99">
        <f>SUMIFS(K$1:K1097,$C$1:$C1097,$C1108,$F$1:$F1097,$F1108)</f>
        <v>0</v>
      </c>
      <c r="L1108" s="99">
        <f>SUMIFS(L$1:L1097,$C$1:$C1097,$C1108,$F$1:$F1097,$F1108)</f>
        <v>0</v>
      </c>
      <c r="M1108" s="99">
        <f>SUMIFS(M$1:M1097,$C$1:$C1097,$C1108,$F$1:$F1097,$F1108)</f>
        <v>0</v>
      </c>
      <c r="N1108" s="99">
        <f>SUMIFS(N$1:N1097,$C$1:$C1097,$C1108,$F$1:$F1097,$F1108)</f>
        <v>0</v>
      </c>
      <c r="O1108" s="99">
        <f>SUMIFS(O$1:O1097,$C$1:$C1097,$C1108,$F$1:$F1097,$F1108)</f>
        <v>0</v>
      </c>
      <c r="P1108" s="99">
        <f t="shared" ref="P1108" si="1134">O1108-M1108</f>
        <v>0</v>
      </c>
      <c r="Q1108" s="99">
        <f>SUMIFS(Q$1:Q1097,$C$1:$C1097,$C1108,$F$1:$F1097,$F1108)</f>
        <v>0</v>
      </c>
      <c r="R1108" s="99">
        <f>SUMIFS(R$1:R1097,$C$1:$C1097,$C1108,$F$1:$F1097,$F1108)</f>
        <v>0</v>
      </c>
      <c r="S1108" s="99">
        <f>SUMIFS(S$1:S1097,$C$1:$C1097,$C1108,$F$1:$F1097,$F1108)</f>
        <v>0</v>
      </c>
      <c r="T1108" s="99">
        <f>SUMIFS(T$1:T1097,$C$1:$C1097,$C1108,$F$1:$F1097,$F1108)</f>
        <v>0</v>
      </c>
      <c r="U1108" s="99">
        <f t="shared" si="1123"/>
        <v>0</v>
      </c>
      <c r="V1108" s="255" t="str">
        <f t="shared" si="1124"/>
        <v>N/A</v>
      </c>
      <c r="W1108" s="103" t="str">
        <f t="shared" si="1107"/>
        <v>OK</v>
      </c>
      <c r="Y1108" s="476"/>
      <c r="Z1108" s="308"/>
      <c r="AA1108" s="308"/>
      <c r="AB1108" s="308"/>
      <c r="AC1108" s="308"/>
      <c r="AD1108" s="308"/>
      <c r="AE1108" s="308"/>
      <c r="AF1108" s="308"/>
      <c r="AG1108" s="308"/>
      <c r="AH1108" s="308"/>
      <c r="AI1108" s="308"/>
      <c r="AJ1108" s="308"/>
      <c r="AK1108" s="308"/>
      <c r="AL1108" s="308"/>
      <c r="AM1108" s="70"/>
      <c r="AN1108" s="70"/>
      <c r="AO1108" s="70"/>
      <c r="AP1108" s="70"/>
      <c r="AQ1108" s="70"/>
    </row>
    <row r="1109" spans="1:43" s="71" customFormat="1" ht="15" customHeight="1">
      <c r="A1109" s="185" t="s">
        <v>1204</v>
      </c>
      <c r="B1109" s="217" t="str">
        <f t="shared" ref="B1109" si="1135">LEFT(A1109,3)</f>
        <v>125</v>
      </c>
      <c r="C1109" s="217" t="str">
        <f t="shared" ref="C1109" si="1136">RIGHT(A1109,3)</f>
        <v>650</v>
      </c>
      <c r="D1109" s="101">
        <v>0</v>
      </c>
      <c r="E1109" s="101" t="str">
        <f t="shared" ref="E1109" si="1137">B1109&amp;"-"&amp;C1109</f>
        <v>125-650</v>
      </c>
      <c r="F1109" s="294" t="str">
        <f t="shared" ref="F1109" si="1138">MID(A1109,5,5)</f>
        <v>53538</v>
      </c>
      <c r="G1109" s="295" t="e">
        <f>VLOOKUP(F1109,'GL Category'!A:C,3,FALSE)</f>
        <v>#N/A</v>
      </c>
      <c r="H1109" s="98" t="e">
        <f>VLOOKUP(F1109,'GL Category'!A:C,2,FALSE)</f>
        <v>#N/A</v>
      </c>
      <c r="I1109" s="99">
        <f>SUMIFS(I$1:I1098,$C$1:$C1098,$C1109,$F$1:$F1098,$F1109)</f>
        <v>0</v>
      </c>
      <c r="J1109" s="99">
        <f>SUMIFS(J$1:J1098,$C$1:$C1098,$C1109,$F$1:$F1098,$F1109)</f>
        <v>0</v>
      </c>
      <c r="K1109" s="99">
        <f>SUMIFS(K$1:K1098,$C$1:$C1098,$C1109,$F$1:$F1098,$F1109)</f>
        <v>0</v>
      </c>
      <c r="L1109" s="99">
        <f>SUMIFS(L$1:L1098,$C$1:$C1098,$C1109,$F$1:$F1098,$F1109)</f>
        <v>0</v>
      </c>
      <c r="M1109" s="99">
        <f>SUMIFS(M$1:M1098,$C$1:$C1098,$C1109,$F$1:$F1098,$F1109)</f>
        <v>0</v>
      </c>
      <c r="N1109" s="99">
        <f>SUMIFS(N$1:N1098,$C$1:$C1098,$C1109,$F$1:$F1098,$F1109)</f>
        <v>0</v>
      </c>
      <c r="O1109" s="99">
        <f>SUMIFS(O$1:O1098,$C$1:$C1098,$C1109,$F$1:$F1098,$F1109)</f>
        <v>0</v>
      </c>
      <c r="P1109" s="99">
        <f t="shared" ref="P1109" si="1139">O1109-M1109</f>
        <v>0</v>
      </c>
      <c r="Q1109" s="99">
        <f>SUMIFS(Q$1:Q1098,$C$1:$C1098,$C1109,$F$1:$F1098,$F1109)</f>
        <v>0</v>
      </c>
      <c r="R1109" s="99">
        <f>SUMIFS(R$1:R1098,$C$1:$C1098,$C1109,$F$1:$F1098,$F1109)</f>
        <v>0</v>
      </c>
      <c r="S1109" s="99">
        <f>SUMIFS(S$1:S1098,$C$1:$C1098,$C1109,$F$1:$F1098,$F1109)</f>
        <v>0</v>
      </c>
      <c r="T1109" s="99">
        <f>SUMIFS(T$1:T1098,$C$1:$C1098,$C1109,$F$1:$F1098,$F1109)</f>
        <v>0</v>
      </c>
      <c r="U1109" s="99">
        <f t="shared" si="1123"/>
        <v>0</v>
      </c>
      <c r="V1109" s="255" t="str">
        <f t="shared" si="1124"/>
        <v>N/A</v>
      </c>
      <c r="W1109" s="103" t="str">
        <f t="shared" si="1107"/>
        <v>OK</v>
      </c>
      <c r="Y1109" s="476"/>
      <c r="Z1109" s="308"/>
      <c r="AA1109" s="308"/>
      <c r="AB1109" s="308"/>
      <c r="AC1109" s="308"/>
      <c r="AD1109" s="308"/>
      <c r="AE1109" s="308"/>
      <c r="AF1109" s="308"/>
      <c r="AG1109" s="308"/>
      <c r="AH1109" s="308"/>
      <c r="AI1109" s="308"/>
      <c r="AJ1109" s="308"/>
      <c r="AK1109" s="308"/>
      <c r="AL1109" s="308"/>
      <c r="AM1109" s="70"/>
      <c r="AN1109" s="70"/>
      <c r="AO1109" s="70"/>
      <c r="AP1109" s="70"/>
      <c r="AQ1109" s="70"/>
    </row>
    <row r="1110" spans="1:43" s="71" customFormat="1" ht="15" customHeight="1">
      <c r="A1110" s="185" t="s">
        <v>1171</v>
      </c>
      <c r="B1110" s="217" t="str">
        <f t="shared" si="1118"/>
        <v>125</v>
      </c>
      <c r="C1110" s="217" t="str">
        <f t="shared" si="1119"/>
        <v>650</v>
      </c>
      <c r="D1110" s="101">
        <v>0</v>
      </c>
      <c r="E1110" s="101" t="str">
        <f t="shared" si="1120"/>
        <v>125-650</v>
      </c>
      <c r="F1110" s="294" t="str">
        <f t="shared" si="1121"/>
        <v>53540</v>
      </c>
      <c r="G1110" s="295" t="str">
        <f>VLOOKUP(F1110,'GL Category'!A:C,3,FALSE)</f>
        <v>Services &amp; other</v>
      </c>
      <c r="H1110" s="98" t="str">
        <f>VLOOKUP(F1110,'GL Category'!A:C,2,FALSE)</f>
        <v>PRINTING &amp; BINDING SERVICES</v>
      </c>
      <c r="I1110" s="99">
        <f>SUMIFS(I$1:I1097,$C$1:$C1097,$C1110,$F$1:$F1097,$F1110)</f>
        <v>0</v>
      </c>
      <c r="J1110" s="99">
        <f>SUMIFS(J$1:J1097,$C$1:$C1097,$C1110,$F$1:$F1097,$F1110)</f>
        <v>0</v>
      </c>
      <c r="K1110" s="99">
        <f>SUMIFS(K$1:K1097,$C$1:$C1097,$C1110,$F$1:$F1097,$F1110)</f>
        <v>0</v>
      </c>
      <c r="L1110" s="99">
        <f>SUMIFS(L$1:L1097,$C$1:$C1097,$C1110,$F$1:$F1097,$F1110)</f>
        <v>0</v>
      </c>
      <c r="M1110" s="99">
        <f>SUMIFS(M$1:M1097,$C$1:$C1097,$C1110,$F$1:$F1097,$F1110)</f>
        <v>0</v>
      </c>
      <c r="N1110" s="99">
        <f>SUMIFS(N$1:N1097,$C$1:$C1097,$C1110,$F$1:$F1097,$F1110)</f>
        <v>0</v>
      </c>
      <c r="O1110" s="99">
        <f>SUMIFS(O$1:O1097,$C$1:$C1097,$C1110,$F$1:$F1097,$F1110)</f>
        <v>0</v>
      </c>
      <c r="P1110" s="99">
        <f t="shared" si="1122"/>
        <v>0</v>
      </c>
      <c r="Q1110" s="99">
        <f>SUMIFS(Q$1:Q1097,$C$1:$C1097,$C1110,$F$1:$F1097,$F1110)</f>
        <v>0</v>
      </c>
      <c r="R1110" s="99">
        <f>SUMIFS(R$1:R1097,$C$1:$C1097,$C1110,$F$1:$F1097,$F1110)</f>
        <v>0</v>
      </c>
      <c r="S1110" s="99">
        <f>SUMIFS(S$1:S1097,$C$1:$C1097,$C1110,$F$1:$F1097,$F1110)</f>
        <v>0</v>
      </c>
      <c r="T1110" s="99">
        <f>SUMIFS(T$1:T1097,$C$1:$C1097,$C1110,$F$1:$F1097,$F1110)</f>
        <v>0</v>
      </c>
      <c r="U1110" s="99">
        <f t="shared" si="1123"/>
        <v>0</v>
      </c>
      <c r="V1110" s="255" t="str">
        <f t="shared" si="1124"/>
        <v>N/A</v>
      </c>
      <c r="W1110" s="103" t="str">
        <f t="shared" si="1107"/>
        <v>OK</v>
      </c>
      <c r="Y1110" s="476"/>
      <c r="Z1110" s="308"/>
      <c r="AA1110" s="308"/>
      <c r="AB1110" s="308"/>
      <c r="AC1110" s="308"/>
      <c r="AD1110" s="308"/>
      <c r="AE1110" s="308"/>
      <c r="AF1110" s="308"/>
      <c r="AG1110" s="308"/>
      <c r="AH1110" s="308"/>
      <c r="AI1110" s="308"/>
      <c r="AJ1110" s="308"/>
      <c r="AK1110" s="308"/>
      <c r="AL1110" s="308"/>
      <c r="AM1110" s="70"/>
      <c r="AN1110" s="70"/>
      <c r="AO1110" s="70"/>
      <c r="AP1110" s="70"/>
      <c r="AQ1110" s="70"/>
    </row>
    <row r="1111" spans="1:43" s="71" customFormat="1" ht="15" customHeight="1">
      <c r="A1111" s="185" t="s">
        <v>1194</v>
      </c>
      <c r="B1111" s="217" t="str">
        <f t="shared" ref="B1111" si="1140">LEFT(A1111,3)</f>
        <v>125</v>
      </c>
      <c r="C1111" s="217" t="str">
        <f t="shared" ref="C1111" si="1141">RIGHT(A1111,3)</f>
        <v>650</v>
      </c>
      <c r="D1111" s="101">
        <v>0</v>
      </c>
      <c r="E1111" s="101" t="str">
        <f t="shared" ref="E1111" si="1142">B1111&amp;"-"&amp;C1111</f>
        <v>125-650</v>
      </c>
      <c r="F1111" s="294" t="str">
        <f t="shared" ref="F1111" si="1143">MID(A1111,5,5)</f>
        <v>53541</v>
      </c>
      <c r="G1111" s="295" t="str">
        <f>VLOOKUP(F1111,'GL Category'!A:C,3,FALSE)</f>
        <v>Services &amp; other</v>
      </c>
      <c r="H1111" s="98" t="str">
        <f>VLOOKUP(F1111,'GL Category'!A:C,2,FALSE)</f>
        <v>WEBSITE/TECHNOLOGY SERVICES</v>
      </c>
      <c r="I1111" s="99">
        <f>SUMIFS(I$1:I1098,$C$1:$C1098,$C1111,$F$1:$F1098,$F1111)</f>
        <v>0</v>
      </c>
      <c r="J1111" s="99">
        <f>SUMIFS(J$1:J1098,$C$1:$C1098,$C1111,$F$1:$F1098,$F1111)</f>
        <v>0</v>
      </c>
      <c r="K1111" s="99">
        <f>SUMIFS(K$1:K1098,$C$1:$C1098,$C1111,$F$1:$F1098,$F1111)</f>
        <v>0</v>
      </c>
      <c r="L1111" s="99">
        <f>SUMIFS(L$1:L1098,$C$1:$C1098,$C1111,$F$1:$F1098,$F1111)</f>
        <v>0</v>
      </c>
      <c r="M1111" s="99">
        <f>SUMIFS(M$1:M1098,$C$1:$C1098,$C1111,$F$1:$F1098,$F1111)</f>
        <v>0</v>
      </c>
      <c r="N1111" s="99">
        <f>SUMIFS(N$1:N1098,$C$1:$C1098,$C1111,$F$1:$F1098,$F1111)</f>
        <v>0</v>
      </c>
      <c r="O1111" s="99">
        <f>SUMIFS(O$1:O1098,$C$1:$C1098,$C1111,$F$1:$F1098,$F1111)</f>
        <v>0</v>
      </c>
      <c r="P1111" s="99">
        <f t="shared" ref="P1111" si="1144">O1111-M1111</f>
        <v>0</v>
      </c>
      <c r="Q1111" s="99">
        <f>SUMIFS(Q$1:Q1098,$C$1:$C1098,$C1111,$F$1:$F1098,$F1111)</f>
        <v>0</v>
      </c>
      <c r="R1111" s="99">
        <f>SUMIFS(R$1:R1098,$C$1:$C1098,$C1111,$F$1:$F1098,$F1111)</f>
        <v>0</v>
      </c>
      <c r="S1111" s="99">
        <f>SUMIFS(S$1:S1098,$C$1:$C1098,$C1111,$F$1:$F1098,$F1111)</f>
        <v>0</v>
      </c>
      <c r="T1111" s="99">
        <f>SUMIFS(T$1:T1098,$C$1:$C1098,$C1111,$F$1:$F1098,$F1111)</f>
        <v>0</v>
      </c>
      <c r="U1111" s="99">
        <f t="shared" si="1123"/>
        <v>0</v>
      </c>
      <c r="V1111" s="255" t="str">
        <f t="shared" si="1124"/>
        <v>N/A</v>
      </c>
      <c r="W1111" s="103" t="str">
        <f t="shared" si="1107"/>
        <v>OK</v>
      </c>
      <c r="Y1111" s="476"/>
      <c r="Z1111" s="308"/>
      <c r="AA1111" s="308"/>
      <c r="AB1111" s="308"/>
      <c r="AC1111" s="308"/>
      <c r="AD1111" s="308"/>
      <c r="AE1111" s="308"/>
      <c r="AF1111" s="308"/>
      <c r="AG1111" s="308"/>
      <c r="AH1111" s="308"/>
      <c r="AI1111" s="308"/>
      <c r="AJ1111" s="308"/>
      <c r="AK1111" s="308"/>
      <c r="AL1111" s="308"/>
      <c r="AM1111" s="70"/>
      <c r="AN1111" s="70"/>
      <c r="AO1111" s="70"/>
      <c r="AP1111" s="70"/>
      <c r="AQ1111" s="70"/>
    </row>
    <row r="1112" spans="1:43" s="71" customFormat="1" ht="15" customHeight="1">
      <c r="A1112" s="185" t="s">
        <v>1172</v>
      </c>
      <c r="B1112" s="217" t="str">
        <f t="shared" si="1118"/>
        <v>125</v>
      </c>
      <c r="C1112" s="217" t="str">
        <f t="shared" si="1119"/>
        <v>650</v>
      </c>
      <c r="D1112" s="101">
        <v>0</v>
      </c>
      <c r="E1112" s="101" t="str">
        <f t="shared" si="1120"/>
        <v>125-650</v>
      </c>
      <c r="F1112" s="294" t="str">
        <f t="shared" si="1121"/>
        <v>53543</v>
      </c>
      <c r="G1112" s="295" t="str">
        <f>VLOOKUP(F1112,'GL Category'!A:C,3,FALSE)</f>
        <v>Services &amp; other</v>
      </c>
      <c r="H1112" s="98" t="str">
        <f>VLOOKUP(F1112,'GL Category'!A:C,2,FALSE)</f>
        <v>ENGINEERING/DESIGN SERVICES</v>
      </c>
      <c r="I1112" s="99">
        <f>SUMIFS(I$1:I1098,$C$1:$C1098,$C1112,$F$1:$F1098,$F1112)</f>
        <v>0</v>
      </c>
      <c r="J1112" s="99">
        <f>SUMIFS(J$1:J1098,$C$1:$C1098,$C1112,$F$1:$F1098,$F1112)</f>
        <v>0</v>
      </c>
      <c r="K1112" s="99">
        <f>SUMIFS(K$1:K1098,$C$1:$C1098,$C1112,$F$1:$F1098,$F1112)</f>
        <v>0</v>
      </c>
      <c r="L1112" s="99">
        <f>SUMIFS(L$1:L1098,$C$1:$C1098,$C1112,$F$1:$F1098,$F1112)</f>
        <v>0</v>
      </c>
      <c r="M1112" s="99">
        <f>SUMIFS(M$1:M1098,$C$1:$C1098,$C1112,$F$1:$F1098,$F1112)</f>
        <v>0</v>
      </c>
      <c r="N1112" s="99">
        <f>SUMIFS(N$1:N1098,$C$1:$C1098,$C1112,$F$1:$F1098,$F1112)</f>
        <v>0</v>
      </c>
      <c r="O1112" s="99">
        <f>SUMIFS(O$1:O1098,$C$1:$C1098,$C1112,$F$1:$F1098,$F1112)</f>
        <v>0</v>
      </c>
      <c r="P1112" s="99">
        <f t="shared" si="1122"/>
        <v>0</v>
      </c>
      <c r="Q1112" s="99">
        <f>SUMIFS(Q$1:Q1098,$C$1:$C1098,$C1112,$F$1:$F1098,$F1112)</f>
        <v>0</v>
      </c>
      <c r="R1112" s="99">
        <f>SUMIFS(R$1:R1098,$C$1:$C1098,$C1112,$F$1:$F1098,$F1112)</f>
        <v>0</v>
      </c>
      <c r="S1112" s="99">
        <f>SUMIFS(S$1:S1098,$C$1:$C1098,$C1112,$F$1:$F1098,$F1112)</f>
        <v>0</v>
      </c>
      <c r="T1112" s="99">
        <f>SUMIFS(T$1:T1098,$C$1:$C1098,$C1112,$F$1:$F1098,$F1112)</f>
        <v>0</v>
      </c>
      <c r="U1112" s="99">
        <f t="shared" si="1123"/>
        <v>0</v>
      </c>
      <c r="V1112" s="255" t="str">
        <f t="shared" si="1124"/>
        <v>N/A</v>
      </c>
      <c r="W1112" s="103" t="str">
        <f t="shared" si="1107"/>
        <v>OK</v>
      </c>
      <c r="Y1112" s="476"/>
      <c r="Z1112" s="308"/>
      <c r="AA1112" s="308"/>
      <c r="AB1112" s="308"/>
      <c r="AC1112" s="308"/>
      <c r="AD1112" s="308"/>
      <c r="AE1112" s="308"/>
      <c r="AF1112" s="308"/>
      <c r="AG1112" s="308"/>
      <c r="AH1112" s="308"/>
      <c r="AI1112" s="308"/>
      <c r="AJ1112" s="308"/>
      <c r="AK1112" s="308"/>
      <c r="AL1112" s="308"/>
      <c r="AM1112" s="70"/>
      <c r="AN1112" s="70"/>
      <c r="AO1112" s="70"/>
      <c r="AP1112" s="70"/>
      <c r="AQ1112" s="70"/>
    </row>
    <row r="1113" spans="1:43" s="71" customFormat="1" ht="15" customHeight="1">
      <c r="A1113" s="185" t="s">
        <v>1173</v>
      </c>
      <c r="B1113" s="217" t="str">
        <f t="shared" si="1118"/>
        <v>125</v>
      </c>
      <c r="C1113" s="217" t="str">
        <f t="shared" si="1119"/>
        <v>650</v>
      </c>
      <c r="D1113" s="101">
        <v>0</v>
      </c>
      <c r="E1113" s="101" t="str">
        <f t="shared" si="1120"/>
        <v>125-650</v>
      </c>
      <c r="F1113" s="294" t="str">
        <f t="shared" si="1121"/>
        <v>53550</v>
      </c>
      <c r="G1113" s="295" t="str">
        <f>VLOOKUP(F1113,'GL Category'!A:C,3,FALSE)</f>
        <v>Services &amp; other</v>
      </c>
      <c r="H1113" s="98" t="str">
        <f>VLOOKUP(F1113,'GL Category'!A:C,2,FALSE)</f>
        <v>BAD DEBT EXPENSE</v>
      </c>
      <c r="I1113" s="99">
        <f>SUMIFS(I$1:I1099,$C$1:$C1099,$C1113,$F$1:$F1099,$F1113)</f>
        <v>0</v>
      </c>
      <c r="J1113" s="99">
        <f>SUMIFS(J$1:J1099,$C$1:$C1099,$C1113,$F$1:$F1099,$F1113)</f>
        <v>0</v>
      </c>
      <c r="K1113" s="99">
        <f>SUMIFS(K$1:K1099,$C$1:$C1099,$C1113,$F$1:$F1099,$F1113)</f>
        <v>0</v>
      </c>
      <c r="L1113" s="99">
        <f>SUMIFS(L$1:L1099,$C$1:$C1099,$C1113,$F$1:$F1099,$F1113)</f>
        <v>0</v>
      </c>
      <c r="M1113" s="99">
        <f>SUMIFS(M$1:M1099,$C$1:$C1099,$C1113,$F$1:$F1099,$F1113)</f>
        <v>0</v>
      </c>
      <c r="N1113" s="99">
        <f>SUMIFS(N$1:N1099,$C$1:$C1099,$C1113,$F$1:$F1099,$F1113)</f>
        <v>0</v>
      </c>
      <c r="O1113" s="99">
        <f>SUMIFS(O$1:O1099,$C$1:$C1099,$C1113,$F$1:$F1099,$F1113)</f>
        <v>0</v>
      </c>
      <c r="P1113" s="99">
        <f t="shared" si="1122"/>
        <v>0</v>
      </c>
      <c r="Q1113" s="99">
        <f>SUMIFS(Q$1:Q1099,$C$1:$C1099,$C1113,$F$1:$F1099,$F1113)</f>
        <v>0</v>
      </c>
      <c r="R1113" s="99">
        <f>SUMIFS(R$1:R1099,$C$1:$C1099,$C1113,$F$1:$F1099,$F1113)</f>
        <v>0</v>
      </c>
      <c r="S1113" s="99">
        <f>SUMIFS(S$1:S1099,$C$1:$C1099,$C1113,$F$1:$F1099,$F1113)</f>
        <v>0</v>
      </c>
      <c r="T1113" s="99">
        <f>SUMIFS(T$1:T1099,$C$1:$C1099,$C1113,$F$1:$F1099,$F1113)</f>
        <v>0</v>
      </c>
      <c r="U1113" s="99">
        <f t="shared" si="1123"/>
        <v>0</v>
      </c>
      <c r="V1113" s="255" t="str">
        <f t="shared" si="1124"/>
        <v>N/A</v>
      </c>
      <c r="W1113" s="103" t="str">
        <f t="shared" si="1107"/>
        <v>OK</v>
      </c>
      <c r="Y1113" s="476"/>
      <c r="Z1113" s="308"/>
      <c r="AA1113" s="308"/>
      <c r="AB1113" s="308"/>
      <c r="AC1113" s="308"/>
      <c r="AD1113" s="308"/>
      <c r="AE1113" s="308"/>
      <c r="AF1113" s="308"/>
      <c r="AG1113" s="308"/>
      <c r="AH1113" s="308"/>
      <c r="AI1113" s="308"/>
      <c r="AJ1113" s="308"/>
      <c r="AK1113" s="308"/>
      <c r="AL1113" s="308"/>
      <c r="AM1113" s="70"/>
      <c r="AN1113" s="70"/>
      <c r="AO1113" s="70"/>
      <c r="AP1113" s="70"/>
      <c r="AQ1113" s="70"/>
    </row>
    <row r="1114" spans="1:43" s="71" customFormat="1" ht="15" customHeight="1">
      <c r="A1114" s="185" t="s">
        <v>1174</v>
      </c>
      <c r="B1114" s="217" t="str">
        <f t="shared" si="1118"/>
        <v>125</v>
      </c>
      <c r="C1114" s="217" t="str">
        <f t="shared" si="1119"/>
        <v>650</v>
      </c>
      <c r="D1114" s="101">
        <v>0</v>
      </c>
      <c r="E1114" s="101" t="str">
        <f t="shared" si="1120"/>
        <v>125-650</v>
      </c>
      <c r="F1114" s="294" t="str">
        <f t="shared" si="1121"/>
        <v>53551</v>
      </c>
      <c r="G1114" s="295" t="str">
        <f>VLOOKUP(F1114,'GL Category'!A:C,3,FALSE)</f>
        <v>Services &amp; other</v>
      </c>
      <c r="H1114" s="98" t="str">
        <f>VLOOKUP(F1114,'GL Category'!A:C,2,FALSE)</f>
        <v>FREIGHT &amp; EXPRESS SERVICES</v>
      </c>
      <c r="I1114" s="99">
        <f>SUMIFS(I$1:I1101,$C$1:$C1101,$C1114,$F$1:$F1101,$F1114)</f>
        <v>0</v>
      </c>
      <c r="J1114" s="99">
        <f>SUMIFS(J$1:J1101,$C$1:$C1101,$C1114,$F$1:$F1101,$F1114)</f>
        <v>0</v>
      </c>
      <c r="K1114" s="99">
        <f>SUMIFS(K$1:K1101,$C$1:$C1101,$C1114,$F$1:$F1101,$F1114)</f>
        <v>0</v>
      </c>
      <c r="L1114" s="99">
        <f>SUMIFS(L$1:L1101,$C$1:$C1101,$C1114,$F$1:$F1101,$F1114)</f>
        <v>0</v>
      </c>
      <c r="M1114" s="99">
        <f>SUMIFS(M$1:M1101,$C$1:$C1101,$C1114,$F$1:$F1101,$F1114)</f>
        <v>0</v>
      </c>
      <c r="N1114" s="99">
        <f>SUMIFS(N$1:N1101,$C$1:$C1101,$C1114,$F$1:$F1101,$F1114)</f>
        <v>0</v>
      </c>
      <c r="O1114" s="99">
        <f>SUMIFS(O$1:O1101,$C$1:$C1101,$C1114,$F$1:$F1101,$F1114)</f>
        <v>0</v>
      </c>
      <c r="P1114" s="99">
        <f t="shared" si="1122"/>
        <v>0</v>
      </c>
      <c r="Q1114" s="99">
        <f>SUMIFS(Q$1:Q1101,$C$1:$C1101,$C1114,$F$1:$F1101,$F1114)</f>
        <v>0</v>
      </c>
      <c r="R1114" s="99">
        <f>SUMIFS(R$1:R1101,$C$1:$C1101,$C1114,$F$1:$F1101,$F1114)</f>
        <v>0</v>
      </c>
      <c r="S1114" s="99">
        <f>SUMIFS(S$1:S1101,$C$1:$C1101,$C1114,$F$1:$F1101,$F1114)</f>
        <v>0</v>
      </c>
      <c r="T1114" s="99">
        <f>SUMIFS(T$1:T1101,$C$1:$C1101,$C1114,$F$1:$F1101,$F1114)</f>
        <v>0</v>
      </c>
      <c r="U1114" s="99">
        <f t="shared" si="1123"/>
        <v>0</v>
      </c>
      <c r="V1114" s="255" t="str">
        <f t="shared" si="1124"/>
        <v>N/A</v>
      </c>
      <c r="W1114" s="103" t="str">
        <f t="shared" si="1107"/>
        <v>OK</v>
      </c>
      <c r="Y1114" s="476"/>
      <c r="Z1114" s="308"/>
      <c r="AA1114" s="308"/>
      <c r="AB1114" s="308"/>
      <c r="AC1114" s="308"/>
      <c r="AD1114" s="308"/>
      <c r="AE1114" s="308"/>
      <c r="AF1114" s="308"/>
      <c r="AG1114" s="308"/>
      <c r="AH1114" s="308"/>
      <c r="AI1114" s="308"/>
      <c r="AJ1114" s="308"/>
      <c r="AK1114" s="308"/>
      <c r="AL1114" s="308"/>
      <c r="AM1114" s="70"/>
      <c r="AN1114" s="70"/>
      <c r="AO1114" s="70"/>
      <c r="AP1114" s="70"/>
      <c r="AQ1114" s="70"/>
    </row>
    <row r="1115" spans="1:43" s="71" customFormat="1" ht="15" customHeight="1">
      <c r="A1115" s="185" t="s">
        <v>1202</v>
      </c>
      <c r="B1115" s="217" t="str">
        <f t="shared" ref="B1115" si="1145">LEFT(A1115,3)</f>
        <v>125</v>
      </c>
      <c r="C1115" s="217" t="str">
        <f t="shared" ref="C1115" si="1146">RIGHT(A1115,3)</f>
        <v>650</v>
      </c>
      <c r="D1115" s="101">
        <v>0</v>
      </c>
      <c r="E1115" s="101" t="str">
        <f t="shared" ref="E1115" si="1147">B1115&amp;"-"&amp;C1115</f>
        <v>125-650</v>
      </c>
      <c r="F1115" s="294" t="str">
        <f t="shared" ref="F1115" si="1148">MID(A1115,5,5)</f>
        <v>53552</v>
      </c>
      <c r="G1115" s="295" t="str">
        <f>VLOOKUP(F1115,'GL Category'!A:C,3,FALSE)</f>
        <v>Services &amp; other</v>
      </c>
      <c r="H1115" s="98" t="str">
        <f>VLOOKUP(F1115,'GL Category'!A:C,2,FALSE)</f>
        <v>INVESTIGATIVE SERVICES</v>
      </c>
      <c r="I1115" s="99">
        <f>SUMIFS(I$1:I1102,$C$1:$C1102,$C1115,$F$1:$F1102,$F1115)</f>
        <v>0</v>
      </c>
      <c r="J1115" s="99">
        <f>SUMIFS(J$1:J1102,$C$1:$C1102,$C1115,$F$1:$F1102,$F1115)</f>
        <v>0</v>
      </c>
      <c r="K1115" s="99">
        <f>SUMIFS(K$1:K1102,$C$1:$C1102,$C1115,$F$1:$F1102,$F1115)</f>
        <v>0</v>
      </c>
      <c r="L1115" s="99">
        <f>SUMIFS(L$1:L1102,$C$1:$C1102,$C1115,$F$1:$F1102,$F1115)</f>
        <v>0</v>
      </c>
      <c r="M1115" s="99">
        <f>SUMIFS(M$1:M1102,$C$1:$C1102,$C1115,$F$1:$F1102,$F1115)</f>
        <v>0</v>
      </c>
      <c r="N1115" s="99">
        <f>SUMIFS(N$1:N1102,$C$1:$C1102,$C1115,$F$1:$F1102,$F1115)</f>
        <v>0</v>
      </c>
      <c r="O1115" s="99">
        <f>SUMIFS(O$1:O1102,$C$1:$C1102,$C1115,$F$1:$F1102,$F1115)</f>
        <v>0</v>
      </c>
      <c r="P1115" s="99">
        <f t="shared" ref="P1115" si="1149">O1115-M1115</f>
        <v>0</v>
      </c>
      <c r="Q1115" s="99">
        <f>SUMIFS(Q$1:Q1102,$C$1:$C1102,$C1115,$F$1:$F1102,$F1115)</f>
        <v>0</v>
      </c>
      <c r="R1115" s="99">
        <f>SUMIFS(R$1:R1102,$C$1:$C1102,$C1115,$F$1:$F1102,$F1115)</f>
        <v>0</v>
      </c>
      <c r="S1115" s="99">
        <f>SUMIFS(S$1:S1102,$C$1:$C1102,$C1115,$F$1:$F1102,$F1115)</f>
        <v>0</v>
      </c>
      <c r="T1115" s="99">
        <f>SUMIFS(T$1:T1102,$C$1:$C1102,$C1115,$F$1:$F1102,$F1115)</f>
        <v>0</v>
      </c>
      <c r="U1115" s="99">
        <f t="shared" si="1123"/>
        <v>0</v>
      </c>
      <c r="V1115" s="255" t="str">
        <f t="shared" si="1124"/>
        <v>N/A</v>
      </c>
      <c r="W1115" s="103" t="str">
        <f t="shared" si="1107"/>
        <v>OK</v>
      </c>
      <c r="Y1115" s="476"/>
      <c r="Z1115" s="308"/>
      <c r="AA1115" s="308"/>
      <c r="AB1115" s="308"/>
      <c r="AC1115" s="308"/>
      <c r="AD1115" s="308"/>
      <c r="AE1115" s="308"/>
      <c r="AF1115" s="308"/>
      <c r="AG1115" s="308"/>
      <c r="AH1115" s="308"/>
      <c r="AI1115" s="308"/>
      <c r="AJ1115" s="308"/>
      <c r="AK1115" s="308"/>
      <c r="AL1115" s="308"/>
      <c r="AM1115" s="70"/>
      <c r="AN1115" s="70"/>
      <c r="AO1115" s="70"/>
      <c r="AP1115" s="70"/>
      <c r="AQ1115" s="70"/>
    </row>
    <row r="1116" spans="1:43" s="71" customFormat="1" ht="15" customHeight="1">
      <c r="A1116" s="185" t="s">
        <v>1175</v>
      </c>
      <c r="B1116" s="217" t="str">
        <f t="shared" si="1118"/>
        <v>125</v>
      </c>
      <c r="C1116" s="217" t="str">
        <f t="shared" si="1119"/>
        <v>650</v>
      </c>
      <c r="D1116" s="101">
        <v>0</v>
      </c>
      <c r="E1116" s="101" t="str">
        <f t="shared" si="1120"/>
        <v>125-650</v>
      </c>
      <c r="F1116" s="294" t="str">
        <f t="shared" si="1121"/>
        <v>53560</v>
      </c>
      <c r="G1116" s="295" t="str">
        <f>VLOOKUP(F1116,'GL Category'!A:C,3,FALSE)</f>
        <v>Services &amp; other</v>
      </c>
      <c r="H1116" s="98" t="str">
        <f>VLOOKUP(F1116,'GL Category'!A:C,2,FALSE)</f>
        <v>GENERAL INSURANCE</v>
      </c>
      <c r="I1116" s="99">
        <f>SUMIFS(I$1:I1102,$C$1:$C1102,$C1116,$F$1:$F1102,$F1116)</f>
        <v>0</v>
      </c>
      <c r="J1116" s="99">
        <f>SUMIFS(J$1:J1102,$C$1:$C1102,$C1116,$F$1:$F1102,$F1116)</f>
        <v>0</v>
      </c>
      <c r="K1116" s="99">
        <f>SUMIFS(K$1:K1102,$C$1:$C1102,$C1116,$F$1:$F1102,$F1116)</f>
        <v>0</v>
      </c>
      <c r="L1116" s="99">
        <f>SUMIFS(L$1:L1102,$C$1:$C1102,$C1116,$F$1:$F1102,$F1116)</f>
        <v>0</v>
      </c>
      <c r="M1116" s="99">
        <f>SUMIFS(M$1:M1102,$C$1:$C1102,$C1116,$F$1:$F1102,$F1116)</f>
        <v>0</v>
      </c>
      <c r="N1116" s="99">
        <f>SUMIFS(N$1:N1102,$C$1:$C1102,$C1116,$F$1:$F1102,$F1116)</f>
        <v>0</v>
      </c>
      <c r="O1116" s="99">
        <f>SUMIFS(O$1:O1102,$C$1:$C1102,$C1116,$F$1:$F1102,$F1116)</f>
        <v>0</v>
      </c>
      <c r="P1116" s="99">
        <f t="shared" si="1122"/>
        <v>0</v>
      </c>
      <c r="Q1116" s="99">
        <f>SUMIFS(Q$1:Q1102,$C$1:$C1102,$C1116,$F$1:$F1102,$F1116)</f>
        <v>0</v>
      </c>
      <c r="R1116" s="99">
        <f>SUMIFS(R$1:R1102,$C$1:$C1102,$C1116,$F$1:$F1102,$F1116)</f>
        <v>0</v>
      </c>
      <c r="S1116" s="99">
        <f>SUMIFS(S$1:S1102,$C$1:$C1102,$C1116,$F$1:$F1102,$F1116)</f>
        <v>0</v>
      </c>
      <c r="T1116" s="99">
        <f>SUMIFS(T$1:T1102,$C$1:$C1102,$C1116,$F$1:$F1102,$F1116)</f>
        <v>0</v>
      </c>
      <c r="U1116" s="99">
        <f t="shared" si="1123"/>
        <v>0</v>
      </c>
      <c r="V1116" s="255" t="str">
        <f t="shared" si="1124"/>
        <v>N/A</v>
      </c>
      <c r="W1116" s="103" t="str">
        <f t="shared" ref="W1116:W1141" si="1150">IF(T1116=SUM(Q1116:S1116),"OK","NO")</f>
        <v>OK</v>
      </c>
      <c r="Y1116" s="476"/>
      <c r="Z1116" s="308"/>
      <c r="AA1116" s="308"/>
      <c r="AB1116" s="308"/>
      <c r="AC1116" s="308"/>
      <c r="AD1116" s="308"/>
      <c r="AE1116" s="308"/>
      <c r="AF1116" s="308"/>
      <c r="AG1116" s="308"/>
      <c r="AH1116" s="308"/>
      <c r="AI1116" s="308"/>
      <c r="AJ1116" s="308"/>
      <c r="AK1116" s="308"/>
      <c r="AL1116" s="308"/>
      <c r="AM1116" s="70"/>
      <c r="AN1116" s="70"/>
      <c r="AO1116" s="70"/>
      <c r="AP1116" s="70"/>
      <c r="AQ1116" s="70"/>
    </row>
    <row r="1117" spans="1:43" s="71" customFormat="1" ht="15" customHeight="1">
      <c r="A1117" s="185" t="s">
        <v>1176</v>
      </c>
      <c r="B1117" s="217" t="str">
        <f t="shared" si="1118"/>
        <v>125</v>
      </c>
      <c r="C1117" s="217" t="str">
        <f t="shared" si="1119"/>
        <v>650</v>
      </c>
      <c r="D1117" s="101">
        <v>0</v>
      </c>
      <c r="E1117" s="101" t="str">
        <f t="shared" si="1120"/>
        <v>125-650</v>
      </c>
      <c r="F1117" s="294" t="str">
        <f t="shared" si="1121"/>
        <v>53570</v>
      </c>
      <c r="G1117" s="295" t="str">
        <f>VLOOKUP(F1117,'GL Category'!A:C,3,FALSE)</f>
        <v>Services &amp; other</v>
      </c>
      <c r="H1117" s="98" t="str">
        <f>VLOOKUP(F1117,'GL Category'!A:C,2,FALSE)</f>
        <v>TELEPHONE/COMMUNICATIONS</v>
      </c>
      <c r="I1117" s="99">
        <f>SUMIFS(I$1:I1106,$C$1:$C1106,$C1117,$F$1:$F1106,$F1117)</f>
        <v>0</v>
      </c>
      <c r="J1117" s="99">
        <f>SUMIFS(J$1:J1106,$C$1:$C1106,$C1117,$F$1:$F1106,$F1117)</f>
        <v>0</v>
      </c>
      <c r="K1117" s="99">
        <f>SUMIFS(K$1:K1106,$C$1:$C1106,$C1117,$F$1:$F1106,$F1117)</f>
        <v>0</v>
      </c>
      <c r="L1117" s="99">
        <f>SUMIFS(L$1:L1106,$C$1:$C1106,$C1117,$F$1:$F1106,$F1117)</f>
        <v>0</v>
      </c>
      <c r="M1117" s="99">
        <f>SUMIFS(M$1:M1106,$C$1:$C1106,$C1117,$F$1:$F1106,$F1117)</f>
        <v>0</v>
      </c>
      <c r="N1117" s="99">
        <f>SUMIFS(N$1:N1106,$C$1:$C1106,$C1117,$F$1:$F1106,$F1117)</f>
        <v>0</v>
      </c>
      <c r="O1117" s="99">
        <f>SUMIFS(O$1:O1106,$C$1:$C1106,$C1117,$F$1:$F1106,$F1117)</f>
        <v>0</v>
      </c>
      <c r="P1117" s="99">
        <f t="shared" si="1122"/>
        <v>0</v>
      </c>
      <c r="Q1117" s="99">
        <f>SUMIFS(Q$1:Q1106,$C$1:$C1106,$C1117,$F$1:$F1106,$F1117)</f>
        <v>0</v>
      </c>
      <c r="R1117" s="99">
        <f>SUMIFS(R$1:R1106,$C$1:$C1106,$C1117,$F$1:$F1106,$F1117)</f>
        <v>0</v>
      </c>
      <c r="S1117" s="99">
        <f>SUMIFS(S$1:S1106,$C$1:$C1106,$C1117,$F$1:$F1106,$F1117)</f>
        <v>0</v>
      </c>
      <c r="T1117" s="99">
        <f>SUMIFS(T$1:T1106,$C$1:$C1106,$C1117,$F$1:$F1106,$F1117)</f>
        <v>0</v>
      </c>
      <c r="U1117" s="99">
        <f t="shared" si="1123"/>
        <v>0</v>
      </c>
      <c r="V1117" s="255" t="str">
        <f t="shared" si="1124"/>
        <v>N/A</v>
      </c>
      <c r="W1117" s="103" t="str">
        <f t="shared" si="1150"/>
        <v>OK</v>
      </c>
      <c r="Y1117" s="476"/>
      <c r="Z1117" s="308"/>
      <c r="AA1117" s="308"/>
      <c r="AB1117" s="308"/>
      <c r="AC1117" s="308"/>
      <c r="AD1117" s="308"/>
      <c r="AE1117" s="308"/>
      <c r="AF1117" s="308"/>
      <c r="AG1117" s="308"/>
      <c r="AH1117" s="308"/>
      <c r="AI1117" s="308"/>
      <c r="AJ1117" s="308"/>
      <c r="AK1117" s="308"/>
      <c r="AL1117" s="308"/>
      <c r="AM1117" s="70"/>
      <c r="AN1117" s="70"/>
      <c r="AO1117" s="70"/>
      <c r="AP1117" s="70"/>
      <c r="AQ1117" s="70"/>
    </row>
    <row r="1118" spans="1:43" s="71" customFormat="1" ht="15" customHeight="1">
      <c r="A1118" s="185" t="s">
        <v>1177</v>
      </c>
      <c r="B1118" s="217" t="str">
        <f t="shared" si="1118"/>
        <v>125</v>
      </c>
      <c r="C1118" s="217" t="str">
        <f t="shared" si="1119"/>
        <v>650</v>
      </c>
      <c r="D1118" s="101">
        <v>0</v>
      </c>
      <c r="E1118" s="101" t="str">
        <f t="shared" si="1120"/>
        <v>125-650</v>
      </c>
      <c r="F1118" s="294" t="str">
        <f t="shared" si="1121"/>
        <v>53571</v>
      </c>
      <c r="G1118" s="295" t="str">
        <f>VLOOKUP(F1118,'GL Category'!A:C,3,FALSE)</f>
        <v>Services &amp; other</v>
      </c>
      <c r="H1118" s="98" t="str">
        <f>VLOOKUP(F1118,'GL Category'!A:C,2,FALSE)</f>
        <v>NATURAL GAS UTILITY SERVICE</v>
      </c>
      <c r="I1118" s="99">
        <f>SUMIFS(I$1:I1107,$C$1:$C1107,$C1118,$F$1:$F1107,$F1118)</f>
        <v>0</v>
      </c>
      <c r="J1118" s="99">
        <f>SUMIFS(J$1:J1107,$C$1:$C1107,$C1118,$F$1:$F1107,$F1118)</f>
        <v>0</v>
      </c>
      <c r="K1118" s="99">
        <f>SUMIFS(K$1:K1107,$C$1:$C1107,$C1118,$F$1:$F1107,$F1118)</f>
        <v>0</v>
      </c>
      <c r="L1118" s="99">
        <f>SUMIFS(L$1:L1107,$C$1:$C1107,$C1118,$F$1:$F1107,$F1118)</f>
        <v>0</v>
      </c>
      <c r="M1118" s="99">
        <f>SUMIFS(M$1:M1107,$C$1:$C1107,$C1118,$F$1:$F1107,$F1118)</f>
        <v>0</v>
      </c>
      <c r="N1118" s="99">
        <f>SUMIFS(N$1:N1107,$C$1:$C1107,$C1118,$F$1:$F1107,$F1118)</f>
        <v>0</v>
      </c>
      <c r="O1118" s="99">
        <f>SUMIFS(O$1:O1107,$C$1:$C1107,$C1118,$F$1:$F1107,$F1118)</f>
        <v>0</v>
      </c>
      <c r="P1118" s="99">
        <f t="shared" si="1122"/>
        <v>0</v>
      </c>
      <c r="Q1118" s="99">
        <f>SUMIFS(Q$1:Q1107,$C$1:$C1107,$C1118,$F$1:$F1107,$F1118)</f>
        <v>0</v>
      </c>
      <c r="R1118" s="99">
        <f>SUMIFS(R$1:R1107,$C$1:$C1107,$C1118,$F$1:$F1107,$F1118)</f>
        <v>0</v>
      </c>
      <c r="S1118" s="99">
        <f>SUMIFS(S$1:S1107,$C$1:$C1107,$C1118,$F$1:$F1107,$F1118)</f>
        <v>0</v>
      </c>
      <c r="T1118" s="99">
        <f>SUMIFS(T$1:T1107,$C$1:$C1107,$C1118,$F$1:$F1107,$F1118)</f>
        <v>0</v>
      </c>
      <c r="U1118" s="99">
        <f t="shared" si="1123"/>
        <v>0</v>
      </c>
      <c r="V1118" s="255" t="str">
        <f t="shared" si="1124"/>
        <v>N/A</v>
      </c>
      <c r="W1118" s="103" t="str">
        <f t="shared" si="1150"/>
        <v>OK</v>
      </c>
      <c r="Y1118" s="476"/>
      <c r="Z1118" s="308"/>
      <c r="AA1118" s="308"/>
      <c r="AB1118" s="308"/>
      <c r="AC1118" s="308"/>
      <c r="AD1118" s="308"/>
      <c r="AE1118" s="308"/>
      <c r="AF1118" s="308"/>
      <c r="AG1118" s="308"/>
      <c r="AH1118" s="308"/>
      <c r="AI1118" s="308"/>
      <c r="AJ1118" s="308"/>
      <c r="AK1118" s="308"/>
      <c r="AL1118" s="308"/>
      <c r="AM1118" s="70"/>
      <c r="AN1118" s="70"/>
      <c r="AO1118" s="70"/>
      <c r="AP1118" s="70"/>
      <c r="AQ1118" s="70"/>
    </row>
    <row r="1119" spans="1:43" s="71" customFormat="1" ht="15" customHeight="1">
      <c r="A1119" s="185" t="s">
        <v>1178</v>
      </c>
      <c r="B1119" s="217" t="str">
        <f t="shared" si="1118"/>
        <v>125</v>
      </c>
      <c r="C1119" s="217" t="str">
        <f t="shared" si="1119"/>
        <v>650</v>
      </c>
      <c r="D1119" s="101">
        <v>0</v>
      </c>
      <c r="E1119" s="101" t="str">
        <f t="shared" si="1120"/>
        <v>125-650</v>
      </c>
      <c r="F1119" s="294" t="str">
        <f t="shared" si="1121"/>
        <v>53572</v>
      </c>
      <c r="G1119" s="295" t="str">
        <f>VLOOKUP(F1119,'GL Category'!A:C,3,FALSE)</f>
        <v>Services &amp; other</v>
      </c>
      <c r="H1119" s="98" t="str">
        <f>VLOOKUP(F1119,'GL Category'!A:C,2,FALSE)</f>
        <v>ELECTRICAL UTILITY SERVICE</v>
      </c>
      <c r="I1119" s="99">
        <f>SUMIFS(I$1:I1110,$C$1:$C1110,$C1119,$F$1:$F1110,$F1119)</f>
        <v>0</v>
      </c>
      <c r="J1119" s="99">
        <f>SUMIFS(J$1:J1110,$C$1:$C1110,$C1119,$F$1:$F1110,$F1119)</f>
        <v>0</v>
      </c>
      <c r="K1119" s="99">
        <f>SUMIFS(K$1:K1110,$C$1:$C1110,$C1119,$F$1:$F1110,$F1119)</f>
        <v>0</v>
      </c>
      <c r="L1119" s="99">
        <f>SUMIFS(L$1:L1110,$C$1:$C1110,$C1119,$F$1:$F1110,$F1119)</f>
        <v>0</v>
      </c>
      <c r="M1119" s="99">
        <f>SUMIFS(M$1:M1110,$C$1:$C1110,$C1119,$F$1:$F1110,$F1119)</f>
        <v>0</v>
      </c>
      <c r="N1119" s="99">
        <f>SUMIFS(N$1:N1110,$C$1:$C1110,$C1119,$F$1:$F1110,$F1119)</f>
        <v>0</v>
      </c>
      <c r="O1119" s="99">
        <f>SUMIFS(O$1:O1110,$C$1:$C1110,$C1119,$F$1:$F1110,$F1119)</f>
        <v>0</v>
      </c>
      <c r="P1119" s="99">
        <f t="shared" si="1122"/>
        <v>0</v>
      </c>
      <c r="Q1119" s="99">
        <f>SUMIFS(Q$1:Q1110,$C$1:$C1110,$C1119,$F$1:$F1110,$F1119)</f>
        <v>0</v>
      </c>
      <c r="R1119" s="99">
        <f>SUMIFS(R$1:R1110,$C$1:$C1110,$C1119,$F$1:$F1110,$F1119)</f>
        <v>0</v>
      </c>
      <c r="S1119" s="99">
        <f>SUMIFS(S$1:S1110,$C$1:$C1110,$C1119,$F$1:$F1110,$F1119)</f>
        <v>0</v>
      </c>
      <c r="T1119" s="99">
        <f>SUMIFS(T$1:T1110,$C$1:$C1110,$C1119,$F$1:$F1110,$F1119)</f>
        <v>0</v>
      </c>
      <c r="U1119" s="99">
        <f t="shared" si="1123"/>
        <v>0</v>
      </c>
      <c r="V1119" s="255" t="str">
        <f t="shared" si="1124"/>
        <v>N/A</v>
      </c>
      <c r="W1119" s="103" t="str">
        <f t="shared" si="1150"/>
        <v>OK</v>
      </c>
      <c r="Y1119" s="476"/>
      <c r="Z1119" s="308"/>
      <c r="AA1119" s="308"/>
      <c r="AB1119" s="308"/>
      <c r="AC1119" s="308"/>
      <c r="AD1119" s="308"/>
      <c r="AE1119" s="308"/>
      <c r="AF1119" s="308"/>
      <c r="AG1119" s="308"/>
      <c r="AH1119" s="308"/>
      <c r="AI1119" s="308"/>
      <c r="AJ1119" s="308"/>
      <c r="AK1119" s="308"/>
      <c r="AL1119" s="308"/>
      <c r="AM1119" s="70"/>
      <c r="AN1119" s="70"/>
      <c r="AO1119" s="70"/>
      <c r="AP1119" s="70"/>
      <c r="AQ1119" s="70"/>
    </row>
    <row r="1120" spans="1:43" s="71" customFormat="1" ht="15" customHeight="1">
      <c r="A1120" s="185" t="s">
        <v>1179</v>
      </c>
      <c r="B1120" s="217" t="str">
        <f t="shared" si="1118"/>
        <v>125</v>
      </c>
      <c r="C1120" s="217" t="str">
        <f t="shared" si="1119"/>
        <v>650</v>
      </c>
      <c r="D1120" s="101">
        <v>0</v>
      </c>
      <c r="E1120" s="101" t="str">
        <f t="shared" si="1120"/>
        <v>125-650</v>
      </c>
      <c r="F1120" s="294" t="str">
        <f t="shared" si="1121"/>
        <v>53574</v>
      </c>
      <c r="G1120" s="295" t="str">
        <f>VLOOKUP(F1120,'GL Category'!A:C,3,FALSE)</f>
        <v>Services &amp; other</v>
      </c>
      <c r="H1120" s="98" t="str">
        <f>VLOOKUP(F1120,'GL Category'!A:C,2,FALSE)</f>
        <v>WATER/SEWER UTILITY SERVICE</v>
      </c>
      <c r="I1120" s="99">
        <f>SUMIFS(I$1:I1112,$C$1:$C1112,$C1120,$F$1:$F1112,$F1120)</f>
        <v>0</v>
      </c>
      <c r="J1120" s="99">
        <f>SUMIFS(J$1:J1112,$C$1:$C1112,$C1120,$F$1:$F1112,$F1120)</f>
        <v>0</v>
      </c>
      <c r="K1120" s="99">
        <f>SUMIFS(K$1:K1112,$C$1:$C1112,$C1120,$F$1:$F1112,$F1120)</f>
        <v>0</v>
      </c>
      <c r="L1120" s="99">
        <f>SUMIFS(L$1:L1112,$C$1:$C1112,$C1120,$F$1:$F1112,$F1120)</f>
        <v>0</v>
      </c>
      <c r="M1120" s="99">
        <f>SUMIFS(M$1:M1112,$C$1:$C1112,$C1120,$F$1:$F1112,$F1120)</f>
        <v>0</v>
      </c>
      <c r="N1120" s="99">
        <f>SUMIFS(N$1:N1112,$C$1:$C1112,$C1120,$F$1:$F1112,$F1120)</f>
        <v>0</v>
      </c>
      <c r="O1120" s="99">
        <f>SUMIFS(O$1:O1112,$C$1:$C1112,$C1120,$F$1:$F1112,$F1120)</f>
        <v>0</v>
      </c>
      <c r="P1120" s="99">
        <f t="shared" si="1122"/>
        <v>0</v>
      </c>
      <c r="Q1120" s="99">
        <f>SUMIFS(Q$1:Q1112,$C$1:$C1112,$C1120,$F$1:$F1112,$F1120)</f>
        <v>0</v>
      </c>
      <c r="R1120" s="99">
        <f>SUMIFS(R$1:R1112,$C$1:$C1112,$C1120,$F$1:$F1112,$F1120)</f>
        <v>0</v>
      </c>
      <c r="S1120" s="99">
        <f>SUMIFS(S$1:S1112,$C$1:$C1112,$C1120,$F$1:$F1112,$F1120)</f>
        <v>0</v>
      </c>
      <c r="T1120" s="99">
        <f>SUMIFS(T$1:T1112,$C$1:$C1112,$C1120,$F$1:$F1112,$F1120)</f>
        <v>0</v>
      </c>
      <c r="U1120" s="99">
        <f t="shared" si="1123"/>
        <v>0</v>
      </c>
      <c r="V1120" s="255" t="str">
        <f t="shared" si="1124"/>
        <v>N/A</v>
      </c>
      <c r="W1120" s="103" t="str">
        <f t="shared" si="1150"/>
        <v>OK</v>
      </c>
      <c r="Y1120" s="476"/>
      <c r="Z1120" s="308"/>
      <c r="AA1120" s="308"/>
      <c r="AB1120" s="308"/>
      <c r="AC1120" s="308"/>
      <c r="AD1120" s="308"/>
      <c r="AE1120" s="308"/>
      <c r="AF1120" s="308"/>
      <c r="AG1120" s="308"/>
      <c r="AH1120" s="308"/>
      <c r="AI1120" s="308"/>
      <c r="AJ1120" s="308"/>
      <c r="AK1120" s="308"/>
      <c r="AL1120" s="308"/>
      <c r="AM1120" s="70"/>
      <c r="AN1120" s="70"/>
      <c r="AO1120" s="70"/>
      <c r="AP1120" s="70"/>
      <c r="AQ1120" s="70"/>
    </row>
    <row r="1121" spans="1:43" s="71" customFormat="1" ht="15" customHeight="1">
      <c r="A1121" s="185" t="s">
        <v>1201</v>
      </c>
      <c r="B1121" s="217" t="str">
        <f t="shared" ref="B1121" si="1151">LEFT(A1121,3)</f>
        <v>125</v>
      </c>
      <c r="C1121" s="217" t="str">
        <f t="shared" ref="C1121" si="1152">RIGHT(A1121,3)</f>
        <v>650</v>
      </c>
      <c r="D1121" s="101">
        <v>0</v>
      </c>
      <c r="E1121" s="101" t="str">
        <f t="shared" ref="E1121" si="1153">B1121&amp;"-"&amp;C1121</f>
        <v>125-650</v>
      </c>
      <c r="F1121" s="294" t="str">
        <f t="shared" ref="F1121" si="1154">MID(A1121,5,5)</f>
        <v>53584</v>
      </c>
      <c r="G1121" s="295" t="e">
        <f>VLOOKUP(F1121,'GL Category'!A:C,3,FALSE)</f>
        <v>#N/A</v>
      </c>
      <c r="H1121" s="98" t="e">
        <f>VLOOKUP(F1121,'GL Category'!A:C,2,FALSE)</f>
        <v>#N/A</v>
      </c>
      <c r="I1121" s="99">
        <f>SUMIFS(I$1:I1112,$C$1:$C1112,$C1121,$F$1:$F1112,$F1121)</f>
        <v>0</v>
      </c>
      <c r="J1121" s="99">
        <f>SUMIFS(J$1:J1112,$C$1:$C1112,$C1121,$F$1:$F1112,$F1121)</f>
        <v>0</v>
      </c>
      <c r="K1121" s="99">
        <f>SUMIFS(K$1:K1112,$C$1:$C1112,$C1121,$F$1:$F1112,$F1121)</f>
        <v>0</v>
      </c>
      <c r="L1121" s="99">
        <f>SUMIFS(L$1:L1112,$C$1:$C1112,$C1121,$F$1:$F1112,$F1121)</f>
        <v>0</v>
      </c>
      <c r="M1121" s="99">
        <f>SUMIFS(M$1:M1112,$C$1:$C1112,$C1121,$F$1:$F1112,$F1121)</f>
        <v>0</v>
      </c>
      <c r="N1121" s="99">
        <f>SUMIFS(N$1:N1112,$C$1:$C1112,$C1121,$F$1:$F1112,$F1121)</f>
        <v>0</v>
      </c>
      <c r="O1121" s="99">
        <f>SUMIFS(O$1:O1112,$C$1:$C1112,$C1121,$F$1:$F1112,$F1121)</f>
        <v>0</v>
      </c>
      <c r="P1121" s="99">
        <f t="shared" ref="P1121" si="1155">O1121-M1121</f>
        <v>0</v>
      </c>
      <c r="Q1121" s="99">
        <f>SUMIFS(Q$1:Q1112,$C$1:$C1112,$C1121,$F$1:$F1112,$F1121)</f>
        <v>0</v>
      </c>
      <c r="R1121" s="99">
        <f>SUMIFS(R$1:R1112,$C$1:$C1112,$C1121,$F$1:$F1112,$F1121)</f>
        <v>0</v>
      </c>
      <c r="S1121" s="99">
        <f>SUMIFS(S$1:S1112,$C$1:$C1112,$C1121,$F$1:$F1112,$F1121)</f>
        <v>0</v>
      </c>
      <c r="T1121" s="99">
        <f>SUMIFS(T$1:T1112,$C$1:$C1112,$C1121,$F$1:$F1112,$F1121)</f>
        <v>0</v>
      </c>
      <c r="U1121" s="99">
        <f t="shared" si="1123"/>
        <v>0</v>
      </c>
      <c r="V1121" s="255" t="str">
        <f t="shared" si="1124"/>
        <v>N/A</v>
      </c>
      <c r="W1121" s="103" t="str">
        <f t="shared" si="1150"/>
        <v>OK</v>
      </c>
      <c r="Y1121" s="476"/>
      <c r="Z1121" s="308"/>
      <c r="AA1121" s="308"/>
      <c r="AB1121" s="308"/>
      <c r="AC1121" s="308"/>
      <c r="AD1121" s="308"/>
      <c r="AE1121" s="308"/>
      <c r="AF1121" s="308"/>
      <c r="AG1121" s="308"/>
      <c r="AH1121" s="308"/>
      <c r="AI1121" s="308"/>
      <c r="AJ1121" s="308"/>
      <c r="AK1121" s="308"/>
      <c r="AL1121" s="308"/>
      <c r="AM1121" s="70"/>
      <c r="AN1121" s="70"/>
      <c r="AO1121" s="70"/>
      <c r="AP1121" s="70"/>
      <c r="AQ1121" s="70"/>
    </row>
    <row r="1122" spans="1:43" s="71" customFormat="1" ht="15" customHeight="1">
      <c r="A1122" s="185" t="s">
        <v>1180</v>
      </c>
      <c r="B1122" s="217" t="str">
        <f t="shared" si="1118"/>
        <v>125</v>
      </c>
      <c r="C1122" s="217" t="str">
        <f t="shared" si="1119"/>
        <v>650</v>
      </c>
      <c r="D1122" s="101">
        <v>0</v>
      </c>
      <c r="E1122" s="101" t="str">
        <f t="shared" si="1120"/>
        <v>125-650</v>
      </c>
      <c r="F1122" s="294" t="str">
        <f t="shared" si="1121"/>
        <v>53585</v>
      </c>
      <c r="G1122" s="295" t="str">
        <f>VLOOKUP(F1122,'GL Category'!A:C,3,FALSE)</f>
        <v>Services &amp; other</v>
      </c>
      <c r="H1122" s="98" t="str">
        <f>VLOOKUP(F1122,'GL Category'!A:C,2,FALSE)</f>
        <v>BANKING SERVICES CHARGES</v>
      </c>
      <c r="I1122" s="99">
        <f>SUMIFS(I$1:I1113,$C$1:$C1113,$C1122,$F$1:$F1113,$F1122)</f>
        <v>0</v>
      </c>
      <c r="J1122" s="99">
        <f>SUMIFS(J$1:J1113,$C$1:$C1113,$C1122,$F$1:$F1113,$F1122)</f>
        <v>0</v>
      </c>
      <c r="K1122" s="99">
        <f>SUMIFS(K$1:K1113,$C$1:$C1113,$C1122,$F$1:$F1113,$F1122)</f>
        <v>0</v>
      </c>
      <c r="L1122" s="99">
        <f>SUMIFS(L$1:L1113,$C$1:$C1113,$C1122,$F$1:$F1113,$F1122)</f>
        <v>0</v>
      </c>
      <c r="M1122" s="99">
        <f>SUMIFS(M$1:M1113,$C$1:$C1113,$C1122,$F$1:$F1113,$F1122)</f>
        <v>0</v>
      </c>
      <c r="N1122" s="99">
        <f>SUMIFS(N$1:N1113,$C$1:$C1113,$C1122,$F$1:$F1113,$F1122)</f>
        <v>0</v>
      </c>
      <c r="O1122" s="99">
        <f>SUMIFS(O$1:O1113,$C$1:$C1113,$C1122,$F$1:$F1113,$F1122)</f>
        <v>0</v>
      </c>
      <c r="P1122" s="99">
        <f t="shared" si="1122"/>
        <v>0</v>
      </c>
      <c r="Q1122" s="99">
        <f>SUMIFS(Q$1:Q1113,$C$1:$C1113,$C1122,$F$1:$F1113,$F1122)</f>
        <v>0</v>
      </c>
      <c r="R1122" s="99">
        <f>SUMIFS(R$1:R1113,$C$1:$C1113,$C1122,$F$1:$F1113,$F1122)</f>
        <v>0</v>
      </c>
      <c r="S1122" s="99">
        <f>SUMIFS(S$1:S1113,$C$1:$C1113,$C1122,$F$1:$F1113,$F1122)</f>
        <v>0</v>
      </c>
      <c r="T1122" s="99">
        <f>SUMIFS(T$1:T1113,$C$1:$C1113,$C1122,$F$1:$F1113,$F1122)</f>
        <v>0</v>
      </c>
      <c r="U1122" s="99">
        <f t="shared" si="1123"/>
        <v>0</v>
      </c>
      <c r="V1122" s="255" t="str">
        <f t="shared" si="1124"/>
        <v>N/A</v>
      </c>
      <c r="W1122" s="103" t="str">
        <f t="shared" si="1150"/>
        <v>OK</v>
      </c>
      <c r="Y1122" s="476"/>
      <c r="Z1122" s="308"/>
      <c r="AA1122" s="308"/>
      <c r="AB1122" s="308"/>
      <c r="AC1122" s="308"/>
      <c r="AD1122" s="308"/>
      <c r="AE1122" s="308"/>
      <c r="AF1122" s="308"/>
      <c r="AG1122" s="308"/>
      <c r="AH1122" s="308"/>
      <c r="AI1122" s="308"/>
      <c r="AJ1122" s="308"/>
      <c r="AK1122" s="308"/>
      <c r="AL1122" s="308"/>
      <c r="AM1122" s="70"/>
      <c r="AN1122" s="70"/>
      <c r="AO1122" s="70"/>
      <c r="AP1122" s="70"/>
      <c r="AQ1122" s="70"/>
    </row>
    <row r="1123" spans="1:43" s="71" customFormat="1" ht="15" customHeight="1">
      <c r="A1123" s="185" t="s">
        <v>1181</v>
      </c>
      <c r="B1123" s="217" t="str">
        <f t="shared" si="1118"/>
        <v>125</v>
      </c>
      <c r="C1123" s="217" t="str">
        <f t="shared" si="1119"/>
        <v>650</v>
      </c>
      <c r="D1123" s="101">
        <v>0</v>
      </c>
      <c r="E1123" s="101" t="str">
        <f t="shared" si="1120"/>
        <v>125-650</v>
      </c>
      <c r="F1123" s="294" t="str">
        <f t="shared" si="1121"/>
        <v>55590</v>
      </c>
      <c r="G1123" s="295" t="e">
        <f>VLOOKUP(F1123,'GL Category'!A:C,3,FALSE)</f>
        <v>#N/A</v>
      </c>
      <c r="H1123" s="98" t="e">
        <f>VLOOKUP(F1123,'GL Category'!A:C,2,FALSE)</f>
        <v>#N/A</v>
      </c>
      <c r="I1123" s="99">
        <f>SUMIFS(I$1:I1114,$C$1:$C1114,$C1123,$F$1:$F1114,$F1123)</f>
        <v>0</v>
      </c>
      <c r="J1123" s="99">
        <f>SUMIFS(J$1:J1114,$C$1:$C1114,$C1123,$F$1:$F1114,$F1123)</f>
        <v>0</v>
      </c>
      <c r="K1123" s="99">
        <f>SUMIFS(K$1:K1114,$C$1:$C1114,$C1123,$F$1:$F1114,$F1123)</f>
        <v>0</v>
      </c>
      <c r="L1123" s="99">
        <f>SUMIFS(L$1:L1114,$C$1:$C1114,$C1123,$F$1:$F1114,$F1123)</f>
        <v>0</v>
      </c>
      <c r="M1123" s="99">
        <f>SUMIFS(M$1:M1114,$C$1:$C1114,$C1123,$F$1:$F1114,$F1123)</f>
        <v>0</v>
      </c>
      <c r="N1123" s="99">
        <f>SUMIFS(N$1:N1114,$C$1:$C1114,$C1123,$F$1:$F1114,$F1123)</f>
        <v>0</v>
      </c>
      <c r="O1123" s="99">
        <f>SUMIFS(O$1:O1114,$C$1:$C1114,$C1123,$F$1:$F1114,$F1123)</f>
        <v>0</v>
      </c>
      <c r="P1123" s="99">
        <f t="shared" si="1122"/>
        <v>0</v>
      </c>
      <c r="Q1123" s="99">
        <f>SUMIFS(Q$1:Q1114,$C$1:$C1114,$C1123,$F$1:$F1114,$F1123)</f>
        <v>0</v>
      </c>
      <c r="R1123" s="99">
        <f>SUMIFS(R$1:R1114,$C$1:$C1114,$C1123,$F$1:$F1114,$F1123)</f>
        <v>0</v>
      </c>
      <c r="S1123" s="99">
        <f>SUMIFS(S$1:S1114,$C$1:$C1114,$C1123,$F$1:$F1114,$F1123)</f>
        <v>0</v>
      </c>
      <c r="T1123" s="99">
        <f>SUMIFS(T$1:T1114,$C$1:$C1114,$C1123,$F$1:$F1114,$F1123)</f>
        <v>0</v>
      </c>
      <c r="U1123" s="99">
        <f t="shared" si="1123"/>
        <v>0</v>
      </c>
      <c r="V1123" s="255" t="str">
        <f t="shared" si="1124"/>
        <v>N/A</v>
      </c>
      <c r="W1123" s="103" t="str">
        <f t="shared" si="1150"/>
        <v>OK</v>
      </c>
      <c r="Y1123" s="476"/>
      <c r="Z1123" s="308"/>
      <c r="AA1123" s="308"/>
      <c r="AB1123" s="308"/>
      <c r="AC1123" s="308"/>
      <c r="AD1123" s="308"/>
      <c r="AE1123" s="308"/>
      <c r="AF1123" s="308"/>
      <c r="AG1123" s="308"/>
      <c r="AH1123" s="308"/>
      <c r="AI1123" s="308"/>
      <c r="AJ1123" s="308"/>
      <c r="AK1123" s="308"/>
      <c r="AL1123" s="308"/>
      <c r="AM1123" s="70"/>
      <c r="AN1123" s="70"/>
      <c r="AO1123" s="70"/>
      <c r="AP1123" s="70"/>
      <c r="AQ1123" s="70"/>
    </row>
    <row r="1124" spans="1:43" s="71" customFormat="1" ht="15" customHeight="1">
      <c r="A1124" s="185" t="s">
        <v>1182</v>
      </c>
      <c r="B1124" s="217" t="str">
        <f t="shared" si="1118"/>
        <v>125</v>
      </c>
      <c r="C1124" s="217" t="str">
        <f t="shared" si="1119"/>
        <v>650</v>
      </c>
      <c r="D1124" s="101">
        <v>0</v>
      </c>
      <c r="E1124" s="101" t="str">
        <f t="shared" si="1120"/>
        <v>125-650</v>
      </c>
      <c r="F1124" s="294" t="str">
        <f t="shared" si="1121"/>
        <v>55591</v>
      </c>
      <c r="G1124" s="295" t="e">
        <f>VLOOKUP(F1124,'GL Category'!A:C,3,FALSE)</f>
        <v>#N/A</v>
      </c>
      <c r="H1124" s="98" t="e">
        <f>VLOOKUP(F1124,'GL Category'!A:C,2,FALSE)</f>
        <v>#N/A</v>
      </c>
      <c r="I1124" s="99">
        <f>SUMIFS(I$1:I1116,$C$1:$C1116,$C1124,$F$1:$F1116,$F1124)</f>
        <v>0</v>
      </c>
      <c r="J1124" s="99">
        <f>SUMIFS(J$1:J1116,$C$1:$C1116,$C1124,$F$1:$F1116,$F1124)</f>
        <v>0</v>
      </c>
      <c r="K1124" s="99">
        <f>SUMIFS(K$1:K1116,$C$1:$C1116,$C1124,$F$1:$F1116,$F1124)</f>
        <v>0</v>
      </c>
      <c r="L1124" s="99">
        <f>SUMIFS(L$1:L1116,$C$1:$C1116,$C1124,$F$1:$F1116,$F1124)</f>
        <v>0</v>
      </c>
      <c r="M1124" s="99">
        <f>SUMIFS(M$1:M1116,$C$1:$C1116,$C1124,$F$1:$F1116,$F1124)</f>
        <v>0</v>
      </c>
      <c r="N1124" s="99">
        <f>SUMIFS(N$1:N1116,$C$1:$C1116,$C1124,$F$1:$F1116,$F1124)</f>
        <v>0</v>
      </c>
      <c r="O1124" s="99">
        <f>SUMIFS(O$1:O1116,$C$1:$C1116,$C1124,$F$1:$F1116,$F1124)</f>
        <v>0</v>
      </c>
      <c r="P1124" s="99">
        <f t="shared" si="1122"/>
        <v>0</v>
      </c>
      <c r="Q1124" s="99">
        <f>SUMIFS(Q$1:Q1116,$C$1:$C1116,$C1124,$F$1:$F1116,$F1124)</f>
        <v>0</v>
      </c>
      <c r="R1124" s="99">
        <f>SUMIFS(R$1:R1116,$C$1:$C1116,$C1124,$F$1:$F1116,$F1124)</f>
        <v>0</v>
      </c>
      <c r="S1124" s="99">
        <f>SUMIFS(S$1:S1116,$C$1:$C1116,$C1124,$F$1:$F1116,$F1124)</f>
        <v>0</v>
      </c>
      <c r="T1124" s="99">
        <f>SUMIFS(T$1:T1116,$C$1:$C1116,$C1124,$F$1:$F1116,$F1124)</f>
        <v>0</v>
      </c>
      <c r="U1124" s="99">
        <f t="shared" si="1123"/>
        <v>0</v>
      </c>
      <c r="V1124" s="255" t="str">
        <f t="shared" si="1124"/>
        <v>N/A</v>
      </c>
      <c r="W1124" s="103" t="str">
        <f t="shared" si="1150"/>
        <v>OK</v>
      </c>
      <c r="Y1124" s="476"/>
      <c r="Z1124" s="308"/>
      <c r="AA1124" s="308"/>
      <c r="AB1124" s="308"/>
      <c r="AC1124" s="308"/>
      <c r="AD1124" s="308"/>
      <c r="AE1124" s="308"/>
      <c r="AF1124" s="308"/>
      <c r="AG1124" s="308"/>
      <c r="AH1124" s="308"/>
      <c r="AI1124" s="308"/>
      <c r="AJ1124" s="308"/>
      <c r="AK1124" s="308"/>
      <c r="AL1124" s="308"/>
      <c r="AM1124" s="70"/>
      <c r="AN1124" s="70"/>
      <c r="AO1124" s="70"/>
      <c r="AP1124" s="70"/>
      <c r="AQ1124" s="70"/>
    </row>
    <row r="1125" spans="1:43" s="71" customFormat="1" ht="15" customHeight="1">
      <c r="A1125" s="297"/>
      <c r="B1125" s="217"/>
      <c r="C1125" s="217"/>
      <c r="D1125" s="101"/>
      <c r="E1125" s="101"/>
      <c r="F1125" s="294"/>
      <c r="G1125" s="295"/>
      <c r="H1125" s="107" t="e">
        <f>UPPER(G1124)&amp;" TOTAL"</f>
        <v>#N/A</v>
      </c>
      <c r="I1125" s="108">
        <f t="shared" ref="I1125" si="1156">SUBTOTAL(9,I1096:I1124)</f>
        <v>0</v>
      </c>
      <c r="J1125" s="108">
        <f t="shared" ref="J1125:T1125" si="1157">SUBTOTAL(9,J1096:J1124)</f>
        <v>0</v>
      </c>
      <c r="K1125" s="108">
        <f t="shared" ref="K1125" si="1158">SUBTOTAL(9,K1096:K1124)</f>
        <v>0</v>
      </c>
      <c r="L1125" s="108">
        <f t="shared" ref="L1125" si="1159">SUBTOTAL(9,L1096:L1124)</f>
        <v>0</v>
      </c>
      <c r="M1125" s="108">
        <f t="shared" si="1157"/>
        <v>0</v>
      </c>
      <c r="N1125" s="108">
        <f t="shared" ref="N1125" si="1160">SUBTOTAL(9,N1096:N1124)</f>
        <v>0</v>
      </c>
      <c r="O1125" s="108">
        <f t="shared" si="1157"/>
        <v>0</v>
      </c>
      <c r="P1125" s="108">
        <f t="shared" si="1157"/>
        <v>0</v>
      </c>
      <c r="Q1125" s="108">
        <f t="shared" si="1157"/>
        <v>0</v>
      </c>
      <c r="R1125" s="108">
        <f t="shared" si="1157"/>
        <v>0</v>
      </c>
      <c r="S1125" s="108">
        <f t="shared" si="1157"/>
        <v>0</v>
      </c>
      <c r="T1125" s="108">
        <f t="shared" si="1157"/>
        <v>0</v>
      </c>
      <c r="U1125" s="99">
        <f t="shared" si="1123"/>
        <v>0</v>
      </c>
      <c r="V1125" s="255" t="str">
        <f t="shared" si="1124"/>
        <v>N/A</v>
      </c>
      <c r="W1125" s="103" t="str">
        <f t="shared" si="1150"/>
        <v>OK</v>
      </c>
      <c r="Y1125" s="476"/>
      <c r="Z1125" s="308"/>
      <c r="AA1125" s="308"/>
      <c r="AB1125" s="308"/>
      <c r="AC1125" s="308"/>
      <c r="AD1125" s="308"/>
      <c r="AE1125" s="308"/>
      <c r="AF1125" s="308"/>
      <c r="AG1125" s="308"/>
      <c r="AH1125" s="308"/>
      <c r="AI1125" s="308"/>
      <c r="AJ1125" s="308"/>
      <c r="AK1125" s="308"/>
      <c r="AL1125" s="308"/>
      <c r="AM1125" s="70"/>
      <c r="AN1125" s="70"/>
      <c r="AO1125" s="70"/>
      <c r="AP1125" s="70"/>
      <c r="AQ1125" s="70"/>
    </row>
    <row r="1126" spans="1:43" s="71" customFormat="1" ht="15" customHeight="1">
      <c r="A1126" s="297"/>
      <c r="B1126" s="217"/>
      <c r="C1126" s="217"/>
      <c r="D1126" s="101"/>
      <c r="E1126" s="101"/>
      <c r="F1126" s="294"/>
      <c r="G1126" s="295"/>
      <c r="H1126" s="232"/>
      <c r="I1126" s="233"/>
      <c r="J1126" s="233"/>
      <c r="K1126" s="233"/>
      <c r="L1126" s="233"/>
      <c r="M1126" s="233"/>
      <c r="N1126" s="233"/>
      <c r="O1126" s="233"/>
      <c r="P1126" s="233"/>
      <c r="Q1126" s="233"/>
      <c r="R1126" s="233"/>
      <c r="S1126" s="233"/>
      <c r="T1126" s="233"/>
      <c r="U1126" s="99"/>
      <c r="V1126" s="255"/>
      <c r="W1126" s="103" t="str">
        <f t="shared" si="1150"/>
        <v>OK</v>
      </c>
      <c r="Y1126" s="476"/>
      <c r="Z1126" s="308"/>
      <c r="AA1126" s="308"/>
      <c r="AB1126" s="308"/>
      <c r="AC1126" s="308"/>
      <c r="AD1126" s="308"/>
      <c r="AE1126" s="308"/>
      <c r="AF1126" s="308"/>
      <c r="AG1126" s="308"/>
      <c r="AH1126" s="308"/>
      <c r="AI1126" s="308"/>
      <c r="AJ1126" s="308"/>
      <c r="AK1126" s="308"/>
      <c r="AL1126" s="308"/>
      <c r="AM1126" s="70"/>
      <c r="AN1126" s="70"/>
      <c r="AO1126" s="70"/>
      <c r="AP1126" s="70"/>
      <c r="AQ1126" s="70"/>
    </row>
    <row r="1127" spans="1:43" s="71" customFormat="1" ht="15" customHeight="1">
      <c r="A1127" s="185" t="s">
        <v>1183</v>
      </c>
      <c r="B1127" s="217" t="str">
        <f>LEFT(A1127,3)</f>
        <v>125</v>
      </c>
      <c r="C1127" s="217" t="str">
        <f>RIGHT(A1127,3)</f>
        <v>650</v>
      </c>
      <c r="D1127" s="101">
        <v>0</v>
      </c>
      <c r="E1127" s="101" t="str">
        <f>B1127&amp;"-"&amp;C1127</f>
        <v>125-650</v>
      </c>
      <c r="F1127" s="294" t="str">
        <f>MID(A1127,5,5)</f>
        <v>58828</v>
      </c>
      <c r="G1127" s="295" t="str">
        <f>VLOOKUP(F1127,'GL Category'!A:C,3,FALSE)</f>
        <v>Capital Outlay</v>
      </c>
      <c r="H1127" s="98" t="str">
        <f>VLOOKUP(F1127,'GL Category'!A:C,2,FALSE)</f>
        <v>BUILDINGS &amp; IMPROVEMENTS</v>
      </c>
      <c r="I1127" s="99">
        <f>SUMIFS(I$1:I1119,$C$1:$C1119,$C1127,$F$1:$F1119,$F1127)</f>
        <v>0</v>
      </c>
      <c r="J1127" s="99">
        <f>SUMIFS(J$1:J1119,$C$1:$C1119,$C1127,$F$1:$F1119,$F1127)</f>
        <v>0</v>
      </c>
      <c r="K1127" s="99">
        <f>SUMIFS(K$1:K1119,$C$1:$C1119,$C1127,$F$1:$F1119,$F1127)</f>
        <v>0</v>
      </c>
      <c r="L1127" s="99">
        <f>SUMIFS(L$1:L1119,$C$1:$C1119,$C1127,$F$1:$F1119,$F1127)</f>
        <v>0</v>
      </c>
      <c r="M1127" s="99">
        <f>SUMIFS(M$1:M1119,$C$1:$C1119,$C1127,$F$1:$F1119,$F1127)</f>
        <v>0</v>
      </c>
      <c r="N1127" s="99">
        <f>SUMIFS(N$1:N1119,$C$1:$C1119,$C1127,$F$1:$F1119,$F1127)</f>
        <v>0</v>
      </c>
      <c r="O1127" s="99">
        <f>SUMIFS(O$1:O1119,$C$1:$C1119,$C1127,$F$1:$F1119,$F1127)</f>
        <v>0</v>
      </c>
      <c r="P1127" s="99">
        <f>O1127-M1127</f>
        <v>0</v>
      </c>
      <c r="Q1127" s="99">
        <f>SUMIFS(Q$1:Q1119,$C$1:$C1119,$C1127,$F$1:$F1119,$F1127)</f>
        <v>0</v>
      </c>
      <c r="R1127" s="99">
        <f>SUMIFS(R$1:R1119,$C$1:$C1119,$C1127,$F$1:$F1119,$F1127)</f>
        <v>0</v>
      </c>
      <c r="S1127" s="99">
        <f>SUMIFS(S$1:S1119,$C$1:$C1119,$C1127,$F$1:$F1119,$F1127)</f>
        <v>0</v>
      </c>
      <c r="T1127" s="99">
        <f>SUMIFS(T$1:T1119,$C$1:$C1119,$C1127,$F$1:$F1119,$F1127)</f>
        <v>0</v>
      </c>
      <c r="U1127" s="99">
        <f t="shared" ref="U1127:U1132" si="1161">T1127-M1127</f>
        <v>0</v>
      </c>
      <c r="V1127" s="255" t="str">
        <f t="shared" ref="V1127:V1132" si="1162">IF(M1127=0,"N/A",T1127/M1127-1)</f>
        <v>N/A</v>
      </c>
      <c r="W1127" s="103" t="str">
        <f t="shared" si="1150"/>
        <v>OK</v>
      </c>
      <c r="Y1127" s="476"/>
      <c r="Z1127" s="308"/>
      <c r="AA1127" s="308"/>
      <c r="AB1127" s="308"/>
      <c r="AC1127" s="308"/>
      <c r="AD1127" s="308"/>
      <c r="AE1127" s="308"/>
      <c r="AF1127" s="308"/>
      <c r="AG1127" s="308"/>
      <c r="AH1127" s="308"/>
      <c r="AI1127" s="308"/>
      <c r="AJ1127" s="308"/>
      <c r="AK1127" s="308"/>
      <c r="AL1127" s="308"/>
      <c r="AM1127" s="70"/>
      <c r="AN1127" s="70"/>
      <c r="AO1127" s="70"/>
      <c r="AP1127" s="70"/>
      <c r="AQ1127" s="70"/>
    </row>
    <row r="1128" spans="1:43" s="71" customFormat="1" ht="15" customHeight="1">
      <c r="A1128" s="185" t="s">
        <v>1184</v>
      </c>
      <c r="B1128" s="217" t="str">
        <f>LEFT(A1128,3)</f>
        <v>125</v>
      </c>
      <c r="C1128" s="217" t="str">
        <f>RIGHT(A1128,3)</f>
        <v>650</v>
      </c>
      <c r="D1128" s="101">
        <v>0</v>
      </c>
      <c r="E1128" s="101" t="str">
        <f>B1128&amp;"-"&amp;C1128</f>
        <v>125-650</v>
      </c>
      <c r="F1128" s="294" t="str">
        <f>MID(A1128,5,5)</f>
        <v>58830</v>
      </c>
      <c r="G1128" s="295" t="str">
        <f>VLOOKUP(F1128,'GL Category'!A:C,3,FALSE)</f>
        <v>Capital Outlay</v>
      </c>
      <c r="H1128" s="98" t="str">
        <f>VLOOKUP(F1128,'GL Category'!A:C,2,FALSE)</f>
        <v>MACHINERY &amp; EQUIPMENT</v>
      </c>
      <c r="I1128" s="99">
        <f>SUMIFS(I$1:I1120,$C$1:$C1120,$C1128,$F$1:$F1120,$F1128)</f>
        <v>0</v>
      </c>
      <c r="J1128" s="99">
        <f>SUMIFS(J$1:J1120,$C$1:$C1120,$C1128,$F$1:$F1120,$F1128)</f>
        <v>0</v>
      </c>
      <c r="K1128" s="99">
        <f>SUMIFS(K$1:K1120,$C$1:$C1120,$C1128,$F$1:$F1120,$F1128)</f>
        <v>0</v>
      </c>
      <c r="L1128" s="99">
        <f>SUMIFS(L$1:L1120,$C$1:$C1120,$C1128,$F$1:$F1120,$F1128)</f>
        <v>0</v>
      </c>
      <c r="M1128" s="99">
        <f>SUMIFS(M$1:M1120,$C$1:$C1120,$C1128,$F$1:$F1120,$F1128)</f>
        <v>0</v>
      </c>
      <c r="N1128" s="99">
        <f>SUMIFS(N$1:N1120,$C$1:$C1120,$C1128,$F$1:$F1120,$F1128)</f>
        <v>0</v>
      </c>
      <c r="O1128" s="99">
        <f>SUMIFS(O$1:O1120,$C$1:$C1120,$C1128,$F$1:$F1120,$F1128)</f>
        <v>0</v>
      </c>
      <c r="P1128" s="99">
        <f>O1128-M1128</f>
        <v>0</v>
      </c>
      <c r="Q1128" s="99">
        <f>SUMIFS(Q$1:Q1120,$C$1:$C1120,$C1128,$F$1:$F1120,$F1128)</f>
        <v>0</v>
      </c>
      <c r="R1128" s="99">
        <f>SUMIFS(R$1:R1120,$C$1:$C1120,$C1128,$F$1:$F1120,$F1128)</f>
        <v>0</v>
      </c>
      <c r="S1128" s="99">
        <f>SUMIFS(S$1:S1120,$C$1:$C1120,$C1128,$F$1:$F1120,$F1128)</f>
        <v>0</v>
      </c>
      <c r="T1128" s="99">
        <f>SUMIFS(T$1:T1120,$C$1:$C1120,$C1128,$F$1:$F1120,$F1128)</f>
        <v>0</v>
      </c>
      <c r="U1128" s="99">
        <f t="shared" si="1161"/>
        <v>0</v>
      </c>
      <c r="V1128" s="255" t="str">
        <f t="shared" si="1162"/>
        <v>N/A</v>
      </c>
      <c r="W1128" s="103" t="str">
        <f t="shared" si="1150"/>
        <v>OK</v>
      </c>
      <c r="Y1128" s="476"/>
      <c r="Z1128" s="308"/>
      <c r="AA1128" s="308"/>
      <c r="AB1128" s="308"/>
      <c r="AC1128" s="308"/>
      <c r="AD1128" s="308"/>
      <c r="AE1128" s="308"/>
      <c r="AF1128" s="308"/>
      <c r="AG1128" s="308"/>
      <c r="AH1128" s="308"/>
      <c r="AI1128" s="308"/>
      <c r="AJ1128" s="308"/>
      <c r="AK1128" s="308"/>
      <c r="AL1128" s="308"/>
      <c r="AM1128" s="70"/>
      <c r="AN1128" s="70"/>
      <c r="AO1128" s="70"/>
      <c r="AP1128" s="70"/>
      <c r="AQ1128" s="70"/>
    </row>
    <row r="1129" spans="1:43" s="71" customFormat="1" ht="15" customHeight="1">
      <c r="A1129" s="185" t="s">
        <v>1185</v>
      </c>
      <c r="B1129" s="217" t="str">
        <f>LEFT(A1129,3)</f>
        <v>125</v>
      </c>
      <c r="C1129" s="217" t="str">
        <f>RIGHT(A1129,3)</f>
        <v>650</v>
      </c>
      <c r="D1129" s="101">
        <v>0</v>
      </c>
      <c r="E1129" s="101" t="str">
        <f>B1129&amp;"-"&amp;C1129</f>
        <v>125-650</v>
      </c>
      <c r="F1129" s="294" t="str">
        <f>MID(A1129,5,5)</f>
        <v>58852</v>
      </c>
      <c r="G1129" s="295" t="e">
        <f>VLOOKUP(F1129,'GL Category'!A:C,3,FALSE)</f>
        <v>#N/A</v>
      </c>
      <c r="H1129" s="98" t="e">
        <f>VLOOKUP(F1129,'GL Category'!A:C,2,FALSE)</f>
        <v>#N/A</v>
      </c>
      <c r="I1129" s="99">
        <f>SUMIFS(I$1:I1122,$C$1:$C1122,$C1129,$F$1:$F1122,$F1129)</f>
        <v>0</v>
      </c>
      <c r="J1129" s="99">
        <f>SUMIFS(J$1:J1122,$C$1:$C1122,$C1129,$F$1:$F1122,$F1129)</f>
        <v>0</v>
      </c>
      <c r="K1129" s="99">
        <f>SUMIFS(K$1:K1122,$C$1:$C1122,$C1129,$F$1:$F1122,$F1129)</f>
        <v>0</v>
      </c>
      <c r="L1129" s="99">
        <f>SUMIFS(L$1:L1122,$C$1:$C1122,$C1129,$F$1:$F1122,$F1129)</f>
        <v>0</v>
      </c>
      <c r="M1129" s="99">
        <f>SUMIFS(M$1:M1122,$C$1:$C1122,$C1129,$F$1:$F1122,$F1129)</f>
        <v>0</v>
      </c>
      <c r="N1129" s="99">
        <f>SUMIFS(N$1:N1122,$C$1:$C1122,$C1129,$F$1:$F1122,$F1129)</f>
        <v>0</v>
      </c>
      <c r="O1129" s="99">
        <f>SUMIFS(O$1:O1122,$C$1:$C1122,$C1129,$F$1:$F1122,$F1129)</f>
        <v>0</v>
      </c>
      <c r="P1129" s="99">
        <f>O1129-M1129</f>
        <v>0</v>
      </c>
      <c r="Q1129" s="99">
        <f>SUMIFS(Q$1:Q1122,$C$1:$C1122,$C1129,$F$1:$F1122,$F1129)</f>
        <v>0</v>
      </c>
      <c r="R1129" s="99">
        <f>SUMIFS(R$1:R1122,$C$1:$C1122,$C1129,$F$1:$F1122,$F1129)</f>
        <v>0</v>
      </c>
      <c r="S1129" s="99">
        <f>SUMIFS(S$1:S1122,$C$1:$C1122,$C1129,$F$1:$F1122,$F1129)</f>
        <v>0</v>
      </c>
      <c r="T1129" s="99">
        <f>SUMIFS(T$1:T1122,$C$1:$C1122,$C1129,$F$1:$F1122,$F1129)</f>
        <v>0</v>
      </c>
      <c r="U1129" s="99">
        <f t="shared" si="1161"/>
        <v>0</v>
      </c>
      <c r="V1129" s="255" t="str">
        <f t="shared" si="1162"/>
        <v>N/A</v>
      </c>
      <c r="W1129" s="103" t="str">
        <f t="shared" si="1150"/>
        <v>OK</v>
      </c>
      <c r="Y1129" s="476"/>
      <c r="Z1129" s="308"/>
      <c r="AA1129" s="308"/>
      <c r="AB1129" s="308"/>
      <c r="AC1129" s="308"/>
      <c r="AD1129" s="308"/>
      <c r="AE1129" s="308"/>
      <c r="AF1129" s="308"/>
      <c r="AG1129" s="308"/>
      <c r="AH1129" s="308"/>
      <c r="AI1129" s="308"/>
      <c r="AJ1129" s="308"/>
      <c r="AK1129" s="308"/>
      <c r="AL1129" s="308"/>
      <c r="AM1129" s="70"/>
      <c r="AN1129" s="70"/>
      <c r="AO1129" s="70"/>
      <c r="AP1129" s="70"/>
      <c r="AQ1129" s="70"/>
    </row>
    <row r="1130" spans="1:43" s="71" customFormat="1" ht="15" customHeight="1">
      <c r="A1130" s="185" t="s">
        <v>1208</v>
      </c>
      <c r="B1130" s="217" t="str">
        <f>LEFT(A1130,3)</f>
        <v>125</v>
      </c>
      <c r="C1130" s="217" t="str">
        <f>RIGHT(A1130,3)</f>
        <v>650</v>
      </c>
      <c r="D1130" s="101">
        <v>0</v>
      </c>
      <c r="E1130" s="101" t="str">
        <f>B1130&amp;"-"&amp;C1130</f>
        <v>125-650</v>
      </c>
      <c r="F1130" s="294" t="str">
        <f>MID(A1130,5,5)</f>
        <v>58851</v>
      </c>
      <c r="G1130" s="295" t="str">
        <f>VLOOKUP(F1130,'GL Category'!A:C,3,FALSE)</f>
        <v>Capital Outlay</v>
      </c>
      <c r="H1130" s="98" t="str">
        <f>VLOOKUP(F1130,'GL Category'!A:C,2,FALSE)</f>
        <v>FURNITURE &amp; FIXTURES</v>
      </c>
      <c r="I1130" s="99">
        <f>SUMIFS(I$1:I1123,$C$1:$C1123,$C1130,$F$1:$F1123,$F1130)</f>
        <v>0</v>
      </c>
      <c r="J1130" s="99">
        <f>SUMIFS(J$1:J1123,$C$1:$C1123,$C1130,$F$1:$F1123,$F1130)</f>
        <v>0</v>
      </c>
      <c r="K1130" s="99">
        <f>SUMIFS(K$1:K1123,$C$1:$C1123,$C1130,$F$1:$F1123,$F1130)</f>
        <v>0</v>
      </c>
      <c r="L1130" s="99">
        <f>SUMIFS(L$1:L1123,$C$1:$C1123,$C1130,$F$1:$F1123,$F1130)</f>
        <v>0</v>
      </c>
      <c r="M1130" s="99">
        <f>SUMIFS(M$1:M1123,$C$1:$C1123,$C1130,$F$1:$F1123,$F1130)</f>
        <v>0</v>
      </c>
      <c r="N1130" s="99">
        <f>SUMIFS(N$1:N1123,$C$1:$C1123,$C1130,$F$1:$F1123,$F1130)</f>
        <v>0</v>
      </c>
      <c r="O1130" s="99">
        <f>SUMIFS(O$1:O1123,$C$1:$C1123,$C1130,$F$1:$F1123,$F1130)</f>
        <v>0</v>
      </c>
      <c r="P1130" s="99">
        <f>O1130-M1130</f>
        <v>0</v>
      </c>
      <c r="Q1130" s="99">
        <f>SUMIFS(Q$1:Q1123,$C$1:$C1123,$C1130,$F$1:$F1123,$F1130)</f>
        <v>0</v>
      </c>
      <c r="R1130" s="99">
        <f>SUMIFS(R$1:R1123,$C$1:$C1123,$C1130,$F$1:$F1123,$F1130)</f>
        <v>0</v>
      </c>
      <c r="S1130" s="99">
        <f>SUMIFS(S$1:S1123,$C$1:$C1123,$C1130,$F$1:$F1123,$F1130)</f>
        <v>0</v>
      </c>
      <c r="T1130" s="99">
        <f>SUMIFS(T$1:T1123,$C$1:$C1123,$C1130,$F$1:$F1123,$F1130)</f>
        <v>0</v>
      </c>
      <c r="U1130" s="99">
        <f t="shared" si="1161"/>
        <v>0</v>
      </c>
      <c r="V1130" s="255" t="str">
        <f t="shared" si="1162"/>
        <v>N/A</v>
      </c>
      <c r="W1130" s="103" t="str">
        <f t="shared" si="1150"/>
        <v>OK</v>
      </c>
      <c r="Y1130" s="476"/>
      <c r="Z1130" s="308"/>
      <c r="AA1130" s="308"/>
      <c r="AB1130" s="308"/>
      <c r="AC1130" s="308"/>
      <c r="AD1130" s="308"/>
      <c r="AE1130" s="308"/>
      <c r="AF1130" s="308"/>
      <c r="AG1130" s="308"/>
      <c r="AH1130" s="308"/>
      <c r="AI1130" s="308"/>
      <c r="AJ1130" s="308"/>
      <c r="AK1130" s="308"/>
      <c r="AL1130" s="308"/>
      <c r="AM1130" s="70"/>
      <c r="AN1130" s="70"/>
      <c r="AO1130" s="70"/>
      <c r="AP1130" s="70"/>
      <c r="AQ1130" s="70"/>
    </row>
    <row r="1131" spans="1:43" s="71" customFormat="1" ht="15" customHeight="1">
      <c r="A1131" s="185" t="s">
        <v>1186</v>
      </c>
      <c r="B1131" s="217" t="str">
        <f>LEFT(A1131,3)</f>
        <v>125</v>
      </c>
      <c r="C1131" s="217" t="str">
        <f>RIGHT(A1131,3)</f>
        <v>650</v>
      </c>
      <c r="D1131" s="101">
        <v>0</v>
      </c>
      <c r="E1131" s="101" t="str">
        <f>B1131&amp;"-"&amp;C1131</f>
        <v>125-650</v>
      </c>
      <c r="F1131" s="294" t="str">
        <f>MID(A1131,5,5)</f>
        <v>58858</v>
      </c>
      <c r="G1131" s="295" t="e">
        <f>VLOOKUP(F1131,'GL Category'!A:C,3,FALSE)</f>
        <v>#N/A</v>
      </c>
      <c r="H1131" s="98" t="e">
        <f>VLOOKUP(F1131,'GL Category'!A:C,2,FALSE)</f>
        <v>#N/A</v>
      </c>
      <c r="I1131" s="99">
        <f>SUMIFS(I$1:I1124,$C$1:$C1124,$C1131,$F$1:$F1124,$F1131)</f>
        <v>0</v>
      </c>
      <c r="J1131" s="99">
        <f>SUMIFS(J$1:J1124,$C$1:$C1124,$C1131,$F$1:$F1124,$F1131)</f>
        <v>0</v>
      </c>
      <c r="K1131" s="99">
        <f>SUMIFS(K$1:K1124,$C$1:$C1124,$C1131,$F$1:$F1124,$F1131)</f>
        <v>0</v>
      </c>
      <c r="L1131" s="99">
        <f>SUMIFS(L$1:L1124,$C$1:$C1124,$C1131,$F$1:$F1124,$F1131)</f>
        <v>0</v>
      </c>
      <c r="M1131" s="99">
        <f>SUMIFS(M$1:M1124,$C$1:$C1124,$C1131,$F$1:$F1124,$F1131)</f>
        <v>0</v>
      </c>
      <c r="N1131" s="99">
        <f>SUMIFS(N$1:N1124,$C$1:$C1124,$C1131,$F$1:$F1124,$F1131)</f>
        <v>0</v>
      </c>
      <c r="O1131" s="99">
        <f>SUMIFS(O$1:O1124,$C$1:$C1124,$C1131,$F$1:$F1124,$F1131)</f>
        <v>0</v>
      </c>
      <c r="P1131" s="99">
        <f>O1131-M1131</f>
        <v>0</v>
      </c>
      <c r="Q1131" s="99">
        <f>SUMIFS(Q$1:Q1124,$C$1:$C1124,$C1131,$F$1:$F1124,$F1131)</f>
        <v>0</v>
      </c>
      <c r="R1131" s="99">
        <f>SUMIFS(R$1:R1124,$C$1:$C1124,$C1131,$F$1:$F1124,$F1131)</f>
        <v>0</v>
      </c>
      <c r="S1131" s="99">
        <f>SUMIFS(S$1:S1124,$C$1:$C1124,$C1131,$F$1:$F1124,$F1131)</f>
        <v>0</v>
      </c>
      <c r="T1131" s="99">
        <f>SUMIFS(T$1:T1124,$C$1:$C1124,$C1131,$F$1:$F1124,$F1131)</f>
        <v>0</v>
      </c>
      <c r="U1131" s="99">
        <f t="shared" si="1161"/>
        <v>0</v>
      </c>
      <c r="V1131" s="255" t="str">
        <f t="shared" si="1162"/>
        <v>N/A</v>
      </c>
      <c r="W1131" s="103" t="str">
        <f t="shared" si="1150"/>
        <v>OK</v>
      </c>
      <c r="Y1131" s="476"/>
      <c r="Z1131" s="308"/>
      <c r="AA1131" s="308"/>
      <c r="AB1131" s="308"/>
      <c r="AC1131" s="308"/>
      <c r="AD1131" s="308"/>
      <c r="AE1131" s="308"/>
      <c r="AF1131" s="308"/>
      <c r="AG1131" s="308"/>
      <c r="AH1131" s="308"/>
      <c r="AI1131" s="308"/>
      <c r="AJ1131" s="308"/>
      <c r="AK1131" s="308"/>
      <c r="AL1131" s="308"/>
      <c r="AM1131" s="70"/>
      <c r="AN1131" s="70"/>
      <c r="AO1131" s="70"/>
      <c r="AP1131" s="70"/>
      <c r="AQ1131" s="70"/>
    </row>
    <row r="1132" spans="1:43" s="71" customFormat="1" ht="15" customHeight="1">
      <c r="A1132" s="297"/>
      <c r="B1132" s="217"/>
      <c r="C1132" s="217"/>
      <c r="D1132" s="101"/>
      <c r="E1132" s="101"/>
      <c r="F1132" s="294"/>
      <c r="G1132" s="295"/>
      <c r="H1132" s="107" t="e">
        <f>UPPER(G1131)&amp;" TOTAL"</f>
        <v>#N/A</v>
      </c>
      <c r="I1132" s="109">
        <f t="shared" ref="I1132" si="1163">SUBTOTAL(9,I1127:I1131)</f>
        <v>0</v>
      </c>
      <c r="J1132" s="109">
        <f t="shared" ref="J1132:T1132" si="1164">SUBTOTAL(9,J1127:J1131)</f>
        <v>0</v>
      </c>
      <c r="K1132" s="109">
        <f t="shared" ref="K1132" si="1165">SUBTOTAL(9,K1127:K1131)</f>
        <v>0</v>
      </c>
      <c r="L1132" s="109">
        <f t="shared" ref="L1132" si="1166">SUBTOTAL(9,L1127:L1131)</f>
        <v>0</v>
      </c>
      <c r="M1132" s="109">
        <f t="shared" si="1164"/>
        <v>0</v>
      </c>
      <c r="N1132" s="109">
        <f t="shared" ref="N1132" si="1167">SUBTOTAL(9,N1127:N1131)</f>
        <v>0</v>
      </c>
      <c r="O1132" s="109">
        <f t="shared" si="1164"/>
        <v>0</v>
      </c>
      <c r="P1132" s="109">
        <f t="shared" si="1164"/>
        <v>0</v>
      </c>
      <c r="Q1132" s="109">
        <f t="shared" si="1164"/>
        <v>0</v>
      </c>
      <c r="R1132" s="109">
        <f t="shared" si="1164"/>
        <v>0</v>
      </c>
      <c r="S1132" s="109">
        <f t="shared" si="1164"/>
        <v>0</v>
      </c>
      <c r="T1132" s="109">
        <f t="shared" si="1164"/>
        <v>0</v>
      </c>
      <c r="U1132" s="99">
        <f t="shared" si="1161"/>
        <v>0</v>
      </c>
      <c r="V1132" s="255" t="str">
        <f t="shared" si="1162"/>
        <v>N/A</v>
      </c>
      <c r="W1132" s="103" t="str">
        <f t="shared" si="1150"/>
        <v>OK</v>
      </c>
      <c r="Y1132" s="476"/>
      <c r="Z1132" s="308"/>
      <c r="AA1132" s="308"/>
      <c r="AB1132" s="308"/>
      <c r="AC1132" s="308"/>
      <c r="AD1132" s="308"/>
      <c r="AE1132" s="308"/>
      <c r="AF1132" s="308"/>
      <c r="AG1132" s="308"/>
      <c r="AH1132" s="308"/>
      <c r="AI1132" s="308"/>
      <c r="AJ1132" s="308"/>
      <c r="AK1132" s="308"/>
      <c r="AL1132" s="308"/>
      <c r="AM1132" s="70"/>
      <c r="AN1132" s="70"/>
      <c r="AO1132" s="70"/>
      <c r="AP1132" s="70"/>
      <c r="AQ1132" s="70"/>
    </row>
    <row r="1133" spans="1:43" s="71" customFormat="1" ht="15" customHeight="1">
      <c r="A1133" s="297"/>
      <c r="B1133" s="217"/>
      <c r="C1133" s="217"/>
      <c r="D1133" s="101"/>
      <c r="E1133" s="101"/>
      <c r="F1133" s="294"/>
      <c r="G1133" s="295"/>
      <c r="H1133" s="98"/>
      <c r="I1133" s="106"/>
      <c r="J1133" s="106"/>
      <c r="K1133" s="106"/>
      <c r="L1133" s="106"/>
      <c r="M1133" s="106"/>
      <c r="N1133" s="112"/>
      <c r="O1133" s="112"/>
      <c r="P1133" s="112"/>
      <c r="Q1133" s="113"/>
      <c r="R1133" s="113"/>
      <c r="S1133" s="113"/>
      <c r="T1133" s="113"/>
      <c r="U1133" s="99"/>
      <c r="V1133" s="255"/>
      <c r="W1133" s="103" t="str">
        <f t="shared" si="1150"/>
        <v>OK</v>
      </c>
      <c r="Y1133" s="476"/>
      <c r="Z1133" s="308"/>
      <c r="AA1133" s="308"/>
      <c r="AB1133" s="308"/>
      <c r="AC1133" s="308"/>
      <c r="AD1133" s="308"/>
      <c r="AE1133" s="308"/>
      <c r="AF1133" s="308"/>
      <c r="AG1133" s="308"/>
      <c r="AH1133" s="308"/>
      <c r="AI1133" s="308"/>
      <c r="AJ1133" s="308"/>
      <c r="AK1133" s="308"/>
      <c r="AL1133" s="308"/>
      <c r="AM1133" s="70"/>
      <c r="AN1133" s="70"/>
      <c r="AO1133" s="70"/>
      <c r="AP1133" s="70"/>
      <c r="AQ1133" s="70"/>
    </row>
    <row r="1134" spans="1:43" s="71" customFormat="1" ht="15" customHeight="1">
      <c r="A1134" s="185" t="s">
        <v>1187</v>
      </c>
      <c r="B1134" s="217" t="str">
        <f>LEFT(A1134,3)</f>
        <v>125</v>
      </c>
      <c r="C1134" s="217" t="str">
        <f>RIGHT(A1134,3)</f>
        <v>650</v>
      </c>
      <c r="D1134" s="101">
        <v>0</v>
      </c>
      <c r="E1134" s="101" t="str">
        <f>B1134&amp;"-"&amp;C1134</f>
        <v>125-650</v>
      </c>
      <c r="F1134" s="294" t="str">
        <f>MID(A1134,5,5)</f>
        <v>59105</v>
      </c>
      <c r="G1134" s="295" t="str">
        <f>VLOOKUP(F1134,'GL Category'!A:C,3,FALSE)</f>
        <v>Transfers to other funds</v>
      </c>
      <c r="H1134" s="98" t="str">
        <f>VLOOKUP(F1134,'GL Category'!A:C,2,FALSE)</f>
        <v>TRANSFER TO CIP-GENERAL GOVERN</v>
      </c>
      <c r="I1134" s="99">
        <f>SUMIFS(I$1:I1126,$C$1:$C1126,$C1134,$F$1:$F1126,$F1134)</f>
        <v>0</v>
      </c>
      <c r="J1134" s="99">
        <f>SUMIFS(J$1:J1126,$C$1:$C1126,$C1134,$F$1:$F1126,$F1134)</f>
        <v>0</v>
      </c>
      <c r="K1134" s="99">
        <f>SUMIFS(K$1:K1126,$C$1:$C1126,$C1134,$F$1:$F1126,$F1134)</f>
        <v>0</v>
      </c>
      <c r="L1134" s="99">
        <f>SUMIFS(L$1:L1126,$C$1:$C1126,$C1134,$F$1:$F1126,$F1134)</f>
        <v>0</v>
      </c>
      <c r="M1134" s="99">
        <f>SUMIFS(M$1:M1126,$C$1:$C1126,$C1134,$F$1:$F1126,$F1134)</f>
        <v>0</v>
      </c>
      <c r="N1134" s="99">
        <f>SUMIFS(N$1:N1126,$C$1:$C1126,$C1134,$F$1:$F1126,$F1134)</f>
        <v>0</v>
      </c>
      <c r="O1134" s="99">
        <f>SUMIFS(O$1:O1126,$C$1:$C1126,$C1134,$F$1:$F1126,$F1134)</f>
        <v>0</v>
      </c>
      <c r="P1134" s="99">
        <f>O1134-M1134</f>
        <v>0</v>
      </c>
      <c r="Q1134" s="99">
        <f>SUMIFS(Q$1:Q1126,$C$1:$C1126,$C1134,$F$1:$F1126,$F1134)</f>
        <v>0</v>
      </c>
      <c r="R1134" s="99">
        <f>SUMIFS(R$1:R1126,$C$1:$C1126,$C1134,$F$1:$F1126,$F1134)</f>
        <v>0</v>
      </c>
      <c r="S1134" s="99">
        <f>SUMIFS(S$1:S1126,$C$1:$C1126,$C1134,$F$1:$F1126,$F1134)</f>
        <v>0</v>
      </c>
      <c r="T1134" s="99">
        <f>SUMIFS(T$1:T1126,$C$1:$C1126,$C1134,$F$1:$F1126,$F1134)</f>
        <v>0</v>
      </c>
      <c r="U1134" s="99">
        <f>T1134-M1134</f>
        <v>0</v>
      </c>
      <c r="V1134" s="255" t="str">
        <f>IF(M1134=0,"N/A",T1134/M1134-1)</f>
        <v>N/A</v>
      </c>
      <c r="W1134" s="103" t="str">
        <f t="shared" si="1150"/>
        <v>OK</v>
      </c>
      <c r="Y1134" s="476"/>
      <c r="Z1134" s="308"/>
      <c r="AA1134" s="308"/>
      <c r="AB1134" s="308"/>
      <c r="AC1134" s="308"/>
      <c r="AD1134" s="308"/>
      <c r="AE1134" s="308"/>
      <c r="AF1134" s="308"/>
      <c r="AG1134" s="308"/>
      <c r="AH1134" s="308"/>
      <c r="AI1134" s="308"/>
      <c r="AJ1134" s="308"/>
      <c r="AK1134" s="308"/>
      <c r="AL1134" s="308"/>
      <c r="AM1134" s="70"/>
      <c r="AN1134" s="70"/>
      <c r="AO1134" s="70"/>
      <c r="AP1134" s="70"/>
      <c r="AQ1134" s="70"/>
    </row>
    <row r="1135" spans="1:43" s="71" customFormat="1" ht="15" customHeight="1">
      <c r="A1135" s="185" t="s">
        <v>1188</v>
      </c>
      <c r="B1135" s="217" t="str">
        <f>LEFT(A1135,3)</f>
        <v>125</v>
      </c>
      <c r="C1135" s="217" t="str">
        <f>RIGHT(A1135,3)</f>
        <v>650</v>
      </c>
      <c r="D1135" s="101">
        <v>0</v>
      </c>
      <c r="E1135" s="101" t="str">
        <f>B1135&amp;"-"&amp;C1135</f>
        <v>125-650</v>
      </c>
      <c r="F1135" s="294" t="str">
        <f>MID(A1135,5,5)</f>
        <v>59112</v>
      </c>
      <c r="G1135" s="295" t="str">
        <f>VLOOKUP(F1135,'GL Category'!A:C,3,FALSE)</f>
        <v>Transfers to other funds</v>
      </c>
      <c r="H1135" s="98" t="str">
        <f>VLOOKUP(F1135,'GL Category'!A:C,2,FALSE)</f>
        <v>TRANSFER TO REC SPEC REV FUND</v>
      </c>
      <c r="I1135" s="99">
        <f>SUMIFS(I$1:I1125,$C$1:$C1125,$C1135,$F$1:$F1125,$F1135)</f>
        <v>0</v>
      </c>
      <c r="J1135" s="99">
        <f>SUMIFS(J$1:J1125,$C$1:$C1125,$C1135,$F$1:$F1125,$F1135)</f>
        <v>0</v>
      </c>
      <c r="K1135" s="99">
        <f>SUMIFS(K$1:K1125,$C$1:$C1125,$C1135,$F$1:$F1125,$F1135)</f>
        <v>0</v>
      </c>
      <c r="L1135" s="99">
        <f>SUMIFS(L$1:L1125,$C$1:$C1125,$C1135,$F$1:$F1125,$F1135)</f>
        <v>0</v>
      </c>
      <c r="M1135" s="99">
        <f>SUMIFS(M$1:M1125,$C$1:$C1125,$C1135,$F$1:$F1125,$F1135)</f>
        <v>0</v>
      </c>
      <c r="N1135" s="99">
        <f>SUMIFS(N$1:N1125,$C$1:$C1125,$C1135,$F$1:$F1125,$F1135)</f>
        <v>0</v>
      </c>
      <c r="O1135" s="99">
        <f>SUMIFS(O$1:O1125,$C$1:$C1125,$C1135,$F$1:$F1125,$F1135)</f>
        <v>0</v>
      </c>
      <c r="P1135" s="99">
        <f>O1135-M1135</f>
        <v>0</v>
      </c>
      <c r="Q1135" s="99">
        <f>SUMIFS(Q$1:Q1125,$C$1:$C1125,$C1135,$F$1:$F1125,$F1135)</f>
        <v>0</v>
      </c>
      <c r="R1135" s="99">
        <f>SUMIFS(R$1:R1125,$C$1:$C1125,$C1135,$F$1:$F1125,$F1135)</f>
        <v>0</v>
      </c>
      <c r="S1135" s="99">
        <f>SUMIFS(S$1:S1125,$C$1:$C1125,$C1135,$F$1:$F1125,$F1135)</f>
        <v>0</v>
      </c>
      <c r="T1135" s="99">
        <f>SUMIFS(T$1:T1125,$C$1:$C1125,$C1135,$F$1:$F1125,$F1135)</f>
        <v>0</v>
      </c>
      <c r="U1135" s="99">
        <f>T1135-M1135</f>
        <v>0</v>
      </c>
      <c r="V1135" s="255" t="str">
        <f>IF(M1135=0,"N/A",T1135/M1135-1)</f>
        <v>N/A</v>
      </c>
      <c r="W1135" s="103" t="str">
        <f t="shared" si="1150"/>
        <v>OK</v>
      </c>
      <c r="Y1135" s="476"/>
      <c r="Z1135" s="308"/>
      <c r="AA1135" s="308"/>
      <c r="AB1135" s="308"/>
      <c r="AC1135" s="308"/>
      <c r="AD1135" s="308"/>
      <c r="AE1135" s="308"/>
      <c r="AF1135" s="308"/>
      <c r="AG1135" s="308"/>
      <c r="AH1135" s="308"/>
      <c r="AI1135" s="308"/>
      <c r="AJ1135" s="308"/>
      <c r="AK1135" s="308"/>
      <c r="AL1135" s="308"/>
      <c r="AM1135" s="70"/>
      <c r="AN1135" s="70"/>
      <c r="AO1135" s="70"/>
      <c r="AP1135" s="70"/>
      <c r="AQ1135" s="70"/>
    </row>
    <row r="1136" spans="1:43" s="71" customFormat="1" ht="15" customHeight="1">
      <c r="A1136" s="187" t="s">
        <v>1190</v>
      </c>
      <c r="B1136" s="217" t="str">
        <f>LEFT(A1136,3)</f>
        <v>125</v>
      </c>
      <c r="C1136" s="217" t="str">
        <f>RIGHT(A1136,3)</f>
        <v>990</v>
      </c>
      <c r="D1136" s="101">
        <v>0</v>
      </c>
      <c r="E1136" s="101" t="str">
        <f>B1136&amp;"-"&amp;C1136</f>
        <v>125-990</v>
      </c>
      <c r="F1136" s="294" t="str">
        <f>MID(A1136,5,5)</f>
        <v>59105</v>
      </c>
      <c r="G1136" s="295" t="str">
        <f>VLOOKUP(F1136,'GL Category'!A:C,3,FALSE)</f>
        <v>Transfers to other funds</v>
      </c>
      <c r="H1136" s="98" t="str">
        <f>VLOOKUP(F1136,'GL Category'!A:C,2,FALSE)</f>
        <v>TRANSFER TO CIP-GENERAL GOVERN</v>
      </c>
      <c r="I1136" s="99">
        <f>SUMIFS(I$1:I1126,$C$1:$C1126,$C1136,$F$1:$F1126,$F1136)</f>
        <v>0</v>
      </c>
      <c r="J1136" s="99">
        <f>SUMIFS(J$1:J1126,$C$1:$C1126,$C1136,$F$1:$F1126,$F1136)</f>
        <v>0</v>
      </c>
      <c r="K1136" s="99">
        <f>SUMIFS(K$1:K1126,$C$1:$C1126,$C1136,$F$1:$F1126,$F1136)</f>
        <v>0</v>
      </c>
      <c r="L1136" s="99">
        <f>SUMIFS(L$1:L1126,$C$1:$C1126,$C1136,$F$1:$F1126,$F1136)</f>
        <v>0</v>
      </c>
      <c r="M1136" s="99">
        <f>SUMIFS(M$1:M1126,$C$1:$C1126,$C1136,$F$1:$F1126,$F1136)</f>
        <v>0</v>
      </c>
      <c r="N1136" s="99">
        <f>SUMIFS(N$1:N1126,$C$1:$C1126,$C1136,$F$1:$F1126,$F1136)</f>
        <v>0</v>
      </c>
      <c r="O1136" s="99">
        <f>SUMIFS(O$1:O1126,$C$1:$C1126,$C1136,$F$1:$F1126,$F1136)</f>
        <v>0</v>
      </c>
      <c r="P1136" s="99">
        <f>O1136-M1136</f>
        <v>0</v>
      </c>
      <c r="Q1136" s="99">
        <f>SUMIFS(Q$1:Q1126,$C$1:$C1126,$C1136,$F$1:$F1126,$F1136)</f>
        <v>0</v>
      </c>
      <c r="R1136" s="99">
        <f>SUMIFS(R$1:R1126,$C$1:$C1126,$C1136,$F$1:$F1126,$F1136)</f>
        <v>0</v>
      </c>
      <c r="S1136" s="99">
        <f>SUMIFS(S$1:S1126,$C$1:$C1126,$C1136,$F$1:$F1126,$F1136)</f>
        <v>0</v>
      </c>
      <c r="T1136" s="99">
        <f>SUMIFS(T$1:T1126,$C$1:$C1126,$C1136,$F$1:$F1126,$F1136)</f>
        <v>0</v>
      </c>
      <c r="U1136" s="99">
        <f>T1136-M1136</f>
        <v>0</v>
      </c>
      <c r="V1136" s="255" t="str">
        <f>IF(M1136=0,"N/A",T1136/M1136-1)</f>
        <v>N/A</v>
      </c>
      <c r="W1136" s="103" t="str">
        <f t="shared" si="1150"/>
        <v>OK</v>
      </c>
      <c r="Y1136" s="476"/>
      <c r="Z1136" s="308"/>
      <c r="AA1136" s="308"/>
      <c r="AB1136" s="308"/>
      <c r="AC1136" s="308"/>
      <c r="AD1136" s="308"/>
      <c r="AE1136" s="308"/>
      <c r="AF1136" s="308"/>
      <c r="AG1136" s="308"/>
      <c r="AH1136" s="308"/>
      <c r="AI1136" s="308"/>
      <c r="AJ1136" s="308"/>
      <c r="AK1136" s="308"/>
      <c r="AL1136" s="308"/>
      <c r="AM1136" s="70"/>
      <c r="AN1136" s="70"/>
      <c r="AO1136" s="70"/>
      <c r="AP1136" s="70"/>
      <c r="AQ1136" s="70"/>
    </row>
    <row r="1137" spans="1:43" s="71" customFormat="1" ht="15" customHeight="1">
      <c r="A1137" s="187" t="s">
        <v>1191</v>
      </c>
      <c r="B1137" s="217" t="str">
        <f>LEFT(A1137,3)</f>
        <v>125</v>
      </c>
      <c r="C1137" s="217" t="str">
        <f>RIGHT(A1137,3)</f>
        <v>990</v>
      </c>
      <c r="D1137" s="101">
        <v>0</v>
      </c>
      <c r="E1137" s="101" t="str">
        <f>B1137&amp;"-"&amp;C1137</f>
        <v>125-990</v>
      </c>
      <c r="F1137" s="294" t="str">
        <f>MID(A1137,5,5)</f>
        <v>59106</v>
      </c>
      <c r="G1137" s="295" t="str">
        <f>VLOOKUP(F1137,'GL Category'!A:C,3,FALSE)</f>
        <v>Transfers to other funds</v>
      </c>
      <c r="H1137" s="98" t="str">
        <f>VLOOKUP(F1137,'GL Category'!A:C,2,FALSE)</f>
        <v>TRANSFER TO CIP-RECR/AQUA CTR</v>
      </c>
      <c r="I1137" s="99">
        <f>SUMIFS(I$1:I1127,$C$1:$C1127,$C1137,$F$1:$F1127,$F1137)</f>
        <v>0</v>
      </c>
      <c r="J1137" s="99">
        <f>SUMIFS(J$1:J1127,$C$1:$C1127,$C1137,$F$1:$F1127,$F1137)</f>
        <v>0</v>
      </c>
      <c r="K1137" s="99">
        <f>SUMIFS(K$1:K1127,$C$1:$C1127,$C1137,$F$1:$F1127,$F1137)</f>
        <v>0</v>
      </c>
      <c r="L1137" s="99">
        <f>SUMIFS(L$1:L1127,$C$1:$C1127,$C1137,$F$1:$F1127,$F1137)</f>
        <v>0</v>
      </c>
      <c r="M1137" s="99">
        <f>SUMIFS(M$1:M1127,$C$1:$C1127,$C1137,$F$1:$F1127,$F1137)</f>
        <v>0</v>
      </c>
      <c r="N1137" s="99">
        <f>SUMIFS(N$1:N1127,$C$1:$C1127,$C1137,$F$1:$F1127,$F1137)</f>
        <v>0</v>
      </c>
      <c r="O1137" s="99">
        <f>SUMIFS(O$1:O1127,$C$1:$C1127,$C1137,$F$1:$F1127,$F1137)</f>
        <v>0</v>
      </c>
      <c r="P1137" s="99">
        <f>O1137-M1137</f>
        <v>0</v>
      </c>
      <c r="Q1137" s="99">
        <f>SUMIFS(Q$1:Q1127,$C$1:$C1127,$C1137,$F$1:$F1127,$F1137)</f>
        <v>0</v>
      </c>
      <c r="R1137" s="99">
        <f>SUMIFS(R$1:R1127,$C$1:$C1127,$C1137,$F$1:$F1127,$F1137)</f>
        <v>0</v>
      </c>
      <c r="S1137" s="99">
        <f>SUMIFS(S$1:S1127,$C$1:$C1127,$C1137,$F$1:$F1127,$F1137)</f>
        <v>0</v>
      </c>
      <c r="T1137" s="99">
        <f>SUMIFS(T$1:T1127,$C$1:$C1127,$C1137,$F$1:$F1127,$F1137)</f>
        <v>0</v>
      </c>
      <c r="U1137" s="99">
        <f>T1137-M1137</f>
        <v>0</v>
      </c>
      <c r="V1137" s="255" t="str">
        <f>IF(M1137=0,"N/A",T1137/M1137-1)</f>
        <v>N/A</v>
      </c>
      <c r="W1137" s="103" t="str">
        <f t="shared" si="1150"/>
        <v>OK</v>
      </c>
      <c r="Y1137" s="476"/>
      <c r="Z1137" s="308"/>
      <c r="AA1137" s="308"/>
      <c r="AB1137" s="308"/>
      <c r="AC1137" s="308"/>
      <c r="AD1137" s="308"/>
      <c r="AE1137" s="308"/>
      <c r="AF1137" s="308"/>
      <c r="AG1137" s="308"/>
      <c r="AH1137" s="308"/>
      <c r="AI1137" s="308"/>
      <c r="AJ1137" s="308"/>
      <c r="AK1137" s="308"/>
      <c r="AL1137" s="308"/>
      <c r="AM1137" s="70"/>
      <c r="AN1137" s="70"/>
      <c r="AO1137" s="70"/>
      <c r="AP1137" s="70"/>
      <c r="AQ1137" s="70"/>
    </row>
    <row r="1138" spans="1:43" s="71" customFormat="1" ht="24" customHeight="1">
      <c r="A1138" s="297"/>
      <c r="B1138" s="217"/>
      <c r="C1138" s="217"/>
      <c r="D1138" s="101"/>
      <c r="E1138" s="101"/>
      <c r="F1138" s="294"/>
      <c r="G1138" s="295"/>
      <c r="H1138" s="107" t="str">
        <f>UPPER(G1137)&amp;" TOTAL"</f>
        <v>TRANSFERS TO OTHER FUNDS TOTAL</v>
      </c>
      <c r="I1138" s="109">
        <f t="shared" ref="I1138" si="1168">SUBTOTAL(9,I1131:I1137)</f>
        <v>0</v>
      </c>
      <c r="J1138" s="109">
        <f t="shared" ref="J1138:T1138" si="1169">SUBTOTAL(9,J1131:J1137)</f>
        <v>0</v>
      </c>
      <c r="K1138" s="109">
        <f t="shared" ref="K1138" si="1170">SUBTOTAL(9,K1131:K1137)</f>
        <v>0</v>
      </c>
      <c r="L1138" s="109">
        <f t="shared" ref="L1138" si="1171">SUBTOTAL(9,L1131:L1137)</f>
        <v>0</v>
      </c>
      <c r="M1138" s="109">
        <f t="shared" si="1169"/>
        <v>0</v>
      </c>
      <c r="N1138" s="109">
        <f t="shared" ref="N1138" si="1172">SUBTOTAL(9,N1131:N1137)</f>
        <v>0</v>
      </c>
      <c r="O1138" s="109">
        <f t="shared" si="1169"/>
        <v>0</v>
      </c>
      <c r="P1138" s="109">
        <f t="shared" si="1169"/>
        <v>0</v>
      </c>
      <c r="Q1138" s="109">
        <f t="shared" si="1169"/>
        <v>0</v>
      </c>
      <c r="R1138" s="109">
        <f t="shared" si="1169"/>
        <v>0</v>
      </c>
      <c r="S1138" s="109">
        <f t="shared" si="1169"/>
        <v>0</v>
      </c>
      <c r="T1138" s="109">
        <f t="shared" si="1169"/>
        <v>0</v>
      </c>
      <c r="U1138" s="99">
        <f>T1138-M1138</f>
        <v>0</v>
      </c>
      <c r="V1138" s="255" t="str">
        <f>IF(M1138=0,"N/A",T1138/M1138-1)</f>
        <v>N/A</v>
      </c>
      <c r="W1138" s="103" t="str">
        <f t="shared" si="1150"/>
        <v>OK</v>
      </c>
      <c r="Y1138" s="476"/>
      <c r="Z1138" s="308"/>
      <c r="AA1138" s="308"/>
      <c r="AB1138" s="308"/>
      <c r="AC1138" s="308"/>
      <c r="AD1138" s="308"/>
      <c r="AE1138" s="308"/>
      <c r="AF1138" s="308"/>
      <c r="AG1138" s="308"/>
      <c r="AH1138" s="308"/>
      <c r="AI1138" s="308"/>
      <c r="AJ1138" s="308"/>
      <c r="AK1138" s="308"/>
      <c r="AL1138" s="308"/>
      <c r="AM1138" s="70"/>
      <c r="AN1138" s="70"/>
      <c r="AO1138" s="70"/>
      <c r="AP1138" s="70"/>
      <c r="AQ1138" s="70"/>
    </row>
    <row r="1139" spans="1:43" s="71" customFormat="1" ht="15" customHeight="1">
      <c r="A1139" s="297"/>
      <c r="B1139" s="217"/>
      <c r="C1139" s="217"/>
      <c r="D1139" s="101"/>
      <c r="E1139" s="101"/>
      <c r="F1139" s="294"/>
      <c r="G1139" s="295"/>
      <c r="H1139" s="98"/>
      <c r="I1139" s="106"/>
      <c r="J1139" s="106"/>
      <c r="K1139" s="106"/>
      <c r="L1139" s="106"/>
      <c r="M1139" s="106"/>
      <c r="N1139" s="112"/>
      <c r="O1139" s="112"/>
      <c r="P1139" s="112"/>
      <c r="Q1139" s="113"/>
      <c r="R1139" s="113"/>
      <c r="S1139" s="113"/>
      <c r="T1139" s="113"/>
      <c r="U1139" s="99"/>
      <c r="V1139" s="255"/>
      <c r="W1139" s="103" t="str">
        <f t="shared" si="1150"/>
        <v>OK</v>
      </c>
      <c r="Y1139" s="476"/>
      <c r="Z1139" s="308"/>
      <c r="AA1139" s="308"/>
      <c r="AB1139" s="308"/>
      <c r="AC1139" s="308"/>
      <c r="AD1139" s="308"/>
      <c r="AE1139" s="308"/>
      <c r="AF1139" s="308"/>
      <c r="AG1139" s="308"/>
      <c r="AH1139" s="308"/>
      <c r="AI1139" s="308"/>
      <c r="AJ1139" s="308"/>
      <c r="AK1139" s="308"/>
      <c r="AL1139" s="308"/>
      <c r="AM1139" s="70"/>
      <c r="AN1139" s="70"/>
      <c r="AO1139" s="70"/>
      <c r="AP1139" s="70"/>
      <c r="AQ1139" s="70"/>
    </row>
    <row r="1140" spans="1:43" s="71" customFormat="1" ht="15" customHeight="1">
      <c r="A1140" s="297"/>
      <c r="B1140" s="217"/>
      <c r="C1140" s="217"/>
      <c r="D1140" s="101"/>
      <c r="E1140" s="101"/>
      <c r="F1140" s="294"/>
      <c r="G1140" s="295"/>
      <c r="H1140" s="114" t="s">
        <v>51</v>
      </c>
      <c r="I1140" s="108">
        <f t="shared" ref="I1140" si="1173">SUBTOTAL(9,I1052:I1138)</f>
        <v>0</v>
      </c>
      <c r="J1140" s="108">
        <f t="shared" ref="J1140:T1140" si="1174">SUBTOTAL(9,J1052:J1138)</f>
        <v>0</v>
      </c>
      <c r="K1140" s="108">
        <f t="shared" ref="K1140" si="1175">SUBTOTAL(9,K1052:K1138)</f>
        <v>0</v>
      </c>
      <c r="L1140" s="108">
        <f t="shared" ref="L1140" si="1176">SUBTOTAL(9,L1052:L1138)</f>
        <v>0</v>
      </c>
      <c r="M1140" s="108">
        <f t="shared" si="1174"/>
        <v>0</v>
      </c>
      <c r="N1140" s="108">
        <f t="shared" ref="N1140" si="1177">SUBTOTAL(9,N1052:N1138)</f>
        <v>0</v>
      </c>
      <c r="O1140" s="108">
        <f t="shared" si="1174"/>
        <v>0</v>
      </c>
      <c r="P1140" s="108">
        <f t="shared" si="1174"/>
        <v>0</v>
      </c>
      <c r="Q1140" s="108">
        <f t="shared" si="1174"/>
        <v>0</v>
      </c>
      <c r="R1140" s="108">
        <f t="shared" si="1174"/>
        <v>0</v>
      </c>
      <c r="S1140" s="108">
        <f t="shared" si="1174"/>
        <v>0</v>
      </c>
      <c r="T1140" s="108">
        <f t="shared" si="1174"/>
        <v>0</v>
      </c>
      <c r="U1140" s="99">
        <f>T1140-M1140</f>
        <v>0</v>
      </c>
      <c r="V1140" s="255" t="str">
        <f>IF(M1140=0,"N/A",T1140/M1140-1)</f>
        <v>N/A</v>
      </c>
      <c r="W1140" s="103" t="str">
        <f t="shared" si="1150"/>
        <v>OK</v>
      </c>
      <c r="Y1140" s="476"/>
      <c r="Z1140" s="308"/>
      <c r="AA1140" s="308"/>
      <c r="AB1140" s="308"/>
      <c r="AC1140" s="308"/>
      <c r="AD1140" s="308"/>
      <c r="AE1140" s="308"/>
      <c r="AF1140" s="308"/>
      <c r="AG1140" s="308"/>
      <c r="AH1140" s="308"/>
      <c r="AI1140" s="308"/>
      <c r="AJ1140" s="308"/>
      <c r="AK1140" s="308"/>
      <c r="AL1140" s="308"/>
      <c r="AM1140" s="70"/>
      <c r="AN1140" s="70"/>
      <c r="AO1140" s="70"/>
      <c r="AP1140" s="70"/>
      <c r="AQ1140" s="70"/>
    </row>
    <row r="1141" spans="1:43" s="71" customFormat="1" ht="15" customHeight="1">
      <c r="A1141" s="297"/>
      <c r="B1141" s="217"/>
      <c r="C1141" s="217"/>
      <c r="D1141" s="101"/>
      <c r="E1141" s="101"/>
      <c r="F1141" s="294"/>
      <c r="G1141" s="295"/>
      <c r="H1141" s="89"/>
      <c r="I1141" s="233"/>
      <c r="J1141" s="233"/>
      <c r="K1141" s="233"/>
      <c r="L1141" s="233"/>
      <c r="M1141" s="233"/>
      <c r="N1141" s="233"/>
      <c r="O1141" s="233"/>
      <c r="P1141" s="233"/>
      <c r="Q1141" s="233"/>
      <c r="R1141" s="233"/>
      <c r="S1141" s="233"/>
      <c r="T1141" s="233"/>
      <c r="U1141" s="99"/>
      <c r="V1141" s="255"/>
      <c r="W1141" s="103" t="str">
        <f t="shared" si="1150"/>
        <v>OK</v>
      </c>
      <c r="Y1141" s="476"/>
      <c r="Z1141" s="308"/>
      <c r="AA1141" s="308"/>
      <c r="AB1141" s="308"/>
      <c r="AC1141" s="308"/>
      <c r="AD1141" s="308"/>
      <c r="AE1141" s="308"/>
      <c r="AF1141" s="308"/>
      <c r="AG1141" s="308"/>
      <c r="AH1141" s="308"/>
      <c r="AI1141" s="308"/>
      <c r="AJ1141" s="308"/>
      <c r="AK1141" s="308"/>
      <c r="AL1141" s="308"/>
      <c r="AM1141" s="70"/>
      <c r="AN1141" s="70"/>
      <c r="AO1141" s="70"/>
      <c r="AP1141" s="70"/>
      <c r="AQ1141" s="70"/>
    </row>
    <row r="1142" spans="1:43">
      <c r="I1142" s="245">
        <v>4167186</v>
      </c>
      <c r="J1142" s="245">
        <v>4167186</v>
      </c>
      <c r="K1142" s="245">
        <v>4167186</v>
      </c>
      <c r="L1142" s="245">
        <v>4167186</v>
      </c>
    </row>
    <row r="1143" spans="1:43">
      <c r="I1143" s="245">
        <f>I1140-I1142</f>
        <v>-4167186</v>
      </c>
      <c r="J1143" s="245">
        <f>J1140-J1142</f>
        <v>-4167186</v>
      </c>
      <c r="K1143" s="245">
        <f>K1140-K1142</f>
        <v>-4167186</v>
      </c>
      <c r="L1143" s="245">
        <f>L1140-L1142</f>
        <v>-4167186</v>
      </c>
    </row>
    <row r="1147" spans="1:43">
      <c r="I1147" s="95" t="str">
        <f t="shared" ref="I1147" si="1178">I5</f>
        <v>FY 2019-20 Actual</v>
      </c>
      <c r="J1147" s="95" t="str">
        <f t="shared" ref="J1147:P1147" si="1179">J5</f>
        <v>FY 2020-21 Actual</v>
      </c>
      <c r="K1147" s="95" t="str">
        <f t="shared" ref="K1147" si="1180">K5</f>
        <v>FY 2021-22 Actual</v>
      </c>
      <c r="L1147" s="95" t="str">
        <f t="shared" ref="L1147" si="1181">L5</f>
        <v>FY 2022-23 Actual</v>
      </c>
      <c r="M1147" s="95" t="str">
        <f t="shared" si="1179"/>
        <v>FY 2023-24 Budget</v>
      </c>
      <c r="N1147" s="95" t="str">
        <f t="shared" si="1179"/>
        <v>FY 2023-24 
YTD</v>
      </c>
      <c r="O1147" s="95" t="str">
        <f t="shared" si="1179"/>
        <v>FY 2023-24 
YE Proj.</v>
      </c>
      <c r="P1147" s="95" t="str">
        <f t="shared" si="1179"/>
        <v>Adopted vs. YEP</v>
      </c>
      <c r="Q1147" s="248" t="str">
        <f>T5</f>
        <v>FY 2024-25 
Proposed Budget</v>
      </c>
    </row>
    <row r="1148" spans="1:43">
      <c r="I1148" s="95"/>
      <c r="J1148" s="95"/>
      <c r="K1148" s="95"/>
      <c r="L1148" s="95"/>
      <c r="M1148" s="95"/>
      <c r="N1148" s="95"/>
      <c r="O1148" s="95"/>
      <c r="P1148" s="95"/>
      <c r="Q1148" s="248"/>
    </row>
    <row r="1149" spans="1:43">
      <c r="H1149" s="95" t="s">
        <v>113</v>
      </c>
      <c r="I1149" s="518">
        <f t="shared" ref="I1149" si="1182">-I768</f>
        <v>1886476.2700000003</v>
      </c>
      <c r="J1149" s="518">
        <f t="shared" ref="J1149:Q1149" si="1183">-J768</f>
        <v>2585189.9400000009</v>
      </c>
      <c r="K1149" s="518">
        <f t="shared" ref="K1149" si="1184">-K768</f>
        <v>3637345.44</v>
      </c>
      <c r="L1149" s="518">
        <f t="shared" ref="L1149" si="1185">-L768</f>
        <v>4683478.0200000005</v>
      </c>
      <c r="M1149" s="518">
        <f t="shared" si="1183"/>
        <v>3102806</v>
      </c>
      <c r="N1149" s="518">
        <f t="shared" si="1183"/>
        <v>2757754.2100000004</v>
      </c>
      <c r="O1149" s="518">
        <f t="shared" si="1183"/>
        <v>3233996</v>
      </c>
      <c r="P1149" s="518">
        <f t="shared" si="1183"/>
        <v>131190</v>
      </c>
      <c r="Q1149" s="518">
        <f t="shared" si="1183"/>
        <v>3240666</v>
      </c>
    </row>
    <row r="1150" spans="1:43">
      <c r="H1150" s="95" t="s">
        <v>87</v>
      </c>
      <c r="I1150" s="248">
        <f t="shared" ref="I1150" si="1186">I1064</f>
        <v>0</v>
      </c>
      <c r="J1150" s="248">
        <f t="shared" ref="J1150:Q1150" si="1187">J1064</f>
        <v>0</v>
      </c>
      <c r="K1150" s="248">
        <f t="shared" ref="K1150" si="1188">K1064</f>
        <v>0</v>
      </c>
      <c r="L1150" s="248">
        <f t="shared" ref="L1150" si="1189">L1064</f>
        <v>0</v>
      </c>
      <c r="M1150" s="248">
        <f t="shared" si="1187"/>
        <v>0</v>
      </c>
      <c r="N1150" s="248">
        <f t="shared" ref="N1150" si="1190">N1064</f>
        <v>0</v>
      </c>
      <c r="O1150" s="248">
        <f t="shared" si="1187"/>
        <v>0</v>
      </c>
      <c r="P1150" s="248">
        <f t="shared" si="1187"/>
        <v>0</v>
      </c>
      <c r="Q1150" s="248">
        <f t="shared" si="1187"/>
        <v>0</v>
      </c>
    </row>
    <row r="1151" spans="1:43">
      <c r="H1151" s="95" t="s">
        <v>1206</v>
      </c>
      <c r="I1151" s="248">
        <f t="shared" ref="I1151" si="1191">I1094</f>
        <v>0</v>
      </c>
      <c r="J1151" s="248">
        <f t="shared" ref="J1151:Q1151" si="1192">J1094</f>
        <v>0</v>
      </c>
      <c r="K1151" s="248">
        <f t="shared" ref="K1151" si="1193">K1094</f>
        <v>0</v>
      </c>
      <c r="L1151" s="248">
        <f t="shared" ref="L1151" si="1194">L1094</f>
        <v>0</v>
      </c>
      <c r="M1151" s="248">
        <f t="shared" si="1192"/>
        <v>0</v>
      </c>
      <c r="N1151" s="248">
        <f t="shared" ref="N1151" si="1195">N1094</f>
        <v>0</v>
      </c>
      <c r="O1151" s="248">
        <f t="shared" si="1192"/>
        <v>0</v>
      </c>
      <c r="P1151" s="248">
        <f t="shared" si="1192"/>
        <v>0</v>
      </c>
      <c r="Q1151" s="248">
        <f t="shared" si="1192"/>
        <v>0</v>
      </c>
    </row>
    <row r="1152" spans="1:43">
      <c r="H1152" s="95" t="s">
        <v>1097</v>
      </c>
      <c r="I1152" s="248">
        <f t="shared" ref="I1152" si="1196">I1125</f>
        <v>0</v>
      </c>
      <c r="J1152" s="248">
        <f t="shared" ref="J1152:Q1152" si="1197">J1125</f>
        <v>0</v>
      </c>
      <c r="K1152" s="248">
        <f t="shared" ref="K1152" si="1198">K1125</f>
        <v>0</v>
      </c>
      <c r="L1152" s="248">
        <f t="shared" ref="L1152" si="1199">L1125</f>
        <v>0</v>
      </c>
      <c r="M1152" s="248">
        <f t="shared" si="1197"/>
        <v>0</v>
      </c>
      <c r="N1152" s="248">
        <f t="shared" ref="N1152" si="1200">N1125</f>
        <v>0</v>
      </c>
      <c r="O1152" s="248">
        <f t="shared" si="1197"/>
        <v>0</v>
      </c>
      <c r="P1152" s="248">
        <f t="shared" si="1197"/>
        <v>0</v>
      </c>
      <c r="Q1152" s="248">
        <f t="shared" si="1197"/>
        <v>0</v>
      </c>
    </row>
    <row r="1153" spans="8:17">
      <c r="H1153" s="95" t="s">
        <v>56</v>
      </c>
      <c r="I1153" s="248">
        <f t="shared" ref="I1153" si="1201">I1132</f>
        <v>0</v>
      </c>
      <c r="J1153" s="248">
        <f t="shared" ref="J1153:Q1153" si="1202">J1132</f>
        <v>0</v>
      </c>
      <c r="K1153" s="248">
        <f t="shared" ref="K1153" si="1203">K1132</f>
        <v>0</v>
      </c>
      <c r="L1153" s="248">
        <f t="shared" ref="L1153" si="1204">L1132</f>
        <v>0</v>
      </c>
      <c r="M1153" s="248">
        <f t="shared" si="1202"/>
        <v>0</v>
      </c>
      <c r="N1153" s="248">
        <f t="shared" ref="N1153" si="1205">N1132</f>
        <v>0</v>
      </c>
      <c r="O1153" s="248">
        <f t="shared" si="1202"/>
        <v>0</v>
      </c>
      <c r="P1153" s="248">
        <f t="shared" si="1202"/>
        <v>0</v>
      </c>
      <c r="Q1153" s="248">
        <f t="shared" si="1202"/>
        <v>0</v>
      </c>
    </row>
    <row r="1154" spans="8:17">
      <c r="H1154" s="95" t="s">
        <v>1207</v>
      </c>
      <c r="I1154" s="248">
        <f t="shared" ref="I1154" si="1206">I1138</f>
        <v>0</v>
      </c>
      <c r="J1154" s="248">
        <f t="shared" ref="J1154:Q1154" si="1207">J1138</f>
        <v>0</v>
      </c>
      <c r="K1154" s="248">
        <f t="shared" ref="K1154" si="1208">K1138</f>
        <v>0</v>
      </c>
      <c r="L1154" s="248">
        <f t="shared" ref="L1154" si="1209">L1138</f>
        <v>0</v>
      </c>
      <c r="M1154" s="248">
        <f t="shared" si="1207"/>
        <v>0</v>
      </c>
      <c r="N1154" s="248">
        <f t="shared" ref="N1154" si="1210">N1138</f>
        <v>0</v>
      </c>
      <c r="O1154" s="248">
        <f t="shared" si="1207"/>
        <v>0</v>
      </c>
      <c r="P1154" s="248">
        <f t="shared" si="1207"/>
        <v>0</v>
      </c>
      <c r="Q1154" s="248">
        <f t="shared" si="1207"/>
        <v>0</v>
      </c>
    </row>
  </sheetData>
  <sortState xmlns:xlrd2="http://schemas.microsoft.com/office/spreadsheetml/2017/richdata2" ref="A705:BC722">
    <sortCondition ref="C705:C722"/>
  </sortState>
  <mergeCells count="33">
    <mergeCell ref="H118:T118"/>
    <mergeCell ref="H195:T195"/>
    <mergeCell ref="H242:T242"/>
    <mergeCell ref="H367:T367"/>
    <mergeCell ref="H425:T425"/>
    <mergeCell ref="H149:T149"/>
    <mergeCell ref="H299:T299"/>
    <mergeCell ref="H41:T41"/>
    <mergeCell ref="H83:T83"/>
    <mergeCell ref="H1:T3"/>
    <mergeCell ref="W1:X1"/>
    <mergeCell ref="W2:X2"/>
    <mergeCell ref="W3:X3"/>
    <mergeCell ref="H10:T10"/>
    <mergeCell ref="H8:T8"/>
    <mergeCell ref="H496:T496"/>
    <mergeCell ref="H432:T432"/>
    <mergeCell ref="H973:T973"/>
    <mergeCell ref="H1005:T1005"/>
    <mergeCell ref="H1026:T1026"/>
    <mergeCell ref="H639:T639"/>
    <mergeCell ref="H551:T551"/>
    <mergeCell ref="H587:T587"/>
    <mergeCell ref="H597:T597"/>
    <mergeCell ref="H617:T617"/>
    <mergeCell ref="H706:T706"/>
    <mergeCell ref="H1038:T1038"/>
    <mergeCell ref="H731:T731"/>
    <mergeCell ref="H827:T827"/>
    <mergeCell ref="H869:T869"/>
    <mergeCell ref="H902:T902"/>
    <mergeCell ref="H931:T931"/>
    <mergeCell ref="H771:T771"/>
  </mergeCells>
  <conditionalFormatting sqref="A763 A683:A761 A11:A681 A765:A1137">
    <cfRule type="duplicateValues" dxfId="100" priority="88"/>
  </conditionalFormatting>
  <conditionalFormatting sqref="A762">
    <cfRule type="duplicateValues" dxfId="99" priority="3"/>
  </conditionalFormatting>
  <conditionalFormatting sqref="A764">
    <cfRule type="duplicateValues" dxfId="98" priority="2"/>
  </conditionalFormatting>
  <conditionalFormatting sqref="A682">
    <cfRule type="duplicateValues" dxfId="97" priority="1"/>
  </conditionalFormatting>
  <hyperlinks>
    <hyperlink ref="W1" location="'TABLE OF CONTENTS'!A1" display="GO TO SUMMARY PAGE" xr:uid="{00000000-0004-0000-0C00-000000000000}"/>
    <hyperlink ref="W2" location="'TABLE OF CONTENTS'!A1" display="GO TO SUMMARY PAGE" xr:uid="{00000000-0004-0000-0C00-000001000000}"/>
    <hyperlink ref="W3" location="'TABLE OF CONTENTS'!A1" display="GO TO SUMMARY PAGE" xr:uid="{00000000-0004-0000-0C00-000002000000}"/>
    <hyperlink ref="W2:X2" location="'DEPARTMENTAL SUMMARY'!A1" display="GO TO DEPT SUMMARY" xr:uid="{00000000-0004-0000-0C00-000003000000}"/>
    <hyperlink ref="W3:X3" location="ASSUMPTIONS!A1" display="GO TO ASSUMPTIONS" xr:uid="{00000000-0004-0000-0C00-000004000000}"/>
    <hyperlink ref="AF1" location="Revenue" display="GO TO REVENUES " xr:uid="{00000000-0004-0000-0C00-000005000000}"/>
    <hyperlink ref="AF2" location="GFSUM" display="GO TO SUMMARY" xr:uid="{00000000-0004-0000-0C00-000006000000}"/>
  </hyperlinks>
  <printOptions horizontalCentered="1"/>
  <pageMargins left="0.17" right="0.17" top="0.33" bottom="0.38" header="0.2" footer="0.3"/>
  <pageSetup scale="49" orientation="landscape" r:id="rId1"/>
  <headerFooter alignWithMargins="0"/>
  <rowBreaks count="25" manualBreakCount="25">
    <brk id="39" min="7" max="27" man="1"/>
    <brk id="81" min="7" max="27" man="1"/>
    <brk id="116" min="7" max="27" man="1"/>
    <brk id="147" min="7" max="27" man="1"/>
    <brk id="193" min="7" max="27" man="1"/>
    <brk id="240" min="7" max="27" man="1"/>
    <brk id="297" min="7" max="27" man="1"/>
    <brk id="365" min="7" max="27" man="1"/>
    <brk id="423" min="7" max="27" man="1"/>
    <brk id="430" min="7" max="27" man="1"/>
    <brk id="494" min="7" max="27" man="1"/>
    <brk id="549" min="7" max="27" man="1"/>
    <brk id="585" min="7" max="27" man="1"/>
    <brk id="637" min="7" max="27" man="1"/>
    <brk id="705" min="7" max="27" man="1"/>
    <brk id="730" min="7" max="27" man="1"/>
    <brk id="769" min="7" max="27" man="1"/>
    <brk id="825" min="7" max="27" man="1"/>
    <brk id="867" min="7" max="27" man="1"/>
    <brk id="900" min="7" max="27" man="1"/>
    <brk id="929" min="7" max="27" man="1"/>
    <brk id="971" min="7" max="27" man="1"/>
    <brk id="1003" min="7" max="27" man="1"/>
    <brk id="1024" min="7" max="27" man="1"/>
    <brk id="1036" min="7" max="2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C00000"/>
  </sheetPr>
  <dimension ref="A1:BE2441"/>
  <sheetViews>
    <sheetView view="pageBreakPreview" zoomScale="70" zoomScaleNormal="100" zoomScaleSheetLayoutView="70" workbookViewId="0">
      <selection activeCell="H11" sqref="H11:T11"/>
    </sheetView>
  </sheetViews>
  <sheetFormatPr defaultColWidth="8.88671875" defaultRowHeight="13.8"/>
  <cols>
    <col min="1" max="1" width="19.5546875" style="68" customWidth="1"/>
    <col min="2" max="2" width="7.88671875" style="68" customWidth="1"/>
    <col min="3" max="3" width="7.109375" style="68" customWidth="1"/>
    <col min="4" max="4" width="10.109375" style="68" customWidth="1"/>
    <col min="5" max="5" width="12.109375" style="68" customWidth="1"/>
    <col min="6" max="6" width="6.109375" style="148" customWidth="1"/>
    <col min="7" max="7" width="20.109375" style="148" customWidth="1"/>
    <col min="8" max="8" width="34.88671875" style="95" customWidth="1"/>
    <col min="9" max="9" width="16.5546875" style="245" customWidth="1"/>
    <col min="10" max="12" width="16.5546875" style="245" hidden="1" customWidth="1"/>
    <col min="13" max="13" width="15.88671875" style="245" hidden="1" customWidth="1"/>
    <col min="14" max="14" width="16.88671875" style="245" hidden="1" customWidth="1"/>
    <col min="15" max="15" width="16.88671875" style="245" customWidth="1"/>
    <col min="16" max="16" width="14.5546875" style="245" customWidth="1"/>
    <col min="17" max="17" width="16" style="246" customWidth="1"/>
    <col min="18" max="18" width="16.88671875" style="212" customWidth="1"/>
    <col min="19" max="19" width="14.44140625" style="212" customWidth="1"/>
    <col min="20" max="20" width="16.109375" style="246" customWidth="1"/>
    <col min="21" max="21" width="13" style="105" customWidth="1"/>
    <col min="22" max="22" width="13.109375" style="262" customWidth="1"/>
    <col min="23" max="23" width="12.109375" style="121" customWidth="1"/>
    <col min="24" max="24" width="15.5546875" style="121" customWidth="1"/>
    <col min="25" max="25" width="12.109375" style="121" customWidth="1"/>
    <col min="26" max="26" width="13.5546875" style="121" customWidth="1"/>
    <col min="27" max="27" width="15.88671875" style="121" customWidth="1"/>
    <col min="28" max="28" width="12.5546875" style="121" customWidth="1"/>
    <col min="29" max="29" width="18" style="121" customWidth="1"/>
    <col min="30" max="30" width="16.109375" style="121" customWidth="1"/>
    <col min="31" max="31" width="22.109375" style="121" customWidth="1"/>
    <col min="32" max="32" width="20.109375" style="121" customWidth="1"/>
    <col min="33" max="33" width="19" style="121" customWidth="1"/>
    <col min="34" max="34" width="22.109375" style="121" customWidth="1"/>
    <col min="35" max="35" width="20.88671875" style="121" customWidth="1"/>
    <col min="36" max="36" width="17.88671875" style="115" customWidth="1"/>
    <col min="37" max="37" width="22.109375" style="115" customWidth="1"/>
    <col min="38" max="38" width="26.109375" style="115" customWidth="1"/>
    <col min="39" max="39" width="21.44140625" style="115" customWidth="1"/>
    <col min="40" max="40" width="13.109375" style="115" customWidth="1"/>
    <col min="41" max="41" width="12.88671875" style="115" customWidth="1"/>
    <col min="42" max="42" width="12.44140625" style="115" customWidth="1"/>
    <col min="43" max="48" width="8.88671875" style="115" customWidth="1"/>
    <col min="49" max="54" width="8.88671875" style="115"/>
    <col min="55" max="16384" width="8.88671875" style="68"/>
  </cols>
  <sheetData>
    <row r="1" spans="1:57" ht="14.4" thickBot="1"/>
    <row r="2" spans="1:57" ht="18" customHeight="1" thickBot="1">
      <c r="H2" s="671" t="str">
        <f>A3&amp;" OTHER OPERATING FUNDS WORKING BUDGET"</f>
        <v>FY 2024-25 OTHER OPERATING FUNDS WORKING BUDGET</v>
      </c>
      <c r="I2" s="672"/>
      <c r="J2" s="673"/>
      <c r="K2" s="672"/>
      <c r="L2" s="672"/>
      <c r="M2" s="673"/>
      <c r="N2" s="672"/>
      <c r="O2" s="673"/>
      <c r="P2" s="673"/>
      <c r="Q2" s="673"/>
      <c r="R2" s="673"/>
      <c r="S2" s="673"/>
      <c r="T2" s="674"/>
      <c r="U2" s="692" t="s">
        <v>38</v>
      </c>
      <c r="V2" s="693"/>
      <c r="AC2" s="84" t="s">
        <v>63</v>
      </c>
      <c r="BB2" s="68"/>
    </row>
    <row r="3" spans="1:57" ht="18" customHeight="1" thickBot="1">
      <c r="A3" s="46" t="str">
        <f>'General Fund Line-Item Details'!A2</f>
        <v>FY 2024-25</v>
      </c>
      <c r="B3" s="46"/>
      <c r="C3" s="46"/>
      <c r="D3" s="46"/>
      <c r="E3" s="46"/>
      <c r="H3" s="675"/>
      <c r="I3" s="676"/>
      <c r="J3" s="676"/>
      <c r="K3" s="676"/>
      <c r="L3" s="676"/>
      <c r="M3" s="676"/>
      <c r="N3" s="676"/>
      <c r="O3" s="676"/>
      <c r="P3" s="676"/>
      <c r="Q3" s="676"/>
      <c r="R3" s="676"/>
      <c r="S3" s="676"/>
      <c r="T3" s="677"/>
      <c r="U3" s="692" t="s">
        <v>61</v>
      </c>
      <c r="V3" s="693"/>
      <c r="AC3" s="84" t="s">
        <v>64</v>
      </c>
      <c r="BB3" s="68"/>
    </row>
    <row r="4" spans="1:57" ht="18" customHeight="1" thickBot="1">
      <c r="A4" s="47"/>
      <c r="B4" s="46"/>
      <c r="C4" s="46"/>
      <c r="D4" s="46"/>
      <c r="E4" s="46"/>
      <c r="H4" s="678"/>
      <c r="I4" s="679"/>
      <c r="J4" s="679"/>
      <c r="K4" s="679"/>
      <c r="L4" s="679"/>
      <c r="M4" s="679"/>
      <c r="N4" s="679"/>
      <c r="O4" s="679"/>
      <c r="P4" s="679"/>
      <c r="Q4" s="679"/>
      <c r="R4" s="679"/>
      <c r="S4" s="679"/>
      <c r="T4" s="680"/>
      <c r="U4" s="692" t="s">
        <v>62</v>
      </c>
      <c r="V4" s="693"/>
      <c r="AF4" s="121" t="s">
        <v>116</v>
      </c>
      <c r="BB4" s="68"/>
    </row>
    <row r="5" spans="1:57" ht="30.75" customHeight="1" thickBot="1">
      <c r="A5" s="48"/>
      <c r="B5" s="48"/>
      <c r="C5" s="48"/>
      <c r="D5" s="48"/>
      <c r="E5" s="48"/>
      <c r="H5" s="86"/>
      <c r="I5" s="86"/>
      <c r="J5" s="86"/>
      <c r="K5" s="86"/>
      <c r="L5" s="86"/>
      <c r="M5" s="86"/>
      <c r="N5" s="87"/>
      <c r="O5" s="87"/>
      <c r="P5" s="87"/>
      <c r="Q5" s="86"/>
      <c r="R5" s="86"/>
      <c r="S5" s="86"/>
      <c r="T5" s="86"/>
    </row>
    <row r="6" spans="1:57" s="61" customFormat="1" ht="68.400000000000006" customHeight="1" thickBot="1">
      <c r="A6" s="58"/>
      <c r="B6" s="191"/>
      <c r="C6" s="191"/>
      <c r="D6" s="191"/>
      <c r="E6" s="191"/>
      <c r="F6" s="59"/>
      <c r="G6" s="59"/>
      <c r="H6" s="492" t="s">
        <v>47</v>
      </c>
      <c r="I6" s="493" t="str">
        <f>'General Fund Line-Item Details'!I5</f>
        <v>FY 2019-20 Actual</v>
      </c>
      <c r="J6" s="493" t="str">
        <f>'General Fund Line-Item Details'!J5</f>
        <v>FY 2020-21 Actual</v>
      </c>
      <c r="K6" s="493" t="str">
        <f>'General Fund Line-Item Details'!K5</f>
        <v>FY 2021-22 Actual</v>
      </c>
      <c r="L6" s="493" t="str">
        <f>'General Fund Line-Item Details'!L5</f>
        <v>FY 2022-23 Actual</v>
      </c>
      <c r="M6" s="493" t="str">
        <f>'General Fund Line-Item Details'!M5</f>
        <v>FY 2023-24 Budget</v>
      </c>
      <c r="N6" s="493" t="str">
        <f>'General Fund Line-Item Details'!N5</f>
        <v>FY 2023-24 
YTD</v>
      </c>
      <c r="O6" s="493" t="str">
        <f>'General Fund Line-Item Details'!O5</f>
        <v>FY 2023-24 
YE Proj.</v>
      </c>
      <c r="P6" s="493" t="str">
        <f>'General Fund Line-Item Details'!P5</f>
        <v>Adopted vs. YEP</v>
      </c>
      <c r="Q6" s="493" t="str">
        <f>'General Fund Line-Item Details'!Q5</f>
        <v>FY 2024-25 
Base</v>
      </c>
      <c r="R6" s="493" t="str">
        <f>'General Fund Line-Item Details'!R5</f>
        <v>FY 2024-25 ATB</v>
      </c>
      <c r="S6" s="493" t="str">
        <f>'General Fund Line-Item Details'!S5</f>
        <v>FY 2024-25 
Enct.</v>
      </c>
      <c r="T6" s="494" t="str">
        <f>'General Fund Line-Item Details'!T5</f>
        <v>FY 2024-25 
Proposed Budget</v>
      </c>
      <c r="U6" s="208" t="str">
        <f>'General Fund Line-Item Details'!U5</f>
        <v>Budget Variance ($)</v>
      </c>
      <c r="V6" s="208" t="str">
        <f>'General Fund Line-Item Details'!V5</f>
        <v>Budget Variance (%)</v>
      </c>
      <c r="W6" s="121"/>
      <c r="X6" s="121" t="s">
        <v>74</v>
      </c>
      <c r="Y6" s="121" t="s">
        <v>75</v>
      </c>
      <c r="Z6" s="121" t="s">
        <v>76</v>
      </c>
      <c r="AA6" s="121" t="s">
        <v>77</v>
      </c>
      <c r="AB6" s="121" t="s">
        <v>78</v>
      </c>
      <c r="AC6" s="121"/>
      <c r="AD6" s="121"/>
      <c r="AE6" s="121" t="s">
        <v>104</v>
      </c>
      <c r="AF6" s="121" t="s">
        <v>79</v>
      </c>
      <c r="AG6" s="121" t="s">
        <v>80</v>
      </c>
      <c r="AH6" s="121" t="s">
        <v>81</v>
      </c>
      <c r="AI6" s="121" t="s">
        <v>82</v>
      </c>
      <c r="AJ6" s="121" t="s">
        <v>100</v>
      </c>
      <c r="AK6" s="121" t="s">
        <v>101</v>
      </c>
      <c r="AL6" s="121" t="s">
        <v>102</v>
      </c>
      <c r="AM6" s="121" t="s">
        <v>108</v>
      </c>
      <c r="AN6" s="121" t="s">
        <v>109</v>
      </c>
      <c r="AO6" s="121" t="s">
        <v>110</v>
      </c>
      <c r="AP6" s="121" t="s">
        <v>111</v>
      </c>
      <c r="AQ6" s="115"/>
      <c r="AR6" s="115"/>
      <c r="AS6" s="115"/>
      <c r="AT6" s="115"/>
      <c r="AU6" s="115"/>
      <c r="AV6" s="115"/>
      <c r="AW6" s="115"/>
      <c r="AX6" s="115"/>
      <c r="AY6" s="115"/>
      <c r="AZ6" s="60"/>
      <c r="BA6" s="60"/>
      <c r="BB6" s="60"/>
    </row>
    <row r="7" spans="1:57" ht="15" hidden="1" customHeight="1" thickBot="1">
      <c r="A7" s="210">
        <v>1</v>
      </c>
      <c r="B7" s="211">
        <f>A7+1</f>
        <v>2</v>
      </c>
      <c r="C7" s="211">
        <f t="shared" ref="C7:X7" si="0">B7+1</f>
        <v>3</v>
      </c>
      <c r="D7" s="211">
        <f t="shared" si="0"/>
        <v>4</v>
      </c>
      <c r="E7" s="211">
        <f t="shared" si="0"/>
        <v>5</v>
      </c>
      <c r="F7" s="211">
        <f t="shared" si="0"/>
        <v>6</v>
      </c>
      <c r="G7" s="211">
        <f t="shared" si="0"/>
        <v>7</v>
      </c>
      <c r="H7" s="211">
        <f t="shared" si="0"/>
        <v>8</v>
      </c>
      <c r="I7" s="211" t="e">
        <f>#REF!+1</f>
        <v>#REF!</v>
      </c>
      <c r="J7" s="211" t="e">
        <f>#REF!+1</f>
        <v>#REF!</v>
      </c>
      <c r="K7" s="211" t="e">
        <f>I7+1</f>
        <v>#REF!</v>
      </c>
      <c r="L7" s="211" t="e">
        <f>I7+1</f>
        <v>#REF!</v>
      </c>
      <c r="M7" s="211" t="e">
        <f>J7+1</f>
        <v>#REF!</v>
      </c>
      <c r="N7" s="211" t="e">
        <f>J7+1</f>
        <v>#REF!</v>
      </c>
      <c r="O7" s="211" t="e">
        <f>M7+1</f>
        <v>#REF!</v>
      </c>
      <c r="P7" s="211" t="e">
        <f t="shared" si="0"/>
        <v>#REF!</v>
      </c>
      <c r="Q7" s="211" t="e">
        <f t="shared" si="0"/>
        <v>#REF!</v>
      </c>
      <c r="R7" s="211" t="e">
        <f t="shared" si="0"/>
        <v>#REF!</v>
      </c>
      <c r="S7" s="211" t="e">
        <f>#REF!+1</f>
        <v>#REF!</v>
      </c>
      <c r="T7" s="211" t="e">
        <f>#REF!+1</f>
        <v>#REF!</v>
      </c>
      <c r="U7" s="211"/>
      <c r="V7" s="211"/>
      <c r="W7" s="211">
        <v>26</v>
      </c>
      <c r="X7" s="211">
        <f t="shared" si="0"/>
        <v>27</v>
      </c>
      <c r="Y7" s="269"/>
      <c r="AJ7" s="121"/>
      <c r="AK7" s="121"/>
      <c r="AL7" s="121"/>
      <c r="BC7" s="115"/>
      <c r="BD7" s="115"/>
      <c r="BE7" s="115"/>
    </row>
    <row r="8" spans="1:57" ht="15" hidden="1" customHeight="1" thickBot="1">
      <c r="A8" s="213"/>
      <c r="B8" s="213"/>
      <c r="C8" s="213"/>
      <c r="D8" s="213"/>
      <c r="E8" s="213"/>
      <c r="F8" s="103"/>
      <c r="G8" s="103"/>
      <c r="H8" s="89">
        <v>2</v>
      </c>
      <c r="I8" s="323">
        <f>Import!F2</f>
        <v>6</v>
      </c>
      <c r="J8" s="323">
        <f>Import!G2</f>
        <v>7</v>
      </c>
      <c r="K8" s="323">
        <f>Import!H2</f>
        <v>8</v>
      </c>
      <c r="L8" s="323">
        <f>Import!H2</f>
        <v>8</v>
      </c>
      <c r="M8" s="323">
        <f>Import!H2</f>
        <v>8</v>
      </c>
      <c r="N8" s="323">
        <f>Import!I2</f>
        <v>9</v>
      </c>
      <c r="O8" s="323">
        <f>Import!J2</f>
        <v>10</v>
      </c>
      <c r="P8" s="90"/>
      <c r="Q8" s="323">
        <f>Import!K2</f>
        <v>11</v>
      </c>
      <c r="R8" s="323">
        <f>Import!L2</f>
        <v>12</v>
      </c>
      <c r="S8" s="323">
        <f>Import!M2</f>
        <v>13</v>
      </c>
      <c r="T8" s="323">
        <f>Import!N2</f>
        <v>14</v>
      </c>
      <c r="U8" s="214"/>
      <c r="V8" s="214"/>
      <c r="W8" s="104"/>
      <c r="X8" s="148"/>
      <c r="Y8" s="267"/>
      <c r="AJ8" s="121"/>
      <c r="AK8" s="121"/>
      <c r="AL8" s="121"/>
      <c r="BC8" s="115"/>
      <c r="BD8" s="115"/>
      <c r="BE8" s="115"/>
    </row>
    <row r="9" spans="1:57" s="115" customFormat="1" ht="15" hidden="1" customHeight="1" thickBot="1">
      <c r="A9" s="187"/>
      <c r="B9" s="190"/>
      <c r="C9" s="190"/>
      <c r="D9" s="69"/>
      <c r="E9" s="69"/>
      <c r="F9" s="149"/>
      <c r="G9" s="146"/>
      <c r="H9" s="98"/>
      <c r="I9" s="99"/>
      <c r="J9" s="99"/>
      <c r="K9" s="99"/>
      <c r="L9" s="99"/>
      <c r="M9" s="99"/>
      <c r="N9" s="99"/>
      <c r="O9" s="99"/>
      <c r="P9" s="99"/>
      <c r="Q9" s="99"/>
      <c r="R9" s="242"/>
      <c r="S9" s="242"/>
      <c r="T9" s="468"/>
      <c r="U9" s="263"/>
      <c r="V9" s="88"/>
      <c r="W9" s="192"/>
      <c r="X9" s="194"/>
      <c r="Y9" s="194"/>
      <c r="Z9" s="194"/>
      <c r="AA9" s="194"/>
      <c r="AB9" s="194"/>
      <c r="AC9" s="192"/>
      <c r="AD9" s="192"/>
      <c r="AE9" s="194"/>
      <c r="AF9" s="194"/>
      <c r="AG9" s="194"/>
      <c r="AH9" s="194"/>
      <c r="AI9" s="194"/>
      <c r="AJ9" s="194"/>
      <c r="AK9" s="194"/>
      <c r="AL9" s="194"/>
      <c r="AM9" s="192"/>
      <c r="AN9" s="192"/>
      <c r="AO9" s="192"/>
      <c r="AP9" s="192"/>
      <c r="AQ9" s="192"/>
      <c r="AR9" s="192"/>
    </row>
    <row r="10" spans="1:57" s="115" customFormat="1" ht="15" customHeight="1" thickBot="1">
      <c r="A10" s="187"/>
      <c r="B10" s="190"/>
      <c r="C10" s="190"/>
      <c r="D10" s="69"/>
      <c r="E10" s="69"/>
      <c r="F10" s="149"/>
      <c r="G10" s="146"/>
      <c r="H10" s="98"/>
      <c r="I10" s="99"/>
      <c r="J10" s="99"/>
      <c r="K10" s="99"/>
      <c r="L10" s="99"/>
      <c r="M10" s="99"/>
      <c r="N10" s="99"/>
      <c r="O10" s="99"/>
      <c r="P10" s="99"/>
      <c r="Q10" s="99"/>
      <c r="R10" s="242"/>
      <c r="S10" s="242"/>
      <c r="T10" s="468"/>
      <c r="U10" s="263"/>
      <c r="V10" s="88"/>
      <c r="W10" s="192"/>
      <c r="X10" s="194"/>
      <c r="Y10" s="194"/>
      <c r="Z10" s="194"/>
      <c r="AA10" s="194"/>
      <c r="AB10" s="194"/>
      <c r="AC10" s="192"/>
      <c r="AD10" s="192"/>
      <c r="AE10" s="194"/>
      <c r="AF10" s="194"/>
      <c r="AG10" s="194"/>
      <c r="AH10" s="194"/>
      <c r="AI10" s="194"/>
      <c r="AJ10" s="194"/>
      <c r="AK10" s="194"/>
      <c r="AL10" s="194"/>
      <c r="AM10" s="192"/>
      <c r="AN10" s="192"/>
      <c r="AO10" s="192"/>
      <c r="AP10" s="192"/>
      <c r="AQ10" s="192"/>
      <c r="AR10" s="192"/>
    </row>
    <row r="11" spans="1:57" s="115" customFormat="1" ht="20.100000000000001" customHeight="1" thickBot="1">
      <c r="A11" s="187"/>
      <c r="B11" s="190"/>
      <c r="C11" s="190"/>
      <c r="D11" s="69"/>
      <c r="E11" s="69"/>
      <c r="F11" s="149"/>
      <c r="G11" s="146"/>
      <c r="H11" s="668" t="s">
        <v>681</v>
      </c>
      <c r="I11" s="669"/>
      <c r="J11" s="669"/>
      <c r="K11" s="669"/>
      <c r="L11" s="669"/>
      <c r="M11" s="669"/>
      <c r="N11" s="669"/>
      <c r="O11" s="669"/>
      <c r="P11" s="669"/>
      <c r="Q11" s="669"/>
      <c r="R11" s="669"/>
      <c r="S11" s="669"/>
      <c r="T11" s="670"/>
      <c r="U11" s="263"/>
      <c r="V11" s="88"/>
      <c r="W11" s="192"/>
      <c r="X11" s="194"/>
      <c r="Y11" s="194"/>
      <c r="Z11" s="194"/>
      <c r="AA11" s="194"/>
      <c r="AB11" s="194"/>
      <c r="AC11" s="192"/>
      <c r="AD11" s="192"/>
      <c r="AE11" s="194"/>
      <c r="AF11" s="194"/>
      <c r="AG11" s="194"/>
      <c r="AH11" s="194"/>
      <c r="AI11" s="194"/>
      <c r="AJ11" s="194"/>
      <c r="AK11" s="194"/>
      <c r="AL11" s="194"/>
      <c r="AM11" s="192"/>
      <c r="AN11" s="192"/>
      <c r="AO11" s="192"/>
      <c r="AP11" s="192"/>
      <c r="AQ11" s="192"/>
      <c r="AR11" s="192"/>
    </row>
    <row r="12" spans="1:57" s="115" customFormat="1" ht="15" customHeight="1">
      <c r="A12" s="187"/>
      <c r="B12" s="190"/>
      <c r="C12" s="190"/>
      <c r="D12" s="69"/>
      <c r="E12" s="69"/>
      <c r="F12" s="149"/>
      <c r="G12" s="146"/>
      <c r="H12" s="225"/>
      <c r="I12" s="225"/>
      <c r="J12" s="225"/>
      <c r="K12" s="225"/>
      <c r="L12" s="225"/>
      <c r="M12" s="225"/>
      <c r="N12" s="225"/>
      <c r="O12" s="225"/>
      <c r="P12" s="225"/>
      <c r="Q12" s="225"/>
      <c r="R12" s="225"/>
      <c r="S12" s="225"/>
      <c r="T12" s="225"/>
      <c r="U12" s="263"/>
      <c r="V12" s="88"/>
      <c r="W12" s="192"/>
      <c r="X12" s="194"/>
      <c r="Y12" s="194"/>
      <c r="Z12" s="194"/>
      <c r="AA12" s="194"/>
      <c r="AB12" s="194"/>
      <c r="AC12" s="192"/>
      <c r="AD12" s="192"/>
      <c r="AE12" s="194"/>
      <c r="AF12" s="194"/>
      <c r="AG12" s="194"/>
      <c r="AH12" s="194"/>
      <c r="AI12" s="194"/>
      <c r="AJ12" s="194"/>
      <c r="AK12" s="194"/>
      <c r="AL12" s="194"/>
      <c r="AM12" s="192"/>
      <c r="AN12" s="192"/>
      <c r="AO12" s="192"/>
      <c r="AP12" s="192"/>
      <c r="AQ12" s="192"/>
      <c r="AR12" s="192"/>
    </row>
    <row r="13" spans="1:57" s="115" customFormat="1" ht="15" customHeight="1">
      <c r="A13" s="555" t="s">
        <v>1740</v>
      </c>
      <c r="B13" s="217" t="str">
        <f t="shared" ref="B13:B61" si="1">LEFT(A13,3)</f>
        <v>110</v>
      </c>
      <c r="C13" s="217" t="str">
        <f t="shared" ref="C13:C61" si="2">MID(A13,5,2)</f>
        <v>00</v>
      </c>
      <c r="D13" s="101" t="str">
        <f t="shared" ref="D13:D61" si="3">MID(A13,8,3)</f>
        <v>000</v>
      </c>
      <c r="E13" s="217" t="str">
        <f t="shared" ref="E13:E61" si="4">LEFT(A13,10)</f>
        <v>110-00-000</v>
      </c>
      <c r="F13" s="294" t="str">
        <f t="shared" ref="F13:F61" si="5">RIGHT(A13,5)</f>
        <v>40200</v>
      </c>
      <c r="G13" s="295" t="str">
        <f>VLOOKUP(F13,'GL Category'!A:C,3,FALSE)</f>
        <v>SALES TAX</v>
      </c>
      <c r="H13" s="98" t="str">
        <f>VLOOKUP(F13,'GL Category'!A:C,2,FALSE)</f>
        <v>CITY SALES TAXES</v>
      </c>
      <c r="I13" s="99">
        <f>SUMIF(Import!$B:$B,'Other Fund Line-Item Details'!$A13,Import!D:D)</f>
        <v>-3617226.71</v>
      </c>
      <c r="J13" s="99">
        <f>SUMIF(Import!$B:$B,'Other Fund Line-Item Details'!$A13,Import!E:E)</f>
        <v>-4036096.9</v>
      </c>
      <c r="K13" s="99">
        <f>SUMIF(Import!$B:$B,'Other Fund Line-Item Details'!$A13,Import!F:F)</f>
        <v>-4555184.88</v>
      </c>
      <c r="L13" s="99">
        <f>SUMIF(Import!$B:$B,'Other Fund Line-Item Details'!$A13,Import!G:G)</f>
        <v>-4717834.04</v>
      </c>
      <c r="M13" s="99">
        <f>SUMIF(Import!$B:$B,'Other Fund Line-Item Details'!$A13,Import!H:H)</f>
        <v>-4690828</v>
      </c>
      <c r="N13" s="99">
        <f>SUMIF(Import!$B:$B,'Other Fund Line-Item Details'!$A13,Import!I:I)</f>
        <v>-3914365.55</v>
      </c>
      <c r="O13" s="99">
        <f>SUMIF(Import!$B:$B,'Other Fund Line-Item Details'!$A13,Import!J:J)</f>
        <v>-4690828</v>
      </c>
      <c r="P13" s="99">
        <f t="shared" ref="P13:P21" si="6">O13-M13</f>
        <v>0</v>
      </c>
      <c r="Q13" s="99">
        <f>SUMIF(Import!$B:$B,'Other Fund Line-Item Details'!$A13,Import!K:K)</f>
        <v>-4690828</v>
      </c>
      <c r="R13" s="99">
        <f>SUMIF(Import!$B:$B,'Other Fund Line-Item Details'!$A13,Import!L:L)</f>
        <v>0</v>
      </c>
      <c r="S13" s="99">
        <f>SUMIF(Import!$B:$B,'Other Fund Line-Item Details'!$A13,Import!M:M)</f>
        <v>0</v>
      </c>
      <c r="T13" s="99">
        <f>SUMIF(Import!$B:$B,'Other Fund Line-Item Details'!$A13,Import!N:N)</f>
        <v>-4690828</v>
      </c>
      <c r="U13" s="99">
        <f t="shared" ref="U13:U22" si="7">T13-M13</f>
        <v>0</v>
      </c>
      <c r="V13" s="255">
        <f t="shared" ref="V13:V22" si="8">IF(M13=0,"N/A",T13/M13-1)</f>
        <v>0</v>
      </c>
      <c r="W13" s="102" t="s">
        <v>1740</v>
      </c>
      <c r="X13" s="102"/>
      <c r="Y13" s="102">
        <f t="shared" ref="Y13:Y21" si="9">T13-X13</f>
        <v>-4690828</v>
      </c>
      <c r="Z13" s="309">
        <f>Y13*(1+VLOOKUP($F13,'GL Category'!$A:$H,4,FALSE))</f>
        <v>-4784644.5600000005</v>
      </c>
      <c r="AA13" s="615"/>
      <c r="AB13" s="622">
        <f t="shared" ref="AB13:AB21" si="10">Z13+AA13</f>
        <v>-4784644.5600000005</v>
      </c>
      <c r="AC13" s="633">
        <f>AB13*(1+VLOOKUP($F13,'GL Category'!$A:$H,5,FALSE))</f>
        <v>-4904260.6739999996</v>
      </c>
      <c r="AD13" s="307"/>
      <c r="AE13" s="622">
        <f t="shared" ref="AE13:AE21" si="11">AC13+AD13</f>
        <v>-4904260.6739999996</v>
      </c>
      <c r="AF13" s="633">
        <f>AE13*(1+VLOOKUP($F13,'GL Category'!$A:$H,6,FALSE))</f>
        <v>-5026867.190849999</v>
      </c>
      <c r="AG13" s="307"/>
      <c r="AH13" s="622">
        <f t="shared" ref="AH13:AH21" si="12">AF13+AG13</f>
        <v>-5026867.190849999</v>
      </c>
      <c r="AI13" s="633">
        <f>AH13*(1+VLOOKUP($F13,'GL Category'!$A:$H,7,FALSE))</f>
        <v>-5152538.8706212481</v>
      </c>
      <c r="AJ13" s="307"/>
      <c r="AK13" s="622">
        <f t="shared" ref="AK13:AK21" si="13">AI13+AJ13</f>
        <v>-5152538.8706212481</v>
      </c>
      <c r="AL13" s="633">
        <f>AK13*(1+VLOOKUP($F13,'GL Category'!$A:$H,8,FALSE))</f>
        <v>-5281352.3423867784</v>
      </c>
      <c r="AM13" s="307"/>
      <c r="AN13" s="622">
        <f t="shared" ref="AN13:AN21" si="14">AL13+AM13</f>
        <v>-5281352.3423867784</v>
      </c>
      <c r="AO13" s="192"/>
      <c r="AP13" s="192"/>
      <c r="AQ13" s="192"/>
      <c r="AR13" s="192"/>
    </row>
    <row r="14" spans="1:57" s="115" customFormat="1" ht="15" customHeight="1">
      <c r="A14" s="555" t="s">
        <v>1741</v>
      </c>
      <c r="B14" s="217" t="str">
        <f t="shared" si="1"/>
        <v>110</v>
      </c>
      <c r="C14" s="217" t="str">
        <f t="shared" si="2"/>
        <v>00</v>
      </c>
      <c r="D14" s="101" t="str">
        <f t="shared" si="3"/>
        <v>000</v>
      </c>
      <c r="E14" s="217" t="str">
        <f t="shared" si="4"/>
        <v>110-00-000</v>
      </c>
      <c r="F14" s="294" t="str">
        <f t="shared" si="5"/>
        <v>42110</v>
      </c>
      <c r="G14" s="295" t="str">
        <f>VLOOKUP(F14,'GL Category'!A:C,3,FALSE)</f>
        <v>CHARGES FOR SERVICE</v>
      </c>
      <c r="H14" s="98" t="str">
        <f>VLOOKUP(F14,'GL Category'!A:C,2,FALSE)</f>
        <v>GROUNDS LEASE</v>
      </c>
      <c r="I14" s="99">
        <f>SUMIF(Import!$B:$B,'Other Fund Line-Item Details'!$A14,Import!D:D)</f>
        <v>-16000</v>
      </c>
      <c r="J14" s="99">
        <f>SUMIF(Import!$B:$B,'Other Fund Line-Item Details'!$A14,Import!E:E)</f>
        <v>-16000</v>
      </c>
      <c r="K14" s="99">
        <f>SUMIF(Import!$B:$B,'Other Fund Line-Item Details'!$A14,Import!F:F)</f>
        <v>-16000</v>
      </c>
      <c r="L14" s="99">
        <f>SUMIF(Import!$B:$B,'Other Fund Line-Item Details'!$A14,Import!G:G)</f>
        <v>-16000</v>
      </c>
      <c r="M14" s="99">
        <f>SUMIF(Import!$B:$B,'Other Fund Line-Item Details'!$A14,Import!H:H)</f>
        <v>-16000</v>
      </c>
      <c r="N14" s="99">
        <f>SUMIF(Import!$B:$B,'Other Fund Line-Item Details'!$A14,Import!I:I)</f>
        <v>-27000</v>
      </c>
      <c r="O14" s="99">
        <f>SUMIF(Import!$B:$B,'Other Fund Line-Item Details'!$A14,Import!J:J)</f>
        <v>-27000</v>
      </c>
      <c r="P14" s="99">
        <f t="shared" si="6"/>
        <v>-11000</v>
      </c>
      <c r="Q14" s="99">
        <f>SUMIF(Import!$B:$B,'Other Fund Line-Item Details'!$A14,Import!K:K)</f>
        <v>-31000</v>
      </c>
      <c r="R14" s="99">
        <f>SUMIF(Import!$B:$B,'Other Fund Line-Item Details'!$A14,Import!L:L)</f>
        <v>0</v>
      </c>
      <c r="S14" s="99">
        <f>SUMIF(Import!$B:$B,'Other Fund Line-Item Details'!$A14,Import!M:M)</f>
        <v>0</v>
      </c>
      <c r="T14" s="99">
        <f>SUMIF(Import!$B:$B,'Other Fund Line-Item Details'!$A14,Import!N:N)</f>
        <v>-31000</v>
      </c>
      <c r="U14" s="99">
        <f t="shared" si="7"/>
        <v>-15000</v>
      </c>
      <c r="V14" s="255">
        <f t="shared" si="8"/>
        <v>0.9375</v>
      </c>
      <c r="W14" s="102" t="s">
        <v>1741</v>
      </c>
      <c r="X14" s="102"/>
      <c r="Y14" s="102">
        <f t="shared" si="9"/>
        <v>-31000</v>
      </c>
      <c r="Z14" s="309">
        <f>Y14*(1+VLOOKUP($F14,'GL Category'!$A:$H,4,FALSE))</f>
        <v>-31930</v>
      </c>
      <c r="AA14" s="615"/>
      <c r="AB14" s="622">
        <f t="shared" si="10"/>
        <v>-31930</v>
      </c>
      <c r="AC14" s="633">
        <f>AB14*(1+VLOOKUP($F14,'GL Category'!$A:$H,5,FALSE))</f>
        <v>-32887.9</v>
      </c>
      <c r="AD14" s="307"/>
      <c r="AE14" s="622">
        <f t="shared" si="11"/>
        <v>-32887.9</v>
      </c>
      <c r="AF14" s="633">
        <f>AE14*(1+VLOOKUP($F14,'GL Category'!$A:$H,6,FALSE))</f>
        <v>-33874.537000000004</v>
      </c>
      <c r="AG14" s="307"/>
      <c r="AH14" s="622">
        <f t="shared" si="12"/>
        <v>-33874.537000000004</v>
      </c>
      <c r="AI14" s="633">
        <f>AH14*(1+VLOOKUP($F14,'GL Category'!$A:$H,7,FALSE))</f>
        <v>-34890.773110000002</v>
      </c>
      <c r="AJ14" s="307"/>
      <c r="AK14" s="622">
        <f t="shared" si="13"/>
        <v>-34890.773110000002</v>
      </c>
      <c r="AL14" s="633">
        <f>AK14*(1+VLOOKUP($F14,'GL Category'!$A:$H,8,FALSE))</f>
        <v>-35937.496303300002</v>
      </c>
      <c r="AM14" s="307"/>
      <c r="AN14" s="622">
        <f t="shared" si="14"/>
        <v>-35937.496303300002</v>
      </c>
      <c r="AO14" s="192"/>
      <c r="AP14" s="192"/>
      <c r="AQ14" s="192"/>
      <c r="AR14" s="192"/>
    </row>
    <row r="15" spans="1:57" s="115" customFormat="1" ht="15" customHeight="1">
      <c r="A15" s="555" t="s">
        <v>1742</v>
      </c>
      <c r="B15" s="217" t="str">
        <f t="shared" si="1"/>
        <v>110</v>
      </c>
      <c r="C15" s="217" t="str">
        <f t="shared" si="2"/>
        <v>00</v>
      </c>
      <c r="D15" s="101" t="str">
        <f t="shared" si="3"/>
        <v>000</v>
      </c>
      <c r="E15" s="217" t="str">
        <f t="shared" si="4"/>
        <v>110-00-000</v>
      </c>
      <c r="F15" s="294" t="str">
        <f t="shared" si="5"/>
        <v>45100</v>
      </c>
      <c r="G15" s="295" t="str">
        <f>VLOOKUP(F15,'GL Category'!A:C,3,FALSE)</f>
        <v>DEBT ISSUANCES</v>
      </c>
      <c r="H15" s="98" t="str">
        <f>VLOOKUP(F15,'GL Category'!A:C,2,FALSE)</f>
        <v>PREMIUM ON DEBT ISSUANCE</v>
      </c>
      <c r="I15" s="99">
        <f>SUMIF(Import!$B:$B,'Other Fund Line-Item Details'!$A15,Import!D:D)</f>
        <v>0</v>
      </c>
      <c r="J15" s="99">
        <f>SUMIF(Import!$B:$B,'Other Fund Line-Item Details'!$A15,Import!E:E)</f>
        <v>0</v>
      </c>
      <c r="K15" s="99">
        <f>SUMIF(Import!$B:$B,'Other Fund Line-Item Details'!$A15,Import!F:F)</f>
        <v>0</v>
      </c>
      <c r="L15" s="99">
        <f>SUMIF(Import!$B:$B,'Other Fund Line-Item Details'!$A15,Import!G:G)</f>
        <v>0</v>
      </c>
      <c r="M15" s="99">
        <f>SUMIF(Import!$B:$B,'Other Fund Line-Item Details'!$A15,Import!H:H)</f>
        <v>0</v>
      </c>
      <c r="N15" s="99">
        <f>SUMIF(Import!$B:$B,'Other Fund Line-Item Details'!$A15,Import!I:I)</f>
        <v>0</v>
      </c>
      <c r="O15" s="99">
        <f>SUMIF(Import!$B:$B,'Other Fund Line-Item Details'!$A15,Import!J:J)</f>
        <v>0</v>
      </c>
      <c r="P15" s="99">
        <f t="shared" si="6"/>
        <v>0</v>
      </c>
      <c r="Q15" s="99">
        <f>SUMIF(Import!$B:$B,'Other Fund Line-Item Details'!$A15,Import!K:K)</f>
        <v>0</v>
      </c>
      <c r="R15" s="99">
        <f>SUMIF(Import!$B:$B,'Other Fund Line-Item Details'!$A15,Import!L:L)</f>
        <v>0</v>
      </c>
      <c r="S15" s="99">
        <f>SUMIF(Import!$B:$B,'Other Fund Line-Item Details'!$A15,Import!M:M)</f>
        <v>0</v>
      </c>
      <c r="T15" s="99">
        <f>SUMIF(Import!$B:$B,'Other Fund Line-Item Details'!$A15,Import!N:N)</f>
        <v>0</v>
      </c>
      <c r="U15" s="99">
        <f t="shared" si="7"/>
        <v>0</v>
      </c>
      <c r="V15" s="255" t="str">
        <f t="shared" si="8"/>
        <v>N/A</v>
      </c>
      <c r="W15" s="102" t="s">
        <v>1742</v>
      </c>
      <c r="X15" s="102"/>
      <c r="Y15" s="102">
        <f t="shared" si="9"/>
        <v>0</v>
      </c>
      <c r="Z15" s="309">
        <f>Y15*(1+VLOOKUP($F15,'GL Category'!$A:$H,4,FALSE))</f>
        <v>0</v>
      </c>
      <c r="AA15" s="615"/>
      <c r="AB15" s="622">
        <f t="shared" si="10"/>
        <v>0</v>
      </c>
      <c r="AC15" s="633">
        <f>AB15*(1+VLOOKUP($F15,'GL Category'!$A:$H,5,FALSE))</f>
        <v>0</v>
      </c>
      <c r="AD15" s="307"/>
      <c r="AE15" s="622">
        <f t="shared" si="11"/>
        <v>0</v>
      </c>
      <c r="AF15" s="633">
        <f>AE15*(1+VLOOKUP($F15,'GL Category'!$A:$H,6,FALSE))</f>
        <v>0</v>
      </c>
      <c r="AG15" s="307"/>
      <c r="AH15" s="622">
        <f t="shared" si="12"/>
        <v>0</v>
      </c>
      <c r="AI15" s="633">
        <f>AH15*(1+VLOOKUP($F15,'GL Category'!$A:$H,7,FALSE))</f>
        <v>0</v>
      </c>
      <c r="AJ15" s="307"/>
      <c r="AK15" s="622">
        <f t="shared" si="13"/>
        <v>0</v>
      </c>
      <c r="AL15" s="633">
        <f>AK15*(1+VLOOKUP($F15,'GL Category'!$A:$H,8,FALSE))</f>
        <v>0</v>
      </c>
      <c r="AM15" s="307"/>
      <c r="AN15" s="622">
        <f t="shared" si="14"/>
        <v>0</v>
      </c>
      <c r="AO15" s="192"/>
      <c r="AP15" s="192"/>
      <c r="AQ15" s="192"/>
      <c r="AR15" s="192"/>
    </row>
    <row r="16" spans="1:57" s="115" customFormat="1" ht="15" customHeight="1">
      <c r="A16" s="555" t="s">
        <v>1743</v>
      </c>
      <c r="B16" s="217" t="str">
        <f t="shared" si="1"/>
        <v>110</v>
      </c>
      <c r="C16" s="217" t="str">
        <f t="shared" si="2"/>
        <v>00</v>
      </c>
      <c r="D16" s="101" t="str">
        <f t="shared" si="3"/>
        <v>000</v>
      </c>
      <c r="E16" s="217" t="str">
        <f t="shared" si="4"/>
        <v>110-00-000</v>
      </c>
      <c r="F16" s="294" t="str">
        <f t="shared" si="5"/>
        <v>45200</v>
      </c>
      <c r="G16" s="295" t="str">
        <f>VLOOKUP(F16,'GL Category'!A:C,3,FALSE)</f>
        <v>DEBT ISSUANCES</v>
      </c>
      <c r="H16" s="98" t="str">
        <f>VLOOKUP(F16,'GL Category'!A:C,2,FALSE)</f>
        <v>DEBT ISSUANCE-REFUNDING BONDS</v>
      </c>
      <c r="I16" s="99">
        <f>SUMIF(Import!$B:$B,'Other Fund Line-Item Details'!$A16,Import!D:D)</f>
        <v>0</v>
      </c>
      <c r="J16" s="99">
        <f>SUMIF(Import!$B:$B,'Other Fund Line-Item Details'!$A16,Import!E:E)</f>
        <v>0</v>
      </c>
      <c r="K16" s="99">
        <f>SUMIF(Import!$B:$B,'Other Fund Line-Item Details'!$A16,Import!F:F)</f>
        <v>0</v>
      </c>
      <c r="L16" s="99">
        <f>SUMIF(Import!$B:$B,'Other Fund Line-Item Details'!$A16,Import!G:G)</f>
        <v>0</v>
      </c>
      <c r="M16" s="99">
        <f>SUMIF(Import!$B:$B,'Other Fund Line-Item Details'!$A16,Import!H:H)</f>
        <v>0</v>
      </c>
      <c r="N16" s="99">
        <f>SUMIF(Import!$B:$B,'Other Fund Line-Item Details'!$A16,Import!I:I)</f>
        <v>0</v>
      </c>
      <c r="O16" s="99">
        <f>SUMIF(Import!$B:$B,'Other Fund Line-Item Details'!$A16,Import!J:J)</f>
        <v>0</v>
      </c>
      <c r="P16" s="99">
        <f t="shared" si="6"/>
        <v>0</v>
      </c>
      <c r="Q16" s="99">
        <f>SUMIF(Import!$B:$B,'Other Fund Line-Item Details'!$A16,Import!K:K)</f>
        <v>0</v>
      </c>
      <c r="R16" s="99">
        <f>SUMIF(Import!$B:$B,'Other Fund Line-Item Details'!$A16,Import!L:L)</f>
        <v>0</v>
      </c>
      <c r="S16" s="99">
        <f>SUMIF(Import!$B:$B,'Other Fund Line-Item Details'!$A16,Import!M:M)</f>
        <v>0</v>
      </c>
      <c r="T16" s="99">
        <f>SUMIF(Import!$B:$B,'Other Fund Line-Item Details'!$A16,Import!N:N)</f>
        <v>0</v>
      </c>
      <c r="U16" s="99">
        <f t="shared" si="7"/>
        <v>0</v>
      </c>
      <c r="V16" s="255" t="str">
        <f t="shared" si="8"/>
        <v>N/A</v>
      </c>
      <c r="W16" s="102" t="s">
        <v>1743</v>
      </c>
      <c r="X16" s="102"/>
      <c r="Y16" s="102">
        <f t="shared" si="9"/>
        <v>0</v>
      </c>
      <c r="Z16" s="309">
        <f>Y16*(1+VLOOKUP($F16,'GL Category'!$A:$H,4,FALSE))</f>
        <v>0</v>
      </c>
      <c r="AA16" s="615"/>
      <c r="AB16" s="622">
        <f t="shared" si="10"/>
        <v>0</v>
      </c>
      <c r="AC16" s="633">
        <f>AB16*(1+VLOOKUP($F16,'GL Category'!$A:$H,5,FALSE))</f>
        <v>0</v>
      </c>
      <c r="AD16" s="307"/>
      <c r="AE16" s="622">
        <f t="shared" si="11"/>
        <v>0</v>
      </c>
      <c r="AF16" s="633">
        <f>AE16*(1+VLOOKUP($F16,'GL Category'!$A:$H,6,FALSE))</f>
        <v>0</v>
      </c>
      <c r="AG16" s="307"/>
      <c r="AH16" s="622">
        <f t="shared" si="12"/>
        <v>0</v>
      </c>
      <c r="AI16" s="633">
        <f>AH16*(1+VLOOKUP($F16,'GL Category'!$A:$H,7,FALSE))</f>
        <v>0</v>
      </c>
      <c r="AJ16" s="307"/>
      <c r="AK16" s="622">
        <f t="shared" si="13"/>
        <v>0</v>
      </c>
      <c r="AL16" s="633">
        <f>AK16*(1+VLOOKUP($F16,'GL Category'!$A:$H,8,FALSE))</f>
        <v>0</v>
      </c>
      <c r="AM16" s="307"/>
      <c r="AN16" s="622">
        <f t="shared" si="14"/>
        <v>0</v>
      </c>
      <c r="AO16" s="192"/>
      <c r="AP16" s="192"/>
      <c r="AQ16" s="192"/>
      <c r="AR16" s="192"/>
    </row>
    <row r="17" spans="1:44" s="115" customFormat="1" ht="15" customHeight="1">
      <c r="A17" s="555" t="s">
        <v>1744</v>
      </c>
      <c r="B17" s="217" t="str">
        <f t="shared" si="1"/>
        <v>110</v>
      </c>
      <c r="C17" s="217" t="str">
        <f t="shared" si="2"/>
        <v>00</v>
      </c>
      <c r="D17" s="101" t="str">
        <f t="shared" si="3"/>
        <v>000</v>
      </c>
      <c r="E17" s="217" t="str">
        <f t="shared" si="4"/>
        <v>110-00-000</v>
      </c>
      <c r="F17" s="294" t="str">
        <f t="shared" si="5"/>
        <v>46760</v>
      </c>
      <c r="G17" s="295" t="str">
        <f>VLOOKUP(F17,'GL Category'!A:C,3,FALSE)</f>
        <v>INTERGOVERNMENTAL</v>
      </c>
      <c r="H17" s="98" t="str">
        <f>VLOOKUP(F17,'GL Category'!A:C,2,FALSE)</f>
        <v>GRANT-LOCAL</v>
      </c>
      <c r="I17" s="99">
        <f>SUMIF(Import!$B:$B,'Other Fund Line-Item Details'!$A17,Import!D:D)</f>
        <v>0</v>
      </c>
      <c r="J17" s="99">
        <f>SUMIF(Import!$B:$B,'Other Fund Line-Item Details'!$A17,Import!E:E)</f>
        <v>0</v>
      </c>
      <c r="K17" s="99">
        <f>SUMIF(Import!$B:$B,'Other Fund Line-Item Details'!$A17,Import!F:F)</f>
        <v>0</v>
      </c>
      <c r="L17" s="99">
        <f>SUMIF(Import!$B:$B,'Other Fund Line-Item Details'!$A17,Import!G:G)</f>
        <v>0</v>
      </c>
      <c r="M17" s="99">
        <f>SUMIF(Import!$B:$B,'Other Fund Line-Item Details'!$A17,Import!H:H)</f>
        <v>0</v>
      </c>
      <c r="N17" s="99">
        <f>SUMIF(Import!$B:$B,'Other Fund Line-Item Details'!$A17,Import!I:I)</f>
        <v>0</v>
      </c>
      <c r="O17" s="99">
        <f>SUMIF(Import!$B:$B,'Other Fund Line-Item Details'!$A17,Import!J:J)</f>
        <v>0</v>
      </c>
      <c r="P17" s="99">
        <f t="shared" si="6"/>
        <v>0</v>
      </c>
      <c r="Q17" s="99">
        <f>SUMIF(Import!$B:$B,'Other Fund Line-Item Details'!$A17,Import!K:K)</f>
        <v>0</v>
      </c>
      <c r="R17" s="99">
        <f>SUMIF(Import!$B:$B,'Other Fund Line-Item Details'!$A17,Import!L:L)</f>
        <v>0</v>
      </c>
      <c r="S17" s="99">
        <f>SUMIF(Import!$B:$B,'Other Fund Line-Item Details'!$A17,Import!M:M)</f>
        <v>0</v>
      </c>
      <c r="T17" s="99">
        <f>SUMIF(Import!$B:$B,'Other Fund Line-Item Details'!$A17,Import!N:N)</f>
        <v>0</v>
      </c>
      <c r="U17" s="99">
        <f t="shared" si="7"/>
        <v>0</v>
      </c>
      <c r="V17" s="255" t="str">
        <f t="shared" si="8"/>
        <v>N/A</v>
      </c>
      <c r="W17" s="102" t="s">
        <v>1744</v>
      </c>
      <c r="X17" s="102"/>
      <c r="Y17" s="102">
        <f t="shared" si="9"/>
        <v>0</v>
      </c>
      <c r="Z17" s="309">
        <f>Y17*(1+VLOOKUP($F17,'GL Category'!$A:$H,4,FALSE))</f>
        <v>0</v>
      </c>
      <c r="AA17" s="615"/>
      <c r="AB17" s="622">
        <f t="shared" si="10"/>
        <v>0</v>
      </c>
      <c r="AC17" s="633">
        <f>AB17*(1+VLOOKUP($F17,'GL Category'!$A:$H,5,FALSE))</f>
        <v>0</v>
      </c>
      <c r="AD17" s="307"/>
      <c r="AE17" s="622">
        <f t="shared" si="11"/>
        <v>0</v>
      </c>
      <c r="AF17" s="633">
        <f>AE17*(1+VLOOKUP($F17,'GL Category'!$A:$H,6,FALSE))</f>
        <v>0</v>
      </c>
      <c r="AG17" s="307"/>
      <c r="AH17" s="622">
        <f t="shared" si="12"/>
        <v>0</v>
      </c>
      <c r="AI17" s="633">
        <f>AH17*(1+VLOOKUP($F17,'GL Category'!$A:$H,7,FALSE))</f>
        <v>0</v>
      </c>
      <c r="AJ17" s="307"/>
      <c r="AK17" s="622">
        <f t="shared" si="13"/>
        <v>0</v>
      </c>
      <c r="AL17" s="633">
        <f>AK17*(1+VLOOKUP($F17,'GL Category'!$A:$H,8,FALSE))</f>
        <v>0</v>
      </c>
      <c r="AM17" s="307"/>
      <c r="AN17" s="622">
        <f t="shared" si="14"/>
        <v>0</v>
      </c>
      <c r="AO17" s="192"/>
      <c r="AP17" s="192"/>
      <c r="AQ17" s="192"/>
      <c r="AR17" s="192"/>
    </row>
    <row r="18" spans="1:44" s="115" customFormat="1" ht="15" customHeight="1">
      <c r="A18" s="555" t="s">
        <v>1745</v>
      </c>
      <c r="B18" s="217" t="str">
        <f t="shared" si="1"/>
        <v>110</v>
      </c>
      <c r="C18" s="217" t="str">
        <f t="shared" si="2"/>
        <v>00</v>
      </c>
      <c r="D18" s="101" t="str">
        <f t="shared" si="3"/>
        <v>000</v>
      </c>
      <c r="E18" s="217" t="str">
        <f t="shared" si="4"/>
        <v>110-00-000</v>
      </c>
      <c r="F18" s="294" t="str">
        <f t="shared" si="5"/>
        <v>47010</v>
      </c>
      <c r="G18" s="295" t="str">
        <f>VLOOKUP(F18,'GL Category'!A:C,3,FALSE)</f>
        <v>OTHER REVENUE</v>
      </c>
      <c r="H18" s="98" t="str">
        <f>VLOOKUP(F18,'GL Category'!A:C,2,FALSE)</f>
        <v>MISCELLANEOUS REVENUE</v>
      </c>
      <c r="I18" s="99">
        <f>SUMIF(Import!$B:$B,'Other Fund Line-Item Details'!$A18,Import!D:D)</f>
        <v>0</v>
      </c>
      <c r="J18" s="99">
        <f>SUMIF(Import!$B:$B,'Other Fund Line-Item Details'!$A18,Import!E:E)</f>
        <v>0</v>
      </c>
      <c r="K18" s="99">
        <f>SUMIF(Import!$B:$B,'Other Fund Line-Item Details'!$A18,Import!F:F)</f>
        <v>0</v>
      </c>
      <c r="L18" s="99">
        <f>SUMIF(Import!$B:$B,'Other Fund Line-Item Details'!$A18,Import!G:G)</f>
        <v>0</v>
      </c>
      <c r="M18" s="99">
        <f>SUMIF(Import!$B:$B,'Other Fund Line-Item Details'!$A18,Import!H:H)</f>
        <v>0</v>
      </c>
      <c r="N18" s="99">
        <f>SUMIF(Import!$B:$B,'Other Fund Line-Item Details'!$A18,Import!I:I)</f>
        <v>0</v>
      </c>
      <c r="O18" s="99">
        <f>SUMIF(Import!$B:$B,'Other Fund Line-Item Details'!$A18,Import!J:J)</f>
        <v>0</v>
      </c>
      <c r="P18" s="99">
        <f t="shared" si="6"/>
        <v>0</v>
      </c>
      <c r="Q18" s="99">
        <f>SUMIF(Import!$B:$B,'Other Fund Line-Item Details'!$A18,Import!K:K)</f>
        <v>0</v>
      </c>
      <c r="R18" s="99">
        <f>SUMIF(Import!$B:$B,'Other Fund Line-Item Details'!$A18,Import!L:L)</f>
        <v>0</v>
      </c>
      <c r="S18" s="99">
        <f>SUMIF(Import!$B:$B,'Other Fund Line-Item Details'!$A18,Import!M:M)</f>
        <v>0</v>
      </c>
      <c r="T18" s="99">
        <f>SUMIF(Import!$B:$B,'Other Fund Line-Item Details'!$A18,Import!N:N)</f>
        <v>0</v>
      </c>
      <c r="U18" s="99">
        <f t="shared" si="7"/>
        <v>0</v>
      </c>
      <c r="V18" s="255" t="str">
        <f t="shared" si="8"/>
        <v>N/A</v>
      </c>
      <c r="W18" s="102" t="s">
        <v>1745</v>
      </c>
      <c r="X18" s="102"/>
      <c r="Y18" s="102">
        <f t="shared" si="9"/>
        <v>0</v>
      </c>
      <c r="Z18" s="309">
        <f>Y18*(1+VLOOKUP($F18,'GL Category'!$A:$H,4,FALSE))</f>
        <v>0</v>
      </c>
      <c r="AA18" s="615"/>
      <c r="AB18" s="622">
        <f t="shared" si="10"/>
        <v>0</v>
      </c>
      <c r="AC18" s="633">
        <f>AB18*(1+VLOOKUP($F18,'GL Category'!$A:$H,5,FALSE))</f>
        <v>0</v>
      </c>
      <c r="AD18" s="307"/>
      <c r="AE18" s="622">
        <f t="shared" si="11"/>
        <v>0</v>
      </c>
      <c r="AF18" s="633">
        <f>AE18*(1+VLOOKUP($F18,'GL Category'!$A:$H,6,FALSE))</f>
        <v>0</v>
      </c>
      <c r="AG18" s="307"/>
      <c r="AH18" s="622">
        <f t="shared" si="12"/>
        <v>0</v>
      </c>
      <c r="AI18" s="633">
        <f>AH18*(1+VLOOKUP($F18,'GL Category'!$A:$H,7,FALSE))</f>
        <v>0</v>
      </c>
      <c r="AJ18" s="307"/>
      <c r="AK18" s="622">
        <f t="shared" si="13"/>
        <v>0</v>
      </c>
      <c r="AL18" s="633">
        <f>AK18*(1+VLOOKUP($F18,'GL Category'!$A:$H,8,FALSE))</f>
        <v>0</v>
      </c>
      <c r="AM18" s="307"/>
      <c r="AN18" s="622">
        <f t="shared" si="14"/>
        <v>0</v>
      </c>
      <c r="AO18" s="192"/>
      <c r="AP18" s="192"/>
      <c r="AQ18" s="192"/>
      <c r="AR18" s="192"/>
    </row>
    <row r="19" spans="1:44" s="115" customFormat="1" ht="15" customHeight="1">
      <c r="A19" s="555" t="s">
        <v>1746</v>
      </c>
      <c r="B19" s="217" t="str">
        <f t="shared" si="1"/>
        <v>110</v>
      </c>
      <c r="C19" s="217" t="str">
        <f t="shared" si="2"/>
        <v>00</v>
      </c>
      <c r="D19" s="101" t="str">
        <f t="shared" si="3"/>
        <v>000</v>
      </c>
      <c r="E19" s="217" t="str">
        <f t="shared" si="4"/>
        <v>110-00-000</v>
      </c>
      <c r="F19" s="294" t="str">
        <f t="shared" si="5"/>
        <v>47090</v>
      </c>
      <c r="G19" s="295" t="str">
        <f>VLOOKUP(F19,'GL Category'!A:C,3,FALSE)</f>
        <v>OTHER REVENUE</v>
      </c>
      <c r="H19" s="98" t="str">
        <f>VLOOKUP(F19,'GL Category'!A:C,2,FALSE)</f>
        <v>INTEREST REVENUE-INVESTMENTS</v>
      </c>
      <c r="I19" s="99">
        <f>SUMIF(Import!$B:$B,'Other Fund Line-Item Details'!$A19,Import!D:D)</f>
        <v>-47166.39</v>
      </c>
      <c r="J19" s="99">
        <f>SUMIF(Import!$B:$B,'Other Fund Line-Item Details'!$A19,Import!E:E)</f>
        <v>-24896.46</v>
      </c>
      <c r="K19" s="99">
        <f>SUMIF(Import!$B:$B,'Other Fund Line-Item Details'!$A19,Import!F:F)</f>
        <v>-16804.919999999998</v>
      </c>
      <c r="L19" s="99">
        <f>SUMIF(Import!$B:$B,'Other Fund Line-Item Details'!$A19,Import!G:G)</f>
        <v>-172261.08</v>
      </c>
      <c r="M19" s="99">
        <f>SUMIF(Import!$B:$B,'Other Fund Line-Item Details'!$A19,Import!H:H)</f>
        <v>-50614</v>
      </c>
      <c r="N19" s="99">
        <f>SUMIF(Import!$B:$B,'Other Fund Line-Item Details'!$A19,Import!I:I)</f>
        <v>-215023.53</v>
      </c>
      <c r="O19" s="99">
        <f>SUMIF(Import!$B:$B,'Other Fund Line-Item Details'!$A19,Import!J:J)</f>
        <v>-197655</v>
      </c>
      <c r="P19" s="99">
        <f t="shared" si="6"/>
        <v>-147041</v>
      </c>
      <c r="Q19" s="99">
        <f>SUMIF(Import!$B:$B,'Other Fund Line-Item Details'!$A19,Import!K:K)</f>
        <v>-197655</v>
      </c>
      <c r="R19" s="99">
        <f>SUMIF(Import!$B:$B,'Other Fund Line-Item Details'!$A19,Import!L:L)</f>
        <v>0</v>
      </c>
      <c r="S19" s="99">
        <f>SUMIF(Import!$B:$B,'Other Fund Line-Item Details'!$A19,Import!M:M)</f>
        <v>0</v>
      </c>
      <c r="T19" s="99">
        <f>SUMIF(Import!$B:$B,'Other Fund Line-Item Details'!$A19,Import!N:N)</f>
        <v>-197655</v>
      </c>
      <c r="U19" s="99">
        <f t="shared" si="7"/>
        <v>-147041</v>
      </c>
      <c r="V19" s="255">
        <f t="shared" si="8"/>
        <v>2.9051448215908642</v>
      </c>
      <c r="W19" s="102" t="s">
        <v>1746</v>
      </c>
      <c r="X19" s="102"/>
      <c r="Y19" s="102">
        <f t="shared" si="9"/>
        <v>-197655</v>
      </c>
      <c r="Z19" s="309">
        <f>Y19*(1+VLOOKUP($F19,'GL Category'!$A:$H,4,FALSE))</f>
        <v>-148241.25</v>
      </c>
      <c r="AA19" s="615"/>
      <c r="AB19" s="622">
        <f t="shared" si="10"/>
        <v>-148241.25</v>
      </c>
      <c r="AC19" s="633">
        <f>AB19*(1+VLOOKUP($F19,'GL Category'!$A:$H,5,FALSE))</f>
        <v>-74120.625</v>
      </c>
      <c r="AD19" s="307"/>
      <c r="AE19" s="622">
        <f t="shared" si="11"/>
        <v>-74120.625</v>
      </c>
      <c r="AF19" s="633">
        <f>AE19*(1+VLOOKUP($F19,'GL Category'!$A:$H,6,FALSE))</f>
        <v>-74120.625</v>
      </c>
      <c r="AG19" s="307"/>
      <c r="AH19" s="622">
        <f t="shared" si="12"/>
        <v>-74120.625</v>
      </c>
      <c r="AI19" s="633">
        <f>AH19*(1+VLOOKUP($F19,'GL Category'!$A:$H,7,FALSE))</f>
        <v>-74120.625</v>
      </c>
      <c r="AJ19" s="307"/>
      <c r="AK19" s="622">
        <f t="shared" si="13"/>
        <v>-74120.625</v>
      </c>
      <c r="AL19" s="633">
        <f>AK19*(1+VLOOKUP($F19,'GL Category'!$A:$H,8,FALSE))</f>
        <v>-74120.625</v>
      </c>
      <c r="AM19" s="307"/>
      <c r="AN19" s="622">
        <f t="shared" si="14"/>
        <v>-74120.625</v>
      </c>
      <c r="AO19" s="192"/>
      <c r="AP19" s="192"/>
      <c r="AQ19" s="192"/>
      <c r="AR19" s="192"/>
    </row>
    <row r="20" spans="1:44" s="115" customFormat="1" ht="15" customHeight="1">
      <c r="A20" s="555" t="s">
        <v>1747</v>
      </c>
      <c r="B20" s="217" t="str">
        <f t="shared" si="1"/>
        <v>110</v>
      </c>
      <c r="C20" s="217" t="str">
        <f t="shared" si="2"/>
        <v>00</v>
      </c>
      <c r="D20" s="101" t="str">
        <f t="shared" si="3"/>
        <v>000</v>
      </c>
      <c r="E20" s="217" t="str">
        <f t="shared" si="4"/>
        <v>110-00-000</v>
      </c>
      <c r="F20" s="294" t="str">
        <f t="shared" si="5"/>
        <v>47099</v>
      </c>
      <c r="G20" s="295" t="str">
        <f>VLOOKUP(F20,'GL Category'!A:C,3,FALSE)</f>
        <v>OTHER REVENUE</v>
      </c>
      <c r="H20" s="98" t="str">
        <f>VLOOKUP(F20,'GL Category'!A:C,2,FALSE)</f>
        <v>INCR/DECR IN FAIR VALUE OF INV</v>
      </c>
      <c r="I20" s="99">
        <f>SUMIF(Import!$B:$B,'Other Fund Line-Item Details'!$A20,Import!D:D)</f>
        <v>0</v>
      </c>
      <c r="J20" s="99">
        <f>SUMIF(Import!$B:$B,'Other Fund Line-Item Details'!$A20,Import!E:E)</f>
        <v>0</v>
      </c>
      <c r="K20" s="99">
        <f>SUMIF(Import!$B:$B,'Other Fund Line-Item Details'!$A20,Import!F:F)</f>
        <v>0</v>
      </c>
      <c r="L20" s="99">
        <f>SUMIF(Import!$B:$B,'Other Fund Line-Item Details'!$A20,Import!G:G)</f>
        <v>0</v>
      </c>
      <c r="M20" s="99">
        <f>SUMIF(Import!$B:$B,'Other Fund Line-Item Details'!$A20,Import!H:H)</f>
        <v>0</v>
      </c>
      <c r="N20" s="99">
        <f>SUMIF(Import!$B:$B,'Other Fund Line-Item Details'!$A20,Import!I:I)</f>
        <v>0</v>
      </c>
      <c r="O20" s="99">
        <f>SUMIF(Import!$B:$B,'Other Fund Line-Item Details'!$A20,Import!J:J)</f>
        <v>0</v>
      </c>
      <c r="P20" s="99">
        <f t="shared" si="6"/>
        <v>0</v>
      </c>
      <c r="Q20" s="99">
        <f>SUMIF(Import!$B:$B,'Other Fund Line-Item Details'!$A20,Import!K:K)</f>
        <v>0</v>
      </c>
      <c r="R20" s="99">
        <f>SUMIF(Import!$B:$B,'Other Fund Line-Item Details'!$A20,Import!L:L)</f>
        <v>0</v>
      </c>
      <c r="S20" s="99">
        <f>SUMIF(Import!$B:$B,'Other Fund Line-Item Details'!$A20,Import!M:M)</f>
        <v>0</v>
      </c>
      <c r="T20" s="99">
        <f>SUMIF(Import!$B:$B,'Other Fund Line-Item Details'!$A20,Import!N:N)</f>
        <v>0</v>
      </c>
      <c r="U20" s="99">
        <f t="shared" si="7"/>
        <v>0</v>
      </c>
      <c r="V20" s="255" t="str">
        <f t="shared" si="8"/>
        <v>N/A</v>
      </c>
      <c r="W20" s="102" t="s">
        <v>1747</v>
      </c>
      <c r="X20" s="102"/>
      <c r="Y20" s="102">
        <f t="shared" si="9"/>
        <v>0</v>
      </c>
      <c r="Z20" s="309">
        <f>Y20*(1+VLOOKUP($F20,'GL Category'!$A:$H,4,FALSE))</f>
        <v>0</v>
      </c>
      <c r="AA20" s="615"/>
      <c r="AB20" s="622">
        <f t="shared" si="10"/>
        <v>0</v>
      </c>
      <c r="AC20" s="633">
        <f>AB20*(1+VLOOKUP($F20,'GL Category'!$A:$H,5,FALSE))</f>
        <v>0</v>
      </c>
      <c r="AD20" s="307"/>
      <c r="AE20" s="622">
        <f t="shared" si="11"/>
        <v>0</v>
      </c>
      <c r="AF20" s="633">
        <f>AE20*(1+VLOOKUP($F20,'GL Category'!$A:$H,6,FALSE))</f>
        <v>0</v>
      </c>
      <c r="AG20" s="307"/>
      <c r="AH20" s="622">
        <f t="shared" si="12"/>
        <v>0</v>
      </c>
      <c r="AI20" s="633">
        <f>AH20*(1+VLOOKUP($F20,'GL Category'!$A:$H,7,FALSE))</f>
        <v>0</v>
      </c>
      <c r="AJ20" s="307"/>
      <c r="AK20" s="622">
        <f t="shared" si="13"/>
        <v>0</v>
      </c>
      <c r="AL20" s="633">
        <f>AK20*(1+VLOOKUP($F20,'GL Category'!$A:$H,8,FALSE))</f>
        <v>0</v>
      </c>
      <c r="AM20" s="307"/>
      <c r="AN20" s="622">
        <f t="shared" si="14"/>
        <v>0</v>
      </c>
      <c r="AO20" s="192"/>
      <c r="AP20" s="192"/>
      <c r="AQ20" s="192"/>
      <c r="AR20" s="192"/>
    </row>
    <row r="21" spans="1:44" s="115" customFormat="1" ht="15" customHeight="1">
      <c r="A21" s="555" t="s">
        <v>3160</v>
      </c>
      <c r="B21" s="217" t="str">
        <f t="shared" si="1"/>
        <v>110</v>
      </c>
      <c r="C21" s="217" t="str">
        <f t="shared" si="2"/>
        <v>00</v>
      </c>
      <c r="D21" s="101" t="str">
        <f t="shared" si="3"/>
        <v>000</v>
      </c>
      <c r="E21" s="217" t="str">
        <f t="shared" si="4"/>
        <v>110-00-000</v>
      </c>
      <c r="F21" s="294" t="str">
        <f t="shared" si="5"/>
        <v>47030</v>
      </c>
      <c r="G21" s="295" t="str">
        <f>VLOOKUP(F21,'GL Category'!A:C,3,FALSE)</f>
        <v>OTHER REVENUE</v>
      </c>
      <c r="H21" s="98" t="str">
        <f>VLOOKUP(F21,'GL Category'!A:C,2,FALSE)</f>
        <v>GAIN/LOSS ON DISP OF ASSETS</v>
      </c>
      <c r="I21" s="99">
        <f>SUMIF(Import!$B:$B,'Other Fund Line-Item Details'!$A21,Import!D:D)</f>
        <v>-53500</v>
      </c>
      <c r="J21" s="99">
        <f>SUMIF(Import!$B:$B,'Other Fund Line-Item Details'!$A21,Import!E:E)</f>
        <v>0</v>
      </c>
      <c r="K21" s="99">
        <f>SUMIF(Import!$B:$B,'Other Fund Line-Item Details'!$A21,Import!F:F)</f>
        <v>0</v>
      </c>
      <c r="L21" s="99">
        <f>SUMIF(Import!$B:$B,'Other Fund Line-Item Details'!$A21,Import!G:G)</f>
        <v>-46500</v>
      </c>
      <c r="M21" s="99">
        <f>SUMIF(Import!$B:$B,'Other Fund Line-Item Details'!$A21,Import!H:H)</f>
        <v>0</v>
      </c>
      <c r="N21" s="99">
        <f>SUMIF(Import!$B:$B,'Other Fund Line-Item Details'!$A21,Import!I:I)</f>
        <v>0</v>
      </c>
      <c r="O21" s="99">
        <f>SUMIF(Import!$B:$B,'Other Fund Line-Item Details'!$A21,Import!J:J)</f>
        <v>0</v>
      </c>
      <c r="P21" s="99">
        <f t="shared" si="6"/>
        <v>0</v>
      </c>
      <c r="Q21" s="99">
        <f>SUMIF(Import!$B:$B,'Other Fund Line-Item Details'!$A21,Import!K:K)</f>
        <v>0</v>
      </c>
      <c r="R21" s="99">
        <f>SUMIF(Import!$B:$B,'Other Fund Line-Item Details'!$A21,Import!L:L)</f>
        <v>0</v>
      </c>
      <c r="S21" s="99">
        <f>SUMIF(Import!$B:$B,'Other Fund Line-Item Details'!$A21,Import!M:M)</f>
        <v>0</v>
      </c>
      <c r="T21" s="99">
        <f>SUMIF(Import!$B:$B,'Other Fund Line-Item Details'!$A21,Import!N:N)</f>
        <v>0</v>
      </c>
      <c r="U21" s="99">
        <f t="shared" si="7"/>
        <v>0</v>
      </c>
      <c r="V21" s="255" t="str">
        <f t="shared" si="8"/>
        <v>N/A</v>
      </c>
      <c r="W21" s="102" t="s">
        <v>1748</v>
      </c>
      <c r="X21" s="102"/>
      <c r="Y21" s="102">
        <f t="shared" si="9"/>
        <v>0</v>
      </c>
      <c r="Z21" s="309">
        <f>Y21*(1+VLOOKUP($F21,'GL Category'!$A:$H,4,FALSE))</f>
        <v>0</v>
      </c>
      <c r="AA21" s="615"/>
      <c r="AB21" s="622">
        <f t="shared" si="10"/>
        <v>0</v>
      </c>
      <c r="AC21" s="633">
        <f>AB21*(1+VLOOKUP($F21,'GL Category'!$A:$H,5,FALSE))</f>
        <v>0</v>
      </c>
      <c r="AD21" s="307"/>
      <c r="AE21" s="622">
        <f t="shared" si="11"/>
        <v>0</v>
      </c>
      <c r="AF21" s="633">
        <f>AE21*(1+VLOOKUP($F21,'GL Category'!$A:$H,6,FALSE))</f>
        <v>0</v>
      </c>
      <c r="AG21" s="307"/>
      <c r="AH21" s="622">
        <f t="shared" si="12"/>
        <v>0</v>
      </c>
      <c r="AI21" s="633">
        <f>AH21*(1+VLOOKUP($F21,'GL Category'!$A:$H,7,FALSE))</f>
        <v>0</v>
      </c>
      <c r="AJ21" s="307"/>
      <c r="AK21" s="622">
        <f t="shared" si="13"/>
        <v>0</v>
      </c>
      <c r="AL21" s="633">
        <f>AK21*(1+VLOOKUP($F21,'GL Category'!$A:$H,8,FALSE))</f>
        <v>0</v>
      </c>
      <c r="AM21" s="307"/>
      <c r="AN21" s="622">
        <f t="shared" si="14"/>
        <v>0</v>
      </c>
      <c r="AO21" s="192"/>
      <c r="AP21" s="192"/>
      <c r="AQ21" s="192"/>
      <c r="AR21" s="192"/>
    </row>
    <row r="22" spans="1:44" s="115" customFormat="1" ht="15" customHeight="1">
      <c r="A22" s="555"/>
      <c r="B22" s="217"/>
      <c r="C22" s="217"/>
      <c r="D22" s="101"/>
      <c r="E22" s="217"/>
      <c r="F22" s="294"/>
      <c r="G22" s="146"/>
      <c r="H22" s="107" t="str">
        <f>UPPER(G21)&amp;" TOTAL"</f>
        <v>OTHER REVENUE TOTAL</v>
      </c>
      <c r="I22" s="108">
        <f t="shared" ref="I22" si="15">SUBTOTAL(9,I13:I21)</f>
        <v>-3733893.1</v>
      </c>
      <c r="J22" s="108">
        <f t="shared" ref="J22:T22" si="16">SUBTOTAL(9,J13:J21)</f>
        <v>-4076993.36</v>
      </c>
      <c r="K22" s="108">
        <f t="shared" ref="K22" si="17">SUBTOTAL(9,K13:K21)</f>
        <v>-4587989.8</v>
      </c>
      <c r="L22" s="108">
        <f t="shared" ref="L22" si="18">SUBTOTAL(9,L13:L21)</f>
        <v>-4952595.12</v>
      </c>
      <c r="M22" s="108">
        <f t="shared" si="16"/>
        <v>-4757442</v>
      </c>
      <c r="N22" s="108">
        <f t="shared" ref="N22" si="19">SUBTOTAL(9,N13:N21)</f>
        <v>-4156389.0799999996</v>
      </c>
      <c r="O22" s="108">
        <f t="shared" si="16"/>
        <v>-4915483</v>
      </c>
      <c r="P22" s="108">
        <f t="shared" si="16"/>
        <v>-158041</v>
      </c>
      <c r="Q22" s="108">
        <f t="shared" si="16"/>
        <v>-4919483</v>
      </c>
      <c r="R22" s="108">
        <f t="shared" si="16"/>
        <v>0</v>
      </c>
      <c r="S22" s="108">
        <f t="shared" si="16"/>
        <v>0</v>
      </c>
      <c r="T22" s="108">
        <f t="shared" si="16"/>
        <v>-4919483</v>
      </c>
      <c r="U22" s="99">
        <f t="shared" si="7"/>
        <v>-162041</v>
      </c>
      <c r="V22" s="255">
        <f t="shared" si="8"/>
        <v>3.4060530848300408E-2</v>
      </c>
      <c r="W22" s="102"/>
      <c r="X22" s="194"/>
      <c r="Y22" s="108">
        <f t="shared" ref="Y22:AN22" si="20">SUBTOTAL(9,Y13:Y21)</f>
        <v>-4919483</v>
      </c>
      <c r="Z22" s="108">
        <f t="shared" si="20"/>
        <v>-4964815.8100000005</v>
      </c>
      <c r="AA22" s="108">
        <f t="shared" si="20"/>
        <v>0</v>
      </c>
      <c r="AB22" s="108">
        <f t="shared" si="20"/>
        <v>-4964815.8100000005</v>
      </c>
      <c r="AC22" s="108">
        <f t="shared" si="20"/>
        <v>-5011269.199</v>
      </c>
      <c r="AD22" s="108">
        <f t="shared" si="20"/>
        <v>0</v>
      </c>
      <c r="AE22" s="108">
        <f t="shared" si="20"/>
        <v>-5011269.199</v>
      </c>
      <c r="AF22" s="108">
        <f t="shared" si="20"/>
        <v>-5134862.3528499985</v>
      </c>
      <c r="AG22" s="108">
        <f t="shared" si="20"/>
        <v>0</v>
      </c>
      <c r="AH22" s="108">
        <f t="shared" si="20"/>
        <v>-5134862.3528499985</v>
      </c>
      <c r="AI22" s="108">
        <f t="shared" si="20"/>
        <v>-5261550.2687312486</v>
      </c>
      <c r="AJ22" s="108">
        <f t="shared" si="20"/>
        <v>0</v>
      </c>
      <c r="AK22" s="108">
        <f t="shared" si="20"/>
        <v>-5261550.2687312486</v>
      </c>
      <c r="AL22" s="108">
        <f t="shared" si="20"/>
        <v>-5391410.4636900788</v>
      </c>
      <c r="AM22" s="108">
        <f t="shared" si="20"/>
        <v>0</v>
      </c>
      <c r="AN22" s="108">
        <f t="shared" si="20"/>
        <v>-5391410.4636900788</v>
      </c>
      <c r="AO22" s="192"/>
      <c r="AP22" s="192"/>
      <c r="AQ22" s="192"/>
      <c r="AR22" s="192"/>
    </row>
    <row r="23" spans="1:44" s="115" customFormat="1" ht="15" customHeight="1">
      <c r="A23" s="555"/>
      <c r="B23" s="217"/>
      <c r="C23" s="217"/>
      <c r="D23" s="101"/>
      <c r="E23" s="217"/>
      <c r="F23" s="294"/>
      <c r="G23" s="146"/>
      <c r="H23" s="98"/>
      <c r="I23" s="218"/>
      <c r="J23" s="218"/>
      <c r="K23" s="218"/>
      <c r="L23" s="218"/>
      <c r="M23" s="218"/>
      <c r="N23" s="226"/>
      <c r="O23" s="226"/>
      <c r="P23" s="226"/>
      <c r="Q23" s="111"/>
      <c r="R23" s="111"/>
      <c r="S23" s="111"/>
      <c r="T23" s="111"/>
      <c r="U23" s="263"/>
      <c r="V23" s="88"/>
      <c r="W23" s="102"/>
      <c r="X23" s="194"/>
      <c r="Y23" s="194"/>
      <c r="Z23" s="194"/>
      <c r="AA23" s="194"/>
      <c r="AB23" s="194"/>
      <c r="AC23" s="192"/>
      <c r="AD23" s="192"/>
      <c r="AE23" s="194"/>
      <c r="AF23" s="194"/>
      <c r="AG23" s="194"/>
      <c r="AH23" s="194"/>
      <c r="AI23" s="194"/>
      <c r="AJ23" s="194"/>
      <c r="AK23" s="194"/>
      <c r="AL23" s="194"/>
      <c r="AM23" s="192"/>
      <c r="AN23" s="192"/>
      <c r="AO23" s="192"/>
      <c r="AP23" s="192"/>
      <c r="AQ23" s="192"/>
      <c r="AR23" s="192"/>
    </row>
    <row r="24" spans="1:44" s="115" customFormat="1" ht="15" customHeight="1">
      <c r="A24" s="555" t="s">
        <v>1749</v>
      </c>
      <c r="B24" s="217" t="str">
        <f t="shared" si="1"/>
        <v>110</v>
      </c>
      <c r="C24" s="217" t="str">
        <f t="shared" si="2"/>
        <v>63</v>
      </c>
      <c r="D24" s="101" t="str">
        <f t="shared" si="3"/>
        <v>631</v>
      </c>
      <c r="E24" s="217" t="str">
        <f t="shared" si="4"/>
        <v>110-63-631</v>
      </c>
      <c r="F24" s="294" t="str">
        <f t="shared" si="5"/>
        <v>50102</v>
      </c>
      <c r="G24" s="295" t="str">
        <f>VLOOKUP(F24,'GL Category'!A:C,3,FALSE)</f>
        <v>Personnel services</v>
      </c>
      <c r="H24" s="98" t="str">
        <f>VLOOKUP(F24,'GL Category'!A:C,2,FALSE)</f>
        <v>NON EXEMPT SALARIES</v>
      </c>
      <c r="I24" s="99">
        <f>SUMIF(Import!$B:$B,'Other Fund Line-Item Details'!$A24,Import!D:D)</f>
        <v>0</v>
      </c>
      <c r="J24" s="99">
        <f>SUMIF(Import!$B:$B,'Other Fund Line-Item Details'!$A24,Import!E:E)</f>
        <v>0</v>
      </c>
      <c r="K24" s="99">
        <f>SUMIF(Import!$B:$B,'Other Fund Line-Item Details'!$A24,Import!F:F)</f>
        <v>0</v>
      </c>
      <c r="L24" s="99">
        <f>SUMIF(Import!$B:$B,'Other Fund Line-Item Details'!$A24,Import!G:G)</f>
        <v>0</v>
      </c>
      <c r="M24" s="99">
        <f>SUMIF(Import!$B:$B,'Other Fund Line-Item Details'!$A24,Import!H:H)</f>
        <v>0</v>
      </c>
      <c r="N24" s="99">
        <f>SUMIF(Import!$B:$B,'Other Fund Line-Item Details'!$A24,Import!I:I)</f>
        <v>0</v>
      </c>
      <c r="O24" s="99">
        <f>SUMIF(Import!$B:$B,'Other Fund Line-Item Details'!$A24,Import!J:J)</f>
        <v>0</v>
      </c>
      <c r="P24" s="99">
        <f t="shared" ref="P24:P31" si="21">O24-M24</f>
        <v>0</v>
      </c>
      <c r="Q24" s="99">
        <f>SUMIF(Import!$B:$B,'Other Fund Line-Item Details'!$A24,Import!K:K)</f>
        <v>0</v>
      </c>
      <c r="R24" s="99">
        <f>SUMIF(Import!$B:$B,'Other Fund Line-Item Details'!$A24,Import!L:L)</f>
        <v>0</v>
      </c>
      <c r="S24" s="99">
        <f>SUMIF(Import!$B:$B,'Other Fund Line-Item Details'!$A24,Import!M:M)</f>
        <v>0</v>
      </c>
      <c r="T24" s="99">
        <f>SUMIF(Import!$B:$B,'Other Fund Line-Item Details'!$A24,Import!N:N)</f>
        <v>0</v>
      </c>
      <c r="U24" s="99">
        <f t="shared" ref="U24:U32" si="22">T24-M24</f>
        <v>0</v>
      </c>
      <c r="V24" s="255" t="str">
        <f t="shared" ref="V24:V32" si="23">IF(M24=0,"N/A",T24/M24-1)</f>
        <v>N/A</v>
      </c>
      <c r="W24" s="102" t="s">
        <v>1749</v>
      </c>
      <c r="X24" s="102"/>
      <c r="Y24" s="102">
        <f t="shared" ref="Y24:Y31" si="24">T24-X24</f>
        <v>0</v>
      </c>
      <c r="Z24" s="309">
        <f>Y24*(1+VLOOKUP($F24,'GL Category'!$A:$H,4,FALSE))</f>
        <v>0</v>
      </c>
      <c r="AA24" s="615"/>
      <c r="AB24" s="622">
        <f t="shared" ref="AB24:AB31" si="25">Z24+AA24</f>
        <v>0</v>
      </c>
      <c r="AC24" s="633">
        <f>AB24*(1+VLOOKUP($F24,'GL Category'!$A:$H,5,FALSE))</f>
        <v>0</v>
      </c>
      <c r="AD24" s="307"/>
      <c r="AE24" s="622">
        <f t="shared" ref="AE24:AE31" si="26">AC24+AD24</f>
        <v>0</v>
      </c>
      <c r="AF24" s="633">
        <f>AE24*(1+VLOOKUP($F24,'GL Category'!$A:$H,6,FALSE))</f>
        <v>0</v>
      </c>
      <c r="AG24" s="307"/>
      <c r="AH24" s="622">
        <f t="shared" ref="AH24:AH31" si="27">AF24+AG24</f>
        <v>0</v>
      </c>
      <c r="AI24" s="633">
        <f>AH24*(1+VLOOKUP($F24,'GL Category'!$A:$H,7,FALSE))</f>
        <v>0</v>
      </c>
      <c r="AJ24" s="307"/>
      <c r="AK24" s="622">
        <f t="shared" ref="AK24:AK31" si="28">AI24+AJ24</f>
        <v>0</v>
      </c>
      <c r="AL24" s="633">
        <f>AK24*(1+VLOOKUP($F24,'GL Category'!$A:$H,8,FALSE))</f>
        <v>0</v>
      </c>
      <c r="AM24" s="307"/>
      <c r="AN24" s="622">
        <f t="shared" ref="AN24:AN31" si="29">AL24+AM24</f>
        <v>0</v>
      </c>
      <c r="AO24" s="192"/>
      <c r="AP24" s="192"/>
      <c r="AQ24" s="192"/>
      <c r="AR24" s="192"/>
    </row>
    <row r="25" spans="1:44" s="115" customFormat="1" ht="15" customHeight="1">
      <c r="A25" s="555" t="s">
        <v>1750</v>
      </c>
      <c r="B25" s="217" t="str">
        <f t="shared" si="1"/>
        <v>110</v>
      </c>
      <c r="C25" s="217" t="str">
        <f t="shared" si="2"/>
        <v>63</v>
      </c>
      <c r="D25" s="101" t="str">
        <f t="shared" si="3"/>
        <v>631</v>
      </c>
      <c r="E25" s="217" t="str">
        <f t="shared" si="4"/>
        <v>110-63-631</v>
      </c>
      <c r="F25" s="294" t="str">
        <f t="shared" si="5"/>
        <v>50109</v>
      </c>
      <c r="G25" s="295" t="str">
        <f>VLOOKUP(F25,'GL Category'!A:C,3,FALSE)</f>
        <v>Personnel services</v>
      </c>
      <c r="H25" s="98" t="str">
        <f>VLOOKUP(F25,'GL Category'!A:C,2,FALSE)</f>
        <v>OVERTIME</v>
      </c>
      <c r="I25" s="99">
        <f>SUMIF(Import!$B:$B,'Other Fund Line-Item Details'!$A25,Import!D:D)</f>
        <v>0</v>
      </c>
      <c r="J25" s="99">
        <f>SUMIF(Import!$B:$B,'Other Fund Line-Item Details'!$A25,Import!E:E)</f>
        <v>0</v>
      </c>
      <c r="K25" s="99">
        <f>SUMIF(Import!$B:$B,'Other Fund Line-Item Details'!$A25,Import!F:F)</f>
        <v>0</v>
      </c>
      <c r="L25" s="99">
        <f>SUMIF(Import!$B:$B,'Other Fund Line-Item Details'!$A25,Import!G:G)</f>
        <v>0</v>
      </c>
      <c r="M25" s="99">
        <f>SUMIF(Import!$B:$B,'Other Fund Line-Item Details'!$A25,Import!H:H)</f>
        <v>0</v>
      </c>
      <c r="N25" s="99">
        <f>SUMIF(Import!$B:$B,'Other Fund Line-Item Details'!$A25,Import!I:I)</f>
        <v>0</v>
      </c>
      <c r="O25" s="99">
        <f>SUMIF(Import!$B:$B,'Other Fund Line-Item Details'!$A25,Import!J:J)</f>
        <v>0</v>
      </c>
      <c r="P25" s="99">
        <f t="shared" si="21"/>
        <v>0</v>
      </c>
      <c r="Q25" s="99">
        <f>SUMIF(Import!$B:$B,'Other Fund Line-Item Details'!$A25,Import!K:K)</f>
        <v>0</v>
      </c>
      <c r="R25" s="99">
        <f>SUMIF(Import!$B:$B,'Other Fund Line-Item Details'!$A25,Import!L:L)</f>
        <v>0</v>
      </c>
      <c r="S25" s="99">
        <f>SUMIF(Import!$B:$B,'Other Fund Line-Item Details'!$A25,Import!M:M)</f>
        <v>0</v>
      </c>
      <c r="T25" s="99">
        <f>SUMIF(Import!$B:$B,'Other Fund Line-Item Details'!$A25,Import!N:N)</f>
        <v>0</v>
      </c>
      <c r="U25" s="99">
        <f t="shared" si="22"/>
        <v>0</v>
      </c>
      <c r="V25" s="255" t="str">
        <f t="shared" si="23"/>
        <v>N/A</v>
      </c>
      <c r="W25" s="102" t="s">
        <v>1750</v>
      </c>
      <c r="X25" s="102"/>
      <c r="Y25" s="102">
        <f t="shared" si="24"/>
        <v>0</v>
      </c>
      <c r="Z25" s="309">
        <f>Y25*(1+VLOOKUP($F25,'GL Category'!$A:$H,4,FALSE))</f>
        <v>0</v>
      </c>
      <c r="AA25" s="615"/>
      <c r="AB25" s="622">
        <f t="shared" si="25"/>
        <v>0</v>
      </c>
      <c r="AC25" s="633">
        <f>AB25*(1+VLOOKUP($F25,'GL Category'!$A:$H,5,FALSE))</f>
        <v>0</v>
      </c>
      <c r="AD25" s="307"/>
      <c r="AE25" s="622">
        <f t="shared" si="26"/>
        <v>0</v>
      </c>
      <c r="AF25" s="633">
        <f>AE25*(1+VLOOKUP($F25,'GL Category'!$A:$H,6,FALSE))</f>
        <v>0</v>
      </c>
      <c r="AG25" s="307"/>
      <c r="AH25" s="622">
        <f t="shared" si="27"/>
        <v>0</v>
      </c>
      <c r="AI25" s="633">
        <f>AH25*(1+VLOOKUP($F25,'GL Category'!$A:$H,7,FALSE))</f>
        <v>0</v>
      </c>
      <c r="AJ25" s="307"/>
      <c r="AK25" s="622">
        <f t="shared" si="28"/>
        <v>0</v>
      </c>
      <c r="AL25" s="633">
        <f>AK25*(1+VLOOKUP($F25,'GL Category'!$A:$H,8,FALSE))</f>
        <v>0</v>
      </c>
      <c r="AM25" s="307"/>
      <c r="AN25" s="622">
        <f t="shared" si="29"/>
        <v>0</v>
      </c>
      <c r="AO25" s="192"/>
      <c r="AP25" s="192"/>
      <c r="AQ25" s="192"/>
      <c r="AR25" s="192"/>
    </row>
    <row r="26" spans="1:44" s="115" customFormat="1" ht="15" customHeight="1">
      <c r="A26" s="555" t="s">
        <v>1751</v>
      </c>
      <c r="B26" s="217" t="str">
        <f t="shared" si="1"/>
        <v>110</v>
      </c>
      <c r="C26" s="217" t="str">
        <f t="shared" si="2"/>
        <v>63</v>
      </c>
      <c r="D26" s="101" t="str">
        <f t="shared" si="3"/>
        <v>631</v>
      </c>
      <c r="E26" s="217" t="str">
        <f t="shared" si="4"/>
        <v>110-63-631</v>
      </c>
      <c r="F26" s="294" t="str">
        <f t="shared" si="5"/>
        <v>50111</v>
      </c>
      <c r="G26" s="295" t="str">
        <f>VLOOKUP(F26,'GL Category'!A:C,3,FALSE)</f>
        <v>Personnel services</v>
      </c>
      <c r="H26" s="98" t="str">
        <f>VLOOKUP(F26,'GL Category'!A:C,2,FALSE)</f>
        <v>LONGEVITY PAY</v>
      </c>
      <c r="I26" s="99">
        <f>SUMIF(Import!$B:$B,'Other Fund Line-Item Details'!$A26,Import!D:D)</f>
        <v>0</v>
      </c>
      <c r="J26" s="99">
        <f>SUMIF(Import!$B:$B,'Other Fund Line-Item Details'!$A26,Import!E:E)</f>
        <v>0</v>
      </c>
      <c r="K26" s="99">
        <f>SUMIF(Import!$B:$B,'Other Fund Line-Item Details'!$A26,Import!F:F)</f>
        <v>0</v>
      </c>
      <c r="L26" s="99">
        <f>SUMIF(Import!$B:$B,'Other Fund Line-Item Details'!$A26,Import!G:G)</f>
        <v>0</v>
      </c>
      <c r="M26" s="99">
        <f>SUMIF(Import!$B:$B,'Other Fund Line-Item Details'!$A26,Import!H:H)</f>
        <v>0</v>
      </c>
      <c r="N26" s="99">
        <f>SUMIF(Import!$B:$B,'Other Fund Line-Item Details'!$A26,Import!I:I)</f>
        <v>0</v>
      </c>
      <c r="O26" s="99">
        <f>SUMIF(Import!$B:$B,'Other Fund Line-Item Details'!$A26,Import!J:J)</f>
        <v>0</v>
      </c>
      <c r="P26" s="99">
        <f t="shared" si="21"/>
        <v>0</v>
      </c>
      <c r="Q26" s="99">
        <f>SUMIF(Import!$B:$B,'Other Fund Line-Item Details'!$A26,Import!K:K)</f>
        <v>0</v>
      </c>
      <c r="R26" s="99">
        <f>SUMIF(Import!$B:$B,'Other Fund Line-Item Details'!$A26,Import!L:L)</f>
        <v>0</v>
      </c>
      <c r="S26" s="99">
        <f>SUMIF(Import!$B:$B,'Other Fund Line-Item Details'!$A26,Import!M:M)</f>
        <v>0</v>
      </c>
      <c r="T26" s="99">
        <f>SUMIF(Import!$B:$B,'Other Fund Line-Item Details'!$A26,Import!N:N)</f>
        <v>0</v>
      </c>
      <c r="U26" s="99">
        <f t="shared" si="22"/>
        <v>0</v>
      </c>
      <c r="V26" s="255" t="str">
        <f t="shared" si="23"/>
        <v>N/A</v>
      </c>
      <c r="W26" s="102" t="s">
        <v>1751</v>
      </c>
      <c r="X26" s="102"/>
      <c r="Y26" s="102">
        <f t="shared" si="24"/>
        <v>0</v>
      </c>
      <c r="Z26" s="309">
        <f>Y26*(1+VLOOKUP($F26,'GL Category'!$A:$H,4,FALSE))</f>
        <v>0</v>
      </c>
      <c r="AA26" s="615"/>
      <c r="AB26" s="622">
        <f t="shared" si="25"/>
        <v>0</v>
      </c>
      <c r="AC26" s="633">
        <f>AB26*(1+VLOOKUP($F26,'GL Category'!$A:$H,5,FALSE))</f>
        <v>0</v>
      </c>
      <c r="AD26" s="307"/>
      <c r="AE26" s="622">
        <f t="shared" si="26"/>
        <v>0</v>
      </c>
      <c r="AF26" s="633">
        <f>AE26*(1+VLOOKUP($F26,'GL Category'!$A:$H,6,FALSE))</f>
        <v>0</v>
      </c>
      <c r="AG26" s="307"/>
      <c r="AH26" s="622">
        <f t="shared" si="27"/>
        <v>0</v>
      </c>
      <c r="AI26" s="633">
        <f>AH26*(1+VLOOKUP($F26,'GL Category'!$A:$H,7,FALSE))</f>
        <v>0</v>
      </c>
      <c r="AJ26" s="307"/>
      <c r="AK26" s="622">
        <f t="shared" si="28"/>
        <v>0</v>
      </c>
      <c r="AL26" s="633">
        <f>AK26*(1+VLOOKUP($F26,'GL Category'!$A:$H,8,FALSE))</f>
        <v>0</v>
      </c>
      <c r="AM26" s="307"/>
      <c r="AN26" s="622">
        <f t="shared" si="29"/>
        <v>0</v>
      </c>
      <c r="AO26" s="192"/>
      <c r="AP26" s="192"/>
      <c r="AQ26" s="192"/>
      <c r="AR26" s="192"/>
    </row>
    <row r="27" spans="1:44" s="115" customFormat="1" ht="15" customHeight="1">
      <c r="A27" s="555" t="s">
        <v>1752</v>
      </c>
      <c r="B27" s="217" t="str">
        <f t="shared" si="1"/>
        <v>110</v>
      </c>
      <c r="C27" s="217" t="str">
        <f t="shared" si="2"/>
        <v>63</v>
      </c>
      <c r="D27" s="101" t="str">
        <f t="shared" si="3"/>
        <v>631</v>
      </c>
      <c r="E27" s="217" t="str">
        <f t="shared" si="4"/>
        <v>110-63-631</v>
      </c>
      <c r="F27" s="294" t="str">
        <f t="shared" si="5"/>
        <v>50112</v>
      </c>
      <c r="G27" s="295" t="str">
        <f>VLOOKUP(F27,'GL Category'!A:C,3,FALSE)</f>
        <v>Personnel services</v>
      </c>
      <c r="H27" s="98" t="str">
        <f>VLOOKUP(F27,'GL Category'!A:C,2,FALSE)</f>
        <v>TEMPORARY/SEASONAL WAGES</v>
      </c>
      <c r="I27" s="99">
        <f>SUMIF(Import!$B:$B,'Other Fund Line-Item Details'!$A27,Import!D:D)</f>
        <v>0</v>
      </c>
      <c r="J27" s="99">
        <f>SUMIF(Import!$B:$B,'Other Fund Line-Item Details'!$A27,Import!E:E)</f>
        <v>0</v>
      </c>
      <c r="K27" s="99">
        <f>SUMIF(Import!$B:$B,'Other Fund Line-Item Details'!$A27,Import!F:F)</f>
        <v>0</v>
      </c>
      <c r="L27" s="99">
        <f>SUMIF(Import!$B:$B,'Other Fund Line-Item Details'!$A27,Import!G:G)</f>
        <v>0</v>
      </c>
      <c r="M27" s="99">
        <f>SUMIF(Import!$B:$B,'Other Fund Line-Item Details'!$A27,Import!H:H)</f>
        <v>0</v>
      </c>
      <c r="N27" s="99">
        <f>SUMIF(Import!$B:$B,'Other Fund Line-Item Details'!$A27,Import!I:I)</f>
        <v>0</v>
      </c>
      <c r="O27" s="99">
        <f>SUMIF(Import!$B:$B,'Other Fund Line-Item Details'!$A27,Import!J:J)</f>
        <v>0</v>
      </c>
      <c r="P27" s="99">
        <f t="shared" si="21"/>
        <v>0</v>
      </c>
      <c r="Q27" s="99">
        <f>SUMIF(Import!$B:$B,'Other Fund Line-Item Details'!$A27,Import!K:K)</f>
        <v>0</v>
      </c>
      <c r="R27" s="99">
        <f>SUMIF(Import!$B:$B,'Other Fund Line-Item Details'!$A27,Import!L:L)</f>
        <v>0</v>
      </c>
      <c r="S27" s="99">
        <f>SUMIF(Import!$B:$B,'Other Fund Line-Item Details'!$A27,Import!M:M)</f>
        <v>0</v>
      </c>
      <c r="T27" s="99">
        <f>SUMIF(Import!$B:$B,'Other Fund Line-Item Details'!$A27,Import!N:N)</f>
        <v>0</v>
      </c>
      <c r="U27" s="99">
        <f t="shared" si="22"/>
        <v>0</v>
      </c>
      <c r="V27" s="255" t="str">
        <f t="shared" si="23"/>
        <v>N/A</v>
      </c>
      <c r="W27" s="102" t="s">
        <v>1752</v>
      </c>
      <c r="X27" s="102"/>
      <c r="Y27" s="102">
        <f t="shared" si="24"/>
        <v>0</v>
      </c>
      <c r="Z27" s="309">
        <f>Y27*(1+VLOOKUP($F27,'GL Category'!$A:$H,4,FALSE))</f>
        <v>0</v>
      </c>
      <c r="AA27" s="615"/>
      <c r="AB27" s="622">
        <f t="shared" si="25"/>
        <v>0</v>
      </c>
      <c r="AC27" s="633">
        <f>AB27*(1+VLOOKUP($F27,'GL Category'!$A:$H,5,FALSE))</f>
        <v>0</v>
      </c>
      <c r="AD27" s="307"/>
      <c r="AE27" s="622">
        <f t="shared" si="26"/>
        <v>0</v>
      </c>
      <c r="AF27" s="633">
        <f>AE27*(1+VLOOKUP($F27,'GL Category'!$A:$H,6,FALSE))</f>
        <v>0</v>
      </c>
      <c r="AG27" s="307"/>
      <c r="AH27" s="622">
        <f t="shared" si="27"/>
        <v>0</v>
      </c>
      <c r="AI27" s="633">
        <f>AH27*(1+VLOOKUP($F27,'GL Category'!$A:$H,7,FALSE))</f>
        <v>0</v>
      </c>
      <c r="AJ27" s="307"/>
      <c r="AK27" s="622">
        <f t="shared" si="28"/>
        <v>0</v>
      </c>
      <c r="AL27" s="633">
        <f>AK27*(1+VLOOKUP($F27,'GL Category'!$A:$H,8,FALSE))</f>
        <v>0</v>
      </c>
      <c r="AM27" s="307"/>
      <c r="AN27" s="622">
        <f t="shared" si="29"/>
        <v>0</v>
      </c>
      <c r="AO27" s="192"/>
      <c r="AP27" s="192"/>
      <c r="AQ27" s="192"/>
      <c r="AR27" s="192"/>
    </row>
    <row r="28" spans="1:44" s="115" customFormat="1" ht="15" customHeight="1">
      <c r="A28" s="555" t="s">
        <v>1753</v>
      </c>
      <c r="B28" s="217" t="str">
        <f t="shared" si="1"/>
        <v>110</v>
      </c>
      <c r="C28" s="217" t="str">
        <f t="shared" si="2"/>
        <v>63</v>
      </c>
      <c r="D28" s="101" t="str">
        <f t="shared" si="3"/>
        <v>631</v>
      </c>
      <c r="E28" s="217" t="str">
        <f t="shared" si="4"/>
        <v>110-63-631</v>
      </c>
      <c r="F28" s="294" t="str">
        <f t="shared" si="5"/>
        <v>50610</v>
      </c>
      <c r="G28" s="295" t="str">
        <f>VLOOKUP(F28,'GL Category'!A:C,3,FALSE)</f>
        <v>Personnel services</v>
      </c>
      <c r="H28" s="98" t="str">
        <f>VLOOKUP(F28,'GL Category'!A:C,2,FALSE)</f>
        <v>SOCIAL SECURITY</v>
      </c>
      <c r="I28" s="99">
        <f>SUMIF(Import!$B:$B,'Other Fund Line-Item Details'!$A28,Import!D:D)</f>
        <v>0</v>
      </c>
      <c r="J28" s="99">
        <f>SUMIF(Import!$B:$B,'Other Fund Line-Item Details'!$A28,Import!E:E)</f>
        <v>0</v>
      </c>
      <c r="K28" s="99">
        <f>SUMIF(Import!$B:$B,'Other Fund Line-Item Details'!$A28,Import!F:F)</f>
        <v>0</v>
      </c>
      <c r="L28" s="99">
        <f>SUMIF(Import!$B:$B,'Other Fund Line-Item Details'!$A28,Import!G:G)</f>
        <v>0</v>
      </c>
      <c r="M28" s="99">
        <f>SUMIF(Import!$B:$B,'Other Fund Line-Item Details'!$A28,Import!H:H)</f>
        <v>0</v>
      </c>
      <c r="N28" s="99">
        <f>SUMIF(Import!$B:$B,'Other Fund Line-Item Details'!$A28,Import!I:I)</f>
        <v>0</v>
      </c>
      <c r="O28" s="99">
        <f>SUMIF(Import!$B:$B,'Other Fund Line-Item Details'!$A28,Import!J:J)</f>
        <v>0</v>
      </c>
      <c r="P28" s="99">
        <f t="shared" si="21"/>
        <v>0</v>
      </c>
      <c r="Q28" s="99">
        <f>SUMIF(Import!$B:$B,'Other Fund Line-Item Details'!$A28,Import!K:K)</f>
        <v>0</v>
      </c>
      <c r="R28" s="99">
        <f>SUMIF(Import!$B:$B,'Other Fund Line-Item Details'!$A28,Import!L:L)</f>
        <v>0</v>
      </c>
      <c r="S28" s="99">
        <f>SUMIF(Import!$B:$B,'Other Fund Line-Item Details'!$A28,Import!M:M)</f>
        <v>0</v>
      </c>
      <c r="T28" s="99">
        <f>SUMIF(Import!$B:$B,'Other Fund Line-Item Details'!$A28,Import!N:N)</f>
        <v>0</v>
      </c>
      <c r="U28" s="99">
        <f t="shared" si="22"/>
        <v>0</v>
      </c>
      <c r="V28" s="255" t="str">
        <f t="shared" si="23"/>
        <v>N/A</v>
      </c>
      <c r="W28" s="102" t="s">
        <v>1753</v>
      </c>
      <c r="X28" s="102"/>
      <c r="Y28" s="102">
        <f t="shared" si="24"/>
        <v>0</v>
      </c>
      <c r="Z28" s="309">
        <f>Y28*(1+VLOOKUP($F28,'GL Category'!$A:$H,4,FALSE))</f>
        <v>0</v>
      </c>
      <c r="AA28" s="615"/>
      <c r="AB28" s="622">
        <f t="shared" si="25"/>
        <v>0</v>
      </c>
      <c r="AC28" s="633">
        <f>AB28*(1+VLOOKUP($F28,'GL Category'!$A:$H,5,FALSE))</f>
        <v>0</v>
      </c>
      <c r="AD28" s="307"/>
      <c r="AE28" s="622">
        <f t="shared" si="26"/>
        <v>0</v>
      </c>
      <c r="AF28" s="633">
        <f>AE28*(1+VLOOKUP($F28,'GL Category'!$A:$H,6,FALSE))</f>
        <v>0</v>
      </c>
      <c r="AG28" s="307"/>
      <c r="AH28" s="622">
        <f t="shared" si="27"/>
        <v>0</v>
      </c>
      <c r="AI28" s="633">
        <f>AH28*(1+VLOOKUP($F28,'GL Category'!$A:$H,7,FALSE))</f>
        <v>0</v>
      </c>
      <c r="AJ28" s="307"/>
      <c r="AK28" s="622">
        <f t="shared" si="28"/>
        <v>0</v>
      </c>
      <c r="AL28" s="633">
        <f>AK28*(1+VLOOKUP($F28,'GL Category'!$A:$H,8,FALSE))</f>
        <v>0</v>
      </c>
      <c r="AM28" s="307"/>
      <c r="AN28" s="622">
        <f t="shared" si="29"/>
        <v>0</v>
      </c>
      <c r="AO28" s="192"/>
      <c r="AP28" s="192"/>
      <c r="AQ28" s="192"/>
      <c r="AR28" s="192"/>
    </row>
    <row r="29" spans="1:44" s="115" customFormat="1" ht="15" customHeight="1">
      <c r="A29" s="555" t="s">
        <v>1754</v>
      </c>
      <c r="B29" s="217" t="str">
        <f t="shared" si="1"/>
        <v>110</v>
      </c>
      <c r="C29" s="217" t="str">
        <f t="shared" si="2"/>
        <v>63</v>
      </c>
      <c r="D29" s="101" t="str">
        <f t="shared" si="3"/>
        <v>631</v>
      </c>
      <c r="E29" s="217" t="str">
        <f t="shared" si="4"/>
        <v>110-63-631</v>
      </c>
      <c r="F29" s="294" t="str">
        <f t="shared" si="5"/>
        <v>50620</v>
      </c>
      <c r="G29" s="295" t="str">
        <f>VLOOKUP(F29,'GL Category'!A:C,3,FALSE)</f>
        <v>Personnel services</v>
      </c>
      <c r="H29" s="98" t="str">
        <f>VLOOKUP(F29,'GL Category'!A:C,2,FALSE)</f>
        <v>HEALTH/LIFE INSURANCE</v>
      </c>
      <c r="I29" s="99">
        <f>SUMIF(Import!$B:$B,'Other Fund Line-Item Details'!$A29,Import!D:D)</f>
        <v>0</v>
      </c>
      <c r="J29" s="99">
        <f>SUMIF(Import!$B:$B,'Other Fund Line-Item Details'!$A29,Import!E:E)</f>
        <v>0</v>
      </c>
      <c r="K29" s="99">
        <f>SUMIF(Import!$B:$B,'Other Fund Line-Item Details'!$A29,Import!F:F)</f>
        <v>0</v>
      </c>
      <c r="L29" s="99">
        <f>SUMIF(Import!$B:$B,'Other Fund Line-Item Details'!$A29,Import!G:G)</f>
        <v>0</v>
      </c>
      <c r="M29" s="99">
        <f>SUMIF(Import!$B:$B,'Other Fund Line-Item Details'!$A29,Import!H:H)</f>
        <v>0</v>
      </c>
      <c r="N29" s="99">
        <f>SUMIF(Import!$B:$B,'Other Fund Line-Item Details'!$A29,Import!I:I)</f>
        <v>0</v>
      </c>
      <c r="O29" s="99">
        <f>SUMIF(Import!$B:$B,'Other Fund Line-Item Details'!$A29,Import!J:J)</f>
        <v>0</v>
      </c>
      <c r="P29" s="99">
        <f t="shared" si="21"/>
        <v>0</v>
      </c>
      <c r="Q29" s="99">
        <f>SUMIF(Import!$B:$B,'Other Fund Line-Item Details'!$A29,Import!K:K)</f>
        <v>0</v>
      </c>
      <c r="R29" s="99">
        <f>SUMIF(Import!$B:$B,'Other Fund Line-Item Details'!$A29,Import!L:L)</f>
        <v>0</v>
      </c>
      <c r="S29" s="99">
        <f>SUMIF(Import!$B:$B,'Other Fund Line-Item Details'!$A29,Import!M:M)</f>
        <v>0</v>
      </c>
      <c r="T29" s="99">
        <f>SUMIF(Import!$B:$B,'Other Fund Line-Item Details'!$A29,Import!N:N)</f>
        <v>0</v>
      </c>
      <c r="U29" s="99">
        <f t="shared" si="22"/>
        <v>0</v>
      </c>
      <c r="V29" s="255" t="str">
        <f t="shared" si="23"/>
        <v>N/A</v>
      </c>
      <c r="W29" s="102" t="s">
        <v>1754</v>
      </c>
      <c r="X29" s="102"/>
      <c r="Y29" s="102">
        <f t="shared" si="24"/>
        <v>0</v>
      </c>
      <c r="Z29" s="309">
        <f>Y29*(1+VLOOKUP($F29,'GL Category'!$A:$H,4,FALSE))</f>
        <v>0</v>
      </c>
      <c r="AA29" s="615"/>
      <c r="AB29" s="622">
        <f t="shared" si="25"/>
        <v>0</v>
      </c>
      <c r="AC29" s="633">
        <f>AB29*(1+VLOOKUP($F29,'GL Category'!$A:$H,5,FALSE))</f>
        <v>0</v>
      </c>
      <c r="AD29" s="307"/>
      <c r="AE29" s="622">
        <f t="shared" si="26"/>
        <v>0</v>
      </c>
      <c r="AF29" s="633">
        <f>AE29*(1+VLOOKUP($F29,'GL Category'!$A:$H,6,FALSE))</f>
        <v>0</v>
      </c>
      <c r="AG29" s="307"/>
      <c r="AH29" s="622">
        <f t="shared" si="27"/>
        <v>0</v>
      </c>
      <c r="AI29" s="633">
        <f>AH29*(1+VLOOKUP($F29,'GL Category'!$A:$H,7,FALSE))</f>
        <v>0</v>
      </c>
      <c r="AJ29" s="307"/>
      <c r="AK29" s="622">
        <f t="shared" si="28"/>
        <v>0</v>
      </c>
      <c r="AL29" s="633">
        <f>AK29*(1+VLOOKUP($F29,'GL Category'!$A:$H,8,FALSE))</f>
        <v>0</v>
      </c>
      <c r="AM29" s="307"/>
      <c r="AN29" s="622">
        <f t="shared" si="29"/>
        <v>0</v>
      </c>
      <c r="AO29" s="192"/>
      <c r="AP29" s="192"/>
      <c r="AQ29" s="192"/>
      <c r="AR29" s="192"/>
    </row>
    <row r="30" spans="1:44" s="115" customFormat="1" ht="15" customHeight="1">
      <c r="A30" s="555" t="s">
        <v>1755</v>
      </c>
      <c r="B30" s="217" t="str">
        <f t="shared" si="1"/>
        <v>110</v>
      </c>
      <c r="C30" s="217" t="str">
        <f t="shared" si="2"/>
        <v>63</v>
      </c>
      <c r="D30" s="101" t="str">
        <f t="shared" si="3"/>
        <v>631</v>
      </c>
      <c r="E30" s="217" t="str">
        <f t="shared" si="4"/>
        <v>110-63-631</v>
      </c>
      <c r="F30" s="294" t="str">
        <f t="shared" si="5"/>
        <v>50630</v>
      </c>
      <c r="G30" s="295" t="str">
        <f>VLOOKUP(F30,'GL Category'!A:C,3,FALSE)</f>
        <v>Personnel services</v>
      </c>
      <c r="H30" s="98" t="str">
        <f>VLOOKUP(F30,'GL Category'!A:C,2,FALSE)</f>
        <v>WORKER COMPENSATION</v>
      </c>
      <c r="I30" s="99">
        <f>SUMIF(Import!$B:$B,'Other Fund Line-Item Details'!$A30,Import!D:D)</f>
        <v>0</v>
      </c>
      <c r="J30" s="99">
        <f>SUMIF(Import!$B:$B,'Other Fund Line-Item Details'!$A30,Import!E:E)</f>
        <v>0</v>
      </c>
      <c r="K30" s="99">
        <f>SUMIF(Import!$B:$B,'Other Fund Line-Item Details'!$A30,Import!F:F)</f>
        <v>0</v>
      </c>
      <c r="L30" s="99">
        <f>SUMIF(Import!$B:$B,'Other Fund Line-Item Details'!$A30,Import!G:G)</f>
        <v>0</v>
      </c>
      <c r="M30" s="99">
        <f>SUMIF(Import!$B:$B,'Other Fund Line-Item Details'!$A30,Import!H:H)</f>
        <v>0</v>
      </c>
      <c r="N30" s="99">
        <f>SUMIF(Import!$B:$B,'Other Fund Line-Item Details'!$A30,Import!I:I)</f>
        <v>0</v>
      </c>
      <c r="O30" s="99">
        <f>SUMIF(Import!$B:$B,'Other Fund Line-Item Details'!$A30,Import!J:J)</f>
        <v>0</v>
      </c>
      <c r="P30" s="99">
        <f t="shared" si="21"/>
        <v>0</v>
      </c>
      <c r="Q30" s="99">
        <f>SUMIF(Import!$B:$B,'Other Fund Line-Item Details'!$A30,Import!K:K)</f>
        <v>0</v>
      </c>
      <c r="R30" s="99">
        <f>SUMIF(Import!$B:$B,'Other Fund Line-Item Details'!$A30,Import!L:L)</f>
        <v>0</v>
      </c>
      <c r="S30" s="99">
        <f>SUMIF(Import!$B:$B,'Other Fund Line-Item Details'!$A30,Import!M:M)</f>
        <v>0</v>
      </c>
      <c r="T30" s="99">
        <f>SUMIF(Import!$B:$B,'Other Fund Line-Item Details'!$A30,Import!N:N)</f>
        <v>0</v>
      </c>
      <c r="U30" s="99">
        <f t="shared" si="22"/>
        <v>0</v>
      </c>
      <c r="V30" s="255" t="str">
        <f t="shared" si="23"/>
        <v>N/A</v>
      </c>
      <c r="W30" s="102" t="s">
        <v>1755</v>
      </c>
      <c r="X30" s="102"/>
      <c r="Y30" s="102">
        <f t="shared" si="24"/>
        <v>0</v>
      </c>
      <c r="Z30" s="309">
        <f>Y30*(1+VLOOKUP($F30,'GL Category'!$A:$H,4,FALSE))</f>
        <v>0</v>
      </c>
      <c r="AA30" s="615"/>
      <c r="AB30" s="622">
        <f t="shared" si="25"/>
        <v>0</v>
      </c>
      <c r="AC30" s="633">
        <f>AB30*(1+VLOOKUP($F30,'GL Category'!$A:$H,5,FALSE))</f>
        <v>0</v>
      </c>
      <c r="AD30" s="307"/>
      <c r="AE30" s="622">
        <f t="shared" si="26"/>
        <v>0</v>
      </c>
      <c r="AF30" s="633">
        <f>AE30*(1+VLOOKUP($F30,'GL Category'!$A:$H,6,FALSE))</f>
        <v>0</v>
      </c>
      <c r="AG30" s="307"/>
      <c r="AH30" s="622">
        <f t="shared" si="27"/>
        <v>0</v>
      </c>
      <c r="AI30" s="633">
        <f>AH30*(1+VLOOKUP($F30,'GL Category'!$A:$H,7,FALSE))</f>
        <v>0</v>
      </c>
      <c r="AJ30" s="307"/>
      <c r="AK30" s="622">
        <f t="shared" si="28"/>
        <v>0</v>
      </c>
      <c r="AL30" s="633">
        <f>AK30*(1+VLOOKUP($F30,'GL Category'!$A:$H,8,FALSE))</f>
        <v>0</v>
      </c>
      <c r="AM30" s="307"/>
      <c r="AN30" s="622">
        <f t="shared" si="29"/>
        <v>0</v>
      </c>
      <c r="AO30" s="192"/>
      <c r="AP30" s="192"/>
      <c r="AQ30" s="192"/>
      <c r="AR30" s="192"/>
    </row>
    <row r="31" spans="1:44" s="115" customFormat="1" ht="15" customHeight="1">
      <c r="A31" s="555" t="s">
        <v>1756</v>
      </c>
      <c r="B31" s="217" t="str">
        <f t="shared" si="1"/>
        <v>110</v>
      </c>
      <c r="C31" s="217" t="str">
        <f t="shared" si="2"/>
        <v>63</v>
      </c>
      <c r="D31" s="101" t="str">
        <f t="shared" si="3"/>
        <v>631</v>
      </c>
      <c r="E31" s="217" t="str">
        <f t="shared" si="4"/>
        <v>110-63-631</v>
      </c>
      <c r="F31" s="294" t="str">
        <f t="shared" si="5"/>
        <v>50650</v>
      </c>
      <c r="G31" s="295" t="str">
        <f>VLOOKUP(F31,'GL Category'!A:C,3,FALSE)</f>
        <v>Personnel services</v>
      </c>
      <c r="H31" s="98" t="str">
        <f>VLOOKUP(F31,'GL Category'!A:C,2,FALSE)</f>
        <v>RETIREMENT</v>
      </c>
      <c r="I31" s="99">
        <f>SUMIF(Import!$B:$B,'Other Fund Line-Item Details'!$A31,Import!D:D)</f>
        <v>0</v>
      </c>
      <c r="J31" s="99">
        <f>SUMIF(Import!$B:$B,'Other Fund Line-Item Details'!$A31,Import!E:E)</f>
        <v>0</v>
      </c>
      <c r="K31" s="99">
        <f>SUMIF(Import!$B:$B,'Other Fund Line-Item Details'!$A31,Import!F:F)</f>
        <v>0</v>
      </c>
      <c r="L31" s="99">
        <f>SUMIF(Import!$B:$B,'Other Fund Line-Item Details'!$A31,Import!G:G)</f>
        <v>0</v>
      </c>
      <c r="M31" s="99">
        <f>SUMIF(Import!$B:$B,'Other Fund Line-Item Details'!$A31,Import!H:H)</f>
        <v>0</v>
      </c>
      <c r="N31" s="99">
        <f>SUMIF(Import!$B:$B,'Other Fund Line-Item Details'!$A31,Import!I:I)</f>
        <v>0</v>
      </c>
      <c r="O31" s="99">
        <f>SUMIF(Import!$B:$B,'Other Fund Line-Item Details'!$A31,Import!J:J)</f>
        <v>0</v>
      </c>
      <c r="P31" s="99">
        <f t="shared" si="21"/>
        <v>0</v>
      </c>
      <c r="Q31" s="99">
        <f>SUMIF(Import!$B:$B,'Other Fund Line-Item Details'!$A31,Import!K:K)</f>
        <v>0</v>
      </c>
      <c r="R31" s="99">
        <f>SUMIF(Import!$B:$B,'Other Fund Line-Item Details'!$A31,Import!L:L)</f>
        <v>0</v>
      </c>
      <c r="S31" s="99">
        <f>SUMIF(Import!$B:$B,'Other Fund Line-Item Details'!$A31,Import!M:M)</f>
        <v>0</v>
      </c>
      <c r="T31" s="99">
        <f>SUMIF(Import!$B:$B,'Other Fund Line-Item Details'!$A31,Import!N:N)</f>
        <v>0</v>
      </c>
      <c r="U31" s="99">
        <f t="shared" si="22"/>
        <v>0</v>
      </c>
      <c r="V31" s="255" t="str">
        <f t="shared" si="23"/>
        <v>N/A</v>
      </c>
      <c r="W31" s="102" t="s">
        <v>1756</v>
      </c>
      <c r="X31" s="102"/>
      <c r="Y31" s="102">
        <f t="shared" si="24"/>
        <v>0</v>
      </c>
      <c r="Z31" s="309">
        <f>Y31*(1+VLOOKUP($F31,'GL Category'!$A:$H,4,FALSE))</f>
        <v>0</v>
      </c>
      <c r="AA31" s="615"/>
      <c r="AB31" s="622">
        <f t="shared" si="25"/>
        <v>0</v>
      </c>
      <c r="AC31" s="633">
        <f>AB31*(1+VLOOKUP($F31,'GL Category'!$A:$H,5,FALSE))</f>
        <v>0</v>
      </c>
      <c r="AD31" s="307"/>
      <c r="AE31" s="622">
        <f t="shared" si="26"/>
        <v>0</v>
      </c>
      <c r="AF31" s="633">
        <f>AE31*(1+VLOOKUP($F31,'GL Category'!$A:$H,6,FALSE))</f>
        <v>0</v>
      </c>
      <c r="AG31" s="307"/>
      <c r="AH31" s="622">
        <f t="shared" si="27"/>
        <v>0</v>
      </c>
      <c r="AI31" s="633">
        <f>AH31*(1+VLOOKUP($F31,'GL Category'!$A:$H,7,FALSE))</f>
        <v>0</v>
      </c>
      <c r="AJ31" s="307"/>
      <c r="AK31" s="622">
        <f t="shared" si="28"/>
        <v>0</v>
      </c>
      <c r="AL31" s="633">
        <f>AK31*(1+VLOOKUP($F31,'GL Category'!$A:$H,8,FALSE))</f>
        <v>0</v>
      </c>
      <c r="AM31" s="307"/>
      <c r="AN31" s="622">
        <f t="shared" si="29"/>
        <v>0</v>
      </c>
      <c r="AO31" s="192"/>
      <c r="AP31" s="192"/>
      <c r="AQ31" s="192"/>
      <c r="AR31" s="192"/>
    </row>
    <row r="32" spans="1:44" s="115" customFormat="1" ht="15" customHeight="1">
      <c r="A32" s="555"/>
      <c r="B32" s="217"/>
      <c r="C32" s="217"/>
      <c r="D32" s="101"/>
      <c r="E32" s="217"/>
      <c r="F32" s="294"/>
      <c r="G32" s="146"/>
      <c r="H32" s="107" t="str">
        <f>UPPER(G31)&amp;" TOTAL"</f>
        <v>PERSONNEL SERVICES TOTAL</v>
      </c>
      <c r="I32" s="108">
        <f t="shared" ref="I32" si="30">SUBTOTAL(9,I24:I31)</f>
        <v>0</v>
      </c>
      <c r="J32" s="108">
        <f t="shared" ref="J32:P32" si="31">SUBTOTAL(9,J24:J31)</f>
        <v>0</v>
      </c>
      <c r="K32" s="108">
        <f t="shared" ref="K32" si="32">SUBTOTAL(9,K24:K31)</f>
        <v>0</v>
      </c>
      <c r="L32" s="108">
        <f t="shared" ref="L32" si="33">SUBTOTAL(9,L24:L31)</f>
        <v>0</v>
      </c>
      <c r="M32" s="108">
        <f t="shared" si="31"/>
        <v>0</v>
      </c>
      <c r="N32" s="108">
        <f t="shared" ref="N32" si="34">SUBTOTAL(9,N24:N31)</f>
        <v>0</v>
      </c>
      <c r="O32" s="108">
        <f t="shared" si="31"/>
        <v>0</v>
      </c>
      <c r="P32" s="108">
        <f t="shared" si="31"/>
        <v>0</v>
      </c>
      <c r="Q32" s="108">
        <f t="shared" ref="Q32:T32" si="35">SUBTOTAL(9,Q24:Q31)</f>
        <v>0</v>
      </c>
      <c r="R32" s="108">
        <f t="shared" si="35"/>
        <v>0</v>
      </c>
      <c r="S32" s="108">
        <f t="shared" si="35"/>
        <v>0</v>
      </c>
      <c r="T32" s="108">
        <f t="shared" si="35"/>
        <v>0</v>
      </c>
      <c r="U32" s="99">
        <f t="shared" si="22"/>
        <v>0</v>
      </c>
      <c r="V32" s="255" t="str">
        <f t="shared" si="23"/>
        <v>N/A</v>
      </c>
      <c r="W32" s="102"/>
      <c r="X32" s="194"/>
      <c r="Y32" s="194"/>
      <c r="Z32" s="194"/>
      <c r="AA32" s="194"/>
      <c r="AB32" s="194"/>
      <c r="AC32" s="192"/>
      <c r="AD32" s="192"/>
      <c r="AE32" s="194"/>
      <c r="AF32" s="194"/>
      <c r="AG32" s="194"/>
      <c r="AH32" s="194"/>
      <c r="AI32" s="194"/>
      <c r="AJ32" s="194"/>
      <c r="AK32" s="194"/>
      <c r="AL32" s="194"/>
      <c r="AM32" s="192"/>
      <c r="AN32" s="192"/>
      <c r="AO32" s="192"/>
      <c r="AP32" s="192"/>
      <c r="AQ32" s="192"/>
      <c r="AR32" s="192"/>
    </row>
    <row r="33" spans="1:44" s="115" customFormat="1" ht="15" customHeight="1">
      <c r="A33" s="555"/>
      <c r="B33" s="217"/>
      <c r="C33" s="217"/>
      <c r="D33" s="101"/>
      <c r="E33" s="217"/>
      <c r="F33" s="294"/>
      <c r="G33" s="146"/>
      <c r="H33" s="98"/>
      <c r="I33" s="218"/>
      <c r="J33" s="218"/>
      <c r="K33" s="218"/>
      <c r="L33" s="218"/>
      <c r="M33" s="218"/>
      <c r="N33" s="226"/>
      <c r="O33" s="226"/>
      <c r="P33" s="226"/>
      <c r="Q33" s="111"/>
      <c r="R33" s="111"/>
      <c r="S33" s="111"/>
      <c r="T33" s="111"/>
      <c r="U33" s="263"/>
      <c r="V33" s="88"/>
      <c r="W33" s="102"/>
      <c r="X33" s="194"/>
      <c r="Y33" s="194"/>
      <c r="Z33" s="194"/>
      <c r="AA33" s="194"/>
      <c r="AB33" s="194"/>
      <c r="AC33" s="192"/>
      <c r="AD33" s="192"/>
      <c r="AE33" s="194"/>
      <c r="AF33" s="194"/>
      <c r="AG33" s="194"/>
      <c r="AH33" s="194"/>
      <c r="AI33" s="194"/>
      <c r="AJ33" s="194"/>
      <c r="AK33" s="194"/>
      <c r="AL33" s="194"/>
      <c r="AM33" s="192"/>
      <c r="AN33" s="192"/>
      <c r="AO33" s="192"/>
      <c r="AP33" s="192"/>
      <c r="AQ33" s="192"/>
      <c r="AR33" s="192"/>
    </row>
    <row r="34" spans="1:44" s="115" customFormat="1" ht="15" customHeight="1">
      <c r="A34" s="555" t="s">
        <v>1757</v>
      </c>
      <c r="B34" s="217" t="str">
        <f t="shared" si="1"/>
        <v>110</v>
      </c>
      <c r="C34" s="217" t="str">
        <f t="shared" si="2"/>
        <v>63</v>
      </c>
      <c r="D34" s="101" t="str">
        <f t="shared" si="3"/>
        <v>631</v>
      </c>
      <c r="E34" s="217" t="str">
        <f t="shared" si="4"/>
        <v>110-63-631</v>
      </c>
      <c r="F34" s="294" t="str">
        <f t="shared" si="5"/>
        <v>51245</v>
      </c>
      <c r="G34" s="295" t="str">
        <f>VLOOKUP(F34,'GL Category'!A:C,3,FALSE)</f>
        <v>Operations &amp; maintenance</v>
      </c>
      <c r="H34" s="98" t="str">
        <f>VLOOKUP(F34,'GL Category'!A:C,2,FALSE)</f>
        <v>SMALL TOOLS &amp; EQUIPMENT</v>
      </c>
      <c r="I34" s="99">
        <f>SUMIF(Import!$B:$B,'Other Fund Line-Item Details'!$A34,Import!D:D)</f>
        <v>0</v>
      </c>
      <c r="J34" s="99">
        <f>SUMIF(Import!$B:$B,'Other Fund Line-Item Details'!$A34,Import!E:E)</f>
        <v>0</v>
      </c>
      <c r="K34" s="99">
        <f>SUMIF(Import!$B:$B,'Other Fund Line-Item Details'!$A34,Import!F:F)</f>
        <v>0</v>
      </c>
      <c r="L34" s="99">
        <f>SUMIF(Import!$B:$B,'Other Fund Line-Item Details'!$A34,Import!G:G)</f>
        <v>0</v>
      </c>
      <c r="M34" s="99">
        <f>SUMIF(Import!$B:$B,'Other Fund Line-Item Details'!$A34,Import!H:H)</f>
        <v>0</v>
      </c>
      <c r="N34" s="99">
        <f>SUMIF(Import!$B:$B,'Other Fund Line-Item Details'!$A34,Import!I:I)</f>
        <v>0</v>
      </c>
      <c r="O34" s="99">
        <f>SUMIF(Import!$B:$B,'Other Fund Line-Item Details'!$A34,Import!J:J)</f>
        <v>0</v>
      </c>
      <c r="P34" s="99">
        <f t="shared" ref="P34:P40" si="36">O34-M34</f>
        <v>0</v>
      </c>
      <c r="Q34" s="99">
        <f>SUMIF(Import!$B:$B,'Other Fund Line-Item Details'!$A34,Import!K:K)</f>
        <v>0</v>
      </c>
      <c r="R34" s="99">
        <f>SUMIF(Import!$B:$B,'Other Fund Line-Item Details'!$A34,Import!L:L)</f>
        <v>0</v>
      </c>
      <c r="S34" s="99">
        <f>SUMIF(Import!$B:$B,'Other Fund Line-Item Details'!$A34,Import!M:M)</f>
        <v>0</v>
      </c>
      <c r="T34" s="99">
        <f>SUMIF(Import!$B:$B,'Other Fund Line-Item Details'!$A34,Import!N:N)</f>
        <v>0</v>
      </c>
      <c r="U34" s="99">
        <f t="shared" ref="U34:U41" si="37">T34-M34</f>
        <v>0</v>
      </c>
      <c r="V34" s="255" t="str">
        <f t="shared" ref="V34:V41" si="38">IF(M34=0,"N/A",T34/M34-1)</f>
        <v>N/A</v>
      </c>
      <c r="W34" s="102" t="s">
        <v>1757</v>
      </c>
      <c r="X34" s="102"/>
      <c r="Y34" s="102">
        <f t="shared" ref="Y34:Y40" si="39">T34-X34</f>
        <v>0</v>
      </c>
      <c r="Z34" s="309">
        <f>Y34*(1+VLOOKUP($F34,'GL Category'!$A:$H,4,FALSE))</f>
        <v>0</v>
      </c>
      <c r="AA34" s="615"/>
      <c r="AB34" s="622">
        <f t="shared" ref="AB34:AB40" si="40">Z34+AA34</f>
        <v>0</v>
      </c>
      <c r="AC34" s="633">
        <f>AB34*(1+VLOOKUP($F34,'GL Category'!$A:$H,5,FALSE))</f>
        <v>0</v>
      </c>
      <c r="AD34" s="307"/>
      <c r="AE34" s="622">
        <f t="shared" ref="AE34:AE40" si="41">AC34+AD34</f>
        <v>0</v>
      </c>
      <c r="AF34" s="633">
        <f>AE34*(1+VLOOKUP($F34,'GL Category'!$A:$H,6,FALSE))</f>
        <v>0</v>
      </c>
      <c r="AG34" s="307"/>
      <c r="AH34" s="622">
        <f t="shared" ref="AH34:AH40" si="42">AF34+AG34</f>
        <v>0</v>
      </c>
      <c r="AI34" s="633">
        <f>AH34*(1+VLOOKUP($F34,'GL Category'!$A:$H,7,FALSE))</f>
        <v>0</v>
      </c>
      <c r="AJ34" s="307"/>
      <c r="AK34" s="622">
        <f t="shared" ref="AK34:AK40" si="43">AI34+AJ34</f>
        <v>0</v>
      </c>
      <c r="AL34" s="633">
        <f>AK34*(1+VLOOKUP($F34,'GL Category'!$A:$H,8,FALSE))</f>
        <v>0</v>
      </c>
      <c r="AM34" s="307"/>
      <c r="AN34" s="622">
        <f t="shared" ref="AN34:AN40" si="44">AL34+AM34</f>
        <v>0</v>
      </c>
      <c r="AO34" s="192"/>
      <c r="AP34" s="192"/>
      <c r="AQ34" s="192"/>
      <c r="AR34" s="192"/>
    </row>
    <row r="35" spans="1:44" s="115" customFormat="1" ht="15" customHeight="1">
      <c r="A35" s="555" t="s">
        <v>1758</v>
      </c>
      <c r="B35" s="217" t="str">
        <f t="shared" si="1"/>
        <v>110</v>
      </c>
      <c r="C35" s="217" t="str">
        <f t="shared" si="2"/>
        <v>63</v>
      </c>
      <c r="D35" s="101" t="str">
        <f t="shared" si="3"/>
        <v>631</v>
      </c>
      <c r="E35" s="217" t="str">
        <f t="shared" si="4"/>
        <v>110-63-631</v>
      </c>
      <c r="F35" s="294" t="str">
        <f t="shared" si="5"/>
        <v>51255</v>
      </c>
      <c r="G35" s="295" t="str">
        <f>VLOOKUP(F35,'GL Category'!A:C,3,FALSE)</f>
        <v>Operations &amp; maintenance</v>
      </c>
      <c r="H35" s="98" t="str">
        <f>VLOOKUP(F35,'GL Category'!A:C,2,FALSE)</f>
        <v>FUEL/OILS/LUBRICANTS</v>
      </c>
      <c r="I35" s="99">
        <f>SUMIF(Import!$B:$B,'Other Fund Line-Item Details'!$A35,Import!D:D)</f>
        <v>0</v>
      </c>
      <c r="J35" s="99">
        <f>SUMIF(Import!$B:$B,'Other Fund Line-Item Details'!$A35,Import!E:E)</f>
        <v>0</v>
      </c>
      <c r="K35" s="99">
        <f>SUMIF(Import!$B:$B,'Other Fund Line-Item Details'!$A35,Import!F:F)</f>
        <v>0</v>
      </c>
      <c r="L35" s="99">
        <f>SUMIF(Import!$B:$B,'Other Fund Line-Item Details'!$A35,Import!G:G)</f>
        <v>0</v>
      </c>
      <c r="M35" s="99">
        <f>SUMIF(Import!$B:$B,'Other Fund Line-Item Details'!$A35,Import!H:H)</f>
        <v>0</v>
      </c>
      <c r="N35" s="99">
        <f>SUMIF(Import!$B:$B,'Other Fund Line-Item Details'!$A35,Import!I:I)</f>
        <v>0</v>
      </c>
      <c r="O35" s="99">
        <f>SUMIF(Import!$B:$B,'Other Fund Line-Item Details'!$A35,Import!J:J)</f>
        <v>0</v>
      </c>
      <c r="P35" s="99">
        <f t="shared" si="36"/>
        <v>0</v>
      </c>
      <c r="Q35" s="99">
        <f>SUMIF(Import!$B:$B,'Other Fund Line-Item Details'!$A35,Import!K:K)</f>
        <v>0</v>
      </c>
      <c r="R35" s="99">
        <f>SUMIF(Import!$B:$B,'Other Fund Line-Item Details'!$A35,Import!L:L)</f>
        <v>0</v>
      </c>
      <c r="S35" s="99">
        <f>SUMIF(Import!$B:$B,'Other Fund Line-Item Details'!$A35,Import!M:M)</f>
        <v>0</v>
      </c>
      <c r="T35" s="99">
        <f>SUMIF(Import!$B:$B,'Other Fund Line-Item Details'!$A35,Import!N:N)</f>
        <v>0</v>
      </c>
      <c r="U35" s="99">
        <f t="shared" si="37"/>
        <v>0</v>
      </c>
      <c r="V35" s="255" t="str">
        <f t="shared" si="38"/>
        <v>N/A</v>
      </c>
      <c r="W35" s="102" t="s">
        <v>1758</v>
      </c>
      <c r="X35" s="102"/>
      <c r="Y35" s="102">
        <f t="shared" si="39"/>
        <v>0</v>
      </c>
      <c r="Z35" s="309">
        <f>Y35*(1+VLOOKUP($F35,'GL Category'!$A:$H,4,FALSE))</f>
        <v>0</v>
      </c>
      <c r="AA35" s="615"/>
      <c r="AB35" s="622">
        <f t="shared" si="40"/>
        <v>0</v>
      </c>
      <c r="AC35" s="633">
        <f>AB35*(1+VLOOKUP($F35,'GL Category'!$A:$H,5,FALSE))</f>
        <v>0</v>
      </c>
      <c r="AD35" s="307"/>
      <c r="AE35" s="622">
        <f t="shared" si="41"/>
        <v>0</v>
      </c>
      <c r="AF35" s="633">
        <f>AE35*(1+VLOOKUP($F35,'GL Category'!$A:$H,6,FALSE))</f>
        <v>0</v>
      </c>
      <c r="AG35" s="307"/>
      <c r="AH35" s="622">
        <f t="shared" si="42"/>
        <v>0</v>
      </c>
      <c r="AI35" s="633">
        <f>AH35*(1+VLOOKUP($F35,'GL Category'!$A:$H,7,FALSE))</f>
        <v>0</v>
      </c>
      <c r="AJ35" s="307"/>
      <c r="AK35" s="622">
        <f t="shared" si="43"/>
        <v>0</v>
      </c>
      <c r="AL35" s="633">
        <f>AK35*(1+VLOOKUP($F35,'GL Category'!$A:$H,8,FALSE))</f>
        <v>0</v>
      </c>
      <c r="AM35" s="307"/>
      <c r="AN35" s="622">
        <f t="shared" si="44"/>
        <v>0</v>
      </c>
      <c r="AO35" s="192"/>
      <c r="AP35" s="192"/>
      <c r="AQ35" s="192"/>
      <c r="AR35" s="192"/>
    </row>
    <row r="36" spans="1:44" s="115" customFormat="1" ht="15" customHeight="1">
      <c r="A36" s="555" t="s">
        <v>1759</v>
      </c>
      <c r="B36" s="217" t="str">
        <f t="shared" si="1"/>
        <v>110</v>
      </c>
      <c r="C36" s="217" t="str">
        <f t="shared" si="2"/>
        <v>63</v>
      </c>
      <c r="D36" s="101" t="str">
        <f t="shared" si="3"/>
        <v>631</v>
      </c>
      <c r="E36" s="217" t="str">
        <f t="shared" si="4"/>
        <v>110-63-631</v>
      </c>
      <c r="F36" s="294" t="str">
        <f t="shared" si="5"/>
        <v>51270</v>
      </c>
      <c r="G36" s="295" t="str">
        <f>VLOOKUP(F36,'GL Category'!A:C,3,FALSE)</f>
        <v>Operations &amp; maintenance</v>
      </c>
      <c r="H36" s="98" t="str">
        <f>VLOOKUP(F36,'GL Category'!A:C,2,FALSE)</f>
        <v>CHEMICAL SUPPLIES</v>
      </c>
      <c r="I36" s="99">
        <f>SUMIF(Import!$B:$B,'Other Fund Line-Item Details'!$A36,Import!D:D)</f>
        <v>0</v>
      </c>
      <c r="J36" s="99">
        <f>SUMIF(Import!$B:$B,'Other Fund Line-Item Details'!$A36,Import!E:E)</f>
        <v>0</v>
      </c>
      <c r="K36" s="99">
        <f>SUMIF(Import!$B:$B,'Other Fund Line-Item Details'!$A36,Import!F:F)</f>
        <v>0</v>
      </c>
      <c r="L36" s="99">
        <f>SUMIF(Import!$B:$B,'Other Fund Line-Item Details'!$A36,Import!G:G)</f>
        <v>0</v>
      </c>
      <c r="M36" s="99">
        <f>SUMIF(Import!$B:$B,'Other Fund Line-Item Details'!$A36,Import!H:H)</f>
        <v>0</v>
      </c>
      <c r="N36" s="99">
        <f>SUMIF(Import!$B:$B,'Other Fund Line-Item Details'!$A36,Import!I:I)</f>
        <v>0</v>
      </c>
      <c r="O36" s="99">
        <f>SUMIF(Import!$B:$B,'Other Fund Line-Item Details'!$A36,Import!J:J)</f>
        <v>0</v>
      </c>
      <c r="P36" s="99">
        <f t="shared" si="36"/>
        <v>0</v>
      </c>
      <c r="Q36" s="99">
        <f>SUMIF(Import!$B:$B,'Other Fund Line-Item Details'!$A36,Import!K:K)</f>
        <v>0</v>
      </c>
      <c r="R36" s="99">
        <f>SUMIF(Import!$B:$B,'Other Fund Line-Item Details'!$A36,Import!L:L)</f>
        <v>0</v>
      </c>
      <c r="S36" s="99">
        <f>SUMIF(Import!$B:$B,'Other Fund Line-Item Details'!$A36,Import!M:M)</f>
        <v>0</v>
      </c>
      <c r="T36" s="99">
        <f>SUMIF(Import!$B:$B,'Other Fund Line-Item Details'!$A36,Import!N:N)</f>
        <v>0</v>
      </c>
      <c r="U36" s="99">
        <f t="shared" si="37"/>
        <v>0</v>
      </c>
      <c r="V36" s="255" t="str">
        <f t="shared" si="38"/>
        <v>N/A</v>
      </c>
      <c r="W36" s="102" t="s">
        <v>1759</v>
      </c>
      <c r="X36" s="102"/>
      <c r="Y36" s="102">
        <f t="shared" si="39"/>
        <v>0</v>
      </c>
      <c r="Z36" s="309">
        <f>Y36*(1+VLOOKUP($F36,'GL Category'!$A:$H,4,FALSE))</f>
        <v>0</v>
      </c>
      <c r="AA36" s="615"/>
      <c r="AB36" s="622">
        <f t="shared" si="40"/>
        <v>0</v>
      </c>
      <c r="AC36" s="633">
        <f>AB36*(1+VLOOKUP($F36,'GL Category'!$A:$H,5,FALSE))</f>
        <v>0</v>
      </c>
      <c r="AD36" s="307"/>
      <c r="AE36" s="622">
        <f t="shared" si="41"/>
        <v>0</v>
      </c>
      <c r="AF36" s="633">
        <f>AE36*(1+VLOOKUP($F36,'GL Category'!$A:$H,6,FALSE))</f>
        <v>0</v>
      </c>
      <c r="AG36" s="307"/>
      <c r="AH36" s="622">
        <f t="shared" si="42"/>
        <v>0</v>
      </c>
      <c r="AI36" s="633">
        <f>AH36*(1+VLOOKUP($F36,'GL Category'!$A:$H,7,FALSE))</f>
        <v>0</v>
      </c>
      <c r="AJ36" s="307"/>
      <c r="AK36" s="622">
        <f t="shared" si="43"/>
        <v>0</v>
      </c>
      <c r="AL36" s="633">
        <f>AK36*(1+VLOOKUP($F36,'GL Category'!$A:$H,8,FALSE))</f>
        <v>0</v>
      </c>
      <c r="AM36" s="307"/>
      <c r="AN36" s="622">
        <f t="shared" si="44"/>
        <v>0</v>
      </c>
      <c r="AO36" s="192"/>
      <c r="AP36" s="192"/>
      <c r="AQ36" s="192"/>
      <c r="AR36" s="192"/>
    </row>
    <row r="37" spans="1:44" s="115" customFormat="1" ht="15" customHeight="1">
      <c r="A37" s="555" t="s">
        <v>1760</v>
      </c>
      <c r="B37" s="217" t="str">
        <f t="shared" si="1"/>
        <v>110</v>
      </c>
      <c r="C37" s="217" t="str">
        <f t="shared" si="2"/>
        <v>63</v>
      </c>
      <c r="D37" s="101" t="str">
        <f t="shared" si="3"/>
        <v>631</v>
      </c>
      <c r="E37" s="217" t="str">
        <f t="shared" si="4"/>
        <v>110-63-631</v>
      </c>
      <c r="F37" s="294" t="str">
        <f t="shared" si="5"/>
        <v>51285</v>
      </c>
      <c r="G37" s="295" t="str">
        <f>VLOOKUP(F37,'GL Category'!A:C,3,FALSE)</f>
        <v>Operations &amp; maintenance</v>
      </c>
      <c r="H37" s="98" t="str">
        <f>VLOOKUP(F37,'GL Category'!A:C,2,FALSE)</f>
        <v>WEARING APPAREL</v>
      </c>
      <c r="I37" s="99">
        <f>SUMIF(Import!$B:$B,'Other Fund Line-Item Details'!$A37,Import!D:D)</f>
        <v>0</v>
      </c>
      <c r="J37" s="99">
        <f>SUMIF(Import!$B:$B,'Other Fund Line-Item Details'!$A37,Import!E:E)</f>
        <v>0</v>
      </c>
      <c r="K37" s="99">
        <f>SUMIF(Import!$B:$B,'Other Fund Line-Item Details'!$A37,Import!F:F)</f>
        <v>0</v>
      </c>
      <c r="L37" s="99">
        <f>SUMIF(Import!$B:$B,'Other Fund Line-Item Details'!$A37,Import!G:G)</f>
        <v>0</v>
      </c>
      <c r="M37" s="99">
        <f>SUMIF(Import!$B:$B,'Other Fund Line-Item Details'!$A37,Import!H:H)</f>
        <v>0</v>
      </c>
      <c r="N37" s="99">
        <f>SUMIF(Import!$B:$B,'Other Fund Line-Item Details'!$A37,Import!I:I)</f>
        <v>0</v>
      </c>
      <c r="O37" s="99">
        <f>SUMIF(Import!$B:$B,'Other Fund Line-Item Details'!$A37,Import!J:J)</f>
        <v>0</v>
      </c>
      <c r="P37" s="99">
        <f t="shared" si="36"/>
        <v>0</v>
      </c>
      <c r="Q37" s="99">
        <f>SUMIF(Import!$B:$B,'Other Fund Line-Item Details'!$A37,Import!K:K)</f>
        <v>0</v>
      </c>
      <c r="R37" s="99">
        <f>SUMIF(Import!$B:$B,'Other Fund Line-Item Details'!$A37,Import!L:L)</f>
        <v>0</v>
      </c>
      <c r="S37" s="99">
        <f>SUMIF(Import!$B:$B,'Other Fund Line-Item Details'!$A37,Import!M:M)</f>
        <v>0</v>
      </c>
      <c r="T37" s="99">
        <f>SUMIF(Import!$B:$B,'Other Fund Line-Item Details'!$A37,Import!N:N)</f>
        <v>0</v>
      </c>
      <c r="U37" s="99">
        <f t="shared" si="37"/>
        <v>0</v>
      </c>
      <c r="V37" s="255" t="str">
        <f t="shared" si="38"/>
        <v>N/A</v>
      </c>
      <c r="W37" s="102" t="s">
        <v>1760</v>
      </c>
      <c r="X37" s="102"/>
      <c r="Y37" s="102">
        <f t="shared" si="39"/>
        <v>0</v>
      </c>
      <c r="Z37" s="309">
        <f>Y37*(1+VLOOKUP($F37,'GL Category'!$A:$H,4,FALSE))</f>
        <v>0</v>
      </c>
      <c r="AA37" s="615"/>
      <c r="AB37" s="622">
        <f t="shared" si="40"/>
        <v>0</v>
      </c>
      <c r="AC37" s="633">
        <f>AB37*(1+VLOOKUP($F37,'GL Category'!$A:$H,5,FALSE))</f>
        <v>0</v>
      </c>
      <c r="AD37" s="307"/>
      <c r="AE37" s="622">
        <f t="shared" si="41"/>
        <v>0</v>
      </c>
      <c r="AF37" s="633">
        <f>AE37*(1+VLOOKUP($F37,'GL Category'!$A:$H,6,FALSE))</f>
        <v>0</v>
      </c>
      <c r="AG37" s="307"/>
      <c r="AH37" s="622">
        <f t="shared" si="42"/>
        <v>0</v>
      </c>
      <c r="AI37" s="633">
        <f>AH37*(1+VLOOKUP($F37,'GL Category'!$A:$H,7,FALSE))</f>
        <v>0</v>
      </c>
      <c r="AJ37" s="307"/>
      <c r="AK37" s="622">
        <f t="shared" si="43"/>
        <v>0</v>
      </c>
      <c r="AL37" s="633">
        <f>AK37*(1+VLOOKUP($F37,'GL Category'!$A:$H,8,FALSE))</f>
        <v>0</v>
      </c>
      <c r="AM37" s="307"/>
      <c r="AN37" s="622">
        <f t="shared" si="44"/>
        <v>0</v>
      </c>
      <c r="AO37" s="192"/>
      <c r="AP37" s="192"/>
      <c r="AQ37" s="192"/>
      <c r="AR37" s="192"/>
    </row>
    <row r="38" spans="1:44" s="115" customFormat="1" ht="15" customHeight="1">
      <c r="A38" s="555" t="s">
        <v>1761</v>
      </c>
      <c r="B38" s="217" t="str">
        <f t="shared" si="1"/>
        <v>110</v>
      </c>
      <c r="C38" s="217" t="str">
        <f t="shared" si="2"/>
        <v>63</v>
      </c>
      <c r="D38" s="101" t="str">
        <f t="shared" si="3"/>
        <v>631</v>
      </c>
      <c r="E38" s="217" t="str">
        <f t="shared" si="4"/>
        <v>110-63-631</v>
      </c>
      <c r="F38" s="294" t="str">
        <f t="shared" si="5"/>
        <v>51299</v>
      </c>
      <c r="G38" s="295" t="str">
        <f>VLOOKUP(F38,'GL Category'!A:C,3,FALSE)</f>
        <v>Operations &amp; maintenance</v>
      </c>
      <c r="H38" s="98" t="str">
        <f>VLOOKUP(F38,'GL Category'!A:C,2,FALSE)</f>
        <v>MISCELLANEOUS SUPPLIES</v>
      </c>
      <c r="I38" s="99">
        <f>SUMIF(Import!$B:$B,'Other Fund Line-Item Details'!$A38,Import!D:D)</f>
        <v>0</v>
      </c>
      <c r="J38" s="99">
        <f>SUMIF(Import!$B:$B,'Other Fund Line-Item Details'!$A38,Import!E:E)</f>
        <v>0</v>
      </c>
      <c r="K38" s="99">
        <f>SUMIF(Import!$B:$B,'Other Fund Line-Item Details'!$A38,Import!F:F)</f>
        <v>0</v>
      </c>
      <c r="L38" s="99">
        <f>SUMIF(Import!$B:$B,'Other Fund Line-Item Details'!$A38,Import!G:G)</f>
        <v>0</v>
      </c>
      <c r="M38" s="99">
        <f>SUMIF(Import!$B:$B,'Other Fund Line-Item Details'!$A38,Import!H:H)</f>
        <v>0</v>
      </c>
      <c r="N38" s="99">
        <f>SUMIF(Import!$B:$B,'Other Fund Line-Item Details'!$A38,Import!I:I)</f>
        <v>0</v>
      </c>
      <c r="O38" s="99">
        <f>SUMIF(Import!$B:$B,'Other Fund Line-Item Details'!$A38,Import!J:J)</f>
        <v>0</v>
      </c>
      <c r="P38" s="99">
        <f t="shared" si="36"/>
        <v>0</v>
      </c>
      <c r="Q38" s="99">
        <f>SUMIF(Import!$B:$B,'Other Fund Line-Item Details'!$A38,Import!K:K)</f>
        <v>0</v>
      </c>
      <c r="R38" s="99">
        <f>SUMIF(Import!$B:$B,'Other Fund Line-Item Details'!$A38,Import!L:L)</f>
        <v>0</v>
      </c>
      <c r="S38" s="99">
        <f>SUMIF(Import!$B:$B,'Other Fund Line-Item Details'!$A38,Import!M:M)</f>
        <v>0</v>
      </c>
      <c r="T38" s="99">
        <f>SUMIF(Import!$B:$B,'Other Fund Line-Item Details'!$A38,Import!N:N)</f>
        <v>0</v>
      </c>
      <c r="U38" s="99">
        <f t="shared" si="37"/>
        <v>0</v>
      </c>
      <c r="V38" s="255" t="str">
        <f t="shared" si="38"/>
        <v>N/A</v>
      </c>
      <c r="W38" s="102" t="s">
        <v>1761</v>
      </c>
      <c r="X38" s="102"/>
      <c r="Y38" s="102">
        <f t="shared" si="39"/>
        <v>0</v>
      </c>
      <c r="Z38" s="309">
        <f>Y38*(1+VLOOKUP($F38,'GL Category'!$A:$H,4,FALSE))</f>
        <v>0</v>
      </c>
      <c r="AA38" s="615"/>
      <c r="AB38" s="622">
        <f t="shared" si="40"/>
        <v>0</v>
      </c>
      <c r="AC38" s="633">
        <f>AB38*(1+VLOOKUP($F38,'GL Category'!$A:$H,5,FALSE))</f>
        <v>0</v>
      </c>
      <c r="AD38" s="307"/>
      <c r="AE38" s="622">
        <f t="shared" si="41"/>
        <v>0</v>
      </c>
      <c r="AF38" s="633">
        <f>AE38*(1+VLOOKUP($F38,'GL Category'!$A:$H,6,FALSE))</f>
        <v>0</v>
      </c>
      <c r="AG38" s="307"/>
      <c r="AH38" s="622">
        <f t="shared" si="42"/>
        <v>0</v>
      </c>
      <c r="AI38" s="633">
        <f>AH38*(1+VLOOKUP($F38,'GL Category'!$A:$H,7,FALSE))</f>
        <v>0</v>
      </c>
      <c r="AJ38" s="307"/>
      <c r="AK38" s="622">
        <f t="shared" si="43"/>
        <v>0</v>
      </c>
      <c r="AL38" s="633">
        <f>AK38*(1+VLOOKUP($F38,'GL Category'!$A:$H,8,FALSE))</f>
        <v>0</v>
      </c>
      <c r="AM38" s="307"/>
      <c r="AN38" s="622">
        <f t="shared" si="44"/>
        <v>0</v>
      </c>
      <c r="AO38" s="192"/>
      <c r="AP38" s="192"/>
      <c r="AQ38" s="192"/>
      <c r="AR38" s="192"/>
    </row>
    <row r="39" spans="1:44" s="115" customFormat="1" ht="15" customHeight="1">
      <c r="A39" s="555" t="s">
        <v>1762</v>
      </c>
      <c r="B39" s="217" t="str">
        <f t="shared" si="1"/>
        <v>110</v>
      </c>
      <c r="C39" s="217" t="str">
        <f t="shared" si="2"/>
        <v>63</v>
      </c>
      <c r="D39" s="101" t="str">
        <f t="shared" si="3"/>
        <v>631</v>
      </c>
      <c r="E39" s="217" t="str">
        <f t="shared" si="4"/>
        <v>110-63-631</v>
      </c>
      <c r="F39" s="294" t="str">
        <f t="shared" si="5"/>
        <v>52311</v>
      </c>
      <c r="G39" s="295" t="str">
        <f>VLOOKUP(F39,'GL Category'!A:C,3,FALSE)</f>
        <v>Operations &amp; maintenance</v>
      </c>
      <c r="H39" s="98" t="str">
        <f>VLOOKUP(F39,'GL Category'!A:C,2,FALSE)</f>
        <v>GROUNDS MAINTENANCE</v>
      </c>
      <c r="I39" s="99">
        <f>SUMIF(Import!$B:$B,'Other Fund Line-Item Details'!$A39,Import!D:D)</f>
        <v>9739.7999999999993</v>
      </c>
      <c r="J39" s="99">
        <f>SUMIF(Import!$B:$B,'Other Fund Line-Item Details'!$A39,Import!E:E)</f>
        <v>15034.97</v>
      </c>
      <c r="K39" s="99">
        <f>SUMIF(Import!$B:$B,'Other Fund Line-Item Details'!$A39,Import!F:F)</f>
        <v>10435</v>
      </c>
      <c r="L39" s="99">
        <f>SUMIF(Import!$B:$B,'Other Fund Line-Item Details'!$A39,Import!G:G)</f>
        <v>130837.66</v>
      </c>
      <c r="M39" s="99">
        <f>SUMIF(Import!$B:$B,'Other Fund Line-Item Details'!$A39,Import!H:H)</f>
        <v>115000</v>
      </c>
      <c r="N39" s="99">
        <f>SUMIF(Import!$B:$B,'Other Fund Line-Item Details'!$A39,Import!I:I)</f>
        <v>22494.5</v>
      </c>
      <c r="O39" s="99">
        <f>SUMIF(Import!$B:$B,'Other Fund Line-Item Details'!$A39,Import!J:J)</f>
        <v>110000</v>
      </c>
      <c r="P39" s="99">
        <f t="shared" si="36"/>
        <v>-5000</v>
      </c>
      <c r="Q39" s="99">
        <f>SUMIF(Import!$B:$B,'Other Fund Line-Item Details'!$A39,Import!K:K)</f>
        <v>115000</v>
      </c>
      <c r="R39" s="99">
        <f>SUMIF(Import!$B:$B,'Other Fund Line-Item Details'!$A39,Import!L:L)</f>
        <v>0</v>
      </c>
      <c r="S39" s="99">
        <f>SUMIF(Import!$B:$B,'Other Fund Line-Item Details'!$A39,Import!M:M)</f>
        <v>0</v>
      </c>
      <c r="T39" s="99">
        <f>SUMIF(Import!$B:$B,'Other Fund Line-Item Details'!$A39,Import!N:N)</f>
        <v>115000</v>
      </c>
      <c r="U39" s="99">
        <f t="shared" si="37"/>
        <v>0</v>
      </c>
      <c r="V39" s="255">
        <f t="shared" si="38"/>
        <v>0</v>
      </c>
      <c r="W39" s="102" t="s">
        <v>1762</v>
      </c>
      <c r="X39" s="102"/>
      <c r="Y39" s="102">
        <f t="shared" si="39"/>
        <v>115000</v>
      </c>
      <c r="Z39" s="309">
        <f>Y39*(1+VLOOKUP($F39,'GL Category'!$A:$H,4,FALSE))</f>
        <v>117300</v>
      </c>
      <c r="AA39" s="615"/>
      <c r="AB39" s="622">
        <f t="shared" si="40"/>
        <v>117300</v>
      </c>
      <c r="AC39" s="633">
        <f>AB39*(1+VLOOKUP($F39,'GL Category'!$A:$H,5,FALSE))</f>
        <v>119646</v>
      </c>
      <c r="AD39" s="307"/>
      <c r="AE39" s="622">
        <f t="shared" si="41"/>
        <v>119646</v>
      </c>
      <c r="AF39" s="633">
        <f>AE39*(1+VLOOKUP($F39,'GL Category'!$A:$H,6,FALSE))</f>
        <v>122038.92</v>
      </c>
      <c r="AG39" s="307"/>
      <c r="AH39" s="622">
        <f t="shared" si="42"/>
        <v>122038.92</v>
      </c>
      <c r="AI39" s="633">
        <f>AH39*(1+VLOOKUP($F39,'GL Category'!$A:$H,7,FALSE))</f>
        <v>124479.69839999999</v>
      </c>
      <c r="AJ39" s="307"/>
      <c r="AK39" s="622">
        <f t="shared" si="43"/>
        <v>124479.69839999999</v>
      </c>
      <c r="AL39" s="633">
        <f>AK39*(1+VLOOKUP($F39,'GL Category'!$A:$H,8,FALSE))</f>
        <v>126969.29236799999</v>
      </c>
      <c r="AM39" s="307"/>
      <c r="AN39" s="622">
        <f t="shared" si="44"/>
        <v>126969.29236799999</v>
      </c>
      <c r="AO39" s="192"/>
      <c r="AP39" s="192"/>
      <c r="AQ39" s="192"/>
      <c r="AR39" s="192"/>
    </row>
    <row r="40" spans="1:44" s="115" customFormat="1" ht="15" customHeight="1">
      <c r="A40" s="555" t="s">
        <v>1763</v>
      </c>
      <c r="B40" s="217" t="str">
        <f t="shared" si="1"/>
        <v>110</v>
      </c>
      <c r="C40" s="217" t="str">
        <f t="shared" si="2"/>
        <v>63</v>
      </c>
      <c r="D40" s="101" t="str">
        <f t="shared" si="3"/>
        <v>631</v>
      </c>
      <c r="E40" s="217" t="str">
        <f t="shared" si="4"/>
        <v>110-63-631</v>
      </c>
      <c r="F40" s="294" t="str">
        <f t="shared" si="5"/>
        <v>52470</v>
      </c>
      <c r="G40" s="295" t="str">
        <f>VLOOKUP(F40,'GL Category'!A:C,3,FALSE)</f>
        <v>Operations &amp; maintenance</v>
      </c>
      <c r="H40" s="98" t="str">
        <f>VLOOKUP(F40,'GL Category'!A:C,2,FALSE)</f>
        <v>EQUIPMENT MAINTENANCE</v>
      </c>
      <c r="I40" s="99">
        <f>SUMIF(Import!$B:$B,'Other Fund Line-Item Details'!$A40,Import!D:D)</f>
        <v>6331</v>
      </c>
      <c r="J40" s="99">
        <f>SUMIF(Import!$B:$B,'Other Fund Line-Item Details'!$A40,Import!E:E)</f>
        <v>11104.6</v>
      </c>
      <c r="K40" s="99">
        <f>SUMIF(Import!$B:$B,'Other Fund Line-Item Details'!$A40,Import!F:F)</f>
        <v>11165.76</v>
      </c>
      <c r="L40" s="99">
        <f>SUMIF(Import!$B:$B,'Other Fund Line-Item Details'!$A40,Import!G:G)</f>
        <v>1445.25</v>
      </c>
      <c r="M40" s="99">
        <f>SUMIF(Import!$B:$B,'Other Fund Line-Item Details'!$A40,Import!H:H)</f>
        <v>10000</v>
      </c>
      <c r="N40" s="99">
        <f>SUMIF(Import!$B:$B,'Other Fund Line-Item Details'!$A40,Import!I:I)</f>
        <v>0</v>
      </c>
      <c r="O40" s="99">
        <f>SUMIF(Import!$B:$B,'Other Fund Line-Item Details'!$A40,Import!J:J)</f>
        <v>8000</v>
      </c>
      <c r="P40" s="99">
        <f t="shared" si="36"/>
        <v>-2000</v>
      </c>
      <c r="Q40" s="99">
        <f>SUMIF(Import!$B:$B,'Other Fund Line-Item Details'!$A40,Import!K:K)</f>
        <v>10000</v>
      </c>
      <c r="R40" s="99">
        <f>SUMIF(Import!$B:$B,'Other Fund Line-Item Details'!$A40,Import!L:L)</f>
        <v>0</v>
      </c>
      <c r="S40" s="99">
        <f>SUMIF(Import!$B:$B,'Other Fund Line-Item Details'!$A40,Import!M:M)</f>
        <v>0</v>
      </c>
      <c r="T40" s="99">
        <f>SUMIF(Import!$B:$B,'Other Fund Line-Item Details'!$A40,Import!N:N)</f>
        <v>10000</v>
      </c>
      <c r="U40" s="99">
        <f t="shared" si="37"/>
        <v>0</v>
      </c>
      <c r="V40" s="255">
        <f t="shared" si="38"/>
        <v>0</v>
      </c>
      <c r="W40" s="102" t="s">
        <v>1763</v>
      </c>
      <c r="X40" s="102"/>
      <c r="Y40" s="102">
        <f t="shared" si="39"/>
        <v>10000</v>
      </c>
      <c r="Z40" s="309">
        <f>Y40*(1+VLOOKUP($F40,'GL Category'!$A:$H,4,FALSE))</f>
        <v>10200</v>
      </c>
      <c r="AA40" s="615"/>
      <c r="AB40" s="622">
        <f t="shared" si="40"/>
        <v>10200</v>
      </c>
      <c r="AC40" s="633">
        <f>AB40*(1+VLOOKUP($F40,'GL Category'!$A:$H,5,FALSE))</f>
        <v>10404</v>
      </c>
      <c r="AD40" s="307"/>
      <c r="AE40" s="622">
        <f t="shared" si="41"/>
        <v>10404</v>
      </c>
      <c r="AF40" s="633">
        <f>AE40*(1+VLOOKUP($F40,'GL Category'!$A:$H,6,FALSE))</f>
        <v>10612.08</v>
      </c>
      <c r="AG40" s="307"/>
      <c r="AH40" s="622">
        <f t="shared" si="42"/>
        <v>10612.08</v>
      </c>
      <c r="AI40" s="633">
        <f>AH40*(1+VLOOKUP($F40,'GL Category'!$A:$H,7,FALSE))</f>
        <v>10824.321599999999</v>
      </c>
      <c r="AJ40" s="307"/>
      <c r="AK40" s="622">
        <f t="shared" si="43"/>
        <v>10824.321599999999</v>
      </c>
      <c r="AL40" s="633">
        <f>AK40*(1+VLOOKUP($F40,'GL Category'!$A:$H,8,FALSE))</f>
        <v>11040.808031999999</v>
      </c>
      <c r="AM40" s="307"/>
      <c r="AN40" s="622">
        <f t="shared" si="44"/>
        <v>11040.808031999999</v>
      </c>
      <c r="AO40" s="192"/>
      <c r="AP40" s="192"/>
      <c r="AQ40" s="192"/>
      <c r="AR40" s="192"/>
    </row>
    <row r="41" spans="1:44" s="115" customFormat="1" ht="27" customHeight="1">
      <c r="A41" s="555">
        <v>0</v>
      </c>
      <c r="B41" s="217" t="str">
        <f t="shared" si="1"/>
        <v>0</v>
      </c>
      <c r="C41" s="217" t="str">
        <f t="shared" si="2"/>
        <v/>
      </c>
      <c r="D41" s="101" t="str">
        <f t="shared" si="3"/>
        <v/>
      </c>
      <c r="E41" s="217" t="str">
        <f t="shared" si="4"/>
        <v>0</v>
      </c>
      <c r="F41" s="294" t="str">
        <f t="shared" si="5"/>
        <v>0</v>
      </c>
      <c r="G41" s="146"/>
      <c r="H41" s="107" t="str">
        <f>UPPER(G40)&amp;" TOTAL"</f>
        <v>OPERATIONS &amp; MAINTENANCE TOTAL</v>
      </c>
      <c r="I41" s="108">
        <f t="shared" ref="I41" si="45">SUBTOTAL(9,I34:I40)</f>
        <v>16070.8</v>
      </c>
      <c r="J41" s="108">
        <f t="shared" ref="J41:T41" si="46">SUBTOTAL(9,J34:J40)</f>
        <v>26139.57</v>
      </c>
      <c r="K41" s="108">
        <f t="shared" ref="K41" si="47">SUBTOTAL(9,K34:K40)</f>
        <v>21600.760000000002</v>
      </c>
      <c r="L41" s="108">
        <f t="shared" ref="L41" si="48">SUBTOTAL(9,L34:L40)</f>
        <v>132282.91</v>
      </c>
      <c r="M41" s="108">
        <f t="shared" si="46"/>
        <v>125000</v>
      </c>
      <c r="N41" s="108">
        <f t="shared" ref="N41" si="49">SUBTOTAL(9,N34:N40)</f>
        <v>22494.5</v>
      </c>
      <c r="O41" s="108">
        <f t="shared" si="46"/>
        <v>118000</v>
      </c>
      <c r="P41" s="108">
        <f t="shared" si="46"/>
        <v>-7000</v>
      </c>
      <c r="Q41" s="108">
        <f t="shared" si="46"/>
        <v>125000</v>
      </c>
      <c r="R41" s="108">
        <f t="shared" si="46"/>
        <v>0</v>
      </c>
      <c r="S41" s="108">
        <f t="shared" si="46"/>
        <v>0</v>
      </c>
      <c r="T41" s="108">
        <f t="shared" si="46"/>
        <v>125000</v>
      </c>
      <c r="U41" s="99">
        <f t="shared" si="37"/>
        <v>0</v>
      </c>
      <c r="V41" s="255">
        <f t="shared" si="38"/>
        <v>0</v>
      </c>
      <c r="W41" s="102"/>
      <c r="X41" s="194"/>
      <c r="Y41" s="194"/>
      <c r="Z41" s="194"/>
      <c r="AA41" s="194"/>
      <c r="AB41" s="194"/>
      <c r="AC41" s="192"/>
      <c r="AD41" s="192"/>
      <c r="AE41" s="194"/>
      <c r="AF41" s="194"/>
      <c r="AG41" s="194"/>
      <c r="AH41" s="194"/>
      <c r="AI41" s="194"/>
      <c r="AJ41" s="194"/>
      <c r="AK41" s="194"/>
      <c r="AL41" s="194"/>
      <c r="AM41" s="192"/>
      <c r="AN41" s="192"/>
      <c r="AO41" s="192"/>
      <c r="AP41" s="192"/>
      <c r="AQ41" s="192"/>
      <c r="AR41" s="192"/>
    </row>
    <row r="42" spans="1:44" s="115" customFormat="1" ht="15" customHeight="1">
      <c r="A42" s="555">
        <v>0</v>
      </c>
      <c r="B42" s="217" t="str">
        <f t="shared" si="1"/>
        <v>0</v>
      </c>
      <c r="C42" s="217" t="str">
        <f t="shared" si="2"/>
        <v/>
      </c>
      <c r="D42" s="101" t="str">
        <f t="shared" si="3"/>
        <v/>
      </c>
      <c r="E42" s="217" t="str">
        <f t="shared" si="4"/>
        <v>0</v>
      </c>
      <c r="F42" s="294" t="str">
        <f t="shared" si="5"/>
        <v>0</v>
      </c>
      <c r="G42" s="146"/>
      <c r="H42" s="98"/>
      <c r="I42" s="99"/>
      <c r="J42" s="99"/>
      <c r="K42" s="99"/>
      <c r="L42" s="99"/>
      <c r="M42" s="99"/>
      <c r="N42" s="99"/>
      <c r="O42" s="99"/>
      <c r="P42" s="99"/>
      <c r="Q42" s="99"/>
      <c r="R42" s="99"/>
      <c r="S42" s="99"/>
      <c r="T42" s="100"/>
      <c r="U42" s="263"/>
      <c r="V42" s="88"/>
      <c r="W42" s="102"/>
      <c r="X42" s="194"/>
      <c r="Y42" s="194"/>
      <c r="Z42" s="194"/>
      <c r="AA42" s="194"/>
      <c r="AB42" s="194"/>
      <c r="AC42" s="192"/>
      <c r="AD42" s="192"/>
      <c r="AE42" s="194"/>
      <c r="AF42" s="194"/>
      <c r="AG42" s="194"/>
      <c r="AH42" s="194"/>
      <c r="AI42" s="194"/>
      <c r="AJ42" s="194"/>
      <c r="AK42" s="194"/>
      <c r="AL42" s="194"/>
      <c r="AM42" s="192"/>
      <c r="AN42" s="192"/>
      <c r="AO42" s="192"/>
      <c r="AP42" s="192"/>
      <c r="AQ42" s="192"/>
      <c r="AR42" s="192"/>
    </row>
    <row r="43" spans="1:44" s="115" customFormat="1" ht="15" customHeight="1">
      <c r="A43" s="555" t="s">
        <v>1764</v>
      </c>
      <c r="B43" s="217" t="str">
        <f t="shared" si="1"/>
        <v>110</v>
      </c>
      <c r="C43" s="217" t="str">
        <f t="shared" si="2"/>
        <v>63</v>
      </c>
      <c r="D43" s="101" t="str">
        <f t="shared" si="3"/>
        <v>631</v>
      </c>
      <c r="E43" s="217" t="str">
        <f t="shared" si="4"/>
        <v>110-63-631</v>
      </c>
      <c r="F43" s="294" t="str">
        <f t="shared" si="5"/>
        <v>53507</v>
      </c>
      <c r="G43" s="295" t="str">
        <f>VLOOKUP(F43,'GL Category'!A:C,3,FALSE)</f>
        <v>Services &amp; other</v>
      </c>
      <c r="H43" s="98" t="str">
        <f>VLOOKUP(F43,'GL Category'!A:C,2,FALSE)</f>
        <v>ATTORNEY &amp; LEGAL SERVICES</v>
      </c>
      <c r="I43" s="99">
        <f>SUMIF(Import!$B:$B,'Other Fund Line-Item Details'!$A43,Import!D:D)</f>
        <v>0</v>
      </c>
      <c r="J43" s="99">
        <f>SUMIF(Import!$B:$B,'Other Fund Line-Item Details'!$A43,Import!E:E)</f>
        <v>0</v>
      </c>
      <c r="K43" s="99">
        <f>SUMIF(Import!$B:$B,'Other Fund Line-Item Details'!$A43,Import!F:F)</f>
        <v>0</v>
      </c>
      <c r="L43" s="99">
        <f>SUMIF(Import!$B:$B,'Other Fund Line-Item Details'!$A43,Import!G:G)</f>
        <v>0</v>
      </c>
      <c r="M43" s="99">
        <f>SUMIF(Import!$B:$B,'Other Fund Line-Item Details'!$A43,Import!H:H)</f>
        <v>0</v>
      </c>
      <c r="N43" s="99">
        <f>SUMIF(Import!$B:$B,'Other Fund Line-Item Details'!$A43,Import!I:I)</f>
        <v>0</v>
      </c>
      <c r="O43" s="99">
        <f>SUMIF(Import!$B:$B,'Other Fund Line-Item Details'!$A43,Import!J:J)</f>
        <v>0</v>
      </c>
      <c r="P43" s="99">
        <f t="shared" ref="P43:P47" si="50">O43-M43</f>
        <v>0</v>
      </c>
      <c r="Q43" s="99">
        <f>SUMIF(Import!$B:$B,'Other Fund Line-Item Details'!$A43,Import!K:K)</f>
        <v>0</v>
      </c>
      <c r="R43" s="99">
        <f>SUMIF(Import!$B:$B,'Other Fund Line-Item Details'!$A43,Import!L:L)</f>
        <v>0</v>
      </c>
      <c r="S43" s="99">
        <f>SUMIF(Import!$B:$B,'Other Fund Line-Item Details'!$A43,Import!M:M)</f>
        <v>0</v>
      </c>
      <c r="T43" s="99">
        <f>SUMIF(Import!$B:$B,'Other Fund Line-Item Details'!$A43,Import!N:N)</f>
        <v>0</v>
      </c>
      <c r="U43" s="99">
        <f t="shared" ref="U43:U48" si="51">T43-M43</f>
        <v>0</v>
      </c>
      <c r="V43" s="255" t="str">
        <f t="shared" ref="V43:V48" si="52">IF(M43=0,"N/A",T43/M43-1)</f>
        <v>N/A</v>
      </c>
      <c r="W43" s="102" t="s">
        <v>1764</v>
      </c>
      <c r="X43" s="102"/>
      <c r="Y43" s="102">
        <f t="shared" ref="Y43:Y47" si="53">T43-X43</f>
        <v>0</v>
      </c>
      <c r="Z43" s="309">
        <f>Y43*(1+VLOOKUP($F43,'GL Category'!$A:$H,4,FALSE))</f>
        <v>0</v>
      </c>
      <c r="AA43" s="615"/>
      <c r="AB43" s="622">
        <f t="shared" ref="AB43:AB47" si="54">Z43+AA43</f>
        <v>0</v>
      </c>
      <c r="AC43" s="633">
        <f>AB43*(1+VLOOKUP($F43,'GL Category'!$A:$H,5,FALSE))</f>
        <v>0</v>
      </c>
      <c r="AD43" s="307"/>
      <c r="AE43" s="622">
        <f t="shared" ref="AE43:AE47" si="55">AC43+AD43</f>
        <v>0</v>
      </c>
      <c r="AF43" s="633">
        <f>AE43*(1+VLOOKUP($F43,'GL Category'!$A:$H,6,FALSE))</f>
        <v>0</v>
      </c>
      <c r="AG43" s="307"/>
      <c r="AH43" s="622">
        <f t="shared" ref="AH43:AH47" si="56">AF43+AG43</f>
        <v>0</v>
      </c>
      <c r="AI43" s="633">
        <f>AH43*(1+VLOOKUP($F43,'GL Category'!$A:$H,7,FALSE))</f>
        <v>0</v>
      </c>
      <c r="AJ43" s="307"/>
      <c r="AK43" s="622">
        <f t="shared" ref="AK43:AK47" si="57">AI43+AJ43</f>
        <v>0</v>
      </c>
      <c r="AL43" s="633">
        <f>AK43*(1+VLOOKUP($F43,'GL Category'!$A:$H,8,FALSE))</f>
        <v>0</v>
      </c>
      <c r="AM43" s="307"/>
      <c r="AN43" s="622">
        <f t="shared" ref="AN43:AN47" si="58">AL43+AM43</f>
        <v>0</v>
      </c>
      <c r="AO43" s="192"/>
      <c r="AP43" s="192"/>
      <c r="AQ43" s="192"/>
      <c r="AR43" s="192"/>
    </row>
    <row r="44" spans="1:44" s="115" customFormat="1" ht="15" customHeight="1">
      <c r="A44" s="555" t="s">
        <v>1765</v>
      </c>
      <c r="B44" s="217" t="str">
        <f t="shared" si="1"/>
        <v>110</v>
      </c>
      <c r="C44" s="217" t="str">
        <f t="shared" si="2"/>
        <v>63</v>
      </c>
      <c r="D44" s="101" t="str">
        <f t="shared" si="3"/>
        <v>631</v>
      </c>
      <c r="E44" s="217" t="str">
        <f t="shared" si="4"/>
        <v>110-63-631</v>
      </c>
      <c r="F44" s="294" t="str">
        <f t="shared" si="5"/>
        <v>53599</v>
      </c>
      <c r="G44" s="295" t="str">
        <f>VLOOKUP(F44,'GL Category'!A:C,3,FALSE)</f>
        <v>Services &amp; other</v>
      </c>
      <c r="H44" s="98" t="str">
        <f>VLOOKUP(F44,'GL Category'!A:C,2,FALSE)</f>
        <v>MISCELLANEOUS SERVICES</v>
      </c>
      <c r="I44" s="99">
        <f>SUMIF(Import!$B:$B,'Other Fund Line-Item Details'!$A44,Import!D:D)</f>
        <v>0</v>
      </c>
      <c r="J44" s="99">
        <f>SUMIF(Import!$B:$B,'Other Fund Line-Item Details'!$A44,Import!E:E)</f>
        <v>0</v>
      </c>
      <c r="K44" s="99">
        <f>SUMIF(Import!$B:$B,'Other Fund Line-Item Details'!$A44,Import!F:F)</f>
        <v>16260</v>
      </c>
      <c r="L44" s="99">
        <f>SUMIF(Import!$B:$B,'Other Fund Line-Item Details'!$A44,Import!G:G)</f>
        <v>0</v>
      </c>
      <c r="M44" s="99">
        <f>SUMIF(Import!$B:$B,'Other Fund Line-Item Details'!$A44,Import!H:H)</f>
        <v>0</v>
      </c>
      <c r="N44" s="99">
        <f>SUMIF(Import!$B:$B,'Other Fund Line-Item Details'!$A44,Import!I:I)</f>
        <v>0</v>
      </c>
      <c r="O44" s="99">
        <f>SUMIF(Import!$B:$B,'Other Fund Line-Item Details'!$A44,Import!J:J)</f>
        <v>0</v>
      </c>
      <c r="P44" s="99">
        <f t="shared" si="50"/>
        <v>0</v>
      </c>
      <c r="Q44" s="99">
        <f>SUMIF(Import!$B:$B,'Other Fund Line-Item Details'!$A44,Import!K:K)</f>
        <v>0</v>
      </c>
      <c r="R44" s="99">
        <f>SUMIF(Import!$B:$B,'Other Fund Line-Item Details'!$A44,Import!L:L)</f>
        <v>0</v>
      </c>
      <c r="S44" s="99">
        <f>SUMIF(Import!$B:$B,'Other Fund Line-Item Details'!$A44,Import!M:M)</f>
        <v>0</v>
      </c>
      <c r="T44" s="99">
        <f>SUMIF(Import!$B:$B,'Other Fund Line-Item Details'!$A44,Import!N:N)</f>
        <v>0</v>
      </c>
      <c r="U44" s="99">
        <f t="shared" si="51"/>
        <v>0</v>
      </c>
      <c r="V44" s="255" t="str">
        <f t="shared" si="52"/>
        <v>N/A</v>
      </c>
      <c r="W44" s="102" t="s">
        <v>1765</v>
      </c>
      <c r="X44" s="102"/>
      <c r="Y44" s="102">
        <f t="shared" si="53"/>
        <v>0</v>
      </c>
      <c r="Z44" s="309">
        <f>Y44*(1+VLOOKUP($F44,'GL Category'!$A:$H,4,FALSE))</f>
        <v>0</v>
      </c>
      <c r="AA44" s="615"/>
      <c r="AB44" s="622">
        <f t="shared" si="54"/>
        <v>0</v>
      </c>
      <c r="AC44" s="633">
        <f>AB44*(1+VLOOKUP($F44,'GL Category'!$A:$H,5,FALSE))</f>
        <v>0</v>
      </c>
      <c r="AD44" s="307"/>
      <c r="AE44" s="622">
        <f t="shared" si="55"/>
        <v>0</v>
      </c>
      <c r="AF44" s="633">
        <f>AE44*(1+VLOOKUP($F44,'GL Category'!$A:$H,6,FALSE))</f>
        <v>0</v>
      </c>
      <c r="AG44" s="307"/>
      <c r="AH44" s="622">
        <f t="shared" si="56"/>
        <v>0</v>
      </c>
      <c r="AI44" s="633">
        <f>AH44*(1+VLOOKUP($F44,'GL Category'!$A:$H,7,FALSE))</f>
        <v>0</v>
      </c>
      <c r="AJ44" s="307"/>
      <c r="AK44" s="622">
        <f t="shared" si="57"/>
        <v>0</v>
      </c>
      <c r="AL44" s="633">
        <f>AK44*(1+VLOOKUP($F44,'GL Category'!$A:$H,8,FALSE))</f>
        <v>0</v>
      </c>
      <c r="AM44" s="307"/>
      <c r="AN44" s="622">
        <f t="shared" si="58"/>
        <v>0</v>
      </c>
      <c r="AO44" s="192"/>
      <c r="AP44" s="192"/>
      <c r="AQ44" s="192"/>
      <c r="AR44" s="192"/>
    </row>
    <row r="45" spans="1:44" s="115" customFormat="1" ht="15" customHeight="1">
      <c r="A45" s="555" t="s">
        <v>1766</v>
      </c>
      <c r="B45" s="217" t="str">
        <f t="shared" si="1"/>
        <v>110</v>
      </c>
      <c r="C45" s="217" t="str">
        <f t="shared" si="2"/>
        <v>63</v>
      </c>
      <c r="D45" s="101" t="str">
        <f t="shared" si="3"/>
        <v>631</v>
      </c>
      <c r="E45" s="217" t="str">
        <f t="shared" si="4"/>
        <v>110-63-631</v>
      </c>
      <c r="F45" s="294" t="str">
        <f t="shared" si="5"/>
        <v>53516</v>
      </c>
      <c r="G45" s="295" t="str">
        <f>VLOOKUP(F45,'GL Category'!A:C,3,FALSE)</f>
        <v>Services &amp; other</v>
      </c>
      <c r="H45" s="98" t="str">
        <f>VLOOKUP(F45,'GL Category'!A:C,2,FALSE)</f>
        <v>AUDIT &amp; ACCOUNTING SERVICES</v>
      </c>
      <c r="I45" s="99">
        <f>SUMIF(Import!$B:$B,'Other Fund Line-Item Details'!$A45,Import!D:D)</f>
        <v>0</v>
      </c>
      <c r="J45" s="99">
        <f>SUMIF(Import!$B:$B,'Other Fund Line-Item Details'!$A45,Import!E:E)</f>
        <v>0</v>
      </c>
      <c r="K45" s="99">
        <f>SUMIF(Import!$B:$B,'Other Fund Line-Item Details'!$A45,Import!F:F)</f>
        <v>0</v>
      </c>
      <c r="L45" s="99">
        <f>SUMIF(Import!$B:$B,'Other Fund Line-Item Details'!$A45,Import!G:G)</f>
        <v>0</v>
      </c>
      <c r="M45" s="99">
        <f>SUMIF(Import!$B:$B,'Other Fund Line-Item Details'!$A45,Import!H:H)</f>
        <v>0</v>
      </c>
      <c r="N45" s="99">
        <f>SUMIF(Import!$B:$B,'Other Fund Line-Item Details'!$A45,Import!I:I)</f>
        <v>0</v>
      </c>
      <c r="O45" s="99">
        <f>SUMIF(Import!$B:$B,'Other Fund Line-Item Details'!$A45,Import!J:J)</f>
        <v>0</v>
      </c>
      <c r="P45" s="99">
        <f t="shared" si="50"/>
        <v>0</v>
      </c>
      <c r="Q45" s="99">
        <f>SUMIF(Import!$B:$B,'Other Fund Line-Item Details'!$A45,Import!K:K)</f>
        <v>0</v>
      </c>
      <c r="R45" s="99">
        <f>SUMIF(Import!$B:$B,'Other Fund Line-Item Details'!$A45,Import!L:L)</f>
        <v>0</v>
      </c>
      <c r="S45" s="99">
        <f>SUMIF(Import!$B:$B,'Other Fund Line-Item Details'!$A45,Import!M:M)</f>
        <v>0</v>
      </c>
      <c r="T45" s="99">
        <f>SUMIF(Import!$B:$B,'Other Fund Line-Item Details'!$A45,Import!N:N)</f>
        <v>0</v>
      </c>
      <c r="U45" s="99">
        <f t="shared" si="51"/>
        <v>0</v>
      </c>
      <c r="V45" s="255" t="str">
        <f t="shared" si="52"/>
        <v>N/A</v>
      </c>
      <c r="W45" s="102" t="s">
        <v>1766</v>
      </c>
      <c r="X45" s="102"/>
      <c r="Y45" s="102">
        <f t="shared" si="53"/>
        <v>0</v>
      </c>
      <c r="Z45" s="309">
        <f>Y45*(1+VLOOKUP($F45,'GL Category'!$A:$H,4,FALSE))</f>
        <v>0</v>
      </c>
      <c r="AA45" s="615"/>
      <c r="AB45" s="622">
        <f t="shared" si="54"/>
        <v>0</v>
      </c>
      <c r="AC45" s="633">
        <f>AB45*(1+VLOOKUP($F45,'GL Category'!$A:$H,5,FALSE))</f>
        <v>0</v>
      </c>
      <c r="AD45" s="307"/>
      <c r="AE45" s="622">
        <f t="shared" si="55"/>
        <v>0</v>
      </c>
      <c r="AF45" s="633">
        <f>AE45*(1+VLOOKUP($F45,'GL Category'!$A:$H,6,FALSE))</f>
        <v>0</v>
      </c>
      <c r="AG45" s="307"/>
      <c r="AH45" s="622">
        <f t="shared" si="56"/>
        <v>0</v>
      </c>
      <c r="AI45" s="633">
        <f>AH45*(1+VLOOKUP($F45,'GL Category'!$A:$H,7,FALSE))</f>
        <v>0</v>
      </c>
      <c r="AJ45" s="307"/>
      <c r="AK45" s="622">
        <f t="shared" si="57"/>
        <v>0</v>
      </c>
      <c r="AL45" s="633">
        <f>AK45*(1+VLOOKUP($F45,'GL Category'!$A:$H,8,FALSE))</f>
        <v>0</v>
      </c>
      <c r="AM45" s="307"/>
      <c r="AN45" s="622">
        <f t="shared" si="58"/>
        <v>0</v>
      </c>
      <c r="AO45" s="192"/>
      <c r="AP45" s="192"/>
      <c r="AQ45" s="192"/>
      <c r="AR45" s="192"/>
    </row>
    <row r="46" spans="1:44" s="115" customFormat="1" ht="15" customHeight="1">
      <c r="A46" s="555" t="s">
        <v>1767</v>
      </c>
      <c r="B46" s="217" t="str">
        <f t="shared" si="1"/>
        <v>110</v>
      </c>
      <c r="C46" s="217" t="str">
        <f t="shared" si="2"/>
        <v>63</v>
      </c>
      <c r="D46" s="101" t="str">
        <f t="shared" si="3"/>
        <v>631</v>
      </c>
      <c r="E46" s="217" t="str">
        <f t="shared" si="4"/>
        <v>110-63-631</v>
      </c>
      <c r="F46" s="294" t="str">
        <f t="shared" si="5"/>
        <v>53524</v>
      </c>
      <c r="G46" s="295" t="str">
        <f>VLOOKUP(F46,'GL Category'!A:C,3,FALSE)</f>
        <v>Services &amp; other</v>
      </c>
      <c r="H46" s="98" t="str">
        <f>VLOOKUP(F46,'GL Category'!A:C,2,FALSE)</f>
        <v>EQUIPMENT RENTAL</v>
      </c>
      <c r="I46" s="99">
        <f>SUMIF(Import!$B:$B,'Other Fund Line-Item Details'!$A46,Import!D:D)</f>
        <v>0</v>
      </c>
      <c r="J46" s="99">
        <f>SUMIF(Import!$B:$B,'Other Fund Line-Item Details'!$A46,Import!E:E)</f>
        <v>0</v>
      </c>
      <c r="K46" s="99">
        <f>SUMIF(Import!$B:$B,'Other Fund Line-Item Details'!$A46,Import!F:F)</f>
        <v>0</v>
      </c>
      <c r="L46" s="99">
        <f>SUMIF(Import!$B:$B,'Other Fund Line-Item Details'!$A46,Import!G:G)</f>
        <v>0</v>
      </c>
      <c r="M46" s="99">
        <f>SUMIF(Import!$B:$B,'Other Fund Line-Item Details'!$A46,Import!H:H)</f>
        <v>0</v>
      </c>
      <c r="N46" s="99">
        <f>SUMIF(Import!$B:$B,'Other Fund Line-Item Details'!$A46,Import!I:I)</f>
        <v>0</v>
      </c>
      <c r="O46" s="99">
        <f>SUMIF(Import!$B:$B,'Other Fund Line-Item Details'!$A46,Import!J:J)</f>
        <v>0</v>
      </c>
      <c r="P46" s="99">
        <f t="shared" si="50"/>
        <v>0</v>
      </c>
      <c r="Q46" s="99">
        <f>SUMIF(Import!$B:$B,'Other Fund Line-Item Details'!$A46,Import!K:K)</f>
        <v>0</v>
      </c>
      <c r="R46" s="99">
        <f>SUMIF(Import!$B:$B,'Other Fund Line-Item Details'!$A46,Import!L:L)</f>
        <v>0</v>
      </c>
      <c r="S46" s="99">
        <f>SUMIF(Import!$B:$B,'Other Fund Line-Item Details'!$A46,Import!M:M)</f>
        <v>0</v>
      </c>
      <c r="T46" s="99">
        <f>SUMIF(Import!$B:$B,'Other Fund Line-Item Details'!$A46,Import!N:N)</f>
        <v>0</v>
      </c>
      <c r="U46" s="99">
        <f t="shared" si="51"/>
        <v>0</v>
      </c>
      <c r="V46" s="255" t="str">
        <f t="shared" si="52"/>
        <v>N/A</v>
      </c>
      <c r="W46" s="102" t="s">
        <v>1767</v>
      </c>
      <c r="X46" s="102"/>
      <c r="Y46" s="102">
        <f t="shared" si="53"/>
        <v>0</v>
      </c>
      <c r="Z46" s="309">
        <f>Y46*(1+VLOOKUP($F46,'GL Category'!$A:$H,4,FALSE))</f>
        <v>0</v>
      </c>
      <c r="AA46" s="615"/>
      <c r="AB46" s="622">
        <f t="shared" si="54"/>
        <v>0</v>
      </c>
      <c r="AC46" s="633">
        <f>AB46*(1+VLOOKUP($F46,'GL Category'!$A:$H,5,FALSE))</f>
        <v>0</v>
      </c>
      <c r="AD46" s="307"/>
      <c r="AE46" s="622">
        <f t="shared" si="55"/>
        <v>0</v>
      </c>
      <c r="AF46" s="633">
        <f>AE46*(1+VLOOKUP($F46,'GL Category'!$A:$H,6,FALSE))</f>
        <v>0</v>
      </c>
      <c r="AG46" s="307"/>
      <c r="AH46" s="622">
        <f t="shared" si="56"/>
        <v>0</v>
      </c>
      <c r="AI46" s="633">
        <f>AH46*(1+VLOOKUP($F46,'GL Category'!$A:$H,7,FALSE))</f>
        <v>0</v>
      </c>
      <c r="AJ46" s="307"/>
      <c r="AK46" s="622">
        <f t="shared" si="57"/>
        <v>0</v>
      </c>
      <c r="AL46" s="633">
        <f>AK46*(1+VLOOKUP($F46,'GL Category'!$A:$H,8,FALSE))</f>
        <v>0</v>
      </c>
      <c r="AM46" s="307"/>
      <c r="AN46" s="622">
        <f t="shared" si="58"/>
        <v>0</v>
      </c>
      <c r="AO46" s="192"/>
      <c r="AP46" s="192"/>
      <c r="AQ46" s="192"/>
      <c r="AR46" s="192"/>
    </row>
    <row r="47" spans="1:44" s="115" customFormat="1" ht="15" customHeight="1">
      <c r="A47" s="555" t="s">
        <v>1769</v>
      </c>
      <c r="B47" s="217" t="str">
        <f t="shared" si="1"/>
        <v>110</v>
      </c>
      <c r="C47" s="217" t="str">
        <f t="shared" si="2"/>
        <v>63</v>
      </c>
      <c r="D47" s="101" t="str">
        <f t="shared" si="3"/>
        <v>631</v>
      </c>
      <c r="E47" s="217" t="str">
        <f t="shared" si="4"/>
        <v>110-63-631</v>
      </c>
      <c r="F47" s="294" t="str">
        <f t="shared" si="5"/>
        <v>53554</v>
      </c>
      <c r="G47" s="295" t="str">
        <f>VLOOKUP(F47,'GL Category'!A:C,3,FALSE)</f>
        <v>Services &amp; other</v>
      </c>
      <c r="H47" s="98" t="str">
        <f>VLOOKUP(F47,'GL Category'!A:C,2,FALSE)</f>
        <v>ADMINISTRATIVE SERVICES</v>
      </c>
      <c r="I47" s="99">
        <f>SUMIF(Import!$B:$B,'Other Fund Line-Item Details'!$A47,Import!D:D)</f>
        <v>46836</v>
      </c>
      <c r="J47" s="99">
        <f>SUMIF(Import!$B:$B,'Other Fund Line-Item Details'!$A47,Import!E:E)</f>
        <v>42590</v>
      </c>
      <c r="K47" s="99">
        <f>SUMIF(Import!$B:$B,'Other Fund Line-Item Details'!$A47,Import!F:F)</f>
        <v>42680</v>
      </c>
      <c r="L47" s="99">
        <f>SUMIF(Import!$B:$B,'Other Fund Line-Item Details'!$A47,Import!G:G)</f>
        <v>47149</v>
      </c>
      <c r="M47" s="99">
        <f>SUMIF(Import!$B:$B,'Other Fund Line-Item Details'!$A47,Import!H:H)</f>
        <v>49916</v>
      </c>
      <c r="N47" s="99">
        <f>SUMIF(Import!$B:$B,'Other Fund Line-Item Details'!$A47,Import!I:I)</f>
        <v>37437</v>
      </c>
      <c r="O47" s="99">
        <f>SUMIF(Import!$B:$B,'Other Fund Line-Item Details'!$A47,Import!J:J)</f>
        <v>49916</v>
      </c>
      <c r="P47" s="99">
        <f t="shared" si="50"/>
        <v>0</v>
      </c>
      <c r="Q47" s="99">
        <f>SUMIF(Import!$B:$B,'Other Fund Line-Item Details'!$A47,Import!K:K)</f>
        <v>48045</v>
      </c>
      <c r="R47" s="99">
        <f>SUMIF(Import!$B:$B,'Other Fund Line-Item Details'!$A47,Import!L:L)</f>
        <v>0</v>
      </c>
      <c r="S47" s="99">
        <f>SUMIF(Import!$B:$B,'Other Fund Line-Item Details'!$A47,Import!M:M)</f>
        <v>0</v>
      </c>
      <c r="T47" s="99">
        <f>SUMIF(Import!$B:$B,'Other Fund Line-Item Details'!$A47,Import!N:N)</f>
        <v>48045</v>
      </c>
      <c r="U47" s="99">
        <f t="shared" si="51"/>
        <v>-1871</v>
      </c>
      <c r="V47" s="255">
        <f t="shared" si="52"/>
        <v>-3.7482971391938458E-2</v>
      </c>
      <c r="W47" s="102" t="s">
        <v>1769</v>
      </c>
      <c r="X47" s="102"/>
      <c r="Y47" s="102">
        <f t="shared" si="53"/>
        <v>48045</v>
      </c>
      <c r="Z47" s="309">
        <f>Y47*(1+VLOOKUP($F47,'GL Category'!$A:$H,4,FALSE))</f>
        <v>49486.35</v>
      </c>
      <c r="AA47" s="615"/>
      <c r="AB47" s="622">
        <f t="shared" si="54"/>
        <v>49486.35</v>
      </c>
      <c r="AC47" s="633">
        <f>AB47*(1+VLOOKUP($F47,'GL Category'!$A:$H,5,FALSE))</f>
        <v>50970.940499999997</v>
      </c>
      <c r="AD47" s="307"/>
      <c r="AE47" s="622">
        <f t="shared" si="55"/>
        <v>50970.940499999997</v>
      </c>
      <c r="AF47" s="633">
        <f>AE47*(1+VLOOKUP($F47,'GL Category'!$A:$H,6,FALSE))</f>
        <v>52500.068715000001</v>
      </c>
      <c r="AG47" s="307"/>
      <c r="AH47" s="622">
        <f t="shared" si="56"/>
        <v>52500.068715000001</v>
      </c>
      <c r="AI47" s="633">
        <f>AH47*(1+VLOOKUP($F47,'GL Category'!$A:$H,7,FALSE))</f>
        <v>54075.070776450004</v>
      </c>
      <c r="AJ47" s="307"/>
      <c r="AK47" s="622">
        <f t="shared" si="57"/>
        <v>54075.070776450004</v>
      </c>
      <c r="AL47" s="633">
        <f>AK47*(1+VLOOKUP($F47,'GL Category'!$A:$H,8,FALSE))</f>
        <v>55697.322899743507</v>
      </c>
      <c r="AM47" s="307"/>
      <c r="AN47" s="622">
        <f t="shared" si="58"/>
        <v>55697.322899743507</v>
      </c>
      <c r="AO47" s="192"/>
      <c r="AP47" s="192"/>
      <c r="AQ47" s="192"/>
      <c r="AR47" s="192"/>
    </row>
    <row r="48" spans="1:44" s="115" customFormat="1" ht="15" customHeight="1">
      <c r="A48" s="555"/>
      <c r="B48" s="217"/>
      <c r="C48" s="217"/>
      <c r="D48" s="101"/>
      <c r="E48" s="217"/>
      <c r="F48" s="294"/>
      <c r="G48" s="146"/>
      <c r="H48" s="107" t="e">
        <f>UPPER(#REF!)&amp;" TOTAL"</f>
        <v>#REF!</v>
      </c>
      <c r="I48" s="108">
        <f t="shared" ref="I48:T48" si="59">SUBTOTAL(9,I43:I47)</f>
        <v>46836</v>
      </c>
      <c r="J48" s="108">
        <f t="shared" si="59"/>
        <v>42590</v>
      </c>
      <c r="K48" s="108">
        <f t="shared" si="59"/>
        <v>58940</v>
      </c>
      <c r="L48" s="108">
        <f t="shared" si="59"/>
        <v>47149</v>
      </c>
      <c r="M48" s="108">
        <f t="shared" si="59"/>
        <v>49916</v>
      </c>
      <c r="N48" s="108">
        <f t="shared" si="59"/>
        <v>37437</v>
      </c>
      <c r="O48" s="108">
        <f t="shared" si="59"/>
        <v>49916</v>
      </c>
      <c r="P48" s="108">
        <f t="shared" si="59"/>
        <v>0</v>
      </c>
      <c r="Q48" s="108">
        <f t="shared" si="59"/>
        <v>48045</v>
      </c>
      <c r="R48" s="108">
        <f t="shared" si="59"/>
        <v>0</v>
      </c>
      <c r="S48" s="108">
        <f t="shared" si="59"/>
        <v>0</v>
      </c>
      <c r="T48" s="108">
        <f t="shared" si="59"/>
        <v>48045</v>
      </c>
      <c r="U48" s="99">
        <f t="shared" si="51"/>
        <v>-1871</v>
      </c>
      <c r="V48" s="255">
        <f t="shared" si="52"/>
        <v>-3.7482971391938458E-2</v>
      </c>
      <c r="W48" s="102"/>
      <c r="X48" s="194"/>
      <c r="Y48" s="194"/>
      <c r="Z48" s="194"/>
      <c r="AA48" s="194"/>
      <c r="AB48" s="194"/>
      <c r="AC48" s="192"/>
      <c r="AD48" s="192"/>
      <c r="AE48" s="194"/>
      <c r="AF48" s="194"/>
      <c r="AG48" s="194"/>
      <c r="AH48" s="194"/>
      <c r="AI48" s="194"/>
      <c r="AJ48" s="194"/>
      <c r="AK48" s="194"/>
      <c r="AL48" s="194"/>
      <c r="AM48" s="192"/>
      <c r="AN48" s="192"/>
      <c r="AO48" s="192"/>
      <c r="AP48" s="192"/>
      <c r="AQ48" s="192"/>
      <c r="AR48" s="192"/>
    </row>
    <row r="49" spans="1:44" s="115" customFormat="1" ht="15" customHeight="1">
      <c r="A49" s="555"/>
      <c r="B49" s="217"/>
      <c r="C49" s="217"/>
      <c r="D49" s="101"/>
      <c r="E49" s="217"/>
      <c r="F49" s="294"/>
      <c r="G49" s="146"/>
      <c r="H49" s="98"/>
      <c r="I49" s="218"/>
      <c r="J49" s="218"/>
      <c r="K49" s="218"/>
      <c r="L49" s="218"/>
      <c r="M49" s="218"/>
      <c r="N49" s="226"/>
      <c r="O49" s="226"/>
      <c r="P49" s="226"/>
      <c r="Q49" s="111"/>
      <c r="R49" s="111"/>
      <c r="S49" s="111"/>
      <c r="T49" s="111"/>
      <c r="U49" s="263"/>
      <c r="V49" s="88"/>
      <c r="W49" s="102"/>
      <c r="X49" s="194"/>
      <c r="Y49" s="194"/>
      <c r="Z49" s="194"/>
      <c r="AA49" s="194"/>
      <c r="AB49" s="194"/>
      <c r="AC49" s="192"/>
      <c r="AD49" s="192"/>
      <c r="AE49" s="194"/>
      <c r="AF49" s="194"/>
      <c r="AG49" s="194"/>
      <c r="AH49" s="194"/>
      <c r="AI49" s="194"/>
      <c r="AJ49" s="194"/>
      <c r="AK49" s="194"/>
      <c r="AL49" s="194"/>
      <c r="AM49" s="192"/>
      <c r="AN49" s="192"/>
      <c r="AO49" s="192"/>
      <c r="AP49" s="192"/>
      <c r="AQ49" s="192"/>
      <c r="AR49" s="192"/>
    </row>
    <row r="50" spans="1:44" s="115" customFormat="1" ht="15" customHeight="1">
      <c r="A50" s="555" t="s">
        <v>1770</v>
      </c>
      <c r="B50" s="217" t="str">
        <f t="shared" si="1"/>
        <v>110</v>
      </c>
      <c r="C50" s="217" t="str">
        <f t="shared" si="2"/>
        <v>99</v>
      </c>
      <c r="D50" s="101" t="str">
        <f t="shared" si="3"/>
        <v>992</v>
      </c>
      <c r="E50" s="217" t="str">
        <f t="shared" si="4"/>
        <v>110-99-992</v>
      </c>
      <c r="F50" s="294" t="str">
        <f t="shared" si="5"/>
        <v>56900</v>
      </c>
      <c r="G50" s="295" t="str">
        <f>VLOOKUP(F50,'GL Category'!A:C,3,FALSE)</f>
        <v>Debt Service</v>
      </c>
      <c r="H50" s="98" t="str">
        <f>VLOOKUP(F50,'GL Category'!A:C,2,FALSE)</f>
        <v>INTEREST/OTHER DEBTAMORTIZATI</v>
      </c>
      <c r="I50" s="99">
        <f>SUMIF(Import!$B:$B,'Other Fund Line-Item Details'!$A50,Import!D:D)</f>
        <v>217418.76</v>
      </c>
      <c r="J50" s="99">
        <f>SUMIF(Import!$B:$B,'Other Fund Line-Item Details'!$A50,Import!E:E)</f>
        <v>177493.76000000001</v>
      </c>
      <c r="K50" s="99">
        <f>SUMIF(Import!$B:$B,'Other Fund Line-Item Details'!$A50,Import!F:F)</f>
        <v>136418.76</v>
      </c>
      <c r="L50" s="99">
        <f>SUMIF(Import!$B:$B,'Other Fund Line-Item Details'!$A50,Import!G:G)</f>
        <v>94043.76</v>
      </c>
      <c r="M50" s="99">
        <f>SUMIF(Import!$B:$B,'Other Fund Line-Item Details'!$A50,Import!H:H)</f>
        <v>69794</v>
      </c>
      <c r="N50" s="99">
        <f>SUMIF(Import!$B:$B,'Other Fund Line-Item Details'!$A50,Import!I:I)</f>
        <v>36246.879999999997</v>
      </c>
      <c r="O50" s="99">
        <f>SUMIF(Import!$B:$B,'Other Fund Line-Item Details'!$A50,Import!J:J)</f>
        <v>596879</v>
      </c>
      <c r="P50" s="99">
        <f>O50-M50</f>
        <v>527085</v>
      </c>
      <c r="Q50" s="99">
        <f>SUMIF(Import!$B:$B,'Other Fund Line-Item Details'!$A50,Import!K:K)</f>
        <v>1213519</v>
      </c>
      <c r="R50" s="99">
        <f>SUMIF(Import!$B:$B,'Other Fund Line-Item Details'!$A50,Import!L:L)</f>
        <v>0</v>
      </c>
      <c r="S50" s="99">
        <f>SUMIF(Import!$B:$B,'Other Fund Line-Item Details'!$A50,Import!M:M)</f>
        <v>0</v>
      </c>
      <c r="T50" s="99">
        <f>SUMIF(Import!$B:$B,'Other Fund Line-Item Details'!$A50,Import!N:N)</f>
        <v>1213519</v>
      </c>
      <c r="U50" s="99">
        <f>T50-M50</f>
        <v>1143725</v>
      </c>
      <c r="V50" s="255">
        <f>IF(M50=0,"N/A",T50/M50-1)</f>
        <v>16.387153623520646</v>
      </c>
      <c r="W50" s="102" t="s">
        <v>1770</v>
      </c>
      <c r="X50" s="102"/>
      <c r="Y50" s="102">
        <f t="shared" ref="Y50:Y52" si="60">T50-X50</f>
        <v>1213519</v>
      </c>
      <c r="Z50" s="309">
        <v>1148069</v>
      </c>
      <c r="AA50" s="615"/>
      <c r="AB50" s="622">
        <f t="shared" ref="AB50:AB52" si="61">Z50+AA50</f>
        <v>1148069</v>
      </c>
      <c r="AC50" s="633">
        <v>1079394</v>
      </c>
      <c r="AD50" s="307"/>
      <c r="AE50" s="622">
        <f t="shared" ref="AE50:AE52" si="62">AC50+AD50</f>
        <v>1079394</v>
      </c>
      <c r="AF50" s="633">
        <v>1007319</v>
      </c>
      <c r="AG50" s="307"/>
      <c r="AH50" s="622">
        <f t="shared" ref="AH50:AH52" si="63">AF50+AG50</f>
        <v>1007319</v>
      </c>
      <c r="AI50" s="633">
        <v>931769</v>
      </c>
      <c r="AJ50" s="307"/>
      <c r="AK50" s="622">
        <f t="shared" ref="AK50:AK52" si="64">AI50+AJ50</f>
        <v>931769</v>
      </c>
      <c r="AL50" s="633">
        <f>AK50*(1+VLOOKUP($F50,'GL Category'!$A:$H,8,FALSE))</f>
        <v>931769</v>
      </c>
      <c r="AM50" s="307"/>
      <c r="AN50" s="622">
        <f t="shared" ref="AN50:AN52" si="65">AL50+AM50</f>
        <v>931769</v>
      </c>
      <c r="AO50" s="192"/>
      <c r="AP50" s="192"/>
      <c r="AQ50" s="192"/>
      <c r="AR50" s="192"/>
    </row>
    <row r="51" spans="1:44" s="115" customFormat="1" ht="15" customHeight="1">
      <c r="A51" s="555" t="s">
        <v>1768</v>
      </c>
      <c r="B51" s="217" t="str">
        <f t="shared" si="1"/>
        <v>110</v>
      </c>
      <c r="C51" s="217" t="str">
        <f t="shared" si="2"/>
        <v>99</v>
      </c>
      <c r="D51" s="101" t="str">
        <f t="shared" si="3"/>
        <v>992</v>
      </c>
      <c r="E51" s="217" t="str">
        <f t="shared" si="4"/>
        <v>110-99-992</v>
      </c>
      <c r="F51" s="294" t="str">
        <f t="shared" si="5"/>
        <v>56901</v>
      </c>
      <c r="G51" s="295" t="str">
        <f>VLOOKUP(F51,'GL Category'!A:C,3,FALSE)</f>
        <v>Debt Service</v>
      </c>
      <c r="H51" s="98" t="str">
        <f>VLOOKUP(F51,'GL Category'!A:C,2,FALSE)</f>
        <v>PAYING AGENT SERVICES</v>
      </c>
      <c r="I51" s="99">
        <f>SUMIF(Import!$B:$B,'Other Fund Line-Item Details'!$A51,Import!D:D)</f>
        <v>1815</v>
      </c>
      <c r="J51" s="99">
        <f>SUMIF(Import!$B:$B,'Other Fund Line-Item Details'!$A51,Import!E:E)</f>
        <v>1440</v>
      </c>
      <c r="K51" s="99">
        <f>SUMIF(Import!$B:$B,'Other Fund Line-Item Details'!$A51,Import!F:F)</f>
        <v>1440</v>
      </c>
      <c r="L51" s="99">
        <f>SUMIF(Import!$B:$B,'Other Fund Line-Item Details'!$A51,Import!G:G)</f>
        <v>750</v>
      </c>
      <c r="M51" s="99">
        <f>SUMIF(Import!$B:$B,'Other Fund Line-Item Details'!$A51,Import!H:H)</f>
        <v>0</v>
      </c>
      <c r="N51" s="99">
        <f>SUMIF(Import!$B:$B,'Other Fund Line-Item Details'!$A51,Import!I:I)</f>
        <v>825</v>
      </c>
      <c r="O51" s="99">
        <f>SUMIF(Import!$B:$B,'Other Fund Line-Item Details'!$A51,Import!J:J)</f>
        <v>0</v>
      </c>
      <c r="P51" s="99">
        <f>O51-M51</f>
        <v>0</v>
      </c>
      <c r="Q51" s="99">
        <f>SUMIF(Import!$B:$B,'Other Fund Line-Item Details'!$A51,Import!K:K)</f>
        <v>0</v>
      </c>
      <c r="R51" s="99">
        <f>SUMIF(Import!$B:$B,'Other Fund Line-Item Details'!$A51,Import!L:L)</f>
        <v>0</v>
      </c>
      <c r="S51" s="99">
        <f>SUMIF(Import!$B:$B,'Other Fund Line-Item Details'!$A51,Import!M:M)</f>
        <v>0</v>
      </c>
      <c r="T51" s="99">
        <f>SUMIF(Import!$B:$B,'Other Fund Line-Item Details'!$A51,Import!N:N)</f>
        <v>0</v>
      </c>
      <c r="U51" s="99">
        <f>T51-M51</f>
        <v>0</v>
      </c>
      <c r="V51" s="255" t="str">
        <f>IF(M51=0,"N/A",T51/M51-1)</f>
        <v>N/A</v>
      </c>
      <c r="W51" s="102" t="s">
        <v>1768</v>
      </c>
      <c r="X51" s="102"/>
      <c r="Y51" s="102">
        <f t="shared" si="60"/>
        <v>0</v>
      </c>
      <c r="Z51" s="309">
        <f>Y51*(1+VLOOKUP($F51,'GL Category'!$A:$H,4,FALSE))</f>
        <v>0</v>
      </c>
      <c r="AA51" s="615"/>
      <c r="AB51" s="622">
        <f t="shared" si="61"/>
        <v>0</v>
      </c>
      <c r="AC51" s="633">
        <f>AB51*(1+VLOOKUP($F51,'GL Category'!$A:$H,5,FALSE))</f>
        <v>0</v>
      </c>
      <c r="AD51" s="307"/>
      <c r="AE51" s="622">
        <f t="shared" si="62"/>
        <v>0</v>
      </c>
      <c r="AF51" s="633">
        <f>AE51*(1+VLOOKUP($F51,'GL Category'!$A:$H,6,FALSE))</f>
        <v>0</v>
      </c>
      <c r="AG51" s="307"/>
      <c r="AH51" s="622">
        <f t="shared" si="63"/>
        <v>0</v>
      </c>
      <c r="AI51" s="633">
        <f>AH51*(1+VLOOKUP($F51,'GL Category'!$A:$H,7,FALSE))</f>
        <v>0</v>
      </c>
      <c r="AJ51" s="307"/>
      <c r="AK51" s="622">
        <f t="shared" si="64"/>
        <v>0</v>
      </c>
      <c r="AL51" s="633">
        <f>AK51*(1+VLOOKUP($F51,'GL Category'!$A:$H,8,FALSE))</f>
        <v>0</v>
      </c>
      <c r="AM51" s="307"/>
      <c r="AN51" s="622">
        <f t="shared" si="65"/>
        <v>0</v>
      </c>
      <c r="AO51" s="192"/>
      <c r="AP51" s="192"/>
      <c r="AQ51" s="192"/>
      <c r="AR51" s="192"/>
    </row>
    <row r="52" spans="1:44" s="115" customFormat="1" ht="15" customHeight="1">
      <c r="A52" s="555" t="s">
        <v>1771</v>
      </c>
      <c r="B52" s="217" t="str">
        <f t="shared" si="1"/>
        <v>110</v>
      </c>
      <c r="C52" s="217" t="str">
        <f t="shared" si="2"/>
        <v>99</v>
      </c>
      <c r="D52" s="101" t="str">
        <f t="shared" si="3"/>
        <v>992</v>
      </c>
      <c r="E52" s="217" t="str">
        <f t="shared" si="4"/>
        <v>110-99-992</v>
      </c>
      <c r="F52" s="294" t="str">
        <f t="shared" si="5"/>
        <v>56902</v>
      </c>
      <c r="G52" s="295" t="str">
        <f>VLOOKUP(F52,'GL Category'!A:C,3,FALSE)</f>
        <v>Debt Service</v>
      </c>
      <c r="H52" s="98" t="str">
        <f>VLOOKUP(F52,'GL Category'!A:C,2,FALSE)</f>
        <v>GO RETIREMENT</v>
      </c>
      <c r="I52" s="99">
        <f>SUMIF(Import!$B:$B,'Other Fund Line-Item Details'!$A52,Import!D:D)</f>
        <v>1365000</v>
      </c>
      <c r="J52" s="99">
        <f>SUMIF(Import!$B:$B,'Other Fund Line-Item Details'!$A52,Import!E:E)</f>
        <v>1405000</v>
      </c>
      <c r="K52" s="99">
        <f>SUMIF(Import!$B:$B,'Other Fund Line-Item Details'!$A52,Import!F:F)</f>
        <v>1445000</v>
      </c>
      <c r="L52" s="99">
        <f>SUMIF(Import!$B:$B,'Other Fund Line-Item Details'!$A52,Import!G:G)</f>
        <v>1495000</v>
      </c>
      <c r="M52" s="99">
        <f>SUMIF(Import!$B:$B,'Other Fund Line-Item Details'!$A52,Import!H:H)</f>
        <v>2737471</v>
      </c>
      <c r="N52" s="99">
        <f>SUMIF(Import!$B:$B,'Other Fund Line-Item Details'!$A52,Import!I:I)</f>
        <v>180000</v>
      </c>
      <c r="O52" s="99">
        <f>SUMIF(Import!$B:$B,'Other Fund Line-Item Details'!$A52,Import!J:J)</f>
        <v>2000000</v>
      </c>
      <c r="P52" s="99">
        <f>O52-M52</f>
        <v>-737471</v>
      </c>
      <c r="Q52" s="99">
        <f>SUMIF(Import!$B:$B,'Other Fund Line-Item Details'!$A52,Import!K:K)</f>
        <v>1380000</v>
      </c>
      <c r="R52" s="99">
        <f>SUMIF(Import!$B:$B,'Other Fund Line-Item Details'!$A52,Import!L:L)</f>
        <v>0</v>
      </c>
      <c r="S52" s="99">
        <f>SUMIF(Import!$B:$B,'Other Fund Line-Item Details'!$A52,Import!M:M)</f>
        <v>0</v>
      </c>
      <c r="T52" s="99">
        <f>SUMIF(Import!$B:$B,'Other Fund Line-Item Details'!$A52,Import!N:N)</f>
        <v>1380000</v>
      </c>
      <c r="U52" s="99">
        <f>T52-M52</f>
        <v>-1357471</v>
      </c>
      <c r="V52" s="255">
        <f>IF(M52=0,"N/A",T52/M52-1)</f>
        <v>-0.49588507056330455</v>
      </c>
      <c r="W52" s="102" t="s">
        <v>1771</v>
      </c>
      <c r="X52" s="102"/>
      <c r="Y52" s="102">
        <f t="shared" si="60"/>
        <v>1380000</v>
      </c>
      <c r="Z52" s="309">
        <v>1450000</v>
      </c>
      <c r="AA52" s="615"/>
      <c r="AB52" s="622">
        <f t="shared" si="61"/>
        <v>1450000</v>
      </c>
      <c r="AC52" s="633">
        <v>1520000</v>
      </c>
      <c r="AD52" s="307"/>
      <c r="AE52" s="622">
        <f t="shared" si="62"/>
        <v>1520000</v>
      </c>
      <c r="AF52" s="633">
        <v>1590000</v>
      </c>
      <c r="AG52" s="307"/>
      <c r="AH52" s="622">
        <f t="shared" si="63"/>
        <v>1590000</v>
      </c>
      <c r="AI52" s="633">
        <v>1670000</v>
      </c>
      <c r="AJ52" s="307"/>
      <c r="AK52" s="622">
        <f t="shared" si="64"/>
        <v>1670000</v>
      </c>
      <c r="AL52" s="633">
        <v>1750000</v>
      </c>
      <c r="AM52" s="307"/>
      <c r="AN52" s="622">
        <f t="shared" si="65"/>
        <v>1750000</v>
      </c>
      <c r="AO52" s="192"/>
      <c r="AP52" s="192"/>
      <c r="AQ52" s="192"/>
      <c r="AR52" s="192"/>
    </row>
    <row r="53" spans="1:44" s="115" customFormat="1" ht="15" customHeight="1">
      <c r="A53" s="555"/>
      <c r="B53" s="217"/>
      <c r="C53" s="217"/>
      <c r="D53" s="101"/>
      <c r="E53" s="217"/>
      <c r="F53" s="294"/>
      <c r="G53" s="146"/>
      <c r="H53" s="107" t="str">
        <f>UPPER(G52)&amp;" TOTAL"</f>
        <v>DEBT SERVICE TOTAL</v>
      </c>
      <c r="I53" s="108">
        <f t="shared" ref="I53" si="66">SUBTOTAL(9,I50:I52)</f>
        <v>1584233.76</v>
      </c>
      <c r="J53" s="108">
        <f t="shared" ref="J53:P53" si="67">SUBTOTAL(9,J50:J52)</f>
        <v>1583933.76</v>
      </c>
      <c r="K53" s="108">
        <f t="shared" ref="K53" si="68">SUBTOTAL(9,K50:K52)</f>
        <v>1582858.76</v>
      </c>
      <c r="L53" s="108">
        <f t="shared" ref="L53" si="69">SUBTOTAL(9,L50:L52)</f>
        <v>1589793.76</v>
      </c>
      <c r="M53" s="108">
        <f t="shared" si="67"/>
        <v>2807265</v>
      </c>
      <c r="N53" s="108">
        <f t="shared" ref="N53" si="70">SUBTOTAL(9,N50:N52)</f>
        <v>217071.88</v>
      </c>
      <c r="O53" s="108">
        <f t="shared" si="67"/>
        <v>2596879</v>
      </c>
      <c r="P53" s="108">
        <f t="shared" si="67"/>
        <v>-210386</v>
      </c>
      <c r="Q53" s="108">
        <f t="shared" ref="Q53:T53" si="71">SUBTOTAL(9,Q50:Q52)</f>
        <v>2593519</v>
      </c>
      <c r="R53" s="108">
        <f t="shared" si="71"/>
        <v>0</v>
      </c>
      <c r="S53" s="108">
        <f t="shared" si="71"/>
        <v>0</v>
      </c>
      <c r="T53" s="108">
        <f t="shared" si="71"/>
        <v>2593519</v>
      </c>
      <c r="U53" s="99">
        <f>T53-M53</f>
        <v>-213746</v>
      </c>
      <c r="V53" s="255">
        <f>IF(M53=0,"N/A",T53/M53-1)</f>
        <v>-7.6140300256655524E-2</v>
      </c>
      <c r="W53" s="102"/>
      <c r="X53" s="198"/>
      <c r="Y53" s="198"/>
      <c r="Z53" s="198"/>
      <c r="AA53" s="198"/>
      <c r="AB53" s="198"/>
      <c r="AC53" s="192"/>
      <c r="AD53" s="192"/>
      <c r="AE53" s="198"/>
      <c r="AF53" s="198"/>
      <c r="AG53" s="198"/>
      <c r="AH53" s="198"/>
      <c r="AI53" s="198"/>
      <c r="AJ53" s="198"/>
      <c r="AK53" s="198"/>
      <c r="AL53" s="198"/>
      <c r="AM53" s="192"/>
      <c r="AN53" s="192"/>
      <c r="AO53" s="192"/>
      <c r="AP53" s="192"/>
      <c r="AQ53" s="192"/>
      <c r="AR53" s="192"/>
    </row>
    <row r="54" spans="1:44" s="115" customFormat="1" ht="15" customHeight="1">
      <c r="A54" s="555"/>
      <c r="B54" s="217"/>
      <c r="C54" s="217"/>
      <c r="D54" s="101"/>
      <c r="E54" s="217"/>
      <c r="F54" s="294"/>
      <c r="G54" s="146"/>
      <c r="H54" s="98"/>
      <c r="I54" s="218"/>
      <c r="J54" s="218"/>
      <c r="K54" s="218"/>
      <c r="L54" s="218"/>
      <c r="M54" s="218"/>
      <c r="N54" s="226"/>
      <c r="O54" s="226"/>
      <c r="P54" s="226"/>
      <c r="Q54" s="111"/>
      <c r="R54" s="111"/>
      <c r="S54" s="111"/>
      <c r="T54" s="111"/>
      <c r="U54" s="263"/>
      <c r="V54" s="88"/>
      <c r="W54" s="102"/>
      <c r="X54" s="197"/>
      <c r="Y54" s="197"/>
      <c r="Z54" s="197"/>
      <c r="AA54" s="197"/>
      <c r="AB54" s="197"/>
      <c r="AC54" s="192"/>
      <c r="AD54" s="192"/>
      <c r="AE54" s="197"/>
      <c r="AF54" s="197"/>
      <c r="AG54" s="197"/>
      <c r="AH54" s="197"/>
      <c r="AI54" s="197"/>
      <c r="AJ54" s="197"/>
      <c r="AK54" s="197"/>
      <c r="AL54" s="197"/>
      <c r="AM54" s="192"/>
      <c r="AN54" s="192"/>
      <c r="AO54" s="192"/>
      <c r="AP54" s="192"/>
      <c r="AQ54" s="192"/>
      <c r="AR54" s="192"/>
    </row>
    <row r="55" spans="1:44" s="115" customFormat="1" ht="15" customHeight="1">
      <c r="A55" s="555" t="s">
        <v>1772</v>
      </c>
      <c r="B55" s="217" t="str">
        <f t="shared" si="1"/>
        <v>110</v>
      </c>
      <c r="C55" s="217" t="str">
        <f t="shared" si="2"/>
        <v>63</v>
      </c>
      <c r="D55" s="101" t="str">
        <f t="shared" si="3"/>
        <v>631</v>
      </c>
      <c r="E55" s="217" t="str">
        <f t="shared" si="4"/>
        <v>110-63-631</v>
      </c>
      <c r="F55" s="294" t="str">
        <f t="shared" si="5"/>
        <v>58710</v>
      </c>
      <c r="G55" s="295" t="str">
        <f>VLOOKUP(F55,'GL Category'!A:C,3,FALSE)</f>
        <v>Capital Outlay</v>
      </c>
      <c r="H55" s="98" t="str">
        <f>VLOOKUP(F55,'GL Category'!A:C,2,FALSE)</f>
        <v>ENGINEERING/DESIGN SERVICES</v>
      </c>
      <c r="I55" s="99">
        <f>SUMIF(Import!$B:$B,'Other Fund Line-Item Details'!$A55,Import!D:D)</f>
        <v>0</v>
      </c>
      <c r="J55" s="99">
        <f>SUMIF(Import!$B:$B,'Other Fund Line-Item Details'!$A55,Import!E:E)</f>
        <v>0</v>
      </c>
      <c r="K55" s="99">
        <f>SUMIF(Import!$B:$B,'Other Fund Line-Item Details'!$A55,Import!F:F)</f>
        <v>0</v>
      </c>
      <c r="L55" s="99">
        <f>SUMIF(Import!$B:$B,'Other Fund Line-Item Details'!$A55,Import!G:G)</f>
        <v>0</v>
      </c>
      <c r="M55" s="99">
        <f>SUMIF(Import!$B:$B,'Other Fund Line-Item Details'!$A55,Import!H:H)</f>
        <v>0</v>
      </c>
      <c r="N55" s="99">
        <f>SUMIF(Import!$B:$B,'Other Fund Line-Item Details'!$A55,Import!I:I)</f>
        <v>0</v>
      </c>
      <c r="O55" s="99">
        <f>SUMIF(Import!$B:$B,'Other Fund Line-Item Details'!$A55,Import!J:J)</f>
        <v>0</v>
      </c>
      <c r="P55" s="99">
        <f t="shared" ref="P55:P58" si="72">O55-M55</f>
        <v>0</v>
      </c>
      <c r="Q55" s="99">
        <f>SUMIF(Import!$B:$B,'Other Fund Line-Item Details'!$A55,Import!K:K)</f>
        <v>0</v>
      </c>
      <c r="R55" s="99">
        <f>SUMIF(Import!$B:$B,'Other Fund Line-Item Details'!$A55,Import!L:L)</f>
        <v>0</v>
      </c>
      <c r="S55" s="99">
        <f>SUMIF(Import!$B:$B,'Other Fund Line-Item Details'!$A55,Import!M:M)</f>
        <v>0</v>
      </c>
      <c r="T55" s="99">
        <f>SUMIF(Import!$B:$B,'Other Fund Line-Item Details'!$A55,Import!N:N)</f>
        <v>0</v>
      </c>
      <c r="U55" s="99">
        <f t="shared" ref="U55:U59" si="73">T55-M55</f>
        <v>0</v>
      </c>
      <c r="V55" s="255" t="str">
        <f t="shared" ref="V55:V59" si="74">IF(M55=0,"N/A",T55/M55-1)</f>
        <v>N/A</v>
      </c>
      <c r="W55" s="102" t="s">
        <v>1772</v>
      </c>
      <c r="X55" s="102"/>
      <c r="Y55" s="102">
        <f t="shared" ref="Y55:Y58" si="75">T55-X55</f>
        <v>0</v>
      </c>
      <c r="Z55" s="309">
        <f>Y55*(1+VLOOKUP($F55,'GL Category'!$A:$H,4,FALSE))</f>
        <v>0</v>
      </c>
      <c r="AA55" s="615"/>
      <c r="AB55" s="622">
        <f t="shared" ref="AB55:AB58" si="76">Z55+AA55</f>
        <v>0</v>
      </c>
      <c r="AC55" s="633">
        <f>AB55*(1+VLOOKUP($F55,'GL Category'!$A:$H,5,FALSE))</f>
        <v>0</v>
      </c>
      <c r="AD55" s="307"/>
      <c r="AE55" s="622">
        <f t="shared" ref="AE55:AE58" si="77">AC55+AD55</f>
        <v>0</v>
      </c>
      <c r="AF55" s="633">
        <f>AE55*(1+VLOOKUP($F55,'GL Category'!$A:$H,6,FALSE))</f>
        <v>0</v>
      </c>
      <c r="AG55" s="307"/>
      <c r="AH55" s="622">
        <f t="shared" ref="AH55:AH58" si="78">AF55+AG55</f>
        <v>0</v>
      </c>
      <c r="AI55" s="633">
        <f>AH55*(1+VLOOKUP($F55,'GL Category'!$A:$H,7,FALSE))</f>
        <v>0</v>
      </c>
      <c r="AJ55" s="307"/>
      <c r="AK55" s="622">
        <f t="shared" ref="AK55:AK58" si="79">AI55+AJ55</f>
        <v>0</v>
      </c>
      <c r="AL55" s="633">
        <f>AK55*(1+VLOOKUP($F55,'GL Category'!$A:$H,8,FALSE))</f>
        <v>0</v>
      </c>
      <c r="AM55" s="307"/>
      <c r="AN55" s="622">
        <f t="shared" ref="AN55:AN58" si="80">AL55+AM55</f>
        <v>0</v>
      </c>
      <c r="AO55" s="192"/>
      <c r="AP55" s="192"/>
      <c r="AQ55" s="192"/>
      <c r="AR55" s="192"/>
    </row>
    <row r="56" spans="1:44" s="115" customFormat="1" ht="15" customHeight="1">
      <c r="A56" s="555" t="s">
        <v>1773</v>
      </c>
      <c r="B56" s="217" t="str">
        <f t="shared" si="1"/>
        <v>110</v>
      </c>
      <c r="C56" s="217" t="str">
        <f t="shared" si="2"/>
        <v>63</v>
      </c>
      <c r="D56" s="101" t="str">
        <f t="shared" si="3"/>
        <v>631</v>
      </c>
      <c r="E56" s="217" t="str">
        <f t="shared" si="4"/>
        <v>110-63-631</v>
      </c>
      <c r="F56" s="294" t="str">
        <f t="shared" si="5"/>
        <v>58801</v>
      </c>
      <c r="G56" s="295" t="str">
        <f>VLOOKUP(F56,'GL Category'!A:C,3,FALSE)</f>
        <v>Capital Outlay</v>
      </c>
      <c r="H56" s="98" t="str">
        <f>VLOOKUP(F56,'GL Category'!A:C,2,FALSE)</f>
        <v>LAND &amp; LAND RIGHTS</v>
      </c>
      <c r="I56" s="99">
        <f>SUMIF(Import!$B:$B,'Other Fund Line-Item Details'!$A56,Import!D:D)</f>
        <v>0</v>
      </c>
      <c r="J56" s="99">
        <f>SUMIF(Import!$B:$B,'Other Fund Line-Item Details'!$A56,Import!E:E)</f>
        <v>0</v>
      </c>
      <c r="K56" s="99">
        <f>SUMIF(Import!$B:$B,'Other Fund Line-Item Details'!$A56,Import!F:F)</f>
        <v>0</v>
      </c>
      <c r="L56" s="99">
        <f>SUMIF(Import!$B:$B,'Other Fund Line-Item Details'!$A56,Import!G:G)</f>
        <v>0</v>
      </c>
      <c r="M56" s="99">
        <f>SUMIF(Import!$B:$B,'Other Fund Line-Item Details'!$A56,Import!H:H)</f>
        <v>0</v>
      </c>
      <c r="N56" s="99">
        <f>SUMIF(Import!$B:$B,'Other Fund Line-Item Details'!$A56,Import!I:I)</f>
        <v>0</v>
      </c>
      <c r="O56" s="99">
        <f>SUMIF(Import!$B:$B,'Other Fund Line-Item Details'!$A56,Import!J:J)</f>
        <v>0</v>
      </c>
      <c r="P56" s="99">
        <f t="shared" si="72"/>
        <v>0</v>
      </c>
      <c r="Q56" s="99">
        <f>SUMIF(Import!$B:$B,'Other Fund Line-Item Details'!$A56,Import!K:K)</f>
        <v>0</v>
      </c>
      <c r="R56" s="99">
        <f>SUMIF(Import!$B:$B,'Other Fund Line-Item Details'!$A56,Import!L:L)</f>
        <v>0</v>
      </c>
      <c r="S56" s="99">
        <f>SUMIF(Import!$B:$B,'Other Fund Line-Item Details'!$A56,Import!M:M)</f>
        <v>0</v>
      </c>
      <c r="T56" s="99">
        <f>SUMIF(Import!$B:$B,'Other Fund Line-Item Details'!$A56,Import!N:N)</f>
        <v>0</v>
      </c>
      <c r="U56" s="99">
        <f t="shared" si="73"/>
        <v>0</v>
      </c>
      <c r="V56" s="255" t="str">
        <f t="shared" si="74"/>
        <v>N/A</v>
      </c>
      <c r="W56" s="102" t="s">
        <v>1773</v>
      </c>
      <c r="X56" s="102"/>
      <c r="Y56" s="102">
        <f t="shared" si="75"/>
        <v>0</v>
      </c>
      <c r="Z56" s="309">
        <f>Y56*(1+VLOOKUP($F56,'GL Category'!$A:$H,4,FALSE))</f>
        <v>0</v>
      </c>
      <c r="AA56" s="615"/>
      <c r="AB56" s="622">
        <f t="shared" si="76"/>
        <v>0</v>
      </c>
      <c r="AC56" s="633">
        <f>AB56*(1+VLOOKUP($F56,'GL Category'!$A:$H,5,FALSE))</f>
        <v>0</v>
      </c>
      <c r="AD56" s="307"/>
      <c r="AE56" s="622">
        <f t="shared" si="77"/>
        <v>0</v>
      </c>
      <c r="AF56" s="633">
        <f>AE56*(1+VLOOKUP($F56,'GL Category'!$A:$H,6,FALSE))</f>
        <v>0</v>
      </c>
      <c r="AG56" s="307"/>
      <c r="AH56" s="622">
        <f t="shared" si="78"/>
        <v>0</v>
      </c>
      <c r="AI56" s="633">
        <f>AH56*(1+VLOOKUP($F56,'GL Category'!$A:$H,7,FALSE))</f>
        <v>0</v>
      </c>
      <c r="AJ56" s="307"/>
      <c r="AK56" s="622">
        <f t="shared" si="79"/>
        <v>0</v>
      </c>
      <c r="AL56" s="633">
        <f>AK56*(1+VLOOKUP($F56,'GL Category'!$A:$H,8,FALSE))</f>
        <v>0</v>
      </c>
      <c r="AM56" s="307"/>
      <c r="AN56" s="622">
        <f t="shared" si="80"/>
        <v>0</v>
      </c>
      <c r="AO56" s="192"/>
      <c r="AP56" s="192"/>
      <c r="AQ56" s="192"/>
      <c r="AR56" s="192"/>
    </row>
    <row r="57" spans="1:44" s="115" customFormat="1" ht="15" customHeight="1">
      <c r="A57" s="555" t="s">
        <v>1774</v>
      </c>
      <c r="B57" s="217" t="str">
        <f t="shared" si="1"/>
        <v>110</v>
      </c>
      <c r="C57" s="217" t="str">
        <f t="shared" si="2"/>
        <v>63</v>
      </c>
      <c r="D57" s="101" t="str">
        <f t="shared" si="3"/>
        <v>631</v>
      </c>
      <c r="E57" s="217" t="str">
        <f t="shared" si="4"/>
        <v>110-63-631</v>
      </c>
      <c r="F57" s="294" t="str">
        <f t="shared" si="5"/>
        <v>58830</v>
      </c>
      <c r="G57" s="295" t="str">
        <f>VLOOKUP(F57,'GL Category'!A:C,3,FALSE)</f>
        <v>Capital Outlay</v>
      </c>
      <c r="H57" s="98" t="str">
        <f>VLOOKUP(F57,'GL Category'!A:C,2,FALSE)</f>
        <v>MACHINERY &amp; EQUIPMENT</v>
      </c>
      <c r="I57" s="99">
        <f>SUMIF(Import!$B:$B,'Other Fund Line-Item Details'!$A57,Import!D:D)</f>
        <v>180609.63</v>
      </c>
      <c r="J57" s="99">
        <f>SUMIF(Import!$B:$B,'Other Fund Line-Item Details'!$A57,Import!E:E)</f>
        <v>0</v>
      </c>
      <c r="K57" s="99">
        <f>SUMIF(Import!$B:$B,'Other Fund Line-Item Details'!$A57,Import!F:F)</f>
        <v>0</v>
      </c>
      <c r="L57" s="99">
        <f>SUMIF(Import!$B:$B,'Other Fund Line-Item Details'!$A57,Import!G:G)</f>
        <v>257315.71</v>
      </c>
      <c r="M57" s="99">
        <f>SUMIF(Import!$B:$B,'Other Fund Line-Item Details'!$A57,Import!H:H)</f>
        <v>13000</v>
      </c>
      <c r="N57" s="99">
        <f>SUMIF(Import!$B:$B,'Other Fund Line-Item Details'!$A57,Import!I:I)</f>
        <v>9697.16</v>
      </c>
      <c r="O57" s="99">
        <f>SUMIF(Import!$B:$B,'Other Fund Line-Item Details'!$A57,Import!J:J)</f>
        <v>9700</v>
      </c>
      <c r="P57" s="99">
        <f t="shared" si="72"/>
        <v>-3300</v>
      </c>
      <c r="Q57" s="99">
        <f>SUMIF(Import!$B:$B,'Other Fund Line-Item Details'!$A57,Import!K:K)</f>
        <v>36000</v>
      </c>
      <c r="R57" s="99">
        <f>SUMIF(Import!$B:$B,'Other Fund Line-Item Details'!$A57,Import!L:L)</f>
        <v>0</v>
      </c>
      <c r="S57" s="99">
        <f>SUMIF(Import!$B:$B,'Other Fund Line-Item Details'!$A57,Import!M:M)</f>
        <v>0</v>
      </c>
      <c r="T57" s="99">
        <f>SUMIF(Import!$B:$B,'Other Fund Line-Item Details'!$A57,Import!N:N)</f>
        <v>36000</v>
      </c>
      <c r="U57" s="99">
        <f t="shared" si="73"/>
        <v>23000</v>
      </c>
      <c r="V57" s="255">
        <f t="shared" si="74"/>
        <v>1.7692307692307692</v>
      </c>
      <c r="W57" s="102" t="s">
        <v>1774</v>
      </c>
      <c r="X57" s="102"/>
      <c r="Y57" s="102">
        <f t="shared" si="75"/>
        <v>36000</v>
      </c>
      <c r="Z57" s="309">
        <f>Y57*(1+VLOOKUP($F57,'GL Category'!$A:$H,4,FALSE))</f>
        <v>36000</v>
      </c>
      <c r="AA57" s="615"/>
      <c r="AB57" s="622">
        <f t="shared" si="76"/>
        <v>36000</v>
      </c>
      <c r="AC57" s="633">
        <f>AB57*(1+VLOOKUP($F57,'GL Category'!$A:$H,5,FALSE))</f>
        <v>37080</v>
      </c>
      <c r="AD57" s="307"/>
      <c r="AE57" s="622">
        <f t="shared" si="77"/>
        <v>37080</v>
      </c>
      <c r="AF57" s="633">
        <f>AE57*(1+VLOOKUP($F57,'GL Category'!$A:$H,6,FALSE))</f>
        <v>38192.400000000001</v>
      </c>
      <c r="AG57" s="307"/>
      <c r="AH57" s="622">
        <f t="shared" si="78"/>
        <v>38192.400000000001</v>
      </c>
      <c r="AI57" s="633">
        <f>AH57*(1+VLOOKUP($F57,'GL Category'!$A:$H,7,FALSE))</f>
        <v>39338.172000000006</v>
      </c>
      <c r="AJ57" s="307"/>
      <c r="AK57" s="622">
        <f t="shared" si="79"/>
        <v>39338.172000000006</v>
      </c>
      <c r="AL57" s="633">
        <f>AK57*(1+VLOOKUP($F57,'GL Category'!$A:$H,8,FALSE))</f>
        <v>40518.317160000006</v>
      </c>
      <c r="AM57" s="307"/>
      <c r="AN57" s="622">
        <f t="shared" si="80"/>
        <v>40518.317160000006</v>
      </c>
      <c r="AO57" s="192"/>
      <c r="AP57" s="192"/>
      <c r="AQ57" s="192"/>
      <c r="AR57" s="192"/>
    </row>
    <row r="58" spans="1:44" s="115" customFormat="1" ht="15" customHeight="1">
      <c r="A58" s="555" t="s">
        <v>1775</v>
      </c>
      <c r="B58" s="217" t="str">
        <f t="shared" si="1"/>
        <v>110</v>
      </c>
      <c r="C58" s="217" t="str">
        <f t="shared" si="2"/>
        <v>63</v>
      </c>
      <c r="D58" s="101" t="str">
        <f t="shared" si="3"/>
        <v>631</v>
      </c>
      <c r="E58" s="217" t="str">
        <f t="shared" si="4"/>
        <v>110-63-631</v>
      </c>
      <c r="F58" s="294" t="str">
        <f t="shared" si="5"/>
        <v>58828</v>
      </c>
      <c r="G58" s="295" t="str">
        <f>VLOOKUP(F58,'GL Category'!A:C,3,FALSE)</f>
        <v>Capital Outlay</v>
      </c>
      <c r="H58" s="98" t="str">
        <f>VLOOKUP(F58,'GL Category'!A:C,2,FALSE)</f>
        <v>BUILDINGS &amp; IMPROVEMENTS</v>
      </c>
      <c r="I58" s="99">
        <f>SUMIF(Import!$B:$B,'Other Fund Line-Item Details'!$A58,Import!D:D)</f>
        <v>0</v>
      </c>
      <c r="J58" s="99">
        <f>SUMIF(Import!$B:$B,'Other Fund Line-Item Details'!$A58,Import!E:E)</f>
        <v>0</v>
      </c>
      <c r="K58" s="99">
        <f>SUMIF(Import!$B:$B,'Other Fund Line-Item Details'!$A58,Import!F:F)</f>
        <v>0</v>
      </c>
      <c r="L58" s="99">
        <f>SUMIF(Import!$B:$B,'Other Fund Line-Item Details'!$A58,Import!G:G)</f>
        <v>0</v>
      </c>
      <c r="M58" s="99">
        <f>SUMIF(Import!$B:$B,'Other Fund Line-Item Details'!$A58,Import!H:H)</f>
        <v>0</v>
      </c>
      <c r="N58" s="99">
        <f>SUMIF(Import!$B:$B,'Other Fund Line-Item Details'!$A58,Import!I:I)</f>
        <v>0</v>
      </c>
      <c r="O58" s="99">
        <f>SUMIF(Import!$B:$B,'Other Fund Line-Item Details'!$A58,Import!J:J)</f>
        <v>0</v>
      </c>
      <c r="P58" s="99">
        <f t="shared" si="72"/>
        <v>0</v>
      </c>
      <c r="Q58" s="99">
        <f>SUMIF(Import!$B:$B,'Other Fund Line-Item Details'!$A58,Import!K:K)</f>
        <v>0</v>
      </c>
      <c r="R58" s="99">
        <f>SUMIF(Import!$B:$B,'Other Fund Line-Item Details'!$A58,Import!L:L)</f>
        <v>0</v>
      </c>
      <c r="S58" s="99">
        <f>SUMIF(Import!$B:$B,'Other Fund Line-Item Details'!$A58,Import!M:M)</f>
        <v>0</v>
      </c>
      <c r="T58" s="99">
        <f>SUMIF(Import!$B:$B,'Other Fund Line-Item Details'!$A58,Import!N:N)</f>
        <v>0</v>
      </c>
      <c r="U58" s="99">
        <f t="shared" si="73"/>
        <v>0</v>
      </c>
      <c r="V58" s="255" t="str">
        <f t="shared" si="74"/>
        <v>N/A</v>
      </c>
      <c r="W58" s="102" t="s">
        <v>1775</v>
      </c>
      <c r="X58" s="102"/>
      <c r="Y58" s="102">
        <f t="shared" si="75"/>
        <v>0</v>
      </c>
      <c r="Z58" s="309">
        <f>Y58*(1+VLOOKUP($F58,'GL Category'!$A:$H,4,FALSE))</f>
        <v>0</v>
      </c>
      <c r="AA58" s="615"/>
      <c r="AB58" s="622">
        <f t="shared" si="76"/>
        <v>0</v>
      </c>
      <c r="AC58" s="633">
        <f>AB58*(1+VLOOKUP($F58,'GL Category'!$A:$H,5,FALSE))</f>
        <v>0</v>
      </c>
      <c r="AD58" s="307"/>
      <c r="AE58" s="622">
        <f t="shared" si="77"/>
        <v>0</v>
      </c>
      <c r="AF58" s="633">
        <f>AE58*(1+VLOOKUP($F58,'GL Category'!$A:$H,6,FALSE))</f>
        <v>0</v>
      </c>
      <c r="AG58" s="307"/>
      <c r="AH58" s="622">
        <f t="shared" si="78"/>
        <v>0</v>
      </c>
      <c r="AI58" s="633">
        <f>AH58*(1+VLOOKUP($F58,'GL Category'!$A:$H,7,FALSE))</f>
        <v>0</v>
      </c>
      <c r="AJ58" s="307"/>
      <c r="AK58" s="622">
        <f t="shared" si="79"/>
        <v>0</v>
      </c>
      <c r="AL58" s="633">
        <f>AK58*(1+VLOOKUP($F58,'GL Category'!$A:$H,8,FALSE))</f>
        <v>0</v>
      </c>
      <c r="AM58" s="307"/>
      <c r="AN58" s="622">
        <f t="shared" si="80"/>
        <v>0</v>
      </c>
      <c r="AO58" s="192"/>
      <c r="AP58" s="192"/>
      <c r="AQ58" s="192"/>
      <c r="AR58" s="192"/>
    </row>
    <row r="59" spans="1:44" s="115" customFormat="1" ht="15" customHeight="1">
      <c r="A59" s="555"/>
      <c r="B59" s="217"/>
      <c r="C59" s="217"/>
      <c r="D59" s="101"/>
      <c r="E59" s="217"/>
      <c r="F59" s="294"/>
      <c r="G59" s="146"/>
      <c r="H59" s="107" t="str">
        <f>UPPER(G58)&amp;" TOTAL"</f>
        <v>CAPITAL OUTLAY TOTAL</v>
      </c>
      <c r="I59" s="108">
        <f t="shared" ref="I59:T59" si="81">SUBTOTAL(9,I55:I58)</f>
        <v>180609.63</v>
      </c>
      <c r="J59" s="108">
        <f t="shared" si="81"/>
        <v>0</v>
      </c>
      <c r="K59" s="108">
        <f t="shared" si="81"/>
        <v>0</v>
      </c>
      <c r="L59" s="108">
        <f t="shared" si="81"/>
        <v>257315.71</v>
      </c>
      <c r="M59" s="108">
        <f t="shared" si="81"/>
        <v>13000</v>
      </c>
      <c r="N59" s="108">
        <f t="shared" si="81"/>
        <v>9697.16</v>
      </c>
      <c r="O59" s="108">
        <f t="shared" si="81"/>
        <v>9700</v>
      </c>
      <c r="P59" s="108">
        <f t="shared" si="81"/>
        <v>-3300</v>
      </c>
      <c r="Q59" s="108">
        <f t="shared" si="81"/>
        <v>36000</v>
      </c>
      <c r="R59" s="108">
        <f t="shared" si="81"/>
        <v>0</v>
      </c>
      <c r="S59" s="108">
        <f t="shared" si="81"/>
        <v>0</v>
      </c>
      <c r="T59" s="108">
        <f t="shared" si="81"/>
        <v>36000</v>
      </c>
      <c r="U59" s="99">
        <f t="shared" si="73"/>
        <v>23000</v>
      </c>
      <c r="V59" s="255">
        <f t="shared" si="74"/>
        <v>1.7692307692307692</v>
      </c>
      <c r="W59" s="102"/>
      <c r="X59" s="198"/>
      <c r="Y59" s="198"/>
      <c r="Z59" s="198"/>
      <c r="AA59" s="198"/>
      <c r="AB59" s="198"/>
      <c r="AC59" s="192"/>
      <c r="AD59" s="192"/>
      <c r="AE59" s="198"/>
      <c r="AF59" s="198"/>
      <c r="AG59" s="198"/>
      <c r="AH59" s="198"/>
      <c r="AI59" s="198"/>
      <c r="AJ59" s="198"/>
      <c r="AK59" s="198"/>
      <c r="AL59" s="198"/>
      <c r="AM59" s="192"/>
      <c r="AN59" s="192"/>
      <c r="AO59" s="192"/>
      <c r="AP59" s="192"/>
      <c r="AQ59" s="192"/>
      <c r="AR59" s="192"/>
    </row>
    <row r="60" spans="1:44" s="115" customFormat="1" ht="15" customHeight="1">
      <c r="A60" s="555"/>
      <c r="B60" s="217"/>
      <c r="C60" s="217"/>
      <c r="D60" s="101"/>
      <c r="E60" s="217"/>
      <c r="F60" s="294"/>
      <c r="G60" s="146"/>
      <c r="H60" s="98"/>
      <c r="I60" s="218"/>
      <c r="J60" s="218"/>
      <c r="K60" s="218"/>
      <c r="L60" s="218"/>
      <c r="M60" s="218"/>
      <c r="N60" s="226"/>
      <c r="O60" s="226"/>
      <c r="P60" s="226"/>
      <c r="Q60" s="111"/>
      <c r="R60" s="111"/>
      <c r="S60" s="111"/>
      <c r="T60" s="111"/>
      <c r="U60" s="263"/>
      <c r="V60" s="88"/>
      <c r="W60" s="102"/>
      <c r="X60" s="197"/>
      <c r="Y60" s="197"/>
      <c r="Z60" s="197"/>
      <c r="AA60" s="197"/>
      <c r="AB60" s="197"/>
      <c r="AC60" s="192"/>
      <c r="AD60" s="192"/>
      <c r="AE60" s="197"/>
      <c r="AF60" s="197"/>
      <c r="AG60" s="197"/>
      <c r="AH60" s="197"/>
      <c r="AI60" s="197"/>
      <c r="AJ60" s="197"/>
      <c r="AK60" s="197"/>
      <c r="AL60" s="197"/>
      <c r="AM60" s="192"/>
      <c r="AN60" s="192"/>
      <c r="AO60" s="192"/>
      <c r="AP60" s="192"/>
      <c r="AQ60" s="192"/>
      <c r="AR60" s="192"/>
    </row>
    <row r="61" spans="1:44" s="115" customFormat="1" ht="15" customHeight="1">
      <c r="A61" s="555" t="s">
        <v>1776</v>
      </c>
      <c r="B61" s="217" t="str">
        <f t="shared" si="1"/>
        <v>110</v>
      </c>
      <c r="C61" s="217" t="str">
        <f t="shared" si="2"/>
        <v>63</v>
      </c>
      <c r="D61" s="101" t="str">
        <f t="shared" si="3"/>
        <v>631</v>
      </c>
      <c r="E61" s="217" t="str">
        <f t="shared" si="4"/>
        <v>110-63-631</v>
      </c>
      <c r="F61" s="294" t="str">
        <f t="shared" si="5"/>
        <v>59178</v>
      </c>
      <c r="G61" s="295" t="str">
        <f>VLOOKUP(F61,'GL Category'!A:C,3,FALSE)</f>
        <v>Transfers to other funds</v>
      </c>
      <c r="H61" s="98" t="str">
        <f>VLOOKUP(F61,'GL Category'!A:C,2,FALSE)</f>
        <v>TRANSFER TO CIP-PARK</v>
      </c>
      <c r="I61" s="99">
        <f>SUMIF(Import!$B:$B,'Other Fund Line-Item Details'!$A61,Import!D:D)</f>
        <v>0</v>
      </c>
      <c r="J61" s="99">
        <f>SUMIF(Import!$B:$B,'Other Fund Line-Item Details'!$A61,Import!E:E)</f>
        <v>0</v>
      </c>
      <c r="K61" s="99">
        <f>SUMIF(Import!$B:$B,'Other Fund Line-Item Details'!$A61,Import!F:F)</f>
        <v>0</v>
      </c>
      <c r="L61" s="99">
        <f>SUMIF(Import!$B:$B,'Other Fund Line-Item Details'!$A61,Import!G:G)</f>
        <v>0</v>
      </c>
      <c r="M61" s="99">
        <f>SUMIF(Import!$B:$B,'Other Fund Line-Item Details'!$A61,Import!H:H)</f>
        <v>0</v>
      </c>
      <c r="N61" s="99">
        <f>SUMIF(Import!$B:$B,'Other Fund Line-Item Details'!$A61,Import!I:I)</f>
        <v>0</v>
      </c>
      <c r="O61" s="99">
        <f>SUMIF(Import!$B:$B,'Other Fund Line-Item Details'!$A61,Import!J:J)</f>
        <v>0</v>
      </c>
      <c r="P61" s="99">
        <f>O61-M61</f>
        <v>0</v>
      </c>
      <c r="Q61" s="99">
        <f>SUMIF(Import!$B:$B,'Other Fund Line-Item Details'!$A61,Import!K:K)</f>
        <v>0</v>
      </c>
      <c r="R61" s="99">
        <f>SUMIF(Import!$B:$B,'Other Fund Line-Item Details'!$A61,Import!L:L)</f>
        <v>0</v>
      </c>
      <c r="S61" s="99">
        <f>SUMIF(Import!$B:$B,'Other Fund Line-Item Details'!$A61,Import!M:M)</f>
        <v>0</v>
      </c>
      <c r="T61" s="99">
        <f>SUMIF(Import!$B:$B,'Other Fund Line-Item Details'!$A61,Import!N:N)</f>
        <v>0</v>
      </c>
      <c r="U61" s="99">
        <f>T61-M61</f>
        <v>0</v>
      </c>
      <c r="V61" s="255" t="str">
        <f>IF(M61=0,"N/A",T61/M61-1)</f>
        <v>N/A</v>
      </c>
      <c r="W61" s="102" t="s">
        <v>1776</v>
      </c>
      <c r="X61" s="102"/>
      <c r="Y61" s="102">
        <f t="shared" ref="Y61:Y62" si="82">T61-X61</f>
        <v>0</v>
      </c>
      <c r="Z61" s="309">
        <f>Y61*(1+VLOOKUP($F61,'GL Category'!$A:$H,4,FALSE))</f>
        <v>0</v>
      </c>
      <c r="AA61" s="615"/>
      <c r="AB61" s="622">
        <f t="shared" ref="AB61:AB63" si="83">Z61+AA61</f>
        <v>0</v>
      </c>
      <c r="AC61" s="633">
        <f>AB61*(1+VLOOKUP($F61,'GL Category'!$A:$H,5,FALSE))</f>
        <v>0</v>
      </c>
      <c r="AD61" s="307"/>
      <c r="AE61" s="622">
        <f t="shared" ref="AE61:AE63" si="84">AC61+AD61</f>
        <v>0</v>
      </c>
      <c r="AF61" s="633">
        <f>AE61*(1+VLOOKUP($F61,'GL Category'!$A:$H,6,FALSE))</f>
        <v>0</v>
      </c>
      <c r="AG61" s="307"/>
      <c r="AH61" s="622">
        <f t="shared" ref="AH61:AH63" si="85">AF61+AG61</f>
        <v>0</v>
      </c>
      <c r="AI61" s="633">
        <f>AH61*(1+VLOOKUP($F61,'GL Category'!$A:$H,7,FALSE))</f>
        <v>0</v>
      </c>
      <c r="AJ61" s="307"/>
      <c r="AK61" s="622">
        <f t="shared" ref="AK61:AK63" si="86">AI61+AJ61</f>
        <v>0</v>
      </c>
      <c r="AL61" s="633">
        <f>AK61*(1+VLOOKUP($F61,'GL Category'!$A:$H,8,FALSE))</f>
        <v>0</v>
      </c>
      <c r="AM61" s="307"/>
      <c r="AN61" s="622">
        <f t="shared" ref="AN61:AN63" si="87">AL61+AM61</f>
        <v>0</v>
      </c>
      <c r="AO61" s="192"/>
      <c r="AP61" s="192"/>
      <c r="AQ61" s="192"/>
      <c r="AR61" s="192"/>
    </row>
    <row r="62" spans="1:44" s="115" customFormat="1" ht="15" customHeight="1">
      <c r="A62" s="555" t="s">
        <v>3210</v>
      </c>
      <c r="B62" s="217" t="str">
        <f t="shared" ref="B62:B119" si="88">LEFT(A62,3)</f>
        <v>110</v>
      </c>
      <c r="C62" s="217" t="str">
        <f t="shared" ref="C62:C119" si="89">MID(A62,5,2)</f>
        <v>99</v>
      </c>
      <c r="D62" s="101" t="str">
        <f t="shared" ref="D62:D119" si="90">MID(A62,8,3)</f>
        <v>998</v>
      </c>
      <c r="E62" s="217" t="str">
        <f t="shared" ref="E62:E119" si="91">LEFT(A62,10)</f>
        <v>110-99-998</v>
      </c>
      <c r="F62" s="294" t="str">
        <f t="shared" ref="F62:F119" si="92">RIGHT(A62,5)</f>
        <v>59170</v>
      </c>
      <c r="G62" s="295" t="str">
        <f>VLOOKUP(F62,'GL Category'!A:C,3,FALSE)</f>
        <v>Transfers to other funds</v>
      </c>
      <c r="H62" s="98" t="str">
        <f>VLOOKUP(F62,'GL Category'!A:C,2,FALSE)</f>
        <v>TRANSFER TO CIP-STREET IMPROVE</v>
      </c>
      <c r="I62" s="99">
        <f>SUMIF(Import!$B:$B,'Other Fund Line-Item Details'!$A62,Import!D:D)</f>
        <v>216000</v>
      </c>
      <c r="J62" s="99">
        <f>SUMIF(Import!$B:$B,'Other Fund Line-Item Details'!$A62,Import!E:E)</f>
        <v>0</v>
      </c>
      <c r="K62" s="99">
        <f>SUMIF(Import!$B:$B,'Other Fund Line-Item Details'!$A62,Import!F:F)</f>
        <v>685000</v>
      </c>
      <c r="L62" s="99">
        <f>SUMIF(Import!$B:$B,'Other Fund Line-Item Details'!$A62,Import!G:G)</f>
        <v>0</v>
      </c>
      <c r="M62" s="99">
        <f>SUMIF(Import!$B:$B,'Other Fund Line-Item Details'!$A62,Import!H:H)</f>
        <v>0</v>
      </c>
      <c r="N62" s="99">
        <f>SUMIF(Import!$B:$B,'Other Fund Line-Item Details'!$A62,Import!I:I)</f>
        <v>0</v>
      </c>
      <c r="O62" s="99">
        <f>SUMIF(Import!$B:$B,'Other Fund Line-Item Details'!$A62,Import!J:J)</f>
        <v>0</v>
      </c>
      <c r="P62" s="99">
        <f>O62-M62</f>
        <v>0</v>
      </c>
      <c r="Q62" s="99">
        <f>SUMIF(Import!$B:$B,'Other Fund Line-Item Details'!$A62,Import!K:K)</f>
        <v>0</v>
      </c>
      <c r="R62" s="99">
        <f>SUMIF(Import!$B:$B,'Other Fund Line-Item Details'!$A62,Import!L:L)</f>
        <v>0</v>
      </c>
      <c r="S62" s="99">
        <f>SUMIF(Import!$B:$B,'Other Fund Line-Item Details'!$A62,Import!M:M)</f>
        <v>0</v>
      </c>
      <c r="T62" s="99">
        <f>SUMIF(Import!$B:$B,'Other Fund Line-Item Details'!$A62,Import!N:N)</f>
        <v>0</v>
      </c>
      <c r="U62" s="99">
        <f>T62-M62</f>
        <v>0</v>
      </c>
      <c r="V62" s="255" t="str">
        <f>IF(M62=0,"N/A",T62/M62-1)</f>
        <v>N/A</v>
      </c>
      <c r="W62" s="102" t="s">
        <v>1777</v>
      </c>
      <c r="X62" s="102"/>
      <c r="Y62" s="102">
        <f t="shared" si="82"/>
        <v>0</v>
      </c>
      <c r="Z62" s="309">
        <f>Y62*(1+VLOOKUP($F62,'GL Category'!$A:$H,4,FALSE))</f>
        <v>0</v>
      </c>
      <c r="AA62" s="615"/>
      <c r="AB62" s="622">
        <f t="shared" si="83"/>
        <v>0</v>
      </c>
      <c r="AC62" s="633">
        <f>AB62*(1+VLOOKUP($F62,'GL Category'!$A:$H,5,FALSE))</f>
        <v>0</v>
      </c>
      <c r="AD62" s="307"/>
      <c r="AE62" s="622">
        <f t="shared" si="84"/>
        <v>0</v>
      </c>
      <c r="AF62" s="633">
        <f>AE62*(1+VLOOKUP($F62,'GL Category'!$A:$H,6,FALSE))</f>
        <v>0</v>
      </c>
      <c r="AG62" s="307"/>
      <c r="AH62" s="622">
        <f t="shared" si="85"/>
        <v>0</v>
      </c>
      <c r="AI62" s="633">
        <f>AH62*(1+VLOOKUP($F62,'GL Category'!$A:$H,7,FALSE))</f>
        <v>0</v>
      </c>
      <c r="AJ62" s="307"/>
      <c r="AK62" s="622">
        <f t="shared" si="86"/>
        <v>0</v>
      </c>
      <c r="AL62" s="633">
        <f>AK62*(1+VLOOKUP($F62,'GL Category'!$A:$H,8,FALSE))</f>
        <v>0</v>
      </c>
      <c r="AM62" s="307"/>
      <c r="AN62" s="622">
        <f t="shared" si="87"/>
        <v>0</v>
      </c>
      <c r="AO62" s="192"/>
      <c r="AP62" s="192"/>
      <c r="AQ62" s="192"/>
      <c r="AR62" s="192"/>
    </row>
    <row r="63" spans="1:44" s="115" customFormat="1" ht="15" customHeight="1">
      <c r="A63" s="555" t="s">
        <v>1778</v>
      </c>
      <c r="B63" s="217" t="str">
        <f t="shared" si="88"/>
        <v>110</v>
      </c>
      <c r="C63" s="217" t="str">
        <f t="shared" si="89"/>
        <v>99</v>
      </c>
      <c r="D63" s="101" t="str">
        <f t="shared" si="90"/>
        <v>998</v>
      </c>
      <c r="E63" s="217" t="str">
        <f t="shared" si="91"/>
        <v>110-99-998</v>
      </c>
      <c r="F63" s="294" t="str">
        <f t="shared" si="92"/>
        <v>59178</v>
      </c>
      <c r="G63" s="295" t="str">
        <f>VLOOKUP(F63,'GL Category'!A:C,3,FALSE)</f>
        <v>Transfers to other funds</v>
      </c>
      <c r="H63" s="98" t="str">
        <f>VLOOKUP(F63,'GL Category'!A:C,2,FALSE)</f>
        <v>TRANSFER TO CIP-PARK</v>
      </c>
      <c r="I63" s="99">
        <f>SUMIF(Import!$B:$B,'Other Fund Line-Item Details'!$A63,Import!D:D)</f>
        <v>499000</v>
      </c>
      <c r="J63" s="99">
        <f>SUMIF(Import!$B:$B,'Other Fund Line-Item Details'!$A63,Import!E:E)</f>
        <v>1656987</v>
      </c>
      <c r="K63" s="99">
        <f>SUMIF(Import!$B:$B,'Other Fund Line-Item Details'!$A63,Import!F:F)</f>
        <v>1302500</v>
      </c>
      <c r="L63" s="99">
        <f>SUMIF(Import!$B:$B,'Other Fund Line-Item Details'!$A63,Import!G:G)</f>
        <v>4686483</v>
      </c>
      <c r="M63" s="99">
        <f>SUMIF(Import!$B:$B,'Other Fund Line-Item Details'!$A63,Import!H:H)</f>
        <v>1800000</v>
      </c>
      <c r="N63" s="99">
        <f>SUMIF(Import!$B:$B,'Other Fund Line-Item Details'!$A63,Import!I:I)</f>
        <v>1350000</v>
      </c>
      <c r="O63" s="99">
        <f>SUMIF(Import!$B:$B,'Other Fund Line-Item Details'!$A63,Import!J:J)</f>
        <v>3420616</v>
      </c>
      <c r="P63" s="99">
        <f>O63-M63</f>
        <v>1620616</v>
      </c>
      <c r="Q63" s="99">
        <f>SUMIF(Import!$B:$B,'Other Fund Line-Item Details'!$A63,Import!K:K)</f>
        <v>2120616</v>
      </c>
      <c r="R63" s="99">
        <f>SUMIF(Import!$B:$B,'Other Fund Line-Item Details'!$A63,Import!L:L)</f>
        <v>0</v>
      </c>
      <c r="S63" s="99">
        <f>SUMIF(Import!$B:$B,'Other Fund Line-Item Details'!$A63,Import!M:M)</f>
        <v>0</v>
      </c>
      <c r="T63" s="99">
        <f>SUMIF(Import!$B:$B,'Other Fund Line-Item Details'!$A63,Import!N:N)</f>
        <v>2120616</v>
      </c>
      <c r="U63" s="99">
        <f>T63-M63</f>
        <v>320616</v>
      </c>
      <c r="V63" s="255">
        <f>IF(M63=0,"N/A",T63/M63-1)</f>
        <v>0.17812000000000006</v>
      </c>
      <c r="W63" s="102" t="s">
        <v>1778</v>
      </c>
      <c r="X63" s="102"/>
      <c r="Y63" s="102">
        <v>0</v>
      </c>
      <c r="Z63" s="309">
        <f>Y63*(1+VLOOKUP($F63,'GL Category'!$A:$H,4,FALSE))</f>
        <v>0</v>
      </c>
      <c r="AA63" s="615"/>
      <c r="AB63" s="622">
        <f t="shared" si="83"/>
        <v>0</v>
      </c>
      <c r="AC63" s="633">
        <f>AB63*(1+VLOOKUP($F63,'GL Category'!$A:$H,5,FALSE))</f>
        <v>0</v>
      </c>
      <c r="AD63" s="307"/>
      <c r="AE63" s="622">
        <f t="shared" si="84"/>
        <v>0</v>
      </c>
      <c r="AF63" s="633">
        <f>AE63*(1+VLOOKUP($F63,'GL Category'!$A:$H,6,FALSE))</f>
        <v>0</v>
      </c>
      <c r="AG63" s="307"/>
      <c r="AH63" s="622">
        <f t="shared" si="85"/>
        <v>0</v>
      </c>
      <c r="AI63" s="633">
        <f>AH63*(1+VLOOKUP($F63,'GL Category'!$A:$H,7,FALSE))</f>
        <v>0</v>
      </c>
      <c r="AJ63" s="307"/>
      <c r="AK63" s="622">
        <f t="shared" si="86"/>
        <v>0</v>
      </c>
      <c r="AL63" s="633">
        <f>AK63*(1+VLOOKUP($F63,'GL Category'!$A:$H,8,FALSE))</f>
        <v>0</v>
      </c>
      <c r="AM63" s="307"/>
      <c r="AN63" s="622">
        <f t="shared" si="87"/>
        <v>0</v>
      </c>
      <c r="AO63" s="192"/>
      <c r="AP63" s="192"/>
      <c r="AQ63" s="192"/>
      <c r="AR63" s="192"/>
    </row>
    <row r="64" spans="1:44" s="115" customFormat="1" ht="24.6" customHeight="1">
      <c r="A64" s="555"/>
      <c r="B64" s="217"/>
      <c r="C64" s="217"/>
      <c r="D64" s="101"/>
      <c r="E64" s="217"/>
      <c r="F64" s="294"/>
      <c r="G64" s="146"/>
      <c r="H64" s="107" t="str">
        <f>UPPER(G63)&amp;" TOTAL"</f>
        <v>TRANSFERS TO OTHER FUNDS TOTAL</v>
      </c>
      <c r="I64" s="108">
        <f t="shared" ref="I64:T64" si="93">SUBTOTAL(9,I61:I63)</f>
        <v>715000</v>
      </c>
      <c r="J64" s="108">
        <f t="shared" si="93"/>
        <v>1656987</v>
      </c>
      <c r="K64" s="108">
        <f t="shared" si="93"/>
        <v>1987500</v>
      </c>
      <c r="L64" s="108">
        <f t="shared" si="93"/>
        <v>4686483</v>
      </c>
      <c r="M64" s="108">
        <f t="shared" si="93"/>
        <v>1800000</v>
      </c>
      <c r="N64" s="108">
        <f t="shared" si="93"/>
        <v>1350000</v>
      </c>
      <c r="O64" s="108">
        <f t="shared" si="93"/>
        <v>3420616</v>
      </c>
      <c r="P64" s="108">
        <f t="shared" si="93"/>
        <v>1620616</v>
      </c>
      <c r="Q64" s="108">
        <f t="shared" si="93"/>
        <v>2120616</v>
      </c>
      <c r="R64" s="108">
        <f t="shared" si="93"/>
        <v>0</v>
      </c>
      <c r="S64" s="108">
        <f t="shared" si="93"/>
        <v>0</v>
      </c>
      <c r="T64" s="108">
        <f t="shared" si="93"/>
        <v>2120616</v>
      </c>
      <c r="U64" s="99">
        <f>T64-M64</f>
        <v>320616</v>
      </c>
      <c r="V64" s="255">
        <f>IF(M64=0,"N/A",T64/M64-1)</f>
        <v>0.17812000000000006</v>
      </c>
      <c r="W64" s="102"/>
      <c r="X64" s="194"/>
      <c r="Y64" s="194"/>
      <c r="Z64" s="194"/>
      <c r="AA64" s="194"/>
      <c r="AB64" s="194"/>
      <c r="AC64" s="192"/>
      <c r="AD64" s="192"/>
      <c r="AE64" s="194"/>
      <c r="AF64" s="194"/>
      <c r="AG64" s="194"/>
      <c r="AH64" s="194"/>
      <c r="AI64" s="194"/>
      <c r="AJ64" s="194"/>
      <c r="AK64" s="194"/>
      <c r="AL64" s="194"/>
      <c r="AM64" s="192"/>
      <c r="AN64" s="192"/>
      <c r="AO64" s="192"/>
      <c r="AP64" s="192"/>
      <c r="AQ64" s="192"/>
      <c r="AR64" s="192"/>
    </row>
    <row r="65" spans="1:44" s="115" customFormat="1" ht="15" customHeight="1">
      <c r="A65" s="555"/>
      <c r="B65" s="217"/>
      <c r="C65" s="217"/>
      <c r="D65" s="101"/>
      <c r="E65" s="217"/>
      <c r="F65" s="294"/>
      <c r="G65" s="146"/>
      <c r="H65" s="98"/>
      <c r="I65" s="218"/>
      <c r="J65" s="218"/>
      <c r="K65" s="218"/>
      <c r="L65" s="218"/>
      <c r="M65" s="218"/>
      <c r="N65" s="226"/>
      <c r="O65" s="226"/>
      <c r="P65" s="226"/>
      <c r="Q65" s="111"/>
      <c r="R65" s="111"/>
      <c r="S65" s="111"/>
      <c r="T65" s="111"/>
      <c r="U65" s="263"/>
      <c r="V65" s="88"/>
      <c r="W65" s="102"/>
      <c r="X65" s="194"/>
      <c r="Y65" s="194"/>
      <c r="Z65" s="194"/>
      <c r="AA65" s="194"/>
      <c r="AB65" s="194"/>
      <c r="AC65" s="192"/>
      <c r="AD65" s="192"/>
      <c r="AE65" s="194"/>
      <c r="AF65" s="194"/>
      <c r="AG65" s="194"/>
      <c r="AH65" s="194"/>
      <c r="AI65" s="194"/>
      <c r="AJ65" s="194"/>
      <c r="AK65" s="194"/>
      <c r="AL65" s="194"/>
      <c r="AM65" s="192"/>
      <c r="AN65" s="192"/>
      <c r="AO65" s="192"/>
      <c r="AP65" s="192"/>
      <c r="AQ65" s="192"/>
      <c r="AR65" s="192"/>
    </row>
    <row r="66" spans="1:44" s="115" customFormat="1" ht="15" customHeight="1">
      <c r="A66" s="555"/>
      <c r="B66" s="217"/>
      <c r="C66" s="217"/>
      <c r="D66" s="101"/>
      <c r="E66" s="217"/>
      <c r="F66" s="294"/>
      <c r="G66" s="146"/>
      <c r="H66" s="114" t="s">
        <v>677</v>
      </c>
      <c r="I66" s="108">
        <f t="shared" ref="I66:T66" si="94">SUBTOTAL(9,I24:I64)</f>
        <v>2542750.19</v>
      </c>
      <c r="J66" s="108">
        <f t="shared" si="94"/>
        <v>3309650.33</v>
      </c>
      <c r="K66" s="108">
        <f t="shared" si="94"/>
        <v>3650899.52</v>
      </c>
      <c r="L66" s="108">
        <f t="shared" si="94"/>
        <v>6713024.3799999999</v>
      </c>
      <c r="M66" s="108">
        <f t="shared" si="94"/>
        <v>4795181</v>
      </c>
      <c r="N66" s="108">
        <f t="shared" si="94"/>
        <v>1636700.54</v>
      </c>
      <c r="O66" s="108">
        <f t="shared" si="94"/>
        <v>6195111</v>
      </c>
      <c r="P66" s="108">
        <f t="shared" si="94"/>
        <v>1399930</v>
      </c>
      <c r="Q66" s="108">
        <f t="shared" si="94"/>
        <v>4923180</v>
      </c>
      <c r="R66" s="108">
        <f t="shared" si="94"/>
        <v>0</v>
      </c>
      <c r="S66" s="108">
        <f t="shared" si="94"/>
        <v>0</v>
      </c>
      <c r="T66" s="108">
        <f t="shared" si="94"/>
        <v>4923180</v>
      </c>
      <c r="U66" s="99">
        <f>T66-M66</f>
        <v>127999</v>
      </c>
      <c r="V66" s="255">
        <f>IF(M66=0,"N/A",T66/M66-1)</f>
        <v>2.6693257251394709E-2</v>
      </c>
      <c r="W66" s="102"/>
      <c r="X66" s="194"/>
      <c r="Y66" s="108">
        <f t="shared" ref="Y66:AN66" si="95">SUBTOTAL(9,Y24:Y64)</f>
        <v>2802564</v>
      </c>
      <c r="Z66" s="108">
        <f t="shared" si="95"/>
        <v>2811055.35</v>
      </c>
      <c r="AA66" s="108">
        <f t="shared" si="95"/>
        <v>0</v>
      </c>
      <c r="AB66" s="108">
        <f t="shared" si="95"/>
        <v>2811055.35</v>
      </c>
      <c r="AC66" s="108">
        <f t="shared" si="95"/>
        <v>2817494.9405</v>
      </c>
      <c r="AD66" s="108">
        <f t="shared" si="95"/>
        <v>0</v>
      </c>
      <c r="AE66" s="108">
        <f t="shared" si="95"/>
        <v>2817494.9405</v>
      </c>
      <c r="AF66" s="108">
        <f t="shared" si="95"/>
        <v>2820662.468715</v>
      </c>
      <c r="AG66" s="108">
        <f t="shared" si="95"/>
        <v>0</v>
      </c>
      <c r="AH66" s="108">
        <f t="shared" si="95"/>
        <v>2820662.468715</v>
      </c>
      <c r="AI66" s="108">
        <f t="shared" si="95"/>
        <v>2830486.2627764498</v>
      </c>
      <c r="AJ66" s="108">
        <f t="shared" si="95"/>
        <v>0</v>
      </c>
      <c r="AK66" s="108">
        <f t="shared" si="95"/>
        <v>2830486.2627764498</v>
      </c>
      <c r="AL66" s="108">
        <f t="shared" si="95"/>
        <v>2915994.7404597439</v>
      </c>
      <c r="AM66" s="108">
        <f t="shared" si="95"/>
        <v>0</v>
      </c>
      <c r="AN66" s="108">
        <f t="shared" si="95"/>
        <v>2915994.7404597439</v>
      </c>
      <c r="AO66" s="192"/>
      <c r="AP66" s="192"/>
      <c r="AQ66" s="192"/>
      <c r="AR66" s="192"/>
    </row>
    <row r="67" spans="1:44" s="115" customFormat="1" ht="15" customHeight="1">
      <c r="A67" s="555"/>
      <c r="B67" s="217"/>
      <c r="C67" s="217"/>
      <c r="D67" s="101"/>
      <c r="E67" s="217"/>
      <c r="F67" s="294"/>
      <c r="G67" s="146"/>
      <c r="H67" s="98"/>
      <c r="I67" s="218"/>
      <c r="J67" s="218"/>
      <c r="K67" s="218"/>
      <c r="L67" s="218"/>
      <c r="M67" s="218"/>
      <c r="N67" s="226"/>
      <c r="O67" s="226"/>
      <c r="P67" s="226"/>
      <c r="Q67" s="111"/>
      <c r="R67" s="111"/>
      <c r="S67" s="111"/>
      <c r="T67" s="111"/>
      <c r="U67" s="99">
        <f>T67-M67</f>
        <v>0</v>
      </c>
      <c r="V67" s="255" t="str">
        <f>IF(M67=0,"N/A",T67/M67-1)</f>
        <v>N/A</v>
      </c>
      <c r="W67" s="102"/>
      <c r="X67" s="194"/>
      <c r="Y67" s="194"/>
      <c r="Z67" s="194"/>
      <c r="AA67" s="194"/>
      <c r="AB67" s="194"/>
      <c r="AC67" s="192"/>
      <c r="AD67" s="192"/>
      <c r="AE67" s="194"/>
      <c r="AF67" s="194"/>
      <c r="AG67" s="194"/>
      <c r="AH67" s="194"/>
      <c r="AI67" s="194"/>
      <c r="AJ67" s="194"/>
      <c r="AK67" s="194"/>
      <c r="AL67" s="194"/>
      <c r="AM67" s="192"/>
      <c r="AN67" s="192"/>
      <c r="AO67" s="192"/>
      <c r="AP67" s="192"/>
      <c r="AQ67" s="192"/>
      <c r="AR67" s="192"/>
    </row>
    <row r="68" spans="1:44" s="115" customFormat="1" ht="15" customHeight="1">
      <c r="A68" s="555"/>
      <c r="B68" s="217"/>
      <c r="C68" s="217"/>
      <c r="D68" s="101"/>
      <c r="E68" s="217"/>
      <c r="F68" s="294"/>
      <c r="G68" s="146"/>
      <c r="H68" s="114" t="s">
        <v>678</v>
      </c>
      <c r="I68" s="108">
        <f t="shared" ref="I68:T68" si="96">SUBTOTAL(9,I13:I66)</f>
        <v>-1191142.9100000001</v>
      </c>
      <c r="J68" s="108">
        <f t="shared" si="96"/>
        <v>-767343.02999999933</v>
      </c>
      <c r="K68" s="108">
        <f t="shared" si="96"/>
        <v>-937090.28000000026</v>
      </c>
      <c r="L68" s="108">
        <f t="shared" si="96"/>
        <v>1760429.2599999998</v>
      </c>
      <c r="M68" s="108">
        <f t="shared" si="96"/>
        <v>37739</v>
      </c>
      <c r="N68" s="108">
        <f t="shared" si="96"/>
        <v>-2519688.5399999996</v>
      </c>
      <c r="O68" s="108">
        <f t="shared" si="96"/>
        <v>1279628</v>
      </c>
      <c r="P68" s="108">
        <f t="shared" si="96"/>
        <v>1241889</v>
      </c>
      <c r="Q68" s="108">
        <f t="shared" si="96"/>
        <v>3697</v>
      </c>
      <c r="R68" s="108">
        <f t="shared" si="96"/>
        <v>0</v>
      </c>
      <c r="S68" s="108">
        <f t="shared" si="96"/>
        <v>0</v>
      </c>
      <c r="T68" s="108">
        <f t="shared" si="96"/>
        <v>3697</v>
      </c>
      <c r="U68" s="99">
        <f>T68-M68</f>
        <v>-34042</v>
      </c>
      <c r="V68" s="255">
        <f>IF(M68=0,"N/A",T68/M68-1)</f>
        <v>-0.90203767985373218</v>
      </c>
      <c r="W68" s="102"/>
      <c r="X68" s="194"/>
      <c r="Y68" s="194"/>
      <c r="Z68" s="194"/>
      <c r="AA68" s="194"/>
      <c r="AB68" s="194"/>
      <c r="AC68" s="192"/>
      <c r="AD68" s="192"/>
      <c r="AE68" s="194"/>
      <c r="AF68" s="194"/>
      <c r="AG68" s="194"/>
      <c r="AH68" s="194"/>
      <c r="AI68" s="194"/>
      <c r="AJ68" s="194"/>
      <c r="AK68" s="194"/>
      <c r="AL68" s="194"/>
      <c r="AM68" s="192"/>
      <c r="AN68" s="192"/>
      <c r="AO68" s="192"/>
      <c r="AP68" s="192"/>
      <c r="AQ68" s="192"/>
      <c r="AR68" s="192"/>
    </row>
    <row r="69" spans="1:44" s="115" customFormat="1" ht="15" customHeight="1">
      <c r="A69" s="555"/>
      <c r="B69" s="217"/>
      <c r="C69" s="217"/>
      <c r="D69" s="101"/>
      <c r="E69" s="217"/>
      <c r="F69" s="294"/>
      <c r="G69" s="146"/>
      <c r="H69" s="89"/>
      <c r="I69" s="233"/>
      <c r="J69" s="233"/>
      <c r="K69" s="233"/>
      <c r="L69" s="233"/>
      <c r="M69" s="233"/>
      <c r="N69" s="233"/>
      <c r="O69" s="233"/>
      <c r="P69" s="233"/>
      <c r="Q69" s="233"/>
      <c r="R69" s="233"/>
      <c r="S69" s="233"/>
      <c r="T69" s="233"/>
      <c r="U69" s="263"/>
      <c r="V69" s="88"/>
      <c r="W69" s="102"/>
      <c r="X69" s="194"/>
      <c r="Y69" s="194"/>
      <c r="Z69" s="194"/>
      <c r="AA69" s="194"/>
      <c r="AB69" s="194"/>
      <c r="AC69" s="192"/>
      <c r="AD69" s="192"/>
      <c r="AE69" s="194"/>
      <c r="AF69" s="194"/>
      <c r="AG69" s="194"/>
      <c r="AH69" s="194"/>
      <c r="AI69" s="194"/>
      <c r="AJ69" s="194"/>
      <c r="AK69" s="194"/>
      <c r="AL69" s="194"/>
      <c r="AM69" s="192"/>
      <c r="AN69" s="192"/>
      <c r="AO69" s="192"/>
      <c r="AP69" s="192"/>
      <c r="AQ69" s="192"/>
      <c r="AR69" s="192"/>
    </row>
    <row r="70" spans="1:44" s="115" customFormat="1" ht="15" customHeight="1" thickBot="1">
      <c r="A70" s="555"/>
      <c r="B70" s="217"/>
      <c r="C70" s="217"/>
      <c r="D70" s="101"/>
      <c r="E70" s="217"/>
      <c r="F70" s="294"/>
      <c r="G70" s="146"/>
      <c r="H70" s="89"/>
      <c r="I70" s="233"/>
      <c r="J70" s="233"/>
      <c r="K70" s="233"/>
      <c r="L70" s="233"/>
      <c r="M70" s="233"/>
      <c r="N70" s="233"/>
      <c r="O70" s="233"/>
      <c r="P70" s="233"/>
      <c r="Q70" s="233"/>
      <c r="R70" s="233"/>
      <c r="S70" s="233"/>
      <c r="T70" s="233"/>
      <c r="U70" s="263"/>
      <c r="V70" s="88"/>
      <c r="W70" s="102"/>
      <c r="X70" s="194"/>
      <c r="Y70" s="194"/>
      <c r="Z70" s="194"/>
      <c r="AA70" s="194"/>
      <c r="AB70" s="194"/>
      <c r="AC70" s="192"/>
      <c r="AD70" s="192"/>
      <c r="AE70" s="194"/>
      <c r="AF70" s="194"/>
      <c r="AG70" s="194"/>
      <c r="AH70" s="194"/>
      <c r="AI70" s="194"/>
      <c r="AJ70" s="194"/>
      <c r="AK70" s="194"/>
      <c r="AL70" s="194"/>
      <c r="AM70" s="192"/>
      <c r="AN70" s="192"/>
      <c r="AO70" s="192"/>
      <c r="AP70" s="192"/>
      <c r="AQ70" s="192"/>
      <c r="AR70" s="192"/>
    </row>
    <row r="71" spans="1:44" s="115" customFormat="1" ht="24.75" customHeight="1" thickBot="1">
      <c r="A71" s="555"/>
      <c r="B71" s="217"/>
      <c r="C71" s="217"/>
      <c r="D71" s="101"/>
      <c r="E71" s="217"/>
      <c r="F71" s="294"/>
      <c r="G71" s="146"/>
      <c r="H71" s="665" t="s">
        <v>1091</v>
      </c>
      <c r="I71" s="666"/>
      <c r="J71" s="666"/>
      <c r="K71" s="666"/>
      <c r="L71" s="666"/>
      <c r="M71" s="666"/>
      <c r="N71" s="666"/>
      <c r="O71" s="666"/>
      <c r="P71" s="666"/>
      <c r="Q71" s="666"/>
      <c r="R71" s="666"/>
      <c r="S71" s="666"/>
      <c r="T71" s="667"/>
      <c r="U71" s="95"/>
      <c r="V71" s="88"/>
      <c r="W71" s="102"/>
      <c r="X71" s="97"/>
      <c r="Y71" s="97"/>
      <c r="Z71" s="97"/>
      <c r="AA71" s="97"/>
      <c r="AB71" s="97"/>
      <c r="AC71" s="97"/>
      <c r="AD71" s="97"/>
      <c r="AE71" s="97"/>
      <c r="AF71" s="97"/>
      <c r="AG71" s="97"/>
      <c r="AH71" s="97"/>
      <c r="AI71" s="97"/>
      <c r="AJ71" s="97"/>
      <c r="AK71" s="97"/>
      <c r="AL71" s="97"/>
      <c r="AM71" s="97"/>
      <c r="AN71" s="97"/>
      <c r="AO71" s="97"/>
      <c r="AP71" s="97"/>
      <c r="AQ71" s="97"/>
      <c r="AR71" s="97"/>
    </row>
    <row r="72" spans="1:44" s="115" customFormat="1" ht="20.25" customHeight="1">
      <c r="A72" s="555"/>
      <c r="B72" s="217"/>
      <c r="C72" s="217"/>
      <c r="D72" s="101"/>
      <c r="E72" s="217"/>
      <c r="F72" s="294"/>
      <c r="G72" s="146"/>
      <c r="H72" s="225"/>
      <c r="I72" s="225"/>
      <c r="J72" s="225"/>
      <c r="K72" s="225"/>
      <c r="L72" s="225"/>
      <c r="M72" s="225"/>
      <c r="N72" s="225"/>
      <c r="O72" s="225"/>
      <c r="P72" s="225"/>
      <c r="Q72" s="225"/>
      <c r="R72" s="225"/>
      <c r="S72" s="225"/>
      <c r="T72" s="225"/>
      <c r="U72" s="95"/>
      <c r="V72" s="88"/>
      <c r="W72" s="102"/>
      <c r="X72" s="97"/>
      <c r="Y72" s="97"/>
      <c r="Z72" s="97"/>
      <c r="AA72" s="97"/>
      <c r="AB72" s="97"/>
      <c r="AC72" s="97"/>
      <c r="AD72" s="97"/>
      <c r="AE72" s="97"/>
      <c r="AF72" s="97"/>
      <c r="AG72" s="97"/>
      <c r="AH72" s="97"/>
      <c r="AI72" s="97"/>
      <c r="AJ72" s="97"/>
      <c r="AK72" s="97"/>
      <c r="AL72" s="97"/>
      <c r="AM72" s="97"/>
      <c r="AN72" s="97"/>
      <c r="AO72" s="97"/>
      <c r="AP72" s="97"/>
      <c r="AQ72" s="97"/>
      <c r="AR72" s="97"/>
    </row>
    <row r="73" spans="1:44" s="115" customFormat="1" ht="15" customHeight="1">
      <c r="A73" s="555" t="s">
        <v>1779</v>
      </c>
      <c r="B73" s="217" t="str">
        <f t="shared" si="88"/>
        <v>115</v>
      </c>
      <c r="C73" s="217" t="str">
        <f t="shared" si="89"/>
        <v>00</v>
      </c>
      <c r="D73" s="101" t="str">
        <f t="shared" si="90"/>
        <v>000</v>
      </c>
      <c r="E73" s="217" t="str">
        <f t="shared" si="91"/>
        <v>115-00-000</v>
      </c>
      <c r="F73" s="294" t="str">
        <f t="shared" si="92"/>
        <v>41505</v>
      </c>
      <c r="G73" s="295" t="str">
        <f>VLOOKUP(F73,'GL Category'!A:C,3,FALSE)</f>
        <v>FINES AND FEES</v>
      </c>
      <c r="H73" s="98" t="str">
        <f>VLOOKUP(F73,'GL Category'!A:C,2,FALSE)</f>
        <v>ANIMAL CONTROL MICROCHIP</v>
      </c>
      <c r="I73" s="99">
        <f>SUMIF(Import!$B:$B,'Other Fund Line-Item Details'!$A73,Import!D:D)</f>
        <v>0</v>
      </c>
      <c r="J73" s="99">
        <f>SUMIF(Import!$B:$B,'Other Fund Line-Item Details'!$A73,Import!E:E)</f>
        <v>0</v>
      </c>
      <c r="K73" s="99">
        <f>SUMIF(Import!$B:$B,'Other Fund Line-Item Details'!$A73,Import!F:F)</f>
        <v>0</v>
      </c>
      <c r="L73" s="99">
        <f>SUMIF(Import!$B:$B,'Other Fund Line-Item Details'!$A73,Import!G:G)</f>
        <v>0</v>
      </c>
      <c r="M73" s="99">
        <f>SUMIF(Import!$B:$B,'Other Fund Line-Item Details'!$A73,Import!H:H)</f>
        <v>0</v>
      </c>
      <c r="N73" s="99">
        <f>SUMIF(Import!$B:$B,'Other Fund Line-Item Details'!$A73,Import!I:I)</f>
        <v>0</v>
      </c>
      <c r="O73" s="99">
        <f>SUMIF(Import!$B:$B,'Other Fund Line-Item Details'!$A73,Import!J:J)</f>
        <v>0</v>
      </c>
      <c r="P73" s="99">
        <f t="shared" ref="P73:P94" si="97">O73-M73</f>
        <v>0</v>
      </c>
      <c r="Q73" s="99">
        <f>SUMIF(Import!$B:$B,'Other Fund Line-Item Details'!$A73,Import!K:K)</f>
        <v>0</v>
      </c>
      <c r="R73" s="99">
        <f>SUMIF(Import!$B:$B,'Other Fund Line-Item Details'!$A73,Import!L:L)</f>
        <v>0</v>
      </c>
      <c r="S73" s="99">
        <f>SUMIF(Import!$B:$B,'Other Fund Line-Item Details'!$A73,Import!M:M)</f>
        <v>0</v>
      </c>
      <c r="T73" s="99">
        <f>SUMIF(Import!$B:$B,'Other Fund Line-Item Details'!$A73,Import!N:N)</f>
        <v>0</v>
      </c>
      <c r="U73" s="99">
        <f t="shared" ref="U73:U95" si="98">T73-M73</f>
        <v>0</v>
      </c>
      <c r="V73" s="255" t="str">
        <f t="shared" ref="V73:V95" si="99">IF(M73=0,"N/A",T73/M73-1)</f>
        <v>N/A</v>
      </c>
      <c r="W73" s="102" t="s">
        <v>1779</v>
      </c>
      <c r="X73" s="97"/>
      <c r="Y73" s="97"/>
      <c r="Z73" s="97"/>
      <c r="AA73" s="97"/>
      <c r="AB73" s="97"/>
      <c r="AC73" s="97"/>
      <c r="AD73" s="97"/>
      <c r="AE73" s="97"/>
      <c r="AF73" s="97"/>
      <c r="AG73" s="97"/>
      <c r="AH73" s="97"/>
      <c r="AI73" s="97"/>
      <c r="AJ73" s="97"/>
      <c r="AK73" s="97"/>
      <c r="AL73" s="97"/>
      <c r="AM73" s="97"/>
      <c r="AN73" s="97"/>
      <c r="AO73" s="97"/>
      <c r="AP73" s="97"/>
      <c r="AQ73" s="97"/>
      <c r="AR73" s="97"/>
    </row>
    <row r="74" spans="1:44" s="115" customFormat="1" ht="15" customHeight="1">
      <c r="A74" s="555" t="s">
        <v>1780</v>
      </c>
      <c r="B74" s="217" t="str">
        <f t="shared" si="88"/>
        <v>115</v>
      </c>
      <c r="C74" s="217" t="str">
        <f t="shared" si="89"/>
        <v>00</v>
      </c>
      <c r="D74" s="101" t="str">
        <f t="shared" si="90"/>
        <v>000</v>
      </c>
      <c r="E74" s="217" t="str">
        <f t="shared" si="91"/>
        <v>115-00-000</v>
      </c>
      <c r="F74" s="294" t="str">
        <f t="shared" si="92"/>
        <v>46172</v>
      </c>
      <c r="G74" s="295" t="str">
        <f>VLOOKUP(F74,'GL Category'!A:C,3,FALSE)</f>
        <v>INTERGOVERNMENTAL</v>
      </c>
      <c r="H74" s="98" t="str">
        <f>VLOOKUP(F74,'GL Category'!A:C,2,FALSE)</f>
        <v>I/G REV-KISD RESERVE OFFICER</v>
      </c>
      <c r="I74" s="99">
        <f>SUMIF(Import!$B:$B,'Other Fund Line-Item Details'!$A74,Import!D:D)</f>
        <v>-61513.88</v>
      </c>
      <c r="J74" s="99">
        <f>SUMIF(Import!$B:$B,'Other Fund Line-Item Details'!$A74,Import!E:E)</f>
        <v>-83907.23</v>
      </c>
      <c r="K74" s="99">
        <f>SUMIF(Import!$B:$B,'Other Fund Line-Item Details'!$A74,Import!F:F)</f>
        <v>-120303.91</v>
      </c>
      <c r="L74" s="99">
        <f>SUMIF(Import!$B:$B,'Other Fund Line-Item Details'!$A74,Import!G:G)</f>
        <v>0</v>
      </c>
      <c r="M74" s="99">
        <f>SUMIF(Import!$B:$B,'Other Fund Line-Item Details'!$A74,Import!H:H)</f>
        <v>0</v>
      </c>
      <c r="N74" s="99">
        <f>SUMIF(Import!$B:$B,'Other Fund Line-Item Details'!$A74,Import!I:I)</f>
        <v>-102421.99</v>
      </c>
      <c r="O74" s="99">
        <f>SUMIF(Import!$B:$B,'Other Fund Line-Item Details'!$A74,Import!J:J)</f>
        <v>0</v>
      </c>
      <c r="P74" s="99">
        <f t="shared" si="97"/>
        <v>0</v>
      </c>
      <c r="Q74" s="99">
        <f>SUMIF(Import!$B:$B,'Other Fund Line-Item Details'!$A74,Import!K:K)</f>
        <v>0</v>
      </c>
      <c r="R74" s="99">
        <f>SUMIF(Import!$B:$B,'Other Fund Line-Item Details'!$A74,Import!L:L)</f>
        <v>0</v>
      </c>
      <c r="S74" s="99">
        <f>SUMIF(Import!$B:$B,'Other Fund Line-Item Details'!$A74,Import!M:M)</f>
        <v>0</v>
      </c>
      <c r="T74" s="99">
        <f>SUMIF(Import!$B:$B,'Other Fund Line-Item Details'!$A74,Import!N:N)</f>
        <v>0</v>
      </c>
      <c r="U74" s="99">
        <f t="shared" si="98"/>
        <v>0</v>
      </c>
      <c r="V74" s="255" t="str">
        <f t="shared" si="99"/>
        <v>N/A</v>
      </c>
      <c r="W74" s="102" t="s">
        <v>1780</v>
      </c>
      <c r="X74" s="97"/>
      <c r="Y74" s="97"/>
      <c r="Z74" s="97"/>
      <c r="AA74" s="97"/>
      <c r="AB74" s="97"/>
      <c r="AC74" s="97"/>
      <c r="AD74" s="97"/>
      <c r="AE74" s="97"/>
      <c r="AF74" s="97"/>
      <c r="AG74" s="97"/>
      <c r="AH74" s="97"/>
      <c r="AI74" s="97"/>
      <c r="AJ74" s="97"/>
      <c r="AK74" s="97"/>
      <c r="AL74" s="97"/>
      <c r="AM74" s="97"/>
      <c r="AN74" s="97"/>
      <c r="AO74" s="97"/>
      <c r="AP74" s="97"/>
      <c r="AQ74" s="97"/>
      <c r="AR74" s="97"/>
    </row>
    <row r="75" spans="1:44" s="115" customFormat="1" ht="15" customHeight="1">
      <c r="A75" s="555" t="s">
        <v>1781</v>
      </c>
      <c r="B75" s="217" t="str">
        <f t="shared" si="88"/>
        <v>115</v>
      </c>
      <c r="C75" s="217" t="str">
        <f t="shared" si="89"/>
        <v>00</v>
      </c>
      <c r="D75" s="101" t="str">
        <f t="shared" si="90"/>
        <v>000</v>
      </c>
      <c r="E75" s="217" t="str">
        <f t="shared" si="91"/>
        <v>115-00-000</v>
      </c>
      <c r="F75" s="294" t="str">
        <f t="shared" si="92"/>
        <v>46515</v>
      </c>
      <c r="G75" s="295" t="str">
        <f>VLOOKUP(F75,'GL Category'!A:C,3,FALSE)</f>
        <v>INTERGOVERNMENTAL</v>
      </c>
      <c r="H75" s="98" t="str">
        <f>VLOOKUP(F75,'GL Category'!A:C,2,FALSE)</f>
        <v>GRANT-FED-BALLISTIC VESTS</v>
      </c>
      <c r="I75" s="99">
        <f>SUMIF(Import!$B:$B,'Other Fund Line-Item Details'!$A75,Import!D:D)</f>
        <v>0</v>
      </c>
      <c r="J75" s="99">
        <f>SUMIF(Import!$B:$B,'Other Fund Line-Item Details'!$A75,Import!E:E)</f>
        <v>0</v>
      </c>
      <c r="K75" s="99">
        <f>SUMIF(Import!$B:$B,'Other Fund Line-Item Details'!$A75,Import!F:F)</f>
        <v>0</v>
      </c>
      <c r="L75" s="99">
        <f>SUMIF(Import!$B:$B,'Other Fund Line-Item Details'!$A75,Import!G:G)</f>
        <v>0</v>
      </c>
      <c r="M75" s="99">
        <f>SUMIF(Import!$B:$B,'Other Fund Line-Item Details'!$A75,Import!H:H)</f>
        <v>0</v>
      </c>
      <c r="N75" s="99">
        <f>SUMIF(Import!$B:$B,'Other Fund Line-Item Details'!$A75,Import!I:I)</f>
        <v>0</v>
      </c>
      <c r="O75" s="99">
        <f>SUMIF(Import!$B:$B,'Other Fund Line-Item Details'!$A75,Import!J:J)</f>
        <v>0</v>
      </c>
      <c r="P75" s="99">
        <f t="shared" si="97"/>
        <v>0</v>
      </c>
      <c r="Q75" s="99">
        <f>SUMIF(Import!$B:$B,'Other Fund Line-Item Details'!$A75,Import!K:K)</f>
        <v>0</v>
      </c>
      <c r="R75" s="99">
        <f>SUMIF(Import!$B:$B,'Other Fund Line-Item Details'!$A75,Import!L:L)</f>
        <v>0</v>
      </c>
      <c r="S75" s="99">
        <f>SUMIF(Import!$B:$B,'Other Fund Line-Item Details'!$A75,Import!M:M)</f>
        <v>0</v>
      </c>
      <c r="T75" s="99">
        <f>SUMIF(Import!$B:$B,'Other Fund Line-Item Details'!$A75,Import!N:N)</f>
        <v>0</v>
      </c>
      <c r="U75" s="99">
        <f t="shared" si="98"/>
        <v>0</v>
      </c>
      <c r="V75" s="255" t="str">
        <f t="shared" si="99"/>
        <v>N/A</v>
      </c>
      <c r="W75" s="102" t="s">
        <v>1781</v>
      </c>
      <c r="X75" s="97"/>
      <c r="Y75" s="97"/>
      <c r="Z75" s="97"/>
      <c r="AA75" s="97"/>
      <c r="AB75" s="97"/>
      <c r="AC75" s="97"/>
      <c r="AD75" s="97"/>
      <c r="AE75" s="97"/>
      <c r="AF75" s="97"/>
      <c r="AG75" s="97"/>
      <c r="AH75" s="97"/>
      <c r="AI75" s="97"/>
      <c r="AJ75" s="97"/>
      <c r="AK75" s="97"/>
      <c r="AL75" s="97"/>
      <c r="AM75" s="97"/>
      <c r="AN75" s="97"/>
      <c r="AO75" s="97"/>
      <c r="AP75" s="97"/>
      <c r="AQ75" s="97"/>
      <c r="AR75" s="97"/>
    </row>
    <row r="76" spans="1:44" s="115" customFormat="1" ht="15" customHeight="1">
      <c r="A76" s="555" t="s">
        <v>1782</v>
      </c>
      <c r="B76" s="217" t="str">
        <f t="shared" si="88"/>
        <v>115</v>
      </c>
      <c r="C76" s="217" t="str">
        <f t="shared" si="89"/>
        <v>00</v>
      </c>
      <c r="D76" s="101" t="str">
        <f t="shared" si="90"/>
        <v>000</v>
      </c>
      <c r="E76" s="217" t="str">
        <f t="shared" si="91"/>
        <v>115-00-000</v>
      </c>
      <c r="F76" s="294" t="str">
        <f t="shared" si="92"/>
        <v>46530</v>
      </c>
      <c r="G76" s="295" t="str">
        <f>VLOOKUP(F76,'GL Category'!A:C,3,FALSE)</f>
        <v>INTERGOVERNMENTAL</v>
      </c>
      <c r="H76" s="98" t="str">
        <f>VLOOKUP(F76,'GL Category'!A:C,2,FALSE)</f>
        <v>GRANT-FED TXDOT</v>
      </c>
      <c r="I76" s="99">
        <f>SUMIF(Import!$B:$B,'Other Fund Line-Item Details'!$A76,Import!D:D)</f>
        <v>0</v>
      </c>
      <c r="J76" s="99">
        <f>SUMIF(Import!$B:$B,'Other Fund Line-Item Details'!$A76,Import!E:E)</f>
        <v>0</v>
      </c>
      <c r="K76" s="99">
        <f>SUMIF(Import!$B:$B,'Other Fund Line-Item Details'!$A76,Import!F:F)</f>
        <v>0</v>
      </c>
      <c r="L76" s="99">
        <f>SUMIF(Import!$B:$B,'Other Fund Line-Item Details'!$A76,Import!G:G)</f>
        <v>0</v>
      </c>
      <c r="M76" s="99">
        <f>SUMIF(Import!$B:$B,'Other Fund Line-Item Details'!$A76,Import!H:H)</f>
        <v>0</v>
      </c>
      <c r="N76" s="99">
        <f>SUMIF(Import!$B:$B,'Other Fund Line-Item Details'!$A76,Import!I:I)</f>
        <v>0</v>
      </c>
      <c r="O76" s="99">
        <f>SUMIF(Import!$B:$B,'Other Fund Line-Item Details'!$A76,Import!J:J)</f>
        <v>0</v>
      </c>
      <c r="P76" s="99">
        <f t="shared" si="97"/>
        <v>0</v>
      </c>
      <c r="Q76" s="99">
        <f>SUMIF(Import!$B:$B,'Other Fund Line-Item Details'!$A76,Import!K:K)</f>
        <v>0</v>
      </c>
      <c r="R76" s="99">
        <f>SUMIF(Import!$B:$B,'Other Fund Line-Item Details'!$A76,Import!L:L)</f>
        <v>0</v>
      </c>
      <c r="S76" s="99">
        <f>SUMIF(Import!$B:$B,'Other Fund Line-Item Details'!$A76,Import!M:M)</f>
        <v>0</v>
      </c>
      <c r="T76" s="99">
        <f>SUMIF(Import!$B:$B,'Other Fund Line-Item Details'!$A76,Import!N:N)</f>
        <v>0</v>
      </c>
      <c r="U76" s="99">
        <f t="shared" si="98"/>
        <v>0</v>
      </c>
      <c r="V76" s="255" t="str">
        <f t="shared" si="99"/>
        <v>N/A</v>
      </c>
      <c r="W76" s="102" t="s">
        <v>1782</v>
      </c>
      <c r="X76" s="97"/>
      <c r="Y76" s="97"/>
      <c r="Z76" s="97"/>
      <c r="AA76" s="97"/>
      <c r="AB76" s="97"/>
      <c r="AC76" s="97"/>
      <c r="AD76" s="97"/>
      <c r="AE76" s="97"/>
      <c r="AF76" s="97"/>
      <c r="AG76" s="97"/>
      <c r="AH76" s="97"/>
      <c r="AI76" s="97"/>
      <c r="AJ76" s="97"/>
      <c r="AK76" s="97"/>
      <c r="AL76" s="97"/>
      <c r="AM76" s="97"/>
      <c r="AN76" s="97"/>
      <c r="AO76" s="97"/>
      <c r="AP76" s="97"/>
      <c r="AQ76" s="97"/>
      <c r="AR76" s="97"/>
    </row>
    <row r="77" spans="1:44" s="115" customFormat="1" ht="15" customHeight="1">
      <c r="A77" s="555" t="s">
        <v>1783</v>
      </c>
      <c r="B77" s="217" t="str">
        <f t="shared" si="88"/>
        <v>115</v>
      </c>
      <c r="C77" s="217" t="str">
        <f t="shared" si="89"/>
        <v>00</v>
      </c>
      <c r="D77" s="101" t="str">
        <f t="shared" si="90"/>
        <v>000</v>
      </c>
      <c r="E77" s="217" t="str">
        <f t="shared" si="91"/>
        <v>115-00-000</v>
      </c>
      <c r="F77" s="294" t="str">
        <f t="shared" si="92"/>
        <v>46535</v>
      </c>
      <c r="G77" s="295" t="str">
        <f>VLOOKUP(F77,'GL Category'!A:C,3,FALSE)</f>
        <v>INTERGOVERNMENTAL</v>
      </c>
      <c r="H77" s="98" t="str">
        <f>VLOOKUP(F77,'GL Category'!A:C,2,FALSE)</f>
        <v>GRANT-FED</v>
      </c>
      <c r="I77" s="99">
        <f>SUMIF(Import!$B:$B,'Other Fund Line-Item Details'!$A77,Import!D:D)</f>
        <v>0</v>
      </c>
      <c r="J77" s="99">
        <f>SUMIF(Import!$B:$B,'Other Fund Line-Item Details'!$A77,Import!E:E)</f>
        <v>-30757.31</v>
      </c>
      <c r="K77" s="99">
        <f>SUMIF(Import!$B:$B,'Other Fund Line-Item Details'!$A77,Import!F:F)</f>
        <v>-3378.4</v>
      </c>
      <c r="L77" s="99">
        <f>SUMIF(Import!$B:$B,'Other Fund Line-Item Details'!$A77,Import!G:G)</f>
        <v>-3321.34</v>
      </c>
      <c r="M77" s="99">
        <f>SUMIF(Import!$B:$B,'Other Fund Line-Item Details'!$A77,Import!H:H)</f>
        <v>0</v>
      </c>
      <c r="N77" s="99">
        <f>SUMIF(Import!$B:$B,'Other Fund Line-Item Details'!$A77,Import!I:I)</f>
        <v>-8896.98</v>
      </c>
      <c r="O77" s="99">
        <f>SUMIF(Import!$B:$B,'Other Fund Line-Item Details'!$A77,Import!J:J)</f>
        <v>0</v>
      </c>
      <c r="P77" s="99">
        <f t="shared" si="97"/>
        <v>0</v>
      </c>
      <c r="Q77" s="99">
        <f>SUMIF(Import!$B:$B,'Other Fund Line-Item Details'!$A77,Import!K:K)</f>
        <v>0</v>
      </c>
      <c r="R77" s="99">
        <f>SUMIF(Import!$B:$B,'Other Fund Line-Item Details'!$A77,Import!L:L)</f>
        <v>0</v>
      </c>
      <c r="S77" s="99">
        <f>SUMIF(Import!$B:$B,'Other Fund Line-Item Details'!$A77,Import!M:M)</f>
        <v>0</v>
      </c>
      <c r="T77" s="99">
        <f>SUMIF(Import!$B:$B,'Other Fund Line-Item Details'!$A77,Import!N:N)</f>
        <v>0</v>
      </c>
      <c r="U77" s="99">
        <f t="shared" si="98"/>
        <v>0</v>
      </c>
      <c r="V77" s="255" t="str">
        <f t="shared" si="99"/>
        <v>N/A</v>
      </c>
      <c r="W77" s="102" t="s">
        <v>1783</v>
      </c>
      <c r="X77" s="97"/>
      <c r="Y77" s="97"/>
      <c r="Z77" s="97"/>
      <c r="AA77" s="97"/>
      <c r="AB77" s="97"/>
      <c r="AC77" s="97"/>
      <c r="AD77" s="97"/>
      <c r="AE77" s="97"/>
      <c r="AF77" s="97"/>
      <c r="AG77" s="97"/>
      <c r="AH77" s="97"/>
      <c r="AI77" s="97"/>
      <c r="AJ77" s="97"/>
      <c r="AK77" s="97"/>
      <c r="AL77" s="97"/>
      <c r="AM77" s="97"/>
      <c r="AN77" s="97"/>
      <c r="AO77" s="97"/>
      <c r="AP77" s="97"/>
      <c r="AQ77" s="97"/>
      <c r="AR77" s="97"/>
    </row>
    <row r="78" spans="1:44" s="115" customFormat="1" ht="15" customHeight="1">
      <c r="A78" s="555" t="s">
        <v>1784</v>
      </c>
      <c r="B78" s="217" t="str">
        <f t="shared" si="88"/>
        <v>115</v>
      </c>
      <c r="C78" s="217" t="str">
        <f t="shared" si="89"/>
        <v>00</v>
      </c>
      <c r="D78" s="101" t="str">
        <f t="shared" si="90"/>
        <v>000</v>
      </c>
      <c r="E78" s="217" t="str">
        <f t="shared" si="91"/>
        <v>115-00-000</v>
      </c>
      <c r="F78" s="294" t="str">
        <f t="shared" si="92"/>
        <v>46760</v>
      </c>
      <c r="G78" s="295" t="str">
        <f>VLOOKUP(F78,'GL Category'!A:C,3,FALSE)</f>
        <v>INTERGOVERNMENTAL</v>
      </c>
      <c r="H78" s="98" t="str">
        <f>VLOOKUP(F78,'GL Category'!A:C,2,FALSE)</f>
        <v>GRANT-LOCAL</v>
      </c>
      <c r="I78" s="99">
        <f>SUMIF(Import!$B:$B,'Other Fund Line-Item Details'!$A78,Import!D:D)</f>
        <v>0</v>
      </c>
      <c r="J78" s="99">
        <f>SUMIF(Import!$B:$B,'Other Fund Line-Item Details'!$A78,Import!E:E)</f>
        <v>0</v>
      </c>
      <c r="K78" s="99">
        <f>SUMIF(Import!$B:$B,'Other Fund Line-Item Details'!$A78,Import!F:F)</f>
        <v>0</v>
      </c>
      <c r="L78" s="99">
        <f>SUMIF(Import!$B:$B,'Other Fund Line-Item Details'!$A78,Import!G:G)</f>
        <v>-3974.65</v>
      </c>
      <c r="M78" s="99">
        <f>SUMIF(Import!$B:$B,'Other Fund Line-Item Details'!$A78,Import!H:H)</f>
        <v>0</v>
      </c>
      <c r="N78" s="99">
        <f>SUMIF(Import!$B:$B,'Other Fund Line-Item Details'!$A78,Import!I:I)</f>
        <v>-2360.14</v>
      </c>
      <c r="O78" s="99">
        <f>SUMIF(Import!$B:$B,'Other Fund Line-Item Details'!$A78,Import!J:J)</f>
        <v>0</v>
      </c>
      <c r="P78" s="99">
        <f t="shared" si="97"/>
        <v>0</v>
      </c>
      <c r="Q78" s="99">
        <f>SUMIF(Import!$B:$B,'Other Fund Line-Item Details'!$A78,Import!K:K)</f>
        <v>0</v>
      </c>
      <c r="R78" s="99">
        <f>SUMIF(Import!$B:$B,'Other Fund Line-Item Details'!$A78,Import!L:L)</f>
        <v>0</v>
      </c>
      <c r="S78" s="99">
        <f>SUMIF(Import!$B:$B,'Other Fund Line-Item Details'!$A78,Import!M:M)</f>
        <v>0</v>
      </c>
      <c r="T78" s="99">
        <f>SUMIF(Import!$B:$B,'Other Fund Line-Item Details'!$A78,Import!N:N)</f>
        <v>0</v>
      </c>
      <c r="U78" s="99">
        <f t="shared" si="98"/>
        <v>0</v>
      </c>
      <c r="V78" s="255" t="str">
        <f t="shared" si="99"/>
        <v>N/A</v>
      </c>
      <c r="W78" s="102" t="s">
        <v>1784</v>
      </c>
      <c r="X78" s="97"/>
      <c r="Y78" s="97"/>
      <c r="Z78" s="97"/>
      <c r="AA78" s="97"/>
      <c r="AB78" s="97"/>
      <c r="AC78" s="97"/>
      <c r="AD78" s="97"/>
      <c r="AE78" s="97"/>
      <c r="AF78" s="97"/>
      <c r="AG78" s="97"/>
      <c r="AH78" s="97"/>
      <c r="AI78" s="97"/>
      <c r="AJ78" s="97"/>
      <c r="AK78" s="97"/>
      <c r="AL78" s="97"/>
      <c r="AM78" s="97"/>
      <c r="AN78" s="97"/>
      <c r="AO78" s="97"/>
      <c r="AP78" s="97"/>
      <c r="AQ78" s="97"/>
      <c r="AR78" s="97"/>
    </row>
    <row r="79" spans="1:44" s="115" customFormat="1" ht="15" customHeight="1">
      <c r="A79" s="555" t="s">
        <v>1785</v>
      </c>
      <c r="B79" s="217" t="str">
        <f t="shared" si="88"/>
        <v>115</v>
      </c>
      <c r="C79" s="217" t="str">
        <f t="shared" si="89"/>
        <v>00</v>
      </c>
      <c r="D79" s="101" t="str">
        <f t="shared" si="90"/>
        <v>000</v>
      </c>
      <c r="E79" s="217" t="str">
        <f t="shared" si="91"/>
        <v>115-00-000</v>
      </c>
      <c r="F79" s="294" t="str">
        <f t="shared" si="92"/>
        <v>46710</v>
      </c>
      <c r="G79" s="295" t="str">
        <f>VLOOKUP(F79,'GL Category'!A:C,3,FALSE)</f>
        <v>INTERGOVERNMENTAL</v>
      </c>
      <c r="H79" s="98" t="str">
        <f>VLOOKUP(F79,'GL Category'!A:C,2,FALSE)</f>
        <v>GRANT-LOCAL</v>
      </c>
      <c r="I79" s="99">
        <f>SUMIF(Import!$B:$B,'Other Fund Line-Item Details'!$A79,Import!D:D)</f>
        <v>0</v>
      </c>
      <c r="J79" s="99">
        <f>SUMIF(Import!$B:$B,'Other Fund Line-Item Details'!$A79,Import!E:E)</f>
        <v>0</v>
      </c>
      <c r="K79" s="99">
        <f>SUMIF(Import!$B:$B,'Other Fund Line-Item Details'!$A79,Import!F:F)</f>
        <v>0</v>
      </c>
      <c r="L79" s="99">
        <f>SUMIF(Import!$B:$B,'Other Fund Line-Item Details'!$A79,Import!G:G)</f>
        <v>0</v>
      </c>
      <c r="M79" s="99">
        <f>SUMIF(Import!$B:$B,'Other Fund Line-Item Details'!$A79,Import!H:H)</f>
        <v>0</v>
      </c>
      <c r="N79" s="99">
        <f>SUMIF(Import!$B:$B,'Other Fund Line-Item Details'!$A79,Import!I:I)</f>
        <v>0</v>
      </c>
      <c r="O79" s="99">
        <f>SUMIF(Import!$B:$B,'Other Fund Line-Item Details'!$A79,Import!J:J)</f>
        <v>0</v>
      </c>
      <c r="P79" s="99">
        <f t="shared" si="97"/>
        <v>0</v>
      </c>
      <c r="Q79" s="99">
        <f>SUMIF(Import!$B:$B,'Other Fund Line-Item Details'!$A79,Import!K:K)</f>
        <v>0</v>
      </c>
      <c r="R79" s="99">
        <f>SUMIF(Import!$B:$B,'Other Fund Line-Item Details'!$A79,Import!L:L)</f>
        <v>0</v>
      </c>
      <c r="S79" s="99">
        <f>SUMIF(Import!$B:$B,'Other Fund Line-Item Details'!$A79,Import!M:M)</f>
        <v>0</v>
      </c>
      <c r="T79" s="99">
        <f>SUMIF(Import!$B:$B,'Other Fund Line-Item Details'!$A79,Import!N:N)</f>
        <v>0</v>
      </c>
      <c r="U79" s="99">
        <f t="shared" si="98"/>
        <v>0</v>
      </c>
      <c r="V79" s="255" t="str">
        <f t="shared" si="99"/>
        <v>N/A</v>
      </c>
      <c r="W79" s="102" t="s">
        <v>1785</v>
      </c>
      <c r="X79" s="97"/>
      <c r="Y79" s="97"/>
      <c r="Z79" s="97"/>
      <c r="AA79" s="97"/>
      <c r="AB79" s="97"/>
      <c r="AC79" s="97"/>
      <c r="AD79" s="97"/>
      <c r="AE79" s="97"/>
      <c r="AF79" s="97"/>
      <c r="AG79" s="97"/>
      <c r="AH79" s="97"/>
      <c r="AI79" s="97"/>
      <c r="AJ79" s="97"/>
      <c r="AK79" s="97"/>
      <c r="AL79" s="97"/>
      <c r="AM79" s="97"/>
      <c r="AN79" s="97"/>
      <c r="AO79" s="97"/>
      <c r="AP79" s="97"/>
      <c r="AQ79" s="97"/>
      <c r="AR79" s="97"/>
    </row>
    <row r="80" spans="1:44" s="115" customFormat="1" ht="15" customHeight="1">
      <c r="A80" s="555" t="s">
        <v>1786</v>
      </c>
      <c r="B80" s="217" t="str">
        <f t="shared" si="88"/>
        <v>115</v>
      </c>
      <c r="C80" s="217" t="str">
        <f t="shared" si="89"/>
        <v>00</v>
      </c>
      <c r="D80" s="101" t="str">
        <f t="shared" si="90"/>
        <v>000</v>
      </c>
      <c r="E80" s="217" t="str">
        <f t="shared" si="91"/>
        <v>115-00-000</v>
      </c>
      <c r="F80" s="294" t="str">
        <f t="shared" si="92"/>
        <v>46730</v>
      </c>
      <c r="G80" s="295" t="str">
        <f>VLOOKUP(F80,'GL Category'!A:C,3,FALSE)</f>
        <v>INTERGOVERNMENTAL</v>
      </c>
      <c r="H80" s="98" t="str">
        <f>VLOOKUP(F80,'GL Category'!A:C,2,FALSE)</f>
        <v>GRANT-STATE</v>
      </c>
      <c r="I80" s="99">
        <f>SUMIF(Import!$B:$B,'Other Fund Line-Item Details'!$A80,Import!D:D)</f>
        <v>0</v>
      </c>
      <c r="J80" s="99">
        <f>SUMIF(Import!$B:$B,'Other Fund Line-Item Details'!$A80,Import!E:E)</f>
        <v>0</v>
      </c>
      <c r="K80" s="99">
        <f>SUMIF(Import!$B:$B,'Other Fund Line-Item Details'!$A80,Import!F:F)</f>
        <v>0</v>
      </c>
      <c r="L80" s="99">
        <f>SUMIF(Import!$B:$B,'Other Fund Line-Item Details'!$A80,Import!G:G)</f>
        <v>0</v>
      </c>
      <c r="M80" s="99">
        <f>SUMIF(Import!$B:$B,'Other Fund Line-Item Details'!$A80,Import!H:H)</f>
        <v>0</v>
      </c>
      <c r="N80" s="99">
        <f>SUMIF(Import!$B:$B,'Other Fund Line-Item Details'!$A80,Import!I:I)</f>
        <v>0</v>
      </c>
      <c r="O80" s="99">
        <f>SUMIF(Import!$B:$B,'Other Fund Line-Item Details'!$A80,Import!J:J)</f>
        <v>0</v>
      </c>
      <c r="P80" s="99">
        <f t="shared" si="97"/>
        <v>0</v>
      </c>
      <c r="Q80" s="99">
        <f>SUMIF(Import!$B:$B,'Other Fund Line-Item Details'!$A80,Import!K:K)</f>
        <v>0</v>
      </c>
      <c r="R80" s="99">
        <f>SUMIF(Import!$B:$B,'Other Fund Line-Item Details'!$A80,Import!L:L)</f>
        <v>0</v>
      </c>
      <c r="S80" s="99">
        <f>SUMIF(Import!$B:$B,'Other Fund Line-Item Details'!$A80,Import!M:M)</f>
        <v>0</v>
      </c>
      <c r="T80" s="99">
        <f>SUMIF(Import!$B:$B,'Other Fund Line-Item Details'!$A80,Import!N:N)</f>
        <v>0</v>
      </c>
      <c r="U80" s="99">
        <f t="shared" si="98"/>
        <v>0</v>
      </c>
      <c r="V80" s="255" t="str">
        <f t="shared" si="99"/>
        <v>N/A</v>
      </c>
      <c r="W80" s="102" t="s">
        <v>1786</v>
      </c>
      <c r="X80" s="97"/>
      <c r="Y80" s="97"/>
      <c r="Z80" s="97"/>
      <c r="AA80" s="97"/>
      <c r="AB80" s="97"/>
      <c r="AC80" s="97"/>
      <c r="AD80" s="97"/>
      <c r="AE80" s="97"/>
      <c r="AF80" s="97"/>
      <c r="AG80" s="97"/>
      <c r="AH80" s="97"/>
      <c r="AI80" s="97"/>
      <c r="AJ80" s="97"/>
      <c r="AK80" s="97"/>
      <c r="AL80" s="97"/>
      <c r="AM80" s="97"/>
      <c r="AN80" s="97"/>
      <c r="AO80" s="97"/>
      <c r="AP80" s="97"/>
      <c r="AQ80" s="97"/>
      <c r="AR80" s="97"/>
    </row>
    <row r="81" spans="1:44" s="115" customFormat="1" ht="15" customHeight="1">
      <c r="A81" s="555" t="s">
        <v>1787</v>
      </c>
      <c r="B81" s="217" t="str">
        <f t="shared" si="88"/>
        <v>115</v>
      </c>
      <c r="C81" s="217" t="str">
        <f t="shared" si="89"/>
        <v>00</v>
      </c>
      <c r="D81" s="101" t="str">
        <f t="shared" si="90"/>
        <v>000</v>
      </c>
      <c r="E81" s="217" t="str">
        <f t="shared" si="91"/>
        <v>115-00-000</v>
      </c>
      <c r="F81" s="294" t="str">
        <f t="shared" si="92"/>
        <v>46600</v>
      </c>
      <c r="G81" s="295" t="str">
        <f>VLOOKUP(F81,'GL Category'!A:C,3,FALSE)</f>
        <v>INTERGOVERNMENTAL</v>
      </c>
      <c r="H81" s="98" t="str">
        <f>VLOOKUP(F81,'GL Category'!A:C,2,FALSE)</f>
        <v>GRANT-STATE</v>
      </c>
      <c r="I81" s="99">
        <f>SUMIF(Import!$B:$B,'Other Fund Line-Item Details'!$A81,Import!D:D)</f>
        <v>-16442.990000000002</v>
      </c>
      <c r="J81" s="99">
        <f>SUMIF(Import!$B:$B,'Other Fund Line-Item Details'!$A81,Import!E:E)</f>
        <v>0</v>
      </c>
      <c r="K81" s="99">
        <f>SUMIF(Import!$B:$B,'Other Fund Line-Item Details'!$A81,Import!F:F)</f>
        <v>0</v>
      </c>
      <c r="L81" s="99">
        <f>SUMIF(Import!$B:$B,'Other Fund Line-Item Details'!$A81,Import!G:G)</f>
        <v>0</v>
      </c>
      <c r="M81" s="99">
        <f>SUMIF(Import!$B:$B,'Other Fund Line-Item Details'!$A81,Import!H:H)</f>
        <v>0</v>
      </c>
      <c r="N81" s="99">
        <f>SUMIF(Import!$B:$B,'Other Fund Line-Item Details'!$A81,Import!I:I)</f>
        <v>0</v>
      </c>
      <c r="O81" s="99">
        <f>SUMIF(Import!$B:$B,'Other Fund Line-Item Details'!$A81,Import!J:J)</f>
        <v>0</v>
      </c>
      <c r="P81" s="99">
        <f t="shared" si="97"/>
        <v>0</v>
      </c>
      <c r="Q81" s="99">
        <f>SUMIF(Import!$B:$B,'Other Fund Line-Item Details'!$A81,Import!K:K)</f>
        <v>0</v>
      </c>
      <c r="R81" s="99">
        <f>SUMIF(Import!$B:$B,'Other Fund Line-Item Details'!$A81,Import!L:L)</f>
        <v>0</v>
      </c>
      <c r="S81" s="99">
        <f>SUMIF(Import!$B:$B,'Other Fund Line-Item Details'!$A81,Import!M:M)</f>
        <v>0</v>
      </c>
      <c r="T81" s="99">
        <f>SUMIF(Import!$B:$B,'Other Fund Line-Item Details'!$A81,Import!N:N)</f>
        <v>0</v>
      </c>
      <c r="U81" s="99">
        <f t="shared" si="98"/>
        <v>0</v>
      </c>
      <c r="V81" s="255" t="str">
        <f t="shared" si="99"/>
        <v>N/A</v>
      </c>
      <c r="W81" s="102" t="s">
        <v>1787</v>
      </c>
      <c r="X81" s="97"/>
      <c r="Y81" s="97"/>
      <c r="Z81" s="97"/>
      <c r="AA81" s="97"/>
      <c r="AB81" s="97"/>
      <c r="AC81" s="97"/>
      <c r="AD81" s="97"/>
      <c r="AE81" s="97"/>
      <c r="AF81" s="97"/>
      <c r="AG81" s="97"/>
      <c r="AH81" s="97"/>
      <c r="AI81" s="97"/>
      <c r="AJ81" s="97"/>
      <c r="AK81" s="97"/>
      <c r="AL81" s="97"/>
      <c r="AM81" s="97"/>
      <c r="AN81" s="97"/>
      <c r="AO81" s="97"/>
      <c r="AP81" s="97"/>
      <c r="AQ81" s="97"/>
      <c r="AR81" s="97"/>
    </row>
    <row r="82" spans="1:44" s="115" customFormat="1" ht="15" customHeight="1">
      <c r="A82" s="555" t="s">
        <v>1788</v>
      </c>
      <c r="B82" s="217" t="str">
        <f t="shared" si="88"/>
        <v>115</v>
      </c>
      <c r="C82" s="217" t="str">
        <f t="shared" si="89"/>
        <v>00</v>
      </c>
      <c r="D82" s="101" t="str">
        <f t="shared" si="90"/>
        <v>000</v>
      </c>
      <c r="E82" s="217" t="str">
        <f t="shared" si="91"/>
        <v>115-00-000</v>
      </c>
      <c r="F82" s="294" t="str">
        <f t="shared" si="92"/>
        <v>47020</v>
      </c>
      <c r="G82" s="295" t="str">
        <f>VLOOKUP(F82,'GL Category'!A:C,3,FALSE)</f>
        <v>OTHER REVENUE</v>
      </c>
      <c r="H82" s="98" t="str">
        <f>VLOOKUP(F82,'GL Category'!A:C,2,FALSE)</f>
        <v>AUCTION PROCEEDS</v>
      </c>
      <c r="I82" s="99">
        <f>SUMIF(Import!$B:$B,'Other Fund Line-Item Details'!$A82,Import!D:D)</f>
        <v>-1254.73</v>
      </c>
      <c r="J82" s="99">
        <f>SUMIF(Import!$B:$B,'Other Fund Line-Item Details'!$A82,Import!E:E)</f>
        <v>-5287.9</v>
      </c>
      <c r="K82" s="99">
        <f>SUMIF(Import!$B:$B,'Other Fund Line-Item Details'!$A82,Import!F:F)</f>
        <v>0</v>
      </c>
      <c r="L82" s="99">
        <f>SUMIF(Import!$B:$B,'Other Fund Line-Item Details'!$A82,Import!G:G)</f>
        <v>0</v>
      </c>
      <c r="M82" s="99">
        <f>SUMIF(Import!$B:$B,'Other Fund Line-Item Details'!$A82,Import!H:H)</f>
        <v>0</v>
      </c>
      <c r="N82" s="99">
        <f>SUMIF(Import!$B:$B,'Other Fund Line-Item Details'!$A82,Import!I:I)</f>
        <v>0</v>
      </c>
      <c r="O82" s="99">
        <f>SUMIF(Import!$B:$B,'Other Fund Line-Item Details'!$A82,Import!J:J)</f>
        <v>0</v>
      </c>
      <c r="P82" s="99">
        <f t="shared" si="97"/>
        <v>0</v>
      </c>
      <c r="Q82" s="99">
        <f>SUMIF(Import!$B:$B,'Other Fund Line-Item Details'!$A82,Import!K:K)</f>
        <v>0</v>
      </c>
      <c r="R82" s="99">
        <f>SUMIF(Import!$B:$B,'Other Fund Line-Item Details'!$A82,Import!L:L)</f>
        <v>0</v>
      </c>
      <c r="S82" s="99">
        <f>SUMIF(Import!$B:$B,'Other Fund Line-Item Details'!$A82,Import!M:M)</f>
        <v>0</v>
      </c>
      <c r="T82" s="99">
        <f>SUMIF(Import!$B:$B,'Other Fund Line-Item Details'!$A82,Import!N:N)</f>
        <v>0</v>
      </c>
      <c r="U82" s="99">
        <f t="shared" si="98"/>
        <v>0</v>
      </c>
      <c r="V82" s="255" t="str">
        <f t="shared" si="99"/>
        <v>N/A</v>
      </c>
      <c r="W82" s="102" t="s">
        <v>1788</v>
      </c>
      <c r="X82" s="97"/>
      <c r="Y82" s="97"/>
      <c r="Z82" s="97"/>
      <c r="AA82" s="97"/>
      <c r="AB82" s="97"/>
      <c r="AC82" s="97"/>
      <c r="AD82" s="97"/>
      <c r="AE82" s="97"/>
      <c r="AF82" s="97"/>
      <c r="AG82" s="97"/>
      <c r="AH82" s="97"/>
      <c r="AI82" s="97"/>
      <c r="AJ82" s="97"/>
      <c r="AK82" s="97"/>
      <c r="AL82" s="97"/>
      <c r="AM82" s="97"/>
      <c r="AN82" s="97"/>
      <c r="AO82" s="97"/>
      <c r="AP82" s="97"/>
      <c r="AQ82" s="97"/>
      <c r="AR82" s="97"/>
    </row>
    <row r="83" spans="1:44" s="115" customFormat="1" ht="15" customHeight="1">
      <c r="A83" s="555" t="s">
        <v>1789</v>
      </c>
      <c r="B83" s="217" t="str">
        <f t="shared" si="88"/>
        <v>115</v>
      </c>
      <c r="C83" s="217" t="str">
        <f t="shared" si="89"/>
        <v>00</v>
      </c>
      <c r="D83" s="101" t="str">
        <f t="shared" si="90"/>
        <v>000</v>
      </c>
      <c r="E83" s="217" t="str">
        <f t="shared" si="91"/>
        <v>115-00-000</v>
      </c>
      <c r="F83" s="294" t="str">
        <f t="shared" si="92"/>
        <v>47090</v>
      </c>
      <c r="G83" s="295" t="str">
        <f>VLOOKUP(F83,'GL Category'!A:C,3,FALSE)</f>
        <v>OTHER REVENUE</v>
      </c>
      <c r="H83" s="98" t="str">
        <f>VLOOKUP(F83,'GL Category'!A:C,2,FALSE)</f>
        <v>INTEREST REVENUE-INVESTMENTS</v>
      </c>
      <c r="I83" s="99">
        <f>SUMIF(Import!$B:$B,'Other Fund Line-Item Details'!$A83,Import!D:D)</f>
        <v>-3322.02</v>
      </c>
      <c r="J83" s="99">
        <f>SUMIF(Import!$B:$B,'Other Fund Line-Item Details'!$A83,Import!E:E)</f>
        <v>-3969.73</v>
      </c>
      <c r="K83" s="99">
        <f>SUMIF(Import!$B:$B,'Other Fund Line-Item Details'!$A83,Import!F:F)</f>
        <v>-449.97</v>
      </c>
      <c r="L83" s="99">
        <f>SUMIF(Import!$B:$B,'Other Fund Line-Item Details'!$A83,Import!G:G)</f>
        <v>-6969.74</v>
      </c>
      <c r="M83" s="99">
        <f>SUMIF(Import!$B:$B,'Other Fund Line-Item Details'!$A83,Import!H:H)</f>
        <v>0</v>
      </c>
      <c r="N83" s="99">
        <f>SUMIF(Import!$B:$B,'Other Fund Line-Item Details'!$A83,Import!I:I)</f>
        <v>-11265.17</v>
      </c>
      <c r="O83" s="99">
        <f>SUMIF(Import!$B:$B,'Other Fund Line-Item Details'!$A83,Import!J:J)</f>
        <v>0</v>
      </c>
      <c r="P83" s="99">
        <f t="shared" si="97"/>
        <v>0</v>
      </c>
      <c r="Q83" s="99">
        <f>SUMIF(Import!$B:$B,'Other Fund Line-Item Details'!$A83,Import!K:K)</f>
        <v>0</v>
      </c>
      <c r="R83" s="99">
        <f>SUMIF(Import!$B:$B,'Other Fund Line-Item Details'!$A83,Import!L:L)</f>
        <v>0</v>
      </c>
      <c r="S83" s="99">
        <f>SUMIF(Import!$B:$B,'Other Fund Line-Item Details'!$A83,Import!M:M)</f>
        <v>0</v>
      </c>
      <c r="T83" s="99">
        <f>SUMIF(Import!$B:$B,'Other Fund Line-Item Details'!$A83,Import!N:N)</f>
        <v>0</v>
      </c>
      <c r="U83" s="99">
        <f t="shared" si="98"/>
        <v>0</v>
      </c>
      <c r="V83" s="255" t="str">
        <f t="shared" si="99"/>
        <v>N/A</v>
      </c>
      <c r="W83" s="102" t="s">
        <v>1789</v>
      </c>
      <c r="X83" s="97"/>
      <c r="Y83" s="97"/>
      <c r="Z83" s="97"/>
      <c r="AA83" s="97"/>
      <c r="AB83" s="97"/>
      <c r="AC83" s="97"/>
      <c r="AD83" s="97"/>
      <c r="AE83" s="97"/>
      <c r="AF83" s="97"/>
      <c r="AG83" s="97"/>
      <c r="AH83" s="97"/>
      <c r="AI83" s="97"/>
      <c r="AJ83" s="97"/>
      <c r="AK83" s="97"/>
      <c r="AL83" s="97"/>
      <c r="AM83" s="97"/>
      <c r="AN83" s="97"/>
      <c r="AO83" s="97"/>
      <c r="AP83" s="97"/>
      <c r="AQ83" s="97"/>
      <c r="AR83" s="97"/>
    </row>
    <row r="84" spans="1:44" s="115" customFormat="1" ht="15" customHeight="1">
      <c r="A84" s="555" t="s">
        <v>1790</v>
      </c>
      <c r="B84" s="217" t="str">
        <f t="shared" si="88"/>
        <v>115</v>
      </c>
      <c r="C84" s="217" t="str">
        <f t="shared" si="89"/>
        <v>00</v>
      </c>
      <c r="D84" s="101" t="str">
        <f t="shared" si="90"/>
        <v>000</v>
      </c>
      <c r="E84" s="217" t="str">
        <f t="shared" si="91"/>
        <v>115-00-000</v>
      </c>
      <c r="F84" s="294" t="str">
        <f t="shared" si="92"/>
        <v>47099</v>
      </c>
      <c r="G84" s="295" t="str">
        <f>VLOOKUP(F84,'GL Category'!A:C,3,FALSE)</f>
        <v>OTHER REVENUE</v>
      </c>
      <c r="H84" s="98" t="str">
        <f>VLOOKUP(F84,'GL Category'!A:C,2,FALSE)</f>
        <v>INCR/DECR IN FAIR VALUE OF INV</v>
      </c>
      <c r="I84" s="99">
        <f>SUMIF(Import!$B:$B,'Other Fund Line-Item Details'!$A84,Import!D:D)</f>
        <v>0</v>
      </c>
      <c r="J84" s="99">
        <f>SUMIF(Import!$B:$B,'Other Fund Line-Item Details'!$A84,Import!E:E)</f>
        <v>0</v>
      </c>
      <c r="K84" s="99">
        <f>SUMIF(Import!$B:$B,'Other Fund Line-Item Details'!$A84,Import!F:F)</f>
        <v>0</v>
      </c>
      <c r="L84" s="99">
        <f>SUMIF(Import!$B:$B,'Other Fund Line-Item Details'!$A84,Import!G:G)</f>
        <v>0</v>
      </c>
      <c r="M84" s="99">
        <f>SUMIF(Import!$B:$B,'Other Fund Line-Item Details'!$A84,Import!H:H)</f>
        <v>0</v>
      </c>
      <c r="N84" s="99">
        <f>SUMIF(Import!$B:$B,'Other Fund Line-Item Details'!$A84,Import!I:I)</f>
        <v>0</v>
      </c>
      <c r="O84" s="99">
        <f>SUMIF(Import!$B:$B,'Other Fund Line-Item Details'!$A84,Import!J:J)</f>
        <v>0</v>
      </c>
      <c r="P84" s="99">
        <f t="shared" si="97"/>
        <v>0</v>
      </c>
      <c r="Q84" s="99">
        <f>SUMIF(Import!$B:$B,'Other Fund Line-Item Details'!$A84,Import!K:K)</f>
        <v>0</v>
      </c>
      <c r="R84" s="99">
        <f>SUMIF(Import!$B:$B,'Other Fund Line-Item Details'!$A84,Import!L:L)</f>
        <v>0</v>
      </c>
      <c r="S84" s="99">
        <f>SUMIF(Import!$B:$B,'Other Fund Line-Item Details'!$A84,Import!M:M)</f>
        <v>0</v>
      </c>
      <c r="T84" s="99">
        <f>SUMIF(Import!$B:$B,'Other Fund Line-Item Details'!$A84,Import!N:N)</f>
        <v>0</v>
      </c>
      <c r="U84" s="99">
        <f t="shared" si="98"/>
        <v>0</v>
      </c>
      <c r="V84" s="255" t="str">
        <f t="shared" si="99"/>
        <v>N/A</v>
      </c>
      <c r="W84" s="102" t="s">
        <v>1790</v>
      </c>
      <c r="X84" s="97"/>
      <c r="Y84" s="97"/>
      <c r="Z84" s="97"/>
      <c r="AA84" s="97"/>
      <c r="AB84" s="97"/>
      <c r="AC84" s="97"/>
      <c r="AD84" s="97"/>
      <c r="AE84" s="97"/>
      <c r="AF84" s="97"/>
      <c r="AG84" s="97"/>
      <c r="AH84" s="97"/>
      <c r="AI84" s="97"/>
      <c r="AJ84" s="97"/>
      <c r="AK84" s="97"/>
      <c r="AL84" s="97"/>
      <c r="AM84" s="97"/>
      <c r="AN84" s="97"/>
      <c r="AO84" s="97"/>
      <c r="AP84" s="97"/>
      <c r="AQ84" s="97"/>
      <c r="AR84" s="97"/>
    </row>
    <row r="85" spans="1:44" s="115" customFormat="1" ht="15" customHeight="1">
      <c r="A85" s="555" t="s">
        <v>1791</v>
      </c>
      <c r="B85" s="217" t="str">
        <f t="shared" si="88"/>
        <v>115</v>
      </c>
      <c r="C85" s="217" t="str">
        <f t="shared" si="89"/>
        <v>00</v>
      </c>
      <c r="D85" s="101" t="str">
        <f t="shared" si="90"/>
        <v>000</v>
      </c>
      <c r="E85" s="217" t="str">
        <f t="shared" si="91"/>
        <v>115-00-000</v>
      </c>
      <c r="F85" s="294" t="str">
        <f t="shared" si="92"/>
        <v>47210</v>
      </c>
      <c r="G85" s="295" t="str">
        <f>VLOOKUP(F85,'GL Category'!A:C,3,FALSE)</f>
        <v>OTHER REVENUE</v>
      </c>
      <c r="H85" s="98" t="str">
        <f>VLOOKUP(F85,'GL Category'!A:C,2,FALSE)</f>
        <v>PROPERTY FORFEITURE</v>
      </c>
      <c r="I85" s="99">
        <f>SUMIF(Import!$B:$B,'Other Fund Line-Item Details'!$A85,Import!D:D)</f>
        <v>12105.18</v>
      </c>
      <c r="J85" s="99">
        <f>SUMIF(Import!$B:$B,'Other Fund Line-Item Details'!$A85,Import!E:E)</f>
        <v>-67968.42</v>
      </c>
      <c r="K85" s="99">
        <f>SUMIF(Import!$B:$B,'Other Fund Line-Item Details'!$A85,Import!F:F)</f>
        <v>-15453.21</v>
      </c>
      <c r="L85" s="99">
        <f>SUMIF(Import!$B:$B,'Other Fund Line-Item Details'!$A85,Import!G:G)</f>
        <v>-882.07</v>
      </c>
      <c r="M85" s="99">
        <f>SUMIF(Import!$B:$B,'Other Fund Line-Item Details'!$A85,Import!H:H)</f>
        <v>0</v>
      </c>
      <c r="N85" s="99">
        <f>SUMIF(Import!$B:$B,'Other Fund Line-Item Details'!$A85,Import!I:I)</f>
        <v>-425.98</v>
      </c>
      <c r="O85" s="99">
        <f>SUMIF(Import!$B:$B,'Other Fund Line-Item Details'!$A85,Import!J:J)</f>
        <v>0</v>
      </c>
      <c r="P85" s="99">
        <f t="shared" si="97"/>
        <v>0</v>
      </c>
      <c r="Q85" s="99">
        <f>SUMIF(Import!$B:$B,'Other Fund Line-Item Details'!$A85,Import!K:K)</f>
        <v>0</v>
      </c>
      <c r="R85" s="99">
        <f>SUMIF(Import!$B:$B,'Other Fund Line-Item Details'!$A85,Import!L:L)</f>
        <v>0</v>
      </c>
      <c r="S85" s="99">
        <f>SUMIF(Import!$B:$B,'Other Fund Line-Item Details'!$A85,Import!M:M)</f>
        <v>0</v>
      </c>
      <c r="T85" s="99">
        <f>SUMIF(Import!$B:$B,'Other Fund Line-Item Details'!$A85,Import!N:N)</f>
        <v>0</v>
      </c>
      <c r="U85" s="99">
        <f t="shared" si="98"/>
        <v>0</v>
      </c>
      <c r="V85" s="255" t="str">
        <f t="shared" si="99"/>
        <v>N/A</v>
      </c>
      <c r="W85" s="102" t="s">
        <v>1791</v>
      </c>
      <c r="X85" s="97"/>
      <c r="Y85" s="97"/>
      <c r="Z85" s="97"/>
      <c r="AA85" s="97"/>
      <c r="AB85" s="97"/>
      <c r="AC85" s="97"/>
      <c r="AD85" s="97"/>
      <c r="AE85" s="97"/>
      <c r="AF85" s="97"/>
      <c r="AG85" s="97"/>
      <c r="AH85" s="97"/>
      <c r="AI85" s="97"/>
      <c r="AJ85" s="97"/>
      <c r="AK85" s="97"/>
      <c r="AL85" s="97"/>
      <c r="AM85" s="97"/>
      <c r="AN85" s="97"/>
      <c r="AO85" s="97"/>
      <c r="AP85" s="97"/>
      <c r="AQ85" s="97"/>
      <c r="AR85" s="97"/>
    </row>
    <row r="86" spans="1:44" s="115" customFormat="1" ht="15" customHeight="1">
      <c r="A86" s="555" t="s">
        <v>1792</v>
      </c>
      <c r="B86" s="217" t="str">
        <f t="shared" si="88"/>
        <v>115</v>
      </c>
      <c r="C86" s="217" t="str">
        <f t="shared" si="89"/>
        <v>00</v>
      </c>
      <c r="D86" s="101" t="str">
        <f t="shared" si="90"/>
        <v>000</v>
      </c>
      <c r="E86" s="217" t="str">
        <f t="shared" si="91"/>
        <v>115-00-000</v>
      </c>
      <c r="F86" s="294" t="str">
        <f t="shared" si="92"/>
        <v>48565</v>
      </c>
      <c r="G86" s="295" t="str">
        <f>VLOOKUP(F86,'GL Category'!A:C,3,FALSE)</f>
        <v>OTHER REVENUE</v>
      </c>
      <c r="H86" s="98" t="str">
        <f>VLOOKUP(F86,'GL Category'!A:C,2,FALSE)</f>
        <v>DONATIONS-SR SVS</v>
      </c>
      <c r="I86" s="99">
        <f>SUMIF(Import!$B:$B,'Other Fund Line-Item Details'!$A86,Import!D:D)</f>
        <v>0</v>
      </c>
      <c r="J86" s="99">
        <f>SUMIF(Import!$B:$B,'Other Fund Line-Item Details'!$A86,Import!E:E)</f>
        <v>0</v>
      </c>
      <c r="K86" s="99">
        <f>SUMIF(Import!$B:$B,'Other Fund Line-Item Details'!$A86,Import!F:F)</f>
        <v>0</v>
      </c>
      <c r="L86" s="99">
        <f>SUMIF(Import!$B:$B,'Other Fund Line-Item Details'!$A86,Import!G:G)</f>
        <v>0</v>
      </c>
      <c r="M86" s="99">
        <f>SUMIF(Import!$B:$B,'Other Fund Line-Item Details'!$A86,Import!H:H)</f>
        <v>0</v>
      </c>
      <c r="N86" s="99">
        <f>SUMIF(Import!$B:$B,'Other Fund Line-Item Details'!$A86,Import!I:I)</f>
        <v>0</v>
      </c>
      <c r="O86" s="99">
        <f>SUMIF(Import!$B:$B,'Other Fund Line-Item Details'!$A86,Import!J:J)</f>
        <v>0</v>
      </c>
      <c r="P86" s="99">
        <f t="shared" si="97"/>
        <v>0</v>
      </c>
      <c r="Q86" s="99">
        <f>SUMIF(Import!$B:$B,'Other Fund Line-Item Details'!$A86,Import!K:K)</f>
        <v>0</v>
      </c>
      <c r="R86" s="99">
        <f>SUMIF(Import!$B:$B,'Other Fund Line-Item Details'!$A86,Import!L:L)</f>
        <v>0</v>
      </c>
      <c r="S86" s="99">
        <f>SUMIF(Import!$B:$B,'Other Fund Line-Item Details'!$A86,Import!M:M)</f>
        <v>0</v>
      </c>
      <c r="T86" s="99">
        <f>SUMIF(Import!$B:$B,'Other Fund Line-Item Details'!$A86,Import!N:N)</f>
        <v>0</v>
      </c>
      <c r="U86" s="99">
        <f t="shared" si="98"/>
        <v>0</v>
      </c>
      <c r="V86" s="255" t="str">
        <f t="shared" si="99"/>
        <v>N/A</v>
      </c>
      <c r="W86" s="102" t="s">
        <v>1792</v>
      </c>
      <c r="X86" s="97"/>
      <c r="Y86" s="97"/>
      <c r="Z86" s="97"/>
      <c r="AA86" s="97"/>
      <c r="AB86" s="97"/>
      <c r="AC86" s="97"/>
      <c r="AD86" s="97"/>
      <c r="AE86" s="97"/>
      <c r="AF86" s="97"/>
      <c r="AG86" s="97"/>
      <c r="AH86" s="97"/>
      <c r="AI86" s="97"/>
      <c r="AJ86" s="97"/>
      <c r="AK86" s="97"/>
      <c r="AL86" s="97"/>
      <c r="AM86" s="97"/>
      <c r="AN86" s="97"/>
      <c r="AO86" s="97"/>
      <c r="AP86" s="97"/>
      <c r="AQ86" s="97"/>
      <c r="AR86" s="97"/>
    </row>
    <row r="87" spans="1:44" s="115" customFormat="1" ht="15" customHeight="1">
      <c r="A87" s="555" t="s">
        <v>1793</v>
      </c>
      <c r="B87" s="217" t="str">
        <f t="shared" si="88"/>
        <v>115</v>
      </c>
      <c r="C87" s="217" t="str">
        <f t="shared" si="89"/>
        <v>00</v>
      </c>
      <c r="D87" s="101" t="str">
        <f t="shared" si="90"/>
        <v>000</v>
      </c>
      <c r="E87" s="217" t="str">
        <f t="shared" si="91"/>
        <v>115-00-000</v>
      </c>
      <c r="F87" s="294" t="str">
        <f t="shared" si="92"/>
        <v>48570</v>
      </c>
      <c r="G87" s="295" t="str">
        <f>VLOOKUP(F87,'GL Category'!A:C,3,FALSE)</f>
        <v>OTHER REVENUE</v>
      </c>
      <c r="H87" s="98" t="str">
        <f>VLOOKUP(F87,'GL Category'!A:C,2,FALSE)</f>
        <v>DONATIONS-PARKS</v>
      </c>
      <c r="I87" s="99">
        <f>SUMIF(Import!$B:$B,'Other Fund Line-Item Details'!$A87,Import!D:D)</f>
        <v>0</v>
      </c>
      <c r="J87" s="99">
        <f>SUMIF(Import!$B:$B,'Other Fund Line-Item Details'!$A87,Import!E:E)</f>
        <v>0</v>
      </c>
      <c r="K87" s="99">
        <f>SUMIF(Import!$B:$B,'Other Fund Line-Item Details'!$A87,Import!F:F)</f>
        <v>0</v>
      </c>
      <c r="L87" s="99">
        <f>SUMIF(Import!$B:$B,'Other Fund Line-Item Details'!$A87,Import!G:G)</f>
        <v>0</v>
      </c>
      <c r="M87" s="99">
        <f>SUMIF(Import!$B:$B,'Other Fund Line-Item Details'!$A87,Import!H:H)</f>
        <v>0</v>
      </c>
      <c r="N87" s="99">
        <f>SUMIF(Import!$B:$B,'Other Fund Line-Item Details'!$A87,Import!I:I)</f>
        <v>0</v>
      </c>
      <c r="O87" s="99">
        <f>SUMIF(Import!$B:$B,'Other Fund Line-Item Details'!$A87,Import!J:J)</f>
        <v>0</v>
      </c>
      <c r="P87" s="99">
        <f t="shared" si="97"/>
        <v>0</v>
      </c>
      <c r="Q87" s="99">
        <f>SUMIF(Import!$B:$B,'Other Fund Line-Item Details'!$A87,Import!K:K)</f>
        <v>0</v>
      </c>
      <c r="R87" s="99">
        <f>SUMIF(Import!$B:$B,'Other Fund Line-Item Details'!$A87,Import!L:L)</f>
        <v>0</v>
      </c>
      <c r="S87" s="99">
        <f>SUMIF(Import!$B:$B,'Other Fund Line-Item Details'!$A87,Import!M:M)</f>
        <v>0</v>
      </c>
      <c r="T87" s="99">
        <f>SUMIF(Import!$B:$B,'Other Fund Line-Item Details'!$A87,Import!N:N)</f>
        <v>0</v>
      </c>
      <c r="U87" s="99">
        <f t="shared" si="98"/>
        <v>0</v>
      </c>
      <c r="V87" s="255" t="str">
        <f t="shared" si="99"/>
        <v>N/A</v>
      </c>
      <c r="W87" s="102" t="s">
        <v>1793</v>
      </c>
      <c r="X87" s="97"/>
      <c r="Y87" s="97"/>
      <c r="Z87" s="97"/>
      <c r="AA87" s="97"/>
      <c r="AB87" s="97"/>
      <c r="AC87" s="97"/>
      <c r="AD87" s="97"/>
      <c r="AE87" s="97"/>
      <c r="AF87" s="97"/>
      <c r="AG87" s="97"/>
      <c r="AH87" s="97"/>
      <c r="AI87" s="97"/>
      <c r="AJ87" s="97"/>
      <c r="AK87" s="97"/>
      <c r="AL87" s="97"/>
      <c r="AM87" s="97"/>
      <c r="AN87" s="97"/>
      <c r="AO87" s="97"/>
      <c r="AP87" s="97"/>
      <c r="AQ87" s="97"/>
      <c r="AR87" s="97"/>
    </row>
    <row r="88" spans="1:44" s="115" customFormat="1" ht="15" customHeight="1">
      <c r="A88" s="555" t="s">
        <v>1794</v>
      </c>
      <c r="B88" s="217" t="str">
        <f t="shared" si="88"/>
        <v>115</v>
      </c>
      <c r="C88" s="217" t="str">
        <f t="shared" si="89"/>
        <v>00</v>
      </c>
      <c r="D88" s="101" t="str">
        <f t="shared" si="90"/>
        <v>000</v>
      </c>
      <c r="E88" s="217" t="str">
        <f t="shared" si="91"/>
        <v>115-00-000</v>
      </c>
      <c r="F88" s="294" t="str">
        <f t="shared" si="92"/>
        <v>48575</v>
      </c>
      <c r="G88" s="295" t="e">
        <f>VLOOKUP(F88,'GL Category'!A:C,3,FALSE)</f>
        <v>#N/A</v>
      </c>
      <c r="H88" s="98" t="e">
        <f>VLOOKUP(F88,'GL Category'!A:C,2,FALSE)</f>
        <v>#N/A</v>
      </c>
      <c r="I88" s="99">
        <f>SUMIF(Import!$B:$B,'Other Fund Line-Item Details'!$A88,Import!D:D)</f>
        <v>0</v>
      </c>
      <c r="J88" s="99">
        <f>SUMIF(Import!$B:$B,'Other Fund Line-Item Details'!$A88,Import!E:E)</f>
        <v>0</v>
      </c>
      <c r="K88" s="99">
        <f>SUMIF(Import!$B:$B,'Other Fund Line-Item Details'!$A88,Import!F:F)</f>
        <v>0</v>
      </c>
      <c r="L88" s="99">
        <f>SUMIF(Import!$B:$B,'Other Fund Line-Item Details'!$A88,Import!G:G)</f>
        <v>0</v>
      </c>
      <c r="M88" s="99">
        <f>SUMIF(Import!$B:$B,'Other Fund Line-Item Details'!$A88,Import!H:H)</f>
        <v>0</v>
      </c>
      <c r="N88" s="99">
        <f>SUMIF(Import!$B:$B,'Other Fund Line-Item Details'!$A88,Import!I:I)</f>
        <v>0</v>
      </c>
      <c r="O88" s="99">
        <f>SUMIF(Import!$B:$B,'Other Fund Line-Item Details'!$A88,Import!J:J)</f>
        <v>0</v>
      </c>
      <c r="P88" s="99">
        <f t="shared" si="97"/>
        <v>0</v>
      </c>
      <c r="Q88" s="99">
        <f>SUMIF(Import!$B:$B,'Other Fund Line-Item Details'!$A88,Import!K:K)</f>
        <v>0</v>
      </c>
      <c r="R88" s="99">
        <f>SUMIF(Import!$B:$B,'Other Fund Line-Item Details'!$A88,Import!L:L)</f>
        <v>0</v>
      </c>
      <c r="S88" s="99">
        <f>SUMIF(Import!$B:$B,'Other Fund Line-Item Details'!$A88,Import!M:M)</f>
        <v>0</v>
      </c>
      <c r="T88" s="99">
        <f>SUMIF(Import!$B:$B,'Other Fund Line-Item Details'!$A88,Import!N:N)</f>
        <v>0</v>
      </c>
      <c r="U88" s="99">
        <f t="shared" si="98"/>
        <v>0</v>
      </c>
      <c r="V88" s="255" t="str">
        <f t="shared" si="99"/>
        <v>N/A</v>
      </c>
      <c r="W88" s="102" t="s">
        <v>1794</v>
      </c>
      <c r="X88" s="97"/>
      <c r="Y88" s="97"/>
      <c r="Z88" s="97"/>
      <c r="AA88" s="97"/>
      <c r="AB88" s="97"/>
      <c r="AC88" s="97"/>
      <c r="AD88" s="97"/>
      <c r="AE88" s="97"/>
      <c r="AF88" s="97"/>
      <c r="AG88" s="97"/>
      <c r="AH88" s="97"/>
      <c r="AI88" s="97"/>
      <c r="AJ88" s="97"/>
      <c r="AK88" s="97"/>
      <c r="AL88" s="97"/>
      <c r="AM88" s="97"/>
      <c r="AN88" s="97"/>
      <c r="AO88" s="97"/>
      <c r="AP88" s="97"/>
      <c r="AQ88" s="97"/>
      <c r="AR88" s="97"/>
    </row>
    <row r="89" spans="1:44" s="115" customFormat="1" ht="15" customHeight="1">
      <c r="A89" s="555" t="s">
        <v>3334</v>
      </c>
      <c r="B89" s="217" t="str">
        <f t="shared" ref="B89" si="100">LEFT(A89,3)</f>
        <v>115</v>
      </c>
      <c r="C89" s="217" t="str">
        <f t="shared" ref="C89" si="101">MID(A89,5,2)</f>
        <v>00</v>
      </c>
      <c r="D89" s="101" t="str">
        <f t="shared" ref="D89" si="102">MID(A89,8,3)</f>
        <v>000</v>
      </c>
      <c r="E89" s="217" t="str">
        <f t="shared" ref="E89" si="103">LEFT(A89,10)</f>
        <v>115-00-000</v>
      </c>
      <c r="F89" s="294" t="str">
        <f t="shared" ref="F89" si="104">RIGHT(A89,5)</f>
        <v>48571</v>
      </c>
      <c r="G89" s="295" t="str">
        <f>VLOOKUP(F89,'GL Category'!A:C,3,FALSE)</f>
        <v>REVENUE</v>
      </c>
      <c r="H89" s="98" t="str">
        <f>VLOOKUP(F89,'GL Category'!A:C,2,FALSE)</f>
        <v>DONATIONS-POLICE</v>
      </c>
      <c r="I89" s="99">
        <f>SUMIF(Import!$B:$B,'Other Fund Line-Item Details'!$A89,Import!D:D)</f>
        <v>0</v>
      </c>
      <c r="J89" s="99">
        <f>SUMIF(Import!$B:$B,'Other Fund Line-Item Details'!$A89,Import!E:E)</f>
        <v>-2818.39</v>
      </c>
      <c r="K89" s="99">
        <f>SUMIF(Import!$B:$B,'Other Fund Line-Item Details'!$A89,Import!F:F)</f>
        <v>-1216.96</v>
      </c>
      <c r="L89" s="99">
        <f>SUMIF(Import!$B:$B,'Other Fund Line-Item Details'!$A89,Import!G:G)</f>
        <v>-1735.74</v>
      </c>
      <c r="M89" s="99">
        <f>SUMIF(Import!$B:$B,'Other Fund Line-Item Details'!$A89,Import!H:H)</f>
        <v>0</v>
      </c>
      <c r="N89" s="99">
        <f>SUMIF(Import!$B:$B,'Other Fund Line-Item Details'!$A89,Import!I:I)</f>
        <v>-330.85</v>
      </c>
      <c r="O89" s="99">
        <f>SUMIF(Import!$B:$B,'Other Fund Line-Item Details'!$A89,Import!J:J)</f>
        <v>0</v>
      </c>
      <c r="P89" s="99">
        <f t="shared" ref="P89" si="105">O89-M89</f>
        <v>0</v>
      </c>
      <c r="Q89" s="99">
        <f>SUMIF(Import!$B:$B,'Other Fund Line-Item Details'!$A89,Import!K:K)</f>
        <v>0</v>
      </c>
      <c r="R89" s="99">
        <f>SUMIF(Import!$B:$B,'Other Fund Line-Item Details'!$A89,Import!L:L)</f>
        <v>0</v>
      </c>
      <c r="S89" s="99">
        <f>SUMIF(Import!$B:$B,'Other Fund Line-Item Details'!$A89,Import!M:M)</f>
        <v>0</v>
      </c>
      <c r="T89" s="99">
        <f>SUMIF(Import!$B:$B,'Other Fund Line-Item Details'!$A89,Import!N:N)</f>
        <v>0</v>
      </c>
      <c r="U89" s="99">
        <f t="shared" ref="U89" si="106">T89-M89</f>
        <v>0</v>
      </c>
      <c r="V89" s="255" t="str">
        <f t="shared" ref="V89" si="107">IF(M89=0,"N/A",T89/M89-1)</f>
        <v>N/A</v>
      </c>
      <c r="W89" s="102" t="s">
        <v>1795</v>
      </c>
      <c r="X89" s="97"/>
      <c r="Y89" s="97"/>
      <c r="Z89" s="97"/>
      <c r="AA89" s="97"/>
      <c r="AB89" s="97"/>
      <c r="AC89" s="97"/>
      <c r="AD89" s="97"/>
      <c r="AE89" s="97"/>
      <c r="AF89" s="97"/>
      <c r="AG89" s="97"/>
      <c r="AH89" s="97"/>
      <c r="AI89" s="97"/>
      <c r="AJ89" s="97"/>
      <c r="AK89" s="97"/>
      <c r="AL89" s="97"/>
      <c r="AM89" s="97"/>
      <c r="AN89" s="97"/>
      <c r="AO89" s="97"/>
      <c r="AP89" s="97"/>
      <c r="AQ89" s="97"/>
      <c r="AR89" s="97"/>
    </row>
    <row r="90" spans="1:44" s="115" customFormat="1" ht="15" customHeight="1">
      <c r="A90" s="555" t="s">
        <v>3333</v>
      </c>
      <c r="B90" s="217" t="str">
        <f t="shared" si="88"/>
        <v>115</v>
      </c>
      <c r="C90" s="217" t="str">
        <f t="shared" si="89"/>
        <v>00</v>
      </c>
      <c r="D90" s="101" t="str">
        <f t="shared" si="90"/>
        <v>000</v>
      </c>
      <c r="E90" s="217" t="str">
        <f t="shared" si="91"/>
        <v>115-00-000</v>
      </c>
      <c r="F90" s="294" t="str">
        <f t="shared" si="92"/>
        <v>48563</v>
      </c>
      <c r="G90" s="295" t="str">
        <f>VLOOKUP(F90,'GL Category'!A:C,3,FALSE)</f>
        <v>REVENUE</v>
      </c>
      <c r="H90" s="98" t="str">
        <f>VLOOKUP(F90,'GL Category'!A:C,2,FALSE)</f>
        <v>DONATIONS-FIRE</v>
      </c>
      <c r="I90" s="99">
        <f>SUMIF(Import!$B:$B,'Other Fund Line-Item Details'!$A90,Import!D:D)</f>
        <v>0</v>
      </c>
      <c r="J90" s="99">
        <f>SUMIF(Import!$B:$B,'Other Fund Line-Item Details'!$A90,Import!E:E)</f>
        <v>-1000</v>
      </c>
      <c r="K90" s="99">
        <f>SUMIF(Import!$B:$B,'Other Fund Line-Item Details'!$A90,Import!F:F)</f>
        <v>0</v>
      </c>
      <c r="L90" s="99">
        <f>SUMIF(Import!$B:$B,'Other Fund Line-Item Details'!$A90,Import!G:G)</f>
        <v>-7000</v>
      </c>
      <c r="M90" s="99">
        <f>SUMIF(Import!$B:$B,'Other Fund Line-Item Details'!$A90,Import!H:H)</f>
        <v>0</v>
      </c>
      <c r="N90" s="99">
        <f>SUMIF(Import!$B:$B,'Other Fund Line-Item Details'!$A90,Import!I:I)</f>
        <v>-13420</v>
      </c>
      <c r="O90" s="99">
        <f>SUMIF(Import!$B:$B,'Other Fund Line-Item Details'!$A90,Import!J:J)</f>
        <v>0</v>
      </c>
      <c r="P90" s="99">
        <f t="shared" si="97"/>
        <v>0</v>
      </c>
      <c r="Q90" s="99">
        <f>SUMIF(Import!$B:$B,'Other Fund Line-Item Details'!$A90,Import!K:K)</f>
        <v>0</v>
      </c>
      <c r="R90" s="99">
        <f>SUMIF(Import!$B:$B,'Other Fund Line-Item Details'!$A90,Import!L:L)</f>
        <v>0</v>
      </c>
      <c r="S90" s="99">
        <f>SUMIF(Import!$B:$B,'Other Fund Line-Item Details'!$A90,Import!M:M)</f>
        <v>0</v>
      </c>
      <c r="T90" s="99">
        <f>SUMIF(Import!$B:$B,'Other Fund Line-Item Details'!$A90,Import!N:N)</f>
        <v>0</v>
      </c>
      <c r="U90" s="99">
        <f t="shared" si="98"/>
        <v>0</v>
      </c>
      <c r="V90" s="255" t="str">
        <f t="shared" si="99"/>
        <v>N/A</v>
      </c>
      <c r="W90" s="102" t="s">
        <v>1795</v>
      </c>
      <c r="X90" s="97"/>
      <c r="Y90" s="97"/>
      <c r="Z90" s="97"/>
      <c r="AA90" s="97"/>
      <c r="AB90" s="97"/>
      <c r="AC90" s="97"/>
      <c r="AD90" s="97"/>
      <c r="AE90" s="97"/>
      <c r="AF90" s="97"/>
      <c r="AG90" s="97"/>
      <c r="AH90" s="97"/>
      <c r="AI90" s="97"/>
      <c r="AJ90" s="97"/>
      <c r="AK90" s="97"/>
      <c r="AL90" s="97"/>
      <c r="AM90" s="97"/>
      <c r="AN90" s="97"/>
      <c r="AO90" s="97"/>
      <c r="AP90" s="97"/>
      <c r="AQ90" s="97"/>
      <c r="AR90" s="97"/>
    </row>
    <row r="91" spans="1:44" s="115" customFormat="1" ht="15" customHeight="1">
      <c r="A91" s="555" t="s">
        <v>3331</v>
      </c>
      <c r="B91" s="217" t="str">
        <f t="shared" ref="B91" si="108">LEFT(A91,3)</f>
        <v>115</v>
      </c>
      <c r="C91" s="217" t="str">
        <f t="shared" ref="C91" si="109">MID(A91,5,2)</f>
        <v>00</v>
      </c>
      <c r="D91" s="101" t="str">
        <f t="shared" ref="D91" si="110">MID(A91,8,3)</f>
        <v>000</v>
      </c>
      <c r="E91" s="217" t="str">
        <f t="shared" ref="E91" si="111">LEFT(A91,10)</f>
        <v>115-00-000</v>
      </c>
      <c r="F91" s="294" t="str">
        <f t="shared" ref="F91" si="112">RIGHT(A91,5)</f>
        <v>48561</v>
      </c>
      <c r="G91" s="295" t="str">
        <f>VLOOKUP(F91,'GL Category'!A:C,3,FALSE)</f>
        <v>REVENUE</v>
      </c>
      <c r="H91" s="98" t="str">
        <f>VLOOKUP(F91,'GL Category'!A:C,2,FALSE)</f>
        <v>DONATIONS-PD SPECIAL EVENTS</v>
      </c>
      <c r="I91" s="99">
        <f>SUMIF(Import!$B:$B,'Other Fund Line-Item Details'!$A91,Import!D:D)</f>
        <v>0</v>
      </c>
      <c r="J91" s="99">
        <f>SUMIF(Import!$B:$B,'Other Fund Line-Item Details'!$A91,Import!E:E)</f>
        <v>-100</v>
      </c>
      <c r="K91" s="99">
        <f>SUMIF(Import!$B:$B,'Other Fund Line-Item Details'!$A91,Import!F:F)</f>
        <v>-650</v>
      </c>
      <c r="L91" s="99">
        <f>SUMIF(Import!$B:$B,'Other Fund Line-Item Details'!$A91,Import!G:G)</f>
        <v>0</v>
      </c>
      <c r="M91" s="99">
        <f>SUMIF(Import!$B:$B,'Other Fund Line-Item Details'!$A91,Import!H:H)</f>
        <v>0</v>
      </c>
      <c r="N91" s="99">
        <f>SUMIF(Import!$B:$B,'Other Fund Line-Item Details'!$A91,Import!I:I)</f>
        <v>0</v>
      </c>
      <c r="O91" s="99">
        <f>SUMIF(Import!$B:$B,'Other Fund Line-Item Details'!$A91,Import!J:J)</f>
        <v>0</v>
      </c>
      <c r="P91" s="99">
        <f t="shared" ref="P91" si="113">O91-M91</f>
        <v>0</v>
      </c>
      <c r="Q91" s="99">
        <f>SUMIF(Import!$B:$B,'Other Fund Line-Item Details'!$A91,Import!K:K)</f>
        <v>0</v>
      </c>
      <c r="R91" s="99">
        <f>SUMIF(Import!$B:$B,'Other Fund Line-Item Details'!$A91,Import!L:L)</f>
        <v>0</v>
      </c>
      <c r="S91" s="99">
        <f>SUMIF(Import!$B:$B,'Other Fund Line-Item Details'!$A91,Import!M:M)</f>
        <v>0</v>
      </c>
      <c r="T91" s="99">
        <f>SUMIF(Import!$B:$B,'Other Fund Line-Item Details'!$A91,Import!N:N)</f>
        <v>0</v>
      </c>
      <c r="U91" s="99">
        <f t="shared" ref="U91" si="114">T91-M91</f>
        <v>0</v>
      </c>
      <c r="V91" s="255" t="str">
        <f t="shared" ref="V91" si="115">IF(M91=0,"N/A",T91/M91-1)</f>
        <v>N/A</v>
      </c>
      <c r="W91" s="102" t="s">
        <v>1795</v>
      </c>
      <c r="X91" s="97"/>
      <c r="Y91" s="97"/>
      <c r="Z91" s="97"/>
      <c r="AA91" s="97"/>
      <c r="AB91" s="97"/>
      <c r="AC91" s="97"/>
      <c r="AD91" s="97"/>
      <c r="AE91" s="97"/>
      <c r="AF91" s="97"/>
      <c r="AG91" s="97"/>
      <c r="AH91" s="97"/>
      <c r="AI91" s="97"/>
      <c r="AJ91" s="97"/>
      <c r="AK91" s="97"/>
      <c r="AL91" s="97"/>
      <c r="AM91" s="97"/>
      <c r="AN91" s="97"/>
      <c r="AO91" s="97"/>
      <c r="AP91" s="97"/>
      <c r="AQ91" s="97"/>
      <c r="AR91" s="97"/>
    </row>
    <row r="92" spans="1:44" s="115" customFormat="1" ht="15" customHeight="1">
      <c r="A92" s="555" t="s">
        <v>3332</v>
      </c>
      <c r="B92" s="217" t="str">
        <f t="shared" si="88"/>
        <v>115</v>
      </c>
      <c r="C92" s="217" t="str">
        <f t="shared" si="89"/>
        <v>00</v>
      </c>
      <c r="D92" s="101" t="str">
        <f t="shared" si="90"/>
        <v>000</v>
      </c>
      <c r="E92" s="217" t="str">
        <f t="shared" si="91"/>
        <v>115-00-000</v>
      </c>
      <c r="F92" s="294" t="str">
        <f t="shared" si="92"/>
        <v>48562</v>
      </c>
      <c r="G92" s="295" t="str">
        <f>VLOOKUP(F92,'GL Category'!A:C,3,FALSE)</f>
        <v>REVENUE</v>
      </c>
      <c r="H92" s="98" t="str">
        <f>VLOOKUP(F92,'GL Category'!A:C,2,FALSE)</f>
        <v>DONATIONS-ANIMAL CONTROL</v>
      </c>
      <c r="I92" s="99">
        <f>SUMIF(Import!$B:$B,'Other Fund Line-Item Details'!$A92,Import!D:D)</f>
        <v>-1754.91</v>
      </c>
      <c r="J92" s="99">
        <f>SUMIF(Import!$B:$B,'Other Fund Line-Item Details'!$A92,Import!E:E)</f>
        <v>-390</v>
      </c>
      <c r="K92" s="99">
        <f>SUMIF(Import!$B:$B,'Other Fund Line-Item Details'!$A92,Import!F:F)</f>
        <v>0</v>
      </c>
      <c r="L92" s="99">
        <f>SUMIF(Import!$B:$B,'Other Fund Line-Item Details'!$A92,Import!G:G)</f>
        <v>-250</v>
      </c>
      <c r="M92" s="99">
        <f>SUMIF(Import!$B:$B,'Other Fund Line-Item Details'!$A92,Import!H:H)</f>
        <v>0</v>
      </c>
      <c r="N92" s="99">
        <f>SUMIF(Import!$B:$B,'Other Fund Line-Item Details'!$A92,Import!I:I)</f>
        <v>0</v>
      </c>
      <c r="O92" s="99">
        <f>SUMIF(Import!$B:$B,'Other Fund Line-Item Details'!$A92,Import!J:J)</f>
        <v>0</v>
      </c>
      <c r="P92" s="99">
        <f t="shared" si="97"/>
        <v>0</v>
      </c>
      <c r="Q92" s="99">
        <f>SUMIF(Import!$B:$B,'Other Fund Line-Item Details'!$A92,Import!K:K)</f>
        <v>0</v>
      </c>
      <c r="R92" s="99">
        <f>SUMIF(Import!$B:$B,'Other Fund Line-Item Details'!$A92,Import!L:L)</f>
        <v>0</v>
      </c>
      <c r="S92" s="99">
        <f>SUMIF(Import!$B:$B,'Other Fund Line-Item Details'!$A92,Import!M:M)</f>
        <v>0</v>
      </c>
      <c r="T92" s="99">
        <f>SUMIF(Import!$B:$B,'Other Fund Line-Item Details'!$A92,Import!N:N)</f>
        <v>0</v>
      </c>
      <c r="U92" s="99">
        <f t="shared" si="98"/>
        <v>0</v>
      </c>
      <c r="V92" s="255" t="str">
        <f t="shared" si="99"/>
        <v>N/A</v>
      </c>
      <c r="W92" s="102" t="s">
        <v>1795</v>
      </c>
      <c r="X92" s="97"/>
      <c r="Y92" s="97"/>
      <c r="Z92" s="97"/>
      <c r="AA92" s="97"/>
      <c r="AB92" s="97"/>
      <c r="AC92" s="97"/>
      <c r="AD92" s="97"/>
      <c r="AE92" s="97"/>
      <c r="AF92" s="97"/>
      <c r="AG92" s="97"/>
      <c r="AH92" s="97"/>
      <c r="AI92" s="97"/>
      <c r="AJ92" s="97"/>
      <c r="AK92" s="97"/>
      <c r="AL92" s="97"/>
      <c r="AM92" s="97"/>
      <c r="AN92" s="97"/>
      <c r="AO92" s="97"/>
      <c r="AP92" s="97"/>
      <c r="AQ92" s="97"/>
      <c r="AR92" s="97"/>
    </row>
    <row r="93" spans="1:44" s="115" customFormat="1" ht="15" customHeight="1">
      <c r="A93" s="555" t="s">
        <v>1796</v>
      </c>
      <c r="B93" s="217" t="str">
        <f t="shared" si="88"/>
        <v>115</v>
      </c>
      <c r="C93" s="217" t="str">
        <f t="shared" si="89"/>
        <v>00</v>
      </c>
      <c r="D93" s="101" t="str">
        <f t="shared" si="90"/>
        <v>000</v>
      </c>
      <c r="E93" s="217" t="str">
        <f t="shared" si="91"/>
        <v>115-00-000</v>
      </c>
      <c r="F93" s="294" t="str">
        <f t="shared" si="92"/>
        <v>49100</v>
      </c>
      <c r="G93" s="295" t="str">
        <f>VLOOKUP(F93,'GL Category'!A:C,3,FALSE)</f>
        <v>TRANSFERS IN</v>
      </c>
      <c r="H93" s="98" t="str">
        <f>VLOOKUP(F93,'GL Category'!A:C,2,FALSE)</f>
        <v>TRANSFER FROM GENERAL FUND</v>
      </c>
      <c r="I93" s="99">
        <f>SUMIF(Import!$B:$B,'Other Fund Line-Item Details'!$A93,Import!D:D)</f>
        <v>0</v>
      </c>
      <c r="J93" s="99">
        <f>SUMIF(Import!$B:$B,'Other Fund Line-Item Details'!$A93,Import!E:E)</f>
        <v>0</v>
      </c>
      <c r="K93" s="99">
        <f>SUMIF(Import!$B:$B,'Other Fund Line-Item Details'!$A93,Import!F:F)</f>
        <v>0</v>
      </c>
      <c r="L93" s="99">
        <f>SUMIF(Import!$B:$B,'Other Fund Line-Item Details'!$A93,Import!G:G)</f>
        <v>0</v>
      </c>
      <c r="M93" s="99">
        <f>SUMIF(Import!$B:$B,'Other Fund Line-Item Details'!$A93,Import!H:H)</f>
        <v>0</v>
      </c>
      <c r="N93" s="99">
        <f>SUMIF(Import!$B:$B,'Other Fund Line-Item Details'!$A93,Import!I:I)</f>
        <v>0</v>
      </c>
      <c r="O93" s="99">
        <f>SUMIF(Import!$B:$B,'Other Fund Line-Item Details'!$A93,Import!J:J)</f>
        <v>0</v>
      </c>
      <c r="P93" s="99">
        <f t="shared" si="97"/>
        <v>0</v>
      </c>
      <c r="Q93" s="99">
        <f>SUMIF(Import!$B:$B,'Other Fund Line-Item Details'!$A93,Import!K:K)</f>
        <v>0</v>
      </c>
      <c r="R93" s="99">
        <f>SUMIF(Import!$B:$B,'Other Fund Line-Item Details'!$A93,Import!L:L)</f>
        <v>0</v>
      </c>
      <c r="S93" s="99">
        <f>SUMIF(Import!$B:$B,'Other Fund Line-Item Details'!$A93,Import!M:M)</f>
        <v>0</v>
      </c>
      <c r="T93" s="99">
        <f>SUMIF(Import!$B:$B,'Other Fund Line-Item Details'!$A93,Import!N:N)</f>
        <v>0</v>
      </c>
      <c r="U93" s="99">
        <f t="shared" si="98"/>
        <v>0</v>
      </c>
      <c r="V93" s="255" t="str">
        <f t="shared" si="99"/>
        <v>N/A</v>
      </c>
      <c r="W93" s="102" t="s">
        <v>1796</v>
      </c>
      <c r="X93" s="97"/>
      <c r="Y93" s="97"/>
      <c r="Z93" s="97"/>
      <c r="AA93" s="97"/>
      <c r="AB93" s="97"/>
      <c r="AC93" s="97"/>
      <c r="AD93" s="97"/>
      <c r="AE93" s="97"/>
      <c r="AF93" s="97"/>
      <c r="AG93" s="97"/>
      <c r="AH93" s="97"/>
      <c r="AI93" s="97"/>
      <c r="AJ93" s="97"/>
      <c r="AK93" s="97"/>
      <c r="AL93" s="97"/>
      <c r="AM93" s="97"/>
      <c r="AN93" s="97"/>
      <c r="AO93" s="97"/>
      <c r="AP93" s="97"/>
      <c r="AQ93" s="97"/>
      <c r="AR93" s="97"/>
    </row>
    <row r="94" spans="1:44" s="115" customFormat="1" ht="15" customHeight="1">
      <c r="A94" s="555" t="s">
        <v>1797</v>
      </c>
      <c r="B94" s="217" t="str">
        <f t="shared" si="88"/>
        <v>115</v>
      </c>
      <c r="C94" s="217" t="str">
        <f t="shared" si="89"/>
        <v>00</v>
      </c>
      <c r="D94" s="101" t="str">
        <f t="shared" si="90"/>
        <v>000</v>
      </c>
      <c r="E94" s="217" t="str">
        <f t="shared" si="91"/>
        <v>115-00-000</v>
      </c>
      <c r="F94" s="294" t="str">
        <f t="shared" si="92"/>
        <v>49999</v>
      </c>
      <c r="G94" s="295" t="s">
        <v>916</v>
      </c>
      <c r="H94" s="98" t="str">
        <f>VLOOKUP(F94,'GL Category'!A:C,2,FALSE)</f>
        <v>USE OF FUND BALANCE</v>
      </c>
      <c r="I94" s="99">
        <f>SUMIF(Import!$B:$B,'Other Fund Line-Item Details'!$A94,Import!D:D)</f>
        <v>33</v>
      </c>
      <c r="J94" s="99">
        <f>SUMIF(Import!$B:$B,'Other Fund Line-Item Details'!$A94,Import!E:E)</f>
        <v>0</v>
      </c>
      <c r="K94" s="99">
        <f>SUMIF(Import!$B:$B,'Other Fund Line-Item Details'!$A94,Import!F:F)</f>
        <v>0</v>
      </c>
      <c r="L94" s="99">
        <f>SUMIF(Import!$B:$B,'Other Fund Line-Item Details'!$A94,Import!G:G)</f>
        <v>0</v>
      </c>
      <c r="M94" s="99">
        <f>SUMIF(Import!$B:$B,'Other Fund Line-Item Details'!$A94,Import!H:H)</f>
        <v>0</v>
      </c>
      <c r="N94" s="99">
        <f>SUMIF(Import!$B:$B,'Other Fund Line-Item Details'!$A94,Import!I:I)</f>
        <v>0</v>
      </c>
      <c r="O94" s="99">
        <f>SUMIF(Import!$B:$B,'Other Fund Line-Item Details'!$A94,Import!J:J)</f>
        <v>0</v>
      </c>
      <c r="P94" s="99">
        <f t="shared" si="97"/>
        <v>0</v>
      </c>
      <c r="Q94" s="99">
        <f>SUMIF(Import!$B:$B,'Other Fund Line-Item Details'!$A94,Import!K:K)</f>
        <v>0</v>
      </c>
      <c r="R94" s="99">
        <f>SUMIF(Import!$B:$B,'Other Fund Line-Item Details'!$A94,Import!L:L)</f>
        <v>0</v>
      </c>
      <c r="S94" s="99">
        <f>SUMIF(Import!$B:$B,'Other Fund Line-Item Details'!$A94,Import!M:M)</f>
        <v>0</v>
      </c>
      <c r="T94" s="99">
        <f>SUMIF(Import!$B:$B,'Other Fund Line-Item Details'!$A94,Import!N:N)</f>
        <v>0</v>
      </c>
      <c r="U94" s="99">
        <f t="shared" si="98"/>
        <v>0</v>
      </c>
      <c r="V94" s="255" t="str">
        <f t="shared" si="99"/>
        <v>N/A</v>
      </c>
      <c r="W94" s="102" t="s">
        <v>1797</v>
      </c>
      <c r="X94" s="97"/>
      <c r="Y94" s="97"/>
      <c r="Z94" s="97"/>
      <c r="AA94" s="97"/>
      <c r="AB94" s="97"/>
      <c r="AC94" s="97"/>
      <c r="AD94" s="97"/>
      <c r="AE94" s="97"/>
      <c r="AF94" s="97"/>
      <c r="AG94" s="97"/>
      <c r="AH94" s="97"/>
      <c r="AI94" s="97"/>
      <c r="AJ94" s="97"/>
      <c r="AK94" s="97"/>
      <c r="AL94" s="97"/>
      <c r="AM94" s="97"/>
      <c r="AN94" s="97"/>
      <c r="AO94" s="97"/>
      <c r="AP94" s="97"/>
      <c r="AQ94" s="97"/>
      <c r="AR94" s="97"/>
    </row>
    <row r="95" spans="1:44" s="115" customFormat="1" ht="15" customHeight="1">
      <c r="A95" s="555"/>
      <c r="B95" s="217"/>
      <c r="C95" s="217"/>
      <c r="D95" s="101"/>
      <c r="E95" s="217"/>
      <c r="F95" s="294"/>
      <c r="G95" s="146"/>
      <c r="H95" s="107" t="str">
        <f>UPPER(G94)&amp;" TOTAL"</f>
        <v>REVENUE TOTAL</v>
      </c>
      <c r="I95" s="108">
        <f t="shared" ref="I95:T95" si="116">SUBTOTAL(9,I73:I94)</f>
        <v>-72150.350000000006</v>
      </c>
      <c r="J95" s="108">
        <f t="shared" si="116"/>
        <v>-196198.97999999998</v>
      </c>
      <c r="K95" s="108">
        <f t="shared" ref="K95" si="117">SUBTOTAL(9,K73:K94)</f>
        <v>-141452.44999999998</v>
      </c>
      <c r="L95" s="108">
        <f t="shared" ref="L95" si="118">SUBTOTAL(9,L73:L94)</f>
        <v>-24133.54</v>
      </c>
      <c r="M95" s="108">
        <f t="shared" si="116"/>
        <v>0</v>
      </c>
      <c r="N95" s="109">
        <f t="shared" si="116"/>
        <v>-139121.10999999999</v>
      </c>
      <c r="O95" s="109">
        <f t="shared" si="116"/>
        <v>0</v>
      </c>
      <c r="P95" s="109">
        <f t="shared" si="116"/>
        <v>0</v>
      </c>
      <c r="Q95" s="109">
        <f t="shared" si="116"/>
        <v>0</v>
      </c>
      <c r="R95" s="109">
        <f t="shared" si="116"/>
        <v>0</v>
      </c>
      <c r="S95" s="109">
        <f t="shared" si="116"/>
        <v>0</v>
      </c>
      <c r="T95" s="109">
        <f t="shared" si="116"/>
        <v>0</v>
      </c>
      <c r="U95" s="99">
        <f t="shared" si="98"/>
        <v>0</v>
      </c>
      <c r="V95" s="255" t="str">
        <f t="shared" si="99"/>
        <v>N/A</v>
      </c>
      <c r="W95" s="102"/>
      <c r="X95" s="97"/>
      <c r="Y95" s="97"/>
      <c r="Z95" s="97"/>
      <c r="AA95" s="97"/>
      <c r="AB95" s="97"/>
      <c r="AC95" s="97"/>
      <c r="AD95" s="97"/>
      <c r="AE95" s="97"/>
      <c r="AF95" s="97"/>
      <c r="AG95" s="97"/>
      <c r="AH95" s="97"/>
      <c r="AI95" s="97"/>
      <c r="AJ95" s="97"/>
      <c r="AK95" s="97"/>
      <c r="AL95" s="97"/>
      <c r="AM95" s="97"/>
      <c r="AN95" s="97"/>
      <c r="AO95" s="97"/>
      <c r="AP95" s="97"/>
      <c r="AQ95" s="97"/>
      <c r="AR95" s="97"/>
    </row>
    <row r="96" spans="1:44" s="115" customFormat="1" ht="15" customHeight="1">
      <c r="A96" s="555"/>
      <c r="B96" s="217"/>
      <c r="C96" s="217"/>
      <c r="D96" s="101"/>
      <c r="E96" s="217"/>
      <c r="F96" s="294"/>
      <c r="G96" s="146"/>
      <c r="H96" s="232"/>
      <c r="I96" s="233"/>
      <c r="J96" s="233"/>
      <c r="K96" s="233"/>
      <c r="L96" s="233"/>
      <c r="M96" s="233"/>
      <c r="N96" s="202"/>
      <c r="O96" s="202"/>
      <c r="P96" s="202"/>
      <c r="Q96" s="202"/>
      <c r="R96" s="202"/>
      <c r="S96" s="202"/>
      <c r="T96" s="202"/>
      <c r="U96" s="95"/>
      <c r="V96" s="88"/>
      <c r="W96" s="102"/>
      <c r="X96" s="97"/>
      <c r="Y96" s="97"/>
      <c r="Z96" s="97"/>
      <c r="AA96" s="97"/>
      <c r="AB96" s="97"/>
      <c r="AC96" s="97"/>
      <c r="AD96" s="97"/>
      <c r="AE96" s="97"/>
      <c r="AF96" s="97"/>
      <c r="AG96" s="97"/>
      <c r="AH96" s="97"/>
      <c r="AI96" s="97"/>
      <c r="AJ96" s="97"/>
      <c r="AK96" s="97"/>
      <c r="AL96" s="97"/>
      <c r="AM96" s="97"/>
      <c r="AN96" s="97"/>
      <c r="AO96" s="97"/>
      <c r="AP96" s="97"/>
      <c r="AQ96" s="97"/>
      <c r="AR96" s="97"/>
    </row>
    <row r="97" spans="1:44" s="115" customFormat="1" ht="15" customHeight="1">
      <c r="A97" s="555" t="s">
        <v>1798</v>
      </c>
      <c r="B97" s="217" t="str">
        <f t="shared" si="88"/>
        <v>115</v>
      </c>
      <c r="C97" s="217" t="str">
        <f t="shared" si="89"/>
        <v>19</v>
      </c>
      <c r="D97" s="101" t="str">
        <f t="shared" si="90"/>
        <v>196</v>
      </c>
      <c r="E97" s="217" t="str">
        <f t="shared" si="91"/>
        <v>115-19-196</v>
      </c>
      <c r="F97" s="294" t="str">
        <f t="shared" si="92"/>
        <v>51245</v>
      </c>
      <c r="G97" s="295" t="str">
        <f>VLOOKUP(F97,'GL Category'!A:C,3,FALSE)</f>
        <v>Operations &amp; maintenance</v>
      </c>
      <c r="H97" s="98" t="str">
        <f>VLOOKUP(F97,'GL Category'!A:C,2,FALSE)</f>
        <v>SMALL TOOLS &amp; EQUIPMENT</v>
      </c>
      <c r="I97" s="99">
        <f>SUMIF(Import!$B:$B,'Other Fund Line-Item Details'!$A97,Import!D:D)</f>
        <v>0</v>
      </c>
      <c r="J97" s="99">
        <f>SUMIF(Import!$B:$B,'Other Fund Line-Item Details'!$A97,Import!E:E)</f>
        <v>0</v>
      </c>
      <c r="K97" s="99">
        <f>SUMIF(Import!$B:$B,'Other Fund Line-Item Details'!$A97,Import!F:F)</f>
        <v>0</v>
      </c>
      <c r="L97" s="99">
        <f>SUMIF(Import!$B:$B,'Other Fund Line-Item Details'!$A97,Import!G:G)</f>
        <v>0</v>
      </c>
      <c r="M97" s="99">
        <f>SUMIF(Import!$B:$B,'Other Fund Line-Item Details'!$A97,Import!H:H)</f>
        <v>0</v>
      </c>
      <c r="N97" s="99">
        <f>SUMIF(Import!$B:$B,'Other Fund Line-Item Details'!$A97,Import!I:I)</f>
        <v>0</v>
      </c>
      <c r="O97" s="99">
        <f>SUMIF(Import!$B:$B,'Other Fund Line-Item Details'!$A97,Import!J:J)</f>
        <v>0</v>
      </c>
      <c r="P97" s="99">
        <f t="shared" ref="P97:P120" si="119">O97-M97</f>
        <v>0</v>
      </c>
      <c r="Q97" s="99">
        <f>SUMIF(Import!$B:$B,'Other Fund Line-Item Details'!$A97,Import!K:K)</f>
        <v>0</v>
      </c>
      <c r="R97" s="99">
        <f>SUMIF(Import!$B:$B,'Other Fund Line-Item Details'!$A97,Import!L:L)</f>
        <v>0</v>
      </c>
      <c r="S97" s="99">
        <f>SUMIF(Import!$B:$B,'Other Fund Line-Item Details'!$A97,Import!M:M)</f>
        <v>0</v>
      </c>
      <c r="T97" s="99">
        <f>SUMIF(Import!$B:$B,'Other Fund Line-Item Details'!$A97,Import!N:N)</f>
        <v>0</v>
      </c>
      <c r="U97" s="99">
        <f t="shared" ref="U97:U121" si="120">T97-M97</f>
        <v>0</v>
      </c>
      <c r="V97" s="255" t="str">
        <f t="shared" ref="V97:V121" si="121">IF(M97=0,"N/A",T97/M97-1)</f>
        <v>N/A</v>
      </c>
      <c r="W97" s="102" t="s">
        <v>1798</v>
      </c>
      <c r="X97" s="97"/>
      <c r="Y97" s="97"/>
      <c r="Z97" s="97"/>
      <c r="AA97" s="97"/>
      <c r="AB97" s="97"/>
      <c r="AC97" s="97"/>
      <c r="AD97" s="97"/>
      <c r="AE97" s="97"/>
      <c r="AF97" s="97"/>
      <c r="AG97" s="97"/>
      <c r="AH97" s="97"/>
      <c r="AI97" s="97"/>
      <c r="AJ97" s="97"/>
      <c r="AK97" s="97"/>
      <c r="AL97" s="97"/>
      <c r="AM97" s="97"/>
      <c r="AN97" s="97"/>
      <c r="AO97" s="97"/>
      <c r="AP97" s="97"/>
      <c r="AQ97" s="97"/>
      <c r="AR97" s="97"/>
    </row>
    <row r="98" spans="1:44" s="115" customFormat="1" ht="15" customHeight="1">
      <c r="A98" s="555" t="s">
        <v>1799</v>
      </c>
      <c r="B98" s="217" t="str">
        <f t="shared" si="88"/>
        <v>115</v>
      </c>
      <c r="C98" s="217" t="str">
        <f t="shared" si="89"/>
        <v>19</v>
      </c>
      <c r="D98" s="101" t="str">
        <f t="shared" si="90"/>
        <v>196</v>
      </c>
      <c r="E98" s="217" t="str">
        <f t="shared" si="91"/>
        <v>115-19-196</v>
      </c>
      <c r="F98" s="294" t="str">
        <f t="shared" si="92"/>
        <v>51226</v>
      </c>
      <c r="G98" s="295" t="str">
        <f>VLOOKUP(F98,'GL Category'!A:C,3,FALSE)</f>
        <v>Operations &amp; maintenance</v>
      </c>
      <c r="H98" s="98" t="str">
        <f>VLOOKUP(F98,'GL Category'!A:C,2,FALSE)</f>
        <v>MEDICAL SUPPLIES</v>
      </c>
      <c r="I98" s="99">
        <f>SUMIF(Import!$B:$B,'Other Fund Line-Item Details'!$A98,Import!D:D)</f>
        <v>3721.19</v>
      </c>
      <c r="J98" s="99">
        <f>SUMIF(Import!$B:$B,'Other Fund Line-Item Details'!$A98,Import!E:E)</f>
        <v>0</v>
      </c>
      <c r="K98" s="99">
        <f>SUMIF(Import!$B:$B,'Other Fund Line-Item Details'!$A98,Import!F:F)</f>
        <v>0</v>
      </c>
      <c r="L98" s="99">
        <f>SUMIF(Import!$B:$B,'Other Fund Line-Item Details'!$A98,Import!G:G)</f>
        <v>0</v>
      </c>
      <c r="M98" s="99">
        <f>SUMIF(Import!$B:$B,'Other Fund Line-Item Details'!$A98,Import!H:H)</f>
        <v>0</v>
      </c>
      <c r="N98" s="99">
        <f>SUMIF(Import!$B:$B,'Other Fund Line-Item Details'!$A98,Import!I:I)</f>
        <v>0</v>
      </c>
      <c r="O98" s="99">
        <f>SUMIF(Import!$B:$B,'Other Fund Line-Item Details'!$A98,Import!J:J)</f>
        <v>0</v>
      </c>
      <c r="P98" s="99">
        <f t="shared" si="119"/>
        <v>0</v>
      </c>
      <c r="Q98" s="99">
        <f>SUMIF(Import!$B:$B,'Other Fund Line-Item Details'!$A98,Import!K:K)</f>
        <v>0</v>
      </c>
      <c r="R98" s="99">
        <f>SUMIF(Import!$B:$B,'Other Fund Line-Item Details'!$A98,Import!L:L)</f>
        <v>0</v>
      </c>
      <c r="S98" s="99">
        <f>SUMIF(Import!$B:$B,'Other Fund Line-Item Details'!$A98,Import!M:M)</f>
        <v>0</v>
      </c>
      <c r="T98" s="99">
        <f>SUMIF(Import!$B:$B,'Other Fund Line-Item Details'!$A98,Import!N:N)</f>
        <v>0</v>
      </c>
      <c r="U98" s="99">
        <f t="shared" si="120"/>
        <v>0</v>
      </c>
      <c r="V98" s="255" t="str">
        <f t="shared" si="121"/>
        <v>N/A</v>
      </c>
      <c r="W98" s="102" t="s">
        <v>1799</v>
      </c>
      <c r="X98" s="97"/>
      <c r="Y98" s="97"/>
      <c r="Z98" s="97"/>
      <c r="AA98" s="97"/>
      <c r="AB98" s="97"/>
      <c r="AC98" s="97"/>
      <c r="AD98" s="97"/>
      <c r="AE98" s="97"/>
      <c r="AF98" s="97"/>
      <c r="AG98" s="97"/>
      <c r="AH98" s="97"/>
      <c r="AI98" s="97"/>
      <c r="AJ98" s="97"/>
      <c r="AK98" s="97"/>
      <c r="AL98" s="97"/>
      <c r="AM98" s="97"/>
      <c r="AN98" s="97"/>
      <c r="AO98" s="97"/>
      <c r="AP98" s="97"/>
      <c r="AQ98" s="97"/>
      <c r="AR98" s="97"/>
    </row>
    <row r="99" spans="1:44" s="115" customFormat="1" ht="15" customHeight="1">
      <c r="A99" s="555" t="s">
        <v>1800</v>
      </c>
      <c r="B99" s="217" t="str">
        <f t="shared" si="88"/>
        <v>115</v>
      </c>
      <c r="C99" s="217" t="str">
        <f t="shared" si="89"/>
        <v>19</v>
      </c>
      <c r="D99" s="101" t="str">
        <f t="shared" si="90"/>
        <v>196</v>
      </c>
      <c r="E99" s="217" t="str">
        <f t="shared" si="91"/>
        <v>115-19-196</v>
      </c>
      <c r="F99" s="294" t="str">
        <f t="shared" si="92"/>
        <v>53599</v>
      </c>
      <c r="G99" s="295" t="str">
        <f>VLOOKUP(F99,'GL Category'!A:C,3,FALSE)</f>
        <v>Services &amp; other</v>
      </c>
      <c r="H99" s="98" t="str">
        <f>VLOOKUP(F99,'GL Category'!A:C,2,FALSE)</f>
        <v>MISCELLANEOUS SERVICES</v>
      </c>
      <c r="I99" s="99">
        <f>SUMIF(Import!$B:$B,'Other Fund Line-Item Details'!$A99,Import!D:D)</f>
        <v>0</v>
      </c>
      <c r="J99" s="99">
        <f>SUMIF(Import!$B:$B,'Other Fund Line-Item Details'!$A99,Import!E:E)</f>
        <v>0</v>
      </c>
      <c r="K99" s="99">
        <f>SUMIF(Import!$B:$B,'Other Fund Line-Item Details'!$A99,Import!F:F)</f>
        <v>0</v>
      </c>
      <c r="L99" s="99">
        <f>SUMIF(Import!$B:$B,'Other Fund Line-Item Details'!$A99,Import!G:G)</f>
        <v>0</v>
      </c>
      <c r="M99" s="99">
        <f>SUMIF(Import!$B:$B,'Other Fund Line-Item Details'!$A99,Import!H:H)</f>
        <v>0</v>
      </c>
      <c r="N99" s="99">
        <f>SUMIF(Import!$B:$B,'Other Fund Line-Item Details'!$A99,Import!I:I)</f>
        <v>0</v>
      </c>
      <c r="O99" s="99">
        <f>SUMIF(Import!$B:$B,'Other Fund Line-Item Details'!$A99,Import!J:J)</f>
        <v>0</v>
      </c>
      <c r="P99" s="99">
        <f t="shared" si="119"/>
        <v>0</v>
      </c>
      <c r="Q99" s="99">
        <f>SUMIF(Import!$B:$B,'Other Fund Line-Item Details'!$A99,Import!K:K)</f>
        <v>0</v>
      </c>
      <c r="R99" s="99">
        <f>SUMIF(Import!$B:$B,'Other Fund Line-Item Details'!$A99,Import!L:L)</f>
        <v>0</v>
      </c>
      <c r="S99" s="99">
        <f>SUMIF(Import!$B:$B,'Other Fund Line-Item Details'!$A99,Import!M:M)</f>
        <v>0</v>
      </c>
      <c r="T99" s="99">
        <f>SUMIF(Import!$B:$B,'Other Fund Line-Item Details'!$A99,Import!N:N)</f>
        <v>0</v>
      </c>
      <c r="U99" s="99">
        <f t="shared" si="120"/>
        <v>0</v>
      </c>
      <c r="V99" s="255" t="str">
        <f t="shared" si="121"/>
        <v>N/A</v>
      </c>
      <c r="W99" s="102" t="s">
        <v>1800</v>
      </c>
      <c r="X99" s="97"/>
      <c r="Y99" s="97"/>
      <c r="Z99" s="97"/>
      <c r="AA99" s="97"/>
      <c r="AB99" s="97"/>
      <c r="AC99" s="97"/>
      <c r="AD99" s="97"/>
      <c r="AE99" s="97"/>
      <c r="AF99" s="97"/>
      <c r="AG99" s="97"/>
      <c r="AH99" s="97"/>
      <c r="AI99" s="97"/>
      <c r="AJ99" s="97"/>
      <c r="AK99" s="97"/>
      <c r="AL99" s="97"/>
      <c r="AM99" s="97"/>
      <c r="AN99" s="97"/>
      <c r="AO99" s="97"/>
      <c r="AP99" s="97"/>
      <c r="AQ99" s="97"/>
      <c r="AR99" s="97"/>
    </row>
    <row r="100" spans="1:44" s="115" customFormat="1" ht="15" customHeight="1">
      <c r="A100" s="555" t="s">
        <v>3370</v>
      </c>
      <c r="B100" s="217" t="str">
        <f t="shared" ref="B100" si="122">LEFT(A100,3)</f>
        <v>115</v>
      </c>
      <c r="C100" s="217" t="str">
        <f t="shared" ref="C100" si="123">MID(A100,5,2)</f>
        <v>19</v>
      </c>
      <c r="D100" s="101" t="str">
        <f t="shared" ref="D100" si="124">MID(A100,8,3)</f>
        <v>196</v>
      </c>
      <c r="E100" s="217" t="str">
        <f t="shared" ref="E100" si="125">LEFT(A100,10)</f>
        <v>115-19-196</v>
      </c>
      <c r="F100" s="294" t="str">
        <f t="shared" ref="F100" si="126">RIGHT(A100,5)</f>
        <v>58830</v>
      </c>
      <c r="G100" s="295" t="str">
        <f>VLOOKUP(F100,'GL Category'!A:C,3,FALSE)</f>
        <v>Capital Outlay</v>
      </c>
      <c r="H100" s="98" t="str">
        <f>VLOOKUP(F100,'GL Category'!A:C,2,FALSE)</f>
        <v>MACHINERY &amp; EQUIPMENT</v>
      </c>
      <c r="I100" s="99">
        <f>SUMIF(Import!$B:$B,'Other Fund Line-Item Details'!$A100,Import!D:D)</f>
        <v>0</v>
      </c>
      <c r="J100" s="99">
        <f>SUMIF(Import!$B:$B,'Other Fund Line-Item Details'!$A100,Import!E:E)</f>
        <v>0</v>
      </c>
      <c r="K100" s="99">
        <f>SUMIF(Import!$B:$B,'Other Fund Line-Item Details'!$A100,Import!F:F)</f>
        <v>0</v>
      </c>
      <c r="L100" s="99">
        <f>SUMIF(Import!$B:$B,'Other Fund Line-Item Details'!$A100,Import!G:G)</f>
        <v>0</v>
      </c>
      <c r="M100" s="99">
        <f>SUMIF(Import!$B:$B,'Other Fund Line-Item Details'!$A100,Import!H:H)</f>
        <v>0</v>
      </c>
      <c r="N100" s="99">
        <f>SUMIF(Import!$B:$B,'Other Fund Line-Item Details'!$A100,Import!I:I)</f>
        <v>0</v>
      </c>
      <c r="O100" s="99">
        <f>SUMIF(Import!$B:$B,'Other Fund Line-Item Details'!$A100,Import!J:J)</f>
        <v>0</v>
      </c>
      <c r="P100" s="99">
        <f t="shared" ref="P100" si="127">O100-M100</f>
        <v>0</v>
      </c>
      <c r="Q100" s="99">
        <f>SUMIF(Import!$B:$B,'Other Fund Line-Item Details'!$A100,Import!K:K)</f>
        <v>0</v>
      </c>
      <c r="R100" s="99">
        <f>SUMIF(Import!$B:$B,'Other Fund Line-Item Details'!$A100,Import!L:L)</f>
        <v>0</v>
      </c>
      <c r="S100" s="99">
        <f>SUMIF(Import!$B:$B,'Other Fund Line-Item Details'!$A100,Import!M:M)</f>
        <v>0</v>
      </c>
      <c r="T100" s="99">
        <f>SUMIF(Import!$B:$B,'Other Fund Line-Item Details'!$A100,Import!N:N)</f>
        <v>0</v>
      </c>
      <c r="U100" s="99">
        <f t="shared" ref="U100" si="128">T100-M100</f>
        <v>0</v>
      </c>
      <c r="V100" s="255" t="str">
        <f t="shared" ref="V100" si="129">IF(M100=0,"N/A",T100/M100-1)</f>
        <v>N/A</v>
      </c>
      <c r="W100" s="102" t="s">
        <v>1800</v>
      </c>
      <c r="X100" s="97"/>
      <c r="Y100" s="97"/>
      <c r="Z100" s="97"/>
      <c r="AA100" s="97"/>
      <c r="AB100" s="97"/>
      <c r="AC100" s="97"/>
      <c r="AD100" s="97"/>
      <c r="AE100" s="97"/>
      <c r="AF100" s="97"/>
      <c r="AG100" s="97"/>
      <c r="AH100" s="97"/>
      <c r="AI100" s="97"/>
      <c r="AJ100" s="97"/>
      <c r="AK100" s="97"/>
      <c r="AL100" s="97"/>
      <c r="AM100" s="97"/>
      <c r="AN100" s="97"/>
      <c r="AO100" s="97"/>
      <c r="AP100" s="97"/>
      <c r="AQ100" s="97"/>
      <c r="AR100" s="97"/>
    </row>
    <row r="101" spans="1:44" s="115" customFormat="1" ht="15" customHeight="1">
      <c r="A101" s="555" t="s">
        <v>1801</v>
      </c>
      <c r="B101" s="217" t="str">
        <f t="shared" si="88"/>
        <v>115</v>
      </c>
      <c r="C101" s="217" t="str">
        <f t="shared" si="89"/>
        <v>30</v>
      </c>
      <c r="D101" s="101" t="str">
        <f t="shared" si="90"/>
        <v>301</v>
      </c>
      <c r="E101" s="217" t="str">
        <f t="shared" si="91"/>
        <v>115-30-301</v>
      </c>
      <c r="F101" s="294" t="str">
        <f t="shared" si="92"/>
        <v>50109</v>
      </c>
      <c r="G101" s="295" t="str">
        <f>VLOOKUP(F101,'GL Category'!A:C,3,FALSE)</f>
        <v>Personnel services</v>
      </c>
      <c r="H101" s="98" t="str">
        <f>VLOOKUP(F101,'GL Category'!A:C,2,FALSE)</f>
        <v>OVERTIME</v>
      </c>
      <c r="I101" s="99">
        <f>SUMIF(Import!$B:$B,'Other Fund Line-Item Details'!$A101,Import!D:D)</f>
        <v>205.88</v>
      </c>
      <c r="J101" s="99">
        <f>SUMIF(Import!$B:$B,'Other Fund Line-Item Details'!$A101,Import!E:E)</f>
        <v>946.61</v>
      </c>
      <c r="K101" s="99">
        <f>SUMIF(Import!$B:$B,'Other Fund Line-Item Details'!$A101,Import!F:F)</f>
        <v>1044.76</v>
      </c>
      <c r="L101" s="99">
        <f>SUMIF(Import!$B:$B,'Other Fund Line-Item Details'!$A101,Import!G:G)</f>
        <v>0</v>
      </c>
      <c r="M101" s="99">
        <f>SUMIF(Import!$B:$B,'Other Fund Line-Item Details'!$A101,Import!H:H)</f>
        <v>0</v>
      </c>
      <c r="N101" s="99">
        <f>SUMIF(Import!$B:$B,'Other Fund Line-Item Details'!$A101,Import!I:I)</f>
        <v>0</v>
      </c>
      <c r="O101" s="99">
        <f>SUMIF(Import!$B:$B,'Other Fund Line-Item Details'!$A101,Import!J:J)</f>
        <v>0</v>
      </c>
      <c r="P101" s="99">
        <f t="shared" si="119"/>
        <v>0</v>
      </c>
      <c r="Q101" s="99">
        <f>SUMIF(Import!$B:$B,'Other Fund Line-Item Details'!$A101,Import!K:K)</f>
        <v>0</v>
      </c>
      <c r="R101" s="99">
        <f>SUMIF(Import!$B:$B,'Other Fund Line-Item Details'!$A101,Import!L:L)</f>
        <v>0</v>
      </c>
      <c r="S101" s="99">
        <f>SUMIF(Import!$B:$B,'Other Fund Line-Item Details'!$A101,Import!M:M)</f>
        <v>0</v>
      </c>
      <c r="T101" s="99">
        <f>SUMIF(Import!$B:$B,'Other Fund Line-Item Details'!$A101,Import!N:N)</f>
        <v>0</v>
      </c>
      <c r="U101" s="99">
        <f t="shared" si="120"/>
        <v>0</v>
      </c>
      <c r="V101" s="255" t="str">
        <f t="shared" si="121"/>
        <v>N/A</v>
      </c>
      <c r="W101" s="102" t="s">
        <v>1801</v>
      </c>
      <c r="X101" s="97"/>
      <c r="Y101" s="97"/>
      <c r="Z101" s="97"/>
      <c r="AA101" s="97"/>
      <c r="AB101" s="97"/>
      <c r="AC101" s="97"/>
      <c r="AD101" s="97"/>
      <c r="AE101" s="97"/>
      <c r="AF101" s="97"/>
      <c r="AG101" s="97"/>
      <c r="AH101" s="97"/>
      <c r="AI101" s="97"/>
      <c r="AJ101" s="97"/>
      <c r="AK101" s="97"/>
      <c r="AL101" s="97"/>
      <c r="AM101" s="97"/>
      <c r="AN101" s="97"/>
      <c r="AO101" s="97"/>
      <c r="AP101" s="97"/>
      <c r="AQ101" s="97"/>
      <c r="AR101" s="97"/>
    </row>
    <row r="102" spans="1:44" s="115" customFormat="1" ht="15" customHeight="1">
      <c r="A102" s="555" t="s">
        <v>1802</v>
      </c>
      <c r="B102" s="217" t="str">
        <f t="shared" si="88"/>
        <v>115</v>
      </c>
      <c r="C102" s="217" t="str">
        <f t="shared" si="89"/>
        <v>30</v>
      </c>
      <c r="D102" s="101" t="str">
        <f t="shared" si="90"/>
        <v>301</v>
      </c>
      <c r="E102" s="217" t="str">
        <f t="shared" si="91"/>
        <v>115-30-301</v>
      </c>
      <c r="F102" s="294" t="str">
        <f t="shared" si="92"/>
        <v>50110</v>
      </c>
      <c r="G102" s="295" t="str">
        <f>VLOOKUP(F102,'GL Category'!A:C,3,FALSE)</f>
        <v>Personnel services</v>
      </c>
      <c r="H102" s="98" t="str">
        <f>VLOOKUP(F102,'GL Category'!A:C,2,FALSE)</f>
        <v>PART-TIME WAGES</v>
      </c>
      <c r="I102" s="99">
        <f>SUMIF(Import!$B:$B,'Other Fund Line-Item Details'!$A102,Import!D:D)</f>
        <v>42360.52</v>
      </c>
      <c r="J102" s="99">
        <f>SUMIF(Import!$B:$B,'Other Fund Line-Item Details'!$A102,Import!E:E)</f>
        <v>53655.77</v>
      </c>
      <c r="K102" s="99">
        <f>SUMIF(Import!$B:$B,'Other Fund Line-Item Details'!$A102,Import!F:F)</f>
        <v>63653.63</v>
      </c>
      <c r="L102" s="99">
        <f>SUMIF(Import!$B:$B,'Other Fund Line-Item Details'!$A102,Import!G:G)</f>
        <v>0</v>
      </c>
      <c r="M102" s="99">
        <f>SUMIF(Import!$B:$B,'Other Fund Line-Item Details'!$A102,Import!H:H)</f>
        <v>0</v>
      </c>
      <c r="N102" s="99">
        <f>SUMIF(Import!$B:$B,'Other Fund Line-Item Details'!$A102,Import!I:I)</f>
        <v>0</v>
      </c>
      <c r="O102" s="99">
        <f>SUMIF(Import!$B:$B,'Other Fund Line-Item Details'!$A102,Import!J:J)</f>
        <v>0</v>
      </c>
      <c r="P102" s="99">
        <f t="shared" si="119"/>
        <v>0</v>
      </c>
      <c r="Q102" s="99">
        <f>SUMIF(Import!$B:$B,'Other Fund Line-Item Details'!$A102,Import!K:K)</f>
        <v>0</v>
      </c>
      <c r="R102" s="99">
        <f>SUMIF(Import!$B:$B,'Other Fund Line-Item Details'!$A102,Import!L:L)</f>
        <v>0</v>
      </c>
      <c r="S102" s="99">
        <f>SUMIF(Import!$B:$B,'Other Fund Line-Item Details'!$A102,Import!M:M)</f>
        <v>0</v>
      </c>
      <c r="T102" s="99">
        <f>SUMIF(Import!$B:$B,'Other Fund Line-Item Details'!$A102,Import!N:N)</f>
        <v>0</v>
      </c>
      <c r="U102" s="99">
        <f t="shared" si="120"/>
        <v>0</v>
      </c>
      <c r="V102" s="255" t="str">
        <f t="shared" si="121"/>
        <v>N/A</v>
      </c>
      <c r="W102" s="102" t="s">
        <v>1802</v>
      </c>
      <c r="X102" s="97"/>
      <c r="Y102" s="97"/>
      <c r="Z102" s="97"/>
      <c r="AA102" s="97"/>
      <c r="AB102" s="97"/>
      <c r="AC102" s="97"/>
      <c r="AD102" s="97"/>
      <c r="AE102" s="97"/>
      <c r="AF102" s="97"/>
      <c r="AG102" s="97"/>
      <c r="AH102" s="97"/>
      <c r="AI102" s="97"/>
      <c r="AJ102" s="97"/>
      <c r="AK102" s="97"/>
      <c r="AL102" s="97"/>
      <c r="AM102" s="97"/>
      <c r="AN102" s="97"/>
      <c r="AO102" s="97"/>
      <c r="AP102" s="97"/>
      <c r="AQ102" s="97"/>
      <c r="AR102" s="97"/>
    </row>
    <row r="103" spans="1:44" s="115" customFormat="1" ht="15" customHeight="1">
      <c r="A103" s="555" t="s">
        <v>1803</v>
      </c>
      <c r="B103" s="217" t="str">
        <f t="shared" si="88"/>
        <v>115</v>
      </c>
      <c r="C103" s="217" t="str">
        <f t="shared" si="89"/>
        <v>30</v>
      </c>
      <c r="D103" s="101" t="str">
        <f t="shared" si="90"/>
        <v>301</v>
      </c>
      <c r="E103" s="217" t="str">
        <f t="shared" si="91"/>
        <v>115-30-301</v>
      </c>
      <c r="F103" s="294" t="str">
        <f t="shared" si="92"/>
        <v>50111</v>
      </c>
      <c r="G103" s="295" t="str">
        <f>VLOOKUP(F103,'GL Category'!A:C,3,FALSE)</f>
        <v>Personnel services</v>
      </c>
      <c r="H103" s="98" t="str">
        <f>VLOOKUP(F103,'GL Category'!A:C,2,FALSE)</f>
        <v>LONGEVITY PAY</v>
      </c>
      <c r="I103" s="99">
        <f>SUMIF(Import!$B:$B,'Other Fund Line-Item Details'!$A103,Import!D:D)</f>
        <v>85</v>
      </c>
      <c r="J103" s="99">
        <f>SUMIF(Import!$B:$B,'Other Fund Line-Item Details'!$A103,Import!E:E)</f>
        <v>145</v>
      </c>
      <c r="K103" s="99">
        <f>SUMIF(Import!$B:$B,'Other Fund Line-Item Details'!$A103,Import!F:F)</f>
        <v>205</v>
      </c>
      <c r="L103" s="99">
        <f>SUMIF(Import!$B:$B,'Other Fund Line-Item Details'!$A103,Import!G:G)</f>
        <v>0</v>
      </c>
      <c r="M103" s="99">
        <f>SUMIF(Import!$B:$B,'Other Fund Line-Item Details'!$A103,Import!H:H)</f>
        <v>0</v>
      </c>
      <c r="N103" s="99">
        <f>SUMIF(Import!$B:$B,'Other Fund Line-Item Details'!$A103,Import!I:I)</f>
        <v>0</v>
      </c>
      <c r="O103" s="99">
        <f>SUMIF(Import!$B:$B,'Other Fund Line-Item Details'!$A103,Import!J:J)</f>
        <v>0</v>
      </c>
      <c r="P103" s="99">
        <f t="shared" si="119"/>
        <v>0</v>
      </c>
      <c r="Q103" s="99">
        <f>SUMIF(Import!$B:$B,'Other Fund Line-Item Details'!$A103,Import!K:K)</f>
        <v>0</v>
      </c>
      <c r="R103" s="99">
        <f>SUMIF(Import!$B:$B,'Other Fund Line-Item Details'!$A103,Import!L:L)</f>
        <v>0</v>
      </c>
      <c r="S103" s="99">
        <f>SUMIF(Import!$B:$B,'Other Fund Line-Item Details'!$A103,Import!M:M)</f>
        <v>0</v>
      </c>
      <c r="T103" s="99">
        <f>SUMIF(Import!$B:$B,'Other Fund Line-Item Details'!$A103,Import!N:N)</f>
        <v>0</v>
      </c>
      <c r="U103" s="99">
        <f t="shared" si="120"/>
        <v>0</v>
      </c>
      <c r="V103" s="255" t="str">
        <f t="shared" si="121"/>
        <v>N/A</v>
      </c>
      <c r="W103" s="102" t="s">
        <v>1803</v>
      </c>
      <c r="X103" s="97"/>
      <c r="Y103" s="97"/>
      <c r="Z103" s="97"/>
      <c r="AA103" s="97"/>
      <c r="AB103" s="97"/>
      <c r="AC103" s="97"/>
      <c r="AD103" s="97"/>
      <c r="AE103" s="97"/>
      <c r="AF103" s="97"/>
      <c r="AG103" s="97"/>
      <c r="AH103" s="97"/>
      <c r="AI103" s="97"/>
      <c r="AJ103" s="97"/>
      <c r="AK103" s="97"/>
      <c r="AL103" s="97"/>
      <c r="AM103" s="97"/>
      <c r="AN103" s="97"/>
      <c r="AO103" s="97"/>
      <c r="AP103" s="97"/>
      <c r="AQ103" s="97"/>
      <c r="AR103" s="97"/>
    </row>
    <row r="104" spans="1:44" s="115" customFormat="1" ht="15" customHeight="1">
      <c r="A104" s="555" t="s">
        <v>1804</v>
      </c>
      <c r="B104" s="217" t="str">
        <f t="shared" si="88"/>
        <v>115</v>
      </c>
      <c r="C104" s="217" t="str">
        <f t="shared" si="89"/>
        <v>30</v>
      </c>
      <c r="D104" s="101" t="str">
        <f t="shared" si="90"/>
        <v>301</v>
      </c>
      <c r="E104" s="217" t="str">
        <f t="shared" si="91"/>
        <v>115-30-301</v>
      </c>
      <c r="F104" s="294" t="str">
        <f t="shared" si="92"/>
        <v>50115</v>
      </c>
      <c r="G104" s="295" t="str">
        <f>VLOOKUP(F104,'GL Category'!A:C,3,FALSE)</f>
        <v>Personnel services</v>
      </c>
      <c r="H104" s="98" t="str">
        <f>VLOOKUP(F104,'GL Category'!A:C,2,FALSE)</f>
        <v>INCENTIVE/CERTIFICATION PAY</v>
      </c>
      <c r="I104" s="99">
        <f>SUMIF(Import!$B:$B,'Other Fund Line-Item Details'!$A104,Import!D:D)</f>
        <v>0</v>
      </c>
      <c r="J104" s="99">
        <f>SUMIF(Import!$B:$B,'Other Fund Line-Item Details'!$A104,Import!E:E)</f>
        <v>100</v>
      </c>
      <c r="K104" s="99">
        <f>SUMIF(Import!$B:$B,'Other Fund Line-Item Details'!$A104,Import!F:F)</f>
        <v>0</v>
      </c>
      <c r="L104" s="99">
        <f>SUMIF(Import!$B:$B,'Other Fund Line-Item Details'!$A104,Import!G:G)</f>
        <v>0</v>
      </c>
      <c r="M104" s="99">
        <f>SUMIF(Import!$B:$B,'Other Fund Line-Item Details'!$A104,Import!H:H)</f>
        <v>0</v>
      </c>
      <c r="N104" s="99">
        <f>SUMIF(Import!$B:$B,'Other Fund Line-Item Details'!$A104,Import!I:I)</f>
        <v>0</v>
      </c>
      <c r="O104" s="99">
        <f>SUMIF(Import!$B:$B,'Other Fund Line-Item Details'!$A104,Import!J:J)</f>
        <v>0</v>
      </c>
      <c r="P104" s="99">
        <f t="shared" si="119"/>
        <v>0</v>
      </c>
      <c r="Q104" s="99">
        <f>SUMIF(Import!$B:$B,'Other Fund Line-Item Details'!$A104,Import!K:K)</f>
        <v>0</v>
      </c>
      <c r="R104" s="99">
        <f>SUMIF(Import!$B:$B,'Other Fund Line-Item Details'!$A104,Import!L:L)</f>
        <v>0</v>
      </c>
      <c r="S104" s="99">
        <f>SUMIF(Import!$B:$B,'Other Fund Line-Item Details'!$A104,Import!M:M)</f>
        <v>0</v>
      </c>
      <c r="T104" s="99">
        <f>SUMIF(Import!$B:$B,'Other Fund Line-Item Details'!$A104,Import!N:N)</f>
        <v>0</v>
      </c>
      <c r="U104" s="99">
        <f t="shared" si="120"/>
        <v>0</v>
      </c>
      <c r="V104" s="255" t="str">
        <f t="shared" si="121"/>
        <v>N/A</v>
      </c>
      <c r="W104" s="102" t="s">
        <v>1804</v>
      </c>
      <c r="X104" s="97"/>
      <c r="Y104" s="97"/>
      <c r="Z104" s="97"/>
      <c r="AA104" s="97"/>
      <c r="AB104" s="97"/>
      <c r="AC104" s="97"/>
      <c r="AD104" s="97"/>
      <c r="AE104" s="97"/>
      <c r="AF104" s="97"/>
      <c r="AG104" s="97"/>
      <c r="AH104" s="97"/>
      <c r="AI104" s="97"/>
      <c r="AJ104" s="97"/>
      <c r="AK104" s="97"/>
      <c r="AL104" s="97"/>
      <c r="AM104" s="97"/>
      <c r="AN104" s="97"/>
      <c r="AO104" s="97"/>
      <c r="AP104" s="97"/>
      <c r="AQ104" s="97"/>
      <c r="AR104" s="97"/>
    </row>
    <row r="105" spans="1:44" s="115" customFormat="1" ht="15" customHeight="1">
      <c r="A105" s="555" t="s">
        <v>1805</v>
      </c>
      <c r="B105" s="217" t="str">
        <f t="shared" si="88"/>
        <v>115</v>
      </c>
      <c r="C105" s="217" t="str">
        <f t="shared" si="89"/>
        <v>30</v>
      </c>
      <c r="D105" s="101" t="str">
        <f t="shared" si="90"/>
        <v>301</v>
      </c>
      <c r="E105" s="217" t="str">
        <f t="shared" si="91"/>
        <v>115-30-301</v>
      </c>
      <c r="F105" s="294" t="str">
        <f t="shared" si="92"/>
        <v>50610</v>
      </c>
      <c r="G105" s="295" t="str">
        <f>VLOOKUP(F105,'GL Category'!A:C,3,FALSE)</f>
        <v>Personnel services</v>
      </c>
      <c r="H105" s="98" t="str">
        <f>VLOOKUP(F105,'GL Category'!A:C,2,FALSE)</f>
        <v>SOCIAL SECURITY</v>
      </c>
      <c r="I105" s="99">
        <f>SUMIF(Import!$B:$B,'Other Fund Line-Item Details'!$A105,Import!D:D)</f>
        <v>3239.66</v>
      </c>
      <c r="J105" s="99">
        <f>SUMIF(Import!$B:$B,'Other Fund Line-Item Details'!$A105,Import!E:E)</f>
        <v>4150.33</v>
      </c>
      <c r="K105" s="99">
        <f>SUMIF(Import!$B:$B,'Other Fund Line-Item Details'!$A105,Import!F:F)</f>
        <v>4939.7700000000004</v>
      </c>
      <c r="L105" s="99">
        <f>SUMIF(Import!$B:$B,'Other Fund Line-Item Details'!$A105,Import!G:G)</f>
        <v>0</v>
      </c>
      <c r="M105" s="99">
        <f>SUMIF(Import!$B:$B,'Other Fund Line-Item Details'!$A105,Import!H:H)</f>
        <v>0</v>
      </c>
      <c r="N105" s="99">
        <f>SUMIF(Import!$B:$B,'Other Fund Line-Item Details'!$A105,Import!I:I)</f>
        <v>0</v>
      </c>
      <c r="O105" s="99">
        <f>SUMIF(Import!$B:$B,'Other Fund Line-Item Details'!$A105,Import!J:J)</f>
        <v>0</v>
      </c>
      <c r="P105" s="99">
        <f t="shared" si="119"/>
        <v>0</v>
      </c>
      <c r="Q105" s="99">
        <f>SUMIF(Import!$B:$B,'Other Fund Line-Item Details'!$A105,Import!K:K)</f>
        <v>0</v>
      </c>
      <c r="R105" s="99">
        <f>SUMIF(Import!$B:$B,'Other Fund Line-Item Details'!$A105,Import!L:L)</f>
        <v>0</v>
      </c>
      <c r="S105" s="99">
        <f>SUMIF(Import!$B:$B,'Other Fund Line-Item Details'!$A105,Import!M:M)</f>
        <v>0</v>
      </c>
      <c r="T105" s="99">
        <f>SUMIF(Import!$B:$B,'Other Fund Line-Item Details'!$A105,Import!N:N)</f>
        <v>0</v>
      </c>
      <c r="U105" s="99">
        <f t="shared" si="120"/>
        <v>0</v>
      </c>
      <c r="V105" s="255" t="str">
        <f t="shared" si="121"/>
        <v>N/A</v>
      </c>
      <c r="W105" s="102" t="s">
        <v>1805</v>
      </c>
      <c r="X105" s="97"/>
      <c r="Y105" s="97"/>
      <c r="Z105" s="97"/>
      <c r="AA105" s="97"/>
      <c r="AB105" s="97"/>
      <c r="AC105" s="97"/>
      <c r="AD105" s="97"/>
      <c r="AE105" s="97"/>
      <c r="AF105" s="97"/>
      <c r="AG105" s="97"/>
      <c r="AH105" s="97"/>
      <c r="AI105" s="97"/>
      <c r="AJ105" s="97"/>
      <c r="AK105" s="97"/>
      <c r="AL105" s="97"/>
      <c r="AM105" s="97"/>
      <c r="AN105" s="97"/>
      <c r="AO105" s="97"/>
      <c r="AP105" s="97"/>
      <c r="AQ105" s="97"/>
      <c r="AR105" s="97"/>
    </row>
    <row r="106" spans="1:44" s="115" customFormat="1" ht="15" customHeight="1">
      <c r="A106" s="555" t="s">
        <v>1806</v>
      </c>
      <c r="B106" s="217" t="str">
        <f t="shared" si="88"/>
        <v>115</v>
      </c>
      <c r="C106" s="217" t="str">
        <f t="shared" si="89"/>
        <v>30</v>
      </c>
      <c r="D106" s="101" t="str">
        <f t="shared" si="90"/>
        <v>301</v>
      </c>
      <c r="E106" s="217" t="str">
        <f t="shared" si="91"/>
        <v>115-30-301</v>
      </c>
      <c r="F106" s="294" t="str">
        <f t="shared" si="92"/>
        <v>50620</v>
      </c>
      <c r="G106" s="295" t="str">
        <f>VLOOKUP(F106,'GL Category'!A:C,3,FALSE)</f>
        <v>Personnel services</v>
      </c>
      <c r="H106" s="98" t="str">
        <f>VLOOKUP(F106,'GL Category'!A:C,2,FALSE)</f>
        <v>HEALTH/LIFE INSURANCE</v>
      </c>
      <c r="I106" s="99">
        <f>SUMIF(Import!$B:$B,'Other Fund Line-Item Details'!$A106,Import!D:D)</f>
        <v>9063.32</v>
      </c>
      <c r="J106" s="99">
        <f>SUMIF(Import!$B:$B,'Other Fund Line-Item Details'!$A106,Import!E:E)</f>
        <v>10570.74</v>
      </c>
      <c r="K106" s="99">
        <f>SUMIF(Import!$B:$B,'Other Fund Line-Item Details'!$A106,Import!F:F)</f>
        <v>10424.120000000001</v>
      </c>
      <c r="L106" s="99">
        <f>SUMIF(Import!$B:$B,'Other Fund Line-Item Details'!$A106,Import!G:G)</f>
        <v>0</v>
      </c>
      <c r="M106" s="99">
        <f>SUMIF(Import!$B:$B,'Other Fund Line-Item Details'!$A106,Import!H:H)</f>
        <v>0</v>
      </c>
      <c r="N106" s="99">
        <f>SUMIF(Import!$B:$B,'Other Fund Line-Item Details'!$A106,Import!I:I)</f>
        <v>0</v>
      </c>
      <c r="O106" s="99">
        <f>SUMIF(Import!$B:$B,'Other Fund Line-Item Details'!$A106,Import!J:J)</f>
        <v>0</v>
      </c>
      <c r="P106" s="99">
        <f t="shared" si="119"/>
        <v>0</v>
      </c>
      <c r="Q106" s="99">
        <f>SUMIF(Import!$B:$B,'Other Fund Line-Item Details'!$A106,Import!K:K)</f>
        <v>0</v>
      </c>
      <c r="R106" s="99">
        <f>SUMIF(Import!$B:$B,'Other Fund Line-Item Details'!$A106,Import!L:L)</f>
        <v>0</v>
      </c>
      <c r="S106" s="99">
        <f>SUMIF(Import!$B:$B,'Other Fund Line-Item Details'!$A106,Import!M:M)</f>
        <v>0</v>
      </c>
      <c r="T106" s="99">
        <f>SUMIF(Import!$B:$B,'Other Fund Line-Item Details'!$A106,Import!N:N)</f>
        <v>0</v>
      </c>
      <c r="U106" s="99">
        <f t="shared" si="120"/>
        <v>0</v>
      </c>
      <c r="V106" s="255" t="str">
        <f t="shared" si="121"/>
        <v>N/A</v>
      </c>
      <c r="W106" s="102" t="s">
        <v>1806</v>
      </c>
      <c r="X106" s="97"/>
      <c r="Y106" s="97"/>
      <c r="Z106" s="97"/>
      <c r="AA106" s="97"/>
      <c r="AB106" s="97"/>
      <c r="AC106" s="97"/>
      <c r="AD106" s="97"/>
      <c r="AE106" s="97"/>
      <c r="AF106" s="97"/>
      <c r="AG106" s="97"/>
      <c r="AH106" s="97"/>
      <c r="AI106" s="97"/>
      <c r="AJ106" s="97"/>
      <c r="AK106" s="97"/>
      <c r="AL106" s="97"/>
      <c r="AM106" s="97"/>
      <c r="AN106" s="97"/>
      <c r="AO106" s="97"/>
      <c r="AP106" s="97"/>
      <c r="AQ106" s="97"/>
      <c r="AR106" s="97"/>
    </row>
    <row r="107" spans="1:44" s="115" customFormat="1" ht="15" customHeight="1">
      <c r="A107" s="555" t="s">
        <v>1807</v>
      </c>
      <c r="B107" s="217" t="str">
        <f t="shared" si="88"/>
        <v>115</v>
      </c>
      <c r="C107" s="217" t="str">
        <f t="shared" si="89"/>
        <v>30</v>
      </c>
      <c r="D107" s="101" t="str">
        <f t="shared" si="90"/>
        <v>301</v>
      </c>
      <c r="E107" s="217" t="str">
        <f t="shared" si="91"/>
        <v>115-30-301</v>
      </c>
      <c r="F107" s="294" t="str">
        <f t="shared" si="92"/>
        <v>50630</v>
      </c>
      <c r="G107" s="295" t="str">
        <f>VLOOKUP(F107,'GL Category'!A:C,3,FALSE)</f>
        <v>Personnel services</v>
      </c>
      <c r="H107" s="98" t="str">
        <f>VLOOKUP(F107,'GL Category'!A:C,2,FALSE)</f>
        <v>WORKER COMPENSATION</v>
      </c>
      <c r="I107" s="99">
        <f>SUMIF(Import!$B:$B,'Other Fund Line-Item Details'!$A107,Import!D:D)</f>
        <v>284.02</v>
      </c>
      <c r="J107" s="99">
        <f>SUMIF(Import!$B:$B,'Other Fund Line-Item Details'!$A107,Import!E:E)</f>
        <v>590.01</v>
      </c>
      <c r="K107" s="99">
        <f>SUMIF(Import!$B:$B,'Other Fund Line-Item Details'!$A107,Import!F:F)</f>
        <v>452.63</v>
      </c>
      <c r="L107" s="99">
        <f>SUMIF(Import!$B:$B,'Other Fund Line-Item Details'!$A107,Import!G:G)</f>
        <v>0</v>
      </c>
      <c r="M107" s="99">
        <f>SUMIF(Import!$B:$B,'Other Fund Line-Item Details'!$A107,Import!H:H)</f>
        <v>0</v>
      </c>
      <c r="N107" s="99">
        <f>SUMIF(Import!$B:$B,'Other Fund Line-Item Details'!$A107,Import!I:I)</f>
        <v>0</v>
      </c>
      <c r="O107" s="99">
        <f>SUMIF(Import!$B:$B,'Other Fund Line-Item Details'!$A107,Import!J:J)</f>
        <v>0</v>
      </c>
      <c r="P107" s="99">
        <f t="shared" si="119"/>
        <v>0</v>
      </c>
      <c r="Q107" s="99">
        <f>SUMIF(Import!$B:$B,'Other Fund Line-Item Details'!$A107,Import!K:K)</f>
        <v>0</v>
      </c>
      <c r="R107" s="99">
        <f>SUMIF(Import!$B:$B,'Other Fund Line-Item Details'!$A107,Import!L:L)</f>
        <v>0</v>
      </c>
      <c r="S107" s="99">
        <f>SUMIF(Import!$B:$B,'Other Fund Line-Item Details'!$A107,Import!M:M)</f>
        <v>0</v>
      </c>
      <c r="T107" s="99">
        <f>SUMIF(Import!$B:$B,'Other Fund Line-Item Details'!$A107,Import!N:N)</f>
        <v>0</v>
      </c>
      <c r="U107" s="99">
        <f t="shared" si="120"/>
        <v>0</v>
      </c>
      <c r="V107" s="255" t="str">
        <f t="shared" si="121"/>
        <v>N/A</v>
      </c>
      <c r="W107" s="102" t="s">
        <v>1807</v>
      </c>
      <c r="X107" s="97"/>
      <c r="Y107" s="97"/>
      <c r="Z107" s="97"/>
      <c r="AA107" s="97"/>
      <c r="AB107" s="97"/>
      <c r="AC107" s="97"/>
      <c r="AD107" s="97"/>
      <c r="AE107" s="97"/>
      <c r="AF107" s="97"/>
      <c r="AG107" s="97"/>
      <c r="AH107" s="97"/>
      <c r="AI107" s="97"/>
      <c r="AJ107" s="97"/>
      <c r="AK107" s="97"/>
      <c r="AL107" s="97"/>
      <c r="AM107" s="97"/>
      <c r="AN107" s="97"/>
      <c r="AO107" s="97"/>
      <c r="AP107" s="97"/>
      <c r="AQ107" s="97"/>
      <c r="AR107" s="97"/>
    </row>
    <row r="108" spans="1:44" s="115" customFormat="1" ht="15" customHeight="1">
      <c r="A108" s="555" t="s">
        <v>1808</v>
      </c>
      <c r="B108" s="217" t="str">
        <f t="shared" si="88"/>
        <v>115</v>
      </c>
      <c r="C108" s="217" t="str">
        <f t="shared" si="89"/>
        <v>30</v>
      </c>
      <c r="D108" s="101" t="str">
        <f t="shared" si="90"/>
        <v>301</v>
      </c>
      <c r="E108" s="217" t="str">
        <f t="shared" si="91"/>
        <v>115-30-301</v>
      </c>
      <c r="F108" s="294" t="str">
        <f t="shared" si="92"/>
        <v>50650</v>
      </c>
      <c r="G108" s="295" t="str">
        <f>VLOOKUP(F108,'GL Category'!A:C,3,FALSE)</f>
        <v>Personnel services</v>
      </c>
      <c r="H108" s="98" t="str">
        <f>VLOOKUP(F108,'GL Category'!A:C,2,FALSE)</f>
        <v>RETIREMENT</v>
      </c>
      <c r="I108" s="99">
        <f>SUMIF(Import!$B:$B,'Other Fund Line-Item Details'!$A108,Import!D:D)</f>
        <v>6767.95</v>
      </c>
      <c r="J108" s="99">
        <f>SUMIF(Import!$B:$B,'Other Fund Line-Item Details'!$A108,Import!E:E)</f>
        <v>8819.14</v>
      </c>
      <c r="K108" s="99">
        <f>SUMIF(Import!$B:$B,'Other Fund Line-Item Details'!$A108,Import!F:F)</f>
        <v>10507.32</v>
      </c>
      <c r="L108" s="99">
        <f>SUMIF(Import!$B:$B,'Other Fund Line-Item Details'!$A108,Import!G:G)</f>
        <v>0</v>
      </c>
      <c r="M108" s="99">
        <f>SUMIF(Import!$B:$B,'Other Fund Line-Item Details'!$A108,Import!H:H)</f>
        <v>0</v>
      </c>
      <c r="N108" s="99">
        <f>SUMIF(Import!$B:$B,'Other Fund Line-Item Details'!$A108,Import!I:I)</f>
        <v>0</v>
      </c>
      <c r="O108" s="99">
        <f>SUMIF(Import!$B:$B,'Other Fund Line-Item Details'!$A108,Import!J:J)</f>
        <v>0</v>
      </c>
      <c r="P108" s="99">
        <f t="shared" si="119"/>
        <v>0</v>
      </c>
      <c r="Q108" s="99">
        <f>SUMIF(Import!$B:$B,'Other Fund Line-Item Details'!$A108,Import!K:K)</f>
        <v>0</v>
      </c>
      <c r="R108" s="99">
        <f>SUMIF(Import!$B:$B,'Other Fund Line-Item Details'!$A108,Import!L:L)</f>
        <v>0</v>
      </c>
      <c r="S108" s="99">
        <f>SUMIF(Import!$B:$B,'Other Fund Line-Item Details'!$A108,Import!M:M)</f>
        <v>0</v>
      </c>
      <c r="T108" s="99">
        <f>SUMIF(Import!$B:$B,'Other Fund Line-Item Details'!$A108,Import!N:N)</f>
        <v>0</v>
      </c>
      <c r="U108" s="99">
        <f t="shared" si="120"/>
        <v>0</v>
      </c>
      <c r="V108" s="255" t="str">
        <f t="shared" si="121"/>
        <v>N/A</v>
      </c>
      <c r="W108" s="102" t="s">
        <v>1808</v>
      </c>
      <c r="X108" s="97"/>
      <c r="Y108" s="97"/>
      <c r="Z108" s="97"/>
      <c r="AA108" s="97"/>
      <c r="AB108" s="97"/>
      <c r="AC108" s="97"/>
      <c r="AD108" s="97"/>
      <c r="AE108" s="97"/>
      <c r="AF108" s="97"/>
      <c r="AG108" s="97"/>
      <c r="AH108" s="97"/>
      <c r="AI108" s="97"/>
      <c r="AJ108" s="97"/>
      <c r="AK108" s="97"/>
      <c r="AL108" s="97"/>
      <c r="AM108" s="97"/>
      <c r="AN108" s="97"/>
      <c r="AO108" s="97"/>
      <c r="AP108" s="97"/>
      <c r="AQ108" s="97"/>
      <c r="AR108" s="97"/>
    </row>
    <row r="109" spans="1:44" s="115" customFormat="1" ht="15" customHeight="1">
      <c r="A109" s="555" t="s">
        <v>1809</v>
      </c>
      <c r="B109" s="217" t="str">
        <f t="shared" si="88"/>
        <v>115</v>
      </c>
      <c r="C109" s="217" t="str">
        <f t="shared" si="89"/>
        <v>30</v>
      </c>
      <c r="D109" s="101" t="str">
        <f t="shared" si="90"/>
        <v>301</v>
      </c>
      <c r="E109" s="217" t="str">
        <f t="shared" si="91"/>
        <v>115-30-301</v>
      </c>
      <c r="F109" s="294" t="str">
        <f t="shared" si="92"/>
        <v>53515</v>
      </c>
      <c r="G109" s="295" t="str">
        <f>VLOOKUP(F109,'GL Category'!A:C,3,FALSE)</f>
        <v>Services &amp; other</v>
      </c>
      <c r="H109" s="98" t="str">
        <f>VLOOKUP(F109,'GL Category'!A:C,2,FALSE)</f>
        <v>TRAVEL, TRAINING &amp; EDUCATION</v>
      </c>
      <c r="I109" s="99">
        <f>SUMIF(Import!$B:$B,'Other Fund Line-Item Details'!$A109,Import!D:D)</f>
        <v>3000</v>
      </c>
      <c r="J109" s="99">
        <f>SUMIF(Import!$B:$B,'Other Fund Line-Item Details'!$A109,Import!E:E)</f>
        <v>4885</v>
      </c>
      <c r="K109" s="99">
        <f>SUMIF(Import!$B:$B,'Other Fund Line-Item Details'!$A109,Import!F:F)</f>
        <v>29594.2</v>
      </c>
      <c r="L109" s="99">
        <f>SUMIF(Import!$B:$B,'Other Fund Line-Item Details'!$A109,Import!G:G)</f>
        <v>13435</v>
      </c>
      <c r="M109" s="99">
        <f>SUMIF(Import!$B:$B,'Other Fund Line-Item Details'!$A109,Import!H:H)</f>
        <v>0</v>
      </c>
      <c r="N109" s="99">
        <f>SUMIF(Import!$B:$B,'Other Fund Line-Item Details'!$A109,Import!I:I)</f>
        <v>9440</v>
      </c>
      <c r="O109" s="99">
        <f>SUMIF(Import!$B:$B,'Other Fund Line-Item Details'!$A109,Import!J:J)</f>
        <v>0</v>
      </c>
      <c r="P109" s="99">
        <f t="shared" si="119"/>
        <v>0</v>
      </c>
      <c r="Q109" s="99">
        <f>SUMIF(Import!$B:$B,'Other Fund Line-Item Details'!$A109,Import!K:K)</f>
        <v>0</v>
      </c>
      <c r="R109" s="99">
        <f>SUMIF(Import!$B:$B,'Other Fund Line-Item Details'!$A109,Import!L:L)</f>
        <v>0</v>
      </c>
      <c r="S109" s="99">
        <f>SUMIF(Import!$B:$B,'Other Fund Line-Item Details'!$A109,Import!M:M)</f>
        <v>0</v>
      </c>
      <c r="T109" s="99">
        <f>SUMIF(Import!$B:$B,'Other Fund Line-Item Details'!$A109,Import!N:N)</f>
        <v>0</v>
      </c>
      <c r="U109" s="99">
        <f t="shared" si="120"/>
        <v>0</v>
      </c>
      <c r="V109" s="255" t="str">
        <f t="shared" si="121"/>
        <v>N/A</v>
      </c>
      <c r="W109" s="102" t="s">
        <v>1809</v>
      </c>
      <c r="X109" s="97"/>
      <c r="Y109" s="97"/>
      <c r="Z109" s="97"/>
      <c r="AA109" s="97"/>
      <c r="AB109" s="97"/>
      <c r="AC109" s="97"/>
      <c r="AD109" s="97"/>
      <c r="AE109" s="97"/>
      <c r="AF109" s="97"/>
      <c r="AG109" s="97"/>
      <c r="AH109" s="97"/>
      <c r="AI109" s="97"/>
      <c r="AJ109" s="97"/>
      <c r="AK109" s="97"/>
      <c r="AL109" s="97"/>
      <c r="AM109" s="97"/>
      <c r="AN109" s="97"/>
      <c r="AO109" s="97"/>
      <c r="AP109" s="97"/>
      <c r="AQ109" s="97"/>
      <c r="AR109" s="97"/>
    </row>
    <row r="110" spans="1:44" s="115" customFormat="1" ht="15" customHeight="1">
      <c r="A110" s="555" t="s">
        <v>3341</v>
      </c>
      <c r="B110" s="217" t="str">
        <f t="shared" si="88"/>
        <v>115</v>
      </c>
      <c r="C110" s="217" t="str">
        <f t="shared" si="89"/>
        <v>30</v>
      </c>
      <c r="D110" s="101" t="str">
        <f t="shared" si="90"/>
        <v>302</v>
      </c>
      <c r="E110" s="217" t="str">
        <f t="shared" si="91"/>
        <v>115-30-302</v>
      </c>
      <c r="F110" s="294" t="str">
        <f t="shared" si="92"/>
        <v>51245</v>
      </c>
      <c r="G110" s="295" t="str">
        <f>VLOOKUP(F110,'GL Category'!A:C,3,FALSE)</f>
        <v>Operations &amp; maintenance</v>
      </c>
      <c r="H110" s="98" t="str">
        <f>VLOOKUP(F110,'GL Category'!A:C,2,FALSE)</f>
        <v>SMALL TOOLS &amp; EQUIPMENT</v>
      </c>
      <c r="I110" s="99">
        <f>SUMIF(Import!$B:$B,'Other Fund Line-Item Details'!$A110,Import!D:D)</f>
        <v>0</v>
      </c>
      <c r="J110" s="99">
        <f>SUMIF(Import!$B:$B,'Other Fund Line-Item Details'!$A110,Import!E:E)</f>
        <v>2137.34</v>
      </c>
      <c r="K110" s="99">
        <f>SUMIF(Import!$B:$B,'Other Fund Line-Item Details'!$A110,Import!F:F)</f>
        <v>0</v>
      </c>
      <c r="L110" s="99">
        <f>SUMIF(Import!$B:$B,'Other Fund Line-Item Details'!$A110,Import!G:G)</f>
        <v>0</v>
      </c>
      <c r="M110" s="99">
        <f>SUMIF(Import!$B:$B,'Other Fund Line-Item Details'!$A110,Import!H:H)</f>
        <v>0</v>
      </c>
      <c r="N110" s="99">
        <f>SUMIF(Import!$B:$B,'Other Fund Line-Item Details'!$A110,Import!I:I)</f>
        <v>0</v>
      </c>
      <c r="O110" s="99">
        <f>SUMIF(Import!$B:$B,'Other Fund Line-Item Details'!$A110,Import!J:J)</f>
        <v>0</v>
      </c>
      <c r="P110" s="99">
        <f t="shared" si="119"/>
        <v>0</v>
      </c>
      <c r="Q110" s="99">
        <f>SUMIF(Import!$B:$B,'Other Fund Line-Item Details'!$A110,Import!K:K)</f>
        <v>0</v>
      </c>
      <c r="R110" s="99">
        <f>SUMIF(Import!$B:$B,'Other Fund Line-Item Details'!$A110,Import!L:L)</f>
        <v>0</v>
      </c>
      <c r="S110" s="99">
        <f>SUMIF(Import!$B:$B,'Other Fund Line-Item Details'!$A110,Import!M:M)</f>
        <v>0</v>
      </c>
      <c r="T110" s="99">
        <f>SUMIF(Import!$B:$B,'Other Fund Line-Item Details'!$A110,Import!N:N)</f>
        <v>0</v>
      </c>
      <c r="U110" s="99">
        <f t="shared" si="120"/>
        <v>0</v>
      </c>
      <c r="V110" s="255" t="str">
        <f t="shared" si="121"/>
        <v>N/A</v>
      </c>
      <c r="W110" s="102" t="s">
        <v>1810</v>
      </c>
      <c r="X110" s="97"/>
      <c r="Y110" s="97"/>
      <c r="Z110" s="97"/>
      <c r="AA110" s="97"/>
      <c r="AB110" s="97"/>
      <c r="AC110" s="97"/>
      <c r="AD110" s="97"/>
      <c r="AE110" s="97"/>
      <c r="AF110" s="97"/>
      <c r="AG110" s="97"/>
      <c r="AH110" s="97"/>
      <c r="AI110" s="97"/>
      <c r="AJ110" s="97"/>
      <c r="AK110" s="97"/>
      <c r="AL110" s="97"/>
      <c r="AM110" s="97"/>
      <c r="AN110" s="97"/>
      <c r="AO110" s="97"/>
      <c r="AP110" s="97"/>
      <c r="AQ110" s="97"/>
      <c r="AR110" s="97"/>
    </row>
    <row r="111" spans="1:44" s="115" customFormat="1" ht="15" customHeight="1">
      <c r="A111" s="555" t="s">
        <v>1811</v>
      </c>
      <c r="B111" s="217" t="str">
        <f t="shared" si="88"/>
        <v>115</v>
      </c>
      <c r="C111" s="217" t="str">
        <f t="shared" si="89"/>
        <v>30</v>
      </c>
      <c r="D111" s="101" t="str">
        <f t="shared" si="90"/>
        <v>302</v>
      </c>
      <c r="E111" s="217" t="str">
        <f t="shared" si="91"/>
        <v>115-30-302</v>
      </c>
      <c r="F111" s="294" t="str">
        <f t="shared" si="92"/>
        <v>51299</v>
      </c>
      <c r="G111" s="295" t="str">
        <f>VLOOKUP(F111,'GL Category'!A:C,3,FALSE)</f>
        <v>Operations &amp; maintenance</v>
      </c>
      <c r="H111" s="98" t="str">
        <f>VLOOKUP(F111,'GL Category'!A:C,2,FALSE)</f>
        <v>MISCELLANEOUS SUPPLIES</v>
      </c>
      <c r="I111" s="99">
        <f>SUMIF(Import!$B:$B,'Other Fund Line-Item Details'!$A111,Import!D:D)</f>
        <v>5688.89</v>
      </c>
      <c r="J111" s="99">
        <f>SUMIF(Import!$B:$B,'Other Fund Line-Item Details'!$A111,Import!E:E)</f>
        <v>7738.11</v>
      </c>
      <c r="K111" s="99">
        <f>SUMIF(Import!$B:$B,'Other Fund Line-Item Details'!$A111,Import!F:F)</f>
        <v>1682.91</v>
      </c>
      <c r="L111" s="99">
        <f>SUMIF(Import!$B:$B,'Other Fund Line-Item Details'!$A111,Import!G:G)</f>
        <v>6056.53</v>
      </c>
      <c r="M111" s="99">
        <f>SUMIF(Import!$B:$B,'Other Fund Line-Item Details'!$A111,Import!H:H)</f>
        <v>0</v>
      </c>
      <c r="N111" s="99">
        <f>SUMIF(Import!$B:$B,'Other Fund Line-Item Details'!$A111,Import!I:I)</f>
        <v>1869.65</v>
      </c>
      <c r="O111" s="99">
        <f>SUMIF(Import!$B:$B,'Other Fund Line-Item Details'!$A111,Import!J:J)</f>
        <v>0</v>
      </c>
      <c r="P111" s="99">
        <f t="shared" si="119"/>
        <v>0</v>
      </c>
      <c r="Q111" s="99">
        <f>SUMIF(Import!$B:$B,'Other Fund Line-Item Details'!$A111,Import!K:K)</f>
        <v>0</v>
      </c>
      <c r="R111" s="99">
        <f>SUMIF(Import!$B:$B,'Other Fund Line-Item Details'!$A111,Import!L:L)</f>
        <v>0</v>
      </c>
      <c r="S111" s="99">
        <f>SUMIF(Import!$B:$B,'Other Fund Line-Item Details'!$A111,Import!M:M)</f>
        <v>0</v>
      </c>
      <c r="T111" s="99">
        <f>SUMIF(Import!$B:$B,'Other Fund Line-Item Details'!$A111,Import!N:N)</f>
        <v>0</v>
      </c>
      <c r="U111" s="99">
        <f t="shared" si="120"/>
        <v>0</v>
      </c>
      <c r="V111" s="255" t="str">
        <f t="shared" si="121"/>
        <v>N/A</v>
      </c>
      <c r="W111" s="102" t="s">
        <v>1811</v>
      </c>
      <c r="X111" s="97"/>
      <c r="Y111" s="97"/>
      <c r="Z111" s="97"/>
      <c r="AA111" s="97"/>
      <c r="AB111" s="97"/>
      <c r="AC111" s="97"/>
      <c r="AD111" s="97"/>
      <c r="AE111" s="97"/>
      <c r="AF111" s="97"/>
      <c r="AG111" s="97"/>
      <c r="AH111" s="97"/>
      <c r="AI111" s="97"/>
      <c r="AJ111" s="97"/>
      <c r="AK111" s="97"/>
      <c r="AL111" s="97"/>
      <c r="AM111" s="97"/>
      <c r="AN111" s="97"/>
      <c r="AO111" s="97"/>
      <c r="AP111" s="97"/>
      <c r="AQ111" s="97"/>
      <c r="AR111" s="97"/>
    </row>
    <row r="112" spans="1:44" s="115" customFormat="1" ht="15" customHeight="1">
      <c r="A112" s="555" t="s">
        <v>1812</v>
      </c>
      <c r="B112" s="217" t="str">
        <f t="shared" si="88"/>
        <v>115</v>
      </c>
      <c r="C112" s="217" t="str">
        <f t="shared" si="89"/>
        <v>30</v>
      </c>
      <c r="D112" s="101" t="str">
        <f t="shared" si="90"/>
        <v>302</v>
      </c>
      <c r="E112" s="217" t="str">
        <f t="shared" si="91"/>
        <v>115-30-302</v>
      </c>
      <c r="F112" s="294" t="str">
        <f t="shared" si="92"/>
        <v>53595</v>
      </c>
      <c r="G112" s="295" t="str">
        <f>VLOOKUP(F112,'GL Category'!A:C,3,FALSE)</f>
        <v>Services &amp; other</v>
      </c>
      <c r="H112" s="98" t="str">
        <f>VLOOKUP(F112,'GL Category'!A:C,2,FALSE)</f>
        <v>MISC PROPERTY/DRUG EXPENSE</v>
      </c>
      <c r="I112" s="99">
        <f>SUMIF(Import!$B:$B,'Other Fund Line-Item Details'!$A112,Import!D:D)</f>
        <v>14391.56</v>
      </c>
      <c r="J112" s="99">
        <f>SUMIF(Import!$B:$B,'Other Fund Line-Item Details'!$A112,Import!E:E)</f>
        <v>16983.68</v>
      </c>
      <c r="K112" s="99">
        <f>SUMIF(Import!$B:$B,'Other Fund Line-Item Details'!$A112,Import!F:F)</f>
        <v>486</v>
      </c>
      <c r="L112" s="99">
        <f>SUMIF(Import!$B:$B,'Other Fund Line-Item Details'!$A112,Import!G:G)</f>
        <v>0</v>
      </c>
      <c r="M112" s="99">
        <f>SUMIF(Import!$B:$B,'Other Fund Line-Item Details'!$A112,Import!H:H)</f>
        <v>0</v>
      </c>
      <c r="N112" s="99">
        <f>SUMIF(Import!$B:$B,'Other Fund Line-Item Details'!$A112,Import!I:I)</f>
        <v>0</v>
      </c>
      <c r="O112" s="99">
        <f>SUMIF(Import!$B:$B,'Other Fund Line-Item Details'!$A112,Import!J:J)</f>
        <v>0</v>
      </c>
      <c r="P112" s="99">
        <f t="shared" si="119"/>
        <v>0</v>
      </c>
      <c r="Q112" s="99">
        <f>SUMIF(Import!$B:$B,'Other Fund Line-Item Details'!$A112,Import!K:K)</f>
        <v>0</v>
      </c>
      <c r="R112" s="99">
        <f>SUMIF(Import!$B:$B,'Other Fund Line-Item Details'!$A112,Import!L:L)</f>
        <v>0</v>
      </c>
      <c r="S112" s="99">
        <f>SUMIF(Import!$B:$B,'Other Fund Line-Item Details'!$A112,Import!M:M)</f>
        <v>0</v>
      </c>
      <c r="T112" s="99">
        <f>SUMIF(Import!$B:$B,'Other Fund Line-Item Details'!$A112,Import!N:N)</f>
        <v>0</v>
      </c>
      <c r="U112" s="99">
        <f t="shared" si="120"/>
        <v>0</v>
      </c>
      <c r="V112" s="255" t="str">
        <f t="shared" si="121"/>
        <v>N/A</v>
      </c>
      <c r="W112" s="102" t="s">
        <v>1812</v>
      </c>
      <c r="X112" s="97"/>
      <c r="Y112" s="97"/>
      <c r="Z112" s="97"/>
      <c r="AA112" s="97"/>
      <c r="AB112" s="97"/>
      <c r="AC112" s="97"/>
      <c r="AD112" s="97"/>
      <c r="AE112" s="97"/>
      <c r="AF112" s="97"/>
      <c r="AG112" s="97"/>
      <c r="AH112" s="97"/>
      <c r="AI112" s="97"/>
      <c r="AJ112" s="97"/>
      <c r="AK112" s="97"/>
      <c r="AL112" s="97"/>
      <c r="AM112" s="97"/>
      <c r="AN112" s="97"/>
      <c r="AO112" s="97"/>
      <c r="AP112" s="97"/>
      <c r="AQ112" s="97"/>
      <c r="AR112" s="97"/>
    </row>
    <row r="113" spans="1:44" s="115" customFormat="1" ht="15" customHeight="1">
      <c r="A113" s="555" t="s">
        <v>1813</v>
      </c>
      <c r="B113" s="217" t="str">
        <f t="shared" si="88"/>
        <v>115</v>
      </c>
      <c r="C113" s="217" t="str">
        <f t="shared" si="89"/>
        <v>30</v>
      </c>
      <c r="D113" s="101" t="str">
        <f t="shared" si="90"/>
        <v>302</v>
      </c>
      <c r="E113" s="217" t="str">
        <f t="shared" si="91"/>
        <v>115-30-302</v>
      </c>
      <c r="F113" s="294" t="str">
        <f t="shared" si="92"/>
        <v>53515</v>
      </c>
      <c r="G113" s="295" t="str">
        <f>VLOOKUP(F113,'GL Category'!A:C,3,FALSE)</f>
        <v>Services &amp; other</v>
      </c>
      <c r="H113" s="98" t="str">
        <f>VLOOKUP(F113,'GL Category'!A:C,2,FALSE)</f>
        <v>TRAVEL, TRAINING &amp; EDUCATION</v>
      </c>
      <c r="I113" s="99">
        <f>SUMIF(Import!$B:$B,'Other Fund Line-Item Details'!$A113,Import!D:D)</f>
        <v>0</v>
      </c>
      <c r="J113" s="99">
        <f>SUMIF(Import!$B:$B,'Other Fund Line-Item Details'!$A113,Import!E:E)</f>
        <v>0</v>
      </c>
      <c r="K113" s="99">
        <f>SUMIF(Import!$B:$B,'Other Fund Line-Item Details'!$A113,Import!F:F)</f>
        <v>0</v>
      </c>
      <c r="L113" s="99">
        <f>SUMIF(Import!$B:$B,'Other Fund Line-Item Details'!$A113,Import!G:G)</f>
        <v>0</v>
      </c>
      <c r="M113" s="99">
        <f>SUMIF(Import!$B:$B,'Other Fund Line-Item Details'!$A113,Import!H:H)</f>
        <v>0</v>
      </c>
      <c r="N113" s="99">
        <f>SUMIF(Import!$B:$B,'Other Fund Line-Item Details'!$A113,Import!I:I)</f>
        <v>0</v>
      </c>
      <c r="O113" s="99">
        <f>SUMIF(Import!$B:$B,'Other Fund Line-Item Details'!$A113,Import!J:J)</f>
        <v>0</v>
      </c>
      <c r="P113" s="99">
        <f t="shared" si="119"/>
        <v>0</v>
      </c>
      <c r="Q113" s="99">
        <f>SUMIF(Import!$B:$B,'Other Fund Line-Item Details'!$A113,Import!K:K)</f>
        <v>0</v>
      </c>
      <c r="R113" s="99">
        <f>SUMIF(Import!$B:$B,'Other Fund Line-Item Details'!$A113,Import!L:L)</f>
        <v>0</v>
      </c>
      <c r="S113" s="99">
        <f>SUMIF(Import!$B:$B,'Other Fund Line-Item Details'!$A113,Import!M:M)</f>
        <v>0</v>
      </c>
      <c r="T113" s="99">
        <f>SUMIF(Import!$B:$B,'Other Fund Line-Item Details'!$A113,Import!N:N)</f>
        <v>0</v>
      </c>
      <c r="U113" s="99">
        <f t="shared" si="120"/>
        <v>0</v>
      </c>
      <c r="V113" s="255" t="str">
        <f t="shared" si="121"/>
        <v>N/A</v>
      </c>
      <c r="W113" s="102" t="s">
        <v>1813</v>
      </c>
      <c r="X113" s="97"/>
      <c r="Y113" s="97"/>
      <c r="Z113" s="97"/>
      <c r="AA113" s="97"/>
      <c r="AB113" s="97"/>
      <c r="AC113" s="97"/>
      <c r="AD113" s="97"/>
      <c r="AE113" s="97"/>
      <c r="AF113" s="97"/>
      <c r="AG113" s="97"/>
      <c r="AH113" s="97"/>
      <c r="AI113" s="97"/>
      <c r="AJ113" s="97"/>
      <c r="AK113" s="97"/>
      <c r="AL113" s="97"/>
      <c r="AM113" s="97"/>
      <c r="AN113" s="97"/>
      <c r="AO113" s="97"/>
      <c r="AP113" s="97"/>
      <c r="AQ113" s="97"/>
      <c r="AR113" s="97"/>
    </row>
    <row r="114" spans="1:44" s="115" customFormat="1" ht="15" customHeight="1">
      <c r="A114" s="555" t="s">
        <v>1814</v>
      </c>
      <c r="B114" s="217" t="str">
        <f t="shared" si="88"/>
        <v>115</v>
      </c>
      <c r="C114" s="217" t="str">
        <f t="shared" si="89"/>
        <v>30</v>
      </c>
      <c r="D114" s="101" t="str">
        <f t="shared" si="90"/>
        <v>302</v>
      </c>
      <c r="E114" s="217" t="str">
        <f t="shared" si="91"/>
        <v>115-30-302</v>
      </c>
      <c r="F114" s="294" t="str">
        <f t="shared" si="92"/>
        <v>53599</v>
      </c>
      <c r="G114" s="295" t="str">
        <f>VLOOKUP(F114,'GL Category'!A:C,3,FALSE)</f>
        <v>Services &amp; other</v>
      </c>
      <c r="H114" s="98" t="str">
        <f>VLOOKUP(F114,'GL Category'!A:C,2,FALSE)</f>
        <v>MISCELLANEOUS SERVICES</v>
      </c>
      <c r="I114" s="99">
        <f>SUMIF(Import!$B:$B,'Other Fund Line-Item Details'!$A114,Import!D:D)</f>
        <v>0</v>
      </c>
      <c r="J114" s="99">
        <f>SUMIF(Import!$B:$B,'Other Fund Line-Item Details'!$A114,Import!E:E)</f>
        <v>0</v>
      </c>
      <c r="K114" s="99">
        <f>SUMIF(Import!$B:$B,'Other Fund Line-Item Details'!$A114,Import!F:F)</f>
        <v>0</v>
      </c>
      <c r="L114" s="99">
        <f>SUMIF(Import!$B:$B,'Other Fund Line-Item Details'!$A114,Import!G:G)</f>
        <v>0</v>
      </c>
      <c r="M114" s="99">
        <f>SUMIF(Import!$B:$B,'Other Fund Line-Item Details'!$A114,Import!H:H)</f>
        <v>0</v>
      </c>
      <c r="N114" s="99">
        <f>SUMIF(Import!$B:$B,'Other Fund Line-Item Details'!$A114,Import!I:I)</f>
        <v>0</v>
      </c>
      <c r="O114" s="99">
        <f>SUMIF(Import!$B:$B,'Other Fund Line-Item Details'!$A114,Import!J:J)</f>
        <v>0</v>
      </c>
      <c r="P114" s="99">
        <f t="shared" si="119"/>
        <v>0</v>
      </c>
      <c r="Q114" s="99">
        <f>SUMIF(Import!$B:$B,'Other Fund Line-Item Details'!$A114,Import!K:K)</f>
        <v>0</v>
      </c>
      <c r="R114" s="99">
        <f>SUMIF(Import!$B:$B,'Other Fund Line-Item Details'!$A114,Import!L:L)</f>
        <v>0</v>
      </c>
      <c r="S114" s="99">
        <f>SUMIF(Import!$B:$B,'Other Fund Line-Item Details'!$A114,Import!M:M)</f>
        <v>0</v>
      </c>
      <c r="T114" s="99">
        <f>SUMIF(Import!$B:$B,'Other Fund Line-Item Details'!$A114,Import!N:N)</f>
        <v>0</v>
      </c>
      <c r="U114" s="99">
        <f t="shared" si="120"/>
        <v>0</v>
      </c>
      <c r="V114" s="255" t="str">
        <f t="shared" si="121"/>
        <v>N/A</v>
      </c>
      <c r="W114" s="102" t="s">
        <v>1814</v>
      </c>
      <c r="X114" s="97"/>
      <c r="Y114" s="97"/>
      <c r="Z114" s="97"/>
      <c r="AA114" s="97"/>
      <c r="AB114" s="97"/>
      <c r="AC114" s="97"/>
      <c r="AD114" s="97"/>
      <c r="AE114" s="97"/>
      <c r="AF114" s="97"/>
      <c r="AG114" s="97"/>
      <c r="AH114" s="97"/>
      <c r="AI114" s="97"/>
      <c r="AJ114" s="97"/>
      <c r="AK114" s="97"/>
      <c r="AL114" s="97"/>
      <c r="AM114" s="97"/>
      <c r="AN114" s="97"/>
      <c r="AO114" s="97"/>
      <c r="AP114" s="97"/>
      <c r="AQ114" s="97"/>
      <c r="AR114" s="97"/>
    </row>
    <row r="115" spans="1:44" s="115" customFormat="1" ht="15" customHeight="1">
      <c r="A115" s="555" t="s">
        <v>3342</v>
      </c>
      <c r="B115" s="217" t="str">
        <f t="shared" ref="B115" si="130">LEFT(A115,3)</f>
        <v>115</v>
      </c>
      <c r="C115" s="217" t="str">
        <f t="shared" ref="C115" si="131">MID(A115,5,2)</f>
        <v>30</v>
      </c>
      <c r="D115" s="101" t="str">
        <f t="shared" ref="D115" si="132">MID(A115,8,3)</f>
        <v>302</v>
      </c>
      <c r="E115" s="217" t="str">
        <f t="shared" ref="E115" si="133">LEFT(A115,10)</f>
        <v>115-30-302</v>
      </c>
      <c r="F115" s="294" t="str">
        <f t="shared" ref="F115" si="134">RIGHT(A115,5)</f>
        <v>54551</v>
      </c>
      <c r="G115" s="295" t="str">
        <f>VLOOKUP(F115,'GL Category'!A:C,3,FALSE)</f>
        <v>Services &amp; other</v>
      </c>
      <c r="H115" s="98" t="str">
        <f>VLOOKUP(F115,'GL Category'!A:C,2,FALSE)</f>
        <v>REC SPECIAL EVENT EXPENSE</v>
      </c>
      <c r="I115" s="99">
        <f>SUMIF(Import!$B:$B,'Other Fund Line-Item Details'!$A115,Import!D:D)</f>
        <v>0</v>
      </c>
      <c r="J115" s="99">
        <f>SUMIF(Import!$B:$B,'Other Fund Line-Item Details'!$A115,Import!E:E)</f>
        <v>0</v>
      </c>
      <c r="K115" s="99">
        <f>SUMIF(Import!$B:$B,'Other Fund Line-Item Details'!$A115,Import!F:F)</f>
        <v>1696.95</v>
      </c>
      <c r="L115" s="99">
        <f>SUMIF(Import!$B:$B,'Other Fund Line-Item Details'!$A115,Import!G:G)</f>
        <v>0</v>
      </c>
      <c r="M115" s="99">
        <f>SUMIF(Import!$B:$B,'Other Fund Line-Item Details'!$A115,Import!H:H)</f>
        <v>0</v>
      </c>
      <c r="N115" s="99">
        <f>SUMIF(Import!$B:$B,'Other Fund Line-Item Details'!$A115,Import!I:I)</f>
        <v>0</v>
      </c>
      <c r="O115" s="99">
        <f>SUMIF(Import!$B:$B,'Other Fund Line-Item Details'!$A115,Import!J:J)</f>
        <v>0</v>
      </c>
      <c r="P115" s="99">
        <f t="shared" ref="P115" si="135">O115-M115</f>
        <v>0</v>
      </c>
      <c r="Q115" s="99">
        <f>SUMIF(Import!$B:$B,'Other Fund Line-Item Details'!$A115,Import!K:K)</f>
        <v>0</v>
      </c>
      <c r="R115" s="99">
        <f>SUMIF(Import!$B:$B,'Other Fund Line-Item Details'!$A115,Import!L:L)</f>
        <v>0</v>
      </c>
      <c r="S115" s="99">
        <f>SUMIF(Import!$B:$B,'Other Fund Line-Item Details'!$A115,Import!M:M)</f>
        <v>0</v>
      </c>
      <c r="T115" s="99">
        <f>SUMIF(Import!$B:$B,'Other Fund Line-Item Details'!$A115,Import!N:N)</f>
        <v>0</v>
      </c>
      <c r="U115" s="99">
        <f t="shared" ref="U115" si="136">T115-M115</f>
        <v>0</v>
      </c>
      <c r="V115" s="255" t="str">
        <f t="shared" ref="V115" si="137">IF(M115=0,"N/A",T115/M115-1)</f>
        <v>N/A</v>
      </c>
      <c r="W115" s="102" t="s">
        <v>1815</v>
      </c>
      <c r="X115" s="97"/>
      <c r="Y115" s="97"/>
      <c r="Z115" s="97"/>
      <c r="AA115" s="97"/>
      <c r="AB115" s="97"/>
      <c r="AC115" s="97"/>
      <c r="AD115" s="97"/>
      <c r="AE115" s="97"/>
      <c r="AF115" s="97"/>
      <c r="AG115" s="97"/>
      <c r="AH115" s="97"/>
      <c r="AI115" s="97"/>
      <c r="AJ115" s="97"/>
      <c r="AK115" s="97"/>
      <c r="AL115" s="97"/>
      <c r="AM115" s="97"/>
      <c r="AN115" s="97"/>
      <c r="AO115" s="97"/>
      <c r="AP115" s="97"/>
      <c r="AQ115" s="97"/>
      <c r="AR115" s="97"/>
    </row>
    <row r="116" spans="1:44" s="115" customFormat="1" ht="15" customHeight="1">
      <c r="A116" s="555" t="s">
        <v>1815</v>
      </c>
      <c r="B116" s="217" t="str">
        <f t="shared" si="88"/>
        <v>115</v>
      </c>
      <c r="C116" s="217" t="str">
        <f t="shared" si="89"/>
        <v>30</v>
      </c>
      <c r="D116" s="101" t="str">
        <f t="shared" si="90"/>
        <v>303</v>
      </c>
      <c r="E116" s="217" t="str">
        <f t="shared" si="91"/>
        <v>115-30-303</v>
      </c>
      <c r="F116" s="294" t="str">
        <f t="shared" si="92"/>
        <v>53599</v>
      </c>
      <c r="G116" s="295" t="str">
        <f>VLOOKUP(F116,'GL Category'!A:C,3,FALSE)</f>
        <v>Services &amp; other</v>
      </c>
      <c r="H116" s="98" t="str">
        <f>VLOOKUP(F116,'GL Category'!A:C,2,FALSE)</f>
        <v>MISCELLANEOUS SERVICES</v>
      </c>
      <c r="I116" s="99">
        <f>SUMIF(Import!$B:$B,'Other Fund Line-Item Details'!$A116,Import!D:D)</f>
        <v>0</v>
      </c>
      <c r="J116" s="99">
        <f>SUMIF(Import!$B:$B,'Other Fund Line-Item Details'!$A116,Import!E:E)</f>
        <v>0</v>
      </c>
      <c r="K116" s="99">
        <f>SUMIF(Import!$B:$B,'Other Fund Line-Item Details'!$A116,Import!F:F)</f>
        <v>0</v>
      </c>
      <c r="L116" s="99">
        <f>SUMIF(Import!$B:$B,'Other Fund Line-Item Details'!$A116,Import!G:G)</f>
        <v>0</v>
      </c>
      <c r="M116" s="99">
        <f>SUMIF(Import!$B:$B,'Other Fund Line-Item Details'!$A116,Import!H:H)</f>
        <v>0</v>
      </c>
      <c r="N116" s="99">
        <f>SUMIF(Import!$B:$B,'Other Fund Line-Item Details'!$A116,Import!I:I)</f>
        <v>0</v>
      </c>
      <c r="O116" s="99">
        <f>SUMIF(Import!$B:$B,'Other Fund Line-Item Details'!$A116,Import!J:J)</f>
        <v>0</v>
      </c>
      <c r="P116" s="99">
        <f t="shared" si="119"/>
        <v>0</v>
      </c>
      <c r="Q116" s="99">
        <f>SUMIF(Import!$B:$B,'Other Fund Line-Item Details'!$A116,Import!K:K)</f>
        <v>0</v>
      </c>
      <c r="R116" s="99">
        <f>SUMIF(Import!$B:$B,'Other Fund Line-Item Details'!$A116,Import!L:L)</f>
        <v>0</v>
      </c>
      <c r="S116" s="99">
        <f>SUMIF(Import!$B:$B,'Other Fund Line-Item Details'!$A116,Import!M:M)</f>
        <v>0</v>
      </c>
      <c r="T116" s="99">
        <f>SUMIF(Import!$B:$B,'Other Fund Line-Item Details'!$A116,Import!N:N)</f>
        <v>0</v>
      </c>
      <c r="U116" s="99">
        <f t="shared" si="120"/>
        <v>0</v>
      </c>
      <c r="V116" s="255" t="str">
        <f t="shared" si="121"/>
        <v>N/A</v>
      </c>
      <c r="W116" s="102" t="s">
        <v>1815</v>
      </c>
      <c r="X116" s="97"/>
      <c r="Y116" s="97"/>
      <c r="Z116" s="97"/>
      <c r="AA116" s="97"/>
      <c r="AB116" s="97"/>
      <c r="AC116" s="97"/>
      <c r="AD116" s="97"/>
      <c r="AE116" s="97"/>
      <c r="AF116" s="97"/>
      <c r="AG116" s="97"/>
      <c r="AH116" s="97"/>
      <c r="AI116" s="97"/>
      <c r="AJ116" s="97"/>
      <c r="AK116" s="97"/>
      <c r="AL116" s="97"/>
      <c r="AM116" s="97"/>
      <c r="AN116" s="97"/>
      <c r="AO116" s="97"/>
      <c r="AP116" s="97"/>
      <c r="AQ116" s="97"/>
      <c r="AR116" s="97"/>
    </row>
    <row r="117" spans="1:44" s="115" customFormat="1" ht="15" customHeight="1">
      <c r="A117" s="555" t="s">
        <v>1816</v>
      </c>
      <c r="B117" s="217" t="str">
        <f t="shared" si="88"/>
        <v>115</v>
      </c>
      <c r="C117" s="217" t="str">
        <f t="shared" si="89"/>
        <v>30</v>
      </c>
      <c r="D117" s="101" t="str">
        <f t="shared" si="90"/>
        <v>304</v>
      </c>
      <c r="E117" s="217" t="str">
        <f t="shared" si="91"/>
        <v>115-30-304</v>
      </c>
      <c r="F117" s="294" t="str">
        <f t="shared" si="92"/>
        <v>51299</v>
      </c>
      <c r="G117" s="295" t="str">
        <f>VLOOKUP(F117,'GL Category'!A:C,3,FALSE)</f>
        <v>Operations &amp; maintenance</v>
      </c>
      <c r="H117" s="98" t="str">
        <f>VLOOKUP(F117,'GL Category'!A:C,2,FALSE)</f>
        <v>MISCELLANEOUS SUPPLIES</v>
      </c>
      <c r="I117" s="99">
        <f>SUMIF(Import!$B:$B,'Other Fund Line-Item Details'!$A117,Import!D:D)</f>
        <v>2202.7600000000002</v>
      </c>
      <c r="J117" s="99">
        <f>SUMIF(Import!$B:$B,'Other Fund Line-Item Details'!$A117,Import!E:E)</f>
        <v>0</v>
      </c>
      <c r="K117" s="99">
        <f>SUMIF(Import!$B:$B,'Other Fund Line-Item Details'!$A117,Import!F:F)</f>
        <v>0</v>
      </c>
      <c r="L117" s="99">
        <f>SUMIF(Import!$B:$B,'Other Fund Line-Item Details'!$A117,Import!G:G)</f>
        <v>0</v>
      </c>
      <c r="M117" s="99">
        <f>SUMIF(Import!$B:$B,'Other Fund Line-Item Details'!$A117,Import!H:H)</f>
        <v>0</v>
      </c>
      <c r="N117" s="99">
        <f>SUMIF(Import!$B:$B,'Other Fund Line-Item Details'!$A117,Import!I:I)</f>
        <v>0</v>
      </c>
      <c r="O117" s="99">
        <f>SUMIF(Import!$B:$B,'Other Fund Line-Item Details'!$A117,Import!J:J)</f>
        <v>0</v>
      </c>
      <c r="P117" s="99">
        <f t="shared" si="119"/>
        <v>0</v>
      </c>
      <c r="Q117" s="99">
        <f>SUMIF(Import!$B:$B,'Other Fund Line-Item Details'!$A117,Import!K:K)</f>
        <v>0</v>
      </c>
      <c r="R117" s="99">
        <f>SUMIF(Import!$B:$B,'Other Fund Line-Item Details'!$A117,Import!L:L)</f>
        <v>0</v>
      </c>
      <c r="S117" s="99">
        <f>SUMIF(Import!$B:$B,'Other Fund Line-Item Details'!$A117,Import!M:M)</f>
        <v>0</v>
      </c>
      <c r="T117" s="99">
        <f>SUMIF(Import!$B:$B,'Other Fund Line-Item Details'!$A117,Import!N:N)</f>
        <v>0</v>
      </c>
      <c r="U117" s="99">
        <f t="shared" si="120"/>
        <v>0</v>
      </c>
      <c r="V117" s="255" t="str">
        <f t="shared" si="121"/>
        <v>N/A</v>
      </c>
      <c r="W117" s="102" t="s">
        <v>1816</v>
      </c>
      <c r="X117" s="97"/>
      <c r="Y117" s="97"/>
      <c r="Z117" s="97"/>
      <c r="AA117" s="97"/>
      <c r="AB117" s="97"/>
      <c r="AC117" s="97"/>
      <c r="AD117" s="97"/>
      <c r="AE117" s="97"/>
      <c r="AF117" s="97"/>
      <c r="AG117" s="97"/>
      <c r="AH117" s="97"/>
      <c r="AI117" s="97"/>
      <c r="AJ117" s="97"/>
      <c r="AK117" s="97"/>
      <c r="AL117" s="97"/>
      <c r="AM117" s="97"/>
      <c r="AN117" s="97"/>
      <c r="AO117" s="97"/>
      <c r="AP117" s="97"/>
      <c r="AQ117" s="97"/>
      <c r="AR117" s="97"/>
    </row>
    <row r="118" spans="1:44" s="115" customFormat="1" ht="15" customHeight="1">
      <c r="A118" s="555" t="s">
        <v>1817</v>
      </c>
      <c r="B118" s="217" t="str">
        <f t="shared" si="88"/>
        <v>115</v>
      </c>
      <c r="C118" s="217" t="str">
        <f t="shared" si="89"/>
        <v>30</v>
      </c>
      <c r="D118" s="101" t="str">
        <f t="shared" si="90"/>
        <v>306</v>
      </c>
      <c r="E118" s="217" t="str">
        <f t="shared" si="91"/>
        <v>115-30-306</v>
      </c>
      <c r="F118" s="294" t="str">
        <f t="shared" si="92"/>
        <v>53515</v>
      </c>
      <c r="G118" s="295" t="str">
        <f>VLOOKUP(F118,'GL Category'!A:C,3,FALSE)</f>
        <v>Services &amp; other</v>
      </c>
      <c r="H118" s="98" t="str">
        <f>VLOOKUP(F118,'GL Category'!A:C,2,FALSE)</f>
        <v>TRAVEL, TRAINING &amp; EDUCATION</v>
      </c>
      <c r="I118" s="99">
        <f>SUMIF(Import!$B:$B,'Other Fund Line-Item Details'!$A118,Import!D:D)</f>
        <v>0</v>
      </c>
      <c r="J118" s="99">
        <f>SUMIF(Import!$B:$B,'Other Fund Line-Item Details'!$A118,Import!E:E)</f>
        <v>0</v>
      </c>
      <c r="K118" s="99">
        <f>SUMIF(Import!$B:$B,'Other Fund Line-Item Details'!$A118,Import!F:F)</f>
        <v>0</v>
      </c>
      <c r="L118" s="99">
        <f>SUMIF(Import!$B:$B,'Other Fund Line-Item Details'!$A118,Import!G:G)</f>
        <v>0</v>
      </c>
      <c r="M118" s="99">
        <f>SUMIF(Import!$B:$B,'Other Fund Line-Item Details'!$A118,Import!H:H)</f>
        <v>0</v>
      </c>
      <c r="N118" s="99">
        <f>SUMIF(Import!$B:$B,'Other Fund Line-Item Details'!$A118,Import!I:I)</f>
        <v>0</v>
      </c>
      <c r="O118" s="99">
        <f>SUMIF(Import!$B:$B,'Other Fund Line-Item Details'!$A118,Import!J:J)</f>
        <v>0</v>
      </c>
      <c r="P118" s="99">
        <f t="shared" si="119"/>
        <v>0</v>
      </c>
      <c r="Q118" s="99">
        <f>SUMIF(Import!$B:$B,'Other Fund Line-Item Details'!$A118,Import!K:K)</f>
        <v>0</v>
      </c>
      <c r="R118" s="99">
        <f>SUMIF(Import!$B:$B,'Other Fund Line-Item Details'!$A118,Import!L:L)</f>
        <v>0</v>
      </c>
      <c r="S118" s="99">
        <f>SUMIF(Import!$B:$B,'Other Fund Line-Item Details'!$A118,Import!M:M)</f>
        <v>0</v>
      </c>
      <c r="T118" s="99">
        <f>SUMIF(Import!$B:$B,'Other Fund Line-Item Details'!$A118,Import!N:N)</f>
        <v>0</v>
      </c>
      <c r="U118" s="99">
        <f t="shared" si="120"/>
        <v>0</v>
      </c>
      <c r="V118" s="255" t="str">
        <f t="shared" si="121"/>
        <v>N/A</v>
      </c>
      <c r="W118" s="102" t="s">
        <v>1817</v>
      </c>
      <c r="X118" s="97"/>
      <c r="Y118" s="97"/>
      <c r="Z118" s="97"/>
      <c r="AA118" s="97"/>
      <c r="AB118" s="97"/>
      <c r="AC118" s="97"/>
      <c r="AD118" s="97"/>
      <c r="AE118" s="97"/>
      <c r="AF118" s="97"/>
      <c r="AG118" s="97"/>
      <c r="AH118" s="97"/>
      <c r="AI118" s="97"/>
      <c r="AJ118" s="97"/>
      <c r="AK118" s="97"/>
      <c r="AL118" s="97"/>
      <c r="AM118" s="97"/>
      <c r="AN118" s="97"/>
      <c r="AO118" s="97"/>
      <c r="AP118" s="97"/>
      <c r="AQ118" s="97"/>
      <c r="AR118" s="97"/>
    </row>
    <row r="119" spans="1:44" s="115" customFormat="1" ht="15" customHeight="1">
      <c r="A119" s="555" t="s">
        <v>3371</v>
      </c>
      <c r="B119" s="217" t="str">
        <f t="shared" si="88"/>
        <v>115</v>
      </c>
      <c r="C119" s="217" t="str">
        <f t="shared" si="89"/>
        <v>35</v>
      </c>
      <c r="D119" s="101" t="str">
        <f t="shared" si="90"/>
        <v>353</v>
      </c>
      <c r="E119" s="217" t="str">
        <f t="shared" si="91"/>
        <v>115-35-353</v>
      </c>
      <c r="F119" s="294" t="str">
        <f t="shared" si="92"/>
        <v>53599</v>
      </c>
      <c r="G119" s="295" t="str">
        <f>VLOOKUP(F119,'GL Category'!A:C,3,FALSE)</f>
        <v>Services &amp; other</v>
      </c>
      <c r="H119" s="98" t="str">
        <f>VLOOKUP(F119,'GL Category'!A:C,2,FALSE)</f>
        <v>MISCELLANEOUS SERVICES</v>
      </c>
      <c r="I119" s="99">
        <f>SUMIF(Import!$B:$B,'Other Fund Line-Item Details'!$A119,Import!D:D)</f>
        <v>4632.12</v>
      </c>
      <c r="J119" s="99">
        <f>SUMIF(Import!$B:$B,'Other Fund Line-Item Details'!$A119,Import!E:E)</f>
        <v>22156.799999999999</v>
      </c>
      <c r="K119" s="99">
        <f>SUMIF(Import!$B:$B,'Other Fund Line-Item Details'!$A119,Import!F:F)</f>
        <v>0</v>
      </c>
      <c r="L119" s="99">
        <f>SUMIF(Import!$B:$B,'Other Fund Line-Item Details'!$A119,Import!G:G)</f>
        <v>0</v>
      </c>
      <c r="M119" s="99">
        <f>SUMIF(Import!$B:$B,'Other Fund Line-Item Details'!$A119,Import!H:H)</f>
        <v>0</v>
      </c>
      <c r="N119" s="99">
        <f>SUMIF(Import!$B:$B,'Other Fund Line-Item Details'!$A119,Import!I:I)</f>
        <v>0</v>
      </c>
      <c r="O119" s="99">
        <f>SUMIF(Import!$B:$B,'Other Fund Line-Item Details'!$A119,Import!J:J)</f>
        <v>0</v>
      </c>
      <c r="P119" s="99">
        <f t="shared" ref="P119" si="138">O119-M119</f>
        <v>0</v>
      </c>
      <c r="Q119" s="99">
        <f>SUMIF(Import!$B:$B,'Other Fund Line-Item Details'!$A119,Import!K:K)</f>
        <v>0</v>
      </c>
      <c r="R119" s="99">
        <f>SUMIF(Import!$B:$B,'Other Fund Line-Item Details'!$A119,Import!L:L)</f>
        <v>0</v>
      </c>
      <c r="S119" s="99">
        <f>SUMIF(Import!$B:$B,'Other Fund Line-Item Details'!$A119,Import!M:M)</f>
        <v>0</v>
      </c>
      <c r="T119" s="99">
        <f>SUMIF(Import!$B:$B,'Other Fund Line-Item Details'!$A119,Import!N:N)</f>
        <v>0</v>
      </c>
      <c r="U119" s="99">
        <f t="shared" ref="U119" si="139">T119-M119</f>
        <v>0</v>
      </c>
      <c r="V119" s="255" t="str">
        <f t="shared" ref="V119" si="140">IF(M119=0,"N/A",T119/M119-1)</f>
        <v>N/A</v>
      </c>
      <c r="W119" s="102" t="s">
        <v>1818</v>
      </c>
      <c r="X119" s="97"/>
      <c r="Y119" s="97"/>
      <c r="Z119" s="97"/>
      <c r="AA119" s="97"/>
      <c r="AB119" s="97"/>
      <c r="AC119" s="97"/>
      <c r="AD119" s="97"/>
      <c r="AE119" s="97"/>
      <c r="AF119" s="97"/>
      <c r="AG119" s="97"/>
      <c r="AH119" s="97"/>
      <c r="AI119" s="97"/>
      <c r="AJ119" s="97"/>
      <c r="AK119" s="97"/>
      <c r="AL119" s="97"/>
      <c r="AM119" s="97"/>
      <c r="AN119" s="97"/>
      <c r="AO119" s="97"/>
      <c r="AP119" s="97"/>
      <c r="AQ119" s="97"/>
      <c r="AR119" s="97"/>
    </row>
    <row r="120" spans="1:44" s="115" customFormat="1" ht="15" customHeight="1">
      <c r="A120" s="555" t="s">
        <v>1818</v>
      </c>
      <c r="B120" s="217" t="str">
        <f t="shared" ref="B120:B182" si="141">LEFT(A120,3)</f>
        <v>115</v>
      </c>
      <c r="C120" s="217" t="str">
        <f t="shared" ref="C120:C182" si="142">MID(A120,5,2)</f>
        <v>35</v>
      </c>
      <c r="D120" s="101" t="str">
        <f t="shared" ref="D120:D182" si="143">MID(A120,8,3)</f>
        <v>358</v>
      </c>
      <c r="E120" s="217" t="str">
        <f t="shared" ref="E120:E182" si="144">LEFT(A120,10)</f>
        <v>115-35-358</v>
      </c>
      <c r="F120" s="294" t="str">
        <f t="shared" ref="F120:F182" si="145">RIGHT(A120,5)</f>
        <v>53515</v>
      </c>
      <c r="G120" s="295" t="str">
        <f>VLOOKUP(F120,'GL Category'!A:C,3,FALSE)</f>
        <v>Services &amp; other</v>
      </c>
      <c r="H120" s="98" t="str">
        <f>VLOOKUP(F120,'GL Category'!A:C,2,FALSE)</f>
        <v>TRAVEL, TRAINING &amp; EDUCATION</v>
      </c>
      <c r="I120" s="99">
        <f>SUMIF(Import!$B:$B,'Other Fund Line-Item Details'!$A120,Import!D:D)</f>
        <v>0</v>
      </c>
      <c r="J120" s="99">
        <f>SUMIF(Import!$B:$B,'Other Fund Line-Item Details'!$A120,Import!E:E)</f>
        <v>0</v>
      </c>
      <c r="K120" s="99">
        <f>SUMIF(Import!$B:$B,'Other Fund Line-Item Details'!$A120,Import!F:F)</f>
        <v>159.91999999999999</v>
      </c>
      <c r="L120" s="99">
        <f>SUMIF(Import!$B:$B,'Other Fund Line-Item Details'!$A120,Import!G:G)</f>
        <v>0</v>
      </c>
      <c r="M120" s="99">
        <f>SUMIF(Import!$B:$B,'Other Fund Line-Item Details'!$A120,Import!H:H)</f>
        <v>0</v>
      </c>
      <c r="N120" s="99">
        <f>SUMIF(Import!$B:$B,'Other Fund Line-Item Details'!$A120,Import!I:I)</f>
        <v>0</v>
      </c>
      <c r="O120" s="99">
        <f>SUMIF(Import!$B:$B,'Other Fund Line-Item Details'!$A120,Import!J:J)</f>
        <v>0</v>
      </c>
      <c r="P120" s="99">
        <f t="shared" si="119"/>
        <v>0</v>
      </c>
      <c r="Q120" s="99">
        <f>SUMIF(Import!$B:$B,'Other Fund Line-Item Details'!$A120,Import!K:K)</f>
        <v>0</v>
      </c>
      <c r="R120" s="99">
        <f>SUMIF(Import!$B:$B,'Other Fund Line-Item Details'!$A120,Import!L:L)</f>
        <v>0</v>
      </c>
      <c r="S120" s="99">
        <f>SUMIF(Import!$B:$B,'Other Fund Line-Item Details'!$A120,Import!M:M)</f>
        <v>0</v>
      </c>
      <c r="T120" s="99">
        <f>SUMIF(Import!$B:$B,'Other Fund Line-Item Details'!$A120,Import!N:N)</f>
        <v>0</v>
      </c>
      <c r="U120" s="99">
        <f t="shared" si="120"/>
        <v>0</v>
      </c>
      <c r="V120" s="255" t="str">
        <f t="shared" si="121"/>
        <v>N/A</v>
      </c>
      <c r="W120" s="102" t="s">
        <v>1818</v>
      </c>
      <c r="X120" s="97"/>
      <c r="Y120" s="97"/>
      <c r="Z120" s="97"/>
      <c r="AA120" s="97"/>
      <c r="AB120" s="97"/>
      <c r="AC120" s="97"/>
      <c r="AD120" s="97"/>
      <c r="AE120" s="97"/>
      <c r="AF120" s="97"/>
      <c r="AG120" s="97"/>
      <c r="AH120" s="97"/>
      <c r="AI120" s="97"/>
      <c r="AJ120" s="97"/>
      <c r="AK120" s="97"/>
      <c r="AL120" s="97"/>
      <c r="AM120" s="97"/>
      <c r="AN120" s="97"/>
      <c r="AO120" s="97"/>
      <c r="AP120" s="97"/>
      <c r="AQ120" s="97"/>
      <c r="AR120" s="97"/>
    </row>
    <row r="121" spans="1:44" s="115" customFormat="1" ht="15" customHeight="1">
      <c r="A121" s="555"/>
      <c r="B121" s="217"/>
      <c r="C121" s="217"/>
      <c r="D121" s="101"/>
      <c r="E121" s="217"/>
      <c r="F121" s="294"/>
      <c r="G121" s="146"/>
      <c r="H121" s="107" t="str">
        <f>UPPER("EXPENDITURE TOTAL")</f>
        <v>EXPENDITURE TOTAL</v>
      </c>
      <c r="I121" s="108">
        <f t="shared" ref="I121:T121" si="146">SUBTOTAL(9,I97:I120)</f>
        <v>95642.869999999981</v>
      </c>
      <c r="J121" s="108">
        <f t="shared" si="146"/>
        <v>132878.52999999997</v>
      </c>
      <c r="K121" s="108">
        <f t="shared" ref="K121" si="147">SUBTOTAL(9,K97:K120)</f>
        <v>124847.21</v>
      </c>
      <c r="L121" s="108">
        <f t="shared" ref="L121" si="148">SUBTOTAL(9,L97:L120)</f>
        <v>19491.53</v>
      </c>
      <c r="M121" s="108">
        <f t="shared" si="146"/>
        <v>0</v>
      </c>
      <c r="N121" s="109">
        <f t="shared" si="146"/>
        <v>11309.65</v>
      </c>
      <c r="O121" s="109">
        <f t="shared" si="146"/>
        <v>0</v>
      </c>
      <c r="P121" s="109">
        <f t="shared" si="146"/>
        <v>0</v>
      </c>
      <c r="Q121" s="109">
        <f t="shared" si="146"/>
        <v>0</v>
      </c>
      <c r="R121" s="109">
        <f t="shared" si="146"/>
        <v>0</v>
      </c>
      <c r="S121" s="109">
        <f t="shared" si="146"/>
        <v>0</v>
      </c>
      <c r="T121" s="109">
        <f t="shared" si="146"/>
        <v>0</v>
      </c>
      <c r="U121" s="99">
        <f t="shared" si="120"/>
        <v>0</v>
      </c>
      <c r="V121" s="255" t="str">
        <f t="shared" si="121"/>
        <v>N/A</v>
      </c>
      <c r="W121" s="102"/>
      <c r="X121" s="97"/>
      <c r="Y121" s="97"/>
      <c r="Z121" s="97"/>
      <c r="AA121" s="97"/>
      <c r="AB121" s="97"/>
      <c r="AC121" s="97"/>
      <c r="AD121" s="97"/>
      <c r="AE121" s="97"/>
      <c r="AF121" s="97"/>
      <c r="AG121" s="97"/>
      <c r="AH121" s="97"/>
      <c r="AI121" s="97"/>
      <c r="AJ121" s="97"/>
      <c r="AK121" s="97"/>
      <c r="AL121" s="97"/>
      <c r="AM121" s="97"/>
      <c r="AN121" s="97"/>
      <c r="AO121" s="200"/>
      <c r="AP121" s="200"/>
      <c r="AQ121" s="200"/>
      <c r="AR121" s="200"/>
    </row>
    <row r="122" spans="1:44" s="115" customFormat="1" ht="15" customHeight="1">
      <c r="A122" s="555"/>
      <c r="B122" s="217"/>
      <c r="C122" s="217"/>
      <c r="D122" s="101"/>
      <c r="E122" s="217"/>
      <c r="F122" s="294"/>
      <c r="G122" s="146"/>
      <c r="H122" s="98"/>
      <c r="I122" s="106"/>
      <c r="J122" s="106"/>
      <c r="K122" s="106"/>
      <c r="L122" s="106"/>
      <c r="M122" s="106"/>
      <c r="N122" s="112"/>
      <c r="O122" s="112"/>
      <c r="P122" s="112"/>
      <c r="Q122" s="113"/>
      <c r="R122" s="113"/>
      <c r="S122" s="113"/>
      <c r="T122" s="113"/>
      <c r="U122" s="95"/>
      <c r="V122" s="88"/>
      <c r="W122" s="102"/>
      <c r="X122" s="97"/>
      <c r="Y122" s="97"/>
      <c r="Z122" s="97"/>
      <c r="AA122" s="97"/>
      <c r="AB122" s="97"/>
      <c r="AC122" s="97"/>
      <c r="AD122" s="97"/>
      <c r="AE122" s="97"/>
      <c r="AF122" s="97"/>
      <c r="AG122" s="97"/>
      <c r="AH122" s="97"/>
      <c r="AI122" s="97"/>
      <c r="AJ122" s="97"/>
      <c r="AK122" s="97"/>
      <c r="AL122" s="97"/>
      <c r="AM122" s="97"/>
      <c r="AN122" s="97"/>
      <c r="AO122" s="200"/>
      <c r="AP122" s="200"/>
      <c r="AQ122" s="200"/>
      <c r="AR122" s="200"/>
    </row>
    <row r="123" spans="1:44" s="115" customFormat="1" ht="15" customHeight="1">
      <c r="A123" s="555"/>
      <c r="B123" s="217"/>
      <c r="C123" s="217"/>
      <c r="D123" s="101"/>
      <c r="E123" s="217"/>
      <c r="F123" s="294"/>
      <c r="G123" s="146"/>
      <c r="H123" s="114" t="s">
        <v>674</v>
      </c>
      <c r="I123" s="108">
        <f t="shared" ref="I123:T123" si="149">SUBTOTAL(9,I73:I121)</f>
        <v>23492.52</v>
      </c>
      <c r="J123" s="108">
        <f t="shared" si="149"/>
        <v>-63320.450000000026</v>
      </c>
      <c r="K123" s="108">
        <f t="shared" ref="K123" si="150">SUBTOTAL(9,K73:K121)</f>
        <v>-16605.239999999965</v>
      </c>
      <c r="L123" s="108">
        <f t="shared" ref="L123" si="151">SUBTOTAL(9,L73:L121)</f>
        <v>-4642.0100000000011</v>
      </c>
      <c r="M123" s="108">
        <f t="shared" si="149"/>
        <v>0</v>
      </c>
      <c r="N123" s="108">
        <f t="shared" si="149"/>
        <v>-127811.45999999999</v>
      </c>
      <c r="O123" s="108">
        <f t="shared" si="149"/>
        <v>0</v>
      </c>
      <c r="P123" s="108">
        <f t="shared" si="149"/>
        <v>0</v>
      </c>
      <c r="Q123" s="108">
        <f t="shared" si="149"/>
        <v>0</v>
      </c>
      <c r="R123" s="108">
        <f t="shared" si="149"/>
        <v>0</v>
      </c>
      <c r="S123" s="108">
        <f t="shared" si="149"/>
        <v>0</v>
      </c>
      <c r="T123" s="108">
        <f t="shared" si="149"/>
        <v>0</v>
      </c>
      <c r="U123" s="99">
        <f>T123-M123</f>
        <v>0</v>
      </c>
      <c r="V123" s="255" t="str">
        <f>IF(M123=0,"N/A",T123/M123-1)</f>
        <v>N/A</v>
      </c>
      <c r="W123" s="102"/>
      <c r="X123" s="97"/>
      <c r="Y123" s="97"/>
      <c r="Z123" s="97"/>
      <c r="AA123" s="97"/>
      <c r="AB123" s="97"/>
      <c r="AC123" s="97"/>
      <c r="AD123" s="97"/>
      <c r="AE123" s="97"/>
      <c r="AF123" s="97"/>
      <c r="AG123" s="97"/>
      <c r="AH123" s="97"/>
      <c r="AI123" s="97"/>
      <c r="AJ123" s="97"/>
      <c r="AK123" s="97"/>
      <c r="AL123" s="97"/>
      <c r="AM123" s="97"/>
      <c r="AN123" s="97"/>
      <c r="AO123" s="200"/>
      <c r="AP123" s="200"/>
      <c r="AQ123" s="200"/>
      <c r="AR123" s="200"/>
    </row>
    <row r="124" spans="1:44" s="115" customFormat="1" ht="15" customHeight="1">
      <c r="A124" s="555"/>
      <c r="B124" s="217"/>
      <c r="C124" s="217"/>
      <c r="D124" s="101"/>
      <c r="E124" s="217"/>
      <c r="F124" s="294"/>
      <c r="G124" s="146"/>
      <c r="H124" s="89"/>
      <c r="I124" s="233"/>
      <c r="J124" s="233"/>
      <c r="K124" s="233"/>
      <c r="L124" s="233"/>
      <c r="M124" s="233"/>
      <c r="N124" s="233"/>
      <c r="O124" s="233"/>
      <c r="P124" s="233"/>
      <c r="Q124" s="233"/>
      <c r="R124" s="233"/>
      <c r="S124" s="233"/>
      <c r="T124" s="233"/>
      <c r="U124" s="95"/>
      <c r="V124" s="88"/>
      <c r="W124" s="102"/>
      <c r="X124" s="97"/>
      <c r="Y124" s="97"/>
      <c r="Z124" s="97"/>
      <c r="AA124" s="97"/>
      <c r="AB124" s="97"/>
      <c r="AC124" s="97"/>
      <c r="AD124" s="97"/>
      <c r="AE124" s="97"/>
      <c r="AF124" s="97"/>
      <c r="AG124" s="97"/>
      <c r="AH124" s="97"/>
      <c r="AI124" s="97"/>
      <c r="AJ124" s="97"/>
      <c r="AK124" s="97"/>
      <c r="AL124" s="97"/>
      <c r="AM124" s="97"/>
      <c r="AN124" s="97"/>
      <c r="AO124" s="200"/>
      <c r="AP124" s="200"/>
      <c r="AQ124" s="200"/>
      <c r="AR124" s="200"/>
    </row>
    <row r="125" spans="1:44" s="115" customFormat="1" ht="15" customHeight="1" thickBot="1">
      <c r="A125" s="555"/>
      <c r="B125" s="217"/>
      <c r="C125" s="217"/>
      <c r="D125" s="101"/>
      <c r="E125" s="217"/>
      <c r="F125" s="294"/>
      <c r="G125" s="146"/>
      <c r="H125" s="89"/>
      <c r="I125" s="233"/>
      <c r="J125" s="233"/>
      <c r="K125" s="233"/>
      <c r="L125" s="233"/>
      <c r="M125" s="233"/>
      <c r="N125" s="233"/>
      <c r="O125" s="233"/>
      <c r="P125" s="233"/>
      <c r="Q125" s="233"/>
      <c r="R125" s="233"/>
      <c r="S125" s="233"/>
      <c r="T125" s="233"/>
      <c r="U125" s="95"/>
      <c r="V125" s="88"/>
      <c r="W125" s="102"/>
      <c r="X125" s="97"/>
      <c r="Y125" s="97"/>
      <c r="Z125" s="97"/>
      <c r="AA125" s="97"/>
      <c r="AB125" s="97"/>
      <c r="AC125" s="97"/>
      <c r="AD125" s="97"/>
      <c r="AE125" s="97"/>
      <c r="AF125" s="97"/>
      <c r="AG125" s="97"/>
      <c r="AH125" s="97"/>
      <c r="AI125" s="97"/>
      <c r="AJ125" s="97"/>
      <c r="AK125" s="97"/>
      <c r="AL125" s="97"/>
      <c r="AM125" s="97"/>
      <c r="AN125" s="97"/>
      <c r="AO125" s="200"/>
      <c r="AP125" s="200"/>
      <c r="AQ125" s="200"/>
      <c r="AR125" s="200"/>
    </row>
    <row r="126" spans="1:44" s="115" customFormat="1" ht="23.25" customHeight="1" thickBot="1">
      <c r="A126" s="555"/>
      <c r="B126" s="217"/>
      <c r="C126" s="217"/>
      <c r="D126" s="101"/>
      <c r="E126" s="217"/>
      <c r="F126" s="294"/>
      <c r="G126" s="146"/>
      <c r="H126" s="694" t="s">
        <v>688</v>
      </c>
      <c r="I126" s="695"/>
      <c r="J126" s="695"/>
      <c r="K126" s="695"/>
      <c r="L126" s="695"/>
      <c r="M126" s="695"/>
      <c r="N126" s="695"/>
      <c r="O126" s="695"/>
      <c r="P126" s="695"/>
      <c r="Q126" s="695"/>
      <c r="R126" s="695"/>
      <c r="S126" s="695"/>
      <c r="T126" s="696"/>
      <c r="U126" s="95"/>
      <c r="V126" s="88"/>
      <c r="W126" s="102"/>
      <c r="X126" s="97"/>
      <c r="Y126" s="97"/>
      <c r="Z126" s="97"/>
      <c r="AA126" s="97"/>
      <c r="AB126" s="97"/>
      <c r="AC126" s="97"/>
      <c r="AD126" s="97"/>
      <c r="AE126" s="97"/>
      <c r="AF126" s="97"/>
      <c r="AG126" s="97"/>
      <c r="AH126" s="97"/>
      <c r="AI126" s="97"/>
      <c r="AJ126" s="97"/>
      <c r="AK126" s="97"/>
      <c r="AL126" s="97"/>
      <c r="AM126" s="97"/>
      <c r="AN126" s="97"/>
      <c r="AO126" s="200"/>
      <c r="AP126" s="200"/>
      <c r="AQ126" s="200"/>
      <c r="AR126" s="200"/>
    </row>
    <row r="127" spans="1:44" s="115" customFormat="1" ht="15" hidden="1" customHeight="1" thickBot="1">
      <c r="A127" s="555"/>
      <c r="B127" s="217"/>
      <c r="C127" s="217"/>
      <c r="D127" s="101"/>
      <c r="E127" s="217"/>
      <c r="F127" s="294"/>
      <c r="G127" s="146"/>
      <c r="H127" s="225"/>
      <c r="I127" s="225"/>
      <c r="J127" s="225"/>
      <c r="K127" s="225"/>
      <c r="L127" s="225"/>
      <c r="M127" s="225"/>
      <c r="N127" s="225"/>
      <c r="O127" s="225"/>
      <c r="P127" s="225"/>
      <c r="Q127" s="225"/>
      <c r="R127" s="225"/>
      <c r="S127" s="225"/>
      <c r="T127" s="225"/>
      <c r="U127" s="95"/>
      <c r="V127" s="88"/>
      <c r="W127" s="102"/>
      <c r="X127" s="97"/>
      <c r="Y127" s="97"/>
      <c r="Z127" s="97"/>
      <c r="AA127" s="97"/>
      <c r="AB127" s="97"/>
      <c r="AC127" s="97"/>
      <c r="AD127" s="97"/>
      <c r="AE127" s="97"/>
      <c r="AF127" s="97"/>
      <c r="AG127" s="97"/>
      <c r="AH127" s="97"/>
      <c r="AI127" s="97"/>
      <c r="AJ127" s="97"/>
      <c r="AK127" s="97"/>
      <c r="AL127" s="97"/>
      <c r="AM127" s="97"/>
      <c r="AN127" s="97"/>
      <c r="AO127" s="200"/>
      <c r="AP127" s="200"/>
      <c r="AQ127" s="200"/>
      <c r="AR127" s="200"/>
    </row>
    <row r="128" spans="1:44" s="115" customFormat="1" ht="15" hidden="1" customHeight="1">
      <c r="A128" s="555" t="s">
        <v>1819</v>
      </c>
      <c r="B128" s="217" t="str">
        <f t="shared" si="141"/>
        <v>112</v>
      </c>
      <c r="C128" s="217" t="str">
        <f t="shared" si="142"/>
        <v>00</v>
      </c>
      <c r="D128" s="101" t="str">
        <f t="shared" si="143"/>
        <v>000</v>
      </c>
      <c r="E128" s="217" t="str">
        <f t="shared" si="144"/>
        <v>112-00-000</v>
      </c>
      <c r="F128" s="294" t="str">
        <f t="shared" si="145"/>
        <v>41790</v>
      </c>
      <c r="G128" s="295" t="str">
        <f>VLOOKUP(F128,'GL Category'!A:C,3,FALSE)</f>
        <v>DEVELOPMENT FEES</v>
      </c>
      <c r="H128" s="98" t="str">
        <f>VLOOKUP(F128,'GL Category'!A:C,2,FALSE)</f>
        <v>TREE RESTORATION</v>
      </c>
      <c r="I128" s="99">
        <f>SUMIF(Import!$B:$B,'Other Fund Line-Item Details'!$A128,Import!D:D)</f>
        <v>0</v>
      </c>
      <c r="J128" s="99">
        <f>SUMIF(Import!$B:$B,'Other Fund Line-Item Details'!$A128,Import!E:E)</f>
        <v>0</v>
      </c>
      <c r="K128" s="99">
        <f>SUMIF(Import!$B:$B,'Other Fund Line-Item Details'!$A128,Import!F:F)</f>
        <v>0</v>
      </c>
      <c r="L128" s="99">
        <f>SUMIF(Import!$B:$B,'Other Fund Line-Item Details'!$A128,Import!G:G)</f>
        <v>0</v>
      </c>
      <c r="M128" s="99">
        <f>SUMIF(Import!$B:$B,'Other Fund Line-Item Details'!$A128,Import!H:H)</f>
        <v>0</v>
      </c>
      <c r="N128" s="99">
        <f>SUMIF(Import!$B:$B,'Other Fund Line-Item Details'!$A128,Import!I:I)</f>
        <v>0</v>
      </c>
      <c r="O128" s="99">
        <f>SUMIF(Import!$B:$B,'Other Fund Line-Item Details'!$A128,Import!J:J)</f>
        <v>0</v>
      </c>
      <c r="P128" s="99">
        <f t="shared" ref="P128:P169" si="152">O128-M128</f>
        <v>0</v>
      </c>
      <c r="Q128" s="99">
        <f>SUMIF(Import!$B:$B,'Other Fund Line-Item Details'!$A128,Import!K:K)</f>
        <v>0</v>
      </c>
      <c r="R128" s="99">
        <f>SUMIF(Import!$B:$B,'Other Fund Line-Item Details'!$A128,Import!L:L)</f>
        <v>0</v>
      </c>
      <c r="S128" s="99">
        <f>SUMIF(Import!$B:$B,'Other Fund Line-Item Details'!$A128,Import!M:M)</f>
        <v>0</v>
      </c>
      <c r="T128" s="99">
        <f>SUMIF(Import!$B:$B,'Other Fund Line-Item Details'!$A128,Import!N:N)</f>
        <v>0</v>
      </c>
      <c r="U128" s="99">
        <f t="shared" ref="U128:U170" si="153">T128-M128</f>
        <v>0</v>
      </c>
      <c r="V128" s="255" t="str">
        <f t="shared" ref="V128:V170" si="154">IF(M128=0,"N/A",T128/M128-1)</f>
        <v>N/A</v>
      </c>
      <c r="W128" s="102" t="s">
        <v>1819</v>
      </c>
      <c r="X128" s="97"/>
      <c r="Y128" s="97"/>
      <c r="Z128" s="97"/>
      <c r="AA128" s="97"/>
      <c r="AB128" s="97"/>
      <c r="AC128" s="97"/>
      <c r="AD128" s="97"/>
      <c r="AE128" s="97"/>
      <c r="AF128" s="97"/>
      <c r="AG128" s="97"/>
      <c r="AH128" s="97"/>
      <c r="AI128" s="97"/>
      <c r="AJ128" s="97"/>
      <c r="AK128" s="97"/>
      <c r="AL128" s="97"/>
      <c r="AM128" s="97"/>
      <c r="AN128" s="97"/>
      <c r="AO128" s="200"/>
      <c r="AP128" s="200"/>
      <c r="AQ128" s="200"/>
      <c r="AR128" s="200"/>
    </row>
    <row r="129" spans="1:44" s="115" customFormat="1" ht="15" hidden="1" customHeight="1">
      <c r="A129" s="555" t="s">
        <v>1820</v>
      </c>
      <c r="B129" s="217" t="str">
        <f t="shared" si="141"/>
        <v>112</v>
      </c>
      <c r="C129" s="217" t="str">
        <f t="shared" si="142"/>
        <v>00</v>
      </c>
      <c r="D129" s="101" t="str">
        <f t="shared" si="143"/>
        <v>000</v>
      </c>
      <c r="E129" s="217" t="str">
        <f t="shared" si="144"/>
        <v>112-00-000</v>
      </c>
      <c r="F129" s="294" t="str">
        <f t="shared" si="145"/>
        <v>43205</v>
      </c>
      <c r="G129" s="295" t="e">
        <f>VLOOKUP(F129,'GL Category'!A:C,3,FALSE)</f>
        <v>#N/A</v>
      </c>
      <c r="H129" s="98" t="e">
        <f>VLOOKUP(F129,'GL Category'!A:C,2,FALSE)</f>
        <v>#N/A</v>
      </c>
      <c r="I129" s="99">
        <f>SUMIF(Import!$B:$B,'Other Fund Line-Item Details'!$A129,Import!D:D)</f>
        <v>0</v>
      </c>
      <c r="J129" s="99">
        <f>SUMIF(Import!$B:$B,'Other Fund Line-Item Details'!$A129,Import!E:E)</f>
        <v>0</v>
      </c>
      <c r="K129" s="99">
        <f>SUMIF(Import!$B:$B,'Other Fund Line-Item Details'!$A129,Import!F:F)</f>
        <v>0</v>
      </c>
      <c r="L129" s="99">
        <f>SUMIF(Import!$B:$B,'Other Fund Line-Item Details'!$A129,Import!G:G)</f>
        <v>0</v>
      </c>
      <c r="M129" s="99">
        <f>SUMIF(Import!$B:$B,'Other Fund Line-Item Details'!$A129,Import!H:H)</f>
        <v>0</v>
      </c>
      <c r="N129" s="99">
        <f>SUMIF(Import!$B:$B,'Other Fund Line-Item Details'!$A129,Import!I:I)</f>
        <v>0</v>
      </c>
      <c r="O129" s="99">
        <f>SUMIF(Import!$B:$B,'Other Fund Line-Item Details'!$A129,Import!J:J)</f>
        <v>0</v>
      </c>
      <c r="P129" s="99">
        <f t="shared" si="152"/>
        <v>0</v>
      </c>
      <c r="Q129" s="99">
        <f>SUMIF(Import!$B:$B,'Other Fund Line-Item Details'!$A129,Import!K:K)</f>
        <v>0</v>
      </c>
      <c r="R129" s="99">
        <f>SUMIF(Import!$B:$B,'Other Fund Line-Item Details'!$A129,Import!L:L)</f>
        <v>0</v>
      </c>
      <c r="S129" s="99">
        <f>SUMIF(Import!$B:$B,'Other Fund Line-Item Details'!$A129,Import!M:M)</f>
        <v>0</v>
      </c>
      <c r="T129" s="99">
        <f>SUMIF(Import!$B:$B,'Other Fund Line-Item Details'!$A129,Import!N:N)</f>
        <v>0</v>
      </c>
      <c r="U129" s="99">
        <f t="shared" si="153"/>
        <v>0</v>
      </c>
      <c r="V129" s="255" t="str">
        <f t="shared" si="154"/>
        <v>N/A</v>
      </c>
      <c r="W129" s="102" t="s">
        <v>1820</v>
      </c>
      <c r="X129" s="97"/>
      <c r="Y129" s="97"/>
      <c r="Z129" s="97"/>
      <c r="AA129" s="97"/>
      <c r="AB129" s="97"/>
      <c r="AC129" s="97"/>
      <c r="AD129" s="97"/>
      <c r="AE129" s="97"/>
      <c r="AF129" s="97"/>
      <c r="AG129" s="97"/>
      <c r="AH129" s="97"/>
      <c r="AI129" s="97"/>
      <c r="AJ129" s="97"/>
      <c r="AK129" s="97"/>
      <c r="AL129" s="97"/>
      <c r="AM129" s="97"/>
      <c r="AN129" s="97"/>
      <c r="AO129" s="200"/>
      <c r="AP129" s="200"/>
      <c r="AQ129" s="200"/>
      <c r="AR129" s="200"/>
    </row>
    <row r="130" spans="1:44" s="115" customFormat="1" ht="15" hidden="1" customHeight="1">
      <c r="A130" s="555" t="s">
        <v>1821</v>
      </c>
      <c r="B130" s="217" t="str">
        <f t="shared" si="141"/>
        <v>112</v>
      </c>
      <c r="C130" s="217" t="str">
        <f t="shared" si="142"/>
        <v>00</v>
      </c>
      <c r="D130" s="101" t="str">
        <f t="shared" si="143"/>
        <v>000</v>
      </c>
      <c r="E130" s="217" t="str">
        <f t="shared" si="144"/>
        <v>112-00-000</v>
      </c>
      <c r="F130" s="294" t="str">
        <f t="shared" si="145"/>
        <v>43240</v>
      </c>
      <c r="G130" s="295" t="str">
        <f>VLOOKUP(F130,'GL Category'!A:C,3,FALSE)</f>
        <v>CHARGES FOR SERVICE</v>
      </c>
      <c r="H130" s="98" t="str">
        <f>VLOOKUP(F130,'GL Category'!A:C,2,FALSE)</f>
        <v>DADDY/DAUGHTER SWEETHEART REV</v>
      </c>
      <c r="I130" s="99">
        <f>SUMIF(Import!$B:$B,'Other Fund Line-Item Details'!$A130,Import!D:D)</f>
        <v>0</v>
      </c>
      <c r="J130" s="99">
        <f>SUMIF(Import!$B:$B,'Other Fund Line-Item Details'!$A130,Import!E:E)</f>
        <v>0</v>
      </c>
      <c r="K130" s="99">
        <f>SUMIF(Import!$B:$B,'Other Fund Line-Item Details'!$A130,Import!F:F)</f>
        <v>0</v>
      </c>
      <c r="L130" s="99">
        <f>SUMIF(Import!$B:$B,'Other Fund Line-Item Details'!$A130,Import!G:G)</f>
        <v>0</v>
      </c>
      <c r="M130" s="99">
        <f>SUMIF(Import!$B:$B,'Other Fund Line-Item Details'!$A130,Import!H:H)</f>
        <v>0</v>
      </c>
      <c r="N130" s="99">
        <f>SUMIF(Import!$B:$B,'Other Fund Line-Item Details'!$A130,Import!I:I)</f>
        <v>0</v>
      </c>
      <c r="O130" s="99">
        <f>SUMIF(Import!$B:$B,'Other Fund Line-Item Details'!$A130,Import!J:J)</f>
        <v>0</v>
      </c>
      <c r="P130" s="99">
        <f t="shared" si="152"/>
        <v>0</v>
      </c>
      <c r="Q130" s="99">
        <f>SUMIF(Import!$B:$B,'Other Fund Line-Item Details'!$A130,Import!K:K)</f>
        <v>0</v>
      </c>
      <c r="R130" s="99">
        <f>SUMIF(Import!$B:$B,'Other Fund Line-Item Details'!$A130,Import!L:L)</f>
        <v>0</v>
      </c>
      <c r="S130" s="99">
        <f>SUMIF(Import!$B:$B,'Other Fund Line-Item Details'!$A130,Import!M:M)</f>
        <v>0</v>
      </c>
      <c r="T130" s="99">
        <f>SUMIF(Import!$B:$B,'Other Fund Line-Item Details'!$A130,Import!N:N)</f>
        <v>0</v>
      </c>
      <c r="U130" s="99">
        <f t="shared" si="153"/>
        <v>0</v>
      </c>
      <c r="V130" s="255" t="str">
        <f t="shared" si="154"/>
        <v>N/A</v>
      </c>
      <c r="W130" s="102" t="s">
        <v>1821</v>
      </c>
      <c r="X130" s="97"/>
      <c r="Y130" s="97"/>
      <c r="Z130" s="97"/>
      <c r="AA130" s="97"/>
      <c r="AB130" s="97"/>
      <c r="AC130" s="97"/>
      <c r="AD130" s="97"/>
      <c r="AE130" s="97"/>
      <c r="AF130" s="97"/>
      <c r="AG130" s="97"/>
      <c r="AH130" s="97"/>
      <c r="AI130" s="97"/>
      <c r="AJ130" s="97"/>
      <c r="AK130" s="97"/>
      <c r="AL130" s="97"/>
      <c r="AM130" s="97"/>
      <c r="AN130" s="97"/>
      <c r="AO130" s="200"/>
      <c r="AP130" s="200"/>
      <c r="AQ130" s="200"/>
      <c r="AR130" s="200"/>
    </row>
    <row r="131" spans="1:44" s="115" customFormat="1" ht="15" hidden="1" customHeight="1">
      <c r="A131" s="555" t="s">
        <v>1822</v>
      </c>
      <c r="B131" s="217" t="str">
        <f t="shared" si="141"/>
        <v>112</v>
      </c>
      <c r="C131" s="217" t="str">
        <f t="shared" si="142"/>
        <v>00</v>
      </c>
      <c r="D131" s="101" t="str">
        <f t="shared" si="143"/>
        <v>000</v>
      </c>
      <c r="E131" s="217" t="str">
        <f t="shared" si="144"/>
        <v>112-00-000</v>
      </c>
      <c r="F131" s="294" t="str">
        <f t="shared" si="145"/>
        <v>43245</v>
      </c>
      <c r="G131" s="295" t="str">
        <f>VLOOKUP(F131,'GL Category'!A:C,3,FALSE)</f>
        <v>CHARGES FOR SERVICE</v>
      </c>
      <c r="H131" s="98" t="str">
        <f>VLOOKUP(F131,'GL Category'!A:C,2,FALSE)</f>
        <v>HALLOWEEN HAUNTED TRAIL REV</v>
      </c>
      <c r="I131" s="99">
        <f>SUMIF(Import!$B:$B,'Other Fund Line-Item Details'!$A131,Import!D:D)</f>
        <v>0</v>
      </c>
      <c r="J131" s="99">
        <f>SUMIF(Import!$B:$B,'Other Fund Line-Item Details'!$A131,Import!E:E)</f>
        <v>0</v>
      </c>
      <c r="K131" s="99">
        <f>SUMIF(Import!$B:$B,'Other Fund Line-Item Details'!$A131,Import!F:F)</f>
        <v>0</v>
      </c>
      <c r="L131" s="99">
        <f>SUMIF(Import!$B:$B,'Other Fund Line-Item Details'!$A131,Import!G:G)</f>
        <v>0</v>
      </c>
      <c r="M131" s="99">
        <f>SUMIF(Import!$B:$B,'Other Fund Line-Item Details'!$A131,Import!H:H)</f>
        <v>0</v>
      </c>
      <c r="N131" s="99">
        <f>SUMIF(Import!$B:$B,'Other Fund Line-Item Details'!$A131,Import!I:I)</f>
        <v>0</v>
      </c>
      <c r="O131" s="99">
        <f>SUMIF(Import!$B:$B,'Other Fund Line-Item Details'!$A131,Import!J:J)</f>
        <v>0</v>
      </c>
      <c r="P131" s="99">
        <f t="shared" si="152"/>
        <v>0</v>
      </c>
      <c r="Q131" s="99">
        <f>SUMIF(Import!$B:$B,'Other Fund Line-Item Details'!$A131,Import!K:K)</f>
        <v>0</v>
      </c>
      <c r="R131" s="99">
        <f>SUMIF(Import!$B:$B,'Other Fund Line-Item Details'!$A131,Import!L:L)</f>
        <v>0</v>
      </c>
      <c r="S131" s="99">
        <f>SUMIF(Import!$B:$B,'Other Fund Line-Item Details'!$A131,Import!M:M)</f>
        <v>0</v>
      </c>
      <c r="T131" s="99">
        <f>SUMIF(Import!$B:$B,'Other Fund Line-Item Details'!$A131,Import!N:N)</f>
        <v>0</v>
      </c>
      <c r="U131" s="99">
        <f t="shared" si="153"/>
        <v>0</v>
      </c>
      <c r="V131" s="255" t="str">
        <f t="shared" si="154"/>
        <v>N/A</v>
      </c>
      <c r="W131" s="102" t="s">
        <v>1822</v>
      </c>
      <c r="X131" s="97"/>
      <c r="Y131" s="97"/>
      <c r="Z131" s="97"/>
      <c r="AA131" s="97"/>
      <c r="AB131" s="97"/>
      <c r="AC131" s="97"/>
      <c r="AD131" s="97"/>
      <c r="AE131" s="97"/>
      <c r="AF131" s="97"/>
      <c r="AG131" s="97"/>
      <c r="AH131" s="97"/>
      <c r="AI131" s="97"/>
      <c r="AJ131" s="97"/>
      <c r="AK131" s="97"/>
      <c r="AL131" s="97"/>
      <c r="AM131" s="97"/>
      <c r="AN131" s="97"/>
      <c r="AO131" s="200"/>
      <c r="AP131" s="200"/>
      <c r="AQ131" s="200"/>
      <c r="AR131" s="200"/>
    </row>
    <row r="132" spans="1:44" s="115" customFormat="1" ht="15" hidden="1" customHeight="1">
      <c r="A132" s="555" t="s">
        <v>1823</v>
      </c>
      <c r="B132" s="217" t="str">
        <f t="shared" si="141"/>
        <v>112</v>
      </c>
      <c r="C132" s="217" t="str">
        <f t="shared" si="142"/>
        <v>00</v>
      </c>
      <c r="D132" s="101" t="str">
        <f t="shared" si="143"/>
        <v>000</v>
      </c>
      <c r="E132" s="217" t="str">
        <f t="shared" si="144"/>
        <v>112-00-000</v>
      </c>
      <c r="F132" s="294" t="str">
        <f t="shared" si="145"/>
        <v>43260</v>
      </c>
      <c r="G132" s="295" t="str">
        <f>VLOOKUP(F132,'GL Category'!A:C,3,FALSE)</f>
        <v>CHARGES FOR SERVICE</v>
      </c>
      <c r="H132" s="98" t="str">
        <f>VLOOKUP(F132,'GL Category'!A:C,2,FALSE)</f>
        <v>REVENUE-HOLLYDAYS</v>
      </c>
      <c r="I132" s="99">
        <f>SUMIF(Import!$B:$B,'Other Fund Line-Item Details'!$A132,Import!D:D)</f>
        <v>0</v>
      </c>
      <c r="J132" s="99">
        <f>SUMIF(Import!$B:$B,'Other Fund Line-Item Details'!$A132,Import!E:E)</f>
        <v>0</v>
      </c>
      <c r="K132" s="99">
        <f>SUMIF(Import!$B:$B,'Other Fund Line-Item Details'!$A132,Import!F:F)</f>
        <v>0</v>
      </c>
      <c r="L132" s="99">
        <f>SUMIF(Import!$B:$B,'Other Fund Line-Item Details'!$A132,Import!G:G)</f>
        <v>0</v>
      </c>
      <c r="M132" s="99">
        <f>SUMIF(Import!$B:$B,'Other Fund Line-Item Details'!$A132,Import!H:H)</f>
        <v>0</v>
      </c>
      <c r="N132" s="99">
        <f>SUMIF(Import!$B:$B,'Other Fund Line-Item Details'!$A132,Import!I:I)</f>
        <v>0</v>
      </c>
      <c r="O132" s="99">
        <f>SUMIF(Import!$B:$B,'Other Fund Line-Item Details'!$A132,Import!J:J)</f>
        <v>0</v>
      </c>
      <c r="P132" s="99">
        <f t="shared" si="152"/>
        <v>0</v>
      </c>
      <c r="Q132" s="99">
        <f>SUMIF(Import!$B:$B,'Other Fund Line-Item Details'!$A132,Import!K:K)</f>
        <v>0</v>
      </c>
      <c r="R132" s="99">
        <f>SUMIF(Import!$B:$B,'Other Fund Line-Item Details'!$A132,Import!L:L)</f>
        <v>0</v>
      </c>
      <c r="S132" s="99">
        <f>SUMIF(Import!$B:$B,'Other Fund Line-Item Details'!$A132,Import!M:M)</f>
        <v>0</v>
      </c>
      <c r="T132" s="99">
        <f>SUMIF(Import!$B:$B,'Other Fund Line-Item Details'!$A132,Import!N:N)</f>
        <v>0</v>
      </c>
      <c r="U132" s="99">
        <f t="shared" si="153"/>
        <v>0</v>
      </c>
      <c r="V132" s="255" t="str">
        <f t="shared" si="154"/>
        <v>N/A</v>
      </c>
      <c r="W132" s="102" t="s">
        <v>1823</v>
      </c>
      <c r="X132" s="97"/>
      <c r="Y132" s="97"/>
      <c r="Z132" s="97"/>
      <c r="AA132" s="97"/>
      <c r="AB132" s="97"/>
      <c r="AC132" s="97"/>
      <c r="AD132" s="97"/>
      <c r="AE132" s="97"/>
      <c r="AF132" s="97"/>
      <c r="AG132" s="97"/>
      <c r="AH132" s="97"/>
      <c r="AI132" s="97"/>
      <c r="AJ132" s="97"/>
      <c r="AK132" s="97"/>
      <c r="AL132" s="97"/>
      <c r="AM132" s="97"/>
      <c r="AN132" s="97"/>
      <c r="AO132" s="200"/>
      <c r="AP132" s="200"/>
      <c r="AQ132" s="200"/>
      <c r="AR132" s="200"/>
    </row>
    <row r="133" spans="1:44" s="115" customFormat="1" ht="15" hidden="1" customHeight="1">
      <c r="A133" s="555" t="s">
        <v>1824</v>
      </c>
      <c r="B133" s="217" t="str">
        <f t="shared" si="141"/>
        <v>112</v>
      </c>
      <c r="C133" s="217" t="str">
        <f t="shared" si="142"/>
        <v>00</v>
      </c>
      <c r="D133" s="101" t="str">
        <f t="shared" si="143"/>
        <v>000</v>
      </c>
      <c r="E133" s="217" t="str">
        <f t="shared" si="144"/>
        <v>112-00-000</v>
      </c>
      <c r="F133" s="294" t="str">
        <f t="shared" si="145"/>
        <v>43263</v>
      </c>
      <c r="G133" s="295" t="str">
        <f>VLOOKUP(F133,'GL Category'!A:C,3,FALSE)</f>
        <v>CHARGES FOR SERVICE</v>
      </c>
      <c r="H133" s="98" t="str">
        <f>VLOOKUP(F133,'GL Category'!A:C,2,FALSE)</f>
        <v>REC THE PARK REVENUE</v>
      </c>
      <c r="I133" s="99">
        <f>SUMIF(Import!$B:$B,'Other Fund Line-Item Details'!$A133,Import!D:D)</f>
        <v>0</v>
      </c>
      <c r="J133" s="99">
        <f>SUMIF(Import!$B:$B,'Other Fund Line-Item Details'!$A133,Import!E:E)</f>
        <v>0</v>
      </c>
      <c r="K133" s="99">
        <f>SUMIF(Import!$B:$B,'Other Fund Line-Item Details'!$A133,Import!F:F)</f>
        <v>0</v>
      </c>
      <c r="L133" s="99">
        <f>SUMIF(Import!$B:$B,'Other Fund Line-Item Details'!$A133,Import!G:G)</f>
        <v>0</v>
      </c>
      <c r="M133" s="99">
        <f>SUMIF(Import!$B:$B,'Other Fund Line-Item Details'!$A133,Import!H:H)</f>
        <v>0</v>
      </c>
      <c r="N133" s="99">
        <f>SUMIF(Import!$B:$B,'Other Fund Line-Item Details'!$A133,Import!I:I)</f>
        <v>0</v>
      </c>
      <c r="O133" s="99">
        <f>SUMIF(Import!$B:$B,'Other Fund Line-Item Details'!$A133,Import!J:J)</f>
        <v>0</v>
      </c>
      <c r="P133" s="99">
        <f t="shared" si="152"/>
        <v>0</v>
      </c>
      <c r="Q133" s="99">
        <f>SUMIF(Import!$B:$B,'Other Fund Line-Item Details'!$A133,Import!K:K)</f>
        <v>0</v>
      </c>
      <c r="R133" s="99">
        <f>SUMIF(Import!$B:$B,'Other Fund Line-Item Details'!$A133,Import!L:L)</f>
        <v>0</v>
      </c>
      <c r="S133" s="99">
        <f>SUMIF(Import!$B:$B,'Other Fund Line-Item Details'!$A133,Import!M:M)</f>
        <v>0</v>
      </c>
      <c r="T133" s="99">
        <f>SUMIF(Import!$B:$B,'Other Fund Line-Item Details'!$A133,Import!N:N)</f>
        <v>0</v>
      </c>
      <c r="U133" s="99">
        <f t="shared" si="153"/>
        <v>0</v>
      </c>
      <c r="V133" s="255" t="str">
        <f t="shared" si="154"/>
        <v>N/A</v>
      </c>
      <c r="W133" s="102" t="s">
        <v>1824</v>
      </c>
      <c r="X133" s="97"/>
      <c r="Y133" s="97"/>
      <c r="Z133" s="97"/>
      <c r="AA133" s="97"/>
      <c r="AB133" s="97"/>
      <c r="AC133" s="97"/>
      <c r="AD133" s="97"/>
      <c r="AE133" s="97"/>
      <c r="AF133" s="97"/>
      <c r="AG133" s="97"/>
      <c r="AH133" s="97"/>
      <c r="AI133" s="97"/>
      <c r="AJ133" s="97"/>
      <c r="AK133" s="97"/>
      <c r="AL133" s="97"/>
      <c r="AM133" s="97"/>
      <c r="AN133" s="97"/>
      <c r="AO133" s="200"/>
      <c r="AP133" s="200"/>
      <c r="AQ133" s="200"/>
      <c r="AR133" s="200"/>
    </row>
    <row r="134" spans="1:44" s="115" customFormat="1" ht="15" hidden="1" customHeight="1">
      <c r="A134" s="555" t="s">
        <v>1825</v>
      </c>
      <c r="B134" s="217" t="str">
        <f t="shared" si="141"/>
        <v>112</v>
      </c>
      <c r="C134" s="217" t="str">
        <f t="shared" si="142"/>
        <v>00</v>
      </c>
      <c r="D134" s="101" t="str">
        <f t="shared" si="143"/>
        <v>000</v>
      </c>
      <c r="E134" s="217" t="str">
        <f t="shared" si="144"/>
        <v>112-00-000</v>
      </c>
      <c r="F134" s="294" t="str">
        <f t="shared" si="145"/>
        <v>43264</v>
      </c>
      <c r="G134" s="295" t="str">
        <f>VLOOKUP(F134,'GL Category'!A:C,3,FALSE)</f>
        <v>CHARGES FOR SERVICE</v>
      </c>
      <c r="H134" s="98" t="str">
        <f>VLOOKUP(F134,'GL Category'!A:C,2,FALSE)</f>
        <v>REVENUE-ROCK THE PARK</v>
      </c>
      <c r="I134" s="99">
        <f>SUMIF(Import!$B:$B,'Other Fund Line-Item Details'!$A134,Import!D:D)</f>
        <v>0</v>
      </c>
      <c r="J134" s="99">
        <f>SUMIF(Import!$B:$B,'Other Fund Line-Item Details'!$A134,Import!E:E)</f>
        <v>0</v>
      </c>
      <c r="K134" s="99">
        <f>SUMIF(Import!$B:$B,'Other Fund Line-Item Details'!$A134,Import!F:F)</f>
        <v>0</v>
      </c>
      <c r="L134" s="99">
        <f>SUMIF(Import!$B:$B,'Other Fund Line-Item Details'!$A134,Import!G:G)</f>
        <v>0</v>
      </c>
      <c r="M134" s="99">
        <f>SUMIF(Import!$B:$B,'Other Fund Line-Item Details'!$A134,Import!H:H)</f>
        <v>0</v>
      </c>
      <c r="N134" s="99">
        <f>SUMIF(Import!$B:$B,'Other Fund Line-Item Details'!$A134,Import!I:I)</f>
        <v>0</v>
      </c>
      <c r="O134" s="99">
        <f>SUMIF(Import!$B:$B,'Other Fund Line-Item Details'!$A134,Import!J:J)</f>
        <v>0</v>
      </c>
      <c r="P134" s="99">
        <f t="shared" si="152"/>
        <v>0</v>
      </c>
      <c r="Q134" s="99">
        <f>SUMIF(Import!$B:$B,'Other Fund Line-Item Details'!$A134,Import!K:K)</f>
        <v>0</v>
      </c>
      <c r="R134" s="99">
        <f>SUMIF(Import!$B:$B,'Other Fund Line-Item Details'!$A134,Import!L:L)</f>
        <v>0</v>
      </c>
      <c r="S134" s="99">
        <f>SUMIF(Import!$B:$B,'Other Fund Line-Item Details'!$A134,Import!M:M)</f>
        <v>0</v>
      </c>
      <c r="T134" s="99">
        <f>SUMIF(Import!$B:$B,'Other Fund Line-Item Details'!$A134,Import!N:N)</f>
        <v>0</v>
      </c>
      <c r="U134" s="99">
        <f t="shared" si="153"/>
        <v>0</v>
      </c>
      <c r="V134" s="255" t="str">
        <f t="shared" si="154"/>
        <v>N/A</v>
      </c>
      <c r="W134" s="102" t="s">
        <v>1825</v>
      </c>
      <c r="X134" s="97"/>
      <c r="Y134" s="97"/>
      <c r="Z134" s="97"/>
      <c r="AA134" s="97"/>
      <c r="AB134" s="97"/>
      <c r="AC134" s="97"/>
      <c r="AD134" s="97"/>
      <c r="AE134" s="97"/>
      <c r="AF134" s="97"/>
      <c r="AG134" s="97"/>
      <c r="AH134" s="97"/>
      <c r="AI134" s="97"/>
      <c r="AJ134" s="97"/>
      <c r="AK134" s="97"/>
      <c r="AL134" s="97"/>
      <c r="AM134" s="97"/>
      <c r="AN134" s="97"/>
      <c r="AO134" s="200"/>
      <c r="AP134" s="200"/>
      <c r="AQ134" s="200"/>
      <c r="AR134" s="200"/>
    </row>
    <row r="135" spans="1:44" s="115" customFormat="1" ht="15" hidden="1" customHeight="1">
      <c r="A135" s="555" t="s">
        <v>1826</v>
      </c>
      <c r="B135" s="217" t="str">
        <f t="shared" si="141"/>
        <v>112</v>
      </c>
      <c r="C135" s="217" t="str">
        <f t="shared" si="142"/>
        <v>00</v>
      </c>
      <c r="D135" s="101" t="str">
        <f t="shared" si="143"/>
        <v>000</v>
      </c>
      <c r="E135" s="217" t="str">
        <f t="shared" si="144"/>
        <v>112-00-000</v>
      </c>
      <c r="F135" s="294" t="str">
        <f t="shared" si="145"/>
        <v>43275</v>
      </c>
      <c r="G135" s="295" t="str">
        <f>VLOOKUP(F135,'GL Category'!A:C,3,FALSE)</f>
        <v>CHARGES FOR SERVICE</v>
      </c>
      <c r="H135" s="98" t="str">
        <f>VLOOKUP(F135,'GL Category'!A:C,2,FALSE)</f>
        <v>MOTHER/SON ICE CREAM SOCIAL</v>
      </c>
      <c r="I135" s="99">
        <f>SUMIF(Import!$B:$B,'Other Fund Line-Item Details'!$A135,Import!D:D)</f>
        <v>0</v>
      </c>
      <c r="J135" s="99">
        <f>SUMIF(Import!$B:$B,'Other Fund Line-Item Details'!$A135,Import!E:E)</f>
        <v>0</v>
      </c>
      <c r="K135" s="99">
        <f>SUMIF(Import!$B:$B,'Other Fund Line-Item Details'!$A135,Import!F:F)</f>
        <v>0</v>
      </c>
      <c r="L135" s="99">
        <f>SUMIF(Import!$B:$B,'Other Fund Line-Item Details'!$A135,Import!G:G)</f>
        <v>0</v>
      </c>
      <c r="M135" s="99">
        <f>SUMIF(Import!$B:$B,'Other Fund Line-Item Details'!$A135,Import!H:H)</f>
        <v>0</v>
      </c>
      <c r="N135" s="99">
        <f>SUMIF(Import!$B:$B,'Other Fund Line-Item Details'!$A135,Import!I:I)</f>
        <v>0</v>
      </c>
      <c r="O135" s="99">
        <f>SUMIF(Import!$B:$B,'Other Fund Line-Item Details'!$A135,Import!J:J)</f>
        <v>0</v>
      </c>
      <c r="P135" s="99">
        <f t="shared" si="152"/>
        <v>0</v>
      </c>
      <c r="Q135" s="99">
        <f>SUMIF(Import!$B:$B,'Other Fund Line-Item Details'!$A135,Import!K:K)</f>
        <v>0</v>
      </c>
      <c r="R135" s="99">
        <f>SUMIF(Import!$B:$B,'Other Fund Line-Item Details'!$A135,Import!L:L)</f>
        <v>0</v>
      </c>
      <c r="S135" s="99">
        <f>SUMIF(Import!$B:$B,'Other Fund Line-Item Details'!$A135,Import!M:M)</f>
        <v>0</v>
      </c>
      <c r="T135" s="99">
        <f>SUMIF(Import!$B:$B,'Other Fund Line-Item Details'!$A135,Import!N:N)</f>
        <v>0</v>
      </c>
      <c r="U135" s="99">
        <f t="shared" si="153"/>
        <v>0</v>
      </c>
      <c r="V135" s="255" t="str">
        <f t="shared" si="154"/>
        <v>N/A</v>
      </c>
      <c r="W135" s="102" t="s">
        <v>1826</v>
      </c>
      <c r="X135" s="97"/>
      <c r="Y135" s="97"/>
      <c r="Z135" s="97"/>
      <c r="AA135" s="97"/>
      <c r="AB135" s="97"/>
      <c r="AC135" s="97"/>
      <c r="AD135" s="97"/>
      <c r="AE135" s="97"/>
      <c r="AF135" s="97"/>
      <c r="AG135" s="97"/>
      <c r="AH135" s="97"/>
      <c r="AI135" s="97"/>
      <c r="AJ135" s="97"/>
      <c r="AK135" s="97"/>
      <c r="AL135" s="97"/>
      <c r="AM135" s="97"/>
      <c r="AN135" s="97"/>
      <c r="AO135" s="200"/>
      <c r="AP135" s="200"/>
      <c r="AQ135" s="200"/>
      <c r="AR135" s="200"/>
    </row>
    <row r="136" spans="1:44" s="115" customFormat="1" ht="15" hidden="1" customHeight="1">
      <c r="A136" s="555" t="s">
        <v>1827</v>
      </c>
      <c r="B136" s="217" t="str">
        <f t="shared" si="141"/>
        <v>112</v>
      </c>
      <c r="C136" s="217" t="str">
        <f t="shared" si="142"/>
        <v>00</v>
      </c>
      <c r="D136" s="101" t="str">
        <f t="shared" si="143"/>
        <v>000</v>
      </c>
      <c r="E136" s="217" t="str">
        <f t="shared" si="144"/>
        <v>112-00-000</v>
      </c>
      <c r="F136" s="294" t="str">
        <f t="shared" si="145"/>
        <v>43280</v>
      </c>
      <c r="G136" s="295" t="str">
        <f>VLOOKUP(F136,'GL Category'!A:C,3,FALSE)</f>
        <v>CHARGES FOR SERVICE</v>
      </c>
      <c r="H136" s="98" t="str">
        <f>VLOOKUP(F136,'GL Category'!A:C,2,FALSE)</f>
        <v>KELLER FAMILY CAMPOUT REVENUE</v>
      </c>
      <c r="I136" s="99">
        <f>SUMIF(Import!$B:$B,'Other Fund Line-Item Details'!$A136,Import!D:D)</f>
        <v>0</v>
      </c>
      <c r="J136" s="99">
        <f>SUMIF(Import!$B:$B,'Other Fund Line-Item Details'!$A136,Import!E:E)</f>
        <v>0</v>
      </c>
      <c r="K136" s="99">
        <f>SUMIF(Import!$B:$B,'Other Fund Line-Item Details'!$A136,Import!F:F)</f>
        <v>0</v>
      </c>
      <c r="L136" s="99">
        <f>SUMIF(Import!$B:$B,'Other Fund Line-Item Details'!$A136,Import!G:G)</f>
        <v>0</v>
      </c>
      <c r="M136" s="99">
        <f>SUMIF(Import!$B:$B,'Other Fund Line-Item Details'!$A136,Import!H:H)</f>
        <v>0</v>
      </c>
      <c r="N136" s="99">
        <f>SUMIF(Import!$B:$B,'Other Fund Line-Item Details'!$A136,Import!I:I)</f>
        <v>0</v>
      </c>
      <c r="O136" s="99">
        <f>SUMIF(Import!$B:$B,'Other Fund Line-Item Details'!$A136,Import!J:J)</f>
        <v>0</v>
      </c>
      <c r="P136" s="99">
        <f t="shared" si="152"/>
        <v>0</v>
      </c>
      <c r="Q136" s="99">
        <f>SUMIF(Import!$B:$B,'Other Fund Line-Item Details'!$A136,Import!K:K)</f>
        <v>0</v>
      </c>
      <c r="R136" s="99">
        <f>SUMIF(Import!$B:$B,'Other Fund Line-Item Details'!$A136,Import!L:L)</f>
        <v>0</v>
      </c>
      <c r="S136" s="99">
        <f>SUMIF(Import!$B:$B,'Other Fund Line-Item Details'!$A136,Import!M:M)</f>
        <v>0</v>
      </c>
      <c r="T136" s="99">
        <f>SUMIF(Import!$B:$B,'Other Fund Line-Item Details'!$A136,Import!N:N)</f>
        <v>0</v>
      </c>
      <c r="U136" s="99">
        <f t="shared" si="153"/>
        <v>0</v>
      </c>
      <c r="V136" s="255" t="str">
        <f t="shared" si="154"/>
        <v>N/A</v>
      </c>
      <c r="W136" s="102" t="s">
        <v>1827</v>
      </c>
      <c r="X136" s="97"/>
      <c r="Y136" s="97"/>
      <c r="Z136" s="97"/>
      <c r="AA136" s="97"/>
      <c r="AB136" s="97"/>
      <c r="AC136" s="97"/>
      <c r="AD136" s="97"/>
      <c r="AE136" s="97"/>
      <c r="AF136" s="97"/>
      <c r="AG136" s="97"/>
      <c r="AH136" s="97"/>
      <c r="AI136" s="97"/>
      <c r="AJ136" s="97"/>
      <c r="AK136" s="97"/>
      <c r="AL136" s="97"/>
      <c r="AM136" s="97"/>
      <c r="AN136" s="97"/>
      <c r="AO136" s="200"/>
      <c r="AP136" s="200"/>
      <c r="AQ136" s="200"/>
      <c r="AR136" s="200"/>
    </row>
    <row r="137" spans="1:44" s="115" customFormat="1" ht="15" hidden="1" customHeight="1">
      <c r="A137" s="555" t="s">
        <v>1828</v>
      </c>
      <c r="B137" s="217" t="str">
        <f t="shared" si="141"/>
        <v>112</v>
      </c>
      <c r="C137" s="217" t="str">
        <f t="shared" si="142"/>
        <v>00</v>
      </c>
      <c r="D137" s="101" t="str">
        <f t="shared" si="143"/>
        <v>000</v>
      </c>
      <c r="E137" s="217" t="str">
        <f t="shared" si="144"/>
        <v>112-00-000</v>
      </c>
      <c r="F137" s="294" t="str">
        <f t="shared" si="145"/>
        <v>43285</v>
      </c>
      <c r="G137" s="295" t="str">
        <f>VLOOKUP(F137,'GL Category'!A:C,3,FALSE)</f>
        <v>CHARGES FOR SERVICE</v>
      </c>
      <c r="H137" s="98" t="str">
        <f>VLOOKUP(F137,'GL Category'!A:C,2,FALSE)</f>
        <v>EASTER EVENT REVENUE</v>
      </c>
      <c r="I137" s="99">
        <f>SUMIF(Import!$B:$B,'Other Fund Line-Item Details'!$A137,Import!D:D)</f>
        <v>0</v>
      </c>
      <c r="J137" s="99">
        <f>SUMIF(Import!$B:$B,'Other Fund Line-Item Details'!$A137,Import!E:E)</f>
        <v>0</v>
      </c>
      <c r="K137" s="99">
        <f>SUMIF(Import!$B:$B,'Other Fund Line-Item Details'!$A137,Import!F:F)</f>
        <v>0</v>
      </c>
      <c r="L137" s="99">
        <f>SUMIF(Import!$B:$B,'Other Fund Line-Item Details'!$A137,Import!G:G)</f>
        <v>0</v>
      </c>
      <c r="M137" s="99">
        <f>SUMIF(Import!$B:$B,'Other Fund Line-Item Details'!$A137,Import!H:H)</f>
        <v>0</v>
      </c>
      <c r="N137" s="99">
        <f>SUMIF(Import!$B:$B,'Other Fund Line-Item Details'!$A137,Import!I:I)</f>
        <v>0</v>
      </c>
      <c r="O137" s="99">
        <f>SUMIF(Import!$B:$B,'Other Fund Line-Item Details'!$A137,Import!J:J)</f>
        <v>0</v>
      </c>
      <c r="P137" s="99">
        <f t="shared" si="152"/>
        <v>0</v>
      </c>
      <c r="Q137" s="99">
        <f>SUMIF(Import!$B:$B,'Other Fund Line-Item Details'!$A137,Import!K:K)</f>
        <v>0</v>
      </c>
      <c r="R137" s="99">
        <f>SUMIF(Import!$B:$B,'Other Fund Line-Item Details'!$A137,Import!L:L)</f>
        <v>0</v>
      </c>
      <c r="S137" s="99">
        <f>SUMIF(Import!$B:$B,'Other Fund Line-Item Details'!$A137,Import!M:M)</f>
        <v>0</v>
      </c>
      <c r="T137" s="99">
        <f>SUMIF(Import!$B:$B,'Other Fund Line-Item Details'!$A137,Import!N:N)</f>
        <v>0</v>
      </c>
      <c r="U137" s="99">
        <f t="shared" si="153"/>
        <v>0</v>
      </c>
      <c r="V137" s="255" t="str">
        <f t="shared" si="154"/>
        <v>N/A</v>
      </c>
      <c r="W137" s="102" t="s">
        <v>1828</v>
      </c>
      <c r="X137" s="97"/>
      <c r="Y137" s="97"/>
      <c r="Z137" s="97"/>
      <c r="AA137" s="97"/>
      <c r="AB137" s="97"/>
      <c r="AC137" s="97"/>
      <c r="AD137" s="97"/>
      <c r="AE137" s="97"/>
      <c r="AF137" s="97"/>
      <c r="AG137" s="97"/>
      <c r="AH137" s="97"/>
      <c r="AI137" s="97"/>
      <c r="AJ137" s="97"/>
      <c r="AK137" s="97"/>
      <c r="AL137" s="97"/>
      <c r="AM137" s="97"/>
      <c r="AN137" s="97"/>
      <c r="AO137" s="200"/>
      <c r="AP137" s="200"/>
      <c r="AQ137" s="200"/>
      <c r="AR137" s="200"/>
    </row>
    <row r="138" spans="1:44" s="115" customFormat="1" ht="15" hidden="1" customHeight="1">
      <c r="A138" s="555" t="s">
        <v>1829</v>
      </c>
      <c r="B138" s="217" t="str">
        <f t="shared" si="141"/>
        <v>112</v>
      </c>
      <c r="C138" s="217" t="str">
        <f t="shared" si="142"/>
        <v>00</v>
      </c>
      <c r="D138" s="101" t="str">
        <f t="shared" si="143"/>
        <v>000</v>
      </c>
      <c r="E138" s="217" t="str">
        <f t="shared" si="144"/>
        <v>112-00-000</v>
      </c>
      <c r="F138" s="294" t="str">
        <f t="shared" si="145"/>
        <v>43291</v>
      </c>
      <c r="G138" s="295" t="str">
        <f>VLOOKUP(F138,'GL Category'!A:C,3,FALSE)</f>
        <v>CHARGES FOR SERVICE</v>
      </c>
      <c r="H138" s="98" t="str">
        <f>VLOOKUP(F138,'GL Category'!A:C,2,FALSE)</f>
        <v>SPOOKY KOOKY KELLER KASTLE</v>
      </c>
      <c r="I138" s="99">
        <f>SUMIF(Import!$B:$B,'Other Fund Line-Item Details'!$A138,Import!D:D)</f>
        <v>0</v>
      </c>
      <c r="J138" s="99">
        <f>SUMIF(Import!$B:$B,'Other Fund Line-Item Details'!$A138,Import!E:E)</f>
        <v>0</v>
      </c>
      <c r="K138" s="99">
        <f>SUMIF(Import!$B:$B,'Other Fund Line-Item Details'!$A138,Import!F:F)</f>
        <v>0</v>
      </c>
      <c r="L138" s="99">
        <f>SUMIF(Import!$B:$B,'Other Fund Line-Item Details'!$A138,Import!G:G)</f>
        <v>0</v>
      </c>
      <c r="M138" s="99">
        <f>SUMIF(Import!$B:$B,'Other Fund Line-Item Details'!$A138,Import!H:H)</f>
        <v>0</v>
      </c>
      <c r="N138" s="99">
        <f>SUMIF(Import!$B:$B,'Other Fund Line-Item Details'!$A138,Import!I:I)</f>
        <v>0</v>
      </c>
      <c r="O138" s="99">
        <f>SUMIF(Import!$B:$B,'Other Fund Line-Item Details'!$A138,Import!J:J)</f>
        <v>0</v>
      </c>
      <c r="P138" s="99">
        <f t="shared" si="152"/>
        <v>0</v>
      </c>
      <c r="Q138" s="99">
        <f>SUMIF(Import!$B:$B,'Other Fund Line-Item Details'!$A138,Import!K:K)</f>
        <v>0</v>
      </c>
      <c r="R138" s="99">
        <f>SUMIF(Import!$B:$B,'Other Fund Line-Item Details'!$A138,Import!L:L)</f>
        <v>0</v>
      </c>
      <c r="S138" s="99">
        <f>SUMIF(Import!$B:$B,'Other Fund Line-Item Details'!$A138,Import!M:M)</f>
        <v>0</v>
      </c>
      <c r="T138" s="99">
        <f>SUMIF(Import!$B:$B,'Other Fund Line-Item Details'!$A138,Import!N:N)</f>
        <v>0</v>
      </c>
      <c r="U138" s="99">
        <f t="shared" si="153"/>
        <v>0</v>
      </c>
      <c r="V138" s="255" t="str">
        <f t="shared" si="154"/>
        <v>N/A</v>
      </c>
      <c r="W138" s="102" t="s">
        <v>1829</v>
      </c>
      <c r="X138" s="97"/>
      <c r="Y138" s="97"/>
      <c r="Z138" s="97"/>
      <c r="AA138" s="97"/>
      <c r="AB138" s="97"/>
      <c r="AC138" s="97"/>
      <c r="AD138" s="97"/>
      <c r="AE138" s="97"/>
      <c r="AF138" s="97"/>
      <c r="AG138" s="97"/>
      <c r="AH138" s="97"/>
      <c r="AI138" s="97"/>
      <c r="AJ138" s="97"/>
      <c r="AK138" s="97"/>
      <c r="AL138" s="97"/>
      <c r="AM138" s="97"/>
      <c r="AN138" s="97"/>
      <c r="AO138" s="200"/>
      <c r="AP138" s="200"/>
      <c r="AQ138" s="200"/>
      <c r="AR138" s="200"/>
    </row>
    <row r="139" spans="1:44" s="115" customFormat="1" ht="15" hidden="1" customHeight="1">
      <c r="A139" s="555" t="s">
        <v>1830</v>
      </c>
      <c r="B139" s="217" t="str">
        <f t="shared" si="141"/>
        <v>112</v>
      </c>
      <c r="C139" s="217" t="str">
        <f t="shared" si="142"/>
        <v>00</v>
      </c>
      <c r="D139" s="101" t="str">
        <f t="shared" si="143"/>
        <v>000</v>
      </c>
      <c r="E139" s="217" t="str">
        <f t="shared" si="144"/>
        <v>112-00-000</v>
      </c>
      <c r="F139" s="294" t="str">
        <f t="shared" si="145"/>
        <v>43292</v>
      </c>
      <c r="G139" s="295" t="str">
        <f>VLOOKUP(F139,'GL Category'!A:C,3,FALSE)</f>
        <v>CHARGES FOR SERVICE</v>
      </c>
      <c r="H139" s="98" t="str">
        <f>VLOOKUP(F139,'GL Category'!A:C,2,FALSE)</f>
        <v>FAMILY FUN FILMS REVENUE</v>
      </c>
      <c r="I139" s="99">
        <f>SUMIF(Import!$B:$B,'Other Fund Line-Item Details'!$A139,Import!D:D)</f>
        <v>0</v>
      </c>
      <c r="J139" s="99">
        <f>SUMIF(Import!$B:$B,'Other Fund Line-Item Details'!$A139,Import!E:E)</f>
        <v>0</v>
      </c>
      <c r="K139" s="99">
        <f>SUMIF(Import!$B:$B,'Other Fund Line-Item Details'!$A139,Import!F:F)</f>
        <v>0</v>
      </c>
      <c r="L139" s="99">
        <f>SUMIF(Import!$B:$B,'Other Fund Line-Item Details'!$A139,Import!G:G)</f>
        <v>0</v>
      </c>
      <c r="M139" s="99">
        <f>SUMIF(Import!$B:$B,'Other Fund Line-Item Details'!$A139,Import!H:H)</f>
        <v>0</v>
      </c>
      <c r="N139" s="99">
        <f>SUMIF(Import!$B:$B,'Other Fund Line-Item Details'!$A139,Import!I:I)</f>
        <v>0</v>
      </c>
      <c r="O139" s="99">
        <f>SUMIF(Import!$B:$B,'Other Fund Line-Item Details'!$A139,Import!J:J)</f>
        <v>0</v>
      </c>
      <c r="P139" s="99">
        <f t="shared" si="152"/>
        <v>0</v>
      </c>
      <c r="Q139" s="99">
        <f>SUMIF(Import!$B:$B,'Other Fund Line-Item Details'!$A139,Import!K:K)</f>
        <v>0</v>
      </c>
      <c r="R139" s="99">
        <f>SUMIF(Import!$B:$B,'Other Fund Line-Item Details'!$A139,Import!L:L)</f>
        <v>0</v>
      </c>
      <c r="S139" s="99">
        <f>SUMIF(Import!$B:$B,'Other Fund Line-Item Details'!$A139,Import!M:M)</f>
        <v>0</v>
      </c>
      <c r="T139" s="99">
        <f>SUMIF(Import!$B:$B,'Other Fund Line-Item Details'!$A139,Import!N:N)</f>
        <v>0</v>
      </c>
      <c r="U139" s="99">
        <f t="shared" si="153"/>
        <v>0</v>
      </c>
      <c r="V139" s="255" t="str">
        <f t="shared" si="154"/>
        <v>N/A</v>
      </c>
      <c r="W139" s="102" t="s">
        <v>1830</v>
      </c>
      <c r="X139" s="97"/>
      <c r="Y139" s="97"/>
      <c r="Z139" s="97"/>
      <c r="AA139" s="97"/>
      <c r="AB139" s="97"/>
      <c r="AC139" s="97"/>
      <c r="AD139" s="97"/>
      <c r="AE139" s="97"/>
      <c r="AF139" s="97"/>
      <c r="AG139" s="97"/>
      <c r="AH139" s="97"/>
      <c r="AI139" s="97"/>
      <c r="AJ139" s="97"/>
      <c r="AK139" s="97"/>
      <c r="AL139" s="97"/>
      <c r="AM139" s="97"/>
      <c r="AN139" s="97"/>
      <c r="AO139" s="200"/>
      <c r="AP139" s="200"/>
      <c r="AQ139" s="200"/>
      <c r="AR139" s="200"/>
    </row>
    <row r="140" spans="1:44" s="115" customFormat="1" ht="15" hidden="1" customHeight="1">
      <c r="A140" s="555" t="s">
        <v>1831</v>
      </c>
      <c r="B140" s="217" t="str">
        <f t="shared" si="141"/>
        <v>112</v>
      </c>
      <c r="C140" s="217" t="str">
        <f t="shared" si="142"/>
        <v>00</v>
      </c>
      <c r="D140" s="101" t="str">
        <f t="shared" si="143"/>
        <v>000</v>
      </c>
      <c r="E140" s="217" t="str">
        <f t="shared" si="144"/>
        <v>112-00-000</v>
      </c>
      <c r="F140" s="294" t="str">
        <f t="shared" si="145"/>
        <v>43293</v>
      </c>
      <c r="G140" s="295" t="str">
        <f>VLOOKUP(F140,'GL Category'!A:C,3,FALSE)</f>
        <v>CHARGES FOR SERVICE</v>
      </c>
      <c r="H140" s="98" t="str">
        <f>VLOOKUP(F140,'GL Category'!A:C,2,FALSE)</f>
        <v>FISHING EVENT REVENUE</v>
      </c>
      <c r="I140" s="99">
        <f>SUMIF(Import!$B:$B,'Other Fund Line-Item Details'!$A140,Import!D:D)</f>
        <v>0</v>
      </c>
      <c r="J140" s="99">
        <f>SUMIF(Import!$B:$B,'Other Fund Line-Item Details'!$A140,Import!E:E)</f>
        <v>0</v>
      </c>
      <c r="K140" s="99">
        <f>SUMIF(Import!$B:$B,'Other Fund Line-Item Details'!$A140,Import!F:F)</f>
        <v>0</v>
      </c>
      <c r="L140" s="99">
        <f>SUMIF(Import!$B:$B,'Other Fund Line-Item Details'!$A140,Import!G:G)</f>
        <v>0</v>
      </c>
      <c r="M140" s="99">
        <f>SUMIF(Import!$B:$B,'Other Fund Line-Item Details'!$A140,Import!H:H)</f>
        <v>0</v>
      </c>
      <c r="N140" s="99">
        <f>SUMIF(Import!$B:$B,'Other Fund Line-Item Details'!$A140,Import!I:I)</f>
        <v>0</v>
      </c>
      <c r="O140" s="99">
        <f>SUMIF(Import!$B:$B,'Other Fund Line-Item Details'!$A140,Import!J:J)</f>
        <v>0</v>
      </c>
      <c r="P140" s="99">
        <f t="shared" si="152"/>
        <v>0</v>
      </c>
      <c r="Q140" s="99">
        <f>SUMIF(Import!$B:$B,'Other Fund Line-Item Details'!$A140,Import!K:K)</f>
        <v>0</v>
      </c>
      <c r="R140" s="99">
        <f>SUMIF(Import!$B:$B,'Other Fund Line-Item Details'!$A140,Import!L:L)</f>
        <v>0</v>
      </c>
      <c r="S140" s="99">
        <f>SUMIF(Import!$B:$B,'Other Fund Line-Item Details'!$A140,Import!M:M)</f>
        <v>0</v>
      </c>
      <c r="T140" s="99">
        <f>SUMIF(Import!$B:$B,'Other Fund Line-Item Details'!$A140,Import!N:N)</f>
        <v>0</v>
      </c>
      <c r="U140" s="99">
        <f t="shared" si="153"/>
        <v>0</v>
      </c>
      <c r="V140" s="255" t="str">
        <f t="shared" si="154"/>
        <v>N/A</v>
      </c>
      <c r="W140" s="102" t="s">
        <v>1831</v>
      </c>
      <c r="X140" s="97"/>
      <c r="Y140" s="97"/>
      <c r="Z140" s="97"/>
      <c r="AA140" s="97"/>
      <c r="AB140" s="97"/>
      <c r="AC140" s="97"/>
      <c r="AD140" s="97"/>
      <c r="AE140" s="97"/>
      <c r="AF140" s="97"/>
      <c r="AG140" s="97"/>
      <c r="AH140" s="97"/>
      <c r="AI140" s="97"/>
      <c r="AJ140" s="97"/>
      <c r="AK140" s="97"/>
      <c r="AL140" s="97"/>
      <c r="AM140" s="97"/>
      <c r="AN140" s="97"/>
      <c r="AO140" s="200"/>
      <c r="AP140" s="200"/>
      <c r="AQ140" s="200"/>
      <c r="AR140" s="200"/>
    </row>
    <row r="141" spans="1:44" s="115" customFormat="1" ht="15" hidden="1" customHeight="1">
      <c r="A141" s="555" t="s">
        <v>1832</v>
      </c>
      <c r="B141" s="217" t="str">
        <f t="shared" si="141"/>
        <v>112</v>
      </c>
      <c r="C141" s="217" t="str">
        <f t="shared" si="142"/>
        <v>00</v>
      </c>
      <c r="D141" s="101" t="str">
        <f t="shared" si="143"/>
        <v>000</v>
      </c>
      <c r="E141" s="217" t="str">
        <f t="shared" si="144"/>
        <v>112-00-000</v>
      </c>
      <c r="F141" s="294" t="str">
        <f t="shared" si="145"/>
        <v>43420</v>
      </c>
      <c r="G141" s="295" t="str">
        <f>VLOOKUP(F141,'GL Category'!A:C,3,FALSE)</f>
        <v>CHARGES FOR SERVICE</v>
      </c>
      <c r="H141" s="98" t="str">
        <f>VLOOKUP(F141,'GL Category'!A:C,2,FALSE)</f>
        <v>EMPLOYEE PASS REVENUE</v>
      </c>
      <c r="I141" s="99">
        <f>SUMIF(Import!$B:$B,'Other Fund Line-Item Details'!$A141,Import!D:D)</f>
        <v>0</v>
      </c>
      <c r="J141" s="99">
        <f>SUMIF(Import!$B:$B,'Other Fund Line-Item Details'!$A141,Import!E:E)</f>
        <v>0</v>
      </c>
      <c r="K141" s="99">
        <f>SUMIF(Import!$B:$B,'Other Fund Line-Item Details'!$A141,Import!F:F)</f>
        <v>0</v>
      </c>
      <c r="L141" s="99">
        <f>SUMIF(Import!$B:$B,'Other Fund Line-Item Details'!$A141,Import!G:G)</f>
        <v>0</v>
      </c>
      <c r="M141" s="99">
        <f>SUMIF(Import!$B:$B,'Other Fund Line-Item Details'!$A141,Import!H:H)</f>
        <v>0</v>
      </c>
      <c r="N141" s="99">
        <f>SUMIF(Import!$B:$B,'Other Fund Line-Item Details'!$A141,Import!I:I)</f>
        <v>0</v>
      </c>
      <c r="O141" s="99">
        <f>SUMIF(Import!$B:$B,'Other Fund Line-Item Details'!$A141,Import!J:J)</f>
        <v>0</v>
      </c>
      <c r="P141" s="99">
        <f t="shared" si="152"/>
        <v>0</v>
      </c>
      <c r="Q141" s="99">
        <f>SUMIF(Import!$B:$B,'Other Fund Line-Item Details'!$A141,Import!K:K)</f>
        <v>0</v>
      </c>
      <c r="R141" s="99">
        <f>SUMIF(Import!$B:$B,'Other Fund Line-Item Details'!$A141,Import!L:L)</f>
        <v>0</v>
      </c>
      <c r="S141" s="99">
        <f>SUMIF(Import!$B:$B,'Other Fund Line-Item Details'!$A141,Import!M:M)</f>
        <v>0</v>
      </c>
      <c r="T141" s="99">
        <f>SUMIF(Import!$B:$B,'Other Fund Line-Item Details'!$A141,Import!N:N)</f>
        <v>0</v>
      </c>
      <c r="U141" s="99">
        <f t="shared" si="153"/>
        <v>0</v>
      </c>
      <c r="V141" s="255" t="str">
        <f t="shared" si="154"/>
        <v>N/A</v>
      </c>
      <c r="W141" s="102" t="s">
        <v>1832</v>
      </c>
      <c r="X141" s="97"/>
      <c r="Y141" s="97"/>
      <c r="Z141" s="97"/>
      <c r="AA141" s="97"/>
      <c r="AB141" s="97"/>
      <c r="AC141" s="97"/>
      <c r="AD141" s="97"/>
      <c r="AE141" s="97"/>
      <c r="AF141" s="97"/>
      <c r="AG141" s="97"/>
      <c r="AH141" s="97"/>
      <c r="AI141" s="97"/>
      <c r="AJ141" s="97"/>
      <c r="AK141" s="97"/>
      <c r="AL141" s="97"/>
      <c r="AM141" s="97"/>
      <c r="AN141" s="97"/>
      <c r="AO141" s="192"/>
      <c r="AP141" s="192"/>
      <c r="AQ141" s="192"/>
      <c r="AR141" s="192"/>
    </row>
    <row r="142" spans="1:44" s="115" customFormat="1" ht="15" hidden="1" customHeight="1">
      <c r="A142" s="555" t="s">
        <v>1833</v>
      </c>
      <c r="B142" s="217" t="str">
        <f t="shared" si="141"/>
        <v>112</v>
      </c>
      <c r="C142" s="217" t="str">
        <f t="shared" si="142"/>
        <v>00</v>
      </c>
      <c r="D142" s="101" t="str">
        <f t="shared" si="143"/>
        <v>000</v>
      </c>
      <c r="E142" s="217" t="str">
        <f t="shared" si="144"/>
        <v>112-00-000</v>
      </c>
      <c r="F142" s="294" t="str">
        <f t="shared" si="145"/>
        <v>43485</v>
      </c>
      <c r="G142" s="295" t="str">
        <f>VLOOKUP(F142,'GL Category'!A:C,3,FALSE)</f>
        <v>CHARGES FOR SERVICE</v>
      </c>
      <c r="H142" s="98" t="str">
        <f>VLOOKUP(F142,'GL Category'!A:C,2,FALSE)</f>
        <v>RECREATION PROGRAM REVENUE</v>
      </c>
      <c r="I142" s="99">
        <f>SUMIF(Import!$B:$B,'Other Fund Line-Item Details'!$A142,Import!D:D)</f>
        <v>0</v>
      </c>
      <c r="J142" s="99">
        <f>SUMIF(Import!$B:$B,'Other Fund Line-Item Details'!$A142,Import!E:E)</f>
        <v>0</v>
      </c>
      <c r="K142" s="99">
        <f>SUMIF(Import!$B:$B,'Other Fund Line-Item Details'!$A142,Import!F:F)</f>
        <v>0</v>
      </c>
      <c r="L142" s="99">
        <f>SUMIF(Import!$B:$B,'Other Fund Line-Item Details'!$A142,Import!G:G)</f>
        <v>0</v>
      </c>
      <c r="M142" s="99">
        <f>SUMIF(Import!$B:$B,'Other Fund Line-Item Details'!$A142,Import!H:H)</f>
        <v>0</v>
      </c>
      <c r="N142" s="99">
        <f>SUMIF(Import!$B:$B,'Other Fund Line-Item Details'!$A142,Import!I:I)</f>
        <v>0</v>
      </c>
      <c r="O142" s="99">
        <f>SUMIF(Import!$B:$B,'Other Fund Line-Item Details'!$A142,Import!J:J)</f>
        <v>0</v>
      </c>
      <c r="P142" s="99">
        <f t="shared" si="152"/>
        <v>0</v>
      </c>
      <c r="Q142" s="99">
        <f>SUMIF(Import!$B:$B,'Other Fund Line-Item Details'!$A142,Import!K:K)</f>
        <v>0</v>
      </c>
      <c r="R142" s="99">
        <f>SUMIF(Import!$B:$B,'Other Fund Line-Item Details'!$A142,Import!L:L)</f>
        <v>0</v>
      </c>
      <c r="S142" s="99">
        <f>SUMIF(Import!$B:$B,'Other Fund Line-Item Details'!$A142,Import!M:M)</f>
        <v>0</v>
      </c>
      <c r="T142" s="99">
        <f>SUMIF(Import!$B:$B,'Other Fund Line-Item Details'!$A142,Import!N:N)</f>
        <v>0</v>
      </c>
      <c r="U142" s="99">
        <f t="shared" si="153"/>
        <v>0</v>
      </c>
      <c r="V142" s="255" t="str">
        <f t="shared" si="154"/>
        <v>N/A</v>
      </c>
      <c r="W142" s="102" t="s">
        <v>1833</v>
      </c>
      <c r="X142" s="97"/>
      <c r="Y142" s="97"/>
      <c r="Z142" s="97"/>
      <c r="AA142" s="97"/>
      <c r="AB142" s="97"/>
      <c r="AC142" s="97"/>
      <c r="AD142" s="97"/>
      <c r="AE142" s="97"/>
      <c r="AF142" s="97"/>
      <c r="AG142" s="97"/>
      <c r="AH142" s="97"/>
      <c r="AI142" s="97"/>
      <c r="AJ142" s="97"/>
      <c r="AK142" s="97"/>
      <c r="AL142" s="97"/>
      <c r="AM142" s="97"/>
      <c r="AN142" s="97"/>
      <c r="AO142" s="192"/>
      <c r="AP142" s="192"/>
      <c r="AQ142" s="192"/>
      <c r="AR142" s="192"/>
    </row>
    <row r="143" spans="1:44" s="115" customFormat="1" ht="15" hidden="1" customHeight="1">
      <c r="A143" s="555" t="s">
        <v>1834</v>
      </c>
      <c r="B143" s="217" t="str">
        <f t="shared" si="141"/>
        <v>112</v>
      </c>
      <c r="C143" s="217" t="str">
        <f t="shared" si="142"/>
        <v>00</v>
      </c>
      <c r="D143" s="101" t="str">
        <f t="shared" si="143"/>
        <v>000</v>
      </c>
      <c r="E143" s="217" t="str">
        <f t="shared" si="144"/>
        <v>112-00-000</v>
      </c>
      <c r="F143" s="294" t="str">
        <f t="shared" si="145"/>
        <v>43491</v>
      </c>
      <c r="G143" s="295" t="str">
        <f>VLOOKUP(F143,'GL Category'!A:C,3,FALSE)</f>
        <v>CHARGES FOR SERVICE</v>
      </c>
      <c r="H143" s="98" t="str">
        <f>VLOOKUP(F143,'GL Category'!A:C,2,FALSE)</f>
        <v>SR SERVICES BRTHDY BRKFST</v>
      </c>
      <c r="I143" s="99">
        <f>SUMIF(Import!$B:$B,'Other Fund Line-Item Details'!$A143,Import!D:D)</f>
        <v>0</v>
      </c>
      <c r="J143" s="99">
        <f>SUMIF(Import!$B:$B,'Other Fund Line-Item Details'!$A143,Import!E:E)</f>
        <v>0</v>
      </c>
      <c r="K143" s="99">
        <f>SUMIF(Import!$B:$B,'Other Fund Line-Item Details'!$A143,Import!F:F)</f>
        <v>0</v>
      </c>
      <c r="L143" s="99">
        <f>SUMIF(Import!$B:$B,'Other Fund Line-Item Details'!$A143,Import!G:G)</f>
        <v>0</v>
      </c>
      <c r="M143" s="99">
        <f>SUMIF(Import!$B:$B,'Other Fund Line-Item Details'!$A143,Import!H:H)</f>
        <v>0</v>
      </c>
      <c r="N143" s="99">
        <f>SUMIF(Import!$B:$B,'Other Fund Line-Item Details'!$A143,Import!I:I)</f>
        <v>0</v>
      </c>
      <c r="O143" s="99">
        <f>SUMIF(Import!$B:$B,'Other Fund Line-Item Details'!$A143,Import!J:J)</f>
        <v>0</v>
      </c>
      <c r="P143" s="99">
        <f t="shared" si="152"/>
        <v>0</v>
      </c>
      <c r="Q143" s="99">
        <f>SUMIF(Import!$B:$B,'Other Fund Line-Item Details'!$A143,Import!K:K)</f>
        <v>0</v>
      </c>
      <c r="R143" s="99">
        <f>SUMIF(Import!$B:$B,'Other Fund Line-Item Details'!$A143,Import!L:L)</f>
        <v>0</v>
      </c>
      <c r="S143" s="99">
        <f>SUMIF(Import!$B:$B,'Other Fund Line-Item Details'!$A143,Import!M:M)</f>
        <v>0</v>
      </c>
      <c r="T143" s="99">
        <f>SUMIF(Import!$B:$B,'Other Fund Line-Item Details'!$A143,Import!N:N)</f>
        <v>0</v>
      </c>
      <c r="U143" s="99">
        <f t="shared" si="153"/>
        <v>0</v>
      </c>
      <c r="V143" s="255" t="str">
        <f t="shared" si="154"/>
        <v>N/A</v>
      </c>
      <c r="W143" s="102" t="s">
        <v>1834</v>
      </c>
      <c r="X143" s="97"/>
      <c r="Y143" s="97"/>
      <c r="Z143" s="97"/>
      <c r="AA143" s="97"/>
      <c r="AB143" s="97"/>
      <c r="AC143" s="97"/>
      <c r="AD143" s="97"/>
      <c r="AE143" s="97"/>
      <c r="AF143" s="97"/>
      <c r="AG143" s="97"/>
      <c r="AH143" s="97"/>
      <c r="AI143" s="97"/>
      <c r="AJ143" s="97"/>
      <c r="AK143" s="97"/>
      <c r="AL143" s="97"/>
      <c r="AM143" s="97"/>
      <c r="AN143" s="97"/>
      <c r="AO143" s="192"/>
      <c r="AP143" s="192"/>
      <c r="AQ143" s="192"/>
      <c r="AR143" s="192"/>
    </row>
    <row r="144" spans="1:44" s="115" customFormat="1" ht="15" hidden="1" customHeight="1">
      <c r="A144" s="555" t="s">
        <v>1835</v>
      </c>
      <c r="B144" s="217" t="str">
        <f t="shared" si="141"/>
        <v>112</v>
      </c>
      <c r="C144" s="217" t="str">
        <f t="shared" si="142"/>
        <v>00</v>
      </c>
      <c r="D144" s="101" t="str">
        <f t="shared" si="143"/>
        <v>000</v>
      </c>
      <c r="E144" s="217" t="str">
        <f t="shared" si="144"/>
        <v>112-00-000</v>
      </c>
      <c r="F144" s="294" t="str">
        <f t="shared" si="145"/>
        <v>43492</v>
      </c>
      <c r="G144" s="295" t="str">
        <f>VLOOKUP(F144,'GL Category'!A:C,3,FALSE)</f>
        <v>CHARGES FOR SERVICE</v>
      </c>
      <c r="H144" s="98" t="str">
        <f>VLOOKUP(F144,'GL Category'!A:C,2,FALSE)</f>
        <v>SR SERVICES THURSDAY NIGHTS</v>
      </c>
      <c r="I144" s="99">
        <f>SUMIF(Import!$B:$B,'Other Fund Line-Item Details'!$A144,Import!D:D)</f>
        <v>0</v>
      </c>
      <c r="J144" s="99">
        <f>SUMIF(Import!$B:$B,'Other Fund Line-Item Details'!$A144,Import!E:E)</f>
        <v>0</v>
      </c>
      <c r="K144" s="99">
        <f>SUMIF(Import!$B:$B,'Other Fund Line-Item Details'!$A144,Import!F:F)</f>
        <v>0</v>
      </c>
      <c r="L144" s="99">
        <f>SUMIF(Import!$B:$B,'Other Fund Line-Item Details'!$A144,Import!G:G)</f>
        <v>0</v>
      </c>
      <c r="M144" s="99">
        <f>SUMIF(Import!$B:$B,'Other Fund Line-Item Details'!$A144,Import!H:H)</f>
        <v>0</v>
      </c>
      <c r="N144" s="99">
        <f>SUMIF(Import!$B:$B,'Other Fund Line-Item Details'!$A144,Import!I:I)</f>
        <v>0</v>
      </c>
      <c r="O144" s="99">
        <f>SUMIF(Import!$B:$B,'Other Fund Line-Item Details'!$A144,Import!J:J)</f>
        <v>0</v>
      </c>
      <c r="P144" s="99">
        <f t="shared" si="152"/>
        <v>0</v>
      </c>
      <c r="Q144" s="99">
        <f>SUMIF(Import!$B:$B,'Other Fund Line-Item Details'!$A144,Import!K:K)</f>
        <v>0</v>
      </c>
      <c r="R144" s="99">
        <f>SUMIF(Import!$B:$B,'Other Fund Line-Item Details'!$A144,Import!L:L)</f>
        <v>0</v>
      </c>
      <c r="S144" s="99">
        <f>SUMIF(Import!$B:$B,'Other Fund Line-Item Details'!$A144,Import!M:M)</f>
        <v>0</v>
      </c>
      <c r="T144" s="99">
        <f>SUMIF(Import!$B:$B,'Other Fund Line-Item Details'!$A144,Import!N:N)</f>
        <v>0</v>
      </c>
      <c r="U144" s="99">
        <f t="shared" si="153"/>
        <v>0</v>
      </c>
      <c r="V144" s="255" t="str">
        <f t="shared" si="154"/>
        <v>N/A</v>
      </c>
      <c r="W144" s="102" t="s">
        <v>1835</v>
      </c>
      <c r="X144" s="97"/>
      <c r="Y144" s="97"/>
      <c r="Z144" s="97"/>
      <c r="AA144" s="97"/>
      <c r="AB144" s="97"/>
      <c r="AC144" s="97"/>
      <c r="AD144" s="97"/>
      <c r="AE144" s="97"/>
      <c r="AF144" s="97"/>
      <c r="AG144" s="97"/>
      <c r="AH144" s="97"/>
      <c r="AI144" s="97"/>
      <c r="AJ144" s="97"/>
      <c r="AK144" s="97"/>
      <c r="AL144" s="97"/>
      <c r="AM144" s="97"/>
      <c r="AN144" s="97"/>
      <c r="AO144" s="192"/>
      <c r="AP144" s="192"/>
      <c r="AQ144" s="192"/>
      <c r="AR144" s="192"/>
    </row>
    <row r="145" spans="1:44" s="115" customFormat="1" ht="15" hidden="1" customHeight="1">
      <c r="A145" s="555" t="s">
        <v>1836</v>
      </c>
      <c r="B145" s="217" t="str">
        <f t="shared" si="141"/>
        <v>112</v>
      </c>
      <c r="C145" s="217" t="str">
        <f t="shared" si="142"/>
        <v>00</v>
      </c>
      <c r="D145" s="101" t="str">
        <f t="shared" si="143"/>
        <v>000</v>
      </c>
      <c r="E145" s="217" t="str">
        <f t="shared" si="144"/>
        <v>112-00-000</v>
      </c>
      <c r="F145" s="294" t="str">
        <f t="shared" si="145"/>
        <v>43493</v>
      </c>
      <c r="G145" s="295" t="str">
        <f>VLOOKUP(F145,'GL Category'!A:C,3,FALSE)</f>
        <v>CHARGES FOR SERVICE</v>
      </c>
      <c r="H145" s="98" t="str">
        <f>VLOOKUP(F145,'GL Category'!A:C,2,FALSE)</f>
        <v>REVENUE-SR SVS COFFEE</v>
      </c>
      <c r="I145" s="99">
        <f>SUMIF(Import!$B:$B,'Other Fund Line-Item Details'!$A145,Import!D:D)</f>
        <v>0</v>
      </c>
      <c r="J145" s="99">
        <f>SUMIF(Import!$B:$B,'Other Fund Line-Item Details'!$A145,Import!E:E)</f>
        <v>0</v>
      </c>
      <c r="K145" s="99">
        <f>SUMIF(Import!$B:$B,'Other Fund Line-Item Details'!$A145,Import!F:F)</f>
        <v>0</v>
      </c>
      <c r="L145" s="99">
        <f>SUMIF(Import!$B:$B,'Other Fund Line-Item Details'!$A145,Import!G:G)</f>
        <v>0</v>
      </c>
      <c r="M145" s="99">
        <f>SUMIF(Import!$B:$B,'Other Fund Line-Item Details'!$A145,Import!H:H)</f>
        <v>0</v>
      </c>
      <c r="N145" s="99">
        <f>SUMIF(Import!$B:$B,'Other Fund Line-Item Details'!$A145,Import!I:I)</f>
        <v>0</v>
      </c>
      <c r="O145" s="99">
        <f>SUMIF(Import!$B:$B,'Other Fund Line-Item Details'!$A145,Import!J:J)</f>
        <v>0</v>
      </c>
      <c r="P145" s="99">
        <f t="shared" si="152"/>
        <v>0</v>
      </c>
      <c r="Q145" s="99">
        <f>SUMIF(Import!$B:$B,'Other Fund Line-Item Details'!$A145,Import!K:K)</f>
        <v>0</v>
      </c>
      <c r="R145" s="99">
        <f>SUMIF(Import!$B:$B,'Other Fund Line-Item Details'!$A145,Import!L:L)</f>
        <v>0</v>
      </c>
      <c r="S145" s="99">
        <f>SUMIF(Import!$B:$B,'Other Fund Line-Item Details'!$A145,Import!M:M)</f>
        <v>0</v>
      </c>
      <c r="T145" s="99">
        <f>SUMIF(Import!$B:$B,'Other Fund Line-Item Details'!$A145,Import!N:N)</f>
        <v>0</v>
      </c>
      <c r="U145" s="99">
        <f t="shared" si="153"/>
        <v>0</v>
      </c>
      <c r="V145" s="255" t="str">
        <f t="shared" si="154"/>
        <v>N/A</v>
      </c>
      <c r="W145" s="102" t="s">
        <v>1836</v>
      </c>
      <c r="X145" s="97"/>
      <c r="Y145" s="97"/>
      <c r="Z145" s="97"/>
      <c r="AA145" s="97"/>
      <c r="AB145" s="97"/>
      <c r="AC145" s="97"/>
      <c r="AD145" s="97"/>
      <c r="AE145" s="97"/>
      <c r="AF145" s="97"/>
      <c r="AG145" s="97"/>
      <c r="AH145" s="97"/>
      <c r="AI145" s="97"/>
      <c r="AJ145" s="97"/>
      <c r="AK145" s="97"/>
      <c r="AL145" s="97"/>
      <c r="AM145" s="97"/>
      <c r="AN145" s="97"/>
      <c r="AO145" s="192"/>
      <c r="AP145" s="192"/>
      <c r="AQ145" s="192"/>
      <c r="AR145" s="192"/>
    </row>
    <row r="146" spans="1:44" s="115" customFormat="1" ht="15" hidden="1" customHeight="1">
      <c r="A146" s="555" t="s">
        <v>1837</v>
      </c>
      <c r="B146" s="217" t="str">
        <f t="shared" si="141"/>
        <v>112</v>
      </c>
      <c r="C146" s="217" t="str">
        <f t="shared" si="142"/>
        <v>00</v>
      </c>
      <c r="D146" s="101" t="str">
        <f t="shared" si="143"/>
        <v>000</v>
      </c>
      <c r="E146" s="217" t="str">
        <f t="shared" si="144"/>
        <v>112-00-000</v>
      </c>
      <c r="F146" s="294" t="str">
        <f t="shared" si="145"/>
        <v>43494</v>
      </c>
      <c r="G146" s="295" t="str">
        <f>VLOOKUP(F146,'GL Category'!A:C,3,FALSE)</f>
        <v>CHARGES FOR SERVICE</v>
      </c>
      <c r="H146" s="98" t="str">
        <f>VLOOKUP(F146,'GL Category'!A:C,2,FALSE)</f>
        <v>REVENUE-SR SVS TRIP</v>
      </c>
      <c r="I146" s="99">
        <f>SUMIF(Import!$B:$B,'Other Fund Line-Item Details'!$A146,Import!D:D)</f>
        <v>0</v>
      </c>
      <c r="J146" s="99">
        <f>SUMIF(Import!$B:$B,'Other Fund Line-Item Details'!$A146,Import!E:E)</f>
        <v>0</v>
      </c>
      <c r="K146" s="99">
        <f>SUMIF(Import!$B:$B,'Other Fund Line-Item Details'!$A146,Import!F:F)</f>
        <v>0</v>
      </c>
      <c r="L146" s="99">
        <f>SUMIF(Import!$B:$B,'Other Fund Line-Item Details'!$A146,Import!G:G)</f>
        <v>0</v>
      </c>
      <c r="M146" s="99">
        <f>SUMIF(Import!$B:$B,'Other Fund Line-Item Details'!$A146,Import!H:H)</f>
        <v>0</v>
      </c>
      <c r="N146" s="99">
        <f>SUMIF(Import!$B:$B,'Other Fund Line-Item Details'!$A146,Import!I:I)</f>
        <v>0</v>
      </c>
      <c r="O146" s="99">
        <f>SUMIF(Import!$B:$B,'Other Fund Line-Item Details'!$A146,Import!J:J)</f>
        <v>0</v>
      </c>
      <c r="P146" s="99">
        <f t="shared" si="152"/>
        <v>0</v>
      </c>
      <c r="Q146" s="99">
        <f>SUMIF(Import!$B:$B,'Other Fund Line-Item Details'!$A146,Import!K:K)</f>
        <v>0</v>
      </c>
      <c r="R146" s="99">
        <f>SUMIF(Import!$B:$B,'Other Fund Line-Item Details'!$A146,Import!L:L)</f>
        <v>0</v>
      </c>
      <c r="S146" s="99">
        <f>SUMIF(Import!$B:$B,'Other Fund Line-Item Details'!$A146,Import!M:M)</f>
        <v>0</v>
      </c>
      <c r="T146" s="99">
        <f>SUMIF(Import!$B:$B,'Other Fund Line-Item Details'!$A146,Import!N:N)</f>
        <v>0</v>
      </c>
      <c r="U146" s="99">
        <f t="shared" si="153"/>
        <v>0</v>
      </c>
      <c r="V146" s="255" t="str">
        <f t="shared" si="154"/>
        <v>N/A</v>
      </c>
      <c r="W146" s="102" t="s">
        <v>1837</v>
      </c>
      <c r="X146" s="97"/>
      <c r="Y146" s="97"/>
      <c r="Z146" s="97"/>
      <c r="AA146" s="97"/>
      <c r="AB146" s="97"/>
      <c r="AC146" s="97"/>
      <c r="AD146" s="97"/>
      <c r="AE146" s="97"/>
      <c r="AF146" s="97"/>
      <c r="AG146" s="97"/>
      <c r="AH146" s="97"/>
      <c r="AI146" s="97"/>
      <c r="AJ146" s="97"/>
      <c r="AK146" s="97"/>
      <c r="AL146" s="97"/>
      <c r="AM146" s="97"/>
      <c r="AN146" s="97"/>
      <c r="AO146" s="192"/>
      <c r="AP146" s="192"/>
      <c r="AQ146" s="192"/>
      <c r="AR146" s="192"/>
    </row>
    <row r="147" spans="1:44" s="115" customFormat="1" ht="15" hidden="1" customHeight="1">
      <c r="A147" s="555" t="s">
        <v>1838</v>
      </c>
      <c r="B147" s="217" t="str">
        <f t="shared" si="141"/>
        <v>112</v>
      </c>
      <c r="C147" s="217" t="str">
        <f t="shared" si="142"/>
        <v>00</v>
      </c>
      <c r="D147" s="101" t="str">
        <f t="shared" si="143"/>
        <v>000</v>
      </c>
      <c r="E147" s="217" t="str">
        <f t="shared" si="144"/>
        <v>112-00-000</v>
      </c>
      <c r="F147" s="294" t="str">
        <f t="shared" si="145"/>
        <v>46104</v>
      </c>
      <c r="G147" s="295" t="str">
        <f>VLOOKUP(F147,'GL Category'!A:C,3,FALSE)</f>
        <v>INTERGOVERNMENTAL</v>
      </c>
      <c r="H147" s="98" t="str">
        <f>VLOOKUP(F147,'GL Category'!A:C,2,FALSE)</f>
        <v>I/G REV-TARRANT COUNTY</v>
      </c>
      <c r="I147" s="99">
        <f>SUMIF(Import!$B:$B,'Other Fund Line-Item Details'!$A147,Import!D:D)</f>
        <v>0</v>
      </c>
      <c r="J147" s="99">
        <f>SUMIF(Import!$B:$B,'Other Fund Line-Item Details'!$A147,Import!E:E)</f>
        <v>0</v>
      </c>
      <c r="K147" s="99">
        <f>SUMIF(Import!$B:$B,'Other Fund Line-Item Details'!$A147,Import!F:F)</f>
        <v>0</v>
      </c>
      <c r="L147" s="99">
        <f>SUMIF(Import!$B:$B,'Other Fund Line-Item Details'!$A147,Import!G:G)</f>
        <v>0</v>
      </c>
      <c r="M147" s="99">
        <f>SUMIF(Import!$B:$B,'Other Fund Line-Item Details'!$A147,Import!H:H)</f>
        <v>0</v>
      </c>
      <c r="N147" s="99">
        <f>SUMIF(Import!$B:$B,'Other Fund Line-Item Details'!$A147,Import!I:I)</f>
        <v>0</v>
      </c>
      <c r="O147" s="99">
        <f>SUMIF(Import!$B:$B,'Other Fund Line-Item Details'!$A147,Import!J:J)</f>
        <v>0</v>
      </c>
      <c r="P147" s="99">
        <f t="shared" si="152"/>
        <v>0</v>
      </c>
      <c r="Q147" s="99">
        <f>SUMIF(Import!$B:$B,'Other Fund Line-Item Details'!$A147,Import!K:K)</f>
        <v>0</v>
      </c>
      <c r="R147" s="99">
        <f>SUMIF(Import!$B:$B,'Other Fund Line-Item Details'!$A147,Import!L:L)</f>
        <v>0</v>
      </c>
      <c r="S147" s="99">
        <f>SUMIF(Import!$B:$B,'Other Fund Line-Item Details'!$A147,Import!M:M)</f>
        <v>0</v>
      </c>
      <c r="T147" s="99">
        <f>SUMIF(Import!$B:$B,'Other Fund Line-Item Details'!$A147,Import!N:N)</f>
        <v>0</v>
      </c>
      <c r="U147" s="99">
        <f t="shared" si="153"/>
        <v>0</v>
      </c>
      <c r="V147" s="255" t="str">
        <f t="shared" si="154"/>
        <v>N/A</v>
      </c>
      <c r="W147" s="102" t="s">
        <v>1838</v>
      </c>
      <c r="X147" s="97"/>
      <c r="Y147" s="97"/>
      <c r="Z147" s="97"/>
      <c r="AA147" s="97"/>
      <c r="AB147" s="97"/>
      <c r="AC147" s="97"/>
      <c r="AD147" s="97"/>
      <c r="AE147" s="97"/>
      <c r="AF147" s="97"/>
      <c r="AG147" s="97"/>
      <c r="AH147" s="97"/>
      <c r="AI147" s="97"/>
      <c r="AJ147" s="97"/>
      <c r="AK147" s="97"/>
      <c r="AL147" s="97"/>
      <c r="AM147" s="97"/>
      <c r="AN147" s="97"/>
      <c r="AO147" s="192"/>
      <c r="AP147" s="192"/>
      <c r="AQ147" s="192"/>
      <c r="AR147" s="192"/>
    </row>
    <row r="148" spans="1:44" s="115" customFormat="1" ht="15" hidden="1" customHeight="1">
      <c r="A148" s="555" t="s">
        <v>1839</v>
      </c>
      <c r="B148" s="217" t="str">
        <f t="shared" si="141"/>
        <v>112</v>
      </c>
      <c r="C148" s="217" t="str">
        <f t="shared" si="142"/>
        <v>00</v>
      </c>
      <c r="D148" s="101" t="str">
        <f t="shared" si="143"/>
        <v>000</v>
      </c>
      <c r="E148" s="217" t="str">
        <f t="shared" si="144"/>
        <v>112-00-000</v>
      </c>
      <c r="F148" s="294" t="str">
        <f t="shared" si="145"/>
        <v>46760</v>
      </c>
      <c r="G148" s="295" t="str">
        <f>VLOOKUP(F148,'GL Category'!A:C,3,FALSE)</f>
        <v>INTERGOVERNMENTAL</v>
      </c>
      <c r="H148" s="98" t="str">
        <f>VLOOKUP(F148,'GL Category'!A:C,2,FALSE)</f>
        <v>GRANT-LOCAL</v>
      </c>
      <c r="I148" s="99">
        <f>SUMIF(Import!$B:$B,'Other Fund Line-Item Details'!$A148,Import!D:D)</f>
        <v>0</v>
      </c>
      <c r="J148" s="99">
        <f>SUMIF(Import!$B:$B,'Other Fund Line-Item Details'!$A148,Import!E:E)</f>
        <v>0</v>
      </c>
      <c r="K148" s="99">
        <f>SUMIF(Import!$B:$B,'Other Fund Line-Item Details'!$A148,Import!F:F)</f>
        <v>0</v>
      </c>
      <c r="L148" s="99">
        <f>SUMIF(Import!$B:$B,'Other Fund Line-Item Details'!$A148,Import!G:G)</f>
        <v>0</v>
      </c>
      <c r="M148" s="99">
        <f>SUMIF(Import!$B:$B,'Other Fund Line-Item Details'!$A148,Import!H:H)</f>
        <v>0</v>
      </c>
      <c r="N148" s="99">
        <f>SUMIF(Import!$B:$B,'Other Fund Line-Item Details'!$A148,Import!I:I)</f>
        <v>0</v>
      </c>
      <c r="O148" s="99">
        <f>SUMIF(Import!$B:$B,'Other Fund Line-Item Details'!$A148,Import!J:J)</f>
        <v>0</v>
      </c>
      <c r="P148" s="99">
        <f t="shared" si="152"/>
        <v>0</v>
      </c>
      <c r="Q148" s="99">
        <f>SUMIF(Import!$B:$B,'Other Fund Line-Item Details'!$A148,Import!K:K)</f>
        <v>0</v>
      </c>
      <c r="R148" s="99">
        <f>SUMIF(Import!$B:$B,'Other Fund Line-Item Details'!$A148,Import!L:L)</f>
        <v>0</v>
      </c>
      <c r="S148" s="99">
        <f>SUMIF(Import!$B:$B,'Other Fund Line-Item Details'!$A148,Import!M:M)</f>
        <v>0</v>
      </c>
      <c r="T148" s="99">
        <f>SUMIF(Import!$B:$B,'Other Fund Line-Item Details'!$A148,Import!N:N)</f>
        <v>0</v>
      </c>
      <c r="U148" s="99">
        <f t="shared" si="153"/>
        <v>0</v>
      </c>
      <c r="V148" s="255" t="str">
        <f t="shared" si="154"/>
        <v>N/A</v>
      </c>
      <c r="W148" s="102" t="s">
        <v>1839</v>
      </c>
      <c r="X148" s="97"/>
      <c r="Y148" s="97"/>
      <c r="Z148" s="97"/>
      <c r="AA148" s="97"/>
      <c r="AB148" s="97"/>
      <c r="AC148" s="97"/>
      <c r="AD148" s="97"/>
      <c r="AE148" s="97"/>
      <c r="AF148" s="97"/>
      <c r="AG148" s="97"/>
      <c r="AH148" s="97"/>
      <c r="AI148" s="97"/>
      <c r="AJ148" s="97"/>
      <c r="AK148" s="97"/>
      <c r="AL148" s="97"/>
      <c r="AM148" s="97"/>
      <c r="AN148" s="97"/>
      <c r="AO148" s="192"/>
      <c r="AP148" s="192"/>
      <c r="AQ148" s="192"/>
      <c r="AR148" s="192"/>
    </row>
    <row r="149" spans="1:44" s="115" customFormat="1" ht="15" customHeight="1">
      <c r="A149" s="555" t="s">
        <v>1840</v>
      </c>
      <c r="B149" s="217" t="str">
        <f t="shared" si="141"/>
        <v>112</v>
      </c>
      <c r="C149" s="217" t="str">
        <f t="shared" si="142"/>
        <v>00</v>
      </c>
      <c r="D149" s="101" t="str">
        <f t="shared" si="143"/>
        <v>000</v>
      </c>
      <c r="E149" s="217" t="str">
        <f t="shared" si="144"/>
        <v>112-00-000</v>
      </c>
      <c r="F149" s="294" t="str">
        <f t="shared" si="145"/>
        <v>47070</v>
      </c>
      <c r="G149" s="295" t="str">
        <f>VLOOKUP(F149,'GL Category'!A:C,3,FALSE)</f>
        <v>OTHER REVENUE</v>
      </c>
      <c r="H149" s="98" t="str">
        <f>VLOOKUP(F149,'GL Category'!A:C,2,FALSE)</f>
        <v>CASH OVER/SHORT</v>
      </c>
      <c r="I149" s="99">
        <f>SUMIF(Import!$B:$B,'Other Fund Line-Item Details'!$A149,Import!D:D)</f>
        <v>0</v>
      </c>
      <c r="J149" s="99">
        <f>SUMIF(Import!$B:$B,'Other Fund Line-Item Details'!$A149,Import!E:E)</f>
        <v>0</v>
      </c>
      <c r="K149" s="99">
        <f>SUMIF(Import!$B:$B,'Other Fund Line-Item Details'!$A149,Import!F:F)</f>
        <v>-14.5</v>
      </c>
      <c r="L149" s="99">
        <f>SUMIF(Import!$B:$B,'Other Fund Line-Item Details'!$A149,Import!G:G)</f>
        <v>4</v>
      </c>
      <c r="M149" s="99">
        <f>SUMIF(Import!$B:$B,'Other Fund Line-Item Details'!$A149,Import!H:H)</f>
        <v>0</v>
      </c>
      <c r="N149" s="99">
        <f>SUMIF(Import!$B:$B,'Other Fund Line-Item Details'!$A149,Import!I:I)</f>
        <v>9</v>
      </c>
      <c r="O149" s="99">
        <f>SUMIF(Import!$B:$B,'Other Fund Line-Item Details'!$A149,Import!J:J)</f>
        <v>0</v>
      </c>
      <c r="P149" s="99">
        <f t="shared" si="152"/>
        <v>0</v>
      </c>
      <c r="Q149" s="99">
        <f>SUMIF(Import!$B:$B,'Other Fund Line-Item Details'!$A149,Import!K:K)</f>
        <v>0</v>
      </c>
      <c r="R149" s="99">
        <f>SUMIF(Import!$B:$B,'Other Fund Line-Item Details'!$A149,Import!L:L)</f>
        <v>0</v>
      </c>
      <c r="S149" s="99">
        <f>SUMIF(Import!$B:$B,'Other Fund Line-Item Details'!$A149,Import!M:M)</f>
        <v>0</v>
      </c>
      <c r="T149" s="99">
        <f>SUMIF(Import!$B:$B,'Other Fund Line-Item Details'!$A149,Import!N:N)</f>
        <v>0</v>
      </c>
      <c r="U149" s="99">
        <f t="shared" si="153"/>
        <v>0</v>
      </c>
      <c r="V149" s="255" t="str">
        <f t="shared" si="154"/>
        <v>N/A</v>
      </c>
      <c r="W149" s="102" t="s">
        <v>1840</v>
      </c>
      <c r="X149" s="97"/>
      <c r="Y149" s="97"/>
      <c r="Z149" s="97"/>
      <c r="AA149" s="97"/>
      <c r="AB149" s="97"/>
      <c r="AC149" s="97"/>
      <c r="AD149" s="97"/>
      <c r="AE149" s="97"/>
      <c r="AF149" s="97"/>
      <c r="AG149" s="97"/>
      <c r="AH149" s="97"/>
      <c r="AI149" s="97"/>
      <c r="AJ149" s="97"/>
      <c r="AK149" s="97"/>
      <c r="AL149" s="97"/>
      <c r="AM149" s="97"/>
      <c r="AN149" s="97"/>
      <c r="AO149" s="192"/>
      <c r="AP149" s="192"/>
      <c r="AQ149" s="192"/>
      <c r="AR149" s="192"/>
    </row>
    <row r="150" spans="1:44" s="115" customFormat="1" ht="15" customHeight="1">
      <c r="A150" s="555" t="s">
        <v>1841</v>
      </c>
      <c r="B150" s="217" t="str">
        <f t="shared" si="141"/>
        <v>112</v>
      </c>
      <c r="C150" s="217" t="str">
        <f t="shared" si="142"/>
        <v>00</v>
      </c>
      <c r="D150" s="101" t="str">
        <f t="shared" si="143"/>
        <v>000</v>
      </c>
      <c r="E150" s="217" t="str">
        <f t="shared" si="144"/>
        <v>112-00-000</v>
      </c>
      <c r="F150" s="294" t="str">
        <f t="shared" si="145"/>
        <v>47090</v>
      </c>
      <c r="G150" s="295" t="str">
        <f>VLOOKUP(F150,'GL Category'!A:C,3,FALSE)</f>
        <v>OTHER REVENUE</v>
      </c>
      <c r="H150" s="98" t="str">
        <f>VLOOKUP(F150,'GL Category'!A:C,2,FALSE)</f>
        <v>INTEREST REVENUE-INVESTMENTS</v>
      </c>
      <c r="I150" s="99">
        <f>SUMIF(Import!$B:$B,'Other Fund Line-Item Details'!$A150,Import!D:D)</f>
        <v>-4421.6499999999996</v>
      </c>
      <c r="J150" s="99">
        <f>SUMIF(Import!$B:$B,'Other Fund Line-Item Details'!$A150,Import!E:E)</f>
        <v>-1128.45</v>
      </c>
      <c r="K150" s="99">
        <f>SUMIF(Import!$B:$B,'Other Fund Line-Item Details'!$A150,Import!F:F)</f>
        <v>-2160.8200000000002</v>
      </c>
      <c r="L150" s="99">
        <f>SUMIF(Import!$B:$B,'Other Fund Line-Item Details'!$A150,Import!G:G)</f>
        <v>-17662.79</v>
      </c>
      <c r="M150" s="99">
        <f>SUMIF(Import!$B:$B,'Other Fund Line-Item Details'!$A150,Import!H:H)</f>
        <v>-6538</v>
      </c>
      <c r="N150" s="99">
        <f>SUMIF(Import!$B:$B,'Other Fund Line-Item Details'!$A150,Import!I:I)</f>
        <v>-16549.400000000001</v>
      </c>
      <c r="O150" s="99">
        <f>SUMIF(Import!$B:$B,'Other Fund Line-Item Details'!$A150,Import!J:J)</f>
        <v>-19519</v>
      </c>
      <c r="P150" s="99">
        <f t="shared" si="152"/>
        <v>-12981</v>
      </c>
      <c r="Q150" s="99">
        <f>SUMIF(Import!$B:$B,'Other Fund Line-Item Details'!$A150,Import!K:K)</f>
        <v>-19159</v>
      </c>
      <c r="R150" s="99">
        <f>SUMIF(Import!$B:$B,'Other Fund Line-Item Details'!$A150,Import!L:L)</f>
        <v>0</v>
      </c>
      <c r="S150" s="99">
        <f>SUMIF(Import!$B:$B,'Other Fund Line-Item Details'!$A150,Import!M:M)</f>
        <v>0</v>
      </c>
      <c r="T150" s="99">
        <f>SUMIF(Import!$B:$B,'Other Fund Line-Item Details'!$A150,Import!N:N)</f>
        <v>-19159</v>
      </c>
      <c r="U150" s="99">
        <f t="shared" si="153"/>
        <v>-12621</v>
      </c>
      <c r="V150" s="255">
        <f t="shared" si="154"/>
        <v>1.9304068522483941</v>
      </c>
      <c r="W150" s="102" t="s">
        <v>1841</v>
      </c>
      <c r="X150" s="97"/>
      <c r="Y150" s="97"/>
      <c r="Z150" s="97"/>
      <c r="AA150" s="97"/>
      <c r="AB150" s="97"/>
      <c r="AC150" s="97"/>
      <c r="AD150" s="97"/>
      <c r="AE150" s="97"/>
      <c r="AF150" s="97"/>
      <c r="AG150" s="97"/>
      <c r="AH150" s="97"/>
      <c r="AI150" s="97"/>
      <c r="AJ150" s="97"/>
      <c r="AK150" s="97"/>
      <c r="AL150" s="97"/>
      <c r="AM150" s="97"/>
      <c r="AN150" s="97"/>
      <c r="AO150" s="192"/>
      <c r="AP150" s="192"/>
      <c r="AQ150" s="192"/>
      <c r="AR150" s="192"/>
    </row>
    <row r="151" spans="1:44" s="115" customFormat="1" ht="15" hidden="1" customHeight="1">
      <c r="A151" s="555" t="s">
        <v>1842</v>
      </c>
      <c r="B151" s="217" t="str">
        <f t="shared" si="141"/>
        <v>112</v>
      </c>
      <c r="C151" s="217" t="str">
        <f t="shared" si="142"/>
        <v>00</v>
      </c>
      <c r="D151" s="101" t="str">
        <f t="shared" si="143"/>
        <v>000</v>
      </c>
      <c r="E151" s="217" t="str">
        <f t="shared" si="144"/>
        <v>112-00-000</v>
      </c>
      <c r="F151" s="294" t="str">
        <f t="shared" si="145"/>
        <v>47099</v>
      </c>
      <c r="G151" s="295" t="str">
        <f>VLOOKUP(F151,'GL Category'!A:C,3,FALSE)</f>
        <v>OTHER REVENUE</v>
      </c>
      <c r="H151" s="98" t="str">
        <f>VLOOKUP(F151,'GL Category'!A:C,2,FALSE)</f>
        <v>INCR/DECR IN FAIR VALUE OF INV</v>
      </c>
      <c r="I151" s="99">
        <f>SUMIF(Import!$B:$B,'Other Fund Line-Item Details'!$A151,Import!D:D)</f>
        <v>0</v>
      </c>
      <c r="J151" s="99">
        <f>SUMIF(Import!$B:$B,'Other Fund Line-Item Details'!$A151,Import!E:E)</f>
        <v>0</v>
      </c>
      <c r="K151" s="99">
        <f>SUMIF(Import!$B:$B,'Other Fund Line-Item Details'!$A151,Import!F:F)</f>
        <v>0</v>
      </c>
      <c r="L151" s="99">
        <f>SUMIF(Import!$B:$B,'Other Fund Line-Item Details'!$A151,Import!G:G)</f>
        <v>0</v>
      </c>
      <c r="M151" s="99">
        <f>SUMIF(Import!$B:$B,'Other Fund Line-Item Details'!$A151,Import!H:H)</f>
        <v>0</v>
      </c>
      <c r="N151" s="99">
        <f>SUMIF(Import!$B:$B,'Other Fund Line-Item Details'!$A151,Import!I:I)</f>
        <v>0</v>
      </c>
      <c r="O151" s="99">
        <f>SUMIF(Import!$B:$B,'Other Fund Line-Item Details'!$A151,Import!J:J)</f>
        <v>0</v>
      </c>
      <c r="P151" s="99">
        <f t="shared" si="152"/>
        <v>0</v>
      </c>
      <c r="Q151" s="99">
        <f>SUMIF(Import!$B:$B,'Other Fund Line-Item Details'!$A151,Import!K:K)</f>
        <v>0</v>
      </c>
      <c r="R151" s="99">
        <f>SUMIF(Import!$B:$B,'Other Fund Line-Item Details'!$A151,Import!L:L)</f>
        <v>0</v>
      </c>
      <c r="S151" s="99">
        <f>SUMIF(Import!$B:$B,'Other Fund Line-Item Details'!$A151,Import!M:M)</f>
        <v>0</v>
      </c>
      <c r="T151" s="99">
        <f>SUMIF(Import!$B:$B,'Other Fund Line-Item Details'!$A151,Import!N:N)</f>
        <v>0</v>
      </c>
      <c r="U151" s="99">
        <f t="shared" si="153"/>
        <v>0</v>
      </c>
      <c r="V151" s="255" t="str">
        <f t="shared" si="154"/>
        <v>N/A</v>
      </c>
      <c r="W151" s="102" t="s">
        <v>1842</v>
      </c>
      <c r="X151" s="97"/>
      <c r="Y151" s="97"/>
      <c r="Z151" s="97"/>
      <c r="AA151" s="97"/>
      <c r="AB151" s="97"/>
      <c r="AC151" s="97"/>
      <c r="AD151" s="97"/>
      <c r="AE151" s="97"/>
      <c r="AF151" s="97"/>
      <c r="AG151" s="97"/>
      <c r="AH151" s="97"/>
      <c r="AI151" s="97"/>
      <c r="AJ151" s="97"/>
      <c r="AK151" s="97"/>
      <c r="AL151" s="97"/>
      <c r="AM151" s="97"/>
      <c r="AN151" s="97"/>
      <c r="AO151" s="192"/>
      <c r="AP151" s="192"/>
      <c r="AQ151" s="192"/>
      <c r="AR151" s="192"/>
    </row>
    <row r="152" spans="1:44" s="115" customFormat="1" ht="15" hidden="1" customHeight="1">
      <c r="A152" s="555" t="s">
        <v>1843</v>
      </c>
      <c r="B152" s="217" t="str">
        <f t="shared" si="141"/>
        <v>112</v>
      </c>
      <c r="C152" s="217" t="str">
        <f t="shared" si="142"/>
        <v>00</v>
      </c>
      <c r="D152" s="101" t="str">
        <f t="shared" si="143"/>
        <v>000</v>
      </c>
      <c r="E152" s="217" t="str">
        <f t="shared" si="144"/>
        <v>112-00-000</v>
      </c>
      <c r="F152" s="294" t="str">
        <f t="shared" si="145"/>
        <v>47351</v>
      </c>
      <c r="G152" s="295" t="str">
        <f>VLOOKUP(F152,'GL Category'!A:C,3,FALSE)</f>
        <v>OTHER REVENUE</v>
      </c>
      <c r="H152" s="98" t="str">
        <f>VLOOKUP(F152,'GL Category'!A:C,2,FALSE)</f>
        <v>REVENUE-TREE RESTORATION</v>
      </c>
      <c r="I152" s="99">
        <f>SUMIF(Import!$B:$B,'Other Fund Line-Item Details'!$A152,Import!D:D)</f>
        <v>0</v>
      </c>
      <c r="J152" s="99">
        <f>SUMIF(Import!$B:$B,'Other Fund Line-Item Details'!$A152,Import!E:E)</f>
        <v>0</v>
      </c>
      <c r="K152" s="99">
        <f>SUMIF(Import!$B:$B,'Other Fund Line-Item Details'!$A152,Import!F:F)</f>
        <v>0</v>
      </c>
      <c r="L152" s="99">
        <f>SUMIF(Import!$B:$B,'Other Fund Line-Item Details'!$A152,Import!G:G)</f>
        <v>0</v>
      </c>
      <c r="M152" s="99">
        <f>SUMIF(Import!$B:$B,'Other Fund Line-Item Details'!$A152,Import!H:H)</f>
        <v>0</v>
      </c>
      <c r="N152" s="99">
        <f>SUMIF(Import!$B:$B,'Other Fund Line-Item Details'!$A152,Import!I:I)</f>
        <v>0</v>
      </c>
      <c r="O152" s="99">
        <f>SUMIF(Import!$B:$B,'Other Fund Line-Item Details'!$A152,Import!J:J)</f>
        <v>0</v>
      </c>
      <c r="P152" s="99">
        <f t="shared" si="152"/>
        <v>0</v>
      </c>
      <c r="Q152" s="99">
        <f>SUMIF(Import!$B:$B,'Other Fund Line-Item Details'!$A152,Import!K:K)</f>
        <v>0</v>
      </c>
      <c r="R152" s="99">
        <f>SUMIF(Import!$B:$B,'Other Fund Line-Item Details'!$A152,Import!L:L)</f>
        <v>0</v>
      </c>
      <c r="S152" s="99">
        <f>SUMIF(Import!$B:$B,'Other Fund Line-Item Details'!$A152,Import!M:M)</f>
        <v>0</v>
      </c>
      <c r="T152" s="99">
        <f>SUMIF(Import!$B:$B,'Other Fund Line-Item Details'!$A152,Import!N:N)</f>
        <v>0</v>
      </c>
      <c r="U152" s="99">
        <f t="shared" si="153"/>
        <v>0</v>
      </c>
      <c r="V152" s="255" t="str">
        <f t="shared" si="154"/>
        <v>N/A</v>
      </c>
      <c r="W152" s="102" t="s">
        <v>1843</v>
      </c>
      <c r="X152" s="97"/>
      <c r="Y152" s="97"/>
      <c r="Z152" s="97"/>
      <c r="AA152" s="97"/>
      <c r="AB152" s="97"/>
      <c r="AC152" s="97"/>
      <c r="AD152" s="97"/>
      <c r="AE152" s="97"/>
      <c r="AF152" s="97"/>
      <c r="AG152" s="97"/>
      <c r="AH152" s="97"/>
      <c r="AI152" s="97"/>
      <c r="AJ152" s="97"/>
      <c r="AK152" s="97"/>
      <c r="AL152" s="97"/>
      <c r="AM152" s="97"/>
      <c r="AN152" s="97"/>
      <c r="AO152" s="192"/>
      <c r="AP152" s="192"/>
      <c r="AQ152" s="192"/>
      <c r="AR152" s="192"/>
    </row>
    <row r="153" spans="1:44" s="115" customFormat="1" ht="15" hidden="1" customHeight="1">
      <c r="A153" s="555" t="s">
        <v>1844</v>
      </c>
      <c r="B153" s="217" t="str">
        <f t="shared" si="141"/>
        <v>112</v>
      </c>
      <c r="C153" s="217" t="str">
        <f t="shared" si="142"/>
        <v>00</v>
      </c>
      <c r="D153" s="101" t="str">
        <f t="shared" si="143"/>
        <v>000</v>
      </c>
      <c r="E153" s="217" t="str">
        <f t="shared" si="144"/>
        <v>112-00-000</v>
      </c>
      <c r="F153" s="294" t="str">
        <f t="shared" si="145"/>
        <v>47352</v>
      </c>
      <c r="G153" s="295" t="str">
        <f>VLOOKUP(F153,'GL Category'!A:C,3,FALSE)</f>
        <v>OTHER REVENUE</v>
      </c>
      <c r="H153" s="98" t="str">
        <f>VLOOKUP(F153,'GL Category'!A:C,2,FALSE)</f>
        <v>REVENUE-TAAF SWIMMING</v>
      </c>
      <c r="I153" s="99">
        <f>SUMIF(Import!$B:$B,'Other Fund Line-Item Details'!$A153,Import!D:D)</f>
        <v>0</v>
      </c>
      <c r="J153" s="99">
        <f>SUMIF(Import!$B:$B,'Other Fund Line-Item Details'!$A153,Import!E:E)</f>
        <v>0</v>
      </c>
      <c r="K153" s="99">
        <f>SUMIF(Import!$B:$B,'Other Fund Line-Item Details'!$A153,Import!F:F)</f>
        <v>0</v>
      </c>
      <c r="L153" s="99">
        <f>SUMIF(Import!$B:$B,'Other Fund Line-Item Details'!$A153,Import!G:G)</f>
        <v>0</v>
      </c>
      <c r="M153" s="99">
        <f>SUMIF(Import!$B:$B,'Other Fund Line-Item Details'!$A153,Import!H:H)</f>
        <v>0</v>
      </c>
      <c r="N153" s="99">
        <f>SUMIF(Import!$B:$B,'Other Fund Line-Item Details'!$A153,Import!I:I)</f>
        <v>0</v>
      </c>
      <c r="O153" s="99">
        <f>SUMIF(Import!$B:$B,'Other Fund Line-Item Details'!$A153,Import!J:J)</f>
        <v>0</v>
      </c>
      <c r="P153" s="99">
        <f t="shared" si="152"/>
        <v>0</v>
      </c>
      <c r="Q153" s="99">
        <f>SUMIF(Import!$B:$B,'Other Fund Line-Item Details'!$A153,Import!K:K)</f>
        <v>0</v>
      </c>
      <c r="R153" s="99">
        <f>SUMIF(Import!$B:$B,'Other Fund Line-Item Details'!$A153,Import!L:L)</f>
        <v>0</v>
      </c>
      <c r="S153" s="99">
        <f>SUMIF(Import!$B:$B,'Other Fund Line-Item Details'!$A153,Import!M:M)</f>
        <v>0</v>
      </c>
      <c r="T153" s="99">
        <f>SUMIF(Import!$B:$B,'Other Fund Line-Item Details'!$A153,Import!N:N)</f>
        <v>0</v>
      </c>
      <c r="U153" s="99">
        <f t="shared" si="153"/>
        <v>0</v>
      </c>
      <c r="V153" s="255" t="str">
        <f t="shared" si="154"/>
        <v>N/A</v>
      </c>
      <c r="W153" s="102" t="s">
        <v>1844</v>
      </c>
      <c r="X153" s="97"/>
      <c r="Y153" s="97"/>
      <c r="Z153" s="97"/>
      <c r="AA153" s="97"/>
      <c r="AB153" s="97"/>
      <c r="AC153" s="97"/>
      <c r="AD153" s="97"/>
      <c r="AE153" s="97"/>
      <c r="AF153" s="97"/>
      <c r="AG153" s="97"/>
      <c r="AH153" s="97"/>
      <c r="AI153" s="97"/>
      <c r="AJ153" s="97"/>
      <c r="AK153" s="97"/>
      <c r="AL153" s="97"/>
      <c r="AM153" s="97"/>
      <c r="AN153" s="97"/>
      <c r="AO153" s="192"/>
      <c r="AP153" s="192"/>
      <c r="AQ153" s="192"/>
      <c r="AR153" s="192"/>
    </row>
    <row r="154" spans="1:44" s="115" customFormat="1" ht="15" customHeight="1">
      <c r="A154" s="555" t="s">
        <v>1845</v>
      </c>
      <c r="B154" s="217" t="str">
        <f t="shared" si="141"/>
        <v>112</v>
      </c>
      <c r="C154" s="217" t="str">
        <f t="shared" si="142"/>
        <v>00</v>
      </c>
      <c r="D154" s="101" t="str">
        <f t="shared" si="143"/>
        <v>000</v>
      </c>
      <c r="E154" s="217" t="str">
        <f t="shared" si="144"/>
        <v>112-00-000</v>
      </c>
      <c r="F154" s="294" t="str">
        <f t="shared" si="145"/>
        <v>47353</v>
      </c>
      <c r="G154" s="295" t="str">
        <f>VLOOKUP(F154,'GL Category'!A:C,3,FALSE)</f>
        <v>OTHER REVENUE</v>
      </c>
      <c r="H154" s="98" t="str">
        <f>VLOOKUP(F154,'GL Category'!A:C,2,FALSE)</f>
        <v>REC SPECIAL EVENTS REVENUE</v>
      </c>
      <c r="I154" s="99">
        <f>SUMIF(Import!$B:$B,'Other Fund Line-Item Details'!$A154,Import!D:D)</f>
        <v>-34465.25</v>
      </c>
      <c r="J154" s="99">
        <f>SUMIF(Import!$B:$B,'Other Fund Line-Item Details'!$A154,Import!E:E)</f>
        <v>-15998</v>
      </c>
      <c r="K154" s="99">
        <f>SUMIF(Import!$B:$B,'Other Fund Line-Item Details'!$A154,Import!F:F)</f>
        <v>-54848.88</v>
      </c>
      <c r="L154" s="99">
        <f>SUMIF(Import!$B:$B,'Other Fund Line-Item Details'!$A154,Import!G:G)</f>
        <v>-70309.070000000007</v>
      </c>
      <c r="M154" s="99">
        <f>SUMIF(Import!$B:$B,'Other Fund Line-Item Details'!$A154,Import!H:H)</f>
        <v>-61410</v>
      </c>
      <c r="N154" s="99">
        <f>SUMIF(Import!$B:$B,'Other Fund Line-Item Details'!$A154,Import!I:I)</f>
        <v>-87605.09</v>
      </c>
      <c r="O154" s="99">
        <f>SUMIF(Import!$B:$B,'Other Fund Line-Item Details'!$A154,Import!J:J)</f>
        <v>-87605</v>
      </c>
      <c r="P154" s="99">
        <f t="shared" si="152"/>
        <v>-26195</v>
      </c>
      <c r="Q154" s="99">
        <f>SUMIF(Import!$B:$B,'Other Fund Line-Item Details'!$A154,Import!K:K)</f>
        <v>-78957</v>
      </c>
      <c r="R154" s="99">
        <f>SUMIF(Import!$B:$B,'Other Fund Line-Item Details'!$A154,Import!L:L)</f>
        <v>0</v>
      </c>
      <c r="S154" s="99">
        <f>SUMIF(Import!$B:$B,'Other Fund Line-Item Details'!$A154,Import!M:M)</f>
        <v>0</v>
      </c>
      <c r="T154" s="99">
        <f>SUMIF(Import!$B:$B,'Other Fund Line-Item Details'!$A154,Import!N:N)</f>
        <v>-78957</v>
      </c>
      <c r="U154" s="99">
        <f t="shared" si="153"/>
        <v>-17547</v>
      </c>
      <c r="V154" s="255">
        <f t="shared" si="154"/>
        <v>0.28573522227650217</v>
      </c>
      <c r="W154" s="102" t="s">
        <v>1845</v>
      </c>
      <c r="X154" s="97"/>
      <c r="Y154" s="97"/>
      <c r="Z154" s="97"/>
      <c r="AA154" s="97"/>
      <c r="AB154" s="97"/>
      <c r="AC154" s="97"/>
      <c r="AD154" s="97"/>
      <c r="AE154" s="97"/>
      <c r="AF154" s="97"/>
      <c r="AG154" s="97"/>
      <c r="AH154" s="97"/>
      <c r="AI154" s="97"/>
      <c r="AJ154" s="97"/>
      <c r="AK154" s="97"/>
      <c r="AL154" s="97"/>
      <c r="AM154" s="97"/>
      <c r="AN154" s="97"/>
      <c r="AO154" s="192"/>
      <c r="AP154" s="192"/>
      <c r="AQ154" s="192"/>
      <c r="AR154" s="192"/>
    </row>
    <row r="155" spans="1:44" s="115" customFormat="1" ht="15" hidden="1" customHeight="1">
      <c r="A155" s="555" t="s">
        <v>1846</v>
      </c>
      <c r="B155" s="217" t="str">
        <f t="shared" si="141"/>
        <v>112</v>
      </c>
      <c r="C155" s="217" t="str">
        <f t="shared" si="142"/>
        <v>00</v>
      </c>
      <c r="D155" s="101" t="str">
        <f t="shared" si="143"/>
        <v>000</v>
      </c>
      <c r="E155" s="217" t="str">
        <f t="shared" si="144"/>
        <v>112-00-000</v>
      </c>
      <c r="F155" s="294" t="str">
        <f t="shared" si="145"/>
        <v>47354</v>
      </c>
      <c r="G155" s="295" t="e">
        <f>VLOOKUP(F155,'GL Category'!A:C,3,FALSE)</f>
        <v>#N/A</v>
      </c>
      <c r="H155" s="98" t="e">
        <f>VLOOKUP(F155,'GL Category'!A:C,2,FALSE)</f>
        <v>#N/A</v>
      </c>
      <c r="I155" s="99">
        <f>SUMIF(Import!$B:$B,'Other Fund Line-Item Details'!$A155,Import!D:D)</f>
        <v>0</v>
      </c>
      <c r="J155" s="99">
        <f>SUMIF(Import!$B:$B,'Other Fund Line-Item Details'!$A155,Import!E:E)</f>
        <v>0</v>
      </c>
      <c r="K155" s="99">
        <f>SUMIF(Import!$B:$B,'Other Fund Line-Item Details'!$A155,Import!F:F)</f>
        <v>0</v>
      </c>
      <c r="L155" s="99">
        <f>SUMIF(Import!$B:$B,'Other Fund Line-Item Details'!$A155,Import!G:G)</f>
        <v>0</v>
      </c>
      <c r="M155" s="99">
        <f>SUMIF(Import!$B:$B,'Other Fund Line-Item Details'!$A155,Import!H:H)</f>
        <v>0</v>
      </c>
      <c r="N155" s="99">
        <f>SUMIF(Import!$B:$B,'Other Fund Line-Item Details'!$A155,Import!I:I)</f>
        <v>0</v>
      </c>
      <c r="O155" s="99">
        <f>SUMIF(Import!$B:$B,'Other Fund Line-Item Details'!$A155,Import!J:J)</f>
        <v>0</v>
      </c>
      <c r="P155" s="99">
        <f t="shared" si="152"/>
        <v>0</v>
      </c>
      <c r="Q155" s="99">
        <f>SUMIF(Import!$B:$B,'Other Fund Line-Item Details'!$A155,Import!K:K)</f>
        <v>0</v>
      </c>
      <c r="R155" s="99">
        <f>SUMIF(Import!$B:$B,'Other Fund Line-Item Details'!$A155,Import!L:L)</f>
        <v>0</v>
      </c>
      <c r="S155" s="99">
        <f>SUMIF(Import!$B:$B,'Other Fund Line-Item Details'!$A155,Import!M:M)</f>
        <v>0</v>
      </c>
      <c r="T155" s="99">
        <f>SUMIF(Import!$B:$B,'Other Fund Line-Item Details'!$A155,Import!N:N)</f>
        <v>0</v>
      </c>
      <c r="U155" s="99">
        <f t="shared" si="153"/>
        <v>0</v>
      </c>
      <c r="V155" s="255" t="str">
        <f t="shared" si="154"/>
        <v>N/A</v>
      </c>
      <c r="W155" s="102" t="s">
        <v>1846</v>
      </c>
      <c r="X155" s="97"/>
      <c r="Y155" s="97"/>
      <c r="Z155" s="97"/>
      <c r="AA155" s="97"/>
      <c r="AB155" s="97"/>
      <c r="AC155" s="97"/>
      <c r="AD155" s="97"/>
      <c r="AE155" s="97"/>
      <c r="AF155" s="97"/>
      <c r="AG155" s="97"/>
      <c r="AH155" s="97"/>
      <c r="AI155" s="97"/>
      <c r="AJ155" s="97"/>
      <c r="AK155" s="97"/>
      <c r="AL155" s="97"/>
      <c r="AM155" s="97"/>
      <c r="AN155" s="97"/>
      <c r="AO155" s="192"/>
      <c r="AP155" s="192"/>
      <c r="AQ155" s="192"/>
      <c r="AR155" s="192"/>
    </row>
    <row r="156" spans="1:44" s="115" customFormat="1" ht="15" hidden="1" customHeight="1">
      <c r="A156" s="555" t="s">
        <v>1847</v>
      </c>
      <c r="B156" s="217" t="str">
        <f t="shared" si="141"/>
        <v>112</v>
      </c>
      <c r="C156" s="217" t="str">
        <f t="shared" si="142"/>
        <v>00</v>
      </c>
      <c r="D156" s="101" t="str">
        <f t="shared" si="143"/>
        <v>000</v>
      </c>
      <c r="E156" s="217" t="str">
        <f t="shared" si="144"/>
        <v>112-00-000</v>
      </c>
      <c r="F156" s="294" t="str">
        <f t="shared" si="145"/>
        <v>47356</v>
      </c>
      <c r="G156" s="295" t="e">
        <f>VLOOKUP(F156,'GL Category'!A:C,3,FALSE)</f>
        <v>#N/A</v>
      </c>
      <c r="H156" s="98" t="e">
        <f>VLOOKUP(F156,'GL Category'!A:C,2,FALSE)</f>
        <v>#N/A</v>
      </c>
      <c r="I156" s="99">
        <f>SUMIF(Import!$B:$B,'Other Fund Line-Item Details'!$A156,Import!D:D)</f>
        <v>0</v>
      </c>
      <c r="J156" s="99">
        <f>SUMIF(Import!$B:$B,'Other Fund Line-Item Details'!$A156,Import!E:E)</f>
        <v>0</v>
      </c>
      <c r="K156" s="99">
        <f>SUMIF(Import!$B:$B,'Other Fund Line-Item Details'!$A156,Import!F:F)</f>
        <v>0</v>
      </c>
      <c r="L156" s="99">
        <f>SUMIF(Import!$B:$B,'Other Fund Line-Item Details'!$A156,Import!G:G)</f>
        <v>0</v>
      </c>
      <c r="M156" s="99">
        <f>SUMIF(Import!$B:$B,'Other Fund Line-Item Details'!$A156,Import!H:H)</f>
        <v>0</v>
      </c>
      <c r="N156" s="99">
        <f>SUMIF(Import!$B:$B,'Other Fund Line-Item Details'!$A156,Import!I:I)</f>
        <v>0</v>
      </c>
      <c r="O156" s="99">
        <f>SUMIF(Import!$B:$B,'Other Fund Line-Item Details'!$A156,Import!J:J)</f>
        <v>0</v>
      </c>
      <c r="P156" s="99">
        <f t="shared" si="152"/>
        <v>0</v>
      </c>
      <c r="Q156" s="99">
        <f>SUMIF(Import!$B:$B,'Other Fund Line-Item Details'!$A156,Import!K:K)</f>
        <v>0</v>
      </c>
      <c r="R156" s="99">
        <f>SUMIF(Import!$B:$B,'Other Fund Line-Item Details'!$A156,Import!L:L)</f>
        <v>0</v>
      </c>
      <c r="S156" s="99">
        <f>SUMIF(Import!$B:$B,'Other Fund Line-Item Details'!$A156,Import!M:M)</f>
        <v>0</v>
      </c>
      <c r="T156" s="99">
        <f>SUMIF(Import!$B:$B,'Other Fund Line-Item Details'!$A156,Import!N:N)</f>
        <v>0</v>
      </c>
      <c r="U156" s="99">
        <f t="shared" si="153"/>
        <v>0</v>
      </c>
      <c r="V156" s="255" t="str">
        <f t="shared" si="154"/>
        <v>N/A</v>
      </c>
      <c r="W156" s="102" t="s">
        <v>1847</v>
      </c>
      <c r="X156" s="97"/>
      <c r="Y156" s="97"/>
      <c r="Z156" s="97"/>
      <c r="AA156" s="97"/>
      <c r="AB156" s="97"/>
      <c r="AC156" s="97"/>
      <c r="AD156" s="97"/>
      <c r="AE156" s="97"/>
      <c r="AF156" s="97"/>
      <c r="AG156" s="97"/>
      <c r="AH156" s="97"/>
      <c r="AI156" s="97"/>
      <c r="AJ156" s="97"/>
      <c r="AK156" s="97"/>
      <c r="AL156" s="97"/>
      <c r="AM156" s="97"/>
      <c r="AN156" s="97"/>
      <c r="AO156" s="192"/>
      <c r="AP156" s="192"/>
      <c r="AQ156" s="192"/>
      <c r="AR156" s="192"/>
    </row>
    <row r="157" spans="1:44" s="115" customFormat="1" ht="15" customHeight="1">
      <c r="A157" s="555" t="s">
        <v>1848</v>
      </c>
      <c r="B157" s="217" t="str">
        <f t="shared" si="141"/>
        <v>112</v>
      </c>
      <c r="C157" s="217" t="str">
        <f t="shared" si="142"/>
        <v>00</v>
      </c>
      <c r="D157" s="101" t="str">
        <f t="shared" si="143"/>
        <v>000</v>
      </c>
      <c r="E157" s="217" t="str">
        <f t="shared" si="144"/>
        <v>112-00-000</v>
      </c>
      <c r="F157" s="294" t="str">
        <f t="shared" si="145"/>
        <v>47357</v>
      </c>
      <c r="G157" s="295" t="str">
        <f>VLOOKUP(F157,'GL Category'!A:C,3,FALSE)</f>
        <v>OTHER REVENUE</v>
      </c>
      <c r="H157" s="98" t="str">
        <f>VLOOKUP(F157,'GL Category'!A:C,2,FALSE)</f>
        <v>REVENUE-SR SVS PROGRAMMING</v>
      </c>
      <c r="I157" s="99">
        <f>SUMIF(Import!$B:$B,'Other Fund Line-Item Details'!$A157,Import!D:D)</f>
        <v>-6503</v>
      </c>
      <c r="J157" s="99">
        <f>SUMIF(Import!$B:$B,'Other Fund Line-Item Details'!$A157,Import!E:E)</f>
        <v>-4413</v>
      </c>
      <c r="K157" s="99">
        <f>SUMIF(Import!$B:$B,'Other Fund Line-Item Details'!$A157,Import!F:F)</f>
        <v>-26452.639999999999</v>
      </c>
      <c r="L157" s="99">
        <f>SUMIF(Import!$B:$B,'Other Fund Line-Item Details'!$A157,Import!G:G)</f>
        <v>-48182.29</v>
      </c>
      <c r="M157" s="99">
        <f>SUMIF(Import!$B:$B,'Other Fund Line-Item Details'!$A157,Import!H:H)</f>
        <v>-46950</v>
      </c>
      <c r="N157" s="99">
        <f>SUMIF(Import!$B:$B,'Other Fund Line-Item Details'!$A157,Import!I:I)</f>
        <v>-29901.96</v>
      </c>
      <c r="O157" s="99">
        <f>SUMIF(Import!$B:$B,'Other Fund Line-Item Details'!$A157,Import!J:J)</f>
        <v>-50400</v>
      </c>
      <c r="P157" s="99">
        <f t="shared" si="152"/>
        <v>-3450</v>
      </c>
      <c r="Q157" s="99">
        <f>SUMIF(Import!$B:$B,'Other Fund Line-Item Details'!$A157,Import!K:K)</f>
        <v>-46950</v>
      </c>
      <c r="R157" s="99">
        <f>SUMIF(Import!$B:$B,'Other Fund Line-Item Details'!$A157,Import!L:L)</f>
        <v>0</v>
      </c>
      <c r="S157" s="99">
        <f>SUMIF(Import!$B:$B,'Other Fund Line-Item Details'!$A157,Import!M:M)</f>
        <v>0</v>
      </c>
      <c r="T157" s="99">
        <f>SUMIF(Import!$B:$B,'Other Fund Line-Item Details'!$A157,Import!N:N)</f>
        <v>-46950</v>
      </c>
      <c r="U157" s="99">
        <f t="shared" si="153"/>
        <v>0</v>
      </c>
      <c r="V157" s="255">
        <f t="shared" si="154"/>
        <v>0</v>
      </c>
      <c r="W157" s="102" t="s">
        <v>1848</v>
      </c>
      <c r="X157" s="97"/>
      <c r="Y157" s="97"/>
      <c r="Z157" s="97"/>
      <c r="AA157" s="97"/>
      <c r="AB157" s="97"/>
      <c r="AC157" s="97"/>
      <c r="AD157" s="97"/>
      <c r="AE157" s="97"/>
      <c r="AF157" s="97"/>
      <c r="AG157" s="97"/>
      <c r="AH157" s="97"/>
      <c r="AI157" s="97"/>
      <c r="AJ157" s="97"/>
      <c r="AK157" s="97"/>
      <c r="AL157" s="97"/>
      <c r="AM157" s="97"/>
      <c r="AN157" s="97"/>
      <c r="AO157" s="192"/>
      <c r="AP157" s="192"/>
      <c r="AQ157" s="192"/>
      <c r="AR157" s="192"/>
    </row>
    <row r="158" spans="1:44" s="115" customFormat="1" ht="15" customHeight="1">
      <c r="A158" s="555" t="s">
        <v>1849</v>
      </c>
      <c r="B158" s="217" t="str">
        <f t="shared" si="141"/>
        <v>112</v>
      </c>
      <c r="C158" s="217" t="str">
        <f t="shared" si="142"/>
        <v>00</v>
      </c>
      <c r="D158" s="101" t="str">
        <f t="shared" si="143"/>
        <v>000</v>
      </c>
      <c r="E158" s="217" t="str">
        <f t="shared" si="144"/>
        <v>112-00-000</v>
      </c>
      <c r="F158" s="294" t="str">
        <f t="shared" si="145"/>
        <v>47358</v>
      </c>
      <c r="G158" s="295" t="str">
        <f>VLOOKUP(F158,'GL Category'!A:C,3,FALSE)</f>
        <v>OTHER REVENUE</v>
      </c>
      <c r="H158" s="98" t="str">
        <f>VLOOKUP(F158,'GL Category'!A:C,2,FALSE)</f>
        <v>REVENUE-SR SVS TRIPS</v>
      </c>
      <c r="I158" s="99">
        <f>SUMIF(Import!$B:$B,'Other Fund Line-Item Details'!$A158,Import!D:D)</f>
        <v>-2081</v>
      </c>
      <c r="J158" s="99">
        <f>SUMIF(Import!$B:$B,'Other Fund Line-Item Details'!$A158,Import!E:E)</f>
        <v>-719</v>
      </c>
      <c r="K158" s="99">
        <f>SUMIF(Import!$B:$B,'Other Fund Line-Item Details'!$A158,Import!F:F)</f>
        <v>-65600</v>
      </c>
      <c r="L158" s="99">
        <f>SUMIF(Import!$B:$B,'Other Fund Line-Item Details'!$A158,Import!G:G)</f>
        <v>-59799</v>
      </c>
      <c r="M158" s="99">
        <f>SUMIF(Import!$B:$B,'Other Fund Line-Item Details'!$A158,Import!H:H)</f>
        <v>-58799</v>
      </c>
      <c r="N158" s="99">
        <f>SUMIF(Import!$B:$B,'Other Fund Line-Item Details'!$A158,Import!I:I)</f>
        <v>-33883.620000000003</v>
      </c>
      <c r="O158" s="99">
        <f>SUMIF(Import!$B:$B,'Other Fund Line-Item Details'!$A158,Import!J:J)</f>
        <v>-38000</v>
      </c>
      <c r="P158" s="99">
        <f t="shared" si="152"/>
        <v>20799</v>
      </c>
      <c r="Q158" s="99">
        <f>SUMIF(Import!$B:$B,'Other Fund Line-Item Details'!$A158,Import!K:K)</f>
        <v>-58799</v>
      </c>
      <c r="R158" s="99">
        <f>SUMIF(Import!$B:$B,'Other Fund Line-Item Details'!$A158,Import!L:L)</f>
        <v>0</v>
      </c>
      <c r="S158" s="99">
        <f>SUMIF(Import!$B:$B,'Other Fund Line-Item Details'!$A158,Import!M:M)</f>
        <v>0</v>
      </c>
      <c r="T158" s="99">
        <f>SUMIF(Import!$B:$B,'Other Fund Line-Item Details'!$A158,Import!N:N)</f>
        <v>-58799</v>
      </c>
      <c r="U158" s="99">
        <f t="shared" si="153"/>
        <v>0</v>
      </c>
      <c r="V158" s="255">
        <f t="shared" si="154"/>
        <v>0</v>
      </c>
      <c r="W158" s="102" t="s">
        <v>1849</v>
      </c>
      <c r="X158" s="97"/>
      <c r="Y158" s="97"/>
      <c r="Z158" s="97"/>
      <c r="AA158" s="97"/>
      <c r="AB158" s="97"/>
      <c r="AC158" s="97"/>
      <c r="AD158" s="97"/>
      <c r="AE158" s="97"/>
      <c r="AF158" s="97"/>
      <c r="AG158" s="97"/>
      <c r="AH158" s="97"/>
      <c r="AI158" s="97"/>
      <c r="AJ158" s="97"/>
      <c r="AK158" s="97"/>
      <c r="AL158" s="97"/>
      <c r="AM158" s="97"/>
      <c r="AN158" s="97"/>
      <c r="AO158" s="192"/>
      <c r="AP158" s="192"/>
      <c r="AQ158" s="192"/>
      <c r="AR158" s="192"/>
    </row>
    <row r="159" spans="1:44" s="115" customFormat="1" ht="15" hidden="1" customHeight="1">
      <c r="A159" s="555" t="s">
        <v>1850</v>
      </c>
      <c r="B159" s="217" t="str">
        <f t="shared" si="141"/>
        <v>112</v>
      </c>
      <c r="C159" s="217" t="str">
        <f t="shared" si="142"/>
        <v>00</v>
      </c>
      <c r="D159" s="101" t="str">
        <f t="shared" si="143"/>
        <v>000</v>
      </c>
      <c r="E159" s="217" t="str">
        <f t="shared" si="144"/>
        <v>112-00-000</v>
      </c>
      <c r="F159" s="294" t="str">
        <f t="shared" si="145"/>
        <v>47359</v>
      </c>
      <c r="G159" s="295" t="str">
        <f>VLOOKUP(F159,'GL Category'!A:C,3,FALSE)</f>
        <v>OTHER REVENUE</v>
      </c>
      <c r="H159" s="98" t="str">
        <f>VLOOKUP(F159,'GL Category'!A:C,2,FALSE)</f>
        <v>REVENUE-TICKET SALES</v>
      </c>
      <c r="I159" s="99">
        <f>SUMIF(Import!$B:$B,'Other Fund Line-Item Details'!$A159,Import!D:D)</f>
        <v>0</v>
      </c>
      <c r="J159" s="99">
        <f>SUMIF(Import!$B:$B,'Other Fund Line-Item Details'!$A159,Import!E:E)</f>
        <v>0</v>
      </c>
      <c r="K159" s="99">
        <f>SUMIF(Import!$B:$B,'Other Fund Line-Item Details'!$A159,Import!F:F)</f>
        <v>0</v>
      </c>
      <c r="L159" s="99">
        <f>SUMIF(Import!$B:$B,'Other Fund Line-Item Details'!$A159,Import!G:G)</f>
        <v>0</v>
      </c>
      <c r="M159" s="99">
        <f>SUMIF(Import!$B:$B,'Other Fund Line-Item Details'!$A159,Import!H:H)</f>
        <v>0</v>
      </c>
      <c r="N159" s="99">
        <f>SUMIF(Import!$B:$B,'Other Fund Line-Item Details'!$A159,Import!I:I)</f>
        <v>0</v>
      </c>
      <c r="O159" s="99">
        <f>SUMIF(Import!$B:$B,'Other Fund Line-Item Details'!$A159,Import!J:J)</f>
        <v>0</v>
      </c>
      <c r="P159" s="99">
        <f t="shared" si="152"/>
        <v>0</v>
      </c>
      <c r="Q159" s="99">
        <f>SUMIF(Import!$B:$B,'Other Fund Line-Item Details'!$A159,Import!K:K)</f>
        <v>0</v>
      </c>
      <c r="R159" s="99">
        <f>SUMIF(Import!$B:$B,'Other Fund Line-Item Details'!$A159,Import!L:L)</f>
        <v>0</v>
      </c>
      <c r="S159" s="99">
        <f>SUMIF(Import!$B:$B,'Other Fund Line-Item Details'!$A159,Import!M:M)</f>
        <v>0</v>
      </c>
      <c r="T159" s="99">
        <f>SUMIF(Import!$B:$B,'Other Fund Line-Item Details'!$A159,Import!N:N)</f>
        <v>0</v>
      </c>
      <c r="U159" s="99">
        <f t="shared" si="153"/>
        <v>0</v>
      </c>
      <c r="V159" s="255" t="str">
        <f t="shared" si="154"/>
        <v>N/A</v>
      </c>
      <c r="W159" s="102" t="s">
        <v>1850</v>
      </c>
      <c r="X159" s="97"/>
      <c r="Y159" s="97"/>
      <c r="Z159" s="97"/>
      <c r="AA159" s="97"/>
      <c r="AB159" s="97"/>
      <c r="AC159" s="97"/>
      <c r="AD159" s="97"/>
      <c r="AE159" s="97"/>
      <c r="AF159" s="97"/>
      <c r="AG159" s="97"/>
      <c r="AH159" s="97"/>
      <c r="AI159" s="97"/>
      <c r="AJ159" s="97"/>
      <c r="AK159" s="97"/>
      <c r="AL159" s="97"/>
      <c r="AM159" s="97"/>
      <c r="AN159" s="97"/>
      <c r="AO159" s="192"/>
      <c r="AP159" s="192"/>
      <c r="AQ159" s="192"/>
      <c r="AR159" s="192"/>
    </row>
    <row r="160" spans="1:44" s="115" customFormat="1" ht="15" customHeight="1">
      <c r="A160" s="555" t="s">
        <v>1851</v>
      </c>
      <c r="B160" s="217" t="str">
        <f t="shared" si="141"/>
        <v>112</v>
      </c>
      <c r="C160" s="217" t="str">
        <f t="shared" si="142"/>
        <v>00</v>
      </c>
      <c r="D160" s="101" t="str">
        <f t="shared" si="143"/>
        <v>000</v>
      </c>
      <c r="E160" s="217" t="str">
        <f t="shared" si="144"/>
        <v>112-00-000</v>
      </c>
      <c r="F160" s="294" t="str">
        <f t="shared" si="145"/>
        <v>48560</v>
      </c>
      <c r="G160" s="295" t="str">
        <f>VLOOKUP(F160,'GL Category'!A:C,3,FALSE)</f>
        <v>OTHER REVENUE</v>
      </c>
      <c r="H160" s="98" t="str">
        <f>VLOOKUP(F160,'GL Category'!A:C,2,FALSE)</f>
        <v>DONATIONS-UTILITY BILLING</v>
      </c>
      <c r="I160" s="99">
        <f>SUMIF(Import!$B:$B,'Other Fund Line-Item Details'!$A160,Import!D:D)</f>
        <v>-6535.5</v>
      </c>
      <c r="J160" s="99">
        <f>SUMIF(Import!$B:$B,'Other Fund Line-Item Details'!$A160,Import!E:E)</f>
        <v>-6322.02</v>
      </c>
      <c r="K160" s="99">
        <f>SUMIF(Import!$B:$B,'Other Fund Line-Item Details'!$A160,Import!F:F)</f>
        <v>-5032.4399999999996</v>
      </c>
      <c r="L160" s="99">
        <f>SUMIF(Import!$B:$B,'Other Fund Line-Item Details'!$A160,Import!G:G)</f>
        <v>-4208.97</v>
      </c>
      <c r="M160" s="99">
        <f>SUMIF(Import!$B:$B,'Other Fund Line-Item Details'!$A160,Import!H:H)</f>
        <v>-4693</v>
      </c>
      <c r="N160" s="99">
        <f>SUMIF(Import!$B:$B,'Other Fund Line-Item Details'!$A160,Import!I:I)</f>
        <v>-2253.62</v>
      </c>
      <c r="O160" s="99">
        <f>SUMIF(Import!$B:$B,'Other Fund Line-Item Details'!$A160,Import!J:J)</f>
        <v>-2476</v>
      </c>
      <c r="P160" s="99">
        <f t="shared" si="152"/>
        <v>2217</v>
      </c>
      <c r="Q160" s="99">
        <f>SUMIF(Import!$B:$B,'Other Fund Line-Item Details'!$A160,Import!K:K)</f>
        <v>-3273</v>
      </c>
      <c r="R160" s="99">
        <f>SUMIF(Import!$B:$B,'Other Fund Line-Item Details'!$A160,Import!L:L)</f>
        <v>0</v>
      </c>
      <c r="S160" s="99">
        <f>SUMIF(Import!$B:$B,'Other Fund Line-Item Details'!$A160,Import!M:M)</f>
        <v>0</v>
      </c>
      <c r="T160" s="99">
        <f>SUMIF(Import!$B:$B,'Other Fund Line-Item Details'!$A160,Import!N:N)</f>
        <v>-3273</v>
      </c>
      <c r="U160" s="99">
        <f t="shared" si="153"/>
        <v>1420</v>
      </c>
      <c r="V160" s="255">
        <f t="shared" si="154"/>
        <v>-0.3025783081184743</v>
      </c>
      <c r="W160" s="102" t="s">
        <v>1851</v>
      </c>
      <c r="X160" s="97"/>
      <c r="Y160" s="97"/>
      <c r="Z160" s="97"/>
      <c r="AA160" s="97"/>
      <c r="AB160" s="97"/>
      <c r="AC160" s="97"/>
      <c r="AD160" s="97"/>
      <c r="AE160" s="97"/>
      <c r="AF160" s="97"/>
      <c r="AG160" s="97"/>
      <c r="AH160" s="97"/>
      <c r="AI160" s="97"/>
      <c r="AJ160" s="97"/>
      <c r="AK160" s="97"/>
      <c r="AL160" s="97"/>
      <c r="AM160" s="97"/>
      <c r="AN160" s="97"/>
      <c r="AO160" s="192"/>
      <c r="AP160" s="192"/>
      <c r="AQ160" s="192"/>
      <c r="AR160" s="192"/>
    </row>
    <row r="161" spans="1:44" s="115" customFormat="1" ht="15" customHeight="1">
      <c r="A161" s="555" t="s">
        <v>1852</v>
      </c>
      <c r="B161" s="217" t="str">
        <f t="shared" si="141"/>
        <v>112</v>
      </c>
      <c r="C161" s="217" t="str">
        <f t="shared" si="142"/>
        <v>00</v>
      </c>
      <c r="D161" s="101" t="str">
        <f t="shared" si="143"/>
        <v>000</v>
      </c>
      <c r="E161" s="217" t="str">
        <f t="shared" si="144"/>
        <v>112-00-000</v>
      </c>
      <c r="F161" s="294" t="str">
        <f t="shared" si="145"/>
        <v>48565</v>
      </c>
      <c r="G161" s="295" t="str">
        <f>VLOOKUP(F161,'GL Category'!A:C,3,FALSE)</f>
        <v>OTHER REVENUE</v>
      </c>
      <c r="H161" s="98" t="str">
        <f>VLOOKUP(F161,'GL Category'!A:C,2,FALSE)</f>
        <v>DONATIONS-SR SVS</v>
      </c>
      <c r="I161" s="99">
        <f>SUMIF(Import!$B:$B,'Other Fund Line-Item Details'!$A161,Import!D:D)</f>
        <v>-21061</v>
      </c>
      <c r="J161" s="99">
        <f>SUMIF(Import!$B:$B,'Other Fund Line-Item Details'!$A161,Import!E:E)</f>
        <v>-3377</v>
      </c>
      <c r="K161" s="99">
        <f>SUMIF(Import!$B:$B,'Other Fund Line-Item Details'!$A161,Import!F:F)</f>
        <v>-28125.11</v>
      </c>
      <c r="L161" s="99">
        <f>SUMIF(Import!$B:$B,'Other Fund Line-Item Details'!$A161,Import!G:G)</f>
        <v>-22816.75</v>
      </c>
      <c r="M161" s="99">
        <f>SUMIF(Import!$B:$B,'Other Fund Line-Item Details'!$A161,Import!H:H)</f>
        <v>-25816</v>
      </c>
      <c r="N161" s="99">
        <f>SUMIF(Import!$B:$B,'Other Fund Line-Item Details'!$A161,Import!I:I)</f>
        <v>-15512.5</v>
      </c>
      <c r="O161" s="99">
        <f>SUMIF(Import!$B:$B,'Other Fund Line-Item Details'!$A161,Import!J:J)</f>
        <v>-15777</v>
      </c>
      <c r="P161" s="99">
        <f t="shared" si="152"/>
        <v>10039</v>
      </c>
      <c r="Q161" s="99">
        <f>SUMIF(Import!$B:$B,'Other Fund Line-Item Details'!$A161,Import!K:K)</f>
        <v>-19521</v>
      </c>
      <c r="R161" s="99">
        <f>SUMIF(Import!$B:$B,'Other Fund Line-Item Details'!$A161,Import!L:L)</f>
        <v>0</v>
      </c>
      <c r="S161" s="99">
        <f>SUMIF(Import!$B:$B,'Other Fund Line-Item Details'!$A161,Import!M:M)</f>
        <v>0</v>
      </c>
      <c r="T161" s="99">
        <f>SUMIF(Import!$B:$B,'Other Fund Line-Item Details'!$A161,Import!N:N)</f>
        <v>-19521</v>
      </c>
      <c r="U161" s="99">
        <f t="shared" si="153"/>
        <v>6295</v>
      </c>
      <c r="V161" s="255">
        <f t="shared" si="154"/>
        <v>-0.24384102881933689</v>
      </c>
      <c r="W161" s="102" t="s">
        <v>1852</v>
      </c>
      <c r="X161" s="97"/>
      <c r="Y161" s="97"/>
      <c r="Z161" s="97"/>
      <c r="AA161" s="97"/>
      <c r="AB161" s="97"/>
      <c r="AC161" s="97"/>
      <c r="AD161" s="97"/>
      <c r="AE161" s="97"/>
      <c r="AF161" s="97"/>
      <c r="AG161" s="97"/>
      <c r="AH161" s="97"/>
      <c r="AI161" s="97"/>
      <c r="AJ161" s="97"/>
      <c r="AK161" s="97"/>
      <c r="AL161" s="97"/>
      <c r="AM161" s="97"/>
      <c r="AN161" s="97"/>
      <c r="AO161" s="192"/>
      <c r="AP161" s="192"/>
      <c r="AQ161" s="192"/>
      <c r="AR161" s="192"/>
    </row>
    <row r="162" spans="1:44" s="115" customFormat="1" ht="23.25" customHeight="1">
      <c r="A162" s="555" t="s">
        <v>1853</v>
      </c>
      <c r="B162" s="217" t="str">
        <f t="shared" si="141"/>
        <v>112</v>
      </c>
      <c r="C162" s="217" t="str">
        <f t="shared" si="142"/>
        <v>00</v>
      </c>
      <c r="D162" s="101" t="str">
        <f t="shared" si="143"/>
        <v>000</v>
      </c>
      <c r="E162" s="217" t="str">
        <f t="shared" si="144"/>
        <v>112-00-000</v>
      </c>
      <c r="F162" s="294" t="str">
        <f t="shared" si="145"/>
        <v>48566</v>
      </c>
      <c r="G162" s="295" t="str">
        <f>VLOOKUP(F162,'GL Category'!A:C,3,FALSE)</f>
        <v>OTHER REVENUE</v>
      </c>
      <c r="H162" s="98" t="str">
        <f>VLOOKUP(F162,'GL Category'!A:C,2,FALSE)</f>
        <v>DONATIONS-MMOW MEALS ON WHEELS</v>
      </c>
      <c r="I162" s="99">
        <f>SUMIF(Import!$B:$B,'Other Fund Line-Item Details'!$A162,Import!D:D)</f>
        <v>-12645</v>
      </c>
      <c r="J162" s="99">
        <f>SUMIF(Import!$B:$B,'Other Fund Line-Item Details'!$A162,Import!E:E)</f>
        <v>-35838.85</v>
      </c>
      <c r="K162" s="99">
        <f>SUMIF(Import!$B:$B,'Other Fund Line-Item Details'!$A162,Import!F:F)</f>
        <v>-56550</v>
      </c>
      <c r="L162" s="99">
        <f>SUMIF(Import!$B:$B,'Other Fund Line-Item Details'!$A162,Import!G:G)</f>
        <v>-45785</v>
      </c>
      <c r="M162" s="99">
        <f>SUMIF(Import!$B:$B,'Other Fund Line-Item Details'!$A162,Import!H:H)</f>
        <v>-43973</v>
      </c>
      <c r="N162" s="99">
        <f>SUMIF(Import!$B:$B,'Other Fund Line-Item Details'!$A162,Import!I:I)</f>
        <v>-40685</v>
      </c>
      <c r="O162" s="99">
        <f>SUMIF(Import!$B:$B,'Other Fund Line-Item Details'!$A162,Import!J:J)</f>
        <v>-53258</v>
      </c>
      <c r="P162" s="99">
        <f t="shared" si="152"/>
        <v>-9285</v>
      </c>
      <c r="Q162" s="99">
        <f>SUMIF(Import!$B:$B,'Other Fund Line-Item Details'!$A162,Import!K:K)</f>
        <v>-44508</v>
      </c>
      <c r="R162" s="99">
        <f>SUMIF(Import!$B:$B,'Other Fund Line-Item Details'!$A162,Import!L:L)</f>
        <v>0</v>
      </c>
      <c r="S162" s="99">
        <f>SUMIF(Import!$B:$B,'Other Fund Line-Item Details'!$A162,Import!M:M)</f>
        <v>0</v>
      </c>
      <c r="T162" s="99">
        <f>SUMIF(Import!$B:$B,'Other Fund Line-Item Details'!$A162,Import!N:N)</f>
        <v>-44508</v>
      </c>
      <c r="U162" s="99">
        <f t="shared" si="153"/>
        <v>-535</v>
      </c>
      <c r="V162" s="255">
        <f t="shared" si="154"/>
        <v>1.2166556750733415E-2</v>
      </c>
      <c r="W162" s="102" t="s">
        <v>1853</v>
      </c>
      <c r="X162" s="97"/>
      <c r="Y162" s="97"/>
      <c r="Z162" s="97"/>
      <c r="AA162" s="97"/>
      <c r="AB162" s="97"/>
      <c r="AC162" s="97"/>
      <c r="AD162" s="97"/>
      <c r="AE162" s="97"/>
      <c r="AF162" s="97"/>
      <c r="AG162" s="97"/>
      <c r="AH162" s="97"/>
      <c r="AI162" s="97"/>
      <c r="AJ162" s="97"/>
      <c r="AK162" s="97"/>
      <c r="AL162" s="97"/>
      <c r="AM162" s="97"/>
      <c r="AN162" s="97"/>
      <c r="AO162" s="192"/>
      <c r="AP162" s="192"/>
      <c r="AQ162" s="192"/>
      <c r="AR162" s="192"/>
    </row>
    <row r="163" spans="1:44" s="115" customFormat="1" ht="15" customHeight="1">
      <c r="A163" s="555" t="s">
        <v>1854</v>
      </c>
      <c r="B163" s="217" t="str">
        <f t="shared" si="141"/>
        <v>112</v>
      </c>
      <c r="C163" s="217" t="str">
        <f t="shared" si="142"/>
        <v>00</v>
      </c>
      <c r="D163" s="101" t="str">
        <f t="shared" si="143"/>
        <v>000</v>
      </c>
      <c r="E163" s="217" t="str">
        <f t="shared" si="144"/>
        <v>112-00-000</v>
      </c>
      <c r="F163" s="294" t="str">
        <f t="shared" si="145"/>
        <v>48567</v>
      </c>
      <c r="G163" s="295" t="e">
        <f>VLOOKUP(F163,'GL Category'!A:C,3,FALSE)</f>
        <v>#N/A</v>
      </c>
      <c r="H163" s="98" t="e">
        <f>VLOOKUP(F163,'GL Category'!A:C,2,FALSE)</f>
        <v>#N/A</v>
      </c>
      <c r="I163" s="99">
        <f>SUMIF(Import!$B:$B,'Other Fund Line-Item Details'!$A163,Import!D:D)</f>
        <v>0</v>
      </c>
      <c r="J163" s="99">
        <f>SUMIF(Import!$B:$B,'Other Fund Line-Item Details'!$A163,Import!E:E)</f>
        <v>0</v>
      </c>
      <c r="K163" s="99">
        <f>SUMIF(Import!$B:$B,'Other Fund Line-Item Details'!$A163,Import!F:F)</f>
        <v>0</v>
      </c>
      <c r="L163" s="99">
        <f>SUMIF(Import!$B:$B,'Other Fund Line-Item Details'!$A163,Import!G:G)</f>
        <v>0</v>
      </c>
      <c r="M163" s="99">
        <f>SUMIF(Import!$B:$B,'Other Fund Line-Item Details'!$A163,Import!H:H)</f>
        <v>0</v>
      </c>
      <c r="N163" s="99">
        <f>SUMIF(Import!$B:$B,'Other Fund Line-Item Details'!$A163,Import!I:I)</f>
        <v>0</v>
      </c>
      <c r="O163" s="99">
        <f>SUMIF(Import!$B:$B,'Other Fund Line-Item Details'!$A163,Import!J:J)</f>
        <v>0</v>
      </c>
      <c r="P163" s="99">
        <f t="shared" si="152"/>
        <v>0</v>
      </c>
      <c r="Q163" s="99">
        <f>SUMIF(Import!$B:$B,'Other Fund Line-Item Details'!$A163,Import!K:K)</f>
        <v>0</v>
      </c>
      <c r="R163" s="99">
        <f>SUMIF(Import!$B:$B,'Other Fund Line-Item Details'!$A163,Import!L:L)</f>
        <v>0</v>
      </c>
      <c r="S163" s="99">
        <f>SUMIF(Import!$B:$B,'Other Fund Line-Item Details'!$A163,Import!M:M)</f>
        <v>0</v>
      </c>
      <c r="T163" s="99">
        <f>SUMIF(Import!$B:$B,'Other Fund Line-Item Details'!$A163,Import!N:N)</f>
        <v>0</v>
      </c>
      <c r="U163" s="99">
        <f t="shared" si="153"/>
        <v>0</v>
      </c>
      <c r="V163" s="255" t="str">
        <f t="shared" si="154"/>
        <v>N/A</v>
      </c>
      <c r="W163" s="102" t="s">
        <v>1854</v>
      </c>
      <c r="X163" s="121"/>
      <c r="Y163" s="121"/>
      <c r="Z163" s="121"/>
      <c r="AA163" s="121"/>
      <c r="AB163" s="121"/>
      <c r="AC163" s="121"/>
      <c r="AD163" s="121"/>
      <c r="AE163" s="121"/>
      <c r="AF163" s="121"/>
      <c r="AG163" s="121"/>
      <c r="AH163" s="121"/>
      <c r="AI163" s="121"/>
    </row>
    <row r="164" spans="1:44" s="115" customFormat="1" ht="15" customHeight="1">
      <c r="A164" s="555" t="s">
        <v>1855</v>
      </c>
      <c r="B164" s="217" t="str">
        <f t="shared" si="141"/>
        <v>112</v>
      </c>
      <c r="C164" s="217" t="str">
        <f t="shared" si="142"/>
        <v>00</v>
      </c>
      <c r="D164" s="101" t="str">
        <f t="shared" si="143"/>
        <v>000</v>
      </c>
      <c r="E164" s="217" t="str">
        <f t="shared" si="144"/>
        <v>112-00-000</v>
      </c>
      <c r="F164" s="294" t="str">
        <f t="shared" si="145"/>
        <v>48570</v>
      </c>
      <c r="G164" s="295" t="str">
        <f>VLOOKUP(F164,'GL Category'!A:C,3,FALSE)</f>
        <v>OTHER REVENUE</v>
      </c>
      <c r="H164" s="98" t="str">
        <f>VLOOKUP(F164,'GL Category'!A:C,2,FALSE)</f>
        <v>DONATIONS-PARKS</v>
      </c>
      <c r="I164" s="99">
        <f>SUMIF(Import!$B:$B,'Other Fund Line-Item Details'!$A164,Import!D:D)</f>
        <v>-5</v>
      </c>
      <c r="J164" s="99">
        <f>SUMIF(Import!$B:$B,'Other Fund Line-Item Details'!$A164,Import!E:E)</f>
        <v>0</v>
      </c>
      <c r="K164" s="99">
        <f>SUMIF(Import!$B:$B,'Other Fund Line-Item Details'!$A164,Import!F:F)</f>
        <v>0</v>
      </c>
      <c r="L164" s="99">
        <f>SUMIF(Import!$B:$B,'Other Fund Line-Item Details'!$A164,Import!G:G)</f>
        <v>-675</v>
      </c>
      <c r="M164" s="99">
        <f>SUMIF(Import!$B:$B,'Other Fund Line-Item Details'!$A164,Import!H:H)</f>
        <v>0</v>
      </c>
      <c r="N164" s="99">
        <f>SUMIF(Import!$B:$B,'Other Fund Line-Item Details'!$A164,Import!I:I)</f>
        <v>0</v>
      </c>
      <c r="O164" s="99">
        <f>SUMIF(Import!$B:$B,'Other Fund Line-Item Details'!$A164,Import!J:J)</f>
        <v>0</v>
      </c>
      <c r="P164" s="99">
        <f t="shared" si="152"/>
        <v>0</v>
      </c>
      <c r="Q164" s="99">
        <f>SUMIF(Import!$B:$B,'Other Fund Line-Item Details'!$A164,Import!K:K)</f>
        <v>0</v>
      </c>
      <c r="R164" s="99">
        <f>SUMIF(Import!$B:$B,'Other Fund Line-Item Details'!$A164,Import!L:L)</f>
        <v>0</v>
      </c>
      <c r="S164" s="99">
        <f>SUMIF(Import!$B:$B,'Other Fund Line-Item Details'!$A164,Import!M:M)</f>
        <v>0</v>
      </c>
      <c r="T164" s="99">
        <f>SUMIF(Import!$B:$B,'Other Fund Line-Item Details'!$A164,Import!N:N)</f>
        <v>0</v>
      </c>
      <c r="U164" s="99">
        <f t="shared" si="153"/>
        <v>0</v>
      </c>
      <c r="V164" s="255" t="str">
        <f t="shared" si="154"/>
        <v>N/A</v>
      </c>
      <c r="W164" s="102" t="s">
        <v>1855</v>
      </c>
      <c r="X164" s="121"/>
      <c r="Y164" s="121"/>
      <c r="Z164" s="121"/>
      <c r="AA164" s="121"/>
      <c r="AB164" s="121"/>
      <c r="AC164" s="121"/>
      <c r="AD164" s="121"/>
      <c r="AE164" s="121"/>
      <c r="AF164" s="121"/>
      <c r="AG164" s="121"/>
      <c r="AH164" s="121"/>
      <c r="AI164" s="121"/>
    </row>
    <row r="165" spans="1:44" s="115" customFormat="1" ht="15" hidden="1" customHeight="1">
      <c r="A165" s="555" t="s">
        <v>1856</v>
      </c>
      <c r="B165" s="217" t="str">
        <f t="shared" si="141"/>
        <v>112</v>
      </c>
      <c r="C165" s="217" t="str">
        <f t="shared" si="142"/>
        <v>00</v>
      </c>
      <c r="D165" s="101" t="str">
        <f t="shared" si="143"/>
        <v>000</v>
      </c>
      <c r="E165" s="217" t="str">
        <f t="shared" si="144"/>
        <v>112-00-000</v>
      </c>
      <c r="F165" s="294" t="str">
        <f t="shared" si="145"/>
        <v>48575</v>
      </c>
      <c r="G165" s="295" t="e">
        <f>VLOOKUP(F165,'GL Category'!A:C,3,FALSE)</f>
        <v>#N/A</v>
      </c>
      <c r="H165" s="98" t="e">
        <f>VLOOKUP(F165,'GL Category'!A:C,2,FALSE)</f>
        <v>#N/A</v>
      </c>
      <c r="I165" s="99">
        <f>SUMIF(Import!$B:$B,'Other Fund Line-Item Details'!$A165,Import!D:D)</f>
        <v>0</v>
      </c>
      <c r="J165" s="99">
        <f>SUMIF(Import!$B:$B,'Other Fund Line-Item Details'!$A165,Import!E:E)</f>
        <v>0</v>
      </c>
      <c r="K165" s="99">
        <f>SUMIF(Import!$B:$B,'Other Fund Line-Item Details'!$A165,Import!F:F)</f>
        <v>0</v>
      </c>
      <c r="L165" s="99">
        <f>SUMIF(Import!$B:$B,'Other Fund Line-Item Details'!$A165,Import!G:G)</f>
        <v>0</v>
      </c>
      <c r="M165" s="99">
        <f>SUMIF(Import!$B:$B,'Other Fund Line-Item Details'!$A165,Import!H:H)</f>
        <v>0</v>
      </c>
      <c r="N165" s="99">
        <f>SUMIF(Import!$B:$B,'Other Fund Line-Item Details'!$A165,Import!I:I)</f>
        <v>0</v>
      </c>
      <c r="O165" s="99">
        <f>SUMIF(Import!$B:$B,'Other Fund Line-Item Details'!$A165,Import!J:J)</f>
        <v>0</v>
      </c>
      <c r="P165" s="99">
        <f t="shared" si="152"/>
        <v>0</v>
      </c>
      <c r="Q165" s="99">
        <f>SUMIF(Import!$B:$B,'Other Fund Line-Item Details'!$A165,Import!K:K)</f>
        <v>0</v>
      </c>
      <c r="R165" s="99">
        <f>SUMIF(Import!$B:$B,'Other Fund Line-Item Details'!$A165,Import!L:L)</f>
        <v>0</v>
      </c>
      <c r="S165" s="99">
        <f>SUMIF(Import!$B:$B,'Other Fund Line-Item Details'!$A165,Import!M:M)</f>
        <v>0</v>
      </c>
      <c r="T165" s="99">
        <f>SUMIF(Import!$B:$B,'Other Fund Line-Item Details'!$A165,Import!N:N)</f>
        <v>0</v>
      </c>
      <c r="U165" s="99">
        <f t="shared" si="153"/>
        <v>0</v>
      </c>
      <c r="V165" s="255" t="str">
        <f t="shared" si="154"/>
        <v>N/A</v>
      </c>
      <c r="W165" s="102" t="s">
        <v>1856</v>
      </c>
      <c r="X165" s="121"/>
      <c r="Y165" s="121"/>
      <c r="Z165" s="121"/>
      <c r="AA165" s="121"/>
      <c r="AB165" s="121"/>
      <c r="AC165" s="121"/>
      <c r="AD165" s="121"/>
      <c r="AE165" s="121"/>
      <c r="AF165" s="121"/>
      <c r="AG165" s="121"/>
      <c r="AH165" s="121"/>
      <c r="AI165" s="121"/>
    </row>
    <row r="166" spans="1:44" s="115" customFormat="1" ht="15" hidden="1" customHeight="1">
      <c r="A166" s="555" t="s">
        <v>1857</v>
      </c>
      <c r="B166" s="217" t="str">
        <f t="shared" si="141"/>
        <v>112</v>
      </c>
      <c r="C166" s="217" t="str">
        <f t="shared" si="142"/>
        <v>00</v>
      </c>
      <c r="D166" s="101" t="str">
        <f t="shared" si="143"/>
        <v>000</v>
      </c>
      <c r="E166" s="217" t="str">
        <f t="shared" si="144"/>
        <v>112-00-000</v>
      </c>
      <c r="F166" s="294" t="str">
        <f t="shared" si="145"/>
        <v>48580</v>
      </c>
      <c r="G166" s="295" t="str">
        <f>VLOOKUP(F166,'GL Category'!A:C,3,FALSE)</f>
        <v>OTHER REVENUE</v>
      </c>
      <c r="H166" s="98" t="str">
        <f>VLOOKUP(F166,'GL Category'!A:C,2,FALSE)</f>
        <v>DONATIONS-CONCERTS IN THE PARK</v>
      </c>
      <c r="I166" s="99">
        <f>SUMIF(Import!$B:$B,'Other Fund Line-Item Details'!$A166,Import!D:D)</f>
        <v>0</v>
      </c>
      <c r="J166" s="99">
        <f>SUMIF(Import!$B:$B,'Other Fund Line-Item Details'!$A166,Import!E:E)</f>
        <v>0</v>
      </c>
      <c r="K166" s="99">
        <f>SUMIF(Import!$B:$B,'Other Fund Line-Item Details'!$A166,Import!F:F)</f>
        <v>0</v>
      </c>
      <c r="L166" s="99">
        <f>SUMIF(Import!$B:$B,'Other Fund Line-Item Details'!$A166,Import!G:G)</f>
        <v>0</v>
      </c>
      <c r="M166" s="99">
        <f>SUMIF(Import!$B:$B,'Other Fund Line-Item Details'!$A166,Import!H:H)</f>
        <v>0</v>
      </c>
      <c r="N166" s="99">
        <f>SUMIF(Import!$B:$B,'Other Fund Line-Item Details'!$A166,Import!I:I)</f>
        <v>0</v>
      </c>
      <c r="O166" s="99">
        <f>SUMIF(Import!$B:$B,'Other Fund Line-Item Details'!$A166,Import!J:J)</f>
        <v>0</v>
      </c>
      <c r="P166" s="99">
        <f t="shared" si="152"/>
        <v>0</v>
      </c>
      <c r="Q166" s="99">
        <f>SUMIF(Import!$B:$B,'Other Fund Line-Item Details'!$A166,Import!K:K)</f>
        <v>0</v>
      </c>
      <c r="R166" s="99">
        <f>SUMIF(Import!$B:$B,'Other Fund Line-Item Details'!$A166,Import!L:L)</f>
        <v>0</v>
      </c>
      <c r="S166" s="99">
        <f>SUMIF(Import!$B:$B,'Other Fund Line-Item Details'!$A166,Import!M:M)</f>
        <v>0</v>
      </c>
      <c r="T166" s="99">
        <f>SUMIF(Import!$B:$B,'Other Fund Line-Item Details'!$A166,Import!N:N)</f>
        <v>0</v>
      </c>
      <c r="U166" s="99">
        <f t="shared" si="153"/>
        <v>0</v>
      </c>
      <c r="V166" s="255" t="str">
        <f t="shared" si="154"/>
        <v>N/A</v>
      </c>
      <c r="W166" s="102" t="s">
        <v>1857</v>
      </c>
      <c r="X166" s="121"/>
      <c r="Y166" s="121"/>
      <c r="Z166" s="121"/>
      <c r="AA166" s="121"/>
      <c r="AB166" s="121"/>
      <c r="AC166" s="121"/>
      <c r="AD166" s="121"/>
      <c r="AE166" s="121"/>
      <c r="AF166" s="121"/>
      <c r="AG166" s="121"/>
      <c r="AH166" s="121"/>
      <c r="AI166" s="121"/>
    </row>
    <row r="167" spans="1:44" s="115" customFormat="1" ht="15" customHeight="1">
      <c r="A167" s="555" t="s">
        <v>1858</v>
      </c>
      <c r="B167" s="217" t="str">
        <f t="shared" si="141"/>
        <v>112</v>
      </c>
      <c r="C167" s="217" t="str">
        <f t="shared" si="142"/>
        <v>00</v>
      </c>
      <c r="D167" s="101" t="str">
        <f t="shared" si="143"/>
        <v>000</v>
      </c>
      <c r="E167" s="217" t="str">
        <f t="shared" si="144"/>
        <v>112-00-000</v>
      </c>
      <c r="F167" s="294" t="str">
        <f t="shared" si="145"/>
        <v>48585</v>
      </c>
      <c r="G167" s="295" t="str">
        <f>VLOOKUP(F167,'GL Category'!A:C,3,FALSE)</f>
        <v>OTHER REVENUE</v>
      </c>
      <c r="H167" s="98" t="str">
        <f>VLOOKUP(F167,'GL Category'!A:C,2,FALSE)</f>
        <v>DONATIONS-VETERANS MEMORIAL</v>
      </c>
      <c r="I167" s="99">
        <f>SUMIF(Import!$B:$B,'Other Fund Line-Item Details'!$A167,Import!D:D)</f>
        <v>-975</v>
      </c>
      <c r="J167" s="99">
        <f>SUMIF(Import!$B:$B,'Other Fund Line-Item Details'!$A167,Import!E:E)</f>
        <v>-1800</v>
      </c>
      <c r="K167" s="99">
        <f>SUMIF(Import!$B:$B,'Other Fund Line-Item Details'!$A167,Import!F:F)</f>
        <v>-1050</v>
      </c>
      <c r="L167" s="99">
        <f>SUMIF(Import!$B:$B,'Other Fund Line-Item Details'!$A167,Import!G:G)</f>
        <v>-1500</v>
      </c>
      <c r="M167" s="99">
        <f>SUMIF(Import!$B:$B,'Other Fund Line-Item Details'!$A167,Import!H:H)</f>
        <v>0</v>
      </c>
      <c r="N167" s="99">
        <f>SUMIF(Import!$B:$B,'Other Fund Line-Item Details'!$A167,Import!I:I)</f>
        <v>-1350</v>
      </c>
      <c r="O167" s="99">
        <f>SUMIF(Import!$B:$B,'Other Fund Line-Item Details'!$A167,Import!J:J)</f>
        <v>-1777</v>
      </c>
      <c r="P167" s="99">
        <f t="shared" si="152"/>
        <v>-1777</v>
      </c>
      <c r="Q167" s="99">
        <f>SUMIF(Import!$B:$B,'Other Fund Line-Item Details'!$A167,Import!K:K)</f>
        <v>-1000</v>
      </c>
      <c r="R167" s="99">
        <f>SUMIF(Import!$B:$B,'Other Fund Line-Item Details'!$A167,Import!L:L)</f>
        <v>0</v>
      </c>
      <c r="S167" s="99">
        <f>SUMIF(Import!$B:$B,'Other Fund Line-Item Details'!$A167,Import!M:M)</f>
        <v>0</v>
      </c>
      <c r="T167" s="99">
        <f>SUMIF(Import!$B:$B,'Other Fund Line-Item Details'!$A167,Import!N:N)</f>
        <v>-1000</v>
      </c>
      <c r="U167" s="99">
        <f t="shared" si="153"/>
        <v>-1000</v>
      </c>
      <c r="V167" s="255" t="str">
        <f t="shared" si="154"/>
        <v>N/A</v>
      </c>
      <c r="W167" s="102" t="s">
        <v>1858</v>
      </c>
      <c r="X167" s="121"/>
      <c r="Y167" s="121"/>
      <c r="Z167" s="121"/>
      <c r="AA167" s="121"/>
      <c r="AB167" s="121"/>
      <c r="AC167" s="121"/>
      <c r="AD167" s="121"/>
      <c r="AE167" s="121"/>
      <c r="AF167" s="121"/>
      <c r="AG167" s="121"/>
      <c r="AH167" s="121"/>
      <c r="AI167" s="121"/>
    </row>
    <row r="168" spans="1:44" s="115" customFormat="1" ht="15" customHeight="1">
      <c r="A168" s="555" t="s">
        <v>3162</v>
      </c>
      <c r="B168" s="217" t="str">
        <f t="shared" ref="B168" si="155">LEFT(A168,3)</f>
        <v>112</v>
      </c>
      <c r="C168" s="217" t="str">
        <f t="shared" ref="C168" si="156">MID(A168,5,2)</f>
        <v>00</v>
      </c>
      <c r="D168" s="101" t="str">
        <f t="shared" ref="D168" si="157">MID(A168,8,3)</f>
        <v>000</v>
      </c>
      <c r="E168" s="217" t="str">
        <f t="shared" ref="E168" si="158">LEFT(A168,10)</f>
        <v>112-00-000</v>
      </c>
      <c r="F168" s="294" t="str">
        <f t="shared" ref="F168" si="159">RIGHT(A168,5)</f>
        <v>49999</v>
      </c>
      <c r="G168" s="295" t="str">
        <f>VLOOKUP(F168,'GL Category'!A:C,3,FALSE)</f>
        <v>TRANSFERS IN</v>
      </c>
      <c r="H168" s="98" t="str">
        <f>VLOOKUP(F168,'GL Category'!A:C,2,FALSE)</f>
        <v>USE OF FUND BALANCE</v>
      </c>
      <c r="I168" s="99">
        <f>SUMIF(Import!$B:$B,'Other Fund Line-Item Details'!$A168,Import!D:D)</f>
        <v>8881.35</v>
      </c>
      <c r="J168" s="99">
        <f>SUMIF(Import!$B:$B,'Other Fund Line-Item Details'!$A168,Import!E:E)</f>
        <v>-20048</v>
      </c>
      <c r="K168" s="99">
        <f>SUMIF(Import!$B:$B,'Other Fund Line-Item Details'!$A168,Import!F:F)</f>
        <v>-655</v>
      </c>
      <c r="L168" s="99">
        <f>SUMIF(Import!$B:$B,'Other Fund Line-Item Details'!$A168,Import!G:G)</f>
        <v>1146.71</v>
      </c>
      <c r="M168" s="99">
        <f>SUMIF(Import!$B:$B,'Other Fund Line-Item Details'!$A168,Import!H:H)</f>
        <v>0</v>
      </c>
      <c r="N168" s="99">
        <f>SUMIF(Import!$B:$B,'Other Fund Line-Item Details'!$A168,Import!I:I)</f>
        <v>0</v>
      </c>
      <c r="O168" s="99">
        <f>SUMIF(Import!$B:$B,'Other Fund Line-Item Details'!$A168,Import!J:J)</f>
        <v>0</v>
      </c>
      <c r="P168" s="99">
        <f t="shared" si="152"/>
        <v>0</v>
      </c>
      <c r="Q168" s="99">
        <f>SUMIF(Import!$B:$B,'Other Fund Line-Item Details'!$A168,Import!K:K)</f>
        <v>0</v>
      </c>
      <c r="R168" s="99">
        <f>SUMIF(Import!$B:$B,'Other Fund Line-Item Details'!$A168,Import!L:L)</f>
        <v>0</v>
      </c>
      <c r="S168" s="99">
        <f>SUMIF(Import!$B:$B,'Other Fund Line-Item Details'!$A168,Import!M:M)</f>
        <v>0</v>
      </c>
      <c r="T168" s="99">
        <f>SUMIF(Import!$B:$B,'Other Fund Line-Item Details'!$A168,Import!N:N)</f>
        <v>0</v>
      </c>
      <c r="U168" s="99">
        <f t="shared" si="153"/>
        <v>0</v>
      </c>
      <c r="V168" s="255" t="str">
        <f t="shared" si="154"/>
        <v>N/A</v>
      </c>
      <c r="W168" s="102"/>
      <c r="X168" s="121"/>
      <c r="Y168" s="121"/>
      <c r="Z168" s="121"/>
      <c r="AA168" s="121"/>
      <c r="AB168" s="121"/>
      <c r="AC168" s="121"/>
      <c r="AD168" s="121"/>
      <c r="AE168" s="121"/>
      <c r="AF168" s="121"/>
      <c r="AG168" s="121"/>
      <c r="AH168" s="121"/>
      <c r="AI168" s="121"/>
    </row>
    <row r="169" spans="1:44" s="115" customFormat="1" ht="15" customHeight="1">
      <c r="A169" s="555" t="s">
        <v>1859</v>
      </c>
      <c r="B169" s="217" t="str">
        <f t="shared" si="141"/>
        <v>112</v>
      </c>
      <c r="C169" s="217" t="str">
        <f t="shared" si="142"/>
        <v>00</v>
      </c>
      <c r="D169" s="101" t="str">
        <f t="shared" si="143"/>
        <v>000</v>
      </c>
      <c r="E169" s="217" t="str">
        <f t="shared" si="144"/>
        <v>112-00-000</v>
      </c>
      <c r="F169" s="294" t="str">
        <f t="shared" si="145"/>
        <v>49100</v>
      </c>
      <c r="G169" s="295" t="s">
        <v>916</v>
      </c>
      <c r="H169" s="98" t="str">
        <f>VLOOKUP(F169,'GL Category'!A:C,2,FALSE)</f>
        <v>TRANSFER FROM GENERAL FUND</v>
      </c>
      <c r="I169" s="99">
        <f>SUMIF(Import!$B:$B,'Other Fund Line-Item Details'!$A169,Import!D:D)</f>
        <v>-47600</v>
      </c>
      <c r="J169" s="99">
        <f>SUMIF(Import!$B:$B,'Other Fund Line-Item Details'!$A169,Import!E:E)</f>
        <v>-47600</v>
      </c>
      <c r="K169" s="99">
        <f>SUMIF(Import!$B:$B,'Other Fund Line-Item Details'!$A169,Import!F:F)</f>
        <v>-47600</v>
      </c>
      <c r="L169" s="99">
        <f>SUMIF(Import!$B:$B,'Other Fund Line-Item Details'!$A169,Import!G:G)</f>
        <v>-97600</v>
      </c>
      <c r="M169" s="99">
        <f>SUMIF(Import!$B:$B,'Other Fund Line-Item Details'!$A169,Import!H:H)</f>
        <v>-127600</v>
      </c>
      <c r="N169" s="99">
        <f>SUMIF(Import!$B:$B,'Other Fund Line-Item Details'!$A169,Import!I:I)</f>
        <v>-95700</v>
      </c>
      <c r="O169" s="99">
        <f>SUMIF(Import!$B:$B,'Other Fund Line-Item Details'!$A169,Import!J:J)</f>
        <v>-127600</v>
      </c>
      <c r="P169" s="99">
        <f t="shared" si="152"/>
        <v>0</v>
      </c>
      <c r="Q169" s="99">
        <f>SUMIF(Import!$B:$B,'Other Fund Line-Item Details'!$A169,Import!K:K)</f>
        <v>-127600</v>
      </c>
      <c r="R169" s="99">
        <f>SUMIF(Import!$B:$B,'Other Fund Line-Item Details'!$A169,Import!L:L)</f>
        <v>0</v>
      </c>
      <c r="S169" s="99">
        <f>SUMIF(Import!$B:$B,'Other Fund Line-Item Details'!$A169,Import!M:M)</f>
        <v>0</v>
      </c>
      <c r="T169" s="99">
        <f>SUMIF(Import!$B:$B,'Other Fund Line-Item Details'!$A169,Import!N:N)</f>
        <v>-127600</v>
      </c>
      <c r="U169" s="99">
        <f t="shared" si="153"/>
        <v>0</v>
      </c>
      <c r="V169" s="255">
        <f t="shared" si="154"/>
        <v>0</v>
      </c>
      <c r="W169" s="102" t="s">
        <v>1859</v>
      </c>
      <c r="X169" s="121"/>
      <c r="Y169" s="121"/>
      <c r="Z169" s="121"/>
      <c r="AA169" s="121"/>
      <c r="AB169" s="121"/>
      <c r="AC169" s="121"/>
      <c r="AD169" s="121"/>
      <c r="AE169" s="121"/>
      <c r="AF169" s="121"/>
      <c r="AG169" s="121"/>
      <c r="AH169" s="121"/>
      <c r="AI169" s="121"/>
    </row>
    <row r="170" spans="1:44" s="115" customFormat="1" ht="15" customHeight="1">
      <c r="A170" s="555"/>
      <c r="B170" s="217"/>
      <c r="C170" s="217"/>
      <c r="D170" s="101"/>
      <c r="E170" s="217"/>
      <c r="F170" s="294"/>
      <c r="G170" s="146"/>
      <c r="H170" s="107" t="str">
        <f>UPPER(G169)&amp;" TOTAL"</f>
        <v>REVENUE TOTAL</v>
      </c>
      <c r="I170" s="108">
        <f t="shared" ref="I170" si="160">SUBTOTAL(9,I128:I169)</f>
        <v>-127411.04999999999</v>
      </c>
      <c r="J170" s="108">
        <f t="shared" ref="J170:T170" si="161">SUBTOTAL(9,J128:J169)</f>
        <v>-137244.32</v>
      </c>
      <c r="K170" s="108">
        <f t="shared" ref="K170" si="162">SUBTOTAL(9,K128:K169)</f>
        <v>-288089.39</v>
      </c>
      <c r="L170" s="108">
        <f t="shared" ref="L170" si="163">SUBTOTAL(9,L128:L169)</f>
        <v>-367388.15999999997</v>
      </c>
      <c r="M170" s="108">
        <f t="shared" si="161"/>
        <v>-375779</v>
      </c>
      <c r="N170" s="108">
        <f t="shared" ref="N170" si="164">SUBTOTAL(9,N128:N169)</f>
        <v>-323432.18999999994</v>
      </c>
      <c r="O170" s="108">
        <f t="shared" si="161"/>
        <v>-396412</v>
      </c>
      <c r="P170" s="108">
        <f t="shared" si="161"/>
        <v>-20633</v>
      </c>
      <c r="Q170" s="108">
        <f t="shared" si="161"/>
        <v>-399767</v>
      </c>
      <c r="R170" s="108">
        <f t="shared" si="161"/>
        <v>0</v>
      </c>
      <c r="S170" s="108">
        <f t="shared" si="161"/>
        <v>0</v>
      </c>
      <c r="T170" s="108">
        <f t="shared" si="161"/>
        <v>-399767</v>
      </c>
      <c r="U170" s="99">
        <f t="shared" si="153"/>
        <v>-23988</v>
      </c>
      <c r="V170" s="255">
        <f t="shared" si="154"/>
        <v>6.383539261108262E-2</v>
      </c>
      <c r="W170" s="102"/>
      <c r="X170" s="121"/>
      <c r="Y170" s="121"/>
      <c r="Z170" s="121"/>
      <c r="AA170" s="121"/>
      <c r="AB170" s="121"/>
      <c r="AC170" s="121"/>
      <c r="AD170" s="121"/>
      <c r="AE170" s="121"/>
      <c r="AF170" s="121"/>
      <c r="AG170" s="121"/>
      <c r="AH170" s="121"/>
      <c r="AI170" s="121"/>
    </row>
    <row r="171" spans="1:44" s="115" customFormat="1" ht="15" customHeight="1">
      <c r="A171" s="555"/>
      <c r="B171" s="217"/>
      <c r="C171" s="217"/>
      <c r="D171" s="101"/>
      <c r="E171" s="217"/>
      <c r="F171" s="294"/>
      <c r="G171" s="146"/>
      <c r="H171" s="98"/>
      <c r="I171" s="106"/>
      <c r="J171" s="106"/>
      <c r="K171" s="106"/>
      <c r="L171" s="106"/>
      <c r="M171" s="106"/>
      <c r="N171" s="112"/>
      <c r="O171" s="112"/>
      <c r="P171" s="112"/>
      <c r="Q171" s="113"/>
      <c r="R171" s="212">
        <v>0</v>
      </c>
      <c r="S171" s="212">
        <v>0</v>
      </c>
      <c r="T171" s="113"/>
      <c r="U171" s="105"/>
      <c r="V171" s="262"/>
      <c r="W171" s="102"/>
      <c r="X171" s="121"/>
      <c r="Y171" s="121"/>
      <c r="Z171" s="121"/>
      <c r="AA171" s="121"/>
      <c r="AB171" s="121"/>
      <c r="AC171" s="121"/>
      <c r="AD171" s="121"/>
      <c r="AE171" s="121"/>
      <c r="AF171" s="121"/>
      <c r="AG171" s="121"/>
      <c r="AH171" s="121"/>
      <c r="AI171" s="121"/>
    </row>
    <row r="172" spans="1:44" s="115" customFormat="1" ht="15" customHeight="1">
      <c r="A172" s="555" t="s">
        <v>1860</v>
      </c>
      <c r="B172" s="217" t="str">
        <f t="shared" si="141"/>
        <v>112</v>
      </c>
      <c r="C172" s="217" t="str">
        <f t="shared" si="142"/>
        <v>63</v>
      </c>
      <c r="D172" s="101" t="str">
        <f t="shared" si="143"/>
        <v>631</v>
      </c>
      <c r="E172" s="217" t="str">
        <f t="shared" si="144"/>
        <v>112-63-631</v>
      </c>
      <c r="F172" s="294" t="str">
        <f t="shared" si="145"/>
        <v>54557</v>
      </c>
      <c r="G172" s="295" t="str">
        <f>VLOOKUP(F172,'GL Category'!A:C,3,FALSE)</f>
        <v>Services &amp; other</v>
      </c>
      <c r="H172" s="98" t="str">
        <f>VLOOKUP(F172,'GL Category'!A:C,2,FALSE)</f>
        <v>EXPENDITURES-UTILITY BILLING</v>
      </c>
      <c r="I172" s="99">
        <f>SUMIF(Import!$B:$B,'Other Fund Line-Item Details'!$A172,Import!D:D)</f>
        <v>0</v>
      </c>
      <c r="J172" s="99">
        <f>SUMIF(Import!$B:$B,'Other Fund Line-Item Details'!$A172,Import!E:E)</f>
        <v>0</v>
      </c>
      <c r="K172" s="99">
        <f>SUMIF(Import!$B:$B,'Other Fund Line-Item Details'!$A172,Import!F:F)</f>
        <v>0</v>
      </c>
      <c r="L172" s="99">
        <f>SUMIF(Import!$B:$B,'Other Fund Line-Item Details'!$A172,Import!G:G)</f>
        <v>0</v>
      </c>
      <c r="M172" s="99">
        <f>SUMIF(Import!$B:$B,'Other Fund Line-Item Details'!$A172,Import!H:H)</f>
        <v>0</v>
      </c>
      <c r="N172" s="99">
        <f>SUMIF(Import!$B:$B,'Other Fund Line-Item Details'!$A172,Import!I:I)</f>
        <v>0</v>
      </c>
      <c r="O172" s="99">
        <f>SUMIF(Import!$B:$B,'Other Fund Line-Item Details'!$A172,Import!J:J)</f>
        <v>0</v>
      </c>
      <c r="P172" s="99">
        <f>O172-M172</f>
        <v>0</v>
      </c>
      <c r="Q172" s="99">
        <f>SUMIF(Import!$B:$B,'Other Fund Line-Item Details'!$A172,Import!K:K)</f>
        <v>0</v>
      </c>
      <c r="R172" s="99">
        <f>SUMIF(Import!$B:$B,'Other Fund Line-Item Details'!$A172,Import!L:L)</f>
        <v>0</v>
      </c>
      <c r="S172" s="99">
        <f>SUMIF(Import!$B:$B,'Other Fund Line-Item Details'!$A172,Import!M:M)</f>
        <v>0</v>
      </c>
      <c r="T172" s="99">
        <f>SUMIF(Import!$B:$B,'Other Fund Line-Item Details'!$A172,Import!N:N)</f>
        <v>0</v>
      </c>
      <c r="U172" s="99">
        <f>T172-M172</f>
        <v>0</v>
      </c>
      <c r="V172" s="255" t="str">
        <f>IF(M172=0,"N/A",T172/M172-1)</f>
        <v>N/A</v>
      </c>
      <c r="W172" s="102" t="s">
        <v>1860</v>
      </c>
      <c r="X172" s="97"/>
      <c r="Y172" s="97"/>
      <c r="Z172" s="97"/>
      <c r="AA172" s="97"/>
      <c r="AB172" s="97"/>
      <c r="AC172" s="97"/>
      <c r="AD172" s="97"/>
      <c r="AE172" s="97"/>
      <c r="AF172" s="97"/>
      <c r="AG172" s="97"/>
      <c r="AH172" s="97"/>
      <c r="AI172" s="97"/>
      <c r="AJ172" s="97"/>
      <c r="AK172" s="97"/>
      <c r="AL172" s="97"/>
      <c r="AM172" s="97"/>
      <c r="AN172" s="97"/>
      <c r="AO172" s="200"/>
      <c r="AP172" s="200"/>
      <c r="AQ172" s="200"/>
      <c r="AR172" s="200"/>
    </row>
    <row r="173" spans="1:44" s="115" customFormat="1" ht="15" customHeight="1">
      <c r="A173" s="555"/>
      <c r="B173" s="217"/>
      <c r="C173" s="217"/>
      <c r="D173" s="101"/>
      <c r="E173" s="217"/>
      <c r="F173" s="294"/>
      <c r="G173" s="146"/>
      <c r="H173" s="107" t="str">
        <f>"PROGRAM TOTAL"</f>
        <v>PROGRAM TOTAL</v>
      </c>
      <c r="I173" s="108">
        <f t="shared" ref="I173" si="165">SUBTOTAL(9,I172:I172)</f>
        <v>0</v>
      </c>
      <c r="J173" s="108">
        <f t="shared" ref="J173:P173" si="166">SUBTOTAL(9,J172:J172)</f>
        <v>0</v>
      </c>
      <c r="K173" s="108">
        <f t="shared" ref="K173" si="167">SUBTOTAL(9,K172:K172)</f>
        <v>0</v>
      </c>
      <c r="L173" s="108">
        <f t="shared" ref="L173" si="168">SUBTOTAL(9,L172:L172)</f>
        <v>0</v>
      </c>
      <c r="M173" s="108">
        <f t="shared" si="166"/>
        <v>0</v>
      </c>
      <c r="N173" s="109">
        <f t="shared" ref="N173" si="169">SUBTOTAL(9,N172:N172)</f>
        <v>0</v>
      </c>
      <c r="O173" s="109">
        <f t="shared" si="166"/>
        <v>0</v>
      </c>
      <c r="P173" s="109">
        <f t="shared" si="166"/>
        <v>0</v>
      </c>
      <c r="Q173" s="109">
        <f t="shared" ref="Q173:T173" si="170">SUBTOTAL(9,Q172:Q172)</f>
        <v>0</v>
      </c>
      <c r="R173" s="109">
        <f t="shared" si="170"/>
        <v>0</v>
      </c>
      <c r="S173" s="109">
        <f t="shared" si="170"/>
        <v>0</v>
      </c>
      <c r="T173" s="109">
        <f t="shared" si="170"/>
        <v>0</v>
      </c>
      <c r="U173" s="99">
        <f>T173-M173</f>
        <v>0</v>
      </c>
      <c r="V173" s="255" t="str">
        <f>IF(M173=0,"N/A",T173/M173-1)</f>
        <v>N/A</v>
      </c>
      <c r="W173" s="102"/>
      <c r="X173" s="97"/>
      <c r="Y173" s="97"/>
      <c r="Z173" s="97"/>
      <c r="AA173" s="97"/>
      <c r="AB173" s="97"/>
      <c r="AC173" s="97"/>
      <c r="AD173" s="97"/>
      <c r="AE173" s="97"/>
      <c r="AF173" s="97"/>
      <c r="AG173" s="97"/>
      <c r="AH173" s="97"/>
      <c r="AI173" s="97"/>
      <c r="AJ173" s="97"/>
      <c r="AK173" s="97"/>
      <c r="AL173" s="97"/>
      <c r="AM173" s="97"/>
      <c r="AN173" s="97"/>
      <c r="AO173" s="200"/>
      <c r="AP173" s="200"/>
      <c r="AQ173" s="200"/>
      <c r="AR173" s="200"/>
    </row>
    <row r="174" spans="1:44" s="115" customFormat="1" ht="15" customHeight="1">
      <c r="A174" s="555"/>
      <c r="B174" s="217"/>
      <c r="C174" s="217"/>
      <c r="D174" s="101"/>
      <c r="E174" s="217"/>
      <c r="F174" s="294"/>
      <c r="G174" s="146"/>
      <c r="H174" s="98"/>
      <c r="I174" s="106"/>
      <c r="J174" s="106"/>
      <c r="K174" s="106"/>
      <c r="L174" s="106"/>
      <c r="M174" s="106"/>
      <c r="N174" s="112"/>
      <c r="O174" s="112"/>
      <c r="P174" s="112"/>
      <c r="Q174" s="113"/>
      <c r="R174" s="212"/>
      <c r="S174" s="212"/>
      <c r="T174" s="113"/>
      <c r="U174" s="95"/>
      <c r="V174" s="88"/>
      <c r="W174" s="102"/>
      <c r="X174" s="97"/>
      <c r="Y174" s="97"/>
      <c r="Z174" s="97"/>
      <c r="AA174" s="97"/>
      <c r="AB174" s="97"/>
      <c r="AC174" s="97"/>
      <c r="AD174" s="97"/>
      <c r="AE174" s="97"/>
      <c r="AF174" s="97"/>
      <c r="AG174" s="97"/>
      <c r="AH174" s="97"/>
      <c r="AI174" s="97"/>
      <c r="AJ174" s="97"/>
      <c r="AK174" s="97"/>
      <c r="AL174" s="97"/>
      <c r="AM174" s="97"/>
      <c r="AN174" s="97"/>
      <c r="AO174" s="200"/>
      <c r="AP174" s="200"/>
      <c r="AQ174" s="200"/>
      <c r="AR174" s="200"/>
    </row>
    <row r="175" spans="1:44" s="115" customFormat="1" ht="15" hidden="1" customHeight="1">
      <c r="A175" s="555" t="s">
        <v>1861</v>
      </c>
      <c r="B175" s="217" t="str">
        <f t="shared" si="141"/>
        <v>112</v>
      </c>
      <c r="C175" s="217" t="str">
        <f t="shared" si="142"/>
        <v>62</v>
      </c>
      <c r="D175" s="101" t="str">
        <f t="shared" si="143"/>
        <v>622</v>
      </c>
      <c r="E175" s="217" t="str">
        <f t="shared" si="144"/>
        <v>112-62-622</v>
      </c>
      <c r="F175" s="294" t="str">
        <f t="shared" si="145"/>
        <v>51260</v>
      </c>
      <c r="G175" s="295" t="str">
        <f>VLOOKUP(F175,'GL Category'!A:C,3,FALSE)</f>
        <v>Operations &amp; maintenance</v>
      </c>
      <c r="H175" s="98" t="str">
        <f>VLOOKUP(F175,'GL Category'!A:C,2,FALSE)</f>
        <v>EDUCATION/RECREATION SUPPLIES</v>
      </c>
      <c r="I175" s="99">
        <f>SUMIF(Import!$B:$B,'Other Fund Line-Item Details'!$A175,Import!D:D)</f>
        <v>0</v>
      </c>
      <c r="J175" s="99">
        <f>SUMIF(Import!$B:$B,'Other Fund Line-Item Details'!$A175,Import!E:E)</f>
        <v>0</v>
      </c>
      <c r="K175" s="99">
        <f>SUMIF(Import!$B:$B,'Other Fund Line-Item Details'!$A175,Import!F:F)</f>
        <v>0</v>
      </c>
      <c r="L175" s="99">
        <f>SUMIF(Import!$B:$B,'Other Fund Line-Item Details'!$A175,Import!G:G)</f>
        <v>0</v>
      </c>
      <c r="M175" s="99">
        <f>SUMIF(Import!$B:$B,'Other Fund Line-Item Details'!$A175,Import!H:H)</f>
        <v>0</v>
      </c>
      <c r="N175" s="99">
        <f>SUMIF(Import!$B:$B,'Other Fund Line-Item Details'!$A175,Import!I:I)</f>
        <v>0</v>
      </c>
      <c r="O175" s="99">
        <f>SUMIF(Import!$B:$B,'Other Fund Line-Item Details'!$A175,Import!J:J)</f>
        <v>0</v>
      </c>
      <c r="P175" s="99">
        <f t="shared" ref="P175:P199" si="171">O175-M175</f>
        <v>0</v>
      </c>
      <c r="Q175" s="99">
        <f>SUMIF(Import!$B:$B,'Other Fund Line-Item Details'!$A175,Import!K:K)</f>
        <v>0</v>
      </c>
      <c r="R175" s="99">
        <f>SUMIF(Import!$B:$B,'Other Fund Line-Item Details'!$A175,Import!L:L)</f>
        <v>0</v>
      </c>
      <c r="S175" s="99">
        <f>SUMIF(Import!$B:$B,'Other Fund Line-Item Details'!$A175,Import!M:M)</f>
        <v>0</v>
      </c>
      <c r="T175" s="99">
        <f>SUMIF(Import!$B:$B,'Other Fund Line-Item Details'!$A175,Import!N:N)</f>
        <v>0</v>
      </c>
      <c r="U175" s="99">
        <f t="shared" ref="U175:U200" si="172">T175-M175</f>
        <v>0</v>
      </c>
      <c r="V175" s="255" t="str">
        <f t="shared" ref="V175:V200" si="173">IF(M175=0,"N/A",T175/M175-1)</f>
        <v>N/A</v>
      </c>
      <c r="W175" s="102" t="s">
        <v>1861</v>
      </c>
      <c r="X175" s="97"/>
      <c r="Y175" s="97"/>
      <c r="Z175" s="97"/>
      <c r="AA175" s="97"/>
      <c r="AB175" s="97"/>
      <c r="AC175" s="97"/>
      <c r="AD175" s="97"/>
      <c r="AE175" s="97"/>
      <c r="AF175" s="97"/>
      <c r="AG175" s="97"/>
      <c r="AH175" s="97"/>
      <c r="AI175" s="97"/>
      <c r="AJ175" s="97"/>
      <c r="AK175" s="97"/>
      <c r="AL175" s="97"/>
      <c r="AM175" s="97"/>
      <c r="AN175" s="97"/>
      <c r="AO175" s="200"/>
      <c r="AP175" s="200"/>
      <c r="AQ175" s="200"/>
      <c r="AR175" s="200"/>
    </row>
    <row r="176" spans="1:44" s="115" customFormat="1" ht="15" hidden="1" customHeight="1">
      <c r="A176" s="555">
        <v>0</v>
      </c>
      <c r="B176" s="217" t="str">
        <f t="shared" si="141"/>
        <v>0</v>
      </c>
      <c r="C176" s="217" t="str">
        <f t="shared" si="142"/>
        <v/>
      </c>
      <c r="D176" s="101" t="str">
        <f t="shared" si="143"/>
        <v/>
      </c>
      <c r="E176" s="217" t="str">
        <f t="shared" si="144"/>
        <v>0</v>
      </c>
      <c r="F176" s="294" t="str">
        <f t="shared" si="145"/>
        <v>0</v>
      </c>
      <c r="G176" s="295" t="e">
        <f>VLOOKUP(F176,'GL Category'!A:C,3,FALSE)</f>
        <v>#N/A</v>
      </c>
      <c r="H176" s="98" t="e">
        <f>VLOOKUP(F176,'GL Category'!A:C,2,FALSE)</f>
        <v>#N/A</v>
      </c>
      <c r="I176" s="99">
        <f>SUMIF(Import!$B:$B,'Other Fund Line-Item Details'!$A176,Import!D:D)</f>
        <v>0</v>
      </c>
      <c r="J176" s="99">
        <f>SUMIF(Import!$B:$B,'Other Fund Line-Item Details'!$A176,Import!E:E)</f>
        <v>0</v>
      </c>
      <c r="K176" s="99">
        <f>SUMIF(Import!$B:$B,'Other Fund Line-Item Details'!$A176,Import!F:F)</f>
        <v>0</v>
      </c>
      <c r="L176" s="99">
        <f>SUMIF(Import!$B:$B,'Other Fund Line-Item Details'!$A176,Import!G:G)</f>
        <v>0</v>
      </c>
      <c r="M176" s="99">
        <f>SUMIF(Import!$B:$B,'Other Fund Line-Item Details'!$A176,Import!H:H)</f>
        <v>0</v>
      </c>
      <c r="N176" s="99">
        <f>SUMIF(Import!$B:$B,'Other Fund Line-Item Details'!$A176,Import!I:I)</f>
        <v>0</v>
      </c>
      <c r="O176" s="99">
        <f>SUMIF(Import!$B:$B,'Other Fund Line-Item Details'!$A176,Import!J:J)</f>
        <v>0</v>
      </c>
      <c r="P176" s="99">
        <f t="shared" si="171"/>
        <v>0</v>
      </c>
      <c r="Q176" s="99">
        <f>SUMIF(Import!$B:$B,'Other Fund Line-Item Details'!$A176,Import!K:K)</f>
        <v>0</v>
      </c>
      <c r="R176" s="99">
        <f>SUMIF(Import!$B:$B,'Other Fund Line-Item Details'!$A176,Import!L:L)</f>
        <v>0</v>
      </c>
      <c r="S176" s="99">
        <f>SUMIF(Import!$B:$B,'Other Fund Line-Item Details'!$A176,Import!M:M)</f>
        <v>0</v>
      </c>
      <c r="T176" s="99">
        <f>SUMIF(Import!$B:$B,'Other Fund Line-Item Details'!$A176,Import!N:N)</f>
        <v>0</v>
      </c>
      <c r="U176" s="99">
        <f t="shared" si="172"/>
        <v>0</v>
      </c>
      <c r="V176" s="255" t="str">
        <f t="shared" si="173"/>
        <v>N/A</v>
      </c>
      <c r="W176" s="102"/>
      <c r="X176" s="97"/>
      <c r="Y176" s="97"/>
      <c r="Z176" s="97"/>
      <c r="AA176" s="97"/>
      <c r="AB176" s="97"/>
      <c r="AC176" s="97"/>
      <c r="AD176" s="97"/>
      <c r="AE176" s="97"/>
      <c r="AF176" s="97"/>
      <c r="AG176" s="97"/>
      <c r="AH176" s="97"/>
      <c r="AI176" s="97"/>
      <c r="AJ176" s="97"/>
      <c r="AK176" s="97"/>
      <c r="AL176" s="97"/>
      <c r="AM176" s="97"/>
      <c r="AN176" s="97"/>
      <c r="AO176" s="200"/>
      <c r="AP176" s="200"/>
      <c r="AQ176" s="200"/>
      <c r="AR176" s="200"/>
    </row>
    <row r="177" spans="1:44" s="115" customFormat="1" ht="15" hidden="1" customHeight="1">
      <c r="A177" s="555" t="s">
        <v>1862</v>
      </c>
      <c r="B177" s="217" t="str">
        <f t="shared" si="141"/>
        <v>112</v>
      </c>
      <c r="C177" s="217" t="str">
        <f t="shared" si="142"/>
        <v>62</v>
      </c>
      <c r="D177" s="101" t="str">
        <f t="shared" si="143"/>
        <v>622</v>
      </c>
      <c r="E177" s="217" t="str">
        <f t="shared" si="144"/>
        <v>112-62-622</v>
      </c>
      <c r="F177" s="294" t="str">
        <f t="shared" si="145"/>
        <v>51210</v>
      </c>
      <c r="G177" s="295" t="str">
        <f>VLOOKUP(F177,'GL Category'!A:C,3,FALSE)</f>
        <v>Operations &amp; maintenance</v>
      </c>
      <c r="H177" s="98" t="str">
        <f>VLOOKUP(F177,'GL Category'!A:C,2,FALSE)</f>
        <v>OFFICE SUPPLIES</v>
      </c>
      <c r="I177" s="99">
        <f>SUMIF(Import!$B:$B,'Other Fund Line-Item Details'!$A177,Import!D:D)</f>
        <v>0</v>
      </c>
      <c r="J177" s="99">
        <f>SUMIF(Import!$B:$B,'Other Fund Line-Item Details'!$A177,Import!E:E)</f>
        <v>0</v>
      </c>
      <c r="K177" s="99">
        <f>SUMIF(Import!$B:$B,'Other Fund Line-Item Details'!$A177,Import!F:F)</f>
        <v>0</v>
      </c>
      <c r="L177" s="99">
        <f>SUMIF(Import!$B:$B,'Other Fund Line-Item Details'!$A177,Import!G:G)</f>
        <v>0</v>
      </c>
      <c r="M177" s="99">
        <f>SUMIF(Import!$B:$B,'Other Fund Line-Item Details'!$A177,Import!H:H)</f>
        <v>0</v>
      </c>
      <c r="N177" s="99">
        <f>SUMIF(Import!$B:$B,'Other Fund Line-Item Details'!$A177,Import!I:I)</f>
        <v>0</v>
      </c>
      <c r="O177" s="99">
        <f>SUMIF(Import!$B:$B,'Other Fund Line-Item Details'!$A177,Import!J:J)</f>
        <v>0</v>
      </c>
      <c r="P177" s="99">
        <f t="shared" si="171"/>
        <v>0</v>
      </c>
      <c r="Q177" s="99">
        <f>SUMIF(Import!$B:$B,'Other Fund Line-Item Details'!$A177,Import!K:K)</f>
        <v>0</v>
      </c>
      <c r="R177" s="99">
        <f>SUMIF(Import!$B:$B,'Other Fund Line-Item Details'!$A177,Import!L:L)</f>
        <v>0</v>
      </c>
      <c r="S177" s="99">
        <f>SUMIF(Import!$B:$B,'Other Fund Line-Item Details'!$A177,Import!M:M)</f>
        <v>0</v>
      </c>
      <c r="T177" s="99">
        <f>SUMIF(Import!$B:$B,'Other Fund Line-Item Details'!$A177,Import!N:N)</f>
        <v>0</v>
      </c>
      <c r="U177" s="99">
        <f t="shared" si="172"/>
        <v>0</v>
      </c>
      <c r="V177" s="255" t="str">
        <f t="shared" si="173"/>
        <v>N/A</v>
      </c>
      <c r="W177" s="102" t="s">
        <v>1862</v>
      </c>
      <c r="X177" s="97"/>
      <c r="Y177" s="97"/>
      <c r="Z177" s="97"/>
      <c r="AA177" s="97"/>
      <c r="AB177" s="97"/>
      <c r="AC177" s="97"/>
      <c r="AD177" s="97"/>
      <c r="AE177" s="97"/>
      <c r="AF177" s="97"/>
      <c r="AG177" s="97"/>
      <c r="AH177" s="97"/>
      <c r="AI177" s="97"/>
      <c r="AJ177" s="97"/>
      <c r="AK177" s="97"/>
      <c r="AL177" s="97"/>
      <c r="AM177" s="97"/>
      <c r="AN177" s="97"/>
      <c r="AO177" s="200"/>
      <c r="AP177" s="200"/>
      <c r="AQ177" s="200"/>
      <c r="AR177" s="200"/>
    </row>
    <row r="178" spans="1:44" s="115" customFormat="1" ht="15" hidden="1" customHeight="1">
      <c r="A178" s="555" t="s">
        <v>1863</v>
      </c>
      <c r="B178" s="217" t="str">
        <f t="shared" si="141"/>
        <v>112</v>
      </c>
      <c r="C178" s="217" t="str">
        <f t="shared" si="142"/>
        <v>62</v>
      </c>
      <c r="D178" s="101" t="str">
        <f t="shared" si="143"/>
        <v>622</v>
      </c>
      <c r="E178" s="217" t="str">
        <f t="shared" si="144"/>
        <v>112-62-622</v>
      </c>
      <c r="F178" s="294" t="str">
        <f t="shared" si="145"/>
        <v>52361</v>
      </c>
      <c r="G178" s="295" t="e">
        <f>VLOOKUP(F178,'GL Category'!A:C,3,FALSE)</f>
        <v>#N/A</v>
      </c>
      <c r="H178" s="98" t="e">
        <f>VLOOKUP(F178,'GL Category'!A:C,2,FALSE)</f>
        <v>#N/A</v>
      </c>
      <c r="I178" s="99">
        <f>SUMIF(Import!$B:$B,'Other Fund Line-Item Details'!$A178,Import!D:D)</f>
        <v>0</v>
      </c>
      <c r="J178" s="99">
        <f>SUMIF(Import!$B:$B,'Other Fund Line-Item Details'!$A178,Import!E:E)</f>
        <v>0</v>
      </c>
      <c r="K178" s="99">
        <f>SUMIF(Import!$B:$B,'Other Fund Line-Item Details'!$A178,Import!F:F)</f>
        <v>0</v>
      </c>
      <c r="L178" s="99">
        <f>SUMIF(Import!$B:$B,'Other Fund Line-Item Details'!$A178,Import!G:G)</f>
        <v>0</v>
      </c>
      <c r="M178" s="99">
        <f>SUMIF(Import!$B:$B,'Other Fund Line-Item Details'!$A178,Import!H:H)</f>
        <v>0</v>
      </c>
      <c r="N178" s="99">
        <f>SUMIF(Import!$B:$B,'Other Fund Line-Item Details'!$A178,Import!I:I)</f>
        <v>0</v>
      </c>
      <c r="O178" s="99">
        <f>SUMIF(Import!$B:$B,'Other Fund Line-Item Details'!$A178,Import!J:J)</f>
        <v>0</v>
      </c>
      <c r="P178" s="99">
        <f t="shared" si="171"/>
        <v>0</v>
      </c>
      <c r="Q178" s="99">
        <f>SUMIF(Import!$B:$B,'Other Fund Line-Item Details'!$A178,Import!K:K)</f>
        <v>0</v>
      </c>
      <c r="R178" s="99">
        <f>SUMIF(Import!$B:$B,'Other Fund Line-Item Details'!$A178,Import!L:L)</f>
        <v>0</v>
      </c>
      <c r="S178" s="99">
        <f>SUMIF(Import!$B:$B,'Other Fund Line-Item Details'!$A178,Import!M:M)</f>
        <v>0</v>
      </c>
      <c r="T178" s="99">
        <f>SUMIF(Import!$B:$B,'Other Fund Line-Item Details'!$A178,Import!N:N)</f>
        <v>0</v>
      </c>
      <c r="U178" s="99">
        <f t="shared" si="172"/>
        <v>0</v>
      </c>
      <c r="V178" s="255" t="str">
        <f t="shared" si="173"/>
        <v>N/A</v>
      </c>
      <c r="W178" s="102" t="s">
        <v>1863</v>
      </c>
      <c r="X178" s="97"/>
      <c r="Y178" s="97"/>
      <c r="Z178" s="97"/>
      <c r="AA178" s="97"/>
      <c r="AB178" s="97"/>
      <c r="AC178" s="97"/>
      <c r="AD178" s="97"/>
      <c r="AE178" s="97"/>
      <c r="AF178" s="97"/>
      <c r="AG178" s="97"/>
      <c r="AH178" s="97"/>
      <c r="AI178" s="97"/>
      <c r="AJ178" s="97"/>
      <c r="AK178" s="97"/>
      <c r="AL178" s="97"/>
      <c r="AM178" s="97"/>
      <c r="AN178" s="97"/>
      <c r="AO178" s="200"/>
      <c r="AP178" s="200"/>
      <c r="AQ178" s="200"/>
      <c r="AR178" s="200"/>
    </row>
    <row r="179" spans="1:44" s="115" customFormat="1" ht="15" hidden="1" customHeight="1">
      <c r="A179" s="555" t="s">
        <v>1864</v>
      </c>
      <c r="B179" s="217" t="str">
        <f t="shared" si="141"/>
        <v>112</v>
      </c>
      <c r="C179" s="217" t="str">
        <f t="shared" si="142"/>
        <v>62</v>
      </c>
      <c r="D179" s="101" t="str">
        <f t="shared" si="143"/>
        <v>622</v>
      </c>
      <c r="E179" s="217" t="str">
        <f t="shared" si="144"/>
        <v>112-62-622</v>
      </c>
      <c r="F179" s="294" t="str">
        <f t="shared" si="145"/>
        <v>52756</v>
      </c>
      <c r="G179" s="295" t="e">
        <f>VLOOKUP(F179,'GL Category'!A:C,3,FALSE)</f>
        <v>#N/A</v>
      </c>
      <c r="H179" s="98" t="e">
        <f>VLOOKUP(F179,'GL Category'!A:C,2,FALSE)</f>
        <v>#N/A</v>
      </c>
      <c r="I179" s="99">
        <f>SUMIF(Import!$B:$B,'Other Fund Line-Item Details'!$A179,Import!D:D)</f>
        <v>0</v>
      </c>
      <c r="J179" s="99">
        <f>SUMIF(Import!$B:$B,'Other Fund Line-Item Details'!$A179,Import!E:E)</f>
        <v>0</v>
      </c>
      <c r="K179" s="99">
        <f>SUMIF(Import!$B:$B,'Other Fund Line-Item Details'!$A179,Import!F:F)</f>
        <v>0</v>
      </c>
      <c r="L179" s="99">
        <f>SUMIF(Import!$B:$B,'Other Fund Line-Item Details'!$A179,Import!G:G)</f>
        <v>0</v>
      </c>
      <c r="M179" s="99">
        <f>SUMIF(Import!$B:$B,'Other Fund Line-Item Details'!$A179,Import!H:H)</f>
        <v>0</v>
      </c>
      <c r="N179" s="99">
        <f>SUMIF(Import!$B:$B,'Other Fund Line-Item Details'!$A179,Import!I:I)</f>
        <v>0</v>
      </c>
      <c r="O179" s="99">
        <f>SUMIF(Import!$B:$B,'Other Fund Line-Item Details'!$A179,Import!J:J)</f>
        <v>0</v>
      </c>
      <c r="P179" s="99">
        <f t="shared" si="171"/>
        <v>0</v>
      </c>
      <c r="Q179" s="99">
        <f>SUMIF(Import!$B:$B,'Other Fund Line-Item Details'!$A179,Import!K:K)</f>
        <v>0</v>
      </c>
      <c r="R179" s="99">
        <f>SUMIF(Import!$B:$B,'Other Fund Line-Item Details'!$A179,Import!L:L)</f>
        <v>0</v>
      </c>
      <c r="S179" s="99">
        <f>SUMIF(Import!$B:$B,'Other Fund Line-Item Details'!$A179,Import!M:M)</f>
        <v>0</v>
      </c>
      <c r="T179" s="99">
        <f>SUMIF(Import!$B:$B,'Other Fund Line-Item Details'!$A179,Import!N:N)</f>
        <v>0</v>
      </c>
      <c r="U179" s="99">
        <f t="shared" si="172"/>
        <v>0</v>
      </c>
      <c r="V179" s="255" t="str">
        <f t="shared" si="173"/>
        <v>N/A</v>
      </c>
      <c r="W179" s="102" t="s">
        <v>1864</v>
      </c>
      <c r="X179" s="97"/>
      <c r="Y179" s="97"/>
      <c r="Z179" s="97"/>
      <c r="AA179" s="97"/>
      <c r="AB179" s="97"/>
      <c r="AC179" s="97"/>
      <c r="AD179" s="97"/>
      <c r="AE179" s="97"/>
      <c r="AF179" s="97"/>
      <c r="AG179" s="97"/>
      <c r="AH179" s="97"/>
      <c r="AI179" s="97"/>
      <c r="AJ179" s="97"/>
      <c r="AK179" s="97"/>
      <c r="AL179" s="97"/>
      <c r="AM179" s="97"/>
      <c r="AN179" s="97"/>
      <c r="AO179" s="200"/>
      <c r="AP179" s="200"/>
      <c r="AQ179" s="200"/>
      <c r="AR179" s="200"/>
    </row>
    <row r="180" spans="1:44" s="115" customFormat="1" ht="15" hidden="1" customHeight="1">
      <c r="A180" s="555" t="s">
        <v>1865</v>
      </c>
      <c r="B180" s="217" t="str">
        <f t="shared" si="141"/>
        <v>112</v>
      </c>
      <c r="C180" s="217" t="str">
        <f t="shared" si="142"/>
        <v>62</v>
      </c>
      <c r="D180" s="101" t="str">
        <f t="shared" si="143"/>
        <v>622</v>
      </c>
      <c r="E180" s="217" t="str">
        <f t="shared" si="144"/>
        <v>112-62-622</v>
      </c>
      <c r="F180" s="294" t="str">
        <f t="shared" si="145"/>
        <v>53599</v>
      </c>
      <c r="G180" s="295" t="str">
        <f>VLOOKUP(F180,'GL Category'!A:C,3,FALSE)</f>
        <v>Services &amp; other</v>
      </c>
      <c r="H180" s="98" t="str">
        <f>VLOOKUP(F180,'GL Category'!A:C,2,FALSE)</f>
        <v>MISCELLANEOUS SERVICES</v>
      </c>
      <c r="I180" s="99">
        <f>SUMIF(Import!$B:$B,'Other Fund Line-Item Details'!$A180,Import!D:D)</f>
        <v>0</v>
      </c>
      <c r="J180" s="99">
        <f>SUMIF(Import!$B:$B,'Other Fund Line-Item Details'!$A180,Import!E:E)</f>
        <v>0</v>
      </c>
      <c r="K180" s="99">
        <f>SUMIF(Import!$B:$B,'Other Fund Line-Item Details'!$A180,Import!F:F)</f>
        <v>0</v>
      </c>
      <c r="L180" s="99">
        <f>SUMIF(Import!$B:$B,'Other Fund Line-Item Details'!$A180,Import!G:G)</f>
        <v>0</v>
      </c>
      <c r="M180" s="99">
        <f>SUMIF(Import!$B:$B,'Other Fund Line-Item Details'!$A180,Import!H:H)</f>
        <v>0</v>
      </c>
      <c r="N180" s="99">
        <f>SUMIF(Import!$B:$B,'Other Fund Line-Item Details'!$A180,Import!I:I)</f>
        <v>0</v>
      </c>
      <c r="O180" s="99">
        <f>SUMIF(Import!$B:$B,'Other Fund Line-Item Details'!$A180,Import!J:J)</f>
        <v>0</v>
      </c>
      <c r="P180" s="99">
        <f t="shared" si="171"/>
        <v>0</v>
      </c>
      <c r="Q180" s="99">
        <f>SUMIF(Import!$B:$B,'Other Fund Line-Item Details'!$A180,Import!K:K)</f>
        <v>0</v>
      </c>
      <c r="R180" s="99">
        <f>SUMIF(Import!$B:$B,'Other Fund Line-Item Details'!$A180,Import!L:L)</f>
        <v>0</v>
      </c>
      <c r="S180" s="99">
        <f>SUMIF(Import!$B:$B,'Other Fund Line-Item Details'!$A180,Import!M:M)</f>
        <v>0</v>
      </c>
      <c r="T180" s="99">
        <f>SUMIF(Import!$B:$B,'Other Fund Line-Item Details'!$A180,Import!N:N)</f>
        <v>0</v>
      </c>
      <c r="U180" s="99">
        <f t="shared" si="172"/>
        <v>0</v>
      </c>
      <c r="V180" s="255" t="str">
        <f t="shared" si="173"/>
        <v>N/A</v>
      </c>
      <c r="W180" s="102" t="s">
        <v>1865</v>
      </c>
      <c r="X180" s="97"/>
      <c r="Y180" s="97"/>
      <c r="Z180" s="97"/>
      <c r="AA180" s="97"/>
      <c r="AB180" s="97"/>
      <c r="AC180" s="97"/>
      <c r="AD180" s="97"/>
      <c r="AE180" s="97"/>
      <c r="AF180" s="97"/>
      <c r="AG180" s="97"/>
      <c r="AH180" s="97"/>
      <c r="AI180" s="97"/>
      <c r="AJ180" s="97"/>
      <c r="AK180" s="97"/>
      <c r="AL180" s="97"/>
      <c r="AM180" s="97"/>
      <c r="AN180" s="97"/>
      <c r="AO180" s="200"/>
      <c r="AP180" s="200"/>
      <c r="AQ180" s="200"/>
      <c r="AR180" s="200"/>
    </row>
    <row r="181" spans="1:44" s="115" customFormat="1" ht="15" hidden="1" customHeight="1">
      <c r="A181" s="555" t="s">
        <v>1866</v>
      </c>
      <c r="B181" s="217" t="str">
        <f t="shared" si="141"/>
        <v>112</v>
      </c>
      <c r="C181" s="217" t="str">
        <f t="shared" si="142"/>
        <v>62</v>
      </c>
      <c r="D181" s="101" t="str">
        <f t="shared" si="143"/>
        <v>622</v>
      </c>
      <c r="E181" s="217" t="str">
        <f t="shared" si="144"/>
        <v>112-62-622</v>
      </c>
      <c r="F181" s="294" t="str">
        <f t="shared" si="145"/>
        <v>53524</v>
      </c>
      <c r="G181" s="295" t="str">
        <f>VLOOKUP(F181,'GL Category'!A:C,3,FALSE)</f>
        <v>Services &amp; other</v>
      </c>
      <c r="H181" s="98" t="str">
        <f>VLOOKUP(F181,'GL Category'!A:C,2,FALSE)</f>
        <v>EQUIPMENT RENTAL</v>
      </c>
      <c r="I181" s="99">
        <f>SUMIF(Import!$B:$B,'Other Fund Line-Item Details'!$A181,Import!D:D)</f>
        <v>0</v>
      </c>
      <c r="J181" s="99">
        <f>SUMIF(Import!$B:$B,'Other Fund Line-Item Details'!$A181,Import!E:E)</f>
        <v>0</v>
      </c>
      <c r="K181" s="99">
        <f>SUMIF(Import!$B:$B,'Other Fund Line-Item Details'!$A181,Import!F:F)</f>
        <v>0</v>
      </c>
      <c r="L181" s="99">
        <f>SUMIF(Import!$B:$B,'Other Fund Line-Item Details'!$A181,Import!G:G)</f>
        <v>0</v>
      </c>
      <c r="M181" s="99">
        <f>SUMIF(Import!$B:$B,'Other Fund Line-Item Details'!$A181,Import!H:H)</f>
        <v>0</v>
      </c>
      <c r="N181" s="99">
        <f>SUMIF(Import!$B:$B,'Other Fund Line-Item Details'!$A181,Import!I:I)</f>
        <v>0</v>
      </c>
      <c r="O181" s="99">
        <f>SUMIF(Import!$B:$B,'Other Fund Line-Item Details'!$A181,Import!J:J)</f>
        <v>0</v>
      </c>
      <c r="P181" s="99">
        <f t="shared" si="171"/>
        <v>0</v>
      </c>
      <c r="Q181" s="99">
        <f>SUMIF(Import!$B:$B,'Other Fund Line-Item Details'!$A181,Import!K:K)</f>
        <v>0</v>
      </c>
      <c r="R181" s="99">
        <f>SUMIF(Import!$B:$B,'Other Fund Line-Item Details'!$A181,Import!L:L)</f>
        <v>0</v>
      </c>
      <c r="S181" s="99">
        <f>SUMIF(Import!$B:$B,'Other Fund Line-Item Details'!$A181,Import!M:M)</f>
        <v>0</v>
      </c>
      <c r="T181" s="99">
        <f>SUMIF(Import!$B:$B,'Other Fund Line-Item Details'!$A181,Import!N:N)</f>
        <v>0</v>
      </c>
      <c r="U181" s="99">
        <f t="shared" si="172"/>
        <v>0</v>
      </c>
      <c r="V181" s="255" t="str">
        <f t="shared" si="173"/>
        <v>N/A</v>
      </c>
      <c r="W181" s="102" t="s">
        <v>1866</v>
      </c>
      <c r="X181" s="97"/>
      <c r="Y181" s="97"/>
      <c r="Z181" s="97"/>
      <c r="AA181" s="97"/>
      <c r="AB181" s="97"/>
      <c r="AC181" s="97"/>
      <c r="AD181" s="97"/>
      <c r="AE181" s="97"/>
      <c r="AF181" s="97"/>
      <c r="AG181" s="97"/>
      <c r="AH181" s="97"/>
      <c r="AI181" s="97"/>
      <c r="AJ181" s="97"/>
      <c r="AK181" s="97"/>
      <c r="AL181" s="97"/>
      <c r="AM181" s="97"/>
      <c r="AN181" s="97"/>
      <c r="AO181" s="200"/>
      <c r="AP181" s="200"/>
      <c r="AQ181" s="200"/>
      <c r="AR181" s="200"/>
    </row>
    <row r="182" spans="1:44" s="115" customFormat="1" ht="15" hidden="1" customHeight="1">
      <c r="A182" s="555" t="s">
        <v>1867</v>
      </c>
      <c r="B182" s="217" t="str">
        <f t="shared" si="141"/>
        <v>112</v>
      </c>
      <c r="C182" s="217" t="str">
        <f t="shared" si="142"/>
        <v>62</v>
      </c>
      <c r="D182" s="101" t="str">
        <f t="shared" si="143"/>
        <v>622</v>
      </c>
      <c r="E182" s="217" t="str">
        <f t="shared" si="144"/>
        <v>112-62-622</v>
      </c>
      <c r="F182" s="294" t="str">
        <f t="shared" si="145"/>
        <v>53515</v>
      </c>
      <c r="G182" s="295" t="str">
        <f>VLOOKUP(F182,'GL Category'!A:C,3,FALSE)</f>
        <v>Services &amp; other</v>
      </c>
      <c r="H182" s="98" t="str">
        <f>VLOOKUP(F182,'GL Category'!A:C,2,FALSE)</f>
        <v>TRAVEL, TRAINING &amp; EDUCATION</v>
      </c>
      <c r="I182" s="99">
        <f>SUMIF(Import!$B:$B,'Other Fund Line-Item Details'!$A182,Import!D:D)</f>
        <v>0</v>
      </c>
      <c r="J182" s="99">
        <f>SUMIF(Import!$B:$B,'Other Fund Line-Item Details'!$A182,Import!E:E)</f>
        <v>0</v>
      </c>
      <c r="K182" s="99">
        <f>SUMIF(Import!$B:$B,'Other Fund Line-Item Details'!$A182,Import!F:F)</f>
        <v>0</v>
      </c>
      <c r="L182" s="99">
        <f>SUMIF(Import!$B:$B,'Other Fund Line-Item Details'!$A182,Import!G:G)</f>
        <v>0</v>
      </c>
      <c r="M182" s="99">
        <f>SUMIF(Import!$B:$B,'Other Fund Line-Item Details'!$A182,Import!H:H)</f>
        <v>0</v>
      </c>
      <c r="N182" s="99">
        <f>SUMIF(Import!$B:$B,'Other Fund Line-Item Details'!$A182,Import!I:I)</f>
        <v>0</v>
      </c>
      <c r="O182" s="99">
        <f>SUMIF(Import!$B:$B,'Other Fund Line-Item Details'!$A182,Import!J:J)</f>
        <v>0</v>
      </c>
      <c r="P182" s="99">
        <f t="shared" si="171"/>
        <v>0</v>
      </c>
      <c r="Q182" s="99">
        <f>SUMIF(Import!$B:$B,'Other Fund Line-Item Details'!$A182,Import!K:K)</f>
        <v>0</v>
      </c>
      <c r="R182" s="99">
        <f>SUMIF(Import!$B:$B,'Other Fund Line-Item Details'!$A182,Import!L:L)</f>
        <v>0</v>
      </c>
      <c r="S182" s="99">
        <f>SUMIF(Import!$B:$B,'Other Fund Line-Item Details'!$A182,Import!M:M)</f>
        <v>0</v>
      </c>
      <c r="T182" s="99">
        <f>SUMIF(Import!$B:$B,'Other Fund Line-Item Details'!$A182,Import!N:N)</f>
        <v>0</v>
      </c>
      <c r="U182" s="99">
        <f t="shared" si="172"/>
        <v>0</v>
      </c>
      <c r="V182" s="255" t="str">
        <f t="shared" si="173"/>
        <v>N/A</v>
      </c>
      <c r="W182" s="102" t="s">
        <v>1867</v>
      </c>
      <c r="X182" s="97"/>
      <c r="Y182" s="97"/>
      <c r="Z182" s="97"/>
      <c r="AA182" s="97"/>
      <c r="AB182" s="97"/>
      <c r="AC182" s="97"/>
      <c r="AD182" s="97"/>
      <c r="AE182" s="97"/>
      <c r="AF182" s="97"/>
      <c r="AG182" s="97"/>
      <c r="AH182" s="97"/>
      <c r="AI182" s="97"/>
      <c r="AJ182" s="97"/>
      <c r="AK182" s="97"/>
      <c r="AL182" s="97"/>
      <c r="AM182" s="97"/>
      <c r="AN182" s="97"/>
      <c r="AO182" s="200"/>
      <c r="AP182" s="200"/>
      <c r="AQ182" s="200"/>
      <c r="AR182" s="200"/>
    </row>
    <row r="183" spans="1:44" s="115" customFormat="1" ht="15" hidden="1" customHeight="1">
      <c r="A183" s="555" t="s">
        <v>1868</v>
      </c>
      <c r="B183" s="217" t="str">
        <f t="shared" ref="B183:B226" si="174">LEFT(A183,3)</f>
        <v>112</v>
      </c>
      <c r="C183" s="217" t="str">
        <f t="shared" ref="C183:C226" si="175">MID(A183,5,2)</f>
        <v>62</v>
      </c>
      <c r="D183" s="101" t="str">
        <f t="shared" ref="D183:D226" si="176">MID(A183,8,3)</f>
        <v>622</v>
      </c>
      <c r="E183" s="217" t="str">
        <f t="shared" ref="E183:E226" si="177">LEFT(A183,10)</f>
        <v>112-62-622</v>
      </c>
      <c r="F183" s="294" t="str">
        <f t="shared" ref="F183:F226" si="178">RIGHT(A183,5)</f>
        <v>53539</v>
      </c>
      <c r="G183" s="295" t="e">
        <f>VLOOKUP(F183,'GL Category'!A:C,3,FALSE)</f>
        <v>#N/A</v>
      </c>
      <c r="H183" s="98" t="e">
        <f>VLOOKUP(F183,'GL Category'!A:C,2,FALSE)</f>
        <v>#N/A</v>
      </c>
      <c r="I183" s="99">
        <f>SUMIF(Import!$B:$B,'Other Fund Line-Item Details'!$A183,Import!D:D)</f>
        <v>0</v>
      </c>
      <c r="J183" s="99">
        <f>SUMIF(Import!$B:$B,'Other Fund Line-Item Details'!$A183,Import!E:E)</f>
        <v>0</v>
      </c>
      <c r="K183" s="99">
        <f>SUMIF(Import!$B:$B,'Other Fund Line-Item Details'!$A183,Import!F:F)</f>
        <v>0</v>
      </c>
      <c r="L183" s="99">
        <f>SUMIF(Import!$B:$B,'Other Fund Line-Item Details'!$A183,Import!G:G)</f>
        <v>0</v>
      </c>
      <c r="M183" s="99">
        <f>SUMIF(Import!$B:$B,'Other Fund Line-Item Details'!$A183,Import!H:H)</f>
        <v>0</v>
      </c>
      <c r="N183" s="99">
        <f>SUMIF(Import!$B:$B,'Other Fund Line-Item Details'!$A183,Import!I:I)</f>
        <v>0</v>
      </c>
      <c r="O183" s="99">
        <f>SUMIF(Import!$B:$B,'Other Fund Line-Item Details'!$A183,Import!J:J)</f>
        <v>0</v>
      </c>
      <c r="P183" s="99">
        <f t="shared" si="171"/>
        <v>0</v>
      </c>
      <c r="Q183" s="99">
        <f>SUMIF(Import!$B:$B,'Other Fund Line-Item Details'!$A183,Import!K:K)</f>
        <v>0</v>
      </c>
      <c r="R183" s="99">
        <f>SUMIF(Import!$B:$B,'Other Fund Line-Item Details'!$A183,Import!L:L)</f>
        <v>0</v>
      </c>
      <c r="S183" s="99">
        <f>SUMIF(Import!$B:$B,'Other Fund Line-Item Details'!$A183,Import!M:M)</f>
        <v>0</v>
      </c>
      <c r="T183" s="99">
        <f>SUMIF(Import!$B:$B,'Other Fund Line-Item Details'!$A183,Import!N:N)</f>
        <v>0</v>
      </c>
      <c r="U183" s="99">
        <f t="shared" si="172"/>
        <v>0</v>
      </c>
      <c r="V183" s="255" t="str">
        <f t="shared" si="173"/>
        <v>N/A</v>
      </c>
      <c r="W183" s="102" t="s">
        <v>1868</v>
      </c>
      <c r="X183" s="97"/>
      <c r="Y183" s="97"/>
      <c r="Z183" s="97"/>
      <c r="AA183" s="97"/>
      <c r="AB183" s="97"/>
      <c r="AC183" s="97"/>
      <c r="AD183" s="97"/>
      <c r="AE183" s="97"/>
      <c r="AF183" s="97"/>
      <c r="AG183" s="97"/>
      <c r="AH183" s="97"/>
      <c r="AI183" s="97"/>
      <c r="AJ183" s="97"/>
      <c r="AK183" s="97"/>
      <c r="AL183" s="97"/>
      <c r="AM183" s="97"/>
      <c r="AN183" s="97"/>
      <c r="AO183" s="200"/>
      <c r="AP183" s="200"/>
      <c r="AQ183" s="200"/>
      <c r="AR183" s="200"/>
    </row>
    <row r="184" spans="1:44" s="115" customFormat="1" ht="26.25" customHeight="1">
      <c r="A184" s="555" t="s">
        <v>1869</v>
      </c>
      <c r="B184" s="217" t="str">
        <f t="shared" si="174"/>
        <v>112</v>
      </c>
      <c r="C184" s="217" t="str">
        <f t="shared" si="175"/>
        <v>62</v>
      </c>
      <c r="D184" s="101" t="str">
        <f t="shared" si="176"/>
        <v>622</v>
      </c>
      <c r="E184" s="217" t="str">
        <f t="shared" si="177"/>
        <v>112-62-622</v>
      </c>
      <c r="F184" s="294" t="str">
        <f t="shared" si="178"/>
        <v>54558</v>
      </c>
      <c r="G184" s="295" t="str">
        <f>VLOOKUP(F184,'GL Category'!A:C,3,FALSE)</f>
        <v>Services &amp; other</v>
      </c>
      <c r="H184" s="98" t="str">
        <f>VLOOKUP(F184,'GL Category'!A:C,2,FALSE)</f>
        <v>EXPENDITURES-SR SVS RECREATION</v>
      </c>
      <c r="I184" s="99">
        <f>SUMIF(Import!$B:$B,'Other Fund Line-Item Details'!$A184,Import!D:D)</f>
        <v>7122.37</v>
      </c>
      <c r="J184" s="99">
        <f>SUMIF(Import!$B:$B,'Other Fund Line-Item Details'!$A184,Import!E:E)</f>
        <v>2410.4</v>
      </c>
      <c r="K184" s="99">
        <f>SUMIF(Import!$B:$B,'Other Fund Line-Item Details'!$A184,Import!F:F)</f>
        <v>11808.64</v>
      </c>
      <c r="L184" s="99">
        <f>SUMIF(Import!$B:$B,'Other Fund Line-Item Details'!$A184,Import!G:G)</f>
        <v>23538.48</v>
      </c>
      <c r="M184" s="99">
        <f>SUMIF(Import!$B:$B,'Other Fund Line-Item Details'!$A184,Import!H:H)</f>
        <v>0</v>
      </c>
      <c r="N184" s="99">
        <f>SUMIF(Import!$B:$B,'Other Fund Line-Item Details'!$A184,Import!I:I)</f>
        <v>15838.35</v>
      </c>
      <c r="O184" s="99">
        <f>SUMIF(Import!$B:$B,'Other Fund Line-Item Details'!$A184,Import!J:J)</f>
        <v>50400</v>
      </c>
      <c r="P184" s="99">
        <f t="shared" si="171"/>
        <v>50400</v>
      </c>
      <c r="Q184" s="99">
        <f>SUMIF(Import!$B:$B,'Other Fund Line-Item Details'!$A184,Import!K:K)</f>
        <v>46950</v>
      </c>
      <c r="R184" s="99">
        <f>SUMIF(Import!$B:$B,'Other Fund Line-Item Details'!$A184,Import!L:L)</f>
        <v>0</v>
      </c>
      <c r="S184" s="99">
        <f>SUMIF(Import!$B:$B,'Other Fund Line-Item Details'!$A184,Import!M:M)</f>
        <v>0</v>
      </c>
      <c r="T184" s="99">
        <f>SUMIF(Import!$B:$B,'Other Fund Line-Item Details'!$A184,Import!N:N)</f>
        <v>46950</v>
      </c>
      <c r="U184" s="99">
        <f t="shared" si="172"/>
        <v>46950</v>
      </c>
      <c r="V184" s="255" t="str">
        <f t="shared" si="173"/>
        <v>N/A</v>
      </c>
      <c r="W184" s="102" t="s">
        <v>1869</v>
      </c>
      <c r="X184" s="97"/>
      <c r="Y184" s="97"/>
      <c r="Z184" s="97"/>
      <c r="AA184" s="97"/>
      <c r="AB184" s="97"/>
      <c r="AC184" s="97"/>
      <c r="AD184" s="97"/>
      <c r="AE184" s="97"/>
      <c r="AF184" s="97"/>
      <c r="AG184" s="97"/>
      <c r="AH184" s="97"/>
      <c r="AI184" s="97"/>
      <c r="AJ184" s="97"/>
      <c r="AK184" s="97"/>
      <c r="AL184" s="97"/>
      <c r="AM184" s="97"/>
      <c r="AN184" s="97"/>
      <c r="AO184" s="200"/>
      <c r="AP184" s="200"/>
      <c r="AQ184" s="200"/>
      <c r="AR184" s="200"/>
    </row>
    <row r="185" spans="1:44" s="115" customFormat="1" ht="22.5" customHeight="1">
      <c r="A185" s="555" t="s">
        <v>1870</v>
      </c>
      <c r="B185" s="217" t="str">
        <f t="shared" si="174"/>
        <v>112</v>
      </c>
      <c r="C185" s="217" t="str">
        <f t="shared" si="175"/>
        <v>62</v>
      </c>
      <c r="D185" s="101" t="str">
        <f t="shared" si="176"/>
        <v>622</v>
      </c>
      <c r="E185" s="217" t="str">
        <f t="shared" si="177"/>
        <v>112-62-622</v>
      </c>
      <c r="F185" s="294" t="str">
        <f t="shared" si="178"/>
        <v>54561</v>
      </c>
      <c r="G185" s="295" t="str">
        <f>VLOOKUP(F185,'GL Category'!A:C,3,FALSE)</f>
        <v>Services &amp; other</v>
      </c>
      <c r="H185" s="98" t="str">
        <f>VLOOKUP(F185,'GL Category'!A:C,2,FALSE)</f>
        <v>EXPENDITURES-DONATIONS SR SVS</v>
      </c>
      <c r="I185" s="99">
        <f>SUMIF(Import!$B:$B,'Other Fund Line-Item Details'!$A185,Import!D:D)</f>
        <v>12759.87</v>
      </c>
      <c r="J185" s="99">
        <f>SUMIF(Import!$B:$B,'Other Fund Line-Item Details'!$A185,Import!E:E)</f>
        <v>4540.74</v>
      </c>
      <c r="K185" s="99">
        <f>SUMIF(Import!$B:$B,'Other Fund Line-Item Details'!$A185,Import!F:F)</f>
        <v>15293.35</v>
      </c>
      <c r="L185" s="99">
        <f>SUMIF(Import!$B:$B,'Other Fund Line-Item Details'!$A185,Import!G:G)</f>
        <v>14219.87</v>
      </c>
      <c r="M185" s="99">
        <f>SUMIF(Import!$B:$B,'Other Fund Line-Item Details'!$A185,Import!H:H)</f>
        <v>50000</v>
      </c>
      <c r="N185" s="99">
        <f>SUMIF(Import!$B:$B,'Other Fund Line-Item Details'!$A185,Import!I:I)</f>
        <v>7020.44</v>
      </c>
      <c r="O185" s="99">
        <f>SUMIF(Import!$B:$B,'Other Fund Line-Item Details'!$A185,Import!J:J)</f>
        <v>15777</v>
      </c>
      <c r="P185" s="99">
        <f t="shared" si="171"/>
        <v>-34223</v>
      </c>
      <c r="Q185" s="99">
        <f>SUMIF(Import!$B:$B,'Other Fund Line-Item Details'!$A185,Import!K:K)</f>
        <v>19521</v>
      </c>
      <c r="R185" s="99">
        <f>SUMIF(Import!$B:$B,'Other Fund Line-Item Details'!$A185,Import!L:L)</f>
        <v>0</v>
      </c>
      <c r="S185" s="99">
        <f>SUMIF(Import!$B:$B,'Other Fund Line-Item Details'!$A185,Import!M:M)</f>
        <v>0</v>
      </c>
      <c r="T185" s="99">
        <f>SUMIF(Import!$B:$B,'Other Fund Line-Item Details'!$A185,Import!N:N)</f>
        <v>19521</v>
      </c>
      <c r="U185" s="99">
        <f t="shared" si="172"/>
        <v>-30479</v>
      </c>
      <c r="V185" s="255">
        <f t="shared" si="173"/>
        <v>-0.60958000000000001</v>
      </c>
      <c r="W185" s="102" t="s">
        <v>1870</v>
      </c>
      <c r="X185" s="97"/>
      <c r="Y185" s="97"/>
      <c r="Z185" s="97"/>
      <c r="AA185" s="97"/>
      <c r="AB185" s="97"/>
      <c r="AC185" s="97"/>
      <c r="AD185" s="97"/>
      <c r="AE185" s="97"/>
      <c r="AF185" s="97"/>
      <c r="AG185" s="97"/>
      <c r="AH185" s="97"/>
      <c r="AI185" s="97"/>
      <c r="AJ185" s="97"/>
      <c r="AK185" s="97"/>
      <c r="AL185" s="97"/>
      <c r="AM185" s="97"/>
      <c r="AN185" s="97"/>
      <c r="AO185" s="192"/>
      <c r="AP185" s="192"/>
      <c r="AQ185" s="192"/>
      <c r="AR185" s="192"/>
    </row>
    <row r="186" spans="1:44" s="115" customFormat="1" ht="15" customHeight="1">
      <c r="A186" s="555" t="s">
        <v>1871</v>
      </c>
      <c r="B186" s="217" t="str">
        <f t="shared" si="174"/>
        <v>112</v>
      </c>
      <c r="C186" s="217" t="str">
        <f t="shared" si="175"/>
        <v>62</v>
      </c>
      <c r="D186" s="101" t="str">
        <f t="shared" si="176"/>
        <v>622</v>
      </c>
      <c r="E186" s="217" t="str">
        <f t="shared" si="177"/>
        <v>112-62-622</v>
      </c>
      <c r="F186" s="294" t="str">
        <f t="shared" si="178"/>
        <v>54562</v>
      </c>
      <c r="G186" s="295" t="str">
        <f>VLOOKUP(F186,'GL Category'!A:C,3,FALSE)</f>
        <v>Services &amp; other</v>
      </c>
      <c r="H186" s="98" t="str">
        <f>VLOOKUP(F186,'GL Category'!A:C,2,FALSE)</f>
        <v>EXPENDITURES-DONATION MMOW</v>
      </c>
      <c r="I186" s="99">
        <f>SUMIF(Import!$B:$B,'Other Fund Line-Item Details'!$A186,Import!D:D)</f>
        <v>10867</v>
      </c>
      <c r="J186" s="99">
        <f>SUMIF(Import!$B:$B,'Other Fund Line-Item Details'!$A186,Import!E:E)</f>
        <v>37098</v>
      </c>
      <c r="K186" s="99">
        <f>SUMIF(Import!$B:$B,'Other Fund Line-Item Details'!$A186,Import!F:F)</f>
        <v>56615</v>
      </c>
      <c r="L186" s="99">
        <f>SUMIF(Import!$B:$B,'Other Fund Line-Item Details'!$A186,Import!G:G)</f>
        <v>45790</v>
      </c>
      <c r="M186" s="99">
        <f>SUMIF(Import!$B:$B,'Other Fund Line-Item Details'!$A186,Import!H:H)</f>
        <v>55829</v>
      </c>
      <c r="N186" s="99">
        <f>SUMIF(Import!$B:$B,'Other Fund Line-Item Details'!$A186,Import!I:I)</f>
        <v>32445</v>
      </c>
      <c r="O186" s="99">
        <f>SUMIF(Import!$B:$B,'Other Fund Line-Item Details'!$A186,Import!J:J)</f>
        <v>58000</v>
      </c>
      <c r="P186" s="99">
        <f t="shared" si="171"/>
        <v>2171</v>
      </c>
      <c r="Q186" s="99">
        <f>SUMIF(Import!$B:$B,'Other Fund Line-Item Details'!$A186,Import!K:K)</f>
        <v>45829</v>
      </c>
      <c r="R186" s="99">
        <f>SUMIF(Import!$B:$B,'Other Fund Line-Item Details'!$A186,Import!L:L)</f>
        <v>0</v>
      </c>
      <c r="S186" s="99">
        <f>SUMIF(Import!$B:$B,'Other Fund Line-Item Details'!$A186,Import!M:M)</f>
        <v>0</v>
      </c>
      <c r="T186" s="99">
        <f>SUMIF(Import!$B:$B,'Other Fund Line-Item Details'!$A186,Import!N:N)</f>
        <v>45829</v>
      </c>
      <c r="U186" s="99">
        <f t="shared" si="172"/>
        <v>-10000</v>
      </c>
      <c r="V186" s="255">
        <f t="shared" si="173"/>
        <v>-0.17911837933690378</v>
      </c>
      <c r="W186" s="102" t="s">
        <v>1871</v>
      </c>
      <c r="X186" s="97"/>
      <c r="Y186" s="97"/>
      <c r="Z186" s="97"/>
      <c r="AA186" s="97"/>
      <c r="AB186" s="97"/>
      <c r="AC186" s="97"/>
      <c r="AD186" s="97"/>
      <c r="AE186" s="97"/>
      <c r="AF186" s="97"/>
      <c r="AG186" s="97"/>
      <c r="AH186" s="97"/>
      <c r="AI186" s="97"/>
      <c r="AJ186" s="97"/>
      <c r="AK186" s="97"/>
      <c r="AL186" s="97"/>
      <c r="AM186" s="97"/>
      <c r="AN186" s="97"/>
      <c r="AO186" s="192"/>
      <c r="AP186" s="192"/>
      <c r="AQ186" s="192"/>
      <c r="AR186" s="192"/>
    </row>
    <row r="187" spans="1:44" s="115" customFormat="1" ht="15" customHeight="1">
      <c r="A187" s="555" t="s">
        <v>1872</v>
      </c>
      <c r="B187" s="217" t="str">
        <f t="shared" si="174"/>
        <v>112</v>
      </c>
      <c r="C187" s="217" t="str">
        <f t="shared" si="175"/>
        <v>62</v>
      </c>
      <c r="D187" s="101" t="str">
        <f t="shared" si="176"/>
        <v>622</v>
      </c>
      <c r="E187" s="217" t="str">
        <f t="shared" si="177"/>
        <v>112-62-622</v>
      </c>
      <c r="F187" s="294" t="str">
        <f t="shared" si="178"/>
        <v>54563</v>
      </c>
      <c r="G187" s="295" t="str">
        <f>VLOOKUP(F187,'GL Category'!A:C,3,FALSE)</f>
        <v>Services &amp; other</v>
      </c>
      <c r="H187" s="98" t="str">
        <f>VLOOKUP(F187,'GL Category'!A:C,2,FALSE)</f>
        <v>EXPENDITURES-SR SVS NEWSLETTER</v>
      </c>
      <c r="I187" s="99">
        <f>SUMIF(Import!$B:$B,'Other Fund Line-Item Details'!$A187,Import!D:D)</f>
        <v>0</v>
      </c>
      <c r="J187" s="99">
        <f>SUMIF(Import!$B:$B,'Other Fund Line-Item Details'!$A187,Import!E:E)</f>
        <v>0</v>
      </c>
      <c r="K187" s="99">
        <f>SUMIF(Import!$B:$B,'Other Fund Line-Item Details'!$A187,Import!F:F)</f>
        <v>0</v>
      </c>
      <c r="L187" s="99">
        <f>SUMIF(Import!$B:$B,'Other Fund Line-Item Details'!$A187,Import!G:G)</f>
        <v>0</v>
      </c>
      <c r="M187" s="99">
        <f>SUMIF(Import!$B:$B,'Other Fund Line-Item Details'!$A187,Import!H:H)</f>
        <v>0</v>
      </c>
      <c r="N187" s="99">
        <f>SUMIF(Import!$B:$B,'Other Fund Line-Item Details'!$A187,Import!I:I)</f>
        <v>0</v>
      </c>
      <c r="O187" s="99">
        <f>SUMIF(Import!$B:$B,'Other Fund Line-Item Details'!$A187,Import!J:J)</f>
        <v>0</v>
      </c>
      <c r="P187" s="99">
        <f t="shared" si="171"/>
        <v>0</v>
      </c>
      <c r="Q187" s="99">
        <f>SUMIF(Import!$B:$B,'Other Fund Line-Item Details'!$A187,Import!K:K)</f>
        <v>0</v>
      </c>
      <c r="R187" s="99">
        <f>SUMIF(Import!$B:$B,'Other Fund Line-Item Details'!$A187,Import!L:L)</f>
        <v>0</v>
      </c>
      <c r="S187" s="99">
        <f>SUMIF(Import!$B:$B,'Other Fund Line-Item Details'!$A187,Import!M:M)</f>
        <v>0</v>
      </c>
      <c r="T187" s="99">
        <f>SUMIF(Import!$B:$B,'Other Fund Line-Item Details'!$A187,Import!N:N)</f>
        <v>0</v>
      </c>
      <c r="U187" s="99">
        <f t="shared" si="172"/>
        <v>0</v>
      </c>
      <c r="V187" s="255" t="str">
        <f t="shared" si="173"/>
        <v>N/A</v>
      </c>
      <c r="W187" s="102" t="s">
        <v>1872</v>
      </c>
      <c r="X187" s="97"/>
      <c r="Y187" s="97"/>
      <c r="Z187" s="97"/>
      <c r="AA187" s="97"/>
      <c r="AB187" s="97"/>
      <c r="AC187" s="97"/>
      <c r="AD187" s="97"/>
      <c r="AE187" s="97"/>
      <c r="AF187" s="97"/>
      <c r="AG187" s="97"/>
      <c r="AH187" s="97"/>
      <c r="AI187" s="97"/>
      <c r="AJ187" s="97"/>
      <c r="AK187" s="97"/>
      <c r="AL187" s="97"/>
      <c r="AM187" s="97"/>
      <c r="AN187" s="97"/>
      <c r="AO187" s="192"/>
      <c r="AP187" s="192"/>
      <c r="AQ187" s="192"/>
      <c r="AR187" s="192"/>
    </row>
    <row r="188" spans="1:44" s="115" customFormat="1" ht="15" customHeight="1">
      <c r="A188" s="555" t="s">
        <v>1873</v>
      </c>
      <c r="B188" s="217" t="str">
        <f t="shared" si="174"/>
        <v>112</v>
      </c>
      <c r="C188" s="217" t="str">
        <f t="shared" si="175"/>
        <v>62</v>
      </c>
      <c r="D188" s="101" t="str">
        <f t="shared" si="176"/>
        <v>622</v>
      </c>
      <c r="E188" s="217" t="str">
        <f t="shared" si="177"/>
        <v>112-62-622</v>
      </c>
      <c r="F188" s="294" t="str">
        <f t="shared" si="178"/>
        <v>58828</v>
      </c>
      <c r="G188" s="295" t="str">
        <f>VLOOKUP(F188,'GL Category'!A:C,3,FALSE)</f>
        <v>Capital Outlay</v>
      </c>
      <c r="H188" s="98" t="str">
        <f>VLOOKUP(F188,'GL Category'!A:C,2,FALSE)</f>
        <v>BUILDINGS &amp; IMPROVEMENTS</v>
      </c>
      <c r="I188" s="99">
        <f>SUMIF(Import!$B:$B,'Other Fund Line-Item Details'!$A188,Import!D:D)</f>
        <v>0</v>
      </c>
      <c r="J188" s="99">
        <f>SUMIF(Import!$B:$B,'Other Fund Line-Item Details'!$A188,Import!E:E)</f>
        <v>0</v>
      </c>
      <c r="K188" s="99">
        <f>SUMIF(Import!$B:$B,'Other Fund Line-Item Details'!$A188,Import!F:F)</f>
        <v>0</v>
      </c>
      <c r="L188" s="99">
        <f>SUMIF(Import!$B:$B,'Other Fund Line-Item Details'!$A188,Import!G:G)</f>
        <v>0</v>
      </c>
      <c r="M188" s="99">
        <f>SUMIF(Import!$B:$B,'Other Fund Line-Item Details'!$A188,Import!H:H)</f>
        <v>0</v>
      </c>
      <c r="N188" s="99">
        <f>SUMIF(Import!$B:$B,'Other Fund Line-Item Details'!$A188,Import!I:I)</f>
        <v>0</v>
      </c>
      <c r="O188" s="99">
        <f>SUMIF(Import!$B:$B,'Other Fund Line-Item Details'!$A188,Import!J:J)</f>
        <v>0</v>
      </c>
      <c r="P188" s="99">
        <f t="shared" si="171"/>
        <v>0</v>
      </c>
      <c r="Q188" s="99">
        <f>SUMIF(Import!$B:$B,'Other Fund Line-Item Details'!$A188,Import!K:K)</f>
        <v>0</v>
      </c>
      <c r="R188" s="99">
        <f>SUMIF(Import!$B:$B,'Other Fund Line-Item Details'!$A188,Import!L:L)</f>
        <v>0</v>
      </c>
      <c r="S188" s="99">
        <f>SUMIF(Import!$B:$B,'Other Fund Line-Item Details'!$A188,Import!M:M)</f>
        <v>0</v>
      </c>
      <c r="T188" s="99">
        <f>SUMIF(Import!$B:$B,'Other Fund Line-Item Details'!$A188,Import!N:N)</f>
        <v>0</v>
      </c>
      <c r="U188" s="99">
        <f t="shared" si="172"/>
        <v>0</v>
      </c>
      <c r="V188" s="255" t="str">
        <f t="shared" si="173"/>
        <v>N/A</v>
      </c>
      <c r="W188" s="102" t="s">
        <v>1873</v>
      </c>
      <c r="X188" s="97"/>
      <c r="Y188" s="97"/>
      <c r="Z188" s="97"/>
      <c r="AA188" s="97"/>
      <c r="AB188" s="97"/>
      <c r="AC188" s="97"/>
      <c r="AD188" s="97"/>
      <c r="AE188" s="97"/>
      <c r="AF188" s="97"/>
      <c r="AG188" s="97"/>
      <c r="AH188" s="97"/>
      <c r="AI188" s="97"/>
      <c r="AJ188" s="97"/>
      <c r="AK188" s="97"/>
      <c r="AL188" s="97"/>
      <c r="AM188" s="97"/>
      <c r="AN188" s="97"/>
      <c r="AO188" s="192"/>
      <c r="AP188" s="192"/>
      <c r="AQ188" s="192"/>
      <c r="AR188" s="192"/>
    </row>
    <row r="189" spans="1:44" s="115" customFormat="1" ht="15" customHeight="1">
      <c r="A189" s="555" t="s">
        <v>1874</v>
      </c>
      <c r="B189" s="217" t="str">
        <f t="shared" si="174"/>
        <v>112</v>
      </c>
      <c r="C189" s="217" t="str">
        <f t="shared" si="175"/>
        <v>62</v>
      </c>
      <c r="D189" s="101" t="str">
        <f t="shared" si="176"/>
        <v>623</v>
      </c>
      <c r="E189" s="217" t="str">
        <f t="shared" si="177"/>
        <v>112-62-623</v>
      </c>
      <c r="F189" s="294" t="str">
        <f t="shared" si="178"/>
        <v>50109</v>
      </c>
      <c r="G189" s="295" t="str">
        <f>VLOOKUP(F189,'GL Category'!A:C,3,FALSE)</f>
        <v>Personnel services</v>
      </c>
      <c r="H189" s="98" t="str">
        <f>VLOOKUP(F189,'GL Category'!A:C,2,FALSE)</f>
        <v>OVERTIME</v>
      </c>
      <c r="I189" s="99">
        <f>SUMIF(Import!$B:$B,'Other Fund Line-Item Details'!$A189,Import!D:D)</f>
        <v>0</v>
      </c>
      <c r="J189" s="99">
        <f>SUMIF(Import!$B:$B,'Other Fund Line-Item Details'!$A189,Import!E:E)</f>
        <v>0</v>
      </c>
      <c r="K189" s="99">
        <f>SUMIF(Import!$B:$B,'Other Fund Line-Item Details'!$A189,Import!F:F)</f>
        <v>0</v>
      </c>
      <c r="L189" s="99">
        <f>SUMIF(Import!$B:$B,'Other Fund Line-Item Details'!$A189,Import!G:G)</f>
        <v>0</v>
      </c>
      <c r="M189" s="99">
        <f>SUMIF(Import!$B:$B,'Other Fund Line-Item Details'!$A189,Import!H:H)</f>
        <v>750</v>
      </c>
      <c r="N189" s="99">
        <f>SUMIF(Import!$B:$B,'Other Fund Line-Item Details'!$A189,Import!I:I)</f>
        <v>0</v>
      </c>
      <c r="O189" s="99">
        <f>SUMIF(Import!$B:$B,'Other Fund Line-Item Details'!$A189,Import!J:J)</f>
        <v>750</v>
      </c>
      <c r="P189" s="99">
        <f t="shared" si="171"/>
        <v>0</v>
      </c>
      <c r="Q189" s="99">
        <f>SUMIF(Import!$B:$B,'Other Fund Line-Item Details'!$A189,Import!K:K)</f>
        <v>750</v>
      </c>
      <c r="R189" s="99">
        <f>SUMIF(Import!$B:$B,'Other Fund Line-Item Details'!$A189,Import!L:L)</f>
        <v>0</v>
      </c>
      <c r="S189" s="99">
        <f>SUMIF(Import!$B:$B,'Other Fund Line-Item Details'!$A189,Import!M:M)</f>
        <v>0</v>
      </c>
      <c r="T189" s="99">
        <f>SUMIF(Import!$B:$B,'Other Fund Line-Item Details'!$A189,Import!N:N)</f>
        <v>750</v>
      </c>
      <c r="U189" s="99">
        <f t="shared" si="172"/>
        <v>0</v>
      </c>
      <c r="V189" s="255">
        <f t="shared" si="173"/>
        <v>0</v>
      </c>
      <c r="W189" s="102" t="s">
        <v>1874</v>
      </c>
      <c r="X189" s="97"/>
      <c r="Y189" s="97"/>
      <c r="Z189" s="97"/>
      <c r="AA189" s="97"/>
      <c r="AB189" s="97"/>
      <c r="AC189" s="97"/>
      <c r="AD189" s="97"/>
      <c r="AE189" s="97"/>
      <c r="AF189" s="97"/>
      <c r="AG189" s="97"/>
      <c r="AH189" s="97"/>
      <c r="AI189" s="97"/>
      <c r="AJ189" s="97"/>
      <c r="AK189" s="97"/>
      <c r="AL189" s="97"/>
      <c r="AM189" s="97"/>
      <c r="AN189" s="97"/>
      <c r="AO189" s="192"/>
      <c r="AP189" s="192"/>
      <c r="AQ189" s="192"/>
      <c r="AR189" s="192"/>
    </row>
    <row r="190" spans="1:44" s="115" customFormat="1" ht="15" customHeight="1">
      <c r="A190" s="555" t="s">
        <v>1875</v>
      </c>
      <c r="B190" s="217" t="str">
        <f t="shared" si="174"/>
        <v>112</v>
      </c>
      <c r="C190" s="217" t="str">
        <f t="shared" si="175"/>
        <v>62</v>
      </c>
      <c r="D190" s="101" t="str">
        <f t="shared" si="176"/>
        <v>623</v>
      </c>
      <c r="E190" s="217" t="str">
        <f t="shared" si="177"/>
        <v>112-62-623</v>
      </c>
      <c r="F190" s="294" t="str">
        <f t="shared" si="178"/>
        <v>50110</v>
      </c>
      <c r="G190" s="295" t="str">
        <f>VLOOKUP(F190,'GL Category'!A:C,3,FALSE)</f>
        <v>Personnel services</v>
      </c>
      <c r="H190" s="98" t="str">
        <f>VLOOKUP(F190,'GL Category'!A:C,2,FALSE)</f>
        <v>PART-TIME WAGES</v>
      </c>
      <c r="I190" s="99">
        <f>SUMIF(Import!$B:$B,'Other Fund Line-Item Details'!$A190,Import!D:D)</f>
        <v>0</v>
      </c>
      <c r="J190" s="99">
        <f>SUMIF(Import!$B:$B,'Other Fund Line-Item Details'!$A190,Import!E:E)</f>
        <v>0</v>
      </c>
      <c r="K190" s="99">
        <f>SUMIF(Import!$B:$B,'Other Fund Line-Item Details'!$A190,Import!F:F)</f>
        <v>0</v>
      </c>
      <c r="L190" s="99">
        <f>SUMIF(Import!$B:$B,'Other Fund Line-Item Details'!$A190,Import!G:G)</f>
        <v>0</v>
      </c>
      <c r="M190" s="99">
        <f>SUMIF(Import!$B:$B,'Other Fund Line-Item Details'!$A190,Import!H:H)</f>
        <v>250</v>
      </c>
      <c r="N190" s="99">
        <f>SUMIF(Import!$B:$B,'Other Fund Line-Item Details'!$A190,Import!I:I)</f>
        <v>0</v>
      </c>
      <c r="O190" s="99">
        <f>SUMIF(Import!$B:$B,'Other Fund Line-Item Details'!$A190,Import!J:J)</f>
        <v>250</v>
      </c>
      <c r="P190" s="99">
        <f t="shared" si="171"/>
        <v>0</v>
      </c>
      <c r="Q190" s="99">
        <f>SUMIF(Import!$B:$B,'Other Fund Line-Item Details'!$A190,Import!K:K)</f>
        <v>250</v>
      </c>
      <c r="R190" s="99">
        <f>SUMIF(Import!$B:$B,'Other Fund Line-Item Details'!$A190,Import!L:L)</f>
        <v>0</v>
      </c>
      <c r="S190" s="99">
        <f>SUMIF(Import!$B:$B,'Other Fund Line-Item Details'!$A190,Import!M:M)</f>
        <v>0</v>
      </c>
      <c r="T190" s="99">
        <f>SUMIF(Import!$B:$B,'Other Fund Line-Item Details'!$A190,Import!N:N)</f>
        <v>250</v>
      </c>
      <c r="U190" s="99">
        <f t="shared" si="172"/>
        <v>0</v>
      </c>
      <c r="V190" s="255">
        <f t="shared" si="173"/>
        <v>0</v>
      </c>
      <c r="W190" s="102" t="s">
        <v>1875</v>
      </c>
      <c r="X190" s="97"/>
      <c r="Y190" s="97"/>
      <c r="Z190" s="97"/>
      <c r="AA190" s="97"/>
      <c r="AB190" s="97"/>
      <c r="AC190" s="97"/>
      <c r="AD190" s="97"/>
      <c r="AE190" s="97"/>
      <c r="AF190" s="97"/>
      <c r="AG190" s="97"/>
      <c r="AH190" s="97"/>
      <c r="AI190" s="97"/>
      <c r="AJ190" s="97"/>
      <c r="AK190" s="97"/>
      <c r="AL190" s="97"/>
      <c r="AM190" s="97"/>
      <c r="AN190" s="97"/>
      <c r="AO190" s="192"/>
      <c r="AP190" s="192"/>
      <c r="AQ190" s="192"/>
      <c r="AR190" s="192"/>
    </row>
    <row r="191" spans="1:44" s="115" customFormat="1" ht="15" customHeight="1">
      <c r="A191" s="555" t="s">
        <v>1876</v>
      </c>
      <c r="B191" s="217" t="str">
        <f t="shared" si="174"/>
        <v>112</v>
      </c>
      <c r="C191" s="217" t="str">
        <f t="shared" si="175"/>
        <v>62</v>
      </c>
      <c r="D191" s="101" t="str">
        <f t="shared" si="176"/>
        <v>623</v>
      </c>
      <c r="E191" s="217" t="str">
        <f t="shared" si="177"/>
        <v>112-62-623</v>
      </c>
      <c r="F191" s="294" t="str">
        <f t="shared" si="178"/>
        <v>50610</v>
      </c>
      <c r="G191" s="295" t="str">
        <f>VLOOKUP(F191,'GL Category'!A:C,3,FALSE)</f>
        <v>Personnel services</v>
      </c>
      <c r="H191" s="98" t="str">
        <f>VLOOKUP(F191,'GL Category'!A:C,2,FALSE)</f>
        <v>SOCIAL SECURITY</v>
      </c>
      <c r="I191" s="99">
        <f>SUMIF(Import!$B:$B,'Other Fund Line-Item Details'!$A191,Import!D:D)</f>
        <v>0</v>
      </c>
      <c r="J191" s="99">
        <f>SUMIF(Import!$B:$B,'Other Fund Line-Item Details'!$A191,Import!E:E)</f>
        <v>0</v>
      </c>
      <c r="K191" s="99">
        <f>SUMIF(Import!$B:$B,'Other Fund Line-Item Details'!$A191,Import!F:F)</f>
        <v>0</v>
      </c>
      <c r="L191" s="99">
        <f>SUMIF(Import!$B:$B,'Other Fund Line-Item Details'!$A191,Import!G:G)</f>
        <v>0</v>
      </c>
      <c r="M191" s="99">
        <f>SUMIF(Import!$B:$B,'Other Fund Line-Item Details'!$A191,Import!H:H)</f>
        <v>80</v>
      </c>
      <c r="N191" s="99">
        <f>SUMIF(Import!$B:$B,'Other Fund Line-Item Details'!$A191,Import!I:I)</f>
        <v>0</v>
      </c>
      <c r="O191" s="99">
        <f>SUMIF(Import!$B:$B,'Other Fund Line-Item Details'!$A191,Import!J:J)</f>
        <v>80</v>
      </c>
      <c r="P191" s="99">
        <f t="shared" si="171"/>
        <v>0</v>
      </c>
      <c r="Q191" s="99">
        <f>SUMIF(Import!$B:$B,'Other Fund Line-Item Details'!$A191,Import!K:K)</f>
        <v>80</v>
      </c>
      <c r="R191" s="99">
        <f>SUMIF(Import!$B:$B,'Other Fund Line-Item Details'!$A191,Import!L:L)</f>
        <v>0</v>
      </c>
      <c r="S191" s="99">
        <f>SUMIF(Import!$B:$B,'Other Fund Line-Item Details'!$A191,Import!M:M)</f>
        <v>0</v>
      </c>
      <c r="T191" s="99">
        <f>SUMIF(Import!$B:$B,'Other Fund Line-Item Details'!$A191,Import!N:N)</f>
        <v>80</v>
      </c>
      <c r="U191" s="99">
        <f t="shared" si="172"/>
        <v>0</v>
      </c>
      <c r="V191" s="255">
        <f t="shared" si="173"/>
        <v>0</v>
      </c>
      <c r="W191" s="102" t="s">
        <v>1876</v>
      </c>
      <c r="X191" s="97"/>
      <c r="Y191" s="97"/>
      <c r="Z191" s="97"/>
      <c r="AA191" s="97"/>
      <c r="AB191" s="97"/>
      <c r="AC191" s="97"/>
      <c r="AD191" s="97"/>
      <c r="AE191" s="97"/>
      <c r="AF191" s="97"/>
      <c r="AG191" s="97"/>
      <c r="AH191" s="97"/>
      <c r="AI191" s="97"/>
      <c r="AJ191" s="97"/>
      <c r="AK191" s="97"/>
      <c r="AL191" s="97"/>
      <c r="AM191" s="97"/>
      <c r="AN191" s="97"/>
      <c r="AO191" s="192"/>
      <c r="AP191" s="192"/>
      <c r="AQ191" s="192"/>
      <c r="AR191" s="192"/>
    </row>
    <row r="192" spans="1:44" s="115" customFormat="1" ht="15" customHeight="1">
      <c r="A192" s="555" t="s">
        <v>1877</v>
      </c>
      <c r="B192" s="217" t="str">
        <f t="shared" si="174"/>
        <v>112</v>
      </c>
      <c r="C192" s="217" t="str">
        <f t="shared" si="175"/>
        <v>62</v>
      </c>
      <c r="D192" s="101" t="str">
        <f t="shared" si="176"/>
        <v>623</v>
      </c>
      <c r="E192" s="217" t="str">
        <f t="shared" si="177"/>
        <v>112-62-623</v>
      </c>
      <c r="F192" s="294" t="str">
        <f t="shared" si="178"/>
        <v>50620</v>
      </c>
      <c r="G192" s="295" t="str">
        <f>VLOOKUP(F192,'GL Category'!A:C,3,FALSE)</f>
        <v>Personnel services</v>
      </c>
      <c r="H192" s="98" t="str">
        <f>VLOOKUP(F192,'GL Category'!A:C,2,FALSE)</f>
        <v>HEALTH/LIFE INSURANCE</v>
      </c>
      <c r="I192" s="99">
        <f>SUMIF(Import!$B:$B,'Other Fund Line-Item Details'!$A192,Import!D:D)</f>
        <v>0</v>
      </c>
      <c r="J192" s="99">
        <f>SUMIF(Import!$B:$B,'Other Fund Line-Item Details'!$A192,Import!E:E)</f>
        <v>0</v>
      </c>
      <c r="K192" s="99">
        <f>SUMIF(Import!$B:$B,'Other Fund Line-Item Details'!$A192,Import!F:F)</f>
        <v>0</v>
      </c>
      <c r="L192" s="99">
        <f>SUMIF(Import!$B:$B,'Other Fund Line-Item Details'!$A192,Import!G:G)</f>
        <v>0</v>
      </c>
      <c r="M192" s="99">
        <f>SUMIF(Import!$B:$B,'Other Fund Line-Item Details'!$A192,Import!H:H)</f>
        <v>2</v>
      </c>
      <c r="N192" s="99">
        <f>SUMIF(Import!$B:$B,'Other Fund Line-Item Details'!$A192,Import!I:I)</f>
        <v>0</v>
      </c>
      <c r="O192" s="99">
        <f>SUMIF(Import!$B:$B,'Other Fund Line-Item Details'!$A192,Import!J:J)</f>
        <v>2</v>
      </c>
      <c r="P192" s="99">
        <f t="shared" si="171"/>
        <v>0</v>
      </c>
      <c r="Q192" s="99">
        <f>SUMIF(Import!$B:$B,'Other Fund Line-Item Details'!$A192,Import!K:K)</f>
        <v>2</v>
      </c>
      <c r="R192" s="99">
        <f>SUMIF(Import!$B:$B,'Other Fund Line-Item Details'!$A192,Import!L:L)</f>
        <v>0</v>
      </c>
      <c r="S192" s="99">
        <f>SUMIF(Import!$B:$B,'Other Fund Line-Item Details'!$A192,Import!M:M)</f>
        <v>0</v>
      </c>
      <c r="T192" s="99">
        <f>SUMIF(Import!$B:$B,'Other Fund Line-Item Details'!$A192,Import!N:N)</f>
        <v>2</v>
      </c>
      <c r="U192" s="99">
        <f t="shared" si="172"/>
        <v>0</v>
      </c>
      <c r="V192" s="255">
        <f t="shared" si="173"/>
        <v>0</v>
      </c>
      <c r="W192" s="102" t="s">
        <v>1877</v>
      </c>
      <c r="X192" s="97"/>
      <c r="Y192" s="97"/>
      <c r="Z192" s="97"/>
      <c r="AA192" s="97"/>
      <c r="AB192" s="97"/>
      <c r="AC192" s="97"/>
      <c r="AD192" s="97"/>
      <c r="AE192" s="97"/>
      <c r="AF192" s="97"/>
      <c r="AG192" s="97"/>
      <c r="AH192" s="97"/>
      <c r="AI192" s="97"/>
      <c r="AJ192" s="97"/>
      <c r="AK192" s="97"/>
      <c r="AL192" s="97"/>
      <c r="AM192" s="97"/>
      <c r="AN192" s="97"/>
      <c r="AO192" s="192"/>
      <c r="AP192" s="192"/>
      <c r="AQ192" s="192"/>
      <c r="AR192" s="192"/>
    </row>
    <row r="193" spans="1:44" s="115" customFormat="1" ht="15" customHeight="1">
      <c r="A193" s="555" t="s">
        <v>1878</v>
      </c>
      <c r="B193" s="217" t="str">
        <f t="shared" si="174"/>
        <v>112</v>
      </c>
      <c r="C193" s="217" t="str">
        <f t="shared" si="175"/>
        <v>62</v>
      </c>
      <c r="D193" s="101" t="str">
        <f t="shared" si="176"/>
        <v>623</v>
      </c>
      <c r="E193" s="217" t="str">
        <f t="shared" si="177"/>
        <v>112-62-623</v>
      </c>
      <c r="F193" s="294" t="str">
        <f t="shared" si="178"/>
        <v>50630</v>
      </c>
      <c r="G193" s="295" t="str">
        <f>VLOOKUP(F193,'GL Category'!A:C,3,FALSE)</f>
        <v>Personnel services</v>
      </c>
      <c r="H193" s="98" t="str">
        <f>VLOOKUP(F193,'GL Category'!A:C,2,FALSE)</f>
        <v>WORKER COMPENSATION</v>
      </c>
      <c r="I193" s="99">
        <f>SUMIF(Import!$B:$B,'Other Fund Line-Item Details'!$A193,Import!D:D)</f>
        <v>7.33</v>
      </c>
      <c r="J193" s="99">
        <f>SUMIF(Import!$B:$B,'Other Fund Line-Item Details'!$A193,Import!E:E)</f>
        <v>7.08</v>
      </c>
      <c r="K193" s="99">
        <f>SUMIF(Import!$B:$B,'Other Fund Line-Item Details'!$A193,Import!F:F)</f>
        <v>7.64</v>
      </c>
      <c r="L193" s="99">
        <f>SUMIF(Import!$B:$B,'Other Fund Line-Item Details'!$A193,Import!G:G)</f>
        <v>13.84</v>
      </c>
      <c r="M193" s="99">
        <f>SUMIF(Import!$B:$B,'Other Fund Line-Item Details'!$A193,Import!H:H)</f>
        <v>17</v>
      </c>
      <c r="N193" s="99">
        <f>SUMIF(Import!$B:$B,'Other Fund Line-Item Details'!$A193,Import!I:I)</f>
        <v>16.989999999999998</v>
      </c>
      <c r="O193" s="99">
        <f>SUMIF(Import!$B:$B,'Other Fund Line-Item Details'!$A193,Import!J:J)</f>
        <v>17</v>
      </c>
      <c r="P193" s="99">
        <f t="shared" si="171"/>
        <v>0</v>
      </c>
      <c r="Q193" s="99">
        <f>SUMIF(Import!$B:$B,'Other Fund Line-Item Details'!$A193,Import!K:K)</f>
        <v>18</v>
      </c>
      <c r="R193" s="99">
        <f>SUMIF(Import!$B:$B,'Other Fund Line-Item Details'!$A193,Import!L:L)</f>
        <v>0</v>
      </c>
      <c r="S193" s="99">
        <f>SUMIF(Import!$B:$B,'Other Fund Line-Item Details'!$A193,Import!M:M)</f>
        <v>0</v>
      </c>
      <c r="T193" s="99">
        <f>SUMIF(Import!$B:$B,'Other Fund Line-Item Details'!$A193,Import!N:N)</f>
        <v>18</v>
      </c>
      <c r="U193" s="99">
        <f t="shared" si="172"/>
        <v>1</v>
      </c>
      <c r="V193" s="255">
        <f t="shared" si="173"/>
        <v>5.8823529411764719E-2</v>
      </c>
      <c r="W193" s="102" t="s">
        <v>1878</v>
      </c>
      <c r="X193" s="97"/>
      <c r="Y193" s="97"/>
      <c r="Z193" s="97"/>
      <c r="AA193" s="97"/>
      <c r="AB193" s="97"/>
      <c r="AC193" s="97"/>
      <c r="AD193" s="97"/>
      <c r="AE193" s="97"/>
      <c r="AF193" s="97"/>
      <c r="AG193" s="97"/>
      <c r="AH193" s="97"/>
      <c r="AI193" s="97"/>
      <c r="AJ193" s="97"/>
      <c r="AK193" s="97"/>
      <c r="AL193" s="97"/>
      <c r="AM193" s="97"/>
      <c r="AN193" s="97"/>
      <c r="AO193" s="192"/>
      <c r="AP193" s="192"/>
      <c r="AQ193" s="192"/>
      <c r="AR193" s="192"/>
    </row>
    <row r="194" spans="1:44" s="115" customFormat="1" ht="15" customHeight="1">
      <c r="A194" s="555" t="s">
        <v>1879</v>
      </c>
      <c r="B194" s="217" t="str">
        <f t="shared" si="174"/>
        <v>112</v>
      </c>
      <c r="C194" s="217" t="str">
        <f t="shared" si="175"/>
        <v>62</v>
      </c>
      <c r="D194" s="101" t="str">
        <f t="shared" si="176"/>
        <v>623</v>
      </c>
      <c r="E194" s="217" t="str">
        <f t="shared" si="177"/>
        <v>112-62-623</v>
      </c>
      <c r="F194" s="294" t="str">
        <f t="shared" si="178"/>
        <v>50650</v>
      </c>
      <c r="G194" s="295" t="str">
        <f>VLOOKUP(F194,'GL Category'!A:C,3,FALSE)</f>
        <v>Personnel services</v>
      </c>
      <c r="H194" s="98" t="str">
        <f>VLOOKUP(F194,'GL Category'!A:C,2,FALSE)</f>
        <v>RETIREMENT</v>
      </c>
      <c r="I194" s="99">
        <f>SUMIF(Import!$B:$B,'Other Fund Line-Item Details'!$A194,Import!D:D)</f>
        <v>0</v>
      </c>
      <c r="J194" s="99">
        <f>SUMIF(Import!$B:$B,'Other Fund Line-Item Details'!$A194,Import!E:E)</f>
        <v>0</v>
      </c>
      <c r="K194" s="99">
        <f>SUMIF(Import!$B:$B,'Other Fund Line-Item Details'!$A194,Import!F:F)</f>
        <v>0</v>
      </c>
      <c r="L194" s="99">
        <f>SUMIF(Import!$B:$B,'Other Fund Line-Item Details'!$A194,Import!G:G)</f>
        <v>0</v>
      </c>
      <c r="M194" s="99">
        <f>SUMIF(Import!$B:$B,'Other Fund Line-Item Details'!$A194,Import!H:H)</f>
        <v>124</v>
      </c>
      <c r="N194" s="99">
        <f>SUMIF(Import!$B:$B,'Other Fund Line-Item Details'!$A194,Import!I:I)</f>
        <v>0</v>
      </c>
      <c r="O194" s="99">
        <f>SUMIF(Import!$B:$B,'Other Fund Line-Item Details'!$A194,Import!J:J)</f>
        <v>124</v>
      </c>
      <c r="P194" s="99">
        <f t="shared" si="171"/>
        <v>0</v>
      </c>
      <c r="Q194" s="99">
        <f>SUMIF(Import!$B:$B,'Other Fund Line-Item Details'!$A194,Import!K:K)</f>
        <v>127</v>
      </c>
      <c r="R194" s="99">
        <f>SUMIF(Import!$B:$B,'Other Fund Line-Item Details'!$A194,Import!L:L)</f>
        <v>0</v>
      </c>
      <c r="S194" s="99">
        <f>SUMIF(Import!$B:$B,'Other Fund Line-Item Details'!$A194,Import!M:M)</f>
        <v>0</v>
      </c>
      <c r="T194" s="99">
        <f>SUMIF(Import!$B:$B,'Other Fund Line-Item Details'!$A194,Import!N:N)</f>
        <v>127</v>
      </c>
      <c r="U194" s="99">
        <f t="shared" si="172"/>
        <v>3</v>
      </c>
      <c r="V194" s="255">
        <f t="shared" si="173"/>
        <v>2.4193548387096753E-2</v>
      </c>
      <c r="W194" s="102" t="s">
        <v>1879</v>
      </c>
      <c r="X194" s="97"/>
      <c r="Y194" s="97"/>
      <c r="Z194" s="97"/>
      <c r="AA194" s="97"/>
      <c r="AB194" s="97"/>
      <c r="AC194" s="97"/>
      <c r="AD194" s="97"/>
      <c r="AE194" s="97"/>
      <c r="AF194" s="97"/>
      <c r="AG194" s="97"/>
      <c r="AH194" s="97"/>
      <c r="AI194" s="97"/>
      <c r="AJ194" s="97"/>
      <c r="AK194" s="97"/>
      <c r="AL194" s="97"/>
      <c r="AM194" s="97"/>
      <c r="AN194" s="97"/>
      <c r="AO194" s="192"/>
      <c r="AP194" s="192"/>
      <c r="AQ194" s="192"/>
      <c r="AR194" s="192"/>
    </row>
    <row r="195" spans="1:44" s="115" customFormat="1" ht="15" customHeight="1">
      <c r="A195" s="555" t="s">
        <v>3393</v>
      </c>
      <c r="B195" s="217" t="str">
        <f t="shared" si="174"/>
        <v>112</v>
      </c>
      <c r="C195" s="217" t="str">
        <f t="shared" si="175"/>
        <v>63</v>
      </c>
      <c r="D195" s="101" t="str">
        <f t="shared" si="176"/>
        <v>631</v>
      </c>
      <c r="E195" s="217" t="str">
        <f t="shared" si="177"/>
        <v>112-63-631</v>
      </c>
      <c r="F195" s="294" t="str">
        <f t="shared" si="178"/>
        <v>53550</v>
      </c>
      <c r="G195" s="295" t="str">
        <f>VLOOKUP(F195,'GL Category'!A:C,3,FALSE)</f>
        <v>Services &amp; other</v>
      </c>
      <c r="H195" s="98" t="str">
        <f>VLOOKUP(F195,'GL Category'!A:C,2,FALSE)</f>
        <v>BAD DEBT EXPENSE</v>
      </c>
      <c r="I195" s="99">
        <f>SUMIF(Import!$B:$B,'Other Fund Line-Item Details'!$A195,Import!D:D)</f>
        <v>0</v>
      </c>
      <c r="J195" s="99">
        <f>SUMIF(Import!$B:$B,'Other Fund Line-Item Details'!$A195,Import!E:E)</f>
        <v>0</v>
      </c>
      <c r="K195" s="99">
        <f>SUMIF(Import!$B:$B,'Other Fund Line-Item Details'!$A195,Import!F:F)</f>
        <v>0</v>
      </c>
      <c r="L195" s="99">
        <f>SUMIF(Import!$B:$B,'Other Fund Line-Item Details'!$A195,Import!G:G)</f>
        <v>9</v>
      </c>
      <c r="M195" s="99">
        <f>SUMIF(Import!$B:$B,'Other Fund Line-Item Details'!$A195,Import!H:H)</f>
        <v>0</v>
      </c>
      <c r="N195" s="99">
        <f>SUMIF(Import!$B:$B,'Other Fund Line-Item Details'!$A195,Import!I:I)</f>
        <v>0</v>
      </c>
      <c r="O195" s="99">
        <f>SUMIF(Import!$B:$B,'Other Fund Line-Item Details'!$A195,Import!J:J)</f>
        <v>0</v>
      </c>
      <c r="P195" s="99">
        <f t="shared" si="171"/>
        <v>0</v>
      </c>
      <c r="Q195" s="99">
        <f>SUMIF(Import!$B:$B,'Other Fund Line-Item Details'!$A195,Import!K:K)</f>
        <v>0</v>
      </c>
      <c r="R195" s="99">
        <f>SUMIF(Import!$B:$B,'Other Fund Line-Item Details'!$A195,Import!L:L)</f>
        <v>0</v>
      </c>
      <c r="S195" s="99">
        <f>SUMIF(Import!$B:$B,'Other Fund Line-Item Details'!$A195,Import!M:M)</f>
        <v>0</v>
      </c>
      <c r="T195" s="99">
        <f>SUMIF(Import!$B:$B,'Other Fund Line-Item Details'!$A195,Import!N:N)</f>
        <v>0</v>
      </c>
      <c r="U195" s="99">
        <f t="shared" si="172"/>
        <v>0</v>
      </c>
      <c r="V195" s="255" t="str">
        <f t="shared" si="173"/>
        <v>N/A</v>
      </c>
      <c r="W195" s="102" t="s">
        <v>1880</v>
      </c>
      <c r="X195" s="97"/>
      <c r="Y195" s="97"/>
      <c r="Z195" s="97"/>
      <c r="AA195" s="97"/>
      <c r="AB195" s="97"/>
      <c r="AC195" s="97"/>
      <c r="AD195" s="97"/>
      <c r="AE195" s="97"/>
      <c r="AF195" s="97"/>
      <c r="AG195" s="97"/>
      <c r="AH195" s="97"/>
      <c r="AI195" s="97"/>
      <c r="AJ195" s="97"/>
      <c r="AK195" s="97"/>
      <c r="AL195" s="97"/>
      <c r="AM195" s="97"/>
      <c r="AN195" s="97"/>
      <c r="AO195" s="192"/>
      <c r="AP195" s="192"/>
      <c r="AQ195" s="192"/>
      <c r="AR195" s="192"/>
    </row>
    <row r="196" spans="1:44" s="115" customFormat="1" ht="15" customHeight="1">
      <c r="A196" s="555" t="s">
        <v>1881</v>
      </c>
      <c r="B196" s="217" t="str">
        <f t="shared" si="174"/>
        <v>112</v>
      </c>
      <c r="C196" s="217" t="str">
        <f t="shared" si="175"/>
        <v>62</v>
      </c>
      <c r="D196" s="101" t="str">
        <f t="shared" si="176"/>
        <v>623</v>
      </c>
      <c r="E196" s="217" t="str">
        <f t="shared" si="177"/>
        <v>112-62-623</v>
      </c>
      <c r="F196" s="294" t="str">
        <f t="shared" si="178"/>
        <v>53599</v>
      </c>
      <c r="G196" s="295" t="str">
        <f>VLOOKUP(F196,'GL Category'!A:C,3,FALSE)</f>
        <v>Services &amp; other</v>
      </c>
      <c r="H196" s="98" t="str">
        <f>VLOOKUP(F196,'GL Category'!A:C,2,FALSE)</f>
        <v>MISCELLANEOUS SERVICES</v>
      </c>
      <c r="I196" s="99">
        <f>SUMIF(Import!$B:$B,'Other Fund Line-Item Details'!$A196,Import!D:D)</f>
        <v>0</v>
      </c>
      <c r="J196" s="99">
        <f>SUMIF(Import!$B:$B,'Other Fund Line-Item Details'!$A196,Import!E:E)</f>
        <v>0</v>
      </c>
      <c r="K196" s="99">
        <f>SUMIF(Import!$B:$B,'Other Fund Line-Item Details'!$A196,Import!F:F)</f>
        <v>0</v>
      </c>
      <c r="L196" s="99">
        <f>SUMIF(Import!$B:$B,'Other Fund Line-Item Details'!$A196,Import!G:G)</f>
        <v>0</v>
      </c>
      <c r="M196" s="99">
        <f>SUMIF(Import!$B:$B,'Other Fund Line-Item Details'!$A196,Import!H:H)</f>
        <v>0</v>
      </c>
      <c r="N196" s="99">
        <f>SUMIF(Import!$B:$B,'Other Fund Line-Item Details'!$A196,Import!I:I)</f>
        <v>0</v>
      </c>
      <c r="O196" s="99">
        <f>SUMIF(Import!$B:$B,'Other Fund Line-Item Details'!$A196,Import!J:J)</f>
        <v>0</v>
      </c>
      <c r="P196" s="99">
        <f t="shared" si="171"/>
        <v>0</v>
      </c>
      <c r="Q196" s="99">
        <f>SUMIF(Import!$B:$B,'Other Fund Line-Item Details'!$A196,Import!K:K)</f>
        <v>0</v>
      </c>
      <c r="R196" s="99">
        <f>SUMIF(Import!$B:$B,'Other Fund Line-Item Details'!$A196,Import!L:L)</f>
        <v>0</v>
      </c>
      <c r="S196" s="99">
        <f>SUMIF(Import!$B:$B,'Other Fund Line-Item Details'!$A196,Import!M:M)</f>
        <v>0</v>
      </c>
      <c r="T196" s="99">
        <f>SUMIF(Import!$B:$B,'Other Fund Line-Item Details'!$A196,Import!N:N)</f>
        <v>0</v>
      </c>
      <c r="U196" s="99">
        <f t="shared" si="172"/>
        <v>0</v>
      </c>
      <c r="V196" s="255" t="str">
        <f t="shared" si="173"/>
        <v>N/A</v>
      </c>
      <c r="W196" s="102" t="s">
        <v>1881</v>
      </c>
      <c r="X196" s="121"/>
      <c r="Y196" s="121"/>
      <c r="Z196" s="121"/>
      <c r="AA196" s="121"/>
      <c r="AB196" s="121"/>
      <c r="AC196" s="121"/>
      <c r="AD196" s="121"/>
      <c r="AE196" s="121"/>
      <c r="AF196" s="121"/>
      <c r="AG196" s="121"/>
      <c r="AH196" s="121"/>
      <c r="AI196" s="121"/>
    </row>
    <row r="197" spans="1:44" s="115" customFormat="1" ht="15" customHeight="1">
      <c r="A197" s="555" t="s">
        <v>3394</v>
      </c>
      <c r="B197" s="217" t="str">
        <f t="shared" si="174"/>
        <v>112</v>
      </c>
      <c r="C197" s="217" t="str">
        <f t="shared" si="175"/>
        <v>63</v>
      </c>
      <c r="D197" s="101" t="str">
        <f t="shared" si="176"/>
        <v>633</v>
      </c>
      <c r="E197" s="217" t="str">
        <f t="shared" si="177"/>
        <v>112-63-633</v>
      </c>
      <c r="F197" s="294" t="str">
        <f t="shared" si="178"/>
        <v>51282</v>
      </c>
      <c r="G197" s="295" t="str">
        <f>VLOOKUP(F197,'GL Category'!A:C,3,FALSE)</f>
        <v>Operations &amp; maintenance</v>
      </c>
      <c r="H197" s="98" t="str">
        <f>VLOOKUP(F197,'GL Category'!A:C,2,FALSE)</f>
        <v>COST OF GOODS SOLD</v>
      </c>
      <c r="I197" s="99">
        <f>SUMIF(Import!$B:$B,'Other Fund Line-Item Details'!$A197,Import!D:D)</f>
        <v>0</v>
      </c>
      <c r="J197" s="99">
        <f>SUMIF(Import!$B:$B,'Other Fund Line-Item Details'!$A197,Import!E:E)</f>
        <v>0</v>
      </c>
      <c r="K197" s="99">
        <f>SUMIF(Import!$B:$B,'Other Fund Line-Item Details'!$A197,Import!F:F)</f>
        <v>0</v>
      </c>
      <c r="L197" s="99">
        <f>SUMIF(Import!$B:$B,'Other Fund Line-Item Details'!$A197,Import!G:G)</f>
        <v>250</v>
      </c>
      <c r="M197" s="99">
        <f>SUMIF(Import!$B:$B,'Other Fund Line-Item Details'!$A197,Import!H:H)</f>
        <v>0</v>
      </c>
      <c r="N197" s="99">
        <f>SUMIF(Import!$B:$B,'Other Fund Line-Item Details'!$A197,Import!I:I)</f>
        <v>235</v>
      </c>
      <c r="O197" s="99">
        <f>SUMIF(Import!$B:$B,'Other Fund Line-Item Details'!$A197,Import!J:J)</f>
        <v>0</v>
      </c>
      <c r="P197" s="99">
        <f t="shared" si="171"/>
        <v>0</v>
      </c>
      <c r="Q197" s="99">
        <f>SUMIF(Import!$B:$B,'Other Fund Line-Item Details'!$A197,Import!K:K)</f>
        <v>0</v>
      </c>
      <c r="R197" s="99">
        <f>SUMIF(Import!$B:$B,'Other Fund Line-Item Details'!$A197,Import!L:L)</f>
        <v>0</v>
      </c>
      <c r="S197" s="99">
        <f>SUMIF(Import!$B:$B,'Other Fund Line-Item Details'!$A197,Import!M:M)</f>
        <v>0</v>
      </c>
      <c r="T197" s="99">
        <f>SUMIF(Import!$B:$B,'Other Fund Line-Item Details'!$A197,Import!N:N)</f>
        <v>0</v>
      </c>
      <c r="U197" s="99">
        <f t="shared" si="172"/>
        <v>0</v>
      </c>
      <c r="V197" s="255" t="str">
        <f t="shared" si="173"/>
        <v>N/A</v>
      </c>
      <c r="W197" s="102" t="s">
        <v>1882</v>
      </c>
      <c r="X197" s="121"/>
      <c r="Y197" s="121"/>
      <c r="Z197" s="121"/>
      <c r="AA197" s="121"/>
      <c r="AB197" s="121"/>
      <c r="AC197" s="121"/>
      <c r="AD197" s="121"/>
      <c r="AE197" s="121"/>
      <c r="AF197" s="121"/>
      <c r="AG197" s="121"/>
      <c r="AH197" s="121"/>
      <c r="AI197" s="121"/>
    </row>
    <row r="198" spans="1:44" s="115" customFormat="1" ht="15" customHeight="1">
      <c r="A198" s="555" t="s">
        <v>1883</v>
      </c>
      <c r="B198" s="217" t="str">
        <f t="shared" si="174"/>
        <v>112</v>
      </c>
      <c r="C198" s="217" t="str">
        <f t="shared" si="175"/>
        <v>62</v>
      </c>
      <c r="D198" s="101" t="str">
        <f t="shared" si="176"/>
        <v>623</v>
      </c>
      <c r="E198" s="217" t="str">
        <f t="shared" si="177"/>
        <v>112-62-623</v>
      </c>
      <c r="F198" s="294" t="str">
        <f t="shared" si="178"/>
        <v>53524</v>
      </c>
      <c r="G198" s="295" t="str">
        <f>VLOOKUP(F198,'GL Category'!A:C,3,FALSE)</f>
        <v>Services &amp; other</v>
      </c>
      <c r="H198" s="98" t="str">
        <f>VLOOKUP(F198,'GL Category'!A:C,2,FALSE)</f>
        <v>EQUIPMENT RENTAL</v>
      </c>
      <c r="I198" s="99">
        <f>SUMIF(Import!$B:$B,'Other Fund Line-Item Details'!$A198,Import!D:D)</f>
        <v>0</v>
      </c>
      <c r="J198" s="99">
        <f>SUMIF(Import!$B:$B,'Other Fund Line-Item Details'!$A198,Import!E:E)</f>
        <v>0</v>
      </c>
      <c r="K198" s="99">
        <f>SUMIF(Import!$B:$B,'Other Fund Line-Item Details'!$A198,Import!F:F)</f>
        <v>0</v>
      </c>
      <c r="L198" s="99">
        <f>SUMIF(Import!$B:$B,'Other Fund Line-Item Details'!$A198,Import!G:G)</f>
        <v>0</v>
      </c>
      <c r="M198" s="99">
        <f>SUMIF(Import!$B:$B,'Other Fund Line-Item Details'!$A198,Import!H:H)</f>
        <v>0</v>
      </c>
      <c r="N198" s="99">
        <f>SUMIF(Import!$B:$B,'Other Fund Line-Item Details'!$A198,Import!I:I)</f>
        <v>0</v>
      </c>
      <c r="O198" s="99">
        <f>SUMIF(Import!$B:$B,'Other Fund Line-Item Details'!$A198,Import!J:J)</f>
        <v>0</v>
      </c>
      <c r="P198" s="99">
        <f t="shared" si="171"/>
        <v>0</v>
      </c>
      <c r="Q198" s="99">
        <f>SUMIF(Import!$B:$B,'Other Fund Line-Item Details'!$A198,Import!K:K)</f>
        <v>0</v>
      </c>
      <c r="R198" s="99">
        <f>SUMIF(Import!$B:$B,'Other Fund Line-Item Details'!$A198,Import!L:L)</f>
        <v>0</v>
      </c>
      <c r="S198" s="99">
        <f>SUMIF(Import!$B:$B,'Other Fund Line-Item Details'!$A198,Import!M:M)</f>
        <v>0</v>
      </c>
      <c r="T198" s="99">
        <f>SUMIF(Import!$B:$B,'Other Fund Line-Item Details'!$A198,Import!N:N)</f>
        <v>0</v>
      </c>
      <c r="U198" s="99">
        <f t="shared" si="172"/>
        <v>0</v>
      </c>
      <c r="V198" s="255" t="str">
        <f t="shared" si="173"/>
        <v>N/A</v>
      </c>
      <c r="W198" s="102" t="s">
        <v>1883</v>
      </c>
      <c r="X198" s="121"/>
      <c r="Y198" s="121"/>
      <c r="Z198" s="121"/>
      <c r="AA198" s="121"/>
      <c r="AB198" s="121"/>
      <c r="AC198" s="121"/>
      <c r="AD198" s="121"/>
      <c r="AE198" s="121"/>
      <c r="AF198" s="121"/>
      <c r="AG198" s="121"/>
      <c r="AH198" s="121"/>
      <c r="AI198" s="121"/>
    </row>
    <row r="199" spans="1:44" s="115" customFormat="1" ht="15" customHeight="1">
      <c r="A199" s="555" t="s">
        <v>1884</v>
      </c>
      <c r="B199" s="217" t="str">
        <f t="shared" si="174"/>
        <v>112</v>
      </c>
      <c r="C199" s="217" t="str">
        <f t="shared" si="175"/>
        <v>62</v>
      </c>
      <c r="D199" s="101" t="str">
        <f t="shared" si="176"/>
        <v>623</v>
      </c>
      <c r="E199" s="217" t="str">
        <f t="shared" si="177"/>
        <v>112-62-623</v>
      </c>
      <c r="F199" s="294" t="str">
        <f t="shared" si="178"/>
        <v>54560</v>
      </c>
      <c r="G199" s="295" t="str">
        <f>VLOOKUP(F199,'GL Category'!A:C,3,FALSE)</f>
        <v>Services &amp; other</v>
      </c>
      <c r="H199" s="98" t="str">
        <f>VLOOKUP(F199,'GL Category'!A:C,2,FALSE)</f>
        <v>EXPENDITURES-SR SVS TRIPS</v>
      </c>
      <c r="I199" s="99">
        <f>SUMIF(Import!$B:$B,'Other Fund Line-Item Details'!$A199,Import!D:D)</f>
        <v>1141.0899999999999</v>
      </c>
      <c r="J199" s="99">
        <f>SUMIF(Import!$B:$B,'Other Fund Line-Item Details'!$A199,Import!E:E)</f>
        <v>56.98</v>
      </c>
      <c r="K199" s="99">
        <f>SUMIF(Import!$B:$B,'Other Fund Line-Item Details'!$A199,Import!F:F)</f>
        <v>58371.360000000001</v>
      </c>
      <c r="L199" s="99">
        <f>SUMIF(Import!$B:$B,'Other Fund Line-Item Details'!$A199,Import!G:G)</f>
        <v>54102.22</v>
      </c>
      <c r="M199" s="99">
        <f>SUMIF(Import!$B:$B,'Other Fund Line-Item Details'!$A199,Import!H:H)</f>
        <v>63610</v>
      </c>
      <c r="N199" s="99">
        <f>SUMIF(Import!$B:$B,'Other Fund Line-Item Details'!$A199,Import!I:I)</f>
        <v>34965.26</v>
      </c>
      <c r="O199" s="99">
        <f>SUMIF(Import!$B:$B,'Other Fund Line-Item Details'!$A199,Import!J:J)</f>
        <v>38610</v>
      </c>
      <c r="P199" s="99">
        <f t="shared" si="171"/>
        <v>-25000</v>
      </c>
      <c r="Q199" s="99">
        <f>SUMIF(Import!$B:$B,'Other Fund Line-Item Details'!$A199,Import!K:K)</f>
        <v>58799</v>
      </c>
      <c r="R199" s="99">
        <f>SUMIF(Import!$B:$B,'Other Fund Line-Item Details'!$A199,Import!L:L)</f>
        <v>0</v>
      </c>
      <c r="S199" s="99">
        <f>SUMIF(Import!$B:$B,'Other Fund Line-Item Details'!$A199,Import!M:M)</f>
        <v>0</v>
      </c>
      <c r="T199" s="99">
        <f>SUMIF(Import!$B:$B,'Other Fund Line-Item Details'!$A199,Import!N:N)</f>
        <v>58799</v>
      </c>
      <c r="U199" s="99">
        <f t="shared" si="172"/>
        <v>-4811</v>
      </c>
      <c r="V199" s="255">
        <f t="shared" si="173"/>
        <v>-7.5632762144316912E-2</v>
      </c>
      <c r="W199" s="102" t="s">
        <v>1884</v>
      </c>
      <c r="X199" s="121"/>
      <c r="Y199" s="121"/>
      <c r="Z199" s="121"/>
      <c r="AA199" s="121"/>
      <c r="AB199" s="121"/>
      <c r="AC199" s="121"/>
      <c r="AD199" s="121"/>
      <c r="AE199" s="121"/>
      <c r="AF199" s="121"/>
      <c r="AG199" s="121"/>
      <c r="AH199" s="121"/>
      <c r="AI199" s="121"/>
    </row>
    <row r="200" spans="1:44" s="115" customFormat="1" ht="15" customHeight="1">
      <c r="A200" s="555"/>
      <c r="B200" s="217"/>
      <c r="C200" s="217"/>
      <c r="D200" s="101"/>
      <c r="E200" s="217"/>
      <c r="F200" s="294"/>
      <c r="G200" s="146"/>
      <c r="H200" s="107" t="str">
        <f>"PROGRAM TOTAL"</f>
        <v>PROGRAM TOTAL</v>
      </c>
      <c r="I200" s="108">
        <f t="shared" ref="I200" si="179">SUBTOTAL(9,I175:I199)</f>
        <v>31897.660000000003</v>
      </c>
      <c r="J200" s="108">
        <f t="shared" ref="J200:T200" si="180">SUBTOTAL(9,J175:J199)</f>
        <v>44113.200000000004</v>
      </c>
      <c r="K200" s="108">
        <f t="shared" ref="K200" si="181">SUBTOTAL(9,K175:K199)</f>
        <v>142095.99</v>
      </c>
      <c r="L200" s="108">
        <f t="shared" ref="L200" si="182">SUBTOTAL(9,L175:L199)</f>
        <v>137923.41</v>
      </c>
      <c r="M200" s="108">
        <f t="shared" si="180"/>
        <v>170662</v>
      </c>
      <c r="N200" s="108">
        <f t="shared" ref="N200" si="183">SUBTOTAL(9,N175:N199)</f>
        <v>90521.040000000008</v>
      </c>
      <c r="O200" s="108">
        <f t="shared" si="180"/>
        <v>164010</v>
      </c>
      <c r="P200" s="108">
        <f t="shared" si="180"/>
        <v>-6652</v>
      </c>
      <c r="Q200" s="108">
        <f t="shared" si="180"/>
        <v>172326</v>
      </c>
      <c r="R200" s="108">
        <f t="shared" si="180"/>
        <v>0</v>
      </c>
      <c r="S200" s="108">
        <f t="shared" si="180"/>
        <v>0</v>
      </c>
      <c r="T200" s="108">
        <f t="shared" si="180"/>
        <v>172326</v>
      </c>
      <c r="U200" s="99">
        <f t="shared" si="172"/>
        <v>1664</v>
      </c>
      <c r="V200" s="255">
        <f t="shared" si="173"/>
        <v>9.7502666088524759E-3</v>
      </c>
      <c r="W200" s="102"/>
      <c r="X200" s="121"/>
      <c r="Y200" s="121"/>
      <c r="Z200" s="121"/>
      <c r="AA200" s="121"/>
      <c r="AB200" s="121"/>
      <c r="AC200" s="121"/>
      <c r="AD200" s="121"/>
      <c r="AE200" s="121"/>
      <c r="AF200" s="121"/>
      <c r="AG200" s="121"/>
      <c r="AH200" s="121"/>
      <c r="AI200" s="121"/>
    </row>
    <row r="201" spans="1:44" s="115" customFormat="1" ht="15" customHeight="1">
      <c r="A201" s="555"/>
      <c r="B201" s="217"/>
      <c r="C201" s="217"/>
      <c r="D201" s="101"/>
      <c r="E201" s="217"/>
      <c r="F201" s="294"/>
      <c r="G201" s="146"/>
      <c r="H201" s="98"/>
      <c r="I201" s="106"/>
      <c r="J201" s="106"/>
      <c r="K201" s="106"/>
      <c r="L201" s="106"/>
      <c r="M201" s="106"/>
      <c r="N201" s="112"/>
      <c r="O201" s="112"/>
      <c r="P201" s="112"/>
      <c r="Q201" s="113"/>
      <c r="R201" s="212">
        <v>0</v>
      </c>
      <c r="S201" s="212">
        <v>0</v>
      </c>
      <c r="T201" s="113"/>
      <c r="U201" s="105"/>
      <c r="V201" s="262"/>
      <c r="W201" s="102"/>
      <c r="X201" s="121"/>
      <c r="Y201" s="121"/>
      <c r="Z201" s="121"/>
      <c r="AA201" s="121"/>
      <c r="AB201" s="121"/>
      <c r="AC201" s="121"/>
      <c r="AD201" s="121"/>
      <c r="AE201" s="121"/>
      <c r="AF201" s="121"/>
      <c r="AG201" s="121"/>
      <c r="AH201" s="121"/>
      <c r="AI201" s="121"/>
    </row>
    <row r="202" spans="1:44" s="115" customFormat="1" ht="15" hidden="1" customHeight="1">
      <c r="A202" s="555" t="s">
        <v>1885</v>
      </c>
      <c r="B202" s="217" t="str">
        <f t="shared" si="174"/>
        <v>112</v>
      </c>
      <c r="C202" s="217" t="str">
        <f t="shared" si="175"/>
        <v>64</v>
      </c>
      <c r="D202" s="101" t="str">
        <f t="shared" si="176"/>
        <v>642</v>
      </c>
      <c r="E202" s="217" t="str">
        <f t="shared" si="177"/>
        <v>112-64-642</v>
      </c>
      <c r="F202" s="294" t="str">
        <f t="shared" si="178"/>
        <v>51210</v>
      </c>
      <c r="G202" s="295" t="str">
        <f>VLOOKUP(F202,'GL Category'!A:C,3,FALSE)</f>
        <v>Operations &amp; maintenance</v>
      </c>
      <c r="H202" s="98" t="str">
        <f>VLOOKUP(F202,'GL Category'!A:C,2,FALSE)</f>
        <v>OFFICE SUPPLIES</v>
      </c>
      <c r="I202" s="99">
        <f>SUMIF(Import!$B:$B,'Other Fund Line-Item Details'!$A202,Import!D:D)</f>
        <v>0</v>
      </c>
      <c r="J202" s="99">
        <f>SUMIF(Import!$B:$B,'Other Fund Line-Item Details'!$A202,Import!E:E)</f>
        <v>0</v>
      </c>
      <c r="K202" s="99">
        <f>SUMIF(Import!$B:$B,'Other Fund Line-Item Details'!$A202,Import!F:F)</f>
        <v>0</v>
      </c>
      <c r="L202" s="99">
        <f>SUMIF(Import!$B:$B,'Other Fund Line-Item Details'!$A202,Import!G:G)</f>
        <v>0</v>
      </c>
      <c r="M202" s="99">
        <f>SUMIF(Import!$B:$B,'Other Fund Line-Item Details'!$A202,Import!H:H)</f>
        <v>0</v>
      </c>
      <c r="N202" s="99">
        <f>SUMIF(Import!$B:$B,'Other Fund Line-Item Details'!$A202,Import!I:I)</f>
        <v>0</v>
      </c>
      <c r="O202" s="99">
        <f>SUMIF(Import!$B:$B,'Other Fund Line-Item Details'!$A202,Import!J:J)</f>
        <v>0</v>
      </c>
      <c r="P202" s="99">
        <f t="shared" ref="P202:P208" si="184">O202-M202</f>
        <v>0</v>
      </c>
      <c r="Q202" s="99">
        <f>SUMIF(Import!$B:$B,'Other Fund Line-Item Details'!$A202,Import!K:K)</f>
        <v>0</v>
      </c>
      <c r="R202" s="99">
        <f>SUMIF(Import!$B:$B,'Other Fund Line-Item Details'!$A202,Import!L:L)</f>
        <v>0</v>
      </c>
      <c r="S202" s="99">
        <f>SUMIF(Import!$B:$B,'Other Fund Line-Item Details'!$A202,Import!M:M)</f>
        <v>0</v>
      </c>
      <c r="T202" s="99">
        <f>SUMIF(Import!$B:$B,'Other Fund Line-Item Details'!$A202,Import!N:N)</f>
        <v>0</v>
      </c>
      <c r="U202" s="99">
        <f t="shared" ref="U202:U209" si="185">T202-M202</f>
        <v>0</v>
      </c>
      <c r="V202" s="255" t="str">
        <f t="shared" ref="V202:V209" si="186">IF(M202=0,"N/A",T202/M202-1)</f>
        <v>N/A</v>
      </c>
      <c r="W202" s="102" t="s">
        <v>1885</v>
      </c>
      <c r="X202" s="121"/>
      <c r="Y202" s="121"/>
      <c r="Z202" s="121"/>
      <c r="AA202" s="121"/>
      <c r="AB202" s="121"/>
      <c r="AC202" s="121"/>
      <c r="AD202" s="121"/>
      <c r="AE202" s="121"/>
      <c r="AF202" s="121"/>
      <c r="AG202" s="121"/>
      <c r="AH202" s="121"/>
      <c r="AI202" s="121"/>
    </row>
    <row r="203" spans="1:44" s="115" customFormat="1" ht="15" hidden="1" customHeight="1">
      <c r="A203" s="555" t="s">
        <v>1886</v>
      </c>
      <c r="B203" s="217" t="str">
        <f t="shared" si="174"/>
        <v>112</v>
      </c>
      <c r="C203" s="217" t="str">
        <f t="shared" si="175"/>
        <v>64</v>
      </c>
      <c r="D203" s="101" t="str">
        <f t="shared" si="176"/>
        <v>642</v>
      </c>
      <c r="E203" s="217" t="str">
        <f t="shared" si="177"/>
        <v>112-64-642</v>
      </c>
      <c r="F203" s="294" t="str">
        <f t="shared" si="178"/>
        <v>51245</v>
      </c>
      <c r="G203" s="295" t="str">
        <f>VLOOKUP(F203,'GL Category'!A:C,3,FALSE)</f>
        <v>Operations &amp; maintenance</v>
      </c>
      <c r="H203" s="98" t="str">
        <f>VLOOKUP(F203,'GL Category'!A:C,2,FALSE)</f>
        <v>SMALL TOOLS &amp; EQUIPMENT</v>
      </c>
      <c r="I203" s="99">
        <f>SUMIF(Import!$B:$B,'Other Fund Line-Item Details'!$A203,Import!D:D)</f>
        <v>0</v>
      </c>
      <c r="J203" s="99">
        <f>SUMIF(Import!$B:$B,'Other Fund Line-Item Details'!$A203,Import!E:E)</f>
        <v>0</v>
      </c>
      <c r="K203" s="99">
        <f>SUMIF(Import!$B:$B,'Other Fund Line-Item Details'!$A203,Import!F:F)</f>
        <v>0</v>
      </c>
      <c r="L203" s="99">
        <f>SUMIF(Import!$B:$B,'Other Fund Line-Item Details'!$A203,Import!G:G)</f>
        <v>0</v>
      </c>
      <c r="M203" s="99">
        <f>SUMIF(Import!$B:$B,'Other Fund Line-Item Details'!$A203,Import!H:H)</f>
        <v>0</v>
      </c>
      <c r="N203" s="99">
        <f>SUMIF(Import!$B:$B,'Other Fund Line-Item Details'!$A203,Import!I:I)</f>
        <v>0</v>
      </c>
      <c r="O203" s="99">
        <f>SUMIF(Import!$B:$B,'Other Fund Line-Item Details'!$A203,Import!J:J)</f>
        <v>0</v>
      </c>
      <c r="P203" s="99">
        <f t="shared" si="184"/>
        <v>0</v>
      </c>
      <c r="Q203" s="99">
        <f>SUMIF(Import!$B:$B,'Other Fund Line-Item Details'!$A203,Import!K:K)</f>
        <v>0</v>
      </c>
      <c r="R203" s="99">
        <f>SUMIF(Import!$B:$B,'Other Fund Line-Item Details'!$A203,Import!L:L)</f>
        <v>0</v>
      </c>
      <c r="S203" s="99">
        <f>SUMIF(Import!$B:$B,'Other Fund Line-Item Details'!$A203,Import!M:M)</f>
        <v>0</v>
      </c>
      <c r="T203" s="99">
        <f>SUMIF(Import!$B:$B,'Other Fund Line-Item Details'!$A203,Import!N:N)</f>
        <v>0</v>
      </c>
      <c r="U203" s="99">
        <f t="shared" si="185"/>
        <v>0</v>
      </c>
      <c r="V203" s="255" t="str">
        <f t="shared" si="186"/>
        <v>N/A</v>
      </c>
      <c r="W203" s="102" t="s">
        <v>1886</v>
      </c>
      <c r="X203" s="121"/>
      <c r="Y203" s="121"/>
      <c r="Z203" s="121"/>
      <c r="AA203" s="121"/>
      <c r="AB203" s="121"/>
      <c r="AC203" s="121"/>
      <c r="AD203" s="121"/>
      <c r="AE203" s="121"/>
      <c r="AF203" s="121"/>
      <c r="AG203" s="121"/>
      <c r="AH203" s="121"/>
      <c r="AI203" s="121"/>
    </row>
    <row r="204" spans="1:44" s="115" customFormat="1" ht="15" hidden="1" customHeight="1">
      <c r="A204" s="555" t="s">
        <v>1887</v>
      </c>
      <c r="B204" s="217" t="str">
        <f t="shared" si="174"/>
        <v>112</v>
      </c>
      <c r="C204" s="217" t="str">
        <f t="shared" si="175"/>
        <v>64</v>
      </c>
      <c r="D204" s="101" t="str">
        <f t="shared" si="176"/>
        <v>642</v>
      </c>
      <c r="E204" s="217" t="str">
        <f t="shared" si="177"/>
        <v>112-64-642</v>
      </c>
      <c r="F204" s="294" t="str">
        <f t="shared" si="178"/>
        <v>53522</v>
      </c>
      <c r="G204" s="295" t="str">
        <f>VLOOKUP(F204,'GL Category'!A:C,3,FALSE)</f>
        <v>Services &amp; other</v>
      </c>
      <c r="H204" s="98" t="str">
        <f>VLOOKUP(F204,'GL Category'!A:C,2,FALSE)</f>
        <v>ADVERTISING &amp; RECORDING</v>
      </c>
      <c r="I204" s="99">
        <f>SUMIF(Import!$B:$B,'Other Fund Line-Item Details'!$A204,Import!D:D)</f>
        <v>0</v>
      </c>
      <c r="J204" s="99">
        <f>SUMIF(Import!$B:$B,'Other Fund Line-Item Details'!$A204,Import!E:E)</f>
        <v>0</v>
      </c>
      <c r="K204" s="99">
        <f>SUMIF(Import!$B:$B,'Other Fund Line-Item Details'!$A204,Import!F:F)</f>
        <v>0</v>
      </c>
      <c r="L204" s="99">
        <f>SUMIF(Import!$B:$B,'Other Fund Line-Item Details'!$A204,Import!G:G)</f>
        <v>0</v>
      </c>
      <c r="M204" s="99">
        <f>SUMIF(Import!$B:$B,'Other Fund Line-Item Details'!$A204,Import!H:H)</f>
        <v>0</v>
      </c>
      <c r="N204" s="99">
        <f>SUMIF(Import!$B:$B,'Other Fund Line-Item Details'!$A204,Import!I:I)</f>
        <v>0</v>
      </c>
      <c r="O204" s="99">
        <f>SUMIF(Import!$B:$B,'Other Fund Line-Item Details'!$A204,Import!J:J)</f>
        <v>0</v>
      </c>
      <c r="P204" s="99">
        <f t="shared" si="184"/>
        <v>0</v>
      </c>
      <c r="Q204" s="99">
        <f>SUMIF(Import!$B:$B,'Other Fund Line-Item Details'!$A204,Import!K:K)</f>
        <v>0</v>
      </c>
      <c r="R204" s="99">
        <f>SUMIF(Import!$B:$B,'Other Fund Line-Item Details'!$A204,Import!L:L)</f>
        <v>0</v>
      </c>
      <c r="S204" s="99">
        <f>SUMIF(Import!$B:$B,'Other Fund Line-Item Details'!$A204,Import!M:M)</f>
        <v>0</v>
      </c>
      <c r="T204" s="99">
        <f>SUMIF(Import!$B:$B,'Other Fund Line-Item Details'!$A204,Import!N:N)</f>
        <v>0</v>
      </c>
      <c r="U204" s="99">
        <f t="shared" si="185"/>
        <v>0</v>
      </c>
      <c r="V204" s="255" t="str">
        <f t="shared" si="186"/>
        <v>N/A</v>
      </c>
      <c r="W204" s="102" t="s">
        <v>1887</v>
      </c>
      <c r="X204" s="121"/>
      <c r="Y204" s="121"/>
      <c r="Z204" s="121"/>
      <c r="AA204" s="121"/>
      <c r="AB204" s="121"/>
      <c r="AC204" s="121"/>
      <c r="AD204" s="121"/>
      <c r="AE204" s="121"/>
      <c r="AF204" s="121"/>
      <c r="AG204" s="121"/>
      <c r="AH204" s="121"/>
      <c r="AI204" s="121"/>
    </row>
    <row r="205" spans="1:44" s="115" customFormat="1" ht="15" hidden="1" customHeight="1">
      <c r="A205" s="555" t="s">
        <v>1888</v>
      </c>
      <c r="B205" s="217" t="str">
        <f t="shared" si="174"/>
        <v>112</v>
      </c>
      <c r="C205" s="217" t="str">
        <f t="shared" si="175"/>
        <v>64</v>
      </c>
      <c r="D205" s="101" t="str">
        <f t="shared" si="176"/>
        <v>642</v>
      </c>
      <c r="E205" s="217" t="str">
        <f t="shared" si="177"/>
        <v>112-64-642</v>
      </c>
      <c r="F205" s="294" t="str">
        <f t="shared" si="178"/>
        <v>53535</v>
      </c>
      <c r="G205" s="295" t="str">
        <f>VLOOKUP(F205,'GL Category'!A:C,3,FALSE)</f>
        <v>Services &amp; other</v>
      </c>
      <c r="H205" s="98" t="str">
        <f>VLOOKUP(F205,'GL Category'!A:C,2,FALSE)</f>
        <v>RECREATION &amp; CULTURE PROGRAMS</v>
      </c>
      <c r="I205" s="99">
        <f>SUMIF(Import!$B:$B,'Other Fund Line-Item Details'!$A205,Import!D:D)</f>
        <v>0</v>
      </c>
      <c r="J205" s="99">
        <f>SUMIF(Import!$B:$B,'Other Fund Line-Item Details'!$A205,Import!E:E)</f>
        <v>0</v>
      </c>
      <c r="K205" s="99">
        <f>SUMIF(Import!$B:$B,'Other Fund Line-Item Details'!$A205,Import!F:F)</f>
        <v>0</v>
      </c>
      <c r="L205" s="99">
        <f>SUMIF(Import!$B:$B,'Other Fund Line-Item Details'!$A205,Import!G:G)</f>
        <v>0</v>
      </c>
      <c r="M205" s="99">
        <f>SUMIF(Import!$B:$B,'Other Fund Line-Item Details'!$A205,Import!H:H)</f>
        <v>0</v>
      </c>
      <c r="N205" s="99">
        <f>SUMIF(Import!$B:$B,'Other Fund Line-Item Details'!$A205,Import!I:I)</f>
        <v>0</v>
      </c>
      <c r="O205" s="99">
        <f>SUMIF(Import!$B:$B,'Other Fund Line-Item Details'!$A205,Import!J:J)</f>
        <v>0</v>
      </c>
      <c r="P205" s="99">
        <f t="shared" si="184"/>
        <v>0</v>
      </c>
      <c r="Q205" s="99">
        <f>SUMIF(Import!$B:$B,'Other Fund Line-Item Details'!$A205,Import!K:K)</f>
        <v>0</v>
      </c>
      <c r="R205" s="99">
        <f>SUMIF(Import!$B:$B,'Other Fund Line-Item Details'!$A205,Import!L:L)</f>
        <v>0</v>
      </c>
      <c r="S205" s="99">
        <f>SUMIF(Import!$B:$B,'Other Fund Line-Item Details'!$A205,Import!M:M)</f>
        <v>0</v>
      </c>
      <c r="T205" s="99">
        <f>SUMIF(Import!$B:$B,'Other Fund Line-Item Details'!$A205,Import!N:N)</f>
        <v>0</v>
      </c>
      <c r="U205" s="99">
        <f t="shared" si="185"/>
        <v>0</v>
      </c>
      <c r="V205" s="255" t="str">
        <f t="shared" si="186"/>
        <v>N/A</v>
      </c>
      <c r="W205" s="102" t="s">
        <v>1888</v>
      </c>
      <c r="X205" s="121"/>
      <c r="Y205" s="121"/>
      <c r="Z205" s="121"/>
      <c r="AA205" s="121"/>
      <c r="AB205" s="121"/>
      <c r="AC205" s="121"/>
      <c r="AD205" s="121"/>
      <c r="AE205" s="121"/>
      <c r="AF205" s="121"/>
      <c r="AG205" s="121"/>
      <c r="AH205" s="121"/>
      <c r="AI205" s="121"/>
    </row>
    <row r="206" spans="1:44" s="115" customFormat="1" ht="15" hidden="1" customHeight="1">
      <c r="A206" s="555" t="s">
        <v>1889</v>
      </c>
      <c r="B206" s="217" t="str">
        <f t="shared" si="174"/>
        <v>112</v>
      </c>
      <c r="C206" s="217" t="str">
        <f t="shared" si="175"/>
        <v>64</v>
      </c>
      <c r="D206" s="101" t="str">
        <f t="shared" si="176"/>
        <v>642</v>
      </c>
      <c r="E206" s="217" t="str">
        <f t="shared" si="177"/>
        <v>112-64-642</v>
      </c>
      <c r="F206" s="294" t="str">
        <f t="shared" si="178"/>
        <v>53540</v>
      </c>
      <c r="G206" s="295" t="str">
        <f>VLOOKUP(F206,'GL Category'!A:C,3,FALSE)</f>
        <v>Services &amp; other</v>
      </c>
      <c r="H206" s="98" t="str">
        <f>VLOOKUP(F206,'GL Category'!A:C,2,FALSE)</f>
        <v>PRINTING &amp; BINDING SERVICES</v>
      </c>
      <c r="I206" s="99">
        <f>SUMIF(Import!$B:$B,'Other Fund Line-Item Details'!$A206,Import!D:D)</f>
        <v>0</v>
      </c>
      <c r="J206" s="99">
        <f>SUMIF(Import!$B:$B,'Other Fund Line-Item Details'!$A206,Import!E:E)</f>
        <v>0</v>
      </c>
      <c r="K206" s="99">
        <f>SUMIF(Import!$B:$B,'Other Fund Line-Item Details'!$A206,Import!F:F)</f>
        <v>0</v>
      </c>
      <c r="L206" s="99">
        <f>SUMIF(Import!$B:$B,'Other Fund Line-Item Details'!$A206,Import!G:G)</f>
        <v>0</v>
      </c>
      <c r="M206" s="99">
        <f>SUMIF(Import!$B:$B,'Other Fund Line-Item Details'!$A206,Import!H:H)</f>
        <v>0</v>
      </c>
      <c r="N206" s="99">
        <f>SUMIF(Import!$B:$B,'Other Fund Line-Item Details'!$A206,Import!I:I)</f>
        <v>0</v>
      </c>
      <c r="O206" s="99">
        <f>SUMIF(Import!$B:$B,'Other Fund Line-Item Details'!$A206,Import!J:J)</f>
        <v>0</v>
      </c>
      <c r="P206" s="99">
        <f t="shared" si="184"/>
        <v>0</v>
      </c>
      <c r="Q206" s="99">
        <f>SUMIF(Import!$B:$B,'Other Fund Line-Item Details'!$A206,Import!K:K)</f>
        <v>0</v>
      </c>
      <c r="R206" s="99">
        <f>SUMIF(Import!$B:$B,'Other Fund Line-Item Details'!$A206,Import!L:L)</f>
        <v>0</v>
      </c>
      <c r="S206" s="99">
        <f>SUMIF(Import!$B:$B,'Other Fund Line-Item Details'!$A206,Import!M:M)</f>
        <v>0</v>
      </c>
      <c r="T206" s="99">
        <f>SUMIF(Import!$B:$B,'Other Fund Line-Item Details'!$A206,Import!N:N)</f>
        <v>0</v>
      </c>
      <c r="U206" s="99">
        <f t="shared" si="185"/>
        <v>0</v>
      </c>
      <c r="V206" s="255" t="str">
        <f t="shared" si="186"/>
        <v>N/A</v>
      </c>
      <c r="W206" s="102" t="s">
        <v>1889</v>
      </c>
      <c r="X206" s="121"/>
      <c r="Y206" s="121"/>
      <c r="Z206" s="121"/>
      <c r="AA206" s="121"/>
      <c r="AB206" s="121"/>
      <c r="AC206" s="121"/>
      <c r="AD206" s="121"/>
      <c r="AE206" s="121"/>
      <c r="AF206" s="121"/>
      <c r="AG206" s="121"/>
      <c r="AH206" s="121"/>
      <c r="AI206" s="121"/>
    </row>
    <row r="207" spans="1:44" s="115" customFormat="1" ht="15" hidden="1" customHeight="1">
      <c r="A207" s="555" t="s">
        <v>1890</v>
      </c>
      <c r="B207" s="217" t="str">
        <f t="shared" si="174"/>
        <v>112</v>
      </c>
      <c r="C207" s="217" t="str">
        <f t="shared" si="175"/>
        <v>64</v>
      </c>
      <c r="D207" s="101" t="str">
        <f t="shared" si="176"/>
        <v>646</v>
      </c>
      <c r="E207" s="217" t="str">
        <f t="shared" si="177"/>
        <v>112-64-646</v>
      </c>
      <c r="F207" s="294" t="str">
        <f t="shared" si="178"/>
        <v>51299</v>
      </c>
      <c r="G207" s="295" t="str">
        <f>VLOOKUP(F207,'GL Category'!A:C,3,FALSE)</f>
        <v>Operations &amp; maintenance</v>
      </c>
      <c r="H207" s="98" t="str">
        <f>VLOOKUP(F207,'GL Category'!A:C,2,FALSE)</f>
        <v>MISCELLANEOUS SUPPLIES</v>
      </c>
      <c r="I207" s="99">
        <f>SUMIF(Import!$B:$B,'Other Fund Line-Item Details'!$A207,Import!D:D)</f>
        <v>0</v>
      </c>
      <c r="J207" s="99">
        <f>SUMIF(Import!$B:$B,'Other Fund Line-Item Details'!$A207,Import!E:E)</f>
        <v>0</v>
      </c>
      <c r="K207" s="99">
        <f>SUMIF(Import!$B:$B,'Other Fund Line-Item Details'!$A207,Import!F:F)</f>
        <v>0</v>
      </c>
      <c r="L207" s="99">
        <f>SUMIF(Import!$B:$B,'Other Fund Line-Item Details'!$A207,Import!G:G)</f>
        <v>0</v>
      </c>
      <c r="M207" s="99">
        <f>SUMIF(Import!$B:$B,'Other Fund Line-Item Details'!$A207,Import!H:H)</f>
        <v>0</v>
      </c>
      <c r="N207" s="99">
        <f>SUMIF(Import!$B:$B,'Other Fund Line-Item Details'!$A207,Import!I:I)</f>
        <v>0</v>
      </c>
      <c r="O207" s="99">
        <f>SUMIF(Import!$B:$B,'Other Fund Line-Item Details'!$A207,Import!J:J)</f>
        <v>0</v>
      </c>
      <c r="P207" s="99">
        <f t="shared" si="184"/>
        <v>0</v>
      </c>
      <c r="Q207" s="99">
        <f>SUMIF(Import!$B:$B,'Other Fund Line-Item Details'!$A207,Import!K:K)</f>
        <v>0</v>
      </c>
      <c r="R207" s="99">
        <f>SUMIF(Import!$B:$B,'Other Fund Line-Item Details'!$A207,Import!L:L)</f>
        <v>0</v>
      </c>
      <c r="S207" s="99">
        <f>SUMIF(Import!$B:$B,'Other Fund Line-Item Details'!$A207,Import!M:M)</f>
        <v>0</v>
      </c>
      <c r="T207" s="99">
        <f>SUMIF(Import!$B:$B,'Other Fund Line-Item Details'!$A207,Import!N:N)</f>
        <v>0</v>
      </c>
      <c r="U207" s="99">
        <f t="shared" si="185"/>
        <v>0</v>
      </c>
      <c r="V207" s="255" t="str">
        <f t="shared" si="186"/>
        <v>N/A</v>
      </c>
      <c r="W207" s="102" t="s">
        <v>1890</v>
      </c>
      <c r="X207" s="121"/>
      <c r="Y207" s="121"/>
      <c r="Z207" s="121"/>
      <c r="AA207" s="121"/>
      <c r="AB207" s="121"/>
      <c r="AC207" s="121"/>
      <c r="AD207" s="121"/>
      <c r="AE207" s="121"/>
      <c r="AF207" s="121"/>
      <c r="AG207" s="121"/>
      <c r="AH207" s="121"/>
      <c r="AI207" s="121"/>
    </row>
    <row r="208" spans="1:44" s="115" customFormat="1" ht="15" hidden="1" customHeight="1">
      <c r="A208" s="555" t="s">
        <v>1891</v>
      </c>
      <c r="B208" s="217" t="str">
        <f t="shared" si="174"/>
        <v>112</v>
      </c>
      <c r="C208" s="217" t="str">
        <f t="shared" si="175"/>
        <v>64</v>
      </c>
      <c r="D208" s="101" t="str">
        <f t="shared" si="176"/>
        <v>646</v>
      </c>
      <c r="E208" s="217" t="str">
        <f t="shared" si="177"/>
        <v>112-64-646</v>
      </c>
      <c r="F208" s="294" t="str">
        <f t="shared" si="178"/>
        <v>53599</v>
      </c>
      <c r="G208" s="295" t="str">
        <f>VLOOKUP(F208,'GL Category'!A:C,3,FALSE)</f>
        <v>Services &amp; other</v>
      </c>
      <c r="H208" s="98" t="str">
        <f>VLOOKUP(F208,'GL Category'!A:C,2,FALSE)</f>
        <v>MISCELLANEOUS SERVICES</v>
      </c>
      <c r="I208" s="99">
        <f>SUMIF(Import!$B:$B,'Other Fund Line-Item Details'!$A208,Import!D:D)</f>
        <v>0</v>
      </c>
      <c r="J208" s="99">
        <f>SUMIF(Import!$B:$B,'Other Fund Line-Item Details'!$A208,Import!E:E)</f>
        <v>0</v>
      </c>
      <c r="K208" s="99">
        <f>SUMIF(Import!$B:$B,'Other Fund Line-Item Details'!$A208,Import!F:F)</f>
        <v>0</v>
      </c>
      <c r="L208" s="99">
        <f>SUMIF(Import!$B:$B,'Other Fund Line-Item Details'!$A208,Import!G:G)</f>
        <v>0</v>
      </c>
      <c r="M208" s="99">
        <f>SUMIF(Import!$B:$B,'Other Fund Line-Item Details'!$A208,Import!H:H)</f>
        <v>0</v>
      </c>
      <c r="N208" s="99">
        <f>SUMIF(Import!$B:$B,'Other Fund Line-Item Details'!$A208,Import!I:I)</f>
        <v>0</v>
      </c>
      <c r="O208" s="99">
        <f>SUMIF(Import!$B:$B,'Other Fund Line-Item Details'!$A208,Import!J:J)</f>
        <v>0</v>
      </c>
      <c r="P208" s="99">
        <f t="shared" si="184"/>
        <v>0</v>
      </c>
      <c r="Q208" s="99">
        <f>SUMIF(Import!$B:$B,'Other Fund Line-Item Details'!$A208,Import!K:K)</f>
        <v>0</v>
      </c>
      <c r="R208" s="99">
        <f>SUMIF(Import!$B:$B,'Other Fund Line-Item Details'!$A208,Import!L:L)</f>
        <v>0</v>
      </c>
      <c r="S208" s="99">
        <f>SUMIF(Import!$B:$B,'Other Fund Line-Item Details'!$A208,Import!M:M)</f>
        <v>0</v>
      </c>
      <c r="T208" s="99">
        <f>SUMIF(Import!$B:$B,'Other Fund Line-Item Details'!$A208,Import!N:N)</f>
        <v>0</v>
      </c>
      <c r="U208" s="99">
        <f t="shared" si="185"/>
        <v>0</v>
      </c>
      <c r="V208" s="255" t="str">
        <f t="shared" si="186"/>
        <v>N/A</v>
      </c>
      <c r="W208" s="102" t="s">
        <v>1891</v>
      </c>
      <c r="X208" s="121"/>
      <c r="Y208" s="121"/>
      <c r="Z208" s="121"/>
      <c r="AA208" s="121"/>
      <c r="AB208" s="121"/>
      <c r="AC208" s="121"/>
      <c r="AD208" s="121"/>
      <c r="AE208" s="121"/>
      <c r="AF208" s="121"/>
      <c r="AG208" s="121"/>
      <c r="AH208" s="121"/>
      <c r="AI208" s="121"/>
    </row>
    <row r="209" spans="1:35" s="115" customFormat="1" ht="15" hidden="1" customHeight="1">
      <c r="A209" s="555"/>
      <c r="B209" s="217"/>
      <c r="C209" s="217"/>
      <c r="D209" s="101"/>
      <c r="E209" s="217"/>
      <c r="F209" s="294"/>
      <c r="G209" s="146"/>
      <c r="H209" s="107" t="str">
        <f>"PROGRAM TOTAL"</f>
        <v>PROGRAM TOTAL</v>
      </c>
      <c r="I209" s="108">
        <f t="shared" ref="I209" si="187">SUBTOTAL(9,I202:I208)</f>
        <v>0</v>
      </c>
      <c r="J209" s="108">
        <f t="shared" ref="J209:T209" si="188">SUBTOTAL(9,J202:J208)</f>
        <v>0</v>
      </c>
      <c r="K209" s="108">
        <f t="shared" ref="K209" si="189">SUBTOTAL(9,K202:K208)</f>
        <v>0</v>
      </c>
      <c r="L209" s="108">
        <f t="shared" ref="L209" si="190">SUBTOTAL(9,L202:L208)</f>
        <v>0</v>
      </c>
      <c r="M209" s="108">
        <f t="shared" si="188"/>
        <v>0</v>
      </c>
      <c r="N209" s="108">
        <f t="shared" ref="N209" si="191">SUBTOTAL(9,N202:N208)</f>
        <v>0</v>
      </c>
      <c r="O209" s="108">
        <f t="shared" si="188"/>
        <v>0</v>
      </c>
      <c r="P209" s="108">
        <f t="shared" si="188"/>
        <v>0</v>
      </c>
      <c r="Q209" s="108">
        <f t="shared" si="188"/>
        <v>0</v>
      </c>
      <c r="R209" s="108">
        <f t="shared" si="188"/>
        <v>0</v>
      </c>
      <c r="S209" s="108">
        <f t="shared" si="188"/>
        <v>0</v>
      </c>
      <c r="T209" s="108">
        <f t="shared" si="188"/>
        <v>0</v>
      </c>
      <c r="U209" s="99">
        <f t="shared" si="185"/>
        <v>0</v>
      </c>
      <c r="V209" s="255" t="str">
        <f t="shared" si="186"/>
        <v>N/A</v>
      </c>
      <c r="W209" s="102"/>
      <c r="X209" s="121"/>
      <c r="Y209" s="121"/>
      <c r="Z209" s="121"/>
      <c r="AA209" s="121"/>
      <c r="AB209" s="121"/>
      <c r="AC209" s="121"/>
      <c r="AD209" s="121"/>
      <c r="AE209" s="121"/>
      <c r="AF209" s="121"/>
      <c r="AG209" s="121"/>
      <c r="AH209" s="121"/>
      <c r="AI209" s="121"/>
    </row>
    <row r="210" spans="1:35" s="115" customFormat="1" ht="15" customHeight="1">
      <c r="A210" s="555"/>
      <c r="B210" s="217"/>
      <c r="C210" s="217"/>
      <c r="D210" s="101"/>
      <c r="E210" s="217"/>
      <c r="F210" s="294"/>
      <c r="G210" s="146"/>
      <c r="H210" s="98"/>
      <c r="I210" s="106"/>
      <c r="J210" s="106"/>
      <c r="K210" s="106"/>
      <c r="L210" s="106"/>
      <c r="M210" s="106"/>
      <c r="N210" s="112"/>
      <c r="O210" s="112"/>
      <c r="P210" s="112"/>
      <c r="Q210" s="113"/>
      <c r="R210" s="212"/>
      <c r="S210" s="212"/>
      <c r="T210" s="113"/>
      <c r="U210" s="105"/>
      <c r="V210" s="262"/>
      <c r="W210" s="102"/>
      <c r="X210" s="121"/>
      <c r="Y210" s="121"/>
      <c r="Z210" s="121"/>
      <c r="AA210" s="121"/>
      <c r="AB210" s="121"/>
      <c r="AC210" s="121"/>
      <c r="AD210" s="121"/>
      <c r="AE210" s="121"/>
      <c r="AF210" s="121"/>
      <c r="AG210" s="121"/>
      <c r="AH210" s="121"/>
      <c r="AI210" s="121"/>
    </row>
    <row r="211" spans="1:35" s="115" customFormat="1" ht="15" hidden="1" customHeight="1">
      <c r="A211" s="555" t="s">
        <v>1892</v>
      </c>
      <c r="B211" s="217" t="str">
        <f t="shared" si="174"/>
        <v>112</v>
      </c>
      <c r="C211" s="217" t="str">
        <f t="shared" si="175"/>
        <v>64</v>
      </c>
      <c r="D211" s="101" t="str">
        <f t="shared" si="176"/>
        <v>643</v>
      </c>
      <c r="E211" s="217" t="str">
        <f t="shared" si="177"/>
        <v>112-64-643</v>
      </c>
      <c r="F211" s="294" t="str">
        <f t="shared" si="178"/>
        <v>50110</v>
      </c>
      <c r="G211" s="295" t="str">
        <f>VLOOKUP(F211,'GL Category'!A:C,3,FALSE)</f>
        <v>Personnel services</v>
      </c>
      <c r="H211" s="98" t="str">
        <f>VLOOKUP(F211,'GL Category'!A:C,2,FALSE)</f>
        <v>PART-TIME WAGES</v>
      </c>
      <c r="I211" s="99">
        <f>SUMIF(Import!$B:$B,'Other Fund Line-Item Details'!$A211,Import!D:D)</f>
        <v>0</v>
      </c>
      <c r="J211" s="99">
        <f>SUMIF(Import!$B:$B,'Other Fund Line-Item Details'!$A211,Import!E:E)</f>
        <v>0</v>
      </c>
      <c r="K211" s="99">
        <f>SUMIF(Import!$B:$B,'Other Fund Line-Item Details'!$A211,Import!F:F)</f>
        <v>0</v>
      </c>
      <c r="L211" s="99">
        <f>SUMIF(Import!$B:$B,'Other Fund Line-Item Details'!$A211,Import!G:G)</f>
        <v>0</v>
      </c>
      <c r="M211" s="99">
        <f>SUMIF(Import!$B:$B,'Other Fund Line-Item Details'!$A211,Import!H:H)</f>
        <v>0</v>
      </c>
      <c r="N211" s="99">
        <f>SUMIF(Import!$B:$B,'Other Fund Line-Item Details'!$A211,Import!I:I)</f>
        <v>0</v>
      </c>
      <c r="O211" s="99">
        <f>SUMIF(Import!$B:$B,'Other Fund Line-Item Details'!$A211,Import!J:J)</f>
        <v>0</v>
      </c>
      <c r="P211" s="99">
        <f t="shared" ref="P211:P226" si="192">O211-M211</f>
        <v>0</v>
      </c>
      <c r="Q211" s="99">
        <f>SUMIF(Import!$B:$B,'Other Fund Line-Item Details'!$A211,Import!K:K)</f>
        <v>0</v>
      </c>
      <c r="R211" s="99">
        <f>SUMIF(Import!$B:$B,'Other Fund Line-Item Details'!$A211,Import!L:L)</f>
        <v>0</v>
      </c>
      <c r="S211" s="99">
        <f>SUMIF(Import!$B:$B,'Other Fund Line-Item Details'!$A211,Import!M:M)</f>
        <v>0</v>
      </c>
      <c r="T211" s="99">
        <f>SUMIF(Import!$B:$B,'Other Fund Line-Item Details'!$A211,Import!N:N)</f>
        <v>0</v>
      </c>
      <c r="U211" s="99">
        <f t="shared" ref="U211:U227" si="193">T211-M211</f>
        <v>0</v>
      </c>
      <c r="V211" s="255" t="str">
        <f t="shared" ref="V211:V227" si="194">IF(M211=0,"N/A",T211/M211-1)</f>
        <v>N/A</v>
      </c>
      <c r="W211" s="102" t="s">
        <v>1892</v>
      </c>
      <c r="X211" s="121"/>
      <c r="Y211" s="121"/>
      <c r="Z211" s="121"/>
      <c r="AA211" s="121"/>
      <c r="AB211" s="121"/>
      <c r="AC211" s="121"/>
      <c r="AD211" s="121"/>
      <c r="AE211" s="121"/>
      <c r="AF211" s="121"/>
      <c r="AG211" s="121"/>
      <c r="AH211" s="121"/>
      <c r="AI211" s="121"/>
    </row>
    <row r="212" spans="1:35" s="115" customFormat="1" ht="15" hidden="1" customHeight="1">
      <c r="A212" s="555" t="s">
        <v>1893</v>
      </c>
      <c r="B212" s="217" t="str">
        <f t="shared" si="174"/>
        <v>112</v>
      </c>
      <c r="C212" s="217" t="str">
        <f t="shared" si="175"/>
        <v>64</v>
      </c>
      <c r="D212" s="101" t="str">
        <f t="shared" si="176"/>
        <v>643</v>
      </c>
      <c r="E212" s="217" t="str">
        <f t="shared" si="177"/>
        <v>112-64-643</v>
      </c>
      <c r="F212" s="294" t="str">
        <f t="shared" si="178"/>
        <v>50109</v>
      </c>
      <c r="G212" s="295" t="str">
        <f>VLOOKUP(F212,'GL Category'!A:C,3,FALSE)</f>
        <v>Personnel services</v>
      </c>
      <c r="H212" s="98" t="str">
        <f>VLOOKUP(F212,'GL Category'!A:C,2,FALSE)</f>
        <v>OVERTIME</v>
      </c>
      <c r="I212" s="99">
        <f>SUMIF(Import!$B:$B,'Other Fund Line-Item Details'!$A212,Import!D:D)</f>
        <v>0</v>
      </c>
      <c r="J212" s="99">
        <f>SUMIF(Import!$B:$B,'Other Fund Line-Item Details'!$A212,Import!E:E)</f>
        <v>0</v>
      </c>
      <c r="K212" s="99">
        <f>SUMIF(Import!$B:$B,'Other Fund Line-Item Details'!$A212,Import!F:F)</f>
        <v>0</v>
      </c>
      <c r="L212" s="99">
        <f>SUMIF(Import!$B:$B,'Other Fund Line-Item Details'!$A212,Import!G:G)</f>
        <v>0</v>
      </c>
      <c r="M212" s="99">
        <f>SUMIF(Import!$B:$B,'Other Fund Line-Item Details'!$A212,Import!H:H)</f>
        <v>0</v>
      </c>
      <c r="N212" s="99">
        <f>SUMIF(Import!$B:$B,'Other Fund Line-Item Details'!$A212,Import!I:I)</f>
        <v>0</v>
      </c>
      <c r="O212" s="99">
        <f>SUMIF(Import!$B:$B,'Other Fund Line-Item Details'!$A212,Import!J:J)</f>
        <v>0</v>
      </c>
      <c r="P212" s="99">
        <f t="shared" si="192"/>
        <v>0</v>
      </c>
      <c r="Q212" s="99">
        <f>SUMIF(Import!$B:$B,'Other Fund Line-Item Details'!$A212,Import!K:K)</f>
        <v>0</v>
      </c>
      <c r="R212" s="99">
        <f>SUMIF(Import!$B:$B,'Other Fund Line-Item Details'!$A212,Import!L:L)</f>
        <v>0</v>
      </c>
      <c r="S212" s="99">
        <f>SUMIF(Import!$B:$B,'Other Fund Line-Item Details'!$A212,Import!M:M)</f>
        <v>0</v>
      </c>
      <c r="T212" s="99">
        <f>SUMIF(Import!$B:$B,'Other Fund Line-Item Details'!$A212,Import!N:N)</f>
        <v>0</v>
      </c>
      <c r="U212" s="99">
        <f t="shared" si="193"/>
        <v>0</v>
      </c>
      <c r="V212" s="255" t="str">
        <f t="shared" si="194"/>
        <v>N/A</v>
      </c>
      <c r="W212" s="102" t="s">
        <v>1893</v>
      </c>
      <c r="X212" s="121"/>
      <c r="Y212" s="121"/>
      <c r="Z212" s="121"/>
      <c r="AA212" s="121"/>
      <c r="AB212" s="121"/>
      <c r="AC212" s="121"/>
      <c r="AD212" s="121"/>
      <c r="AE212" s="121"/>
      <c r="AF212" s="121"/>
      <c r="AG212" s="121"/>
      <c r="AH212" s="121"/>
      <c r="AI212" s="121"/>
    </row>
    <row r="213" spans="1:35" s="115" customFormat="1" ht="15" hidden="1" customHeight="1">
      <c r="A213" s="555" t="s">
        <v>1894</v>
      </c>
      <c r="B213" s="217" t="str">
        <f t="shared" si="174"/>
        <v>112</v>
      </c>
      <c r="C213" s="217" t="str">
        <f t="shared" si="175"/>
        <v>64</v>
      </c>
      <c r="D213" s="101" t="str">
        <f t="shared" si="176"/>
        <v>643</v>
      </c>
      <c r="E213" s="217" t="str">
        <f t="shared" si="177"/>
        <v>112-64-643</v>
      </c>
      <c r="F213" s="294" t="str">
        <f t="shared" si="178"/>
        <v>50620</v>
      </c>
      <c r="G213" s="295" t="str">
        <f>VLOOKUP(F213,'GL Category'!A:C,3,FALSE)</f>
        <v>Personnel services</v>
      </c>
      <c r="H213" s="98" t="str">
        <f>VLOOKUP(F213,'GL Category'!A:C,2,FALSE)</f>
        <v>HEALTH/LIFE INSURANCE</v>
      </c>
      <c r="I213" s="99">
        <f>SUMIF(Import!$B:$B,'Other Fund Line-Item Details'!$A213,Import!D:D)</f>
        <v>0</v>
      </c>
      <c r="J213" s="99">
        <f>SUMIF(Import!$B:$B,'Other Fund Line-Item Details'!$A213,Import!E:E)</f>
        <v>0</v>
      </c>
      <c r="K213" s="99">
        <f>SUMIF(Import!$B:$B,'Other Fund Line-Item Details'!$A213,Import!F:F)</f>
        <v>0</v>
      </c>
      <c r="L213" s="99">
        <f>SUMIF(Import!$B:$B,'Other Fund Line-Item Details'!$A213,Import!G:G)</f>
        <v>0</v>
      </c>
      <c r="M213" s="99">
        <f>SUMIF(Import!$B:$B,'Other Fund Line-Item Details'!$A213,Import!H:H)</f>
        <v>0</v>
      </c>
      <c r="N213" s="99">
        <f>SUMIF(Import!$B:$B,'Other Fund Line-Item Details'!$A213,Import!I:I)</f>
        <v>0</v>
      </c>
      <c r="O213" s="99">
        <f>SUMIF(Import!$B:$B,'Other Fund Line-Item Details'!$A213,Import!J:J)</f>
        <v>0</v>
      </c>
      <c r="P213" s="99">
        <f t="shared" si="192"/>
        <v>0</v>
      </c>
      <c r="Q213" s="99">
        <f>SUMIF(Import!$B:$B,'Other Fund Line-Item Details'!$A213,Import!K:K)</f>
        <v>0</v>
      </c>
      <c r="R213" s="99">
        <f>SUMIF(Import!$B:$B,'Other Fund Line-Item Details'!$A213,Import!L:L)</f>
        <v>0</v>
      </c>
      <c r="S213" s="99">
        <f>SUMIF(Import!$B:$B,'Other Fund Line-Item Details'!$A213,Import!M:M)</f>
        <v>0</v>
      </c>
      <c r="T213" s="99">
        <f>SUMIF(Import!$B:$B,'Other Fund Line-Item Details'!$A213,Import!N:N)</f>
        <v>0</v>
      </c>
      <c r="U213" s="99">
        <f t="shared" si="193"/>
        <v>0</v>
      </c>
      <c r="V213" s="255" t="str">
        <f t="shared" si="194"/>
        <v>N/A</v>
      </c>
      <c r="W213" s="102" t="s">
        <v>1894</v>
      </c>
      <c r="X213" s="121"/>
      <c r="Y213" s="121"/>
      <c r="Z213" s="121"/>
      <c r="AA213" s="121"/>
      <c r="AB213" s="121"/>
      <c r="AC213" s="121"/>
      <c r="AD213" s="121"/>
      <c r="AE213" s="121"/>
      <c r="AF213" s="121"/>
      <c r="AG213" s="121"/>
      <c r="AH213" s="121"/>
      <c r="AI213" s="121"/>
    </row>
    <row r="214" spans="1:35" s="115" customFormat="1" ht="15" hidden="1" customHeight="1">
      <c r="A214" s="555" t="s">
        <v>1895</v>
      </c>
      <c r="B214" s="217" t="str">
        <f t="shared" si="174"/>
        <v>112</v>
      </c>
      <c r="C214" s="217" t="str">
        <f t="shared" si="175"/>
        <v>64</v>
      </c>
      <c r="D214" s="101" t="str">
        <f t="shared" si="176"/>
        <v>643</v>
      </c>
      <c r="E214" s="217" t="str">
        <f t="shared" si="177"/>
        <v>112-64-643</v>
      </c>
      <c r="F214" s="294" t="str">
        <f t="shared" si="178"/>
        <v>50650</v>
      </c>
      <c r="G214" s="295" t="str">
        <f>VLOOKUP(F214,'GL Category'!A:C,3,FALSE)</f>
        <v>Personnel services</v>
      </c>
      <c r="H214" s="98" t="str">
        <f>VLOOKUP(F214,'GL Category'!A:C,2,FALSE)</f>
        <v>RETIREMENT</v>
      </c>
      <c r="I214" s="99">
        <f>SUMIF(Import!$B:$B,'Other Fund Line-Item Details'!$A214,Import!D:D)</f>
        <v>0</v>
      </c>
      <c r="J214" s="99">
        <f>SUMIF(Import!$B:$B,'Other Fund Line-Item Details'!$A214,Import!E:E)</f>
        <v>0</v>
      </c>
      <c r="K214" s="99">
        <f>SUMIF(Import!$B:$B,'Other Fund Line-Item Details'!$A214,Import!F:F)</f>
        <v>0</v>
      </c>
      <c r="L214" s="99">
        <f>SUMIF(Import!$B:$B,'Other Fund Line-Item Details'!$A214,Import!G:G)</f>
        <v>0</v>
      </c>
      <c r="M214" s="99">
        <f>SUMIF(Import!$B:$B,'Other Fund Line-Item Details'!$A214,Import!H:H)</f>
        <v>0</v>
      </c>
      <c r="N214" s="99">
        <f>SUMIF(Import!$B:$B,'Other Fund Line-Item Details'!$A214,Import!I:I)</f>
        <v>0</v>
      </c>
      <c r="O214" s="99">
        <f>SUMIF(Import!$B:$B,'Other Fund Line-Item Details'!$A214,Import!J:J)</f>
        <v>0</v>
      </c>
      <c r="P214" s="99">
        <f t="shared" si="192"/>
        <v>0</v>
      </c>
      <c r="Q214" s="99">
        <f>SUMIF(Import!$B:$B,'Other Fund Line-Item Details'!$A214,Import!K:K)</f>
        <v>0</v>
      </c>
      <c r="R214" s="99">
        <f>SUMIF(Import!$B:$B,'Other Fund Line-Item Details'!$A214,Import!L:L)</f>
        <v>0</v>
      </c>
      <c r="S214" s="99">
        <f>SUMIF(Import!$B:$B,'Other Fund Line-Item Details'!$A214,Import!M:M)</f>
        <v>0</v>
      </c>
      <c r="T214" s="99">
        <f>SUMIF(Import!$B:$B,'Other Fund Line-Item Details'!$A214,Import!N:N)</f>
        <v>0</v>
      </c>
      <c r="U214" s="99">
        <f t="shared" si="193"/>
        <v>0</v>
      </c>
      <c r="V214" s="255" t="str">
        <f t="shared" si="194"/>
        <v>N/A</v>
      </c>
      <c r="W214" s="102" t="s">
        <v>1895</v>
      </c>
      <c r="X214" s="121"/>
      <c r="Y214" s="121"/>
      <c r="Z214" s="121"/>
      <c r="AA214" s="121"/>
      <c r="AB214" s="121"/>
      <c r="AC214" s="121"/>
      <c r="AD214" s="121"/>
      <c r="AE214" s="121"/>
      <c r="AF214" s="121"/>
      <c r="AG214" s="121"/>
      <c r="AH214" s="121"/>
      <c r="AI214" s="121"/>
    </row>
    <row r="215" spans="1:35" s="115" customFormat="1" ht="15" hidden="1" customHeight="1">
      <c r="A215" s="555" t="s">
        <v>1896</v>
      </c>
      <c r="B215" s="217" t="str">
        <f t="shared" si="174"/>
        <v>112</v>
      </c>
      <c r="C215" s="217" t="str">
        <f t="shared" si="175"/>
        <v>64</v>
      </c>
      <c r="D215" s="101" t="str">
        <f t="shared" si="176"/>
        <v>643</v>
      </c>
      <c r="E215" s="217" t="str">
        <f t="shared" si="177"/>
        <v>112-64-643</v>
      </c>
      <c r="F215" s="294" t="str">
        <f t="shared" si="178"/>
        <v>50610</v>
      </c>
      <c r="G215" s="295" t="str">
        <f>VLOOKUP(F215,'GL Category'!A:C,3,FALSE)</f>
        <v>Personnel services</v>
      </c>
      <c r="H215" s="98" t="str">
        <f>VLOOKUP(F215,'GL Category'!A:C,2,FALSE)</f>
        <v>SOCIAL SECURITY</v>
      </c>
      <c r="I215" s="99">
        <f>SUMIF(Import!$B:$B,'Other Fund Line-Item Details'!$A215,Import!D:D)</f>
        <v>0</v>
      </c>
      <c r="J215" s="99">
        <f>SUMIF(Import!$B:$B,'Other Fund Line-Item Details'!$A215,Import!E:E)</f>
        <v>0</v>
      </c>
      <c r="K215" s="99">
        <f>SUMIF(Import!$B:$B,'Other Fund Line-Item Details'!$A215,Import!F:F)</f>
        <v>0</v>
      </c>
      <c r="L215" s="99">
        <f>SUMIF(Import!$B:$B,'Other Fund Line-Item Details'!$A215,Import!G:G)</f>
        <v>0</v>
      </c>
      <c r="M215" s="99">
        <f>SUMIF(Import!$B:$B,'Other Fund Line-Item Details'!$A215,Import!H:H)</f>
        <v>0</v>
      </c>
      <c r="N215" s="99">
        <f>SUMIF(Import!$B:$B,'Other Fund Line-Item Details'!$A215,Import!I:I)</f>
        <v>0</v>
      </c>
      <c r="O215" s="99">
        <f>SUMIF(Import!$B:$B,'Other Fund Line-Item Details'!$A215,Import!J:J)</f>
        <v>0</v>
      </c>
      <c r="P215" s="99">
        <f t="shared" si="192"/>
        <v>0</v>
      </c>
      <c r="Q215" s="99">
        <f>SUMIF(Import!$B:$B,'Other Fund Line-Item Details'!$A215,Import!K:K)</f>
        <v>0</v>
      </c>
      <c r="R215" s="99">
        <f>SUMIF(Import!$B:$B,'Other Fund Line-Item Details'!$A215,Import!L:L)</f>
        <v>0</v>
      </c>
      <c r="S215" s="99">
        <f>SUMIF(Import!$B:$B,'Other Fund Line-Item Details'!$A215,Import!M:M)</f>
        <v>0</v>
      </c>
      <c r="T215" s="99">
        <f>SUMIF(Import!$B:$B,'Other Fund Line-Item Details'!$A215,Import!N:N)</f>
        <v>0</v>
      </c>
      <c r="U215" s="99">
        <f t="shared" si="193"/>
        <v>0</v>
      </c>
      <c r="V215" s="255" t="str">
        <f t="shared" si="194"/>
        <v>N/A</v>
      </c>
      <c r="W215" s="102" t="s">
        <v>1896</v>
      </c>
      <c r="X215" s="121"/>
      <c r="Y215" s="121"/>
      <c r="Z215" s="121"/>
      <c r="AA215" s="121"/>
      <c r="AB215" s="121"/>
      <c r="AC215" s="121"/>
      <c r="AD215" s="121"/>
      <c r="AE215" s="121"/>
      <c r="AF215" s="121"/>
      <c r="AG215" s="121"/>
      <c r="AH215" s="121"/>
      <c r="AI215" s="121"/>
    </row>
    <row r="216" spans="1:35" s="115" customFormat="1" ht="15" hidden="1" customHeight="1">
      <c r="A216" s="555" t="s">
        <v>1897</v>
      </c>
      <c r="B216" s="217" t="str">
        <f t="shared" si="174"/>
        <v>112</v>
      </c>
      <c r="C216" s="217" t="str">
        <f t="shared" si="175"/>
        <v>64</v>
      </c>
      <c r="D216" s="101" t="str">
        <f t="shared" si="176"/>
        <v>643</v>
      </c>
      <c r="E216" s="217" t="str">
        <f t="shared" si="177"/>
        <v>112-64-643</v>
      </c>
      <c r="F216" s="294" t="str">
        <f t="shared" si="178"/>
        <v>50630</v>
      </c>
      <c r="G216" s="295" t="str">
        <f>VLOOKUP(F216,'GL Category'!A:C,3,FALSE)</f>
        <v>Personnel services</v>
      </c>
      <c r="H216" s="98" t="str">
        <f>VLOOKUP(F216,'GL Category'!A:C,2,FALSE)</f>
        <v>WORKER COMPENSATION</v>
      </c>
      <c r="I216" s="99">
        <f>SUMIF(Import!$B:$B,'Other Fund Line-Item Details'!$A216,Import!D:D)</f>
        <v>0</v>
      </c>
      <c r="J216" s="99">
        <f>SUMIF(Import!$B:$B,'Other Fund Line-Item Details'!$A216,Import!E:E)</f>
        <v>0</v>
      </c>
      <c r="K216" s="99">
        <f>SUMIF(Import!$B:$B,'Other Fund Line-Item Details'!$A216,Import!F:F)</f>
        <v>0</v>
      </c>
      <c r="L216" s="99">
        <f>SUMIF(Import!$B:$B,'Other Fund Line-Item Details'!$A216,Import!G:G)</f>
        <v>0</v>
      </c>
      <c r="M216" s="99">
        <f>SUMIF(Import!$B:$B,'Other Fund Line-Item Details'!$A216,Import!H:H)</f>
        <v>0</v>
      </c>
      <c r="N216" s="99">
        <f>SUMIF(Import!$B:$B,'Other Fund Line-Item Details'!$A216,Import!I:I)</f>
        <v>0</v>
      </c>
      <c r="O216" s="99">
        <f>SUMIF(Import!$B:$B,'Other Fund Line-Item Details'!$A216,Import!J:J)</f>
        <v>0</v>
      </c>
      <c r="P216" s="99">
        <f t="shared" si="192"/>
        <v>0</v>
      </c>
      <c r="Q216" s="99">
        <f>SUMIF(Import!$B:$B,'Other Fund Line-Item Details'!$A216,Import!K:K)</f>
        <v>0</v>
      </c>
      <c r="R216" s="99">
        <f>SUMIF(Import!$B:$B,'Other Fund Line-Item Details'!$A216,Import!L:L)</f>
        <v>0</v>
      </c>
      <c r="S216" s="99">
        <f>SUMIF(Import!$B:$B,'Other Fund Line-Item Details'!$A216,Import!M:M)</f>
        <v>0</v>
      </c>
      <c r="T216" s="99">
        <f>SUMIF(Import!$B:$B,'Other Fund Line-Item Details'!$A216,Import!N:N)</f>
        <v>0</v>
      </c>
      <c r="U216" s="99">
        <f t="shared" si="193"/>
        <v>0</v>
      </c>
      <c r="V216" s="255" t="str">
        <f t="shared" si="194"/>
        <v>N/A</v>
      </c>
      <c r="W216" s="102" t="s">
        <v>1897</v>
      </c>
      <c r="X216" s="121"/>
      <c r="Y216" s="121"/>
      <c r="Z216" s="121"/>
      <c r="AA216" s="121"/>
      <c r="AB216" s="121"/>
      <c r="AC216" s="121"/>
      <c r="AD216" s="121"/>
      <c r="AE216" s="121"/>
      <c r="AF216" s="121"/>
      <c r="AG216" s="121"/>
      <c r="AH216" s="121"/>
      <c r="AI216" s="121"/>
    </row>
    <row r="217" spans="1:35" s="115" customFormat="1" ht="15" hidden="1" customHeight="1">
      <c r="A217" s="555" t="s">
        <v>1898</v>
      </c>
      <c r="B217" s="217" t="str">
        <f t="shared" si="174"/>
        <v>112</v>
      </c>
      <c r="C217" s="217" t="str">
        <f t="shared" si="175"/>
        <v>64</v>
      </c>
      <c r="D217" s="101" t="str">
        <f t="shared" si="176"/>
        <v>643</v>
      </c>
      <c r="E217" s="217" t="str">
        <f t="shared" si="177"/>
        <v>112-64-643</v>
      </c>
      <c r="F217" s="294" t="str">
        <f t="shared" si="178"/>
        <v>51299</v>
      </c>
      <c r="G217" s="295" t="str">
        <f>VLOOKUP(F217,'GL Category'!A:C,3,FALSE)</f>
        <v>Operations &amp; maintenance</v>
      </c>
      <c r="H217" s="98" t="str">
        <f>VLOOKUP(F217,'GL Category'!A:C,2,FALSE)</f>
        <v>MISCELLANEOUS SUPPLIES</v>
      </c>
      <c r="I217" s="99">
        <f>SUMIF(Import!$B:$B,'Other Fund Line-Item Details'!$A217,Import!D:D)</f>
        <v>0</v>
      </c>
      <c r="J217" s="99">
        <f>SUMIF(Import!$B:$B,'Other Fund Line-Item Details'!$A217,Import!E:E)</f>
        <v>0</v>
      </c>
      <c r="K217" s="99">
        <f>SUMIF(Import!$B:$B,'Other Fund Line-Item Details'!$A217,Import!F:F)</f>
        <v>0</v>
      </c>
      <c r="L217" s="99">
        <f>SUMIF(Import!$B:$B,'Other Fund Line-Item Details'!$A217,Import!G:G)</f>
        <v>0</v>
      </c>
      <c r="M217" s="99">
        <f>SUMIF(Import!$B:$B,'Other Fund Line-Item Details'!$A217,Import!H:H)</f>
        <v>0</v>
      </c>
      <c r="N217" s="99">
        <f>SUMIF(Import!$B:$B,'Other Fund Line-Item Details'!$A217,Import!I:I)</f>
        <v>0</v>
      </c>
      <c r="O217" s="99">
        <f>SUMIF(Import!$B:$B,'Other Fund Line-Item Details'!$A217,Import!J:J)</f>
        <v>0</v>
      </c>
      <c r="P217" s="99">
        <f t="shared" si="192"/>
        <v>0</v>
      </c>
      <c r="Q217" s="99">
        <f>SUMIF(Import!$B:$B,'Other Fund Line-Item Details'!$A217,Import!K:K)</f>
        <v>0</v>
      </c>
      <c r="R217" s="99">
        <f>SUMIF(Import!$B:$B,'Other Fund Line-Item Details'!$A217,Import!L:L)</f>
        <v>0</v>
      </c>
      <c r="S217" s="99">
        <f>SUMIF(Import!$B:$B,'Other Fund Line-Item Details'!$A217,Import!M:M)</f>
        <v>0</v>
      </c>
      <c r="T217" s="99">
        <f>SUMIF(Import!$B:$B,'Other Fund Line-Item Details'!$A217,Import!N:N)</f>
        <v>0</v>
      </c>
      <c r="U217" s="99">
        <f t="shared" si="193"/>
        <v>0</v>
      </c>
      <c r="V217" s="255" t="str">
        <f t="shared" si="194"/>
        <v>N/A</v>
      </c>
      <c r="W217" s="102" t="s">
        <v>1898</v>
      </c>
      <c r="X217" s="121"/>
      <c r="Y217" s="121"/>
      <c r="Z217" s="121"/>
      <c r="AA217" s="121"/>
      <c r="AB217" s="121"/>
      <c r="AC217" s="121"/>
      <c r="AD217" s="121"/>
      <c r="AE217" s="121"/>
      <c r="AF217" s="121"/>
      <c r="AG217" s="121"/>
      <c r="AH217" s="121"/>
      <c r="AI217" s="121"/>
    </row>
    <row r="218" spans="1:35" s="115" customFormat="1" ht="15" hidden="1" customHeight="1">
      <c r="A218" s="555" t="s">
        <v>1899</v>
      </c>
      <c r="B218" s="217" t="str">
        <f t="shared" si="174"/>
        <v>112</v>
      </c>
      <c r="C218" s="217" t="str">
        <f t="shared" si="175"/>
        <v>64</v>
      </c>
      <c r="D218" s="101" t="str">
        <f t="shared" si="176"/>
        <v>643</v>
      </c>
      <c r="E218" s="217" t="str">
        <f t="shared" si="177"/>
        <v>112-64-643</v>
      </c>
      <c r="F218" s="294" t="str">
        <f t="shared" si="178"/>
        <v>53599</v>
      </c>
      <c r="G218" s="295" t="str">
        <f>VLOOKUP(F218,'GL Category'!A:C,3,FALSE)</f>
        <v>Services &amp; other</v>
      </c>
      <c r="H218" s="98" t="str">
        <f>VLOOKUP(F218,'GL Category'!A:C,2,FALSE)</f>
        <v>MISCELLANEOUS SERVICES</v>
      </c>
      <c r="I218" s="99">
        <f>SUMIF(Import!$B:$B,'Other Fund Line-Item Details'!$A218,Import!D:D)</f>
        <v>0</v>
      </c>
      <c r="J218" s="99">
        <f>SUMIF(Import!$B:$B,'Other Fund Line-Item Details'!$A218,Import!E:E)</f>
        <v>0</v>
      </c>
      <c r="K218" s="99">
        <f>SUMIF(Import!$B:$B,'Other Fund Line-Item Details'!$A218,Import!F:F)</f>
        <v>0</v>
      </c>
      <c r="L218" s="99">
        <f>SUMIF(Import!$B:$B,'Other Fund Line-Item Details'!$A218,Import!G:G)</f>
        <v>0</v>
      </c>
      <c r="M218" s="99">
        <f>SUMIF(Import!$B:$B,'Other Fund Line-Item Details'!$A218,Import!H:H)</f>
        <v>0</v>
      </c>
      <c r="N218" s="99">
        <f>SUMIF(Import!$B:$B,'Other Fund Line-Item Details'!$A218,Import!I:I)</f>
        <v>0</v>
      </c>
      <c r="O218" s="99">
        <f>SUMIF(Import!$B:$B,'Other Fund Line-Item Details'!$A218,Import!J:J)</f>
        <v>0</v>
      </c>
      <c r="P218" s="99">
        <f t="shared" si="192"/>
        <v>0</v>
      </c>
      <c r="Q218" s="99">
        <f>SUMIF(Import!$B:$B,'Other Fund Line-Item Details'!$A218,Import!K:K)</f>
        <v>0</v>
      </c>
      <c r="R218" s="99">
        <f>SUMIF(Import!$B:$B,'Other Fund Line-Item Details'!$A218,Import!L:L)</f>
        <v>0</v>
      </c>
      <c r="S218" s="99">
        <f>SUMIF(Import!$B:$B,'Other Fund Line-Item Details'!$A218,Import!M:M)</f>
        <v>0</v>
      </c>
      <c r="T218" s="99">
        <f>SUMIF(Import!$B:$B,'Other Fund Line-Item Details'!$A218,Import!N:N)</f>
        <v>0</v>
      </c>
      <c r="U218" s="99">
        <f t="shared" si="193"/>
        <v>0</v>
      </c>
      <c r="V218" s="255" t="str">
        <f t="shared" si="194"/>
        <v>N/A</v>
      </c>
      <c r="W218" s="102" t="s">
        <v>1899</v>
      </c>
      <c r="X218" s="121"/>
      <c r="Y218" s="121"/>
      <c r="Z218" s="121"/>
      <c r="AA218" s="121"/>
      <c r="AB218" s="121"/>
      <c r="AC218" s="121"/>
      <c r="AD218" s="121"/>
      <c r="AE218" s="121"/>
      <c r="AF218" s="121"/>
      <c r="AG218" s="121"/>
      <c r="AH218" s="121"/>
      <c r="AI218" s="121"/>
    </row>
    <row r="219" spans="1:35" s="115" customFormat="1" ht="15" hidden="1" customHeight="1">
      <c r="A219" s="555" t="s">
        <v>1900</v>
      </c>
      <c r="B219" s="217" t="str">
        <f t="shared" si="174"/>
        <v>112</v>
      </c>
      <c r="C219" s="217" t="str">
        <f t="shared" si="175"/>
        <v>64</v>
      </c>
      <c r="D219" s="101" t="str">
        <f t="shared" si="176"/>
        <v>643</v>
      </c>
      <c r="E219" s="217" t="str">
        <f t="shared" si="177"/>
        <v>112-64-643</v>
      </c>
      <c r="F219" s="294" t="str">
        <f t="shared" si="178"/>
        <v>53524</v>
      </c>
      <c r="G219" s="295" t="str">
        <f>VLOOKUP(F219,'GL Category'!A:C,3,FALSE)</f>
        <v>Services &amp; other</v>
      </c>
      <c r="H219" s="98" t="str">
        <f>VLOOKUP(F219,'GL Category'!A:C,2,FALSE)</f>
        <v>EQUIPMENT RENTAL</v>
      </c>
      <c r="I219" s="99">
        <f>SUMIF(Import!$B:$B,'Other Fund Line-Item Details'!$A219,Import!D:D)</f>
        <v>0</v>
      </c>
      <c r="J219" s="99">
        <f>SUMIF(Import!$B:$B,'Other Fund Line-Item Details'!$A219,Import!E:E)</f>
        <v>0</v>
      </c>
      <c r="K219" s="99">
        <f>SUMIF(Import!$B:$B,'Other Fund Line-Item Details'!$A219,Import!F:F)</f>
        <v>0</v>
      </c>
      <c r="L219" s="99">
        <f>SUMIF(Import!$B:$B,'Other Fund Line-Item Details'!$A219,Import!G:G)</f>
        <v>0</v>
      </c>
      <c r="M219" s="99">
        <f>SUMIF(Import!$B:$B,'Other Fund Line-Item Details'!$A219,Import!H:H)</f>
        <v>0</v>
      </c>
      <c r="N219" s="99">
        <f>SUMIF(Import!$B:$B,'Other Fund Line-Item Details'!$A219,Import!I:I)</f>
        <v>0</v>
      </c>
      <c r="O219" s="99">
        <f>SUMIF(Import!$B:$B,'Other Fund Line-Item Details'!$A219,Import!J:J)</f>
        <v>0</v>
      </c>
      <c r="P219" s="99">
        <f t="shared" si="192"/>
        <v>0</v>
      </c>
      <c r="Q219" s="99">
        <f>SUMIF(Import!$B:$B,'Other Fund Line-Item Details'!$A219,Import!K:K)</f>
        <v>0</v>
      </c>
      <c r="R219" s="99">
        <f>SUMIF(Import!$B:$B,'Other Fund Line-Item Details'!$A219,Import!L:L)</f>
        <v>0</v>
      </c>
      <c r="S219" s="99">
        <f>SUMIF(Import!$B:$B,'Other Fund Line-Item Details'!$A219,Import!M:M)</f>
        <v>0</v>
      </c>
      <c r="T219" s="99">
        <f>SUMIF(Import!$B:$B,'Other Fund Line-Item Details'!$A219,Import!N:N)</f>
        <v>0</v>
      </c>
      <c r="U219" s="99">
        <f t="shared" si="193"/>
        <v>0</v>
      </c>
      <c r="V219" s="255" t="str">
        <f t="shared" si="194"/>
        <v>N/A</v>
      </c>
      <c r="W219" s="102" t="s">
        <v>1900</v>
      </c>
      <c r="X219" s="121"/>
      <c r="Y219" s="121"/>
      <c r="Z219" s="121"/>
      <c r="AA219" s="121"/>
      <c r="AB219" s="121"/>
      <c r="AC219" s="121"/>
      <c r="AD219" s="121"/>
      <c r="AE219" s="121"/>
      <c r="AF219" s="121"/>
      <c r="AG219" s="121"/>
      <c r="AH219" s="121"/>
      <c r="AI219" s="121"/>
    </row>
    <row r="220" spans="1:35" s="115" customFormat="1" ht="15" hidden="1" customHeight="1">
      <c r="A220" s="555" t="s">
        <v>1901</v>
      </c>
      <c r="B220" s="217" t="str">
        <f t="shared" si="174"/>
        <v>112</v>
      </c>
      <c r="C220" s="217" t="str">
        <f t="shared" si="175"/>
        <v>64</v>
      </c>
      <c r="D220" s="101" t="str">
        <f t="shared" si="176"/>
        <v>643</v>
      </c>
      <c r="E220" s="217" t="str">
        <f t="shared" si="177"/>
        <v>112-64-643</v>
      </c>
      <c r="F220" s="294" t="str">
        <f t="shared" si="178"/>
        <v>53534</v>
      </c>
      <c r="G220" s="295" t="str">
        <f>VLOOKUP(F220,'GL Category'!A:C,3,FALSE)</f>
        <v>Services &amp; other</v>
      </c>
      <c r="H220" s="98" t="str">
        <f>VLOOKUP(F220,'GL Category'!A:C,2,FALSE)</f>
        <v>MARKETING &amp; PROMOTIONAL</v>
      </c>
      <c r="I220" s="99">
        <f>SUMIF(Import!$B:$B,'Other Fund Line-Item Details'!$A220,Import!D:D)</f>
        <v>0</v>
      </c>
      <c r="J220" s="99">
        <f>SUMIF(Import!$B:$B,'Other Fund Line-Item Details'!$A220,Import!E:E)</f>
        <v>0</v>
      </c>
      <c r="K220" s="99">
        <f>SUMIF(Import!$B:$B,'Other Fund Line-Item Details'!$A220,Import!F:F)</f>
        <v>0</v>
      </c>
      <c r="L220" s="99">
        <f>SUMIF(Import!$B:$B,'Other Fund Line-Item Details'!$A220,Import!G:G)</f>
        <v>0</v>
      </c>
      <c r="M220" s="99">
        <f>SUMIF(Import!$B:$B,'Other Fund Line-Item Details'!$A220,Import!H:H)</f>
        <v>0</v>
      </c>
      <c r="N220" s="99">
        <f>SUMIF(Import!$B:$B,'Other Fund Line-Item Details'!$A220,Import!I:I)</f>
        <v>0</v>
      </c>
      <c r="O220" s="99">
        <f>SUMIF(Import!$B:$B,'Other Fund Line-Item Details'!$A220,Import!J:J)</f>
        <v>0</v>
      </c>
      <c r="P220" s="99">
        <f t="shared" si="192"/>
        <v>0</v>
      </c>
      <c r="Q220" s="99">
        <f>SUMIF(Import!$B:$B,'Other Fund Line-Item Details'!$A220,Import!K:K)</f>
        <v>0</v>
      </c>
      <c r="R220" s="99">
        <f>SUMIF(Import!$B:$B,'Other Fund Line-Item Details'!$A220,Import!L:L)</f>
        <v>0</v>
      </c>
      <c r="S220" s="99">
        <f>SUMIF(Import!$B:$B,'Other Fund Line-Item Details'!$A220,Import!M:M)</f>
        <v>0</v>
      </c>
      <c r="T220" s="99">
        <f>SUMIF(Import!$B:$B,'Other Fund Line-Item Details'!$A220,Import!N:N)</f>
        <v>0</v>
      </c>
      <c r="U220" s="99">
        <f t="shared" si="193"/>
        <v>0</v>
      </c>
      <c r="V220" s="255" t="str">
        <f t="shared" si="194"/>
        <v>N/A</v>
      </c>
      <c r="W220" s="102" t="s">
        <v>1901</v>
      </c>
      <c r="X220" s="121"/>
      <c r="Y220" s="121"/>
      <c r="Z220" s="121"/>
      <c r="AA220" s="121"/>
      <c r="AB220" s="121"/>
      <c r="AC220" s="121"/>
      <c r="AD220" s="121"/>
      <c r="AE220" s="121"/>
      <c r="AF220" s="121"/>
      <c r="AG220" s="121"/>
      <c r="AH220" s="121"/>
      <c r="AI220" s="121"/>
    </row>
    <row r="221" spans="1:35" s="115" customFormat="1" ht="15" customHeight="1">
      <c r="A221" s="555" t="s">
        <v>1902</v>
      </c>
      <c r="B221" s="217" t="str">
        <f t="shared" si="174"/>
        <v>112</v>
      </c>
      <c r="C221" s="217" t="str">
        <f t="shared" si="175"/>
        <v>64</v>
      </c>
      <c r="D221" s="101" t="str">
        <f t="shared" si="176"/>
        <v>643</v>
      </c>
      <c r="E221" s="217" t="str">
        <f t="shared" si="177"/>
        <v>112-64-643</v>
      </c>
      <c r="F221" s="294" t="str">
        <f t="shared" si="178"/>
        <v>54551</v>
      </c>
      <c r="G221" s="295" t="str">
        <f>VLOOKUP(F221,'GL Category'!A:C,3,FALSE)</f>
        <v>Services &amp; other</v>
      </c>
      <c r="H221" s="98" t="str">
        <f>VLOOKUP(F221,'GL Category'!A:C,2,FALSE)</f>
        <v>REC SPECIAL EVENT EXPENSE</v>
      </c>
      <c r="I221" s="99">
        <f>SUMIF(Import!$B:$B,'Other Fund Line-Item Details'!$A221,Import!D:D)</f>
        <v>61010.48</v>
      </c>
      <c r="J221" s="99">
        <f>SUMIF(Import!$B:$B,'Other Fund Line-Item Details'!$A221,Import!E:E)</f>
        <v>68333.73</v>
      </c>
      <c r="K221" s="99">
        <f>SUMIF(Import!$B:$B,'Other Fund Line-Item Details'!$A221,Import!F:F)</f>
        <v>120182.36</v>
      </c>
      <c r="L221" s="99">
        <f>SUMIF(Import!$B:$B,'Other Fund Line-Item Details'!$A221,Import!G:G)</f>
        <v>170857.09</v>
      </c>
      <c r="M221" s="99">
        <f>SUMIF(Import!$B:$B,'Other Fund Line-Item Details'!$A221,Import!H:H)</f>
        <v>208000</v>
      </c>
      <c r="N221" s="99">
        <f>SUMIF(Import!$B:$B,'Other Fund Line-Item Details'!$A221,Import!I:I)</f>
        <v>154181.42000000001</v>
      </c>
      <c r="O221" s="99">
        <f>SUMIF(Import!$B:$B,'Other Fund Line-Item Details'!$A221,Import!J:J)</f>
        <v>200000</v>
      </c>
      <c r="P221" s="99">
        <f t="shared" si="192"/>
        <v>-8000</v>
      </c>
      <c r="Q221" s="99">
        <f>SUMIF(Import!$B:$B,'Other Fund Line-Item Details'!$A221,Import!K:K)</f>
        <v>208000</v>
      </c>
      <c r="R221" s="99">
        <f>SUMIF(Import!$B:$B,'Other Fund Line-Item Details'!$A221,Import!L:L)</f>
        <v>0</v>
      </c>
      <c r="S221" s="99">
        <f>SUMIF(Import!$B:$B,'Other Fund Line-Item Details'!$A221,Import!M:M)</f>
        <v>0</v>
      </c>
      <c r="T221" s="99">
        <f>SUMIF(Import!$B:$B,'Other Fund Line-Item Details'!$A221,Import!N:N)</f>
        <v>208000</v>
      </c>
      <c r="U221" s="99">
        <f t="shared" si="193"/>
        <v>0</v>
      </c>
      <c r="V221" s="255">
        <f t="shared" si="194"/>
        <v>0</v>
      </c>
      <c r="W221" s="102" t="s">
        <v>1902</v>
      </c>
      <c r="X221" s="121"/>
      <c r="Y221" s="121"/>
      <c r="Z221" s="121"/>
      <c r="AA221" s="121"/>
      <c r="AB221" s="121"/>
      <c r="AC221" s="121"/>
      <c r="AD221" s="121"/>
      <c r="AE221" s="121"/>
      <c r="AF221" s="121"/>
      <c r="AG221" s="121"/>
      <c r="AH221" s="121"/>
      <c r="AI221" s="121"/>
    </row>
    <row r="222" spans="1:35" s="115" customFormat="1" ht="15" customHeight="1">
      <c r="A222" s="555" t="s">
        <v>3416</v>
      </c>
      <c r="B222" s="217" t="str">
        <f t="shared" si="174"/>
        <v>112</v>
      </c>
      <c r="C222" s="217" t="str">
        <f t="shared" si="175"/>
        <v>62</v>
      </c>
      <c r="D222" s="101" t="str">
        <f t="shared" si="176"/>
        <v>622</v>
      </c>
      <c r="E222" s="217" t="str">
        <f t="shared" si="177"/>
        <v>112-62-622</v>
      </c>
      <c r="F222" s="294" t="str">
        <f t="shared" si="178"/>
        <v>50117</v>
      </c>
      <c r="G222" s="295" t="str">
        <f>VLOOKUP(F222,'GL Category'!A:C,3,FALSE)</f>
        <v>Personnel services</v>
      </c>
      <c r="H222" s="98" t="str">
        <f>VLOOKUP(F222,'GL Category'!A:C,2,FALSE)</f>
        <v>GROUP EXERCISE PAY</v>
      </c>
      <c r="I222" s="99">
        <f>SUMIF(Import!$B:$B,'Other Fund Line-Item Details'!$A222,Import!D:D)</f>
        <v>0</v>
      </c>
      <c r="J222" s="99">
        <f>SUMIF(Import!$B:$B,'Other Fund Line-Item Details'!$A222,Import!E:E)</f>
        <v>0</v>
      </c>
      <c r="K222" s="99">
        <f>SUMIF(Import!$B:$B,'Other Fund Line-Item Details'!$A222,Import!F:F)</f>
        <v>0</v>
      </c>
      <c r="L222" s="99">
        <f>SUMIF(Import!$B:$B,'Other Fund Line-Item Details'!$A222,Import!G:G)</f>
        <v>52</v>
      </c>
      <c r="M222" s="99">
        <f>SUMIF(Import!$B:$B,'Other Fund Line-Item Details'!$A222,Import!H:H)</f>
        <v>0</v>
      </c>
      <c r="N222" s="99">
        <f>SUMIF(Import!$B:$B,'Other Fund Line-Item Details'!$A222,Import!I:I)</f>
        <v>643</v>
      </c>
      <c r="O222" s="99">
        <f>SUMIF(Import!$B:$B,'Other Fund Line-Item Details'!$A222,Import!J:J)</f>
        <v>0</v>
      </c>
      <c r="P222" s="99">
        <f t="shared" si="192"/>
        <v>0</v>
      </c>
      <c r="Q222" s="99">
        <f>SUMIF(Import!$B:$B,'Other Fund Line-Item Details'!$A222,Import!K:K)</f>
        <v>0</v>
      </c>
      <c r="R222" s="99">
        <f>SUMIF(Import!$B:$B,'Other Fund Line-Item Details'!$A222,Import!L:L)</f>
        <v>0</v>
      </c>
      <c r="S222" s="99">
        <f>SUMIF(Import!$B:$B,'Other Fund Line-Item Details'!$A222,Import!M:M)</f>
        <v>0</v>
      </c>
      <c r="T222" s="99">
        <f>SUMIF(Import!$B:$B,'Other Fund Line-Item Details'!$A222,Import!N:N)</f>
        <v>0</v>
      </c>
      <c r="U222" s="99">
        <f t="shared" si="193"/>
        <v>0</v>
      </c>
      <c r="V222" s="255" t="str">
        <f t="shared" si="194"/>
        <v>N/A</v>
      </c>
      <c r="W222" s="102" t="s">
        <v>1903</v>
      </c>
      <c r="X222" s="121"/>
      <c r="Y222" s="121"/>
      <c r="Z222" s="121"/>
      <c r="AA222" s="121"/>
      <c r="AB222" s="121"/>
      <c r="AC222" s="121"/>
      <c r="AD222" s="121"/>
      <c r="AE222" s="121"/>
      <c r="AF222" s="121"/>
      <c r="AG222" s="121"/>
      <c r="AH222" s="121"/>
      <c r="AI222" s="121"/>
    </row>
    <row r="223" spans="1:35" s="115" customFormat="1" ht="15" customHeight="1">
      <c r="A223" s="555" t="s">
        <v>1904</v>
      </c>
      <c r="B223" s="217" t="str">
        <f t="shared" si="174"/>
        <v>112</v>
      </c>
      <c r="C223" s="217" t="str">
        <f t="shared" si="175"/>
        <v>64</v>
      </c>
      <c r="D223" s="101" t="str">
        <f t="shared" si="176"/>
        <v>643</v>
      </c>
      <c r="E223" s="217" t="str">
        <f t="shared" si="177"/>
        <v>112-64-643</v>
      </c>
      <c r="F223" s="294" t="str">
        <f t="shared" si="178"/>
        <v>54545</v>
      </c>
      <c r="G223" s="295" t="e">
        <f>VLOOKUP(F223,'GL Category'!A:C,3,FALSE)</f>
        <v>#N/A</v>
      </c>
      <c r="H223" s="98" t="e">
        <f>VLOOKUP(F223,'GL Category'!A:C,2,FALSE)</f>
        <v>#N/A</v>
      </c>
      <c r="I223" s="99">
        <f>SUMIF(Import!$B:$B,'Other Fund Line-Item Details'!$A223,Import!D:D)</f>
        <v>0</v>
      </c>
      <c r="J223" s="99">
        <f>SUMIF(Import!$B:$B,'Other Fund Line-Item Details'!$A223,Import!E:E)</f>
        <v>0</v>
      </c>
      <c r="K223" s="99">
        <f>SUMIF(Import!$B:$B,'Other Fund Line-Item Details'!$A223,Import!F:F)</f>
        <v>0</v>
      </c>
      <c r="L223" s="99">
        <f>SUMIF(Import!$B:$B,'Other Fund Line-Item Details'!$A223,Import!G:G)</f>
        <v>0</v>
      </c>
      <c r="M223" s="99">
        <f>SUMIF(Import!$B:$B,'Other Fund Line-Item Details'!$A223,Import!H:H)</f>
        <v>0</v>
      </c>
      <c r="N223" s="99">
        <f>SUMIF(Import!$B:$B,'Other Fund Line-Item Details'!$A223,Import!I:I)</f>
        <v>0</v>
      </c>
      <c r="O223" s="99">
        <f>SUMIF(Import!$B:$B,'Other Fund Line-Item Details'!$A223,Import!J:J)</f>
        <v>0</v>
      </c>
      <c r="P223" s="99">
        <f t="shared" si="192"/>
        <v>0</v>
      </c>
      <c r="Q223" s="99">
        <f>SUMIF(Import!$B:$B,'Other Fund Line-Item Details'!$A223,Import!K:K)</f>
        <v>0</v>
      </c>
      <c r="R223" s="99">
        <f>SUMIF(Import!$B:$B,'Other Fund Line-Item Details'!$A223,Import!L:L)</f>
        <v>0</v>
      </c>
      <c r="S223" s="99">
        <f>SUMIF(Import!$B:$B,'Other Fund Line-Item Details'!$A223,Import!M:M)</f>
        <v>0</v>
      </c>
      <c r="T223" s="99">
        <f>SUMIF(Import!$B:$B,'Other Fund Line-Item Details'!$A223,Import!N:N)</f>
        <v>0</v>
      </c>
      <c r="U223" s="99">
        <f t="shared" si="193"/>
        <v>0</v>
      </c>
      <c r="V223" s="255" t="str">
        <f t="shared" si="194"/>
        <v>N/A</v>
      </c>
      <c r="W223" s="102" t="s">
        <v>1904</v>
      </c>
      <c r="X223" s="121"/>
      <c r="Y223" s="121"/>
      <c r="Z223" s="121"/>
      <c r="AA223" s="121"/>
      <c r="AB223" s="121"/>
      <c r="AC223" s="121"/>
      <c r="AD223" s="121"/>
      <c r="AE223" s="121"/>
      <c r="AF223" s="121"/>
      <c r="AG223" s="121"/>
      <c r="AH223" s="121"/>
      <c r="AI223" s="121"/>
    </row>
    <row r="224" spans="1:35" s="115" customFormat="1" ht="15.75" customHeight="1">
      <c r="A224" s="555" t="s">
        <v>1905</v>
      </c>
      <c r="B224" s="217" t="str">
        <f t="shared" si="174"/>
        <v>112</v>
      </c>
      <c r="C224" s="217" t="str">
        <f t="shared" si="175"/>
        <v>64</v>
      </c>
      <c r="D224" s="101" t="str">
        <f t="shared" si="176"/>
        <v>643</v>
      </c>
      <c r="E224" s="217" t="str">
        <f t="shared" si="177"/>
        <v>112-64-643</v>
      </c>
      <c r="F224" s="294" t="str">
        <f t="shared" si="178"/>
        <v>54559</v>
      </c>
      <c r="G224" s="295" t="str">
        <f>VLOOKUP(F224,'GL Category'!A:C,3,FALSE)</f>
        <v>Services &amp; other</v>
      </c>
      <c r="H224" s="98" t="str">
        <f>VLOOKUP(F224,'GL Category'!A:C,2,FALSE)</f>
        <v>TAAF SWIMMING</v>
      </c>
      <c r="I224" s="99">
        <f>SUMIF(Import!$B:$B,'Other Fund Line-Item Details'!$A224,Import!D:D)</f>
        <v>0</v>
      </c>
      <c r="J224" s="99">
        <f>SUMIF(Import!$B:$B,'Other Fund Line-Item Details'!$A224,Import!E:E)</f>
        <v>0</v>
      </c>
      <c r="K224" s="99">
        <f>SUMIF(Import!$B:$B,'Other Fund Line-Item Details'!$A224,Import!F:F)</f>
        <v>0</v>
      </c>
      <c r="L224" s="99">
        <f>SUMIF(Import!$B:$B,'Other Fund Line-Item Details'!$A224,Import!G:G)</f>
        <v>0</v>
      </c>
      <c r="M224" s="99">
        <f>SUMIF(Import!$B:$B,'Other Fund Line-Item Details'!$A224,Import!H:H)</f>
        <v>0</v>
      </c>
      <c r="N224" s="99">
        <f>SUMIF(Import!$B:$B,'Other Fund Line-Item Details'!$A224,Import!I:I)</f>
        <v>0</v>
      </c>
      <c r="O224" s="99">
        <f>SUMIF(Import!$B:$B,'Other Fund Line-Item Details'!$A224,Import!J:J)</f>
        <v>0</v>
      </c>
      <c r="P224" s="99">
        <f t="shared" si="192"/>
        <v>0</v>
      </c>
      <c r="Q224" s="99">
        <f>SUMIF(Import!$B:$B,'Other Fund Line-Item Details'!$A224,Import!K:K)</f>
        <v>0</v>
      </c>
      <c r="R224" s="99">
        <f>SUMIF(Import!$B:$B,'Other Fund Line-Item Details'!$A224,Import!L:L)</f>
        <v>0</v>
      </c>
      <c r="S224" s="99">
        <f>SUMIF(Import!$B:$B,'Other Fund Line-Item Details'!$A224,Import!M:M)</f>
        <v>0</v>
      </c>
      <c r="T224" s="99">
        <f>SUMIF(Import!$B:$B,'Other Fund Line-Item Details'!$A224,Import!N:N)</f>
        <v>0</v>
      </c>
      <c r="U224" s="99">
        <f t="shared" si="193"/>
        <v>0</v>
      </c>
      <c r="V224" s="255" t="str">
        <f t="shared" si="194"/>
        <v>N/A</v>
      </c>
      <c r="W224" s="102" t="s">
        <v>1905</v>
      </c>
      <c r="X224" s="121"/>
      <c r="Y224" s="121"/>
      <c r="Z224" s="121"/>
      <c r="AA224" s="121"/>
      <c r="AB224" s="121"/>
      <c r="AC224" s="121"/>
      <c r="AD224" s="121"/>
      <c r="AE224" s="121"/>
      <c r="AF224" s="121"/>
      <c r="AG224" s="121"/>
      <c r="AH224" s="121"/>
      <c r="AI224" s="121"/>
    </row>
    <row r="225" spans="1:35" s="115" customFormat="1" ht="15" customHeight="1">
      <c r="A225" s="555" t="s">
        <v>1906</v>
      </c>
      <c r="B225" s="217" t="str">
        <f t="shared" si="174"/>
        <v>112</v>
      </c>
      <c r="C225" s="217" t="str">
        <f t="shared" si="175"/>
        <v>64</v>
      </c>
      <c r="D225" s="101" t="str">
        <f t="shared" si="176"/>
        <v>643</v>
      </c>
      <c r="E225" s="217" t="str">
        <f t="shared" si="177"/>
        <v>112-64-643</v>
      </c>
      <c r="F225" s="294" t="str">
        <f t="shared" si="178"/>
        <v>53522</v>
      </c>
      <c r="G225" s="295" t="str">
        <f>VLOOKUP(F225,'GL Category'!A:C,3,FALSE)</f>
        <v>Services &amp; other</v>
      </c>
      <c r="H225" s="98" t="str">
        <f>VLOOKUP(F225,'GL Category'!A:C,2,FALSE)</f>
        <v>ADVERTISING &amp; RECORDING</v>
      </c>
      <c r="I225" s="99">
        <f>SUMIF(Import!$B:$B,'Other Fund Line-Item Details'!$A225,Import!D:D)</f>
        <v>0</v>
      </c>
      <c r="J225" s="99">
        <f>SUMIF(Import!$B:$B,'Other Fund Line-Item Details'!$A225,Import!E:E)</f>
        <v>0</v>
      </c>
      <c r="K225" s="99">
        <f>SUMIF(Import!$B:$B,'Other Fund Line-Item Details'!$A225,Import!F:F)</f>
        <v>0</v>
      </c>
      <c r="L225" s="99">
        <f>SUMIF(Import!$B:$B,'Other Fund Line-Item Details'!$A225,Import!G:G)</f>
        <v>0</v>
      </c>
      <c r="M225" s="99">
        <f>SUMIF(Import!$B:$B,'Other Fund Line-Item Details'!$A225,Import!H:H)</f>
        <v>0</v>
      </c>
      <c r="N225" s="99">
        <f>SUMIF(Import!$B:$B,'Other Fund Line-Item Details'!$A225,Import!I:I)</f>
        <v>0</v>
      </c>
      <c r="O225" s="99">
        <f>SUMIF(Import!$B:$B,'Other Fund Line-Item Details'!$A225,Import!J:J)</f>
        <v>0</v>
      </c>
      <c r="P225" s="99">
        <f t="shared" si="192"/>
        <v>0</v>
      </c>
      <c r="Q225" s="99">
        <f>SUMIF(Import!$B:$B,'Other Fund Line-Item Details'!$A225,Import!K:K)</f>
        <v>0</v>
      </c>
      <c r="R225" s="99">
        <f>SUMIF(Import!$B:$B,'Other Fund Line-Item Details'!$A225,Import!L:L)</f>
        <v>0</v>
      </c>
      <c r="S225" s="99">
        <f>SUMIF(Import!$B:$B,'Other Fund Line-Item Details'!$A225,Import!M:M)</f>
        <v>0</v>
      </c>
      <c r="T225" s="99">
        <f>SUMIF(Import!$B:$B,'Other Fund Line-Item Details'!$A225,Import!N:N)</f>
        <v>0</v>
      </c>
      <c r="U225" s="99">
        <f t="shared" si="193"/>
        <v>0</v>
      </c>
      <c r="V225" s="255" t="str">
        <f t="shared" si="194"/>
        <v>N/A</v>
      </c>
      <c r="W225" s="102" t="s">
        <v>1906</v>
      </c>
      <c r="X225" s="121"/>
      <c r="Y225" s="121"/>
      <c r="Z225" s="121"/>
      <c r="AA225" s="121"/>
      <c r="AB225" s="121"/>
      <c r="AC225" s="121"/>
      <c r="AD225" s="121"/>
      <c r="AE225" s="121"/>
      <c r="AF225" s="121"/>
      <c r="AG225" s="121"/>
      <c r="AH225" s="121"/>
      <c r="AI225" s="121"/>
    </row>
    <row r="226" spans="1:35" s="115" customFormat="1" ht="15" customHeight="1">
      <c r="A226" s="555" t="s">
        <v>1907</v>
      </c>
      <c r="B226" s="217" t="str">
        <f t="shared" si="174"/>
        <v>112</v>
      </c>
      <c r="C226" s="217" t="str">
        <f t="shared" si="175"/>
        <v>64</v>
      </c>
      <c r="D226" s="101" t="str">
        <f t="shared" si="176"/>
        <v>643</v>
      </c>
      <c r="E226" s="217" t="str">
        <f t="shared" si="177"/>
        <v>112-64-643</v>
      </c>
      <c r="F226" s="294" t="str">
        <f t="shared" si="178"/>
        <v>53540</v>
      </c>
      <c r="G226" s="295" t="str">
        <f>VLOOKUP(F226,'GL Category'!A:C,3,FALSE)</f>
        <v>Services &amp; other</v>
      </c>
      <c r="H226" s="98" t="str">
        <f>VLOOKUP(F226,'GL Category'!A:C,2,FALSE)</f>
        <v>PRINTING &amp; BINDING SERVICES</v>
      </c>
      <c r="I226" s="99">
        <f>SUMIF(Import!$B:$B,'Other Fund Line-Item Details'!$A226,Import!D:D)</f>
        <v>0</v>
      </c>
      <c r="J226" s="99">
        <f>SUMIF(Import!$B:$B,'Other Fund Line-Item Details'!$A226,Import!E:E)</f>
        <v>0</v>
      </c>
      <c r="K226" s="99">
        <f>SUMIF(Import!$B:$B,'Other Fund Line-Item Details'!$A226,Import!F:F)</f>
        <v>0</v>
      </c>
      <c r="L226" s="99">
        <f>SUMIF(Import!$B:$B,'Other Fund Line-Item Details'!$A226,Import!G:G)</f>
        <v>0</v>
      </c>
      <c r="M226" s="99">
        <f>SUMIF(Import!$B:$B,'Other Fund Line-Item Details'!$A226,Import!H:H)</f>
        <v>0</v>
      </c>
      <c r="N226" s="99">
        <f>SUMIF(Import!$B:$B,'Other Fund Line-Item Details'!$A226,Import!I:I)</f>
        <v>0</v>
      </c>
      <c r="O226" s="99">
        <f>SUMIF(Import!$B:$B,'Other Fund Line-Item Details'!$A226,Import!J:J)</f>
        <v>0</v>
      </c>
      <c r="P226" s="99">
        <f t="shared" si="192"/>
        <v>0</v>
      </c>
      <c r="Q226" s="99">
        <f>SUMIF(Import!$B:$B,'Other Fund Line-Item Details'!$A226,Import!K:K)</f>
        <v>0</v>
      </c>
      <c r="R226" s="99">
        <f>SUMIF(Import!$B:$B,'Other Fund Line-Item Details'!$A226,Import!L:L)</f>
        <v>0</v>
      </c>
      <c r="S226" s="99">
        <f>SUMIF(Import!$B:$B,'Other Fund Line-Item Details'!$A226,Import!M:M)</f>
        <v>0</v>
      </c>
      <c r="T226" s="99">
        <f>SUMIF(Import!$B:$B,'Other Fund Line-Item Details'!$A226,Import!N:N)</f>
        <v>0</v>
      </c>
      <c r="U226" s="99">
        <f t="shared" si="193"/>
        <v>0</v>
      </c>
      <c r="V226" s="255" t="str">
        <f t="shared" si="194"/>
        <v>N/A</v>
      </c>
      <c r="W226" s="102" t="s">
        <v>1907</v>
      </c>
      <c r="X226" s="121"/>
      <c r="Y226" s="121"/>
      <c r="Z226" s="121"/>
      <c r="AA226" s="121"/>
      <c r="AB226" s="121"/>
      <c r="AC226" s="121"/>
      <c r="AD226" s="121"/>
      <c r="AE226" s="121"/>
      <c r="AF226" s="121"/>
      <c r="AG226" s="121"/>
      <c r="AH226" s="121"/>
      <c r="AI226" s="121"/>
    </row>
    <row r="227" spans="1:35" s="115" customFormat="1" ht="15" customHeight="1">
      <c r="A227" s="555"/>
      <c r="B227" s="217"/>
      <c r="C227" s="217"/>
      <c r="D227" s="101"/>
      <c r="E227" s="217"/>
      <c r="F227" s="294"/>
      <c r="G227" s="146"/>
      <c r="H227" s="107" t="str">
        <f>"PROGRAM TOTAL"</f>
        <v>PROGRAM TOTAL</v>
      </c>
      <c r="I227" s="108">
        <f t="shared" ref="I227" si="195">SUBTOTAL(9,I211:I226)</f>
        <v>61010.48</v>
      </c>
      <c r="J227" s="108">
        <f t="shared" ref="J227:T227" si="196">SUBTOTAL(9,J211:J226)</f>
        <v>68333.73</v>
      </c>
      <c r="K227" s="108">
        <f t="shared" ref="K227" si="197">SUBTOTAL(9,K211:K226)</f>
        <v>120182.36</v>
      </c>
      <c r="L227" s="108">
        <f t="shared" ref="L227" si="198">SUBTOTAL(9,L211:L226)</f>
        <v>170909.09</v>
      </c>
      <c r="M227" s="108">
        <f t="shared" si="196"/>
        <v>208000</v>
      </c>
      <c r="N227" s="109">
        <f t="shared" si="196"/>
        <v>154824.42000000001</v>
      </c>
      <c r="O227" s="109">
        <f t="shared" si="196"/>
        <v>200000</v>
      </c>
      <c r="P227" s="109">
        <f t="shared" si="196"/>
        <v>-8000</v>
      </c>
      <c r="Q227" s="109">
        <f t="shared" si="196"/>
        <v>208000</v>
      </c>
      <c r="R227" s="109">
        <f t="shared" si="196"/>
        <v>0</v>
      </c>
      <c r="S227" s="109">
        <f t="shared" si="196"/>
        <v>0</v>
      </c>
      <c r="T227" s="109">
        <f t="shared" si="196"/>
        <v>208000</v>
      </c>
      <c r="U227" s="99">
        <f t="shared" si="193"/>
        <v>0</v>
      </c>
      <c r="V227" s="255">
        <f t="shared" si="194"/>
        <v>0</v>
      </c>
      <c r="W227" s="102"/>
      <c r="X227" s="121"/>
      <c r="Y227" s="121"/>
      <c r="Z227" s="121"/>
      <c r="AA227" s="121"/>
      <c r="AB227" s="121"/>
      <c r="AC227" s="121"/>
      <c r="AD227" s="121"/>
      <c r="AE227" s="121"/>
      <c r="AF227" s="121"/>
      <c r="AG227" s="121"/>
      <c r="AH227" s="121"/>
      <c r="AI227" s="121"/>
    </row>
    <row r="228" spans="1:35" s="115" customFormat="1" ht="15" customHeight="1">
      <c r="A228" s="555"/>
      <c r="B228" s="217"/>
      <c r="C228" s="217"/>
      <c r="D228" s="101"/>
      <c r="E228" s="217"/>
      <c r="F228" s="294"/>
      <c r="G228" s="146"/>
      <c r="H228" s="232"/>
      <c r="I228" s="233"/>
      <c r="J228" s="233"/>
      <c r="K228" s="233"/>
      <c r="L228" s="233"/>
      <c r="M228" s="233"/>
      <c r="N228" s="202"/>
      <c r="O228" s="202"/>
      <c r="P228" s="202"/>
      <c r="Q228" s="202"/>
      <c r="R228" s="202"/>
      <c r="S228" s="202"/>
      <c r="T228" s="202"/>
      <c r="U228" s="105"/>
      <c r="V228" s="262"/>
      <c r="W228" s="102"/>
      <c r="X228" s="121"/>
      <c r="Y228" s="121"/>
      <c r="Z228" s="121"/>
      <c r="AA228" s="121"/>
      <c r="AB228" s="121"/>
      <c r="AC228" s="121"/>
      <c r="AD228" s="121"/>
      <c r="AE228" s="121"/>
      <c r="AF228" s="121"/>
      <c r="AG228" s="121"/>
      <c r="AH228" s="121"/>
      <c r="AI228" s="121"/>
    </row>
    <row r="229" spans="1:35" s="115" customFormat="1" ht="15" customHeight="1">
      <c r="A229" s="555" t="s">
        <v>1909</v>
      </c>
      <c r="B229" s="217" t="str">
        <f t="shared" ref="B229:B283" si="199">LEFT(A229,3)</f>
        <v>112</v>
      </c>
      <c r="C229" s="217" t="str">
        <f t="shared" ref="C229:C283" si="200">MID(A229,5,2)</f>
        <v>64</v>
      </c>
      <c r="D229" s="101" t="str">
        <f t="shared" ref="D229:D283" si="201">MID(A229,8,3)</f>
        <v>642</v>
      </c>
      <c r="E229" s="217" t="str">
        <f t="shared" ref="E229:E266" si="202">LEFT(A229,10)</f>
        <v>112-64-642</v>
      </c>
      <c r="F229" s="294" t="str">
        <f t="shared" ref="F229:F283" si="203">RIGHT(A229,5)</f>
        <v>53599</v>
      </c>
      <c r="G229" s="295" t="str">
        <f>VLOOKUP(F229,'GL Category'!A:C,3,FALSE)</f>
        <v>Services &amp; other</v>
      </c>
      <c r="H229" s="98" t="str">
        <f>VLOOKUP(F229,'GL Category'!A:C,2,FALSE)</f>
        <v>MISCELLANEOUS SERVICES</v>
      </c>
      <c r="I229" s="99">
        <f>SUMIF(Import!$B:$B,'Other Fund Line-Item Details'!$A229,Import!D:D)</f>
        <v>2287.5</v>
      </c>
      <c r="J229" s="99">
        <f>SUMIF(Import!$B:$B,'Other Fund Line-Item Details'!$A229,Import!E:E)</f>
        <v>0</v>
      </c>
      <c r="K229" s="99">
        <f>SUMIF(Import!$B:$B,'Other Fund Line-Item Details'!$A229,Import!F:F)</f>
        <v>0</v>
      </c>
      <c r="L229" s="99">
        <f>SUMIF(Import!$B:$B,'Other Fund Line-Item Details'!$A229,Import!G:G)</f>
        <v>0</v>
      </c>
      <c r="M229" s="99">
        <f>SUMIF(Import!$B:$B,'Other Fund Line-Item Details'!$A229,Import!H:H)</f>
        <v>0</v>
      </c>
      <c r="N229" s="99">
        <f>SUMIF(Import!$B:$B,'Other Fund Line-Item Details'!$A229,Import!I:I)</f>
        <v>0</v>
      </c>
      <c r="O229" s="99">
        <f>SUMIF(Import!$B:$B,'Other Fund Line-Item Details'!$A229,Import!J:J)</f>
        <v>0</v>
      </c>
      <c r="P229" s="99">
        <f t="shared" ref="P229:P234" si="204">O229-M229</f>
        <v>0</v>
      </c>
      <c r="Q229" s="99">
        <f>SUMIF(Import!$B:$B,'Other Fund Line-Item Details'!$A229,Import!K:K)</f>
        <v>0</v>
      </c>
      <c r="R229" s="99">
        <f>SUMIF(Import!$B:$B,'Other Fund Line-Item Details'!$A229,Import!L:L)</f>
        <v>0</v>
      </c>
      <c r="S229" s="99">
        <f>SUMIF(Import!$B:$B,'Other Fund Line-Item Details'!$A229,Import!M:M)</f>
        <v>0</v>
      </c>
      <c r="T229" s="99">
        <f>SUMIF(Import!$B:$B,'Other Fund Line-Item Details'!$A229,Import!N:N)</f>
        <v>0</v>
      </c>
      <c r="U229" s="99">
        <f t="shared" ref="U229:U235" si="205">T229-M229</f>
        <v>0</v>
      </c>
      <c r="V229" s="255" t="str">
        <f t="shared" ref="V229:V235" si="206">IF(M229=0,"N/A",T229/M229-1)</f>
        <v>N/A</v>
      </c>
      <c r="W229" s="102" t="s">
        <v>1909</v>
      </c>
      <c r="X229" s="121"/>
      <c r="Y229" s="121"/>
      <c r="Z229" s="121"/>
      <c r="AA229" s="121"/>
      <c r="AB229" s="121"/>
      <c r="AC229" s="121"/>
      <c r="AD229" s="121"/>
      <c r="AE229" s="121"/>
      <c r="AF229" s="121"/>
      <c r="AG229" s="121"/>
      <c r="AH229" s="121"/>
      <c r="AI229" s="121"/>
    </row>
    <row r="230" spans="1:35" s="115" customFormat="1" ht="15" customHeight="1">
      <c r="A230" s="555" t="s">
        <v>3413</v>
      </c>
      <c r="B230" s="217" t="str">
        <f t="shared" si="199"/>
        <v>112</v>
      </c>
      <c r="C230" s="217" t="str">
        <f t="shared" si="200"/>
        <v>64</v>
      </c>
      <c r="D230" s="101" t="str">
        <f t="shared" si="201"/>
        <v>642</v>
      </c>
      <c r="E230" s="217" t="str">
        <f t="shared" si="202"/>
        <v>112-64-642</v>
      </c>
      <c r="F230" s="294" t="str">
        <f t="shared" si="203"/>
        <v>54551</v>
      </c>
      <c r="G230" s="295" t="str">
        <f>VLOOKUP(F230,'GL Category'!A:C,3,FALSE)</f>
        <v>Services &amp; other</v>
      </c>
      <c r="H230" s="98" t="str">
        <f>VLOOKUP(F230,'GL Category'!A:C,2,FALSE)</f>
        <v>REC SPECIAL EVENT EXPENSE</v>
      </c>
      <c r="I230" s="99">
        <f>SUMIF(Import!$B:$B,'Other Fund Line-Item Details'!$A230,Import!D:D)</f>
        <v>0</v>
      </c>
      <c r="J230" s="99">
        <f>SUMIF(Import!$B:$B,'Other Fund Line-Item Details'!$A230,Import!E:E)</f>
        <v>0</v>
      </c>
      <c r="K230" s="99">
        <f>SUMIF(Import!$B:$B,'Other Fund Line-Item Details'!$A230,Import!F:F)</f>
        <v>0</v>
      </c>
      <c r="L230" s="99">
        <f>SUMIF(Import!$B:$B,'Other Fund Line-Item Details'!$A230,Import!G:G)</f>
        <v>0</v>
      </c>
      <c r="M230" s="99">
        <f>SUMIF(Import!$B:$B,'Other Fund Line-Item Details'!$A230,Import!H:H)</f>
        <v>0</v>
      </c>
      <c r="N230" s="99">
        <f>SUMIF(Import!$B:$B,'Other Fund Line-Item Details'!$A230,Import!I:I)</f>
        <v>0</v>
      </c>
      <c r="O230" s="99">
        <f>SUMIF(Import!$B:$B,'Other Fund Line-Item Details'!$A230,Import!J:J)</f>
        <v>0</v>
      </c>
      <c r="P230" s="99">
        <f t="shared" si="204"/>
        <v>0</v>
      </c>
      <c r="Q230" s="99">
        <f>SUMIF(Import!$B:$B,'Other Fund Line-Item Details'!$A230,Import!K:K)</f>
        <v>0</v>
      </c>
      <c r="R230" s="99">
        <f>SUMIF(Import!$B:$B,'Other Fund Line-Item Details'!$A230,Import!L:L)</f>
        <v>0</v>
      </c>
      <c r="S230" s="99">
        <f>SUMIF(Import!$B:$B,'Other Fund Line-Item Details'!$A230,Import!M:M)</f>
        <v>0</v>
      </c>
      <c r="T230" s="99">
        <f>SUMIF(Import!$B:$B,'Other Fund Line-Item Details'!$A230,Import!N:N)</f>
        <v>0</v>
      </c>
      <c r="U230" s="99">
        <f t="shared" si="205"/>
        <v>0</v>
      </c>
      <c r="V230" s="255" t="str">
        <f t="shared" si="206"/>
        <v>N/A</v>
      </c>
      <c r="W230" s="102" t="s">
        <v>1910</v>
      </c>
      <c r="X230" s="121"/>
      <c r="Y230" s="121"/>
      <c r="Z230" s="121"/>
      <c r="AA230" s="121"/>
      <c r="AB230" s="121"/>
      <c r="AC230" s="121"/>
      <c r="AD230" s="121"/>
      <c r="AE230" s="121"/>
      <c r="AF230" s="121"/>
      <c r="AG230" s="121"/>
      <c r="AH230" s="121"/>
      <c r="AI230" s="121"/>
    </row>
    <row r="231" spans="1:35" s="115" customFormat="1" ht="15" customHeight="1">
      <c r="A231" s="555" t="s">
        <v>1911</v>
      </c>
      <c r="B231" s="217" t="str">
        <f t="shared" si="199"/>
        <v>112</v>
      </c>
      <c r="C231" s="217" t="str">
        <f t="shared" si="200"/>
        <v>64</v>
      </c>
      <c r="D231" s="101" t="str">
        <f t="shared" si="201"/>
        <v>642</v>
      </c>
      <c r="E231" s="217" t="str">
        <f t="shared" si="202"/>
        <v>112-64-642</v>
      </c>
      <c r="F231" s="294" t="str">
        <f t="shared" si="203"/>
        <v>54555</v>
      </c>
      <c r="G231" s="295" t="str">
        <f>VLOOKUP(F231,'GL Category'!A:C,3,FALSE)</f>
        <v>Services &amp; other</v>
      </c>
      <c r="H231" s="98" t="str">
        <f>VLOOKUP(F231,'GL Category'!A:C,2,FALSE)</f>
        <v>EXPENDITURES-VETERANS MEMORIAL</v>
      </c>
      <c r="I231" s="99">
        <f>SUMIF(Import!$B:$B,'Other Fund Line-Item Details'!$A231,Import!D:D)</f>
        <v>393.55</v>
      </c>
      <c r="J231" s="99">
        <f>SUMIF(Import!$B:$B,'Other Fund Line-Item Details'!$A231,Import!E:E)</f>
        <v>765.62</v>
      </c>
      <c r="K231" s="99">
        <f>SUMIF(Import!$B:$B,'Other Fund Line-Item Details'!$A231,Import!F:F)</f>
        <v>496.62</v>
      </c>
      <c r="L231" s="99">
        <f>SUMIF(Import!$B:$B,'Other Fund Line-Item Details'!$A231,Import!G:G)</f>
        <v>521.07000000000005</v>
      </c>
      <c r="M231" s="99">
        <f>SUMIF(Import!$B:$B,'Other Fund Line-Item Details'!$A231,Import!H:H)</f>
        <v>0</v>
      </c>
      <c r="N231" s="99">
        <f>SUMIF(Import!$B:$B,'Other Fund Line-Item Details'!$A231,Import!I:I)</f>
        <v>818</v>
      </c>
      <c r="O231" s="99">
        <f>SUMIF(Import!$B:$B,'Other Fund Line-Item Details'!$A231,Import!J:J)</f>
        <v>0</v>
      </c>
      <c r="P231" s="99">
        <f t="shared" si="204"/>
        <v>0</v>
      </c>
      <c r="Q231" s="99">
        <f>SUMIF(Import!$B:$B,'Other Fund Line-Item Details'!$A231,Import!K:K)</f>
        <v>1000</v>
      </c>
      <c r="R231" s="99">
        <f>SUMIF(Import!$B:$B,'Other Fund Line-Item Details'!$A231,Import!L:L)</f>
        <v>0</v>
      </c>
      <c r="S231" s="99">
        <f>SUMIF(Import!$B:$B,'Other Fund Line-Item Details'!$A231,Import!M:M)</f>
        <v>0</v>
      </c>
      <c r="T231" s="99">
        <f>SUMIF(Import!$B:$B,'Other Fund Line-Item Details'!$A231,Import!N:N)</f>
        <v>1000</v>
      </c>
      <c r="U231" s="99">
        <f t="shared" si="205"/>
        <v>1000</v>
      </c>
      <c r="V231" s="255" t="str">
        <f t="shared" si="206"/>
        <v>N/A</v>
      </c>
      <c r="W231" s="102" t="s">
        <v>1911</v>
      </c>
      <c r="X231" s="121"/>
      <c r="Y231" s="121"/>
      <c r="Z231" s="121"/>
      <c r="AA231" s="121"/>
      <c r="AB231" s="121"/>
      <c r="AC231" s="121"/>
      <c r="AD231" s="121"/>
      <c r="AE231" s="121"/>
      <c r="AF231" s="121"/>
      <c r="AG231" s="121"/>
      <c r="AH231" s="121"/>
      <c r="AI231" s="121"/>
    </row>
    <row r="232" spans="1:35" s="115" customFormat="1" ht="15" customHeight="1">
      <c r="A232" s="555" t="s">
        <v>1912</v>
      </c>
      <c r="B232" s="217" t="str">
        <f t="shared" si="199"/>
        <v>112</v>
      </c>
      <c r="C232" s="217" t="str">
        <f t="shared" si="200"/>
        <v>64</v>
      </c>
      <c r="D232" s="101" t="str">
        <f t="shared" si="201"/>
        <v>642</v>
      </c>
      <c r="E232" s="217" t="str">
        <f t="shared" si="202"/>
        <v>112-64-642</v>
      </c>
      <c r="F232" s="294" t="str">
        <f t="shared" si="203"/>
        <v>54556</v>
      </c>
      <c r="G232" s="295" t="str">
        <f>VLOOKUP(F232,'GL Category'!A:C,3,FALSE)</f>
        <v>Services &amp; other</v>
      </c>
      <c r="H232" s="98" t="str">
        <f>VLOOKUP(F232,'GL Category'!A:C,2,FALSE)</f>
        <v>EXPENDITURES-PARKS DONATIONS</v>
      </c>
      <c r="I232" s="99">
        <f>SUMIF(Import!$B:$B,'Other Fund Line-Item Details'!$A232,Import!D:D)</f>
        <v>0</v>
      </c>
      <c r="J232" s="99">
        <f>SUMIF(Import!$B:$B,'Other Fund Line-Item Details'!$A232,Import!E:E)</f>
        <v>0</v>
      </c>
      <c r="K232" s="99">
        <f>SUMIF(Import!$B:$B,'Other Fund Line-Item Details'!$A232,Import!F:F)</f>
        <v>0</v>
      </c>
      <c r="L232" s="99">
        <f>SUMIF(Import!$B:$B,'Other Fund Line-Item Details'!$A232,Import!G:G)</f>
        <v>3141.75</v>
      </c>
      <c r="M232" s="99">
        <f>SUMIF(Import!$B:$B,'Other Fund Line-Item Details'!$A232,Import!H:H)</f>
        <v>0</v>
      </c>
      <c r="N232" s="99">
        <f>SUMIF(Import!$B:$B,'Other Fund Line-Item Details'!$A232,Import!I:I)</f>
        <v>-1390</v>
      </c>
      <c r="O232" s="99">
        <f>SUMIF(Import!$B:$B,'Other Fund Line-Item Details'!$A232,Import!J:J)</f>
        <v>0</v>
      </c>
      <c r="P232" s="99">
        <f t="shared" si="204"/>
        <v>0</v>
      </c>
      <c r="Q232" s="99">
        <f>SUMIF(Import!$B:$B,'Other Fund Line-Item Details'!$A232,Import!K:K)</f>
        <v>0</v>
      </c>
      <c r="R232" s="99">
        <f>SUMIF(Import!$B:$B,'Other Fund Line-Item Details'!$A232,Import!L:L)</f>
        <v>0</v>
      </c>
      <c r="S232" s="99">
        <f>SUMIF(Import!$B:$B,'Other Fund Line-Item Details'!$A232,Import!M:M)</f>
        <v>0</v>
      </c>
      <c r="T232" s="99">
        <f>SUMIF(Import!$B:$B,'Other Fund Line-Item Details'!$A232,Import!N:N)</f>
        <v>0</v>
      </c>
      <c r="U232" s="99">
        <f t="shared" si="205"/>
        <v>0</v>
      </c>
      <c r="V232" s="255" t="str">
        <f t="shared" si="206"/>
        <v>N/A</v>
      </c>
      <c r="W232" s="102" t="s">
        <v>1912</v>
      </c>
      <c r="X232" s="121"/>
      <c r="Y232" s="121"/>
      <c r="Z232" s="121"/>
      <c r="AA232" s="121"/>
      <c r="AB232" s="121"/>
      <c r="AC232" s="121"/>
      <c r="AD232" s="121"/>
      <c r="AE232" s="121"/>
      <c r="AF232" s="121"/>
      <c r="AG232" s="121"/>
      <c r="AH232" s="121"/>
      <c r="AI232" s="121"/>
    </row>
    <row r="233" spans="1:35" s="115" customFormat="1" ht="15" customHeight="1">
      <c r="A233" s="555" t="s">
        <v>1913</v>
      </c>
      <c r="B233" s="217" t="str">
        <f t="shared" si="199"/>
        <v>112</v>
      </c>
      <c r="C233" s="217" t="str">
        <f t="shared" si="200"/>
        <v>19</v>
      </c>
      <c r="D233" s="101" t="str">
        <f t="shared" si="201"/>
        <v>198</v>
      </c>
      <c r="E233" s="217" t="str">
        <f t="shared" si="202"/>
        <v>112-19-198</v>
      </c>
      <c r="F233" s="294" t="str">
        <f t="shared" si="203"/>
        <v>58852</v>
      </c>
      <c r="G233" s="295" t="e">
        <f>VLOOKUP(F233,'GL Category'!A:C,3,FALSE)</f>
        <v>#N/A</v>
      </c>
      <c r="H233" s="98" t="e">
        <f>VLOOKUP(F233,'GL Category'!A:C,2,FALSE)</f>
        <v>#N/A</v>
      </c>
      <c r="I233" s="99">
        <f>SUMIF(Import!$B:$B,'Other Fund Line-Item Details'!$A233,Import!D:D)</f>
        <v>0</v>
      </c>
      <c r="J233" s="99">
        <f>SUMIF(Import!$B:$B,'Other Fund Line-Item Details'!$A233,Import!E:E)</f>
        <v>0</v>
      </c>
      <c r="K233" s="99">
        <f>SUMIF(Import!$B:$B,'Other Fund Line-Item Details'!$A233,Import!F:F)</f>
        <v>0</v>
      </c>
      <c r="L233" s="99">
        <f>SUMIF(Import!$B:$B,'Other Fund Line-Item Details'!$A233,Import!G:G)</f>
        <v>0</v>
      </c>
      <c r="M233" s="99">
        <f>SUMIF(Import!$B:$B,'Other Fund Line-Item Details'!$A233,Import!H:H)</f>
        <v>0</v>
      </c>
      <c r="N233" s="99">
        <f>SUMIF(Import!$B:$B,'Other Fund Line-Item Details'!$A233,Import!I:I)</f>
        <v>0</v>
      </c>
      <c r="O233" s="99">
        <f>SUMIF(Import!$B:$B,'Other Fund Line-Item Details'!$A233,Import!J:J)</f>
        <v>0</v>
      </c>
      <c r="P233" s="99">
        <f t="shared" si="204"/>
        <v>0</v>
      </c>
      <c r="Q233" s="99">
        <f>SUMIF(Import!$B:$B,'Other Fund Line-Item Details'!$A233,Import!K:K)</f>
        <v>0</v>
      </c>
      <c r="R233" s="99">
        <f>SUMIF(Import!$B:$B,'Other Fund Line-Item Details'!$A233,Import!L:L)</f>
        <v>0</v>
      </c>
      <c r="S233" s="99">
        <f>SUMIF(Import!$B:$B,'Other Fund Line-Item Details'!$A233,Import!M:M)</f>
        <v>0</v>
      </c>
      <c r="T233" s="99">
        <f>SUMIF(Import!$B:$B,'Other Fund Line-Item Details'!$A233,Import!N:N)</f>
        <v>0</v>
      </c>
      <c r="U233" s="99">
        <f t="shared" si="205"/>
        <v>0</v>
      </c>
      <c r="V233" s="255" t="str">
        <f t="shared" si="206"/>
        <v>N/A</v>
      </c>
      <c r="W233" s="102" t="s">
        <v>1913</v>
      </c>
      <c r="X233" s="121"/>
      <c r="Y233" s="121"/>
      <c r="Z233" s="121"/>
      <c r="AA233" s="121"/>
      <c r="AB233" s="121"/>
      <c r="AC233" s="121"/>
      <c r="AD233" s="121"/>
      <c r="AE233" s="121"/>
      <c r="AF233" s="121"/>
      <c r="AG233" s="121"/>
      <c r="AH233" s="121"/>
      <c r="AI233" s="121"/>
    </row>
    <row r="234" spans="1:35" s="115" customFormat="1" ht="15" customHeight="1">
      <c r="A234" s="555" t="s">
        <v>1914</v>
      </c>
      <c r="B234" s="217" t="str">
        <f t="shared" si="199"/>
        <v>112</v>
      </c>
      <c r="C234" s="217" t="str">
        <f t="shared" si="200"/>
        <v>64</v>
      </c>
      <c r="D234" s="101" t="str">
        <f t="shared" si="201"/>
        <v>646</v>
      </c>
      <c r="E234" s="217" t="str">
        <f t="shared" si="202"/>
        <v>112-64-646</v>
      </c>
      <c r="F234" s="294" t="str">
        <f t="shared" si="203"/>
        <v>51221</v>
      </c>
      <c r="G234" s="295" t="str">
        <f>VLOOKUP(F234,'GL Category'!A:C,3,FALSE)</f>
        <v>Operations &amp; maintenance</v>
      </c>
      <c r="H234" s="98" t="str">
        <f>VLOOKUP(F234,'GL Category'!A:C,2,FALSE)</f>
        <v>BOTANICAL/AGRICULTURAL SUPPLY</v>
      </c>
      <c r="I234" s="99">
        <f>SUMIF(Import!$B:$B,'Other Fund Line-Item Details'!$A234,Import!D:D)</f>
        <v>0</v>
      </c>
      <c r="J234" s="99">
        <f>SUMIF(Import!$B:$B,'Other Fund Line-Item Details'!$A234,Import!E:E)</f>
        <v>0</v>
      </c>
      <c r="K234" s="99">
        <f>SUMIF(Import!$B:$B,'Other Fund Line-Item Details'!$A234,Import!F:F)</f>
        <v>0</v>
      </c>
      <c r="L234" s="99">
        <f>SUMIF(Import!$B:$B,'Other Fund Line-Item Details'!$A234,Import!G:G)</f>
        <v>0</v>
      </c>
      <c r="M234" s="99">
        <f>SUMIF(Import!$B:$B,'Other Fund Line-Item Details'!$A234,Import!H:H)</f>
        <v>0</v>
      </c>
      <c r="N234" s="99">
        <f>SUMIF(Import!$B:$B,'Other Fund Line-Item Details'!$A234,Import!I:I)</f>
        <v>0</v>
      </c>
      <c r="O234" s="99">
        <f>SUMIF(Import!$B:$B,'Other Fund Line-Item Details'!$A234,Import!J:J)</f>
        <v>0</v>
      </c>
      <c r="P234" s="99">
        <f t="shared" si="204"/>
        <v>0</v>
      </c>
      <c r="Q234" s="99">
        <f>SUMIF(Import!$B:$B,'Other Fund Line-Item Details'!$A234,Import!K:K)</f>
        <v>0</v>
      </c>
      <c r="R234" s="99">
        <f>SUMIF(Import!$B:$B,'Other Fund Line-Item Details'!$A234,Import!L:L)</f>
        <v>0</v>
      </c>
      <c r="S234" s="99">
        <f>SUMIF(Import!$B:$B,'Other Fund Line-Item Details'!$A234,Import!M:M)</f>
        <v>0</v>
      </c>
      <c r="T234" s="99">
        <f>SUMIF(Import!$B:$B,'Other Fund Line-Item Details'!$A234,Import!N:N)</f>
        <v>0</v>
      </c>
      <c r="U234" s="99">
        <f t="shared" si="205"/>
        <v>0</v>
      </c>
      <c r="V234" s="255" t="str">
        <f t="shared" si="206"/>
        <v>N/A</v>
      </c>
      <c r="W234" s="102" t="s">
        <v>1914</v>
      </c>
      <c r="X234" s="121"/>
      <c r="Y234" s="121"/>
      <c r="Z234" s="121"/>
      <c r="AA234" s="121"/>
      <c r="AB234" s="121"/>
      <c r="AC234" s="121"/>
      <c r="AD234" s="121"/>
      <c r="AE234" s="121"/>
      <c r="AF234" s="121"/>
      <c r="AG234" s="121"/>
      <c r="AH234" s="121"/>
      <c r="AI234" s="121"/>
    </row>
    <row r="235" spans="1:35" s="115" customFormat="1" ht="15" customHeight="1">
      <c r="A235" s="555"/>
      <c r="B235" s="217"/>
      <c r="C235" s="217"/>
      <c r="D235" s="101"/>
      <c r="E235" s="217"/>
      <c r="F235" s="294"/>
      <c r="G235" s="146"/>
      <c r="H235" s="107" t="str">
        <f>"PROGRAM TOTAL"</f>
        <v>PROGRAM TOTAL</v>
      </c>
      <c r="I235" s="108">
        <f t="shared" ref="I235" si="207">SUBTOTAL(9,I229:I234)</f>
        <v>2681.05</v>
      </c>
      <c r="J235" s="108">
        <f t="shared" ref="J235:T235" si="208">SUBTOTAL(9,J229:J234)</f>
        <v>765.62</v>
      </c>
      <c r="K235" s="108">
        <f t="shared" ref="K235" si="209">SUBTOTAL(9,K229:K234)</f>
        <v>496.62</v>
      </c>
      <c r="L235" s="108">
        <f t="shared" ref="L235" si="210">SUBTOTAL(9,L229:L234)</f>
        <v>3662.82</v>
      </c>
      <c r="M235" s="108">
        <f t="shared" si="208"/>
        <v>0</v>
      </c>
      <c r="N235" s="109">
        <f t="shared" ref="N235" si="211">SUBTOTAL(9,N229:N234)</f>
        <v>-572</v>
      </c>
      <c r="O235" s="109">
        <f t="shared" si="208"/>
        <v>0</v>
      </c>
      <c r="P235" s="109">
        <f t="shared" si="208"/>
        <v>0</v>
      </c>
      <c r="Q235" s="109">
        <f t="shared" si="208"/>
        <v>1000</v>
      </c>
      <c r="R235" s="109">
        <f t="shared" si="208"/>
        <v>0</v>
      </c>
      <c r="S235" s="109">
        <f t="shared" si="208"/>
        <v>0</v>
      </c>
      <c r="T235" s="109">
        <f t="shared" si="208"/>
        <v>1000</v>
      </c>
      <c r="U235" s="99">
        <f t="shared" si="205"/>
        <v>1000</v>
      </c>
      <c r="V235" s="255" t="str">
        <f t="shared" si="206"/>
        <v>N/A</v>
      </c>
      <c r="W235" s="102"/>
      <c r="X235" s="121"/>
      <c r="Y235" s="121"/>
      <c r="Z235" s="121"/>
      <c r="AA235" s="121"/>
      <c r="AB235" s="121"/>
      <c r="AC235" s="121"/>
      <c r="AD235" s="121"/>
      <c r="AE235" s="121"/>
      <c r="AF235" s="121"/>
      <c r="AG235" s="121"/>
      <c r="AH235" s="121"/>
      <c r="AI235" s="121"/>
    </row>
    <row r="236" spans="1:35" s="115" customFormat="1" ht="15" customHeight="1">
      <c r="A236" s="555"/>
      <c r="B236" s="217"/>
      <c r="C236" s="217"/>
      <c r="D236" s="101"/>
      <c r="E236" s="217"/>
      <c r="F236" s="294"/>
      <c r="G236" s="146"/>
      <c r="H236" s="232"/>
      <c r="I236" s="233"/>
      <c r="J236" s="233"/>
      <c r="K236" s="233"/>
      <c r="L236" s="233"/>
      <c r="M236" s="233"/>
      <c r="N236" s="202"/>
      <c r="O236" s="202"/>
      <c r="P236" s="202"/>
      <c r="Q236" s="202"/>
      <c r="R236" s="202"/>
      <c r="S236" s="202"/>
      <c r="T236" s="202"/>
      <c r="U236" s="105"/>
      <c r="V236" s="262"/>
      <c r="W236" s="102"/>
      <c r="X236" s="121"/>
      <c r="Y236" s="121"/>
      <c r="Z236" s="121"/>
      <c r="AA236" s="121"/>
      <c r="AB236" s="121"/>
      <c r="AC236" s="121"/>
      <c r="AD236" s="121"/>
      <c r="AE236" s="121"/>
      <c r="AF236" s="121"/>
      <c r="AG236" s="121"/>
      <c r="AH236" s="121"/>
      <c r="AI236" s="121"/>
    </row>
    <row r="237" spans="1:35" s="115" customFormat="1" ht="15" hidden="1" customHeight="1">
      <c r="A237" s="555" t="s">
        <v>1915</v>
      </c>
      <c r="B237" s="217" t="str">
        <f t="shared" si="199"/>
        <v>112</v>
      </c>
      <c r="C237" s="217" t="str">
        <f t="shared" si="200"/>
        <v>19</v>
      </c>
      <c r="D237" s="101" t="str">
        <f t="shared" si="201"/>
        <v>198</v>
      </c>
      <c r="E237" s="217" t="str">
        <f t="shared" si="202"/>
        <v>112-19-198</v>
      </c>
      <c r="F237" s="294" t="str">
        <f t="shared" si="203"/>
        <v>51299</v>
      </c>
      <c r="G237" s="295" t="str">
        <f>VLOOKUP(F237,'GL Category'!A:C,3,FALSE)</f>
        <v>Operations &amp; maintenance</v>
      </c>
      <c r="H237" s="98" t="str">
        <f>VLOOKUP(F237,'GL Category'!A:C,2,FALSE)</f>
        <v>MISCELLANEOUS SUPPLIES</v>
      </c>
      <c r="I237" s="99">
        <f>SUMIF(Import!$B:$B,'Other Fund Line-Item Details'!$A237,Import!D:D)</f>
        <v>0</v>
      </c>
      <c r="J237" s="99">
        <f>SUMIF(Import!$B:$B,'Other Fund Line-Item Details'!$A237,Import!E:E)</f>
        <v>0</v>
      </c>
      <c r="K237" s="99">
        <f>SUMIF(Import!$B:$B,'Other Fund Line-Item Details'!$A237,Import!F:F)</f>
        <v>0</v>
      </c>
      <c r="L237" s="99">
        <f>SUMIF(Import!$B:$B,'Other Fund Line-Item Details'!$A237,Import!G:G)</f>
        <v>0</v>
      </c>
      <c r="M237" s="99">
        <f>SUMIF(Import!$B:$B,'Other Fund Line-Item Details'!$A237,Import!H:H)</f>
        <v>0</v>
      </c>
      <c r="N237" s="99">
        <f>SUMIF(Import!$B:$B,'Other Fund Line-Item Details'!$A237,Import!I:I)</f>
        <v>0</v>
      </c>
      <c r="O237" s="99">
        <f>SUMIF(Import!$B:$B,'Other Fund Line-Item Details'!$A237,Import!J:J)</f>
        <v>0</v>
      </c>
      <c r="P237" s="99">
        <f>O237-M237</f>
        <v>0</v>
      </c>
      <c r="Q237" s="99">
        <f>SUMIF(Import!$B:$B,'Other Fund Line-Item Details'!$A237,Import!K:K)</f>
        <v>0</v>
      </c>
      <c r="R237" s="99">
        <f>SUMIF(Import!$B:$B,'Other Fund Line-Item Details'!$A237,Import!L:L)</f>
        <v>0</v>
      </c>
      <c r="S237" s="99">
        <f>SUMIF(Import!$B:$B,'Other Fund Line-Item Details'!$A237,Import!M:M)</f>
        <v>0</v>
      </c>
      <c r="T237" s="99">
        <f>SUMIF(Import!$B:$B,'Other Fund Line-Item Details'!$A237,Import!N:N)</f>
        <v>0</v>
      </c>
      <c r="U237" s="99">
        <f>T237-M237</f>
        <v>0</v>
      </c>
      <c r="V237" s="255" t="str">
        <f>IF(M237=0,"N/A",T237/M237-1)</f>
        <v>N/A</v>
      </c>
      <c r="W237" s="102" t="s">
        <v>1915</v>
      </c>
      <c r="X237" s="121"/>
      <c r="Y237" s="121"/>
      <c r="Z237" s="121"/>
      <c r="AA237" s="121"/>
      <c r="AB237" s="121"/>
      <c r="AC237" s="121"/>
      <c r="AD237" s="121"/>
      <c r="AE237" s="121"/>
      <c r="AF237" s="121"/>
      <c r="AG237" s="121"/>
      <c r="AH237" s="121"/>
      <c r="AI237" s="121"/>
    </row>
    <row r="238" spans="1:35" s="115" customFormat="1" ht="15" hidden="1" customHeight="1">
      <c r="A238" s="555"/>
      <c r="B238" s="217"/>
      <c r="C238" s="217"/>
      <c r="D238" s="101"/>
      <c r="E238" s="217"/>
      <c r="F238" s="294"/>
      <c r="G238" s="146"/>
      <c r="H238" s="107" t="str">
        <f>"PROGRAM TOTAL"</f>
        <v>PROGRAM TOTAL</v>
      </c>
      <c r="I238" s="108">
        <f t="shared" ref="I238" si="212">SUBTOTAL(9,I237:I237)</f>
        <v>0</v>
      </c>
      <c r="J238" s="108">
        <f t="shared" ref="J238:P238" si="213">SUBTOTAL(9,J237:J237)</f>
        <v>0</v>
      </c>
      <c r="K238" s="108">
        <f t="shared" ref="K238" si="214">SUBTOTAL(9,K237:K237)</f>
        <v>0</v>
      </c>
      <c r="L238" s="108">
        <f t="shared" ref="L238" si="215">SUBTOTAL(9,L237:L237)</f>
        <v>0</v>
      </c>
      <c r="M238" s="108">
        <f t="shared" si="213"/>
        <v>0</v>
      </c>
      <c r="N238" s="109">
        <f t="shared" ref="N238" si="216">SUBTOTAL(9,N237:N237)</f>
        <v>0</v>
      </c>
      <c r="O238" s="109">
        <f t="shared" si="213"/>
        <v>0</v>
      </c>
      <c r="P238" s="109">
        <f t="shared" si="213"/>
        <v>0</v>
      </c>
      <c r="Q238" s="109">
        <f t="shared" ref="Q238:T238" si="217">SUBTOTAL(9,Q237:Q237)</f>
        <v>0</v>
      </c>
      <c r="R238" s="109">
        <f t="shared" si="217"/>
        <v>0</v>
      </c>
      <c r="S238" s="109">
        <f t="shared" si="217"/>
        <v>0</v>
      </c>
      <c r="T238" s="109">
        <f t="shared" si="217"/>
        <v>0</v>
      </c>
      <c r="U238" s="99">
        <f>T238-M238</f>
        <v>0</v>
      </c>
      <c r="V238" s="255" t="str">
        <f>IF(M238=0,"N/A",T238/M238-1)</f>
        <v>N/A</v>
      </c>
      <c r="W238" s="102"/>
      <c r="X238" s="121"/>
      <c r="Y238" s="121"/>
      <c r="Z238" s="121"/>
      <c r="AA238" s="121"/>
      <c r="AB238" s="121"/>
      <c r="AC238" s="121"/>
      <c r="AD238" s="121"/>
      <c r="AE238" s="121"/>
      <c r="AF238" s="121"/>
      <c r="AG238" s="121"/>
      <c r="AH238" s="121"/>
      <c r="AI238" s="121"/>
    </row>
    <row r="239" spans="1:35" s="115" customFormat="1" ht="15" hidden="1" customHeight="1">
      <c r="A239" s="555"/>
      <c r="B239" s="217"/>
      <c r="C239" s="217"/>
      <c r="D239" s="101"/>
      <c r="E239" s="217"/>
      <c r="F239" s="294"/>
      <c r="G239" s="146"/>
      <c r="H239" s="232"/>
      <c r="I239" s="233"/>
      <c r="J239" s="233"/>
      <c r="K239" s="233"/>
      <c r="L239" s="233"/>
      <c r="M239" s="233"/>
      <c r="N239" s="202"/>
      <c r="O239" s="202"/>
      <c r="P239" s="202"/>
      <c r="Q239" s="202"/>
      <c r="R239" s="202"/>
      <c r="S239" s="202"/>
      <c r="T239" s="202"/>
      <c r="U239" s="105"/>
      <c r="V239" s="262"/>
      <c r="W239" s="102"/>
      <c r="X239" s="121"/>
      <c r="Y239" s="121"/>
      <c r="Z239" s="121"/>
      <c r="AA239" s="121"/>
      <c r="AB239" s="121"/>
      <c r="AC239" s="121"/>
      <c r="AD239" s="121"/>
      <c r="AE239" s="121"/>
      <c r="AF239" s="121"/>
      <c r="AG239" s="121"/>
      <c r="AH239" s="121"/>
      <c r="AI239" s="121"/>
    </row>
    <row r="240" spans="1:35" s="115" customFormat="1" ht="15" hidden="1" customHeight="1">
      <c r="A240" s="555" t="s">
        <v>1908</v>
      </c>
      <c r="B240" s="217" t="str">
        <f t="shared" si="199"/>
        <v>112</v>
      </c>
      <c r="C240" s="217" t="str">
        <f t="shared" si="200"/>
        <v>64</v>
      </c>
      <c r="D240" s="101" t="str">
        <f t="shared" si="201"/>
        <v>642</v>
      </c>
      <c r="E240" s="217" t="str">
        <f t="shared" si="202"/>
        <v>112-64-642</v>
      </c>
      <c r="F240" s="294" t="str">
        <f t="shared" si="203"/>
        <v>51299</v>
      </c>
      <c r="G240" s="295" t="str">
        <f>VLOOKUP(F240,'GL Category'!A:C,3,FALSE)</f>
        <v>Operations &amp; maintenance</v>
      </c>
      <c r="H240" s="98" t="str">
        <f>VLOOKUP(F240,'GL Category'!A:C,2,FALSE)</f>
        <v>MISCELLANEOUS SUPPLIES</v>
      </c>
      <c r="I240" s="99">
        <f>SUMIF(Import!$B:$B,'Other Fund Line-Item Details'!$A240,Import!D:D)</f>
        <v>0</v>
      </c>
      <c r="J240" s="99">
        <f>SUMIF(Import!$B:$B,'Other Fund Line-Item Details'!$A240,Import!E:E)</f>
        <v>0</v>
      </c>
      <c r="K240" s="99">
        <f>SUMIF(Import!$B:$B,'Other Fund Line-Item Details'!$A240,Import!F:F)</f>
        <v>0</v>
      </c>
      <c r="L240" s="99">
        <f>SUMIF(Import!$B:$B,'Other Fund Line-Item Details'!$A240,Import!G:G)</f>
        <v>0</v>
      </c>
      <c r="M240" s="99">
        <f>SUMIF(Import!$B:$B,'Other Fund Line-Item Details'!$A240,Import!H:H)</f>
        <v>0</v>
      </c>
      <c r="N240" s="99">
        <f>SUMIF(Import!$B:$B,'Other Fund Line-Item Details'!$A240,Import!I:I)</f>
        <v>0</v>
      </c>
      <c r="O240" s="99">
        <f>SUMIF(Import!$B:$B,'Other Fund Line-Item Details'!$A240,Import!J:J)</f>
        <v>0</v>
      </c>
      <c r="P240" s="99">
        <f>O240-M240</f>
        <v>0</v>
      </c>
      <c r="Q240" s="99">
        <f>SUMIF(Import!$B:$B,'Other Fund Line-Item Details'!$A240,Import!K:K)</f>
        <v>0</v>
      </c>
      <c r="R240" s="99">
        <f>SUMIF(Import!$B:$B,'Other Fund Line-Item Details'!$A240,Import!L:L)</f>
        <v>0</v>
      </c>
      <c r="S240" s="99">
        <f>SUMIF(Import!$B:$B,'Other Fund Line-Item Details'!$A240,Import!M:M)</f>
        <v>0</v>
      </c>
      <c r="T240" s="99">
        <f>SUMIF(Import!$B:$B,'Other Fund Line-Item Details'!$A240,Import!N:N)</f>
        <v>0</v>
      </c>
      <c r="U240" s="99">
        <f>T240-M240</f>
        <v>0</v>
      </c>
      <c r="V240" s="255" t="str">
        <f>IF(M240=0,"N/A",T240/M240-1)</f>
        <v>N/A</v>
      </c>
      <c r="W240" s="102" t="s">
        <v>1908</v>
      </c>
      <c r="X240" s="121"/>
      <c r="Y240" s="121"/>
      <c r="Z240" s="121"/>
      <c r="AA240" s="121"/>
      <c r="AB240" s="121"/>
      <c r="AC240" s="121"/>
      <c r="AD240" s="121"/>
      <c r="AE240" s="121"/>
      <c r="AF240" s="121"/>
      <c r="AG240" s="121"/>
      <c r="AH240" s="121"/>
      <c r="AI240" s="121"/>
    </row>
    <row r="241" spans="1:35" s="115" customFormat="1" ht="15" hidden="1" customHeight="1">
      <c r="A241" s="555"/>
      <c r="B241" s="217"/>
      <c r="C241" s="217"/>
      <c r="D241" s="101"/>
      <c r="E241" s="217"/>
      <c r="F241" s="294"/>
      <c r="G241" s="146"/>
      <c r="H241" s="107" t="str">
        <f>"PROGRAM TOTAL"</f>
        <v>PROGRAM TOTAL</v>
      </c>
      <c r="I241" s="108">
        <f t="shared" ref="I241" si="218">SUBTOTAL(9,I240:I240)</f>
        <v>0</v>
      </c>
      <c r="J241" s="108">
        <f t="shared" ref="J241:T241" si="219">SUBTOTAL(9,J240:J240)</f>
        <v>0</v>
      </c>
      <c r="K241" s="108">
        <f t="shared" ref="K241" si="220">SUBTOTAL(9,K240:K240)</f>
        <v>0</v>
      </c>
      <c r="L241" s="108">
        <f t="shared" ref="L241" si="221">SUBTOTAL(9,L240:L240)</f>
        <v>0</v>
      </c>
      <c r="M241" s="108">
        <f t="shared" si="219"/>
        <v>0</v>
      </c>
      <c r="N241" s="109">
        <f t="shared" si="219"/>
        <v>0</v>
      </c>
      <c r="O241" s="109">
        <f t="shared" si="219"/>
        <v>0</v>
      </c>
      <c r="P241" s="109">
        <f t="shared" si="219"/>
        <v>0</v>
      </c>
      <c r="Q241" s="109">
        <f t="shared" si="219"/>
        <v>0</v>
      </c>
      <c r="R241" s="109">
        <f t="shared" si="219"/>
        <v>0</v>
      </c>
      <c r="S241" s="109">
        <f t="shared" si="219"/>
        <v>0</v>
      </c>
      <c r="T241" s="109">
        <f t="shared" si="219"/>
        <v>0</v>
      </c>
      <c r="U241" s="99">
        <f>T241-M241</f>
        <v>0</v>
      </c>
      <c r="V241" s="255" t="str">
        <f>IF(M241=0,"N/A",T241/M241-1)</f>
        <v>N/A</v>
      </c>
      <c r="W241" s="102"/>
      <c r="X241" s="121"/>
      <c r="Y241" s="121"/>
      <c r="Z241" s="121"/>
      <c r="AA241" s="121"/>
      <c r="AB241" s="121"/>
      <c r="AC241" s="121"/>
      <c r="AD241" s="121"/>
      <c r="AE241" s="121"/>
      <c r="AF241" s="121"/>
      <c r="AG241" s="121"/>
      <c r="AH241" s="121"/>
      <c r="AI241" s="121"/>
    </row>
    <row r="242" spans="1:35" s="115" customFormat="1" ht="15" hidden="1" customHeight="1">
      <c r="A242" s="555"/>
      <c r="B242" s="217"/>
      <c r="C242" s="217"/>
      <c r="D242" s="101"/>
      <c r="E242" s="217"/>
      <c r="F242" s="294"/>
      <c r="G242" s="146"/>
      <c r="H242" s="232"/>
      <c r="I242" s="233"/>
      <c r="J242" s="233"/>
      <c r="K242" s="233"/>
      <c r="L242" s="233"/>
      <c r="M242" s="233"/>
      <c r="N242" s="202"/>
      <c r="O242" s="202"/>
      <c r="P242" s="202"/>
      <c r="Q242" s="202"/>
      <c r="R242" s="202"/>
      <c r="S242" s="202"/>
      <c r="T242" s="202"/>
      <c r="U242" s="105"/>
      <c r="V242" s="262"/>
      <c r="W242" s="102"/>
      <c r="X242" s="121"/>
      <c r="Y242" s="121"/>
      <c r="Z242" s="121"/>
      <c r="AA242" s="121"/>
      <c r="AB242" s="121"/>
      <c r="AC242" s="121"/>
      <c r="AD242" s="121"/>
      <c r="AE242" s="121"/>
      <c r="AF242" s="121"/>
      <c r="AG242" s="121"/>
      <c r="AH242" s="121"/>
      <c r="AI242" s="121"/>
    </row>
    <row r="243" spans="1:35" s="115" customFormat="1" ht="15" hidden="1" customHeight="1">
      <c r="A243" s="555" t="s">
        <v>1916</v>
      </c>
      <c r="B243" s="217" t="str">
        <f t="shared" si="199"/>
        <v>112</v>
      </c>
      <c r="C243" s="217" t="str">
        <f t="shared" si="200"/>
        <v>99</v>
      </c>
      <c r="D243" s="101" t="str">
        <f t="shared" si="201"/>
        <v>994</v>
      </c>
      <c r="E243" s="217" t="str">
        <f t="shared" si="202"/>
        <v>112-99-994</v>
      </c>
      <c r="F243" s="294" t="str">
        <f t="shared" si="203"/>
        <v>53599</v>
      </c>
      <c r="G243" s="295" t="str">
        <f>VLOOKUP(F243,'GL Category'!A:C,3,FALSE)</f>
        <v>Services &amp; other</v>
      </c>
      <c r="H243" s="98" t="str">
        <f>VLOOKUP(F243,'GL Category'!A:C,2,FALSE)</f>
        <v>MISCELLANEOUS SERVICES</v>
      </c>
      <c r="I243" s="99">
        <f>SUMIF(Import!$B:$B,'Other Fund Line-Item Details'!$A243,Import!D:D)</f>
        <v>0</v>
      </c>
      <c r="J243" s="99">
        <f>SUMIF(Import!$B:$B,'Other Fund Line-Item Details'!$A243,Import!E:E)</f>
        <v>0</v>
      </c>
      <c r="K243" s="99">
        <f>SUMIF(Import!$B:$B,'Other Fund Line-Item Details'!$A243,Import!F:F)</f>
        <v>0</v>
      </c>
      <c r="L243" s="99">
        <f>SUMIF(Import!$B:$B,'Other Fund Line-Item Details'!$A243,Import!G:G)</f>
        <v>0</v>
      </c>
      <c r="M243" s="99">
        <f>SUMIF(Import!$B:$B,'Other Fund Line-Item Details'!$A243,Import!H:H)</f>
        <v>0</v>
      </c>
      <c r="N243" s="99">
        <f>SUMIF(Import!$B:$B,'Other Fund Line-Item Details'!$A243,Import!I:I)</f>
        <v>0</v>
      </c>
      <c r="O243" s="99">
        <f>SUMIF(Import!$B:$B,'Other Fund Line-Item Details'!$A243,Import!J:J)</f>
        <v>0</v>
      </c>
      <c r="P243" s="99">
        <f>O243-M243</f>
        <v>0</v>
      </c>
      <c r="Q243" s="99">
        <f>SUMIF(Import!$B:$B,'Other Fund Line-Item Details'!$A243,Import!K:K)</f>
        <v>0</v>
      </c>
      <c r="R243" s="99">
        <f>SUMIF(Import!$B:$B,'Other Fund Line-Item Details'!$A243,Import!L:L)</f>
        <v>0</v>
      </c>
      <c r="S243" s="99">
        <f>SUMIF(Import!$B:$B,'Other Fund Line-Item Details'!$A243,Import!M:M)</f>
        <v>0</v>
      </c>
      <c r="T243" s="99">
        <f>SUMIF(Import!$B:$B,'Other Fund Line-Item Details'!$A243,Import!N:N)</f>
        <v>0</v>
      </c>
      <c r="U243" s="99">
        <f>T243-M243</f>
        <v>0</v>
      </c>
      <c r="V243" s="255" t="str">
        <f>IF(M243=0,"N/A",T243/M243-1)</f>
        <v>N/A</v>
      </c>
      <c r="W243" s="102" t="s">
        <v>1916</v>
      </c>
      <c r="X243" s="121"/>
      <c r="Y243" s="121"/>
      <c r="Z243" s="121"/>
      <c r="AA243" s="121"/>
      <c r="AB243" s="121"/>
      <c r="AC243" s="121"/>
      <c r="AD243" s="121"/>
      <c r="AE243" s="121"/>
      <c r="AF243" s="121"/>
      <c r="AG243" s="121"/>
      <c r="AH243" s="121"/>
      <c r="AI243" s="121"/>
    </row>
    <row r="244" spans="1:35" s="115" customFormat="1" ht="15" hidden="1" customHeight="1">
      <c r="A244" s="555"/>
      <c r="B244" s="217"/>
      <c r="C244" s="217"/>
      <c r="D244" s="101"/>
      <c r="E244" s="217"/>
      <c r="F244" s="294"/>
      <c r="G244" s="146"/>
      <c r="H244" s="107" t="str">
        <f>"PROGRAM TOTAL"</f>
        <v>PROGRAM TOTAL</v>
      </c>
      <c r="I244" s="108">
        <f t="shared" ref="I244" si="222">SUBTOTAL(9,I243:I243)</f>
        <v>0</v>
      </c>
      <c r="J244" s="108">
        <f t="shared" ref="J244:P244" si="223">SUBTOTAL(9,J243:J243)</f>
        <v>0</v>
      </c>
      <c r="K244" s="108">
        <f t="shared" ref="K244" si="224">SUBTOTAL(9,K243:K243)</f>
        <v>0</v>
      </c>
      <c r="L244" s="108">
        <f t="shared" ref="L244" si="225">SUBTOTAL(9,L243:L243)</f>
        <v>0</v>
      </c>
      <c r="M244" s="108">
        <f t="shared" si="223"/>
        <v>0</v>
      </c>
      <c r="N244" s="109">
        <f t="shared" ref="N244" si="226">SUBTOTAL(9,N243:N243)</f>
        <v>0</v>
      </c>
      <c r="O244" s="109">
        <f t="shared" si="223"/>
        <v>0</v>
      </c>
      <c r="P244" s="109">
        <f t="shared" si="223"/>
        <v>0</v>
      </c>
      <c r="Q244" s="109">
        <f t="shared" ref="Q244:T244" si="227">SUBTOTAL(9,Q243:Q243)</f>
        <v>0</v>
      </c>
      <c r="R244" s="109">
        <f t="shared" si="227"/>
        <v>0</v>
      </c>
      <c r="S244" s="109">
        <f t="shared" si="227"/>
        <v>0</v>
      </c>
      <c r="T244" s="109">
        <f t="shared" si="227"/>
        <v>0</v>
      </c>
      <c r="U244" s="99">
        <f>T244-M244</f>
        <v>0</v>
      </c>
      <c r="V244" s="255" t="str">
        <f>IF(M244=0,"N/A",T244/M244-1)</f>
        <v>N/A</v>
      </c>
      <c r="W244" s="102"/>
      <c r="X244" s="121"/>
      <c r="Y244" s="121"/>
      <c r="Z244" s="121"/>
      <c r="AA244" s="121"/>
      <c r="AB244" s="121"/>
      <c r="AC244" s="121"/>
      <c r="AD244" s="121"/>
      <c r="AE244" s="121"/>
      <c r="AF244" s="121"/>
      <c r="AG244" s="121"/>
      <c r="AH244" s="121"/>
      <c r="AI244" s="121"/>
    </row>
    <row r="245" spans="1:35" s="115" customFormat="1" ht="15" hidden="1" customHeight="1">
      <c r="A245" s="555"/>
      <c r="B245" s="217"/>
      <c r="C245" s="217"/>
      <c r="D245" s="101"/>
      <c r="E245" s="217"/>
      <c r="F245" s="294"/>
      <c r="G245" s="146"/>
      <c r="H245" s="232"/>
      <c r="I245" s="233"/>
      <c r="J245" s="233"/>
      <c r="K245" s="233"/>
      <c r="L245" s="233"/>
      <c r="M245" s="233"/>
      <c r="N245" s="202"/>
      <c r="O245" s="202"/>
      <c r="P245" s="202"/>
      <c r="Q245" s="202"/>
      <c r="R245" s="202"/>
      <c r="S245" s="202"/>
      <c r="T245" s="202"/>
      <c r="U245" s="105"/>
      <c r="V245" s="262"/>
      <c r="W245" s="102"/>
      <c r="X245" s="121"/>
      <c r="Y245" s="121"/>
      <c r="Z245" s="121"/>
      <c r="AA245" s="121"/>
      <c r="AB245" s="121"/>
      <c r="AC245" s="121"/>
      <c r="AD245" s="121"/>
      <c r="AE245" s="121"/>
      <c r="AF245" s="121"/>
      <c r="AG245" s="121"/>
      <c r="AH245" s="121"/>
      <c r="AI245" s="121"/>
    </row>
    <row r="246" spans="1:35" s="115" customFormat="1" ht="15" hidden="1" customHeight="1">
      <c r="A246" s="555" t="s">
        <v>1917</v>
      </c>
      <c r="B246" s="217" t="str">
        <f t="shared" si="199"/>
        <v>112</v>
      </c>
      <c r="C246" s="217" t="str">
        <f t="shared" si="200"/>
        <v>99</v>
      </c>
      <c r="D246" s="101" t="str">
        <f t="shared" si="201"/>
        <v>998</v>
      </c>
      <c r="E246" s="217" t="str">
        <f t="shared" si="202"/>
        <v>112-99-998</v>
      </c>
      <c r="F246" s="294" t="str">
        <f t="shared" si="203"/>
        <v>59128</v>
      </c>
      <c r="G246" s="295" t="e">
        <f>VLOOKUP(F246,'GL Category'!A:C,3,FALSE)</f>
        <v>#N/A</v>
      </c>
      <c r="H246" s="98" t="e">
        <f>VLOOKUP(F246,'GL Category'!A:C,2,FALSE)</f>
        <v>#N/A</v>
      </c>
      <c r="I246" s="99">
        <f>SUMIF(Import!$B:$B,'Other Fund Line-Item Details'!$A246,Import!D:D)</f>
        <v>0</v>
      </c>
      <c r="J246" s="99">
        <f>SUMIF(Import!$B:$B,'Other Fund Line-Item Details'!$A246,Import!E:E)</f>
        <v>0</v>
      </c>
      <c r="K246" s="99">
        <f>SUMIF(Import!$B:$B,'Other Fund Line-Item Details'!$A246,Import!F:F)</f>
        <v>0</v>
      </c>
      <c r="L246" s="99">
        <f>SUMIF(Import!$B:$B,'Other Fund Line-Item Details'!$A246,Import!G:G)</f>
        <v>0</v>
      </c>
      <c r="M246" s="99">
        <f>SUMIF(Import!$B:$B,'Other Fund Line-Item Details'!$A246,Import!H:H)</f>
        <v>0</v>
      </c>
      <c r="N246" s="99">
        <f>SUMIF(Import!$B:$B,'Other Fund Line-Item Details'!$A246,Import!I:I)</f>
        <v>0</v>
      </c>
      <c r="O246" s="99">
        <f>SUMIF(Import!$B:$B,'Other Fund Line-Item Details'!$A246,Import!J:J)</f>
        <v>0</v>
      </c>
      <c r="P246" s="99">
        <f>O246-M246</f>
        <v>0</v>
      </c>
      <c r="Q246" s="99">
        <f>SUMIF(Import!$B:$B,'Other Fund Line-Item Details'!$A246,Import!K:K)</f>
        <v>0</v>
      </c>
      <c r="R246" s="99">
        <f>SUMIF(Import!$B:$B,'Other Fund Line-Item Details'!$A246,Import!L:L)</f>
        <v>0</v>
      </c>
      <c r="S246" s="99">
        <f>SUMIF(Import!$B:$B,'Other Fund Line-Item Details'!$A246,Import!M:M)</f>
        <v>0</v>
      </c>
      <c r="T246" s="99">
        <f>SUMIF(Import!$B:$B,'Other Fund Line-Item Details'!$A246,Import!N:N)</f>
        <v>0</v>
      </c>
      <c r="U246" s="99">
        <f>T246-M246</f>
        <v>0</v>
      </c>
      <c r="V246" s="255" t="str">
        <f>IF(M246=0,"N/A",T246/M246-1)</f>
        <v>N/A</v>
      </c>
      <c r="W246" s="102" t="s">
        <v>1917</v>
      </c>
      <c r="X246" s="121"/>
      <c r="Y246" s="121"/>
      <c r="Z246" s="121"/>
      <c r="AA246" s="121"/>
      <c r="AB246" s="121"/>
      <c r="AC246" s="121"/>
      <c r="AD246" s="121"/>
      <c r="AE246" s="121"/>
      <c r="AF246" s="121"/>
      <c r="AG246" s="121"/>
      <c r="AH246" s="121"/>
      <c r="AI246" s="121"/>
    </row>
    <row r="247" spans="1:35" s="115" customFormat="1" ht="15" hidden="1" customHeight="1">
      <c r="A247" s="555"/>
      <c r="B247" s="217"/>
      <c r="C247" s="217"/>
      <c r="D247" s="101"/>
      <c r="E247" s="217"/>
      <c r="F247" s="294"/>
      <c r="G247" s="146"/>
      <c r="H247" s="107" t="str">
        <f>"PROGRAM TOTAL"</f>
        <v>PROGRAM TOTAL</v>
      </c>
      <c r="I247" s="108">
        <f t="shared" ref="I247" si="228">SUBTOTAL(9,I246:I246)</f>
        <v>0</v>
      </c>
      <c r="J247" s="108">
        <f t="shared" ref="J247:T247" si="229">SUBTOTAL(9,J246:J246)</f>
        <v>0</v>
      </c>
      <c r="K247" s="108">
        <f t="shared" ref="K247" si="230">SUBTOTAL(9,K246:K246)</f>
        <v>0</v>
      </c>
      <c r="L247" s="108">
        <f t="shared" ref="L247" si="231">SUBTOTAL(9,L246:L246)</f>
        <v>0</v>
      </c>
      <c r="M247" s="108">
        <f t="shared" si="229"/>
        <v>0</v>
      </c>
      <c r="N247" s="109">
        <f t="shared" ref="N247" si="232">SUBTOTAL(9,N246:N246)</f>
        <v>0</v>
      </c>
      <c r="O247" s="109">
        <f t="shared" si="229"/>
        <v>0</v>
      </c>
      <c r="P247" s="109">
        <f t="shared" si="229"/>
        <v>0</v>
      </c>
      <c r="Q247" s="109">
        <f t="shared" si="229"/>
        <v>0</v>
      </c>
      <c r="R247" s="109">
        <f t="shared" si="229"/>
        <v>0</v>
      </c>
      <c r="S247" s="109">
        <f t="shared" si="229"/>
        <v>0</v>
      </c>
      <c r="T247" s="109">
        <f t="shared" si="229"/>
        <v>0</v>
      </c>
      <c r="U247" s="99">
        <f>T247-M247</f>
        <v>0</v>
      </c>
      <c r="V247" s="255" t="str">
        <f>IF(M247=0,"N/A",T247/M247-1)</f>
        <v>N/A</v>
      </c>
      <c r="W247" s="102"/>
      <c r="X247" s="121"/>
      <c r="Y247" s="121"/>
      <c r="Z247" s="121"/>
      <c r="AA247" s="121"/>
      <c r="AB247" s="121"/>
      <c r="AC247" s="121"/>
      <c r="AD247" s="121"/>
      <c r="AE247" s="121"/>
      <c r="AF247" s="121"/>
      <c r="AG247" s="121"/>
      <c r="AH247" s="121"/>
      <c r="AI247" s="121"/>
    </row>
    <row r="248" spans="1:35" s="115" customFormat="1" ht="15" customHeight="1">
      <c r="A248" s="555"/>
      <c r="B248" s="217"/>
      <c r="C248" s="217"/>
      <c r="D248" s="101"/>
      <c r="E248" s="217"/>
      <c r="F248" s="294"/>
      <c r="G248" s="146"/>
      <c r="H248" s="98"/>
      <c r="I248" s="106"/>
      <c r="J248" s="106"/>
      <c r="K248" s="106"/>
      <c r="L248" s="106"/>
      <c r="M248" s="106"/>
      <c r="N248" s="112"/>
      <c r="O248" s="112"/>
      <c r="P248" s="112"/>
      <c r="Q248" s="113"/>
      <c r="R248" s="113"/>
      <c r="S248" s="113"/>
      <c r="T248" s="113"/>
      <c r="U248" s="105"/>
      <c r="V248" s="262"/>
      <c r="W248" s="102"/>
      <c r="X248" s="121"/>
      <c r="Y248" s="121"/>
      <c r="Z248" s="121"/>
      <c r="AA248" s="121"/>
      <c r="AB248" s="121"/>
      <c r="AC248" s="121"/>
      <c r="AD248" s="121"/>
      <c r="AE248" s="121"/>
      <c r="AF248" s="121"/>
      <c r="AG248" s="121"/>
      <c r="AH248" s="121"/>
      <c r="AI248" s="121"/>
    </row>
    <row r="249" spans="1:35" s="115" customFormat="1" ht="15" customHeight="1">
      <c r="A249" s="555"/>
      <c r="B249" s="217"/>
      <c r="C249" s="217"/>
      <c r="D249" s="101"/>
      <c r="E249" s="217"/>
      <c r="F249" s="294"/>
      <c r="G249" s="146"/>
      <c r="H249" s="107" t="str">
        <f>UPPER("EXPENDITURE TOTAL")</f>
        <v>EXPENDITURE TOTAL</v>
      </c>
      <c r="I249" s="108">
        <f t="shared" ref="I249" si="233">SUBTOTAL(9,I172:I247)</f>
        <v>95589.190000000017</v>
      </c>
      <c r="J249" s="108">
        <f t="shared" ref="J249:T249" si="234">SUBTOTAL(9,J172:J247)</f>
        <v>113212.54999999999</v>
      </c>
      <c r="K249" s="108">
        <f t="shared" ref="K249" si="235">SUBTOTAL(9,K172:K247)</f>
        <v>262774.96999999997</v>
      </c>
      <c r="L249" s="108">
        <f t="shared" ref="L249" si="236">SUBTOTAL(9,L172:L247)</f>
        <v>312495.32</v>
      </c>
      <c r="M249" s="108">
        <f t="shared" si="234"/>
        <v>378662</v>
      </c>
      <c r="N249" s="108">
        <f t="shared" si="234"/>
        <v>244773.46000000002</v>
      </c>
      <c r="O249" s="108">
        <f t="shared" si="234"/>
        <v>364010</v>
      </c>
      <c r="P249" s="108">
        <f t="shared" si="234"/>
        <v>-14652</v>
      </c>
      <c r="Q249" s="108">
        <f t="shared" si="234"/>
        <v>381326</v>
      </c>
      <c r="R249" s="108">
        <f t="shared" si="234"/>
        <v>0</v>
      </c>
      <c r="S249" s="108">
        <f t="shared" si="234"/>
        <v>0</v>
      </c>
      <c r="T249" s="108">
        <f t="shared" si="234"/>
        <v>381326</v>
      </c>
      <c r="U249" s="99">
        <f>T249-M249</f>
        <v>2664</v>
      </c>
      <c r="V249" s="255">
        <f>IF(M249=0,"N/A",T249/M249-1)</f>
        <v>7.0352979702215102E-3</v>
      </c>
      <c r="W249" s="102"/>
      <c r="X249" s="121"/>
      <c r="Y249" s="121"/>
      <c r="Z249" s="121"/>
      <c r="AA249" s="121"/>
      <c r="AB249" s="121"/>
      <c r="AC249" s="121"/>
      <c r="AD249" s="121"/>
      <c r="AE249" s="121"/>
      <c r="AF249" s="121"/>
      <c r="AG249" s="121"/>
      <c r="AH249" s="121"/>
      <c r="AI249" s="121"/>
    </row>
    <row r="250" spans="1:35" s="115" customFormat="1" ht="15" customHeight="1">
      <c r="A250" s="555"/>
      <c r="B250" s="217"/>
      <c r="C250" s="217"/>
      <c r="D250" s="101"/>
      <c r="E250" s="217"/>
      <c r="F250" s="294"/>
      <c r="G250" s="146"/>
      <c r="H250" s="98"/>
      <c r="I250" s="218"/>
      <c r="J250" s="218"/>
      <c r="K250" s="218"/>
      <c r="L250" s="218"/>
      <c r="M250" s="218"/>
      <c r="N250" s="96"/>
      <c r="O250" s="96"/>
      <c r="P250" s="96"/>
      <c r="Q250" s="212"/>
      <c r="R250" s="212"/>
      <c r="S250" s="212"/>
      <c r="T250" s="212"/>
      <c r="U250" s="105"/>
      <c r="V250" s="262"/>
      <c r="W250" s="102"/>
      <c r="X250" s="121"/>
      <c r="Y250" s="121"/>
      <c r="Z250" s="121"/>
      <c r="AA250" s="121"/>
      <c r="AB250" s="121"/>
      <c r="AC250" s="121"/>
      <c r="AD250" s="121"/>
      <c r="AE250" s="121"/>
      <c r="AF250" s="121"/>
      <c r="AG250" s="121"/>
      <c r="AH250" s="121"/>
      <c r="AI250" s="121"/>
    </row>
    <row r="251" spans="1:35" s="115" customFormat="1" ht="15" customHeight="1">
      <c r="A251" s="555"/>
      <c r="B251" s="217"/>
      <c r="C251" s="217"/>
      <c r="D251" s="101"/>
      <c r="E251" s="217"/>
      <c r="F251" s="294"/>
      <c r="G251" s="146"/>
      <c r="H251" s="114" t="s">
        <v>674</v>
      </c>
      <c r="I251" s="108">
        <f t="shared" ref="I251" si="237">SUBTOTAL(9,I128:I248)</f>
        <v>-31821.859999999997</v>
      </c>
      <c r="J251" s="108">
        <f t="shared" ref="J251:T251" si="238">SUBTOTAL(9,J128:J248)</f>
        <v>-24031.770000000015</v>
      </c>
      <c r="K251" s="108">
        <f t="shared" ref="K251" si="239">SUBTOTAL(9,K128:K248)</f>
        <v>-25314.419999999966</v>
      </c>
      <c r="L251" s="108">
        <f t="shared" ref="L251" si="240">SUBTOTAL(9,L128:L248)</f>
        <v>-54892.839999999975</v>
      </c>
      <c r="M251" s="108">
        <f t="shared" si="238"/>
        <v>2883</v>
      </c>
      <c r="N251" s="108">
        <f t="shared" si="238"/>
        <v>-78658.729999999952</v>
      </c>
      <c r="O251" s="108">
        <f t="shared" si="238"/>
        <v>-32402</v>
      </c>
      <c r="P251" s="108">
        <f t="shared" si="238"/>
        <v>-35285</v>
      </c>
      <c r="Q251" s="108">
        <f t="shared" si="238"/>
        <v>-18441</v>
      </c>
      <c r="R251" s="108">
        <f t="shared" si="238"/>
        <v>0</v>
      </c>
      <c r="S251" s="108">
        <f t="shared" si="238"/>
        <v>0</v>
      </c>
      <c r="T251" s="108">
        <f t="shared" si="238"/>
        <v>-18441</v>
      </c>
      <c r="U251" s="99">
        <f>T251-M251</f>
        <v>-21324</v>
      </c>
      <c r="V251" s="255">
        <f>IF(M251=0,"N/A",T251/M251-1)</f>
        <v>-7.3964620187304888</v>
      </c>
      <c r="W251" s="102"/>
      <c r="X251" s="121"/>
      <c r="Y251" s="121"/>
      <c r="Z251" s="121"/>
      <c r="AA251" s="121"/>
      <c r="AB251" s="121"/>
      <c r="AC251" s="121"/>
      <c r="AD251" s="121"/>
      <c r="AE251" s="121"/>
      <c r="AF251" s="121"/>
      <c r="AG251" s="121"/>
      <c r="AH251" s="121"/>
      <c r="AI251" s="121"/>
    </row>
    <row r="252" spans="1:35" s="115" customFormat="1" ht="15" hidden="1" customHeight="1">
      <c r="A252" s="555"/>
      <c r="B252" s="217"/>
      <c r="C252" s="217"/>
      <c r="D252" s="101"/>
      <c r="E252" s="217"/>
      <c r="F252" s="294"/>
      <c r="G252" s="146"/>
      <c r="H252" s="98"/>
      <c r="I252" s="218"/>
      <c r="J252" s="218"/>
      <c r="K252" s="218"/>
      <c r="L252" s="218"/>
      <c r="M252" s="218"/>
      <c r="N252" s="96"/>
      <c r="O252" s="96"/>
      <c r="P252" s="96"/>
      <c r="Q252" s="212"/>
      <c r="R252" s="212"/>
      <c r="S252" s="212"/>
      <c r="T252" s="212"/>
      <c r="U252" s="105"/>
      <c r="V252" s="262"/>
      <c r="W252" s="102"/>
      <c r="X252" s="121"/>
      <c r="Y252" s="121"/>
      <c r="Z252" s="121"/>
      <c r="AA252" s="121"/>
      <c r="AB252" s="121"/>
      <c r="AC252" s="121"/>
      <c r="AD252" s="121"/>
      <c r="AE252" s="121"/>
      <c r="AF252" s="121"/>
      <c r="AG252" s="121"/>
      <c r="AH252" s="121"/>
      <c r="AI252" s="121"/>
    </row>
    <row r="253" spans="1:35" s="115" customFormat="1" ht="15" customHeight="1" thickBot="1">
      <c r="A253" s="555"/>
      <c r="B253" s="217"/>
      <c r="C253" s="217"/>
      <c r="D253" s="101"/>
      <c r="E253" s="217"/>
      <c r="F253" s="294"/>
      <c r="G253" s="146"/>
      <c r="H253" s="98"/>
      <c r="I253" s="218"/>
      <c r="J253" s="218"/>
      <c r="K253" s="218"/>
      <c r="L253" s="218"/>
      <c r="M253" s="218"/>
      <c r="N253" s="96"/>
      <c r="O253" s="96"/>
      <c r="P253" s="96"/>
      <c r="Q253" s="212"/>
      <c r="R253" s="212"/>
      <c r="S253" s="212"/>
      <c r="T253" s="212"/>
      <c r="U253" s="105"/>
      <c r="V253" s="262"/>
      <c r="W253" s="102"/>
      <c r="X253" s="121"/>
      <c r="Y253" s="121"/>
      <c r="Z253" s="121"/>
      <c r="AA253" s="121"/>
      <c r="AB253" s="121"/>
      <c r="AC253" s="121"/>
      <c r="AD253" s="121"/>
      <c r="AE253" s="121"/>
      <c r="AF253" s="121"/>
      <c r="AG253" s="121"/>
      <c r="AH253" s="121"/>
      <c r="AI253" s="121"/>
    </row>
    <row r="254" spans="1:35" s="115" customFormat="1" ht="20.25" customHeight="1" thickBot="1">
      <c r="A254" s="555"/>
      <c r="B254" s="217"/>
      <c r="C254" s="217"/>
      <c r="D254" s="101"/>
      <c r="E254" s="217"/>
      <c r="F254" s="294"/>
      <c r="G254" s="146"/>
      <c r="H254" s="665" t="s">
        <v>721</v>
      </c>
      <c r="I254" s="666"/>
      <c r="J254" s="666"/>
      <c r="K254" s="666"/>
      <c r="L254" s="666"/>
      <c r="M254" s="666"/>
      <c r="N254" s="666"/>
      <c r="O254" s="666"/>
      <c r="P254" s="666"/>
      <c r="Q254" s="666"/>
      <c r="R254" s="666"/>
      <c r="S254" s="666"/>
      <c r="T254" s="667"/>
      <c r="U254" s="105"/>
      <c r="V254" s="262"/>
      <c r="W254" s="102"/>
      <c r="X254" s="121"/>
      <c r="Y254" s="121"/>
      <c r="Z254" s="121"/>
      <c r="AA254" s="121"/>
      <c r="AB254" s="121"/>
      <c r="AC254" s="121"/>
      <c r="AD254" s="121"/>
      <c r="AE254" s="121"/>
      <c r="AF254" s="121"/>
      <c r="AG254" s="121"/>
      <c r="AH254" s="121"/>
      <c r="AI254" s="121"/>
    </row>
    <row r="255" spans="1:35" s="115" customFormat="1" ht="15" customHeight="1">
      <c r="A255" s="555"/>
      <c r="B255" s="217"/>
      <c r="C255" s="217"/>
      <c r="D255" s="101"/>
      <c r="E255" s="217"/>
      <c r="F255" s="294"/>
      <c r="G255" s="146"/>
      <c r="H255" s="225"/>
      <c r="I255" s="225"/>
      <c r="J255" s="225"/>
      <c r="K255" s="225"/>
      <c r="L255" s="225"/>
      <c r="M255" s="225"/>
      <c r="N255" s="225"/>
      <c r="O255" s="225"/>
      <c r="P255" s="225"/>
      <c r="Q255" s="225"/>
      <c r="R255" s="225"/>
      <c r="S255" s="225"/>
      <c r="T255" s="225"/>
      <c r="U255" s="105"/>
      <c r="V255" s="262"/>
      <c r="W255" s="102"/>
      <c r="X255" s="121"/>
      <c r="Y255" s="121"/>
      <c r="Z255" s="121"/>
      <c r="AA255" s="121"/>
      <c r="AB255" s="121"/>
      <c r="AC255" s="121"/>
      <c r="AD255" s="121"/>
      <c r="AE255" s="121"/>
      <c r="AF255" s="121"/>
      <c r="AG255" s="121"/>
      <c r="AH255" s="121"/>
      <c r="AI255" s="121"/>
    </row>
    <row r="256" spans="1:35" s="115" customFormat="1" ht="15" customHeight="1">
      <c r="A256" s="555" t="s">
        <v>1918</v>
      </c>
      <c r="B256" s="217" t="str">
        <f t="shared" si="199"/>
        <v>114</v>
      </c>
      <c r="C256" s="217" t="str">
        <f t="shared" si="200"/>
        <v>00</v>
      </c>
      <c r="D256" s="101" t="str">
        <f t="shared" si="201"/>
        <v>000</v>
      </c>
      <c r="E256" s="217" t="str">
        <f t="shared" si="202"/>
        <v>114-00-000</v>
      </c>
      <c r="F256" s="294" t="str">
        <f t="shared" si="203"/>
        <v>41620</v>
      </c>
      <c r="G256" s="295" t="str">
        <f>VLOOKUP(F256,'GL Category'!A:C,3,FALSE)</f>
        <v>FINES AND FEES</v>
      </c>
      <c r="H256" s="98" t="str">
        <f>VLOOKUP(F256,'GL Category'!A:C,2,FALSE)</f>
        <v>MC-TECHNOLOGY FINES/FEES</v>
      </c>
      <c r="I256" s="99">
        <f>SUMIF(Import!$B:$B,'Other Fund Line-Item Details'!$A256,Import!D:D)</f>
        <v>-19761.009999999998</v>
      </c>
      <c r="J256" s="99">
        <f>SUMIF(Import!$B:$B,'Other Fund Line-Item Details'!$A256,Import!E:E)</f>
        <v>-12462.1</v>
      </c>
      <c r="K256" s="99">
        <f>SUMIF(Import!$B:$B,'Other Fund Line-Item Details'!$A256,Import!F:F)</f>
        <v>-13208.11</v>
      </c>
      <c r="L256" s="99">
        <f>SUMIF(Import!$B:$B,'Other Fund Line-Item Details'!$A256,Import!G:G)</f>
        <v>-14272.24</v>
      </c>
      <c r="M256" s="99">
        <f>SUMIF(Import!$B:$B,'Other Fund Line-Item Details'!$A256,Import!H:H)</f>
        <v>-13153</v>
      </c>
      <c r="N256" s="99">
        <f>SUMIF(Import!$B:$B,'Other Fund Line-Item Details'!$A256,Import!I:I)</f>
        <v>-16591.47</v>
      </c>
      <c r="O256" s="99">
        <f>SUMIF(Import!$B:$B,'Other Fund Line-Item Details'!$A256,Import!J:J)</f>
        <v>-22473</v>
      </c>
      <c r="P256" s="99">
        <f t="shared" ref="P256:P266" si="241">O256-M256</f>
        <v>-9320</v>
      </c>
      <c r="Q256" s="99">
        <f>SUMIF(Import!$B:$B,'Other Fund Line-Item Details'!$A256,Import!K:K)</f>
        <v>-22473</v>
      </c>
      <c r="R256" s="99">
        <f>SUMIF(Import!$B:$B,'Other Fund Line-Item Details'!$A256,Import!L:L)</f>
        <v>0</v>
      </c>
      <c r="S256" s="99">
        <f>SUMIF(Import!$B:$B,'Other Fund Line-Item Details'!$A256,Import!M:M)</f>
        <v>0</v>
      </c>
      <c r="T256" s="99">
        <f>SUMIF(Import!$B:$B,'Other Fund Line-Item Details'!$A256,Import!N:N)</f>
        <v>-22473</v>
      </c>
      <c r="U256" s="99">
        <f t="shared" ref="U256:U267" si="242">T256-M256</f>
        <v>-9320</v>
      </c>
      <c r="V256" s="255">
        <f t="shared" ref="V256:V267" si="243">IF(M256=0,"N/A",T256/M256-1)</f>
        <v>0.70858359309663199</v>
      </c>
      <c r="W256" s="102" t="s">
        <v>1918</v>
      </c>
      <c r="X256" s="121"/>
      <c r="Y256" s="121"/>
      <c r="Z256" s="121"/>
      <c r="AA256" s="121"/>
      <c r="AB256" s="121"/>
      <c r="AC256" s="121"/>
      <c r="AD256" s="121"/>
      <c r="AE256" s="121"/>
      <c r="AF256" s="121"/>
      <c r="AG256" s="121"/>
      <c r="AH256" s="121"/>
      <c r="AI256" s="121"/>
    </row>
    <row r="257" spans="1:35" s="115" customFormat="1" ht="15" customHeight="1">
      <c r="A257" s="555" t="s">
        <v>1919</v>
      </c>
      <c r="B257" s="217" t="str">
        <f t="shared" si="199"/>
        <v>114</v>
      </c>
      <c r="C257" s="217" t="str">
        <f t="shared" si="200"/>
        <v>00</v>
      </c>
      <c r="D257" s="101" t="str">
        <f t="shared" si="201"/>
        <v>000</v>
      </c>
      <c r="E257" s="217" t="str">
        <f t="shared" si="202"/>
        <v>114-00-000</v>
      </c>
      <c r="F257" s="294" t="str">
        <f t="shared" si="203"/>
        <v>41630</v>
      </c>
      <c r="G257" s="295" t="str">
        <f>VLOOKUP(F257,'GL Category'!A:C,3,FALSE)</f>
        <v>FINES AND FEES</v>
      </c>
      <c r="H257" s="98" t="str">
        <f>VLOOKUP(F257,'GL Category'!A:C,2,FALSE)</f>
        <v>MC-BLDG SECURITY FINES/FEES</v>
      </c>
      <c r="I257" s="99">
        <f>SUMIF(Import!$B:$B,'Other Fund Line-Item Details'!$A257,Import!D:D)</f>
        <v>-18410.919999999998</v>
      </c>
      <c r="J257" s="99">
        <f>SUMIF(Import!$B:$B,'Other Fund Line-Item Details'!$A257,Import!E:E)</f>
        <v>-14754.93</v>
      </c>
      <c r="K257" s="99">
        <f>SUMIF(Import!$B:$B,'Other Fund Line-Item Details'!$A257,Import!F:F)</f>
        <v>-15902.93</v>
      </c>
      <c r="L257" s="99">
        <f>SUMIF(Import!$B:$B,'Other Fund Line-Item Details'!$A257,Import!G:G)</f>
        <v>-17377.830000000002</v>
      </c>
      <c r="M257" s="99">
        <f>SUMIF(Import!$B:$B,'Other Fund Line-Item Details'!$A257,Import!H:H)</f>
        <v>-16134</v>
      </c>
      <c r="N257" s="99">
        <f>SUMIF(Import!$B:$B,'Other Fund Line-Item Details'!$A257,Import!I:I)</f>
        <v>-20232.64</v>
      </c>
      <c r="O257" s="99">
        <f>SUMIF(Import!$B:$B,'Other Fund Line-Item Details'!$A257,Import!J:J)</f>
        <v>-27792</v>
      </c>
      <c r="P257" s="99">
        <f t="shared" si="241"/>
        <v>-11658</v>
      </c>
      <c r="Q257" s="99">
        <f>SUMIF(Import!$B:$B,'Other Fund Line-Item Details'!$A257,Import!K:K)</f>
        <v>-27792</v>
      </c>
      <c r="R257" s="99">
        <f>SUMIF(Import!$B:$B,'Other Fund Line-Item Details'!$A257,Import!L:L)</f>
        <v>0</v>
      </c>
      <c r="S257" s="99">
        <f>SUMIF(Import!$B:$B,'Other Fund Line-Item Details'!$A257,Import!M:M)</f>
        <v>0</v>
      </c>
      <c r="T257" s="99">
        <f>SUMIF(Import!$B:$B,'Other Fund Line-Item Details'!$A257,Import!N:N)</f>
        <v>-27792</v>
      </c>
      <c r="U257" s="99">
        <f t="shared" si="242"/>
        <v>-11658</v>
      </c>
      <c r="V257" s="255">
        <f t="shared" si="243"/>
        <v>0.7225734473782075</v>
      </c>
      <c r="W257" s="102" t="s">
        <v>1919</v>
      </c>
      <c r="X257" s="121"/>
      <c r="Y257" s="121"/>
      <c r="Z257" s="121"/>
      <c r="AA257" s="121"/>
      <c r="AB257" s="121"/>
      <c r="AC257" s="121"/>
      <c r="AD257" s="121"/>
      <c r="AE257" s="121"/>
      <c r="AF257" s="121"/>
      <c r="AG257" s="121"/>
      <c r="AH257" s="121"/>
      <c r="AI257" s="121"/>
    </row>
    <row r="258" spans="1:35" s="115" customFormat="1" ht="15" customHeight="1">
      <c r="A258" s="555" t="s">
        <v>1920</v>
      </c>
      <c r="B258" s="217" t="str">
        <f t="shared" si="199"/>
        <v>114</v>
      </c>
      <c r="C258" s="217" t="str">
        <f t="shared" si="200"/>
        <v>00</v>
      </c>
      <c r="D258" s="101" t="str">
        <f t="shared" si="201"/>
        <v>000</v>
      </c>
      <c r="E258" s="217" t="str">
        <f t="shared" si="202"/>
        <v>114-00-000</v>
      </c>
      <c r="F258" s="294" t="str">
        <f t="shared" si="203"/>
        <v>41640</v>
      </c>
      <c r="G258" s="295" t="str">
        <f>VLOOKUP(F258,'GL Category'!A:C,3,FALSE)</f>
        <v>FINES AND FEES</v>
      </c>
      <c r="H258" s="98" t="str">
        <f>VLOOKUP(F258,'GL Category'!A:C,2,FALSE)</f>
        <v>MC-SCHOOL CROSSING FINES</v>
      </c>
      <c r="I258" s="99">
        <f>SUMIF(Import!$B:$B,'Other Fund Line-Item Details'!$A258,Import!D:D)</f>
        <v>-6320.05</v>
      </c>
      <c r="J258" s="99">
        <f>SUMIF(Import!$B:$B,'Other Fund Line-Item Details'!$A258,Import!E:E)</f>
        <v>-3842.14</v>
      </c>
      <c r="K258" s="99">
        <f>SUMIF(Import!$B:$B,'Other Fund Line-Item Details'!$A258,Import!F:F)</f>
        <v>-8693.7099999999991</v>
      </c>
      <c r="L258" s="99">
        <f>SUMIF(Import!$B:$B,'Other Fund Line-Item Details'!$A258,Import!G:G)</f>
        <v>-7653.5</v>
      </c>
      <c r="M258" s="99">
        <f>SUMIF(Import!$B:$B,'Other Fund Line-Item Details'!$A258,Import!H:H)</f>
        <v>-6958</v>
      </c>
      <c r="N258" s="99">
        <f>SUMIF(Import!$B:$B,'Other Fund Line-Item Details'!$A258,Import!I:I)</f>
        <v>-7260.54</v>
      </c>
      <c r="O258" s="99">
        <f>SUMIF(Import!$B:$B,'Other Fund Line-Item Details'!$A258,Import!J:J)</f>
        <v>-10284</v>
      </c>
      <c r="P258" s="99">
        <f t="shared" si="241"/>
        <v>-3326</v>
      </c>
      <c r="Q258" s="99">
        <f>SUMIF(Import!$B:$B,'Other Fund Line-Item Details'!$A258,Import!K:K)</f>
        <v>-10284</v>
      </c>
      <c r="R258" s="99">
        <f>SUMIF(Import!$B:$B,'Other Fund Line-Item Details'!$A258,Import!L:L)</f>
        <v>0</v>
      </c>
      <c r="S258" s="99">
        <f>SUMIF(Import!$B:$B,'Other Fund Line-Item Details'!$A258,Import!M:M)</f>
        <v>0</v>
      </c>
      <c r="T258" s="99">
        <f>SUMIF(Import!$B:$B,'Other Fund Line-Item Details'!$A258,Import!N:N)</f>
        <v>-10284</v>
      </c>
      <c r="U258" s="99">
        <f t="shared" si="242"/>
        <v>-3326</v>
      </c>
      <c r="V258" s="255">
        <f t="shared" si="243"/>
        <v>0.47801092267893064</v>
      </c>
      <c r="W258" s="102" t="s">
        <v>1920</v>
      </c>
      <c r="X258" s="121"/>
      <c r="Y258" s="121"/>
      <c r="Z258" s="121"/>
      <c r="AA258" s="121"/>
      <c r="AB258" s="121"/>
      <c r="AC258" s="121"/>
      <c r="AD258" s="121"/>
      <c r="AE258" s="121"/>
      <c r="AF258" s="121"/>
      <c r="AG258" s="121"/>
      <c r="AH258" s="121"/>
      <c r="AI258" s="121"/>
    </row>
    <row r="259" spans="1:35" s="115" customFormat="1" ht="15" customHeight="1">
      <c r="A259" s="555" t="s">
        <v>1921</v>
      </c>
      <c r="B259" s="217" t="str">
        <f t="shared" si="199"/>
        <v>114</v>
      </c>
      <c r="C259" s="217" t="str">
        <f t="shared" si="200"/>
        <v>00</v>
      </c>
      <c r="D259" s="101" t="str">
        <f t="shared" si="201"/>
        <v>000</v>
      </c>
      <c r="E259" s="217" t="str">
        <f t="shared" si="202"/>
        <v>114-00-000</v>
      </c>
      <c r="F259" s="294" t="str">
        <f t="shared" si="203"/>
        <v>41650</v>
      </c>
      <c r="G259" s="295" t="str">
        <f>VLOOKUP(F259,'GL Category'!A:C,3,FALSE)</f>
        <v>FINES AND FEES</v>
      </c>
      <c r="H259" s="98" t="str">
        <f>VLOOKUP(F259,'GL Category'!A:C,2,FALSE)</f>
        <v>MC-TEEN COURT FINES</v>
      </c>
      <c r="I259" s="99">
        <f>SUMIF(Import!$B:$B,'Other Fund Line-Item Details'!$A259,Import!D:D)</f>
        <v>-1920</v>
      </c>
      <c r="J259" s="99">
        <f>SUMIF(Import!$B:$B,'Other Fund Line-Item Details'!$A259,Import!E:E)</f>
        <v>-1300</v>
      </c>
      <c r="K259" s="99">
        <f>SUMIF(Import!$B:$B,'Other Fund Line-Item Details'!$A259,Import!F:F)</f>
        <v>-1200</v>
      </c>
      <c r="L259" s="99">
        <f>SUMIF(Import!$B:$B,'Other Fund Line-Item Details'!$A259,Import!G:G)</f>
        <v>-1070</v>
      </c>
      <c r="M259" s="99">
        <f>SUMIF(Import!$B:$B,'Other Fund Line-Item Details'!$A259,Import!H:H)</f>
        <v>-3041</v>
      </c>
      <c r="N259" s="99">
        <f>SUMIF(Import!$B:$B,'Other Fund Line-Item Details'!$A259,Import!I:I)</f>
        <v>1340</v>
      </c>
      <c r="O259" s="99">
        <f>SUMIF(Import!$B:$B,'Other Fund Line-Item Details'!$A259,Import!J:J)</f>
        <v>-1430</v>
      </c>
      <c r="P259" s="99">
        <f t="shared" si="241"/>
        <v>1611</v>
      </c>
      <c r="Q259" s="99">
        <f>SUMIF(Import!$B:$B,'Other Fund Line-Item Details'!$A259,Import!K:K)</f>
        <v>-1430</v>
      </c>
      <c r="R259" s="99">
        <f>SUMIF(Import!$B:$B,'Other Fund Line-Item Details'!$A259,Import!L:L)</f>
        <v>0</v>
      </c>
      <c r="S259" s="99">
        <f>SUMIF(Import!$B:$B,'Other Fund Line-Item Details'!$A259,Import!M:M)</f>
        <v>0</v>
      </c>
      <c r="T259" s="99">
        <f>SUMIF(Import!$B:$B,'Other Fund Line-Item Details'!$A259,Import!N:N)</f>
        <v>-1430</v>
      </c>
      <c r="U259" s="99">
        <f t="shared" si="242"/>
        <v>1611</v>
      </c>
      <c r="V259" s="255">
        <f t="shared" si="243"/>
        <v>-0.5297599473857284</v>
      </c>
      <c r="W259" s="102" t="s">
        <v>1921</v>
      </c>
      <c r="X259" s="121"/>
      <c r="Y259" s="121"/>
      <c r="Z259" s="121"/>
      <c r="AA259" s="121"/>
      <c r="AB259" s="121"/>
      <c r="AC259" s="121"/>
      <c r="AD259" s="121"/>
      <c r="AE259" s="121"/>
      <c r="AF259" s="121"/>
      <c r="AG259" s="121"/>
      <c r="AH259" s="121"/>
      <c r="AI259" s="121"/>
    </row>
    <row r="260" spans="1:35" s="115" customFormat="1" ht="15" customHeight="1">
      <c r="A260" s="555" t="s">
        <v>1922</v>
      </c>
      <c r="B260" s="217" t="str">
        <f t="shared" si="199"/>
        <v>114</v>
      </c>
      <c r="C260" s="217" t="str">
        <f t="shared" si="200"/>
        <v>00</v>
      </c>
      <c r="D260" s="101" t="str">
        <f t="shared" si="201"/>
        <v>000</v>
      </c>
      <c r="E260" s="217" t="str">
        <f t="shared" si="202"/>
        <v>114-00-000</v>
      </c>
      <c r="F260" s="294" t="str">
        <f t="shared" si="203"/>
        <v>41655</v>
      </c>
      <c r="G260" s="295" t="str">
        <f>VLOOKUP(F260,'GL Category'!A:C,3,FALSE)</f>
        <v>FINES AND FEES</v>
      </c>
      <c r="H260" s="98" t="str">
        <f>VLOOKUP(F260,'GL Category'!A:C,2,FALSE)</f>
        <v>MC-TRUANCY PREV</v>
      </c>
      <c r="I260" s="99">
        <f>SUMIF(Import!$B:$B,'Other Fund Line-Item Details'!$A260,Import!D:D)</f>
        <v>-14079.59</v>
      </c>
      <c r="J260" s="99">
        <f>SUMIF(Import!$B:$B,'Other Fund Line-Item Details'!$A260,Import!E:E)</f>
        <v>-14511.81</v>
      </c>
      <c r="K260" s="99">
        <f>SUMIF(Import!$B:$B,'Other Fund Line-Item Details'!$A260,Import!F:F)</f>
        <v>-15926.67</v>
      </c>
      <c r="L260" s="99">
        <f>SUMIF(Import!$B:$B,'Other Fund Line-Item Details'!$A260,Import!G:G)</f>
        <v>-17623.05</v>
      </c>
      <c r="M260" s="99">
        <f>SUMIF(Import!$B:$B,'Other Fund Line-Item Details'!$A260,Import!H:H)</f>
        <v>-12208</v>
      </c>
      <c r="N260" s="99">
        <f>SUMIF(Import!$B:$B,'Other Fund Line-Item Details'!$A260,Import!I:I)</f>
        <v>-20545.59</v>
      </c>
      <c r="O260" s="99">
        <f>SUMIF(Import!$B:$B,'Other Fund Line-Item Details'!$A260,Import!J:J)</f>
        <v>-29539</v>
      </c>
      <c r="P260" s="99">
        <f t="shared" si="241"/>
        <v>-17331</v>
      </c>
      <c r="Q260" s="99">
        <f>SUMIF(Import!$B:$B,'Other Fund Line-Item Details'!$A260,Import!K:K)</f>
        <v>-21983</v>
      </c>
      <c r="R260" s="99">
        <f>SUMIF(Import!$B:$B,'Other Fund Line-Item Details'!$A260,Import!L:L)</f>
        <v>0</v>
      </c>
      <c r="S260" s="99">
        <f>SUMIF(Import!$B:$B,'Other Fund Line-Item Details'!$A260,Import!M:M)</f>
        <v>0</v>
      </c>
      <c r="T260" s="99">
        <f>SUMIF(Import!$B:$B,'Other Fund Line-Item Details'!$A260,Import!N:N)</f>
        <v>-21983</v>
      </c>
      <c r="U260" s="99">
        <f t="shared" si="242"/>
        <v>-9775</v>
      </c>
      <c r="V260" s="255">
        <f t="shared" si="243"/>
        <v>0.80070445609436436</v>
      </c>
      <c r="W260" s="102" t="s">
        <v>1922</v>
      </c>
      <c r="X260" s="121"/>
      <c r="Y260" s="121"/>
      <c r="Z260" s="121"/>
      <c r="AA260" s="121"/>
      <c r="AB260" s="121"/>
      <c r="AC260" s="121"/>
      <c r="AD260" s="121"/>
      <c r="AE260" s="121"/>
      <c r="AF260" s="121"/>
      <c r="AG260" s="121"/>
      <c r="AH260" s="121"/>
      <c r="AI260" s="121"/>
    </row>
    <row r="261" spans="1:35" s="115" customFormat="1" ht="15" customHeight="1">
      <c r="A261" s="555" t="s">
        <v>1923</v>
      </c>
      <c r="B261" s="217" t="str">
        <f t="shared" si="199"/>
        <v>114</v>
      </c>
      <c r="C261" s="217" t="str">
        <f t="shared" si="200"/>
        <v>00</v>
      </c>
      <c r="D261" s="101" t="str">
        <f t="shared" si="201"/>
        <v>000</v>
      </c>
      <c r="E261" s="217" t="str">
        <f t="shared" si="202"/>
        <v>114-00-000</v>
      </c>
      <c r="F261" s="294" t="str">
        <f t="shared" si="203"/>
        <v>41675</v>
      </c>
      <c r="G261" s="295" t="str">
        <f>VLOOKUP(F261,'GL Category'!A:C,3,FALSE)</f>
        <v>FINES AND FEES</v>
      </c>
      <c r="H261" s="98" t="str">
        <f>VLOOKUP(F261,'GL Category'!A:C,2,FALSE)</f>
        <v>JUVENILE CASE MANAGER FINES</v>
      </c>
      <c r="I261" s="99">
        <f>SUMIF(Import!$B:$B,'Other Fund Line-Item Details'!$A261,Import!D:D)</f>
        <v>-11386.43</v>
      </c>
      <c r="J261" s="99">
        <f>SUMIF(Import!$B:$B,'Other Fund Line-Item Details'!$A261,Import!E:E)</f>
        <v>-1337.34</v>
      </c>
      <c r="K261" s="99">
        <f>SUMIF(Import!$B:$B,'Other Fund Line-Item Details'!$A261,Import!F:F)</f>
        <v>-729.35</v>
      </c>
      <c r="L261" s="99">
        <f>SUMIF(Import!$B:$B,'Other Fund Line-Item Details'!$A261,Import!G:G)</f>
        <v>-265.14</v>
      </c>
      <c r="M261" s="99">
        <f>SUMIF(Import!$B:$B,'Other Fund Line-Item Details'!$A261,Import!H:H)</f>
        <v>0</v>
      </c>
      <c r="N261" s="99">
        <f>SUMIF(Import!$B:$B,'Other Fund Line-Item Details'!$A261,Import!I:I)</f>
        <v>-272.22000000000003</v>
      </c>
      <c r="O261" s="99">
        <f>SUMIF(Import!$B:$B,'Other Fund Line-Item Details'!$A261,Import!J:J)</f>
        <v>0</v>
      </c>
      <c r="P261" s="99">
        <f t="shared" si="241"/>
        <v>0</v>
      </c>
      <c r="Q261" s="99">
        <f>SUMIF(Import!$B:$B,'Other Fund Line-Item Details'!$A261,Import!K:K)</f>
        <v>0</v>
      </c>
      <c r="R261" s="99">
        <f>SUMIF(Import!$B:$B,'Other Fund Line-Item Details'!$A261,Import!L:L)</f>
        <v>0</v>
      </c>
      <c r="S261" s="99">
        <f>SUMIF(Import!$B:$B,'Other Fund Line-Item Details'!$A261,Import!M:M)</f>
        <v>0</v>
      </c>
      <c r="T261" s="99">
        <f>SUMIF(Import!$B:$B,'Other Fund Line-Item Details'!$A261,Import!N:N)</f>
        <v>0</v>
      </c>
      <c r="U261" s="99">
        <f t="shared" si="242"/>
        <v>0</v>
      </c>
      <c r="V261" s="255" t="str">
        <f t="shared" si="243"/>
        <v>N/A</v>
      </c>
      <c r="W261" s="102" t="s">
        <v>1923</v>
      </c>
      <c r="X261" s="121"/>
      <c r="Y261" s="121"/>
      <c r="Z261" s="121"/>
      <c r="AA261" s="121"/>
      <c r="AB261" s="121"/>
      <c r="AC261" s="121"/>
      <c r="AD261" s="121"/>
      <c r="AE261" s="121"/>
      <c r="AF261" s="121"/>
      <c r="AG261" s="121"/>
      <c r="AH261" s="121"/>
      <c r="AI261" s="121"/>
    </row>
    <row r="262" spans="1:35" s="115" customFormat="1" ht="15" customHeight="1">
      <c r="A262" s="555" t="s">
        <v>1924</v>
      </c>
      <c r="B262" s="217" t="str">
        <f t="shared" si="199"/>
        <v>114</v>
      </c>
      <c r="C262" s="217" t="str">
        <f t="shared" si="200"/>
        <v>00</v>
      </c>
      <c r="D262" s="101" t="str">
        <f t="shared" si="201"/>
        <v>000</v>
      </c>
      <c r="E262" s="217" t="str">
        <f t="shared" si="202"/>
        <v>114-00-000</v>
      </c>
      <c r="F262" s="294" t="str">
        <f t="shared" si="203"/>
        <v>41690</v>
      </c>
      <c r="G262" s="295" t="str">
        <f>VLOOKUP(F262,'GL Category'!A:C,3,FALSE)</f>
        <v>FINES AND FEES</v>
      </c>
      <c r="H262" s="98" t="str">
        <f>VLOOKUP(F262,'GL Category'!A:C,2,FALSE)</f>
        <v>MC-JURY FINES</v>
      </c>
      <c r="I262" s="99">
        <f>SUMIF(Import!$B:$B,'Other Fund Line-Item Details'!$A262,Import!D:D)</f>
        <v>-3</v>
      </c>
      <c r="J262" s="99">
        <f>SUMIF(Import!$B:$B,'Other Fund Line-Item Details'!$A262,Import!E:E)</f>
        <v>-5</v>
      </c>
      <c r="K262" s="99">
        <f>SUMIF(Import!$B:$B,'Other Fund Line-Item Details'!$A262,Import!F:F)</f>
        <v>-5</v>
      </c>
      <c r="L262" s="99">
        <f>SUMIF(Import!$B:$B,'Other Fund Line-Item Details'!$A262,Import!G:G)</f>
        <v>0</v>
      </c>
      <c r="M262" s="99">
        <f>SUMIF(Import!$B:$B,'Other Fund Line-Item Details'!$A262,Import!H:H)</f>
        <v>0</v>
      </c>
      <c r="N262" s="99">
        <f>SUMIF(Import!$B:$B,'Other Fund Line-Item Details'!$A262,Import!I:I)</f>
        <v>0</v>
      </c>
      <c r="O262" s="99">
        <f>SUMIF(Import!$B:$B,'Other Fund Line-Item Details'!$A262,Import!J:J)</f>
        <v>0</v>
      </c>
      <c r="P262" s="99">
        <f t="shared" si="241"/>
        <v>0</v>
      </c>
      <c r="Q262" s="99">
        <f>SUMIF(Import!$B:$B,'Other Fund Line-Item Details'!$A262,Import!K:K)</f>
        <v>0</v>
      </c>
      <c r="R262" s="99">
        <f>SUMIF(Import!$B:$B,'Other Fund Line-Item Details'!$A262,Import!L:L)</f>
        <v>0</v>
      </c>
      <c r="S262" s="99">
        <f>SUMIF(Import!$B:$B,'Other Fund Line-Item Details'!$A262,Import!M:M)</f>
        <v>0</v>
      </c>
      <c r="T262" s="99">
        <f>SUMIF(Import!$B:$B,'Other Fund Line-Item Details'!$A262,Import!N:N)</f>
        <v>0</v>
      </c>
      <c r="U262" s="99">
        <f t="shared" si="242"/>
        <v>0</v>
      </c>
      <c r="V262" s="255" t="str">
        <f t="shared" si="243"/>
        <v>N/A</v>
      </c>
      <c r="W262" s="102" t="s">
        <v>1924</v>
      </c>
      <c r="X262" s="121"/>
      <c r="Y262" s="121"/>
      <c r="Z262" s="121"/>
      <c r="AA262" s="121"/>
      <c r="AB262" s="121"/>
      <c r="AC262" s="121"/>
      <c r="AD262" s="121"/>
      <c r="AE262" s="121"/>
      <c r="AF262" s="121"/>
      <c r="AG262" s="121"/>
      <c r="AH262" s="121"/>
      <c r="AI262" s="121"/>
    </row>
    <row r="263" spans="1:35" s="115" customFormat="1" ht="15" customHeight="1">
      <c r="A263" s="555" t="s">
        <v>1925</v>
      </c>
      <c r="B263" s="217" t="str">
        <f t="shared" si="199"/>
        <v>114</v>
      </c>
      <c r="C263" s="217" t="str">
        <f t="shared" si="200"/>
        <v>00</v>
      </c>
      <c r="D263" s="101" t="str">
        <f t="shared" si="201"/>
        <v>000</v>
      </c>
      <c r="E263" s="217" t="str">
        <f t="shared" si="202"/>
        <v>114-00-000</v>
      </c>
      <c r="F263" s="294" t="str">
        <f t="shared" si="203"/>
        <v>47070</v>
      </c>
      <c r="G263" s="295" t="str">
        <f>VLOOKUP(F263,'GL Category'!A:C,3,FALSE)</f>
        <v>OTHER REVENUE</v>
      </c>
      <c r="H263" s="98" t="str">
        <f>VLOOKUP(F263,'GL Category'!A:C,2,FALSE)</f>
        <v>CASH OVER/SHORT</v>
      </c>
      <c r="I263" s="99">
        <f>SUMIF(Import!$B:$B,'Other Fund Line-Item Details'!$A263,Import!D:D)</f>
        <v>0</v>
      </c>
      <c r="J263" s="99">
        <f>SUMIF(Import!$B:$B,'Other Fund Line-Item Details'!$A263,Import!E:E)</f>
        <v>0</v>
      </c>
      <c r="K263" s="99">
        <f>SUMIF(Import!$B:$B,'Other Fund Line-Item Details'!$A263,Import!F:F)</f>
        <v>0</v>
      </c>
      <c r="L263" s="99">
        <f>SUMIF(Import!$B:$B,'Other Fund Line-Item Details'!$A263,Import!G:G)</f>
        <v>0</v>
      </c>
      <c r="M263" s="99">
        <f>SUMIF(Import!$B:$B,'Other Fund Line-Item Details'!$A263,Import!H:H)</f>
        <v>0</v>
      </c>
      <c r="N263" s="99">
        <f>SUMIF(Import!$B:$B,'Other Fund Line-Item Details'!$A263,Import!I:I)</f>
        <v>0</v>
      </c>
      <c r="O263" s="99">
        <f>SUMIF(Import!$B:$B,'Other Fund Line-Item Details'!$A263,Import!J:J)</f>
        <v>0</v>
      </c>
      <c r="P263" s="99">
        <f t="shared" si="241"/>
        <v>0</v>
      </c>
      <c r="Q263" s="99">
        <f>SUMIF(Import!$B:$B,'Other Fund Line-Item Details'!$A263,Import!K:K)</f>
        <v>0</v>
      </c>
      <c r="R263" s="99">
        <f>SUMIF(Import!$B:$B,'Other Fund Line-Item Details'!$A263,Import!L:L)</f>
        <v>0</v>
      </c>
      <c r="S263" s="99">
        <f>SUMIF(Import!$B:$B,'Other Fund Line-Item Details'!$A263,Import!M:M)</f>
        <v>0</v>
      </c>
      <c r="T263" s="99">
        <f>SUMIF(Import!$B:$B,'Other Fund Line-Item Details'!$A263,Import!N:N)</f>
        <v>0</v>
      </c>
      <c r="U263" s="99">
        <f t="shared" si="242"/>
        <v>0</v>
      </c>
      <c r="V263" s="255" t="str">
        <f t="shared" si="243"/>
        <v>N/A</v>
      </c>
      <c r="W263" s="102" t="s">
        <v>1925</v>
      </c>
      <c r="X263" s="121"/>
      <c r="Y263" s="121"/>
      <c r="Z263" s="121"/>
      <c r="AA263" s="121"/>
      <c r="AB263" s="121"/>
      <c r="AC263" s="121"/>
      <c r="AD263" s="121"/>
      <c r="AE263" s="121"/>
      <c r="AF263" s="121"/>
      <c r="AG263" s="121"/>
      <c r="AH263" s="121"/>
      <c r="AI263" s="121"/>
    </row>
    <row r="264" spans="1:35" s="115" customFormat="1" ht="15" customHeight="1">
      <c r="A264" s="555" t="s">
        <v>1926</v>
      </c>
      <c r="B264" s="217" t="str">
        <f t="shared" si="199"/>
        <v>114</v>
      </c>
      <c r="C264" s="217" t="str">
        <f t="shared" si="200"/>
        <v>00</v>
      </c>
      <c r="D264" s="101" t="str">
        <f t="shared" si="201"/>
        <v>000</v>
      </c>
      <c r="E264" s="217" t="str">
        <f t="shared" si="202"/>
        <v>114-00-000</v>
      </c>
      <c r="F264" s="294" t="str">
        <f t="shared" si="203"/>
        <v>47090</v>
      </c>
      <c r="G264" s="295" t="str">
        <f>VLOOKUP(F264,'GL Category'!A:C,3,FALSE)</f>
        <v>OTHER REVENUE</v>
      </c>
      <c r="H264" s="98" t="str">
        <f>VLOOKUP(F264,'GL Category'!A:C,2,FALSE)</f>
        <v>INTEREST REVENUE-INVESTMENTS</v>
      </c>
      <c r="I264" s="99">
        <f>SUMIF(Import!$B:$B,'Other Fund Line-Item Details'!$A264,Import!D:D)</f>
        <v>-9860.43</v>
      </c>
      <c r="J264" s="99">
        <f>SUMIF(Import!$B:$B,'Other Fund Line-Item Details'!$A264,Import!E:E)</f>
        <v>-1634.64</v>
      </c>
      <c r="K264" s="99">
        <f>SUMIF(Import!$B:$B,'Other Fund Line-Item Details'!$A264,Import!F:F)</f>
        <v>-1482.57</v>
      </c>
      <c r="L264" s="99">
        <f>SUMIF(Import!$B:$B,'Other Fund Line-Item Details'!$A264,Import!G:G)</f>
        <v>-10254.11</v>
      </c>
      <c r="M264" s="99">
        <f>SUMIF(Import!$B:$B,'Other Fund Line-Item Details'!$A264,Import!H:H)</f>
        <v>-4703</v>
      </c>
      <c r="N264" s="99">
        <f>SUMIF(Import!$B:$B,'Other Fund Line-Item Details'!$A264,Import!I:I)</f>
        <v>-11177.57</v>
      </c>
      <c r="O264" s="99">
        <f>SUMIF(Import!$B:$B,'Other Fund Line-Item Details'!$A264,Import!J:J)</f>
        <v>-13444</v>
      </c>
      <c r="P264" s="99">
        <f t="shared" si="241"/>
        <v>-8741</v>
      </c>
      <c r="Q264" s="99">
        <f>SUMIF(Import!$B:$B,'Other Fund Line-Item Details'!$A264,Import!K:K)</f>
        <v>-13444</v>
      </c>
      <c r="R264" s="99">
        <f>SUMIF(Import!$B:$B,'Other Fund Line-Item Details'!$A264,Import!L:L)</f>
        <v>0</v>
      </c>
      <c r="S264" s="99">
        <f>SUMIF(Import!$B:$B,'Other Fund Line-Item Details'!$A264,Import!M:M)</f>
        <v>0</v>
      </c>
      <c r="T264" s="99">
        <f>SUMIF(Import!$B:$B,'Other Fund Line-Item Details'!$A264,Import!N:N)</f>
        <v>-13444</v>
      </c>
      <c r="U264" s="99">
        <f t="shared" si="242"/>
        <v>-8741</v>
      </c>
      <c r="V264" s="255">
        <f t="shared" si="243"/>
        <v>1.8586008930469915</v>
      </c>
      <c r="W264" s="102" t="s">
        <v>1926</v>
      </c>
      <c r="X264" s="121"/>
      <c r="Y264" s="121"/>
      <c r="Z264" s="121"/>
      <c r="AA264" s="121"/>
      <c r="AB264" s="121"/>
      <c r="AC264" s="121"/>
      <c r="AD264" s="121"/>
      <c r="AE264" s="121"/>
      <c r="AF264" s="121"/>
      <c r="AG264" s="121"/>
      <c r="AH264" s="121"/>
      <c r="AI264" s="121"/>
    </row>
    <row r="265" spans="1:35" s="115" customFormat="1" ht="15" customHeight="1">
      <c r="A265" s="555" t="s">
        <v>1927</v>
      </c>
      <c r="B265" s="217" t="str">
        <f t="shared" si="199"/>
        <v>114</v>
      </c>
      <c r="C265" s="217" t="str">
        <f t="shared" si="200"/>
        <v>00</v>
      </c>
      <c r="D265" s="101" t="str">
        <f t="shared" si="201"/>
        <v>000</v>
      </c>
      <c r="E265" s="217" t="str">
        <f t="shared" si="202"/>
        <v>114-00-000</v>
      </c>
      <c r="F265" s="294" t="str">
        <f t="shared" si="203"/>
        <v>49100</v>
      </c>
      <c r="G265" s="295" t="str">
        <f>VLOOKUP(F265,'GL Category'!A:C,3,FALSE)</f>
        <v>TRANSFERS IN</v>
      </c>
      <c r="H265" s="98" t="str">
        <f>VLOOKUP(F265,'GL Category'!A:C,2,FALSE)</f>
        <v>TRANSFER FROM GENERAL FUND</v>
      </c>
      <c r="I265" s="99">
        <f>SUMIF(Import!$B:$B,'Other Fund Line-Item Details'!$A265,Import!D:D)</f>
        <v>0</v>
      </c>
      <c r="J265" s="99">
        <f>SUMIF(Import!$B:$B,'Other Fund Line-Item Details'!$A265,Import!E:E)</f>
        <v>0</v>
      </c>
      <c r="K265" s="99">
        <f>SUMIF(Import!$B:$B,'Other Fund Line-Item Details'!$A265,Import!F:F)</f>
        <v>0</v>
      </c>
      <c r="L265" s="99">
        <f>SUMIF(Import!$B:$B,'Other Fund Line-Item Details'!$A265,Import!G:G)</f>
        <v>0</v>
      </c>
      <c r="M265" s="99">
        <f>SUMIF(Import!$B:$B,'Other Fund Line-Item Details'!$A265,Import!H:H)</f>
        <v>0</v>
      </c>
      <c r="N265" s="99">
        <f>SUMIF(Import!$B:$B,'Other Fund Line-Item Details'!$A265,Import!I:I)</f>
        <v>0</v>
      </c>
      <c r="O265" s="99">
        <f>SUMIF(Import!$B:$B,'Other Fund Line-Item Details'!$A265,Import!J:J)</f>
        <v>0</v>
      </c>
      <c r="P265" s="99">
        <f t="shared" si="241"/>
        <v>0</v>
      </c>
      <c r="Q265" s="99">
        <f>SUMIF(Import!$B:$B,'Other Fund Line-Item Details'!$A265,Import!K:K)</f>
        <v>0</v>
      </c>
      <c r="R265" s="99">
        <f>SUMIF(Import!$B:$B,'Other Fund Line-Item Details'!$A265,Import!L:L)</f>
        <v>0</v>
      </c>
      <c r="S265" s="99">
        <f>SUMIF(Import!$B:$B,'Other Fund Line-Item Details'!$A265,Import!M:M)</f>
        <v>0</v>
      </c>
      <c r="T265" s="99">
        <f>SUMIF(Import!$B:$B,'Other Fund Line-Item Details'!$A265,Import!N:N)</f>
        <v>0</v>
      </c>
      <c r="U265" s="99">
        <f t="shared" si="242"/>
        <v>0</v>
      </c>
      <c r="V265" s="255" t="str">
        <f t="shared" si="243"/>
        <v>N/A</v>
      </c>
      <c r="W265" s="102" t="s">
        <v>1927</v>
      </c>
      <c r="X265" s="121"/>
      <c r="Y265" s="121"/>
      <c r="Z265" s="121"/>
      <c r="AA265" s="121"/>
      <c r="AB265" s="121"/>
      <c r="AC265" s="121"/>
      <c r="AD265" s="121"/>
      <c r="AE265" s="121"/>
      <c r="AF265" s="121"/>
      <c r="AG265" s="121"/>
      <c r="AH265" s="121"/>
      <c r="AI265" s="121"/>
    </row>
    <row r="266" spans="1:35" s="115" customFormat="1" ht="15" customHeight="1">
      <c r="A266" s="555" t="s">
        <v>1928</v>
      </c>
      <c r="B266" s="217" t="str">
        <f t="shared" si="199"/>
        <v>114</v>
      </c>
      <c r="C266" s="217" t="str">
        <f t="shared" si="200"/>
        <v>00</v>
      </c>
      <c r="D266" s="101" t="str">
        <f t="shared" si="201"/>
        <v>000</v>
      </c>
      <c r="E266" s="217" t="str">
        <f t="shared" si="202"/>
        <v>114-00-000</v>
      </c>
      <c r="F266" s="294" t="str">
        <f t="shared" si="203"/>
        <v>47099</v>
      </c>
      <c r="G266" s="295" t="str">
        <f>VLOOKUP(F266,'GL Category'!A:C,3,FALSE)</f>
        <v>OTHER REVENUE</v>
      </c>
      <c r="H266" s="98" t="str">
        <f>VLOOKUP(F266,'GL Category'!A:C,2,FALSE)</f>
        <v>INCR/DECR IN FAIR VALUE OF INV</v>
      </c>
      <c r="I266" s="99">
        <f>SUMIF(Import!$B:$B,'Other Fund Line-Item Details'!$A266,Import!D:D)</f>
        <v>0</v>
      </c>
      <c r="J266" s="99">
        <f>SUMIF(Import!$B:$B,'Other Fund Line-Item Details'!$A266,Import!E:E)</f>
        <v>0</v>
      </c>
      <c r="K266" s="99">
        <f>SUMIF(Import!$B:$B,'Other Fund Line-Item Details'!$A266,Import!F:F)</f>
        <v>0</v>
      </c>
      <c r="L266" s="99">
        <f>SUMIF(Import!$B:$B,'Other Fund Line-Item Details'!$A266,Import!G:G)</f>
        <v>0</v>
      </c>
      <c r="M266" s="99">
        <f>SUMIF(Import!$B:$B,'Other Fund Line-Item Details'!$A266,Import!H:H)</f>
        <v>0</v>
      </c>
      <c r="N266" s="99">
        <f>SUMIF(Import!$B:$B,'Other Fund Line-Item Details'!$A266,Import!I:I)</f>
        <v>0</v>
      </c>
      <c r="O266" s="99">
        <f>SUMIF(Import!$B:$B,'Other Fund Line-Item Details'!$A266,Import!J:J)</f>
        <v>0</v>
      </c>
      <c r="P266" s="99">
        <f t="shared" si="241"/>
        <v>0</v>
      </c>
      <c r="Q266" s="99">
        <f>SUMIF(Import!$B:$B,'Other Fund Line-Item Details'!$A266,Import!K:K)</f>
        <v>0</v>
      </c>
      <c r="R266" s="99">
        <f>SUMIF(Import!$B:$B,'Other Fund Line-Item Details'!$A266,Import!L:L)</f>
        <v>0</v>
      </c>
      <c r="S266" s="99">
        <f>SUMIF(Import!$B:$B,'Other Fund Line-Item Details'!$A266,Import!M:M)</f>
        <v>0</v>
      </c>
      <c r="T266" s="99">
        <f>SUMIF(Import!$B:$B,'Other Fund Line-Item Details'!$A266,Import!N:N)</f>
        <v>0</v>
      </c>
      <c r="U266" s="99">
        <f t="shared" si="242"/>
        <v>0</v>
      </c>
      <c r="V266" s="255" t="str">
        <f t="shared" si="243"/>
        <v>N/A</v>
      </c>
      <c r="W266" s="102" t="s">
        <v>1928</v>
      </c>
      <c r="X266" s="121"/>
      <c r="Y266" s="121"/>
      <c r="Z266" s="121"/>
      <c r="AA266" s="121"/>
      <c r="AB266" s="121"/>
      <c r="AC266" s="121"/>
      <c r="AD266" s="121"/>
      <c r="AE266" s="121"/>
      <c r="AF266" s="121"/>
      <c r="AG266" s="121"/>
      <c r="AH266" s="121"/>
      <c r="AI266" s="121"/>
    </row>
    <row r="267" spans="1:35" s="115" customFormat="1" ht="15" customHeight="1">
      <c r="A267" s="555"/>
      <c r="B267" s="217"/>
      <c r="C267" s="217"/>
      <c r="D267" s="101"/>
      <c r="E267" s="217"/>
      <c r="F267" s="294"/>
      <c r="G267" s="146"/>
      <c r="H267" s="107" t="str">
        <f>UPPER(G266)&amp;" TOTAL"</f>
        <v>OTHER REVENUE TOTAL</v>
      </c>
      <c r="I267" s="108">
        <f t="shared" ref="I267" si="244">SUBTOTAL(9,I256:I266)</f>
        <v>-81741.429999999993</v>
      </c>
      <c r="J267" s="108">
        <f t="shared" ref="J267:P267" si="245">SUBTOTAL(9,J256:J266)</f>
        <v>-49847.959999999992</v>
      </c>
      <c r="K267" s="108">
        <f t="shared" ref="K267" si="246">SUBTOTAL(9,K256:K266)</f>
        <v>-57148.34</v>
      </c>
      <c r="L267" s="108">
        <f t="shared" ref="L267" si="247">SUBTOTAL(9,L256:L266)</f>
        <v>-68515.87</v>
      </c>
      <c r="M267" s="108">
        <f t="shared" si="245"/>
        <v>-56197</v>
      </c>
      <c r="N267" s="109">
        <f t="shared" ref="N267" si="248">SUBTOTAL(9,N256:N266)</f>
        <v>-74740.03</v>
      </c>
      <c r="O267" s="109">
        <f t="shared" si="245"/>
        <v>-104962</v>
      </c>
      <c r="P267" s="109">
        <f t="shared" si="245"/>
        <v>-48765</v>
      </c>
      <c r="Q267" s="109">
        <f t="shared" ref="Q267:T267" si="249">SUBTOTAL(9,Q256:Q266)</f>
        <v>-97406</v>
      </c>
      <c r="R267" s="109">
        <f t="shared" si="249"/>
        <v>0</v>
      </c>
      <c r="S267" s="109">
        <f t="shared" si="249"/>
        <v>0</v>
      </c>
      <c r="T267" s="109">
        <f t="shared" si="249"/>
        <v>-97406</v>
      </c>
      <c r="U267" s="99">
        <f t="shared" si="242"/>
        <v>-41209</v>
      </c>
      <c r="V267" s="255">
        <f t="shared" si="243"/>
        <v>0.73329537163905556</v>
      </c>
      <c r="W267" s="102"/>
      <c r="X267" s="121"/>
      <c r="Y267" s="121"/>
      <c r="Z267" s="121"/>
      <c r="AA267" s="121"/>
      <c r="AB267" s="121"/>
      <c r="AC267" s="121"/>
      <c r="AD267" s="121"/>
      <c r="AE267" s="121"/>
      <c r="AF267" s="121"/>
      <c r="AG267" s="121"/>
      <c r="AH267" s="121"/>
      <c r="AI267" s="121"/>
    </row>
    <row r="268" spans="1:35" s="115" customFormat="1" ht="15" customHeight="1">
      <c r="A268" s="555"/>
      <c r="B268" s="217"/>
      <c r="C268" s="217"/>
      <c r="D268" s="101"/>
      <c r="E268" s="217"/>
      <c r="F268" s="294"/>
      <c r="G268" s="146"/>
      <c r="H268" s="98"/>
      <c r="I268" s="106"/>
      <c r="J268" s="106"/>
      <c r="K268" s="106"/>
      <c r="L268" s="106"/>
      <c r="M268" s="106"/>
      <c r="N268" s="112"/>
      <c r="O268" s="112"/>
      <c r="P268" s="112"/>
      <c r="Q268" s="113"/>
      <c r="R268" s="212"/>
      <c r="S268" s="212"/>
      <c r="T268" s="113"/>
      <c r="U268" s="105"/>
      <c r="V268" s="262"/>
      <c r="W268" s="102"/>
      <c r="X268" s="121"/>
      <c r="Y268" s="121"/>
      <c r="Z268" s="121"/>
      <c r="AA268" s="121"/>
      <c r="AB268" s="121"/>
      <c r="AC268" s="121"/>
      <c r="AD268" s="121"/>
      <c r="AE268" s="121"/>
      <c r="AF268" s="121"/>
      <c r="AG268" s="121"/>
      <c r="AH268" s="121"/>
      <c r="AI268" s="121"/>
    </row>
    <row r="269" spans="1:35" s="115" customFormat="1" ht="15" customHeight="1">
      <c r="A269" s="555" t="s">
        <v>1929</v>
      </c>
      <c r="B269" s="217" t="str">
        <f t="shared" si="199"/>
        <v>114</v>
      </c>
      <c r="C269" s="217" t="str">
        <f t="shared" si="200"/>
        <v>16</v>
      </c>
      <c r="D269" s="101" t="str">
        <f t="shared" si="201"/>
        <v>165</v>
      </c>
      <c r="E269" s="217" t="str">
        <f>LEFT(A269,6)</f>
        <v>114-16</v>
      </c>
      <c r="F269" s="294" t="str">
        <f t="shared" si="203"/>
        <v>51245</v>
      </c>
      <c r="G269" s="295" t="str">
        <f>VLOOKUP(F269,'GL Category'!A:C,3,FALSE)</f>
        <v>Operations &amp; maintenance</v>
      </c>
      <c r="H269" s="98" t="str">
        <f>VLOOKUP(F269,'GL Category'!A:C,2,FALSE)</f>
        <v>SMALL TOOLS &amp; EQUIPMENT</v>
      </c>
      <c r="I269" s="99">
        <f>SUMIF(Import!$B:$B,'Other Fund Line-Item Details'!$A269,Import!D:D)</f>
        <v>0</v>
      </c>
      <c r="J269" s="99">
        <f>SUMIF(Import!$B:$B,'Other Fund Line-Item Details'!$A269,Import!E:E)</f>
        <v>0</v>
      </c>
      <c r="K269" s="99">
        <f>SUMIF(Import!$B:$B,'Other Fund Line-Item Details'!$A269,Import!F:F)</f>
        <v>0</v>
      </c>
      <c r="L269" s="99">
        <f>SUMIF(Import!$B:$B,'Other Fund Line-Item Details'!$A269,Import!G:G)</f>
        <v>0</v>
      </c>
      <c r="M269" s="99">
        <f>SUMIF(Import!$B:$B,'Other Fund Line-Item Details'!$A269,Import!H:H)</f>
        <v>0</v>
      </c>
      <c r="N269" s="99">
        <f>SUMIF(Import!$B:$B,'Other Fund Line-Item Details'!$A269,Import!I:I)</f>
        <v>0</v>
      </c>
      <c r="O269" s="99">
        <f>SUMIF(Import!$B:$B,'Other Fund Line-Item Details'!$A269,Import!J:J)</f>
        <v>0</v>
      </c>
      <c r="P269" s="99">
        <f t="shared" ref="P269:P283" si="250">O269-M269</f>
        <v>0</v>
      </c>
      <c r="Q269" s="99">
        <f>SUMIF(Import!$B:$B,'Other Fund Line-Item Details'!$A269,Import!K:K)</f>
        <v>0</v>
      </c>
      <c r="R269" s="99">
        <f>SUMIF(Import!$B:$B,'Other Fund Line-Item Details'!$A269,Import!L:L)</f>
        <v>0</v>
      </c>
      <c r="S269" s="99">
        <f>SUMIF(Import!$B:$B,'Other Fund Line-Item Details'!$A269,Import!M:M)</f>
        <v>0</v>
      </c>
      <c r="T269" s="99">
        <f>SUMIF(Import!$B:$B,'Other Fund Line-Item Details'!$A269,Import!N:N)</f>
        <v>0</v>
      </c>
      <c r="U269" s="99">
        <f t="shared" ref="U269:U284" si="251">T269-M269</f>
        <v>0</v>
      </c>
      <c r="V269" s="255" t="str">
        <f t="shared" ref="V269:V284" si="252">IF(M269=0,"N/A",T269/M269-1)</f>
        <v>N/A</v>
      </c>
      <c r="W269" s="102" t="s">
        <v>1929</v>
      </c>
      <c r="X269" s="121"/>
      <c r="Y269" s="121"/>
      <c r="Z269" s="121"/>
      <c r="AA269" s="121"/>
      <c r="AB269" s="121"/>
      <c r="AC269" s="121"/>
      <c r="AD269" s="121"/>
      <c r="AE269" s="121"/>
      <c r="AF269" s="121"/>
      <c r="AG269" s="121"/>
      <c r="AH269" s="121"/>
      <c r="AI269" s="121"/>
    </row>
    <row r="270" spans="1:35" s="115" customFormat="1" ht="15" customHeight="1">
      <c r="A270" s="555" t="s">
        <v>1930</v>
      </c>
      <c r="B270" s="217" t="str">
        <f t="shared" si="199"/>
        <v>114</v>
      </c>
      <c r="C270" s="217" t="str">
        <f t="shared" si="200"/>
        <v>16</v>
      </c>
      <c r="D270" s="101" t="str">
        <f t="shared" si="201"/>
        <v>165</v>
      </c>
      <c r="E270" s="217" t="str">
        <f t="shared" ref="E270:E283" si="253">LEFT(A270,6)</f>
        <v>114-16</v>
      </c>
      <c r="F270" s="294" t="str">
        <f t="shared" si="203"/>
        <v>51210</v>
      </c>
      <c r="G270" s="295" t="str">
        <f>VLOOKUP(F270,'GL Category'!A:C,3,FALSE)</f>
        <v>Operations &amp; maintenance</v>
      </c>
      <c r="H270" s="98" t="str">
        <f>VLOOKUP(F270,'GL Category'!A:C,2,FALSE)</f>
        <v>OFFICE SUPPLIES</v>
      </c>
      <c r="I270" s="99">
        <f>SUMIF(Import!$B:$B,'Other Fund Line-Item Details'!$A270,Import!D:D)</f>
        <v>0</v>
      </c>
      <c r="J270" s="99">
        <f>SUMIF(Import!$B:$B,'Other Fund Line-Item Details'!$A270,Import!E:E)</f>
        <v>0</v>
      </c>
      <c r="K270" s="99">
        <f>SUMIF(Import!$B:$B,'Other Fund Line-Item Details'!$A270,Import!F:F)</f>
        <v>0</v>
      </c>
      <c r="L270" s="99">
        <f>SUMIF(Import!$B:$B,'Other Fund Line-Item Details'!$A270,Import!G:G)</f>
        <v>0</v>
      </c>
      <c r="M270" s="99">
        <f>SUMIF(Import!$B:$B,'Other Fund Line-Item Details'!$A270,Import!H:H)</f>
        <v>0</v>
      </c>
      <c r="N270" s="99">
        <f>SUMIF(Import!$B:$B,'Other Fund Line-Item Details'!$A270,Import!I:I)</f>
        <v>0</v>
      </c>
      <c r="O270" s="99">
        <f>SUMIF(Import!$B:$B,'Other Fund Line-Item Details'!$A270,Import!J:J)</f>
        <v>0</v>
      </c>
      <c r="P270" s="99">
        <f t="shared" si="250"/>
        <v>0</v>
      </c>
      <c r="Q270" s="99">
        <f>SUMIF(Import!$B:$B,'Other Fund Line-Item Details'!$A270,Import!K:K)</f>
        <v>0</v>
      </c>
      <c r="R270" s="99">
        <f>SUMIF(Import!$B:$B,'Other Fund Line-Item Details'!$A270,Import!L:L)</f>
        <v>0</v>
      </c>
      <c r="S270" s="99">
        <f>SUMIF(Import!$B:$B,'Other Fund Line-Item Details'!$A270,Import!M:M)</f>
        <v>0</v>
      </c>
      <c r="T270" s="99">
        <f>SUMIF(Import!$B:$B,'Other Fund Line-Item Details'!$A270,Import!N:N)</f>
        <v>0</v>
      </c>
      <c r="U270" s="99">
        <f t="shared" si="251"/>
        <v>0</v>
      </c>
      <c r="V270" s="255" t="str">
        <f t="shared" si="252"/>
        <v>N/A</v>
      </c>
      <c r="W270" s="102" t="s">
        <v>1930</v>
      </c>
      <c r="X270" s="121"/>
      <c r="Y270" s="121"/>
      <c r="Z270" s="121"/>
      <c r="AA270" s="121"/>
      <c r="AB270" s="121"/>
      <c r="AC270" s="121"/>
      <c r="AD270" s="121"/>
      <c r="AE270" s="121"/>
      <c r="AF270" s="121"/>
      <c r="AG270" s="121"/>
      <c r="AH270" s="121"/>
      <c r="AI270" s="121"/>
    </row>
    <row r="271" spans="1:35" s="115" customFormat="1" ht="15" customHeight="1">
      <c r="A271" s="555" t="s">
        <v>3366</v>
      </c>
      <c r="B271" s="217" t="str">
        <f t="shared" ref="B271" si="254">LEFT(A271,3)</f>
        <v>114</v>
      </c>
      <c r="C271" s="217" t="str">
        <f t="shared" ref="C271" si="255">MID(A271,5,2)</f>
        <v>16</v>
      </c>
      <c r="D271" s="101" t="str">
        <f t="shared" ref="D271" si="256">MID(A271,8,3)</f>
        <v>161</v>
      </c>
      <c r="E271" s="217" t="str">
        <f t="shared" ref="E271" si="257">LEFT(A271,6)</f>
        <v>114-16</v>
      </c>
      <c r="F271" s="294" t="str">
        <f t="shared" ref="F271" si="258">RIGHT(A271,5)</f>
        <v>53599</v>
      </c>
      <c r="G271" s="295" t="str">
        <f>VLOOKUP(F271,'GL Category'!A:C,3,FALSE)</f>
        <v>Services &amp; other</v>
      </c>
      <c r="H271" s="98" t="str">
        <f>VLOOKUP(F271,'GL Category'!A:C,2,FALSE)</f>
        <v>MISCELLANEOUS SERVICES</v>
      </c>
      <c r="I271" s="99">
        <f>SUMIF(Import!$B:$B,'Other Fund Line-Item Details'!$A271,Import!D:D)</f>
        <v>0</v>
      </c>
      <c r="J271" s="99">
        <f>SUMIF(Import!$B:$B,'Other Fund Line-Item Details'!$A271,Import!E:E)</f>
        <v>0</v>
      </c>
      <c r="K271" s="99">
        <f>SUMIF(Import!$B:$B,'Other Fund Line-Item Details'!$A271,Import!F:F)</f>
        <v>0</v>
      </c>
      <c r="L271" s="99">
        <f>SUMIF(Import!$B:$B,'Other Fund Line-Item Details'!$A271,Import!G:G)</f>
        <v>0</v>
      </c>
      <c r="M271" s="99">
        <f>SUMIF(Import!$B:$B,'Other Fund Line-Item Details'!$A271,Import!H:H)</f>
        <v>40466</v>
      </c>
      <c r="N271" s="99">
        <f>SUMIF(Import!$B:$B,'Other Fund Line-Item Details'!$A271,Import!I:I)</f>
        <v>0</v>
      </c>
      <c r="O271" s="99">
        <f>SUMIF(Import!$B:$B,'Other Fund Line-Item Details'!$A271,Import!J:J)</f>
        <v>40466</v>
      </c>
      <c r="P271" s="99">
        <f t="shared" ref="P271" si="259">O271-M271</f>
        <v>0</v>
      </c>
      <c r="Q271" s="99">
        <f>SUMIF(Import!$B:$B,'Other Fund Line-Item Details'!$A271,Import!K:K)</f>
        <v>43462</v>
      </c>
      <c r="R271" s="99">
        <f>SUMIF(Import!$B:$B,'Other Fund Line-Item Details'!$A271,Import!L:L)</f>
        <v>0</v>
      </c>
      <c r="S271" s="99">
        <f>SUMIF(Import!$B:$B,'Other Fund Line-Item Details'!$A271,Import!M:M)</f>
        <v>0</v>
      </c>
      <c r="T271" s="99">
        <f>SUMIF(Import!$B:$B,'Other Fund Line-Item Details'!$A271,Import!N:N)</f>
        <v>43462</v>
      </c>
      <c r="U271" s="99">
        <f t="shared" ref="U271" si="260">T271-M271</f>
        <v>2996</v>
      </c>
      <c r="V271" s="255">
        <f t="shared" ref="V271" si="261">IF(M271=0,"N/A",T271/M271-1)</f>
        <v>7.4037463549646576E-2</v>
      </c>
      <c r="W271" s="102" t="s">
        <v>1931</v>
      </c>
      <c r="X271" s="121"/>
      <c r="Y271" s="121"/>
      <c r="Z271" s="121"/>
      <c r="AA271" s="121"/>
      <c r="AB271" s="121"/>
      <c r="AC271" s="121"/>
      <c r="AD271" s="121"/>
      <c r="AE271" s="121"/>
      <c r="AF271" s="121"/>
      <c r="AG271" s="121"/>
      <c r="AH271" s="121"/>
      <c r="AI271" s="121"/>
    </row>
    <row r="272" spans="1:35" s="115" customFormat="1" ht="15" customHeight="1">
      <c r="A272" s="555" t="s">
        <v>1931</v>
      </c>
      <c r="B272" s="217" t="str">
        <f t="shared" si="199"/>
        <v>114</v>
      </c>
      <c r="C272" s="217" t="str">
        <f t="shared" si="200"/>
        <v>16</v>
      </c>
      <c r="D272" s="101" t="str">
        <f t="shared" si="201"/>
        <v>165</v>
      </c>
      <c r="E272" s="217" t="str">
        <f t="shared" si="253"/>
        <v>114-16</v>
      </c>
      <c r="F272" s="294" t="str">
        <f t="shared" si="203"/>
        <v>53599</v>
      </c>
      <c r="G272" s="295" t="str">
        <f>VLOOKUP(F272,'GL Category'!A:C,3,FALSE)</f>
        <v>Services &amp; other</v>
      </c>
      <c r="H272" s="98" t="str">
        <f>VLOOKUP(F272,'GL Category'!A:C,2,FALSE)</f>
        <v>MISCELLANEOUS SERVICES</v>
      </c>
      <c r="I272" s="99">
        <f>SUMIF(Import!$B:$B,'Other Fund Line-Item Details'!$A272,Import!D:D)</f>
        <v>8878.77</v>
      </c>
      <c r="J272" s="99">
        <f>SUMIF(Import!$B:$B,'Other Fund Line-Item Details'!$A272,Import!E:E)</f>
        <v>54522.17</v>
      </c>
      <c r="K272" s="99">
        <f>SUMIF(Import!$B:$B,'Other Fund Line-Item Details'!$A272,Import!F:F)</f>
        <v>36868</v>
      </c>
      <c r="L272" s="99">
        <f>SUMIF(Import!$B:$B,'Other Fund Line-Item Details'!$A272,Import!G:G)</f>
        <v>0</v>
      </c>
      <c r="M272" s="99">
        <f>SUMIF(Import!$B:$B,'Other Fund Line-Item Details'!$A272,Import!H:H)</f>
        <v>15000</v>
      </c>
      <c r="N272" s="99">
        <f>SUMIF(Import!$B:$B,'Other Fund Line-Item Details'!$A272,Import!I:I)</f>
        <v>0</v>
      </c>
      <c r="O272" s="99">
        <f>SUMIF(Import!$B:$B,'Other Fund Line-Item Details'!$A272,Import!J:J)</f>
        <v>15000</v>
      </c>
      <c r="P272" s="99">
        <f t="shared" si="250"/>
        <v>0</v>
      </c>
      <c r="Q272" s="99">
        <f>SUMIF(Import!$B:$B,'Other Fund Line-Item Details'!$A272,Import!K:K)</f>
        <v>15000</v>
      </c>
      <c r="R272" s="99">
        <f>SUMIF(Import!$B:$B,'Other Fund Line-Item Details'!$A272,Import!L:L)</f>
        <v>0</v>
      </c>
      <c r="S272" s="99">
        <f>SUMIF(Import!$B:$B,'Other Fund Line-Item Details'!$A272,Import!M:M)</f>
        <v>0</v>
      </c>
      <c r="T272" s="99">
        <f>SUMIF(Import!$B:$B,'Other Fund Line-Item Details'!$A272,Import!N:N)</f>
        <v>15000</v>
      </c>
      <c r="U272" s="99">
        <f t="shared" si="251"/>
        <v>0</v>
      </c>
      <c r="V272" s="255">
        <f t="shared" si="252"/>
        <v>0</v>
      </c>
      <c r="W272" s="102" t="s">
        <v>1931</v>
      </c>
      <c r="X272" s="121"/>
      <c r="Y272" s="121"/>
      <c r="Z272" s="121"/>
      <c r="AA272" s="121"/>
      <c r="AB272" s="121"/>
      <c r="AC272" s="121"/>
      <c r="AD272" s="121"/>
      <c r="AE272" s="121"/>
      <c r="AF272" s="121"/>
      <c r="AG272" s="121"/>
      <c r="AH272" s="121"/>
      <c r="AI272" s="121"/>
    </row>
    <row r="273" spans="1:35" s="115" customFormat="1" ht="15" customHeight="1">
      <c r="A273" s="555" t="s">
        <v>1932</v>
      </c>
      <c r="B273" s="217" t="str">
        <f t="shared" si="199"/>
        <v>114</v>
      </c>
      <c r="C273" s="217" t="str">
        <f t="shared" si="200"/>
        <v>16</v>
      </c>
      <c r="D273" s="101" t="str">
        <f t="shared" si="201"/>
        <v>166</v>
      </c>
      <c r="E273" s="217" t="str">
        <f t="shared" si="253"/>
        <v>114-16</v>
      </c>
      <c r="F273" s="294" t="str">
        <f t="shared" si="203"/>
        <v>51245</v>
      </c>
      <c r="G273" s="295" t="str">
        <f>VLOOKUP(F273,'GL Category'!A:C,3,FALSE)</f>
        <v>Operations &amp; maintenance</v>
      </c>
      <c r="H273" s="98" t="str">
        <f>VLOOKUP(F273,'GL Category'!A:C,2,FALSE)</f>
        <v>SMALL TOOLS &amp; EQUIPMENT</v>
      </c>
      <c r="I273" s="99">
        <f>SUMIF(Import!$B:$B,'Other Fund Line-Item Details'!$A273,Import!D:D)</f>
        <v>0</v>
      </c>
      <c r="J273" s="99">
        <f>SUMIF(Import!$B:$B,'Other Fund Line-Item Details'!$A273,Import!E:E)</f>
        <v>0</v>
      </c>
      <c r="K273" s="99">
        <f>SUMIF(Import!$B:$B,'Other Fund Line-Item Details'!$A273,Import!F:F)</f>
        <v>0</v>
      </c>
      <c r="L273" s="99">
        <f>SUMIF(Import!$B:$B,'Other Fund Line-Item Details'!$A273,Import!G:G)</f>
        <v>0</v>
      </c>
      <c r="M273" s="99">
        <f>SUMIF(Import!$B:$B,'Other Fund Line-Item Details'!$A273,Import!H:H)</f>
        <v>0</v>
      </c>
      <c r="N273" s="99">
        <f>SUMIF(Import!$B:$B,'Other Fund Line-Item Details'!$A273,Import!I:I)</f>
        <v>0</v>
      </c>
      <c r="O273" s="99">
        <f>SUMIF(Import!$B:$B,'Other Fund Line-Item Details'!$A273,Import!J:J)</f>
        <v>0</v>
      </c>
      <c r="P273" s="99">
        <f t="shared" si="250"/>
        <v>0</v>
      </c>
      <c r="Q273" s="99">
        <f>SUMIF(Import!$B:$B,'Other Fund Line-Item Details'!$A273,Import!K:K)</f>
        <v>0</v>
      </c>
      <c r="R273" s="99">
        <f>SUMIF(Import!$B:$B,'Other Fund Line-Item Details'!$A273,Import!L:L)</f>
        <v>0</v>
      </c>
      <c r="S273" s="99">
        <f>SUMIF(Import!$B:$B,'Other Fund Line-Item Details'!$A273,Import!M:M)</f>
        <v>0</v>
      </c>
      <c r="T273" s="99">
        <f>SUMIF(Import!$B:$B,'Other Fund Line-Item Details'!$A273,Import!N:N)</f>
        <v>0</v>
      </c>
      <c r="U273" s="99">
        <f t="shared" si="251"/>
        <v>0</v>
      </c>
      <c r="V273" s="255" t="str">
        <f t="shared" si="252"/>
        <v>N/A</v>
      </c>
      <c r="W273" s="102" t="s">
        <v>1932</v>
      </c>
      <c r="X273" s="121"/>
      <c r="Y273" s="121"/>
      <c r="Z273" s="121"/>
      <c r="AA273" s="121"/>
      <c r="AB273" s="121"/>
      <c r="AC273" s="121"/>
      <c r="AD273" s="121"/>
      <c r="AE273" s="121"/>
      <c r="AF273" s="121"/>
      <c r="AG273" s="121"/>
      <c r="AH273" s="121"/>
      <c r="AI273" s="121"/>
    </row>
    <row r="274" spans="1:35" s="115" customFormat="1" ht="15" customHeight="1">
      <c r="A274" s="555" t="s">
        <v>1933</v>
      </c>
      <c r="B274" s="217" t="str">
        <f t="shared" si="199"/>
        <v>114</v>
      </c>
      <c r="C274" s="217" t="str">
        <f t="shared" si="200"/>
        <v>16</v>
      </c>
      <c r="D274" s="101" t="str">
        <f t="shared" si="201"/>
        <v>166</v>
      </c>
      <c r="E274" s="217" t="str">
        <f t="shared" si="253"/>
        <v>114-16</v>
      </c>
      <c r="F274" s="294" t="str">
        <f t="shared" si="203"/>
        <v>52480</v>
      </c>
      <c r="G274" s="295" t="str">
        <f>VLOOKUP(F274,'GL Category'!A:C,3,FALSE)</f>
        <v>Operations &amp; maintenance</v>
      </c>
      <c r="H274" s="98" t="str">
        <f>VLOOKUP(F274,'GL Category'!A:C,2,FALSE)</f>
        <v>OFFICE EQUIPMENT MAINTENANCE</v>
      </c>
      <c r="I274" s="99">
        <f>SUMIF(Import!$B:$B,'Other Fund Line-Item Details'!$A274,Import!D:D)</f>
        <v>2900</v>
      </c>
      <c r="J274" s="99">
        <f>SUMIF(Import!$B:$B,'Other Fund Line-Item Details'!$A274,Import!E:E)</f>
        <v>2900</v>
      </c>
      <c r="K274" s="99">
        <f>SUMIF(Import!$B:$B,'Other Fund Line-Item Details'!$A274,Import!F:F)</f>
        <v>2900</v>
      </c>
      <c r="L274" s="99">
        <f>SUMIF(Import!$B:$B,'Other Fund Line-Item Details'!$A274,Import!G:G)</f>
        <v>0</v>
      </c>
      <c r="M274" s="99">
        <f>SUMIF(Import!$B:$B,'Other Fund Line-Item Details'!$A274,Import!H:H)</f>
        <v>0</v>
      </c>
      <c r="N274" s="99">
        <f>SUMIF(Import!$B:$B,'Other Fund Line-Item Details'!$A274,Import!I:I)</f>
        <v>0</v>
      </c>
      <c r="O274" s="99">
        <f>SUMIF(Import!$B:$B,'Other Fund Line-Item Details'!$A274,Import!J:J)</f>
        <v>0</v>
      </c>
      <c r="P274" s="99">
        <f t="shared" si="250"/>
        <v>0</v>
      </c>
      <c r="Q274" s="99">
        <f>SUMIF(Import!$B:$B,'Other Fund Line-Item Details'!$A274,Import!K:K)</f>
        <v>0</v>
      </c>
      <c r="R274" s="99">
        <f>SUMIF(Import!$B:$B,'Other Fund Line-Item Details'!$A274,Import!L:L)</f>
        <v>0</v>
      </c>
      <c r="S274" s="99">
        <f>SUMIF(Import!$B:$B,'Other Fund Line-Item Details'!$A274,Import!M:M)</f>
        <v>0</v>
      </c>
      <c r="T274" s="99">
        <f>SUMIF(Import!$B:$B,'Other Fund Line-Item Details'!$A274,Import!N:N)</f>
        <v>0</v>
      </c>
      <c r="U274" s="99">
        <f t="shared" si="251"/>
        <v>0</v>
      </c>
      <c r="V274" s="255" t="str">
        <f t="shared" si="252"/>
        <v>N/A</v>
      </c>
      <c r="W274" s="102" t="s">
        <v>1933</v>
      </c>
      <c r="X274" s="121"/>
      <c r="Y274" s="121"/>
      <c r="Z274" s="121"/>
      <c r="AA274" s="121"/>
      <c r="AB274" s="121"/>
      <c r="AC274" s="121"/>
      <c r="AD274" s="121"/>
      <c r="AE274" s="121"/>
      <c r="AF274" s="121"/>
      <c r="AG274" s="121"/>
      <c r="AH274" s="121"/>
      <c r="AI274" s="121"/>
    </row>
    <row r="275" spans="1:35" s="115" customFormat="1" ht="15" customHeight="1">
      <c r="A275" s="555" t="s">
        <v>1934</v>
      </c>
      <c r="B275" s="217" t="str">
        <f t="shared" si="199"/>
        <v>114</v>
      </c>
      <c r="C275" s="217" t="str">
        <f t="shared" si="200"/>
        <v>16</v>
      </c>
      <c r="D275" s="101" t="str">
        <f t="shared" si="201"/>
        <v>166</v>
      </c>
      <c r="E275" s="217" t="str">
        <f t="shared" si="253"/>
        <v>114-16</v>
      </c>
      <c r="F275" s="294" t="str">
        <f t="shared" si="203"/>
        <v>51210</v>
      </c>
      <c r="G275" s="295" t="str">
        <f>VLOOKUP(F275,'GL Category'!A:C,3,FALSE)</f>
        <v>Operations &amp; maintenance</v>
      </c>
      <c r="H275" s="98" t="str">
        <f>VLOOKUP(F275,'GL Category'!A:C,2,FALSE)</f>
        <v>OFFICE SUPPLIES</v>
      </c>
      <c r="I275" s="99">
        <f>SUMIF(Import!$B:$B,'Other Fund Line-Item Details'!$A275,Import!D:D)</f>
        <v>25784</v>
      </c>
      <c r="J275" s="99">
        <f>SUMIF(Import!$B:$B,'Other Fund Line-Item Details'!$A275,Import!E:E)</f>
        <v>0</v>
      </c>
      <c r="K275" s="99">
        <f>SUMIF(Import!$B:$B,'Other Fund Line-Item Details'!$A275,Import!F:F)</f>
        <v>0</v>
      </c>
      <c r="L275" s="99">
        <f>SUMIF(Import!$B:$B,'Other Fund Line-Item Details'!$A275,Import!G:G)</f>
        <v>0</v>
      </c>
      <c r="M275" s="99">
        <f>SUMIF(Import!$B:$B,'Other Fund Line-Item Details'!$A275,Import!H:H)</f>
        <v>0</v>
      </c>
      <c r="N275" s="99">
        <f>SUMIF(Import!$B:$B,'Other Fund Line-Item Details'!$A275,Import!I:I)</f>
        <v>0</v>
      </c>
      <c r="O275" s="99">
        <f>SUMIF(Import!$B:$B,'Other Fund Line-Item Details'!$A275,Import!J:J)</f>
        <v>0</v>
      </c>
      <c r="P275" s="99">
        <f t="shared" si="250"/>
        <v>0</v>
      </c>
      <c r="Q275" s="99">
        <f>SUMIF(Import!$B:$B,'Other Fund Line-Item Details'!$A275,Import!K:K)</f>
        <v>0</v>
      </c>
      <c r="R275" s="99">
        <f>SUMIF(Import!$B:$B,'Other Fund Line-Item Details'!$A275,Import!L:L)</f>
        <v>0</v>
      </c>
      <c r="S275" s="99">
        <f>SUMIF(Import!$B:$B,'Other Fund Line-Item Details'!$A275,Import!M:M)</f>
        <v>0</v>
      </c>
      <c r="T275" s="99">
        <f>SUMIF(Import!$B:$B,'Other Fund Line-Item Details'!$A275,Import!N:N)</f>
        <v>0</v>
      </c>
      <c r="U275" s="99">
        <f t="shared" si="251"/>
        <v>0</v>
      </c>
      <c r="V275" s="255" t="str">
        <f t="shared" si="252"/>
        <v>N/A</v>
      </c>
      <c r="W275" s="102" t="s">
        <v>1934</v>
      </c>
      <c r="X275" s="121"/>
      <c r="Y275" s="121"/>
      <c r="Z275" s="121"/>
      <c r="AA275" s="121"/>
      <c r="AB275" s="121"/>
      <c r="AC275" s="121"/>
      <c r="AD275" s="121"/>
      <c r="AE275" s="121"/>
      <c r="AF275" s="121"/>
      <c r="AG275" s="121"/>
      <c r="AH275" s="121"/>
      <c r="AI275" s="121"/>
    </row>
    <row r="276" spans="1:35" s="115" customFormat="1" ht="15" customHeight="1">
      <c r="A276" s="555" t="s">
        <v>1935</v>
      </c>
      <c r="B276" s="217" t="str">
        <f t="shared" si="199"/>
        <v>114</v>
      </c>
      <c r="C276" s="217" t="str">
        <f t="shared" si="200"/>
        <v>16</v>
      </c>
      <c r="D276" s="101" t="str">
        <f t="shared" si="201"/>
        <v>166</v>
      </c>
      <c r="E276" s="217" t="str">
        <f t="shared" si="253"/>
        <v>114-16</v>
      </c>
      <c r="F276" s="294" t="str">
        <f t="shared" si="203"/>
        <v>55119</v>
      </c>
      <c r="G276" s="295" t="str">
        <f>VLOOKUP(F276,'GL Category'!A:C,3,FALSE)</f>
        <v>Services &amp; other</v>
      </c>
      <c r="H276" s="98" t="str">
        <f>VLOOKUP(F276,'GL Category'!A:C,2,FALSE)</f>
        <v>OFFICE EQUIP LEASE EXP-CITY</v>
      </c>
      <c r="I276" s="99">
        <f>SUMIF(Import!$B:$B,'Other Fund Line-Item Details'!$A276,Import!D:D)</f>
        <v>0</v>
      </c>
      <c r="J276" s="99">
        <f>SUMIF(Import!$B:$B,'Other Fund Line-Item Details'!$A276,Import!E:E)</f>
        <v>0</v>
      </c>
      <c r="K276" s="99">
        <f>SUMIF(Import!$B:$B,'Other Fund Line-Item Details'!$A276,Import!F:F)</f>
        <v>0</v>
      </c>
      <c r="L276" s="99">
        <f>SUMIF(Import!$B:$B,'Other Fund Line-Item Details'!$A276,Import!G:G)</f>
        <v>0</v>
      </c>
      <c r="M276" s="99">
        <f>SUMIF(Import!$B:$B,'Other Fund Line-Item Details'!$A276,Import!H:H)</f>
        <v>0</v>
      </c>
      <c r="N276" s="99">
        <f>SUMIF(Import!$B:$B,'Other Fund Line-Item Details'!$A276,Import!I:I)</f>
        <v>0</v>
      </c>
      <c r="O276" s="99">
        <f>SUMIF(Import!$B:$B,'Other Fund Line-Item Details'!$A276,Import!J:J)</f>
        <v>0</v>
      </c>
      <c r="P276" s="99">
        <f t="shared" si="250"/>
        <v>0</v>
      </c>
      <c r="Q276" s="99">
        <f>SUMIF(Import!$B:$B,'Other Fund Line-Item Details'!$A276,Import!K:K)</f>
        <v>0</v>
      </c>
      <c r="R276" s="99">
        <f>SUMIF(Import!$B:$B,'Other Fund Line-Item Details'!$A276,Import!L:L)</f>
        <v>0</v>
      </c>
      <c r="S276" s="99">
        <f>SUMIF(Import!$B:$B,'Other Fund Line-Item Details'!$A276,Import!M:M)</f>
        <v>0</v>
      </c>
      <c r="T276" s="99">
        <f>SUMIF(Import!$B:$B,'Other Fund Line-Item Details'!$A276,Import!N:N)</f>
        <v>0</v>
      </c>
      <c r="U276" s="99">
        <f t="shared" si="251"/>
        <v>0</v>
      </c>
      <c r="V276" s="255" t="str">
        <f t="shared" si="252"/>
        <v>N/A</v>
      </c>
      <c r="W276" s="102" t="s">
        <v>1935</v>
      </c>
      <c r="X276" s="121"/>
      <c r="Y276" s="121"/>
      <c r="Z276" s="121"/>
      <c r="AA276" s="121"/>
      <c r="AB276" s="121"/>
      <c r="AC276" s="121"/>
      <c r="AD276" s="121"/>
      <c r="AE276" s="121"/>
      <c r="AF276" s="121"/>
      <c r="AG276" s="121"/>
      <c r="AH276" s="121"/>
      <c r="AI276" s="121"/>
    </row>
    <row r="277" spans="1:35" s="115" customFormat="1" ht="15" customHeight="1">
      <c r="A277" s="555" t="s">
        <v>1936</v>
      </c>
      <c r="B277" s="217" t="str">
        <f t="shared" si="199"/>
        <v>114</v>
      </c>
      <c r="C277" s="217" t="str">
        <f t="shared" si="200"/>
        <v>16</v>
      </c>
      <c r="D277" s="101" t="str">
        <f t="shared" si="201"/>
        <v>166</v>
      </c>
      <c r="E277" s="217" t="str">
        <f t="shared" si="253"/>
        <v>114-16</v>
      </c>
      <c r="F277" s="294" t="str">
        <f t="shared" si="203"/>
        <v>58835</v>
      </c>
      <c r="G277" s="295" t="str">
        <f>VLOOKUP(F277,'GL Category'!A:C,3,FALSE)</f>
        <v>Capital Outlay</v>
      </c>
      <c r="H277" s="98" t="str">
        <f>VLOOKUP(F277,'GL Category'!A:C,2,FALSE)</f>
        <v>OFFICE MACHINERY &amp; EQUIPMENT</v>
      </c>
      <c r="I277" s="99">
        <f>SUMIF(Import!$B:$B,'Other Fund Line-Item Details'!$A277,Import!D:D)</f>
        <v>0</v>
      </c>
      <c r="J277" s="99">
        <f>SUMIF(Import!$B:$B,'Other Fund Line-Item Details'!$A277,Import!E:E)</f>
        <v>0</v>
      </c>
      <c r="K277" s="99">
        <f>SUMIF(Import!$B:$B,'Other Fund Line-Item Details'!$A277,Import!F:F)</f>
        <v>0</v>
      </c>
      <c r="L277" s="99">
        <f>SUMIF(Import!$B:$B,'Other Fund Line-Item Details'!$A277,Import!G:G)</f>
        <v>0</v>
      </c>
      <c r="M277" s="99">
        <f>SUMIF(Import!$B:$B,'Other Fund Line-Item Details'!$A277,Import!H:H)</f>
        <v>0</v>
      </c>
      <c r="N277" s="99">
        <f>SUMIF(Import!$B:$B,'Other Fund Line-Item Details'!$A277,Import!I:I)</f>
        <v>0</v>
      </c>
      <c r="O277" s="99">
        <f>SUMIF(Import!$B:$B,'Other Fund Line-Item Details'!$A277,Import!J:J)</f>
        <v>0</v>
      </c>
      <c r="P277" s="99">
        <f t="shared" si="250"/>
        <v>0</v>
      </c>
      <c r="Q277" s="99">
        <f>SUMIF(Import!$B:$B,'Other Fund Line-Item Details'!$A277,Import!K:K)</f>
        <v>0</v>
      </c>
      <c r="R277" s="99">
        <f>SUMIF(Import!$B:$B,'Other Fund Line-Item Details'!$A277,Import!L:L)</f>
        <v>0</v>
      </c>
      <c r="S277" s="99">
        <f>SUMIF(Import!$B:$B,'Other Fund Line-Item Details'!$A277,Import!M:M)</f>
        <v>0</v>
      </c>
      <c r="T277" s="99">
        <f>SUMIF(Import!$B:$B,'Other Fund Line-Item Details'!$A277,Import!N:N)</f>
        <v>0</v>
      </c>
      <c r="U277" s="99">
        <f t="shared" si="251"/>
        <v>0</v>
      </c>
      <c r="V277" s="255" t="str">
        <f t="shared" si="252"/>
        <v>N/A</v>
      </c>
      <c r="W277" s="102" t="s">
        <v>1936</v>
      </c>
      <c r="X277" s="121"/>
      <c r="Y277" s="121"/>
      <c r="Z277" s="121"/>
      <c r="AA277" s="121"/>
      <c r="AB277" s="121"/>
      <c r="AC277" s="121"/>
      <c r="AD277" s="121"/>
      <c r="AE277" s="121"/>
      <c r="AF277" s="121"/>
      <c r="AG277" s="121"/>
      <c r="AH277" s="121"/>
      <c r="AI277" s="121"/>
    </row>
    <row r="278" spans="1:35" s="115" customFormat="1" ht="15" customHeight="1">
      <c r="A278" s="555" t="s">
        <v>1937</v>
      </c>
      <c r="B278" s="217" t="str">
        <f t="shared" si="199"/>
        <v>114</v>
      </c>
      <c r="C278" s="217" t="str">
        <f t="shared" si="200"/>
        <v>16</v>
      </c>
      <c r="D278" s="101" t="str">
        <f t="shared" si="201"/>
        <v>166</v>
      </c>
      <c r="E278" s="217" t="str">
        <f t="shared" si="253"/>
        <v>114-16</v>
      </c>
      <c r="F278" s="294" t="str">
        <f t="shared" si="203"/>
        <v>58836</v>
      </c>
      <c r="G278" s="295" t="e">
        <f>VLOOKUP(F278,'GL Category'!A:C,3,FALSE)</f>
        <v>#N/A</v>
      </c>
      <c r="H278" s="98" t="e">
        <f>VLOOKUP(F278,'GL Category'!A:C,2,FALSE)</f>
        <v>#N/A</v>
      </c>
      <c r="I278" s="99">
        <f>SUMIF(Import!$B:$B,'Other Fund Line-Item Details'!$A278,Import!D:D)</f>
        <v>0</v>
      </c>
      <c r="J278" s="99">
        <f>SUMIF(Import!$B:$B,'Other Fund Line-Item Details'!$A278,Import!E:E)</f>
        <v>0</v>
      </c>
      <c r="K278" s="99">
        <f>SUMIF(Import!$B:$B,'Other Fund Line-Item Details'!$A278,Import!F:F)</f>
        <v>0</v>
      </c>
      <c r="L278" s="99">
        <f>SUMIF(Import!$B:$B,'Other Fund Line-Item Details'!$A278,Import!G:G)</f>
        <v>0</v>
      </c>
      <c r="M278" s="99">
        <f>SUMIF(Import!$B:$B,'Other Fund Line-Item Details'!$A278,Import!H:H)</f>
        <v>0</v>
      </c>
      <c r="N278" s="99">
        <f>SUMIF(Import!$B:$B,'Other Fund Line-Item Details'!$A278,Import!I:I)</f>
        <v>0</v>
      </c>
      <c r="O278" s="99">
        <f>SUMIF(Import!$B:$B,'Other Fund Line-Item Details'!$A278,Import!J:J)</f>
        <v>0</v>
      </c>
      <c r="P278" s="99">
        <f t="shared" si="250"/>
        <v>0</v>
      </c>
      <c r="Q278" s="99">
        <f>SUMIF(Import!$B:$B,'Other Fund Line-Item Details'!$A278,Import!K:K)</f>
        <v>0</v>
      </c>
      <c r="R278" s="99">
        <f>SUMIF(Import!$B:$B,'Other Fund Line-Item Details'!$A278,Import!L:L)</f>
        <v>0</v>
      </c>
      <c r="S278" s="99">
        <f>SUMIF(Import!$B:$B,'Other Fund Line-Item Details'!$A278,Import!M:M)</f>
        <v>0</v>
      </c>
      <c r="T278" s="99">
        <f>SUMIF(Import!$B:$B,'Other Fund Line-Item Details'!$A278,Import!N:N)</f>
        <v>0</v>
      </c>
      <c r="U278" s="99">
        <f t="shared" si="251"/>
        <v>0</v>
      </c>
      <c r="V278" s="255" t="str">
        <f t="shared" si="252"/>
        <v>N/A</v>
      </c>
      <c r="W278" s="102" t="s">
        <v>1937</v>
      </c>
      <c r="X278" s="121"/>
      <c r="Y278" s="121"/>
      <c r="Z278" s="121"/>
      <c r="AA278" s="121"/>
      <c r="AB278" s="121"/>
      <c r="AC278" s="121"/>
      <c r="AD278" s="121"/>
      <c r="AE278" s="121"/>
      <c r="AF278" s="121"/>
      <c r="AG278" s="121"/>
      <c r="AH278" s="121"/>
      <c r="AI278" s="121"/>
    </row>
    <row r="279" spans="1:35" s="115" customFormat="1" ht="15" customHeight="1">
      <c r="A279" s="555" t="s">
        <v>1938</v>
      </c>
      <c r="B279" s="217" t="str">
        <f t="shared" si="199"/>
        <v>114</v>
      </c>
      <c r="C279" s="217" t="str">
        <f t="shared" si="200"/>
        <v>16</v>
      </c>
      <c r="D279" s="101" t="str">
        <f t="shared" si="201"/>
        <v>162</v>
      </c>
      <c r="E279" s="217" t="str">
        <f t="shared" si="253"/>
        <v>114-16</v>
      </c>
      <c r="F279" s="294" t="str">
        <f t="shared" si="203"/>
        <v>50620</v>
      </c>
      <c r="G279" s="295" t="str">
        <f>VLOOKUP(F279,'GL Category'!A:C,3,FALSE)</f>
        <v>Personnel services</v>
      </c>
      <c r="H279" s="98" t="str">
        <f>VLOOKUP(F279,'GL Category'!A:C,2,FALSE)</f>
        <v>HEALTH/LIFE INSURANCE</v>
      </c>
      <c r="I279" s="99">
        <f>SUMIF(Import!$B:$B,'Other Fund Line-Item Details'!$A279,Import!D:D)</f>
        <v>0</v>
      </c>
      <c r="J279" s="99">
        <f>SUMIF(Import!$B:$B,'Other Fund Line-Item Details'!$A279,Import!E:E)</f>
        <v>0</v>
      </c>
      <c r="K279" s="99">
        <f>SUMIF(Import!$B:$B,'Other Fund Line-Item Details'!$A279,Import!F:F)</f>
        <v>0</v>
      </c>
      <c r="L279" s="99">
        <f>SUMIF(Import!$B:$B,'Other Fund Line-Item Details'!$A279,Import!G:G)</f>
        <v>0</v>
      </c>
      <c r="M279" s="99">
        <f>SUMIF(Import!$B:$B,'Other Fund Line-Item Details'!$A279,Import!H:H)</f>
        <v>0</v>
      </c>
      <c r="N279" s="99">
        <f>SUMIF(Import!$B:$B,'Other Fund Line-Item Details'!$A279,Import!I:I)</f>
        <v>0</v>
      </c>
      <c r="O279" s="99">
        <f>SUMIF(Import!$B:$B,'Other Fund Line-Item Details'!$A279,Import!J:J)</f>
        <v>0</v>
      </c>
      <c r="P279" s="99">
        <f t="shared" si="250"/>
        <v>0</v>
      </c>
      <c r="Q279" s="99">
        <f>SUMIF(Import!$B:$B,'Other Fund Line-Item Details'!$A279,Import!K:K)</f>
        <v>0</v>
      </c>
      <c r="R279" s="99">
        <f>SUMIF(Import!$B:$B,'Other Fund Line-Item Details'!$A279,Import!L:L)</f>
        <v>0</v>
      </c>
      <c r="S279" s="99">
        <f>SUMIF(Import!$B:$B,'Other Fund Line-Item Details'!$A279,Import!M:M)</f>
        <v>0</v>
      </c>
      <c r="T279" s="99">
        <f>SUMIF(Import!$B:$B,'Other Fund Line-Item Details'!$A279,Import!N:N)</f>
        <v>0</v>
      </c>
      <c r="U279" s="99">
        <f t="shared" si="251"/>
        <v>0</v>
      </c>
      <c r="V279" s="255" t="str">
        <f t="shared" si="252"/>
        <v>N/A</v>
      </c>
      <c r="W279" s="102" t="s">
        <v>1938</v>
      </c>
      <c r="X279" s="121"/>
      <c r="Y279" s="121"/>
      <c r="Z279" s="121"/>
      <c r="AA279" s="121"/>
      <c r="AB279" s="121"/>
      <c r="AC279" s="121"/>
      <c r="AD279" s="121"/>
      <c r="AE279" s="121"/>
      <c r="AF279" s="121"/>
      <c r="AG279" s="121"/>
      <c r="AH279" s="121"/>
      <c r="AI279" s="121"/>
    </row>
    <row r="280" spans="1:35" s="115" customFormat="1" ht="15" customHeight="1">
      <c r="A280" s="555" t="s">
        <v>1939</v>
      </c>
      <c r="B280" s="217" t="str">
        <f t="shared" si="199"/>
        <v>114</v>
      </c>
      <c r="C280" s="217" t="str">
        <f t="shared" si="200"/>
        <v>16</v>
      </c>
      <c r="D280" s="101" t="str">
        <f t="shared" si="201"/>
        <v>162</v>
      </c>
      <c r="E280" s="217" t="str">
        <f t="shared" si="253"/>
        <v>114-16</v>
      </c>
      <c r="F280" s="294" t="str">
        <f t="shared" si="203"/>
        <v>50630</v>
      </c>
      <c r="G280" s="295" t="str">
        <f>VLOOKUP(F280,'GL Category'!A:C,3,FALSE)</f>
        <v>Personnel services</v>
      </c>
      <c r="H280" s="98" t="str">
        <f>VLOOKUP(F280,'GL Category'!A:C,2,FALSE)</f>
        <v>WORKER COMPENSATION</v>
      </c>
      <c r="I280" s="99">
        <f>SUMIF(Import!$B:$B,'Other Fund Line-Item Details'!$A280,Import!D:D)</f>
        <v>0</v>
      </c>
      <c r="J280" s="99">
        <f>SUMIF(Import!$B:$B,'Other Fund Line-Item Details'!$A280,Import!E:E)</f>
        <v>0</v>
      </c>
      <c r="K280" s="99">
        <f>SUMIF(Import!$B:$B,'Other Fund Line-Item Details'!$A280,Import!F:F)</f>
        <v>0</v>
      </c>
      <c r="L280" s="99">
        <f>SUMIF(Import!$B:$B,'Other Fund Line-Item Details'!$A280,Import!G:G)</f>
        <v>0</v>
      </c>
      <c r="M280" s="99">
        <f>SUMIF(Import!$B:$B,'Other Fund Line-Item Details'!$A280,Import!H:H)</f>
        <v>0</v>
      </c>
      <c r="N280" s="99">
        <f>SUMIF(Import!$B:$B,'Other Fund Line-Item Details'!$A280,Import!I:I)</f>
        <v>0</v>
      </c>
      <c r="O280" s="99">
        <f>SUMIF(Import!$B:$B,'Other Fund Line-Item Details'!$A280,Import!J:J)</f>
        <v>0</v>
      </c>
      <c r="P280" s="99">
        <f t="shared" si="250"/>
        <v>0</v>
      </c>
      <c r="Q280" s="99">
        <f>SUMIF(Import!$B:$B,'Other Fund Line-Item Details'!$A280,Import!K:K)</f>
        <v>0</v>
      </c>
      <c r="R280" s="99">
        <f>SUMIF(Import!$B:$B,'Other Fund Line-Item Details'!$A280,Import!L:L)</f>
        <v>0</v>
      </c>
      <c r="S280" s="99">
        <f>SUMIF(Import!$B:$B,'Other Fund Line-Item Details'!$A280,Import!M:M)</f>
        <v>0</v>
      </c>
      <c r="T280" s="99">
        <f>SUMIF(Import!$B:$B,'Other Fund Line-Item Details'!$A280,Import!N:N)</f>
        <v>0</v>
      </c>
      <c r="U280" s="99">
        <f t="shared" si="251"/>
        <v>0</v>
      </c>
      <c r="V280" s="255" t="str">
        <f t="shared" si="252"/>
        <v>N/A</v>
      </c>
      <c r="W280" s="102" t="s">
        <v>1939</v>
      </c>
      <c r="X280" s="121"/>
      <c r="Y280" s="121"/>
      <c r="Z280" s="121"/>
      <c r="AA280" s="121"/>
      <c r="AB280" s="121"/>
      <c r="AC280" s="121"/>
      <c r="AD280" s="121"/>
      <c r="AE280" s="121"/>
      <c r="AF280" s="121"/>
      <c r="AG280" s="121"/>
      <c r="AH280" s="121"/>
      <c r="AI280" s="121"/>
    </row>
    <row r="281" spans="1:35" s="115" customFormat="1" ht="15" customHeight="1">
      <c r="A281" s="555" t="s">
        <v>3403</v>
      </c>
      <c r="B281" s="217" t="str">
        <f t="shared" ref="B281" si="262">LEFT(A281,3)</f>
        <v>114</v>
      </c>
      <c r="C281" s="217" t="str">
        <f t="shared" ref="C281" si="263">MID(A281,5,2)</f>
        <v>16</v>
      </c>
      <c r="D281" s="101" t="str">
        <f t="shared" ref="D281" si="264">MID(A281,8,3)</f>
        <v>164</v>
      </c>
      <c r="E281" s="217" t="str">
        <f t="shared" ref="E281" si="265">LEFT(A281,6)</f>
        <v>114-16</v>
      </c>
      <c r="F281" s="294" t="str">
        <f t="shared" ref="F281" si="266">RIGHT(A281,5)</f>
        <v>53599</v>
      </c>
      <c r="G281" s="295" t="str">
        <f>VLOOKUP(F281,'GL Category'!A:C,3,FALSE)</f>
        <v>Services &amp; other</v>
      </c>
      <c r="H281" s="98" t="str">
        <f>VLOOKUP(F281,'GL Category'!A:C,2,FALSE)</f>
        <v>MISCELLANEOUS SERVICES</v>
      </c>
      <c r="I281" s="99">
        <f>SUMIF(Import!$B:$B,'Other Fund Line-Item Details'!$A281,Import!D:D)</f>
        <v>0</v>
      </c>
      <c r="J281" s="99">
        <f>SUMIF(Import!$B:$B,'Other Fund Line-Item Details'!$A281,Import!E:E)</f>
        <v>0</v>
      </c>
      <c r="K281" s="99">
        <f>SUMIF(Import!$B:$B,'Other Fund Line-Item Details'!$A281,Import!F:F)</f>
        <v>0</v>
      </c>
      <c r="L281" s="99">
        <f>SUMIF(Import!$B:$B,'Other Fund Line-Item Details'!$A281,Import!G:G)</f>
        <v>27402</v>
      </c>
      <c r="M281" s="99">
        <f>SUMIF(Import!$B:$B,'Other Fund Line-Item Details'!$A281,Import!H:H)</f>
        <v>0</v>
      </c>
      <c r="N281" s="99">
        <f>SUMIF(Import!$B:$B,'Other Fund Line-Item Details'!$A281,Import!I:I)</f>
        <v>22576</v>
      </c>
      <c r="O281" s="99">
        <f>SUMIF(Import!$B:$B,'Other Fund Line-Item Details'!$A281,Import!J:J)</f>
        <v>0</v>
      </c>
      <c r="P281" s="99">
        <f t="shared" ref="P281" si="267">O281-M281</f>
        <v>0</v>
      </c>
      <c r="Q281" s="99">
        <f>SUMIF(Import!$B:$B,'Other Fund Line-Item Details'!$A281,Import!K:K)</f>
        <v>0</v>
      </c>
      <c r="R281" s="99">
        <f>SUMIF(Import!$B:$B,'Other Fund Line-Item Details'!$A281,Import!L:L)</f>
        <v>0</v>
      </c>
      <c r="S281" s="99">
        <f>SUMIF(Import!$B:$B,'Other Fund Line-Item Details'!$A281,Import!M:M)</f>
        <v>0</v>
      </c>
      <c r="T281" s="99">
        <f>SUMIF(Import!$B:$B,'Other Fund Line-Item Details'!$A281,Import!N:N)</f>
        <v>0</v>
      </c>
      <c r="U281" s="99">
        <f t="shared" ref="U281" si="268">T281-M281</f>
        <v>0</v>
      </c>
      <c r="V281" s="255" t="str">
        <f t="shared" ref="V281" si="269">IF(M281=0,"N/A",T281/M281-1)</f>
        <v>N/A</v>
      </c>
      <c r="W281" s="102" t="s">
        <v>1940</v>
      </c>
      <c r="X281" s="121"/>
      <c r="Y281" s="121"/>
      <c r="Z281" s="121"/>
      <c r="AA281" s="121"/>
      <c r="AB281" s="121"/>
      <c r="AC281" s="121"/>
      <c r="AD281" s="121"/>
      <c r="AE281" s="121"/>
      <c r="AF281" s="121"/>
      <c r="AG281" s="121"/>
      <c r="AH281" s="121"/>
      <c r="AI281" s="121"/>
    </row>
    <row r="282" spans="1:35" s="115" customFormat="1" ht="15" customHeight="1">
      <c r="A282" s="555" t="s">
        <v>1940</v>
      </c>
      <c r="B282" s="217" t="str">
        <f t="shared" si="199"/>
        <v>114</v>
      </c>
      <c r="C282" s="217" t="str">
        <f t="shared" si="200"/>
        <v>16</v>
      </c>
      <c r="D282" s="101" t="str">
        <f t="shared" si="201"/>
        <v>162</v>
      </c>
      <c r="E282" s="217" t="str">
        <f t="shared" si="253"/>
        <v>114-16</v>
      </c>
      <c r="F282" s="294" t="str">
        <f t="shared" si="203"/>
        <v>53599</v>
      </c>
      <c r="G282" s="295" t="str">
        <f>VLOOKUP(F282,'GL Category'!A:C,3,FALSE)</f>
        <v>Services &amp; other</v>
      </c>
      <c r="H282" s="98" t="str">
        <f>VLOOKUP(F282,'GL Category'!A:C,2,FALSE)</f>
        <v>MISCELLANEOUS SERVICES</v>
      </c>
      <c r="I282" s="99">
        <f>SUMIF(Import!$B:$B,'Other Fund Line-Item Details'!$A282,Import!D:D)</f>
        <v>38129</v>
      </c>
      <c r="J282" s="99">
        <f>SUMIF(Import!$B:$B,'Other Fund Line-Item Details'!$A282,Import!E:E)</f>
        <v>0</v>
      </c>
      <c r="K282" s="99">
        <f>SUMIF(Import!$B:$B,'Other Fund Line-Item Details'!$A282,Import!F:F)</f>
        <v>0</v>
      </c>
      <c r="L282" s="99">
        <f>SUMIF(Import!$B:$B,'Other Fund Line-Item Details'!$A282,Import!G:G)</f>
        <v>0</v>
      </c>
      <c r="M282" s="99">
        <f>SUMIF(Import!$B:$B,'Other Fund Line-Item Details'!$A282,Import!H:H)</f>
        <v>0</v>
      </c>
      <c r="N282" s="99">
        <f>SUMIF(Import!$B:$B,'Other Fund Line-Item Details'!$A282,Import!I:I)</f>
        <v>0</v>
      </c>
      <c r="O282" s="99">
        <f>SUMIF(Import!$B:$B,'Other Fund Line-Item Details'!$A282,Import!J:J)</f>
        <v>0</v>
      </c>
      <c r="P282" s="99">
        <f t="shared" si="250"/>
        <v>0</v>
      </c>
      <c r="Q282" s="99">
        <f>SUMIF(Import!$B:$B,'Other Fund Line-Item Details'!$A282,Import!K:K)</f>
        <v>0</v>
      </c>
      <c r="R282" s="99">
        <f>SUMIF(Import!$B:$B,'Other Fund Line-Item Details'!$A282,Import!L:L)</f>
        <v>0</v>
      </c>
      <c r="S282" s="99">
        <f>SUMIF(Import!$B:$B,'Other Fund Line-Item Details'!$A282,Import!M:M)</f>
        <v>0</v>
      </c>
      <c r="T282" s="99">
        <f>SUMIF(Import!$B:$B,'Other Fund Line-Item Details'!$A282,Import!N:N)</f>
        <v>0</v>
      </c>
      <c r="U282" s="99">
        <f t="shared" si="251"/>
        <v>0</v>
      </c>
      <c r="V282" s="255" t="str">
        <f t="shared" si="252"/>
        <v>N/A</v>
      </c>
      <c r="W282" s="102" t="s">
        <v>1940</v>
      </c>
      <c r="X282" s="121"/>
      <c r="Y282" s="121"/>
      <c r="Z282" s="121"/>
      <c r="AA282" s="121"/>
      <c r="AB282" s="121"/>
      <c r="AC282" s="121"/>
      <c r="AD282" s="121"/>
      <c r="AE282" s="121"/>
      <c r="AF282" s="121"/>
      <c r="AG282" s="121"/>
      <c r="AH282" s="121"/>
      <c r="AI282" s="121"/>
    </row>
    <row r="283" spans="1:35" s="115" customFormat="1" ht="15" customHeight="1">
      <c r="A283" s="555" t="s">
        <v>1941</v>
      </c>
      <c r="B283" s="217" t="str">
        <f t="shared" si="199"/>
        <v>114</v>
      </c>
      <c r="C283" s="217" t="str">
        <f t="shared" si="200"/>
        <v>16</v>
      </c>
      <c r="D283" s="101" t="str">
        <f t="shared" si="201"/>
        <v>163</v>
      </c>
      <c r="E283" s="217" t="str">
        <f t="shared" si="253"/>
        <v>114-16</v>
      </c>
      <c r="F283" s="294" t="str">
        <f t="shared" si="203"/>
        <v>53599</v>
      </c>
      <c r="G283" s="295" t="str">
        <f>VLOOKUP(F283,'GL Category'!A:C,3,FALSE)</f>
        <v>Services &amp; other</v>
      </c>
      <c r="H283" s="98" t="str">
        <f>VLOOKUP(F283,'GL Category'!A:C,2,FALSE)</f>
        <v>MISCELLANEOUS SERVICES</v>
      </c>
      <c r="I283" s="99">
        <f>SUMIF(Import!$B:$B,'Other Fund Line-Item Details'!$A283,Import!D:D)</f>
        <v>0</v>
      </c>
      <c r="J283" s="99">
        <f>SUMIF(Import!$B:$B,'Other Fund Line-Item Details'!$A283,Import!E:E)</f>
        <v>12506.56</v>
      </c>
      <c r="K283" s="99">
        <f>SUMIF(Import!$B:$B,'Other Fund Line-Item Details'!$A283,Import!F:F)</f>
        <v>0</v>
      </c>
      <c r="L283" s="99">
        <f>SUMIF(Import!$B:$B,'Other Fund Line-Item Details'!$A283,Import!G:G)</f>
        <v>0</v>
      </c>
      <c r="M283" s="99">
        <f>SUMIF(Import!$B:$B,'Other Fund Line-Item Details'!$A283,Import!H:H)</f>
        <v>0</v>
      </c>
      <c r="N283" s="99">
        <f>SUMIF(Import!$B:$B,'Other Fund Line-Item Details'!$A283,Import!I:I)</f>
        <v>0</v>
      </c>
      <c r="O283" s="99">
        <f>SUMIF(Import!$B:$B,'Other Fund Line-Item Details'!$A283,Import!J:J)</f>
        <v>0</v>
      </c>
      <c r="P283" s="99">
        <f t="shared" si="250"/>
        <v>0</v>
      </c>
      <c r="Q283" s="99">
        <f>SUMIF(Import!$B:$B,'Other Fund Line-Item Details'!$A283,Import!K:K)</f>
        <v>0</v>
      </c>
      <c r="R283" s="99">
        <f>SUMIF(Import!$B:$B,'Other Fund Line-Item Details'!$A283,Import!L:L)</f>
        <v>0</v>
      </c>
      <c r="S283" s="99">
        <f>SUMIF(Import!$B:$B,'Other Fund Line-Item Details'!$A283,Import!M:M)</f>
        <v>0</v>
      </c>
      <c r="T283" s="99">
        <f>SUMIF(Import!$B:$B,'Other Fund Line-Item Details'!$A283,Import!N:N)</f>
        <v>0</v>
      </c>
      <c r="U283" s="99">
        <f t="shared" si="251"/>
        <v>0</v>
      </c>
      <c r="V283" s="255" t="str">
        <f t="shared" si="252"/>
        <v>N/A</v>
      </c>
      <c r="W283" s="102" t="s">
        <v>1941</v>
      </c>
      <c r="X283" s="121"/>
      <c r="Y283" s="121"/>
      <c r="Z283" s="121"/>
      <c r="AA283" s="121"/>
      <c r="AB283" s="121"/>
      <c r="AC283" s="121"/>
      <c r="AD283" s="121"/>
      <c r="AE283" s="121"/>
      <c r="AF283" s="121"/>
      <c r="AG283" s="121"/>
      <c r="AH283" s="121"/>
      <c r="AI283" s="121"/>
    </row>
    <row r="284" spans="1:35" s="115" customFormat="1" ht="15" customHeight="1">
      <c r="A284" s="555"/>
      <c r="B284" s="217"/>
      <c r="C284" s="217"/>
      <c r="D284" s="101"/>
      <c r="E284" s="217"/>
      <c r="F284" s="294"/>
      <c r="G284" s="146"/>
      <c r="H284" s="107" t="str">
        <f>UPPER("EXPENDITURE TOTAL")</f>
        <v>EXPENDITURE TOTAL</v>
      </c>
      <c r="I284" s="108">
        <f t="shared" ref="I284" si="270">SUBTOTAL(9,I269:I283)</f>
        <v>75691.77</v>
      </c>
      <c r="J284" s="108">
        <f t="shared" ref="J284:T284" si="271">SUBTOTAL(9,J269:J283)</f>
        <v>69928.73</v>
      </c>
      <c r="K284" s="108">
        <f t="shared" ref="K284" si="272">SUBTOTAL(9,K269:K283)</f>
        <v>39768</v>
      </c>
      <c r="L284" s="108">
        <f t="shared" ref="L284" si="273">SUBTOTAL(9,L269:L283)</f>
        <v>27402</v>
      </c>
      <c r="M284" s="108">
        <f t="shared" si="271"/>
        <v>55466</v>
      </c>
      <c r="N284" s="108">
        <f t="shared" ref="N284" si="274">SUBTOTAL(9,N269:N283)</f>
        <v>22576</v>
      </c>
      <c r="O284" s="108">
        <f t="shared" si="271"/>
        <v>55466</v>
      </c>
      <c r="P284" s="108">
        <f t="shared" si="271"/>
        <v>0</v>
      </c>
      <c r="Q284" s="108">
        <f t="shared" si="271"/>
        <v>58462</v>
      </c>
      <c r="R284" s="108">
        <f t="shared" si="271"/>
        <v>0</v>
      </c>
      <c r="S284" s="108">
        <f t="shared" si="271"/>
        <v>0</v>
      </c>
      <c r="T284" s="108">
        <f t="shared" si="271"/>
        <v>58462</v>
      </c>
      <c r="U284" s="99">
        <f t="shared" si="251"/>
        <v>2996</v>
      </c>
      <c r="V284" s="255">
        <f t="shared" si="252"/>
        <v>5.401507229654201E-2</v>
      </c>
      <c r="W284" s="102"/>
      <c r="X284" s="121"/>
      <c r="Y284" s="121"/>
      <c r="Z284" s="121"/>
      <c r="AA284" s="121"/>
      <c r="AB284" s="121"/>
      <c r="AC284" s="121"/>
      <c r="AD284" s="121"/>
      <c r="AE284" s="121"/>
      <c r="AF284" s="121"/>
      <c r="AG284" s="121"/>
      <c r="AH284" s="121"/>
      <c r="AI284" s="121"/>
    </row>
    <row r="285" spans="1:35" s="115" customFormat="1" ht="15" customHeight="1">
      <c r="A285" s="555"/>
      <c r="B285" s="217"/>
      <c r="C285" s="217"/>
      <c r="D285" s="101"/>
      <c r="E285" s="217"/>
      <c r="F285" s="294"/>
      <c r="G285" s="146"/>
      <c r="H285" s="98"/>
      <c r="I285" s="106"/>
      <c r="J285" s="106"/>
      <c r="K285" s="106"/>
      <c r="L285" s="106"/>
      <c r="M285" s="106"/>
      <c r="N285" s="112"/>
      <c r="O285" s="112"/>
      <c r="P285" s="112"/>
      <c r="Q285" s="113"/>
      <c r="R285" s="212"/>
      <c r="S285" s="212"/>
      <c r="T285" s="113"/>
      <c r="U285" s="105"/>
      <c r="V285" s="262"/>
      <c r="W285" s="102"/>
      <c r="X285" s="121"/>
      <c r="Y285" s="121"/>
      <c r="Z285" s="121"/>
      <c r="AA285" s="121"/>
      <c r="AB285" s="121"/>
      <c r="AC285" s="121"/>
      <c r="AD285" s="121"/>
      <c r="AE285" s="121"/>
      <c r="AF285" s="121"/>
      <c r="AG285" s="121"/>
      <c r="AH285" s="121"/>
      <c r="AI285" s="121"/>
    </row>
    <row r="286" spans="1:35" s="115" customFormat="1" ht="15" customHeight="1">
      <c r="A286" s="555"/>
      <c r="B286" s="217"/>
      <c r="C286" s="217"/>
      <c r="D286" s="101"/>
      <c r="E286" s="217"/>
      <c r="F286" s="294"/>
      <c r="G286" s="146"/>
      <c r="H286" s="114" t="s">
        <v>674</v>
      </c>
      <c r="I286" s="108">
        <f t="shared" ref="I286" si="275">SUBTOTAL(9,I256:I285)</f>
        <v>-6049.6599999999889</v>
      </c>
      <c r="J286" s="108">
        <f t="shared" ref="J286:P286" si="276">SUBTOTAL(9,J256:J285)</f>
        <v>20080.770000000004</v>
      </c>
      <c r="K286" s="108">
        <f t="shared" ref="K286" si="277">SUBTOTAL(9,K256:K285)</f>
        <v>-17380.339999999997</v>
      </c>
      <c r="L286" s="108">
        <f t="shared" ref="L286" si="278">SUBTOTAL(9,L256:L285)</f>
        <v>-41113.869999999995</v>
      </c>
      <c r="M286" s="108">
        <f t="shared" si="276"/>
        <v>-731</v>
      </c>
      <c r="N286" s="108">
        <f t="shared" ref="N286" si="279">SUBTOTAL(9,N256:N285)</f>
        <v>-52164.03</v>
      </c>
      <c r="O286" s="108">
        <f t="shared" si="276"/>
        <v>-49496</v>
      </c>
      <c r="P286" s="108">
        <f t="shared" si="276"/>
        <v>-48765</v>
      </c>
      <c r="Q286" s="108">
        <f t="shared" ref="Q286:T286" si="280">SUBTOTAL(9,Q256:Q285)</f>
        <v>-38944</v>
      </c>
      <c r="R286" s="108">
        <f t="shared" si="280"/>
        <v>0</v>
      </c>
      <c r="S286" s="108">
        <f t="shared" si="280"/>
        <v>0</v>
      </c>
      <c r="T286" s="108">
        <f t="shared" si="280"/>
        <v>-38944</v>
      </c>
      <c r="U286" s="99">
        <f>T286-M286</f>
        <v>-38213</v>
      </c>
      <c r="V286" s="255">
        <f>IF(M286=0,"N/A",T286/M286-1)</f>
        <v>52.274965800273598</v>
      </c>
      <c r="W286" s="102"/>
      <c r="X286" s="121"/>
      <c r="Y286" s="121"/>
      <c r="Z286" s="121"/>
      <c r="AA286" s="121"/>
      <c r="AB286" s="121"/>
      <c r="AC286" s="121"/>
      <c r="AD286" s="121"/>
      <c r="AE286" s="121"/>
      <c r="AF286" s="121"/>
      <c r="AG286" s="121"/>
      <c r="AH286" s="121"/>
      <c r="AI286" s="121"/>
    </row>
    <row r="287" spans="1:35" s="115" customFormat="1" ht="15" customHeight="1">
      <c r="A287" s="555"/>
      <c r="B287" s="217"/>
      <c r="C287" s="217"/>
      <c r="D287" s="101"/>
      <c r="E287" s="217"/>
      <c r="F287" s="294"/>
      <c r="G287" s="146"/>
      <c r="H287" s="98"/>
      <c r="I287" s="218"/>
      <c r="J287" s="218"/>
      <c r="K287" s="218"/>
      <c r="L287" s="218"/>
      <c r="M287" s="218"/>
      <c r="N287" s="96"/>
      <c r="O287" s="96"/>
      <c r="P287" s="96"/>
      <c r="Q287" s="212"/>
      <c r="R287" s="212"/>
      <c r="S287" s="212"/>
      <c r="T287" s="212"/>
      <c r="U287" s="105"/>
      <c r="V287" s="262"/>
      <c r="W287" s="102"/>
      <c r="X287" s="121"/>
      <c r="Y287" s="121"/>
      <c r="Z287" s="121"/>
      <c r="AA287" s="121"/>
      <c r="AB287" s="121"/>
      <c r="AC287" s="121"/>
      <c r="AD287" s="121"/>
      <c r="AE287" s="121"/>
      <c r="AF287" s="121"/>
      <c r="AG287" s="121"/>
      <c r="AH287" s="121"/>
      <c r="AI287" s="121"/>
    </row>
    <row r="288" spans="1:35" s="115" customFormat="1" ht="15" customHeight="1" thickBot="1">
      <c r="A288" s="555"/>
      <c r="B288" s="217"/>
      <c r="C288" s="217"/>
      <c r="D288" s="101"/>
      <c r="E288" s="217"/>
      <c r="F288" s="294"/>
      <c r="G288" s="146"/>
      <c r="H288" s="98"/>
      <c r="I288" s="218"/>
      <c r="J288" s="218"/>
      <c r="K288" s="218"/>
      <c r="L288" s="218"/>
      <c r="M288" s="218"/>
      <c r="N288" s="96"/>
      <c r="O288" s="96"/>
      <c r="P288" s="96"/>
      <c r="Q288" s="212"/>
      <c r="R288" s="212"/>
      <c r="S288" s="212"/>
      <c r="T288" s="212"/>
      <c r="U288" s="105"/>
      <c r="V288" s="262"/>
      <c r="W288" s="102"/>
      <c r="X288" s="121"/>
      <c r="Y288" s="121"/>
      <c r="Z288" s="121"/>
      <c r="AA288" s="121"/>
      <c r="AB288" s="121"/>
      <c r="AC288" s="121"/>
      <c r="AD288" s="121"/>
      <c r="AE288" s="121"/>
      <c r="AF288" s="121"/>
      <c r="AG288" s="121"/>
      <c r="AH288" s="121"/>
      <c r="AI288" s="121"/>
    </row>
    <row r="289" spans="1:35" s="115" customFormat="1" ht="23.25" customHeight="1" thickBot="1">
      <c r="A289" s="555"/>
      <c r="B289" s="217"/>
      <c r="C289" s="217"/>
      <c r="D289" s="101"/>
      <c r="E289" s="217"/>
      <c r="F289" s="294"/>
      <c r="G289" s="146"/>
      <c r="H289" s="665" t="s">
        <v>722</v>
      </c>
      <c r="I289" s="666"/>
      <c r="J289" s="666"/>
      <c r="K289" s="666"/>
      <c r="L289" s="666"/>
      <c r="M289" s="666"/>
      <c r="N289" s="666"/>
      <c r="O289" s="666"/>
      <c r="P289" s="666"/>
      <c r="Q289" s="666"/>
      <c r="R289" s="666"/>
      <c r="S289" s="666"/>
      <c r="T289" s="667"/>
      <c r="U289" s="105"/>
      <c r="V289" s="262"/>
      <c r="W289" s="102"/>
      <c r="X289" s="121"/>
      <c r="Y289" s="121"/>
      <c r="Z289" s="121"/>
      <c r="AA289" s="121"/>
      <c r="AB289" s="121"/>
      <c r="AC289" s="121"/>
      <c r="AD289" s="121"/>
      <c r="AE289" s="121"/>
      <c r="AF289" s="121"/>
      <c r="AG289" s="121"/>
      <c r="AH289" s="121"/>
      <c r="AI289" s="121"/>
    </row>
    <row r="290" spans="1:35" s="115" customFormat="1" ht="15" customHeight="1">
      <c r="A290" s="555"/>
      <c r="B290" s="217"/>
      <c r="C290" s="217"/>
      <c r="D290" s="101"/>
      <c r="E290" s="217"/>
      <c r="F290" s="294"/>
      <c r="G290" s="146"/>
      <c r="H290" s="225"/>
      <c r="I290" s="225"/>
      <c r="J290" s="225"/>
      <c r="K290" s="225"/>
      <c r="L290" s="225"/>
      <c r="M290" s="225"/>
      <c r="N290" s="225"/>
      <c r="O290" s="225"/>
      <c r="P290" s="225"/>
      <c r="Q290" s="225"/>
      <c r="R290" s="225"/>
      <c r="S290" s="225"/>
      <c r="T290" s="225"/>
      <c r="U290" s="105"/>
      <c r="V290" s="262"/>
      <c r="W290" s="102"/>
      <c r="X290" s="121"/>
      <c r="Y290" s="121"/>
      <c r="Z290" s="121"/>
      <c r="AA290" s="121"/>
      <c r="AB290" s="121"/>
      <c r="AC290" s="121"/>
      <c r="AD290" s="121"/>
      <c r="AE290" s="121"/>
      <c r="AF290" s="121"/>
      <c r="AG290" s="121"/>
      <c r="AH290" s="121"/>
      <c r="AI290" s="121"/>
    </row>
    <row r="291" spans="1:35" s="115" customFormat="1" ht="15" customHeight="1">
      <c r="A291" s="555" t="s">
        <v>1942</v>
      </c>
      <c r="B291" s="217" t="str">
        <f t="shared" ref="B291:B348" si="281">LEFT(A291,3)</f>
        <v>116</v>
      </c>
      <c r="C291" s="217" t="str">
        <f t="shared" ref="C291:C348" si="282">MID(A291,5,2)</f>
        <v>00</v>
      </c>
      <c r="D291" s="101" t="str">
        <f t="shared" ref="D291:D348" si="283">MID(A291,8,3)</f>
        <v>000</v>
      </c>
      <c r="E291" s="217" t="str">
        <f t="shared" ref="E291:E348" si="284">LEFT(A291,10)</f>
        <v>116-00-000</v>
      </c>
      <c r="F291" s="294" t="str">
        <f t="shared" ref="F291:F348" si="285">RIGHT(A291,5)</f>
        <v>40320</v>
      </c>
      <c r="G291" s="295" t="str">
        <f>VLOOKUP(F291,'GL Category'!A:C,3,FALSE)</f>
        <v>OTHER TAXES</v>
      </c>
      <c r="H291" s="98" t="str">
        <f>VLOOKUP(F291,'GL Category'!A:C,2,FALSE)</f>
        <v>FRANCHISE FEES-VERIZON</v>
      </c>
      <c r="I291" s="99">
        <f>SUMIF(Import!$B:$B,'Other Fund Line-Item Details'!$A291,Import!D:D)</f>
        <v>-61259.57</v>
      </c>
      <c r="J291" s="99">
        <f>SUMIF(Import!$B:$B,'Other Fund Line-Item Details'!$A291,Import!E:E)</f>
        <v>-50279</v>
      </c>
      <c r="K291" s="99">
        <f>SUMIF(Import!$B:$B,'Other Fund Line-Item Details'!$A291,Import!F:F)</f>
        <v>-42893.48</v>
      </c>
      <c r="L291" s="99">
        <f>SUMIF(Import!$B:$B,'Other Fund Line-Item Details'!$A291,Import!G:G)</f>
        <v>-35638.160000000003</v>
      </c>
      <c r="M291" s="99">
        <f>SUMIF(Import!$B:$B,'Other Fund Line-Item Details'!$A291,Import!H:H)</f>
        <v>-36503</v>
      </c>
      <c r="N291" s="99">
        <f>SUMIF(Import!$B:$B,'Other Fund Line-Item Details'!$A291,Import!I:I)</f>
        <v>-14960.01</v>
      </c>
      <c r="O291" s="99">
        <f>SUMIF(Import!$B:$B,'Other Fund Line-Item Details'!$A291,Import!J:J)</f>
        <v>-31548</v>
      </c>
      <c r="P291" s="99">
        <f t="shared" ref="P291:P297" si="286">O291-M291</f>
        <v>4955</v>
      </c>
      <c r="Q291" s="99">
        <f>SUMIF(Import!$B:$B,'Other Fund Line-Item Details'!$A291,Import!K:K)</f>
        <v>-31548</v>
      </c>
      <c r="R291" s="99">
        <f>SUMIF(Import!$B:$B,'Other Fund Line-Item Details'!$A291,Import!L:L)</f>
        <v>0</v>
      </c>
      <c r="S291" s="99">
        <f>SUMIF(Import!$B:$B,'Other Fund Line-Item Details'!$A291,Import!M:M)</f>
        <v>0</v>
      </c>
      <c r="T291" s="99">
        <f>SUMIF(Import!$B:$B,'Other Fund Line-Item Details'!$A291,Import!N:N)</f>
        <v>-31548</v>
      </c>
      <c r="U291" s="99">
        <f t="shared" ref="U291:U298" si="287">T291-M291</f>
        <v>4955</v>
      </c>
      <c r="V291" s="255">
        <f t="shared" ref="V291:V298" si="288">IF(M291=0,"N/A",T291/M291-1)</f>
        <v>-0.13574226775881437</v>
      </c>
      <c r="W291" s="102" t="s">
        <v>1942</v>
      </c>
      <c r="X291" s="121"/>
      <c r="Y291" s="121"/>
      <c r="Z291" s="121"/>
      <c r="AA291" s="121"/>
      <c r="AB291" s="121"/>
      <c r="AC291" s="121"/>
      <c r="AD291" s="121"/>
      <c r="AE291" s="121"/>
      <c r="AF291" s="121"/>
      <c r="AG291" s="121"/>
      <c r="AH291" s="121"/>
      <c r="AI291" s="121"/>
    </row>
    <row r="292" spans="1:35" s="115" customFormat="1" ht="15" customHeight="1">
      <c r="A292" s="555" t="s">
        <v>1943</v>
      </c>
      <c r="B292" s="217" t="str">
        <f t="shared" si="281"/>
        <v>116</v>
      </c>
      <c r="C292" s="217" t="str">
        <f t="shared" si="282"/>
        <v>00</v>
      </c>
      <c r="D292" s="101" t="str">
        <f t="shared" si="283"/>
        <v>000</v>
      </c>
      <c r="E292" s="217" t="str">
        <f t="shared" si="284"/>
        <v>116-00-000</v>
      </c>
      <c r="F292" s="294" t="str">
        <f t="shared" si="285"/>
        <v>40340</v>
      </c>
      <c r="G292" s="295" t="str">
        <f>VLOOKUP(F292,'GL Category'!A:C,3,FALSE)</f>
        <v>OTHER TAXES</v>
      </c>
      <c r="H292" s="98" t="str">
        <f>VLOOKUP(F292,'GL Category'!A:C,2,FALSE)</f>
        <v>FRANCHISE FEES-CHARTER/SPECTRUM</v>
      </c>
      <c r="I292" s="99">
        <f>SUMIF(Import!$B:$B,'Other Fund Line-Item Details'!$A292,Import!D:D)</f>
        <v>-38019.26</v>
      </c>
      <c r="J292" s="99">
        <f>SUMIF(Import!$B:$B,'Other Fund Line-Item Details'!$A292,Import!E:E)</f>
        <v>-40663.26</v>
      </c>
      <c r="K292" s="99">
        <f>SUMIF(Import!$B:$B,'Other Fund Line-Item Details'!$A292,Import!F:F)</f>
        <v>-41080.67</v>
      </c>
      <c r="L292" s="99">
        <f>SUMIF(Import!$B:$B,'Other Fund Line-Item Details'!$A292,Import!G:G)</f>
        <v>-38258.83</v>
      </c>
      <c r="M292" s="99">
        <f>SUMIF(Import!$B:$B,'Other Fund Line-Item Details'!$A292,Import!H:H)</f>
        <v>-39785</v>
      </c>
      <c r="N292" s="99">
        <f>SUMIF(Import!$B:$B,'Other Fund Line-Item Details'!$A292,Import!I:I)</f>
        <v>-16429.34</v>
      </c>
      <c r="O292" s="99">
        <f>SUMIF(Import!$B:$B,'Other Fund Line-Item Details'!$A292,Import!J:J)</f>
        <v>-32744</v>
      </c>
      <c r="P292" s="99">
        <f t="shared" si="286"/>
        <v>7041</v>
      </c>
      <c r="Q292" s="99">
        <f>SUMIF(Import!$B:$B,'Other Fund Line-Item Details'!$A292,Import!K:K)</f>
        <v>-32744</v>
      </c>
      <c r="R292" s="99">
        <f>SUMIF(Import!$B:$B,'Other Fund Line-Item Details'!$A292,Import!L:L)</f>
        <v>0</v>
      </c>
      <c r="S292" s="99">
        <f>SUMIF(Import!$B:$B,'Other Fund Line-Item Details'!$A292,Import!M:M)</f>
        <v>0</v>
      </c>
      <c r="T292" s="99">
        <f>SUMIF(Import!$B:$B,'Other Fund Line-Item Details'!$A292,Import!N:N)</f>
        <v>-32744</v>
      </c>
      <c r="U292" s="99">
        <f t="shared" si="287"/>
        <v>7041</v>
      </c>
      <c r="V292" s="255">
        <f t="shared" si="288"/>
        <v>-0.17697624732939554</v>
      </c>
      <c r="W292" s="102" t="s">
        <v>1943</v>
      </c>
      <c r="X292" s="121"/>
      <c r="Y292" s="121"/>
      <c r="Z292" s="121"/>
      <c r="AA292" s="121"/>
      <c r="AB292" s="121"/>
      <c r="AC292" s="121"/>
      <c r="AD292" s="121"/>
      <c r="AE292" s="121"/>
      <c r="AF292" s="121"/>
      <c r="AG292" s="121"/>
      <c r="AH292" s="121"/>
      <c r="AI292" s="121"/>
    </row>
    <row r="293" spans="1:35" s="115" customFormat="1" ht="15" customHeight="1">
      <c r="A293" s="555" t="s">
        <v>1944</v>
      </c>
      <c r="B293" s="217" t="str">
        <f t="shared" si="281"/>
        <v>116</v>
      </c>
      <c r="C293" s="217" t="str">
        <f t="shared" si="282"/>
        <v>00</v>
      </c>
      <c r="D293" s="101" t="str">
        <f t="shared" si="283"/>
        <v>000</v>
      </c>
      <c r="E293" s="217" t="str">
        <f t="shared" si="284"/>
        <v>116-00-000</v>
      </c>
      <c r="F293" s="294" t="str">
        <f t="shared" si="285"/>
        <v>40350</v>
      </c>
      <c r="G293" s="295" t="str">
        <f>VLOOKUP(F293,'GL Category'!A:C,3,FALSE)</f>
        <v>OTHER TAXES</v>
      </c>
      <c r="H293" s="98" t="str">
        <f>VLOOKUP(F293,'GL Category'!A:C,2,FALSE)</f>
        <v>FRANCHISE FEES-SBC/AT&amp;T</v>
      </c>
      <c r="I293" s="99">
        <f>SUMIF(Import!$B:$B,'Other Fund Line-Item Details'!$A293,Import!D:D)</f>
        <v>-9480.7000000000007</v>
      </c>
      <c r="J293" s="99">
        <f>SUMIF(Import!$B:$B,'Other Fund Line-Item Details'!$A293,Import!E:E)</f>
        <v>-8128.35</v>
      </c>
      <c r="K293" s="99">
        <f>SUMIF(Import!$B:$B,'Other Fund Line-Item Details'!$A293,Import!F:F)</f>
        <v>0</v>
      </c>
      <c r="L293" s="99">
        <f>SUMIF(Import!$B:$B,'Other Fund Line-Item Details'!$A293,Import!G:G)</f>
        <v>-9567.4</v>
      </c>
      <c r="M293" s="99">
        <f>SUMIF(Import!$B:$B,'Other Fund Line-Item Details'!$A293,Import!H:H)</f>
        <v>-4208</v>
      </c>
      <c r="N293" s="99">
        <f>SUMIF(Import!$B:$B,'Other Fund Line-Item Details'!$A293,Import!I:I)</f>
        <v>-3290.64</v>
      </c>
      <c r="O293" s="99">
        <f>SUMIF(Import!$B:$B,'Other Fund Line-Item Details'!$A293,Import!J:J)</f>
        <v>-3291</v>
      </c>
      <c r="P293" s="99">
        <f t="shared" si="286"/>
        <v>917</v>
      </c>
      <c r="Q293" s="99">
        <f>SUMIF(Import!$B:$B,'Other Fund Line-Item Details'!$A293,Import!K:K)</f>
        <v>-3291</v>
      </c>
      <c r="R293" s="99">
        <f>SUMIF(Import!$B:$B,'Other Fund Line-Item Details'!$A293,Import!L:L)</f>
        <v>0</v>
      </c>
      <c r="S293" s="99">
        <f>SUMIF(Import!$B:$B,'Other Fund Line-Item Details'!$A293,Import!M:M)</f>
        <v>0</v>
      </c>
      <c r="T293" s="99">
        <f>SUMIF(Import!$B:$B,'Other Fund Line-Item Details'!$A293,Import!N:N)</f>
        <v>-3291</v>
      </c>
      <c r="U293" s="99">
        <f t="shared" si="287"/>
        <v>917</v>
      </c>
      <c r="V293" s="255">
        <f t="shared" si="288"/>
        <v>-0.21791825095057038</v>
      </c>
      <c r="W293" s="102" t="s">
        <v>1944</v>
      </c>
      <c r="X293" s="121"/>
      <c r="Y293" s="121"/>
      <c r="Z293" s="121"/>
      <c r="AA293" s="121"/>
      <c r="AB293" s="121"/>
      <c r="AC293" s="121"/>
      <c r="AD293" s="121"/>
      <c r="AE293" s="121"/>
      <c r="AF293" s="121"/>
      <c r="AG293" s="121"/>
      <c r="AH293" s="121"/>
      <c r="AI293" s="121"/>
    </row>
    <row r="294" spans="1:35" s="115" customFormat="1" ht="15" customHeight="1">
      <c r="A294" s="555" t="s">
        <v>1945</v>
      </c>
      <c r="B294" s="217" t="str">
        <f t="shared" si="281"/>
        <v>116</v>
      </c>
      <c r="C294" s="217" t="str">
        <f t="shared" si="282"/>
        <v>00</v>
      </c>
      <c r="D294" s="101" t="str">
        <f t="shared" si="283"/>
        <v>000</v>
      </c>
      <c r="E294" s="217" t="str">
        <f t="shared" si="284"/>
        <v>116-00-000</v>
      </c>
      <c r="F294" s="294" t="str">
        <f t="shared" si="285"/>
        <v>40391</v>
      </c>
      <c r="G294" s="295" t="str">
        <f>VLOOKUP(F294,'GL Category'!A:C,3,FALSE)</f>
        <v>OTHER TAXES</v>
      </c>
      <c r="H294" s="98" t="str">
        <f>VLOOKUP(F294,'GL Category'!A:C,2,FALSE)</f>
        <v>FRANCHISE FEE-ONE SOURCE COMM</v>
      </c>
      <c r="I294" s="99">
        <f>SUMIF(Import!$B:$B,'Other Fund Line-Item Details'!$A294,Import!D:D)</f>
        <v>-3457.33</v>
      </c>
      <c r="J294" s="99">
        <f>SUMIF(Import!$B:$B,'Other Fund Line-Item Details'!$A294,Import!E:E)</f>
        <v>-2864.28</v>
      </c>
      <c r="K294" s="99">
        <f>SUMIF(Import!$B:$B,'Other Fund Line-Item Details'!$A294,Import!F:F)</f>
        <v>-2499.67</v>
      </c>
      <c r="L294" s="99">
        <f>SUMIF(Import!$B:$B,'Other Fund Line-Item Details'!$A294,Import!G:G)</f>
        <v>-2063.7600000000002</v>
      </c>
      <c r="M294" s="99">
        <f>SUMIF(Import!$B:$B,'Other Fund Line-Item Details'!$A294,Import!H:H)</f>
        <v>-622</v>
      </c>
      <c r="N294" s="99">
        <f>SUMIF(Import!$B:$B,'Other Fund Line-Item Details'!$A294,Import!I:I)</f>
        <v>-459.19</v>
      </c>
      <c r="O294" s="99">
        <f>SUMIF(Import!$B:$B,'Other Fund Line-Item Details'!$A294,Import!J:J)</f>
        <v>-1237</v>
      </c>
      <c r="P294" s="99">
        <f t="shared" si="286"/>
        <v>-615</v>
      </c>
      <c r="Q294" s="99">
        <f>SUMIF(Import!$B:$B,'Other Fund Line-Item Details'!$A294,Import!K:K)</f>
        <v>-900</v>
      </c>
      <c r="R294" s="99">
        <f>SUMIF(Import!$B:$B,'Other Fund Line-Item Details'!$A294,Import!L:L)</f>
        <v>0</v>
      </c>
      <c r="S294" s="99">
        <f>SUMIF(Import!$B:$B,'Other Fund Line-Item Details'!$A294,Import!M:M)</f>
        <v>0</v>
      </c>
      <c r="T294" s="99">
        <f>SUMIF(Import!$B:$B,'Other Fund Line-Item Details'!$A294,Import!N:N)</f>
        <v>-900</v>
      </c>
      <c r="U294" s="99">
        <f t="shared" si="287"/>
        <v>-278</v>
      </c>
      <c r="V294" s="255">
        <f t="shared" si="288"/>
        <v>0.44694533762057875</v>
      </c>
      <c r="W294" s="102" t="s">
        <v>1945</v>
      </c>
      <c r="X294" s="121"/>
      <c r="Y294" s="121"/>
      <c r="Z294" s="121"/>
      <c r="AA294" s="121"/>
      <c r="AB294" s="121"/>
      <c r="AC294" s="121"/>
      <c r="AD294" s="121"/>
      <c r="AE294" s="121"/>
      <c r="AF294" s="121"/>
      <c r="AG294" s="121"/>
      <c r="AH294" s="121"/>
      <c r="AI294" s="121"/>
    </row>
    <row r="295" spans="1:35" s="115" customFormat="1" ht="15" customHeight="1">
      <c r="A295" s="555" t="s">
        <v>3335</v>
      </c>
      <c r="B295" s="217" t="str">
        <f t="shared" ref="B295" si="289">LEFT(A295,3)</f>
        <v>116</v>
      </c>
      <c r="C295" s="217" t="str">
        <f t="shared" ref="C295" si="290">MID(A295,5,2)</f>
        <v>00</v>
      </c>
      <c r="D295" s="101" t="str">
        <f t="shared" ref="D295" si="291">MID(A295,8,3)</f>
        <v>000</v>
      </c>
      <c r="E295" s="217" t="str">
        <f t="shared" ref="E295" si="292">LEFT(A295,10)</f>
        <v>116-00-000</v>
      </c>
      <c r="F295" s="294" t="str">
        <f t="shared" ref="F295" si="293">RIGHT(A295,5)</f>
        <v>40399</v>
      </c>
      <c r="G295" s="295" t="str">
        <f>VLOOKUP(F295,'GL Category'!A:C,3,FALSE)</f>
        <v>OTHER TAXES</v>
      </c>
      <c r="H295" s="98" t="str">
        <f>VLOOKUP(F295,'GL Category'!A:C,2,FALSE)</f>
        <v>FRANCHISE FEES-OTHER MISC</v>
      </c>
      <c r="I295" s="99">
        <f>SUMIF(Import!$B:$B,'Other Fund Line-Item Details'!$A295,Import!D:D)</f>
        <v>0</v>
      </c>
      <c r="J295" s="99">
        <f>SUMIF(Import!$B:$B,'Other Fund Line-Item Details'!$A295,Import!E:E)</f>
        <v>-2496.23</v>
      </c>
      <c r="K295" s="99">
        <f>SUMIF(Import!$B:$B,'Other Fund Line-Item Details'!$A295,Import!F:F)</f>
        <v>0</v>
      </c>
      <c r="L295" s="99">
        <f>SUMIF(Import!$B:$B,'Other Fund Line-Item Details'!$A295,Import!G:G)</f>
        <v>0</v>
      </c>
      <c r="M295" s="99">
        <f>SUMIF(Import!$B:$B,'Other Fund Line-Item Details'!$A295,Import!H:H)</f>
        <v>0</v>
      </c>
      <c r="N295" s="99">
        <f>SUMIF(Import!$B:$B,'Other Fund Line-Item Details'!$A295,Import!I:I)</f>
        <v>0</v>
      </c>
      <c r="O295" s="99">
        <f>SUMIF(Import!$B:$B,'Other Fund Line-Item Details'!$A295,Import!J:J)</f>
        <v>0</v>
      </c>
      <c r="P295" s="99">
        <f t="shared" ref="P295" si="294">O295-M295</f>
        <v>0</v>
      </c>
      <c r="Q295" s="99">
        <f>SUMIF(Import!$B:$B,'Other Fund Line-Item Details'!$A295,Import!K:K)</f>
        <v>0</v>
      </c>
      <c r="R295" s="99">
        <f>SUMIF(Import!$B:$B,'Other Fund Line-Item Details'!$A295,Import!L:L)</f>
        <v>0</v>
      </c>
      <c r="S295" s="99">
        <f>SUMIF(Import!$B:$B,'Other Fund Line-Item Details'!$A295,Import!M:M)</f>
        <v>0</v>
      </c>
      <c r="T295" s="99">
        <f>SUMIF(Import!$B:$B,'Other Fund Line-Item Details'!$A295,Import!N:N)</f>
        <v>0</v>
      </c>
      <c r="U295" s="99">
        <f t="shared" ref="U295" si="295">T295-M295</f>
        <v>0</v>
      </c>
      <c r="V295" s="255" t="str">
        <f t="shared" ref="V295" si="296">IF(M295=0,"N/A",T295/M295-1)</f>
        <v>N/A</v>
      </c>
      <c r="W295" s="102" t="s">
        <v>1945</v>
      </c>
      <c r="X295" s="121"/>
      <c r="Y295" s="121"/>
      <c r="Z295" s="121"/>
      <c r="AA295" s="121"/>
      <c r="AB295" s="121"/>
      <c r="AC295" s="121"/>
      <c r="AD295" s="121"/>
      <c r="AE295" s="121"/>
      <c r="AF295" s="121"/>
      <c r="AG295" s="121"/>
      <c r="AH295" s="121"/>
      <c r="AI295" s="121"/>
    </row>
    <row r="296" spans="1:35" s="115" customFormat="1" ht="19.5" customHeight="1">
      <c r="A296" s="555" t="s">
        <v>1946</v>
      </c>
      <c r="B296" s="217" t="str">
        <f t="shared" si="281"/>
        <v>116</v>
      </c>
      <c r="C296" s="217" t="str">
        <f t="shared" si="282"/>
        <v>00</v>
      </c>
      <c r="D296" s="101" t="str">
        <f t="shared" si="283"/>
        <v>000</v>
      </c>
      <c r="E296" s="217" t="str">
        <f t="shared" si="284"/>
        <v>116-00-000</v>
      </c>
      <c r="F296" s="294" t="str">
        <f t="shared" si="285"/>
        <v>47090</v>
      </c>
      <c r="G296" s="295" t="str">
        <f>VLOOKUP(F296,'GL Category'!A:C,3,FALSE)</f>
        <v>OTHER REVENUE</v>
      </c>
      <c r="H296" s="98" t="str">
        <f>VLOOKUP(F296,'GL Category'!A:C,2,FALSE)</f>
        <v>INTEREST REVENUE-INVESTMENTS</v>
      </c>
      <c r="I296" s="99">
        <f>SUMIF(Import!$B:$B,'Other Fund Line-Item Details'!$A296,Import!D:D)</f>
        <v>-10237.76</v>
      </c>
      <c r="J296" s="99">
        <f>SUMIF(Import!$B:$B,'Other Fund Line-Item Details'!$A296,Import!E:E)</f>
        <v>-3026.12</v>
      </c>
      <c r="K296" s="99">
        <f>SUMIF(Import!$B:$B,'Other Fund Line-Item Details'!$A296,Import!F:F)</f>
        <v>-2680.91</v>
      </c>
      <c r="L296" s="99">
        <f>SUMIF(Import!$B:$B,'Other Fund Line-Item Details'!$A296,Import!G:G)</f>
        <v>-18204.54</v>
      </c>
      <c r="M296" s="99">
        <f>SUMIF(Import!$B:$B,'Other Fund Line-Item Details'!$A296,Import!H:H)</f>
        <v>-7558</v>
      </c>
      <c r="N296" s="99">
        <f>SUMIF(Import!$B:$B,'Other Fund Line-Item Details'!$A296,Import!I:I)</f>
        <v>-22087.67</v>
      </c>
      <c r="O296" s="99">
        <f>SUMIF(Import!$B:$B,'Other Fund Line-Item Details'!$A296,Import!J:J)</f>
        <v>-22574</v>
      </c>
      <c r="P296" s="99">
        <f t="shared" si="286"/>
        <v>-15016</v>
      </c>
      <c r="Q296" s="99">
        <f>SUMIF(Import!$B:$B,'Other Fund Line-Item Details'!$A296,Import!K:K)</f>
        <v>-22574</v>
      </c>
      <c r="R296" s="99">
        <f>SUMIF(Import!$B:$B,'Other Fund Line-Item Details'!$A296,Import!L:L)</f>
        <v>0</v>
      </c>
      <c r="S296" s="99">
        <f>SUMIF(Import!$B:$B,'Other Fund Line-Item Details'!$A296,Import!M:M)</f>
        <v>0</v>
      </c>
      <c r="T296" s="99">
        <f>SUMIF(Import!$B:$B,'Other Fund Line-Item Details'!$A296,Import!N:N)</f>
        <v>-22574</v>
      </c>
      <c r="U296" s="99">
        <f t="shared" si="287"/>
        <v>-15016</v>
      </c>
      <c r="V296" s="255">
        <f t="shared" si="288"/>
        <v>1.9867689865043663</v>
      </c>
      <c r="W296" s="102" t="s">
        <v>1946</v>
      </c>
      <c r="X296" s="121"/>
      <c r="Y296" s="121"/>
      <c r="Z296" s="121"/>
      <c r="AA296" s="121"/>
      <c r="AB296" s="121"/>
      <c r="AC296" s="121"/>
      <c r="AD296" s="121"/>
      <c r="AE296" s="121"/>
      <c r="AF296" s="121"/>
      <c r="AG296" s="121"/>
      <c r="AH296" s="121"/>
      <c r="AI296" s="121"/>
    </row>
    <row r="297" spans="1:35" s="115" customFormat="1" ht="19.5" customHeight="1">
      <c r="A297" s="555" t="s">
        <v>1947</v>
      </c>
      <c r="B297" s="217" t="str">
        <f t="shared" si="281"/>
        <v>116</v>
      </c>
      <c r="C297" s="217" t="str">
        <f t="shared" si="282"/>
        <v>00</v>
      </c>
      <c r="D297" s="101" t="str">
        <f t="shared" si="283"/>
        <v>000</v>
      </c>
      <c r="E297" s="217" t="str">
        <f t="shared" si="284"/>
        <v>116-00-000</v>
      </c>
      <c r="F297" s="294" t="str">
        <f t="shared" si="285"/>
        <v>47099</v>
      </c>
      <c r="G297" s="295" t="str">
        <f>VLOOKUP(F297,'GL Category'!A:C,3,FALSE)</f>
        <v>OTHER REVENUE</v>
      </c>
      <c r="H297" s="98" t="str">
        <f>VLOOKUP(F297,'GL Category'!A:C,2,FALSE)</f>
        <v>INCR/DECR IN FAIR VALUE OF INV</v>
      </c>
      <c r="I297" s="99">
        <f>SUMIF(Import!$B:$B,'Other Fund Line-Item Details'!$A297,Import!D:D)</f>
        <v>0</v>
      </c>
      <c r="J297" s="99">
        <f>SUMIF(Import!$B:$B,'Other Fund Line-Item Details'!$A297,Import!E:E)</f>
        <v>0</v>
      </c>
      <c r="K297" s="99">
        <f>SUMIF(Import!$B:$B,'Other Fund Line-Item Details'!$A297,Import!F:F)</f>
        <v>0</v>
      </c>
      <c r="L297" s="99">
        <f>SUMIF(Import!$B:$B,'Other Fund Line-Item Details'!$A297,Import!G:G)</f>
        <v>0</v>
      </c>
      <c r="M297" s="99">
        <f>SUMIF(Import!$B:$B,'Other Fund Line-Item Details'!$A297,Import!H:H)</f>
        <v>0</v>
      </c>
      <c r="N297" s="99">
        <f>SUMIF(Import!$B:$B,'Other Fund Line-Item Details'!$A297,Import!I:I)</f>
        <v>0</v>
      </c>
      <c r="O297" s="99">
        <f>SUMIF(Import!$B:$B,'Other Fund Line-Item Details'!$A297,Import!J:J)</f>
        <v>0</v>
      </c>
      <c r="P297" s="99">
        <f t="shared" si="286"/>
        <v>0</v>
      </c>
      <c r="Q297" s="99">
        <f>SUMIF(Import!$B:$B,'Other Fund Line-Item Details'!$A297,Import!K:K)</f>
        <v>0</v>
      </c>
      <c r="R297" s="99">
        <f>SUMIF(Import!$B:$B,'Other Fund Line-Item Details'!$A297,Import!L:L)</f>
        <v>0</v>
      </c>
      <c r="S297" s="99">
        <f>SUMIF(Import!$B:$B,'Other Fund Line-Item Details'!$A297,Import!M:M)</f>
        <v>0</v>
      </c>
      <c r="T297" s="99">
        <f>SUMIF(Import!$B:$B,'Other Fund Line-Item Details'!$A297,Import!N:N)</f>
        <v>0</v>
      </c>
      <c r="U297" s="99">
        <f t="shared" si="287"/>
        <v>0</v>
      </c>
      <c r="V297" s="255" t="str">
        <f t="shared" si="288"/>
        <v>N/A</v>
      </c>
      <c r="W297" s="102" t="s">
        <v>1947</v>
      </c>
      <c r="X297" s="121"/>
      <c r="Y297" s="121"/>
      <c r="Z297" s="121"/>
      <c r="AA297" s="121"/>
      <c r="AB297" s="121"/>
      <c r="AC297" s="121"/>
      <c r="AD297" s="121"/>
      <c r="AE297" s="121"/>
      <c r="AF297" s="121"/>
      <c r="AG297" s="121"/>
      <c r="AH297" s="121"/>
      <c r="AI297" s="121"/>
    </row>
    <row r="298" spans="1:35" s="115" customFormat="1" ht="15" customHeight="1">
      <c r="A298" s="555"/>
      <c r="B298" s="217"/>
      <c r="C298" s="217"/>
      <c r="D298" s="101"/>
      <c r="E298" s="217"/>
      <c r="F298" s="294"/>
      <c r="G298" s="146"/>
      <c r="H298" s="107" t="str">
        <f>UPPER(G297)&amp;" TOTAL"</f>
        <v>OTHER REVENUE TOTAL</v>
      </c>
      <c r="I298" s="108">
        <f t="shared" ref="I298" si="297">SUBTOTAL(9,I291:I297)</f>
        <v>-122454.62</v>
      </c>
      <c r="J298" s="108">
        <f t="shared" ref="J298:P298" si="298">SUBTOTAL(9,J291:J297)</f>
        <v>-107457.24</v>
      </c>
      <c r="K298" s="108">
        <f t="shared" ref="K298" si="299">SUBTOTAL(9,K291:K297)</f>
        <v>-89154.73</v>
      </c>
      <c r="L298" s="108">
        <f t="shared" ref="L298" si="300">SUBTOTAL(9,L291:L297)</f>
        <v>-103732.69</v>
      </c>
      <c r="M298" s="108">
        <f t="shared" si="298"/>
        <v>-88676</v>
      </c>
      <c r="N298" s="109">
        <f t="shared" ref="N298" si="301">SUBTOTAL(9,N291:N297)</f>
        <v>-57226.85</v>
      </c>
      <c r="O298" s="109">
        <f t="shared" si="298"/>
        <v>-91394</v>
      </c>
      <c r="P298" s="109">
        <f t="shared" si="298"/>
        <v>-2718</v>
      </c>
      <c r="Q298" s="109">
        <f t="shared" ref="Q298:T298" si="302">SUBTOTAL(9,Q291:Q297)</f>
        <v>-91057</v>
      </c>
      <c r="R298" s="109">
        <f t="shared" si="302"/>
        <v>0</v>
      </c>
      <c r="S298" s="109">
        <f t="shared" si="302"/>
        <v>0</v>
      </c>
      <c r="T298" s="109">
        <f t="shared" si="302"/>
        <v>-91057</v>
      </c>
      <c r="U298" s="99">
        <f t="shared" si="287"/>
        <v>-2381</v>
      </c>
      <c r="V298" s="255">
        <f t="shared" si="288"/>
        <v>2.6850557084216797E-2</v>
      </c>
      <c r="W298" s="102"/>
      <c r="X298" s="121"/>
      <c r="Y298" s="121"/>
      <c r="Z298" s="121"/>
      <c r="AA298" s="121"/>
      <c r="AB298" s="121"/>
      <c r="AC298" s="121"/>
      <c r="AD298" s="121"/>
      <c r="AE298" s="121"/>
      <c r="AF298" s="121"/>
      <c r="AG298" s="121"/>
      <c r="AH298" s="121"/>
      <c r="AI298" s="121"/>
    </row>
    <row r="299" spans="1:35" s="115" customFormat="1" ht="15" customHeight="1">
      <c r="A299" s="555"/>
      <c r="B299" s="217"/>
      <c r="C299" s="217"/>
      <c r="D299" s="101"/>
      <c r="E299" s="217"/>
      <c r="F299" s="294"/>
      <c r="G299" s="146"/>
      <c r="H299" s="98"/>
      <c r="I299" s="106"/>
      <c r="J299" s="106"/>
      <c r="K299" s="106"/>
      <c r="L299" s="106"/>
      <c r="M299" s="106"/>
      <c r="N299" s="112"/>
      <c r="O299" s="112"/>
      <c r="P299" s="112"/>
      <c r="Q299" s="113"/>
      <c r="R299" s="212"/>
      <c r="S299" s="212"/>
      <c r="T299" s="113"/>
      <c r="U299" s="105"/>
      <c r="V299" s="262"/>
      <c r="W299" s="102"/>
      <c r="X299" s="121"/>
      <c r="Y299" s="121"/>
      <c r="Z299" s="121"/>
      <c r="AA299" s="121"/>
      <c r="AB299" s="121"/>
      <c r="AC299" s="121"/>
      <c r="AD299" s="121"/>
      <c r="AE299" s="121"/>
      <c r="AF299" s="121"/>
      <c r="AG299" s="121"/>
      <c r="AH299" s="121"/>
      <c r="AI299" s="121"/>
    </row>
    <row r="300" spans="1:35" s="115" customFormat="1" ht="15" customHeight="1">
      <c r="A300" s="555" t="s">
        <v>1948</v>
      </c>
      <c r="B300" s="217" t="str">
        <f t="shared" si="281"/>
        <v>116</v>
      </c>
      <c r="C300" s="217" t="str">
        <f t="shared" si="282"/>
        <v>10</v>
      </c>
      <c r="D300" s="101" t="str">
        <f t="shared" si="283"/>
        <v>101</v>
      </c>
      <c r="E300" s="217" t="str">
        <f t="shared" si="284"/>
        <v>116-10-101</v>
      </c>
      <c r="F300" s="294" t="str">
        <f t="shared" si="285"/>
        <v>51245</v>
      </c>
      <c r="G300" s="295" t="str">
        <f>VLOOKUP(F300,'GL Category'!A:C,3,FALSE)</f>
        <v>Operations &amp; maintenance</v>
      </c>
      <c r="H300" s="98" t="str">
        <f>VLOOKUP(F300,'GL Category'!A:C,2,FALSE)</f>
        <v>SMALL TOOLS &amp; EQUIPMENT</v>
      </c>
      <c r="I300" s="99">
        <f>SUMIF(Import!$B:$B,'Other Fund Line-Item Details'!$A300,Import!D:D)</f>
        <v>14046.12</v>
      </c>
      <c r="J300" s="99">
        <f>SUMIF(Import!$B:$B,'Other Fund Line-Item Details'!$A300,Import!E:E)</f>
        <v>11786.08</v>
      </c>
      <c r="K300" s="99">
        <f>SUMIF(Import!$B:$B,'Other Fund Line-Item Details'!$A300,Import!F:F)</f>
        <v>22946.04</v>
      </c>
      <c r="L300" s="99">
        <f>SUMIF(Import!$B:$B,'Other Fund Line-Item Details'!$A300,Import!G:G)</f>
        <v>19311.34</v>
      </c>
      <c r="M300" s="99">
        <f>SUMIF(Import!$B:$B,'Other Fund Line-Item Details'!$A300,Import!H:H)</f>
        <v>40000</v>
      </c>
      <c r="N300" s="99">
        <f>SUMIF(Import!$B:$B,'Other Fund Line-Item Details'!$A300,Import!I:I)</f>
        <v>22796.04</v>
      </c>
      <c r="O300" s="99">
        <f>SUMIF(Import!$B:$B,'Other Fund Line-Item Details'!$A300,Import!J:J)</f>
        <v>30000</v>
      </c>
      <c r="P300" s="99">
        <f t="shared" ref="P300:P308" si="303">O300-M300</f>
        <v>-10000</v>
      </c>
      <c r="Q300" s="99">
        <f>SUMIF(Import!$B:$B,'Other Fund Line-Item Details'!$A300,Import!K:K)</f>
        <v>50000</v>
      </c>
      <c r="R300" s="99">
        <f>SUMIF(Import!$B:$B,'Other Fund Line-Item Details'!$A300,Import!L:L)</f>
        <v>0</v>
      </c>
      <c r="S300" s="99">
        <f>SUMIF(Import!$B:$B,'Other Fund Line-Item Details'!$A300,Import!M:M)</f>
        <v>0</v>
      </c>
      <c r="T300" s="99">
        <f>SUMIF(Import!$B:$B,'Other Fund Line-Item Details'!$A300,Import!N:N)</f>
        <v>50000</v>
      </c>
      <c r="U300" s="99">
        <f t="shared" ref="U300:U309" si="304">T300-M300</f>
        <v>10000</v>
      </c>
      <c r="V300" s="255">
        <f t="shared" ref="V300:V309" si="305">IF(M300=0,"N/A",T300/M300-1)</f>
        <v>0.25</v>
      </c>
      <c r="W300" s="102" t="s">
        <v>1948</v>
      </c>
      <c r="X300" s="121"/>
      <c r="Y300" s="121"/>
      <c r="Z300" s="121"/>
      <c r="AA300" s="121"/>
      <c r="AB300" s="121"/>
      <c r="AC300" s="121"/>
      <c r="AD300" s="121"/>
      <c r="AE300" s="121"/>
      <c r="AF300" s="121"/>
      <c r="AG300" s="121"/>
      <c r="AH300" s="121"/>
      <c r="AI300" s="121"/>
    </row>
    <row r="301" spans="1:35" s="115" customFormat="1" ht="15" customHeight="1">
      <c r="A301" s="555" t="s">
        <v>1949</v>
      </c>
      <c r="B301" s="217" t="str">
        <f t="shared" si="281"/>
        <v>116</v>
      </c>
      <c r="C301" s="217" t="str">
        <f t="shared" si="282"/>
        <v>10</v>
      </c>
      <c r="D301" s="101" t="str">
        <f t="shared" si="283"/>
        <v>101</v>
      </c>
      <c r="E301" s="217" t="str">
        <f t="shared" si="284"/>
        <v>116-10-101</v>
      </c>
      <c r="F301" s="294" t="str">
        <f t="shared" si="285"/>
        <v>52310</v>
      </c>
      <c r="G301" s="295" t="str">
        <f>VLOOKUP(F301,'GL Category'!A:C,3,FALSE)</f>
        <v>Operations &amp; maintenance</v>
      </c>
      <c r="H301" s="98" t="str">
        <f>VLOOKUP(F301,'GL Category'!A:C,2,FALSE)</f>
        <v>BUILDING MAINTENANCE</v>
      </c>
      <c r="I301" s="99">
        <f>SUMIF(Import!$B:$B,'Other Fund Line-Item Details'!$A301,Import!D:D)</f>
        <v>3079.7</v>
      </c>
      <c r="J301" s="99">
        <f>SUMIF(Import!$B:$B,'Other Fund Line-Item Details'!$A301,Import!E:E)</f>
        <v>0</v>
      </c>
      <c r="K301" s="99">
        <f>SUMIF(Import!$B:$B,'Other Fund Line-Item Details'!$A301,Import!F:F)</f>
        <v>20504.98</v>
      </c>
      <c r="L301" s="99">
        <f>SUMIF(Import!$B:$B,'Other Fund Line-Item Details'!$A301,Import!G:G)</f>
        <v>0</v>
      </c>
      <c r="M301" s="99">
        <f>SUMIF(Import!$B:$B,'Other Fund Line-Item Details'!$A301,Import!H:H)</f>
        <v>0</v>
      </c>
      <c r="N301" s="99">
        <f>SUMIF(Import!$B:$B,'Other Fund Line-Item Details'!$A301,Import!I:I)</f>
        <v>0</v>
      </c>
      <c r="O301" s="99">
        <f>SUMIF(Import!$B:$B,'Other Fund Line-Item Details'!$A301,Import!J:J)</f>
        <v>0</v>
      </c>
      <c r="P301" s="99">
        <f t="shared" si="303"/>
        <v>0</v>
      </c>
      <c r="Q301" s="99">
        <f>SUMIF(Import!$B:$B,'Other Fund Line-Item Details'!$A301,Import!K:K)</f>
        <v>0</v>
      </c>
      <c r="R301" s="99">
        <f>SUMIF(Import!$B:$B,'Other Fund Line-Item Details'!$A301,Import!L:L)</f>
        <v>0</v>
      </c>
      <c r="S301" s="99">
        <f>SUMIF(Import!$B:$B,'Other Fund Line-Item Details'!$A301,Import!M:M)</f>
        <v>0</v>
      </c>
      <c r="T301" s="99">
        <f>SUMIF(Import!$B:$B,'Other Fund Line-Item Details'!$A301,Import!N:N)</f>
        <v>0</v>
      </c>
      <c r="U301" s="99">
        <f t="shared" si="304"/>
        <v>0</v>
      </c>
      <c r="V301" s="255" t="str">
        <f t="shared" si="305"/>
        <v>N/A</v>
      </c>
      <c r="W301" s="102" t="s">
        <v>1949</v>
      </c>
      <c r="X301" s="121"/>
      <c r="Y301" s="121"/>
      <c r="Z301" s="121"/>
      <c r="AA301" s="121"/>
      <c r="AB301" s="121"/>
      <c r="AC301" s="121"/>
      <c r="AD301" s="121"/>
      <c r="AE301" s="121"/>
      <c r="AF301" s="121"/>
      <c r="AG301" s="121"/>
      <c r="AH301" s="121"/>
      <c r="AI301" s="121"/>
    </row>
    <row r="302" spans="1:35" s="115" customFormat="1" ht="15" customHeight="1">
      <c r="A302" s="555" t="s">
        <v>1950</v>
      </c>
      <c r="B302" s="217" t="str">
        <f t="shared" si="281"/>
        <v>116</v>
      </c>
      <c r="C302" s="217" t="str">
        <f t="shared" si="282"/>
        <v>10</v>
      </c>
      <c r="D302" s="101" t="str">
        <f t="shared" si="283"/>
        <v>101</v>
      </c>
      <c r="E302" s="217" t="str">
        <f t="shared" si="284"/>
        <v>116-10-101</v>
      </c>
      <c r="F302" s="294" t="str">
        <f t="shared" si="285"/>
        <v>52480</v>
      </c>
      <c r="G302" s="295" t="str">
        <f>VLOOKUP(F302,'GL Category'!A:C,3,FALSE)</f>
        <v>Operations &amp; maintenance</v>
      </c>
      <c r="H302" s="98" t="str">
        <f>VLOOKUP(F302,'GL Category'!A:C,2,FALSE)</f>
        <v>OFFICE EQUIPMENT MAINTENANCE</v>
      </c>
      <c r="I302" s="99">
        <f>SUMIF(Import!$B:$B,'Other Fund Line-Item Details'!$A302,Import!D:D)</f>
        <v>0</v>
      </c>
      <c r="J302" s="99">
        <f>SUMIF(Import!$B:$B,'Other Fund Line-Item Details'!$A302,Import!E:E)</f>
        <v>0</v>
      </c>
      <c r="K302" s="99">
        <f>SUMIF(Import!$B:$B,'Other Fund Line-Item Details'!$A302,Import!F:F)</f>
        <v>0</v>
      </c>
      <c r="L302" s="99">
        <f>SUMIF(Import!$B:$B,'Other Fund Line-Item Details'!$A302,Import!G:G)</f>
        <v>0</v>
      </c>
      <c r="M302" s="99">
        <f>SUMIF(Import!$B:$B,'Other Fund Line-Item Details'!$A302,Import!H:H)</f>
        <v>0</v>
      </c>
      <c r="N302" s="99">
        <f>SUMIF(Import!$B:$B,'Other Fund Line-Item Details'!$A302,Import!I:I)</f>
        <v>0</v>
      </c>
      <c r="O302" s="99">
        <f>SUMIF(Import!$B:$B,'Other Fund Line-Item Details'!$A302,Import!J:J)</f>
        <v>0</v>
      </c>
      <c r="P302" s="99">
        <f t="shared" si="303"/>
        <v>0</v>
      </c>
      <c r="Q302" s="99">
        <f>SUMIF(Import!$B:$B,'Other Fund Line-Item Details'!$A302,Import!K:K)</f>
        <v>0</v>
      </c>
      <c r="R302" s="99">
        <f>SUMIF(Import!$B:$B,'Other Fund Line-Item Details'!$A302,Import!L:L)</f>
        <v>0</v>
      </c>
      <c r="S302" s="99">
        <f>SUMIF(Import!$B:$B,'Other Fund Line-Item Details'!$A302,Import!M:M)</f>
        <v>0</v>
      </c>
      <c r="T302" s="99">
        <f>SUMIF(Import!$B:$B,'Other Fund Line-Item Details'!$A302,Import!N:N)</f>
        <v>0</v>
      </c>
      <c r="U302" s="99">
        <f t="shared" si="304"/>
        <v>0</v>
      </c>
      <c r="V302" s="255" t="str">
        <f t="shared" si="305"/>
        <v>N/A</v>
      </c>
      <c r="W302" s="102" t="s">
        <v>1950</v>
      </c>
      <c r="X302" s="121"/>
      <c r="Y302" s="121"/>
      <c r="Z302" s="121"/>
      <c r="AA302" s="121"/>
      <c r="AB302" s="121"/>
      <c r="AC302" s="121"/>
      <c r="AD302" s="121"/>
      <c r="AE302" s="121"/>
      <c r="AF302" s="121"/>
      <c r="AG302" s="121"/>
      <c r="AH302" s="121"/>
      <c r="AI302" s="121"/>
    </row>
    <row r="303" spans="1:35" s="115" customFormat="1" ht="15" customHeight="1">
      <c r="A303" s="555" t="s">
        <v>1951</v>
      </c>
      <c r="B303" s="217" t="str">
        <f t="shared" si="281"/>
        <v>116</v>
      </c>
      <c r="C303" s="217" t="str">
        <f t="shared" si="282"/>
        <v>10</v>
      </c>
      <c r="D303" s="101" t="str">
        <f t="shared" si="283"/>
        <v>101</v>
      </c>
      <c r="E303" s="217" t="str">
        <f t="shared" si="284"/>
        <v>116-10-101</v>
      </c>
      <c r="F303" s="294" t="str">
        <f t="shared" si="285"/>
        <v>51210</v>
      </c>
      <c r="G303" s="295" t="str">
        <f>VLOOKUP(F303,'GL Category'!A:C,3,FALSE)</f>
        <v>Operations &amp; maintenance</v>
      </c>
      <c r="H303" s="98" t="str">
        <f>VLOOKUP(F303,'GL Category'!A:C,2,FALSE)</f>
        <v>OFFICE SUPPLIES</v>
      </c>
      <c r="I303" s="99">
        <f>SUMIF(Import!$B:$B,'Other Fund Line-Item Details'!$A303,Import!D:D)</f>
        <v>4.5</v>
      </c>
      <c r="J303" s="99">
        <f>SUMIF(Import!$B:$B,'Other Fund Line-Item Details'!$A303,Import!E:E)</f>
        <v>2924.81</v>
      </c>
      <c r="K303" s="99">
        <f>SUMIF(Import!$B:$B,'Other Fund Line-Item Details'!$A303,Import!F:F)</f>
        <v>3032.35</v>
      </c>
      <c r="L303" s="99">
        <f>SUMIF(Import!$B:$B,'Other Fund Line-Item Details'!$A303,Import!G:G)</f>
        <v>3921.92</v>
      </c>
      <c r="M303" s="99">
        <f>SUMIF(Import!$B:$B,'Other Fund Line-Item Details'!$A303,Import!H:H)</f>
        <v>0</v>
      </c>
      <c r="N303" s="99">
        <f>SUMIF(Import!$B:$B,'Other Fund Line-Item Details'!$A303,Import!I:I)</f>
        <v>1440</v>
      </c>
      <c r="O303" s="99">
        <f>SUMIF(Import!$B:$B,'Other Fund Line-Item Details'!$A303,Import!J:J)</f>
        <v>0</v>
      </c>
      <c r="P303" s="99">
        <f t="shared" si="303"/>
        <v>0</v>
      </c>
      <c r="Q303" s="99">
        <f>SUMIF(Import!$B:$B,'Other Fund Line-Item Details'!$A303,Import!K:K)</f>
        <v>0</v>
      </c>
      <c r="R303" s="99">
        <f>SUMIF(Import!$B:$B,'Other Fund Line-Item Details'!$A303,Import!L:L)</f>
        <v>0</v>
      </c>
      <c r="S303" s="99">
        <f>SUMIF(Import!$B:$B,'Other Fund Line-Item Details'!$A303,Import!M:M)</f>
        <v>0</v>
      </c>
      <c r="T303" s="99">
        <f>SUMIF(Import!$B:$B,'Other Fund Line-Item Details'!$A303,Import!N:N)</f>
        <v>0</v>
      </c>
      <c r="U303" s="99">
        <f t="shared" si="304"/>
        <v>0</v>
      </c>
      <c r="V303" s="255" t="str">
        <f t="shared" si="305"/>
        <v>N/A</v>
      </c>
      <c r="W303" s="102" t="s">
        <v>1951</v>
      </c>
      <c r="X303" s="121"/>
      <c r="Y303" s="121"/>
      <c r="Z303" s="121"/>
      <c r="AA303" s="121"/>
      <c r="AB303" s="121"/>
      <c r="AC303" s="121"/>
      <c r="AD303" s="121"/>
      <c r="AE303" s="121"/>
      <c r="AF303" s="121"/>
      <c r="AG303" s="121"/>
      <c r="AH303" s="121"/>
      <c r="AI303" s="121"/>
    </row>
    <row r="304" spans="1:35" s="115" customFormat="1" ht="15" customHeight="1">
      <c r="A304" s="555" t="s">
        <v>1952</v>
      </c>
      <c r="B304" s="217" t="str">
        <f t="shared" si="281"/>
        <v>116</v>
      </c>
      <c r="C304" s="217" t="str">
        <f t="shared" si="282"/>
        <v>10</v>
      </c>
      <c r="D304" s="101" t="str">
        <f t="shared" si="283"/>
        <v>101</v>
      </c>
      <c r="E304" s="217" t="str">
        <f t="shared" si="284"/>
        <v>116-10-101</v>
      </c>
      <c r="F304" s="294" t="str">
        <f t="shared" si="285"/>
        <v>53599</v>
      </c>
      <c r="G304" s="295" t="str">
        <f>VLOOKUP(F304,'GL Category'!A:C,3,FALSE)</f>
        <v>Services &amp; other</v>
      </c>
      <c r="H304" s="98" t="str">
        <f>VLOOKUP(F304,'GL Category'!A:C,2,FALSE)</f>
        <v>MISCELLANEOUS SERVICES</v>
      </c>
      <c r="I304" s="99">
        <f>SUMIF(Import!$B:$B,'Other Fund Line-Item Details'!$A304,Import!D:D)</f>
        <v>44754.81</v>
      </c>
      <c r="J304" s="99">
        <f>SUMIF(Import!$B:$B,'Other Fund Line-Item Details'!$A304,Import!E:E)</f>
        <v>47887.65</v>
      </c>
      <c r="K304" s="99">
        <f>SUMIF(Import!$B:$B,'Other Fund Line-Item Details'!$A304,Import!F:F)</f>
        <v>52314.27</v>
      </c>
      <c r="L304" s="99">
        <f>SUMIF(Import!$B:$B,'Other Fund Line-Item Details'!$A304,Import!G:G)</f>
        <v>50804.04</v>
      </c>
      <c r="M304" s="99">
        <f>SUMIF(Import!$B:$B,'Other Fund Line-Item Details'!$A304,Import!H:H)</f>
        <v>65000</v>
      </c>
      <c r="N304" s="99">
        <f>SUMIF(Import!$B:$B,'Other Fund Line-Item Details'!$A304,Import!I:I)</f>
        <v>62628.160000000003</v>
      </c>
      <c r="O304" s="99">
        <f>SUMIF(Import!$B:$B,'Other Fund Line-Item Details'!$A304,Import!J:J)</f>
        <v>63000</v>
      </c>
      <c r="P304" s="99">
        <f t="shared" si="303"/>
        <v>-2000</v>
      </c>
      <c r="Q304" s="99">
        <f>SUMIF(Import!$B:$B,'Other Fund Line-Item Details'!$A304,Import!K:K)</f>
        <v>75000</v>
      </c>
      <c r="R304" s="99">
        <f>SUMIF(Import!$B:$B,'Other Fund Line-Item Details'!$A304,Import!L:L)</f>
        <v>0</v>
      </c>
      <c r="S304" s="99">
        <f>SUMIF(Import!$B:$B,'Other Fund Line-Item Details'!$A304,Import!M:M)</f>
        <v>0</v>
      </c>
      <c r="T304" s="99">
        <f>SUMIF(Import!$B:$B,'Other Fund Line-Item Details'!$A304,Import!N:N)</f>
        <v>75000</v>
      </c>
      <c r="U304" s="99">
        <f t="shared" si="304"/>
        <v>10000</v>
      </c>
      <c r="V304" s="255">
        <f t="shared" si="305"/>
        <v>0.15384615384615374</v>
      </c>
      <c r="W304" s="102" t="s">
        <v>1952</v>
      </c>
      <c r="X304" s="121"/>
      <c r="Y304" s="121"/>
      <c r="Z304" s="121"/>
      <c r="AA304" s="121"/>
      <c r="AB304" s="121"/>
      <c r="AC304" s="121"/>
      <c r="AD304" s="121"/>
      <c r="AE304" s="121"/>
      <c r="AF304" s="121"/>
      <c r="AG304" s="121"/>
      <c r="AH304" s="121"/>
      <c r="AI304" s="121"/>
    </row>
    <row r="305" spans="1:40" s="115" customFormat="1" ht="15" customHeight="1">
      <c r="A305" s="555" t="s">
        <v>1953</v>
      </c>
      <c r="B305" s="217" t="str">
        <f t="shared" si="281"/>
        <v>116</v>
      </c>
      <c r="C305" s="217" t="str">
        <f t="shared" si="282"/>
        <v>10</v>
      </c>
      <c r="D305" s="101" t="str">
        <f t="shared" si="283"/>
        <v>101</v>
      </c>
      <c r="E305" s="217" t="str">
        <f t="shared" si="284"/>
        <v>116-10-101</v>
      </c>
      <c r="F305" s="294" t="str">
        <f t="shared" si="285"/>
        <v>53513</v>
      </c>
      <c r="G305" s="295" t="str">
        <f>VLOOKUP(F305,'GL Category'!A:C,3,FALSE)</f>
        <v>Services &amp; other</v>
      </c>
      <c r="H305" s="98" t="str">
        <f>VLOOKUP(F305,'GL Category'!A:C,2,FALSE)</f>
        <v>CONSULTING SERVICES</v>
      </c>
      <c r="I305" s="99">
        <f>SUMIF(Import!$B:$B,'Other Fund Line-Item Details'!$A305,Import!D:D)</f>
        <v>4619</v>
      </c>
      <c r="J305" s="99">
        <f>SUMIF(Import!$B:$B,'Other Fund Line-Item Details'!$A305,Import!E:E)</f>
        <v>1940.75</v>
      </c>
      <c r="K305" s="99">
        <f>SUMIF(Import!$B:$B,'Other Fund Line-Item Details'!$A305,Import!F:F)</f>
        <v>6212.5</v>
      </c>
      <c r="L305" s="99">
        <f>SUMIF(Import!$B:$B,'Other Fund Line-Item Details'!$A305,Import!G:G)</f>
        <v>4567.5</v>
      </c>
      <c r="M305" s="99">
        <f>SUMIF(Import!$B:$B,'Other Fund Line-Item Details'!$A305,Import!H:H)</f>
        <v>30000</v>
      </c>
      <c r="N305" s="99">
        <f>SUMIF(Import!$B:$B,'Other Fund Line-Item Details'!$A305,Import!I:I)</f>
        <v>1662.5</v>
      </c>
      <c r="O305" s="99">
        <f>SUMIF(Import!$B:$B,'Other Fund Line-Item Details'!$A305,Import!J:J)</f>
        <v>7000</v>
      </c>
      <c r="P305" s="99">
        <f t="shared" si="303"/>
        <v>-23000</v>
      </c>
      <c r="Q305" s="99">
        <f>SUMIF(Import!$B:$B,'Other Fund Line-Item Details'!$A305,Import!K:K)</f>
        <v>30000</v>
      </c>
      <c r="R305" s="99">
        <f>SUMIF(Import!$B:$B,'Other Fund Line-Item Details'!$A305,Import!L:L)</f>
        <v>0</v>
      </c>
      <c r="S305" s="99">
        <f>SUMIF(Import!$B:$B,'Other Fund Line-Item Details'!$A305,Import!M:M)</f>
        <v>0</v>
      </c>
      <c r="T305" s="99">
        <f>SUMIF(Import!$B:$B,'Other Fund Line-Item Details'!$A305,Import!N:N)</f>
        <v>30000</v>
      </c>
      <c r="U305" s="99">
        <f t="shared" si="304"/>
        <v>0</v>
      </c>
      <c r="V305" s="255">
        <f t="shared" si="305"/>
        <v>0</v>
      </c>
      <c r="W305" s="102" t="s">
        <v>1953</v>
      </c>
      <c r="X305" s="121"/>
      <c r="Y305" s="121"/>
      <c r="Z305" s="121"/>
      <c r="AA305" s="121"/>
      <c r="AB305" s="121"/>
      <c r="AC305" s="121"/>
      <c r="AD305" s="121"/>
      <c r="AE305" s="121"/>
      <c r="AF305" s="121"/>
      <c r="AG305" s="121"/>
      <c r="AH305" s="121"/>
      <c r="AI305" s="121"/>
    </row>
    <row r="306" spans="1:40" s="115" customFormat="1" ht="15" customHeight="1">
      <c r="A306" s="555" t="s">
        <v>1954</v>
      </c>
      <c r="B306" s="217" t="str">
        <f t="shared" si="281"/>
        <v>116</v>
      </c>
      <c r="C306" s="217" t="str">
        <f t="shared" si="282"/>
        <v>10</v>
      </c>
      <c r="D306" s="101" t="str">
        <f t="shared" si="283"/>
        <v>101</v>
      </c>
      <c r="E306" s="217" t="str">
        <f t="shared" si="284"/>
        <v>116-10-101</v>
      </c>
      <c r="F306" s="294" t="str">
        <f t="shared" si="285"/>
        <v>58830</v>
      </c>
      <c r="G306" s="295" t="str">
        <f>VLOOKUP(F306,'GL Category'!A:C,3,FALSE)</f>
        <v>Capital Outlay</v>
      </c>
      <c r="H306" s="98" t="str">
        <f>VLOOKUP(F306,'GL Category'!A:C,2,FALSE)</f>
        <v>MACHINERY &amp; EQUIPMENT</v>
      </c>
      <c r="I306" s="99">
        <f>SUMIF(Import!$B:$B,'Other Fund Line-Item Details'!$A306,Import!D:D)</f>
        <v>0</v>
      </c>
      <c r="J306" s="99">
        <f>SUMIF(Import!$B:$B,'Other Fund Line-Item Details'!$A306,Import!E:E)</f>
        <v>49054</v>
      </c>
      <c r="K306" s="99">
        <f>SUMIF(Import!$B:$B,'Other Fund Line-Item Details'!$A306,Import!F:F)</f>
        <v>19873</v>
      </c>
      <c r="L306" s="99">
        <f>SUMIF(Import!$B:$B,'Other Fund Line-Item Details'!$A306,Import!G:G)</f>
        <v>0</v>
      </c>
      <c r="M306" s="99">
        <f>SUMIF(Import!$B:$B,'Other Fund Line-Item Details'!$A306,Import!H:H)</f>
        <v>0</v>
      </c>
      <c r="N306" s="99">
        <f>SUMIF(Import!$B:$B,'Other Fund Line-Item Details'!$A306,Import!I:I)</f>
        <v>0</v>
      </c>
      <c r="O306" s="99">
        <f>SUMIF(Import!$B:$B,'Other Fund Line-Item Details'!$A306,Import!J:J)</f>
        <v>0</v>
      </c>
      <c r="P306" s="99">
        <f t="shared" si="303"/>
        <v>0</v>
      </c>
      <c r="Q306" s="99">
        <f>SUMIF(Import!$B:$B,'Other Fund Line-Item Details'!$A306,Import!K:K)</f>
        <v>0</v>
      </c>
      <c r="R306" s="99">
        <f>SUMIF(Import!$B:$B,'Other Fund Line-Item Details'!$A306,Import!L:L)</f>
        <v>0</v>
      </c>
      <c r="S306" s="99">
        <f>SUMIF(Import!$B:$B,'Other Fund Line-Item Details'!$A306,Import!M:M)</f>
        <v>0</v>
      </c>
      <c r="T306" s="99">
        <f>SUMIF(Import!$B:$B,'Other Fund Line-Item Details'!$A306,Import!N:N)</f>
        <v>0</v>
      </c>
      <c r="U306" s="99">
        <f t="shared" si="304"/>
        <v>0</v>
      </c>
      <c r="V306" s="255" t="str">
        <f t="shared" si="305"/>
        <v>N/A</v>
      </c>
      <c r="W306" s="102" t="s">
        <v>1954</v>
      </c>
      <c r="X306" s="121"/>
      <c r="Y306" s="121"/>
      <c r="Z306" s="121">
        <v>1559</v>
      </c>
      <c r="AA306" s="121"/>
      <c r="AB306" s="121"/>
      <c r="AC306" s="121"/>
      <c r="AD306" s="121"/>
      <c r="AE306" s="121"/>
      <c r="AF306" s="121"/>
      <c r="AG306" s="121"/>
      <c r="AH306" s="121"/>
      <c r="AI306" s="121"/>
    </row>
    <row r="307" spans="1:40" s="115" customFormat="1" ht="15" customHeight="1">
      <c r="A307" s="555" t="s">
        <v>1955</v>
      </c>
      <c r="B307" s="217" t="str">
        <f t="shared" si="281"/>
        <v>116</v>
      </c>
      <c r="C307" s="217" t="str">
        <f t="shared" si="282"/>
        <v>10</v>
      </c>
      <c r="D307" s="101" t="str">
        <f t="shared" si="283"/>
        <v>101</v>
      </c>
      <c r="E307" s="217" t="str">
        <f t="shared" si="284"/>
        <v>116-10-101</v>
      </c>
      <c r="F307" s="294" t="str">
        <f t="shared" si="285"/>
        <v>58836</v>
      </c>
      <c r="G307" s="295" t="e">
        <f>VLOOKUP(F307,'GL Category'!A:C,3,FALSE)</f>
        <v>#N/A</v>
      </c>
      <c r="H307" s="98" t="e">
        <f>VLOOKUP(F307,'GL Category'!A:C,2,FALSE)</f>
        <v>#N/A</v>
      </c>
      <c r="I307" s="99">
        <f>SUMIF(Import!$B:$B,'Other Fund Line-Item Details'!$A307,Import!D:D)</f>
        <v>0</v>
      </c>
      <c r="J307" s="99">
        <f>SUMIF(Import!$B:$B,'Other Fund Line-Item Details'!$A307,Import!E:E)</f>
        <v>0</v>
      </c>
      <c r="K307" s="99">
        <f>SUMIF(Import!$B:$B,'Other Fund Line-Item Details'!$A307,Import!F:F)</f>
        <v>0</v>
      </c>
      <c r="L307" s="99">
        <f>SUMIF(Import!$B:$B,'Other Fund Line-Item Details'!$A307,Import!G:G)</f>
        <v>0</v>
      </c>
      <c r="M307" s="99">
        <f>SUMIF(Import!$B:$B,'Other Fund Line-Item Details'!$A307,Import!H:H)</f>
        <v>0</v>
      </c>
      <c r="N307" s="99">
        <f>SUMIF(Import!$B:$B,'Other Fund Line-Item Details'!$A307,Import!I:I)</f>
        <v>0</v>
      </c>
      <c r="O307" s="99">
        <f>SUMIF(Import!$B:$B,'Other Fund Line-Item Details'!$A307,Import!J:J)</f>
        <v>0</v>
      </c>
      <c r="P307" s="99">
        <f t="shared" si="303"/>
        <v>0</v>
      </c>
      <c r="Q307" s="99">
        <f>SUMIF(Import!$B:$B,'Other Fund Line-Item Details'!$A307,Import!K:K)</f>
        <v>0</v>
      </c>
      <c r="R307" s="99">
        <f>SUMIF(Import!$B:$B,'Other Fund Line-Item Details'!$A307,Import!L:L)</f>
        <v>0</v>
      </c>
      <c r="S307" s="99">
        <f>SUMIF(Import!$B:$B,'Other Fund Line-Item Details'!$A307,Import!M:M)</f>
        <v>0</v>
      </c>
      <c r="T307" s="99">
        <f>SUMIF(Import!$B:$B,'Other Fund Line-Item Details'!$A307,Import!N:N)</f>
        <v>0</v>
      </c>
      <c r="U307" s="99">
        <f t="shared" si="304"/>
        <v>0</v>
      </c>
      <c r="V307" s="255" t="str">
        <f t="shared" si="305"/>
        <v>N/A</v>
      </c>
      <c r="W307" s="102" t="s">
        <v>1955</v>
      </c>
      <c r="X307" s="121"/>
      <c r="Y307" s="121"/>
      <c r="Z307" s="121">
        <v>1559</v>
      </c>
      <c r="AA307" s="121"/>
      <c r="AB307" s="121"/>
      <c r="AC307" s="121"/>
      <c r="AD307" s="121"/>
      <c r="AE307" s="121"/>
      <c r="AF307" s="121"/>
      <c r="AG307" s="121"/>
      <c r="AH307" s="121"/>
      <c r="AI307" s="121"/>
    </row>
    <row r="308" spans="1:40" s="115" customFormat="1" ht="15" customHeight="1">
      <c r="A308" s="555" t="s">
        <v>1956</v>
      </c>
      <c r="B308" s="217" t="str">
        <f t="shared" si="281"/>
        <v>116</v>
      </c>
      <c r="C308" s="217" t="str">
        <f t="shared" si="282"/>
        <v>10</v>
      </c>
      <c r="D308" s="101" t="str">
        <f t="shared" si="283"/>
        <v>101</v>
      </c>
      <c r="E308" s="217" t="str">
        <f t="shared" si="284"/>
        <v>116-10-101</v>
      </c>
      <c r="F308" s="294" t="str">
        <f t="shared" si="285"/>
        <v>58851</v>
      </c>
      <c r="G308" s="295" t="str">
        <f>VLOOKUP(F308,'GL Category'!A:C,3,FALSE)</f>
        <v>Capital Outlay</v>
      </c>
      <c r="H308" s="98" t="str">
        <f>VLOOKUP(F308,'GL Category'!A:C,2,FALSE)</f>
        <v>FURNITURE &amp; FIXTURES</v>
      </c>
      <c r="I308" s="99">
        <f>SUMIF(Import!$B:$B,'Other Fund Line-Item Details'!$A308,Import!D:D)</f>
        <v>0</v>
      </c>
      <c r="J308" s="99">
        <f>SUMIF(Import!$B:$B,'Other Fund Line-Item Details'!$A308,Import!E:E)</f>
        <v>0</v>
      </c>
      <c r="K308" s="99">
        <f>SUMIF(Import!$B:$B,'Other Fund Line-Item Details'!$A308,Import!F:F)</f>
        <v>0</v>
      </c>
      <c r="L308" s="99">
        <f>SUMIF(Import!$B:$B,'Other Fund Line-Item Details'!$A308,Import!G:G)</f>
        <v>0</v>
      </c>
      <c r="M308" s="99">
        <f>SUMIF(Import!$B:$B,'Other Fund Line-Item Details'!$A308,Import!H:H)</f>
        <v>0</v>
      </c>
      <c r="N308" s="99">
        <f>SUMIF(Import!$B:$B,'Other Fund Line-Item Details'!$A308,Import!I:I)</f>
        <v>0</v>
      </c>
      <c r="O308" s="99">
        <f>SUMIF(Import!$B:$B,'Other Fund Line-Item Details'!$A308,Import!J:J)</f>
        <v>0</v>
      </c>
      <c r="P308" s="99">
        <f t="shared" si="303"/>
        <v>0</v>
      </c>
      <c r="Q308" s="99">
        <f>SUMIF(Import!$B:$B,'Other Fund Line-Item Details'!$A308,Import!K:K)</f>
        <v>0</v>
      </c>
      <c r="R308" s="99">
        <f>SUMIF(Import!$B:$B,'Other Fund Line-Item Details'!$A308,Import!L:L)</f>
        <v>0</v>
      </c>
      <c r="S308" s="99">
        <f>SUMIF(Import!$B:$B,'Other Fund Line-Item Details'!$A308,Import!M:M)</f>
        <v>0</v>
      </c>
      <c r="T308" s="99">
        <f>SUMIF(Import!$B:$B,'Other Fund Line-Item Details'!$A308,Import!N:N)</f>
        <v>0</v>
      </c>
      <c r="U308" s="99">
        <f t="shared" si="304"/>
        <v>0</v>
      </c>
      <c r="V308" s="255" t="str">
        <f t="shared" si="305"/>
        <v>N/A</v>
      </c>
      <c r="W308" s="102" t="s">
        <v>1956</v>
      </c>
      <c r="X308" s="121"/>
      <c r="Y308" s="121"/>
      <c r="Z308" s="121">
        <v>-937</v>
      </c>
      <c r="AA308" s="121"/>
      <c r="AB308" s="121"/>
      <c r="AC308" s="121"/>
      <c r="AD308" s="121"/>
      <c r="AE308" s="121"/>
      <c r="AF308" s="121"/>
      <c r="AG308" s="121"/>
      <c r="AH308" s="121"/>
      <c r="AI308" s="121"/>
    </row>
    <row r="309" spans="1:40" s="115" customFormat="1" ht="15" customHeight="1">
      <c r="A309" s="555"/>
      <c r="B309" s="217"/>
      <c r="C309" s="217"/>
      <c r="D309" s="101"/>
      <c r="E309" s="217"/>
      <c r="F309" s="294"/>
      <c r="G309" s="146"/>
      <c r="H309" s="107" t="str">
        <f>UPPER("EXPENDITURE TOTAL")</f>
        <v>EXPENDITURE TOTAL</v>
      </c>
      <c r="I309" s="108">
        <f t="shared" ref="I309" si="306">SUBTOTAL(9,I300:I308)</f>
        <v>66504.13</v>
      </c>
      <c r="J309" s="108">
        <f t="shared" ref="J309:P309" si="307">SUBTOTAL(9,J300:J308)</f>
        <v>113593.29000000001</v>
      </c>
      <c r="K309" s="108">
        <f t="shared" ref="K309" si="308">SUBTOTAL(9,K300:K308)</f>
        <v>124883.14</v>
      </c>
      <c r="L309" s="108">
        <f t="shared" ref="L309" si="309">SUBTOTAL(9,L300:L308)</f>
        <v>78604.800000000003</v>
      </c>
      <c r="M309" s="108">
        <f t="shared" si="307"/>
        <v>135000</v>
      </c>
      <c r="N309" s="109">
        <f t="shared" ref="N309" si="310">SUBTOTAL(9,N300:N308)</f>
        <v>88526.700000000012</v>
      </c>
      <c r="O309" s="109">
        <f t="shared" si="307"/>
        <v>100000</v>
      </c>
      <c r="P309" s="109">
        <f t="shared" si="307"/>
        <v>-35000</v>
      </c>
      <c r="Q309" s="109">
        <f t="shared" ref="Q309:T309" si="311">SUBTOTAL(9,Q300:Q308)</f>
        <v>155000</v>
      </c>
      <c r="R309" s="109">
        <f t="shared" si="311"/>
        <v>0</v>
      </c>
      <c r="S309" s="109">
        <f t="shared" si="311"/>
        <v>0</v>
      </c>
      <c r="T309" s="109">
        <f t="shared" si="311"/>
        <v>155000</v>
      </c>
      <c r="U309" s="99">
        <f t="shared" si="304"/>
        <v>20000</v>
      </c>
      <c r="V309" s="255">
        <f t="shared" si="305"/>
        <v>0.14814814814814814</v>
      </c>
      <c r="W309" s="102"/>
      <c r="X309" s="121"/>
      <c r="Y309" s="121"/>
      <c r="Z309" s="121">
        <v>-252</v>
      </c>
      <c r="AA309" s="121"/>
      <c r="AB309" s="121"/>
      <c r="AC309" s="121"/>
      <c r="AD309" s="121"/>
      <c r="AE309" s="121"/>
      <c r="AF309" s="121"/>
      <c r="AG309" s="121"/>
      <c r="AH309" s="121"/>
      <c r="AI309" s="121"/>
    </row>
    <row r="310" spans="1:40" s="115" customFormat="1" ht="15" customHeight="1">
      <c r="A310" s="555"/>
      <c r="B310" s="217"/>
      <c r="C310" s="217"/>
      <c r="D310" s="101"/>
      <c r="E310" s="217"/>
      <c r="F310" s="294"/>
      <c r="G310" s="146"/>
      <c r="H310" s="98"/>
      <c r="I310" s="106"/>
      <c r="J310" s="106"/>
      <c r="K310" s="106"/>
      <c r="L310" s="106"/>
      <c r="M310" s="106"/>
      <c r="N310" s="112"/>
      <c r="O310" s="112"/>
      <c r="P310" s="112"/>
      <c r="Q310" s="113"/>
      <c r="R310" s="212"/>
      <c r="S310" s="212"/>
      <c r="T310" s="113"/>
      <c r="U310" s="105"/>
      <c r="V310" s="262"/>
      <c r="W310" s="102"/>
      <c r="X310" s="121"/>
      <c r="Y310" s="121"/>
      <c r="Z310" s="121">
        <f>SUM(Z307:Z309)</f>
        <v>370</v>
      </c>
      <c r="AA310" s="121">
        <v>5200</v>
      </c>
      <c r="AB310" s="121"/>
      <c r="AC310" s="121"/>
      <c r="AD310" s="121"/>
      <c r="AE310" s="121"/>
      <c r="AF310" s="121"/>
      <c r="AG310" s="121"/>
      <c r="AH310" s="121"/>
      <c r="AI310" s="121"/>
    </row>
    <row r="311" spans="1:40" s="115" customFormat="1" ht="15" customHeight="1">
      <c r="A311" s="555"/>
      <c r="B311" s="217"/>
      <c r="C311" s="217"/>
      <c r="D311" s="101"/>
      <c r="E311" s="217"/>
      <c r="F311" s="294"/>
      <c r="G311" s="146"/>
      <c r="H311" s="114" t="s">
        <v>674</v>
      </c>
      <c r="I311" s="108">
        <f t="shared" ref="I311" si="312">SUBTOTAL(9,I291:I309)</f>
        <v>-55950.490000000005</v>
      </c>
      <c r="J311" s="108">
        <f t="shared" ref="J311:T311" si="313">SUBTOTAL(9,J291:J309)</f>
        <v>6136.0499999999956</v>
      </c>
      <c r="K311" s="108">
        <f t="shared" ref="K311" si="314">SUBTOTAL(9,K291:K309)</f>
        <v>35728.409999999989</v>
      </c>
      <c r="L311" s="108">
        <f t="shared" ref="L311" si="315">SUBTOTAL(9,L291:L309)</f>
        <v>-25127.890000000007</v>
      </c>
      <c r="M311" s="108">
        <f t="shared" si="313"/>
        <v>46324</v>
      </c>
      <c r="N311" s="108">
        <f t="shared" ref="N311" si="316">SUBTOTAL(9,N291:N309)</f>
        <v>31299.850000000006</v>
      </c>
      <c r="O311" s="108">
        <f t="shared" si="313"/>
        <v>8606</v>
      </c>
      <c r="P311" s="108">
        <f t="shared" si="313"/>
        <v>-37718</v>
      </c>
      <c r="Q311" s="108">
        <f t="shared" si="313"/>
        <v>63943</v>
      </c>
      <c r="R311" s="108">
        <f t="shared" si="313"/>
        <v>0</v>
      </c>
      <c r="S311" s="108">
        <f t="shared" si="313"/>
        <v>0</v>
      </c>
      <c r="T311" s="108">
        <f t="shared" si="313"/>
        <v>63943</v>
      </c>
      <c r="U311" s="99">
        <f>T311-M311</f>
        <v>17619</v>
      </c>
      <c r="V311" s="255">
        <f>IF(M311=0,"N/A",T311/M311-1)</f>
        <v>0.38034280286676458</v>
      </c>
      <c r="W311" s="102"/>
      <c r="X311" s="121"/>
      <c r="Y311" s="121"/>
      <c r="Z311" s="121"/>
      <c r="AA311" s="121">
        <v>4700</v>
      </c>
      <c r="AB311" s="121"/>
      <c r="AC311" s="121"/>
      <c r="AD311" s="121"/>
      <c r="AE311" s="121"/>
      <c r="AF311" s="121"/>
      <c r="AG311" s="121"/>
      <c r="AH311" s="121"/>
      <c r="AI311" s="121"/>
    </row>
    <row r="312" spans="1:40" s="115" customFormat="1" ht="15.75" customHeight="1">
      <c r="A312" s="555"/>
      <c r="B312" s="217"/>
      <c r="C312" s="217"/>
      <c r="D312" s="101"/>
      <c r="E312" s="217"/>
      <c r="F312" s="294"/>
      <c r="G312" s="146"/>
      <c r="H312" s="89"/>
      <c r="I312" s="233"/>
      <c r="J312" s="233"/>
      <c r="K312" s="233"/>
      <c r="L312" s="233"/>
      <c r="M312" s="233"/>
      <c r="N312" s="233"/>
      <c r="O312" s="233"/>
      <c r="P312" s="233"/>
      <c r="Q312" s="233"/>
      <c r="R312" s="233"/>
      <c r="S312" s="233"/>
      <c r="T312" s="233"/>
      <c r="U312" s="105"/>
      <c r="V312" s="262"/>
      <c r="W312" s="102"/>
      <c r="X312" s="121"/>
      <c r="Y312" s="121"/>
      <c r="Z312" s="121"/>
      <c r="AA312" s="121">
        <f>AA310-AA311</f>
        <v>500</v>
      </c>
      <c r="AB312" s="121"/>
      <c r="AC312" s="121"/>
      <c r="AD312" s="121"/>
      <c r="AE312" s="121"/>
      <c r="AF312" s="121"/>
      <c r="AG312" s="121"/>
      <c r="AH312" s="121"/>
      <c r="AI312" s="121"/>
    </row>
    <row r="313" spans="1:40" s="115" customFormat="1" ht="15" customHeight="1" thickBot="1">
      <c r="A313" s="555"/>
      <c r="B313" s="217"/>
      <c r="C313" s="217"/>
      <c r="D313" s="101"/>
      <c r="E313" s="217"/>
      <c r="F313" s="294"/>
      <c r="G313" s="146"/>
      <c r="H313" s="98"/>
      <c r="I313" s="218"/>
      <c r="J313" s="218"/>
      <c r="K313" s="218"/>
      <c r="L313" s="218"/>
      <c r="M313" s="218"/>
      <c r="N313" s="96"/>
      <c r="O313" s="96"/>
      <c r="P313" s="96"/>
      <c r="Q313" s="212"/>
      <c r="R313" s="212"/>
      <c r="S313" s="212"/>
      <c r="T313" s="212"/>
      <c r="U313" s="105"/>
      <c r="V313" s="262"/>
      <c r="W313" s="102"/>
      <c r="X313" s="121"/>
      <c r="Y313" s="121"/>
      <c r="Z313" s="121"/>
      <c r="AA313" s="121"/>
      <c r="AB313" s="121"/>
      <c r="AC313" s="121"/>
      <c r="AD313" s="121"/>
      <c r="AE313" s="121"/>
      <c r="AF313" s="121"/>
      <c r="AG313" s="121"/>
      <c r="AH313" s="121"/>
      <c r="AI313" s="121"/>
    </row>
    <row r="314" spans="1:40" s="115" customFormat="1" ht="25.5" customHeight="1" thickBot="1">
      <c r="A314" s="555"/>
      <c r="B314" s="217"/>
      <c r="C314" s="217"/>
      <c r="D314" s="101"/>
      <c r="E314" s="217"/>
      <c r="F314" s="294"/>
      <c r="G314" s="146"/>
      <c r="H314" s="665" t="s">
        <v>723</v>
      </c>
      <c r="I314" s="666"/>
      <c r="J314" s="666"/>
      <c r="K314" s="666"/>
      <c r="L314" s="666"/>
      <c r="M314" s="666"/>
      <c r="N314" s="666"/>
      <c r="O314" s="666"/>
      <c r="P314" s="666"/>
      <c r="Q314" s="666"/>
      <c r="R314" s="666"/>
      <c r="S314" s="666"/>
      <c r="T314" s="667"/>
      <c r="U314" s="105"/>
      <c r="V314" s="262"/>
      <c r="W314" s="102"/>
      <c r="X314" s="121"/>
      <c r="Y314" s="121"/>
      <c r="Z314" s="121"/>
      <c r="AA314" s="121"/>
      <c r="AB314" s="121"/>
      <c r="AC314" s="121"/>
      <c r="AD314" s="121"/>
      <c r="AE314" s="121"/>
      <c r="AF314" s="121"/>
      <c r="AG314" s="121"/>
      <c r="AH314" s="121"/>
      <c r="AI314" s="121"/>
    </row>
    <row r="315" spans="1:40" s="115" customFormat="1" ht="15" customHeight="1">
      <c r="A315" s="555"/>
      <c r="B315" s="217"/>
      <c r="C315" s="217"/>
      <c r="D315" s="101"/>
      <c r="E315" s="217"/>
      <c r="F315" s="294"/>
      <c r="G315" s="146"/>
      <c r="H315" s="225"/>
      <c r="I315" s="225"/>
      <c r="J315" s="225"/>
      <c r="K315" s="225"/>
      <c r="L315" s="225"/>
      <c r="M315" s="225"/>
      <c r="N315" s="225"/>
      <c r="O315" s="225"/>
      <c r="P315" s="225"/>
      <c r="Q315" s="225"/>
      <c r="R315" s="225"/>
      <c r="S315" s="225"/>
      <c r="T315" s="225"/>
      <c r="U315" s="105"/>
      <c r="V315" s="262"/>
      <c r="W315" s="102"/>
      <c r="X315" s="121"/>
      <c r="Y315" s="121"/>
      <c r="Z315" s="121"/>
      <c r="AA315" s="121"/>
      <c r="AB315" s="121"/>
      <c r="AC315" s="121"/>
      <c r="AD315" s="121"/>
      <c r="AE315" s="121"/>
      <c r="AF315" s="121"/>
      <c r="AG315" s="121"/>
      <c r="AH315" s="121"/>
      <c r="AI315" s="121"/>
    </row>
    <row r="316" spans="1:40" s="115" customFormat="1" ht="15" customHeight="1">
      <c r="A316" s="555" t="s">
        <v>1957</v>
      </c>
      <c r="B316" s="217" t="str">
        <f t="shared" si="281"/>
        <v>118</v>
      </c>
      <c r="C316" s="217" t="str">
        <f t="shared" si="282"/>
        <v>00</v>
      </c>
      <c r="D316" s="101" t="str">
        <f t="shared" si="283"/>
        <v>000</v>
      </c>
      <c r="E316" s="217" t="str">
        <f t="shared" si="284"/>
        <v>118-00-000</v>
      </c>
      <c r="F316" s="294" t="str">
        <f t="shared" si="285"/>
        <v>40200</v>
      </c>
      <c r="G316" s="295" t="str">
        <f>VLOOKUP(F316,'GL Category'!A:C,3,FALSE)</f>
        <v>SALES TAX</v>
      </c>
      <c r="H316" s="98" t="str">
        <f>VLOOKUP(F316,'GL Category'!A:C,2,FALSE)</f>
        <v>CITY SALES TAXES</v>
      </c>
      <c r="I316" s="99">
        <f>SUMIF(Import!$B:$B,'Other Fund Line-Item Details'!$A316,Import!D:D)</f>
        <v>-1698663.6</v>
      </c>
      <c r="J316" s="99">
        <f>SUMIF(Import!$B:$B,'Other Fund Line-Item Details'!$A316,Import!E:E)</f>
        <v>-1899536.15</v>
      </c>
      <c r="K316" s="99">
        <f>SUMIF(Import!$B:$B,'Other Fund Line-Item Details'!$A316,Import!F:F)</f>
        <v>-2149323.75</v>
      </c>
      <c r="L316" s="99">
        <f>SUMIF(Import!$B:$B,'Other Fund Line-Item Details'!$A316,Import!G:G)</f>
        <v>-2212669.9900000002</v>
      </c>
      <c r="M316" s="99">
        <f>SUMIF(Import!$B:$B,'Other Fund Line-Item Details'!$A316,Import!H:H)</f>
        <v>-2225087</v>
      </c>
      <c r="N316" s="99">
        <f>SUMIF(Import!$B:$B,'Other Fund Line-Item Details'!$A316,Import!I:I)</f>
        <v>-1828428.22</v>
      </c>
      <c r="O316" s="99">
        <f>SUMIF(Import!$B:$B,'Other Fund Line-Item Details'!$A316,Import!J:J)</f>
        <v>-2225087</v>
      </c>
      <c r="P316" s="99">
        <f t="shared" ref="P316:P328" si="317">O316-M316</f>
        <v>0</v>
      </c>
      <c r="Q316" s="99">
        <f>SUMIF(Import!$B:$B,'Other Fund Line-Item Details'!$A316,Import!K:K)</f>
        <v>-2225087</v>
      </c>
      <c r="R316" s="99">
        <f>SUMIF(Import!$B:$B,'Other Fund Line-Item Details'!$A316,Import!L:L)</f>
        <v>0</v>
      </c>
      <c r="S316" s="99">
        <f>SUMIF(Import!$B:$B,'Other Fund Line-Item Details'!$A316,Import!M:M)</f>
        <v>0</v>
      </c>
      <c r="T316" s="99">
        <f>SUMIF(Import!$B:$B,'Other Fund Line-Item Details'!$A316,Import!N:N)</f>
        <v>-2225087</v>
      </c>
      <c r="U316" s="99">
        <f t="shared" ref="U316:U329" si="318">T316-M316</f>
        <v>0</v>
      </c>
      <c r="V316" s="255">
        <f t="shared" ref="V316:V329" si="319">IF(M316=0,"N/A",T316/M316-1)</f>
        <v>0</v>
      </c>
      <c r="W316" s="102" t="s">
        <v>1957</v>
      </c>
      <c r="X316" s="102"/>
      <c r="Y316" s="102">
        <f t="shared" ref="Y316:Y328" si="320">T316-X316</f>
        <v>-2225087</v>
      </c>
      <c r="Z316" s="309">
        <f>Y316*(1+VLOOKUP($F316,'GL Category'!$A:$H,4,FALSE))</f>
        <v>-2269588.7400000002</v>
      </c>
      <c r="AA316" s="615"/>
      <c r="AB316" s="622">
        <f t="shared" ref="AB316:AB328" si="321">Z316+AA316</f>
        <v>-2269588.7400000002</v>
      </c>
      <c r="AC316" s="633">
        <f>AB316*(1+VLOOKUP($F316,'GL Category'!$A:$H,5,FALSE))</f>
        <v>-2326328.4585000002</v>
      </c>
      <c r="AD316" s="307"/>
      <c r="AE316" s="622">
        <f t="shared" ref="AE316:AE328" si="322">AC316+AD316</f>
        <v>-2326328.4585000002</v>
      </c>
      <c r="AF316" s="633">
        <f>AE316*(1+VLOOKUP($F316,'GL Category'!$A:$H,6,FALSE))</f>
        <v>-2384486.6699624998</v>
      </c>
      <c r="AG316" s="307"/>
      <c r="AH316" s="622">
        <f t="shared" ref="AH316:AH328" si="323">AF316+AG316</f>
        <v>-2384486.6699624998</v>
      </c>
      <c r="AI316" s="633">
        <f>AH316*(1+VLOOKUP($F316,'GL Category'!$A:$H,7,FALSE))</f>
        <v>-2444098.8367115622</v>
      </c>
      <c r="AJ316" s="307"/>
      <c r="AK316" s="622">
        <f t="shared" ref="AK316:AK328" si="324">AI316+AJ316</f>
        <v>-2444098.8367115622</v>
      </c>
      <c r="AL316" s="633">
        <f>AK316*(1+VLOOKUP($F316,'GL Category'!$A:$H,8,FALSE))</f>
        <v>-2505201.307629351</v>
      </c>
      <c r="AM316" s="307"/>
      <c r="AN316" s="622">
        <f t="shared" ref="AN316:AN328" si="325">AL316+AM316</f>
        <v>-2505201.307629351</v>
      </c>
    </row>
    <row r="317" spans="1:40" s="115" customFormat="1" ht="15" customHeight="1">
      <c r="A317" s="555" t="s">
        <v>1958</v>
      </c>
      <c r="B317" s="217" t="str">
        <f t="shared" si="281"/>
        <v>118</v>
      </c>
      <c r="C317" s="217" t="str">
        <f t="shared" si="282"/>
        <v>00</v>
      </c>
      <c r="D317" s="101" t="str">
        <f t="shared" si="283"/>
        <v>000</v>
      </c>
      <c r="E317" s="217" t="str">
        <f t="shared" si="284"/>
        <v>118-00-000</v>
      </c>
      <c r="F317" s="294" t="str">
        <f t="shared" si="285"/>
        <v>45000</v>
      </c>
      <c r="G317" s="295" t="str">
        <f>VLOOKUP(F317,'GL Category'!A:C,3,FALSE)</f>
        <v>DEBT ISSUANCES</v>
      </c>
      <c r="H317" s="98" t="str">
        <f>VLOOKUP(F317,'GL Category'!A:C,2,FALSE)</f>
        <v>DEBT ISSUANCE PROCEEDS</v>
      </c>
      <c r="I317" s="99">
        <f>SUMIF(Import!$B:$B,'Other Fund Line-Item Details'!$A317,Import!D:D)</f>
        <v>0</v>
      </c>
      <c r="J317" s="99">
        <f>SUMIF(Import!$B:$B,'Other Fund Line-Item Details'!$A317,Import!E:E)</f>
        <v>0</v>
      </c>
      <c r="K317" s="99">
        <f>SUMIF(Import!$B:$B,'Other Fund Line-Item Details'!$A317,Import!F:F)</f>
        <v>0</v>
      </c>
      <c r="L317" s="99">
        <f>SUMIF(Import!$B:$B,'Other Fund Line-Item Details'!$A317,Import!G:G)</f>
        <v>0</v>
      </c>
      <c r="M317" s="99">
        <f>SUMIF(Import!$B:$B,'Other Fund Line-Item Details'!$A317,Import!H:H)</f>
        <v>0</v>
      </c>
      <c r="N317" s="99">
        <f>SUMIF(Import!$B:$B,'Other Fund Line-Item Details'!$A317,Import!I:I)</f>
        <v>0</v>
      </c>
      <c r="O317" s="99">
        <f>SUMIF(Import!$B:$B,'Other Fund Line-Item Details'!$A317,Import!J:J)</f>
        <v>0</v>
      </c>
      <c r="P317" s="99">
        <f t="shared" si="317"/>
        <v>0</v>
      </c>
      <c r="Q317" s="99">
        <f>SUMIF(Import!$B:$B,'Other Fund Line-Item Details'!$A317,Import!K:K)</f>
        <v>0</v>
      </c>
      <c r="R317" s="99">
        <f>SUMIF(Import!$B:$B,'Other Fund Line-Item Details'!$A317,Import!L:L)</f>
        <v>0</v>
      </c>
      <c r="S317" s="99">
        <f>SUMIF(Import!$B:$B,'Other Fund Line-Item Details'!$A317,Import!M:M)</f>
        <v>0</v>
      </c>
      <c r="T317" s="99">
        <f>SUMIF(Import!$B:$B,'Other Fund Line-Item Details'!$A317,Import!N:N)</f>
        <v>0</v>
      </c>
      <c r="U317" s="99">
        <f t="shared" si="318"/>
        <v>0</v>
      </c>
      <c r="V317" s="255" t="str">
        <f t="shared" si="319"/>
        <v>N/A</v>
      </c>
      <c r="W317" s="102" t="s">
        <v>1958</v>
      </c>
      <c r="X317" s="102"/>
      <c r="Y317" s="102">
        <f t="shared" si="320"/>
        <v>0</v>
      </c>
      <c r="Z317" s="309">
        <f>Y317*(1+VLOOKUP($F317,'GL Category'!$A:$H,4,FALSE))</f>
        <v>0</v>
      </c>
      <c r="AA317" s="615"/>
      <c r="AB317" s="622">
        <f t="shared" si="321"/>
        <v>0</v>
      </c>
      <c r="AC317" s="633">
        <f>AB317*(1+VLOOKUP($F317,'GL Category'!$A:$H,5,FALSE))</f>
        <v>0</v>
      </c>
      <c r="AD317" s="307"/>
      <c r="AE317" s="622">
        <f t="shared" si="322"/>
        <v>0</v>
      </c>
      <c r="AF317" s="633">
        <f>AE317*(1+VLOOKUP($F317,'GL Category'!$A:$H,6,FALSE))</f>
        <v>0</v>
      </c>
      <c r="AG317" s="307"/>
      <c r="AH317" s="622">
        <f t="shared" si="323"/>
        <v>0</v>
      </c>
      <c r="AI317" s="633">
        <f>AH317*(1+VLOOKUP($F317,'GL Category'!$A:$H,7,FALSE))</f>
        <v>0</v>
      </c>
      <c r="AJ317" s="307"/>
      <c r="AK317" s="622">
        <f t="shared" si="324"/>
        <v>0</v>
      </c>
      <c r="AL317" s="633">
        <f>AK317*(1+VLOOKUP($F317,'GL Category'!$A:$H,8,FALSE))</f>
        <v>0</v>
      </c>
      <c r="AM317" s="307"/>
      <c r="AN317" s="622">
        <f t="shared" si="325"/>
        <v>0</v>
      </c>
    </row>
    <row r="318" spans="1:40" s="115" customFormat="1" ht="15" customHeight="1">
      <c r="A318" s="555" t="s">
        <v>1959</v>
      </c>
      <c r="B318" s="217" t="str">
        <f t="shared" si="281"/>
        <v>118</v>
      </c>
      <c r="C318" s="217" t="str">
        <f t="shared" si="282"/>
        <v>00</v>
      </c>
      <c r="D318" s="101" t="str">
        <f t="shared" si="283"/>
        <v>000</v>
      </c>
      <c r="E318" s="217" t="str">
        <f t="shared" si="284"/>
        <v>118-00-000</v>
      </c>
      <c r="F318" s="294" t="str">
        <f t="shared" si="285"/>
        <v>45095</v>
      </c>
      <c r="G318" s="295" t="str">
        <f>VLOOKUP(F318,'GL Category'!A:C,3,FALSE)</f>
        <v>DEBT ISSUANCES</v>
      </c>
      <c r="H318" s="98" t="str">
        <f>VLOOKUP(F318,'GL Category'!A:C,2,FALSE)</f>
        <v>INTEREST-DEBT ISSUANCE</v>
      </c>
      <c r="I318" s="99">
        <f>SUMIF(Import!$B:$B,'Other Fund Line-Item Details'!$A318,Import!D:D)</f>
        <v>0</v>
      </c>
      <c r="J318" s="99">
        <f>SUMIF(Import!$B:$B,'Other Fund Line-Item Details'!$A318,Import!E:E)</f>
        <v>0</v>
      </c>
      <c r="K318" s="99">
        <f>SUMIF(Import!$B:$B,'Other Fund Line-Item Details'!$A318,Import!F:F)</f>
        <v>0</v>
      </c>
      <c r="L318" s="99">
        <f>SUMIF(Import!$B:$B,'Other Fund Line-Item Details'!$A318,Import!G:G)</f>
        <v>0</v>
      </c>
      <c r="M318" s="99">
        <f>SUMIF(Import!$B:$B,'Other Fund Line-Item Details'!$A318,Import!H:H)</f>
        <v>0</v>
      </c>
      <c r="N318" s="99">
        <f>SUMIF(Import!$B:$B,'Other Fund Line-Item Details'!$A318,Import!I:I)</f>
        <v>0</v>
      </c>
      <c r="O318" s="99">
        <f>SUMIF(Import!$B:$B,'Other Fund Line-Item Details'!$A318,Import!J:J)</f>
        <v>0</v>
      </c>
      <c r="P318" s="99">
        <f t="shared" si="317"/>
        <v>0</v>
      </c>
      <c r="Q318" s="99">
        <f>SUMIF(Import!$B:$B,'Other Fund Line-Item Details'!$A318,Import!K:K)</f>
        <v>0</v>
      </c>
      <c r="R318" s="99">
        <f>SUMIF(Import!$B:$B,'Other Fund Line-Item Details'!$A318,Import!L:L)</f>
        <v>0</v>
      </c>
      <c r="S318" s="99">
        <f>SUMIF(Import!$B:$B,'Other Fund Line-Item Details'!$A318,Import!M:M)</f>
        <v>0</v>
      </c>
      <c r="T318" s="99">
        <f>SUMIF(Import!$B:$B,'Other Fund Line-Item Details'!$A318,Import!N:N)</f>
        <v>0</v>
      </c>
      <c r="U318" s="99">
        <f t="shared" si="318"/>
        <v>0</v>
      </c>
      <c r="V318" s="255" t="str">
        <f t="shared" si="319"/>
        <v>N/A</v>
      </c>
      <c r="W318" s="102" t="s">
        <v>1959</v>
      </c>
      <c r="X318" s="102"/>
      <c r="Y318" s="102">
        <f t="shared" si="320"/>
        <v>0</v>
      </c>
      <c r="Z318" s="309">
        <f>Y318*(1+VLOOKUP($F318,'GL Category'!$A:$H,4,FALSE))</f>
        <v>0</v>
      </c>
      <c r="AA318" s="615"/>
      <c r="AB318" s="622">
        <f t="shared" si="321"/>
        <v>0</v>
      </c>
      <c r="AC318" s="633">
        <f>AB318*(1+VLOOKUP($F318,'GL Category'!$A:$H,5,FALSE))</f>
        <v>0</v>
      </c>
      <c r="AD318" s="307"/>
      <c r="AE318" s="622">
        <f t="shared" si="322"/>
        <v>0</v>
      </c>
      <c r="AF318" s="633">
        <f>AE318*(1+VLOOKUP($F318,'GL Category'!$A:$H,6,FALSE))</f>
        <v>0</v>
      </c>
      <c r="AG318" s="307"/>
      <c r="AH318" s="622">
        <f t="shared" si="323"/>
        <v>0</v>
      </c>
      <c r="AI318" s="633">
        <f>AH318*(1+VLOOKUP($F318,'GL Category'!$A:$H,7,FALSE))</f>
        <v>0</v>
      </c>
      <c r="AJ318" s="307"/>
      <c r="AK318" s="622">
        <f t="shared" si="324"/>
        <v>0</v>
      </c>
      <c r="AL318" s="633">
        <f>AK318*(1+VLOOKUP($F318,'GL Category'!$A:$H,8,FALSE))</f>
        <v>0</v>
      </c>
      <c r="AM318" s="307"/>
      <c r="AN318" s="622">
        <f t="shared" si="325"/>
        <v>0</v>
      </c>
    </row>
    <row r="319" spans="1:40" s="115" customFormat="1" ht="15" customHeight="1">
      <c r="A319" s="555" t="s">
        <v>3326</v>
      </c>
      <c r="B319" s="217" t="str">
        <f t="shared" ref="B319" si="326">LEFT(A319,3)</f>
        <v>118</v>
      </c>
      <c r="C319" s="217" t="str">
        <f t="shared" ref="C319" si="327">MID(A319,5,2)</f>
        <v>00</v>
      </c>
      <c r="D319" s="101" t="str">
        <f t="shared" ref="D319" si="328">MID(A319,8,3)</f>
        <v>000</v>
      </c>
      <c r="E319" s="217" t="str">
        <f t="shared" ref="E319" si="329">LEFT(A319,10)</f>
        <v>118-00-000</v>
      </c>
      <c r="F319" s="294" t="str">
        <f t="shared" ref="F319" si="330">RIGHT(A319,5)</f>
        <v>46165</v>
      </c>
      <c r="G319" s="295" t="str">
        <f>VLOOKUP(F319,'GL Category'!A:C,3,FALSE)</f>
        <v>INTERGOVERNMENTAL</v>
      </c>
      <c r="H319" s="98" t="str">
        <f>VLOOKUP(F319,'GL Category'!A:C,2,FALSE)</f>
        <v>I/G REV-TOWN OF WESTLAKE</v>
      </c>
      <c r="I319" s="99">
        <f>SUMIF(Import!$B:$B,'Other Fund Line-Item Details'!$A319,Import!D:D)</f>
        <v>0</v>
      </c>
      <c r="J319" s="99">
        <f>SUMIF(Import!$B:$B,'Other Fund Line-Item Details'!$A319,Import!E:E)</f>
        <v>-4900</v>
      </c>
      <c r="K319" s="99">
        <f>SUMIF(Import!$B:$B,'Other Fund Line-Item Details'!$A319,Import!F:F)</f>
        <v>-2100</v>
      </c>
      <c r="L319" s="99">
        <f>SUMIF(Import!$B:$B,'Other Fund Line-Item Details'!$A319,Import!G:G)</f>
        <v>0</v>
      </c>
      <c r="M319" s="99">
        <f>SUMIF(Import!$B:$B,'Other Fund Line-Item Details'!$A319,Import!H:H)</f>
        <v>0</v>
      </c>
      <c r="N319" s="99">
        <f>SUMIF(Import!$B:$B,'Other Fund Line-Item Details'!$A319,Import!I:I)</f>
        <v>0</v>
      </c>
      <c r="O319" s="99">
        <f>SUMIF(Import!$B:$B,'Other Fund Line-Item Details'!$A319,Import!J:J)</f>
        <v>0</v>
      </c>
      <c r="P319" s="99">
        <f t="shared" ref="P319" si="331">O319-M319</f>
        <v>0</v>
      </c>
      <c r="Q319" s="99">
        <f>SUMIF(Import!$B:$B,'Other Fund Line-Item Details'!$A319,Import!K:K)</f>
        <v>0</v>
      </c>
      <c r="R319" s="99">
        <f>SUMIF(Import!$B:$B,'Other Fund Line-Item Details'!$A319,Import!L:L)</f>
        <v>0</v>
      </c>
      <c r="S319" s="99">
        <f>SUMIF(Import!$B:$B,'Other Fund Line-Item Details'!$A319,Import!M:M)</f>
        <v>0</v>
      </c>
      <c r="T319" s="99">
        <f>SUMIF(Import!$B:$B,'Other Fund Line-Item Details'!$A319,Import!N:N)</f>
        <v>0</v>
      </c>
      <c r="U319" s="99">
        <f t="shared" ref="U319" si="332">T319-M319</f>
        <v>0</v>
      </c>
      <c r="V319" s="255" t="str">
        <f t="shared" ref="V319" si="333">IF(M319=0,"N/A",T319/M319-1)</f>
        <v>N/A</v>
      </c>
      <c r="W319" s="102" t="s">
        <v>1960</v>
      </c>
      <c r="X319" s="102"/>
      <c r="Y319" s="102">
        <f t="shared" si="320"/>
        <v>0</v>
      </c>
      <c r="Z319" s="309">
        <f>Y319*(1+VLOOKUP($F319,'GL Category'!$A:$H,4,FALSE))</f>
        <v>0</v>
      </c>
      <c r="AA319" s="615"/>
      <c r="AB319" s="622">
        <f t="shared" si="321"/>
        <v>0</v>
      </c>
      <c r="AC319" s="633">
        <f>AB319*(1+VLOOKUP($F319,'GL Category'!$A:$H,5,FALSE))</f>
        <v>0</v>
      </c>
      <c r="AD319" s="307"/>
      <c r="AE319" s="622">
        <f t="shared" si="322"/>
        <v>0</v>
      </c>
      <c r="AF319" s="633">
        <f>AE319*(1+VLOOKUP($F319,'GL Category'!$A:$H,6,FALSE))</f>
        <v>0</v>
      </c>
      <c r="AG319" s="307"/>
      <c r="AH319" s="622">
        <f t="shared" si="323"/>
        <v>0</v>
      </c>
      <c r="AI319" s="633">
        <f>AH319*(1+VLOOKUP($F319,'GL Category'!$A:$H,7,FALSE))</f>
        <v>0</v>
      </c>
      <c r="AJ319" s="307"/>
      <c r="AK319" s="622">
        <f t="shared" si="324"/>
        <v>0</v>
      </c>
      <c r="AL319" s="633">
        <f>AK319*(1+VLOOKUP($F319,'GL Category'!$A:$H,8,FALSE))</f>
        <v>0</v>
      </c>
      <c r="AM319" s="307"/>
      <c r="AN319" s="622">
        <f t="shared" si="325"/>
        <v>0</v>
      </c>
    </row>
    <row r="320" spans="1:40" s="115" customFormat="1" ht="15" customHeight="1">
      <c r="A320" s="555" t="s">
        <v>1960</v>
      </c>
      <c r="B320" s="217" t="str">
        <f t="shared" si="281"/>
        <v>118</v>
      </c>
      <c r="C320" s="217" t="str">
        <f t="shared" si="282"/>
        <v>00</v>
      </c>
      <c r="D320" s="101" t="str">
        <f t="shared" si="283"/>
        <v>000</v>
      </c>
      <c r="E320" s="217" t="str">
        <f t="shared" si="284"/>
        <v>118-00-000</v>
      </c>
      <c r="F320" s="294" t="str">
        <f t="shared" si="285"/>
        <v>46160</v>
      </c>
      <c r="G320" s="295" t="str">
        <f>VLOOKUP(F320,'GL Category'!A:C,3,FALSE)</f>
        <v>INTERGOVERNMENTAL</v>
      </c>
      <c r="H320" s="98" t="str">
        <f>VLOOKUP(F320,'GL Category'!A:C,2,FALSE)</f>
        <v>I/G REV-SOUTHLAKE</v>
      </c>
      <c r="I320" s="99">
        <f>SUMIF(Import!$B:$B,'Other Fund Line-Item Details'!$A320,Import!D:D)</f>
        <v>-11000</v>
      </c>
      <c r="J320" s="99">
        <f>SUMIF(Import!$B:$B,'Other Fund Line-Item Details'!$A320,Import!E:E)</f>
        <v>-143308.69</v>
      </c>
      <c r="K320" s="99">
        <f>SUMIF(Import!$B:$B,'Other Fund Line-Item Details'!$A320,Import!F:F)</f>
        <v>-61418.01</v>
      </c>
      <c r="L320" s="99">
        <f>SUMIF(Import!$B:$B,'Other Fund Line-Item Details'!$A320,Import!G:G)</f>
        <v>-51541</v>
      </c>
      <c r="M320" s="99">
        <f>SUMIF(Import!$B:$B,'Other Fund Line-Item Details'!$A320,Import!H:H)</f>
        <v>-67700</v>
      </c>
      <c r="N320" s="99">
        <f>SUMIF(Import!$B:$B,'Other Fund Line-Item Details'!$A320,Import!I:I)</f>
        <v>-50775</v>
      </c>
      <c r="O320" s="99">
        <f>SUMIF(Import!$B:$B,'Other Fund Line-Item Details'!$A320,Import!J:J)</f>
        <v>-67700</v>
      </c>
      <c r="P320" s="99">
        <f t="shared" si="317"/>
        <v>0</v>
      </c>
      <c r="Q320" s="99">
        <f>SUMIF(Import!$B:$B,'Other Fund Line-Item Details'!$A320,Import!K:K)</f>
        <v>-72803</v>
      </c>
      <c r="R320" s="99">
        <f>SUMIF(Import!$B:$B,'Other Fund Line-Item Details'!$A320,Import!L:L)</f>
        <v>0</v>
      </c>
      <c r="S320" s="99">
        <f>SUMIF(Import!$B:$B,'Other Fund Line-Item Details'!$A320,Import!M:M)</f>
        <v>0</v>
      </c>
      <c r="T320" s="99">
        <f>SUMIF(Import!$B:$B,'Other Fund Line-Item Details'!$A320,Import!N:N)</f>
        <v>-72803</v>
      </c>
      <c r="U320" s="99">
        <f t="shared" si="318"/>
        <v>-5103</v>
      </c>
      <c r="V320" s="255">
        <f t="shared" si="319"/>
        <v>7.5376661742983853E-2</v>
      </c>
      <c r="W320" s="102" t="s">
        <v>1960</v>
      </c>
      <c r="X320" s="102"/>
      <c r="Y320" s="102">
        <f t="shared" si="320"/>
        <v>-72803</v>
      </c>
      <c r="Z320" s="309">
        <f>Y320*(1+VLOOKUP($F320,'GL Category'!$A:$H,4,FALSE))</f>
        <v>-74987.09</v>
      </c>
      <c r="AA320" s="615"/>
      <c r="AB320" s="622">
        <f t="shared" si="321"/>
        <v>-74987.09</v>
      </c>
      <c r="AC320" s="633">
        <f>AB320*(1+VLOOKUP($F320,'GL Category'!$A:$H,5,FALSE))</f>
        <v>-77236.702699999994</v>
      </c>
      <c r="AD320" s="307"/>
      <c r="AE320" s="622">
        <f t="shared" si="322"/>
        <v>-77236.702699999994</v>
      </c>
      <c r="AF320" s="633">
        <f>AE320*(1+VLOOKUP($F320,'GL Category'!$A:$H,6,FALSE))</f>
        <v>-79553.803780999995</v>
      </c>
      <c r="AG320" s="307"/>
      <c r="AH320" s="622">
        <f t="shared" si="323"/>
        <v>-79553.803780999995</v>
      </c>
      <c r="AI320" s="633">
        <f>AH320*(1+VLOOKUP($F320,'GL Category'!$A:$H,7,FALSE))</f>
        <v>-81940.417894429993</v>
      </c>
      <c r="AJ320" s="307"/>
      <c r="AK320" s="622">
        <f t="shared" si="324"/>
        <v>-81940.417894429993</v>
      </c>
      <c r="AL320" s="633">
        <f>AK320*(1+VLOOKUP($F320,'GL Category'!$A:$H,8,FALSE))</f>
        <v>-84398.630431262893</v>
      </c>
      <c r="AM320" s="307"/>
      <c r="AN320" s="622">
        <f t="shared" si="325"/>
        <v>-84398.630431262893</v>
      </c>
    </row>
    <row r="321" spans="1:40" s="115" customFormat="1" ht="15" customHeight="1">
      <c r="A321" s="555" t="s">
        <v>1961</v>
      </c>
      <c r="B321" s="217" t="str">
        <f t="shared" si="281"/>
        <v>118</v>
      </c>
      <c r="C321" s="217" t="str">
        <f t="shared" si="282"/>
        <v>00</v>
      </c>
      <c r="D321" s="101" t="str">
        <f t="shared" si="283"/>
        <v>000</v>
      </c>
      <c r="E321" s="217" t="str">
        <f t="shared" si="284"/>
        <v>118-00-000</v>
      </c>
      <c r="F321" s="294" t="str">
        <f t="shared" si="285"/>
        <v>46162</v>
      </c>
      <c r="G321" s="295" t="str">
        <f>VLOOKUP(F321,'GL Category'!A:C,3,FALSE)</f>
        <v>INTERGOVERNMENTAL</v>
      </c>
      <c r="H321" s="98" t="str">
        <f>VLOOKUP(F321,'GL Category'!A:C,2,FALSE)</f>
        <v>I/G REV-GRAPEVINE</v>
      </c>
      <c r="I321" s="99">
        <f>SUMIF(Import!$B:$B,'Other Fund Line-Item Details'!$A321,Import!D:D)</f>
        <v>0</v>
      </c>
      <c r="J321" s="99">
        <f>SUMIF(Import!$B:$B,'Other Fund Line-Item Details'!$A321,Import!E:E)</f>
        <v>0</v>
      </c>
      <c r="K321" s="99">
        <f>SUMIF(Import!$B:$B,'Other Fund Line-Item Details'!$A321,Import!F:F)</f>
        <v>0</v>
      </c>
      <c r="L321" s="99">
        <f>SUMIF(Import!$B:$B,'Other Fund Line-Item Details'!$A321,Import!G:G)</f>
        <v>0</v>
      </c>
      <c r="M321" s="99">
        <f>SUMIF(Import!$B:$B,'Other Fund Line-Item Details'!$A321,Import!H:H)</f>
        <v>0</v>
      </c>
      <c r="N321" s="99">
        <f>SUMIF(Import!$B:$B,'Other Fund Line-Item Details'!$A321,Import!I:I)</f>
        <v>0</v>
      </c>
      <c r="O321" s="99">
        <f>SUMIF(Import!$B:$B,'Other Fund Line-Item Details'!$A321,Import!J:J)</f>
        <v>0</v>
      </c>
      <c r="P321" s="99">
        <f t="shared" si="317"/>
        <v>0</v>
      </c>
      <c r="Q321" s="99">
        <f>SUMIF(Import!$B:$B,'Other Fund Line-Item Details'!$A321,Import!K:K)</f>
        <v>0</v>
      </c>
      <c r="R321" s="99">
        <f>SUMIF(Import!$B:$B,'Other Fund Line-Item Details'!$A321,Import!L:L)</f>
        <v>0</v>
      </c>
      <c r="S321" s="99">
        <f>SUMIF(Import!$B:$B,'Other Fund Line-Item Details'!$A321,Import!M:M)</f>
        <v>0</v>
      </c>
      <c r="T321" s="99">
        <f>SUMIF(Import!$B:$B,'Other Fund Line-Item Details'!$A321,Import!N:N)</f>
        <v>0</v>
      </c>
      <c r="U321" s="99">
        <f t="shared" si="318"/>
        <v>0</v>
      </c>
      <c r="V321" s="255" t="str">
        <f t="shared" si="319"/>
        <v>N/A</v>
      </c>
      <c r="W321" s="102" t="s">
        <v>1961</v>
      </c>
      <c r="X321" s="102"/>
      <c r="Y321" s="102">
        <f t="shared" si="320"/>
        <v>0</v>
      </c>
      <c r="Z321" s="309">
        <f>Y321*(1+VLOOKUP($F321,'GL Category'!$A:$H,4,FALSE))</f>
        <v>0</v>
      </c>
      <c r="AA321" s="615"/>
      <c r="AB321" s="622">
        <f t="shared" si="321"/>
        <v>0</v>
      </c>
      <c r="AC321" s="633">
        <f>AB321*(1+VLOOKUP($F321,'GL Category'!$A:$H,5,FALSE))</f>
        <v>0</v>
      </c>
      <c r="AD321" s="307"/>
      <c r="AE321" s="622">
        <f t="shared" si="322"/>
        <v>0</v>
      </c>
      <c r="AF321" s="633">
        <f>AE321*(1+VLOOKUP($F321,'GL Category'!$A:$H,6,FALSE))</f>
        <v>0</v>
      </c>
      <c r="AG321" s="307"/>
      <c r="AH321" s="622">
        <f t="shared" si="323"/>
        <v>0</v>
      </c>
      <c r="AI321" s="633">
        <f>AH321*(1+VLOOKUP($F321,'GL Category'!$A:$H,7,FALSE))</f>
        <v>0</v>
      </c>
      <c r="AJ321" s="307"/>
      <c r="AK321" s="622">
        <f t="shared" si="324"/>
        <v>0</v>
      </c>
      <c r="AL321" s="633">
        <f>AK321*(1+VLOOKUP($F321,'GL Category'!$A:$H,8,FALSE))</f>
        <v>0</v>
      </c>
      <c r="AM321" s="307"/>
      <c r="AN321" s="622">
        <f t="shared" si="325"/>
        <v>0</v>
      </c>
    </row>
    <row r="322" spans="1:40" s="115" customFormat="1" ht="15" customHeight="1">
      <c r="A322" s="555" t="s">
        <v>1962</v>
      </c>
      <c r="B322" s="217" t="str">
        <f t="shared" si="281"/>
        <v>118</v>
      </c>
      <c r="C322" s="217" t="str">
        <f t="shared" si="282"/>
        <v>00</v>
      </c>
      <c r="D322" s="101" t="str">
        <f t="shared" si="283"/>
        <v>000</v>
      </c>
      <c r="E322" s="217" t="str">
        <f t="shared" si="284"/>
        <v>118-00-000</v>
      </c>
      <c r="F322" s="294" t="str">
        <f t="shared" si="285"/>
        <v>46167</v>
      </c>
      <c r="G322" s="295" t="str">
        <f>VLOOKUP(F322,'GL Category'!A:C,3,FALSE)</f>
        <v>INTERGOVERNMENTAL</v>
      </c>
      <c r="H322" s="98" t="str">
        <f>VLOOKUP(F322,'GL Category'!A:C,2,FALSE)</f>
        <v>I/G REV-COLLEYVILLE</v>
      </c>
      <c r="I322" s="99">
        <f>SUMIF(Import!$B:$B,'Other Fund Line-Item Details'!$A322,Import!D:D)</f>
        <v>-9000</v>
      </c>
      <c r="J322" s="99">
        <f>SUMIF(Import!$B:$B,'Other Fund Line-Item Details'!$A322,Import!E:E)</f>
        <v>-87416.11</v>
      </c>
      <c r="K322" s="99">
        <f>SUMIF(Import!$B:$B,'Other Fund Line-Item Details'!$A322,Import!F:F)</f>
        <v>-37464.050000000003</v>
      </c>
      <c r="L322" s="99">
        <f>SUMIF(Import!$B:$B,'Other Fund Line-Item Details'!$A322,Import!G:G)</f>
        <v>-59372</v>
      </c>
      <c r="M322" s="99">
        <f>SUMIF(Import!$B:$B,'Other Fund Line-Item Details'!$A322,Import!H:H)</f>
        <v>-47328</v>
      </c>
      <c r="N322" s="99">
        <f>SUMIF(Import!$B:$B,'Other Fund Line-Item Details'!$A322,Import!I:I)</f>
        <v>-35496</v>
      </c>
      <c r="O322" s="99">
        <f>SUMIF(Import!$B:$B,'Other Fund Line-Item Details'!$A322,Import!J:J)</f>
        <v>-47328</v>
      </c>
      <c r="P322" s="99">
        <f t="shared" si="317"/>
        <v>0</v>
      </c>
      <c r="Q322" s="99">
        <f>SUMIF(Import!$B:$B,'Other Fund Line-Item Details'!$A322,Import!K:K)</f>
        <v>-51197</v>
      </c>
      <c r="R322" s="99">
        <f>SUMIF(Import!$B:$B,'Other Fund Line-Item Details'!$A322,Import!L:L)</f>
        <v>0</v>
      </c>
      <c r="S322" s="99">
        <f>SUMIF(Import!$B:$B,'Other Fund Line-Item Details'!$A322,Import!M:M)</f>
        <v>0</v>
      </c>
      <c r="T322" s="99">
        <f>SUMIF(Import!$B:$B,'Other Fund Line-Item Details'!$A322,Import!N:N)</f>
        <v>-51197</v>
      </c>
      <c r="U322" s="99">
        <f t="shared" si="318"/>
        <v>-3869</v>
      </c>
      <c r="V322" s="255">
        <f t="shared" si="319"/>
        <v>8.1748647734956048E-2</v>
      </c>
      <c r="W322" s="102" t="s">
        <v>1962</v>
      </c>
      <c r="X322" s="102"/>
      <c r="Y322" s="102">
        <f t="shared" si="320"/>
        <v>-51197</v>
      </c>
      <c r="Z322" s="309">
        <f>Y322*(1+VLOOKUP($F322,'GL Category'!$A:$H,4,FALSE))</f>
        <v>-52732.91</v>
      </c>
      <c r="AA322" s="615"/>
      <c r="AB322" s="622">
        <f t="shared" si="321"/>
        <v>-52732.91</v>
      </c>
      <c r="AC322" s="633">
        <f>AB322*(1+VLOOKUP($F322,'GL Category'!$A:$H,5,FALSE))</f>
        <v>-54314.897300000004</v>
      </c>
      <c r="AD322" s="307"/>
      <c r="AE322" s="622">
        <f t="shared" si="322"/>
        <v>-54314.897300000004</v>
      </c>
      <c r="AF322" s="633">
        <f>AE322*(1+VLOOKUP($F322,'GL Category'!$A:$H,6,FALSE))</f>
        <v>-55944.344219000006</v>
      </c>
      <c r="AG322" s="307"/>
      <c r="AH322" s="622">
        <f t="shared" si="323"/>
        <v>-55944.344219000006</v>
      </c>
      <c r="AI322" s="633">
        <f>AH322*(1+VLOOKUP($F322,'GL Category'!$A:$H,7,FALSE))</f>
        <v>-57622.674545570007</v>
      </c>
      <c r="AJ322" s="307"/>
      <c r="AK322" s="622">
        <f t="shared" si="324"/>
        <v>-57622.674545570007</v>
      </c>
      <c r="AL322" s="633">
        <f>AK322*(1+VLOOKUP($F322,'GL Category'!$A:$H,8,FALSE))</f>
        <v>-59351.354781937109</v>
      </c>
      <c r="AM322" s="307"/>
      <c r="AN322" s="622">
        <f t="shared" si="325"/>
        <v>-59351.354781937109</v>
      </c>
    </row>
    <row r="323" spans="1:40" s="115" customFormat="1" ht="15" customHeight="1">
      <c r="A323" s="555" t="s">
        <v>1963</v>
      </c>
      <c r="B323" s="217" t="str">
        <f t="shared" si="281"/>
        <v>118</v>
      </c>
      <c r="C323" s="217" t="str">
        <f t="shared" si="282"/>
        <v>00</v>
      </c>
      <c r="D323" s="101" t="str">
        <f t="shared" si="283"/>
        <v>000</v>
      </c>
      <c r="E323" s="217" t="str">
        <f t="shared" si="284"/>
        <v>118-00-000</v>
      </c>
      <c r="F323" s="294" t="str">
        <f t="shared" si="285"/>
        <v>47010</v>
      </c>
      <c r="G323" s="295" t="str">
        <f>VLOOKUP(F323,'GL Category'!A:C,3,FALSE)</f>
        <v>OTHER REVENUE</v>
      </c>
      <c r="H323" s="98" t="str">
        <f>VLOOKUP(F323,'GL Category'!A:C,2,FALSE)</f>
        <v>MISCELLANEOUS REVENUE</v>
      </c>
      <c r="I323" s="99">
        <f>SUMIF(Import!$B:$B,'Other Fund Line-Item Details'!$A323,Import!D:D)</f>
        <v>0</v>
      </c>
      <c r="J323" s="99">
        <f>SUMIF(Import!$B:$B,'Other Fund Line-Item Details'!$A323,Import!E:E)</f>
        <v>-351.38</v>
      </c>
      <c r="K323" s="99">
        <f>SUMIF(Import!$B:$B,'Other Fund Line-Item Details'!$A323,Import!F:F)</f>
        <v>0</v>
      </c>
      <c r="L323" s="99">
        <f>SUMIF(Import!$B:$B,'Other Fund Line-Item Details'!$A323,Import!G:G)</f>
        <v>0</v>
      </c>
      <c r="M323" s="99">
        <f>SUMIF(Import!$B:$B,'Other Fund Line-Item Details'!$A323,Import!H:H)</f>
        <v>0</v>
      </c>
      <c r="N323" s="99">
        <f>SUMIF(Import!$B:$B,'Other Fund Line-Item Details'!$A323,Import!I:I)</f>
        <v>0</v>
      </c>
      <c r="O323" s="99">
        <f>SUMIF(Import!$B:$B,'Other Fund Line-Item Details'!$A323,Import!J:J)</f>
        <v>0</v>
      </c>
      <c r="P323" s="99">
        <f t="shared" si="317"/>
        <v>0</v>
      </c>
      <c r="Q323" s="99">
        <f>SUMIF(Import!$B:$B,'Other Fund Line-Item Details'!$A323,Import!K:K)</f>
        <v>0</v>
      </c>
      <c r="R323" s="99">
        <f>SUMIF(Import!$B:$B,'Other Fund Line-Item Details'!$A323,Import!L:L)</f>
        <v>0</v>
      </c>
      <c r="S323" s="99">
        <f>SUMIF(Import!$B:$B,'Other Fund Line-Item Details'!$A323,Import!M:M)</f>
        <v>0</v>
      </c>
      <c r="T323" s="99">
        <f>SUMIF(Import!$B:$B,'Other Fund Line-Item Details'!$A323,Import!N:N)</f>
        <v>0</v>
      </c>
      <c r="U323" s="99">
        <f t="shared" si="318"/>
        <v>0</v>
      </c>
      <c r="V323" s="255" t="str">
        <f t="shared" si="319"/>
        <v>N/A</v>
      </c>
      <c r="W323" s="102" t="s">
        <v>1963</v>
      </c>
      <c r="X323" s="102"/>
      <c r="Y323" s="102">
        <f t="shared" si="320"/>
        <v>0</v>
      </c>
      <c r="Z323" s="309">
        <f>Y323*(1+VLOOKUP($F323,'GL Category'!$A:$H,4,FALSE))</f>
        <v>0</v>
      </c>
      <c r="AA323" s="615"/>
      <c r="AB323" s="622">
        <f t="shared" si="321"/>
        <v>0</v>
      </c>
      <c r="AC323" s="633">
        <f>AB323*(1+VLOOKUP($F323,'GL Category'!$A:$H,5,FALSE))</f>
        <v>0</v>
      </c>
      <c r="AD323" s="307"/>
      <c r="AE323" s="622">
        <f t="shared" si="322"/>
        <v>0</v>
      </c>
      <c r="AF323" s="633">
        <f>AE323*(1+VLOOKUP($F323,'GL Category'!$A:$H,6,FALSE))</f>
        <v>0</v>
      </c>
      <c r="AG323" s="307"/>
      <c r="AH323" s="622">
        <f t="shared" si="323"/>
        <v>0</v>
      </c>
      <c r="AI323" s="633">
        <f>AH323*(1+VLOOKUP($F323,'GL Category'!$A:$H,7,FALSE))</f>
        <v>0</v>
      </c>
      <c r="AJ323" s="307"/>
      <c r="AK323" s="622">
        <f t="shared" si="324"/>
        <v>0</v>
      </c>
      <c r="AL323" s="633">
        <f>AK323*(1+VLOOKUP($F323,'GL Category'!$A:$H,8,FALSE))</f>
        <v>0</v>
      </c>
      <c r="AM323" s="307"/>
      <c r="AN323" s="622">
        <f t="shared" si="325"/>
        <v>0</v>
      </c>
    </row>
    <row r="324" spans="1:40" s="115" customFormat="1" ht="15" customHeight="1">
      <c r="A324" s="555" t="s">
        <v>1964</v>
      </c>
      <c r="B324" s="217" t="str">
        <f t="shared" si="281"/>
        <v>118</v>
      </c>
      <c r="C324" s="217" t="str">
        <f t="shared" si="282"/>
        <v>00</v>
      </c>
      <c r="D324" s="101" t="str">
        <f t="shared" si="283"/>
        <v>000</v>
      </c>
      <c r="E324" s="217" t="str">
        <f t="shared" si="284"/>
        <v>118-00-000</v>
      </c>
      <c r="F324" s="294" t="str">
        <f t="shared" si="285"/>
        <v>47020</v>
      </c>
      <c r="G324" s="295" t="str">
        <f>VLOOKUP(F324,'GL Category'!A:C,3,FALSE)</f>
        <v>OTHER REVENUE</v>
      </c>
      <c r="H324" s="98" t="str">
        <f>VLOOKUP(F324,'GL Category'!A:C,2,FALSE)</f>
        <v>AUCTION PROCEEDS</v>
      </c>
      <c r="I324" s="99">
        <f>SUMIF(Import!$B:$B,'Other Fund Line-Item Details'!$A324,Import!D:D)</f>
        <v>-7905.36</v>
      </c>
      <c r="J324" s="99">
        <f>SUMIF(Import!$B:$B,'Other Fund Line-Item Details'!$A324,Import!E:E)</f>
        <v>-145802.56</v>
      </c>
      <c r="K324" s="99">
        <f>SUMIF(Import!$B:$B,'Other Fund Line-Item Details'!$A324,Import!F:F)</f>
        <v>0</v>
      </c>
      <c r="L324" s="99">
        <f>SUMIF(Import!$B:$B,'Other Fund Line-Item Details'!$A324,Import!G:G)</f>
        <v>0</v>
      </c>
      <c r="M324" s="99">
        <f>SUMIF(Import!$B:$B,'Other Fund Line-Item Details'!$A324,Import!H:H)</f>
        <v>-100000</v>
      </c>
      <c r="N324" s="99">
        <f>SUMIF(Import!$B:$B,'Other Fund Line-Item Details'!$A324,Import!I:I)</f>
        <v>-73727.360000000001</v>
      </c>
      <c r="O324" s="99">
        <f>SUMIF(Import!$B:$B,'Other Fund Line-Item Details'!$A324,Import!J:J)</f>
        <v>-73728</v>
      </c>
      <c r="P324" s="99">
        <f t="shared" si="317"/>
        <v>26272</v>
      </c>
      <c r="Q324" s="99">
        <f>SUMIF(Import!$B:$B,'Other Fund Line-Item Details'!$A324,Import!K:K)</f>
        <v>-100000</v>
      </c>
      <c r="R324" s="99">
        <f>SUMIF(Import!$B:$B,'Other Fund Line-Item Details'!$A324,Import!L:L)</f>
        <v>0</v>
      </c>
      <c r="S324" s="99">
        <f>SUMIF(Import!$B:$B,'Other Fund Line-Item Details'!$A324,Import!M:M)</f>
        <v>0</v>
      </c>
      <c r="T324" s="99">
        <f>SUMIF(Import!$B:$B,'Other Fund Line-Item Details'!$A324,Import!N:N)</f>
        <v>-100000</v>
      </c>
      <c r="U324" s="99">
        <f t="shared" si="318"/>
        <v>0</v>
      </c>
      <c r="V324" s="255">
        <f t="shared" si="319"/>
        <v>0</v>
      </c>
      <c r="W324" s="102" t="s">
        <v>1964</v>
      </c>
      <c r="X324" s="102"/>
      <c r="Y324" s="102">
        <f t="shared" si="320"/>
        <v>-100000</v>
      </c>
      <c r="Z324" s="309">
        <f>Y324*(1+VLOOKUP($F324,'GL Category'!$A:$H,4,FALSE))</f>
        <v>-100000</v>
      </c>
      <c r="AA324" s="615"/>
      <c r="AB324" s="622">
        <f t="shared" si="321"/>
        <v>-100000</v>
      </c>
      <c r="AC324" s="633">
        <f>AB324*(1+VLOOKUP($F324,'GL Category'!$A:$H,5,FALSE))</f>
        <v>-100000</v>
      </c>
      <c r="AD324" s="307"/>
      <c r="AE324" s="622">
        <f t="shared" si="322"/>
        <v>-100000</v>
      </c>
      <c r="AF324" s="633">
        <f>AE324*(1+VLOOKUP($F324,'GL Category'!$A:$H,6,FALSE))</f>
        <v>-100000</v>
      </c>
      <c r="AG324" s="307"/>
      <c r="AH324" s="622">
        <f t="shared" si="323"/>
        <v>-100000</v>
      </c>
      <c r="AI324" s="633">
        <f>AH324*(1+VLOOKUP($F324,'GL Category'!$A:$H,7,FALSE))</f>
        <v>-100000</v>
      </c>
      <c r="AJ324" s="307"/>
      <c r="AK324" s="622">
        <f t="shared" si="324"/>
        <v>-100000</v>
      </c>
      <c r="AL324" s="633">
        <f>AK324*(1+VLOOKUP($F324,'GL Category'!$A:$H,8,FALSE))</f>
        <v>-100000</v>
      </c>
      <c r="AM324" s="307"/>
      <c r="AN324" s="622">
        <f t="shared" si="325"/>
        <v>-100000</v>
      </c>
    </row>
    <row r="325" spans="1:40" s="115" customFormat="1" ht="15" customHeight="1">
      <c r="A325" s="555" t="s">
        <v>1965</v>
      </c>
      <c r="B325" s="217" t="str">
        <f t="shared" si="281"/>
        <v>118</v>
      </c>
      <c r="C325" s="217" t="str">
        <f t="shared" si="282"/>
        <v>00</v>
      </c>
      <c r="D325" s="101" t="str">
        <f t="shared" si="283"/>
        <v>000</v>
      </c>
      <c r="E325" s="217" t="str">
        <f t="shared" si="284"/>
        <v>118-00-000</v>
      </c>
      <c r="F325" s="294" t="str">
        <f t="shared" si="285"/>
        <v>47030</v>
      </c>
      <c r="G325" s="295" t="str">
        <f>VLOOKUP(F325,'GL Category'!A:C,3,FALSE)</f>
        <v>OTHER REVENUE</v>
      </c>
      <c r="H325" s="98" t="str">
        <f>VLOOKUP(F325,'GL Category'!A:C,2,FALSE)</f>
        <v>GAIN/LOSS ON DISP OF ASSETS</v>
      </c>
      <c r="I325" s="99">
        <f>SUMIF(Import!$B:$B,'Other Fund Line-Item Details'!$A325,Import!D:D)</f>
        <v>-51811.78</v>
      </c>
      <c r="J325" s="99">
        <f>SUMIF(Import!$B:$B,'Other Fund Line-Item Details'!$A325,Import!E:E)</f>
        <v>-109505.08</v>
      </c>
      <c r="K325" s="99">
        <f>SUMIF(Import!$B:$B,'Other Fund Line-Item Details'!$A325,Import!F:F)</f>
        <v>0</v>
      </c>
      <c r="L325" s="99">
        <f>SUMIF(Import!$B:$B,'Other Fund Line-Item Details'!$A325,Import!G:G)</f>
        <v>-48050</v>
      </c>
      <c r="M325" s="99">
        <f>SUMIF(Import!$B:$B,'Other Fund Line-Item Details'!$A325,Import!H:H)</f>
        <v>0</v>
      </c>
      <c r="N325" s="99">
        <f>SUMIF(Import!$B:$B,'Other Fund Line-Item Details'!$A325,Import!I:I)</f>
        <v>0</v>
      </c>
      <c r="O325" s="99">
        <f>SUMIF(Import!$B:$B,'Other Fund Line-Item Details'!$A325,Import!J:J)</f>
        <v>0</v>
      </c>
      <c r="P325" s="99">
        <f t="shared" si="317"/>
        <v>0</v>
      </c>
      <c r="Q325" s="99">
        <f>SUMIF(Import!$B:$B,'Other Fund Line-Item Details'!$A325,Import!K:K)</f>
        <v>0</v>
      </c>
      <c r="R325" s="99">
        <f>SUMIF(Import!$B:$B,'Other Fund Line-Item Details'!$A325,Import!L:L)</f>
        <v>0</v>
      </c>
      <c r="S325" s="99">
        <f>SUMIF(Import!$B:$B,'Other Fund Line-Item Details'!$A325,Import!M:M)</f>
        <v>0</v>
      </c>
      <c r="T325" s="99">
        <f>SUMIF(Import!$B:$B,'Other Fund Line-Item Details'!$A325,Import!N:N)</f>
        <v>0</v>
      </c>
      <c r="U325" s="99">
        <f t="shared" si="318"/>
        <v>0</v>
      </c>
      <c r="V325" s="255" t="str">
        <f t="shared" si="319"/>
        <v>N/A</v>
      </c>
      <c r="W325" s="102" t="s">
        <v>1965</v>
      </c>
      <c r="X325" s="102"/>
      <c r="Y325" s="102">
        <f t="shared" si="320"/>
        <v>0</v>
      </c>
      <c r="Z325" s="309">
        <f>Y325*(1+VLOOKUP($F325,'GL Category'!$A:$H,4,FALSE))</f>
        <v>0</v>
      </c>
      <c r="AA325" s="615"/>
      <c r="AB325" s="622">
        <f t="shared" si="321"/>
        <v>0</v>
      </c>
      <c r="AC325" s="633">
        <f>AB325*(1+VLOOKUP($F325,'GL Category'!$A:$H,5,FALSE))</f>
        <v>0</v>
      </c>
      <c r="AD325" s="307"/>
      <c r="AE325" s="622">
        <f t="shared" si="322"/>
        <v>0</v>
      </c>
      <c r="AF325" s="633">
        <f>AE325*(1+VLOOKUP($F325,'GL Category'!$A:$H,6,FALSE))</f>
        <v>0</v>
      </c>
      <c r="AG325" s="307"/>
      <c r="AH325" s="622">
        <f t="shared" si="323"/>
        <v>0</v>
      </c>
      <c r="AI325" s="633">
        <f>AH325*(1+VLOOKUP($F325,'GL Category'!$A:$H,7,FALSE))</f>
        <v>0</v>
      </c>
      <c r="AJ325" s="307"/>
      <c r="AK325" s="622">
        <f t="shared" si="324"/>
        <v>0</v>
      </c>
      <c r="AL325" s="633">
        <f>AK325*(1+VLOOKUP($F325,'GL Category'!$A:$H,8,FALSE))</f>
        <v>0</v>
      </c>
      <c r="AM325" s="307"/>
      <c r="AN325" s="622">
        <f t="shared" si="325"/>
        <v>0</v>
      </c>
    </row>
    <row r="326" spans="1:40" s="115" customFormat="1" ht="15" customHeight="1">
      <c r="A326" s="555" t="s">
        <v>1966</v>
      </c>
      <c r="B326" s="217" t="str">
        <f t="shared" si="281"/>
        <v>118</v>
      </c>
      <c r="C326" s="217" t="str">
        <f t="shared" si="282"/>
        <v>00</v>
      </c>
      <c r="D326" s="101" t="str">
        <f t="shared" si="283"/>
        <v>000</v>
      </c>
      <c r="E326" s="217" t="str">
        <f t="shared" si="284"/>
        <v>118-00-000</v>
      </c>
      <c r="F326" s="294" t="str">
        <f t="shared" si="285"/>
        <v>47070</v>
      </c>
      <c r="G326" s="295" t="str">
        <f>VLOOKUP(F326,'GL Category'!A:C,3,FALSE)</f>
        <v>OTHER REVENUE</v>
      </c>
      <c r="H326" s="98" t="str">
        <f>VLOOKUP(F326,'GL Category'!A:C,2,FALSE)</f>
        <v>CASH OVER/SHORT</v>
      </c>
      <c r="I326" s="99">
        <f>SUMIF(Import!$B:$B,'Other Fund Line-Item Details'!$A326,Import!D:D)</f>
        <v>0</v>
      </c>
      <c r="J326" s="99">
        <f>SUMIF(Import!$B:$B,'Other Fund Line-Item Details'!$A326,Import!E:E)</f>
        <v>0</v>
      </c>
      <c r="K326" s="99">
        <f>SUMIF(Import!$B:$B,'Other Fund Line-Item Details'!$A326,Import!F:F)</f>
        <v>0</v>
      </c>
      <c r="L326" s="99">
        <f>SUMIF(Import!$B:$B,'Other Fund Line-Item Details'!$A326,Import!G:G)</f>
        <v>0</v>
      </c>
      <c r="M326" s="99">
        <f>SUMIF(Import!$B:$B,'Other Fund Line-Item Details'!$A326,Import!H:H)</f>
        <v>0</v>
      </c>
      <c r="N326" s="99">
        <f>SUMIF(Import!$B:$B,'Other Fund Line-Item Details'!$A326,Import!I:I)</f>
        <v>0</v>
      </c>
      <c r="O326" s="99">
        <f>SUMIF(Import!$B:$B,'Other Fund Line-Item Details'!$A326,Import!J:J)</f>
        <v>0</v>
      </c>
      <c r="P326" s="99">
        <f t="shared" si="317"/>
        <v>0</v>
      </c>
      <c r="Q326" s="99">
        <f>SUMIF(Import!$B:$B,'Other Fund Line-Item Details'!$A326,Import!K:K)</f>
        <v>0</v>
      </c>
      <c r="R326" s="99">
        <f>SUMIF(Import!$B:$B,'Other Fund Line-Item Details'!$A326,Import!L:L)</f>
        <v>0</v>
      </c>
      <c r="S326" s="99">
        <f>SUMIF(Import!$B:$B,'Other Fund Line-Item Details'!$A326,Import!M:M)</f>
        <v>0</v>
      </c>
      <c r="T326" s="99">
        <f>SUMIF(Import!$B:$B,'Other Fund Line-Item Details'!$A326,Import!N:N)</f>
        <v>0</v>
      </c>
      <c r="U326" s="99">
        <f t="shared" si="318"/>
        <v>0</v>
      </c>
      <c r="V326" s="255" t="str">
        <f t="shared" si="319"/>
        <v>N/A</v>
      </c>
      <c r="W326" s="102" t="s">
        <v>1966</v>
      </c>
      <c r="X326" s="102"/>
      <c r="Y326" s="102">
        <f t="shared" si="320"/>
        <v>0</v>
      </c>
      <c r="Z326" s="309">
        <f>Y326*(1+VLOOKUP($F326,'GL Category'!$A:$H,4,FALSE))</f>
        <v>0</v>
      </c>
      <c r="AA326" s="615"/>
      <c r="AB326" s="622">
        <f t="shared" si="321"/>
        <v>0</v>
      </c>
      <c r="AC326" s="633">
        <f>AB326*(1+VLOOKUP($F326,'GL Category'!$A:$H,5,FALSE))</f>
        <v>0</v>
      </c>
      <c r="AD326" s="307"/>
      <c r="AE326" s="622">
        <f t="shared" si="322"/>
        <v>0</v>
      </c>
      <c r="AF326" s="633">
        <f>AE326*(1+VLOOKUP($F326,'GL Category'!$A:$H,6,FALSE))</f>
        <v>0</v>
      </c>
      <c r="AG326" s="307"/>
      <c r="AH326" s="622">
        <f t="shared" si="323"/>
        <v>0</v>
      </c>
      <c r="AI326" s="633">
        <f>AH326*(1+VLOOKUP($F326,'GL Category'!$A:$H,7,FALSE))</f>
        <v>0</v>
      </c>
      <c r="AJ326" s="307"/>
      <c r="AK326" s="622">
        <f t="shared" si="324"/>
        <v>0</v>
      </c>
      <c r="AL326" s="633">
        <f>AK326*(1+VLOOKUP($F326,'GL Category'!$A:$H,8,FALSE))</f>
        <v>0</v>
      </c>
      <c r="AM326" s="307"/>
      <c r="AN326" s="622">
        <f t="shared" si="325"/>
        <v>0</v>
      </c>
    </row>
    <row r="327" spans="1:40" s="115" customFormat="1" ht="15" customHeight="1">
      <c r="A327" s="555" t="s">
        <v>1967</v>
      </c>
      <c r="B327" s="217" t="str">
        <f t="shared" si="281"/>
        <v>118</v>
      </c>
      <c r="C327" s="217" t="str">
        <f t="shared" si="282"/>
        <v>00</v>
      </c>
      <c r="D327" s="101" t="str">
        <f t="shared" si="283"/>
        <v>000</v>
      </c>
      <c r="E327" s="217" t="str">
        <f t="shared" si="284"/>
        <v>118-00-000</v>
      </c>
      <c r="F327" s="294" t="str">
        <f t="shared" si="285"/>
        <v>47090</v>
      </c>
      <c r="G327" s="295" t="str">
        <f>VLOOKUP(F327,'GL Category'!A:C,3,FALSE)</f>
        <v>OTHER REVENUE</v>
      </c>
      <c r="H327" s="98" t="str">
        <f>VLOOKUP(F327,'GL Category'!A:C,2,FALSE)</f>
        <v>INTEREST REVENUE-INVESTMENTS</v>
      </c>
      <c r="I327" s="99">
        <f>SUMIF(Import!$B:$B,'Other Fund Line-Item Details'!$A327,Import!D:D)</f>
        <v>-107687.87</v>
      </c>
      <c r="J327" s="99">
        <f>SUMIF(Import!$B:$B,'Other Fund Line-Item Details'!$A327,Import!E:E)</f>
        <v>-2895.41</v>
      </c>
      <c r="K327" s="99">
        <f>SUMIF(Import!$B:$B,'Other Fund Line-Item Details'!$A327,Import!F:F)</f>
        <v>-37358.94</v>
      </c>
      <c r="L327" s="99">
        <f>SUMIF(Import!$B:$B,'Other Fund Line-Item Details'!$A327,Import!G:G)</f>
        <v>-352382.48</v>
      </c>
      <c r="M327" s="99">
        <f>SUMIF(Import!$B:$B,'Other Fund Line-Item Details'!$A327,Import!H:H)</f>
        <v>-5000</v>
      </c>
      <c r="N327" s="99">
        <f>SUMIF(Import!$B:$B,'Other Fund Line-Item Details'!$A327,Import!I:I)</f>
        <v>-329699.71000000002</v>
      </c>
      <c r="O327" s="99">
        <f>SUMIF(Import!$B:$B,'Other Fund Line-Item Details'!$A327,Import!J:J)</f>
        <v>-300065</v>
      </c>
      <c r="P327" s="99">
        <f t="shared" si="317"/>
        <v>-295065</v>
      </c>
      <c r="Q327" s="99">
        <f>SUMIF(Import!$B:$B,'Other Fund Line-Item Details'!$A327,Import!K:K)</f>
        <v>-17500</v>
      </c>
      <c r="R327" s="99">
        <f>SUMIF(Import!$B:$B,'Other Fund Line-Item Details'!$A327,Import!L:L)</f>
        <v>0</v>
      </c>
      <c r="S327" s="99">
        <f>SUMIF(Import!$B:$B,'Other Fund Line-Item Details'!$A327,Import!M:M)</f>
        <v>0</v>
      </c>
      <c r="T327" s="99">
        <f>SUMIF(Import!$B:$B,'Other Fund Line-Item Details'!$A327,Import!N:N)</f>
        <v>-17500</v>
      </c>
      <c r="U327" s="99">
        <f t="shared" si="318"/>
        <v>-12500</v>
      </c>
      <c r="V327" s="255">
        <f t="shared" si="319"/>
        <v>2.5</v>
      </c>
      <c r="W327" s="102" t="s">
        <v>1967</v>
      </c>
      <c r="X327" s="102"/>
      <c r="Y327" s="102">
        <f t="shared" si="320"/>
        <v>-17500</v>
      </c>
      <c r="Z327" s="309">
        <f>Y327*(1+VLOOKUP($F327,'GL Category'!$A:$H,4,FALSE))</f>
        <v>-13125</v>
      </c>
      <c r="AA327" s="615"/>
      <c r="AB327" s="622">
        <f t="shared" si="321"/>
        <v>-13125</v>
      </c>
      <c r="AC327" s="633">
        <f>AB327*(1+VLOOKUP($F327,'GL Category'!$A:$H,5,FALSE))</f>
        <v>-6562.5</v>
      </c>
      <c r="AD327" s="307"/>
      <c r="AE327" s="622">
        <f t="shared" si="322"/>
        <v>-6562.5</v>
      </c>
      <c r="AF327" s="633">
        <f>AE327*(1+VLOOKUP($F327,'GL Category'!$A:$H,6,FALSE))</f>
        <v>-6562.5</v>
      </c>
      <c r="AG327" s="307"/>
      <c r="AH327" s="622">
        <f t="shared" si="323"/>
        <v>-6562.5</v>
      </c>
      <c r="AI327" s="633">
        <f>AH327*(1+VLOOKUP($F327,'GL Category'!$A:$H,7,FALSE))</f>
        <v>-6562.5</v>
      </c>
      <c r="AJ327" s="307"/>
      <c r="AK327" s="622">
        <f t="shared" si="324"/>
        <v>-6562.5</v>
      </c>
      <c r="AL327" s="633">
        <f>AK327*(1+VLOOKUP($F327,'GL Category'!$A:$H,8,FALSE))</f>
        <v>-6562.5</v>
      </c>
      <c r="AM327" s="307"/>
      <c r="AN327" s="622">
        <f t="shared" si="325"/>
        <v>-6562.5</v>
      </c>
    </row>
    <row r="328" spans="1:40" s="115" customFormat="1" ht="15" customHeight="1">
      <c r="A328" s="555" t="s">
        <v>1968</v>
      </c>
      <c r="B328" s="217" t="str">
        <f t="shared" si="281"/>
        <v>118</v>
      </c>
      <c r="C328" s="217" t="str">
        <f t="shared" si="282"/>
        <v>00</v>
      </c>
      <c r="D328" s="101" t="str">
        <f t="shared" si="283"/>
        <v>000</v>
      </c>
      <c r="E328" s="217" t="str">
        <f t="shared" si="284"/>
        <v>118-00-000</v>
      </c>
      <c r="F328" s="294" t="str">
        <f t="shared" si="285"/>
        <v>47099</v>
      </c>
      <c r="G328" s="295" t="str">
        <f>VLOOKUP(F328,'GL Category'!A:C,3,FALSE)</f>
        <v>OTHER REVENUE</v>
      </c>
      <c r="H328" s="98" t="str">
        <f>VLOOKUP(F328,'GL Category'!A:C,2,FALSE)</f>
        <v>INCR/DECR IN FAIR VALUE OF INV</v>
      </c>
      <c r="I328" s="99">
        <f>SUMIF(Import!$B:$B,'Other Fund Line-Item Details'!$A328,Import!D:D)</f>
        <v>0</v>
      </c>
      <c r="J328" s="99">
        <f>SUMIF(Import!$B:$B,'Other Fund Line-Item Details'!$A328,Import!E:E)</f>
        <v>0</v>
      </c>
      <c r="K328" s="99">
        <f>SUMIF(Import!$B:$B,'Other Fund Line-Item Details'!$A328,Import!F:F)</f>
        <v>0</v>
      </c>
      <c r="L328" s="99">
        <f>SUMIF(Import!$B:$B,'Other Fund Line-Item Details'!$A328,Import!G:G)</f>
        <v>0</v>
      </c>
      <c r="M328" s="99">
        <f>SUMIF(Import!$B:$B,'Other Fund Line-Item Details'!$A328,Import!H:H)</f>
        <v>0</v>
      </c>
      <c r="N328" s="99">
        <f>SUMIF(Import!$B:$B,'Other Fund Line-Item Details'!$A328,Import!I:I)</f>
        <v>0</v>
      </c>
      <c r="O328" s="99">
        <f>SUMIF(Import!$B:$B,'Other Fund Line-Item Details'!$A328,Import!J:J)</f>
        <v>0</v>
      </c>
      <c r="P328" s="99">
        <f t="shared" si="317"/>
        <v>0</v>
      </c>
      <c r="Q328" s="99">
        <f>SUMIF(Import!$B:$B,'Other Fund Line-Item Details'!$A328,Import!K:K)</f>
        <v>0</v>
      </c>
      <c r="R328" s="99">
        <f>SUMIF(Import!$B:$B,'Other Fund Line-Item Details'!$A328,Import!L:L)</f>
        <v>0</v>
      </c>
      <c r="S328" s="99">
        <f>SUMIF(Import!$B:$B,'Other Fund Line-Item Details'!$A328,Import!M:M)</f>
        <v>0</v>
      </c>
      <c r="T328" s="99">
        <f>SUMIF(Import!$B:$B,'Other Fund Line-Item Details'!$A328,Import!N:N)</f>
        <v>0</v>
      </c>
      <c r="U328" s="99">
        <f t="shared" si="318"/>
        <v>0</v>
      </c>
      <c r="V328" s="255" t="str">
        <f t="shared" si="319"/>
        <v>N/A</v>
      </c>
      <c r="W328" s="102" t="s">
        <v>1968</v>
      </c>
      <c r="X328" s="102"/>
      <c r="Y328" s="102">
        <f t="shared" si="320"/>
        <v>0</v>
      </c>
      <c r="Z328" s="309">
        <f>Y328*(1+VLOOKUP($F328,'GL Category'!$A:$H,4,FALSE))</f>
        <v>0</v>
      </c>
      <c r="AA328" s="615"/>
      <c r="AB328" s="622">
        <f t="shared" si="321"/>
        <v>0</v>
      </c>
      <c r="AC328" s="633">
        <f>AB328*(1+VLOOKUP($F328,'GL Category'!$A:$H,5,FALSE))</f>
        <v>0</v>
      </c>
      <c r="AD328" s="307"/>
      <c r="AE328" s="622">
        <f t="shared" si="322"/>
        <v>0</v>
      </c>
      <c r="AF328" s="633">
        <f>AE328*(1+VLOOKUP($F328,'GL Category'!$A:$H,6,FALSE))</f>
        <v>0</v>
      </c>
      <c r="AG328" s="307"/>
      <c r="AH328" s="622">
        <f t="shared" si="323"/>
        <v>0</v>
      </c>
      <c r="AI328" s="633">
        <f>AH328*(1+VLOOKUP($F328,'GL Category'!$A:$H,7,FALSE))</f>
        <v>0</v>
      </c>
      <c r="AJ328" s="307"/>
      <c r="AK328" s="622">
        <f t="shared" si="324"/>
        <v>0</v>
      </c>
      <c r="AL328" s="633">
        <f>AK328*(1+VLOOKUP($F328,'GL Category'!$A:$H,8,FALSE))</f>
        <v>0</v>
      </c>
      <c r="AM328" s="307"/>
      <c r="AN328" s="622">
        <f t="shared" si="325"/>
        <v>0</v>
      </c>
    </row>
    <row r="329" spans="1:40" s="115" customFormat="1" ht="15" customHeight="1">
      <c r="A329" s="555"/>
      <c r="B329" s="217"/>
      <c r="C329" s="217"/>
      <c r="D329" s="101"/>
      <c r="E329" s="217"/>
      <c r="F329" s="294"/>
      <c r="G329" s="146"/>
      <c r="H329" s="107" t="str">
        <f>UPPER(G328)&amp;" TOTAL"</f>
        <v>OTHER REVENUE TOTAL</v>
      </c>
      <c r="I329" s="108">
        <f t="shared" ref="I329" si="334">SUBTOTAL(9,I316:I328)</f>
        <v>-1886068.6100000003</v>
      </c>
      <c r="J329" s="108">
        <f t="shared" ref="J329:P329" si="335">SUBTOTAL(9,J316:J328)</f>
        <v>-2393715.38</v>
      </c>
      <c r="K329" s="108">
        <f t="shared" ref="K329" si="336">SUBTOTAL(9,K316:K328)</f>
        <v>-2287664.7499999995</v>
      </c>
      <c r="L329" s="108">
        <f t="shared" ref="L329" si="337">SUBTOTAL(9,L316:L328)</f>
        <v>-2724015.47</v>
      </c>
      <c r="M329" s="108">
        <f t="shared" si="335"/>
        <v>-2445115</v>
      </c>
      <c r="N329" s="109">
        <f t="shared" ref="N329" si="338">SUBTOTAL(9,N316:N328)</f>
        <v>-2318126.29</v>
      </c>
      <c r="O329" s="109">
        <f t="shared" si="335"/>
        <v>-2713908</v>
      </c>
      <c r="P329" s="109">
        <f t="shared" si="335"/>
        <v>-268793</v>
      </c>
      <c r="Q329" s="109">
        <f t="shared" ref="Q329:T329" si="339">SUBTOTAL(9,Q316:Q328)</f>
        <v>-2466587</v>
      </c>
      <c r="R329" s="109">
        <f t="shared" si="339"/>
        <v>0</v>
      </c>
      <c r="S329" s="109">
        <f t="shared" si="339"/>
        <v>0</v>
      </c>
      <c r="T329" s="109">
        <f t="shared" si="339"/>
        <v>-2466587</v>
      </c>
      <c r="U329" s="99">
        <f t="shared" si="318"/>
        <v>-21472</v>
      </c>
      <c r="V329" s="255">
        <f t="shared" si="319"/>
        <v>8.7815910499096095E-3</v>
      </c>
      <c r="W329" s="102"/>
      <c r="X329" s="121"/>
      <c r="Y329" s="109">
        <f t="shared" ref="Y329:AN329" si="340">SUBTOTAL(9,Y316:Y328)</f>
        <v>-2466587</v>
      </c>
      <c r="Z329" s="109">
        <f t="shared" si="340"/>
        <v>-2510433.7400000002</v>
      </c>
      <c r="AA329" s="109">
        <f t="shared" si="340"/>
        <v>0</v>
      </c>
      <c r="AB329" s="109">
        <f t="shared" si="340"/>
        <v>-2510433.7400000002</v>
      </c>
      <c r="AC329" s="109">
        <f t="shared" si="340"/>
        <v>-2564442.5584999998</v>
      </c>
      <c r="AD329" s="109">
        <f t="shared" si="340"/>
        <v>0</v>
      </c>
      <c r="AE329" s="109">
        <f t="shared" si="340"/>
        <v>-2564442.5584999998</v>
      </c>
      <c r="AF329" s="109">
        <f t="shared" si="340"/>
        <v>-2626547.3179624998</v>
      </c>
      <c r="AG329" s="109">
        <f t="shared" si="340"/>
        <v>0</v>
      </c>
      <c r="AH329" s="109">
        <f t="shared" si="340"/>
        <v>-2626547.3179624998</v>
      </c>
      <c r="AI329" s="109">
        <f t="shared" si="340"/>
        <v>-2690224.429151562</v>
      </c>
      <c r="AJ329" s="109">
        <f t="shared" si="340"/>
        <v>0</v>
      </c>
      <c r="AK329" s="109">
        <f t="shared" si="340"/>
        <v>-2690224.429151562</v>
      </c>
      <c r="AL329" s="109">
        <f t="shared" si="340"/>
        <v>-2755513.7928425511</v>
      </c>
      <c r="AM329" s="109">
        <f t="shared" si="340"/>
        <v>0</v>
      </c>
      <c r="AN329" s="109">
        <f t="shared" si="340"/>
        <v>-2755513.7928425511</v>
      </c>
    </row>
    <row r="330" spans="1:40" s="115" customFormat="1" ht="15" customHeight="1">
      <c r="A330" s="555"/>
      <c r="B330" s="217"/>
      <c r="C330" s="217"/>
      <c r="D330" s="101"/>
      <c r="E330" s="217"/>
      <c r="F330" s="294"/>
      <c r="G330" s="146"/>
      <c r="H330" s="98"/>
      <c r="I330" s="106"/>
      <c r="J330" s="106"/>
      <c r="K330" s="106"/>
      <c r="L330" s="106"/>
      <c r="M330" s="106"/>
      <c r="N330" s="112"/>
      <c r="O330" s="112"/>
      <c r="P330" s="112"/>
      <c r="Q330" s="113"/>
      <c r="R330" s="212"/>
      <c r="S330" s="212"/>
      <c r="T330" s="113"/>
      <c r="U330" s="105"/>
      <c r="V330" s="262"/>
      <c r="W330" s="102"/>
      <c r="X330" s="121"/>
      <c r="Y330" s="121"/>
      <c r="Z330" s="121"/>
      <c r="AA330" s="121"/>
      <c r="AB330" s="121"/>
      <c r="AC330" s="121"/>
      <c r="AD330" s="121"/>
      <c r="AE330" s="121"/>
      <c r="AF330" s="121"/>
      <c r="AG330" s="121"/>
      <c r="AH330" s="121"/>
      <c r="AI330" s="121"/>
    </row>
    <row r="331" spans="1:40" s="115" customFormat="1" ht="15" customHeight="1">
      <c r="A331" s="555" t="s">
        <v>1969</v>
      </c>
      <c r="B331" s="217" t="str">
        <f t="shared" si="281"/>
        <v>118</v>
      </c>
      <c r="C331" s="217" t="str">
        <f t="shared" si="282"/>
        <v>31</v>
      </c>
      <c r="D331" s="101" t="str">
        <f t="shared" si="283"/>
        <v>311</v>
      </c>
      <c r="E331" s="217" t="str">
        <f t="shared" si="284"/>
        <v>118-31-311</v>
      </c>
      <c r="F331" s="294" t="str">
        <f t="shared" si="285"/>
        <v>50101</v>
      </c>
      <c r="G331" s="295" t="str">
        <f>VLOOKUP(F331,'GL Category'!A:C,3,FALSE)</f>
        <v>Personnel services</v>
      </c>
      <c r="H331" s="98" t="str">
        <f>VLOOKUP(F331,'GL Category'!A:C,2,FALSE)</f>
        <v>EXEMPT SALARIES</v>
      </c>
      <c r="I331" s="99">
        <f>SUMIF(Import!$B:$B,'Other Fund Line-Item Details'!$A331,Import!D:D)</f>
        <v>72894.320000000007</v>
      </c>
      <c r="J331" s="99">
        <f>SUMIF(Import!$B:$B,'Other Fund Line-Item Details'!$A331,Import!E:E)</f>
        <v>74945.119999999995</v>
      </c>
      <c r="K331" s="99">
        <f>SUMIF(Import!$B:$B,'Other Fund Line-Item Details'!$A331,Import!F:F)</f>
        <v>78605.27</v>
      </c>
      <c r="L331" s="99">
        <f>SUMIF(Import!$B:$B,'Other Fund Line-Item Details'!$A331,Import!G:G)</f>
        <v>81896.800000000003</v>
      </c>
      <c r="M331" s="99">
        <f>SUMIF(Import!$B:$B,'Other Fund Line-Item Details'!$A331,Import!H:H)</f>
        <v>84823</v>
      </c>
      <c r="N331" s="99">
        <f>SUMIF(Import!$B:$B,'Other Fund Line-Item Details'!$A331,Import!I:I)</f>
        <v>65009.919999999998</v>
      </c>
      <c r="O331" s="99">
        <f>SUMIF(Import!$B:$B,'Other Fund Line-Item Details'!$A331,Import!J:J)</f>
        <v>85341</v>
      </c>
      <c r="P331" s="99">
        <f t="shared" ref="P331:P336" si="341">O331-M331</f>
        <v>518</v>
      </c>
      <c r="Q331" s="99">
        <f>SUMIF(Import!$B:$B,'Other Fund Line-Item Details'!$A331,Import!K:K)</f>
        <v>88255</v>
      </c>
      <c r="R331" s="99">
        <f>SUMIF(Import!$B:$B,'Other Fund Line-Item Details'!$A331,Import!L:L)</f>
        <v>0</v>
      </c>
      <c r="S331" s="99">
        <f>SUMIF(Import!$B:$B,'Other Fund Line-Item Details'!$A331,Import!M:M)</f>
        <v>0</v>
      </c>
      <c r="T331" s="99">
        <f>SUMIF(Import!$B:$B,'Other Fund Line-Item Details'!$A331,Import!N:N)</f>
        <v>88255</v>
      </c>
      <c r="U331" s="99">
        <f t="shared" ref="U331:U337" si="342">T331-M331</f>
        <v>3432</v>
      </c>
      <c r="V331" s="255">
        <f t="shared" ref="V331:V337" si="343">IF(M331=0,"N/A",T331/M331-1)</f>
        <v>4.0460724096058831E-2</v>
      </c>
      <c r="W331" s="102" t="s">
        <v>1969</v>
      </c>
      <c r="X331" s="102"/>
      <c r="Y331" s="102">
        <f t="shared" ref="Y331:Y336" si="344">T331-X331</f>
        <v>88255</v>
      </c>
      <c r="Z331" s="309">
        <f>Y331*(1+VLOOKUP($F331,'GL Category'!$A:$H,4,FALSE))</f>
        <v>91343.924999999988</v>
      </c>
      <c r="AA331" s="615"/>
      <c r="AB331" s="622">
        <f t="shared" ref="AB331:AB336" si="345">Z331+AA331</f>
        <v>91343.924999999988</v>
      </c>
      <c r="AC331" s="633">
        <f>AB331*(1+VLOOKUP($F331,'GL Category'!$A:$H,5,FALSE))</f>
        <v>94540.962374999974</v>
      </c>
      <c r="AD331" s="307"/>
      <c r="AE331" s="622">
        <f t="shared" ref="AE331:AE336" si="346">AC331+AD331</f>
        <v>94540.962374999974</v>
      </c>
      <c r="AF331" s="633">
        <f>AE331*(1+VLOOKUP($F331,'GL Category'!$A:$H,6,FALSE))</f>
        <v>97849.89605812497</v>
      </c>
      <c r="AG331" s="307"/>
      <c r="AH331" s="622">
        <f t="shared" ref="AH331:AH336" si="347">AF331+AG331</f>
        <v>97849.89605812497</v>
      </c>
      <c r="AI331" s="633">
        <f>AH331*(1+VLOOKUP($F331,'GL Category'!$A:$H,7,FALSE))</f>
        <v>101274.64242015933</v>
      </c>
      <c r="AJ331" s="307"/>
      <c r="AK331" s="622">
        <f t="shared" ref="AK331:AK336" si="348">AI331+AJ331</f>
        <v>101274.64242015933</v>
      </c>
      <c r="AL331" s="633">
        <f>AK331*(1+VLOOKUP($F331,'GL Category'!$A:$H,8,FALSE))</f>
        <v>104819.25490486489</v>
      </c>
      <c r="AM331" s="307"/>
      <c r="AN331" s="622">
        <f t="shared" ref="AN331:AN336" si="349">AL331+AM331</f>
        <v>104819.25490486489</v>
      </c>
    </row>
    <row r="332" spans="1:40" s="115" customFormat="1" ht="15" customHeight="1">
      <c r="A332" s="555" t="s">
        <v>1970</v>
      </c>
      <c r="B332" s="217" t="str">
        <f t="shared" si="281"/>
        <v>118</v>
      </c>
      <c r="C332" s="217" t="str">
        <f t="shared" si="282"/>
        <v>31</v>
      </c>
      <c r="D332" s="101" t="str">
        <f t="shared" si="283"/>
        <v>311</v>
      </c>
      <c r="E332" s="217" t="str">
        <f t="shared" si="284"/>
        <v>118-31-311</v>
      </c>
      <c r="F332" s="294" t="str">
        <f t="shared" si="285"/>
        <v>50111</v>
      </c>
      <c r="G332" s="295" t="str">
        <f>VLOOKUP(F332,'GL Category'!A:C,3,FALSE)</f>
        <v>Personnel services</v>
      </c>
      <c r="H332" s="98" t="str">
        <f>VLOOKUP(F332,'GL Category'!A:C,2,FALSE)</f>
        <v>LONGEVITY PAY</v>
      </c>
      <c r="I332" s="99">
        <f>SUMIF(Import!$B:$B,'Other Fund Line-Item Details'!$A332,Import!D:D)</f>
        <v>740</v>
      </c>
      <c r="J332" s="99">
        <f>SUMIF(Import!$B:$B,'Other Fund Line-Item Details'!$A332,Import!E:E)</f>
        <v>800</v>
      </c>
      <c r="K332" s="99">
        <f>SUMIF(Import!$B:$B,'Other Fund Line-Item Details'!$A332,Import!F:F)</f>
        <v>860</v>
      </c>
      <c r="L332" s="99">
        <f>SUMIF(Import!$B:$B,'Other Fund Line-Item Details'!$A332,Import!G:G)</f>
        <v>920</v>
      </c>
      <c r="M332" s="99">
        <f>SUMIF(Import!$B:$B,'Other Fund Line-Item Details'!$A332,Import!H:H)</f>
        <v>995</v>
      </c>
      <c r="N332" s="99">
        <f>SUMIF(Import!$B:$B,'Other Fund Line-Item Details'!$A332,Import!I:I)</f>
        <v>980</v>
      </c>
      <c r="O332" s="99">
        <f>SUMIF(Import!$B:$B,'Other Fund Line-Item Details'!$A332,Import!J:J)</f>
        <v>980</v>
      </c>
      <c r="P332" s="99">
        <f t="shared" si="341"/>
        <v>-15</v>
      </c>
      <c r="Q332" s="99">
        <f>SUMIF(Import!$B:$B,'Other Fund Line-Item Details'!$A332,Import!K:K)</f>
        <v>1057</v>
      </c>
      <c r="R332" s="99">
        <f>SUMIF(Import!$B:$B,'Other Fund Line-Item Details'!$A332,Import!L:L)</f>
        <v>0</v>
      </c>
      <c r="S332" s="99">
        <f>SUMIF(Import!$B:$B,'Other Fund Line-Item Details'!$A332,Import!M:M)</f>
        <v>0</v>
      </c>
      <c r="T332" s="99">
        <f>SUMIF(Import!$B:$B,'Other Fund Line-Item Details'!$A332,Import!N:N)</f>
        <v>1057</v>
      </c>
      <c r="U332" s="99">
        <f t="shared" si="342"/>
        <v>62</v>
      </c>
      <c r="V332" s="255">
        <f t="shared" si="343"/>
        <v>6.2311557788944816E-2</v>
      </c>
      <c r="W332" s="102" t="s">
        <v>1970</v>
      </c>
      <c r="X332" s="102"/>
      <c r="Y332" s="102">
        <f t="shared" si="344"/>
        <v>1057</v>
      </c>
      <c r="Z332" s="309">
        <f>Y332*(1+VLOOKUP($F332,'GL Category'!$A:$H,4,FALSE))</f>
        <v>1093.9949999999999</v>
      </c>
      <c r="AA332" s="615"/>
      <c r="AB332" s="622">
        <f t="shared" si="345"/>
        <v>1093.9949999999999</v>
      </c>
      <c r="AC332" s="633">
        <f>AB332*(1+VLOOKUP($F332,'GL Category'!$A:$H,5,FALSE))</f>
        <v>1132.2848249999997</v>
      </c>
      <c r="AD332" s="307"/>
      <c r="AE332" s="622">
        <f t="shared" si="346"/>
        <v>1132.2848249999997</v>
      </c>
      <c r="AF332" s="633">
        <f>AE332*(1+VLOOKUP($F332,'GL Category'!$A:$H,6,FALSE))</f>
        <v>1171.9147938749995</v>
      </c>
      <c r="AG332" s="307"/>
      <c r="AH332" s="622">
        <f t="shared" si="347"/>
        <v>1171.9147938749995</v>
      </c>
      <c r="AI332" s="633">
        <f>AH332*(1+VLOOKUP($F332,'GL Category'!$A:$H,7,FALSE))</f>
        <v>1212.9318116606244</v>
      </c>
      <c r="AJ332" s="307"/>
      <c r="AK332" s="622">
        <f t="shared" si="348"/>
        <v>1212.9318116606244</v>
      </c>
      <c r="AL332" s="633">
        <f>AK332*(1+VLOOKUP($F332,'GL Category'!$A:$H,8,FALSE))</f>
        <v>1255.3844250687462</v>
      </c>
      <c r="AM332" s="307"/>
      <c r="AN332" s="622">
        <f t="shared" si="349"/>
        <v>1255.3844250687462</v>
      </c>
    </row>
    <row r="333" spans="1:40" s="115" customFormat="1" ht="15" customHeight="1">
      <c r="A333" s="555" t="s">
        <v>1971</v>
      </c>
      <c r="B333" s="217" t="str">
        <f t="shared" si="281"/>
        <v>118</v>
      </c>
      <c r="C333" s="217" t="str">
        <f t="shared" si="282"/>
        <v>31</v>
      </c>
      <c r="D333" s="101" t="str">
        <f t="shared" si="283"/>
        <v>311</v>
      </c>
      <c r="E333" s="217" t="str">
        <f t="shared" si="284"/>
        <v>118-31-311</v>
      </c>
      <c r="F333" s="294" t="str">
        <f t="shared" si="285"/>
        <v>50610</v>
      </c>
      <c r="G333" s="295" t="str">
        <f>VLOOKUP(F333,'GL Category'!A:C,3,FALSE)</f>
        <v>Personnel services</v>
      </c>
      <c r="H333" s="98" t="str">
        <f>VLOOKUP(F333,'GL Category'!A:C,2,FALSE)</f>
        <v>SOCIAL SECURITY</v>
      </c>
      <c r="I333" s="99">
        <f>SUMIF(Import!$B:$B,'Other Fund Line-Item Details'!$A333,Import!D:D)</f>
        <v>5397.21</v>
      </c>
      <c r="J333" s="99">
        <f>SUMIF(Import!$B:$B,'Other Fund Line-Item Details'!$A333,Import!E:E)</f>
        <v>5552.74</v>
      </c>
      <c r="K333" s="99">
        <f>SUMIF(Import!$B:$B,'Other Fund Line-Item Details'!$A333,Import!F:F)</f>
        <v>5836.49</v>
      </c>
      <c r="L333" s="99">
        <f>SUMIF(Import!$B:$B,'Other Fund Line-Item Details'!$A333,Import!G:G)</f>
        <v>6005.91</v>
      </c>
      <c r="M333" s="99">
        <f>SUMIF(Import!$B:$B,'Other Fund Line-Item Details'!$A333,Import!H:H)</f>
        <v>6570</v>
      </c>
      <c r="N333" s="99">
        <f>SUMIF(Import!$B:$B,'Other Fund Line-Item Details'!$A333,Import!I:I)</f>
        <v>4650.55</v>
      </c>
      <c r="O333" s="99">
        <f>SUMIF(Import!$B:$B,'Other Fund Line-Item Details'!$A333,Import!J:J)</f>
        <v>6272</v>
      </c>
      <c r="P333" s="99">
        <f t="shared" si="341"/>
        <v>-298</v>
      </c>
      <c r="Q333" s="99">
        <f>SUMIF(Import!$B:$B,'Other Fund Line-Item Details'!$A333,Import!K:K)</f>
        <v>6840</v>
      </c>
      <c r="R333" s="99">
        <f>SUMIF(Import!$B:$B,'Other Fund Line-Item Details'!$A333,Import!L:L)</f>
        <v>0</v>
      </c>
      <c r="S333" s="99">
        <f>SUMIF(Import!$B:$B,'Other Fund Line-Item Details'!$A333,Import!M:M)</f>
        <v>0</v>
      </c>
      <c r="T333" s="99">
        <f>SUMIF(Import!$B:$B,'Other Fund Line-Item Details'!$A333,Import!N:N)</f>
        <v>6840</v>
      </c>
      <c r="U333" s="99">
        <f t="shared" si="342"/>
        <v>270</v>
      </c>
      <c r="V333" s="255">
        <f t="shared" si="343"/>
        <v>4.1095890410958846E-2</v>
      </c>
      <c r="W333" s="102" t="s">
        <v>1971</v>
      </c>
      <c r="X333" s="102"/>
      <c r="Y333" s="102">
        <f t="shared" si="344"/>
        <v>6840</v>
      </c>
      <c r="Z333" s="309">
        <f>Y333*(1+VLOOKUP($F333,'GL Category'!$A:$H,4,FALSE))</f>
        <v>7079.4</v>
      </c>
      <c r="AA333" s="615"/>
      <c r="AB333" s="622">
        <f t="shared" si="345"/>
        <v>7079.4</v>
      </c>
      <c r="AC333" s="633">
        <f>AB333*(1+VLOOKUP($F333,'GL Category'!$A:$H,5,FALSE))</f>
        <v>7327.1789999999992</v>
      </c>
      <c r="AD333" s="307"/>
      <c r="AE333" s="622">
        <f t="shared" si="346"/>
        <v>7327.1789999999992</v>
      </c>
      <c r="AF333" s="633">
        <f>AE333*(1+VLOOKUP($F333,'GL Category'!$A:$H,6,FALSE))</f>
        <v>7583.6302649999989</v>
      </c>
      <c r="AG333" s="307"/>
      <c r="AH333" s="622">
        <f t="shared" si="347"/>
        <v>7583.6302649999989</v>
      </c>
      <c r="AI333" s="633">
        <f>AH333*(1+VLOOKUP($F333,'GL Category'!$A:$H,7,FALSE))</f>
        <v>7849.0573242749979</v>
      </c>
      <c r="AJ333" s="307"/>
      <c r="AK333" s="622">
        <f t="shared" si="348"/>
        <v>7849.0573242749979</v>
      </c>
      <c r="AL333" s="633">
        <f>AK333*(1+VLOOKUP($F333,'GL Category'!$A:$H,8,FALSE))</f>
        <v>8123.7743306246221</v>
      </c>
      <c r="AM333" s="307"/>
      <c r="AN333" s="622">
        <f t="shared" si="349"/>
        <v>8123.7743306246221</v>
      </c>
    </row>
    <row r="334" spans="1:40" s="115" customFormat="1" ht="15" customHeight="1">
      <c r="A334" s="555" t="s">
        <v>1972</v>
      </c>
      <c r="B334" s="217" t="str">
        <f t="shared" si="281"/>
        <v>118</v>
      </c>
      <c r="C334" s="217" t="str">
        <f t="shared" si="282"/>
        <v>31</v>
      </c>
      <c r="D334" s="101" t="str">
        <f t="shared" si="283"/>
        <v>311</v>
      </c>
      <c r="E334" s="217" t="str">
        <f t="shared" si="284"/>
        <v>118-31-311</v>
      </c>
      <c r="F334" s="294" t="str">
        <f t="shared" si="285"/>
        <v>50620</v>
      </c>
      <c r="G334" s="295" t="str">
        <f>VLOOKUP(F334,'GL Category'!A:C,3,FALSE)</f>
        <v>Personnel services</v>
      </c>
      <c r="H334" s="98" t="str">
        <f>VLOOKUP(F334,'GL Category'!A:C,2,FALSE)</f>
        <v>HEALTH/LIFE INSURANCE</v>
      </c>
      <c r="I334" s="99">
        <f>SUMIF(Import!$B:$B,'Other Fund Line-Item Details'!$A334,Import!D:D)</f>
        <v>10973.87</v>
      </c>
      <c r="J334" s="99">
        <f>SUMIF(Import!$B:$B,'Other Fund Line-Item Details'!$A334,Import!E:E)</f>
        <v>11313.83</v>
      </c>
      <c r="K334" s="99">
        <f>SUMIF(Import!$B:$B,'Other Fund Line-Item Details'!$A334,Import!F:F)</f>
        <v>11244.53</v>
      </c>
      <c r="L334" s="99">
        <f>SUMIF(Import!$B:$B,'Other Fund Line-Item Details'!$A334,Import!G:G)</f>
        <v>13392.53</v>
      </c>
      <c r="M334" s="99">
        <f>SUMIF(Import!$B:$B,'Other Fund Line-Item Details'!$A334,Import!H:H)</f>
        <v>11044</v>
      </c>
      <c r="N334" s="99">
        <f>SUMIF(Import!$B:$B,'Other Fund Line-Item Details'!$A334,Import!I:I)</f>
        <v>13622.6</v>
      </c>
      <c r="O334" s="99">
        <f>SUMIF(Import!$B:$B,'Other Fund Line-Item Details'!$A334,Import!J:J)</f>
        <v>18257</v>
      </c>
      <c r="P334" s="99">
        <f t="shared" si="341"/>
        <v>7213</v>
      </c>
      <c r="Q334" s="99">
        <f>SUMIF(Import!$B:$B,'Other Fund Line-Item Details'!$A334,Import!K:K)</f>
        <v>17871</v>
      </c>
      <c r="R334" s="99">
        <f>SUMIF(Import!$B:$B,'Other Fund Line-Item Details'!$A334,Import!L:L)</f>
        <v>0</v>
      </c>
      <c r="S334" s="99">
        <f>SUMIF(Import!$B:$B,'Other Fund Line-Item Details'!$A334,Import!M:M)</f>
        <v>0</v>
      </c>
      <c r="T334" s="99">
        <f>SUMIF(Import!$B:$B,'Other Fund Line-Item Details'!$A334,Import!N:N)</f>
        <v>17871</v>
      </c>
      <c r="U334" s="99">
        <f t="shared" si="342"/>
        <v>6827</v>
      </c>
      <c r="V334" s="255">
        <f t="shared" si="343"/>
        <v>0.6181637088011589</v>
      </c>
      <c r="W334" s="102" t="s">
        <v>1972</v>
      </c>
      <c r="X334" s="102"/>
      <c r="Y334" s="102">
        <f t="shared" si="344"/>
        <v>17871</v>
      </c>
      <c r="Z334" s="309">
        <f>Y334*(1+VLOOKUP($F334,'GL Category'!$A:$H,4,FALSE))</f>
        <v>18496.484999999997</v>
      </c>
      <c r="AA334" s="615"/>
      <c r="AB334" s="622">
        <f t="shared" si="345"/>
        <v>18496.484999999997</v>
      </c>
      <c r="AC334" s="633">
        <f>AB334*(1+VLOOKUP($F334,'GL Category'!$A:$H,5,FALSE))</f>
        <v>19143.861974999996</v>
      </c>
      <c r="AD334" s="307"/>
      <c r="AE334" s="622">
        <f t="shared" si="346"/>
        <v>19143.861974999996</v>
      </c>
      <c r="AF334" s="633">
        <f>AE334*(1+VLOOKUP($F334,'GL Category'!$A:$H,6,FALSE))</f>
        <v>19813.897144124996</v>
      </c>
      <c r="AG334" s="307"/>
      <c r="AH334" s="622">
        <f t="shared" si="347"/>
        <v>19813.897144124996</v>
      </c>
      <c r="AI334" s="633">
        <f>AH334*(1+VLOOKUP($F334,'GL Category'!$A:$H,7,FALSE))</f>
        <v>20507.38354416937</v>
      </c>
      <c r="AJ334" s="307"/>
      <c r="AK334" s="622">
        <f t="shared" si="348"/>
        <v>20507.38354416937</v>
      </c>
      <c r="AL334" s="633">
        <f>AK334*(1+VLOOKUP($F334,'GL Category'!$A:$H,8,FALSE))</f>
        <v>21225.141968215295</v>
      </c>
      <c r="AM334" s="307"/>
      <c r="AN334" s="622">
        <f t="shared" si="349"/>
        <v>21225.141968215295</v>
      </c>
    </row>
    <row r="335" spans="1:40" s="115" customFormat="1" ht="15" customHeight="1">
      <c r="A335" s="555" t="s">
        <v>1973</v>
      </c>
      <c r="B335" s="217" t="str">
        <f t="shared" si="281"/>
        <v>118</v>
      </c>
      <c r="C335" s="217" t="str">
        <f t="shared" si="282"/>
        <v>31</v>
      </c>
      <c r="D335" s="101" t="str">
        <f t="shared" si="283"/>
        <v>311</v>
      </c>
      <c r="E335" s="217" t="str">
        <f t="shared" si="284"/>
        <v>118-31-311</v>
      </c>
      <c r="F335" s="294" t="str">
        <f t="shared" si="285"/>
        <v>50630</v>
      </c>
      <c r="G335" s="295" t="str">
        <f>VLOOKUP(F335,'GL Category'!A:C,3,FALSE)</f>
        <v>Personnel services</v>
      </c>
      <c r="H335" s="98" t="str">
        <f>VLOOKUP(F335,'GL Category'!A:C,2,FALSE)</f>
        <v>WORKER COMPENSATION</v>
      </c>
      <c r="I335" s="99">
        <f>SUMIF(Import!$B:$B,'Other Fund Line-Item Details'!$A335,Import!D:D)</f>
        <v>48.56</v>
      </c>
      <c r="J335" s="99">
        <f>SUMIF(Import!$B:$B,'Other Fund Line-Item Details'!$A335,Import!E:E)</f>
        <v>45.11</v>
      </c>
      <c r="K335" s="99">
        <f>SUMIF(Import!$B:$B,'Other Fund Line-Item Details'!$A335,Import!F:F)</f>
        <v>51.57</v>
      </c>
      <c r="L335" s="99">
        <f>SUMIF(Import!$B:$B,'Other Fund Line-Item Details'!$A335,Import!G:G)</f>
        <v>93.17</v>
      </c>
      <c r="M335" s="99">
        <f>SUMIF(Import!$B:$B,'Other Fund Line-Item Details'!$A335,Import!H:H)</f>
        <v>123</v>
      </c>
      <c r="N335" s="99">
        <f>SUMIF(Import!$B:$B,'Other Fund Line-Item Details'!$A335,Import!I:I)</f>
        <v>122.9</v>
      </c>
      <c r="O335" s="99">
        <f>SUMIF(Import!$B:$B,'Other Fund Line-Item Details'!$A335,Import!J:J)</f>
        <v>123</v>
      </c>
      <c r="P335" s="99">
        <f t="shared" si="341"/>
        <v>0</v>
      </c>
      <c r="Q335" s="99">
        <f>SUMIF(Import!$B:$B,'Other Fund Line-Item Details'!$A335,Import!K:K)</f>
        <v>243</v>
      </c>
      <c r="R335" s="99">
        <f>SUMIF(Import!$B:$B,'Other Fund Line-Item Details'!$A335,Import!L:L)</f>
        <v>0</v>
      </c>
      <c r="S335" s="99">
        <f>SUMIF(Import!$B:$B,'Other Fund Line-Item Details'!$A335,Import!M:M)</f>
        <v>0</v>
      </c>
      <c r="T335" s="99">
        <f>SUMIF(Import!$B:$B,'Other Fund Line-Item Details'!$A335,Import!N:N)</f>
        <v>243</v>
      </c>
      <c r="U335" s="99">
        <f t="shared" si="342"/>
        <v>120</v>
      </c>
      <c r="V335" s="255">
        <f t="shared" si="343"/>
        <v>0.97560975609756095</v>
      </c>
      <c r="W335" s="102" t="s">
        <v>1973</v>
      </c>
      <c r="X335" s="102"/>
      <c r="Y335" s="102">
        <f t="shared" si="344"/>
        <v>243</v>
      </c>
      <c r="Z335" s="309">
        <f>Y335*(1+VLOOKUP($F335,'GL Category'!$A:$H,4,FALSE))</f>
        <v>251.50499999999997</v>
      </c>
      <c r="AA335" s="615"/>
      <c r="AB335" s="622">
        <f t="shared" si="345"/>
        <v>251.50499999999997</v>
      </c>
      <c r="AC335" s="633">
        <f>AB335*(1+VLOOKUP($F335,'GL Category'!$A:$H,5,FALSE))</f>
        <v>260.30767499999996</v>
      </c>
      <c r="AD335" s="307"/>
      <c r="AE335" s="622">
        <f t="shared" si="346"/>
        <v>260.30767499999996</v>
      </c>
      <c r="AF335" s="633">
        <f>AE335*(1+VLOOKUP($F335,'GL Category'!$A:$H,6,FALSE))</f>
        <v>269.41844362499995</v>
      </c>
      <c r="AG335" s="307"/>
      <c r="AH335" s="622">
        <f t="shared" si="347"/>
        <v>269.41844362499995</v>
      </c>
      <c r="AI335" s="633">
        <f>AH335*(1+VLOOKUP($F335,'GL Category'!$A:$H,7,FALSE))</f>
        <v>278.84808915187494</v>
      </c>
      <c r="AJ335" s="307"/>
      <c r="AK335" s="622">
        <f t="shared" si="348"/>
        <v>278.84808915187494</v>
      </c>
      <c r="AL335" s="633">
        <f>AK335*(1+VLOOKUP($F335,'GL Category'!$A:$H,8,FALSE))</f>
        <v>288.60777227219057</v>
      </c>
      <c r="AM335" s="307"/>
      <c r="AN335" s="622">
        <f t="shared" si="349"/>
        <v>288.60777227219057</v>
      </c>
    </row>
    <row r="336" spans="1:40" s="115" customFormat="1" ht="15" customHeight="1">
      <c r="A336" s="555" t="s">
        <v>1974</v>
      </c>
      <c r="B336" s="217" t="str">
        <f t="shared" si="281"/>
        <v>118</v>
      </c>
      <c r="C336" s="217" t="str">
        <f t="shared" si="282"/>
        <v>31</v>
      </c>
      <c r="D336" s="101" t="str">
        <f t="shared" si="283"/>
        <v>311</v>
      </c>
      <c r="E336" s="217" t="str">
        <f t="shared" si="284"/>
        <v>118-31-311</v>
      </c>
      <c r="F336" s="294" t="str">
        <f t="shared" si="285"/>
        <v>50650</v>
      </c>
      <c r="G336" s="295" t="str">
        <f>VLOOKUP(F336,'GL Category'!A:C,3,FALSE)</f>
        <v>Personnel services</v>
      </c>
      <c r="H336" s="98" t="str">
        <f>VLOOKUP(F336,'GL Category'!A:C,2,FALSE)</f>
        <v>RETIREMENT</v>
      </c>
      <c r="I336" s="99">
        <f>SUMIF(Import!$B:$B,'Other Fund Line-Item Details'!$A336,Import!D:D)</f>
        <v>11694.8</v>
      </c>
      <c r="J336" s="99">
        <f>SUMIF(Import!$B:$B,'Other Fund Line-Item Details'!$A336,Import!E:E)</f>
        <v>12238.21</v>
      </c>
      <c r="K336" s="99">
        <f>SUMIF(Import!$B:$B,'Other Fund Line-Item Details'!$A336,Import!F:F)</f>
        <v>12865.3</v>
      </c>
      <c r="L336" s="99">
        <f>SUMIF(Import!$B:$B,'Other Fund Line-Item Details'!$A336,Import!G:G)</f>
        <v>13405.16</v>
      </c>
      <c r="M336" s="99">
        <f>SUMIF(Import!$B:$B,'Other Fund Line-Item Details'!$A336,Import!H:H)</f>
        <v>14070</v>
      </c>
      <c r="N336" s="99">
        <f>SUMIF(Import!$B:$B,'Other Fund Line-Item Details'!$A336,Import!I:I)</f>
        <v>10894.89</v>
      </c>
      <c r="O336" s="99">
        <f>SUMIF(Import!$B:$B,'Other Fund Line-Item Details'!$A336,Import!J:J)</f>
        <v>14284</v>
      </c>
      <c r="P336" s="99">
        <f t="shared" si="341"/>
        <v>214</v>
      </c>
      <c r="Q336" s="99">
        <f>SUMIF(Import!$B:$B,'Other Fund Line-Item Details'!$A336,Import!K:K)</f>
        <v>15129</v>
      </c>
      <c r="R336" s="99">
        <f>SUMIF(Import!$B:$B,'Other Fund Line-Item Details'!$A336,Import!L:L)</f>
        <v>0</v>
      </c>
      <c r="S336" s="99">
        <f>SUMIF(Import!$B:$B,'Other Fund Line-Item Details'!$A336,Import!M:M)</f>
        <v>0</v>
      </c>
      <c r="T336" s="99">
        <f>SUMIF(Import!$B:$B,'Other Fund Line-Item Details'!$A336,Import!N:N)</f>
        <v>15129</v>
      </c>
      <c r="U336" s="99">
        <f t="shared" si="342"/>
        <v>1059</v>
      </c>
      <c r="V336" s="255">
        <f t="shared" si="343"/>
        <v>7.5266524520255951E-2</v>
      </c>
      <c r="W336" s="102" t="s">
        <v>1974</v>
      </c>
      <c r="X336" s="102"/>
      <c r="Y336" s="102">
        <f t="shared" si="344"/>
        <v>15129</v>
      </c>
      <c r="Z336" s="309">
        <f>Y336*(1+VLOOKUP($F336,'GL Category'!$A:$H,4,FALSE))</f>
        <v>15658.514999999999</v>
      </c>
      <c r="AA336" s="615"/>
      <c r="AB336" s="622">
        <f t="shared" si="345"/>
        <v>15658.514999999999</v>
      </c>
      <c r="AC336" s="633">
        <f>AB336*(1+VLOOKUP($F336,'GL Category'!$A:$H,5,FALSE))</f>
        <v>16206.563024999998</v>
      </c>
      <c r="AD336" s="307"/>
      <c r="AE336" s="622">
        <f t="shared" si="346"/>
        <v>16206.563024999998</v>
      </c>
      <c r="AF336" s="633">
        <f>AE336*(1+VLOOKUP($F336,'GL Category'!$A:$H,6,FALSE))</f>
        <v>16773.792730874997</v>
      </c>
      <c r="AG336" s="307"/>
      <c r="AH336" s="622">
        <f t="shared" si="347"/>
        <v>16773.792730874997</v>
      </c>
      <c r="AI336" s="633">
        <f>AH336*(1+VLOOKUP($F336,'GL Category'!$A:$H,7,FALSE))</f>
        <v>17360.875476455622</v>
      </c>
      <c r="AJ336" s="307"/>
      <c r="AK336" s="622">
        <f t="shared" si="348"/>
        <v>17360.875476455622</v>
      </c>
      <c r="AL336" s="633">
        <f>AK336*(1+VLOOKUP($F336,'GL Category'!$A:$H,8,FALSE))</f>
        <v>17968.506118131569</v>
      </c>
      <c r="AM336" s="307"/>
      <c r="AN336" s="622">
        <f t="shared" si="349"/>
        <v>17968.506118131569</v>
      </c>
    </row>
    <row r="337" spans="1:40" s="115" customFormat="1" ht="15" customHeight="1">
      <c r="A337" s="555"/>
      <c r="B337" s="217"/>
      <c r="C337" s="217"/>
      <c r="D337" s="101"/>
      <c r="E337" s="217"/>
      <c r="F337" s="294"/>
      <c r="G337" s="146"/>
      <c r="H337" s="107" t="str">
        <f>UPPER(G336)&amp;" TOTAL"</f>
        <v>PERSONNEL SERVICES TOTAL</v>
      </c>
      <c r="I337" s="108">
        <f t="shared" ref="I337" si="350">SUBTOTAL(9,I331:I336)</f>
        <v>101748.76000000001</v>
      </c>
      <c r="J337" s="108">
        <f t="shared" ref="J337:T337" si="351">SUBTOTAL(9,J331:J336)</f>
        <v>104895.01000000001</v>
      </c>
      <c r="K337" s="108">
        <f t="shared" ref="K337" si="352">SUBTOTAL(9,K331:K336)</f>
        <v>109463.16000000002</v>
      </c>
      <c r="L337" s="108">
        <f t="shared" ref="L337" si="353">SUBTOTAL(9,L331:L336)</f>
        <v>115713.57</v>
      </c>
      <c r="M337" s="108">
        <f t="shared" si="351"/>
        <v>117625</v>
      </c>
      <c r="N337" s="109">
        <f t="shared" ref="N337" si="354">SUBTOTAL(9,N331:N336)</f>
        <v>95280.86</v>
      </c>
      <c r="O337" s="109">
        <f t="shared" si="351"/>
        <v>125257</v>
      </c>
      <c r="P337" s="109">
        <f t="shared" si="351"/>
        <v>7632</v>
      </c>
      <c r="Q337" s="109">
        <f t="shared" si="351"/>
        <v>129395</v>
      </c>
      <c r="R337" s="109">
        <f t="shared" si="351"/>
        <v>0</v>
      </c>
      <c r="S337" s="109">
        <f t="shared" si="351"/>
        <v>0</v>
      </c>
      <c r="T337" s="109">
        <f t="shared" si="351"/>
        <v>129395</v>
      </c>
      <c r="U337" s="99">
        <f t="shared" si="342"/>
        <v>11770</v>
      </c>
      <c r="V337" s="255">
        <f t="shared" si="343"/>
        <v>0.10006376195536659</v>
      </c>
      <c r="W337" s="102"/>
      <c r="X337" s="121"/>
      <c r="Y337" s="121"/>
      <c r="Z337" s="121"/>
      <c r="AA337" s="121"/>
      <c r="AB337" s="121"/>
      <c r="AC337" s="121"/>
      <c r="AD337" s="121"/>
      <c r="AE337" s="121"/>
      <c r="AF337" s="121"/>
      <c r="AG337" s="121"/>
      <c r="AH337" s="121"/>
      <c r="AI337" s="121"/>
    </row>
    <row r="338" spans="1:40" s="115" customFormat="1" ht="15" customHeight="1">
      <c r="A338" s="555"/>
      <c r="B338" s="217"/>
      <c r="C338" s="217"/>
      <c r="D338" s="101"/>
      <c r="E338" s="217"/>
      <c r="F338" s="294"/>
      <c r="G338" s="146"/>
      <c r="H338" s="98"/>
      <c r="I338" s="106"/>
      <c r="J338" s="106"/>
      <c r="K338" s="106"/>
      <c r="L338" s="106"/>
      <c r="M338" s="106"/>
      <c r="N338" s="112"/>
      <c r="O338" s="112"/>
      <c r="P338" s="112"/>
      <c r="Q338" s="113"/>
      <c r="R338" s="99"/>
      <c r="S338" s="99"/>
      <c r="T338" s="113"/>
      <c r="U338" s="105"/>
      <c r="V338" s="262"/>
      <c r="W338" s="102"/>
      <c r="X338" s="121"/>
      <c r="Y338" s="121"/>
      <c r="Z338" s="121"/>
      <c r="AA338" s="121"/>
      <c r="AB338" s="121"/>
      <c r="AC338" s="121"/>
      <c r="AD338" s="121"/>
      <c r="AE338" s="121"/>
      <c r="AF338" s="121"/>
      <c r="AG338" s="121"/>
      <c r="AH338" s="121"/>
      <c r="AI338" s="121"/>
    </row>
    <row r="339" spans="1:40" s="115" customFormat="1" ht="15" customHeight="1">
      <c r="A339" s="555" t="s">
        <v>1975</v>
      </c>
      <c r="B339" s="217" t="str">
        <f t="shared" si="281"/>
        <v>118</v>
      </c>
      <c r="C339" s="217" t="str">
        <f t="shared" si="282"/>
        <v>31</v>
      </c>
      <c r="D339" s="101" t="str">
        <f t="shared" si="283"/>
        <v>311</v>
      </c>
      <c r="E339" s="217" t="str">
        <f t="shared" si="284"/>
        <v>118-31-311</v>
      </c>
      <c r="F339" s="294" t="str">
        <f t="shared" si="285"/>
        <v>51245</v>
      </c>
      <c r="G339" s="295" t="str">
        <f>VLOOKUP(F339,'GL Category'!A:C,3,FALSE)</f>
        <v>Operations &amp; maintenance</v>
      </c>
      <c r="H339" s="98" t="str">
        <f>VLOOKUP(F339,'GL Category'!A:C,2,FALSE)</f>
        <v>SMALL TOOLS &amp; EQUIPMENT</v>
      </c>
      <c r="I339" s="99">
        <f>SUMIF(Import!$B:$B,'Other Fund Line-Item Details'!$A339,Import!D:D)</f>
        <v>0</v>
      </c>
      <c r="J339" s="99">
        <f>SUMIF(Import!$B:$B,'Other Fund Line-Item Details'!$A339,Import!E:E)</f>
        <v>0</v>
      </c>
      <c r="K339" s="99">
        <f>SUMIF(Import!$B:$B,'Other Fund Line-Item Details'!$A339,Import!F:F)</f>
        <v>0</v>
      </c>
      <c r="L339" s="99">
        <f>SUMIF(Import!$B:$B,'Other Fund Line-Item Details'!$A339,Import!G:G)</f>
        <v>0</v>
      </c>
      <c r="M339" s="99">
        <f>SUMIF(Import!$B:$B,'Other Fund Line-Item Details'!$A339,Import!H:H)</f>
        <v>2000</v>
      </c>
      <c r="N339" s="99">
        <f>SUMIF(Import!$B:$B,'Other Fund Line-Item Details'!$A339,Import!I:I)</f>
        <v>0</v>
      </c>
      <c r="O339" s="99">
        <f>SUMIF(Import!$B:$B,'Other Fund Line-Item Details'!$A339,Import!J:J)</f>
        <v>2000</v>
      </c>
      <c r="P339" s="99">
        <f>O339-M339</f>
        <v>0</v>
      </c>
      <c r="Q339" s="99">
        <f>SUMIF(Import!$B:$B,'Other Fund Line-Item Details'!$A339,Import!K:K)</f>
        <v>2000</v>
      </c>
      <c r="R339" s="99">
        <f>SUMIF(Import!$B:$B,'Other Fund Line-Item Details'!$A339,Import!L:L)</f>
        <v>0</v>
      </c>
      <c r="S339" s="99">
        <f>SUMIF(Import!$B:$B,'Other Fund Line-Item Details'!$A339,Import!M:M)</f>
        <v>0</v>
      </c>
      <c r="T339" s="99">
        <f>SUMIF(Import!$B:$B,'Other Fund Line-Item Details'!$A339,Import!N:N)</f>
        <v>2000</v>
      </c>
      <c r="U339" s="99">
        <f t="shared" ref="U339:U344" si="355">T339-M339</f>
        <v>0</v>
      </c>
      <c r="V339" s="255">
        <f t="shared" ref="V339:V344" si="356">IF(M339=0,"N/A",T339/M339-1)</f>
        <v>0</v>
      </c>
      <c r="W339" s="102" t="s">
        <v>1975</v>
      </c>
      <c r="X339" s="102"/>
      <c r="Y339" s="102">
        <f t="shared" ref="Y339:Y343" si="357">T339-X339</f>
        <v>2000</v>
      </c>
      <c r="Z339" s="309">
        <f>Y339*(1+VLOOKUP($F339,'GL Category'!$A:$H,4,FALSE))</f>
        <v>2040</v>
      </c>
      <c r="AA339" s="615"/>
      <c r="AB339" s="622">
        <f t="shared" ref="AB339:AB343" si="358">Z339+AA339</f>
        <v>2040</v>
      </c>
      <c r="AC339" s="633">
        <f>AB339*(1+VLOOKUP($F339,'GL Category'!$A:$H,5,FALSE))</f>
        <v>2080.8000000000002</v>
      </c>
      <c r="AD339" s="307"/>
      <c r="AE339" s="622">
        <f t="shared" ref="AE339:AE343" si="359">AC339+AD339</f>
        <v>2080.8000000000002</v>
      </c>
      <c r="AF339" s="633">
        <f>AE339*(1+VLOOKUP($F339,'GL Category'!$A:$H,6,FALSE))</f>
        <v>2122.4160000000002</v>
      </c>
      <c r="AG339" s="307"/>
      <c r="AH339" s="622">
        <f t="shared" ref="AH339:AH343" si="360">AF339+AG339</f>
        <v>2122.4160000000002</v>
      </c>
      <c r="AI339" s="633">
        <f>AH339*(1+VLOOKUP($F339,'GL Category'!$A:$H,7,FALSE))</f>
        <v>2164.8643200000001</v>
      </c>
      <c r="AJ339" s="307"/>
      <c r="AK339" s="622">
        <f t="shared" ref="AK339:AK343" si="361">AI339+AJ339</f>
        <v>2164.8643200000001</v>
      </c>
      <c r="AL339" s="633">
        <f>AK339*(1+VLOOKUP($F339,'GL Category'!$A:$H,8,FALSE))</f>
        <v>2208.1616064</v>
      </c>
      <c r="AM339" s="307"/>
      <c r="AN339" s="622">
        <f t="shared" ref="AN339:AN343" si="362">AL339+AM339</f>
        <v>2208.1616064</v>
      </c>
    </row>
    <row r="340" spans="1:40" s="115" customFormat="1" ht="15" customHeight="1">
      <c r="A340" s="555" t="s">
        <v>1976</v>
      </c>
      <c r="B340" s="217" t="str">
        <f t="shared" si="281"/>
        <v>118</v>
      </c>
      <c r="C340" s="217" t="str">
        <f t="shared" si="282"/>
        <v>31</v>
      </c>
      <c r="D340" s="101" t="str">
        <f t="shared" si="283"/>
        <v>311</v>
      </c>
      <c r="E340" s="217" t="str">
        <f t="shared" si="284"/>
        <v>118-31-311</v>
      </c>
      <c r="F340" s="294" t="str">
        <f t="shared" si="285"/>
        <v>53599</v>
      </c>
      <c r="G340" s="295" t="str">
        <f>VLOOKUP(F340,'GL Category'!A:C,3,FALSE)</f>
        <v>Services &amp; other</v>
      </c>
      <c r="H340" s="98" t="str">
        <f>VLOOKUP(F340,'GL Category'!A:C,2,FALSE)</f>
        <v>MISCELLANEOUS SERVICES</v>
      </c>
      <c r="I340" s="99">
        <f>SUMIF(Import!$B:$B,'Other Fund Line-Item Details'!$A340,Import!D:D)</f>
        <v>11731.08</v>
      </c>
      <c r="J340" s="99">
        <f>SUMIF(Import!$B:$B,'Other Fund Line-Item Details'!$A340,Import!E:E)</f>
        <v>10539.77</v>
      </c>
      <c r="K340" s="99">
        <f>SUMIF(Import!$B:$B,'Other Fund Line-Item Details'!$A340,Import!F:F)</f>
        <v>11925.63</v>
      </c>
      <c r="L340" s="99">
        <f>SUMIF(Import!$B:$B,'Other Fund Line-Item Details'!$A340,Import!G:G)</f>
        <v>9670</v>
      </c>
      <c r="M340" s="99">
        <f>SUMIF(Import!$B:$B,'Other Fund Line-Item Details'!$A340,Import!H:H)</f>
        <v>25100</v>
      </c>
      <c r="N340" s="99">
        <f>SUMIF(Import!$B:$B,'Other Fund Line-Item Details'!$A340,Import!I:I)</f>
        <v>9707.9500000000007</v>
      </c>
      <c r="O340" s="99">
        <f>SUMIF(Import!$B:$B,'Other Fund Line-Item Details'!$A340,Import!J:J)</f>
        <v>25100</v>
      </c>
      <c r="P340" s="99">
        <f>O340-M340</f>
        <v>0</v>
      </c>
      <c r="Q340" s="99">
        <f>SUMIF(Import!$B:$B,'Other Fund Line-Item Details'!$A340,Import!K:K)</f>
        <v>26600</v>
      </c>
      <c r="R340" s="99">
        <f>SUMIF(Import!$B:$B,'Other Fund Line-Item Details'!$A340,Import!L:L)</f>
        <v>0</v>
      </c>
      <c r="S340" s="99">
        <f>SUMIF(Import!$B:$B,'Other Fund Line-Item Details'!$A340,Import!M:M)</f>
        <v>0</v>
      </c>
      <c r="T340" s="99">
        <f>SUMIF(Import!$B:$B,'Other Fund Line-Item Details'!$A340,Import!N:N)</f>
        <v>26600</v>
      </c>
      <c r="U340" s="99">
        <f t="shared" si="355"/>
        <v>1500</v>
      </c>
      <c r="V340" s="255">
        <f t="shared" si="356"/>
        <v>5.9760956175298752E-2</v>
      </c>
      <c r="W340" s="102" t="s">
        <v>1976</v>
      </c>
      <c r="X340" s="102"/>
      <c r="Y340" s="102">
        <f t="shared" si="357"/>
        <v>26600</v>
      </c>
      <c r="Z340" s="309">
        <f>Y340*(1+VLOOKUP($F340,'GL Category'!$A:$H,4,FALSE))</f>
        <v>27398</v>
      </c>
      <c r="AA340" s="615"/>
      <c r="AB340" s="622">
        <f t="shared" si="358"/>
        <v>27398</v>
      </c>
      <c r="AC340" s="633">
        <f>AB340*(1+VLOOKUP($F340,'GL Category'!$A:$H,5,FALSE))</f>
        <v>28219.940000000002</v>
      </c>
      <c r="AD340" s="307"/>
      <c r="AE340" s="622">
        <f t="shared" si="359"/>
        <v>28219.940000000002</v>
      </c>
      <c r="AF340" s="633">
        <f>AE340*(1+VLOOKUP($F340,'GL Category'!$A:$H,6,FALSE))</f>
        <v>29066.538200000003</v>
      </c>
      <c r="AG340" s="307"/>
      <c r="AH340" s="622">
        <f t="shared" si="360"/>
        <v>29066.538200000003</v>
      </c>
      <c r="AI340" s="633">
        <f>AH340*(1+VLOOKUP($F340,'GL Category'!$A:$H,7,FALSE))</f>
        <v>29938.534346000004</v>
      </c>
      <c r="AJ340" s="307"/>
      <c r="AK340" s="622">
        <f t="shared" si="361"/>
        <v>29938.534346000004</v>
      </c>
      <c r="AL340" s="633">
        <f>AK340*(1+VLOOKUP($F340,'GL Category'!$A:$H,8,FALSE))</f>
        <v>30836.690376380004</v>
      </c>
      <c r="AM340" s="307"/>
      <c r="AN340" s="622">
        <f t="shared" si="362"/>
        <v>30836.690376380004</v>
      </c>
    </row>
    <row r="341" spans="1:40" s="115" customFormat="1" ht="15" customHeight="1">
      <c r="A341" s="555" t="s">
        <v>3123</v>
      </c>
      <c r="B341" s="217" t="str">
        <f t="shared" ref="B341" si="363">LEFT(A341,3)</f>
        <v>118</v>
      </c>
      <c r="C341" s="217" t="str">
        <f t="shared" ref="C341" si="364">MID(A341,5,2)</f>
        <v>31</v>
      </c>
      <c r="D341" s="101" t="str">
        <f t="shared" ref="D341" si="365">MID(A341,8,3)</f>
        <v>311</v>
      </c>
      <c r="E341" s="217" t="str">
        <f t="shared" ref="E341" si="366">LEFT(A341,10)</f>
        <v>118-31-311</v>
      </c>
      <c r="F341" s="294" t="str">
        <f t="shared" ref="F341" si="367">RIGHT(A341,5)</f>
        <v>53585</v>
      </c>
      <c r="G341" s="295" t="str">
        <f>VLOOKUP(F341,'GL Category'!A:C,3,FALSE)</f>
        <v>Services &amp; other</v>
      </c>
      <c r="H341" s="98" t="str">
        <f>VLOOKUP(F341,'GL Category'!A:C,2,FALSE)</f>
        <v>BANKING SERVICES CHARGES</v>
      </c>
      <c r="I341" s="99">
        <f>SUMIF(Import!$B:$B,'Other Fund Line-Item Details'!$A341,Import!D:D)</f>
        <v>0</v>
      </c>
      <c r="J341" s="99">
        <f>SUMIF(Import!$B:$B,'Other Fund Line-Item Details'!$A341,Import!E:E)</f>
        <v>0</v>
      </c>
      <c r="K341" s="99">
        <f>SUMIF(Import!$B:$B,'Other Fund Line-Item Details'!$A341,Import!F:F)</f>
        <v>0</v>
      </c>
      <c r="L341" s="99">
        <f>SUMIF(Import!$B:$B,'Other Fund Line-Item Details'!$A341,Import!G:G)</f>
        <v>0</v>
      </c>
      <c r="M341" s="99">
        <f>SUMIF(Import!$B:$B,'Other Fund Line-Item Details'!$A341,Import!H:H)</f>
        <v>0</v>
      </c>
      <c r="N341" s="99">
        <f>SUMIF(Import!$B:$B,'Other Fund Line-Item Details'!$A341,Import!I:I)</f>
        <v>0</v>
      </c>
      <c r="O341" s="99">
        <f>SUMIF(Import!$B:$B,'Other Fund Line-Item Details'!$A341,Import!J:J)</f>
        <v>0</v>
      </c>
      <c r="P341" s="99">
        <f>O341-M341</f>
        <v>0</v>
      </c>
      <c r="Q341" s="99">
        <f>SUMIF(Import!$B:$B,'Other Fund Line-Item Details'!$A341,Import!K:K)</f>
        <v>0</v>
      </c>
      <c r="R341" s="99">
        <f>SUMIF(Import!$B:$B,'Other Fund Line-Item Details'!$A341,Import!L:L)</f>
        <v>0</v>
      </c>
      <c r="S341" s="99">
        <f>SUMIF(Import!$B:$B,'Other Fund Line-Item Details'!$A341,Import!M:M)</f>
        <v>0</v>
      </c>
      <c r="T341" s="99">
        <f>SUMIF(Import!$B:$B,'Other Fund Line-Item Details'!$A341,Import!N:N)</f>
        <v>0</v>
      </c>
      <c r="U341" s="99">
        <f t="shared" si="355"/>
        <v>0</v>
      </c>
      <c r="V341" s="255" t="str">
        <f t="shared" si="356"/>
        <v>N/A</v>
      </c>
      <c r="W341" s="102" t="s">
        <v>3123</v>
      </c>
      <c r="X341" s="102"/>
      <c r="Y341" s="102">
        <f t="shared" si="357"/>
        <v>0</v>
      </c>
      <c r="Z341" s="309">
        <f>Y341*(1+VLOOKUP($F341,'GL Category'!$A:$H,4,FALSE))</f>
        <v>0</v>
      </c>
      <c r="AA341" s="615"/>
      <c r="AB341" s="622">
        <f t="shared" si="358"/>
        <v>0</v>
      </c>
      <c r="AC341" s="633">
        <f>AB341*(1+VLOOKUP($F341,'GL Category'!$A:$H,5,FALSE))</f>
        <v>0</v>
      </c>
      <c r="AD341" s="307"/>
      <c r="AE341" s="622">
        <f t="shared" si="359"/>
        <v>0</v>
      </c>
      <c r="AF341" s="633">
        <f>AE341*(1+VLOOKUP($F341,'GL Category'!$A:$H,6,FALSE))</f>
        <v>0</v>
      </c>
      <c r="AG341" s="307"/>
      <c r="AH341" s="622">
        <f t="shared" si="360"/>
        <v>0</v>
      </c>
      <c r="AI341" s="633">
        <f>AH341*(1+VLOOKUP($F341,'GL Category'!$A:$H,7,FALSE))</f>
        <v>0</v>
      </c>
      <c r="AJ341" s="307"/>
      <c r="AK341" s="622">
        <f t="shared" si="361"/>
        <v>0</v>
      </c>
      <c r="AL341" s="633">
        <f>AK341*(1+VLOOKUP($F341,'GL Category'!$A:$H,8,FALSE))</f>
        <v>0</v>
      </c>
      <c r="AM341" s="307"/>
      <c r="AN341" s="622">
        <f t="shared" si="362"/>
        <v>0</v>
      </c>
    </row>
    <row r="342" spans="1:40" s="115" customFormat="1" ht="15" customHeight="1">
      <c r="A342" s="555" t="s">
        <v>1977</v>
      </c>
      <c r="B342" s="217" t="str">
        <f t="shared" si="281"/>
        <v>118</v>
      </c>
      <c r="C342" s="217" t="str">
        <f t="shared" si="282"/>
        <v>31</v>
      </c>
      <c r="D342" s="101" t="str">
        <f t="shared" si="283"/>
        <v>311</v>
      </c>
      <c r="E342" s="217" t="str">
        <f t="shared" si="284"/>
        <v>118-31-311</v>
      </c>
      <c r="F342" s="294" t="str">
        <f t="shared" si="285"/>
        <v>53515</v>
      </c>
      <c r="G342" s="295" t="str">
        <f>VLOOKUP(F342,'GL Category'!A:C,3,FALSE)</f>
        <v>Services &amp; other</v>
      </c>
      <c r="H342" s="98" t="str">
        <f>VLOOKUP(F342,'GL Category'!A:C,2,FALSE)</f>
        <v>TRAVEL, TRAINING &amp; EDUCATION</v>
      </c>
      <c r="I342" s="99">
        <f>SUMIF(Import!$B:$B,'Other Fund Line-Item Details'!$A342,Import!D:D)</f>
        <v>240</v>
      </c>
      <c r="J342" s="99">
        <f>SUMIF(Import!$B:$B,'Other Fund Line-Item Details'!$A342,Import!E:E)</f>
        <v>0</v>
      </c>
      <c r="K342" s="99">
        <f>SUMIF(Import!$B:$B,'Other Fund Line-Item Details'!$A342,Import!F:F)</f>
        <v>240</v>
      </c>
      <c r="L342" s="99">
        <f>SUMIF(Import!$B:$B,'Other Fund Line-Item Details'!$A342,Import!G:G)</f>
        <v>0</v>
      </c>
      <c r="M342" s="99">
        <f>SUMIF(Import!$B:$B,'Other Fund Line-Item Details'!$A342,Import!H:H)</f>
        <v>0</v>
      </c>
      <c r="N342" s="99">
        <f>SUMIF(Import!$B:$B,'Other Fund Line-Item Details'!$A342,Import!I:I)</f>
        <v>3640.19</v>
      </c>
      <c r="O342" s="99">
        <f>SUMIF(Import!$B:$B,'Other Fund Line-Item Details'!$A342,Import!J:J)</f>
        <v>3650</v>
      </c>
      <c r="P342" s="99">
        <f>O342-M342</f>
        <v>3650</v>
      </c>
      <c r="Q342" s="99">
        <f>SUMIF(Import!$B:$B,'Other Fund Line-Item Details'!$A342,Import!K:K)</f>
        <v>0</v>
      </c>
      <c r="R342" s="99">
        <f>SUMIF(Import!$B:$B,'Other Fund Line-Item Details'!$A342,Import!L:L)</f>
        <v>0</v>
      </c>
      <c r="S342" s="99">
        <f>SUMIF(Import!$B:$B,'Other Fund Line-Item Details'!$A342,Import!M:M)</f>
        <v>0</v>
      </c>
      <c r="T342" s="99">
        <f>SUMIF(Import!$B:$B,'Other Fund Line-Item Details'!$A342,Import!N:N)</f>
        <v>0</v>
      </c>
      <c r="U342" s="99">
        <f t="shared" si="355"/>
        <v>0</v>
      </c>
      <c r="V342" s="255" t="str">
        <f t="shared" si="356"/>
        <v>N/A</v>
      </c>
      <c r="W342" s="102" t="s">
        <v>1977</v>
      </c>
      <c r="X342" s="102"/>
      <c r="Y342" s="102">
        <f t="shared" si="357"/>
        <v>0</v>
      </c>
      <c r="Z342" s="309">
        <f>Y342*(1+VLOOKUP($F342,'GL Category'!$A:$H,4,FALSE))</f>
        <v>0</v>
      </c>
      <c r="AA342" s="615"/>
      <c r="AB342" s="622">
        <f t="shared" si="358"/>
        <v>0</v>
      </c>
      <c r="AC342" s="633">
        <f>AB342*(1+VLOOKUP($F342,'GL Category'!$A:$H,5,FALSE))</f>
        <v>0</v>
      </c>
      <c r="AD342" s="307"/>
      <c r="AE342" s="622">
        <f t="shared" si="359"/>
        <v>0</v>
      </c>
      <c r="AF342" s="633">
        <f>AE342*(1+VLOOKUP($F342,'GL Category'!$A:$H,6,FALSE))</f>
        <v>0</v>
      </c>
      <c r="AG342" s="307"/>
      <c r="AH342" s="622">
        <f t="shared" si="360"/>
        <v>0</v>
      </c>
      <c r="AI342" s="633">
        <f>AH342*(1+VLOOKUP($F342,'GL Category'!$A:$H,7,FALSE))</f>
        <v>0</v>
      </c>
      <c r="AJ342" s="307"/>
      <c r="AK342" s="622">
        <f t="shared" si="361"/>
        <v>0</v>
      </c>
      <c r="AL342" s="633">
        <f>AK342*(1+VLOOKUP($F342,'GL Category'!$A:$H,8,FALSE))</f>
        <v>0</v>
      </c>
      <c r="AM342" s="307"/>
      <c r="AN342" s="622">
        <f t="shared" si="362"/>
        <v>0</v>
      </c>
    </row>
    <row r="343" spans="1:40" s="115" customFormat="1" ht="15" customHeight="1">
      <c r="A343" s="555" t="s">
        <v>1978</v>
      </c>
      <c r="B343" s="217" t="str">
        <f t="shared" si="281"/>
        <v>118</v>
      </c>
      <c r="C343" s="217" t="str">
        <f t="shared" si="282"/>
        <v>31</v>
      </c>
      <c r="D343" s="101" t="str">
        <f t="shared" si="283"/>
        <v>311</v>
      </c>
      <c r="E343" s="217" t="str">
        <f t="shared" si="284"/>
        <v>118-31-311</v>
      </c>
      <c r="F343" s="294" t="str">
        <f t="shared" si="285"/>
        <v>55119</v>
      </c>
      <c r="G343" s="295" t="str">
        <f>VLOOKUP(F343,'GL Category'!A:C,3,FALSE)</f>
        <v>Services &amp; other</v>
      </c>
      <c r="H343" s="98" t="str">
        <f>VLOOKUP(F343,'GL Category'!A:C,2,FALSE)</f>
        <v>OFFICE EQUIP LEASE EXP-CITY</v>
      </c>
      <c r="I343" s="99">
        <f>SUMIF(Import!$B:$B,'Other Fund Line-Item Details'!$A343,Import!D:D)</f>
        <v>0</v>
      </c>
      <c r="J343" s="99">
        <f>SUMIF(Import!$B:$B,'Other Fund Line-Item Details'!$A343,Import!E:E)</f>
        <v>0</v>
      </c>
      <c r="K343" s="99">
        <f>SUMIF(Import!$B:$B,'Other Fund Line-Item Details'!$A343,Import!F:F)</f>
        <v>0</v>
      </c>
      <c r="L343" s="99">
        <f>SUMIF(Import!$B:$B,'Other Fund Line-Item Details'!$A343,Import!G:G)</f>
        <v>0</v>
      </c>
      <c r="M343" s="99">
        <f>SUMIF(Import!$B:$B,'Other Fund Line-Item Details'!$A343,Import!H:H)</f>
        <v>0</v>
      </c>
      <c r="N343" s="99">
        <f>SUMIF(Import!$B:$B,'Other Fund Line-Item Details'!$A343,Import!I:I)</f>
        <v>0</v>
      </c>
      <c r="O343" s="99">
        <f>SUMIF(Import!$B:$B,'Other Fund Line-Item Details'!$A343,Import!J:J)</f>
        <v>0</v>
      </c>
      <c r="P343" s="99">
        <f>O343-M343</f>
        <v>0</v>
      </c>
      <c r="Q343" s="99">
        <f>SUMIF(Import!$B:$B,'Other Fund Line-Item Details'!$A343,Import!K:K)</f>
        <v>0</v>
      </c>
      <c r="R343" s="99">
        <f>SUMIF(Import!$B:$B,'Other Fund Line-Item Details'!$A343,Import!L:L)</f>
        <v>0</v>
      </c>
      <c r="S343" s="99">
        <f>SUMIF(Import!$B:$B,'Other Fund Line-Item Details'!$A343,Import!M:M)</f>
        <v>0</v>
      </c>
      <c r="T343" s="99">
        <f>SUMIF(Import!$B:$B,'Other Fund Line-Item Details'!$A343,Import!N:N)</f>
        <v>0</v>
      </c>
      <c r="U343" s="99">
        <f t="shared" si="355"/>
        <v>0</v>
      </c>
      <c r="V343" s="255" t="str">
        <f t="shared" si="356"/>
        <v>N/A</v>
      </c>
      <c r="W343" s="102" t="s">
        <v>1978</v>
      </c>
      <c r="X343" s="102"/>
      <c r="Y343" s="102">
        <f t="shared" si="357"/>
        <v>0</v>
      </c>
      <c r="Z343" s="309">
        <f>Y343*(1+VLOOKUP($F343,'GL Category'!$A:$H,4,FALSE))</f>
        <v>0</v>
      </c>
      <c r="AA343" s="615"/>
      <c r="AB343" s="622">
        <f t="shared" si="358"/>
        <v>0</v>
      </c>
      <c r="AC343" s="633">
        <f>AB343*(1+VLOOKUP($F343,'GL Category'!$A:$H,5,FALSE))</f>
        <v>0</v>
      </c>
      <c r="AD343" s="307"/>
      <c r="AE343" s="622">
        <f t="shared" si="359"/>
        <v>0</v>
      </c>
      <c r="AF343" s="633">
        <f>AE343*(1+VLOOKUP($F343,'GL Category'!$A:$H,6,FALSE))</f>
        <v>0</v>
      </c>
      <c r="AG343" s="307"/>
      <c r="AH343" s="622">
        <f t="shared" si="360"/>
        <v>0</v>
      </c>
      <c r="AI343" s="633">
        <f>AH343*(1+VLOOKUP($F343,'GL Category'!$A:$H,7,FALSE))</f>
        <v>0</v>
      </c>
      <c r="AJ343" s="307"/>
      <c r="AK343" s="622">
        <f t="shared" si="361"/>
        <v>0</v>
      </c>
      <c r="AL343" s="633">
        <f>AK343*(1+VLOOKUP($F343,'GL Category'!$A:$H,8,FALSE))</f>
        <v>0</v>
      </c>
      <c r="AM343" s="307"/>
      <c r="AN343" s="622">
        <f t="shared" si="362"/>
        <v>0</v>
      </c>
    </row>
    <row r="344" spans="1:40" s="115" customFormat="1" ht="15" customHeight="1">
      <c r="A344" s="555"/>
      <c r="B344" s="217"/>
      <c r="C344" s="217"/>
      <c r="D344" s="101"/>
      <c r="E344" s="217"/>
      <c r="F344" s="294"/>
      <c r="G344" s="146"/>
      <c r="H344" s="107" t="str">
        <f>UPPER(G343)&amp;" TOTAL"</f>
        <v>SERVICES &amp; OTHER TOTAL</v>
      </c>
      <c r="I344" s="108">
        <f t="shared" ref="I344" si="368">SUBTOTAL(9,I339:I343)</f>
        <v>11971.08</v>
      </c>
      <c r="J344" s="108">
        <f t="shared" ref="J344:T344" si="369">SUBTOTAL(9,J339:J343)</f>
        <v>10539.77</v>
      </c>
      <c r="K344" s="108">
        <f t="shared" ref="K344" si="370">SUBTOTAL(9,K339:K343)</f>
        <v>12165.63</v>
      </c>
      <c r="L344" s="108">
        <f t="shared" ref="L344" si="371">SUBTOTAL(9,L339:L343)</f>
        <v>9670</v>
      </c>
      <c r="M344" s="108">
        <f t="shared" si="369"/>
        <v>27100</v>
      </c>
      <c r="N344" s="109">
        <f t="shared" ref="N344" si="372">SUBTOTAL(9,N339:N343)</f>
        <v>13348.140000000001</v>
      </c>
      <c r="O344" s="109">
        <f t="shared" si="369"/>
        <v>30750</v>
      </c>
      <c r="P344" s="109">
        <f t="shared" si="369"/>
        <v>3650</v>
      </c>
      <c r="Q344" s="109">
        <f t="shared" si="369"/>
        <v>28600</v>
      </c>
      <c r="R344" s="109">
        <f t="shared" si="369"/>
        <v>0</v>
      </c>
      <c r="S344" s="109">
        <f t="shared" si="369"/>
        <v>0</v>
      </c>
      <c r="T344" s="109">
        <f t="shared" si="369"/>
        <v>28600</v>
      </c>
      <c r="U344" s="99">
        <f t="shared" si="355"/>
        <v>1500</v>
      </c>
      <c r="V344" s="255">
        <f t="shared" si="356"/>
        <v>5.5350553505534972E-2</v>
      </c>
      <c r="W344" s="102"/>
      <c r="X344" s="121"/>
      <c r="Y344" s="121"/>
      <c r="Z344" s="121"/>
      <c r="AA344" s="121"/>
      <c r="AB344" s="121"/>
      <c r="AC344" s="121"/>
      <c r="AD344" s="121"/>
      <c r="AE344" s="121"/>
      <c r="AF344" s="121"/>
      <c r="AG344" s="121"/>
      <c r="AH344" s="121"/>
      <c r="AI344" s="121"/>
    </row>
    <row r="345" spans="1:40" s="115" customFormat="1" ht="15" customHeight="1">
      <c r="A345" s="555"/>
      <c r="B345" s="217"/>
      <c r="C345" s="217"/>
      <c r="D345" s="101"/>
      <c r="E345" s="217"/>
      <c r="F345" s="294"/>
      <c r="G345" s="146"/>
      <c r="H345" s="98"/>
      <c r="I345" s="106"/>
      <c r="J345" s="106"/>
      <c r="K345" s="106"/>
      <c r="L345" s="106"/>
      <c r="M345" s="106"/>
      <c r="N345" s="112"/>
      <c r="O345" s="112"/>
      <c r="P345" s="112"/>
      <c r="Q345" s="113"/>
      <c r="R345" s="212"/>
      <c r="S345" s="212"/>
      <c r="T345" s="113"/>
      <c r="U345" s="105"/>
      <c r="V345" s="262"/>
      <c r="W345" s="102"/>
      <c r="X345" s="121"/>
      <c r="Y345" s="121"/>
      <c r="Z345" s="121"/>
      <c r="AA345" s="121"/>
      <c r="AB345" s="121"/>
      <c r="AC345" s="121"/>
      <c r="AD345" s="121"/>
      <c r="AE345" s="121"/>
      <c r="AF345" s="121"/>
      <c r="AG345" s="121"/>
      <c r="AH345" s="121"/>
      <c r="AI345" s="121"/>
    </row>
    <row r="346" spans="1:40" s="115" customFormat="1" ht="15" customHeight="1">
      <c r="A346" s="555" t="s">
        <v>1979</v>
      </c>
      <c r="B346" s="217" t="str">
        <f t="shared" si="281"/>
        <v>118</v>
      </c>
      <c r="C346" s="217" t="str">
        <f t="shared" si="282"/>
        <v>31</v>
      </c>
      <c r="D346" s="101" t="str">
        <f t="shared" si="283"/>
        <v>313</v>
      </c>
      <c r="E346" s="217" t="str">
        <f t="shared" si="284"/>
        <v>118-31-313</v>
      </c>
      <c r="F346" s="294" t="str">
        <f t="shared" si="285"/>
        <v>53599</v>
      </c>
      <c r="G346" s="295" t="str">
        <f>VLOOKUP(F346,'GL Category'!A:C,3,FALSE)</f>
        <v>Services &amp; other</v>
      </c>
      <c r="H346" s="98" t="str">
        <f>VLOOKUP(F346,'GL Category'!A:C,2,FALSE)</f>
        <v>MISCELLANEOUS SERVICES</v>
      </c>
      <c r="I346" s="99">
        <f>SUMIF(Import!$B:$B,'Other Fund Line-Item Details'!$A346,Import!D:D)</f>
        <v>0</v>
      </c>
      <c r="J346" s="99">
        <f>SUMIF(Import!$B:$B,'Other Fund Line-Item Details'!$A346,Import!E:E)</f>
        <v>0</v>
      </c>
      <c r="K346" s="99">
        <f>SUMIF(Import!$B:$B,'Other Fund Line-Item Details'!$A346,Import!F:F)</f>
        <v>0</v>
      </c>
      <c r="L346" s="99">
        <f>SUMIF(Import!$B:$B,'Other Fund Line-Item Details'!$A346,Import!G:G)</f>
        <v>0</v>
      </c>
      <c r="M346" s="99">
        <f>SUMIF(Import!$B:$B,'Other Fund Line-Item Details'!$A346,Import!H:H)</f>
        <v>0</v>
      </c>
      <c r="N346" s="99">
        <f>SUMIF(Import!$B:$B,'Other Fund Line-Item Details'!$A346,Import!I:I)</f>
        <v>0</v>
      </c>
      <c r="O346" s="99">
        <f>SUMIF(Import!$B:$B,'Other Fund Line-Item Details'!$A346,Import!J:J)</f>
        <v>0</v>
      </c>
      <c r="P346" s="99">
        <f>O346-M346</f>
        <v>0</v>
      </c>
      <c r="Q346" s="99">
        <f>SUMIF(Import!$B:$B,'Other Fund Line-Item Details'!$A346,Import!K:K)</f>
        <v>0</v>
      </c>
      <c r="R346" s="99">
        <f>SUMIF(Import!$B:$B,'Other Fund Line-Item Details'!$A346,Import!L:L)</f>
        <v>0</v>
      </c>
      <c r="S346" s="99">
        <f>SUMIF(Import!$B:$B,'Other Fund Line-Item Details'!$A346,Import!M:M)</f>
        <v>0</v>
      </c>
      <c r="T346" s="99">
        <f>SUMIF(Import!$B:$B,'Other Fund Line-Item Details'!$A346,Import!N:N)</f>
        <v>0</v>
      </c>
      <c r="U346" s="99">
        <f t="shared" ref="U346:U351" si="373">T346-M346</f>
        <v>0</v>
      </c>
      <c r="V346" s="255" t="str">
        <f t="shared" ref="V346:V351" si="374">IF(M346=0,"N/A",T346/M346-1)</f>
        <v>N/A</v>
      </c>
      <c r="W346" s="102" t="s">
        <v>1979</v>
      </c>
      <c r="X346" s="102"/>
      <c r="Y346" s="102">
        <f t="shared" ref="Y346:Y350" si="375">T346-X346</f>
        <v>0</v>
      </c>
      <c r="Z346" s="309">
        <f>Y346*(1+VLOOKUP($F346,'GL Category'!$A:$H,4,FALSE))</f>
        <v>0</v>
      </c>
      <c r="AA346" s="615"/>
      <c r="AB346" s="622">
        <f t="shared" ref="AB346:AB350" si="376">Z346+AA346</f>
        <v>0</v>
      </c>
      <c r="AC346" s="633">
        <f>AB346*(1+VLOOKUP($F346,'GL Category'!$A:$H,5,FALSE))</f>
        <v>0</v>
      </c>
      <c r="AD346" s="307"/>
      <c r="AE346" s="622">
        <f t="shared" ref="AE346:AE350" si="377">AC346+AD346</f>
        <v>0</v>
      </c>
      <c r="AF346" s="633">
        <f>AE346*(1+VLOOKUP($F346,'GL Category'!$A:$H,6,FALSE))</f>
        <v>0</v>
      </c>
      <c r="AG346" s="307"/>
      <c r="AH346" s="622">
        <f t="shared" ref="AH346:AH350" si="378">AF346+AG346</f>
        <v>0</v>
      </c>
      <c r="AI346" s="633">
        <f>AH346*(1+VLOOKUP($F346,'GL Category'!$A:$H,7,FALSE))</f>
        <v>0</v>
      </c>
      <c r="AJ346" s="307"/>
      <c r="AK346" s="622">
        <f t="shared" ref="AK346:AK350" si="379">AI346+AJ346</f>
        <v>0</v>
      </c>
      <c r="AL346" s="633">
        <f>AK346*(1+VLOOKUP($F346,'GL Category'!$A:$H,8,FALSE))</f>
        <v>0</v>
      </c>
      <c r="AM346" s="307"/>
      <c r="AN346" s="622">
        <f t="shared" ref="AN346:AN350" si="380">AL346+AM346</f>
        <v>0</v>
      </c>
    </row>
    <row r="347" spans="1:40" s="115" customFormat="1" ht="15" customHeight="1">
      <c r="A347" s="555" t="s">
        <v>3345</v>
      </c>
      <c r="B347" s="217" t="str">
        <f t="shared" ref="B347" si="381">LEFT(A347,3)</f>
        <v>118</v>
      </c>
      <c r="C347" s="217" t="str">
        <f t="shared" ref="C347" si="382">MID(A347,5,2)</f>
        <v>31</v>
      </c>
      <c r="D347" s="101" t="str">
        <f t="shared" ref="D347" si="383">MID(A347,8,3)</f>
        <v>313</v>
      </c>
      <c r="E347" s="217" t="str">
        <f t="shared" ref="E347" si="384">LEFT(A347,10)</f>
        <v>118-31-313</v>
      </c>
      <c r="F347" s="294" t="str">
        <f t="shared" ref="F347" si="385">RIGHT(A347,5)</f>
        <v>52310</v>
      </c>
      <c r="G347" s="295" t="str">
        <f>VLOOKUP(F347,'GL Category'!A:C,3,FALSE)</f>
        <v>Operations &amp; maintenance</v>
      </c>
      <c r="H347" s="98" t="str">
        <f>VLOOKUP(F347,'GL Category'!A:C,2,FALSE)</f>
        <v>BUILDING MAINTENANCE</v>
      </c>
      <c r="I347" s="99">
        <f>SUMIF(Import!$B:$B,'Other Fund Line-Item Details'!$A347,Import!D:D)</f>
        <v>0</v>
      </c>
      <c r="J347" s="99">
        <f>SUMIF(Import!$B:$B,'Other Fund Line-Item Details'!$A347,Import!E:E)</f>
        <v>12955.2</v>
      </c>
      <c r="K347" s="99">
        <f>SUMIF(Import!$B:$B,'Other Fund Line-Item Details'!$A347,Import!F:F)</f>
        <v>0</v>
      </c>
      <c r="L347" s="99">
        <f>SUMIF(Import!$B:$B,'Other Fund Line-Item Details'!$A347,Import!G:G)</f>
        <v>1600</v>
      </c>
      <c r="M347" s="99">
        <f>SUMIF(Import!$B:$B,'Other Fund Line-Item Details'!$A347,Import!H:H)</f>
        <v>0</v>
      </c>
      <c r="N347" s="99">
        <f>SUMIF(Import!$B:$B,'Other Fund Line-Item Details'!$A347,Import!I:I)</f>
        <v>25550</v>
      </c>
      <c r="O347" s="99">
        <f>SUMIF(Import!$B:$B,'Other Fund Line-Item Details'!$A347,Import!J:J)</f>
        <v>25550</v>
      </c>
      <c r="P347" s="99">
        <f>O347-M347</f>
        <v>25550</v>
      </c>
      <c r="Q347" s="99">
        <f>SUMIF(Import!$B:$B,'Other Fund Line-Item Details'!$A347,Import!K:K)</f>
        <v>0</v>
      </c>
      <c r="R347" s="99">
        <f>SUMIF(Import!$B:$B,'Other Fund Line-Item Details'!$A347,Import!L:L)</f>
        <v>0</v>
      </c>
      <c r="S347" s="99">
        <f>SUMIF(Import!$B:$B,'Other Fund Line-Item Details'!$A347,Import!M:M)</f>
        <v>0</v>
      </c>
      <c r="T347" s="99">
        <f>SUMIF(Import!$B:$B,'Other Fund Line-Item Details'!$A347,Import!N:N)</f>
        <v>0</v>
      </c>
      <c r="U347" s="99">
        <f t="shared" si="373"/>
        <v>0</v>
      </c>
      <c r="V347" s="255" t="str">
        <f t="shared" si="374"/>
        <v>N/A</v>
      </c>
      <c r="W347" s="102" t="s">
        <v>1980</v>
      </c>
      <c r="X347" s="102"/>
      <c r="Y347" s="102">
        <f t="shared" si="375"/>
        <v>0</v>
      </c>
      <c r="Z347" s="309">
        <f>Y347*(1+VLOOKUP($F347,'GL Category'!$A:$H,4,FALSE))</f>
        <v>0</v>
      </c>
      <c r="AA347" s="615"/>
      <c r="AB347" s="622">
        <f t="shared" si="376"/>
        <v>0</v>
      </c>
      <c r="AC347" s="633">
        <f>AB347*(1+VLOOKUP($F347,'GL Category'!$A:$H,5,FALSE))</f>
        <v>0</v>
      </c>
      <c r="AD347" s="307"/>
      <c r="AE347" s="622">
        <f t="shared" si="377"/>
        <v>0</v>
      </c>
      <c r="AF347" s="633">
        <f>AE347*(1+VLOOKUP($F347,'GL Category'!$A:$H,6,FALSE))</f>
        <v>0</v>
      </c>
      <c r="AG347" s="307"/>
      <c r="AH347" s="622">
        <f t="shared" si="378"/>
        <v>0</v>
      </c>
      <c r="AI347" s="633">
        <f>AH347*(1+VLOOKUP($F347,'GL Category'!$A:$H,7,FALSE))</f>
        <v>0</v>
      </c>
      <c r="AJ347" s="307"/>
      <c r="AK347" s="622">
        <f t="shared" si="379"/>
        <v>0</v>
      </c>
      <c r="AL347" s="633">
        <f>AK347*(1+VLOOKUP($F347,'GL Category'!$A:$H,8,FALSE))</f>
        <v>0</v>
      </c>
      <c r="AM347" s="307"/>
      <c r="AN347" s="622">
        <f t="shared" si="380"/>
        <v>0</v>
      </c>
    </row>
    <row r="348" spans="1:40" s="115" customFormat="1" ht="15" customHeight="1">
      <c r="A348" s="555" t="s">
        <v>1980</v>
      </c>
      <c r="B348" s="217" t="str">
        <f t="shared" si="281"/>
        <v>118</v>
      </c>
      <c r="C348" s="217" t="str">
        <f t="shared" si="282"/>
        <v>31</v>
      </c>
      <c r="D348" s="101" t="str">
        <f t="shared" si="283"/>
        <v>313</v>
      </c>
      <c r="E348" s="217" t="str">
        <f t="shared" si="284"/>
        <v>118-31-313</v>
      </c>
      <c r="F348" s="294" t="str">
        <f t="shared" si="285"/>
        <v>58710</v>
      </c>
      <c r="G348" s="295" t="str">
        <f>VLOOKUP(F348,'GL Category'!A:C,3,FALSE)</f>
        <v>Capital Outlay</v>
      </c>
      <c r="H348" s="98" t="str">
        <f>VLOOKUP(F348,'GL Category'!A:C,2,FALSE)</f>
        <v>ENGINEERING/DESIGN SERVICES</v>
      </c>
      <c r="I348" s="99">
        <f>SUMIF(Import!$B:$B,'Other Fund Line-Item Details'!$A348,Import!D:D)</f>
        <v>0</v>
      </c>
      <c r="J348" s="99">
        <f>SUMIF(Import!$B:$B,'Other Fund Line-Item Details'!$A348,Import!E:E)</f>
        <v>0</v>
      </c>
      <c r="K348" s="99">
        <f>SUMIF(Import!$B:$B,'Other Fund Line-Item Details'!$A348,Import!F:F)</f>
        <v>0</v>
      </c>
      <c r="L348" s="99">
        <f>SUMIF(Import!$B:$B,'Other Fund Line-Item Details'!$A348,Import!G:G)</f>
        <v>10000</v>
      </c>
      <c r="M348" s="99">
        <f>SUMIF(Import!$B:$B,'Other Fund Line-Item Details'!$A348,Import!H:H)</f>
        <v>0</v>
      </c>
      <c r="N348" s="99">
        <f>SUMIF(Import!$B:$B,'Other Fund Line-Item Details'!$A348,Import!I:I)</f>
        <v>0</v>
      </c>
      <c r="O348" s="99">
        <f>SUMIF(Import!$B:$B,'Other Fund Line-Item Details'!$A348,Import!J:J)</f>
        <v>0</v>
      </c>
      <c r="P348" s="99">
        <f>O348-M348</f>
        <v>0</v>
      </c>
      <c r="Q348" s="99">
        <f>SUMIF(Import!$B:$B,'Other Fund Line-Item Details'!$A348,Import!K:K)</f>
        <v>0</v>
      </c>
      <c r="R348" s="99">
        <f>SUMIF(Import!$B:$B,'Other Fund Line-Item Details'!$A348,Import!L:L)</f>
        <v>0</v>
      </c>
      <c r="S348" s="99">
        <f>SUMIF(Import!$B:$B,'Other Fund Line-Item Details'!$A348,Import!M:M)</f>
        <v>0</v>
      </c>
      <c r="T348" s="99">
        <f>SUMIF(Import!$B:$B,'Other Fund Line-Item Details'!$A348,Import!N:N)</f>
        <v>0</v>
      </c>
      <c r="U348" s="99">
        <f t="shared" si="373"/>
        <v>0</v>
      </c>
      <c r="V348" s="255" t="str">
        <f t="shared" si="374"/>
        <v>N/A</v>
      </c>
      <c r="W348" s="102" t="s">
        <v>1980</v>
      </c>
      <c r="X348" s="102"/>
      <c r="Y348" s="102">
        <f t="shared" si="375"/>
        <v>0</v>
      </c>
      <c r="Z348" s="309">
        <f>Y348*(1+VLOOKUP($F348,'GL Category'!$A:$H,4,FALSE))</f>
        <v>0</v>
      </c>
      <c r="AA348" s="615"/>
      <c r="AB348" s="622">
        <f t="shared" si="376"/>
        <v>0</v>
      </c>
      <c r="AC348" s="633">
        <f>AB348*(1+VLOOKUP($F348,'GL Category'!$A:$H,5,FALSE))</f>
        <v>0</v>
      </c>
      <c r="AD348" s="307"/>
      <c r="AE348" s="622">
        <f t="shared" si="377"/>
        <v>0</v>
      </c>
      <c r="AF348" s="633">
        <f>AE348*(1+VLOOKUP($F348,'GL Category'!$A:$H,6,FALSE))</f>
        <v>0</v>
      </c>
      <c r="AG348" s="307"/>
      <c r="AH348" s="622">
        <f t="shared" si="378"/>
        <v>0</v>
      </c>
      <c r="AI348" s="633">
        <f>AH348*(1+VLOOKUP($F348,'GL Category'!$A:$H,7,FALSE))</f>
        <v>0</v>
      </c>
      <c r="AJ348" s="307"/>
      <c r="AK348" s="622">
        <f t="shared" si="379"/>
        <v>0</v>
      </c>
      <c r="AL348" s="633">
        <f>AK348*(1+VLOOKUP($F348,'GL Category'!$A:$H,8,FALSE))</f>
        <v>0</v>
      </c>
      <c r="AM348" s="307"/>
      <c r="AN348" s="622">
        <f t="shared" si="380"/>
        <v>0</v>
      </c>
    </row>
    <row r="349" spans="1:40" s="115" customFormat="1" ht="15" customHeight="1">
      <c r="A349" s="555" t="s">
        <v>1981</v>
      </c>
      <c r="B349" s="217" t="str">
        <f t="shared" ref="B349:B405" si="386">LEFT(A349,3)</f>
        <v>118</v>
      </c>
      <c r="C349" s="217" t="str">
        <f t="shared" ref="C349:C405" si="387">MID(A349,5,2)</f>
        <v>31</v>
      </c>
      <c r="D349" s="101" t="str">
        <f t="shared" ref="D349:D405" si="388">MID(A349,8,3)</f>
        <v>313</v>
      </c>
      <c r="E349" s="217" t="str">
        <f t="shared" ref="E349:E405" si="389">LEFT(A349,10)</f>
        <v>118-31-313</v>
      </c>
      <c r="F349" s="294" t="str">
        <f t="shared" ref="F349:F405" si="390">RIGHT(A349,5)</f>
        <v>58828</v>
      </c>
      <c r="G349" s="295" t="str">
        <f>VLOOKUP(F349,'GL Category'!A:C,3,FALSE)</f>
        <v>Capital Outlay</v>
      </c>
      <c r="H349" s="98" t="str">
        <f>VLOOKUP(F349,'GL Category'!A:C,2,FALSE)</f>
        <v>BUILDINGS &amp; IMPROVEMENTS</v>
      </c>
      <c r="I349" s="99">
        <f>SUMIF(Import!$B:$B,'Other Fund Line-Item Details'!$A349,Import!D:D)</f>
        <v>7565.17</v>
      </c>
      <c r="J349" s="99">
        <f>SUMIF(Import!$B:$B,'Other Fund Line-Item Details'!$A349,Import!E:E)</f>
        <v>0</v>
      </c>
      <c r="K349" s="99">
        <f>SUMIF(Import!$B:$B,'Other Fund Line-Item Details'!$A349,Import!F:F)</f>
        <v>223754.49</v>
      </c>
      <c r="L349" s="99">
        <f>SUMIF(Import!$B:$B,'Other Fund Line-Item Details'!$A349,Import!G:G)</f>
        <v>290093.69</v>
      </c>
      <c r="M349" s="99">
        <f>SUMIF(Import!$B:$B,'Other Fund Line-Item Details'!$A349,Import!H:H)</f>
        <v>125000</v>
      </c>
      <c r="N349" s="99">
        <f>SUMIF(Import!$B:$B,'Other Fund Line-Item Details'!$A349,Import!I:I)</f>
        <v>696</v>
      </c>
      <c r="O349" s="99">
        <f>SUMIF(Import!$B:$B,'Other Fund Line-Item Details'!$A349,Import!J:J)</f>
        <v>125000</v>
      </c>
      <c r="P349" s="99">
        <f>O349-M349</f>
        <v>0</v>
      </c>
      <c r="Q349" s="99">
        <f>SUMIF(Import!$B:$B,'Other Fund Line-Item Details'!$A349,Import!K:K)</f>
        <v>75000</v>
      </c>
      <c r="R349" s="99">
        <f>SUMIF(Import!$B:$B,'Other Fund Line-Item Details'!$A349,Import!L:L)</f>
        <v>0</v>
      </c>
      <c r="S349" s="99">
        <f>SUMIF(Import!$B:$B,'Other Fund Line-Item Details'!$A349,Import!M:M)</f>
        <v>0</v>
      </c>
      <c r="T349" s="99">
        <f>SUMIF(Import!$B:$B,'Other Fund Line-Item Details'!$A349,Import!N:N)</f>
        <v>75000</v>
      </c>
      <c r="U349" s="99">
        <f t="shared" si="373"/>
        <v>-50000</v>
      </c>
      <c r="V349" s="255">
        <f t="shared" si="374"/>
        <v>-0.4</v>
      </c>
      <c r="W349" s="102" t="s">
        <v>1981</v>
      </c>
      <c r="X349" s="102"/>
      <c r="Y349" s="102">
        <f t="shared" si="375"/>
        <v>75000</v>
      </c>
      <c r="Z349" s="309">
        <f>Y349*(1+VLOOKUP($F349,'GL Category'!$A:$H,4,FALSE))</f>
        <v>75000</v>
      </c>
      <c r="AA349" s="615"/>
      <c r="AB349" s="622">
        <f t="shared" si="376"/>
        <v>75000</v>
      </c>
      <c r="AC349" s="633">
        <f>AB349*(1+VLOOKUP($F349,'GL Category'!$A:$H,5,FALSE))</f>
        <v>77250</v>
      </c>
      <c r="AD349" s="307"/>
      <c r="AE349" s="622">
        <f t="shared" si="377"/>
        <v>77250</v>
      </c>
      <c r="AF349" s="633">
        <f>AE349*(1+VLOOKUP($F349,'GL Category'!$A:$H,6,FALSE))</f>
        <v>79567.5</v>
      </c>
      <c r="AG349" s="307"/>
      <c r="AH349" s="622">
        <f t="shared" si="378"/>
        <v>79567.5</v>
      </c>
      <c r="AI349" s="633">
        <f>AH349*(1+VLOOKUP($F349,'GL Category'!$A:$H,7,FALSE))</f>
        <v>81954.525000000009</v>
      </c>
      <c r="AJ349" s="307"/>
      <c r="AK349" s="622">
        <f t="shared" si="379"/>
        <v>81954.525000000009</v>
      </c>
      <c r="AL349" s="633">
        <f>AK349*(1+VLOOKUP($F349,'GL Category'!$A:$H,8,FALSE))</f>
        <v>84413.16075000001</v>
      </c>
      <c r="AM349" s="307"/>
      <c r="AN349" s="622">
        <f t="shared" si="380"/>
        <v>84413.16075000001</v>
      </c>
    </row>
    <row r="350" spans="1:40" s="115" customFormat="1" ht="15" customHeight="1">
      <c r="A350" s="555" t="s">
        <v>1982</v>
      </c>
      <c r="B350" s="217" t="str">
        <f t="shared" si="386"/>
        <v>118</v>
      </c>
      <c r="C350" s="217" t="str">
        <f t="shared" si="387"/>
        <v>31</v>
      </c>
      <c r="D350" s="101" t="str">
        <f t="shared" si="388"/>
        <v>313</v>
      </c>
      <c r="E350" s="217" t="str">
        <f t="shared" si="389"/>
        <v>118-31-313</v>
      </c>
      <c r="F350" s="294" t="str">
        <f t="shared" si="390"/>
        <v>58851</v>
      </c>
      <c r="G350" s="295" t="str">
        <f>VLOOKUP(F350,'GL Category'!A:C,3,FALSE)</f>
        <v>Capital Outlay</v>
      </c>
      <c r="H350" s="98" t="str">
        <f>VLOOKUP(F350,'GL Category'!A:C,2,FALSE)</f>
        <v>FURNITURE &amp; FIXTURES</v>
      </c>
      <c r="I350" s="99">
        <f>SUMIF(Import!$B:$B,'Other Fund Line-Item Details'!$A350,Import!D:D)</f>
        <v>0</v>
      </c>
      <c r="J350" s="99">
        <f>SUMIF(Import!$B:$B,'Other Fund Line-Item Details'!$A350,Import!E:E)</f>
        <v>0</v>
      </c>
      <c r="K350" s="99">
        <f>SUMIF(Import!$B:$B,'Other Fund Line-Item Details'!$A350,Import!F:F)</f>
        <v>0</v>
      </c>
      <c r="L350" s="99">
        <f>SUMIF(Import!$B:$B,'Other Fund Line-Item Details'!$A350,Import!G:G)</f>
        <v>0</v>
      </c>
      <c r="M350" s="99">
        <f>SUMIF(Import!$B:$B,'Other Fund Line-Item Details'!$A350,Import!H:H)</f>
        <v>0</v>
      </c>
      <c r="N350" s="99">
        <f>SUMIF(Import!$B:$B,'Other Fund Line-Item Details'!$A350,Import!I:I)</f>
        <v>0</v>
      </c>
      <c r="O350" s="99">
        <f>SUMIF(Import!$B:$B,'Other Fund Line-Item Details'!$A350,Import!J:J)</f>
        <v>0</v>
      </c>
      <c r="P350" s="99">
        <f>O350-M350</f>
        <v>0</v>
      </c>
      <c r="Q350" s="99">
        <f>SUMIF(Import!$B:$B,'Other Fund Line-Item Details'!$A350,Import!K:K)</f>
        <v>0</v>
      </c>
      <c r="R350" s="99">
        <f>SUMIF(Import!$B:$B,'Other Fund Line-Item Details'!$A350,Import!L:L)</f>
        <v>0</v>
      </c>
      <c r="S350" s="99">
        <f>SUMIF(Import!$B:$B,'Other Fund Line-Item Details'!$A350,Import!M:M)</f>
        <v>0</v>
      </c>
      <c r="T350" s="99">
        <f>SUMIF(Import!$B:$B,'Other Fund Line-Item Details'!$A350,Import!N:N)</f>
        <v>0</v>
      </c>
      <c r="U350" s="99">
        <f t="shared" si="373"/>
        <v>0</v>
      </c>
      <c r="V350" s="255" t="str">
        <f t="shared" si="374"/>
        <v>N/A</v>
      </c>
      <c r="W350" s="102" t="s">
        <v>1982</v>
      </c>
      <c r="X350" s="102"/>
      <c r="Y350" s="102">
        <f t="shared" si="375"/>
        <v>0</v>
      </c>
      <c r="Z350" s="309">
        <f>Y350*(1+VLOOKUP($F350,'GL Category'!$A:$H,4,FALSE))</f>
        <v>0</v>
      </c>
      <c r="AA350" s="615"/>
      <c r="AB350" s="622">
        <f t="shared" si="376"/>
        <v>0</v>
      </c>
      <c r="AC350" s="633">
        <f>AB350*(1+VLOOKUP($F350,'GL Category'!$A:$H,5,FALSE))</f>
        <v>0</v>
      </c>
      <c r="AD350" s="307"/>
      <c r="AE350" s="622">
        <f t="shared" si="377"/>
        <v>0</v>
      </c>
      <c r="AF350" s="633">
        <f>AE350*(1+VLOOKUP($F350,'GL Category'!$A:$H,6,FALSE))</f>
        <v>0</v>
      </c>
      <c r="AG350" s="307"/>
      <c r="AH350" s="622">
        <f t="shared" si="378"/>
        <v>0</v>
      </c>
      <c r="AI350" s="633">
        <f>AH350*(1+VLOOKUP($F350,'GL Category'!$A:$H,7,FALSE))</f>
        <v>0</v>
      </c>
      <c r="AJ350" s="307"/>
      <c r="AK350" s="622">
        <f t="shared" si="379"/>
        <v>0</v>
      </c>
      <c r="AL350" s="633">
        <f>AK350*(1+VLOOKUP($F350,'GL Category'!$A:$H,8,FALSE))</f>
        <v>0</v>
      </c>
      <c r="AM350" s="307"/>
      <c r="AN350" s="622">
        <f t="shared" si="380"/>
        <v>0</v>
      </c>
    </row>
    <row r="351" spans="1:40" s="115" customFormat="1" ht="15" customHeight="1">
      <c r="A351" s="555"/>
      <c r="B351" s="217"/>
      <c r="C351" s="217"/>
      <c r="D351" s="101"/>
      <c r="E351" s="217"/>
      <c r="F351" s="294"/>
      <c r="G351" s="146"/>
      <c r="H351" s="107" t="str">
        <f>UPPER(G350)&amp;" TOTAL"</f>
        <v>CAPITAL OUTLAY TOTAL</v>
      </c>
      <c r="I351" s="108">
        <f t="shared" ref="I351" si="391">SUBTOTAL(9,I346:I350)</f>
        <v>7565.17</v>
      </c>
      <c r="J351" s="108">
        <f t="shared" ref="J351:T351" si="392">SUBTOTAL(9,J346:J350)</f>
        <v>12955.2</v>
      </c>
      <c r="K351" s="108">
        <f t="shared" ref="K351" si="393">SUBTOTAL(9,K346:K350)</f>
        <v>223754.49</v>
      </c>
      <c r="L351" s="108">
        <f t="shared" ref="L351" si="394">SUBTOTAL(9,L346:L350)</f>
        <v>301693.69</v>
      </c>
      <c r="M351" s="108">
        <f t="shared" si="392"/>
        <v>125000</v>
      </c>
      <c r="N351" s="109">
        <f t="shared" ref="N351" si="395">SUBTOTAL(9,N346:N350)</f>
        <v>26246</v>
      </c>
      <c r="O351" s="109">
        <f t="shared" si="392"/>
        <v>150550</v>
      </c>
      <c r="P351" s="109">
        <f t="shared" si="392"/>
        <v>25550</v>
      </c>
      <c r="Q351" s="109">
        <f t="shared" si="392"/>
        <v>75000</v>
      </c>
      <c r="R351" s="109">
        <f t="shared" si="392"/>
        <v>0</v>
      </c>
      <c r="S351" s="109">
        <f t="shared" si="392"/>
        <v>0</v>
      </c>
      <c r="T351" s="109">
        <f t="shared" si="392"/>
        <v>75000</v>
      </c>
      <c r="U351" s="99">
        <f t="shared" si="373"/>
        <v>-50000</v>
      </c>
      <c r="V351" s="255">
        <f t="shared" si="374"/>
        <v>-0.4</v>
      </c>
      <c r="W351" s="102"/>
      <c r="X351" s="121"/>
      <c r="Y351" s="121"/>
      <c r="Z351" s="121"/>
      <c r="AA351" s="121"/>
      <c r="AB351" s="121"/>
      <c r="AC351" s="121"/>
      <c r="AD351" s="121"/>
      <c r="AE351" s="121"/>
      <c r="AF351" s="121"/>
      <c r="AG351" s="121"/>
      <c r="AH351" s="121"/>
      <c r="AI351" s="121"/>
    </row>
    <row r="352" spans="1:40" s="115" customFormat="1" ht="15" customHeight="1">
      <c r="A352" s="555"/>
      <c r="B352" s="217"/>
      <c r="C352" s="217"/>
      <c r="D352" s="101"/>
      <c r="E352" s="217"/>
      <c r="F352" s="294"/>
      <c r="G352" s="146"/>
      <c r="H352" s="98"/>
      <c r="I352" s="106"/>
      <c r="J352" s="106"/>
      <c r="K352" s="106"/>
      <c r="L352" s="106"/>
      <c r="M352" s="106"/>
      <c r="N352" s="112"/>
      <c r="O352" s="112"/>
      <c r="P352" s="112"/>
      <c r="Q352" s="113"/>
      <c r="R352" s="99"/>
      <c r="S352" s="99"/>
      <c r="T352" s="113"/>
      <c r="U352" s="105"/>
      <c r="V352" s="262"/>
      <c r="W352" s="102"/>
      <c r="X352" s="121"/>
      <c r="Y352" s="121"/>
      <c r="Z352" s="121"/>
      <c r="AA352" s="121"/>
      <c r="AB352" s="121"/>
      <c r="AC352" s="121"/>
      <c r="AD352" s="121"/>
      <c r="AE352" s="121"/>
      <c r="AF352" s="121"/>
      <c r="AG352" s="121"/>
      <c r="AH352" s="121"/>
      <c r="AI352" s="121"/>
    </row>
    <row r="353" spans="1:40" s="115" customFormat="1" ht="15" customHeight="1">
      <c r="A353" s="555" t="s">
        <v>1983</v>
      </c>
      <c r="B353" s="217" t="str">
        <f t="shared" si="386"/>
        <v>118</v>
      </c>
      <c r="C353" s="217" t="str">
        <f t="shared" si="387"/>
        <v>31</v>
      </c>
      <c r="D353" s="101" t="str">
        <f t="shared" si="388"/>
        <v>314</v>
      </c>
      <c r="E353" s="217" t="str">
        <f t="shared" si="389"/>
        <v>118-31-314</v>
      </c>
      <c r="F353" s="294" t="str">
        <f t="shared" si="390"/>
        <v>51245</v>
      </c>
      <c r="G353" s="295" t="str">
        <f>VLOOKUP(F353,'GL Category'!A:C,3,FALSE)</f>
        <v>Operations &amp; maintenance</v>
      </c>
      <c r="H353" s="98" t="str">
        <f>VLOOKUP(F353,'GL Category'!A:C,2,FALSE)</f>
        <v>SMALL TOOLS &amp; EQUIPMENT</v>
      </c>
      <c r="I353" s="99">
        <f>SUMIF(Import!$B:$B,'Other Fund Line-Item Details'!$A353,Import!D:D)</f>
        <v>0</v>
      </c>
      <c r="J353" s="99">
        <f>SUMIF(Import!$B:$B,'Other Fund Line-Item Details'!$A353,Import!E:E)</f>
        <v>0</v>
      </c>
      <c r="K353" s="99">
        <f>SUMIF(Import!$B:$B,'Other Fund Line-Item Details'!$A353,Import!F:F)</f>
        <v>0</v>
      </c>
      <c r="L353" s="99">
        <f>SUMIF(Import!$B:$B,'Other Fund Line-Item Details'!$A353,Import!G:G)</f>
        <v>0</v>
      </c>
      <c r="M353" s="99">
        <f>SUMIF(Import!$B:$B,'Other Fund Line-Item Details'!$A353,Import!H:H)</f>
        <v>0</v>
      </c>
      <c r="N353" s="99">
        <f>SUMIF(Import!$B:$B,'Other Fund Line-Item Details'!$A353,Import!I:I)</f>
        <v>0</v>
      </c>
      <c r="O353" s="99">
        <f>SUMIF(Import!$B:$B,'Other Fund Line-Item Details'!$A353,Import!J:J)</f>
        <v>0</v>
      </c>
      <c r="P353" s="99">
        <f>O353-M353</f>
        <v>0</v>
      </c>
      <c r="Q353" s="99">
        <f>SUMIF(Import!$B:$B,'Other Fund Line-Item Details'!$A353,Import!K:K)</f>
        <v>0</v>
      </c>
      <c r="R353" s="99">
        <f>SUMIF(Import!$B:$B,'Other Fund Line-Item Details'!$A353,Import!L:L)</f>
        <v>0</v>
      </c>
      <c r="S353" s="99">
        <f>SUMIF(Import!$B:$B,'Other Fund Line-Item Details'!$A353,Import!M:M)</f>
        <v>0</v>
      </c>
      <c r="T353" s="99">
        <f>SUMIF(Import!$B:$B,'Other Fund Line-Item Details'!$A353,Import!N:N)</f>
        <v>0</v>
      </c>
      <c r="U353" s="99">
        <f>T353-M353</f>
        <v>0</v>
      </c>
      <c r="V353" s="255" t="str">
        <f>IF(M353=0,"N/A",T353/M353-1)</f>
        <v>N/A</v>
      </c>
      <c r="W353" s="102" t="s">
        <v>1983</v>
      </c>
      <c r="X353" s="102"/>
      <c r="Y353" s="102">
        <f t="shared" ref="Y353:Y356" si="396">T353-X353</f>
        <v>0</v>
      </c>
      <c r="Z353" s="309">
        <f>Y353*(1+VLOOKUP($F353,'GL Category'!$A:$H,4,FALSE))</f>
        <v>0</v>
      </c>
      <c r="AA353" s="615"/>
      <c r="AB353" s="622">
        <f t="shared" ref="AB353:AB356" si="397">Z353+AA353</f>
        <v>0</v>
      </c>
      <c r="AC353" s="633">
        <f>AB353*(1+VLOOKUP($F353,'GL Category'!$A:$H,5,FALSE))</f>
        <v>0</v>
      </c>
      <c r="AD353" s="307"/>
      <c r="AE353" s="622">
        <f t="shared" ref="AE353:AE356" si="398">AC353+AD353</f>
        <v>0</v>
      </c>
      <c r="AF353" s="633">
        <f>AE353*(1+VLOOKUP($F353,'GL Category'!$A:$H,6,FALSE))</f>
        <v>0</v>
      </c>
      <c r="AG353" s="307"/>
      <c r="AH353" s="622">
        <f t="shared" ref="AH353:AH356" si="399">AF353+AG353</f>
        <v>0</v>
      </c>
      <c r="AI353" s="633">
        <f>AH353*(1+VLOOKUP($F353,'GL Category'!$A:$H,7,FALSE))</f>
        <v>0</v>
      </c>
      <c r="AJ353" s="307"/>
      <c r="AK353" s="622">
        <f t="shared" ref="AK353:AK356" si="400">AI353+AJ353</f>
        <v>0</v>
      </c>
      <c r="AL353" s="633">
        <f>AK353*(1+VLOOKUP($F353,'GL Category'!$A:$H,8,FALSE))</f>
        <v>0</v>
      </c>
      <c r="AM353" s="307"/>
      <c r="AN353" s="622">
        <f t="shared" ref="AN353:AN356" si="401">AL353+AM353</f>
        <v>0</v>
      </c>
    </row>
    <row r="354" spans="1:40" s="115" customFormat="1" ht="15" customHeight="1">
      <c r="A354" s="555" t="s">
        <v>1984</v>
      </c>
      <c r="B354" s="217" t="str">
        <f t="shared" si="386"/>
        <v>118</v>
      </c>
      <c r="C354" s="217" t="str">
        <f t="shared" si="387"/>
        <v>31</v>
      </c>
      <c r="D354" s="101" t="str">
        <f t="shared" si="388"/>
        <v>314</v>
      </c>
      <c r="E354" s="217" t="str">
        <f t="shared" si="389"/>
        <v>118-31-314</v>
      </c>
      <c r="F354" s="294" t="str">
        <f t="shared" si="390"/>
        <v>52310</v>
      </c>
      <c r="G354" s="295" t="str">
        <f>VLOOKUP(F354,'GL Category'!A:C,3,FALSE)</f>
        <v>Operations &amp; maintenance</v>
      </c>
      <c r="H354" s="98" t="str">
        <f>VLOOKUP(F354,'GL Category'!A:C,2,FALSE)</f>
        <v>BUILDING MAINTENANCE</v>
      </c>
      <c r="I354" s="99">
        <f>SUMIF(Import!$B:$B,'Other Fund Line-Item Details'!$A354,Import!D:D)</f>
        <v>48034.04</v>
      </c>
      <c r="J354" s="99">
        <f>SUMIF(Import!$B:$B,'Other Fund Line-Item Details'!$A354,Import!E:E)</f>
        <v>32183.72</v>
      </c>
      <c r="K354" s="99">
        <f>SUMIF(Import!$B:$B,'Other Fund Line-Item Details'!$A354,Import!F:F)</f>
        <v>2145</v>
      </c>
      <c r="L354" s="99">
        <f>SUMIF(Import!$B:$B,'Other Fund Line-Item Details'!$A354,Import!G:G)</f>
        <v>0</v>
      </c>
      <c r="M354" s="99">
        <f>SUMIF(Import!$B:$B,'Other Fund Line-Item Details'!$A354,Import!H:H)</f>
        <v>0</v>
      </c>
      <c r="N354" s="99">
        <f>SUMIF(Import!$B:$B,'Other Fund Line-Item Details'!$A354,Import!I:I)</f>
        <v>0</v>
      </c>
      <c r="O354" s="99">
        <f>SUMIF(Import!$B:$B,'Other Fund Line-Item Details'!$A354,Import!J:J)</f>
        <v>0</v>
      </c>
      <c r="P354" s="99">
        <f>O354-M354</f>
        <v>0</v>
      </c>
      <c r="Q354" s="99">
        <f>SUMIF(Import!$B:$B,'Other Fund Line-Item Details'!$A354,Import!K:K)</f>
        <v>0</v>
      </c>
      <c r="R354" s="99">
        <f>SUMIF(Import!$B:$B,'Other Fund Line-Item Details'!$A354,Import!L:L)</f>
        <v>0</v>
      </c>
      <c r="S354" s="99">
        <f>SUMIF(Import!$B:$B,'Other Fund Line-Item Details'!$A354,Import!M:M)</f>
        <v>0</v>
      </c>
      <c r="T354" s="99">
        <f>SUMIF(Import!$B:$B,'Other Fund Line-Item Details'!$A354,Import!N:N)</f>
        <v>0</v>
      </c>
      <c r="U354" s="99">
        <f>T354-M354</f>
        <v>0</v>
      </c>
      <c r="V354" s="255" t="str">
        <f>IF(M354=0,"N/A",T354/M354-1)</f>
        <v>N/A</v>
      </c>
      <c r="W354" s="102" t="s">
        <v>1984</v>
      </c>
      <c r="X354" s="102"/>
      <c r="Y354" s="102">
        <f t="shared" si="396"/>
        <v>0</v>
      </c>
      <c r="Z354" s="309">
        <f>Y354*(1+VLOOKUP($F354,'GL Category'!$A:$H,4,FALSE))</f>
        <v>0</v>
      </c>
      <c r="AA354" s="615"/>
      <c r="AB354" s="622">
        <f t="shared" si="397"/>
        <v>0</v>
      </c>
      <c r="AC354" s="633">
        <f>AB354*(1+VLOOKUP($F354,'GL Category'!$A:$H,5,FALSE))</f>
        <v>0</v>
      </c>
      <c r="AD354" s="307"/>
      <c r="AE354" s="622">
        <f t="shared" si="398"/>
        <v>0</v>
      </c>
      <c r="AF354" s="633">
        <f>AE354*(1+VLOOKUP($F354,'GL Category'!$A:$H,6,FALSE))</f>
        <v>0</v>
      </c>
      <c r="AG354" s="307"/>
      <c r="AH354" s="622">
        <f t="shared" si="399"/>
        <v>0</v>
      </c>
      <c r="AI354" s="633">
        <f>AH354*(1+VLOOKUP($F354,'GL Category'!$A:$H,7,FALSE))</f>
        <v>0</v>
      </c>
      <c r="AJ354" s="307"/>
      <c r="AK354" s="622">
        <f t="shared" si="400"/>
        <v>0</v>
      </c>
      <c r="AL354" s="633">
        <f>AK354*(1+VLOOKUP($F354,'GL Category'!$A:$H,8,FALSE))</f>
        <v>0</v>
      </c>
      <c r="AM354" s="307"/>
      <c r="AN354" s="622">
        <f t="shared" si="401"/>
        <v>0</v>
      </c>
    </row>
    <row r="355" spans="1:40" s="115" customFormat="1" ht="15" customHeight="1">
      <c r="A355" s="555" t="s">
        <v>1985</v>
      </c>
      <c r="B355" s="217" t="str">
        <f t="shared" si="386"/>
        <v>118</v>
      </c>
      <c r="C355" s="217" t="str">
        <f t="shared" si="387"/>
        <v>31</v>
      </c>
      <c r="D355" s="101" t="str">
        <f t="shared" si="388"/>
        <v>314</v>
      </c>
      <c r="E355" s="217" t="str">
        <f t="shared" si="389"/>
        <v>118-31-314</v>
      </c>
      <c r="F355" s="294" t="str">
        <f t="shared" si="390"/>
        <v>58830</v>
      </c>
      <c r="G355" s="295" t="str">
        <f>VLOOKUP(F355,'GL Category'!A:C,3,FALSE)</f>
        <v>Capital Outlay</v>
      </c>
      <c r="H355" s="98" t="str">
        <f>VLOOKUP(F355,'GL Category'!A:C,2,FALSE)</f>
        <v>MACHINERY &amp; EQUIPMENT</v>
      </c>
      <c r="I355" s="99">
        <f>SUMIF(Import!$B:$B,'Other Fund Line-Item Details'!$A355,Import!D:D)</f>
        <v>96380</v>
      </c>
      <c r="J355" s="99">
        <f>SUMIF(Import!$B:$B,'Other Fund Line-Item Details'!$A355,Import!E:E)</f>
        <v>19177.16</v>
      </c>
      <c r="K355" s="99">
        <f>SUMIF(Import!$B:$B,'Other Fund Line-Item Details'!$A355,Import!F:F)</f>
        <v>97193.600000000006</v>
      </c>
      <c r="L355" s="99">
        <f>SUMIF(Import!$B:$B,'Other Fund Line-Item Details'!$A355,Import!G:G)</f>
        <v>0</v>
      </c>
      <c r="M355" s="99">
        <f>SUMIF(Import!$B:$B,'Other Fund Line-Item Details'!$A355,Import!H:H)</f>
        <v>0</v>
      </c>
      <c r="N355" s="99">
        <f>SUMIF(Import!$B:$B,'Other Fund Line-Item Details'!$A355,Import!I:I)</f>
        <v>0</v>
      </c>
      <c r="O355" s="99">
        <f>SUMIF(Import!$B:$B,'Other Fund Line-Item Details'!$A355,Import!J:J)</f>
        <v>0</v>
      </c>
      <c r="P355" s="99">
        <f>O355-M355</f>
        <v>0</v>
      </c>
      <c r="Q355" s="99">
        <f>SUMIF(Import!$B:$B,'Other Fund Line-Item Details'!$A355,Import!K:K)</f>
        <v>440000</v>
      </c>
      <c r="R355" s="99">
        <f>SUMIF(Import!$B:$B,'Other Fund Line-Item Details'!$A355,Import!L:L)</f>
        <v>0</v>
      </c>
      <c r="S355" s="99">
        <f>SUMIF(Import!$B:$B,'Other Fund Line-Item Details'!$A355,Import!M:M)</f>
        <v>0</v>
      </c>
      <c r="T355" s="99">
        <f>SUMIF(Import!$B:$B,'Other Fund Line-Item Details'!$A355,Import!N:N)</f>
        <v>440000</v>
      </c>
      <c r="U355" s="99">
        <f>T355-M355</f>
        <v>440000</v>
      </c>
      <c r="V355" s="255" t="str">
        <f>IF(M355=0,"N/A",T355/M355-1)</f>
        <v>N/A</v>
      </c>
      <c r="W355" s="102" t="s">
        <v>1985</v>
      </c>
      <c r="X355" s="102">
        <v>225000</v>
      </c>
      <c r="Y355" s="102">
        <f t="shared" si="396"/>
        <v>215000</v>
      </c>
      <c r="Z355" s="309">
        <f>Y355*(1+VLOOKUP($F355,'GL Category'!$A:$H,4,FALSE))</f>
        <v>215000</v>
      </c>
      <c r="AA355" s="615"/>
      <c r="AB355" s="622">
        <f t="shared" si="397"/>
        <v>215000</v>
      </c>
      <c r="AC355" s="633">
        <f>AB355*(1+VLOOKUP($F355,'GL Category'!$A:$H,5,FALSE))</f>
        <v>221450</v>
      </c>
      <c r="AD355" s="307"/>
      <c r="AE355" s="622">
        <f t="shared" si="398"/>
        <v>221450</v>
      </c>
      <c r="AF355" s="633">
        <f>AE355*(1+VLOOKUP($F355,'GL Category'!$A:$H,6,FALSE))</f>
        <v>228093.5</v>
      </c>
      <c r="AG355" s="307">
        <v>-228093</v>
      </c>
      <c r="AH355" s="622">
        <f t="shared" si="399"/>
        <v>0.5</v>
      </c>
      <c r="AI355" s="633">
        <f>AH355*(1+VLOOKUP($F355,'GL Category'!$A:$H,7,FALSE))</f>
        <v>0.51500000000000001</v>
      </c>
      <c r="AJ355" s="307"/>
      <c r="AK355" s="622">
        <f t="shared" si="400"/>
        <v>0.51500000000000001</v>
      </c>
      <c r="AL355" s="633">
        <f>AK355*(1+VLOOKUP($F355,'GL Category'!$A:$H,8,FALSE))</f>
        <v>0.53044999999999998</v>
      </c>
      <c r="AM355" s="307"/>
      <c r="AN355" s="622">
        <f t="shared" si="401"/>
        <v>0.53044999999999998</v>
      </c>
    </row>
    <row r="356" spans="1:40" s="115" customFormat="1" ht="15" customHeight="1">
      <c r="A356" s="555" t="s">
        <v>1986</v>
      </c>
      <c r="B356" s="217" t="str">
        <f t="shared" si="386"/>
        <v>118</v>
      </c>
      <c r="C356" s="217" t="str">
        <f t="shared" si="387"/>
        <v>31</v>
      </c>
      <c r="D356" s="101" t="str">
        <f t="shared" si="388"/>
        <v>314</v>
      </c>
      <c r="E356" s="217" t="str">
        <f t="shared" si="389"/>
        <v>118-31-314</v>
      </c>
      <c r="F356" s="294" t="str">
        <f t="shared" si="390"/>
        <v>58851</v>
      </c>
      <c r="G356" s="295" t="str">
        <f>VLOOKUP(F356,'GL Category'!A:C,3,FALSE)</f>
        <v>Capital Outlay</v>
      </c>
      <c r="H356" s="98" t="str">
        <f>VLOOKUP(F356,'GL Category'!A:C,2,FALSE)</f>
        <v>FURNITURE &amp; FIXTURES</v>
      </c>
      <c r="I356" s="99">
        <f>SUMIF(Import!$B:$B,'Other Fund Line-Item Details'!$A356,Import!D:D)</f>
        <v>0</v>
      </c>
      <c r="J356" s="99">
        <f>SUMIF(Import!$B:$B,'Other Fund Line-Item Details'!$A356,Import!E:E)</f>
        <v>0</v>
      </c>
      <c r="K356" s="99">
        <f>SUMIF(Import!$B:$B,'Other Fund Line-Item Details'!$A356,Import!F:F)</f>
        <v>0</v>
      </c>
      <c r="L356" s="99">
        <f>SUMIF(Import!$B:$B,'Other Fund Line-Item Details'!$A356,Import!G:G)</f>
        <v>0</v>
      </c>
      <c r="M356" s="99">
        <f>SUMIF(Import!$B:$B,'Other Fund Line-Item Details'!$A356,Import!H:H)</f>
        <v>0</v>
      </c>
      <c r="N356" s="99">
        <f>SUMIF(Import!$B:$B,'Other Fund Line-Item Details'!$A356,Import!I:I)</f>
        <v>4057.61</v>
      </c>
      <c r="O356" s="99">
        <f>SUMIF(Import!$B:$B,'Other Fund Line-Item Details'!$A356,Import!J:J)</f>
        <v>0</v>
      </c>
      <c r="P356" s="99">
        <f>O356-M356</f>
        <v>0</v>
      </c>
      <c r="Q356" s="99">
        <f>SUMIF(Import!$B:$B,'Other Fund Line-Item Details'!$A356,Import!K:K)</f>
        <v>0</v>
      </c>
      <c r="R356" s="99">
        <f>SUMIF(Import!$B:$B,'Other Fund Line-Item Details'!$A356,Import!L:L)</f>
        <v>0</v>
      </c>
      <c r="S356" s="99">
        <f>SUMIF(Import!$B:$B,'Other Fund Line-Item Details'!$A356,Import!M:M)</f>
        <v>0</v>
      </c>
      <c r="T356" s="99">
        <f>SUMIF(Import!$B:$B,'Other Fund Line-Item Details'!$A356,Import!N:N)</f>
        <v>0</v>
      </c>
      <c r="U356" s="99">
        <f>T356-M356</f>
        <v>0</v>
      </c>
      <c r="V356" s="255" t="str">
        <f>IF(M356=0,"N/A",T356/M356-1)</f>
        <v>N/A</v>
      </c>
      <c r="W356" s="102" t="s">
        <v>1986</v>
      </c>
      <c r="X356" s="102"/>
      <c r="Y356" s="102">
        <f t="shared" si="396"/>
        <v>0</v>
      </c>
      <c r="Z356" s="309">
        <f>Y356*(1+VLOOKUP($F356,'GL Category'!$A:$H,4,FALSE))</f>
        <v>0</v>
      </c>
      <c r="AA356" s="615"/>
      <c r="AB356" s="622">
        <f t="shared" si="397"/>
        <v>0</v>
      </c>
      <c r="AC356" s="633">
        <f>AB356*(1+VLOOKUP($F356,'GL Category'!$A:$H,5,FALSE))</f>
        <v>0</v>
      </c>
      <c r="AD356" s="307"/>
      <c r="AE356" s="622">
        <f t="shared" si="398"/>
        <v>0</v>
      </c>
      <c r="AF356" s="633">
        <f>AE356*(1+VLOOKUP($F356,'GL Category'!$A:$H,6,FALSE))</f>
        <v>0</v>
      </c>
      <c r="AG356" s="307"/>
      <c r="AH356" s="622">
        <f t="shared" si="399"/>
        <v>0</v>
      </c>
      <c r="AI356" s="633">
        <f>AH356*(1+VLOOKUP($F356,'GL Category'!$A:$H,7,FALSE))</f>
        <v>0</v>
      </c>
      <c r="AJ356" s="307"/>
      <c r="AK356" s="622">
        <f t="shared" si="400"/>
        <v>0</v>
      </c>
      <c r="AL356" s="633">
        <f>AK356*(1+VLOOKUP($F356,'GL Category'!$A:$H,8,FALSE))</f>
        <v>0</v>
      </c>
      <c r="AM356" s="307"/>
      <c r="AN356" s="622">
        <f t="shared" si="401"/>
        <v>0</v>
      </c>
    </row>
    <row r="357" spans="1:40" s="115" customFormat="1" ht="15" customHeight="1">
      <c r="A357" s="555"/>
      <c r="B357" s="217"/>
      <c r="C357" s="217"/>
      <c r="D357" s="101"/>
      <c r="E357" s="217"/>
      <c r="F357" s="294"/>
      <c r="G357" s="146"/>
      <c r="H357" s="107" t="str">
        <f>UPPER(G356)&amp;" TOTAL"</f>
        <v>CAPITAL OUTLAY TOTAL</v>
      </c>
      <c r="I357" s="108">
        <f t="shared" ref="I357" si="402">SUBTOTAL(9,I353:I356)</f>
        <v>144414.04</v>
      </c>
      <c r="J357" s="108">
        <f t="shared" ref="J357:T357" si="403">SUBTOTAL(9,J353:J356)</f>
        <v>51360.880000000005</v>
      </c>
      <c r="K357" s="108">
        <f t="shared" ref="K357" si="404">SUBTOTAL(9,K353:K356)</f>
        <v>99338.6</v>
      </c>
      <c r="L357" s="108">
        <f t="shared" ref="L357" si="405">SUBTOTAL(9,L353:L356)</f>
        <v>0</v>
      </c>
      <c r="M357" s="108">
        <f t="shared" si="403"/>
        <v>0</v>
      </c>
      <c r="N357" s="108">
        <f t="shared" ref="N357" si="406">SUBTOTAL(9,N353:N356)</f>
        <v>4057.61</v>
      </c>
      <c r="O357" s="108">
        <f t="shared" si="403"/>
        <v>0</v>
      </c>
      <c r="P357" s="108">
        <f t="shared" si="403"/>
        <v>0</v>
      </c>
      <c r="Q357" s="108">
        <f t="shared" si="403"/>
        <v>440000</v>
      </c>
      <c r="R357" s="108">
        <f t="shared" si="403"/>
        <v>0</v>
      </c>
      <c r="S357" s="108">
        <f t="shared" si="403"/>
        <v>0</v>
      </c>
      <c r="T357" s="108">
        <f t="shared" si="403"/>
        <v>440000</v>
      </c>
      <c r="U357" s="99">
        <f>T357-M357</f>
        <v>440000</v>
      </c>
      <c r="V357" s="255" t="str">
        <f>IF(M357=0,"N/A",T357/M357-1)</f>
        <v>N/A</v>
      </c>
      <c r="W357" s="102"/>
      <c r="X357" s="121"/>
      <c r="Y357" s="121"/>
      <c r="Z357" s="121"/>
      <c r="AA357" s="121"/>
      <c r="AB357" s="121"/>
      <c r="AC357" s="121"/>
      <c r="AD357" s="121"/>
      <c r="AE357" s="121"/>
      <c r="AF357" s="121"/>
      <c r="AG357" s="121"/>
      <c r="AH357" s="121"/>
      <c r="AI357" s="121"/>
    </row>
    <row r="358" spans="1:40" s="115" customFormat="1" ht="15" customHeight="1">
      <c r="A358" s="555"/>
      <c r="B358" s="217"/>
      <c r="C358" s="217"/>
      <c r="D358" s="101"/>
      <c r="E358" s="217"/>
      <c r="F358" s="294"/>
      <c r="G358" s="146"/>
      <c r="H358" s="98"/>
      <c r="I358" s="106"/>
      <c r="J358" s="106"/>
      <c r="K358" s="106"/>
      <c r="L358" s="106"/>
      <c r="M358" s="106"/>
      <c r="N358" s="112"/>
      <c r="O358" s="112"/>
      <c r="P358" s="112"/>
      <c r="Q358" s="113"/>
      <c r="R358" s="212"/>
      <c r="S358" s="212"/>
      <c r="T358" s="113"/>
      <c r="U358" s="105"/>
      <c r="V358" s="262"/>
      <c r="W358" s="102"/>
      <c r="X358" s="121"/>
      <c r="Y358" s="121"/>
      <c r="Z358" s="121"/>
      <c r="AA358" s="121"/>
      <c r="AB358" s="121"/>
      <c r="AC358" s="121"/>
      <c r="AD358" s="121"/>
      <c r="AE358" s="121"/>
      <c r="AF358" s="121"/>
      <c r="AG358" s="121"/>
      <c r="AH358" s="121"/>
      <c r="AI358" s="121"/>
    </row>
    <row r="359" spans="1:40" s="115" customFormat="1" ht="15" customHeight="1">
      <c r="A359" s="555" t="s">
        <v>1987</v>
      </c>
      <c r="B359" s="217" t="str">
        <f t="shared" si="386"/>
        <v>118</v>
      </c>
      <c r="C359" s="217" t="str">
        <f t="shared" si="387"/>
        <v>31</v>
      </c>
      <c r="D359" s="101" t="str">
        <f t="shared" si="388"/>
        <v>315</v>
      </c>
      <c r="E359" s="217" t="str">
        <f t="shared" si="389"/>
        <v>118-31-315</v>
      </c>
      <c r="F359" s="294" t="str">
        <f t="shared" si="390"/>
        <v>51245</v>
      </c>
      <c r="G359" s="295" t="str">
        <f>VLOOKUP(F359,'GL Category'!A:C,3,FALSE)</f>
        <v>Operations &amp; maintenance</v>
      </c>
      <c r="H359" s="98" t="str">
        <f>VLOOKUP(F359,'GL Category'!A:C,2,FALSE)</f>
        <v>SMALL TOOLS &amp; EQUIPMENT</v>
      </c>
      <c r="I359" s="99">
        <f>SUMIF(Import!$B:$B,'Other Fund Line-Item Details'!$A359,Import!D:D)</f>
        <v>0</v>
      </c>
      <c r="J359" s="99">
        <f>SUMIF(Import!$B:$B,'Other Fund Line-Item Details'!$A359,Import!E:E)</f>
        <v>0</v>
      </c>
      <c r="K359" s="99">
        <f>SUMIF(Import!$B:$B,'Other Fund Line-Item Details'!$A359,Import!F:F)</f>
        <v>0</v>
      </c>
      <c r="L359" s="99">
        <f>SUMIF(Import!$B:$B,'Other Fund Line-Item Details'!$A359,Import!G:G)</f>
        <v>0</v>
      </c>
      <c r="M359" s="99">
        <f>SUMIF(Import!$B:$B,'Other Fund Line-Item Details'!$A359,Import!H:H)</f>
        <v>0</v>
      </c>
      <c r="N359" s="99">
        <f>SUMIF(Import!$B:$B,'Other Fund Line-Item Details'!$A359,Import!I:I)</f>
        <v>0</v>
      </c>
      <c r="O359" s="99">
        <f>SUMIF(Import!$B:$B,'Other Fund Line-Item Details'!$A359,Import!J:J)</f>
        <v>0</v>
      </c>
      <c r="P359" s="99">
        <f>O359-M359</f>
        <v>0</v>
      </c>
      <c r="Q359" s="99">
        <f>SUMIF(Import!$B:$B,'Other Fund Line-Item Details'!$A359,Import!K:K)</f>
        <v>0</v>
      </c>
      <c r="R359" s="99">
        <f>SUMIF(Import!$B:$B,'Other Fund Line-Item Details'!$A359,Import!L:L)</f>
        <v>0</v>
      </c>
      <c r="S359" s="99">
        <f>SUMIF(Import!$B:$B,'Other Fund Line-Item Details'!$A359,Import!M:M)</f>
        <v>0</v>
      </c>
      <c r="T359" s="99">
        <f>SUMIF(Import!$B:$B,'Other Fund Line-Item Details'!$A359,Import!N:N)</f>
        <v>0</v>
      </c>
      <c r="U359" s="99">
        <f t="shared" ref="U359:U364" si="407">T359-M359</f>
        <v>0</v>
      </c>
      <c r="V359" s="255" t="str">
        <f t="shared" ref="V359:V364" si="408">IF(M359=0,"N/A",T359/M359-1)</f>
        <v>N/A</v>
      </c>
      <c r="W359" s="102" t="s">
        <v>1987</v>
      </c>
      <c r="X359" s="102"/>
      <c r="Y359" s="102">
        <f t="shared" ref="Y359:Y363" si="409">T359-X359</f>
        <v>0</v>
      </c>
      <c r="Z359" s="309">
        <f>Y359*(1+VLOOKUP($F359,'GL Category'!$A:$H,4,FALSE))</f>
        <v>0</v>
      </c>
      <c r="AA359" s="615"/>
      <c r="AB359" s="622">
        <f t="shared" ref="AB359:AB363" si="410">Z359+AA359</f>
        <v>0</v>
      </c>
      <c r="AC359" s="633">
        <f>AB359*(1+VLOOKUP($F359,'GL Category'!$A:$H,5,FALSE))</f>
        <v>0</v>
      </c>
      <c r="AD359" s="307"/>
      <c r="AE359" s="622">
        <f t="shared" ref="AE359:AE363" si="411">AC359+AD359</f>
        <v>0</v>
      </c>
      <c r="AF359" s="633">
        <f>AE359*(1+VLOOKUP($F359,'GL Category'!$A:$H,6,FALSE))</f>
        <v>0</v>
      </c>
      <c r="AG359" s="307"/>
      <c r="AH359" s="622">
        <f t="shared" ref="AH359:AH363" si="412">AF359+AG359</f>
        <v>0</v>
      </c>
      <c r="AI359" s="633">
        <f>AH359*(1+VLOOKUP($F359,'GL Category'!$A:$H,7,FALSE))</f>
        <v>0</v>
      </c>
      <c r="AJ359" s="307"/>
      <c r="AK359" s="622">
        <f t="shared" ref="AK359:AK363" si="413">AI359+AJ359</f>
        <v>0</v>
      </c>
      <c r="AL359" s="633">
        <f>AK359*(1+VLOOKUP($F359,'GL Category'!$A:$H,8,FALSE))</f>
        <v>0</v>
      </c>
      <c r="AM359" s="307"/>
      <c r="AN359" s="622">
        <f t="shared" ref="AN359:AN363" si="414">AL359+AM359</f>
        <v>0</v>
      </c>
    </row>
    <row r="360" spans="1:40" s="115" customFormat="1" ht="15" customHeight="1">
      <c r="A360" s="555" t="s">
        <v>1988</v>
      </c>
      <c r="B360" s="217" t="str">
        <f t="shared" si="386"/>
        <v>118</v>
      </c>
      <c r="C360" s="217" t="str">
        <f t="shared" si="387"/>
        <v>31</v>
      </c>
      <c r="D360" s="101" t="str">
        <f t="shared" si="388"/>
        <v>315</v>
      </c>
      <c r="E360" s="217" t="str">
        <f t="shared" si="389"/>
        <v>118-31-315</v>
      </c>
      <c r="F360" s="294" t="str">
        <f t="shared" si="390"/>
        <v>52485</v>
      </c>
      <c r="G360" s="295" t="str">
        <f>VLOOKUP(F360,'GL Category'!A:C,3,FALSE)</f>
        <v>Operations &amp; maintenance</v>
      </c>
      <c r="H360" s="98" t="str">
        <f>VLOOKUP(F360,'GL Category'!A:C,2,FALSE)</f>
        <v>SOFTWARE LICENSE &amp; MAINTENANCE</v>
      </c>
      <c r="I360" s="99">
        <f>SUMIF(Import!$B:$B,'Other Fund Line-Item Details'!$A360,Import!D:D)</f>
        <v>95478.080000000002</v>
      </c>
      <c r="J360" s="99">
        <f>SUMIF(Import!$B:$B,'Other Fund Line-Item Details'!$A360,Import!E:E)</f>
        <v>349189.96</v>
      </c>
      <c r="K360" s="99">
        <f>SUMIF(Import!$B:$B,'Other Fund Line-Item Details'!$A360,Import!F:F)</f>
        <v>96270.62</v>
      </c>
      <c r="L360" s="99">
        <f>SUMIF(Import!$B:$B,'Other Fund Line-Item Details'!$A360,Import!G:G)</f>
        <v>280991.01</v>
      </c>
      <c r="M360" s="99">
        <f>SUMIF(Import!$B:$B,'Other Fund Line-Item Details'!$A360,Import!H:H)</f>
        <v>375580</v>
      </c>
      <c r="N360" s="99">
        <f>SUMIF(Import!$B:$B,'Other Fund Line-Item Details'!$A360,Import!I:I)</f>
        <v>362773.18</v>
      </c>
      <c r="O360" s="99">
        <f>SUMIF(Import!$B:$B,'Other Fund Line-Item Details'!$A360,Import!J:J)</f>
        <v>375580</v>
      </c>
      <c r="P360" s="99">
        <f>O360-M360</f>
        <v>0</v>
      </c>
      <c r="Q360" s="99">
        <f>SUMIF(Import!$B:$B,'Other Fund Line-Item Details'!$A360,Import!K:K)</f>
        <v>180535</v>
      </c>
      <c r="R360" s="99">
        <f>SUMIF(Import!$B:$B,'Other Fund Line-Item Details'!$A360,Import!L:L)</f>
        <v>0</v>
      </c>
      <c r="S360" s="99">
        <f>SUMIF(Import!$B:$B,'Other Fund Line-Item Details'!$A360,Import!M:M)</f>
        <v>0</v>
      </c>
      <c r="T360" s="99">
        <f>SUMIF(Import!$B:$B,'Other Fund Line-Item Details'!$A360,Import!N:N)</f>
        <v>180535</v>
      </c>
      <c r="U360" s="99">
        <f t="shared" si="407"/>
        <v>-195045</v>
      </c>
      <c r="V360" s="255">
        <f t="shared" si="408"/>
        <v>-0.51931679003141806</v>
      </c>
      <c r="W360" s="102" t="s">
        <v>1988</v>
      </c>
      <c r="X360" s="102"/>
      <c r="Y360" s="102">
        <f t="shared" si="409"/>
        <v>180535</v>
      </c>
      <c r="Z360" s="309">
        <f>Y360*(1+VLOOKUP($F360,'GL Category'!$A:$H,4,FALSE))</f>
        <v>184145.7</v>
      </c>
      <c r="AA360" s="615"/>
      <c r="AB360" s="622">
        <f t="shared" si="410"/>
        <v>184145.7</v>
      </c>
      <c r="AC360" s="633">
        <f>AB360*(1+VLOOKUP($F360,'GL Category'!$A:$H,5,FALSE))</f>
        <v>187828.614</v>
      </c>
      <c r="AD360" s="307"/>
      <c r="AE360" s="622">
        <f t="shared" si="411"/>
        <v>187828.614</v>
      </c>
      <c r="AF360" s="633">
        <f>AE360*(1+VLOOKUP($F360,'GL Category'!$A:$H,6,FALSE))</f>
        <v>191585.18627999999</v>
      </c>
      <c r="AG360" s="307"/>
      <c r="AH360" s="622">
        <f t="shared" si="412"/>
        <v>191585.18627999999</v>
      </c>
      <c r="AI360" s="633">
        <f>AH360*(1+VLOOKUP($F360,'GL Category'!$A:$H,7,FALSE))</f>
        <v>195416.8900056</v>
      </c>
      <c r="AJ360" s="307"/>
      <c r="AK360" s="622">
        <f t="shared" si="413"/>
        <v>195416.8900056</v>
      </c>
      <c r="AL360" s="633">
        <f>AK360*(1+VLOOKUP($F360,'GL Category'!$A:$H,8,FALSE))</f>
        <v>199325.227805712</v>
      </c>
      <c r="AM360" s="307"/>
      <c r="AN360" s="622">
        <f t="shared" si="414"/>
        <v>199325.227805712</v>
      </c>
    </row>
    <row r="361" spans="1:40" s="115" customFormat="1" ht="15" customHeight="1">
      <c r="A361" s="555" t="s">
        <v>1989</v>
      </c>
      <c r="B361" s="217" t="str">
        <f t="shared" si="386"/>
        <v>118</v>
      </c>
      <c r="C361" s="217" t="str">
        <f t="shared" si="387"/>
        <v>31</v>
      </c>
      <c r="D361" s="101" t="str">
        <f t="shared" si="388"/>
        <v>315</v>
      </c>
      <c r="E361" s="217" t="str">
        <f t="shared" si="389"/>
        <v>118-31-315</v>
      </c>
      <c r="F361" s="294" t="str">
        <f t="shared" si="390"/>
        <v>53599</v>
      </c>
      <c r="G361" s="295" t="str">
        <f>VLOOKUP(F361,'GL Category'!A:C,3,FALSE)</f>
        <v>Services &amp; other</v>
      </c>
      <c r="H361" s="98" t="str">
        <f>VLOOKUP(F361,'GL Category'!A:C,2,FALSE)</f>
        <v>MISCELLANEOUS SERVICES</v>
      </c>
      <c r="I361" s="99">
        <f>SUMIF(Import!$B:$B,'Other Fund Line-Item Details'!$A361,Import!D:D)</f>
        <v>0</v>
      </c>
      <c r="J361" s="99">
        <f>SUMIF(Import!$B:$B,'Other Fund Line-Item Details'!$A361,Import!E:E)</f>
        <v>0</v>
      </c>
      <c r="K361" s="99">
        <f>SUMIF(Import!$B:$B,'Other Fund Line-Item Details'!$A361,Import!F:F)</f>
        <v>0</v>
      </c>
      <c r="L361" s="99">
        <f>SUMIF(Import!$B:$B,'Other Fund Line-Item Details'!$A361,Import!G:G)</f>
        <v>0</v>
      </c>
      <c r="M361" s="99">
        <f>SUMIF(Import!$B:$B,'Other Fund Line-Item Details'!$A361,Import!H:H)</f>
        <v>0</v>
      </c>
      <c r="N361" s="99">
        <f>SUMIF(Import!$B:$B,'Other Fund Line-Item Details'!$A361,Import!I:I)</f>
        <v>0</v>
      </c>
      <c r="O361" s="99">
        <f>SUMIF(Import!$B:$B,'Other Fund Line-Item Details'!$A361,Import!J:J)</f>
        <v>0</v>
      </c>
      <c r="P361" s="99">
        <f>O361-M361</f>
        <v>0</v>
      </c>
      <c r="Q361" s="99">
        <f>SUMIF(Import!$B:$B,'Other Fund Line-Item Details'!$A361,Import!K:K)</f>
        <v>0</v>
      </c>
      <c r="R361" s="99">
        <f>SUMIF(Import!$B:$B,'Other Fund Line-Item Details'!$A361,Import!L:L)</f>
        <v>0</v>
      </c>
      <c r="S361" s="99">
        <f>SUMIF(Import!$B:$B,'Other Fund Line-Item Details'!$A361,Import!M:M)</f>
        <v>0</v>
      </c>
      <c r="T361" s="99">
        <f>SUMIF(Import!$B:$B,'Other Fund Line-Item Details'!$A361,Import!N:N)</f>
        <v>0</v>
      </c>
      <c r="U361" s="99">
        <f t="shared" si="407"/>
        <v>0</v>
      </c>
      <c r="V361" s="255" t="str">
        <f t="shared" si="408"/>
        <v>N/A</v>
      </c>
      <c r="W361" s="102" t="s">
        <v>1989</v>
      </c>
      <c r="X361" s="102"/>
      <c r="Y361" s="102">
        <f t="shared" si="409"/>
        <v>0</v>
      </c>
      <c r="Z361" s="309">
        <f>Y361*(1+VLOOKUP($F361,'GL Category'!$A:$H,4,FALSE))</f>
        <v>0</v>
      </c>
      <c r="AA361" s="615"/>
      <c r="AB361" s="622">
        <f t="shared" si="410"/>
        <v>0</v>
      </c>
      <c r="AC361" s="633">
        <f>AB361*(1+VLOOKUP($F361,'GL Category'!$A:$H,5,FALSE))</f>
        <v>0</v>
      </c>
      <c r="AD361" s="307"/>
      <c r="AE361" s="622">
        <f t="shared" si="411"/>
        <v>0</v>
      </c>
      <c r="AF361" s="633">
        <f>AE361*(1+VLOOKUP($F361,'GL Category'!$A:$H,6,FALSE))</f>
        <v>0</v>
      </c>
      <c r="AG361" s="307"/>
      <c r="AH361" s="622">
        <f t="shared" si="412"/>
        <v>0</v>
      </c>
      <c r="AI361" s="633">
        <f>AH361*(1+VLOOKUP($F361,'GL Category'!$A:$H,7,FALSE))</f>
        <v>0</v>
      </c>
      <c r="AJ361" s="307"/>
      <c r="AK361" s="622">
        <f t="shared" si="413"/>
        <v>0</v>
      </c>
      <c r="AL361" s="633">
        <f>AK361*(1+VLOOKUP($F361,'GL Category'!$A:$H,8,FALSE))</f>
        <v>0</v>
      </c>
      <c r="AM361" s="307"/>
      <c r="AN361" s="622">
        <f t="shared" si="414"/>
        <v>0</v>
      </c>
    </row>
    <row r="362" spans="1:40" s="115" customFormat="1" ht="15" customHeight="1">
      <c r="A362" s="555" t="s">
        <v>1990</v>
      </c>
      <c r="B362" s="217" t="str">
        <f t="shared" si="386"/>
        <v>118</v>
      </c>
      <c r="C362" s="217" t="str">
        <f t="shared" si="387"/>
        <v>31</v>
      </c>
      <c r="D362" s="101" t="str">
        <f t="shared" si="388"/>
        <v>315</v>
      </c>
      <c r="E362" s="217" t="str">
        <f t="shared" si="389"/>
        <v>118-31-315</v>
      </c>
      <c r="F362" s="294" t="str">
        <f t="shared" si="390"/>
        <v>53570</v>
      </c>
      <c r="G362" s="295" t="str">
        <f>VLOOKUP(F362,'GL Category'!A:C,3,FALSE)</f>
        <v>Services &amp; other</v>
      </c>
      <c r="H362" s="98" t="str">
        <f>VLOOKUP(F362,'GL Category'!A:C,2,FALSE)</f>
        <v>TELEPHONE/COMMUNICATIONS</v>
      </c>
      <c r="I362" s="99">
        <f>SUMIF(Import!$B:$B,'Other Fund Line-Item Details'!$A362,Import!D:D)</f>
        <v>0</v>
      </c>
      <c r="J362" s="99">
        <f>SUMIF(Import!$B:$B,'Other Fund Line-Item Details'!$A362,Import!E:E)</f>
        <v>0</v>
      </c>
      <c r="K362" s="99">
        <f>SUMIF(Import!$B:$B,'Other Fund Line-Item Details'!$A362,Import!F:F)</f>
        <v>0</v>
      </c>
      <c r="L362" s="99">
        <f>SUMIF(Import!$B:$B,'Other Fund Line-Item Details'!$A362,Import!G:G)</f>
        <v>8327.5</v>
      </c>
      <c r="M362" s="99">
        <f>SUMIF(Import!$B:$B,'Other Fund Line-Item Details'!$A362,Import!H:H)</f>
        <v>12500</v>
      </c>
      <c r="N362" s="99">
        <f>SUMIF(Import!$B:$B,'Other Fund Line-Item Details'!$A362,Import!I:I)</f>
        <v>5210</v>
      </c>
      <c r="O362" s="99">
        <f>SUMIF(Import!$B:$B,'Other Fund Line-Item Details'!$A362,Import!J:J)</f>
        <v>12500</v>
      </c>
      <c r="P362" s="99">
        <f>O362-M362</f>
        <v>0</v>
      </c>
      <c r="Q362" s="99">
        <f>SUMIF(Import!$B:$B,'Other Fund Line-Item Details'!$A362,Import!K:K)</f>
        <v>12500</v>
      </c>
      <c r="R362" s="99">
        <f>SUMIF(Import!$B:$B,'Other Fund Line-Item Details'!$A362,Import!L:L)</f>
        <v>0</v>
      </c>
      <c r="S362" s="99">
        <f>SUMIF(Import!$B:$B,'Other Fund Line-Item Details'!$A362,Import!M:M)</f>
        <v>0</v>
      </c>
      <c r="T362" s="99">
        <f>SUMIF(Import!$B:$B,'Other Fund Line-Item Details'!$A362,Import!N:N)</f>
        <v>12500</v>
      </c>
      <c r="U362" s="99">
        <f t="shared" si="407"/>
        <v>0</v>
      </c>
      <c r="V362" s="255">
        <f t="shared" si="408"/>
        <v>0</v>
      </c>
      <c r="W362" s="102" t="s">
        <v>1990</v>
      </c>
      <c r="X362" s="102"/>
      <c r="Y362" s="102">
        <f t="shared" si="409"/>
        <v>12500</v>
      </c>
      <c r="Z362" s="309">
        <f>Y362*(1+VLOOKUP($F362,'GL Category'!$A:$H,4,FALSE))</f>
        <v>12875</v>
      </c>
      <c r="AA362" s="615"/>
      <c r="AB362" s="622">
        <f t="shared" si="410"/>
        <v>12875</v>
      </c>
      <c r="AC362" s="633">
        <f>AB362*(1+VLOOKUP($F362,'GL Category'!$A:$H,5,FALSE))</f>
        <v>13261.25</v>
      </c>
      <c r="AD362" s="307"/>
      <c r="AE362" s="622">
        <f t="shared" si="411"/>
        <v>13261.25</v>
      </c>
      <c r="AF362" s="633">
        <f>AE362*(1+VLOOKUP($F362,'GL Category'!$A:$H,6,FALSE))</f>
        <v>13659.0875</v>
      </c>
      <c r="AG362" s="307"/>
      <c r="AH362" s="622">
        <f t="shared" si="412"/>
        <v>13659.0875</v>
      </c>
      <c r="AI362" s="633">
        <f>AH362*(1+VLOOKUP($F362,'GL Category'!$A:$H,7,FALSE))</f>
        <v>14068.860124999999</v>
      </c>
      <c r="AJ362" s="307"/>
      <c r="AK362" s="622">
        <f t="shared" si="413"/>
        <v>14068.860124999999</v>
      </c>
      <c r="AL362" s="633">
        <f>AK362*(1+VLOOKUP($F362,'GL Category'!$A:$H,8,FALSE))</f>
        <v>14490.925928749999</v>
      </c>
      <c r="AM362" s="307"/>
      <c r="AN362" s="622">
        <f t="shared" si="414"/>
        <v>14490.925928749999</v>
      </c>
    </row>
    <row r="363" spans="1:40" s="115" customFormat="1" ht="15" customHeight="1">
      <c r="A363" s="555" t="s">
        <v>1991</v>
      </c>
      <c r="B363" s="217" t="str">
        <f t="shared" si="386"/>
        <v>118</v>
      </c>
      <c r="C363" s="217" t="str">
        <f t="shared" si="387"/>
        <v>31</v>
      </c>
      <c r="D363" s="101" t="str">
        <f t="shared" si="388"/>
        <v>315</v>
      </c>
      <c r="E363" s="217" t="str">
        <f t="shared" si="389"/>
        <v>118-31-315</v>
      </c>
      <c r="F363" s="294" t="str">
        <f t="shared" si="390"/>
        <v>55119</v>
      </c>
      <c r="G363" s="295" t="str">
        <f>VLOOKUP(F363,'GL Category'!A:C,3,FALSE)</f>
        <v>Services &amp; other</v>
      </c>
      <c r="H363" s="98" t="str">
        <f>VLOOKUP(F363,'GL Category'!A:C,2,FALSE)</f>
        <v>OFFICE EQUIP LEASE EXP-CITY</v>
      </c>
      <c r="I363" s="99">
        <f>SUMIF(Import!$B:$B,'Other Fund Line-Item Details'!$A363,Import!D:D)</f>
        <v>9600</v>
      </c>
      <c r="J363" s="99">
        <f>SUMIF(Import!$B:$B,'Other Fund Line-Item Details'!$A363,Import!E:E)</f>
        <v>9600</v>
      </c>
      <c r="K363" s="99">
        <f>SUMIF(Import!$B:$B,'Other Fund Line-Item Details'!$A363,Import!F:F)</f>
        <v>9600</v>
      </c>
      <c r="L363" s="99">
        <f>SUMIF(Import!$B:$B,'Other Fund Line-Item Details'!$A363,Import!G:G)</f>
        <v>9600</v>
      </c>
      <c r="M363" s="99">
        <f>SUMIF(Import!$B:$B,'Other Fund Line-Item Details'!$A363,Import!H:H)</f>
        <v>9600</v>
      </c>
      <c r="N363" s="99">
        <f>SUMIF(Import!$B:$B,'Other Fund Line-Item Details'!$A363,Import!I:I)</f>
        <v>7200</v>
      </c>
      <c r="O363" s="99">
        <f>SUMIF(Import!$B:$B,'Other Fund Line-Item Details'!$A363,Import!J:J)</f>
        <v>9600</v>
      </c>
      <c r="P363" s="99">
        <f>O363-M363</f>
        <v>0</v>
      </c>
      <c r="Q363" s="99">
        <f>SUMIF(Import!$B:$B,'Other Fund Line-Item Details'!$A363,Import!K:K)</f>
        <v>9600</v>
      </c>
      <c r="R363" s="99">
        <f>SUMIF(Import!$B:$B,'Other Fund Line-Item Details'!$A363,Import!L:L)</f>
        <v>0</v>
      </c>
      <c r="S363" s="99">
        <f>SUMIF(Import!$B:$B,'Other Fund Line-Item Details'!$A363,Import!M:M)</f>
        <v>0</v>
      </c>
      <c r="T363" s="99">
        <f>SUMIF(Import!$B:$B,'Other Fund Line-Item Details'!$A363,Import!N:N)</f>
        <v>9600</v>
      </c>
      <c r="U363" s="99">
        <f t="shared" si="407"/>
        <v>0</v>
      </c>
      <c r="V363" s="255">
        <f t="shared" si="408"/>
        <v>0</v>
      </c>
      <c r="W363" s="102" t="s">
        <v>1991</v>
      </c>
      <c r="X363" s="102"/>
      <c r="Y363" s="102">
        <f t="shared" si="409"/>
        <v>9600</v>
      </c>
      <c r="Z363" s="309">
        <f>Y363*(1+VLOOKUP($F363,'GL Category'!$A:$H,4,FALSE))</f>
        <v>9888</v>
      </c>
      <c r="AA363" s="615"/>
      <c r="AB363" s="622">
        <f t="shared" si="410"/>
        <v>9888</v>
      </c>
      <c r="AC363" s="633">
        <f>AB363*(1+VLOOKUP($F363,'GL Category'!$A:$H,5,FALSE))</f>
        <v>10184.64</v>
      </c>
      <c r="AD363" s="307"/>
      <c r="AE363" s="622">
        <f t="shared" si="411"/>
        <v>10184.64</v>
      </c>
      <c r="AF363" s="633">
        <f>AE363*(1+VLOOKUP($F363,'GL Category'!$A:$H,6,FALSE))</f>
        <v>10490.1792</v>
      </c>
      <c r="AG363" s="307"/>
      <c r="AH363" s="622">
        <f t="shared" si="412"/>
        <v>10490.1792</v>
      </c>
      <c r="AI363" s="633">
        <f>AH363*(1+VLOOKUP($F363,'GL Category'!$A:$H,7,FALSE))</f>
        <v>10804.884576</v>
      </c>
      <c r="AJ363" s="307"/>
      <c r="AK363" s="622">
        <f t="shared" si="413"/>
        <v>10804.884576</v>
      </c>
      <c r="AL363" s="633">
        <f>AK363*(1+VLOOKUP($F363,'GL Category'!$A:$H,8,FALSE))</f>
        <v>11129.03111328</v>
      </c>
      <c r="AM363" s="307"/>
      <c r="AN363" s="622">
        <f t="shared" si="414"/>
        <v>11129.03111328</v>
      </c>
    </row>
    <row r="364" spans="1:40" s="115" customFormat="1" ht="15" customHeight="1">
      <c r="A364" s="555"/>
      <c r="B364" s="217"/>
      <c r="C364" s="217"/>
      <c r="D364" s="101"/>
      <c r="E364" s="217"/>
      <c r="F364" s="294"/>
      <c r="G364" s="146"/>
      <c r="H364" s="107" t="str">
        <f>UPPER(G363)&amp;" TOTAL"</f>
        <v>SERVICES &amp; OTHER TOTAL</v>
      </c>
      <c r="I364" s="108">
        <f t="shared" ref="I364" si="415">SUBTOTAL(9,I359:I363)</f>
        <v>105078.08</v>
      </c>
      <c r="J364" s="108">
        <f t="shared" ref="J364:P364" si="416">SUBTOTAL(9,J359:J363)</f>
        <v>358789.96</v>
      </c>
      <c r="K364" s="108">
        <f t="shared" ref="K364" si="417">SUBTOTAL(9,K359:K363)</f>
        <v>105870.62</v>
      </c>
      <c r="L364" s="108">
        <f t="shared" ref="L364" si="418">SUBTOTAL(9,L359:L363)</f>
        <v>298918.51</v>
      </c>
      <c r="M364" s="108">
        <f t="shared" si="416"/>
        <v>397680</v>
      </c>
      <c r="N364" s="109">
        <f t="shared" ref="N364" si="419">SUBTOTAL(9,N359:N363)</f>
        <v>375183.18</v>
      </c>
      <c r="O364" s="109">
        <f t="shared" si="416"/>
        <v>397680</v>
      </c>
      <c r="P364" s="109">
        <f t="shared" si="416"/>
        <v>0</v>
      </c>
      <c r="Q364" s="109">
        <f t="shared" ref="Q364:T364" si="420">SUBTOTAL(9,Q359:Q363)</f>
        <v>202635</v>
      </c>
      <c r="R364" s="109">
        <f t="shared" si="420"/>
        <v>0</v>
      </c>
      <c r="S364" s="109">
        <f t="shared" si="420"/>
        <v>0</v>
      </c>
      <c r="T364" s="109">
        <f t="shared" si="420"/>
        <v>202635</v>
      </c>
      <c r="U364" s="99">
        <f t="shared" si="407"/>
        <v>-195045</v>
      </c>
      <c r="V364" s="255">
        <f t="shared" si="408"/>
        <v>-0.49045715147857571</v>
      </c>
      <c r="W364" s="102"/>
      <c r="X364" s="121">
        <v>80732</v>
      </c>
      <c r="Y364" s="121"/>
      <c r="Z364" s="121"/>
      <c r="AA364" s="121"/>
      <c r="AB364" s="121"/>
      <c r="AC364" s="121"/>
      <c r="AD364" s="121"/>
      <c r="AE364" s="121"/>
      <c r="AF364" s="121"/>
      <c r="AG364" s="121"/>
      <c r="AH364" s="121"/>
      <c r="AI364" s="121"/>
    </row>
    <row r="365" spans="1:40" s="115" customFormat="1" ht="15" customHeight="1">
      <c r="A365" s="555"/>
      <c r="B365" s="217"/>
      <c r="C365" s="217"/>
      <c r="D365" s="101"/>
      <c r="E365" s="217"/>
      <c r="F365" s="294"/>
      <c r="G365" s="146"/>
      <c r="H365" s="98"/>
      <c r="I365" s="106"/>
      <c r="J365" s="106"/>
      <c r="K365" s="106"/>
      <c r="L365" s="106"/>
      <c r="M365" s="106"/>
      <c r="N365" s="112"/>
      <c r="O365" s="112"/>
      <c r="P365" s="112"/>
      <c r="Q365" s="113"/>
      <c r="R365" s="99"/>
      <c r="S365" s="99"/>
      <c r="T365" s="113"/>
      <c r="U365" s="105"/>
      <c r="V365" s="262"/>
      <c r="W365" s="102"/>
      <c r="X365" s="122">
        <f>X364-T364</f>
        <v>-121903</v>
      </c>
      <c r="Y365" s="121">
        <v>9350</v>
      </c>
      <c r="Z365" s="121"/>
      <c r="AA365" s="121"/>
      <c r="AB365" s="121"/>
      <c r="AC365" s="121"/>
      <c r="AD365" s="121"/>
      <c r="AE365" s="121"/>
      <c r="AF365" s="121"/>
      <c r="AG365" s="121"/>
      <c r="AH365" s="121"/>
      <c r="AI365" s="121"/>
    </row>
    <row r="366" spans="1:40" s="115" customFormat="1" ht="15" customHeight="1">
      <c r="A366" s="555" t="s">
        <v>1992</v>
      </c>
      <c r="B366" s="217" t="str">
        <f t="shared" si="386"/>
        <v>118</v>
      </c>
      <c r="C366" s="217" t="str">
        <f t="shared" si="387"/>
        <v>31</v>
      </c>
      <c r="D366" s="101" t="str">
        <f t="shared" si="388"/>
        <v>312</v>
      </c>
      <c r="E366" s="217" t="str">
        <f t="shared" si="389"/>
        <v>118-31-312</v>
      </c>
      <c r="F366" s="294" t="str">
        <f t="shared" si="390"/>
        <v>51245</v>
      </c>
      <c r="G366" s="295" t="str">
        <f>VLOOKUP(F366,'GL Category'!A:C,3,FALSE)</f>
        <v>Operations &amp; maintenance</v>
      </c>
      <c r="H366" s="98" t="str">
        <f>VLOOKUP(F366,'GL Category'!A:C,2,FALSE)</f>
        <v>SMALL TOOLS &amp; EQUIPMENT</v>
      </c>
      <c r="I366" s="99">
        <f>SUMIF(Import!$B:$B,'Other Fund Line-Item Details'!$A366,Import!D:D)</f>
        <v>38521.9</v>
      </c>
      <c r="J366" s="99">
        <f>SUMIF(Import!$B:$B,'Other Fund Line-Item Details'!$A366,Import!E:E)</f>
        <v>45096.63</v>
      </c>
      <c r="K366" s="99">
        <f>SUMIF(Import!$B:$B,'Other Fund Line-Item Details'!$A366,Import!F:F)</f>
        <v>77261.399999999994</v>
      </c>
      <c r="L366" s="99">
        <f>SUMIF(Import!$B:$B,'Other Fund Line-Item Details'!$A366,Import!G:G)</f>
        <v>120692.33</v>
      </c>
      <c r="M366" s="99">
        <f>SUMIF(Import!$B:$B,'Other Fund Line-Item Details'!$A366,Import!H:H)</f>
        <v>88745</v>
      </c>
      <c r="N366" s="99">
        <f>SUMIF(Import!$B:$B,'Other Fund Line-Item Details'!$A366,Import!I:I)</f>
        <v>63107.43</v>
      </c>
      <c r="O366" s="99">
        <f>SUMIF(Import!$B:$B,'Other Fund Line-Item Details'!$A366,Import!J:J)</f>
        <v>88745</v>
      </c>
      <c r="P366" s="99">
        <f t="shared" ref="P366:P376" si="421">O366-M366</f>
        <v>0</v>
      </c>
      <c r="Q366" s="99">
        <f>SUMIF(Import!$B:$B,'Other Fund Line-Item Details'!$A366,Import!K:K)</f>
        <v>167640</v>
      </c>
      <c r="R366" s="99">
        <f>SUMIF(Import!$B:$B,'Other Fund Line-Item Details'!$A366,Import!L:L)</f>
        <v>0</v>
      </c>
      <c r="S366" s="99">
        <f>SUMIF(Import!$B:$B,'Other Fund Line-Item Details'!$A366,Import!M:M)</f>
        <v>0</v>
      </c>
      <c r="T366" s="99">
        <f>SUMIF(Import!$B:$B,'Other Fund Line-Item Details'!$A366,Import!N:N)</f>
        <v>167640</v>
      </c>
      <c r="U366" s="99">
        <f t="shared" ref="U366:U377" si="422">T366-M366</f>
        <v>78895</v>
      </c>
      <c r="V366" s="255">
        <f t="shared" ref="V366:V377" si="423">IF(M366=0,"N/A",T366/M366-1)</f>
        <v>0.88900783142712259</v>
      </c>
      <c r="W366" s="102" t="s">
        <v>1992</v>
      </c>
      <c r="X366" s="102"/>
      <c r="Y366" s="102">
        <f t="shared" ref="Y366:Y376" si="424">T366-X366</f>
        <v>167640</v>
      </c>
      <c r="Z366" s="309">
        <f>Y366*(1+VLOOKUP($F366,'GL Category'!$A:$H,4,FALSE))</f>
        <v>170992.80000000002</v>
      </c>
      <c r="AA366" s="615"/>
      <c r="AB366" s="622">
        <f t="shared" ref="AB366:AB376" si="425">Z366+AA366</f>
        <v>170992.80000000002</v>
      </c>
      <c r="AC366" s="633">
        <f>AB366*(1+VLOOKUP($F366,'GL Category'!$A:$H,5,FALSE))</f>
        <v>174412.65600000002</v>
      </c>
      <c r="AD366" s="307"/>
      <c r="AE366" s="622">
        <f t="shared" ref="AE366:AE376" si="426">AC366+AD366</f>
        <v>174412.65600000002</v>
      </c>
      <c r="AF366" s="633">
        <f>AE366*(1+VLOOKUP($F366,'GL Category'!$A:$H,6,FALSE))</f>
        <v>177900.90912000003</v>
      </c>
      <c r="AG366" s="307"/>
      <c r="AH366" s="622">
        <f t="shared" ref="AH366:AH376" si="427">AF366+AG366</f>
        <v>177900.90912000003</v>
      </c>
      <c r="AI366" s="633">
        <f>AH366*(1+VLOOKUP($F366,'GL Category'!$A:$H,7,FALSE))</f>
        <v>181458.92730240003</v>
      </c>
      <c r="AJ366" s="307"/>
      <c r="AK366" s="622">
        <f t="shared" ref="AK366:AK376" si="428">AI366+AJ366</f>
        <v>181458.92730240003</v>
      </c>
      <c r="AL366" s="633">
        <f>AK366*(1+VLOOKUP($F366,'GL Category'!$A:$H,8,FALSE))</f>
        <v>185088.10584844803</v>
      </c>
      <c r="AM366" s="307"/>
      <c r="AN366" s="622">
        <f t="shared" ref="AN366:AN376" si="429">AL366+AM366</f>
        <v>185088.10584844803</v>
      </c>
    </row>
    <row r="367" spans="1:40" s="115" customFormat="1" ht="15" customHeight="1">
      <c r="A367" s="555" t="s">
        <v>3417</v>
      </c>
      <c r="B367" s="217" t="str">
        <f t="shared" ref="B367" si="430">LEFT(A367,3)</f>
        <v>118</v>
      </c>
      <c r="C367" s="217" t="str">
        <f t="shared" ref="C367" si="431">MID(A367,5,2)</f>
        <v>31</v>
      </c>
      <c r="D367" s="101" t="str">
        <f t="shared" ref="D367" si="432">MID(A367,8,3)</f>
        <v>312</v>
      </c>
      <c r="E367" s="217" t="str">
        <f t="shared" ref="E367" si="433">LEFT(A367,10)</f>
        <v>118-31-312</v>
      </c>
      <c r="F367" s="294" t="str">
        <f t="shared" ref="F367" si="434">RIGHT(A367,5)</f>
        <v>51285</v>
      </c>
      <c r="G367" s="295" t="str">
        <f>VLOOKUP(F367,'GL Category'!A:C,3,FALSE)</f>
        <v>Operations &amp; maintenance</v>
      </c>
      <c r="H367" s="98" t="str">
        <f>VLOOKUP(F367,'GL Category'!A:C,2,FALSE)</f>
        <v>WEARING APPAREL</v>
      </c>
      <c r="I367" s="99">
        <f>SUMIF(Import!$B:$B,'Other Fund Line-Item Details'!$A367,Import!D:D)</f>
        <v>0</v>
      </c>
      <c r="J367" s="99">
        <f>SUMIF(Import!$B:$B,'Other Fund Line-Item Details'!$A367,Import!E:E)</f>
        <v>0</v>
      </c>
      <c r="K367" s="99">
        <f>SUMIF(Import!$B:$B,'Other Fund Line-Item Details'!$A367,Import!F:F)</f>
        <v>0</v>
      </c>
      <c r="L367" s="99">
        <f>SUMIF(Import!$B:$B,'Other Fund Line-Item Details'!$A367,Import!G:G)</f>
        <v>420</v>
      </c>
      <c r="M367" s="99">
        <f>SUMIF(Import!$B:$B,'Other Fund Line-Item Details'!$A367,Import!H:H)</f>
        <v>0</v>
      </c>
      <c r="N367" s="99">
        <f>SUMIF(Import!$B:$B,'Other Fund Line-Item Details'!$A367,Import!I:I)</f>
        <v>0</v>
      </c>
      <c r="O367" s="99">
        <f>SUMIF(Import!$B:$B,'Other Fund Line-Item Details'!$A367,Import!J:J)</f>
        <v>0</v>
      </c>
      <c r="P367" s="99">
        <f t="shared" ref="P367" si="435">O367-M367</f>
        <v>0</v>
      </c>
      <c r="Q367" s="99">
        <f>SUMIF(Import!$B:$B,'Other Fund Line-Item Details'!$A367,Import!K:K)</f>
        <v>0</v>
      </c>
      <c r="R367" s="99">
        <f>SUMIF(Import!$B:$B,'Other Fund Line-Item Details'!$A367,Import!L:L)</f>
        <v>0</v>
      </c>
      <c r="S367" s="99">
        <f>SUMIF(Import!$B:$B,'Other Fund Line-Item Details'!$A367,Import!M:M)</f>
        <v>0</v>
      </c>
      <c r="T367" s="99">
        <f>SUMIF(Import!$B:$B,'Other Fund Line-Item Details'!$A367,Import!N:N)</f>
        <v>0</v>
      </c>
      <c r="U367" s="99">
        <f t="shared" ref="U367" si="436">T367-M367</f>
        <v>0</v>
      </c>
      <c r="V367" s="255" t="str">
        <f t="shared" ref="V367" si="437">IF(M367=0,"N/A",T367/M367-1)</f>
        <v>N/A</v>
      </c>
      <c r="W367" s="102" t="s">
        <v>1993</v>
      </c>
      <c r="X367" s="102"/>
      <c r="Y367" s="102">
        <f t="shared" si="424"/>
        <v>0</v>
      </c>
      <c r="Z367" s="309">
        <f>Y367*(1+VLOOKUP($F367,'GL Category'!$A:$H,4,FALSE))</f>
        <v>0</v>
      </c>
      <c r="AA367" s="615"/>
      <c r="AB367" s="622">
        <f t="shared" si="425"/>
        <v>0</v>
      </c>
      <c r="AC367" s="633">
        <f>AB367*(1+VLOOKUP($F367,'GL Category'!$A:$H,5,FALSE))</f>
        <v>0</v>
      </c>
      <c r="AD367" s="307"/>
      <c r="AE367" s="622">
        <f t="shared" si="426"/>
        <v>0</v>
      </c>
      <c r="AF367" s="633">
        <f>AE367*(1+VLOOKUP($F367,'GL Category'!$A:$H,6,FALSE))</f>
        <v>0</v>
      </c>
      <c r="AG367" s="307"/>
      <c r="AH367" s="622">
        <f t="shared" si="427"/>
        <v>0</v>
      </c>
      <c r="AI367" s="633">
        <f>AH367*(1+VLOOKUP($F367,'GL Category'!$A:$H,7,FALSE))</f>
        <v>0</v>
      </c>
      <c r="AJ367" s="307"/>
      <c r="AK367" s="622">
        <f t="shared" si="428"/>
        <v>0</v>
      </c>
      <c r="AL367" s="633">
        <f>AK367*(1+VLOOKUP($F367,'GL Category'!$A:$H,8,FALSE))</f>
        <v>0</v>
      </c>
      <c r="AM367" s="307"/>
      <c r="AN367" s="622">
        <f t="shared" si="429"/>
        <v>0</v>
      </c>
    </row>
    <row r="368" spans="1:40" s="115" customFormat="1" ht="15" customHeight="1">
      <c r="A368" s="555" t="s">
        <v>1993</v>
      </c>
      <c r="B368" s="217" t="str">
        <f t="shared" si="386"/>
        <v>118</v>
      </c>
      <c r="C368" s="217" t="str">
        <f t="shared" si="387"/>
        <v>31</v>
      </c>
      <c r="D368" s="101" t="str">
        <f t="shared" si="388"/>
        <v>312</v>
      </c>
      <c r="E368" s="217" t="str">
        <f t="shared" si="389"/>
        <v>118-31-312</v>
      </c>
      <c r="F368" s="294" t="str">
        <f t="shared" si="390"/>
        <v>52311</v>
      </c>
      <c r="G368" s="295" t="str">
        <f>VLOOKUP(F368,'GL Category'!A:C,3,FALSE)</f>
        <v>Operations &amp; maintenance</v>
      </c>
      <c r="H368" s="98" t="str">
        <f>VLOOKUP(F368,'GL Category'!A:C,2,FALSE)</f>
        <v>GROUNDS MAINTENANCE</v>
      </c>
      <c r="I368" s="99">
        <f>SUMIF(Import!$B:$B,'Other Fund Line-Item Details'!$A368,Import!D:D)</f>
        <v>8413.5400000000009</v>
      </c>
      <c r="J368" s="99">
        <f>SUMIF(Import!$B:$B,'Other Fund Line-Item Details'!$A368,Import!E:E)</f>
        <v>14250.87</v>
      </c>
      <c r="K368" s="99">
        <f>SUMIF(Import!$B:$B,'Other Fund Line-Item Details'!$A368,Import!F:F)</f>
        <v>4900</v>
      </c>
      <c r="L368" s="99">
        <f>SUMIF(Import!$B:$B,'Other Fund Line-Item Details'!$A368,Import!G:G)</f>
        <v>0</v>
      </c>
      <c r="M368" s="99">
        <f>SUMIF(Import!$B:$B,'Other Fund Line-Item Details'!$A368,Import!H:H)</f>
        <v>0</v>
      </c>
      <c r="N368" s="99">
        <f>SUMIF(Import!$B:$B,'Other Fund Line-Item Details'!$A368,Import!I:I)</f>
        <v>0</v>
      </c>
      <c r="O368" s="99">
        <f>SUMIF(Import!$B:$B,'Other Fund Line-Item Details'!$A368,Import!J:J)</f>
        <v>0</v>
      </c>
      <c r="P368" s="99">
        <f t="shared" si="421"/>
        <v>0</v>
      </c>
      <c r="Q368" s="99">
        <f>SUMIF(Import!$B:$B,'Other Fund Line-Item Details'!$A368,Import!K:K)</f>
        <v>0</v>
      </c>
      <c r="R368" s="99">
        <f>SUMIF(Import!$B:$B,'Other Fund Line-Item Details'!$A368,Import!L:L)</f>
        <v>0</v>
      </c>
      <c r="S368" s="99">
        <f>SUMIF(Import!$B:$B,'Other Fund Line-Item Details'!$A368,Import!M:M)</f>
        <v>0</v>
      </c>
      <c r="T368" s="99">
        <f>SUMIF(Import!$B:$B,'Other Fund Line-Item Details'!$A368,Import!N:N)</f>
        <v>0</v>
      </c>
      <c r="U368" s="99">
        <f t="shared" si="422"/>
        <v>0</v>
      </c>
      <c r="V368" s="255" t="str">
        <f t="shared" si="423"/>
        <v>N/A</v>
      </c>
      <c r="W368" s="102" t="s">
        <v>1993</v>
      </c>
      <c r="X368" s="102"/>
      <c r="Y368" s="102">
        <f t="shared" si="424"/>
        <v>0</v>
      </c>
      <c r="Z368" s="309">
        <f>Y368*(1+VLOOKUP($F368,'GL Category'!$A:$H,4,FALSE))</f>
        <v>0</v>
      </c>
      <c r="AA368" s="615"/>
      <c r="AB368" s="622">
        <f t="shared" si="425"/>
        <v>0</v>
      </c>
      <c r="AC368" s="633">
        <f>AB368*(1+VLOOKUP($F368,'GL Category'!$A:$H,5,FALSE))</f>
        <v>0</v>
      </c>
      <c r="AD368" s="307"/>
      <c r="AE368" s="622">
        <f t="shared" si="426"/>
        <v>0</v>
      </c>
      <c r="AF368" s="633">
        <f>AE368*(1+VLOOKUP($F368,'GL Category'!$A:$H,6,FALSE))</f>
        <v>0</v>
      </c>
      <c r="AG368" s="307"/>
      <c r="AH368" s="622">
        <f t="shared" si="427"/>
        <v>0</v>
      </c>
      <c r="AI368" s="633">
        <f>AH368*(1+VLOOKUP($F368,'GL Category'!$A:$H,7,FALSE))</f>
        <v>0</v>
      </c>
      <c r="AJ368" s="307"/>
      <c r="AK368" s="622">
        <f t="shared" si="428"/>
        <v>0</v>
      </c>
      <c r="AL368" s="633">
        <f>AK368*(1+VLOOKUP($F368,'GL Category'!$A:$H,8,FALSE))</f>
        <v>0</v>
      </c>
      <c r="AM368" s="307"/>
      <c r="AN368" s="622">
        <f t="shared" si="429"/>
        <v>0</v>
      </c>
    </row>
    <row r="369" spans="1:40" s="115" customFormat="1" ht="15" customHeight="1">
      <c r="A369" s="555" t="s">
        <v>1994</v>
      </c>
      <c r="B369" s="217" t="str">
        <f t="shared" si="386"/>
        <v>118</v>
      </c>
      <c r="C369" s="217" t="str">
        <f t="shared" si="387"/>
        <v>31</v>
      </c>
      <c r="D369" s="101" t="str">
        <f t="shared" si="388"/>
        <v>312</v>
      </c>
      <c r="E369" s="217" t="str">
        <f t="shared" si="389"/>
        <v>118-31-312</v>
      </c>
      <c r="F369" s="294" t="str">
        <f t="shared" si="390"/>
        <v>52460</v>
      </c>
      <c r="G369" s="295" t="str">
        <f>VLOOKUP(F369,'GL Category'!A:C,3,FALSE)</f>
        <v>Operations &amp; maintenance</v>
      </c>
      <c r="H369" s="98" t="str">
        <f>VLOOKUP(F369,'GL Category'!A:C,2,FALSE)</f>
        <v>VEHICLE MAINTENANCE</v>
      </c>
      <c r="I369" s="99">
        <f>SUMIF(Import!$B:$B,'Other Fund Line-Item Details'!$A369,Import!D:D)</f>
        <v>21047.759999999998</v>
      </c>
      <c r="J369" s="99">
        <f>SUMIF(Import!$B:$B,'Other Fund Line-Item Details'!$A369,Import!E:E)</f>
        <v>-250</v>
      </c>
      <c r="K369" s="99">
        <f>SUMIF(Import!$B:$B,'Other Fund Line-Item Details'!$A369,Import!F:F)</f>
        <v>0</v>
      </c>
      <c r="L369" s="99">
        <f>SUMIF(Import!$B:$B,'Other Fund Line-Item Details'!$A369,Import!G:G)</f>
        <v>0</v>
      </c>
      <c r="M369" s="99">
        <f>SUMIF(Import!$B:$B,'Other Fund Line-Item Details'!$A369,Import!H:H)</f>
        <v>0</v>
      </c>
      <c r="N369" s="99">
        <f>SUMIF(Import!$B:$B,'Other Fund Line-Item Details'!$A369,Import!I:I)</f>
        <v>0</v>
      </c>
      <c r="O369" s="99">
        <f>SUMIF(Import!$B:$B,'Other Fund Line-Item Details'!$A369,Import!J:J)</f>
        <v>0</v>
      </c>
      <c r="P369" s="99">
        <f t="shared" si="421"/>
        <v>0</v>
      </c>
      <c r="Q369" s="99">
        <f>SUMIF(Import!$B:$B,'Other Fund Line-Item Details'!$A369,Import!K:K)</f>
        <v>0</v>
      </c>
      <c r="R369" s="99">
        <f>SUMIF(Import!$B:$B,'Other Fund Line-Item Details'!$A369,Import!L:L)</f>
        <v>0</v>
      </c>
      <c r="S369" s="99">
        <f>SUMIF(Import!$B:$B,'Other Fund Line-Item Details'!$A369,Import!M:M)</f>
        <v>0</v>
      </c>
      <c r="T369" s="99">
        <f>SUMIF(Import!$B:$B,'Other Fund Line-Item Details'!$A369,Import!N:N)</f>
        <v>0</v>
      </c>
      <c r="U369" s="99">
        <f t="shared" si="422"/>
        <v>0</v>
      </c>
      <c r="V369" s="255" t="str">
        <f t="shared" si="423"/>
        <v>N/A</v>
      </c>
      <c r="W369" s="102" t="s">
        <v>1994</v>
      </c>
      <c r="X369" s="102"/>
      <c r="Y369" s="102">
        <f t="shared" si="424"/>
        <v>0</v>
      </c>
      <c r="Z369" s="309">
        <f>Y369*(1+VLOOKUP($F369,'GL Category'!$A:$H,4,FALSE))</f>
        <v>0</v>
      </c>
      <c r="AA369" s="615"/>
      <c r="AB369" s="622">
        <f t="shared" si="425"/>
        <v>0</v>
      </c>
      <c r="AC369" s="633">
        <f>AB369*(1+VLOOKUP($F369,'GL Category'!$A:$H,5,FALSE))</f>
        <v>0</v>
      </c>
      <c r="AD369" s="307"/>
      <c r="AE369" s="622">
        <f t="shared" si="426"/>
        <v>0</v>
      </c>
      <c r="AF369" s="633">
        <f>AE369*(1+VLOOKUP($F369,'GL Category'!$A:$H,6,FALSE))</f>
        <v>0</v>
      </c>
      <c r="AG369" s="307"/>
      <c r="AH369" s="622">
        <f t="shared" si="427"/>
        <v>0</v>
      </c>
      <c r="AI369" s="633">
        <f>AH369*(1+VLOOKUP($F369,'GL Category'!$A:$H,7,FALSE))</f>
        <v>0</v>
      </c>
      <c r="AJ369" s="307"/>
      <c r="AK369" s="622">
        <f t="shared" si="428"/>
        <v>0</v>
      </c>
      <c r="AL369" s="633">
        <f>AK369*(1+VLOOKUP($F369,'GL Category'!$A:$H,8,FALSE))</f>
        <v>0</v>
      </c>
      <c r="AM369" s="307"/>
      <c r="AN369" s="622">
        <f t="shared" si="429"/>
        <v>0</v>
      </c>
    </row>
    <row r="370" spans="1:40" s="115" customFormat="1" ht="15" customHeight="1">
      <c r="A370" s="555" t="s">
        <v>1995</v>
      </c>
      <c r="B370" s="217" t="str">
        <f t="shared" si="386"/>
        <v>118</v>
      </c>
      <c r="C370" s="217" t="str">
        <f t="shared" si="387"/>
        <v>31</v>
      </c>
      <c r="D370" s="101" t="str">
        <f t="shared" si="388"/>
        <v>312</v>
      </c>
      <c r="E370" s="217" t="str">
        <f t="shared" si="389"/>
        <v>118-31-312</v>
      </c>
      <c r="F370" s="294" t="str">
        <f t="shared" si="390"/>
        <v>52485</v>
      </c>
      <c r="G370" s="295" t="str">
        <f>VLOOKUP(F370,'GL Category'!A:C,3,FALSE)</f>
        <v>Operations &amp; maintenance</v>
      </c>
      <c r="H370" s="98" t="str">
        <f>VLOOKUP(F370,'GL Category'!A:C,2,FALSE)</f>
        <v>SOFTWARE LICENSE &amp; MAINTENANCE</v>
      </c>
      <c r="I370" s="99">
        <f>SUMIF(Import!$B:$B,'Other Fund Line-Item Details'!$A370,Import!D:D)</f>
        <v>0</v>
      </c>
      <c r="J370" s="99">
        <f>SUMIF(Import!$B:$B,'Other Fund Line-Item Details'!$A370,Import!E:E)</f>
        <v>997.51</v>
      </c>
      <c r="K370" s="99">
        <f>SUMIF(Import!$B:$B,'Other Fund Line-Item Details'!$A370,Import!F:F)</f>
        <v>9971</v>
      </c>
      <c r="L370" s="99">
        <f>SUMIF(Import!$B:$B,'Other Fund Line-Item Details'!$A370,Import!G:G)</f>
        <v>0</v>
      </c>
      <c r="M370" s="99">
        <f>SUMIF(Import!$B:$B,'Other Fund Line-Item Details'!$A370,Import!H:H)</f>
        <v>0</v>
      </c>
      <c r="N370" s="99">
        <f>SUMIF(Import!$B:$B,'Other Fund Line-Item Details'!$A370,Import!I:I)</f>
        <v>2606.7600000000002</v>
      </c>
      <c r="O370" s="99">
        <f>SUMIF(Import!$B:$B,'Other Fund Line-Item Details'!$A370,Import!J:J)</f>
        <v>0</v>
      </c>
      <c r="P370" s="99">
        <f t="shared" si="421"/>
        <v>0</v>
      </c>
      <c r="Q370" s="99">
        <f>SUMIF(Import!$B:$B,'Other Fund Line-Item Details'!$A370,Import!K:K)</f>
        <v>0</v>
      </c>
      <c r="R370" s="99">
        <f>SUMIF(Import!$B:$B,'Other Fund Line-Item Details'!$A370,Import!L:L)</f>
        <v>0</v>
      </c>
      <c r="S370" s="99">
        <f>SUMIF(Import!$B:$B,'Other Fund Line-Item Details'!$A370,Import!M:M)</f>
        <v>0</v>
      </c>
      <c r="T370" s="99">
        <f>SUMIF(Import!$B:$B,'Other Fund Line-Item Details'!$A370,Import!N:N)</f>
        <v>0</v>
      </c>
      <c r="U370" s="99">
        <f t="shared" si="422"/>
        <v>0</v>
      </c>
      <c r="V370" s="255" t="str">
        <f t="shared" si="423"/>
        <v>N/A</v>
      </c>
      <c r="W370" s="102" t="s">
        <v>1995</v>
      </c>
      <c r="X370" s="102"/>
      <c r="Y370" s="102">
        <f t="shared" si="424"/>
        <v>0</v>
      </c>
      <c r="Z370" s="309">
        <f>Y370*(1+VLOOKUP($F370,'GL Category'!$A:$H,4,FALSE))</f>
        <v>0</v>
      </c>
      <c r="AA370" s="615"/>
      <c r="AB370" s="622">
        <f t="shared" si="425"/>
        <v>0</v>
      </c>
      <c r="AC370" s="633">
        <f>AB370*(1+VLOOKUP($F370,'GL Category'!$A:$H,5,FALSE))</f>
        <v>0</v>
      </c>
      <c r="AD370" s="307"/>
      <c r="AE370" s="622">
        <f t="shared" si="426"/>
        <v>0</v>
      </c>
      <c r="AF370" s="633">
        <f>AE370*(1+VLOOKUP($F370,'GL Category'!$A:$H,6,FALSE))</f>
        <v>0</v>
      </c>
      <c r="AG370" s="307"/>
      <c r="AH370" s="622">
        <f t="shared" si="427"/>
        <v>0</v>
      </c>
      <c r="AI370" s="633">
        <f>AH370*(1+VLOOKUP($F370,'GL Category'!$A:$H,7,FALSE))</f>
        <v>0</v>
      </c>
      <c r="AJ370" s="307"/>
      <c r="AK370" s="622">
        <f t="shared" si="428"/>
        <v>0</v>
      </c>
      <c r="AL370" s="633">
        <f>AK370*(1+VLOOKUP($F370,'GL Category'!$A:$H,8,FALSE))</f>
        <v>0</v>
      </c>
      <c r="AM370" s="307"/>
      <c r="AN370" s="622">
        <f t="shared" si="429"/>
        <v>0</v>
      </c>
    </row>
    <row r="371" spans="1:40" s="115" customFormat="1" ht="15" customHeight="1">
      <c r="A371" s="555" t="s">
        <v>1996</v>
      </c>
      <c r="B371" s="217" t="str">
        <f t="shared" si="386"/>
        <v>118</v>
      </c>
      <c r="C371" s="217" t="str">
        <f t="shared" si="387"/>
        <v>31</v>
      </c>
      <c r="D371" s="101" t="str">
        <f t="shared" si="388"/>
        <v>312</v>
      </c>
      <c r="E371" s="217" t="str">
        <f t="shared" si="389"/>
        <v>118-31-312</v>
      </c>
      <c r="F371" s="294" t="str">
        <f t="shared" si="390"/>
        <v>53515</v>
      </c>
      <c r="G371" s="295" t="str">
        <f>VLOOKUP(F371,'GL Category'!A:C,3,FALSE)</f>
        <v>Services &amp; other</v>
      </c>
      <c r="H371" s="98" t="str">
        <f>VLOOKUP(F371,'GL Category'!A:C,2,FALSE)</f>
        <v>TRAVEL, TRAINING &amp; EDUCATION</v>
      </c>
      <c r="I371" s="99">
        <f>SUMIF(Import!$B:$B,'Other Fund Line-Item Details'!$A371,Import!D:D)</f>
        <v>3208.7</v>
      </c>
      <c r="J371" s="99">
        <f>SUMIF(Import!$B:$B,'Other Fund Line-Item Details'!$A371,Import!E:E)</f>
        <v>0</v>
      </c>
      <c r="K371" s="99">
        <f>SUMIF(Import!$B:$B,'Other Fund Line-Item Details'!$A371,Import!F:F)</f>
        <v>0</v>
      </c>
      <c r="L371" s="99">
        <f>SUMIF(Import!$B:$B,'Other Fund Line-Item Details'!$A371,Import!G:G)</f>
        <v>480</v>
      </c>
      <c r="M371" s="99">
        <f>SUMIF(Import!$B:$B,'Other Fund Line-Item Details'!$A371,Import!H:H)</f>
        <v>0</v>
      </c>
      <c r="N371" s="99">
        <f>SUMIF(Import!$B:$B,'Other Fund Line-Item Details'!$A371,Import!I:I)</f>
        <v>0</v>
      </c>
      <c r="O371" s="99">
        <f>SUMIF(Import!$B:$B,'Other Fund Line-Item Details'!$A371,Import!J:J)</f>
        <v>0</v>
      </c>
      <c r="P371" s="99">
        <f t="shared" si="421"/>
        <v>0</v>
      </c>
      <c r="Q371" s="99">
        <f>SUMIF(Import!$B:$B,'Other Fund Line-Item Details'!$A371,Import!K:K)</f>
        <v>0</v>
      </c>
      <c r="R371" s="99">
        <f>SUMIF(Import!$B:$B,'Other Fund Line-Item Details'!$A371,Import!L:L)</f>
        <v>0</v>
      </c>
      <c r="S371" s="99">
        <f>SUMIF(Import!$B:$B,'Other Fund Line-Item Details'!$A371,Import!M:M)</f>
        <v>0</v>
      </c>
      <c r="T371" s="99">
        <f>SUMIF(Import!$B:$B,'Other Fund Line-Item Details'!$A371,Import!N:N)</f>
        <v>0</v>
      </c>
      <c r="U371" s="99">
        <f t="shared" si="422"/>
        <v>0</v>
      </c>
      <c r="V371" s="255" t="str">
        <f t="shared" si="423"/>
        <v>N/A</v>
      </c>
      <c r="W371" s="102" t="s">
        <v>1996</v>
      </c>
      <c r="X371" s="102"/>
      <c r="Y371" s="102">
        <f t="shared" si="424"/>
        <v>0</v>
      </c>
      <c r="Z371" s="309">
        <f>Y371*(1+VLOOKUP($F371,'GL Category'!$A:$H,4,FALSE))</f>
        <v>0</v>
      </c>
      <c r="AA371" s="615"/>
      <c r="AB371" s="622">
        <f t="shared" si="425"/>
        <v>0</v>
      </c>
      <c r="AC371" s="633">
        <f>AB371*(1+VLOOKUP($F371,'GL Category'!$A:$H,5,FALSE))</f>
        <v>0</v>
      </c>
      <c r="AD371" s="307"/>
      <c r="AE371" s="622">
        <f t="shared" si="426"/>
        <v>0</v>
      </c>
      <c r="AF371" s="633">
        <f>AE371*(1+VLOOKUP($F371,'GL Category'!$A:$H,6,FALSE))</f>
        <v>0</v>
      </c>
      <c r="AG371" s="307"/>
      <c r="AH371" s="622">
        <f t="shared" si="427"/>
        <v>0</v>
      </c>
      <c r="AI371" s="633">
        <f>AH371*(1+VLOOKUP($F371,'GL Category'!$A:$H,7,FALSE))</f>
        <v>0</v>
      </c>
      <c r="AJ371" s="307"/>
      <c r="AK371" s="622">
        <f t="shared" si="428"/>
        <v>0</v>
      </c>
      <c r="AL371" s="633">
        <f>AK371*(1+VLOOKUP($F371,'GL Category'!$A:$H,8,FALSE))</f>
        <v>0</v>
      </c>
      <c r="AM371" s="307"/>
      <c r="AN371" s="622">
        <f t="shared" si="429"/>
        <v>0</v>
      </c>
    </row>
    <row r="372" spans="1:40" s="115" customFormat="1" ht="15" customHeight="1">
      <c r="A372" s="555" t="s">
        <v>1997</v>
      </c>
      <c r="B372" s="217" t="str">
        <f t="shared" si="386"/>
        <v>118</v>
      </c>
      <c r="C372" s="217" t="str">
        <f t="shared" si="387"/>
        <v>31</v>
      </c>
      <c r="D372" s="101" t="str">
        <f t="shared" si="388"/>
        <v>312</v>
      </c>
      <c r="E372" s="217" t="str">
        <f t="shared" si="389"/>
        <v>118-31-312</v>
      </c>
      <c r="F372" s="294" t="str">
        <f t="shared" si="390"/>
        <v>53524</v>
      </c>
      <c r="G372" s="295" t="str">
        <f>VLOOKUP(F372,'GL Category'!A:C,3,FALSE)</f>
        <v>Services &amp; other</v>
      </c>
      <c r="H372" s="98" t="str">
        <f>VLOOKUP(F372,'GL Category'!A:C,2,FALSE)</f>
        <v>EQUIPMENT RENTAL</v>
      </c>
      <c r="I372" s="99">
        <f>SUMIF(Import!$B:$B,'Other Fund Line-Item Details'!$A372,Import!D:D)</f>
        <v>10008</v>
      </c>
      <c r="J372" s="99">
        <f>SUMIF(Import!$B:$B,'Other Fund Line-Item Details'!$A372,Import!E:E)</f>
        <v>10008</v>
      </c>
      <c r="K372" s="99">
        <f>SUMIF(Import!$B:$B,'Other Fund Line-Item Details'!$A372,Import!F:F)</f>
        <v>5838</v>
      </c>
      <c r="L372" s="99">
        <f>SUMIF(Import!$B:$B,'Other Fund Line-Item Details'!$A372,Import!G:G)</f>
        <v>0</v>
      </c>
      <c r="M372" s="99">
        <f>SUMIF(Import!$B:$B,'Other Fund Line-Item Details'!$A372,Import!H:H)</f>
        <v>0</v>
      </c>
      <c r="N372" s="99">
        <f>SUMIF(Import!$B:$B,'Other Fund Line-Item Details'!$A372,Import!I:I)</f>
        <v>0</v>
      </c>
      <c r="O372" s="99">
        <f>SUMIF(Import!$B:$B,'Other Fund Line-Item Details'!$A372,Import!J:J)</f>
        <v>0</v>
      </c>
      <c r="P372" s="99">
        <f t="shared" si="421"/>
        <v>0</v>
      </c>
      <c r="Q372" s="99">
        <f>SUMIF(Import!$B:$B,'Other Fund Line-Item Details'!$A372,Import!K:K)</f>
        <v>0</v>
      </c>
      <c r="R372" s="99">
        <f>SUMIF(Import!$B:$B,'Other Fund Line-Item Details'!$A372,Import!L:L)</f>
        <v>0</v>
      </c>
      <c r="S372" s="99">
        <f>SUMIF(Import!$B:$B,'Other Fund Line-Item Details'!$A372,Import!M:M)</f>
        <v>0</v>
      </c>
      <c r="T372" s="99">
        <f>SUMIF(Import!$B:$B,'Other Fund Line-Item Details'!$A372,Import!N:N)</f>
        <v>0</v>
      </c>
      <c r="U372" s="99">
        <f t="shared" si="422"/>
        <v>0</v>
      </c>
      <c r="V372" s="255" t="str">
        <f t="shared" si="423"/>
        <v>N/A</v>
      </c>
      <c r="W372" s="102" t="s">
        <v>1997</v>
      </c>
      <c r="X372" s="102"/>
      <c r="Y372" s="102">
        <f t="shared" si="424"/>
        <v>0</v>
      </c>
      <c r="Z372" s="309">
        <f>Y372*(1+VLOOKUP($F372,'GL Category'!$A:$H,4,FALSE))</f>
        <v>0</v>
      </c>
      <c r="AA372" s="615"/>
      <c r="AB372" s="622">
        <f t="shared" si="425"/>
        <v>0</v>
      </c>
      <c r="AC372" s="633">
        <f>AB372*(1+VLOOKUP($F372,'GL Category'!$A:$H,5,FALSE))</f>
        <v>0</v>
      </c>
      <c r="AD372" s="307"/>
      <c r="AE372" s="622">
        <f t="shared" si="426"/>
        <v>0</v>
      </c>
      <c r="AF372" s="633">
        <f>AE372*(1+VLOOKUP($F372,'GL Category'!$A:$H,6,FALSE))</f>
        <v>0</v>
      </c>
      <c r="AG372" s="307"/>
      <c r="AH372" s="622">
        <f t="shared" si="427"/>
        <v>0</v>
      </c>
      <c r="AI372" s="633">
        <f>AH372*(1+VLOOKUP($F372,'GL Category'!$A:$H,7,FALSE))</f>
        <v>0</v>
      </c>
      <c r="AJ372" s="307"/>
      <c r="AK372" s="622">
        <f t="shared" si="428"/>
        <v>0</v>
      </c>
      <c r="AL372" s="633">
        <f>AK372*(1+VLOOKUP($F372,'GL Category'!$A:$H,8,FALSE))</f>
        <v>0</v>
      </c>
      <c r="AM372" s="307"/>
      <c r="AN372" s="622">
        <f t="shared" si="429"/>
        <v>0</v>
      </c>
    </row>
    <row r="373" spans="1:40" s="115" customFormat="1" ht="15" customHeight="1">
      <c r="A373" s="555" t="s">
        <v>1998</v>
      </c>
      <c r="B373" s="217" t="str">
        <f t="shared" ref="B373" si="438">LEFT(A373,3)</f>
        <v>118</v>
      </c>
      <c r="C373" s="217" t="str">
        <f t="shared" ref="C373" si="439">MID(A373,5,2)</f>
        <v>31</v>
      </c>
      <c r="D373" s="101" t="str">
        <f t="shared" ref="D373" si="440">MID(A373,8,3)</f>
        <v>312</v>
      </c>
      <c r="E373" s="217" t="str">
        <f t="shared" ref="E373" si="441">LEFT(A373,10)</f>
        <v>118-31-312</v>
      </c>
      <c r="F373" s="294" t="str">
        <f t="shared" ref="F373" si="442">RIGHT(A373,5)</f>
        <v>58830</v>
      </c>
      <c r="G373" s="295" t="str">
        <f>VLOOKUP(F373,'GL Category'!A:C,3,FALSE)</f>
        <v>Capital Outlay</v>
      </c>
      <c r="H373" s="98" t="str">
        <f>VLOOKUP(F373,'GL Category'!A:C,2,FALSE)</f>
        <v>MACHINERY &amp; EQUIPMENT</v>
      </c>
      <c r="I373" s="99">
        <f>SUMIF(Import!$B:$B,'Other Fund Line-Item Details'!$A373,Import!D:D)</f>
        <v>0</v>
      </c>
      <c r="J373" s="99">
        <f>SUMIF(Import!$B:$B,'Other Fund Line-Item Details'!$A373,Import!E:E)</f>
        <v>0</v>
      </c>
      <c r="K373" s="99">
        <f>SUMIF(Import!$B:$B,'Other Fund Line-Item Details'!$A373,Import!F:F)</f>
        <v>35151.94</v>
      </c>
      <c r="L373" s="99">
        <f>SUMIF(Import!$B:$B,'Other Fund Line-Item Details'!$A373,Import!G:G)</f>
        <v>0</v>
      </c>
      <c r="M373" s="99">
        <f>SUMIF(Import!$B:$B,'Other Fund Line-Item Details'!$A373,Import!H:H)</f>
        <v>0</v>
      </c>
      <c r="N373" s="99">
        <f>SUMIF(Import!$B:$B,'Other Fund Line-Item Details'!$A373,Import!I:I)</f>
        <v>0</v>
      </c>
      <c r="O373" s="99">
        <f>SUMIF(Import!$B:$B,'Other Fund Line-Item Details'!$A373,Import!J:J)</f>
        <v>0</v>
      </c>
      <c r="P373" s="99">
        <f t="shared" ref="P373" si="443">O373-M373</f>
        <v>0</v>
      </c>
      <c r="Q373" s="99">
        <f>SUMIF(Import!$B:$B,'Other Fund Line-Item Details'!$A373,Import!K:K)</f>
        <v>0</v>
      </c>
      <c r="R373" s="99">
        <f>SUMIF(Import!$B:$B,'Other Fund Line-Item Details'!$A373,Import!L:L)</f>
        <v>0</v>
      </c>
      <c r="S373" s="99">
        <f>SUMIF(Import!$B:$B,'Other Fund Line-Item Details'!$A373,Import!M:M)</f>
        <v>0</v>
      </c>
      <c r="T373" s="99">
        <f>SUMIF(Import!$B:$B,'Other Fund Line-Item Details'!$A373,Import!N:N)</f>
        <v>0</v>
      </c>
      <c r="U373" s="99">
        <f t="shared" ref="U373" si="444">T373-M373</f>
        <v>0</v>
      </c>
      <c r="V373" s="255" t="str">
        <f t="shared" ref="V373" si="445">IF(M373=0,"N/A",T373/M373-1)</f>
        <v>N/A</v>
      </c>
      <c r="W373" s="102" t="s">
        <v>1998</v>
      </c>
      <c r="X373" s="102"/>
      <c r="Y373" s="102">
        <f t="shared" si="424"/>
        <v>0</v>
      </c>
      <c r="Z373" s="309">
        <f>Y373*(1+VLOOKUP($F373,'GL Category'!$A:$H,4,FALSE))</f>
        <v>0</v>
      </c>
      <c r="AA373" s="615"/>
      <c r="AB373" s="622">
        <f t="shared" si="425"/>
        <v>0</v>
      </c>
      <c r="AC373" s="633">
        <f>AB373*(1+VLOOKUP($F373,'GL Category'!$A:$H,5,FALSE))</f>
        <v>0</v>
      </c>
      <c r="AD373" s="307"/>
      <c r="AE373" s="622">
        <f t="shared" si="426"/>
        <v>0</v>
      </c>
      <c r="AF373" s="633">
        <f>AE373*(1+VLOOKUP($F373,'GL Category'!$A:$H,6,FALSE))</f>
        <v>0</v>
      </c>
      <c r="AG373" s="307"/>
      <c r="AH373" s="622">
        <f t="shared" si="427"/>
        <v>0</v>
      </c>
      <c r="AI373" s="633">
        <f>AH373*(1+VLOOKUP($F373,'GL Category'!$A:$H,7,FALSE))</f>
        <v>0</v>
      </c>
      <c r="AJ373" s="307"/>
      <c r="AK373" s="622">
        <f t="shared" si="428"/>
        <v>0</v>
      </c>
      <c r="AL373" s="633">
        <f>AK373*(1+VLOOKUP($F373,'GL Category'!$A:$H,8,FALSE))</f>
        <v>0</v>
      </c>
      <c r="AM373" s="307"/>
      <c r="AN373" s="622">
        <f t="shared" si="429"/>
        <v>0</v>
      </c>
    </row>
    <row r="374" spans="1:40" s="115" customFormat="1" ht="15" customHeight="1">
      <c r="A374" s="555" t="s">
        <v>3233</v>
      </c>
      <c r="B374" s="217" t="str">
        <f t="shared" si="386"/>
        <v>118</v>
      </c>
      <c r="C374" s="217" t="str">
        <f t="shared" si="387"/>
        <v>31</v>
      </c>
      <c r="D374" s="101" t="str">
        <f t="shared" si="388"/>
        <v>315</v>
      </c>
      <c r="E374" s="217" t="str">
        <f t="shared" si="389"/>
        <v>118-31-315</v>
      </c>
      <c r="F374" s="294" t="str">
        <f t="shared" si="390"/>
        <v>58830</v>
      </c>
      <c r="G374" s="295" t="str">
        <f>VLOOKUP(F374,'GL Category'!A:C,3,FALSE)</f>
        <v>Capital Outlay</v>
      </c>
      <c r="H374" s="98" t="str">
        <f>VLOOKUP(F374,'GL Category'!A:C,2,FALSE)</f>
        <v>MACHINERY &amp; EQUIPMENT</v>
      </c>
      <c r="I374" s="99">
        <f>SUMIF(Import!$B:$B,'Other Fund Line-Item Details'!$A374,Import!D:D)</f>
        <v>0</v>
      </c>
      <c r="J374" s="99">
        <f>SUMIF(Import!$B:$B,'Other Fund Line-Item Details'!$A374,Import!E:E)</f>
        <v>28625</v>
      </c>
      <c r="K374" s="99">
        <f>SUMIF(Import!$B:$B,'Other Fund Line-Item Details'!$A374,Import!F:F)</f>
        <v>0</v>
      </c>
      <c r="L374" s="99">
        <f>SUMIF(Import!$B:$B,'Other Fund Line-Item Details'!$A374,Import!G:G)</f>
        <v>344108.48</v>
      </c>
      <c r="M374" s="99">
        <f>SUMIF(Import!$B:$B,'Other Fund Line-Item Details'!$A374,Import!H:H)</f>
        <v>455000</v>
      </c>
      <c r="N374" s="99">
        <f>SUMIF(Import!$B:$B,'Other Fund Line-Item Details'!$A374,Import!I:I)</f>
        <v>439206.15</v>
      </c>
      <c r="O374" s="99">
        <f>SUMIF(Import!$B:$B,'Other Fund Line-Item Details'!$A374,Import!J:J)</f>
        <v>455000</v>
      </c>
      <c r="P374" s="99">
        <f t="shared" si="421"/>
        <v>0</v>
      </c>
      <c r="Q374" s="99">
        <f>SUMIF(Import!$B:$B,'Other Fund Line-Item Details'!$A374,Import!K:K)</f>
        <v>327517</v>
      </c>
      <c r="R374" s="99">
        <f>SUMIF(Import!$B:$B,'Other Fund Line-Item Details'!$A374,Import!L:L)</f>
        <v>0</v>
      </c>
      <c r="S374" s="99">
        <f>SUMIF(Import!$B:$B,'Other Fund Line-Item Details'!$A374,Import!M:M)</f>
        <v>0</v>
      </c>
      <c r="T374" s="99">
        <f>SUMIF(Import!$B:$B,'Other Fund Line-Item Details'!$A374,Import!N:N)</f>
        <v>327517</v>
      </c>
      <c r="U374" s="99">
        <f t="shared" si="422"/>
        <v>-127483</v>
      </c>
      <c r="V374" s="255">
        <f t="shared" si="423"/>
        <v>-0.28018241758241758</v>
      </c>
      <c r="W374" s="102" t="s">
        <v>1998</v>
      </c>
      <c r="X374" s="102"/>
      <c r="Y374" s="102">
        <f t="shared" si="424"/>
        <v>327517</v>
      </c>
      <c r="Z374" s="309">
        <f>Y374*(1+VLOOKUP($F374,'GL Category'!$A:$H,4,FALSE))</f>
        <v>327517</v>
      </c>
      <c r="AA374" s="615"/>
      <c r="AB374" s="622">
        <f t="shared" si="425"/>
        <v>327517</v>
      </c>
      <c r="AC374" s="633">
        <f>AB374*(1+VLOOKUP($F374,'GL Category'!$A:$H,5,FALSE))</f>
        <v>337342.51</v>
      </c>
      <c r="AD374" s="307"/>
      <c r="AE374" s="622">
        <f t="shared" si="426"/>
        <v>337342.51</v>
      </c>
      <c r="AF374" s="633">
        <f>AE374*(1+VLOOKUP($F374,'GL Category'!$A:$H,6,FALSE))</f>
        <v>347462.78530000005</v>
      </c>
      <c r="AG374" s="307"/>
      <c r="AH374" s="622">
        <f t="shared" si="427"/>
        <v>347462.78530000005</v>
      </c>
      <c r="AI374" s="633">
        <f>AH374*(1+VLOOKUP($F374,'GL Category'!$A:$H,7,FALSE))</f>
        <v>357886.66885900008</v>
      </c>
      <c r="AJ374" s="307"/>
      <c r="AK374" s="622">
        <f t="shared" si="428"/>
        <v>357886.66885900008</v>
      </c>
      <c r="AL374" s="633">
        <f>AK374*(1+VLOOKUP($F374,'GL Category'!$A:$H,8,FALSE))</f>
        <v>368623.26892477012</v>
      </c>
      <c r="AM374" s="307"/>
      <c r="AN374" s="622">
        <f t="shared" si="429"/>
        <v>368623.26892477012</v>
      </c>
    </row>
    <row r="375" spans="1:40" s="115" customFormat="1" ht="15" customHeight="1">
      <c r="A375" s="555" t="s">
        <v>3386</v>
      </c>
      <c r="B375" s="217" t="str">
        <f t="shared" ref="B375" si="446">LEFT(A375,3)</f>
        <v>118</v>
      </c>
      <c r="C375" s="217" t="str">
        <f t="shared" ref="C375" si="447">MID(A375,5,2)</f>
        <v>31</v>
      </c>
      <c r="D375" s="101" t="str">
        <f t="shared" ref="D375" si="448">MID(A375,8,3)</f>
        <v>313</v>
      </c>
      <c r="E375" s="217" t="str">
        <f t="shared" ref="E375" si="449">LEFT(A375,10)</f>
        <v>118-31-313</v>
      </c>
      <c r="F375" s="294" t="str">
        <f t="shared" ref="F375" si="450">RIGHT(A375,5)</f>
        <v>53543</v>
      </c>
      <c r="G375" s="295" t="str">
        <f>VLOOKUP(F375,'GL Category'!A:C,3,FALSE)</f>
        <v>Services &amp; other</v>
      </c>
      <c r="H375" s="98" t="str">
        <f>VLOOKUP(F375,'GL Category'!A:C,2,FALSE)</f>
        <v>ENGINEERING/DESIGN SERVICES</v>
      </c>
      <c r="I375" s="99">
        <f>SUMIF(Import!$B:$B,'Other Fund Line-Item Details'!$A375,Import!D:D)</f>
        <v>0</v>
      </c>
      <c r="J375" s="99">
        <f>SUMIF(Import!$B:$B,'Other Fund Line-Item Details'!$A375,Import!E:E)</f>
        <v>0</v>
      </c>
      <c r="K375" s="99">
        <f>SUMIF(Import!$B:$B,'Other Fund Line-Item Details'!$A375,Import!F:F)</f>
        <v>47290.559999999998</v>
      </c>
      <c r="L375" s="99">
        <f>SUMIF(Import!$B:$B,'Other Fund Line-Item Details'!$A375,Import!G:G)</f>
        <v>0</v>
      </c>
      <c r="M375" s="99">
        <f>SUMIF(Import!$B:$B,'Other Fund Line-Item Details'!$A375,Import!H:H)</f>
        <v>0</v>
      </c>
      <c r="N375" s="99">
        <f>SUMIF(Import!$B:$B,'Other Fund Line-Item Details'!$A375,Import!I:I)</f>
        <v>0</v>
      </c>
      <c r="O375" s="99">
        <f>SUMIF(Import!$B:$B,'Other Fund Line-Item Details'!$A375,Import!J:J)</f>
        <v>0</v>
      </c>
      <c r="P375" s="99">
        <f t="shared" ref="P375" si="451">O375-M375</f>
        <v>0</v>
      </c>
      <c r="Q375" s="99">
        <f>SUMIF(Import!$B:$B,'Other Fund Line-Item Details'!$A375,Import!K:K)</f>
        <v>0</v>
      </c>
      <c r="R375" s="99">
        <f>SUMIF(Import!$B:$B,'Other Fund Line-Item Details'!$A375,Import!L:L)</f>
        <v>0</v>
      </c>
      <c r="S375" s="99">
        <f>SUMIF(Import!$B:$B,'Other Fund Line-Item Details'!$A375,Import!M:M)</f>
        <v>0</v>
      </c>
      <c r="T375" s="99">
        <f>SUMIF(Import!$B:$B,'Other Fund Line-Item Details'!$A375,Import!N:N)</f>
        <v>0</v>
      </c>
      <c r="U375" s="99">
        <f t="shared" ref="U375" si="452">T375-M375</f>
        <v>0</v>
      </c>
      <c r="V375" s="255" t="str">
        <f t="shared" ref="V375" si="453">IF(M375=0,"N/A",T375/M375-1)</f>
        <v>N/A</v>
      </c>
      <c r="W375" s="102" t="s">
        <v>1999</v>
      </c>
      <c r="X375" s="102"/>
      <c r="Y375" s="102">
        <f t="shared" si="424"/>
        <v>0</v>
      </c>
      <c r="Z375" s="309">
        <f>Y375*(1+VLOOKUP($F375,'GL Category'!$A:$H,4,FALSE))</f>
        <v>0</v>
      </c>
      <c r="AA375" s="615"/>
      <c r="AB375" s="622">
        <f t="shared" si="425"/>
        <v>0</v>
      </c>
      <c r="AC375" s="633">
        <f>AB375*(1+VLOOKUP($F375,'GL Category'!$A:$H,5,FALSE))</f>
        <v>0</v>
      </c>
      <c r="AD375" s="307"/>
      <c r="AE375" s="622">
        <f t="shared" si="426"/>
        <v>0</v>
      </c>
      <c r="AF375" s="633">
        <f>AE375*(1+VLOOKUP($F375,'GL Category'!$A:$H,6,FALSE))</f>
        <v>0</v>
      </c>
      <c r="AG375" s="307"/>
      <c r="AH375" s="622">
        <f t="shared" si="427"/>
        <v>0</v>
      </c>
      <c r="AI375" s="633">
        <f>AH375*(1+VLOOKUP($F375,'GL Category'!$A:$H,7,FALSE))</f>
        <v>0</v>
      </c>
      <c r="AJ375" s="307"/>
      <c r="AK375" s="622">
        <f t="shared" si="428"/>
        <v>0</v>
      </c>
      <c r="AL375" s="633">
        <f>AK375*(1+VLOOKUP($F375,'GL Category'!$A:$H,8,FALSE))</f>
        <v>0</v>
      </c>
      <c r="AM375" s="307"/>
      <c r="AN375" s="622">
        <f t="shared" si="429"/>
        <v>0</v>
      </c>
    </row>
    <row r="376" spans="1:40" s="115" customFormat="1" ht="15" customHeight="1">
      <c r="A376" s="555" t="s">
        <v>1999</v>
      </c>
      <c r="B376" s="217" t="str">
        <f t="shared" si="386"/>
        <v>118</v>
      </c>
      <c r="C376" s="217" t="str">
        <f t="shared" si="387"/>
        <v>31</v>
      </c>
      <c r="D376" s="101" t="str">
        <f t="shared" si="388"/>
        <v>312</v>
      </c>
      <c r="E376" s="217" t="str">
        <f t="shared" si="389"/>
        <v>118-31-312</v>
      </c>
      <c r="F376" s="294" t="str">
        <f t="shared" si="390"/>
        <v>58840</v>
      </c>
      <c r="G376" s="295" t="str">
        <f>VLOOKUP(F376,'GL Category'!A:C,3,FALSE)</f>
        <v>Capital Outlay</v>
      </c>
      <c r="H376" s="98" t="str">
        <f>VLOOKUP(F376,'GL Category'!A:C,2,FALSE)</f>
        <v>MOTOR VEHICLES</v>
      </c>
      <c r="I376" s="99">
        <f>SUMIF(Import!$B:$B,'Other Fund Line-Item Details'!$A376,Import!D:D)</f>
        <v>548503.24</v>
      </c>
      <c r="J376" s="99">
        <f>SUMIF(Import!$B:$B,'Other Fund Line-Item Details'!$A376,Import!E:E)</f>
        <v>381215.71</v>
      </c>
      <c r="K376" s="99">
        <f>SUMIF(Import!$B:$B,'Other Fund Line-Item Details'!$A376,Import!F:F)</f>
        <v>170547.21</v>
      </c>
      <c r="L376" s="99">
        <f>SUMIF(Import!$B:$B,'Other Fund Line-Item Details'!$A376,Import!G:G)</f>
        <v>193635.23</v>
      </c>
      <c r="M376" s="99">
        <f>SUMIF(Import!$B:$B,'Other Fund Line-Item Details'!$A376,Import!H:H)</f>
        <v>899934</v>
      </c>
      <c r="N376" s="99">
        <f>SUMIF(Import!$B:$B,'Other Fund Line-Item Details'!$A376,Import!I:I)</f>
        <v>756898.53</v>
      </c>
      <c r="O376" s="99">
        <f>SUMIF(Import!$B:$B,'Other Fund Line-Item Details'!$A376,Import!J:J)</f>
        <v>899934</v>
      </c>
      <c r="P376" s="99">
        <f t="shared" si="421"/>
        <v>0</v>
      </c>
      <c r="Q376" s="99">
        <f>SUMIF(Import!$B:$B,'Other Fund Line-Item Details'!$A376,Import!K:K)</f>
        <v>566894</v>
      </c>
      <c r="R376" s="99">
        <f>SUMIF(Import!$B:$B,'Other Fund Line-Item Details'!$A376,Import!L:L)</f>
        <v>0</v>
      </c>
      <c r="S376" s="99">
        <f>SUMIF(Import!$B:$B,'Other Fund Line-Item Details'!$A376,Import!M:M)</f>
        <v>0</v>
      </c>
      <c r="T376" s="99">
        <f>SUMIF(Import!$B:$B,'Other Fund Line-Item Details'!$A376,Import!N:N)</f>
        <v>566894</v>
      </c>
      <c r="U376" s="99">
        <f t="shared" si="422"/>
        <v>-333040</v>
      </c>
      <c r="V376" s="255">
        <f t="shared" si="423"/>
        <v>-0.37007158302719978</v>
      </c>
      <c r="W376" s="102" t="s">
        <v>1999</v>
      </c>
      <c r="X376" s="102">
        <v>566894</v>
      </c>
      <c r="Y376" s="102">
        <f t="shared" si="424"/>
        <v>0</v>
      </c>
      <c r="Z376" s="309">
        <f>Y376*(1+VLOOKUP($F376,'GL Category'!$A:$H,4,FALSE))</f>
        <v>0</v>
      </c>
      <c r="AA376" s="615"/>
      <c r="AB376" s="622">
        <f t="shared" si="425"/>
        <v>0</v>
      </c>
      <c r="AC376" s="633">
        <f>AB376*(1+VLOOKUP($F376,'GL Category'!$A:$H,5,FALSE))</f>
        <v>0</v>
      </c>
      <c r="AD376" s="307"/>
      <c r="AE376" s="622">
        <f t="shared" si="426"/>
        <v>0</v>
      </c>
      <c r="AF376" s="633">
        <f>AE376*(1+VLOOKUP($F376,'GL Category'!$A:$H,6,FALSE))</f>
        <v>0</v>
      </c>
      <c r="AG376" s="307"/>
      <c r="AH376" s="622">
        <f t="shared" si="427"/>
        <v>0</v>
      </c>
      <c r="AI376" s="633">
        <f>AH376*(1+VLOOKUP($F376,'GL Category'!$A:$H,7,FALSE))</f>
        <v>0</v>
      </c>
      <c r="AJ376" s="307"/>
      <c r="AK376" s="622">
        <f t="shared" si="428"/>
        <v>0</v>
      </c>
      <c r="AL376" s="633">
        <f>AK376*(1+VLOOKUP($F376,'GL Category'!$A:$H,8,FALSE))</f>
        <v>0</v>
      </c>
      <c r="AM376" s="307"/>
      <c r="AN376" s="622">
        <f t="shared" si="429"/>
        <v>0</v>
      </c>
    </row>
    <row r="377" spans="1:40" s="115" customFormat="1" ht="15" customHeight="1">
      <c r="A377" s="555"/>
      <c r="B377" s="217"/>
      <c r="C377" s="217"/>
      <c r="D377" s="101"/>
      <c r="E377" s="217"/>
      <c r="F377" s="294"/>
      <c r="G377" s="146"/>
      <c r="H377" s="107" t="str">
        <f>UPPER(G376)&amp;" TOTAL"</f>
        <v>CAPITAL OUTLAY TOTAL</v>
      </c>
      <c r="I377" s="108">
        <f t="shared" ref="I377" si="454">SUBTOTAL(9,I366:I376)</f>
        <v>629703.14</v>
      </c>
      <c r="J377" s="108">
        <f t="shared" ref="J377:T377" si="455">SUBTOTAL(9,J366:J376)</f>
        <v>479943.72000000003</v>
      </c>
      <c r="K377" s="108">
        <f t="shared" ref="K377" si="456">SUBTOTAL(9,K366:K376)</f>
        <v>350960.11</v>
      </c>
      <c r="L377" s="108">
        <f t="shared" ref="L377" si="457">SUBTOTAL(9,L366:L376)</f>
        <v>659336.04</v>
      </c>
      <c r="M377" s="108">
        <f t="shared" si="455"/>
        <v>1443679</v>
      </c>
      <c r="N377" s="108">
        <f t="shared" ref="N377" si="458">SUBTOTAL(9,N366:N376)</f>
        <v>1261818.8700000001</v>
      </c>
      <c r="O377" s="108">
        <f t="shared" si="455"/>
        <v>1443679</v>
      </c>
      <c r="P377" s="108">
        <f t="shared" si="455"/>
        <v>0</v>
      </c>
      <c r="Q377" s="108">
        <f t="shared" si="455"/>
        <v>1062051</v>
      </c>
      <c r="R377" s="108">
        <f t="shared" si="455"/>
        <v>0</v>
      </c>
      <c r="S377" s="108">
        <f t="shared" si="455"/>
        <v>0</v>
      </c>
      <c r="T377" s="108">
        <f t="shared" si="455"/>
        <v>1062051</v>
      </c>
      <c r="U377" s="99">
        <f t="shared" si="422"/>
        <v>-381628</v>
      </c>
      <c r="V377" s="255">
        <f t="shared" si="423"/>
        <v>-0.26434408202931536</v>
      </c>
      <c r="W377" s="102"/>
      <c r="X377" s="121"/>
      <c r="Y377" s="121"/>
      <c r="Z377" s="121"/>
      <c r="AA377" s="121"/>
      <c r="AB377" s="121"/>
      <c r="AC377" s="121"/>
      <c r="AD377" s="121"/>
      <c r="AE377" s="121"/>
      <c r="AF377" s="121"/>
      <c r="AG377" s="121"/>
      <c r="AH377" s="121"/>
      <c r="AI377" s="121"/>
    </row>
    <row r="378" spans="1:40" s="115" customFormat="1" ht="15" customHeight="1">
      <c r="A378" s="555"/>
      <c r="B378" s="217"/>
      <c r="C378" s="217"/>
      <c r="D378" s="101"/>
      <c r="E378" s="217"/>
      <c r="F378" s="294"/>
      <c r="G378" s="146"/>
      <c r="H378" s="98"/>
      <c r="I378" s="106"/>
      <c r="J378" s="106"/>
      <c r="K378" s="106"/>
      <c r="L378" s="106"/>
      <c r="M378" s="106"/>
      <c r="N378" s="112"/>
      <c r="O378" s="112"/>
      <c r="P378" s="112"/>
      <c r="Q378" s="113"/>
      <c r="R378" s="212"/>
      <c r="S378" s="212"/>
      <c r="T378" s="113"/>
      <c r="U378" s="105"/>
      <c r="V378" s="262"/>
      <c r="W378" s="102"/>
      <c r="X378" s="121"/>
      <c r="Y378" s="121"/>
      <c r="Z378" s="121"/>
      <c r="AA378" s="121"/>
      <c r="AB378" s="121"/>
      <c r="AC378" s="121"/>
      <c r="AD378" s="121"/>
      <c r="AE378" s="121"/>
      <c r="AF378" s="121"/>
      <c r="AG378" s="121"/>
      <c r="AH378" s="121"/>
      <c r="AI378" s="121"/>
    </row>
    <row r="379" spans="1:40" s="115" customFormat="1" ht="15" customHeight="1">
      <c r="A379" s="555" t="s">
        <v>2000</v>
      </c>
      <c r="B379" s="217" t="str">
        <f t="shared" si="386"/>
        <v>118</v>
      </c>
      <c r="C379" s="217" t="str">
        <f t="shared" si="387"/>
        <v>99</v>
      </c>
      <c r="D379" s="101" t="str">
        <f t="shared" si="388"/>
        <v>992</v>
      </c>
      <c r="E379" s="217" t="str">
        <f t="shared" si="389"/>
        <v>118-99-992</v>
      </c>
      <c r="F379" s="294" t="str">
        <f t="shared" si="390"/>
        <v>56900</v>
      </c>
      <c r="G379" s="295" t="str">
        <f>VLOOKUP(F379,'GL Category'!A:C,3,FALSE)</f>
        <v>Debt Service</v>
      </c>
      <c r="H379" s="98" t="str">
        <f>VLOOKUP(F379,'GL Category'!A:C,2,FALSE)</f>
        <v>INTEREST/OTHER DEBTAMORTIZATI</v>
      </c>
      <c r="I379" s="99">
        <f>SUMIF(Import!$B:$B,'Other Fund Line-Item Details'!$A379,Import!D:D)</f>
        <v>134950</v>
      </c>
      <c r="J379" s="99">
        <f>SUMIF(Import!$B:$B,'Other Fund Line-Item Details'!$A379,Import!E:E)</f>
        <v>114950</v>
      </c>
      <c r="K379" s="99">
        <f>SUMIF(Import!$B:$B,'Other Fund Line-Item Details'!$A379,Import!F:F)</f>
        <v>93825</v>
      </c>
      <c r="L379" s="99">
        <f>SUMIF(Import!$B:$B,'Other Fund Line-Item Details'!$A379,Import!G:G)</f>
        <v>71575</v>
      </c>
      <c r="M379" s="99">
        <f>SUMIF(Import!$B:$B,'Other Fund Line-Item Details'!$A379,Import!H:H)</f>
        <v>53075</v>
      </c>
      <c r="N379" s="99">
        <f>SUMIF(Import!$B:$B,'Other Fund Line-Item Details'!$A379,Import!I:I)</f>
        <v>30100</v>
      </c>
      <c r="O379" s="99">
        <f>SUMIF(Import!$B:$B,'Other Fund Line-Item Details'!$A379,Import!J:J)</f>
        <v>53075</v>
      </c>
      <c r="P379" s="99">
        <f>O379-M379</f>
        <v>0</v>
      </c>
      <c r="Q379" s="99">
        <f>SUMIF(Import!$B:$B,'Other Fund Line-Item Details'!$A379,Import!K:K)</f>
        <v>38600</v>
      </c>
      <c r="R379" s="99">
        <f>SUMIF(Import!$B:$B,'Other Fund Line-Item Details'!$A379,Import!L:L)</f>
        <v>0</v>
      </c>
      <c r="S379" s="99">
        <f>SUMIF(Import!$B:$B,'Other Fund Line-Item Details'!$A379,Import!M:M)</f>
        <v>0</v>
      </c>
      <c r="T379" s="99">
        <f>SUMIF(Import!$B:$B,'Other Fund Line-Item Details'!$A379,Import!N:N)</f>
        <v>38600</v>
      </c>
      <c r="U379" s="99">
        <f>T379-M379</f>
        <v>-14475</v>
      </c>
      <c r="V379" s="255">
        <f>IF(M379=0,"N/A",T379/M379-1)</f>
        <v>-0.27272727272727271</v>
      </c>
      <c r="W379" s="102" t="s">
        <v>2000</v>
      </c>
      <c r="X379" s="102"/>
      <c r="Y379" s="102">
        <f t="shared" ref="Y379:Y381" si="459">T379-X379</f>
        <v>38600</v>
      </c>
      <c r="Z379" s="309">
        <v>23750</v>
      </c>
      <c r="AA379" s="615"/>
      <c r="AB379" s="622">
        <f t="shared" ref="AB379:AB381" si="460">Z379+AA379</f>
        <v>23750</v>
      </c>
      <c r="AC379" s="633">
        <v>8125</v>
      </c>
      <c r="AD379" s="307"/>
      <c r="AE379" s="622">
        <v>0</v>
      </c>
      <c r="AF379" s="633">
        <f>AE379*(1+VLOOKUP($F379,'GL Category'!$A:$H,6,FALSE))</f>
        <v>0</v>
      </c>
      <c r="AG379" s="307"/>
      <c r="AH379" s="622">
        <f t="shared" ref="AH379:AH381" si="461">AF379+AG379</f>
        <v>0</v>
      </c>
      <c r="AI379" s="633">
        <f>AH379*(1+VLOOKUP($F379,'GL Category'!$A:$H,7,FALSE))</f>
        <v>0</v>
      </c>
      <c r="AJ379" s="307"/>
      <c r="AK379" s="622">
        <f t="shared" ref="AK379:AK381" si="462">AI379+AJ379</f>
        <v>0</v>
      </c>
      <c r="AL379" s="633">
        <f>AK379*(1+VLOOKUP($F379,'GL Category'!$A:$H,8,FALSE))</f>
        <v>0</v>
      </c>
      <c r="AM379" s="307"/>
      <c r="AN379" s="622">
        <f t="shared" ref="AN379:AN381" si="463">AL379+AM379</f>
        <v>0</v>
      </c>
    </row>
    <row r="380" spans="1:40" s="115" customFormat="1" ht="15" customHeight="1">
      <c r="A380" s="555" t="s">
        <v>2001</v>
      </c>
      <c r="B380" s="217" t="str">
        <f t="shared" si="386"/>
        <v>118</v>
      </c>
      <c r="C380" s="217" t="str">
        <f t="shared" si="387"/>
        <v>99</v>
      </c>
      <c r="D380" s="101" t="str">
        <f t="shared" si="388"/>
        <v>992</v>
      </c>
      <c r="E380" s="217" t="str">
        <f t="shared" si="389"/>
        <v>118-99-992</v>
      </c>
      <c r="F380" s="294" t="str">
        <f t="shared" si="390"/>
        <v>56901</v>
      </c>
      <c r="G380" s="295" t="str">
        <f>VLOOKUP(F380,'GL Category'!A:C,3,FALSE)</f>
        <v>Debt Service</v>
      </c>
      <c r="H380" s="98" t="str">
        <f>VLOOKUP(F380,'GL Category'!A:C,2,FALSE)</f>
        <v>PAYING AGENT SERVICES</v>
      </c>
      <c r="I380" s="99">
        <f>SUMIF(Import!$B:$B,'Other Fund Line-Item Details'!$A380,Import!D:D)</f>
        <v>500</v>
      </c>
      <c r="J380" s="99">
        <f>SUMIF(Import!$B:$B,'Other Fund Line-Item Details'!$A380,Import!E:E)</f>
        <v>0</v>
      </c>
      <c r="K380" s="99">
        <f>SUMIF(Import!$B:$B,'Other Fund Line-Item Details'!$A380,Import!F:F)</f>
        <v>0</v>
      </c>
      <c r="L380" s="99">
        <f>SUMIF(Import!$B:$B,'Other Fund Line-Item Details'!$A380,Import!G:G)</f>
        <v>0</v>
      </c>
      <c r="M380" s="99">
        <f>SUMIF(Import!$B:$B,'Other Fund Line-Item Details'!$A380,Import!H:H)</f>
        <v>0</v>
      </c>
      <c r="N380" s="99">
        <f>SUMIF(Import!$B:$B,'Other Fund Line-Item Details'!$A380,Import!I:I)</f>
        <v>0</v>
      </c>
      <c r="O380" s="99">
        <f>SUMIF(Import!$B:$B,'Other Fund Line-Item Details'!$A380,Import!J:J)</f>
        <v>0</v>
      </c>
      <c r="P380" s="99">
        <f>O380-M380</f>
        <v>0</v>
      </c>
      <c r="Q380" s="99">
        <f>SUMIF(Import!$B:$B,'Other Fund Line-Item Details'!$A380,Import!K:K)</f>
        <v>0</v>
      </c>
      <c r="R380" s="99">
        <f>SUMIF(Import!$B:$B,'Other Fund Line-Item Details'!$A380,Import!L:L)</f>
        <v>0</v>
      </c>
      <c r="S380" s="99">
        <f>SUMIF(Import!$B:$B,'Other Fund Line-Item Details'!$A380,Import!M:M)</f>
        <v>0</v>
      </c>
      <c r="T380" s="99">
        <f>SUMIF(Import!$B:$B,'Other Fund Line-Item Details'!$A380,Import!N:N)</f>
        <v>0</v>
      </c>
      <c r="U380" s="99">
        <f>T380-M380</f>
        <v>0</v>
      </c>
      <c r="V380" s="255" t="str">
        <f>IF(M380=0,"N/A",T380/M380-1)</f>
        <v>N/A</v>
      </c>
      <c r="W380" s="102" t="s">
        <v>2001</v>
      </c>
      <c r="X380" s="102"/>
      <c r="Y380" s="102">
        <f t="shared" si="459"/>
        <v>0</v>
      </c>
      <c r="Z380" s="309">
        <f>Y380*(1+VLOOKUP($F380,'GL Category'!$A:$H,4,FALSE))</f>
        <v>0</v>
      </c>
      <c r="AA380" s="615"/>
      <c r="AB380" s="622">
        <f t="shared" si="460"/>
        <v>0</v>
      </c>
      <c r="AC380" s="633">
        <f>AB380*(1+VLOOKUP($F380,'GL Category'!$A:$H,5,FALSE))</f>
        <v>0</v>
      </c>
      <c r="AD380" s="307"/>
      <c r="AE380" s="622">
        <f t="shared" ref="AE380" si="464">AC380+AD380</f>
        <v>0</v>
      </c>
      <c r="AF380" s="633">
        <f>AE380*(1+VLOOKUP($F380,'GL Category'!$A:$H,6,FALSE))</f>
        <v>0</v>
      </c>
      <c r="AG380" s="307"/>
      <c r="AH380" s="622">
        <f t="shared" si="461"/>
        <v>0</v>
      </c>
      <c r="AI380" s="633">
        <f>AH380*(1+VLOOKUP($F380,'GL Category'!$A:$H,7,FALSE))</f>
        <v>0</v>
      </c>
      <c r="AJ380" s="307"/>
      <c r="AK380" s="622">
        <f t="shared" si="462"/>
        <v>0</v>
      </c>
      <c r="AL380" s="633">
        <f>AK380*(1+VLOOKUP($F380,'GL Category'!$A:$H,8,FALSE))</f>
        <v>0</v>
      </c>
      <c r="AM380" s="307"/>
      <c r="AN380" s="622">
        <f t="shared" si="463"/>
        <v>0</v>
      </c>
    </row>
    <row r="381" spans="1:40" s="115" customFormat="1" ht="15" customHeight="1">
      <c r="A381" s="555" t="s">
        <v>2002</v>
      </c>
      <c r="B381" s="217" t="str">
        <f t="shared" si="386"/>
        <v>118</v>
      </c>
      <c r="C381" s="217" t="str">
        <f t="shared" si="387"/>
        <v>99</v>
      </c>
      <c r="D381" s="101" t="str">
        <f t="shared" si="388"/>
        <v>992</v>
      </c>
      <c r="E381" s="217" t="str">
        <f t="shared" si="389"/>
        <v>118-99-992</v>
      </c>
      <c r="F381" s="294" t="str">
        <f t="shared" si="390"/>
        <v>56902</v>
      </c>
      <c r="G381" s="295" t="str">
        <f>VLOOKUP(F381,'GL Category'!A:C,3,FALSE)</f>
        <v>Debt Service</v>
      </c>
      <c r="H381" s="98" t="str">
        <f>VLOOKUP(F381,'GL Category'!A:C,2,FALSE)</f>
        <v>GO RETIREMENT</v>
      </c>
      <c r="I381" s="99">
        <f>SUMIF(Import!$B:$B,'Other Fund Line-Item Details'!$A381,Import!D:D)</f>
        <v>390000</v>
      </c>
      <c r="J381" s="99">
        <f>SUMIF(Import!$B:$B,'Other Fund Line-Item Details'!$A381,Import!E:E)</f>
        <v>410000</v>
      </c>
      <c r="K381" s="99">
        <f>SUMIF(Import!$B:$B,'Other Fund Line-Item Details'!$A381,Import!F:F)</f>
        <v>435000</v>
      </c>
      <c r="L381" s="99">
        <f>SUMIF(Import!$B:$B,'Other Fund Line-Item Details'!$A381,Import!G:G)</f>
        <v>455000</v>
      </c>
      <c r="M381" s="99">
        <f>SUMIF(Import!$B:$B,'Other Fund Line-Item Details'!$A381,Import!H:H)</f>
        <v>475000</v>
      </c>
      <c r="N381" s="99">
        <f>SUMIF(Import!$B:$B,'Other Fund Line-Item Details'!$A381,Import!I:I)</f>
        <v>475000</v>
      </c>
      <c r="O381" s="99">
        <f>SUMIF(Import!$B:$B,'Other Fund Line-Item Details'!$A381,Import!J:J)</f>
        <v>475000</v>
      </c>
      <c r="P381" s="99">
        <f>O381-M381</f>
        <v>0</v>
      </c>
      <c r="Q381" s="99">
        <f>SUMIF(Import!$B:$B,'Other Fund Line-Item Details'!$A381,Import!K:K)</f>
        <v>490000</v>
      </c>
      <c r="R381" s="99">
        <f>SUMIF(Import!$B:$B,'Other Fund Line-Item Details'!$A381,Import!L:L)</f>
        <v>0</v>
      </c>
      <c r="S381" s="99">
        <f>SUMIF(Import!$B:$B,'Other Fund Line-Item Details'!$A381,Import!M:M)</f>
        <v>0</v>
      </c>
      <c r="T381" s="99">
        <f>SUMIF(Import!$B:$B,'Other Fund Line-Item Details'!$A381,Import!N:N)</f>
        <v>490000</v>
      </c>
      <c r="U381" s="99">
        <f>T381-M381</f>
        <v>15000</v>
      </c>
      <c r="V381" s="255">
        <f>IF(M381=0,"N/A",T381/M381-1)</f>
        <v>3.1578947368421151E-2</v>
      </c>
      <c r="W381" s="102" t="s">
        <v>2002</v>
      </c>
      <c r="X381" s="102"/>
      <c r="Y381" s="102">
        <f t="shared" si="459"/>
        <v>490000</v>
      </c>
      <c r="Z381" s="309">
        <v>500000</v>
      </c>
      <c r="AA381" s="615"/>
      <c r="AB381" s="622">
        <f t="shared" si="460"/>
        <v>500000</v>
      </c>
      <c r="AC381" s="633">
        <v>520000</v>
      </c>
      <c r="AD381" s="307"/>
      <c r="AE381" s="622">
        <v>0</v>
      </c>
      <c r="AF381" s="633">
        <f>AE381*(1+VLOOKUP($F381,'GL Category'!$A:$H,6,FALSE))</f>
        <v>0</v>
      </c>
      <c r="AG381" s="307"/>
      <c r="AH381" s="622">
        <f t="shared" si="461"/>
        <v>0</v>
      </c>
      <c r="AI381" s="633">
        <f>AH381*(1+VLOOKUP($F381,'GL Category'!$A:$H,7,FALSE))</f>
        <v>0</v>
      </c>
      <c r="AJ381" s="307"/>
      <c r="AK381" s="622">
        <f t="shared" si="462"/>
        <v>0</v>
      </c>
      <c r="AL381" s="633">
        <f>AK381*(1+VLOOKUP($F381,'GL Category'!$A:$H,8,FALSE))</f>
        <v>0</v>
      </c>
      <c r="AM381" s="307"/>
      <c r="AN381" s="622">
        <f t="shared" si="463"/>
        <v>0</v>
      </c>
    </row>
    <row r="382" spans="1:40" s="115" customFormat="1" ht="15" customHeight="1">
      <c r="A382" s="555"/>
      <c r="B382" s="217"/>
      <c r="C382" s="217"/>
      <c r="D382" s="101"/>
      <c r="E382" s="217"/>
      <c r="F382" s="294"/>
      <c r="G382" s="146"/>
      <c r="H382" s="107" t="str">
        <f>UPPER(G381)&amp;" TOTAL"</f>
        <v>DEBT SERVICE TOTAL</v>
      </c>
      <c r="I382" s="108">
        <f t="shared" ref="I382" si="465">SUBTOTAL(9,I379:I381)</f>
        <v>525450</v>
      </c>
      <c r="J382" s="108">
        <f t="shared" ref="J382:T382" si="466">SUBTOTAL(9,J379:J381)</f>
        <v>524950</v>
      </c>
      <c r="K382" s="108">
        <f t="shared" ref="K382" si="467">SUBTOTAL(9,K379:K381)</f>
        <v>528825</v>
      </c>
      <c r="L382" s="108">
        <f t="shared" ref="L382" si="468">SUBTOTAL(9,L379:L381)</f>
        <v>526575</v>
      </c>
      <c r="M382" s="108">
        <f t="shared" si="466"/>
        <v>528075</v>
      </c>
      <c r="N382" s="108">
        <f t="shared" ref="N382" si="469">SUBTOTAL(9,N379:N381)</f>
        <v>505100</v>
      </c>
      <c r="O382" s="108">
        <f t="shared" si="466"/>
        <v>528075</v>
      </c>
      <c r="P382" s="108">
        <f t="shared" si="466"/>
        <v>0</v>
      </c>
      <c r="Q382" s="108">
        <f t="shared" si="466"/>
        <v>528600</v>
      </c>
      <c r="R382" s="108">
        <f t="shared" si="466"/>
        <v>0</v>
      </c>
      <c r="S382" s="108">
        <f t="shared" si="466"/>
        <v>0</v>
      </c>
      <c r="T382" s="108">
        <f t="shared" si="466"/>
        <v>528600</v>
      </c>
      <c r="U382" s="99">
        <f>T382-M382</f>
        <v>525</v>
      </c>
      <c r="V382" s="255">
        <f>IF(M382=0,"N/A",T382/M382-1)</f>
        <v>9.9417696349957119E-4</v>
      </c>
      <c r="W382" s="102"/>
      <c r="X382" s="121"/>
      <c r="Y382" s="121"/>
      <c r="Z382" s="121"/>
      <c r="AA382" s="121"/>
      <c r="AB382" s="121"/>
      <c r="AC382" s="121"/>
      <c r="AD382" s="121"/>
      <c r="AE382" s="121"/>
      <c r="AF382" s="121"/>
      <c r="AG382" s="121"/>
      <c r="AH382" s="121"/>
      <c r="AI382" s="121"/>
    </row>
    <row r="383" spans="1:40" s="115" customFormat="1" ht="15" customHeight="1">
      <c r="A383" s="555"/>
      <c r="B383" s="217"/>
      <c r="C383" s="217"/>
      <c r="D383" s="101"/>
      <c r="E383" s="217"/>
      <c r="F383" s="294"/>
      <c r="G383" s="146"/>
      <c r="H383" s="232"/>
      <c r="I383" s="233"/>
      <c r="J383" s="233"/>
      <c r="K383" s="233"/>
      <c r="L383" s="233"/>
      <c r="M383" s="233"/>
      <c r="N383" s="233"/>
      <c r="O383" s="233"/>
      <c r="P383" s="233"/>
      <c r="Q383" s="233"/>
      <c r="R383" s="233"/>
      <c r="S383" s="233"/>
      <c r="T383" s="233"/>
      <c r="U383" s="105"/>
      <c r="V383" s="262"/>
      <c r="W383" s="102"/>
      <c r="X383" s="121"/>
      <c r="Y383" s="121"/>
      <c r="Z383" s="121"/>
      <c r="AA383" s="121"/>
      <c r="AB383" s="121"/>
      <c r="AC383" s="121"/>
      <c r="AD383" s="121"/>
      <c r="AE383" s="121"/>
      <c r="AF383" s="121"/>
      <c r="AG383" s="121"/>
      <c r="AH383" s="121"/>
      <c r="AI383" s="121"/>
    </row>
    <row r="384" spans="1:40" s="115" customFormat="1" ht="15" customHeight="1">
      <c r="A384" s="555" t="s">
        <v>3412</v>
      </c>
      <c r="B384" s="217" t="str">
        <f t="shared" ref="B384" si="470">LEFT(A384,3)</f>
        <v>118</v>
      </c>
      <c r="C384" s="217" t="str">
        <f t="shared" ref="C384" si="471">MID(A384,5,2)</f>
        <v>99</v>
      </c>
      <c r="D384" s="101" t="str">
        <f t="shared" ref="D384" si="472">MID(A384,8,3)</f>
        <v>998</v>
      </c>
      <c r="E384" s="217" t="str">
        <f t="shared" ref="E384" si="473">LEFT(A384,10)</f>
        <v>118-99-998</v>
      </c>
      <c r="F384" s="294" t="str">
        <f t="shared" ref="F384" si="474">RIGHT(A384,5)</f>
        <v>59105</v>
      </c>
      <c r="G384" s="295" t="str">
        <f>VLOOKUP(F384,'GL Category'!A:C,3,FALSE)</f>
        <v>Transfers to other funds</v>
      </c>
      <c r="H384" s="98" t="str">
        <f>VLOOKUP(F384,'GL Category'!A:C,2,FALSE)</f>
        <v>TRANSFER TO CIP-GENERAL GOVERN</v>
      </c>
      <c r="I384" s="99">
        <f>SUMIF(Import!$B:$B,'Other Fund Line-Item Details'!$A384,Import!D:D)</f>
        <v>0</v>
      </c>
      <c r="J384" s="99">
        <f>SUMIF(Import!$B:$B,'Other Fund Line-Item Details'!$A384,Import!E:E)</f>
        <v>0</v>
      </c>
      <c r="K384" s="99">
        <f>SUMIF(Import!$B:$B,'Other Fund Line-Item Details'!$A384,Import!F:F)</f>
        <v>0</v>
      </c>
      <c r="L384" s="99">
        <f>SUMIF(Import!$B:$B,'Other Fund Line-Item Details'!$A384,Import!G:G)</f>
        <v>0</v>
      </c>
      <c r="M384" s="99">
        <f>SUMIF(Import!$B:$B,'Other Fund Line-Item Details'!$A384,Import!H:H)</f>
        <v>4500000</v>
      </c>
      <c r="N384" s="99">
        <f>SUMIF(Import!$B:$B,'Other Fund Line-Item Details'!$A384,Import!I:I)</f>
        <v>3375000</v>
      </c>
      <c r="O384" s="99">
        <f>SUMIF(Import!$B:$B,'Other Fund Line-Item Details'!$A384,Import!J:J)</f>
        <v>4500000</v>
      </c>
      <c r="P384" s="99">
        <f>O384-M384</f>
        <v>0</v>
      </c>
      <c r="Q384" s="99">
        <f>SUMIF(Import!$B:$B,'Other Fund Line-Item Details'!$A384,Import!K:K)</f>
        <v>570000</v>
      </c>
      <c r="R384" s="99">
        <f>SUMIF(Import!$B:$B,'Other Fund Line-Item Details'!$A384,Import!L:L)</f>
        <v>0</v>
      </c>
      <c r="S384" s="99">
        <f>SUMIF(Import!$B:$B,'Other Fund Line-Item Details'!$A384,Import!M:M)</f>
        <v>0</v>
      </c>
      <c r="T384" s="99">
        <f>SUMIF(Import!$B:$B,'Other Fund Line-Item Details'!$A384,Import!N:N)</f>
        <v>570000</v>
      </c>
      <c r="U384" s="99">
        <f>T384-M384</f>
        <v>-3930000</v>
      </c>
      <c r="V384" s="255">
        <f>IF(M384=0,"N/A",T384/M384-1)</f>
        <v>-0.87333333333333329</v>
      </c>
      <c r="W384" s="102" t="s">
        <v>2002</v>
      </c>
      <c r="X384" s="102">
        <v>570000</v>
      </c>
      <c r="Y384" s="102">
        <f t="shared" ref="Y384" si="475">T384-X384</f>
        <v>0</v>
      </c>
      <c r="Z384" s="309">
        <f>Y384*(1+VLOOKUP($F384,'GL Category'!$A:$H,4,FALSE))</f>
        <v>0</v>
      </c>
      <c r="AA384" s="615"/>
      <c r="AB384" s="622">
        <f t="shared" ref="AB384" si="476">Z384+AA384</f>
        <v>0</v>
      </c>
      <c r="AC384" s="633">
        <f>AB384*(1+VLOOKUP($F384,'GL Category'!$A:$H,5,FALSE))</f>
        <v>0</v>
      </c>
      <c r="AD384" s="307"/>
      <c r="AE384" s="622">
        <f t="shared" ref="AE384" si="477">AC384+AD384</f>
        <v>0</v>
      </c>
      <c r="AF384" s="633">
        <f>AE384*(1+VLOOKUP($F384,'GL Category'!$A:$H,6,FALSE))</f>
        <v>0</v>
      </c>
      <c r="AG384" s="307"/>
      <c r="AH384" s="622">
        <f t="shared" ref="AH384" si="478">AF384+AG384</f>
        <v>0</v>
      </c>
      <c r="AI384" s="633">
        <f>AH384*(1+VLOOKUP($F384,'GL Category'!$A:$H,7,FALSE))</f>
        <v>0</v>
      </c>
      <c r="AJ384" s="307"/>
      <c r="AK384" s="622">
        <f t="shared" ref="AK384" si="479">AI384+AJ384</f>
        <v>0</v>
      </c>
      <c r="AL384" s="633">
        <f>AK384*(1+VLOOKUP($F384,'GL Category'!$A:$H,8,FALSE))</f>
        <v>0</v>
      </c>
      <c r="AM384" s="307"/>
      <c r="AN384" s="622">
        <f t="shared" ref="AN384" si="480">AL384+AM384</f>
        <v>0</v>
      </c>
    </row>
    <row r="385" spans="1:40" s="115" customFormat="1" ht="15" customHeight="1">
      <c r="A385" s="555"/>
      <c r="B385" s="217"/>
      <c r="C385" s="217"/>
      <c r="D385" s="101"/>
      <c r="E385" s="217"/>
      <c r="F385" s="294"/>
      <c r="G385" s="146"/>
      <c r="H385" s="107" t="str">
        <f>UPPER(G384)&amp;" TOTAL"</f>
        <v>TRANSFERS TO OTHER FUNDS TOTAL</v>
      </c>
      <c r="I385" s="108">
        <f t="shared" ref="I385:T385" si="481">SUBTOTAL(9,I382:I384)</f>
        <v>0</v>
      </c>
      <c r="J385" s="108">
        <f t="shared" si="481"/>
        <v>0</v>
      </c>
      <c r="K385" s="108">
        <f t="shared" ref="K385" si="482">SUBTOTAL(9,K382:K384)</f>
        <v>0</v>
      </c>
      <c r="L385" s="108">
        <f t="shared" si="481"/>
        <v>0</v>
      </c>
      <c r="M385" s="108">
        <f t="shared" si="481"/>
        <v>4500000</v>
      </c>
      <c r="N385" s="108">
        <f t="shared" si="481"/>
        <v>3375000</v>
      </c>
      <c r="O385" s="108">
        <f t="shared" si="481"/>
        <v>4500000</v>
      </c>
      <c r="P385" s="108">
        <f t="shared" si="481"/>
        <v>0</v>
      </c>
      <c r="Q385" s="108">
        <f t="shared" si="481"/>
        <v>570000</v>
      </c>
      <c r="R385" s="108">
        <f t="shared" si="481"/>
        <v>0</v>
      </c>
      <c r="S385" s="108">
        <f t="shared" si="481"/>
        <v>0</v>
      </c>
      <c r="T385" s="108">
        <f t="shared" si="481"/>
        <v>570000</v>
      </c>
      <c r="U385" s="99">
        <f>T385-M385</f>
        <v>-3930000</v>
      </c>
      <c r="V385" s="255">
        <f>IF(M385=0,"N/A",T385/M385-1)</f>
        <v>-0.87333333333333329</v>
      </c>
      <c r="W385" s="102"/>
      <c r="X385" s="121"/>
      <c r="Y385" s="121"/>
      <c r="Z385" s="121"/>
      <c r="AA385" s="121"/>
      <c r="AB385" s="121"/>
      <c r="AC385" s="121"/>
      <c r="AD385" s="121"/>
      <c r="AE385" s="121"/>
      <c r="AF385" s="121"/>
      <c r="AG385" s="121"/>
      <c r="AH385" s="121"/>
      <c r="AI385" s="121"/>
    </row>
    <row r="386" spans="1:40" s="115" customFormat="1" ht="15" customHeight="1">
      <c r="A386" s="555"/>
      <c r="B386" s="217"/>
      <c r="C386" s="217"/>
      <c r="D386" s="101"/>
      <c r="E386" s="217"/>
      <c r="F386" s="294"/>
      <c r="G386" s="146"/>
      <c r="H386" s="232"/>
      <c r="I386" s="233"/>
      <c r="J386" s="233"/>
      <c r="K386" s="233"/>
      <c r="L386" s="233"/>
      <c r="M386" s="233"/>
      <c r="N386" s="233"/>
      <c r="O386" s="233"/>
      <c r="P386" s="233"/>
      <c r="Q386" s="233"/>
      <c r="R386" s="233"/>
      <c r="S386" s="233"/>
      <c r="T386" s="233"/>
      <c r="U386" s="105"/>
      <c r="V386" s="262"/>
      <c r="W386" s="102"/>
      <c r="X386" s="121"/>
      <c r="Y386" s="121"/>
      <c r="Z386" s="121"/>
      <c r="AA386" s="121"/>
      <c r="AB386" s="121"/>
      <c r="AC386" s="121"/>
      <c r="AD386" s="121"/>
      <c r="AE386" s="121"/>
      <c r="AF386" s="121"/>
      <c r="AG386" s="121"/>
      <c r="AH386" s="121"/>
      <c r="AI386" s="121"/>
    </row>
    <row r="387" spans="1:40" s="115" customFormat="1" ht="15" customHeight="1">
      <c r="A387" s="555"/>
      <c r="B387" s="217"/>
      <c r="C387" s="217"/>
      <c r="D387" s="101"/>
      <c r="E387" s="217"/>
      <c r="F387" s="294"/>
      <c r="G387" s="146"/>
      <c r="H387" s="107" t="str">
        <f>UPPER("EXPENDITURE TOTAL")</f>
        <v>EXPENDITURE TOTAL</v>
      </c>
      <c r="I387" s="108">
        <f t="shared" ref="I387:P387" si="483">SUBTOTAL(9,I331:I386)</f>
        <v>1525930.27</v>
      </c>
      <c r="J387" s="108">
        <f t="shared" si="483"/>
        <v>1543434.54</v>
      </c>
      <c r="K387" s="108">
        <f t="shared" ref="K387" si="484">SUBTOTAL(9,K331:K386)</f>
        <v>1430377.61</v>
      </c>
      <c r="L387" s="108">
        <f t="shared" si="483"/>
        <v>1911906.81</v>
      </c>
      <c r="M387" s="108">
        <f t="shared" si="483"/>
        <v>7139159</v>
      </c>
      <c r="N387" s="108">
        <f t="shared" si="483"/>
        <v>5656034.6600000001</v>
      </c>
      <c r="O387" s="108">
        <f t="shared" si="483"/>
        <v>7175991</v>
      </c>
      <c r="P387" s="108">
        <f t="shared" si="483"/>
        <v>36832</v>
      </c>
      <c r="Q387" s="108">
        <f>SUBTOTAL(9,Q331:Q386)</f>
        <v>3036281</v>
      </c>
      <c r="R387" s="108">
        <f t="shared" ref="R387:T387" si="485">SUBTOTAL(9,R331:R386)</f>
        <v>0</v>
      </c>
      <c r="S387" s="108">
        <f t="shared" si="485"/>
        <v>0</v>
      </c>
      <c r="T387" s="108">
        <f t="shared" si="485"/>
        <v>3036281</v>
      </c>
      <c r="U387" s="99">
        <f>T387-M387</f>
        <v>-4102878</v>
      </c>
      <c r="V387" s="255">
        <f>IF(M387=0,"N/A",T387/M387-1)</f>
        <v>-0.57470046541896602</v>
      </c>
      <c r="W387" s="102"/>
      <c r="X387" s="121"/>
      <c r="Y387" s="108">
        <f t="shared" ref="Y387:AN387" si="486">SUBTOTAL(9,Y331:Y386)</f>
        <v>1683737</v>
      </c>
      <c r="Z387" s="108">
        <f t="shared" si="486"/>
        <v>1682530.325</v>
      </c>
      <c r="AA387" s="108">
        <f t="shared" si="486"/>
        <v>0</v>
      </c>
      <c r="AB387" s="108">
        <f t="shared" si="486"/>
        <v>1682530.325</v>
      </c>
      <c r="AC387" s="108">
        <f t="shared" si="486"/>
        <v>1718766.5688750001</v>
      </c>
      <c r="AD387" s="108">
        <f t="shared" si="486"/>
        <v>0</v>
      </c>
      <c r="AE387" s="108">
        <f t="shared" si="486"/>
        <v>1190641.5688750001</v>
      </c>
      <c r="AF387" s="108">
        <f t="shared" si="486"/>
        <v>1223410.6510356253</v>
      </c>
      <c r="AG387" s="108">
        <f t="shared" si="486"/>
        <v>-228093</v>
      </c>
      <c r="AH387" s="108">
        <f t="shared" si="486"/>
        <v>995317.65103562502</v>
      </c>
      <c r="AI387" s="108">
        <f t="shared" si="486"/>
        <v>1022178.408199872</v>
      </c>
      <c r="AJ387" s="108">
        <f t="shared" si="486"/>
        <v>0</v>
      </c>
      <c r="AK387" s="108">
        <f t="shared" si="486"/>
        <v>1022178.408199872</v>
      </c>
      <c r="AL387" s="108">
        <f t="shared" si="486"/>
        <v>1049795.7723229176</v>
      </c>
      <c r="AM387" s="108">
        <f t="shared" si="486"/>
        <v>0</v>
      </c>
      <c r="AN387" s="108">
        <f t="shared" si="486"/>
        <v>1049795.7723229176</v>
      </c>
    </row>
    <row r="388" spans="1:40" s="115" customFormat="1" ht="9.75" customHeight="1">
      <c r="A388" s="555"/>
      <c r="B388" s="217"/>
      <c r="C388" s="217"/>
      <c r="D388" s="101"/>
      <c r="E388" s="217"/>
      <c r="F388" s="294"/>
      <c r="G388" s="146"/>
      <c r="H388" s="98"/>
      <c r="I388" s="233"/>
      <c r="J388" s="233"/>
      <c r="K388" s="233"/>
      <c r="L388" s="233"/>
      <c r="M388" s="233"/>
      <c r="N388" s="233"/>
      <c r="O388" s="233"/>
      <c r="P388" s="233"/>
      <c r="Q388" s="233"/>
      <c r="R388" s="233"/>
      <c r="S388" s="233"/>
      <c r="T388" s="233"/>
      <c r="U388" s="105"/>
      <c r="V388" s="262"/>
      <c r="W388" s="102"/>
      <c r="X388" s="121"/>
      <c r="Z388" s="121"/>
      <c r="AA388" s="121"/>
      <c r="AB388" s="121"/>
      <c r="AC388" s="121"/>
      <c r="AD388" s="121"/>
      <c r="AE388" s="121"/>
      <c r="AF388" s="121"/>
      <c r="AG388" s="121"/>
      <c r="AH388" s="121"/>
      <c r="AI388" s="121"/>
    </row>
    <row r="389" spans="1:40" s="115" customFormat="1" ht="15" customHeight="1">
      <c r="A389" s="555"/>
      <c r="B389" s="217"/>
      <c r="C389" s="217"/>
      <c r="D389" s="101"/>
      <c r="E389" s="217"/>
      <c r="F389" s="294"/>
      <c r="G389" s="146"/>
      <c r="H389" s="114" t="s">
        <v>674</v>
      </c>
      <c r="I389" s="108">
        <f t="shared" ref="I389" si="487">SUBTOTAL(9,I316:I388)</f>
        <v>-360138.34000000008</v>
      </c>
      <c r="J389" s="108">
        <f t="shared" ref="J389:T389" si="488">SUBTOTAL(9,J316:J388)</f>
        <v>-850280.83999999915</v>
      </c>
      <c r="K389" s="108">
        <f t="shared" ref="K389" si="489">SUBTOTAL(9,K316:K388)</f>
        <v>-857287.14000000013</v>
      </c>
      <c r="L389" s="108">
        <f t="shared" ref="L389" si="490">SUBTOTAL(9,L316:L388)</f>
        <v>-812108.66000000038</v>
      </c>
      <c r="M389" s="108">
        <f t="shared" si="488"/>
        <v>4694044</v>
      </c>
      <c r="N389" s="108">
        <f t="shared" ref="N389" si="491">SUBTOTAL(9,N316:N388)</f>
        <v>3337908.37</v>
      </c>
      <c r="O389" s="108">
        <f t="shared" si="488"/>
        <v>4462083</v>
      </c>
      <c r="P389" s="108">
        <f t="shared" si="488"/>
        <v>-231961</v>
      </c>
      <c r="Q389" s="108">
        <f t="shared" si="488"/>
        <v>569694</v>
      </c>
      <c r="R389" s="108">
        <f t="shared" si="488"/>
        <v>0</v>
      </c>
      <c r="S389" s="108">
        <f t="shared" si="488"/>
        <v>0</v>
      </c>
      <c r="T389" s="108">
        <f t="shared" si="488"/>
        <v>569694</v>
      </c>
      <c r="U389" s="99">
        <f>T389-M389</f>
        <v>-4124350</v>
      </c>
      <c r="V389" s="255">
        <f>IF(M389=0,"N/A",T389/M389-1)</f>
        <v>-0.87863471241428504</v>
      </c>
      <c r="W389" s="102"/>
      <c r="X389" s="121"/>
      <c r="Y389" s="122"/>
      <c r="Z389" s="121"/>
      <c r="AA389" s="121"/>
      <c r="AB389" s="121"/>
      <c r="AC389" s="121"/>
      <c r="AD389" s="121"/>
      <c r="AE389" s="121"/>
      <c r="AF389" s="121"/>
      <c r="AG389" s="121"/>
      <c r="AH389" s="121"/>
      <c r="AI389" s="121"/>
    </row>
    <row r="390" spans="1:40" s="115" customFormat="1" ht="15" hidden="1" customHeight="1">
      <c r="A390" s="555"/>
      <c r="B390" s="217"/>
      <c r="C390" s="217"/>
      <c r="D390" s="101"/>
      <c r="E390" s="217"/>
      <c r="F390" s="294"/>
      <c r="G390" s="146"/>
      <c r="H390" s="89"/>
      <c r="I390" s="233"/>
      <c r="J390" s="233"/>
      <c r="K390" s="233"/>
      <c r="L390" s="233"/>
      <c r="M390" s="233"/>
      <c r="N390" s="233"/>
      <c r="O390" s="233"/>
      <c r="P390" s="233"/>
      <c r="Q390" s="233"/>
      <c r="R390" s="233"/>
      <c r="S390" s="233"/>
      <c r="T390" s="233"/>
      <c r="U390" s="105"/>
      <c r="V390" s="262"/>
      <c r="W390" s="102"/>
      <c r="X390" s="121"/>
      <c r="Y390" s="121"/>
      <c r="Z390" s="121"/>
      <c r="AA390" s="121"/>
      <c r="AB390" s="121"/>
      <c r="AC390" s="121"/>
      <c r="AD390" s="121"/>
      <c r="AE390" s="121"/>
      <c r="AF390" s="121"/>
      <c r="AG390" s="121"/>
      <c r="AH390" s="121"/>
      <c r="AI390" s="121"/>
    </row>
    <row r="391" spans="1:40" s="115" customFormat="1" ht="15" customHeight="1" thickBot="1">
      <c r="A391" s="555"/>
      <c r="B391" s="217"/>
      <c r="C391" s="217"/>
      <c r="D391" s="101"/>
      <c r="E391" s="217"/>
      <c r="F391" s="294"/>
      <c r="G391" s="146"/>
      <c r="H391" s="89"/>
      <c r="I391" s="233"/>
      <c r="J391" s="233"/>
      <c r="K391" s="233"/>
      <c r="L391" s="233"/>
      <c r="M391" s="233"/>
      <c r="N391" s="233"/>
      <c r="O391" s="233"/>
      <c r="P391" s="233"/>
      <c r="Q391" s="233"/>
      <c r="R391" s="233"/>
      <c r="S391" s="233"/>
      <c r="T391" s="233"/>
      <c r="U391" s="105"/>
      <c r="V391" s="262"/>
      <c r="W391" s="102"/>
      <c r="X391" s="121"/>
      <c r="Y391" s="121"/>
      <c r="Z391" s="121"/>
      <c r="AA391" s="121"/>
      <c r="AB391" s="121"/>
      <c r="AC391" s="121"/>
      <c r="AD391" s="121"/>
      <c r="AE391" s="121"/>
      <c r="AF391" s="121"/>
      <c r="AG391" s="121"/>
      <c r="AH391" s="121"/>
      <c r="AI391" s="121"/>
    </row>
    <row r="392" spans="1:40" s="115" customFormat="1" ht="21" customHeight="1" thickBot="1">
      <c r="A392" s="555"/>
      <c r="B392" s="217"/>
      <c r="C392" s="217"/>
      <c r="D392" s="101"/>
      <c r="E392" s="217"/>
      <c r="F392" s="294"/>
      <c r="G392" s="146"/>
      <c r="H392" s="665" t="s">
        <v>729</v>
      </c>
      <c r="I392" s="666"/>
      <c r="J392" s="666"/>
      <c r="K392" s="666"/>
      <c r="L392" s="666"/>
      <c r="M392" s="666"/>
      <c r="N392" s="666"/>
      <c r="O392" s="666"/>
      <c r="P392" s="666"/>
      <c r="Q392" s="666"/>
      <c r="R392" s="666"/>
      <c r="S392" s="666"/>
      <c r="T392" s="667"/>
      <c r="U392" s="105"/>
      <c r="V392" s="262"/>
      <c r="W392" s="102"/>
      <c r="X392" s="121">
        <v>303910</v>
      </c>
      <c r="Y392" s="122">
        <f>T377</f>
        <v>1062051</v>
      </c>
      <c r="Z392" s="122">
        <f t="shared" ref="Z392:Z393" si="492">X392-Y392</f>
        <v>-758141</v>
      </c>
      <c r="AA392" s="121"/>
      <c r="AB392" s="121"/>
      <c r="AC392" s="121"/>
      <c r="AD392" s="121"/>
      <c r="AE392" s="121"/>
      <c r="AF392" s="121"/>
      <c r="AG392" s="121"/>
      <c r="AH392" s="121"/>
      <c r="AI392" s="121"/>
    </row>
    <row r="393" spans="1:40" s="115" customFormat="1" ht="15" customHeight="1">
      <c r="A393" s="555"/>
      <c r="B393" s="217"/>
      <c r="C393" s="217"/>
      <c r="D393" s="101"/>
      <c r="E393" s="217"/>
      <c r="F393" s="294"/>
      <c r="G393" s="146"/>
      <c r="H393" s="225"/>
      <c r="I393" s="225"/>
      <c r="J393" s="225"/>
      <c r="K393" s="225"/>
      <c r="L393" s="225"/>
      <c r="M393" s="225"/>
      <c r="N393" s="225"/>
      <c r="O393" s="225"/>
      <c r="P393" s="225"/>
      <c r="Q393" s="225"/>
      <c r="R393" s="225"/>
      <c r="S393" s="225"/>
      <c r="T393" s="225"/>
      <c r="U393" s="105"/>
      <c r="V393" s="262"/>
      <c r="W393" s="102"/>
      <c r="X393" s="121">
        <v>80732</v>
      </c>
      <c r="Y393" s="122">
        <f>T364</f>
        <v>202635</v>
      </c>
      <c r="Z393" s="122">
        <f t="shared" si="492"/>
        <v>-121903</v>
      </c>
      <c r="AA393" s="121"/>
      <c r="AB393" s="121"/>
      <c r="AC393" s="121"/>
      <c r="AD393" s="121"/>
      <c r="AE393" s="121"/>
      <c r="AF393" s="121"/>
      <c r="AG393" s="121"/>
      <c r="AH393" s="121"/>
      <c r="AI393" s="121"/>
    </row>
    <row r="394" spans="1:40" s="115" customFormat="1" ht="15" customHeight="1">
      <c r="A394" s="555" t="s">
        <v>2003</v>
      </c>
      <c r="B394" s="217" t="str">
        <f t="shared" si="386"/>
        <v>119</v>
      </c>
      <c r="C394" s="217" t="str">
        <f t="shared" si="387"/>
        <v>00</v>
      </c>
      <c r="D394" s="101" t="str">
        <f t="shared" si="388"/>
        <v>000</v>
      </c>
      <c r="E394" s="217" t="str">
        <f t="shared" si="389"/>
        <v>119-00-000</v>
      </c>
      <c r="F394" s="294" t="str">
        <f t="shared" si="390"/>
        <v>42130</v>
      </c>
      <c r="G394" s="295" t="str">
        <f>VLOOKUP(F394,'GL Category'!A:C,3,FALSE)</f>
        <v>CHARGES FOR SERVICE</v>
      </c>
      <c r="H394" s="98" t="str">
        <f>VLOOKUP(F394,'GL Category'!A:C,2,FALSE)</f>
        <v>COMMUNICATION TOWER RENTAL</v>
      </c>
      <c r="I394" s="99">
        <f>SUMIF(Import!$B:$B,'Other Fund Line-Item Details'!$A394,Import!D:D)</f>
        <v>0</v>
      </c>
      <c r="J394" s="99">
        <f>SUMIF(Import!$B:$B,'Other Fund Line-Item Details'!$A394,Import!E:E)</f>
        <v>0</v>
      </c>
      <c r="K394" s="99">
        <f>SUMIF(Import!$B:$B,'Other Fund Line-Item Details'!$A394,Import!F:F)</f>
        <v>0</v>
      </c>
      <c r="L394" s="99">
        <f>SUMIF(Import!$B:$B,'Other Fund Line-Item Details'!$A394,Import!G:G)</f>
        <v>0</v>
      </c>
      <c r="M394" s="99">
        <f>SUMIF(Import!$B:$B,'Other Fund Line-Item Details'!$A394,Import!H:H)</f>
        <v>0</v>
      </c>
      <c r="N394" s="99">
        <f>SUMIF(Import!$B:$B,'Other Fund Line-Item Details'!$A394,Import!I:I)</f>
        <v>0</v>
      </c>
      <c r="O394" s="99">
        <f>SUMIF(Import!$B:$B,'Other Fund Line-Item Details'!$A394,Import!J:J)</f>
        <v>0</v>
      </c>
      <c r="P394" s="99">
        <f t="shared" ref="P394:P405" si="493">O394-M394</f>
        <v>0</v>
      </c>
      <c r="Q394" s="99">
        <f>SUMIF(Import!$B:$B,'Other Fund Line-Item Details'!$A394,Import!K:K)</f>
        <v>0</v>
      </c>
      <c r="R394" s="99">
        <f>SUMIF(Import!$B:$B,'Other Fund Line-Item Details'!$A394,Import!L:L)</f>
        <v>0</v>
      </c>
      <c r="S394" s="99">
        <f>SUMIF(Import!$B:$B,'Other Fund Line-Item Details'!$A394,Import!M:M)</f>
        <v>0</v>
      </c>
      <c r="T394" s="99">
        <f>SUMIF(Import!$B:$B,'Other Fund Line-Item Details'!$A394,Import!N:N)</f>
        <v>0</v>
      </c>
      <c r="U394" s="99">
        <f t="shared" ref="U394:U406" si="494">T394-M394</f>
        <v>0</v>
      </c>
      <c r="V394" s="255" t="str">
        <f t="shared" ref="V394:V406" si="495">IF(M394=0,"N/A",T394/M394-1)</f>
        <v>N/A</v>
      </c>
      <c r="W394" s="102" t="s">
        <v>2003</v>
      </c>
      <c r="X394" s="102"/>
      <c r="Y394" s="102">
        <f t="shared" ref="Y394:Y405" si="496">T394-X394</f>
        <v>0</v>
      </c>
      <c r="Z394" s="309">
        <f>Y394*(1+VLOOKUP($F394,'GL Category'!$A:$H,4,FALSE))</f>
        <v>0</v>
      </c>
      <c r="AA394" s="615"/>
      <c r="AB394" s="622">
        <f t="shared" ref="AB394:AB405" si="497">Z394+AA394</f>
        <v>0</v>
      </c>
      <c r="AC394" s="633">
        <f>AB394*(1+VLOOKUP($F394,'GL Category'!$A:$H,5,FALSE))</f>
        <v>0</v>
      </c>
      <c r="AD394" s="307"/>
      <c r="AE394" s="622">
        <f t="shared" ref="AE394:AE405" si="498">AC394+AD394</f>
        <v>0</v>
      </c>
      <c r="AF394" s="633">
        <f>AE394*(1+VLOOKUP($F394,'GL Category'!$A:$H,6,FALSE))</f>
        <v>0</v>
      </c>
      <c r="AG394" s="307"/>
      <c r="AH394" s="622">
        <f t="shared" ref="AH394:AH405" si="499">AF394+AG394</f>
        <v>0</v>
      </c>
      <c r="AI394" s="633">
        <f>AH394*(1+VLOOKUP($F394,'GL Category'!$A:$H,7,FALSE))</f>
        <v>0</v>
      </c>
      <c r="AJ394" s="307"/>
      <c r="AK394" s="622">
        <f t="shared" ref="AK394:AK405" si="500">AI394+AJ394</f>
        <v>0</v>
      </c>
      <c r="AL394" s="633">
        <f>AK394*(1+VLOOKUP($F394,'GL Category'!$A:$H,8,FALSE))</f>
        <v>0</v>
      </c>
      <c r="AM394" s="307"/>
      <c r="AN394" s="622">
        <f t="shared" ref="AN394:AN405" si="501">AL394+AM394</f>
        <v>0</v>
      </c>
    </row>
    <row r="395" spans="1:40" s="115" customFormat="1" ht="15" customHeight="1">
      <c r="A395" s="555" t="s">
        <v>2004</v>
      </c>
      <c r="B395" s="217" t="str">
        <f t="shared" si="386"/>
        <v>119</v>
      </c>
      <c r="C395" s="217" t="str">
        <f t="shared" si="387"/>
        <v>00</v>
      </c>
      <c r="D395" s="101" t="str">
        <f t="shared" si="388"/>
        <v>000</v>
      </c>
      <c r="E395" s="217" t="str">
        <f t="shared" si="389"/>
        <v>119-00-000</v>
      </c>
      <c r="F395" s="294" t="str">
        <f t="shared" si="390"/>
        <v>44900</v>
      </c>
      <c r="G395" s="295" t="str">
        <f>VLOOKUP(F395,'GL Category'!A:C,3,FALSE)</f>
        <v>CHARGES FOR SERVICE</v>
      </c>
      <c r="H395" s="98" t="str">
        <f>VLOOKUP(F395,'GL Category'!A:C,2,FALSE)</f>
        <v>INFORMATION SERVICES FEES-CITY</v>
      </c>
      <c r="I395" s="99">
        <f>SUMIF(Import!$B:$B,'Other Fund Line-Item Details'!$A395,Import!D:D)</f>
        <v>0</v>
      </c>
      <c r="J395" s="99">
        <f>SUMIF(Import!$B:$B,'Other Fund Line-Item Details'!$A395,Import!E:E)</f>
        <v>0</v>
      </c>
      <c r="K395" s="99">
        <f>SUMIF(Import!$B:$B,'Other Fund Line-Item Details'!$A395,Import!F:F)</f>
        <v>0</v>
      </c>
      <c r="L395" s="99">
        <f>SUMIF(Import!$B:$B,'Other Fund Line-Item Details'!$A395,Import!G:G)</f>
        <v>0</v>
      </c>
      <c r="M395" s="99">
        <f>SUMIF(Import!$B:$B,'Other Fund Line-Item Details'!$A395,Import!H:H)</f>
        <v>0</v>
      </c>
      <c r="N395" s="99">
        <f>SUMIF(Import!$B:$B,'Other Fund Line-Item Details'!$A395,Import!I:I)</f>
        <v>0</v>
      </c>
      <c r="O395" s="99">
        <f>SUMIF(Import!$B:$B,'Other Fund Line-Item Details'!$A395,Import!J:J)</f>
        <v>0</v>
      </c>
      <c r="P395" s="99">
        <f t="shared" si="493"/>
        <v>0</v>
      </c>
      <c r="Q395" s="99">
        <f>SUMIF(Import!$B:$B,'Other Fund Line-Item Details'!$A395,Import!K:K)</f>
        <v>0</v>
      </c>
      <c r="R395" s="99">
        <f>SUMIF(Import!$B:$B,'Other Fund Line-Item Details'!$A395,Import!L:L)</f>
        <v>0</v>
      </c>
      <c r="S395" s="99">
        <f>SUMIF(Import!$B:$B,'Other Fund Line-Item Details'!$A395,Import!M:M)</f>
        <v>0</v>
      </c>
      <c r="T395" s="99">
        <f>SUMIF(Import!$B:$B,'Other Fund Line-Item Details'!$A395,Import!N:N)</f>
        <v>0</v>
      </c>
      <c r="U395" s="99">
        <f t="shared" si="494"/>
        <v>0</v>
      </c>
      <c r="V395" s="255" t="str">
        <f t="shared" si="495"/>
        <v>N/A</v>
      </c>
      <c r="W395" s="102" t="s">
        <v>2004</v>
      </c>
      <c r="X395" s="102"/>
      <c r="Y395" s="102">
        <f t="shared" si="496"/>
        <v>0</v>
      </c>
      <c r="Z395" s="309">
        <f>Y395*(1+VLOOKUP($F395,'GL Category'!$A:$H,4,FALSE))</f>
        <v>0</v>
      </c>
      <c r="AA395" s="615"/>
      <c r="AB395" s="622">
        <f t="shared" si="497"/>
        <v>0</v>
      </c>
      <c r="AC395" s="633">
        <f>AB395*(1+VLOOKUP($F395,'GL Category'!$A:$H,5,FALSE))</f>
        <v>0</v>
      </c>
      <c r="AD395" s="307"/>
      <c r="AE395" s="622">
        <f t="shared" si="498"/>
        <v>0</v>
      </c>
      <c r="AF395" s="633">
        <f>AE395*(1+VLOOKUP($F395,'GL Category'!$A:$H,6,FALSE))</f>
        <v>0</v>
      </c>
      <c r="AG395" s="307"/>
      <c r="AH395" s="622">
        <f t="shared" si="499"/>
        <v>0</v>
      </c>
      <c r="AI395" s="633">
        <f>AH395*(1+VLOOKUP($F395,'GL Category'!$A:$H,7,FALSE))</f>
        <v>0</v>
      </c>
      <c r="AJ395" s="307"/>
      <c r="AK395" s="622">
        <f t="shared" si="500"/>
        <v>0</v>
      </c>
      <c r="AL395" s="633">
        <f>AK395*(1+VLOOKUP($F395,'GL Category'!$A:$H,8,FALSE))</f>
        <v>0</v>
      </c>
      <c r="AM395" s="307"/>
      <c r="AN395" s="622">
        <f t="shared" si="501"/>
        <v>0</v>
      </c>
    </row>
    <row r="396" spans="1:40" s="115" customFormat="1" ht="15" customHeight="1">
      <c r="A396" s="555" t="s">
        <v>2005</v>
      </c>
      <c r="B396" s="217" t="str">
        <f t="shared" si="386"/>
        <v>119</v>
      </c>
      <c r="C396" s="217" t="str">
        <f t="shared" si="387"/>
        <v>00</v>
      </c>
      <c r="D396" s="101" t="str">
        <f t="shared" si="388"/>
        <v>000</v>
      </c>
      <c r="E396" s="217" t="str">
        <f t="shared" si="389"/>
        <v>119-00-000</v>
      </c>
      <c r="F396" s="294" t="str">
        <f t="shared" si="390"/>
        <v>44910</v>
      </c>
      <c r="G396" s="295" t="str">
        <f>VLOOKUP(F396,'GL Category'!A:C,3,FALSE)</f>
        <v>CHARGES FOR SERVICE</v>
      </c>
      <c r="H396" s="98" t="str">
        <f>VLOOKUP(F396,'GL Category'!A:C,2,FALSE)</f>
        <v>OFFICE EQUIP LEASE REV-F 100</v>
      </c>
      <c r="I396" s="99">
        <f>SUMIF(Import!$B:$B,'Other Fund Line-Item Details'!$A396,Import!D:D)</f>
        <v>-1718673</v>
      </c>
      <c r="J396" s="99">
        <f>SUMIF(Import!$B:$B,'Other Fund Line-Item Details'!$A396,Import!E:E)</f>
        <v>-1749080</v>
      </c>
      <c r="K396" s="99">
        <f>SUMIF(Import!$B:$B,'Other Fund Line-Item Details'!$A396,Import!F:F)</f>
        <v>-1831808</v>
      </c>
      <c r="L396" s="99">
        <f>SUMIF(Import!$B:$B,'Other Fund Line-Item Details'!$A396,Import!G:G)</f>
        <v>-2151328</v>
      </c>
      <c r="M396" s="99">
        <f>SUMIF(Import!$B:$B,'Other Fund Line-Item Details'!$A396,Import!H:H)</f>
        <v>-2084454</v>
      </c>
      <c r="N396" s="99">
        <f>SUMIF(Import!$B:$B,'Other Fund Line-Item Details'!$A396,Import!I:I)</f>
        <v>-1563340.5</v>
      </c>
      <c r="O396" s="99">
        <f>SUMIF(Import!$B:$B,'Other Fund Line-Item Details'!$A396,Import!J:J)</f>
        <v>-2084454</v>
      </c>
      <c r="P396" s="99">
        <f t="shared" si="493"/>
        <v>0</v>
      </c>
      <c r="Q396" s="99">
        <f>SUMIF(Import!$B:$B,'Other Fund Line-Item Details'!$A396,Import!K:K)</f>
        <v>-2163074</v>
      </c>
      <c r="R396" s="99">
        <f>SUMIF(Import!$B:$B,'Other Fund Line-Item Details'!$A396,Import!L:L)</f>
        <v>0</v>
      </c>
      <c r="S396" s="99">
        <f>SUMIF(Import!$B:$B,'Other Fund Line-Item Details'!$A396,Import!M:M)</f>
        <v>-456370</v>
      </c>
      <c r="T396" s="99">
        <f>SUMIF(Import!$B:$B,'Other Fund Line-Item Details'!$A396,Import!N:N)</f>
        <v>-2619444</v>
      </c>
      <c r="U396" s="99">
        <f t="shared" si="494"/>
        <v>-534990</v>
      </c>
      <c r="V396" s="255">
        <f t="shared" si="495"/>
        <v>0.25665713899179354</v>
      </c>
      <c r="W396" s="102" t="s">
        <v>2005</v>
      </c>
      <c r="X396" s="102">
        <f>-450000*0.85</f>
        <v>-382500</v>
      </c>
      <c r="Y396" s="102">
        <f t="shared" si="496"/>
        <v>-2236944</v>
      </c>
      <c r="Z396" s="309">
        <f>Y396*(1+VLOOKUP($F396,'GL Category'!$A:$H,4,FALSE))</f>
        <v>-2304052.3199999998</v>
      </c>
      <c r="AA396" s="615"/>
      <c r="AB396" s="622">
        <f t="shared" si="497"/>
        <v>-2304052.3199999998</v>
      </c>
      <c r="AC396" s="633">
        <f>AB396*(1+VLOOKUP($F396,'GL Category'!$A:$H,5,FALSE))</f>
        <v>-2373173.8895999999</v>
      </c>
      <c r="AD396" s="307"/>
      <c r="AE396" s="622">
        <f t="shared" si="498"/>
        <v>-2373173.8895999999</v>
      </c>
      <c r="AF396" s="633">
        <f>AE396*(1+VLOOKUP($F396,'GL Category'!$A:$H,6,FALSE))</f>
        <v>-2444369.106288</v>
      </c>
      <c r="AG396" s="307"/>
      <c r="AH396" s="622">
        <f t="shared" si="499"/>
        <v>-2444369.106288</v>
      </c>
      <c r="AI396" s="633">
        <f>AH396*(1+VLOOKUP($F396,'GL Category'!$A:$H,7,FALSE))</f>
        <v>-2517700.1794766402</v>
      </c>
      <c r="AJ396" s="307"/>
      <c r="AK396" s="622">
        <f t="shared" si="500"/>
        <v>-2517700.1794766402</v>
      </c>
      <c r="AL396" s="633">
        <f>AK396*(1+VLOOKUP($F396,'GL Category'!$A:$H,8,FALSE))</f>
        <v>-2593231.1848609396</v>
      </c>
      <c r="AM396" s="307"/>
      <c r="AN396" s="622">
        <f t="shared" si="501"/>
        <v>-2593231.1848609396</v>
      </c>
    </row>
    <row r="397" spans="1:40" s="115" customFormat="1" ht="15" customHeight="1">
      <c r="A397" s="555" t="s">
        <v>2006</v>
      </c>
      <c r="B397" s="217" t="str">
        <f t="shared" si="386"/>
        <v>119</v>
      </c>
      <c r="C397" s="217" t="str">
        <f t="shared" si="387"/>
        <v>00</v>
      </c>
      <c r="D397" s="101" t="str">
        <f t="shared" si="388"/>
        <v>000</v>
      </c>
      <c r="E397" s="217" t="str">
        <f t="shared" si="389"/>
        <v>119-00-000</v>
      </c>
      <c r="F397" s="294" t="str">
        <f t="shared" si="390"/>
        <v>44920</v>
      </c>
      <c r="G397" s="295" t="str">
        <f>VLOOKUP(F397,'GL Category'!A:C,3,FALSE)</f>
        <v>CHARGES FOR SERVICE</v>
      </c>
      <c r="H397" s="98" t="str">
        <f>VLOOKUP(F397,'GL Category'!A:C,2,FALSE)</f>
        <v>OFFICE EQUIP LEASE REV-F 200</v>
      </c>
      <c r="I397" s="99">
        <f>SUMIF(Import!$B:$B,'Other Fund Line-Item Details'!$A397,Import!D:D)</f>
        <v>-473423</v>
      </c>
      <c r="J397" s="99">
        <f>SUMIF(Import!$B:$B,'Other Fund Line-Item Details'!$A397,Import!E:E)</f>
        <v>-438799</v>
      </c>
      <c r="K397" s="99">
        <f>SUMIF(Import!$B:$B,'Other Fund Line-Item Details'!$A397,Import!F:F)</f>
        <v>-442698</v>
      </c>
      <c r="L397" s="99">
        <f>SUMIF(Import!$B:$B,'Other Fund Line-Item Details'!$A397,Import!G:G)</f>
        <v>-450317</v>
      </c>
      <c r="M397" s="99">
        <f>SUMIF(Import!$B:$B,'Other Fund Line-Item Details'!$A397,Import!H:H)</f>
        <v>-466190</v>
      </c>
      <c r="N397" s="99">
        <f>SUMIF(Import!$B:$B,'Other Fund Line-Item Details'!$A397,Import!I:I)</f>
        <v>-349642.5</v>
      </c>
      <c r="O397" s="99">
        <f>SUMIF(Import!$B:$B,'Other Fund Line-Item Details'!$A397,Import!J:J)</f>
        <v>-466190</v>
      </c>
      <c r="P397" s="99">
        <f t="shared" si="493"/>
        <v>0</v>
      </c>
      <c r="Q397" s="99">
        <f>SUMIF(Import!$B:$B,'Other Fund Line-Item Details'!$A397,Import!K:K)</f>
        <v>-488733</v>
      </c>
      <c r="R397" s="99">
        <f>SUMIF(Import!$B:$B,'Other Fund Line-Item Details'!$A397,Import!L:L)</f>
        <v>0</v>
      </c>
      <c r="S397" s="99">
        <f>SUMIF(Import!$B:$B,'Other Fund Line-Item Details'!$A397,Import!M:M)</f>
        <v>-450000</v>
      </c>
      <c r="T397" s="99">
        <f>SUMIF(Import!$B:$B,'Other Fund Line-Item Details'!$A397,Import!N:N)</f>
        <v>-938733</v>
      </c>
      <c r="U397" s="99">
        <f t="shared" si="494"/>
        <v>-472543</v>
      </c>
      <c r="V397" s="255">
        <f t="shared" si="495"/>
        <v>1.0136274909371714</v>
      </c>
      <c r="W397" s="102" t="s">
        <v>2006</v>
      </c>
      <c r="X397" s="102">
        <f>X396</f>
        <v>-382500</v>
      </c>
      <c r="Y397" s="102">
        <f t="shared" si="496"/>
        <v>-556233</v>
      </c>
      <c r="Z397" s="309">
        <f>Y397*(1+VLOOKUP($F397,'GL Category'!$A:$H,4,FALSE))</f>
        <v>-572919.99</v>
      </c>
      <c r="AA397" s="615"/>
      <c r="AB397" s="622">
        <f t="shared" si="497"/>
        <v>-572919.99</v>
      </c>
      <c r="AC397" s="633">
        <f>AB397*(1+VLOOKUP($F397,'GL Category'!$A:$H,5,FALSE))</f>
        <v>-590107.58970000001</v>
      </c>
      <c r="AD397" s="307"/>
      <c r="AE397" s="622">
        <f t="shared" si="498"/>
        <v>-590107.58970000001</v>
      </c>
      <c r="AF397" s="633">
        <f>AE397*(1+VLOOKUP($F397,'GL Category'!$A:$H,6,FALSE))</f>
        <v>-607810.81739099999</v>
      </c>
      <c r="AG397" s="307"/>
      <c r="AH397" s="622">
        <f t="shared" si="499"/>
        <v>-607810.81739099999</v>
      </c>
      <c r="AI397" s="633">
        <f>AH397*(1+VLOOKUP($F397,'GL Category'!$A:$H,7,FALSE))</f>
        <v>-626045.14191273006</v>
      </c>
      <c r="AJ397" s="307"/>
      <c r="AK397" s="622">
        <f t="shared" si="500"/>
        <v>-626045.14191273006</v>
      </c>
      <c r="AL397" s="633">
        <f>AK397*(1+VLOOKUP($F397,'GL Category'!$A:$H,8,FALSE))</f>
        <v>-644826.49617011193</v>
      </c>
      <c r="AM397" s="307"/>
      <c r="AN397" s="622">
        <f t="shared" si="501"/>
        <v>-644826.49617011193</v>
      </c>
    </row>
    <row r="398" spans="1:40" s="115" customFormat="1" ht="15" customHeight="1">
      <c r="A398" s="555" t="s">
        <v>2007</v>
      </c>
      <c r="B398" s="217" t="str">
        <f t="shared" si="386"/>
        <v>119</v>
      </c>
      <c r="C398" s="217" t="str">
        <f t="shared" si="387"/>
        <v>00</v>
      </c>
      <c r="D398" s="101" t="str">
        <f t="shared" si="388"/>
        <v>000</v>
      </c>
      <c r="E398" s="217" t="str">
        <f t="shared" si="389"/>
        <v>119-00-000</v>
      </c>
      <c r="F398" s="294" t="str">
        <f t="shared" si="390"/>
        <v>44925</v>
      </c>
      <c r="G398" s="295" t="str">
        <f>VLOOKUP(F398,'GL Category'!A:C,3,FALSE)</f>
        <v>CHARGES FOR SERVICE</v>
      </c>
      <c r="H398" s="98" t="str">
        <f>VLOOKUP(F398,'GL Category'!A:C,2,FALSE)</f>
        <v>OFFICE EQUIP LEASE REV-F 118</v>
      </c>
      <c r="I398" s="99">
        <f>SUMIF(Import!$B:$B,'Other Fund Line-Item Details'!$A398,Import!D:D)</f>
        <v>-9600</v>
      </c>
      <c r="J398" s="99">
        <f>SUMIF(Import!$B:$B,'Other Fund Line-Item Details'!$A398,Import!E:E)</f>
        <v>-9600</v>
      </c>
      <c r="K398" s="99">
        <f>SUMIF(Import!$B:$B,'Other Fund Line-Item Details'!$A398,Import!F:F)</f>
        <v>-9600</v>
      </c>
      <c r="L398" s="99">
        <f>SUMIF(Import!$B:$B,'Other Fund Line-Item Details'!$A398,Import!G:G)</f>
        <v>-9600</v>
      </c>
      <c r="M398" s="99">
        <f>SUMIF(Import!$B:$B,'Other Fund Line-Item Details'!$A398,Import!H:H)</f>
        <v>-9600</v>
      </c>
      <c r="N398" s="99">
        <f>SUMIF(Import!$B:$B,'Other Fund Line-Item Details'!$A398,Import!I:I)</f>
        <v>-7200</v>
      </c>
      <c r="O398" s="99">
        <f>SUMIF(Import!$B:$B,'Other Fund Line-Item Details'!$A398,Import!J:J)</f>
        <v>-9600</v>
      </c>
      <c r="P398" s="99">
        <f t="shared" si="493"/>
        <v>0</v>
      </c>
      <c r="Q398" s="99">
        <f>SUMIF(Import!$B:$B,'Other Fund Line-Item Details'!$A398,Import!K:K)</f>
        <v>-9600</v>
      </c>
      <c r="R398" s="99">
        <f>SUMIF(Import!$B:$B,'Other Fund Line-Item Details'!$A398,Import!L:L)</f>
        <v>0</v>
      </c>
      <c r="S398" s="99">
        <f>SUMIF(Import!$B:$B,'Other Fund Line-Item Details'!$A398,Import!M:M)</f>
        <v>0</v>
      </c>
      <c r="T398" s="99">
        <f>SUMIF(Import!$B:$B,'Other Fund Line-Item Details'!$A398,Import!N:N)</f>
        <v>-9600</v>
      </c>
      <c r="U398" s="99">
        <f t="shared" si="494"/>
        <v>0</v>
      </c>
      <c r="V398" s="255">
        <f t="shared" si="495"/>
        <v>0</v>
      </c>
      <c r="W398" s="102" t="s">
        <v>2007</v>
      </c>
      <c r="X398" s="102"/>
      <c r="Y398" s="102">
        <f t="shared" si="496"/>
        <v>-9600</v>
      </c>
      <c r="Z398" s="309">
        <f>Y398*(1+VLOOKUP($F398,'GL Category'!$A:$H,4,FALSE))</f>
        <v>-9888</v>
      </c>
      <c r="AA398" s="615"/>
      <c r="AB398" s="622">
        <f t="shared" si="497"/>
        <v>-9888</v>
      </c>
      <c r="AC398" s="633">
        <f>AB398*(1+VLOOKUP($F398,'GL Category'!$A:$H,5,FALSE))</f>
        <v>-10184.64</v>
      </c>
      <c r="AD398" s="307"/>
      <c r="AE398" s="622">
        <f t="shared" si="498"/>
        <v>-10184.64</v>
      </c>
      <c r="AF398" s="633">
        <f>AE398*(1+VLOOKUP($F398,'GL Category'!$A:$H,6,FALSE))</f>
        <v>-10490.1792</v>
      </c>
      <c r="AG398" s="307"/>
      <c r="AH398" s="622">
        <f t="shared" si="499"/>
        <v>-10490.1792</v>
      </c>
      <c r="AI398" s="633">
        <f>AH398*(1+VLOOKUP($F398,'GL Category'!$A:$H,7,FALSE))</f>
        <v>-10804.884576</v>
      </c>
      <c r="AJ398" s="307"/>
      <c r="AK398" s="622">
        <f t="shared" si="500"/>
        <v>-10804.884576</v>
      </c>
      <c r="AL398" s="633">
        <f>AK398*(1+VLOOKUP($F398,'GL Category'!$A:$H,8,FALSE))</f>
        <v>-11129.03111328</v>
      </c>
      <c r="AM398" s="307"/>
      <c r="AN398" s="622">
        <f t="shared" si="501"/>
        <v>-11129.03111328</v>
      </c>
    </row>
    <row r="399" spans="1:40" s="115" customFormat="1" ht="15" customHeight="1">
      <c r="A399" s="555" t="s">
        <v>2008</v>
      </c>
      <c r="B399" s="217" t="str">
        <f t="shared" si="386"/>
        <v>119</v>
      </c>
      <c r="C399" s="217" t="str">
        <f t="shared" si="387"/>
        <v>00</v>
      </c>
      <c r="D399" s="101" t="str">
        <f t="shared" si="388"/>
        <v>000</v>
      </c>
      <c r="E399" s="217" t="str">
        <f t="shared" si="389"/>
        <v>119-00-000</v>
      </c>
      <c r="F399" s="294" t="str">
        <f t="shared" si="390"/>
        <v>44930</v>
      </c>
      <c r="G399" s="295" t="str">
        <f>VLOOKUP(F399,'GL Category'!A:C,3,FALSE)</f>
        <v>CHARGES FOR SERVICE</v>
      </c>
      <c r="H399" s="98" t="str">
        <f>VLOOKUP(F399,'GL Category'!A:C,2,FALSE)</f>
        <v>OFFICE EQUIP LEASE REV-F 400</v>
      </c>
      <c r="I399" s="99">
        <f>SUMIF(Import!$B:$B,'Other Fund Line-Item Details'!$A399,Import!D:D)</f>
        <v>-20064</v>
      </c>
      <c r="J399" s="99">
        <f>SUMIF(Import!$B:$B,'Other Fund Line-Item Details'!$A399,Import!E:E)</f>
        <v>-23356</v>
      </c>
      <c r="K399" s="99">
        <f>SUMIF(Import!$B:$B,'Other Fund Line-Item Details'!$A399,Import!F:F)</f>
        <v>-21088</v>
      </c>
      <c r="L399" s="99">
        <f>SUMIF(Import!$B:$B,'Other Fund Line-Item Details'!$A399,Import!G:G)</f>
        <v>-22262</v>
      </c>
      <c r="M399" s="99">
        <f>SUMIF(Import!$B:$B,'Other Fund Line-Item Details'!$A399,Import!H:H)</f>
        <v>-25510</v>
      </c>
      <c r="N399" s="99">
        <f>SUMIF(Import!$B:$B,'Other Fund Line-Item Details'!$A399,Import!I:I)</f>
        <v>-19132.5</v>
      </c>
      <c r="O399" s="99">
        <f>SUMIF(Import!$B:$B,'Other Fund Line-Item Details'!$A399,Import!J:J)</f>
        <v>-25510</v>
      </c>
      <c r="P399" s="99">
        <f t="shared" si="493"/>
        <v>0</v>
      </c>
      <c r="Q399" s="99">
        <f>SUMIF(Import!$B:$B,'Other Fund Line-Item Details'!$A399,Import!K:K)</f>
        <v>-20787</v>
      </c>
      <c r="R399" s="99">
        <f>SUMIF(Import!$B:$B,'Other Fund Line-Item Details'!$A399,Import!L:L)</f>
        <v>0</v>
      </c>
      <c r="S399" s="99">
        <f>SUMIF(Import!$B:$B,'Other Fund Line-Item Details'!$A399,Import!M:M)</f>
        <v>0</v>
      </c>
      <c r="T399" s="99">
        <f>SUMIF(Import!$B:$B,'Other Fund Line-Item Details'!$A399,Import!N:N)</f>
        <v>-20787</v>
      </c>
      <c r="U399" s="99">
        <f t="shared" si="494"/>
        <v>4723</v>
      </c>
      <c r="V399" s="255">
        <f t="shared" si="495"/>
        <v>-0.18514308114464917</v>
      </c>
      <c r="W399" s="102" t="s">
        <v>2008</v>
      </c>
      <c r="X399" s="102"/>
      <c r="Y399" s="102">
        <f t="shared" si="496"/>
        <v>-20787</v>
      </c>
      <c r="Z399" s="309">
        <f>Y399*(1+VLOOKUP($F399,'GL Category'!$A:$H,4,FALSE))</f>
        <v>-21410.61</v>
      </c>
      <c r="AA399" s="615"/>
      <c r="AB399" s="622">
        <f t="shared" si="497"/>
        <v>-21410.61</v>
      </c>
      <c r="AC399" s="633">
        <f>AB399*(1+VLOOKUP($F399,'GL Category'!$A:$H,5,FALSE))</f>
        <v>-22052.9283</v>
      </c>
      <c r="AD399" s="307"/>
      <c r="AE399" s="622">
        <f t="shared" si="498"/>
        <v>-22052.9283</v>
      </c>
      <c r="AF399" s="633">
        <f>AE399*(1+VLOOKUP($F399,'GL Category'!$A:$H,6,FALSE))</f>
        <v>-22714.516148999999</v>
      </c>
      <c r="AG399" s="307"/>
      <c r="AH399" s="622">
        <f t="shared" si="499"/>
        <v>-22714.516148999999</v>
      </c>
      <c r="AI399" s="633">
        <f>AH399*(1+VLOOKUP($F399,'GL Category'!$A:$H,7,FALSE))</f>
        <v>-23395.951633469998</v>
      </c>
      <c r="AJ399" s="307"/>
      <c r="AK399" s="622">
        <f t="shared" si="500"/>
        <v>-23395.951633469998</v>
      </c>
      <c r="AL399" s="633">
        <f>AK399*(1+VLOOKUP($F399,'GL Category'!$A:$H,8,FALSE))</f>
        <v>-24097.830182474099</v>
      </c>
      <c r="AM399" s="307"/>
      <c r="AN399" s="622">
        <f t="shared" si="501"/>
        <v>-24097.830182474099</v>
      </c>
    </row>
    <row r="400" spans="1:40" s="115" customFormat="1" ht="15" customHeight="1">
      <c r="A400" s="555" t="s">
        <v>2009</v>
      </c>
      <c r="B400" s="217" t="str">
        <f t="shared" si="386"/>
        <v>119</v>
      </c>
      <c r="C400" s="217" t="str">
        <f t="shared" si="387"/>
        <v>00</v>
      </c>
      <c r="D400" s="101" t="str">
        <f t="shared" si="388"/>
        <v>000</v>
      </c>
      <c r="E400" s="217" t="str">
        <f t="shared" si="389"/>
        <v>119-00-000</v>
      </c>
      <c r="F400" s="294" t="str">
        <f t="shared" si="390"/>
        <v>44940</v>
      </c>
      <c r="G400" s="295" t="str">
        <f>VLOOKUP(F400,'GL Category'!A:C,3,FALSE)</f>
        <v>CHARGES FOR SERVICE</v>
      </c>
      <c r="H400" s="98" t="str">
        <f>VLOOKUP(F400,'GL Category'!A:C,2,FALSE)</f>
        <v>OFFICE EQUIP LEASE REV-F 125</v>
      </c>
      <c r="I400" s="99">
        <f>SUMIF(Import!$B:$B,'Other Fund Line-Item Details'!$A400,Import!D:D)</f>
        <v>-82625</v>
      </c>
      <c r="J400" s="99">
        <f>SUMIF(Import!$B:$B,'Other Fund Line-Item Details'!$A400,Import!E:E)</f>
        <v>-103245</v>
      </c>
      <c r="K400" s="99">
        <f>SUMIF(Import!$B:$B,'Other Fund Line-Item Details'!$A400,Import!F:F)</f>
        <v>-76678</v>
      </c>
      <c r="L400" s="99">
        <f>SUMIF(Import!$B:$B,'Other Fund Line-Item Details'!$A400,Import!G:G)</f>
        <v>-82145</v>
      </c>
      <c r="M400" s="99">
        <f>SUMIF(Import!$B:$B,'Other Fund Line-Item Details'!$A400,Import!H:H)</f>
        <v>-86340</v>
      </c>
      <c r="N400" s="99">
        <f>SUMIF(Import!$B:$B,'Other Fund Line-Item Details'!$A400,Import!I:I)</f>
        <v>-64755</v>
      </c>
      <c r="O400" s="99">
        <f>SUMIF(Import!$B:$B,'Other Fund Line-Item Details'!$A400,Import!J:J)</f>
        <v>-86340</v>
      </c>
      <c r="P400" s="99">
        <f t="shared" si="493"/>
        <v>0</v>
      </c>
      <c r="Q400" s="99">
        <f>SUMIF(Import!$B:$B,'Other Fund Line-Item Details'!$A400,Import!K:K)</f>
        <v>-98501</v>
      </c>
      <c r="R400" s="99">
        <f>SUMIF(Import!$B:$B,'Other Fund Line-Item Details'!$A400,Import!L:L)</f>
        <v>0</v>
      </c>
      <c r="S400" s="99">
        <f>SUMIF(Import!$B:$B,'Other Fund Line-Item Details'!$A400,Import!M:M)</f>
        <v>0</v>
      </c>
      <c r="T400" s="99">
        <f>SUMIF(Import!$B:$B,'Other Fund Line-Item Details'!$A400,Import!N:N)</f>
        <v>-98501</v>
      </c>
      <c r="U400" s="99">
        <f t="shared" si="494"/>
        <v>-12161</v>
      </c>
      <c r="V400" s="255">
        <f t="shared" si="495"/>
        <v>0.14085012740328939</v>
      </c>
      <c r="W400" s="102" t="s">
        <v>2009</v>
      </c>
      <c r="X400" s="102"/>
      <c r="Y400" s="102">
        <f t="shared" si="496"/>
        <v>-98501</v>
      </c>
      <c r="Z400" s="309">
        <f>Y400*(1+VLOOKUP($F400,'GL Category'!$A:$H,4,FALSE))</f>
        <v>-101456.03</v>
      </c>
      <c r="AA400" s="615"/>
      <c r="AB400" s="622">
        <f t="shared" si="497"/>
        <v>-101456.03</v>
      </c>
      <c r="AC400" s="633">
        <f>AB400*(1+VLOOKUP($F400,'GL Category'!$A:$H,5,FALSE))</f>
        <v>-104499.71090000001</v>
      </c>
      <c r="AD400" s="307"/>
      <c r="AE400" s="622">
        <f t="shared" si="498"/>
        <v>-104499.71090000001</v>
      </c>
      <c r="AF400" s="633">
        <f>AE400*(1+VLOOKUP($F400,'GL Category'!$A:$H,6,FALSE))</f>
        <v>-107634.702227</v>
      </c>
      <c r="AG400" s="307"/>
      <c r="AH400" s="622">
        <f t="shared" si="499"/>
        <v>-107634.702227</v>
      </c>
      <c r="AI400" s="633">
        <f>AH400*(1+VLOOKUP($F400,'GL Category'!$A:$H,7,FALSE))</f>
        <v>-110863.74329381001</v>
      </c>
      <c r="AJ400" s="307"/>
      <c r="AK400" s="622">
        <f t="shared" si="500"/>
        <v>-110863.74329381001</v>
      </c>
      <c r="AL400" s="633">
        <f>AK400*(1+VLOOKUP($F400,'GL Category'!$A:$H,8,FALSE))</f>
        <v>-114189.65559262432</v>
      </c>
      <c r="AM400" s="307"/>
      <c r="AN400" s="622">
        <f t="shared" si="501"/>
        <v>-114189.65559262432</v>
      </c>
    </row>
    <row r="401" spans="1:40" s="115" customFormat="1" ht="15" customHeight="1">
      <c r="A401" s="555" t="s">
        <v>2010</v>
      </c>
      <c r="B401" s="217" t="str">
        <f t="shared" si="386"/>
        <v>119</v>
      </c>
      <c r="C401" s="217" t="str">
        <f t="shared" si="387"/>
        <v>00</v>
      </c>
      <c r="D401" s="101" t="str">
        <f t="shared" si="388"/>
        <v>000</v>
      </c>
      <c r="E401" s="217" t="str">
        <f t="shared" si="389"/>
        <v>119-00-000</v>
      </c>
      <c r="F401" s="294" t="str">
        <f t="shared" si="390"/>
        <v>47010</v>
      </c>
      <c r="G401" s="295" t="str">
        <f>VLOOKUP(F401,'GL Category'!A:C,3,FALSE)</f>
        <v>OTHER REVENUE</v>
      </c>
      <c r="H401" s="98" t="str">
        <f>VLOOKUP(F401,'GL Category'!A:C,2,FALSE)</f>
        <v>MISCELLANEOUS REVENUE</v>
      </c>
      <c r="I401" s="99">
        <f>SUMIF(Import!$B:$B,'Other Fund Line-Item Details'!$A401,Import!D:D)</f>
        <v>0</v>
      </c>
      <c r="J401" s="99">
        <f>SUMIF(Import!$B:$B,'Other Fund Line-Item Details'!$A401,Import!E:E)</f>
        <v>0</v>
      </c>
      <c r="K401" s="99">
        <f>SUMIF(Import!$B:$B,'Other Fund Line-Item Details'!$A401,Import!F:F)</f>
        <v>0</v>
      </c>
      <c r="L401" s="99">
        <f>SUMIF(Import!$B:$B,'Other Fund Line-Item Details'!$A401,Import!G:G)</f>
        <v>0</v>
      </c>
      <c r="M401" s="99">
        <f>SUMIF(Import!$B:$B,'Other Fund Line-Item Details'!$A401,Import!H:H)</f>
        <v>0</v>
      </c>
      <c r="N401" s="99">
        <f>SUMIF(Import!$B:$B,'Other Fund Line-Item Details'!$A401,Import!I:I)</f>
        <v>0</v>
      </c>
      <c r="O401" s="99">
        <f>SUMIF(Import!$B:$B,'Other Fund Line-Item Details'!$A401,Import!J:J)</f>
        <v>0</v>
      </c>
      <c r="P401" s="99">
        <f t="shared" si="493"/>
        <v>0</v>
      </c>
      <c r="Q401" s="99">
        <f>SUMIF(Import!$B:$B,'Other Fund Line-Item Details'!$A401,Import!K:K)</f>
        <v>0</v>
      </c>
      <c r="R401" s="99">
        <f>SUMIF(Import!$B:$B,'Other Fund Line-Item Details'!$A401,Import!L:L)</f>
        <v>0</v>
      </c>
      <c r="S401" s="99">
        <f>SUMIF(Import!$B:$B,'Other Fund Line-Item Details'!$A401,Import!M:M)</f>
        <v>0</v>
      </c>
      <c r="T401" s="99">
        <f>SUMIF(Import!$B:$B,'Other Fund Line-Item Details'!$A401,Import!N:N)</f>
        <v>0</v>
      </c>
      <c r="U401" s="99">
        <f t="shared" si="494"/>
        <v>0</v>
      </c>
      <c r="V401" s="255" t="str">
        <f t="shared" si="495"/>
        <v>N/A</v>
      </c>
      <c r="W401" s="102" t="s">
        <v>2010</v>
      </c>
      <c r="X401" s="102"/>
      <c r="Y401" s="102">
        <f t="shared" si="496"/>
        <v>0</v>
      </c>
      <c r="Z401" s="309">
        <f>Y401*(1+VLOOKUP($F401,'GL Category'!$A:$H,4,FALSE))</f>
        <v>0</v>
      </c>
      <c r="AA401" s="615"/>
      <c r="AB401" s="622">
        <f t="shared" si="497"/>
        <v>0</v>
      </c>
      <c r="AC401" s="633">
        <f>AB401*(1+VLOOKUP($F401,'GL Category'!$A:$H,5,FALSE))</f>
        <v>0</v>
      </c>
      <c r="AD401" s="307"/>
      <c r="AE401" s="622">
        <f t="shared" si="498"/>
        <v>0</v>
      </c>
      <c r="AF401" s="633">
        <f>AE401*(1+VLOOKUP($F401,'GL Category'!$A:$H,6,FALSE))</f>
        <v>0</v>
      </c>
      <c r="AG401" s="307"/>
      <c r="AH401" s="622">
        <f t="shared" si="499"/>
        <v>0</v>
      </c>
      <c r="AI401" s="633">
        <f>AH401*(1+VLOOKUP($F401,'GL Category'!$A:$H,7,FALSE))</f>
        <v>0</v>
      </c>
      <c r="AJ401" s="307"/>
      <c r="AK401" s="622">
        <f t="shared" si="500"/>
        <v>0</v>
      </c>
      <c r="AL401" s="633">
        <f>AK401*(1+VLOOKUP($F401,'GL Category'!$A:$H,8,FALSE))</f>
        <v>0</v>
      </c>
      <c r="AM401" s="307"/>
      <c r="AN401" s="622">
        <f t="shared" si="501"/>
        <v>0</v>
      </c>
    </row>
    <row r="402" spans="1:40" s="115" customFormat="1" ht="15" customHeight="1">
      <c r="A402" s="555" t="s">
        <v>2011</v>
      </c>
      <c r="B402" s="217" t="str">
        <f t="shared" si="386"/>
        <v>119</v>
      </c>
      <c r="C402" s="217" t="str">
        <f t="shared" si="387"/>
        <v>00</v>
      </c>
      <c r="D402" s="101" t="str">
        <f t="shared" si="388"/>
        <v>000</v>
      </c>
      <c r="E402" s="217" t="str">
        <f t="shared" si="389"/>
        <v>119-00-000</v>
      </c>
      <c r="F402" s="294" t="str">
        <f t="shared" si="390"/>
        <v>47020</v>
      </c>
      <c r="G402" s="295" t="str">
        <f>VLOOKUP(F402,'GL Category'!A:C,3,FALSE)</f>
        <v>OTHER REVENUE</v>
      </c>
      <c r="H402" s="98" t="str">
        <f>VLOOKUP(F402,'GL Category'!A:C,2,FALSE)</f>
        <v>AUCTION PROCEEDS</v>
      </c>
      <c r="I402" s="99">
        <f>SUMIF(Import!$B:$B,'Other Fund Line-Item Details'!$A402,Import!D:D)</f>
        <v>0</v>
      </c>
      <c r="J402" s="99">
        <f>SUMIF(Import!$B:$B,'Other Fund Line-Item Details'!$A402,Import!E:E)</f>
        <v>-416.25</v>
      </c>
      <c r="K402" s="99">
        <f>SUMIF(Import!$B:$B,'Other Fund Line-Item Details'!$A402,Import!F:F)</f>
        <v>-28683.35</v>
      </c>
      <c r="L402" s="99">
        <f>SUMIF(Import!$B:$B,'Other Fund Line-Item Details'!$A402,Import!G:G)</f>
        <v>0</v>
      </c>
      <c r="M402" s="99">
        <f>SUMIF(Import!$B:$B,'Other Fund Line-Item Details'!$A402,Import!H:H)</f>
        <v>0</v>
      </c>
      <c r="N402" s="99">
        <f>SUMIF(Import!$B:$B,'Other Fund Line-Item Details'!$A402,Import!I:I)</f>
        <v>-4353.05</v>
      </c>
      <c r="O402" s="99">
        <f>SUMIF(Import!$B:$B,'Other Fund Line-Item Details'!$A402,Import!J:J)</f>
        <v>0</v>
      </c>
      <c r="P402" s="99">
        <f t="shared" si="493"/>
        <v>0</v>
      </c>
      <c r="Q402" s="99">
        <f>SUMIF(Import!$B:$B,'Other Fund Line-Item Details'!$A402,Import!K:K)</f>
        <v>0</v>
      </c>
      <c r="R402" s="99">
        <f>SUMIF(Import!$B:$B,'Other Fund Line-Item Details'!$A402,Import!L:L)</f>
        <v>0</v>
      </c>
      <c r="S402" s="99">
        <f>SUMIF(Import!$B:$B,'Other Fund Line-Item Details'!$A402,Import!M:M)</f>
        <v>0</v>
      </c>
      <c r="T402" s="99">
        <f>SUMIF(Import!$B:$B,'Other Fund Line-Item Details'!$A402,Import!N:N)</f>
        <v>0</v>
      </c>
      <c r="U402" s="99">
        <f t="shared" si="494"/>
        <v>0</v>
      </c>
      <c r="V402" s="255" t="str">
        <f t="shared" si="495"/>
        <v>N/A</v>
      </c>
      <c r="W402" s="102" t="s">
        <v>2011</v>
      </c>
      <c r="X402" s="102"/>
      <c r="Y402" s="102">
        <f t="shared" si="496"/>
        <v>0</v>
      </c>
      <c r="Z402" s="309">
        <f>Y402*(1+VLOOKUP($F402,'GL Category'!$A:$H,4,FALSE))</f>
        <v>0</v>
      </c>
      <c r="AA402" s="615"/>
      <c r="AB402" s="622">
        <f t="shared" si="497"/>
        <v>0</v>
      </c>
      <c r="AC402" s="633">
        <f>AB402*(1+VLOOKUP($F402,'GL Category'!$A:$H,5,FALSE))</f>
        <v>0</v>
      </c>
      <c r="AD402" s="307"/>
      <c r="AE402" s="622">
        <f t="shared" si="498"/>
        <v>0</v>
      </c>
      <c r="AF402" s="633">
        <f>AE402*(1+VLOOKUP($F402,'GL Category'!$A:$H,6,FALSE))</f>
        <v>0</v>
      </c>
      <c r="AG402" s="307"/>
      <c r="AH402" s="622">
        <f t="shared" si="499"/>
        <v>0</v>
      </c>
      <c r="AI402" s="633">
        <f>AH402*(1+VLOOKUP($F402,'GL Category'!$A:$H,7,FALSE))</f>
        <v>0</v>
      </c>
      <c r="AJ402" s="307"/>
      <c r="AK402" s="622">
        <f t="shared" si="500"/>
        <v>0</v>
      </c>
      <c r="AL402" s="633">
        <f>AK402*(1+VLOOKUP($F402,'GL Category'!$A:$H,8,FALSE))</f>
        <v>0</v>
      </c>
      <c r="AM402" s="307"/>
      <c r="AN402" s="622">
        <f t="shared" si="501"/>
        <v>0</v>
      </c>
    </row>
    <row r="403" spans="1:40" s="115" customFormat="1" ht="15" customHeight="1">
      <c r="A403" s="555" t="s">
        <v>2012</v>
      </c>
      <c r="B403" s="217" t="str">
        <f t="shared" si="386"/>
        <v>119</v>
      </c>
      <c r="C403" s="217" t="str">
        <f t="shared" si="387"/>
        <v>00</v>
      </c>
      <c r="D403" s="101" t="str">
        <f t="shared" si="388"/>
        <v>000</v>
      </c>
      <c r="E403" s="217" t="str">
        <f t="shared" si="389"/>
        <v>119-00-000</v>
      </c>
      <c r="F403" s="294" t="str">
        <f t="shared" si="390"/>
        <v>47030</v>
      </c>
      <c r="G403" s="295" t="str">
        <f>VLOOKUP(F403,'GL Category'!A:C,3,FALSE)</f>
        <v>OTHER REVENUE</v>
      </c>
      <c r="H403" s="98" t="str">
        <f>VLOOKUP(F403,'GL Category'!A:C,2,FALSE)</f>
        <v>GAIN/LOSS ON DISP OF ASSETS</v>
      </c>
      <c r="I403" s="99">
        <f>SUMIF(Import!$B:$B,'Other Fund Line-Item Details'!$A403,Import!D:D)</f>
        <v>0</v>
      </c>
      <c r="J403" s="99">
        <f>SUMIF(Import!$B:$B,'Other Fund Line-Item Details'!$A403,Import!E:E)</f>
        <v>0</v>
      </c>
      <c r="K403" s="99">
        <f>SUMIF(Import!$B:$B,'Other Fund Line-Item Details'!$A403,Import!F:F)</f>
        <v>0</v>
      </c>
      <c r="L403" s="99">
        <f>SUMIF(Import!$B:$B,'Other Fund Line-Item Details'!$A403,Import!G:G)</f>
        <v>0</v>
      </c>
      <c r="M403" s="99">
        <f>SUMIF(Import!$B:$B,'Other Fund Line-Item Details'!$A403,Import!H:H)</f>
        <v>0</v>
      </c>
      <c r="N403" s="99">
        <f>SUMIF(Import!$B:$B,'Other Fund Line-Item Details'!$A403,Import!I:I)</f>
        <v>0</v>
      </c>
      <c r="O403" s="99">
        <f>SUMIF(Import!$B:$B,'Other Fund Line-Item Details'!$A403,Import!J:J)</f>
        <v>0</v>
      </c>
      <c r="P403" s="99">
        <f t="shared" si="493"/>
        <v>0</v>
      </c>
      <c r="Q403" s="99">
        <f>SUMIF(Import!$B:$B,'Other Fund Line-Item Details'!$A403,Import!K:K)</f>
        <v>0</v>
      </c>
      <c r="R403" s="99">
        <f>SUMIF(Import!$B:$B,'Other Fund Line-Item Details'!$A403,Import!L:L)</f>
        <v>0</v>
      </c>
      <c r="S403" s="99">
        <f>SUMIF(Import!$B:$B,'Other Fund Line-Item Details'!$A403,Import!M:M)</f>
        <v>0</v>
      </c>
      <c r="T403" s="99">
        <f>SUMIF(Import!$B:$B,'Other Fund Line-Item Details'!$A403,Import!N:N)</f>
        <v>0</v>
      </c>
      <c r="U403" s="99">
        <f t="shared" si="494"/>
        <v>0</v>
      </c>
      <c r="V403" s="255" t="str">
        <f t="shared" si="495"/>
        <v>N/A</v>
      </c>
      <c r="W403" s="102" t="s">
        <v>2012</v>
      </c>
      <c r="X403" s="102"/>
      <c r="Y403" s="102">
        <f t="shared" si="496"/>
        <v>0</v>
      </c>
      <c r="Z403" s="309">
        <f>Y403*(1+VLOOKUP($F403,'GL Category'!$A:$H,4,FALSE))</f>
        <v>0</v>
      </c>
      <c r="AA403" s="615"/>
      <c r="AB403" s="622">
        <f t="shared" si="497"/>
        <v>0</v>
      </c>
      <c r="AC403" s="633">
        <f>AB403*(1+VLOOKUP($F403,'GL Category'!$A:$H,5,FALSE))</f>
        <v>0</v>
      </c>
      <c r="AD403" s="307"/>
      <c r="AE403" s="622">
        <f t="shared" si="498"/>
        <v>0</v>
      </c>
      <c r="AF403" s="633">
        <f>AE403*(1+VLOOKUP($F403,'GL Category'!$A:$H,6,FALSE))</f>
        <v>0</v>
      </c>
      <c r="AG403" s="307"/>
      <c r="AH403" s="622">
        <f t="shared" si="499"/>
        <v>0</v>
      </c>
      <c r="AI403" s="633">
        <f>AH403*(1+VLOOKUP($F403,'GL Category'!$A:$H,7,FALSE))</f>
        <v>0</v>
      </c>
      <c r="AJ403" s="307"/>
      <c r="AK403" s="622">
        <f t="shared" si="500"/>
        <v>0</v>
      </c>
      <c r="AL403" s="633">
        <f>AK403*(1+VLOOKUP($F403,'GL Category'!$A:$H,8,FALSE))</f>
        <v>0</v>
      </c>
      <c r="AM403" s="307"/>
      <c r="AN403" s="622">
        <f t="shared" si="501"/>
        <v>0</v>
      </c>
    </row>
    <row r="404" spans="1:40" s="115" customFormat="1" ht="15" customHeight="1">
      <c r="A404" s="555" t="s">
        <v>2013</v>
      </c>
      <c r="B404" s="217" t="str">
        <f t="shared" si="386"/>
        <v>119</v>
      </c>
      <c r="C404" s="217" t="str">
        <f t="shared" si="387"/>
        <v>00</v>
      </c>
      <c r="D404" s="101" t="str">
        <f t="shared" si="388"/>
        <v>000</v>
      </c>
      <c r="E404" s="217" t="str">
        <f t="shared" si="389"/>
        <v>119-00-000</v>
      </c>
      <c r="F404" s="294" t="str">
        <f t="shared" si="390"/>
        <v>47090</v>
      </c>
      <c r="G404" s="295" t="str">
        <f>VLOOKUP(F404,'GL Category'!A:C,3,FALSE)</f>
        <v>OTHER REVENUE</v>
      </c>
      <c r="H404" s="98" t="str">
        <f>VLOOKUP(F404,'GL Category'!A:C,2,FALSE)</f>
        <v>INTEREST REVENUE-INVESTMENTS</v>
      </c>
      <c r="I404" s="99">
        <f>SUMIF(Import!$B:$B,'Other Fund Line-Item Details'!$A404,Import!D:D)</f>
        <v>-25687.13</v>
      </c>
      <c r="J404" s="99">
        <f>SUMIF(Import!$B:$B,'Other Fund Line-Item Details'!$A404,Import!E:E)</f>
        <v>-4872.26</v>
      </c>
      <c r="K404" s="99">
        <f>SUMIF(Import!$B:$B,'Other Fund Line-Item Details'!$A404,Import!F:F)</f>
        <v>-11587.63</v>
      </c>
      <c r="L404" s="99">
        <f>SUMIF(Import!$B:$B,'Other Fund Line-Item Details'!$A404,Import!G:G)</f>
        <v>-85684.92</v>
      </c>
      <c r="M404" s="99">
        <f>SUMIF(Import!$B:$B,'Other Fund Line-Item Details'!$A404,Import!H:H)</f>
        <v>-8092</v>
      </c>
      <c r="N404" s="99">
        <f>SUMIF(Import!$B:$B,'Other Fund Line-Item Details'!$A404,Import!I:I)</f>
        <v>-78205.259999999995</v>
      </c>
      <c r="O404" s="99">
        <f>SUMIF(Import!$B:$B,'Other Fund Line-Item Details'!$A404,Import!J:J)</f>
        <v>-69981</v>
      </c>
      <c r="P404" s="99">
        <f t="shared" si="493"/>
        <v>-61889</v>
      </c>
      <c r="Q404" s="99">
        <f>SUMIF(Import!$B:$B,'Other Fund Line-Item Details'!$A404,Import!K:K)</f>
        <v>-70000</v>
      </c>
      <c r="R404" s="99">
        <f>SUMIF(Import!$B:$B,'Other Fund Line-Item Details'!$A404,Import!L:L)</f>
        <v>0</v>
      </c>
      <c r="S404" s="99">
        <f>SUMIF(Import!$B:$B,'Other Fund Line-Item Details'!$A404,Import!M:M)</f>
        <v>0</v>
      </c>
      <c r="T404" s="99">
        <f>SUMIF(Import!$B:$B,'Other Fund Line-Item Details'!$A404,Import!N:N)</f>
        <v>-70000</v>
      </c>
      <c r="U404" s="99">
        <f t="shared" si="494"/>
        <v>-61908</v>
      </c>
      <c r="V404" s="255">
        <f t="shared" si="495"/>
        <v>7.6505190311418687</v>
      </c>
      <c r="W404" s="102" t="s">
        <v>2013</v>
      </c>
      <c r="X404" s="102"/>
      <c r="Y404" s="102">
        <f t="shared" si="496"/>
        <v>-70000</v>
      </c>
      <c r="Z404" s="309">
        <f>Y404*(1+VLOOKUP($F404,'GL Category'!$A:$H,4,FALSE))</f>
        <v>-52500</v>
      </c>
      <c r="AA404" s="615"/>
      <c r="AB404" s="622">
        <f t="shared" si="497"/>
        <v>-52500</v>
      </c>
      <c r="AC404" s="633">
        <f>AB404*(1+VLOOKUP($F404,'GL Category'!$A:$H,5,FALSE))</f>
        <v>-26250</v>
      </c>
      <c r="AD404" s="307"/>
      <c r="AE404" s="622">
        <f t="shared" si="498"/>
        <v>-26250</v>
      </c>
      <c r="AF404" s="633">
        <f>AE404*(1+VLOOKUP($F404,'GL Category'!$A:$H,6,FALSE))</f>
        <v>-26250</v>
      </c>
      <c r="AG404" s="307"/>
      <c r="AH404" s="622">
        <f t="shared" si="499"/>
        <v>-26250</v>
      </c>
      <c r="AI404" s="633">
        <f>AH404*(1+VLOOKUP($F404,'GL Category'!$A:$H,7,FALSE))</f>
        <v>-26250</v>
      </c>
      <c r="AJ404" s="307"/>
      <c r="AK404" s="622">
        <f t="shared" si="500"/>
        <v>-26250</v>
      </c>
      <c r="AL404" s="633">
        <f>AK404*(1+VLOOKUP($F404,'GL Category'!$A:$H,8,FALSE))</f>
        <v>-26250</v>
      </c>
      <c r="AM404" s="307"/>
      <c r="AN404" s="622">
        <f t="shared" si="501"/>
        <v>-26250</v>
      </c>
    </row>
    <row r="405" spans="1:40" s="115" customFormat="1" ht="15" customHeight="1">
      <c r="A405" s="555" t="s">
        <v>2014</v>
      </c>
      <c r="B405" s="217" t="str">
        <f t="shared" si="386"/>
        <v>119</v>
      </c>
      <c r="C405" s="217" t="str">
        <f t="shared" si="387"/>
        <v>00</v>
      </c>
      <c r="D405" s="101" t="str">
        <f t="shared" si="388"/>
        <v>000</v>
      </c>
      <c r="E405" s="217" t="str">
        <f t="shared" si="389"/>
        <v>119-00-000</v>
      </c>
      <c r="F405" s="294" t="str">
        <f t="shared" si="390"/>
        <v>49999</v>
      </c>
      <c r="G405" s="295" t="s">
        <v>916</v>
      </c>
      <c r="H405" s="98" t="str">
        <f>VLOOKUP(F405,'GL Category'!A:C,2,FALSE)</f>
        <v>USE OF FUND BALANCE</v>
      </c>
      <c r="I405" s="99">
        <f>SUMIF(Import!$B:$B,'Other Fund Line-Item Details'!$A405,Import!D:D)</f>
        <v>-64</v>
      </c>
      <c r="J405" s="99">
        <f>SUMIF(Import!$B:$B,'Other Fund Line-Item Details'!$A405,Import!E:E)</f>
        <v>0</v>
      </c>
      <c r="K405" s="99">
        <f>SUMIF(Import!$B:$B,'Other Fund Line-Item Details'!$A405,Import!F:F)</f>
        <v>-19873</v>
      </c>
      <c r="L405" s="99">
        <f>SUMIF(Import!$B:$B,'Other Fund Line-Item Details'!$A405,Import!G:G)</f>
        <v>-262728</v>
      </c>
      <c r="M405" s="99">
        <f>SUMIF(Import!$B:$B,'Other Fund Line-Item Details'!$A405,Import!H:H)</f>
        <v>0</v>
      </c>
      <c r="N405" s="99">
        <f>SUMIF(Import!$B:$B,'Other Fund Line-Item Details'!$A405,Import!I:I)</f>
        <v>0</v>
      </c>
      <c r="O405" s="99">
        <f>SUMIF(Import!$B:$B,'Other Fund Line-Item Details'!$A405,Import!J:J)</f>
        <v>0</v>
      </c>
      <c r="P405" s="99">
        <f t="shared" si="493"/>
        <v>0</v>
      </c>
      <c r="Q405" s="99">
        <f>SUMIF(Import!$B:$B,'Other Fund Line-Item Details'!$A405,Import!K:K)</f>
        <v>0</v>
      </c>
      <c r="R405" s="99">
        <f>SUMIF(Import!$B:$B,'Other Fund Line-Item Details'!$A405,Import!L:L)</f>
        <v>0</v>
      </c>
      <c r="S405" s="99">
        <f>SUMIF(Import!$B:$B,'Other Fund Line-Item Details'!$A405,Import!M:M)</f>
        <v>0</v>
      </c>
      <c r="T405" s="99">
        <f>SUMIF(Import!$B:$B,'Other Fund Line-Item Details'!$A405,Import!N:N)</f>
        <v>0</v>
      </c>
      <c r="U405" s="99">
        <f t="shared" si="494"/>
        <v>0</v>
      </c>
      <c r="V405" s="255" t="str">
        <f t="shared" si="495"/>
        <v>N/A</v>
      </c>
      <c r="W405" s="102" t="s">
        <v>2014</v>
      </c>
      <c r="X405" s="102"/>
      <c r="Y405" s="102">
        <f t="shared" si="496"/>
        <v>0</v>
      </c>
      <c r="Z405" s="309">
        <f>Y405*(1+VLOOKUP($F405,'GL Category'!$A:$H,4,FALSE))</f>
        <v>0</v>
      </c>
      <c r="AA405" s="615"/>
      <c r="AB405" s="622">
        <f t="shared" si="497"/>
        <v>0</v>
      </c>
      <c r="AC405" s="633">
        <f>AB405*(1+VLOOKUP($F405,'GL Category'!$A:$H,5,FALSE))</f>
        <v>0</v>
      </c>
      <c r="AD405" s="307"/>
      <c r="AE405" s="622">
        <f t="shared" si="498"/>
        <v>0</v>
      </c>
      <c r="AF405" s="633">
        <f>AE405*(1+VLOOKUP($F405,'GL Category'!$A:$H,6,FALSE))</f>
        <v>0</v>
      </c>
      <c r="AG405" s="307"/>
      <c r="AH405" s="622">
        <f t="shared" si="499"/>
        <v>0</v>
      </c>
      <c r="AI405" s="633">
        <f>AH405*(1+VLOOKUP($F405,'GL Category'!$A:$H,7,FALSE))</f>
        <v>0</v>
      </c>
      <c r="AJ405" s="307"/>
      <c r="AK405" s="622">
        <f t="shared" si="500"/>
        <v>0</v>
      </c>
      <c r="AL405" s="633">
        <f>AK405*(1+VLOOKUP($F405,'GL Category'!$A:$H,8,FALSE))</f>
        <v>0</v>
      </c>
      <c r="AM405" s="307"/>
      <c r="AN405" s="622">
        <f t="shared" si="501"/>
        <v>0</v>
      </c>
    </row>
    <row r="406" spans="1:40" s="115" customFormat="1" ht="15" customHeight="1">
      <c r="A406" s="555"/>
      <c r="B406" s="217"/>
      <c r="C406" s="217"/>
      <c r="D406" s="101"/>
      <c r="E406" s="217"/>
      <c r="F406" s="294"/>
      <c r="G406" s="146"/>
      <c r="H406" s="107" t="str">
        <f>UPPER(G405)&amp;" TOTAL"</f>
        <v>REVENUE TOTAL</v>
      </c>
      <c r="I406" s="108">
        <f t="shared" ref="I406" si="502">SUBTOTAL(9,I394:I405)</f>
        <v>-2330136.13</v>
      </c>
      <c r="J406" s="108">
        <f t="shared" ref="J406:T406" si="503">SUBTOTAL(9,J394:J405)</f>
        <v>-2329368.5099999998</v>
      </c>
      <c r="K406" s="108">
        <f t="shared" ref="K406" si="504">SUBTOTAL(9,K394:K405)</f>
        <v>-2442015.98</v>
      </c>
      <c r="L406" s="108">
        <f t="shared" ref="L406" si="505">SUBTOTAL(9,L394:L405)</f>
        <v>-3064064.92</v>
      </c>
      <c r="M406" s="108">
        <f t="shared" si="503"/>
        <v>-2680186</v>
      </c>
      <c r="N406" s="109">
        <f t="shared" ref="N406" si="506">SUBTOTAL(9,N394:N405)</f>
        <v>-2086628.81</v>
      </c>
      <c r="O406" s="109">
        <f t="shared" si="503"/>
        <v>-2742075</v>
      </c>
      <c r="P406" s="109">
        <f t="shared" si="503"/>
        <v>-61889</v>
      </c>
      <c r="Q406" s="109">
        <f t="shared" si="503"/>
        <v>-2850695</v>
      </c>
      <c r="R406" s="109">
        <f t="shared" si="503"/>
        <v>0</v>
      </c>
      <c r="S406" s="109">
        <f t="shared" si="503"/>
        <v>-906370</v>
      </c>
      <c r="T406" s="109">
        <f t="shared" si="503"/>
        <v>-3757065</v>
      </c>
      <c r="U406" s="99">
        <f t="shared" si="494"/>
        <v>-1076879</v>
      </c>
      <c r="V406" s="255">
        <f t="shared" si="495"/>
        <v>0.40179263677968624</v>
      </c>
      <c r="W406" s="102"/>
      <c r="X406" s="121"/>
      <c r="Y406" s="109">
        <f t="shared" ref="Y406:AN406" si="507">SUBTOTAL(9,Y394:Y405)</f>
        <v>-2992065</v>
      </c>
      <c r="Z406" s="109">
        <f t="shared" si="507"/>
        <v>-3062226.9499999993</v>
      </c>
      <c r="AA406" s="109">
        <f t="shared" si="507"/>
        <v>0</v>
      </c>
      <c r="AB406" s="109">
        <f t="shared" si="507"/>
        <v>-3062226.9499999993</v>
      </c>
      <c r="AC406" s="109">
        <f t="shared" si="507"/>
        <v>-3126268.7584999995</v>
      </c>
      <c r="AD406" s="109">
        <f t="shared" si="507"/>
        <v>0</v>
      </c>
      <c r="AE406" s="109">
        <f t="shared" si="507"/>
        <v>-3126268.7584999995</v>
      </c>
      <c r="AF406" s="109">
        <f t="shared" si="507"/>
        <v>-3219269.3212549998</v>
      </c>
      <c r="AG406" s="109">
        <f t="shared" si="507"/>
        <v>0</v>
      </c>
      <c r="AH406" s="109">
        <f t="shared" si="507"/>
        <v>-3219269.3212549998</v>
      </c>
      <c r="AI406" s="109">
        <f t="shared" si="507"/>
        <v>-3315059.9008926502</v>
      </c>
      <c r="AJ406" s="109">
        <f t="shared" si="507"/>
        <v>0</v>
      </c>
      <c r="AK406" s="109">
        <f t="shared" si="507"/>
        <v>-3315059.9008926502</v>
      </c>
      <c r="AL406" s="109">
        <f t="shared" si="507"/>
        <v>-3413724.1979194297</v>
      </c>
      <c r="AM406" s="109">
        <f t="shared" si="507"/>
        <v>0</v>
      </c>
      <c r="AN406" s="109">
        <f t="shared" si="507"/>
        <v>-3413724.1979194297</v>
      </c>
    </row>
    <row r="407" spans="1:40" s="115" customFormat="1" ht="15" customHeight="1" thickBot="1">
      <c r="A407" s="555"/>
      <c r="B407" s="217"/>
      <c r="C407" s="217"/>
      <c r="D407" s="101"/>
      <c r="E407" s="217"/>
      <c r="F407" s="294"/>
      <c r="G407" s="146"/>
      <c r="H407" s="232"/>
      <c r="I407" s="233"/>
      <c r="J407" s="233"/>
      <c r="K407" s="233"/>
      <c r="L407" s="233"/>
      <c r="M407" s="233"/>
      <c r="N407" s="202"/>
      <c r="O407" s="202"/>
      <c r="P407" s="202"/>
      <c r="Q407" s="202"/>
      <c r="R407" s="202"/>
      <c r="S407" s="202"/>
      <c r="T407" s="202"/>
      <c r="U407" s="105"/>
      <c r="V407" s="262"/>
      <c r="W407" s="102"/>
      <c r="X407" s="121"/>
      <c r="Y407" s="121"/>
      <c r="Z407" s="121"/>
      <c r="AA407" s="121"/>
      <c r="AB407" s="121"/>
      <c r="AC407" s="121"/>
      <c r="AD407" s="121"/>
      <c r="AE407" s="121"/>
      <c r="AF407" s="121"/>
      <c r="AG407" s="121"/>
      <c r="AH407" s="121"/>
      <c r="AI407" s="121"/>
    </row>
    <row r="408" spans="1:40" s="115" customFormat="1" ht="21.6" thickBot="1">
      <c r="A408" s="555"/>
      <c r="B408" s="217"/>
      <c r="C408" s="217"/>
      <c r="D408" s="101"/>
      <c r="E408" s="217"/>
      <c r="F408" s="294"/>
      <c r="G408" s="146"/>
      <c r="H408" s="665" t="s">
        <v>731</v>
      </c>
      <c r="I408" s="666"/>
      <c r="J408" s="666"/>
      <c r="K408" s="666"/>
      <c r="L408" s="666"/>
      <c r="M408" s="666"/>
      <c r="N408" s="666"/>
      <c r="O408" s="666"/>
      <c r="P408" s="666"/>
      <c r="Q408" s="666"/>
      <c r="R408" s="666"/>
      <c r="S408" s="666"/>
      <c r="T408" s="667"/>
      <c r="U408" s="264">
        <f>T408-M408</f>
        <v>0</v>
      </c>
      <c r="V408" s="265" t="str">
        <f>IF(Q408="","",IF(T408=SUM(Q408:S408),"OK","NO"))</f>
        <v/>
      </c>
      <c r="W408" s="102"/>
      <c r="X408" s="121"/>
      <c r="Y408" s="121"/>
      <c r="Z408" s="121"/>
      <c r="AA408" s="121"/>
      <c r="AB408" s="121"/>
      <c r="AC408" s="121"/>
      <c r="AD408" s="121"/>
      <c r="AE408" s="121"/>
      <c r="AF408" s="121"/>
      <c r="AG408" s="121"/>
      <c r="AH408" s="121"/>
      <c r="AI408" s="121"/>
    </row>
    <row r="409" spans="1:40" s="115" customFormat="1" ht="15" customHeight="1">
      <c r="A409" s="555"/>
      <c r="B409" s="217"/>
      <c r="C409" s="217"/>
      <c r="D409" s="101"/>
      <c r="E409" s="217"/>
      <c r="F409" s="294"/>
      <c r="G409" s="146"/>
      <c r="H409" s="98"/>
      <c r="I409" s="106"/>
      <c r="J409" s="106"/>
      <c r="K409" s="106"/>
      <c r="L409" s="106"/>
      <c r="M409" s="106"/>
      <c r="N409" s="112"/>
      <c r="O409" s="112"/>
      <c r="P409" s="112"/>
      <c r="Q409" s="113"/>
      <c r="R409" s="212"/>
      <c r="S409" s="212"/>
      <c r="T409" s="113"/>
      <c r="U409" s="105"/>
      <c r="V409" s="262"/>
      <c r="W409" s="102"/>
      <c r="X409" s="121"/>
      <c r="Y409" s="121"/>
      <c r="Z409" s="121"/>
      <c r="AA409" s="121"/>
      <c r="AB409" s="121"/>
      <c r="AC409" s="121"/>
      <c r="AD409" s="121"/>
      <c r="AE409" s="121"/>
      <c r="AF409" s="121"/>
      <c r="AG409" s="121"/>
      <c r="AH409" s="121"/>
      <c r="AI409" s="121"/>
    </row>
    <row r="410" spans="1:40" s="115" customFormat="1" ht="15" customHeight="1">
      <c r="A410" s="555" t="s">
        <v>2015</v>
      </c>
      <c r="B410" s="217" t="str">
        <f t="shared" ref="B410:B471" si="508">LEFT(A410,3)</f>
        <v>119</v>
      </c>
      <c r="C410" s="217" t="str">
        <f t="shared" ref="C410:C471" si="509">MID(A410,5,2)</f>
        <v>18</v>
      </c>
      <c r="D410" s="101" t="str">
        <f t="shared" ref="D410:D471" si="510">MID(A410,8,3)</f>
        <v>181</v>
      </c>
      <c r="E410" s="217" t="str">
        <f t="shared" ref="E410:E471" si="511">LEFT(A410,10)</f>
        <v>119-18-181</v>
      </c>
      <c r="F410" s="294" t="str">
        <f t="shared" ref="F410:F471" si="512">RIGHT(A410,5)</f>
        <v>50101</v>
      </c>
      <c r="G410" s="295" t="str">
        <f>VLOOKUP(F410,'GL Category'!A:C,3,FALSE)</f>
        <v>Personnel services</v>
      </c>
      <c r="H410" s="98" t="str">
        <f>VLOOKUP(F410,'GL Category'!A:C,2,FALSE)</f>
        <v>EXEMPT SALARIES</v>
      </c>
      <c r="I410" s="99">
        <f>SUMIF(Import!$B:$B,'Other Fund Line-Item Details'!$A410,Import!D:D)</f>
        <v>325527.19</v>
      </c>
      <c r="J410" s="99">
        <f>SUMIF(Import!$B:$B,'Other Fund Line-Item Details'!$A410,Import!E:E)</f>
        <v>334686.08000000002</v>
      </c>
      <c r="K410" s="99">
        <f>SUMIF(Import!$B:$B,'Other Fund Line-Item Details'!$A410,Import!F:F)</f>
        <v>357195.32</v>
      </c>
      <c r="L410" s="99">
        <f>SUMIF(Import!$B:$B,'Other Fund Line-Item Details'!$A410,Import!G:G)</f>
        <v>372356.73</v>
      </c>
      <c r="M410" s="99">
        <f>SUMIF(Import!$B:$B,'Other Fund Line-Item Details'!$A410,Import!H:H)</f>
        <v>382461</v>
      </c>
      <c r="N410" s="99">
        <f>SUMIF(Import!$B:$B,'Other Fund Line-Item Details'!$A410,Import!I:I)</f>
        <v>282594.77</v>
      </c>
      <c r="O410" s="99">
        <f>SUMIF(Import!$B:$B,'Other Fund Line-Item Details'!$A410,Import!J:J)</f>
        <v>370160</v>
      </c>
      <c r="P410" s="99">
        <f t="shared" ref="P410:P419" si="513">O410-M410</f>
        <v>-12301</v>
      </c>
      <c r="Q410" s="99">
        <f>SUMIF(Import!$B:$B,'Other Fund Line-Item Details'!$A410,Import!K:K)</f>
        <v>383766</v>
      </c>
      <c r="R410" s="99">
        <f>SUMIF(Import!$B:$B,'Other Fund Line-Item Details'!$A410,Import!L:L)</f>
        <v>0</v>
      </c>
      <c r="S410" s="99">
        <f>SUMIF(Import!$B:$B,'Other Fund Line-Item Details'!$A410,Import!M:M)</f>
        <v>0</v>
      </c>
      <c r="T410" s="99">
        <f>SUMIF(Import!$B:$B,'Other Fund Line-Item Details'!$A410,Import!N:N)</f>
        <v>383766</v>
      </c>
      <c r="U410" s="99">
        <f t="shared" ref="U410:U420" si="514">T410-M410</f>
        <v>1305</v>
      </c>
      <c r="V410" s="255">
        <f t="shared" ref="V410:V420" si="515">IF(M410=0,"N/A",T410/M410-1)</f>
        <v>3.412112607559914E-3</v>
      </c>
      <c r="W410" s="102" t="s">
        <v>2015</v>
      </c>
      <c r="X410" s="121"/>
      <c r="Y410" s="121"/>
      <c r="Z410" s="121"/>
      <c r="AA410" s="121"/>
      <c r="AB410" s="121"/>
      <c r="AC410" s="121"/>
      <c r="AD410" s="121"/>
      <c r="AE410" s="121"/>
      <c r="AF410" s="121"/>
      <c r="AG410" s="121"/>
      <c r="AH410" s="121"/>
      <c r="AI410" s="121"/>
    </row>
    <row r="411" spans="1:40" s="115" customFormat="1" ht="15" customHeight="1">
      <c r="A411" s="555" t="s">
        <v>2016</v>
      </c>
      <c r="B411" s="217" t="str">
        <f t="shared" si="508"/>
        <v>119</v>
      </c>
      <c r="C411" s="217" t="str">
        <f t="shared" si="509"/>
        <v>18</v>
      </c>
      <c r="D411" s="101" t="str">
        <f t="shared" si="510"/>
        <v>181</v>
      </c>
      <c r="E411" s="217" t="str">
        <f t="shared" si="511"/>
        <v>119-18-181</v>
      </c>
      <c r="F411" s="294" t="str">
        <f t="shared" si="512"/>
        <v>50102</v>
      </c>
      <c r="G411" s="295" t="str">
        <f>VLOOKUP(F411,'GL Category'!A:C,3,FALSE)</f>
        <v>Personnel services</v>
      </c>
      <c r="H411" s="98" t="str">
        <f>VLOOKUP(F411,'GL Category'!A:C,2,FALSE)</f>
        <v>NON EXEMPT SALARIES</v>
      </c>
      <c r="I411" s="99">
        <f>SUMIF(Import!$B:$B,'Other Fund Line-Item Details'!$A411,Import!D:D)</f>
        <v>52213.41</v>
      </c>
      <c r="J411" s="99">
        <f>SUMIF(Import!$B:$B,'Other Fund Line-Item Details'!$A411,Import!E:E)</f>
        <v>28008.77</v>
      </c>
      <c r="K411" s="99">
        <f>SUMIF(Import!$B:$B,'Other Fund Line-Item Details'!$A411,Import!F:F)</f>
        <v>45105.02</v>
      </c>
      <c r="L411" s="99">
        <f>SUMIF(Import!$B:$B,'Other Fund Line-Item Details'!$A411,Import!G:G)</f>
        <v>50178.559999999998</v>
      </c>
      <c r="M411" s="99">
        <f>SUMIF(Import!$B:$B,'Other Fund Line-Item Details'!$A411,Import!H:H)</f>
        <v>51603</v>
      </c>
      <c r="N411" s="99">
        <f>SUMIF(Import!$B:$B,'Other Fund Line-Item Details'!$A411,Import!I:I)</f>
        <v>43428.29</v>
      </c>
      <c r="O411" s="99">
        <f>SUMIF(Import!$B:$B,'Other Fund Line-Item Details'!$A411,Import!J:J)</f>
        <v>56768</v>
      </c>
      <c r="P411" s="99">
        <f t="shared" si="513"/>
        <v>5165</v>
      </c>
      <c r="Q411" s="99">
        <f>SUMIF(Import!$B:$B,'Other Fund Line-Item Details'!$A411,Import!K:K)</f>
        <v>59049</v>
      </c>
      <c r="R411" s="99">
        <f>SUMIF(Import!$B:$B,'Other Fund Line-Item Details'!$A411,Import!L:L)</f>
        <v>0</v>
      </c>
      <c r="S411" s="99">
        <f>SUMIF(Import!$B:$B,'Other Fund Line-Item Details'!$A411,Import!M:M)</f>
        <v>0</v>
      </c>
      <c r="T411" s="99">
        <f>SUMIF(Import!$B:$B,'Other Fund Line-Item Details'!$A411,Import!N:N)</f>
        <v>59049</v>
      </c>
      <c r="U411" s="99">
        <f t="shared" si="514"/>
        <v>7446</v>
      </c>
      <c r="V411" s="255">
        <f t="shared" si="515"/>
        <v>0.14429393639904653</v>
      </c>
      <c r="W411" s="102" t="s">
        <v>2016</v>
      </c>
      <c r="X411" s="121"/>
      <c r="Y411" s="121"/>
      <c r="Z411" s="121"/>
      <c r="AA411" s="121"/>
      <c r="AB411" s="121"/>
      <c r="AC411" s="121"/>
      <c r="AD411" s="121"/>
      <c r="AE411" s="121"/>
      <c r="AF411" s="121"/>
      <c r="AG411" s="121"/>
      <c r="AH411" s="121"/>
      <c r="AI411" s="121"/>
    </row>
    <row r="412" spans="1:40" s="115" customFormat="1" ht="15" customHeight="1">
      <c r="A412" s="555" t="s">
        <v>2017</v>
      </c>
      <c r="B412" s="217" t="str">
        <f t="shared" si="508"/>
        <v>119</v>
      </c>
      <c r="C412" s="217" t="str">
        <f t="shared" si="509"/>
        <v>18</v>
      </c>
      <c r="D412" s="101" t="str">
        <f t="shared" si="510"/>
        <v>181</v>
      </c>
      <c r="E412" s="217" t="str">
        <f t="shared" si="511"/>
        <v>119-18-181</v>
      </c>
      <c r="F412" s="294" t="str">
        <f t="shared" si="512"/>
        <v>50109</v>
      </c>
      <c r="G412" s="295" t="str">
        <f>VLOOKUP(F412,'GL Category'!A:C,3,FALSE)</f>
        <v>Personnel services</v>
      </c>
      <c r="H412" s="98" t="str">
        <f>VLOOKUP(F412,'GL Category'!A:C,2,FALSE)</f>
        <v>OVERTIME</v>
      </c>
      <c r="I412" s="99">
        <f>SUMIF(Import!$B:$B,'Other Fund Line-Item Details'!$A412,Import!D:D)</f>
        <v>1298.51</v>
      </c>
      <c r="J412" s="99">
        <f>SUMIF(Import!$B:$B,'Other Fund Line-Item Details'!$A412,Import!E:E)</f>
        <v>130.6</v>
      </c>
      <c r="K412" s="99">
        <f>SUMIF(Import!$B:$B,'Other Fund Line-Item Details'!$A412,Import!F:F)</f>
        <v>1297.5</v>
      </c>
      <c r="L412" s="99">
        <f>SUMIF(Import!$B:$B,'Other Fund Line-Item Details'!$A412,Import!G:G)</f>
        <v>1527.29</v>
      </c>
      <c r="M412" s="99">
        <f>SUMIF(Import!$B:$B,'Other Fund Line-Item Details'!$A412,Import!H:H)</f>
        <v>3000</v>
      </c>
      <c r="N412" s="99">
        <f>SUMIF(Import!$B:$B,'Other Fund Line-Item Details'!$A412,Import!I:I)</f>
        <v>1392.36</v>
      </c>
      <c r="O412" s="99">
        <f>SUMIF(Import!$B:$B,'Other Fund Line-Item Details'!$A412,Import!J:J)</f>
        <v>1178</v>
      </c>
      <c r="P412" s="99">
        <f t="shared" si="513"/>
        <v>-1822</v>
      </c>
      <c r="Q412" s="99">
        <f>SUMIF(Import!$B:$B,'Other Fund Line-Item Details'!$A412,Import!K:K)</f>
        <v>3000</v>
      </c>
      <c r="R412" s="99">
        <f>SUMIF(Import!$B:$B,'Other Fund Line-Item Details'!$A412,Import!L:L)</f>
        <v>0</v>
      </c>
      <c r="S412" s="99">
        <f>SUMIF(Import!$B:$B,'Other Fund Line-Item Details'!$A412,Import!M:M)</f>
        <v>0</v>
      </c>
      <c r="T412" s="99">
        <f>SUMIF(Import!$B:$B,'Other Fund Line-Item Details'!$A412,Import!N:N)</f>
        <v>3000</v>
      </c>
      <c r="U412" s="99">
        <f t="shared" si="514"/>
        <v>0</v>
      </c>
      <c r="V412" s="255">
        <f t="shared" si="515"/>
        <v>0</v>
      </c>
      <c r="W412" s="102" t="s">
        <v>2017</v>
      </c>
      <c r="X412" s="121"/>
      <c r="Y412" s="121"/>
      <c r="Z412" s="121"/>
      <c r="AA412" s="121"/>
      <c r="AB412" s="121"/>
      <c r="AC412" s="121"/>
      <c r="AD412" s="121"/>
      <c r="AE412" s="121"/>
      <c r="AF412" s="121"/>
      <c r="AG412" s="121"/>
      <c r="AH412" s="121"/>
      <c r="AI412" s="121"/>
    </row>
    <row r="413" spans="1:40" s="115" customFormat="1" ht="15" customHeight="1">
      <c r="A413" s="555" t="s">
        <v>2018</v>
      </c>
      <c r="B413" s="217" t="str">
        <f t="shared" si="508"/>
        <v>119</v>
      </c>
      <c r="C413" s="217" t="str">
        <f t="shared" si="509"/>
        <v>18</v>
      </c>
      <c r="D413" s="101" t="str">
        <f t="shared" si="510"/>
        <v>181</v>
      </c>
      <c r="E413" s="217" t="str">
        <f t="shared" si="511"/>
        <v>119-18-181</v>
      </c>
      <c r="F413" s="294" t="str">
        <f t="shared" si="512"/>
        <v>50111</v>
      </c>
      <c r="G413" s="295" t="str">
        <f>VLOOKUP(F413,'GL Category'!A:C,3,FALSE)</f>
        <v>Personnel services</v>
      </c>
      <c r="H413" s="98" t="str">
        <f>VLOOKUP(F413,'GL Category'!A:C,2,FALSE)</f>
        <v>LONGEVITY PAY</v>
      </c>
      <c r="I413" s="99">
        <f>SUMIF(Import!$B:$B,'Other Fund Line-Item Details'!$A413,Import!D:D)</f>
        <v>3640</v>
      </c>
      <c r="J413" s="99">
        <f>SUMIF(Import!$B:$B,'Other Fund Line-Item Details'!$A413,Import!E:E)</f>
        <v>3940</v>
      </c>
      <c r="K413" s="99">
        <f>SUMIF(Import!$B:$B,'Other Fund Line-Item Details'!$A413,Import!F:F)</f>
        <v>3860</v>
      </c>
      <c r="L413" s="99">
        <f>SUMIF(Import!$B:$B,'Other Fund Line-Item Details'!$A413,Import!G:G)</f>
        <v>4170</v>
      </c>
      <c r="M413" s="99">
        <f>SUMIF(Import!$B:$B,'Other Fund Line-Item Details'!$A413,Import!H:H)</f>
        <v>4534</v>
      </c>
      <c r="N413" s="99">
        <f>SUMIF(Import!$B:$B,'Other Fund Line-Item Details'!$A413,Import!I:I)</f>
        <v>4470</v>
      </c>
      <c r="O413" s="99">
        <f>SUMIF(Import!$B:$B,'Other Fund Line-Item Details'!$A413,Import!J:J)</f>
        <v>4470</v>
      </c>
      <c r="P413" s="99">
        <f t="shared" si="513"/>
        <v>-64</v>
      </c>
      <c r="Q413" s="99">
        <f>SUMIF(Import!$B:$B,'Other Fund Line-Item Details'!$A413,Import!K:K)</f>
        <v>3753</v>
      </c>
      <c r="R413" s="99">
        <f>SUMIF(Import!$B:$B,'Other Fund Line-Item Details'!$A413,Import!L:L)</f>
        <v>0</v>
      </c>
      <c r="S413" s="99">
        <f>SUMIF(Import!$B:$B,'Other Fund Line-Item Details'!$A413,Import!M:M)</f>
        <v>0</v>
      </c>
      <c r="T413" s="99">
        <f>SUMIF(Import!$B:$B,'Other Fund Line-Item Details'!$A413,Import!N:N)</f>
        <v>3753</v>
      </c>
      <c r="U413" s="99">
        <f t="shared" si="514"/>
        <v>-781</v>
      </c>
      <c r="V413" s="255">
        <f t="shared" si="515"/>
        <v>-0.17225408028231137</v>
      </c>
      <c r="W413" s="102" t="s">
        <v>2018</v>
      </c>
      <c r="X413" s="121"/>
      <c r="Y413" s="121"/>
      <c r="Z413" s="121"/>
      <c r="AA413" s="121"/>
      <c r="AB413" s="121"/>
      <c r="AC413" s="121"/>
      <c r="AD413" s="121"/>
      <c r="AE413" s="121"/>
      <c r="AF413" s="121"/>
      <c r="AG413" s="121"/>
      <c r="AH413" s="121"/>
      <c r="AI413" s="121"/>
    </row>
    <row r="414" spans="1:40" s="115" customFormat="1" ht="15" customHeight="1">
      <c r="A414" s="555" t="s">
        <v>2019</v>
      </c>
      <c r="B414" s="217" t="str">
        <f t="shared" si="508"/>
        <v>119</v>
      </c>
      <c r="C414" s="217" t="str">
        <f t="shared" si="509"/>
        <v>18</v>
      </c>
      <c r="D414" s="101" t="str">
        <f t="shared" si="510"/>
        <v>181</v>
      </c>
      <c r="E414" s="217" t="str">
        <f t="shared" si="511"/>
        <v>119-18-181</v>
      </c>
      <c r="F414" s="294" t="str">
        <f t="shared" si="512"/>
        <v>50115</v>
      </c>
      <c r="G414" s="295" t="str">
        <f>VLOOKUP(F414,'GL Category'!A:C,3,FALSE)</f>
        <v>Personnel services</v>
      </c>
      <c r="H414" s="98" t="str">
        <f>VLOOKUP(F414,'GL Category'!A:C,2,FALSE)</f>
        <v>INCENTIVE/CERTIFICATION PAY</v>
      </c>
      <c r="I414" s="99">
        <f>SUMIF(Import!$B:$B,'Other Fund Line-Item Details'!$A414,Import!D:D)</f>
        <v>7544.65</v>
      </c>
      <c r="J414" s="99">
        <f>SUMIF(Import!$B:$B,'Other Fund Line-Item Details'!$A414,Import!E:E)</f>
        <v>7026.64</v>
      </c>
      <c r="K414" s="99">
        <f>SUMIF(Import!$B:$B,'Other Fund Line-Item Details'!$A414,Import!F:F)</f>
        <v>7455.5</v>
      </c>
      <c r="L414" s="99">
        <f>SUMIF(Import!$B:$B,'Other Fund Line-Item Details'!$A414,Import!G:G)</f>
        <v>7525</v>
      </c>
      <c r="M414" s="99">
        <f>SUMIF(Import!$B:$B,'Other Fund Line-Item Details'!$A414,Import!H:H)</f>
        <v>7500</v>
      </c>
      <c r="N414" s="99">
        <f>SUMIF(Import!$B:$B,'Other Fund Line-Item Details'!$A414,Import!I:I)</f>
        <v>5225</v>
      </c>
      <c r="O414" s="99">
        <f>SUMIF(Import!$B:$B,'Other Fund Line-Item Details'!$A414,Import!J:J)</f>
        <v>9975</v>
      </c>
      <c r="P414" s="99">
        <f t="shared" si="513"/>
        <v>2475</v>
      </c>
      <c r="Q414" s="99">
        <f>SUMIF(Import!$B:$B,'Other Fund Line-Item Details'!$A414,Import!K:K)</f>
        <v>7500</v>
      </c>
      <c r="R414" s="99">
        <f>SUMIF(Import!$B:$B,'Other Fund Line-Item Details'!$A414,Import!L:L)</f>
        <v>0</v>
      </c>
      <c r="S414" s="99">
        <f>SUMIF(Import!$B:$B,'Other Fund Line-Item Details'!$A414,Import!M:M)</f>
        <v>0</v>
      </c>
      <c r="T414" s="99">
        <f>SUMIF(Import!$B:$B,'Other Fund Line-Item Details'!$A414,Import!N:N)</f>
        <v>7500</v>
      </c>
      <c r="U414" s="99">
        <f t="shared" si="514"/>
        <v>0</v>
      </c>
      <c r="V414" s="255">
        <f t="shared" si="515"/>
        <v>0</v>
      </c>
      <c r="W414" s="102" t="s">
        <v>2019</v>
      </c>
      <c r="X414" s="121"/>
      <c r="Y414" s="121"/>
      <c r="Z414" s="121"/>
      <c r="AA414" s="121"/>
      <c r="AB414" s="121"/>
      <c r="AC414" s="121"/>
      <c r="AD414" s="121"/>
      <c r="AE414" s="121"/>
      <c r="AF414" s="121"/>
      <c r="AG414" s="121"/>
      <c r="AH414" s="121"/>
      <c r="AI414" s="121"/>
    </row>
    <row r="415" spans="1:40" s="115" customFormat="1" ht="15" customHeight="1">
      <c r="A415" s="555" t="s">
        <v>2020</v>
      </c>
      <c r="B415" s="217" t="str">
        <f t="shared" si="508"/>
        <v>119</v>
      </c>
      <c r="C415" s="217" t="str">
        <f t="shared" si="509"/>
        <v>18</v>
      </c>
      <c r="D415" s="101" t="str">
        <f t="shared" si="510"/>
        <v>181</v>
      </c>
      <c r="E415" s="217" t="str">
        <f t="shared" si="511"/>
        <v>119-18-181</v>
      </c>
      <c r="F415" s="294" t="str">
        <f t="shared" si="512"/>
        <v>50140</v>
      </c>
      <c r="G415" s="295" t="str">
        <f>VLOOKUP(F415,'GL Category'!A:C,3,FALSE)</f>
        <v>Personnel services</v>
      </c>
      <c r="H415" s="98" t="str">
        <f>VLOOKUP(F415,'GL Category'!A:C,2,FALSE)</f>
        <v>COMMUNICATIONS ALLOWANCE</v>
      </c>
      <c r="I415" s="99">
        <f>SUMIF(Import!$B:$B,'Other Fund Line-Item Details'!$A415,Import!D:D)</f>
        <v>68674.289999999994</v>
      </c>
      <c r="J415" s="99">
        <f>SUMIF(Import!$B:$B,'Other Fund Line-Item Details'!$A415,Import!E:E)</f>
        <v>67900.2</v>
      </c>
      <c r="K415" s="99">
        <f>SUMIF(Import!$B:$B,'Other Fund Line-Item Details'!$A415,Import!F:F)</f>
        <v>72005.25</v>
      </c>
      <c r="L415" s="99">
        <f>SUMIF(Import!$B:$B,'Other Fund Line-Item Details'!$A415,Import!G:G)</f>
        <v>76606.5</v>
      </c>
      <c r="M415" s="99">
        <f>SUMIF(Import!$B:$B,'Other Fund Line-Item Details'!$A415,Import!H:H)</f>
        <v>84020</v>
      </c>
      <c r="N415" s="99">
        <f>SUMIF(Import!$B:$B,'Other Fund Line-Item Details'!$A415,Import!I:I)</f>
        <v>61001</v>
      </c>
      <c r="O415" s="99">
        <f>SUMIF(Import!$B:$B,'Other Fund Line-Item Details'!$A415,Import!J:J)</f>
        <v>74371</v>
      </c>
      <c r="P415" s="99">
        <f t="shared" si="513"/>
        <v>-9649</v>
      </c>
      <c r="Q415" s="99">
        <f>SUMIF(Import!$B:$B,'Other Fund Line-Item Details'!$A415,Import!K:K)</f>
        <v>83465</v>
      </c>
      <c r="R415" s="99">
        <f>SUMIF(Import!$B:$B,'Other Fund Line-Item Details'!$A415,Import!L:L)</f>
        <v>0</v>
      </c>
      <c r="S415" s="99">
        <f>SUMIF(Import!$B:$B,'Other Fund Line-Item Details'!$A415,Import!M:M)</f>
        <v>0</v>
      </c>
      <c r="T415" s="99">
        <f>SUMIF(Import!$B:$B,'Other Fund Line-Item Details'!$A415,Import!N:N)</f>
        <v>83465</v>
      </c>
      <c r="U415" s="99">
        <f t="shared" si="514"/>
        <v>-555</v>
      </c>
      <c r="V415" s="255">
        <f t="shared" si="515"/>
        <v>-6.6055701023566282E-3</v>
      </c>
      <c r="W415" s="102" t="s">
        <v>2020</v>
      </c>
      <c r="X415" s="121"/>
      <c r="Y415" s="121"/>
      <c r="Z415" s="121"/>
      <c r="AA415" s="121"/>
      <c r="AB415" s="121"/>
      <c r="AC415" s="121"/>
      <c r="AD415" s="121"/>
      <c r="AE415" s="121"/>
      <c r="AF415" s="121"/>
      <c r="AG415" s="121"/>
      <c r="AH415" s="121"/>
      <c r="AI415" s="121"/>
    </row>
    <row r="416" spans="1:40" s="115" customFormat="1" ht="15" customHeight="1">
      <c r="A416" s="555" t="s">
        <v>2021</v>
      </c>
      <c r="B416" s="217" t="str">
        <f t="shared" si="508"/>
        <v>119</v>
      </c>
      <c r="C416" s="217" t="str">
        <f t="shared" si="509"/>
        <v>18</v>
      </c>
      <c r="D416" s="101" t="str">
        <f t="shared" si="510"/>
        <v>181</v>
      </c>
      <c r="E416" s="217" t="str">
        <f t="shared" si="511"/>
        <v>119-18-181</v>
      </c>
      <c r="F416" s="294" t="str">
        <f t="shared" si="512"/>
        <v>50610</v>
      </c>
      <c r="G416" s="295" t="str">
        <f>VLOOKUP(F416,'GL Category'!A:C,3,FALSE)</f>
        <v>Personnel services</v>
      </c>
      <c r="H416" s="98" t="str">
        <f>VLOOKUP(F416,'GL Category'!A:C,2,FALSE)</f>
        <v>SOCIAL SECURITY</v>
      </c>
      <c r="I416" s="99">
        <f>SUMIF(Import!$B:$B,'Other Fund Line-Item Details'!$A416,Import!D:D)</f>
        <v>32223.23</v>
      </c>
      <c r="J416" s="99">
        <f>SUMIF(Import!$B:$B,'Other Fund Line-Item Details'!$A416,Import!E:E)</f>
        <v>30694.82</v>
      </c>
      <c r="K416" s="99">
        <f>SUMIF(Import!$B:$B,'Other Fund Line-Item Details'!$A416,Import!F:F)</f>
        <v>34506.959999999999</v>
      </c>
      <c r="L416" s="99">
        <f>SUMIF(Import!$B:$B,'Other Fund Line-Item Details'!$A416,Import!G:G)</f>
        <v>33413.31</v>
      </c>
      <c r="M416" s="99">
        <f>SUMIF(Import!$B:$B,'Other Fund Line-Item Details'!$A416,Import!H:H)</f>
        <v>41000</v>
      </c>
      <c r="N416" s="99">
        <f>SUMIF(Import!$B:$B,'Other Fund Line-Item Details'!$A416,Import!I:I)</f>
        <v>25027.27</v>
      </c>
      <c r="O416" s="99">
        <f>SUMIF(Import!$B:$B,'Other Fund Line-Item Details'!$A416,Import!J:J)</f>
        <v>35187</v>
      </c>
      <c r="P416" s="99">
        <f t="shared" si="513"/>
        <v>-5813</v>
      </c>
      <c r="Q416" s="99">
        <f>SUMIF(Import!$B:$B,'Other Fund Line-Item Details'!$A416,Import!K:K)</f>
        <v>41230</v>
      </c>
      <c r="R416" s="99">
        <f>SUMIF(Import!$B:$B,'Other Fund Line-Item Details'!$A416,Import!L:L)</f>
        <v>0</v>
      </c>
      <c r="S416" s="99">
        <f>SUMIF(Import!$B:$B,'Other Fund Line-Item Details'!$A416,Import!M:M)</f>
        <v>0</v>
      </c>
      <c r="T416" s="99">
        <f>SUMIF(Import!$B:$B,'Other Fund Line-Item Details'!$A416,Import!N:N)</f>
        <v>41230</v>
      </c>
      <c r="U416" s="99">
        <f t="shared" si="514"/>
        <v>230</v>
      </c>
      <c r="V416" s="255">
        <f t="shared" si="515"/>
        <v>5.6097560975609806E-3</v>
      </c>
      <c r="W416" s="102" t="s">
        <v>2021</v>
      </c>
      <c r="X416" s="121"/>
      <c r="Y416" s="121"/>
      <c r="Z416" s="121"/>
      <c r="AA416" s="121"/>
      <c r="AB416" s="121"/>
      <c r="AC416" s="121"/>
      <c r="AD416" s="121"/>
      <c r="AE416" s="121"/>
      <c r="AF416" s="121"/>
      <c r="AG416" s="121"/>
      <c r="AH416" s="121"/>
      <c r="AI416" s="121"/>
    </row>
    <row r="417" spans="1:35" s="115" customFormat="1" ht="15" customHeight="1">
      <c r="A417" s="555" t="s">
        <v>2022</v>
      </c>
      <c r="B417" s="217" t="str">
        <f t="shared" si="508"/>
        <v>119</v>
      </c>
      <c r="C417" s="217" t="str">
        <f t="shared" si="509"/>
        <v>18</v>
      </c>
      <c r="D417" s="101" t="str">
        <f t="shared" si="510"/>
        <v>181</v>
      </c>
      <c r="E417" s="217" t="str">
        <f t="shared" si="511"/>
        <v>119-18-181</v>
      </c>
      <c r="F417" s="294" t="str">
        <f t="shared" si="512"/>
        <v>50620</v>
      </c>
      <c r="G417" s="295" t="str">
        <f>VLOOKUP(F417,'GL Category'!A:C,3,FALSE)</f>
        <v>Personnel services</v>
      </c>
      <c r="H417" s="98" t="str">
        <f>VLOOKUP(F417,'GL Category'!A:C,2,FALSE)</f>
        <v>HEALTH/LIFE INSURANCE</v>
      </c>
      <c r="I417" s="99">
        <f>SUMIF(Import!$B:$B,'Other Fund Line-Item Details'!$A417,Import!D:D)</f>
        <v>99311.53</v>
      </c>
      <c r="J417" s="99">
        <f>SUMIF(Import!$B:$B,'Other Fund Line-Item Details'!$A417,Import!E:E)</f>
        <v>91062.92</v>
      </c>
      <c r="K417" s="99">
        <f>SUMIF(Import!$B:$B,'Other Fund Line-Item Details'!$A417,Import!F:F)</f>
        <v>86667.82</v>
      </c>
      <c r="L417" s="99">
        <f>SUMIF(Import!$B:$B,'Other Fund Line-Item Details'!$A417,Import!G:G)</f>
        <v>80392.28</v>
      </c>
      <c r="M417" s="99">
        <f>SUMIF(Import!$B:$B,'Other Fund Line-Item Details'!$A417,Import!H:H)</f>
        <v>72984</v>
      </c>
      <c r="N417" s="99">
        <f>SUMIF(Import!$B:$B,'Other Fund Line-Item Details'!$A417,Import!I:I)</f>
        <v>47368.99</v>
      </c>
      <c r="O417" s="99">
        <f>SUMIF(Import!$B:$B,'Other Fund Line-Item Details'!$A417,Import!J:J)</f>
        <v>65140</v>
      </c>
      <c r="P417" s="99">
        <f t="shared" si="513"/>
        <v>-7844</v>
      </c>
      <c r="Q417" s="99">
        <f>SUMIF(Import!$B:$B,'Other Fund Line-Item Details'!$A417,Import!K:K)</f>
        <v>65932</v>
      </c>
      <c r="R417" s="99">
        <f>SUMIF(Import!$B:$B,'Other Fund Line-Item Details'!$A417,Import!L:L)</f>
        <v>0</v>
      </c>
      <c r="S417" s="99">
        <f>SUMIF(Import!$B:$B,'Other Fund Line-Item Details'!$A417,Import!M:M)</f>
        <v>0</v>
      </c>
      <c r="T417" s="99">
        <f>SUMIF(Import!$B:$B,'Other Fund Line-Item Details'!$A417,Import!N:N)</f>
        <v>65932</v>
      </c>
      <c r="U417" s="99">
        <f t="shared" si="514"/>
        <v>-7052</v>
      </c>
      <c r="V417" s="255">
        <f t="shared" si="515"/>
        <v>-9.6623917570974438E-2</v>
      </c>
      <c r="W417" s="102" t="s">
        <v>2022</v>
      </c>
      <c r="X417" s="121"/>
      <c r="Y417" s="121"/>
      <c r="Z417" s="121"/>
      <c r="AA417" s="121"/>
      <c r="AB417" s="121"/>
      <c r="AC417" s="121"/>
      <c r="AD417" s="121"/>
      <c r="AE417" s="121"/>
      <c r="AF417" s="121"/>
      <c r="AG417" s="121"/>
      <c r="AH417" s="121"/>
      <c r="AI417" s="121"/>
    </row>
    <row r="418" spans="1:35" s="115" customFormat="1" ht="15" customHeight="1">
      <c r="A418" s="555" t="s">
        <v>2023</v>
      </c>
      <c r="B418" s="217" t="str">
        <f t="shared" si="508"/>
        <v>119</v>
      </c>
      <c r="C418" s="217" t="str">
        <f t="shared" si="509"/>
        <v>18</v>
      </c>
      <c r="D418" s="101" t="str">
        <f t="shared" si="510"/>
        <v>181</v>
      </c>
      <c r="E418" s="217" t="str">
        <f t="shared" si="511"/>
        <v>119-18-181</v>
      </c>
      <c r="F418" s="294" t="str">
        <f t="shared" si="512"/>
        <v>50630</v>
      </c>
      <c r="G418" s="295" t="str">
        <f>VLOOKUP(F418,'GL Category'!A:C,3,FALSE)</f>
        <v>Personnel services</v>
      </c>
      <c r="H418" s="98" t="str">
        <f>VLOOKUP(F418,'GL Category'!A:C,2,FALSE)</f>
        <v>WORKER COMPENSATION</v>
      </c>
      <c r="I418" s="99">
        <f>SUMIF(Import!$B:$B,'Other Fund Line-Item Details'!$A418,Import!D:D)</f>
        <v>307.83999999999997</v>
      </c>
      <c r="J418" s="99">
        <f>SUMIF(Import!$B:$B,'Other Fund Line-Item Details'!$A418,Import!E:E)</f>
        <v>285.72000000000003</v>
      </c>
      <c r="K418" s="99">
        <f>SUMIF(Import!$B:$B,'Other Fund Line-Item Details'!$A418,Import!F:F)</f>
        <v>320.85000000000002</v>
      </c>
      <c r="L418" s="99">
        <f>SUMIF(Import!$B:$B,'Other Fund Line-Item Details'!$A418,Import!G:G)</f>
        <v>581.16999999999996</v>
      </c>
      <c r="M418" s="99">
        <f>SUMIF(Import!$B:$B,'Other Fund Line-Item Details'!$A418,Import!H:H)</f>
        <v>770</v>
      </c>
      <c r="N418" s="99">
        <f>SUMIF(Import!$B:$B,'Other Fund Line-Item Details'!$A418,Import!I:I)</f>
        <v>769.38</v>
      </c>
      <c r="O418" s="99">
        <f>SUMIF(Import!$B:$B,'Other Fund Line-Item Details'!$A418,Import!J:J)</f>
        <v>769</v>
      </c>
      <c r="P418" s="99">
        <f t="shared" si="513"/>
        <v>-1</v>
      </c>
      <c r="Q418" s="99">
        <f>SUMIF(Import!$B:$B,'Other Fund Line-Item Details'!$A418,Import!K:K)</f>
        <v>752</v>
      </c>
      <c r="R418" s="99">
        <f>SUMIF(Import!$B:$B,'Other Fund Line-Item Details'!$A418,Import!L:L)</f>
        <v>0</v>
      </c>
      <c r="S418" s="99">
        <f>SUMIF(Import!$B:$B,'Other Fund Line-Item Details'!$A418,Import!M:M)</f>
        <v>0</v>
      </c>
      <c r="T418" s="99">
        <f>SUMIF(Import!$B:$B,'Other Fund Line-Item Details'!$A418,Import!N:N)</f>
        <v>752</v>
      </c>
      <c r="U418" s="99">
        <f t="shared" si="514"/>
        <v>-18</v>
      </c>
      <c r="V418" s="255">
        <f t="shared" si="515"/>
        <v>-2.3376623376623384E-2</v>
      </c>
      <c r="W418" s="102" t="s">
        <v>2023</v>
      </c>
      <c r="X418" s="121"/>
      <c r="Y418" s="121"/>
      <c r="Z418" s="121"/>
      <c r="AA418" s="121"/>
      <c r="AB418" s="121"/>
      <c r="AC418" s="121"/>
      <c r="AD418" s="121"/>
      <c r="AE418" s="121"/>
      <c r="AF418" s="121"/>
      <c r="AG418" s="121"/>
      <c r="AH418" s="121"/>
      <c r="AI418" s="121"/>
    </row>
    <row r="419" spans="1:35" s="115" customFormat="1" ht="15" customHeight="1">
      <c r="A419" s="555" t="s">
        <v>2024</v>
      </c>
      <c r="B419" s="217" t="str">
        <f t="shared" si="508"/>
        <v>119</v>
      </c>
      <c r="C419" s="217" t="str">
        <f t="shared" si="509"/>
        <v>18</v>
      </c>
      <c r="D419" s="101" t="str">
        <f t="shared" si="510"/>
        <v>181</v>
      </c>
      <c r="E419" s="217" t="str">
        <f t="shared" si="511"/>
        <v>119-18-181</v>
      </c>
      <c r="F419" s="294" t="str">
        <f t="shared" si="512"/>
        <v>50650</v>
      </c>
      <c r="G419" s="295" t="str">
        <f>VLOOKUP(F419,'GL Category'!A:C,3,FALSE)</f>
        <v>Personnel services</v>
      </c>
      <c r="H419" s="98" t="str">
        <f>VLOOKUP(F419,'GL Category'!A:C,2,FALSE)</f>
        <v>RETIREMENT</v>
      </c>
      <c r="I419" s="99">
        <f>SUMIF(Import!$B:$B,'Other Fund Line-Item Details'!$A419,Import!D:D)</f>
        <v>88774.49</v>
      </c>
      <c r="J419" s="99">
        <f>SUMIF(Import!$B:$B,'Other Fund Line-Item Details'!$A419,Import!E:E)</f>
        <v>70951.649999999994</v>
      </c>
      <c r="K419" s="99">
        <f>SUMIF(Import!$B:$B,'Other Fund Line-Item Details'!$A419,Import!F:F)</f>
        <v>78455.05</v>
      </c>
      <c r="L419" s="99">
        <f>SUMIF(Import!$B:$B,'Other Fund Line-Item Details'!$A419,Import!G:G)</f>
        <v>75800.490000000005</v>
      </c>
      <c r="M419" s="99">
        <f>SUMIF(Import!$B:$B,'Other Fund Line-Item Details'!$A419,Import!H:H)</f>
        <v>89063</v>
      </c>
      <c r="N419" s="99">
        <f>SUMIF(Import!$B:$B,'Other Fund Line-Item Details'!$A419,Import!I:I)</f>
        <v>56280.43</v>
      </c>
      <c r="O419" s="99">
        <f>SUMIF(Import!$B:$B,'Other Fund Line-Item Details'!$A419,Import!J:J)</f>
        <v>78700</v>
      </c>
      <c r="P419" s="99">
        <f t="shared" si="513"/>
        <v>-10363</v>
      </c>
      <c r="Q419" s="99">
        <f>SUMIF(Import!$B:$B,'Other Fund Line-Item Details'!$A419,Import!K:K)</f>
        <v>92473</v>
      </c>
      <c r="R419" s="99">
        <f>SUMIF(Import!$B:$B,'Other Fund Line-Item Details'!$A419,Import!L:L)</f>
        <v>0</v>
      </c>
      <c r="S419" s="99">
        <f>SUMIF(Import!$B:$B,'Other Fund Line-Item Details'!$A419,Import!M:M)</f>
        <v>0</v>
      </c>
      <c r="T419" s="99">
        <f>SUMIF(Import!$B:$B,'Other Fund Line-Item Details'!$A419,Import!N:N)</f>
        <v>92473</v>
      </c>
      <c r="U419" s="99">
        <f t="shared" si="514"/>
        <v>3410</v>
      </c>
      <c r="V419" s="255">
        <f t="shared" si="515"/>
        <v>3.8287504350852819E-2</v>
      </c>
      <c r="W419" s="102" t="s">
        <v>2024</v>
      </c>
      <c r="X419" s="121"/>
      <c r="Y419" s="121"/>
      <c r="Z419" s="121"/>
      <c r="AA419" s="121"/>
      <c r="AB419" s="121"/>
      <c r="AC419" s="121"/>
      <c r="AD419" s="121"/>
      <c r="AE419" s="121"/>
      <c r="AF419" s="121"/>
      <c r="AG419" s="121"/>
      <c r="AH419" s="121"/>
      <c r="AI419" s="121"/>
    </row>
    <row r="420" spans="1:35" s="115" customFormat="1" ht="15" customHeight="1">
      <c r="A420" s="555"/>
      <c r="B420" s="217"/>
      <c r="C420" s="217"/>
      <c r="D420" s="101"/>
      <c r="E420" s="217"/>
      <c r="F420" s="294"/>
      <c r="G420" s="146"/>
      <c r="H420" s="107" t="str">
        <f>UPPER(G419)&amp;" TOTAL"</f>
        <v>PERSONNEL SERVICES TOTAL</v>
      </c>
      <c r="I420" s="108">
        <f t="shared" ref="I420" si="516">SUBTOTAL(9,I410:I419)</f>
        <v>679515.1399999999</v>
      </c>
      <c r="J420" s="108">
        <f t="shared" ref="J420:P420" si="517">SUBTOTAL(9,J410:J419)</f>
        <v>634687.4</v>
      </c>
      <c r="K420" s="108">
        <f t="shared" ref="K420" si="518">SUBTOTAL(9,K410:K419)</f>
        <v>686869.27000000014</v>
      </c>
      <c r="L420" s="108">
        <f t="shared" ref="L420" si="519">SUBTOTAL(9,L410:L419)</f>
        <v>702551.33</v>
      </c>
      <c r="M420" s="108">
        <f t="shared" si="517"/>
        <v>736935</v>
      </c>
      <c r="N420" s="109">
        <f t="shared" ref="N420" si="520">SUBTOTAL(9,N410:N419)</f>
        <v>527557.49</v>
      </c>
      <c r="O420" s="109">
        <f t="shared" si="517"/>
        <v>696718</v>
      </c>
      <c r="P420" s="109">
        <f t="shared" si="517"/>
        <v>-40217</v>
      </c>
      <c r="Q420" s="109">
        <f t="shared" ref="Q420:T420" si="521">SUBTOTAL(9,Q410:Q419)</f>
        <v>740920</v>
      </c>
      <c r="R420" s="109">
        <f t="shared" si="521"/>
        <v>0</v>
      </c>
      <c r="S420" s="109">
        <f t="shared" si="521"/>
        <v>0</v>
      </c>
      <c r="T420" s="109">
        <f t="shared" si="521"/>
        <v>740920</v>
      </c>
      <c r="U420" s="99">
        <f t="shared" si="514"/>
        <v>3985</v>
      </c>
      <c r="V420" s="255">
        <f t="shared" si="515"/>
        <v>5.4075325503606386E-3</v>
      </c>
      <c r="W420" s="102"/>
      <c r="X420" s="121"/>
      <c r="Y420" s="121"/>
      <c r="Z420" s="121"/>
      <c r="AA420" s="121"/>
      <c r="AB420" s="121"/>
      <c r="AC420" s="121"/>
      <c r="AD420" s="121"/>
      <c r="AE420" s="121"/>
      <c r="AF420" s="121"/>
      <c r="AG420" s="121"/>
      <c r="AH420" s="121"/>
      <c r="AI420" s="121"/>
    </row>
    <row r="421" spans="1:35" s="115" customFormat="1" ht="15" customHeight="1">
      <c r="A421" s="555"/>
      <c r="B421" s="217"/>
      <c r="C421" s="217"/>
      <c r="D421" s="101"/>
      <c r="E421" s="217"/>
      <c r="F421" s="294"/>
      <c r="G421" s="146"/>
      <c r="H421" s="98"/>
      <c r="I421" s="106"/>
      <c r="J421" s="106"/>
      <c r="K421" s="106"/>
      <c r="L421" s="106"/>
      <c r="M421" s="106"/>
      <c r="N421" s="112"/>
      <c r="O421" s="112"/>
      <c r="P421" s="112"/>
      <c r="Q421" s="113"/>
      <c r="R421" s="212"/>
      <c r="S421" s="212"/>
      <c r="T421" s="113"/>
      <c r="U421" s="105"/>
      <c r="V421" s="262"/>
      <c r="W421" s="102"/>
      <c r="X421" s="121"/>
      <c r="Y421" s="121"/>
      <c r="Z421" s="121"/>
      <c r="AA421" s="121"/>
      <c r="AB421" s="121"/>
      <c r="AC421" s="121"/>
      <c r="AD421" s="121"/>
      <c r="AE421" s="121"/>
      <c r="AF421" s="121"/>
      <c r="AG421" s="121"/>
      <c r="AH421" s="121"/>
      <c r="AI421" s="121"/>
    </row>
    <row r="422" spans="1:35" s="115" customFormat="1" ht="15" customHeight="1">
      <c r="A422" s="555" t="s">
        <v>2025</v>
      </c>
      <c r="B422" s="217" t="str">
        <f t="shared" si="508"/>
        <v>119</v>
      </c>
      <c r="C422" s="217" t="str">
        <f t="shared" si="509"/>
        <v>18</v>
      </c>
      <c r="D422" s="101" t="str">
        <f t="shared" si="510"/>
        <v>181</v>
      </c>
      <c r="E422" s="217" t="str">
        <f t="shared" si="511"/>
        <v>119-18-181</v>
      </c>
      <c r="F422" s="294" t="str">
        <f t="shared" si="512"/>
        <v>51210</v>
      </c>
      <c r="G422" s="295" t="str">
        <f>VLOOKUP(F422,'GL Category'!A:C,3,FALSE)</f>
        <v>Operations &amp; maintenance</v>
      </c>
      <c r="H422" s="98" t="str">
        <f>VLOOKUP(F422,'GL Category'!A:C,2,FALSE)</f>
        <v>OFFICE SUPPLIES</v>
      </c>
      <c r="I422" s="99">
        <f>SUMIF(Import!$B:$B,'Other Fund Line-Item Details'!$A422,Import!D:D)</f>
        <v>71.540000000000006</v>
      </c>
      <c r="J422" s="99">
        <f>SUMIF(Import!$B:$B,'Other Fund Line-Item Details'!$A422,Import!E:E)</f>
        <v>75.2</v>
      </c>
      <c r="K422" s="99">
        <f>SUMIF(Import!$B:$B,'Other Fund Line-Item Details'!$A422,Import!F:F)</f>
        <v>658.09</v>
      </c>
      <c r="L422" s="99">
        <f>SUMIF(Import!$B:$B,'Other Fund Line-Item Details'!$A422,Import!G:G)</f>
        <v>44.47</v>
      </c>
      <c r="M422" s="99">
        <f>SUMIF(Import!$B:$B,'Other Fund Line-Item Details'!$A422,Import!H:H)</f>
        <v>750</v>
      </c>
      <c r="N422" s="99">
        <f>SUMIF(Import!$B:$B,'Other Fund Line-Item Details'!$A422,Import!I:I)</f>
        <v>0</v>
      </c>
      <c r="O422" s="99">
        <f>SUMIF(Import!$B:$B,'Other Fund Line-Item Details'!$A422,Import!J:J)</f>
        <v>300</v>
      </c>
      <c r="P422" s="99">
        <f t="shared" ref="P422:P429" si="522">O422-M422</f>
        <v>-450</v>
      </c>
      <c r="Q422" s="99">
        <f>SUMIF(Import!$B:$B,'Other Fund Line-Item Details'!$A422,Import!K:K)</f>
        <v>750</v>
      </c>
      <c r="R422" s="99">
        <f>SUMIF(Import!$B:$B,'Other Fund Line-Item Details'!$A422,Import!L:L)</f>
        <v>0</v>
      </c>
      <c r="S422" s="99">
        <f>SUMIF(Import!$B:$B,'Other Fund Line-Item Details'!$A422,Import!M:M)</f>
        <v>0</v>
      </c>
      <c r="T422" s="99">
        <f>SUMIF(Import!$B:$B,'Other Fund Line-Item Details'!$A422,Import!N:N)</f>
        <v>750</v>
      </c>
      <c r="U422" s="99">
        <f t="shared" ref="U422:U430" si="523">T422-M422</f>
        <v>0</v>
      </c>
      <c r="V422" s="255">
        <f t="shared" ref="V422:V430" si="524">IF(M422=0,"N/A",T422/M422-1)</f>
        <v>0</v>
      </c>
      <c r="W422" s="102" t="s">
        <v>2025</v>
      </c>
      <c r="X422" s="121"/>
      <c r="Y422" s="121"/>
      <c r="Z422" s="121"/>
      <c r="AA422" s="121"/>
      <c r="AB422" s="121"/>
      <c r="AC422" s="121"/>
      <c r="AD422" s="121"/>
      <c r="AE422" s="121"/>
      <c r="AF422" s="121"/>
      <c r="AG422" s="121"/>
      <c r="AH422" s="121"/>
      <c r="AI422" s="121"/>
    </row>
    <row r="423" spans="1:35" s="115" customFormat="1" ht="15" customHeight="1">
      <c r="A423" s="555" t="s">
        <v>2026</v>
      </c>
      <c r="B423" s="217" t="str">
        <f t="shared" si="508"/>
        <v>119</v>
      </c>
      <c r="C423" s="217" t="str">
        <f t="shared" si="509"/>
        <v>18</v>
      </c>
      <c r="D423" s="101" t="str">
        <f t="shared" si="510"/>
        <v>181</v>
      </c>
      <c r="E423" s="217" t="str">
        <f t="shared" si="511"/>
        <v>119-18-181</v>
      </c>
      <c r="F423" s="294" t="str">
        <f t="shared" si="512"/>
        <v>51230</v>
      </c>
      <c r="G423" s="295" t="str">
        <f>VLOOKUP(F423,'GL Category'!A:C,3,FALSE)</f>
        <v>Operations &amp; maintenance</v>
      </c>
      <c r="H423" s="98" t="str">
        <f>VLOOKUP(F423,'GL Category'!A:C,2,FALSE)</f>
        <v>COMPUTER SUPPLIES</v>
      </c>
      <c r="I423" s="99">
        <f>SUMIF(Import!$B:$B,'Other Fund Line-Item Details'!$A423,Import!D:D)</f>
        <v>17611.47</v>
      </c>
      <c r="J423" s="99">
        <f>SUMIF(Import!$B:$B,'Other Fund Line-Item Details'!$A423,Import!E:E)</f>
        <v>20102.46</v>
      </c>
      <c r="K423" s="99">
        <f>SUMIF(Import!$B:$B,'Other Fund Line-Item Details'!$A423,Import!F:F)</f>
        <v>24178.81</v>
      </c>
      <c r="L423" s="99">
        <f>SUMIF(Import!$B:$B,'Other Fund Line-Item Details'!$A423,Import!G:G)</f>
        <v>24356.28</v>
      </c>
      <c r="M423" s="99">
        <f>SUMIF(Import!$B:$B,'Other Fund Line-Item Details'!$A423,Import!H:H)</f>
        <v>26500</v>
      </c>
      <c r="N423" s="99">
        <f>SUMIF(Import!$B:$B,'Other Fund Line-Item Details'!$A423,Import!I:I)</f>
        <v>15132.28</v>
      </c>
      <c r="O423" s="99">
        <f>SUMIF(Import!$B:$B,'Other Fund Line-Item Details'!$A423,Import!J:J)</f>
        <v>26500</v>
      </c>
      <c r="P423" s="99">
        <f t="shared" si="522"/>
        <v>0</v>
      </c>
      <c r="Q423" s="99">
        <f>SUMIF(Import!$B:$B,'Other Fund Line-Item Details'!$A423,Import!K:K)</f>
        <v>26500</v>
      </c>
      <c r="R423" s="99">
        <f>SUMIF(Import!$B:$B,'Other Fund Line-Item Details'!$A423,Import!L:L)</f>
        <v>0</v>
      </c>
      <c r="S423" s="99">
        <f>SUMIF(Import!$B:$B,'Other Fund Line-Item Details'!$A423,Import!M:M)</f>
        <v>0</v>
      </c>
      <c r="T423" s="99">
        <f>SUMIF(Import!$B:$B,'Other Fund Line-Item Details'!$A423,Import!N:N)</f>
        <v>26500</v>
      </c>
      <c r="U423" s="99">
        <f t="shared" si="523"/>
        <v>0</v>
      </c>
      <c r="V423" s="255">
        <f t="shared" si="524"/>
        <v>0</v>
      </c>
      <c r="W423" s="102" t="s">
        <v>2026</v>
      </c>
      <c r="X423" s="121"/>
      <c r="Y423" s="121"/>
      <c r="Z423" s="121"/>
      <c r="AA423" s="121"/>
      <c r="AB423" s="121"/>
      <c r="AC423" s="121"/>
      <c r="AD423" s="121"/>
      <c r="AE423" s="121"/>
      <c r="AF423" s="121"/>
      <c r="AG423" s="121"/>
      <c r="AH423" s="121"/>
      <c r="AI423" s="121"/>
    </row>
    <row r="424" spans="1:35" s="115" customFormat="1" ht="15" customHeight="1">
      <c r="A424" s="555" t="s">
        <v>2027</v>
      </c>
      <c r="B424" s="217" t="str">
        <f t="shared" si="508"/>
        <v>119</v>
      </c>
      <c r="C424" s="217" t="str">
        <f t="shared" si="509"/>
        <v>18</v>
      </c>
      <c r="D424" s="101" t="str">
        <f t="shared" si="510"/>
        <v>181</v>
      </c>
      <c r="E424" s="217" t="str">
        <f t="shared" si="511"/>
        <v>119-18-181</v>
      </c>
      <c r="F424" s="294" t="str">
        <f t="shared" si="512"/>
        <v>51245</v>
      </c>
      <c r="G424" s="295" t="str">
        <f>VLOOKUP(F424,'GL Category'!A:C,3,FALSE)</f>
        <v>Operations &amp; maintenance</v>
      </c>
      <c r="H424" s="98" t="str">
        <f>VLOOKUP(F424,'GL Category'!A:C,2,FALSE)</f>
        <v>SMALL TOOLS &amp; EQUIPMENT</v>
      </c>
      <c r="I424" s="99">
        <f>SUMIF(Import!$B:$B,'Other Fund Line-Item Details'!$A424,Import!D:D)</f>
        <v>0</v>
      </c>
      <c r="J424" s="99">
        <f>SUMIF(Import!$B:$B,'Other Fund Line-Item Details'!$A424,Import!E:E)</f>
        <v>0</v>
      </c>
      <c r="K424" s="99">
        <f>SUMIF(Import!$B:$B,'Other Fund Line-Item Details'!$A424,Import!F:F)</f>
        <v>0</v>
      </c>
      <c r="L424" s="99">
        <f>SUMIF(Import!$B:$B,'Other Fund Line-Item Details'!$A424,Import!G:G)</f>
        <v>0</v>
      </c>
      <c r="M424" s="99">
        <f>SUMIF(Import!$B:$B,'Other Fund Line-Item Details'!$A424,Import!H:H)</f>
        <v>0</v>
      </c>
      <c r="N424" s="99">
        <f>SUMIF(Import!$B:$B,'Other Fund Line-Item Details'!$A424,Import!I:I)</f>
        <v>0</v>
      </c>
      <c r="O424" s="99">
        <f>SUMIF(Import!$B:$B,'Other Fund Line-Item Details'!$A424,Import!J:J)</f>
        <v>0</v>
      </c>
      <c r="P424" s="99">
        <f t="shared" si="522"/>
        <v>0</v>
      </c>
      <c r="Q424" s="99">
        <f>SUMIF(Import!$B:$B,'Other Fund Line-Item Details'!$A424,Import!K:K)</f>
        <v>0</v>
      </c>
      <c r="R424" s="99">
        <f>SUMIF(Import!$B:$B,'Other Fund Line-Item Details'!$A424,Import!L:L)</f>
        <v>0</v>
      </c>
      <c r="S424" s="99">
        <f>SUMIF(Import!$B:$B,'Other Fund Line-Item Details'!$A424,Import!M:M)</f>
        <v>0</v>
      </c>
      <c r="T424" s="99">
        <f>SUMIF(Import!$B:$B,'Other Fund Line-Item Details'!$A424,Import!N:N)</f>
        <v>0</v>
      </c>
      <c r="U424" s="99">
        <f t="shared" si="523"/>
        <v>0</v>
      </c>
      <c r="V424" s="255" t="str">
        <f t="shared" si="524"/>
        <v>N/A</v>
      </c>
      <c r="W424" s="102" t="s">
        <v>2027</v>
      </c>
      <c r="X424" s="121"/>
      <c r="Y424" s="121"/>
      <c r="Z424" s="121"/>
      <c r="AA424" s="121"/>
      <c r="AB424" s="121"/>
      <c r="AC424" s="121"/>
      <c r="AD424" s="121"/>
      <c r="AE424" s="121"/>
      <c r="AF424" s="121"/>
      <c r="AG424" s="121"/>
      <c r="AH424" s="121"/>
      <c r="AI424" s="121"/>
    </row>
    <row r="425" spans="1:35" s="115" customFormat="1" ht="15" customHeight="1">
      <c r="A425" s="555" t="s">
        <v>2028</v>
      </c>
      <c r="B425" s="217" t="str">
        <f t="shared" si="508"/>
        <v>119</v>
      </c>
      <c r="C425" s="217" t="str">
        <f t="shared" si="509"/>
        <v>18</v>
      </c>
      <c r="D425" s="101" t="str">
        <f t="shared" si="510"/>
        <v>181</v>
      </c>
      <c r="E425" s="217" t="str">
        <f t="shared" si="511"/>
        <v>119-18-181</v>
      </c>
      <c r="F425" s="294" t="str">
        <f t="shared" si="512"/>
        <v>51255</v>
      </c>
      <c r="G425" s="295" t="str">
        <f>VLOOKUP(F425,'GL Category'!A:C,3,FALSE)</f>
        <v>Operations &amp; maintenance</v>
      </c>
      <c r="H425" s="98" t="str">
        <f>VLOOKUP(F425,'GL Category'!A:C,2,FALSE)</f>
        <v>FUEL/OILS/LUBRICANTS</v>
      </c>
      <c r="I425" s="99">
        <f>SUMIF(Import!$B:$B,'Other Fund Line-Item Details'!$A425,Import!D:D)</f>
        <v>14.33</v>
      </c>
      <c r="J425" s="99">
        <f>SUMIF(Import!$B:$B,'Other Fund Line-Item Details'!$A425,Import!E:E)</f>
        <v>35.880000000000003</v>
      </c>
      <c r="K425" s="99">
        <f>SUMIF(Import!$B:$B,'Other Fund Line-Item Details'!$A425,Import!F:F)</f>
        <v>63.63</v>
      </c>
      <c r="L425" s="99">
        <f>SUMIF(Import!$B:$B,'Other Fund Line-Item Details'!$A425,Import!G:G)</f>
        <v>22.2</v>
      </c>
      <c r="M425" s="99">
        <f>SUMIF(Import!$B:$B,'Other Fund Line-Item Details'!$A425,Import!H:H)</f>
        <v>500</v>
      </c>
      <c r="N425" s="99">
        <f>SUMIF(Import!$B:$B,'Other Fund Line-Item Details'!$A425,Import!I:I)</f>
        <v>0</v>
      </c>
      <c r="O425" s="99">
        <f>SUMIF(Import!$B:$B,'Other Fund Line-Item Details'!$A425,Import!J:J)</f>
        <v>500</v>
      </c>
      <c r="P425" s="99">
        <f t="shared" si="522"/>
        <v>0</v>
      </c>
      <c r="Q425" s="99">
        <f>SUMIF(Import!$B:$B,'Other Fund Line-Item Details'!$A425,Import!K:K)</f>
        <v>500</v>
      </c>
      <c r="R425" s="99">
        <f>SUMIF(Import!$B:$B,'Other Fund Line-Item Details'!$A425,Import!L:L)</f>
        <v>0</v>
      </c>
      <c r="S425" s="99">
        <f>SUMIF(Import!$B:$B,'Other Fund Line-Item Details'!$A425,Import!M:M)</f>
        <v>0</v>
      </c>
      <c r="T425" s="99">
        <f>SUMIF(Import!$B:$B,'Other Fund Line-Item Details'!$A425,Import!N:N)</f>
        <v>500</v>
      </c>
      <c r="U425" s="99">
        <f t="shared" si="523"/>
        <v>0</v>
      </c>
      <c r="V425" s="255">
        <f t="shared" si="524"/>
        <v>0</v>
      </c>
      <c r="W425" s="102" t="s">
        <v>2028</v>
      </c>
      <c r="X425" s="121"/>
      <c r="Y425" s="121"/>
      <c r="Z425" s="121"/>
      <c r="AA425" s="121"/>
      <c r="AB425" s="121"/>
      <c r="AC425" s="121"/>
      <c r="AD425" s="121"/>
      <c r="AE425" s="121"/>
      <c r="AF425" s="121"/>
      <c r="AG425" s="121"/>
      <c r="AH425" s="121"/>
      <c r="AI425" s="121"/>
    </row>
    <row r="426" spans="1:35" s="115" customFormat="1" ht="15" customHeight="1">
      <c r="A426" s="555" t="s">
        <v>2029</v>
      </c>
      <c r="B426" s="217" t="str">
        <f t="shared" si="508"/>
        <v>119</v>
      </c>
      <c r="C426" s="217" t="str">
        <f t="shared" si="509"/>
        <v>18</v>
      </c>
      <c r="D426" s="101" t="str">
        <f t="shared" si="510"/>
        <v>181</v>
      </c>
      <c r="E426" s="217" t="str">
        <f t="shared" si="511"/>
        <v>119-18-181</v>
      </c>
      <c r="F426" s="294" t="str">
        <f t="shared" si="512"/>
        <v>51285</v>
      </c>
      <c r="G426" s="295" t="str">
        <f>VLOOKUP(F426,'GL Category'!A:C,3,FALSE)</f>
        <v>Operations &amp; maintenance</v>
      </c>
      <c r="H426" s="98" t="str">
        <f>VLOOKUP(F426,'GL Category'!A:C,2,FALSE)</f>
        <v>WEARING APPAREL</v>
      </c>
      <c r="I426" s="99">
        <f>SUMIF(Import!$B:$B,'Other Fund Line-Item Details'!$A426,Import!D:D)</f>
        <v>407.94</v>
      </c>
      <c r="J426" s="99">
        <f>SUMIF(Import!$B:$B,'Other Fund Line-Item Details'!$A426,Import!E:E)</f>
        <v>333.18</v>
      </c>
      <c r="K426" s="99">
        <f>SUMIF(Import!$B:$B,'Other Fund Line-Item Details'!$A426,Import!F:F)</f>
        <v>1122.58</v>
      </c>
      <c r="L426" s="99">
        <f>SUMIF(Import!$B:$B,'Other Fund Line-Item Details'!$A426,Import!G:G)</f>
        <v>0</v>
      </c>
      <c r="M426" s="99">
        <f>SUMIF(Import!$B:$B,'Other Fund Line-Item Details'!$A426,Import!H:H)</f>
        <v>750</v>
      </c>
      <c r="N426" s="99">
        <f>SUMIF(Import!$B:$B,'Other Fund Line-Item Details'!$A426,Import!I:I)</f>
        <v>705.23</v>
      </c>
      <c r="O426" s="99">
        <f>SUMIF(Import!$B:$B,'Other Fund Line-Item Details'!$A426,Import!J:J)</f>
        <v>750</v>
      </c>
      <c r="P426" s="99">
        <f t="shared" si="522"/>
        <v>0</v>
      </c>
      <c r="Q426" s="99">
        <f>SUMIF(Import!$B:$B,'Other Fund Line-Item Details'!$A426,Import!K:K)</f>
        <v>750</v>
      </c>
      <c r="R426" s="99">
        <f>SUMIF(Import!$B:$B,'Other Fund Line-Item Details'!$A426,Import!L:L)</f>
        <v>0</v>
      </c>
      <c r="S426" s="99">
        <f>SUMIF(Import!$B:$B,'Other Fund Line-Item Details'!$A426,Import!M:M)</f>
        <v>0</v>
      </c>
      <c r="T426" s="99">
        <f>SUMIF(Import!$B:$B,'Other Fund Line-Item Details'!$A426,Import!N:N)</f>
        <v>750</v>
      </c>
      <c r="U426" s="99">
        <f t="shared" si="523"/>
        <v>0</v>
      </c>
      <c r="V426" s="255">
        <f t="shared" si="524"/>
        <v>0</v>
      </c>
      <c r="W426" s="102" t="s">
        <v>2029</v>
      </c>
      <c r="X426" s="121"/>
      <c r="Y426" s="121"/>
      <c r="Z426" s="121"/>
      <c r="AA426" s="121"/>
      <c r="AB426" s="121"/>
      <c r="AC426" s="121"/>
      <c r="AD426" s="121"/>
      <c r="AE426" s="121"/>
      <c r="AF426" s="121"/>
      <c r="AG426" s="121"/>
      <c r="AH426" s="121"/>
      <c r="AI426" s="121"/>
    </row>
    <row r="427" spans="1:35" s="115" customFormat="1" ht="15" customHeight="1">
      <c r="A427" s="555" t="s">
        <v>2030</v>
      </c>
      <c r="B427" s="217" t="str">
        <f t="shared" si="508"/>
        <v>119</v>
      </c>
      <c r="C427" s="217" t="str">
        <f t="shared" si="509"/>
        <v>18</v>
      </c>
      <c r="D427" s="101" t="str">
        <f t="shared" si="510"/>
        <v>181</v>
      </c>
      <c r="E427" s="217" t="str">
        <f t="shared" si="511"/>
        <v>119-18-181</v>
      </c>
      <c r="F427" s="294" t="str">
        <f t="shared" si="512"/>
        <v>52460</v>
      </c>
      <c r="G427" s="295" t="str">
        <f>VLOOKUP(F427,'GL Category'!A:C,3,FALSE)</f>
        <v>Operations &amp; maintenance</v>
      </c>
      <c r="H427" s="98" t="str">
        <f>VLOOKUP(F427,'GL Category'!A:C,2,FALSE)</f>
        <v>VEHICLE MAINTENANCE</v>
      </c>
      <c r="I427" s="99">
        <f>SUMIF(Import!$B:$B,'Other Fund Line-Item Details'!$A427,Import!D:D)</f>
        <v>570.19000000000005</v>
      </c>
      <c r="J427" s="99">
        <f>SUMIF(Import!$B:$B,'Other Fund Line-Item Details'!$A427,Import!E:E)</f>
        <v>78.209999999999994</v>
      </c>
      <c r="K427" s="99">
        <f>SUMIF(Import!$B:$B,'Other Fund Line-Item Details'!$A427,Import!F:F)</f>
        <v>548.35</v>
      </c>
      <c r="L427" s="99">
        <f>SUMIF(Import!$B:$B,'Other Fund Line-Item Details'!$A427,Import!G:G)</f>
        <v>459.39</v>
      </c>
      <c r="M427" s="99">
        <f>SUMIF(Import!$B:$B,'Other Fund Line-Item Details'!$A427,Import!H:H)</f>
        <v>678</v>
      </c>
      <c r="N427" s="99">
        <f>SUMIF(Import!$B:$B,'Other Fund Line-Item Details'!$A427,Import!I:I)</f>
        <v>0</v>
      </c>
      <c r="O427" s="99">
        <f>SUMIF(Import!$B:$B,'Other Fund Line-Item Details'!$A427,Import!J:J)</f>
        <v>678</v>
      </c>
      <c r="P427" s="99">
        <f t="shared" si="522"/>
        <v>0</v>
      </c>
      <c r="Q427" s="99">
        <f>SUMIF(Import!$B:$B,'Other Fund Line-Item Details'!$A427,Import!K:K)</f>
        <v>3465</v>
      </c>
      <c r="R427" s="99">
        <f>SUMIF(Import!$B:$B,'Other Fund Line-Item Details'!$A427,Import!L:L)</f>
        <v>0</v>
      </c>
      <c r="S427" s="99">
        <f>SUMIF(Import!$B:$B,'Other Fund Line-Item Details'!$A427,Import!M:M)</f>
        <v>0</v>
      </c>
      <c r="T427" s="99">
        <f>SUMIF(Import!$B:$B,'Other Fund Line-Item Details'!$A427,Import!N:N)</f>
        <v>3465</v>
      </c>
      <c r="U427" s="99">
        <f t="shared" si="523"/>
        <v>2787</v>
      </c>
      <c r="V427" s="255">
        <f t="shared" si="524"/>
        <v>4.110619469026549</v>
      </c>
      <c r="W427" s="102" t="s">
        <v>2030</v>
      </c>
      <c r="X427" s="121"/>
      <c r="Y427" s="121"/>
      <c r="Z427" s="121"/>
      <c r="AA427" s="121"/>
      <c r="AB427" s="121"/>
      <c r="AC427" s="121"/>
      <c r="AD427" s="121"/>
      <c r="AE427" s="121"/>
      <c r="AF427" s="121"/>
      <c r="AG427" s="121"/>
      <c r="AH427" s="121"/>
      <c r="AI427" s="121"/>
    </row>
    <row r="428" spans="1:35" s="115" customFormat="1" ht="15" customHeight="1">
      <c r="A428" s="555" t="s">
        <v>2031</v>
      </c>
      <c r="B428" s="217" t="str">
        <f t="shared" si="508"/>
        <v>119</v>
      </c>
      <c r="C428" s="217" t="str">
        <f t="shared" si="509"/>
        <v>18</v>
      </c>
      <c r="D428" s="101" t="str">
        <f t="shared" si="510"/>
        <v>181</v>
      </c>
      <c r="E428" s="217" t="str">
        <f t="shared" si="511"/>
        <v>119-18-181</v>
      </c>
      <c r="F428" s="294" t="str">
        <f t="shared" si="512"/>
        <v>52480</v>
      </c>
      <c r="G428" s="295" t="str">
        <f>VLOOKUP(F428,'GL Category'!A:C,3,FALSE)</f>
        <v>Operations &amp; maintenance</v>
      </c>
      <c r="H428" s="98" t="str">
        <f>VLOOKUP(F428,'GL Category'!A:C,2,FALSE)</f>
        <v>OFFICE EQUIPMENT MAINTENANCE</v>
      </c>
      <c r="I428" s="99">
        <f>SUMIF(Import!$B:$B,'Other Fund Line-Item Details'!$A428,Import!D:D)</f>
        <v>99830.17</v>
      </c>
      <c r="J428" s="99">
        <f>SUMIF(Import!$B:$B,'Other Fund Line-Item Details'!$A428,Import!E:E)</f>
        <v>89634.42</v>
      </c>
      <c r="K428" s="99">
        <f>SUMIF(Import!$B:$B,'Other Fund Line-Item Details'!$A428,Import!F:F)</f>
        <v>98759.64</v>
      </c>
      <c r="L428" s="99">
        <f>SUMIF(Import!$B:$B,'Other Fund Line-Item Details'!$A428,Import!G:G)</f>
        <v>152258.79999999999</v>
      </c>
      <c r="M428" s="99">
        <f>SUMIF(Import!$B:$B,'Other Fund Line-Item Details'!$A428,Import!H:H)</f>
        <v>150000</v>
      </c>
      <c r="N428" s="99">
        <f>SUMIF(Import!$B:$B,'Other Fund Line-Item Details'!$A428,Import!I:I)</f>
        <v>103239.76</v>
      </c>
      <c r="O428" s="99">
        <f>SUMIF(Import!$B:$B,'Other Fund Line-Item Details'!$A428,Import!J:J)</f>
        <v>150000</v>
      </c>
      <c r="P428" s="99">
        <f t="shared" si="522"/>
        <v>0</v>
      </c>
      <c r="Q428" s="99">
        <f>SUMIF(Import!$B:$B,'Other Fund Line-Item Details'!$A428,Import!K:K)</f>
        <v>161000</v>
      </c>
      <c r="R428" s="99">
        <f>SUMIF(Import!$B:$B,'Other Fund Line-Item Details'!$A428,Import!L:L)</f>
        <v>0</v>
      </c>
      <c r="S428" s="99">
        <f>SUMIF(Import!$B:$B,'Other Fund Line-Item Details'!$A428,Import!M:M)</f>
        <v>0</v>
      </c>
      <c r="T428" s="99">
        <f>SUMIF(Import!$B:$B,'Other Fund Line-Item Details'!$A428,Import!N:N)</f>
        <v>161000</v>
      </c>
      <c r="U428" s="99">
        <f t="shared" si="523"/>
        <v>11000</v>
      </c>
      <c r="V428" s="255">
        <f t="shared" si="524"/>
        <v>7.333333333333325E-2</v>
      </c>
      <c r="W428" s="102" t="s">
        <v>2031</v>
      </c>
      <c r="X428" s="121"/>
      <c r="Y428" s="121"/>
      <c r="Z428" s="121"/>
      <c r="AA428" s="121"/>
      <c r="AB428" s="121"/>
      <c r="AC428" s="121"/>
      <c r="AD428" s="121"/>
      <c r="AE428" s="121"/>
      <c r="AF428" s="121"/>
      <c r="AG428" s="121"/>
      <c r="AH428" s="121"/>
      <c r="AI428" s="121"/>
    </row>
    <row r="429" spans="1:35" s="115" customFormat="1" ht="15" customHeight="1">
      <c r="A429" s="555" t="s">
        <v>2032</v>
      </c>
      <c r="B429" s="217" t="str">
        <f t="shared" si="508"/>
        <v>119</v>
      </c>
      <c r="C429" s="217" t="str">
        <f t="shared" si="509"/>
        <v>18</v>
      </c>
      <c r="D429" s="101" t="str">
        <f t="shared" si="510"/>
        <v>181</v>
      </c>
      <c r="E429" s="217" t="str">
        <f t="shared" si="511"/>
        <v>119-18-181</v>
      </c>
      <c r="F429" s="294" t="str">
        <f t="shared" si="512"/>
        <v>52485</v>
      </c>
      <c r="G429" s="295" t="str">
        <f>VLOOKUP(F429,'GL Category'!A:C,3,FALSE)</f>
        <v>Operations &amp; maintenance</v>
      </c>
      <c r="H429" s="98" t="str">
        <f>VLOOKUP(F429,'GL Category'!A:C,2,FALSE)</f>
        <v>SOFTWARE LICENSE &amp; MAINTENANCE</v>
      </c>
      <c r="I429" s="99">
        <f>SUMIF(Import!$B:$B,'Other Fund Line-Item Details'!$A429,Import!D:D)</f>
        <v>652870.79</v>
      </c>
      <c r="J429" s="99">
        <f>SUMIF(Import!$B:$B,'Other Fund Line-Item Details'!$A429,Import!E:E)</f>
        <v>686782.68</v>
      </c>
      <c r="K429" s="99">
        <f>SUMIF(Import!$B:$B,'Other Fund Line-Item Details'!$A429,Import!F:F)</f>
        <v>528720.69999999995</v>
      </c>
      <c r="L429" s="99">
        <f>SUMIF(Import!$B:$B,'Other Fund Line-Item Details'!$A429,Import!G:G)</f>
        <v>890614.92</v>
      </c>
      <c r="M429" s="99">
        <f>SUMIF(Import!$B:$B,'Other Fund Line-Item Details'!$A429,Import!H:H)</f>
        <v>1146699</v>
      </c>
      <c r="N429" s="99">
        <f>SUMIF(Import!$B:$B,'Other Fund Line-Item Details'!$A429,Import!I:I)</f>
        <v>694816.86</v>
      </c>
      <c r="O429" s="99">
        <f>SUMIF(Import!$B:$B,'Other Fund Line-Item Details'!$A429,Import!J:J)</f>
        <v>1146699</v>
      </c>
      <c r="P429" s="99">
        <f t="shared" si="522"/>
        <v>0</v>
      </c>
      <c r="Q429" s="99">
        <f>SUMIF(Import!$B:$B,'Other Fund Line-Item Details'!$A429,Import!K:K)</f>
        <v>956800</v>
      </c>
      <c r="R429" s="99">
        <f>SUMIF(Import!$B:$B,'Other Fund Line-Item Details'!$A429,Import!L:L)</f>
        <v>0</v>
      </c>
      <c r="S429" s="99">
        <f>SUMIF(Import!$B:$B,'Other Fund Line-Item Details'!$A429,Import!M:M)</f>
        <v>906370</v>
      </c>
      <c r="T429" s="99">
        <f>SUMIF(Import!$B:$B,'Other Fund Line-Item Details'!$A429,Import!N:N)</f>
        <v>1863170</v>
      </c>
      <c r="U429" s="99">
        <f t="shared" si="523"/>
        <v>716471</v>
      </c>
      <c r="V429" s="255">
        <f t="shared" si="524"/>
        <v>0.62481174222703606</v>
      </c>
      <c r="W429" s="102" t="s">
        <v>2032</v>
      </c>
      <c r="X429" s="162">
        <f>S429+S396</f>
        <v>450000</v>
      </c>
      <c r="Y429" s="121" t="s">
        <v>795</v>
      </c>
      <c r="Z429" s="121"/>
      <c r="AA429" s="121"/>
      <c r="AB429" s="121"/>
      <c r="AC429" s="121"/>
      <c r="AD429" s="121"/>
      <c r="AE429" s="121"/>
      <c r="AF429" s="121"/>
      <c r="AG429" s="121"/>
      <c r="AH429" s="121"/>
      <c r="AI429" s="121"/>
    </row>
    <row r="430" spans="1:35" s="115" customFormat="1" ht="26.1" customHeight="1">
      <c r="A430" s="555"/>
      <c r="B430" s="217"/>
      <c r="C430" s="217"/>
      <c r="D430" s="101"/>
      <c r="E430" s="217"/>
      <c r="F430" s="294"/>
      <c r="G430" s="146"/>
      <c r="H430" s="107" t="str">
        <f>UPPER(G429)&amp;" TOTAL"</f>
        <v>OPERATIONS &amp; MAINTENANCE TOTAL</v>
      </c>
      <c r="I430" s="108">
        <f t="shared" ref="I430" si="525">SUBTOTAL(9,I422:I429)</f>
        <v>771376.43</v>
      </c>
      <c r="J430" s="108">
        <f t="shared" ref="J430:T430" si="526">SUBTOTAL(9,J422:J429)</f>
        <v>797042.03</v>
      </c>
      <c r="K430" s="108">
        <f t="shared" ref="K430" si="527">SUBTOTAL(9,K422:K429)</f>
        <v>654051.79999999993</v>
      </c>
      <c r="L430" s="108">
        <f t="shared" ref="L430" si="528">SUBTOTAL(9,L422:L429)</f>
        <v>1067756.06</v>
      </c>
      <c r="M430" s="108">
        <f t="shared" si="526"/>
        <v>1325877</v>
      </c>
      <c r="N430" s="109">
        <f t="shared" ref="N430" si="529">SUBTOTAL(9,N422:N429)</f>
        <v>813894.13</v>
      </c>
      <c r="O430" s="109">
        <f t="shared" si="526"/>
        <v>1325427</v>
      </c>
      <c r="P430" s="109">
        <f t="shared" si="526"/>
        <v>-450</v>
      </c>
      <c r="Q430" s="109">
        <f t="shared" si="526"/>
        <v>1149765</v>
      </c>
      <c r="R430" s="109">
        <f t="shared" si="526"/>
        <v>0</v>
      </c>
      <c r="S430" s="109">
        <f t="shared" si="526"/>
        <v>906370</v>
      </c>
      <c r="T430" s="109">
        <f t="shared" si="526"/>
        <v>2056135</v>
      </c>
      <c r="U430" s="99">
        <f t="shared" si="523"/>
        <v>730258</v>
      </c>
      <c r="V430" s="255">
        <f t="shared" si="524"/>
        <v>0.55077356346026063</v>
      </c>
      <c r="W430" s="102"/>
      <c r="X430" s="121"/>
      <c r="Y430" s="121"/>
      <c r="Z430" s="121"/>
      <c r="AA430" s="121"/>
      <c r="AB430" s="121"/>
      <c r="AC430" s="121"/>
      <c r="AD430" s="121"/>
      <c r="AE430" s="121"/>
      <c r="AF430" s="121"/>
      <c r="AG430" s="121"/>
      <c r="AH430" s="121"/>
      <c r="AI430" s="121"/>
    </row>
    <row r="431" spans="1:35" s="115" customFormat="1" ht="15" customHeight="1">
      <c r="A431" s="555"/>
      <c r="B431" s="217"/>
      <c r="C431" s="217"/>
      <c r="D431" s="101"/>
      <c r="E431" s="217"/>
      <c r="F431" s="294"/>
      <c r="G431" s="146"/>
      <c r="H431" s="98"/>
      <c r="I431" s="106"/>
      <c r="J431" s="106"/>
      <c r="K431" s="106"/>
      <c r="L431" s="106"/>
      <c r="M431" s="106"/>
      <c r="N431" s="112"/>
      <c r="O431" s="112"/>
      <c r="P431" s="112"/>
      <c r="Q431" s="113"/>
      <c r="R431" s="212"/>
      <c r="S431" s="212"/>
      <c r="T431" s="113"/>
      <c r="U431" s="105"/>
      <c r="V431" s="262"/>
      <c r="W431" s="102"/>
      <c r="X431" s="121"/>
      <c r="Y431" s="121"/>
      <c r="Z431" s="121"/>
      <c r="AA431" s="121"/>
      <c r="AB431" s="121"/>
      <c r="AC431" s="121"/>
      <c r="AD431" s="121"/>
      <c r="AE431" s="121"/>
      <c r="AF431" s="121"/>
      <c r="AG431" s="121"/>
      <c r="AH431" s="121"/>
      <c r="AI431" s="121"/>
    </row>
    <row r="432" spans="1:35" s="115" customFormat="1" ht="15" customHeight="1">
      <c r="A432" s="555" t="s">
        <v>2033</v>
      </c>
      <c r="B432" s="217" t="str">
        <f t="shared" si="508"/>
        <v>119</v>
      </c>
      <c r="C432" s="217" t="str">
        <f t="shared" si="509"/>
        <v>18</v>
      </c>
      <c r="D432" s="101" t="str">
        <f t="shared" si="510"/>
        <v>181</v>
      </c>
      <c r="E432" s="217" t="str">
        <f t="shared" si="511"/>
        <v>119-18-181</v>
      </c>
      <c r="F432" s="294" t="str">
        <f t="shared" si="512"/>
        <v>53599</v>
      </c>
      <c r="G432" s="295" t="str">
        <f>VLOOKUP(F432,'GL Category'!A:C,3,FALSE)</f>
        <v>Services &amp; other</v>
      </c>
      <c r="H432" s="98" t="str">
        <f>VLOOKUP(F432,'GL Category'!A:C,2,FALSE)</f>
        <v>MISCELLANEOUS SERVICES</v>
      </c>
      <c r="I432" s="99">
        <f>SUMIF(Import!$B:$B,'Other Fund Line-Item Details'!$A432,Import!D:D)</f>
        <v>0</v>
      </c>
      <c r="J432" s="99">
        <f>SUMIF(Import!$B:$B,'Other Fund Line-Item Details'!$A432,Import!E:E)</f>
        <v>0</v>
      </c>
      <c r="K432" s="99">
        <f>SUMIF(Import!$B:$B,'Other Fund Line-Item Details'!$A432,Import!F:F)</f>
        <v>0</v>
      </c>
      <c r="L432" s="99">
        <f>SUMIF(Import!$B:$B,'Other Fund Line-Item Details'!$A432,Import!G:G)</f>
        <v>0</v>
      </c>
      <c r="M432" s="99">
        <f>SUMIF(Import!$B:$B,'Other Fund Line-Item Details'!$A432,Import!H:H)</f>
        <v>0</v>
      </c>
      <c r="N432" s="99">
        <f>SUMIF(Import!$B:$B,'Other Fund Line-Item Details'!$A432,Import!I:I)</f>
        <v>0</v>
      </c>
      <c r="O432" s="99">
        <f>SUMIF(Import!$B:$B,'Other Fund Line-Item Details'!$A432,Import!J:J)</f>
        <v>0</v>
      </c>
      <c r="P432" s="99">
        <f t="shared" ref="P432:P442" si="530">O432-M432</f>
        <v>0</v>
      </c>
      <c r="Q432" s="99">
        <f>SUMIF(Import!$B:$B,'Other Fund Line-Item Details'!$A432,Import!K:K)</f>
        <v>0</v>
      </c>
      <c r="R432" s="99">
        <f>SUMIF(Import!$B:$B,'Other Fund Line-Item Details'!$A432,Import!L:L)</f>
        <v>0</v>
      </c>
      <c r="S432" s="99">
        <f>SUMIF(Import!$B:$B,'Other Fund Line-Item Details'!$A432,Import!M:M)</f>
        <v>0</v>
      </c>
      <c r="T432" s="99">
        <f>SUMIF(Import!$B:$B,'Other Fund Line-Item Details'!$A432,Import!N:N)</f>
        <v>0</v>
      </c>
      <c r="U432" s="99">
        <f t="shared" ref="U432:U443" si="531">T432-M432</f>
        <v>0</v>
      </c>
      <c r="V432" s="255" t="str">
        <f t="shared" ref="V432:V443" si="532">IF(M432=0,"N/A",T432/M432-1)</f>
        <v>N/A</v>
      </c>
      <c r="W432" s="102" t="s">
        <v>2033</v>
      </c>
      <c r="X432" s="121"/>
      <c r="Y432" s="121"/>
      <c r="Z432" s="121"/>
      <c r="AA432" s="121"/>
      <c r="AB432" s="121"/>
      <c r="AC432" s="121"/>
      <c r="AD432" s="121"/>
      <c r="AE432" s="121"/>
      <c r="AF432" s="121"/>
      <c r="AG432" s="121"/>
      <c r="AH432" s="121"/>
      <c r="AI432" s="121"/>
    </row>
    <row r="433" spans="1:35" s="115" customFormat="1" ht="15" customHeight="1">
      <c r="A433" s="555" t="s">
        <v>2034</v>
      </c>
      <c r="B433" s="217" t="str">
        <f t="shared" si="508"/>
        <v>119</v>
      </c>
      <c r="C433" s="217" t="str">
        <f t="shared" si="509"/>
        <v>18</v>
      </c>
      <c r="D433" s="101" t="str">
        <f t="shared" si="510"/>
        <v>181</v>
      </c>
      <c r="E433" s="217" t="str">
        <f t="shared" si="511"/>
        <v>119-18-181</v>
      </c>
      <c r="F433" s="294" t="str">
        <f t="shared" si="512"/>
        <v>53510</v>
      </c>
      <c r="G433" s="295" t="str">
        <f>VLOOKUP(F433,'GL Category'!A:C,3,FALSE)</f>
        <v>Services &amp; other</v>
      </c>
      <c r="H433" s="98" t="str">
        <f>VLOOKUP(F433,'GL Category'!A:C,2,FALSE)</f>
        <v>DUES &amp; SUBSCRIPTIONS</v>
      </c>
      <c r="I433" s="99">
        <f>SUMIF(Import!$B:$B,'Other Fund Line-Item Details'!$A433,Import!D:D)</f>
        <v>228.89</v>
      </c>
      <c r="J433" s="99">
        <f>SUMIF(Import!$B:$B,'Other Fund Line-Item Details'!$A433,Import!E:E)</f>
        <v>375</v>
      </c>
      <c r="K433" s="99">
        <f>SUMIF(Import!$B:$B,'Other Fund Line-Item Details'!$A433,Import!F:F)</f>
        <v>175</v>
      </c>
      <c r="L433" s="99">
        <f>SUMIF(Import!$B:$B,'Other Fund Line-Item Details'!$A433,Import!G:G)</f>
        <v>175</v>
      </c>
      <c r="M433" s="99">
        <f>SUMIF(Import!$B:$B,'Other Fund Line-Item Details'!$A433,Import!H:H)</f>
        <v>250</v>
      </c>
      <c r="N433" s="99">
        <f>SUMIF(Import!$B:$B,'Other Fund Line-Item Details'!$A433,Import!I:I)</f>
        <v>0</v>
      </c>
      <c r="O433" s="99">
        <f>SUMIF(Import!$B:$B,'Other Fund Line-Item Details'!$A433,Import!J:J)</f>
        <v>250</v>
      </c>
      <c r="P433" s="99">
        <f t="shared" si="530"/>
        <v>0</v>
      </c>
      <c r="Q433" s="99">
        <f>SUMIF(Import!$B:$B,'Other Fund Line-Item Details'!$A433,Import!K:K)</f>
        <v>250</v>
      </c>
      <c r="R433" s="99">
        <f>SUMIF(Import!$B:$B,'Other Fund Line-Item Details'!$A433,Import!L:L)</f>
        <v>0</v>
      </c>
      <c r="S433" s="99">
        <f>SUMIF(Import!$B:$B,'Other Fund Line-Item Details'!$A433,Import!M:M)</f>
        <v>0</v>
      </c>
      <c r="T433" s="99">
        <f>SUMIF(Import!$B:$B,'Other Fund Line-Item Details'!$A433,Import!N:N)</f>
        <v>250</v>
      </c>
      <c r="U433" s="99">
        <f t="shared" si="531"/>
        <v>0</v>
      </c>
      <c r="V433" s="255">
        <f t="shared" si="532"/>
        <v>0</v>
      </c>
      <c r="W433" s="102" t="s">
        <v>2034</v>
      </c>
      <c r="X433" s="121"/>
      <c r="Y433" s="121"/>
      <c r="Z433" s="121"/>
      <c r="AA433" s="121"/>
      <c r="AB433" s="121"/>
      <c r="AC433" s="121"/>
      <c r="AD433" s="121"/>
      <c r="AE433" s="121"/>
      <c r="AF433" s="121"/>
      <c r="AG433" s="121"/>
      <c r="AH433" s="121"/>
      <c r="AI433" s="121"/>
    </row>
    <row r="434" spans="1:35" s="115" customFormat="1" ht="15" customHeight="1">
      <c r="A434" s="555" t="s">
        <v>2035</v>
      </c>
      <c r="B434" s="217" t="str">
        <f t="shared" si="508"/>
        <v>119</v>
      </c>
      <c r="C434" s="217" t="str">
        <f t="shared" si="509"/>
        <v>18</v>
      </c>
      <c r="D434" s="101" t="str">
        <f t="shared" si="510"/>
        <v>181</v>
      </c>
      <c r="E434" s="217" t="str">
        <f t="shared" si="511"/>
        <v>119-18-181</v>
      </c>
      <c r="F434" s="294" t="str">
        <f t="shared" si="512"/>
        <v>53515</v>
      </c>
      <c r="G434" s="295" t="str">
        <f>VLOOKUP(F434,'GL Category'!A:C,3,FALSE)</f>
        <v>Services &amp; other</v>
      </c>
      <c r="H434" s="98" t="str">
        <f>VLOOKUP(F434,'GL Category'!A:C,2,FALSE)</f>
        <v>TRAVEL, TRAINING &amp; EDUCATION</v>
      </c>
      <c r="I434" s="99">
        <f>SUMIF(Import!$B:$B,'Other Fund Line-Item Details'!$A434,Import!D:D)</f>
        <v>8233.26</v>
      </c>
      <c r="J434" s="99">
        <f>SUMIF(Import!$B:$B,'Other Fund Line-Item Details'!$A434,Import!E:E)</f>
        <v>6183.01</v>
      </c>
      <c r="K434" s="99">
        <f>SUMIF(Import!$B:$B,'Other Fund Line-Item Details'!$A434,Import!F:F)</f>
        <v>8734</v>
      </c>
      <c r="L434" s="99">
        <f>SUMIF(Import!$B:$B,'Other Fund Line-Item Details'!$A434,Import!G:G)</f>
        <v>12233.08</v>
      </c>
      <c r="M434" s="99">
        <f>SUMIF(Import!$B:$B,'Other Fund Line-Item Details'!$A434,Import!H:H)</f>
        <v>24700</v>
      </c>
      <c r="N434" s="99">
        <f>SUMIF(Import!$B:$B,'Other Fund Line-Item Details'!$A434,Import!I:I)</f>
        <v>10662.88</v>
      </c>
      <c r="O434" s="99">
        <f>SUMIF(Import!$B:$B,'Other Fund Line-Item Details'!$A434,Import!J:J)</f>
        <v>17800</v>
      </c>
      <c r="P434" s="99">
        <f t="shared" si="530"/>
        <v>-6900</v>
      </c>
      <c r="Q434" s="99">
        <f>SUMIF(Import!$B:$B,'Other Fund Line-Item Details'!$A434,Import!K:K)</f>
        <v>24700</v>
      </c>
      <c r="R434" s="99">
        <f>SUMIF(Import!$B:$B,'Other Fund Line-Item Details'!$A434,Import!L:L)</f>
        <v>0</v>
      </c>
      <c r="S434" s="99">
        <f>SUMIF(Import!$B:$B,'Other Fund Line-Item Details'!$A434,Import!M:M)</f>
        <v>0</v>
      </c>
      <c r="T434" s="99">
        <f>SUMIF(Import!$B:$B,'Other Fund Line-Item Details'!$A434,Import!N:N)</f>
        <v>24700</v>
      </c>
      <c r="U434" s="99">
        <f t="shared" si="531"/>
        <v>0</v>
      </c>
      <c r="V434" s="255">
        <f t="shared" si="532"/>
        <v>0</v>
      </c>
      <c r="W434" s="102" t="s">
        <v>2035</v>
      </c>
      <c r="X434" s="121"/>
      <c r="Y434" s="121"/>
      <c r="Z434" s="121"/>
      <c r="AA434" s="121"/>
      <c r="AB434" s="121"/>
      <c r="AC434" s="121"/>
      <c r="AD434" s="121"/>
      <c r="AE434" s="121"/>
      <c r="AF434" s="121"/>
      <c r="AG434" s="121"/>
      <c r="AH434" s="121"/>
      <c r="AI434" s="121"/>
    </row>
    <row r="435" spans="1:35" s="115" customFormat="1" ht="15" customHeight="1">
      <c r="A435" s="555" t="s">
        <v>2036</v>
      </c>
      <c r="B435" s="217" t="str">
        <f t="shared" si="508"/>
        <v>119</v>
      </c>
      <c r="C435" s="217" t="str">
        <f t="shared" si="509"/>
        <v>18</v>
      </c>
      <c r="D435" s="101" t="str">
        <f t="shared" si="510"/>
        <v>181</v>
      </c>
      <c r="E435" s="217" t="str">
        <f t="shared" si="511"/>
        <v>119-18-181</v>
      </c>
      <c r="F435" s="294" t="str">
        <f t="shared" si="512"/>
        <v>53513</v>
      </c>
      <c r="G435" s="295" t="str">
        <f>VLOOKUP(F435,'GL Category'!A:C,3,FALSE)</f>
        <v>Services &amp; other</v>
      </c>
      <c r="H435" s="98" t="str">
        <f>VLOOKUP(F435,'GL Category'!A:C,2,FALSE)</f>
        <v>CONSULTING SERVICES</v>
      </c>
      <c r="I435" s="99">
        <f>SUMIF(Import!$B:$B,'Other Fund Line-Item Details'!$A435,Import!D:D)</f>
        <v>17572</v>
      </c>
      <c r="J435" s="99">
        <f>SUMIF(Import!$B:$B,'Other Fund Line-Item Details'!$A435,Import!E:E)</f>
        <v>80473.5</v>
      </c>
      <c r="K435" s="99">
        <f>SUMIF(Import!$B:$B,'Other Fund Line-Item Details'!$A435,Import!F:F)</f>
        <v>23918</v>
      </c>
      <c r="L435" s="99">
        <f>SUMIF(Import!$B:$B,'Other Fund Line-Item Details'!$A435,Import!G:G)</f>
        <v>95466.43</v>
      </c>
      <c r="M435" s="99">
        <f>SUMIF(Import!$B:$B,'Other Fund Line-Item Details'!$A435,Import!H:H)</f>
        <v>70000</v>
      </c>
      <c r="N435" s="99">
        <f>SUMIF(Import!$B:$B,'Other Fund Line-Item Details'!$A435,Import!I:I)</f>
        <v>31146.6</v>
      </c>
      <c r="O435" s="99">
        <f>SUMIF(Import!$B:$B,'Other Fund Line-Item Details'!$A435,Import!J:J)</f>
        <v>50000</v>
      </c>
      <c r="P435" s="99">
        <f t="shared" si="530"/>
        <v>-20000</v>
      </c>
      <c r="Q435" s="99">
        <f>SUMIF(Import!$B:$B,'Other Fund Line-Item Details'!$A435,Import!K:K)</f>
        <v>70000</v>
      </c>
      <c r="R435" s="99">
        <f>SUMIF(Import!$B:$B,'Other Fund Line-Item Details'!$A435,Import!L:L)</f>
        <v>0</v>
      </c>
      <c r="S435" s="99">
        <f>SUMIF(Import!$B:$B,'Other Fund Line-Item Details'!$A435,Import!M:M)</f>
        <v>0</v>
      </c>
      <c r="T435" s="99">
        <f>SUMIF(Import!$B:$B,'Other Fund Line-Item Details'!$A435,Import!N:N)</f>
        <v>70000</v>
      </c>
      <c r="U435" s="99">
        <f t="shared" si="531"/>
        <v>0</v>
      </c>
      <c r="V435" s="255">
        <f t="shared" si="532"/>
        <v>0</v>
      </c>
      <c r="W435" s="102" t="s">
        <v>2036</v>
      </c>
      <c r="X435" s="121"/>
      <c r="Y435" s="121"/>
      <c r="Z435" s="121"/>
      <c r="AA435" s="121"/>
      <c r="AB435" s="121"/>
      <c r="AC435" s="121"/>
      <c r="AD435" s="121"/>
      <c r="AE435" s="121"/>
      <c r="AF435" s="121"/>
      <c r="AG435" s="121"/>
      <c r="AH435" s="121"/>
      <c r="AI435" s="121"/>
    </row>
    <row r="436" spans="1:35" s="115" customFormat="1" ht="15" customHeight="1">
      <c r="A436" s="555" t="s">
        <v>2037</v>
      </c>
      <c r="B436" s="217" t="str">
        <f t="shared" si="508"/>
        <v>119</v>
      </c>
      <c r="C436" s="217" t="str">
        <f t="shared" si="509"/>
        <v>18</v>
      </c>
      <c r="D436" s="101" t="str">
        <f t="shared" si="510"/>
        <v>181</v>
      </c>
      <c r="E436" s="217" t="str">
        <f t="shared" si="511"/>
        <v>119-18-181</v>
      </c>
      <c r="F436" s="294" t="str">
        <f t="shared" si="512"/>
        <v>53524</v>
      </c>
      <c r="G436" s="295" t="str">
        <f>VLOOKUP(F436,'GL Category'!A:C,3,FALSE)</f>
        <v>Services &amp; other</v>
      </c>
      <c r="H436" s="98" t="str">
        <f>VLOOKUP(F436,'GL Category'!A:C,2,FALSE)</f>
        <v>EQUIPMENT RENTAL</v>
      </c>
      <c r="I436" s="99">
        <f>SUMIF(Import!$B:$B,'Other Fund Line-Item Details'!$A436,Import!D:D)</f>
        <v>73072.89</v>
      </c>
      <c r="J436" s="99">
        <f>SUMIF(Import!$B:$B,'Other Fund Line-Item Details'!$A436,Import!E:E)</f>
        <v>75227.649999999994</v>
      </c>
      <c r="K436" s="99">
        <f>SUMIF(Import!$B:$B,'Other Fund Line-Item Details'!$A436,Import!F:F)</f>
        <v>74929.78</v>
      </c>
      <c r="L436" s="99">
        <f>SUMIF(Import!$B:$B,'Other Fund Line-Item Details'!$A436,Import!G:G)</f>
        <v>77856.58</v>
      </c>
      <c r="M436" s="99">
        <f>SUMIF(Import!$B:$B,'Other Fund Line-Item Details'!$A436,Import!H:H)</f>
        <v>77920</v>
      </c>
      <c r="N436" s="99">
        <f>SUMIF(Import!$B:$B,'Other Fund Line-Item Details'!$A436,Import!I:I)</f>
        <v>50768.62</v>
      </c>
      <c r="O436" s="99">
        <f>SUMIF(Import!$B:$B,'Other Fund Line-Item Details'!$A436,Import!J:J)</f>
        <v>77920</v>
      </c>
      <c r="P436" s="99">
        <f t="shared" si="530"/>
        <v>0</v>
      </c>
      <c r="Q436" s="99">
        <f>SUMIF(Import!$B:$B,'Other Fund Line-Item Details'!$A436,Import!K:K)</f>
        <v>77920</v>
      </c>
      <c r="R436" s="99">
        <f>SUMIF(Import!$B:$B,'Other Fund Line-Item Details'!$A436,Import!L:L)</f>
        <v>0</v>
      </c>
      <c r="S436" s="99">
        <f>SUMIF(Import!$B:$B,'Other Fund Line-Item Details'!$A436,Import!M:M)</f>
        <v>0</v>
      </c>
      <c r="T436" s="99">
        <f>SUMIF(Import!$B:$B,'Other Fund Line-Item Details'!$A436,Import!N:N)</f>
        <v>77920</v>
      </c>
      <c r="U436" s="99">
        <f t="shared" si="531"/>
        <v>0</v>
      </c>
      <c r="V436" s="255">
        <f t="shared" si="532"/>
        <v>0</v>
      </c>
      <c r="W436" s="102" t="s">
        <v>2037</v>
      </c>
      <c r="X436" s="121"/>
      <c r="Y436" s="121"/>
      <c r="Z436" s="121"/>
      <c r="AA436" s="121"/>
      <c r="AB436" s="121"/>
      <c r="AC436" s="121"/>
      <c r="AD436" s="121"/>
      <c r="AE436" s="121"/>
      <c r="AF436" s="121"/>
      <c r="AG436" s="121"/>
      <c r="AH436" s="121"/>
      <c r="AI436" s="121"/>
    </row>
    <row r="437" spans="1:35" s="115" customFormat="1" ht="15" customHeight="1">
      <c r="A437" s="555" t="s">
        <v>2038</v>
      </c>
      <c r="B437" s="217" t="str">
        <f t="shared" si="508"/>
        <v>119</v>
      </c>
      <c r="C437" s="217" t="str">
        <f t="shared" si="509"/>
        <v>18</v>
      </c>
      <c r="D437" s="101" t="str">
        <f t="shared" si="510"/>
        <v>181</v>
      </c>
      <c r="E437" s="217" t="str">
        <f t="shared" si="511"/>
        <v>119-18-181</v>
      </c>
      <c r="F437" s="294" t="str">
        <f t="shared" si="512"/>
        <v>53540</v>
      </c>
      <c r="G437" s="295" t="str">
        <f>VLOOKUP(F437,'GL Category'!A:C,3,FALSE)</f>
        <v>Services &amp; other</v>
      </c>
      <c r="H437" s="98" t="str">
        <f>VLOOKUP(F437,'GL Category'!A:C,2,FALSE)</f>
        <v>PRINTING &amp; BINDING SERVICES</v>
      </c>
      <c r="I437" s="99">
        <f>SUMIF(Import!$B:$B,'Other Fund Line-Item Details'!$A437,Import!D:D)</f>
        <v>0</v>
      </c>
      <c r="J437" s="99">
        <f>SUMIF(Import!$B:$B,'Other Fund Line-Item Details'!$A437,Import!E:E)</f>
        <v>0</v>
      </c>
      <c r="K437" s="99">
        <f>SUMIF(Import!$B:$B,'Other Fund Line-Item Details'!$A437,Import!F:F)</f>
        <v>0</v>
      </c>
      <c r="L437" s="99">
        <f>SUMIF(Import!$B:$B,'Other Fund Line-Item Details'!$A437,Import!G:G)</f>
        <v>0</v>
      </c>
      <c r="M437" s="99">
        <f>SUMIF(Import!$B:$B,'Other Fund Line-Item Details'!$A437,Import!H:H)</f>
        <v>0</v>
      </c>
      <c r="N437" s="99">
        <f>SUMIF(Import!$B:$B,'Other Fund Line-Item Details'!$A437,Import!I:I)</f>
        <v>0</v>
      </c>
      <c r="O437" s="99">
        <f>SUMIF(Import!$B:$B,'Other Fund Line-Item Details'!$A437,Import!J:J)</f>
        <v>0</v>
      </c>
      <c r="P437" s="99">
        <f t="shared" si="530"/>
        <v>0</v>
      </c>
      <c r="Q437" s="99">
        <f>SUMIF(Import!$B:$B,'Other Fund Line-Item Details'!$A437,Import!K:K)</f>
        <v>0</v>
      </c>
      <c r="R437" s="99">
        <f>SUMIF(Import!$B:$B,'Other Fund Line-Item Details'!$A437,Import!L:L)</f>
        <v>0</v>
      </c>
      <c r="S437" s="99">
        <f>SUMIF(Import!$B:$B,'Other Fund Line-Item Details'!$A437,Import!M:M)</f>
        <v>0</v>
      </c>
      <c r="T437" s="99">
        <f>SUMIF(Import!$B:$B,'Other Fund Line-Item Details'!$A437,Import!N:N)</f>
        <v>0</v>
      </c>
      <c r="U437" s="99">
        <f t="shared" si="531"/>
        <v>0</v>
      </c>
      <c r="V437" s="255" t="str">
        <f t="shared" si="532"/>
        <v>N/A</v>
      </c>
      <c r="W437" s="102" t="s">
        <v>2038</v>
      </c>
      <c r="X437" s="121"/>
      <c r="Y437" s="121"/>
      <c r="Z437" s="121"/>
      <c r="AA437" s="121"/>
      <c r="AB437" s="121"/>
      <c r="AC437" s="121"/>
      <c r="AD437" s="121"/>
      <c r="AE437" s="121"/>
      <c r="AF437" s="121"/>
      <c r="AG437" s="121"/>
      <c r="AH437" s="121"/>
      <c r="AI437" s="121"/>
    </row>
    <row r="438" spans="1:35" s="115" customFormat="1" ht="15" customHeight="1">
      <c r="A438" s="555" t="s">
        <v>2039</v>
      </c>
      <c r="B438" s="217" t="str">
        <f t="shared" si="508"/>
        <v>119</v>
      </c>
      <c r="C438" s="217" t="str">
        <f t="shared" si="509"/>
        <v>18</v>
      </c>
      <c r="D438" s="101" t="str">
        <f t="shared" si="510"/>
        <v>181</v>
      </c>
      <c r="E438" s="217" t="str">
        <f t="shared" si="511"/>
        <v>119-18-181</v>
      </c>
      <c r="F438" s="294" t="str">
        <f t="shared" si="512"/>
        <v>53551</v>
      </c>
      <c r="G438" s="295" t="str">
        <f>VLOOKUP(F438,'GL Category'!A:C,3,FALSE)</f>
        <v>Services &amp; other</v>
      </c>
      <c r="H438" s="98" t="str">
        <f>VLOOKUP(F438,'GL Category'!A:C,2,FALSE)</f>
        <v>FREIGHT &amp; EXPRESS SERVICES</v>
      </c>
      <c r="I438" s="99">
        <f>SUMIF(Import!$B:$B,'Other Fund Line-Item Details'!$A438,Import!D:D)</f>
        <v>0</v>
      </c>
      <c r="J438" s="99">
        <f>SUMIF(Import!$B:$B,'Other Fund Line-Item Details'!$A438,Import!E:E)</f>
        <v>0</v>
      </c>
      <c r="K438" s="99">
        <f>SUMIF(Import!$B:$B,'Other Fund Line-Item Details'!$A438,Import!F:F)</f>
        <v>0</v>
      </c>
      <c r="L438" s="99">
        <f>SUMIF(Import!$B:$B,'Other Fund Line-Item Details'!$A438,Import!G:G)</f>
        <v>0</v>
      </c>
      <c r="M438" s="99">
        <f>SUMIF(Import!$B:$B,'Other Fund Line-Item Details'!$A438,Import!H:H)</f>
        <v>0</v>
      </c>
      <c r="N438" s="99">
        <f>SUMIF(Import!$B:$B,'Other Fund Line-Item Details'!$A438,Import!I:I)</f>
        <v>0</v>
      </c>
      <c r="O438" s="99">
        <f>SUMIF(Import!$B:$B,'Other Fund Line-Item Details'!$A438,Import!J:J)</f>
        <v>0</v>
      </c>
      <c r="P438" s="99">
        <f t="shared" si="530"/>
        <v>0</v>
      </c>
      <c r="Q438" s="99">
        <f>SUMIF(Import!$B:$B,'Other Fund Line-Item Details'!$A438,Import!K:K)</f>
        <v>0</v>
      </c>
      <c r="R438" s="99">
        <f>SUMIF(Import!$B:$B,'Other Fund Line-Item Details'!$A438,Import!L:L)</f>
        <v>0</v>
      </c>
      <c r="S438" s="99">
        <f>SUMIF(Import!$B:$B,'Other Fund Line-Item Details'!$A438,Import!M:M)</f>
        <v>0</v>
      </c>
      <c r="T438" s="99">
        <f>SUMIF(Import!$B:$B,'Other Fund Line-Item Details'!$A438,Import!N:N)</f>
        <v>0</v>
      </c>
      <c r="U438" s="99">
        <f t="shared" si="531"/>
        <v>0</v>
      </c>
      <c r="V438" s="255" t="str">
        <f t="shared" si="532"/>
        <v>N/A</v>
      </c>
      <c r="W438" s="102" t="s">
        <v>2039</v>
      </c>
      <c r="X438" s="121"/>
      <c r="Y438" s="121"/>
      <c r="Z438" s="121"/>
      <c r="AA438" s="121"/>
      <c r="AB438" s="121"/>
      <c r="AC438" s="121"/>
      <c r="AD438" s="121"/>
      <c r="AE438" s="121"/>
      <c r="AF438" s="121"/>
      <c r="AG438" s="121"/>
      <c r="AH438" s="121"/>
      <c r="AI438" s="121"/>
    </row>
    <row r="439" spans="1:35" s="115" customFormat="1" ht="15" customHeight="1">
      <c r="A439" s="555" t="s">
        <v>2040</v>
      </c>
      <c r="B439" s="217" t="str">
        <f t="shared" si="508"/>
        <v>119</v>
      </c>
      <c r="C439" s="217" t="str">
        <f t="shared" si="509"/>
        <v>18</v>
      </c>
      <c r="D439" s="101" t="str">
        <f t="shared" si="510"/>
        <v>181</v>
      </c>
      <c r="E439" s="217" t="str">
        <f t="shared" si="511"/>
        <v>119-18-181</v>
      </c>
      <c r="F439" s="294" t="str">
        <f t="shared" si="512"/>
        <v>53560</v>
      </c>
      <c r="G439" s="295" t="str">
        <f>VLOOKUP(F439,'GL Category'!A:C,3,FALSE)</f>
        <v>Services &amp; other</v>
      </c>
      <c r="H439" s="98" t="str">
        <f>VLOOKUP(F439,'GL Category'!A:C,2,FALSE)</f>
        <v>GENERAL INSURANCE</v>
      </c>
      <c r="I439" s="99">
        <f>SUMIF(Import!$B:$B,'Other Fund Line-Item Details'!$A439,Import!D:D)</f>
        <v>0</v>
      </c>
      <c r="J439" s="99">
        <f>SUMIF(Import!$B:$B,'Other Fund Line-Item Details'!$A439,Import!E:E)</f>
        <v>0</v>
      </c>
      <c r="K439" s="99">
        <f>SUMIF(Import!$B:$B,'Other Fund Line-Item Details'!$A439,Import!F:F)</f>
        <v>0</v>
      </c>
      <c r="L439" s="99">
        <f>SUMIF(Import!$B:$B,'Other Fund Line-Item Details'!$A439,Import!G:G)</f>
        <v>0</v>
      </c>
      <c r="M439" s="99">
        <f>SUMIF(Import!$B:$B,'Other Fund Line-Item Details'!$A439,Import!H:H)</f>
        <v>0</v>
      </c>
      <c r="N439" s="99">
        <f>SUMIF(Import!$B:$B,'Other Fund Line-Item Details'!$A439,Import!I:I)</f>
        <v>0</v>
      </c>
      <c r="O439" s="99">
        <f>SUMIF(Import!$B:$B,'Other Fund Line-Item Details'!$A439,Import!J:J)</f>
        <v>0</v>
      </c>
      <c r="P439" s="99">
        <f t="shared" si="530"/>
        <v>0</v>
      </c>
      <c r="Q439" s="99">
        <f>SUMIF(Import!$B:$B,'Other Fund Line-Item Details'!$A439,Import!K:K)</f>
        <v>0</v>
      </c>
      <c r="R439" s="99">
        <f>SUMIF(Import!$B:$B,'Other Fund Line-Item Details'!$A439,Import!L:L)</f>
        <v>0</v>
      </c>
      <c r="S439" s="99">
        <f>SUMIF(Import!$B:$B,'Other Fund Line-Item Details'!$A439,Import!M:M)</f>
        <v>0</v>
      </c>
      <c r="T439" s="99">
        <f>SUMIF(Import!$B:$B,'Other Fund Line-Item Details'!$A439,Import!N:N)</f>
        <v>0</v>
      </c>
      <c r="U439" s="99">
        <f t="shared" si="531"/>
        <v>0</v>
      </c>
      <c r="V439" s="255" t="str">
        <f t="shared" si="532"/>
        <v>N/A</v>
      </c>
      <c r="W439" s="102" t="s">
        <v>2040</v>
      </c>
      <c r="X439" s="121"/>
      <c r="Y439" s="121"/>
      <c r="Z439" s="121"/>
      <c r="AA439" s="121"/>
      <c r="AB439" s="121"/>
      <c r="AC439" s="121"/>
      <c r="AD439" s="121"/>
      <c r="AE439" s="121"/>
      <c r="AF439" s="121"/>
      <c r="AG439" s="121"/>
      <c r="AH439" s="121"/>
      <c r="AI439" s="121"/>
    </row>
    <row r="440" spans="1:35" s="115" customFormat="1" ht="15" customHeight="1">
      <c r="A440" s="555" t="s">
        <v>2041</v>
      </c>
      <c r="B440" s="217" t="str">
        <f t="shared" si="508"/>
        <v>119</v>
      </c>
      <c r="C440" s="217" t="str">
        <f t="shared" si="509"/>
        <v>18</v>
      </c>
      <c r="D440" s="101" t="str">
        <f t="shared" si="510"/>
        <v>181</v>
      </c>
      <c r="E440" s="217" t="str">
        <f t="shared" si="511"/>
        <v>119-18-181</v>
      </c>
      <c r="F440" s="294" t="str">
        <f t="shared" si="512"/>
        <v>53570</v>
      </c>
      <c r="G440" s="295" t="str">
        <f>VLOOKUP(F440,'GL Category'!A:C,3,FALSE)</f>
        <v>Services &amp; other</v>
      </c>
      <c r="H440" s="98" t="str">
        <f>VLOOKUP(F440,'GL Category'!A:C,2,FALSE)</f>
        <v>TELEPHONE/COMMUNICATIONS</v>
      </c>
      <c r="I440" s="99">
        <f>SUMIF(Import!$B:$B,'Other Fund Line-Item Details'!$A440,Import!D:D)</f>
        <v>215202.14</v>
      </c>
      <c r="J440" s="99">
        <f>SUMIF(Import!$B:$B,'Other Fund Line-Item Details'!$A440,Import!E:E)</f>
        <v>184664.82</v>
      </c>
      <c r="K440" s="99">
        <f>SUMIF(Import!$B:$B,'Other Fund Line-Item Details'!$A440,Import!F:F)</f>
        <v>195182.95</v>
      </c>
      <c r="L440" s="99">
        <f>SUMIF(Import!$B:$B,'Other Fund Line-Item Details'!$A440,Import!G:G)</f>
        <v>199411.94</v>
      </c>
      <c r="M440" s="99">
        <f>SUMIF(Import!$B:$B,'Other Fund Line-Item Details'!$A440,Import!H:H)</f>
        <v>223525</v>
      </c>
      <c r="N440" s="99">
        <f>SUMIF(Import!$B:$B,'Other Fund Line-Item Details'!$A440,Import!I:I)</f>
        <v>131541.82</v>
      </c>
      <c r="O440" s="99">
        <f>SUMIF(Import!$B:$B,'Other Fund Line-Item Details'!$A440,Import!J:J)</f>
        <v>205625</v>
      </c>
      <c r="P440" s="99">
        <f t="shared" si="530"/>
        <v>-17900</v>
      </c>
      <c r="Q440" s="99">
        <f>SUMIF(Import!$B:$B,'Other Fund Line-Item Details'!$A440,Import!K:K)</f>
        <v>223525</v>
      </c>
      <c r="R440" s="99">
        <f>SUMIF(Import!$B:$B,'Other Fund Line-Item Details'!$A440,Import!L:L)</f>
        <v>0</v>
      </c>
      <c r="S440" s="99">
        <f>SUMIF(Import!$B:$B,'Other Fund Line-Item Details'!$A440,Import!M:M)</f>
        <v>0</v>
      </c>
      <c r="T440" s="99">
        <f>SUMIF(Import!$B:$B,'Other Fund Line-Item Details'!$A440,Import!N:N)</f>
        <v>223525</v>
      </c>
      <c r="U440" s="99">
        <f t="shared" si="531"/>
        <v>0</v>
      </c>
      <c r="V440" s="255">
        <f t="shared" si="532"/>
        <v>0</v>
      </c>
      <c r="W440" s="102" t="s">
        <v>2041</v>
      </c>
      <c r="X440" s="121"/>
      <c r="Y440" s="121"/>
      <c r="Z440" s="121"/>
      <c r="AA440" s="121"/>
      <c r="AB440" s="121"/>
      <c r="AC440" s="121"/>
      <c r="AD440" s="121"/>
      <c r="AE440" s="121"/>
      <c r="AF440" s="121"/>
      <c r="AG440" s="121"/>
      <c r="AH440" s="121"/>
      <c r="AI440" s="121"/>
    </row>
    <row r="441" spans="1:35" s="115" customFormat="1" ht="15" customHeight="1">
      <c r="A441" s="555" t="s">
        <v>2042</v>
      </c>
      <c r="B441" s="217" t="str">
        <f t="shared" si="508"/>
        <v>119</v>
      </c>
      <c r="C441" s="217" t="str">
        <f t="shared" si="509"/>
        <v>18</v>
      </c>
      <c r="D441" s="101" t="str">
        <f t="shared" si="510"/>
        <v>181</v>
      </c>
      <c r="E441" s="217" t="str">
        <f t="shared" si="511"/>
        <v>119-18-181</v>
      </c>
      <c r="F441" s="294" t="str">
        <f t="shared" si="512"/>
        <v>55175</v>
      </c>
      <c r="G441" s="295" t="str">
        <f>VLOOKUP(F441,'GL Category'!A:C,3,FALSE)</f>
        <v>Services &amp; other</v>
      </c>
      <c r="H441" s="98" t="str">
        <f>VLOOKUP(F441,'GL Category'!A:C,2,FALSE)</f>
        <v>VEHICLE/EQUIP LEASE EXP-CITY</v>
      </c>
      <c r="I441" s="99">
        <f>SUMIF(Import!$B:$B,'Other Fund Line-Item Details'!$A441,Import!D:D)</f>
        <v>3465</v>
      </c>
      <c r="J441" s="99">
        <f>SUMIF(Import!$B:$B,'Other Fund Line-Item Details'!$A441,Import!E:E)</f>
        <v>3465</v>
      </c>
      <c r="K441" s="99">
        <f>SUMIF(Import!$B:$B,'Other Fund Line-Item Details'!$A441,Import!F:F)</f>
        <v>4313</v>
      </c>
      <c r="L441" s="99">
        <f>SUMIF(Import!$B:$B,'Other Fund Line-Item Details'!$A441,Import!G:G)</f>
        <v>4313</v>
      </c>
      <c r="M441" s="99">
        <f>SUMIF(Import!$B:$B,'Other Fund Line-Item Details'!$A441,Import!H:H)</f>
        <v>4313</v>
      </c>
      <c r="N441" s="99">
        <f>SUMIF(Import!$B:$B,'Other Fund Line-Item Details'!$A441,Import!I:I)</f>
        <v>3234.75</v>
      </c>
      <c r="O441" s="99">
        <f>SUMIF(Import!$B:$B,'Other Fund Line-Item Details'!$A441,Import!J:J)</f>
        <v>4313</v>
      </c>
      <c r="P441" s="99">
        <f t="shared" si="530"/>
        <v>0</v>
      </c>
      <c r="Q441" s="99">
        <f>SUMIF(Import!$B:$B,'Other Fund Line-Item Details'!$A441,Import!K:K)</f>
        <v>3465</v>
      </c>
      <c r="R441" s="99">
        <f>SUMIF(Import!$B:$B,'Other Fund Line-Item Details'!$A441,Import!L:L)</f>
        <v>0</v>
      </c>
      <c r="S441" s="99">
        <f>SUMIF(Import!$B:$B,'Other Fund Line-Item Details'!$A441,Import!M:M)</f>
        <v>0</v>
      </c>
      <c r="T441" s="99">
        <f>SUMIF(Import!$B:$B,'Other Fund Line-Item Details'!$A441,Import!N:N)</f>
        <v>3465</v>
      </c>
      <c r="U441" s="99">
        <f t="shared" si="531"/>
        <v>-848</v>
      </c>
      <c r="V441" s="255">
        <f t="shared" si="532"/>
        <v>-0.19661488523069792</v>
      </c>
      <c r="W441" s="102" t="s">
        <v>2042</v>
      </c>
      <c r="X441" s="121"/>
      <c r="Y441" s="121"/>
      <c r="Z441" s="121"/>
      <c r="AA441" s="121"/>
      <c r="AB441" s="121"/>
      <c r="AC441" s="121"/>
      <c r="AD441" s="121"/>
      <c r="AE441" s="121"/>
      <c r="AF441" s="121"/>
      <c r="AG441" s="121"/>
      <c r="AH441" s="121"/>
      <c r="AI441" s="121"/>
    </row>
    <row r="442" spans="1:35" s="115" customFormat="1" ht="15" customHeight="1">
      <c r="A442" s="555" t="s">
        <v>2043</v>
      </c>
      <c r="B442" s="217" t="str">
        <f t="shared" si="508"/>
        <v>119</v>
      </c>
      <c r="C442" s="217" t="str">
        <f t="shared" si="509"/>
        <v>18</v>
      </c>
      <c r="D442" s="101" t="str">
        <f t="shared" si="510"/>
        <v>181</v>
      </c>
      <c r="E442" s="217" t="str">
        <f t="shared" si="511"/>
        <v>119-18-181</v>
      </c>
      <c r="F442" s="294" t="str">
        <f t="shared" si="512"/>
        <v>55119</v>
      </c>
      <c r="G442" s="295" t="str">
        <f>VLOOKUP(F442,'GL Category'!A:C,3,FALSE)</f>
        <v>Services &amp; other</v>
      </c>
      <c r="H442" s="98" t="str">
        <f>VLOOKUP(F442,'GL Category'!A:C,2,FALSE)</f>
        <v>OFFICE EQUIP LEASE EXP-CITY</v>
      </c>
      <c r="I442" s="99">
        <f>SUMIF(Import!$B:$B,'Other Fund Line-Item Details'!$A442,Import!D:D)</f>
        <v>0</v>
      </c>
      <c r="J442" s="99">
        <f>SUMIF(Import!$B:$B,'Other Fund Line-Item Details'!$A442,Import!E:E)</f>
        <v>0</v>
      </c>
      <c r="K442" s="99">
        <f>SUMIF(Import!$B:$B,'Other Fund Line-Item Details'!$A442,Import!F:F)</f>
        <v>0</v>
      </c>
      <c r="L442" s="99">
        <f>SUMIF(Import!$B:$B,'Other Fund Line-Item Details'!$A442,Import!G:G)</f>
        <v>0</v>
      </c>
      <c r="M442" s="99">
        <f>SUMIF(Import!$B:$B,'Other Fund Line-Item Details'!$A442,Import!H:H)</f>
        <v>0</v>
      </c>
      <c r="N442" s="99">
        <f>SUMIF(Import!$B:$B,'Other Fund Line-Item Details'!$A442,Import!I:I)</f>
        <v>0</v>
      </c>
      <c r="O442" s="99">
        <f>SUMIF(Import!$B:$B,'Other Fund Line-Item Details'!$A442,Import!J:J)</f>
        <v>0</v>
      </c>
      <c r="P442" s="99">
        <f t="shared" si="530"/>
        <v>0</v>
      </c>
      <c r="Q442" s="99">
        <f>SUMIF(Import!$B:$B,'Other Fund Line-Item Details'!$A442,Import!K:K)</f>
        <v>0</v>
      </c>
      <c r="R442" s="99">
        <f>SUMIF(Import!$B:$B,'Other Fund Line-Item Details'!$A442,Import!L:L)</f>
        <v>0</v>
      </c>
      <c r="S442" s="99">
        <f>SUMIF(Import!$B:$B,'Other Fund Line-Item Details'!$A442,Import!M:M)</f>
        <v>0</v>
      </c>
      <c r="T442" s="99">
        <f>SUMIF(Import!$B:$B,'Other Fund Line-Item Details'!$A442,Import!N:N)</f>
        <v>0</v>
      </c>
      <c r="U442" s="99">
        <f t="shared" si="531"/>
        <v>0</v>
      </c>
      <c r="V442" s="255" t="str">
        <f t="shared" si="532"/>
        <v>N/A</v>
      </c>
      <c r="W442" s="102" t="s">
        <v>2043</v>
      </c>
      <c r="X442" s="121"/>
      <c r="Y442" s="121"/>
      <c r="Z442" s="121"/>
      <c r="AA442" s="121"/>
      <c r="AB442" s="121"/>
      <c r="AC442" s="121"/>
      <c r="AD442" s="121"/>
      <c r="AE442" s="121"/>
      <c r="AF442" s="121"/>
      <c r="AG442" s="121"/>
      <c r="AH442" s="121"/>
      <c r="AI442" s="121"/>
    </row>
    <row r="443" spans="1:35" s="115" customFormat="1" ht="15" customHeight="1">
      <c r="A443" s="555"/>
      <c r="B443" s="217"/>
      <c r="C443" s="217"/>
      <c r="D443" s="101"/>
      <c r="E443" s="217"/>
      <c r="F443" s="294"/>
      <c r="G443" s="146"/>
      <c r="H443" s="107" t="str">
        <f>UPPER(G442)&amp;" TOTAL"</f>
        <v>SERVICES &amp; OTHER TOTAL</v>
      </c>
      <c r="I443" s="108">
        <f t="shared" ref="I443" si="533">SUBTOTAL(9,I432:I442)</f>
        <v>317774.18000000005</v>
      </c>
      <c r="J443" s="108">
        <f t="shared" ref="J443:T443" si="534">SUBTOTAL(9,J432:J442)</f>
        <v>350388.98</v>
      </c>
      <c r="K443" s="108">
        <f t="shared" ref="K443" si="535">SUBTOTAL(9,K432:K442)</f>
        <v>307252.73</v>
      </c>
      <c r="L443" s="108">
        <f t="shared" ref="L443" si="536">SUBTOTAL(9,L432:L442)</f>
        <v>389456.03</v>
      </c>
      <c r="M443" s="108">
        <f t="shared" si="534"/>
        <v>400708</v>
      </c>
      <c r="N443" s="109">
        <f t="shared" ref="N443" si="537">SUBTOTAL(9,N432:N442)</f>
        <v>227354.67</v>
      </c>
      <c r="O443" s="109">
        <f t="shared" si="534"/>
        <v>355908</v>
      </c>
      <c r="P443" s="109">
        <f t="shared" si="534"/>
        <v>-44800</v>
      </c>
      <c r="Q443" s="109">
        <f t="shared" si="534"/>
        <v>399860</v>
      </c>
      <c r="R443" s="109">
        <f t="shared" si="534"/>
        <v>0</v>
      </c>
      <c r="S443" s="109">
        <f t="shared" si="534"/>
        <v>0</v>
      </c>
      <c r="T443" s="109">
        <f t="shared" si="534"/>
        <v>399860</v>
      </c>
      <c r="U443" s="99">
        <f t="shared" si="531"/>
        <v>-848</v>
      </c>
      <c r="V443" s="255">
        <f t="shared" si="532"/>
        <v>-2.1162542300128262E-3</v>
      </c>
      <c r="W443" s="102"/>
      <c r="X443" s="121"/>
      <c r="Y443" s="121"/>
      <c r="Z443" s="121"/>
      <c r="AA443" s="121"/>
      <c r="AB443" s="121"/>
      <c r="AC443" s="121"/>
      <c r="AD443" s="121"/>
      <c r="AE443" s="121"/>
      <c r="AF443" s="121"/>
      <c r="AG443" s="121"/>
      <c r="AH443" s="121"/>
      <c r="AI443" s="121"/>
    </row>
    <row r="444" spans="1:35" s="115" customFormat="1" ht="15" customHeight="1">
      <c r="A444" s="555"/>
      <c r="B444" s="217"/>
      <c r="C444" s="217"/>
      <c r="D444" s="101"/>
      <c r="E444" s="217"/>
      <c r="F444" s="294"/>
      <c r="G444" s="146"/>
      <c r="H444" s="98"/>
      <c r="I444" s="106"/>
      <c r="J444" s="106"/>
      <c r="K444" s="106"/>
      <c r="L444" s="106"/>
      <c r="M444" s="106"/>
      <c r="N444" s="112"/>
      <c r="O444" s="112"/>
      <c r="P444" s="112"/>
      <c r="Q444" s="113"/>
      <c r="R444" s="99"/>
      <c r="S444" s="99"/>
      <c r="T444" s="113"/>
      <c r="U444" s="105"/>
      <c r="V444" s="262"/>
      <c r="W444" s="102"/>
      <c r="X444" s="121"/>
      <c r="Y444" s="121"/>
      <c r="Z444" s="121"/>
      <c r="AA444" s="121"/>
      <c r="AB444" s="121"/>
      <c r="AC444" s="121"/>
      <c r="AD444" s="121"/>
      <c r="AE444" s="121"/>
      <c r="AF444" s="121"/>
      <c r="AG444" s="121"/>
      <c r="AH444" s="121"/>
      <c r="AI444" s="121"/>
    </row>
    <row r="445" spans="1:35" s="115" customFormat="1" ht="15" customHeight="1">
      <c r="A445" s="555" t="s">
        <v>2044</v>
      </c>
      <c r="B445" s="217" t="str">
        <f t="shared" si="508"/>
        <v>119</v>
      </c>
      <c r="C445" s="217" t="str">
        <f t="shared" si="509"/>
        <v>18</v>
      </c>
      <c r="D445" s="101" t="str">
        <f t="shared" si="510"/>
        <v>181</v>
      </c>
      <c r="E445" s="217" t="str">
        <f t="shared" si="511"/>
        <v>119-18-181</v>
      </c>
      <c r="F445" s="294" t="str">
        <f t="shared" si="512"/>
        <v>58828</v>
      </c>
      <c r="G445" s="295" t="str">
        <f>VLOOKUP(F445,'GL Category'!A:C,3,FALSE)</f>
        <v>Capital Outlay</v>
      </c>
      <c r="H445" s="98" t="str">
        <f>VLOOKUP(F445,'GL Category'!A:C,2,FALSE)</f>
        <v>BUILDINGS &amp; IMPROVEMENTS</v>
      </c>
      <c r="I445" s="99">
        <f>SUMIF(Import!$B:$B,'Other Fund Line-Item Details'!$A445,Import!D:D)</f>
        <v>0</v>
      </c>
      <c r="J445" s="99">
        <f>SUMIF(Import!$B:$B,'Other Fund Line-Item Details'!$A445,Import!E:E)</f>
        <v>0</v>
      </c>
      <c r="K445" s="99">
        <f>SUMIF(Import!$B:$B,'Other Fund Line-Item Details'!$A445,Import!F:F)</f>
        <v>0</v>
      </c>
      <c r="L445" s="99">
        <f>SUMIF(Import!$B:$B,'Other Fund Line-Item Details'!$A445,Import!G:G)</f>
        <v>0</v>
      </c>
      <c r="M445" s="99">
        <f>SUMIF(Import!$B:$B,'Other Fund Line-Item Details'!$A445,Import!H:H)</f>
        <v>0</v>
      </c>
      <c r="N445" s="99">
        <f>SUMIF(Import!$B:$B,'Other Fund Line-Item Details'!$A445,Import!I:I)</f>
        <v>0</v>
      </c>
      <c r="O445" s="99">
        <f>SUMIF(Import!$B:$B,'Other Fund Line-Item Details'!$A445,Import!J:J)</f>
        <v>0</v>
      </c>
      <c r="P445" s="99">
        <f>O445-M445</f>
        <v>0</v>
      </c>
      <c r="Q445" s="99">
        <f>SUMIF(Import!$B:$B,'Other Fund Line-Item Details'!$A445,Import!K:K)</f>
        <v>0</v>
      </c>
      <c r="R445" s="99">
        <f>SUMIF(Import!$B:$B,'Other Fund Line-Item Details'!$A445,Import!L:L)</f>
        <v>0</v>
      </c>
      <c r="S445" s="99">
        <f>SUMIF(Import!$B:$B,'Other Fund Line-Item Details'!$A445,Import!M:M)</f>
        <v>0</v>
      </c>
      <c r="T445" s="99">
        <f>SUMIF(Import!$B:$B,'Other Fund Line-Item Details'!$A445,Import!N:N)</f>
        <v>0</v>
      </c>
      <c r="U445" s="99">
        <f>T445-M445</f>
        <v>0</v>
      </c>
      <c r="V445" s="255" t="str">
        <f>IF(M445=0,"N/A",T445/M445-1)</f>
        <v>N/A</v>
      </c>
      <c r="W445" s="102" t="s">
        <v>2044</v>
      </c>
      <c r="X445" s="121"/>
      <c r="Y445" s="121"/>
      <c r="Z445" s="121"/>
      <c r="AA445" s="121"/>
      <c r="AB445" s="121"/>
      <c r="AC445" s="121"/>
      <c r="AD445" s="121"/>
      <c r="AE445" s="121"/>
      <c r="AF445" s="121"/>
      <c r="AG445" s="121"/>
      <c r="AH445" s="121"/>
      <c r="AI445" s="121"/>
    </row>
    <row r="446" spans="1:35" s="115" customFormat="1" ht="15" customHeight="1">
      <c r="A446" s="555" t="s">
        <v>2045</v>
      </c>
      <c r="B446" s="217" t="str">
        <f t="shared" si="508"/>
        <v>119</v>
      </c>
      <c r="C446" s="217" t="str">
        <f t="shared" si="509"/>
        <v>18</v>
      </c>
      <c r="D446" s="101" t="str">
        <f t="shared" si="510"/>
        <v>181</v>
      </c>
      <c r="E446" s="217" t="str">
        <f t="shared" si="511"/>
        <v>119-18-181</v>
      </c>
      <c r="F446" s="294" t="str">
        <f t="shared" si="512"/>
        <v>58835</v>
      </c>
      <c r="G446" s="295" t="str">
        <f>VLOOKUP(F446,'GL Category'!A:C,3,FALSE)</f>
        <v>Capital Outlay</v>
      </c>
      <c r="H446" s="98" t="str">
        <f>VLOOKUP(F446,'GL Category'!A:C,2,FALSE)</f>
        <v>OFFICE MACHINERY &amp; EQUIPMENT</v>
      </c>
      <c r="I446" s="99">
        <f>SUMIF(Import!$B:$B,'Other Fund Line-Item Details'!$A446,Import!D:D)</f>
        <v>0</v>
      </c>
      <c r="J446" s="99">
        <f>SUMIF(Import!$B:$B,'Other Fund Line-Item Details'!$A446,Import!E:E)</f>
        <v>0</v>
      </c>
      <c r="K446" s="99">
        <f>SUMIF(Import!$B:$B,'Other Fund Line-Item Details'!$A446,Import!F:F)</f>
        <v>0</v>
      </c>
      <c r="L446" s="99">
        <f>SUMIF(Import!$B:$B,'Other Fund Line-Item Details'!$A446,Import!G:G)</f>
        <v>0</v>
      </c>
      <c r="M446" s="99">
        <f>SUMIF(Import!$B:$B,'Other Fund Line-Item Details'!$A446,Import!H:H)</f>
        <v>0</v>
      </c>
      <c r="N446" s="99">
        <f>SUMIF(Import!$B:$B,'Other Fund Line-Item Details'!$A446,Import!I:I)</f>
        <v>0</v>
      </c>
      <c r="O446" s="99">
        <f>SUMIF(Import!$B:$B,'Other Fund Line-Item Details'!$A446,Import!J:J)</f>
        <v>0</v>
      </c>
      <c r="P446" s="99">
        <f>O446-M446</f>
        <v>0</v>
      </c>
      <c r="Q446" s="99">
        <f>SUMIF(Import!$B:$B,'Other Fund Line-Item Details'!$A446,Import!K:K)</f>
        <v>0</v>
      </c>
      <c r="R446" s="99">
        <f>SUMIF(Import!$B:$B,'Other Fund Line-Item Details'!$A446,Import!L:L)</f>
        <v>0</v>
      </c>
      <c r="S446" s="99">
        <f>SUMIF(Import!$B:$B,'Other Fund Line-Item Details'!$A446,Import!M:M)</f>
        <v>0</v>
      </c>
      <c r="T446" s="99">
        <f>SUMIF(Import!$B:$B,'Other Fund Line-Item Details'!$A446,Import!N:N)</f>
        <v>0</v>
      </c>
      <c r="U446" s="99">
        <f>T446-M446</f>
        <v>0</v>
      </c>
      <c r="V446" s="255" t="str">
        <f>IF(M446=0,"N/A",T446/M446-1)</f>
        <v>N/A</v>
      </c>
      <c r="W446" s="102" t="s">
        <v>2045</v>
      </c>
      <c r="X446" s="121"/>
      <c r="Y446" s="121"/>
      <c r="Z446" s="121"/>
      <c r="AA446" s="121"/>
      <c r="AB446" s="121"/>
      <c r="AC446" s="121"/>
      <c r="AD446" s="121"/>
      <c r="AE446" s="121"/>
      <c r="AF446" s="121"/>
      <c r="AG446" s="121"/>
      <c r="AH446" s="121"/>
      <c r="AI446" s="121"/>
    </row>
    <row r="447" spans="1:35" s="115" customFormat="1" ht="15" customHeight="1">
      <c r="A447" s="555" t="s">
        <v>2046</v>
      </c>
      <c r="B447" s="217" t="str">
        <f t="shared" si="508"/>
        <v>119</v>
      </c>
      <c r="C447" s="217" t="str">
        <f t="shared" si="509"/>
        <v>18</v>
      </c>
      <c r="D447" s="101" t="str">
        <f t="shared" si="510"/>
        <v>181</v>
      </c>
      <c r="E447" s="217" t="str">
        <f t="shared" si="511"/>
        <v>119-18-181</v>
      </c>
      <c r="F447" s="294" t="str">
        <f t="shared" si="512"/>
        <v>58836</v>
      </c>
      <c r="G447" s="295" t="e">
        <f>VLOOKUP(F447,'GL Category'!A:C,3,FALSE)</f>
        <v>#N/A</v>
      </c>
      <c r="H447" s="98" t="e">
        <f>VLOOKUP(F447,'GL Category'!A:C,2,FALSE)</f>
        <v>#N/A</v>
      </c>
      <c r="I447" s="99">
        <f>SUMIF(Import!$B:$B,'Other Fund Line-Item Details'!$A447,Import!D:D)</f>
        <v>0</v>
      </c>
      <c r="J447" s="99">
        <f>SUMIF(Import!$B:$B,'Other Fund Line-Item Details'!$A447,Import!E:E)</f>
        <v>0</v>
      </c>
      <c r="K447" s="99">
        <f>SUMIF(Import!$B:$B,'Other Fund Line-Item Details'!$A447,Import!F:F)</f>
        <v>0</v>
      </c>
      <c r="L447" s="99">
        <f>SUMIF(Import!$B:$B,'Other Fund Line-Item Details'!$A447,Import!G:G)</f>
        <v>0</v>
      </c>
      <c r="M447" s="99">
        <f>SUMIF(Import!$B:$B,'Other Fund Line-Item Details'!$A447,Import!H:H)</f>
        <v>0</v>
      </c>
      <c r="N447" s="99">
        <f>SUMIF(Import!$B:$B,'Other Fund Line-Item Details'!$A447,Import!I:I)</f>
        <v>0</v>
      </c>
      <c r="O447" s="99">
        <f>SUMIF(Import!$B:$B,'Other Fund Line-Item Details'!$A447,Import!J:J)</f>
        <v>0</v>
      </c>
      <c r="P447" s="99">
        <f>O447-M447</f>
        <v>0</v>
      </c>
      <c r="Q447" s="99">
        <f>SUMIF(Import!$B:$B,'Other Fund Line-Item Details'!$A447,Import!K:K)</f>
        <v>0</v>
      </c>
      <c r="R447" s="99">
        <f>SUMIF(Import!$B:$B,'Other Fund Line-Item Details'!$A447,Import!L:L)</f>
        <v>0</v>
      </c>
      <c r="S447" s="99">
        <f>SUMIF(Import!$B:$B,'Other Fund Line-Item Details'!$A447,Import!M:M)</f>
        <v>0</v>
      </c>
      <c r="T447" s="99">
        <f>SUMIF(Import!$B:$B,'Other Fund Line-Item Details'!$A447,Import!N:N)</f>
        <v>0</v>
      </c>
      <c r="U447" s="99">
        <f>T447-M447</f>
        <v>0</v>
      </c>
      <c r="V447" s="255" t="str">
        <f>IF(M447=0,"N/A",T447/M447-1)</f>
        <v>N/A</v>
      </c>
      <c r="W447" s="102" t="s">
        <v>2046</v>
      </c>
      <c r="X447" s="121"/>
      <c r="Y447" s="121"/>
      <c r="Z447" s="121"/>
      <c r="AA447" s="121"/>
      <c r="AB447" s="121"/>
      <c r="AC447" s="121"/>
      <c r="AD447" s="121"/>
      <c r="AE447" s="121"/>
      <c r="AF447" s="121"/>
      <c r="AG447" s="121"/>
      <c r="AH447" s="121"/>
      <c r="AI447" s="121"/>
    </row>
    <row r="448" spans="1:35" s="115" customFormat="1" ht="15" customHeight="1">
      <c r="A448" s="555"/>
      <c r="B448" s="217"/>
      <c r="C448" s="217"/>
      <c r="D448" s="101"/>
      <c r="E448" s="217"/>
      <c r="F448" s="294"/>
      <c r="G448" s="146"/>
      <c r="H448" s="107" t="e">
        <f>UPPER(G447)&amp;" TOTAL"</f>
        <v>#N/A</v>
      </c>
      <c r="I448" s="108">
        <f t="shared" ref="I448" si="538">SUBTOTAL(9,I445:I447)</f>
        <v>0</v>
      </c>
      <c r="J448" s="108">
        <f t="shared" ref="J448:T448" si="539">SUBTOTAL(9,J445:J447)</f>
        <v>0</v>
      </c>
      <c r="K448" s="108">
        <f t="shared" ref="K448" si="540">SUBTOTAL(9,K445:K447)</f>
        <v>0</v>
      </c>
      <c r="L448" s="108">
        <f t="shared" ref="L448" si="541">SUBTOTAL(9,L445:L447)</f>
        <v>0</v>
      </c>
      <c r="M448" s="108">
        <f t="shared" si="539"/>
        <v>0</v>
      </c>
      <c r="N448" s="108">
        <f t="shared" ref="N448" si="542">SUBTOTAL(9,N445:N447)</f>
        <v>0</v>
      </c>
      <c r="O448" s="108">
        <f t="shared" si="539"/>
        <v>0</v>
      </c>
      <c r="P448" s="108">
        <f t="shared" si="539"/>
        <v>0</v>
      </c>
      <c r="Q448" s="108">
        <f t="shared" si="539"/>
        <v>0</v>
      </c>
      <c r="R448" s="108">
        <f t="shared" si="539"/>
        <v>0</v>
      </c>
      <c r="S448" s="108">
        <f t="shared" si="539"/>
        <v>0</v>
      </c>
      <c r="T448" s="108">
        <f t="shared" si="539"/>
        <v>0</v>
      </c>
      <c r="U448" s="99">
        <f>T448-M448</f>
        <v>0</v>
      </c>
      <c r="V448" s="255" t="str">
        <f>IF(M448=0,"N/A",T448/M448-1)</f>
        <v>N/A</v>
      </c>
      <c r="W448" s="102"/>
      <c r="X448" s="121"/>
      <c r="Y448" s="121"/>
      <c r="Z448" s="121"/>
      <c r="AA448" s="121"/>
      <c r="AB448" s="121"/>
      <c r="AC448" s="121"/>
      <c r="AD448" s="121"/>
      <c r="AE448" s="121"/>
      <c r="AF448" s="121"/>
      <c r="AG448" s="121"/>
      <c r="AH448" s="121"/>
      <c r="AI448" s="121"/>
    </row>
    <row r="449" spans="1:35" s="115" customFormat="1" ht="15" customHeight="1">
      <c r="A449" s="555"/>
      <c r="B449" s="217"/>
      <c r="C449" s="217"/>
      <c r="D449" s="101"/>
      <c r="E449" s="217"/>
      <c r="F449" s="294"/>
      <c r="G449" s="146"/>
      <c r="H449" s="98"/>
      <c r="I449" s="106"/>
      <c r="J449" s="106"/>
      <c r="K449" s="106"/>
      <c r="L449" s="106"/>
      <c r="M449" s="106"/>
      <c r="N449" s="112"/>
      <c r="O449" s="112"/>
      <c r="P449" s="112"/>
      <c r="Q449" s="113"/>
      <c r="R449" s="212"/>
      <c r="S449" s="212"/>
      <c r="T449" s="113"/>
      <c r="U449" s="105"/>
      <c r="V449" s="262"/>
      <c r="W449" s="102"/>
      <c r="X449" s="121"/>
      <c r="Y449" s="121"/>
      <c r="Z449" s="121"/>
      <c r="AA449" s="121"/>
      <c r="AB449" s="121"/>
      <c r="AC449" s="121"/>
      <c r="AD449" s="121"/>
      <c r="AE449" s="121"/>
      <c r="AF449" s="121"/>
      <c r="AG449" s="121"/>
      <c r="AH449" s="121"/>
      <c r="AI449" s="121"/>
    </row>
    <row r="450" spans="1:35" s="115" customFormat="1" ht="15" customHeight="1">
      <c r="A450" s="555"/>
      <c r="B450" s="217"/>
      <c r="C450" s="217"/>
      <c r="D450" s="101"/>
      <c r="E450" s="217"/>
      <c r="F450" s="294"/>
      <c r="G450" s="146"/>
      <c r="H450" s="114" t="s">
        <v>763</v>
      </c>
      <c r="I450" s="108">
        <f t="shared" ref="I450" si="543">SUBTOTAL(9,I410:I449)</f>
        <v>1768665.7499999995</v>
      </c>
      <c r="J450" s="108">
        <f t="shared" ref="J450:T450" si="544">SUBTOTAL(9,J410:J449)</f>
        <v>1782118.4100000001</v>
      </c>
      <c r="K450" s="108">
        <f t="shared" ref="K450" si="545">SUBTOTAL(9,K410:K449)</f>
        <v>1648173.8</v>
      </c>
      <c r="L450" s="108">
        <f t="shared" ref="L450" si="546">SUBTOTAL(9,L410:L449)</f>
        <v>2159763.4200000004</v>
      </c>
      <c r="M450" s="108">
        <f t="shared" si="544"/>
        <v>2463520</v>
      </c>
      <c r="N450" s="108">
        <f t="shared" ref="N450" si="547">SUBTOTAL(9,N410:N449)</f>
        <v>1568806.2900000003</v>
      </c>
      <c r="O450" s="108">
        <f t="shared" si="544"/>
        <v>2378053</v>
      </c>
      <c r="P450" s="108">
        <f t="shared" si="544"/>
        <v>-85467</v>
      </c>
      <c r="Q450" s="108">
        <f t="shared" si="544"/>
        <v>2290545</v>
      </c>
      <c r="R450" s="108">
        <f t="shared" si="544"/>
        <v>0</v>
      </c>
      <c r="S450" s="108">
        <f t="shared" si="544"/>
        <v>906370</v>
      </c>
      <c r="T450" s="108">
        <f t="shared" si="544"/>
        <v>3196915</v>
      </c>
      <c r="U450" s="99">
        <f>T450-M450</f>
        <v>733395</v>
      </c>
      <c r="V450" s="255">
        <f>IF(M450=0,"N/A",T450/M450-1)</f>
        <v>0.29770206858478931</v>
      </c>
      <c r="W450" s="102"/>
      <c r="X450" s="122">
        <f>T539+SUM(T396:T405,T394)</f>
        <v>28926</v>
      </c>
      <c r="Y450" s="121" t="s">
        <v>766</v>
      </c>
      <c r="Z450" s="121"/>
      <c r="AA450" s="121"/>
      <c r="AB450" s="121"/>
      <c r="AC450" s="121"/>
      <c r="AD450" s="121"/>
      <c r="AE450" s="121"/>
      <c r="AF450" s="121"/>
      <c r="AG450" s="121"/>
      <c r="AH450" s="121"/>
      <c r="AI450" s="121"/>
    </row>
    <row r="451" spans="1:35" s="115" customFormat="1" ht="15" customHeight="1">
      <c r="A451" s="555"/>
      <c r="B451" s="217"/>
      <c r="C451" s="217"/>
      <c r="D451" s="101"/>
      <c r="E451" s="217"/>
      <c r="F451" s="294"/>
      <c r="G451" s="146"/>
      <c r="H451" s="89"/>
      <c r="I451" s="233"/>
      <c r="J451" s="233"/>
      <c r="K451" s="233"/>
      <c r="L451" s="233"/>
      <c r="M451" s="233"/>
      <c r="N451" s="233"/>
      <c r="O451" s="233"/>
      <c r="P451" s="233"/>
      <c r="Q451" s="233"/>
      <c r="R451" s="233"/>
      <c r="S451" s="233"/>
      <c r="T451" s="233"/>
      <c r="U451" s="105"/>
      <c r="V451" s="262"/>
      <c r="W451" s="102"/>
      <c r="X451" s="122">
        <f>X450/2</f>
        <v>14463</v>
      </c>
      <c r="Y451" s="121" t="s">
        <v>767</v>
      </c>
      <c r="Z451" s="121"/>
      <c r="AA451" s="121"/>
      <c r="AB451" s="121"/>
      <c r="AC451" s="121"/>
      <c r="AD451" s="121"/>
      <c r="AE451" s="121"/>
      <c r="AF451" s="121"/>
      <c r="AG451" s="121"/>
      <c r="AH451" s="121"/>
      <c r="AI451" s="121"/>
    </row>
    <row r="452" spans="1:35" s="115" customFormat="1" ht="15" customHeight="1" thickBot="1">
      <c r="A452" s="555"/>
      <c r="B452" s="217"/>
      <c r="C452" s="217"/>
      <c r="D452" s="101"/>
      <c r="E452" s="217"/>
      <c r="F452" s="294"/>
      <c r="G452" s="146"/>
      <c r="H452" s="225"/>
      <c r="I452" s="225"/>
      <c r="J452" s="225"/>
      <c r="K452" s="225"/>
      <c r="L452" s="225"/>
      <c r="M452" s="225"/>
      <c r="N452" s="225"/>
      <c r="O452" s="225"/>
      <c r="P452" s="225"/>
      <c r="Q452" s="225"/>
      <c r="R452" s="225"/>
      <c r="S452" s="225"/>
      <c r="T452" s="225"/>
      <c r="U452" s="105"/>
      <c r="V452" s="262"/>
      <c r="W452" s="102"/>
      <c r="X452" s="121"/>
      <c r="Y452" s="121"/>
      <c r="Z452" s="121"/>
      <c r="AA452" s="121"/>
      <c r="AB452" s="121"/>
      <c r="AC452" s="121"/>
      <c r="AD452" s="121"/>
      <c r="AE452" s="121"/>
      <c r="AF452" s="121"/>
      <c r="AG452" s="121"/>
      <c r="AH452" s="121"/>
      <c r="AI452" s="121"/>
    </row>
    <row r="453" spans="1:35" s="115" customFormat="1" ht="21.6" thickBot="1">
      <c r="A453" s="555"/>
      <c r="B453" s="217"/>
      <c r="C453" s="217"/>
      <c r="D453" s="101"/>
      <c r="E453" s="217"/>
      <c r="F453" s="294"/>
      <c r="G453" s="146"/>
      <c r="H453" s="665" t="s">
        <v>730</v>
      </c>
      <c r="I453" s="666"/>
      <c r="J453" s="666"/>
      <c r="K453" s="666"/>
      <c r="L453" s="666"/>
      <c r="M453" s="666"/>
      <c r="N453" s="666"/>
      <c r="O453" s="666"/>
      <c r="P453" s="666"/>
      <c r="Q453" s="666"/>
      <c r="R453" s="666"/>
      <c r="S453" s="666"/>
      <c r="T453" s="667"/>
      <c r="U453" s="264">
        <f>T453-M453</f>
        <v>0</v>
      </c>
      <c r="V453" s="265" t="str">
        <f>IF(Q453="","",IF(T453=SUM(Q453:S453),"OK","NO"))</f>
        <v/>
      </c>
      <c r="W453" s="102"/>
      <c r="X453" s="121"/>
      <c r="Y453" s="121"/>
      <c r="Z453" s="121"/>
      <c r="AA453" s="121"/>
      <c r="AB453" s="121"/>
      <c r="AC453" s="121"/>
      <c r="AD453" s="121"/>
      <c r="AE453" s="121"/>
      <c r="AF453" s="121"/>
      <c r="AG453" s="121"/>
      <c r="AH453" s="121"/>
      <c r="AI453" s="121"/>
    </row>
    <row r="454" spans="1:35" s="115" customFormat="1" ht="15" customHeight="1">
      <c r="A454" s="555"/>
      <c r="B454" s="217"/>
      <c r="C454" s="217"/>
      <c r="D454" s="101"/>
      <c r="E454" s="217"/>
      <c r="F454" s="294"/>
      <c r="G454" s="146"/>
      <c r="H454" s="98"/>
      <c r="I454" s="106"/>
      <c r="J454" s="106"/>
      <c r="K454" s="106"/>
      <c r="L454" s="106"/>
      <c r="M454" s="106"/>
      <c r="N454" s="112"/>
      <c r="O454" s="112"/>
      <c r="P454" s="112"/>
      <c r="Q454" s="113"/>
      <c r="R454" s="212"/>
      <c r="S454" s="212"/>
      <c r="T454" s="113"/>
      <c r="U454" s="105"/>
      <c r="V454" s="262"/>
      <c r="W454" s="102"/>
      <c r="X454" s="121"/>
      <c r="Y454" s="121"/>
      <c r="Z454" s="121"/>
      <c r="AA454" s="121"/>
      <c r="AB454" s="121"/>
      <c r="AC454" s="121"/>
      <c r="AD454" s="121"/>
      <c r="AE454" s="121"/>
      <c r="AF454" s="121"/>
      <c r="AG454" s="121"/>
      <c r="AH454" s="121"/>
      <c r="AI454" s="121"/>
    </row>
    <row r="455" spans="1:35" s="115" customFormat="1" ht="15" customHeight="1">
      <c r="A455" s="555" t="s">
        <v>2047</v>
      </c>
      <c r="B455" s="217" t="str">
        <f t="shared" si="508"/>
        <v>119</v>
      </c>
      <c r="C455" s="217" t="str">
        <f t="shared" si="509"/>
        <v>18</v>
      </c>
      <c r="D455" s="101" t="str">
        <f t="shared" si="510"/>
        <v>183</v>
      </c>
      <c r="E455" s="217" t="str">
        <f t="shared" si="511"/>
        <v>119-18-183</v>
      </c>
      <c r="F455" s="294" t="str">
        <f t="shared" si="512"/>
        <v>50101</v>
      </c>
      <c r="G455" s="295" t="str">
        <f>VLOOKUP(F455,'GL Category'!A:C,3,FALSE)</f>
        <v>Personnel services</v>
      </c>
      <c r="H455" s="98" t="str">
        <f>VLOOKUP(F455,'GL Category'!A:C,2,FALSE)</f>
        <v>EXEMPT SALARIES</v>
      </c>
      <c r="I455" s="99">
        <f>SUMIF(Import!$B:$B,'Other Fund Line-Item Details'!$A455,Import!D:D)</f>
        <v>80088.320000000007</v>
      </c>
      <c r="J455" s="99">
        <f>SUMIF(Import!$B:$B,'Other Fund Line-Item Details'!$A455,Import!E:E)</f>
        <v>82488.88</v>
      </c>
      <c r="K455" s="99">
        <f>SUMIF(Import!$B:$B,'Other Fund Line-Item Details'!$A455,Import!F:F)</f>
        <v>90681.45</v>
      </c>
      <c r="L455" s="99">
        <f>SUMIF(Import!$B:$B,'Other Fund Line-Item Details'!$A455,Import!G:G)</f>
        <v>94377.68</v>
      </c>
      <c r="M455" s="99">
        <f>SUMIF(Import!$B:$B,'Other Fund Line-Item Details'!$A455,Import!H:H)</f>
        <v>94536</v>
      </c>
      <c r="N455" s="99">
        <f>SUMIF(Import!$B:$B,'Other Fund Line-Item Details'!$A455,Import!I:I)</f>
        <v>72453.820000000007</v>
      </c>
      <c r="O455" s="99">
        <f>SUMIF(Import!$B:$B,'Other Fund Line-Item Details'!$A455,Import!J:J)</f>
        <v>95111</v>
      </c>
      <c r="P455" s="99">
        <f t="shared" ref="P455:P464" si="548">O455-M455</f>
        <v>575</v>
      </c>
      <c r="Q455" s="99">
        <f>SUMIF(Import!$B:$B,'Other Fund Line-Item Details'!$A455,Import!K:K)</f>
        <v>99772</v>
      </c>
      <c r="R455" s="99">
        <f>SUMIF(Import!$B:$B,'Other Fund Line-Item Details'!$A455,Import!L:L)</f>
        <v>0</v>
      </c>
      <c r="S455" s="99">
        <f>SUMIF(Import!$B:$B,'Other Fund Line-Item Details'!$A455,Import!M:M)</f>
        <v>0</v>
      </c>
      <c r="T455" s="99">
        <f>SUMIF(Import!$B:$B,'Other Fund Line-Item Details'!$A455,Import!N:N)</f>
        <v>99772</v>
      </c>
      <c r="U455" s="99">
        <f t="shared" ref="U455:U465" si="549">T455-M455</f>
        <v>5236</v>
      </c>
      <c r="V455" s="255">
        <f t="shared" ref="V455:V465" si="550">IF(M455=0,"N/A",T455/M455-1)</f>
        <v>5.5386307861555295E-2</v>
      </c>
      <c r="W455" s="102" t="s">
        <v>2047</v>
      </c>
      <c r="X455" s="121"/>
      <c r="Y455" s="121"/>
      <c r="Z455" s="121"/>
      <c r="AA455" s="121"/>
      <c r="AB455" s="121"/>
      <c r="AC455" s="121"/>
      <c r="AD455" s="121"/>
      <c r="AE455" s="121"/>
      <c r="AF455" s="121"/>
      <c r="AG455" s="121"/>
      <c r="AH455" s="121"/>
      <c r="AI455" s="121"/>
    </row>
    <row r="456" spans="1:35" s="115" customFormat="1" ht="15" customHeight="1">
      <c r="A456" s="555" t="s">
        <v>2048</v>
      </c>
      <c r="B456" s="217" t="str">
        <f t="shared" si="508"/>
        <v>119</v>
      </c>
      <c r="C456" s="217" t="str">
        <f t="shared" si="509"/>
        <v>18</v>
      </c>
      <c r="D456" s="101" t="str">
        <f t="shared" si="510"/>
        <v>183</v>
      </c>
      <c r="E456" s="217" t="str">
        <f t="shared" si="511"/>
        <v>119-18-183</v>
      </c>
      <c r="F456" s="294" t="str">
        <f t="shared" si="512"/>
        <v>50102</v>
      </c>
      <c r="G456" s="295" t="str">
        <f>VLOOKUP(F456,'GL Category'!A:C,3,FALSE)</f>
        <v>Personnel services</v>
      </c>
      <c r="H456" s="98" t="str">
        <f>VLOOKUP(F456,'GL Category'!A:C,2,FALSE)</f>
        <v>NON EXEMPT SALARIES</v>
      </c>
      <c r="I456" s="99">
        <f>SUMIF(Import!$B:$B,'Other Fund Line-Item Details'!$A456,Import!D:D)</f>
        <v>43927.9</v>
      </c>
      <c r="J456" s="99">
        <f>SUMIF(Import!$B:$B,'Other Fund Line-Item Details'!$A456,Import!E:E)</f>
        <v>45159.18</v>
      </c>
      <c r="K456" s="99">
        <f>SUMIF(Import!$B:$B,'Other Fund Line-Item Details'!$A456,Import!F:F)</f>
        <v>47366.63</v>
      </c>
      <c r="L456" s="99">
        <f>SUMIF(Import!$B:$B,'Other Fund Line-Item Details'!$A456,Import!G:G)</f>
        <v>49341.31</v>
      </c>
      <c r="M456" s="99">
        <f>SUMIF(Import!$B:$B,'Other Fund Line-Item Details'!$A456,Import!H:H)</f>
        <v>51414</v>
      </c>
      <c r="N456" s="99">
        <f>SUMIF(Import!$B:$B,'Other Fund Line-Item Details'!$A456,Import!I:I)</f>
        <v>42351.25</v>
      </c>
      <c r="O456" s="99">
        <f>SUMIF(Import!$B:$B,'Other Fund Line-Item Details'!$A456,Import!J:J)</f>
        <v>55598</v>
      </c>
      <c r="P456" s="99">
        <f t="shared" si="548"/>
        <v>4184</v>
      </c>
      <c r="Q456" s="99">
        <f>SUMIF(Import!$B:$B,'Other Fund Line-Item Details'!$A456,Import!K:K)</f>
        <v>59230</v>
      </c>
      <c r="R456" s="99">
        <f>SUMIF(Import!$B:$B,'Other Fund Line-Item Details'!$A456,Import!L:L)</f>
        <v>0</v>
      </c>
      <c r="S456" s="99">
        <f>SUMIF(Import!$B:$B,'Other Fund Line-Item Details'!$A456,Import!M:M)</f>
        <v>0</v>
      </c>
      <c r="T456" s="99">
        <f>SUMIF(Import!$B:$B,'Other Fund Line-Item Details'!$A456,Import!N:N)</f>
        <v>59230</v>
      </c>
      <c r="U456" s="99">
        <f t="shared" si="549"/>
        <v>7816</v>
      </c>
      <c r="V456" s="255">
        <f t="shared" si="550"/>
        <v>0.15202085035204416</v>
      </c>
      <c r="W456" s="102" t="s">
        <v>2048</v>
      </c>
      <c r="X456" s="121"/>
      <c r="Y456" s="121"/>
      <c r="Z456" s="121"/>
      <c r="AA456" s="121"/>
      <c r="AB456" s="121"/>
      <c r="AC456" s="121"/>
      <c r="AD456" s="121"/>
      <c r="AE456" s="121"/>
      <c r="AF456" s="121"/>
      <c r="AG456" s="121"/>
      <c r="AH456" s="121"/>
      <c r="AI456" s="121"/>
    </row>
    <row r="457" spans="1:35" s="115" customFormat="1" ht="15" customHeight="1">
      <c r="A457" s="555" t="s">
        <v>2049</v>
      </c>
      <c r="B457" s="217" t="str">
        <f t="shared" si="508"/>
        <v>119</v>
      </c>
      <c r="C457" s="217" t="str">
        <f t="shared" si="509"/>
        <v>18</v>
      </c>
      <c r="D457" s="101" t="str">
        <f t="shared" si="510"/>
        <v>183</v>
      </c>
      <c r="E457" s="217" t="str">
        <f t="shared" si="511"/>
        <v>119-18-183</v>
      </c>
      <c r="F457" s="294" t="str">
        <f t="shared" si="512"/>
        <v>50109</v>
      </c>
      <c r="G457" s="295" t="str">
        <f>VLOOKUP(F457,'GL Category'!A:C,3,FALSE)</f>
        <v>Personnel services</v>
      </c>
      <c r="H457" s="98" t="str">
        <f>VLOOKUP(F457,'GL Category'!A:C,2,FALSE)</f>
        <v>OVERTIME</v>
      </c>
      <c r="I457" s="99">
        <f>SUMIF(Import!$B:$B,'Other Fund Line-Item Details'!$A457,Import!D:D)</f>
        <v>23.65</v>
      </c>
      <c r="J457" s="99">
        <f>SUMIF(Import!$B:$B,'Other Fund Line-Item Details'!$A457,Import!E:E)</f>
        <v>8.31</v>
      </c>
      <c r="K457" s="99">
        <f>SUMIF(Import!$B:$B,'Other Fund Line-Item Details'!$A457,Import!F:F)</f>
        <v>0</v>
      </c>
      <c r="L457" s="99">
        <f>SUMIF(Import!$B:$B,'Other Fund Line-Item Details'!$A457,Import!G:G)</f>
        <v>9.18</v>
      </c>
      <c r="M457" s="99">
        <f>SUMIF(Import!$B:$B,'Other Fund Line-Item Details'!$A457,Import!H:H)</f>
        <v>1500</v>
      </c>
      <c r="N457" s="99">
        <f>SUMIF(Import!$B:$B,'Other Fund Line-Item Details'!$A457,Import!I:I)</f>
        <v>20.58</v>
      </c>
      <c r="O457" s="99">
        <f>SUMIF(Import!$B:$B,'Other Fund Line-Item Details'!$A457,Import!J:J)</f>
        <v>10</v>
      </c>
      <c r="P457" s="99">
        <f t="shared" si="548"/>
        <v>-1490</v>
      </c>
      <c r="Q457" s="99">
        <f>SUMIF(Import!$B:$B,'Other Fund Line-Item Details'!$A457,Import!K:K)</f>
        <v>1500</v>
      </c>
      <c r="R457" s="99">
        <f>SUMIF(Import!$B:$B,'Other Fund Line-Item Details'!$A457,Import!L:L)</f>
        <v>0</v>
      </c>
      <c r="S457" s="99">
        <f>SUMIF(Import!$B:$B,'Other Fund Line-Item Details'!$A457,Import!M:M)</f>
        <v>0</v>
      </c>
      <c r="T457" s="99">
        <f>SUMIF(Import!$B:$B,'Other Fund Line-Item Details'!$A457,Import!N:N)</f>
        <v>1500</v>
      </c>
      <c r="U457" s="99">
        <f t="shared" si="549"/>
        <v>0</v>
      </c>
      <c r="V457" s="255">
        <f t="shared" si="550"/>
        <v>0</v>
      </c>
      <c r="W457" s="102" t="s">
        <v>2049</v>
      </c>
      <c r="X457" s="121"/>
      <c r="Y457" s="121"/>
      <c r="Z457" s="121"/>
      <c r="AA457" s="121"/>
      <c r="AB457" s="121"/>
      <c r="AC457" s="121"/>
      <c r="AD457" s="121"/>
      <c r="AE457" s="121"/>
      <c r="AF457" s="121"/>
      <c r="AG457" s="121"/>
      <c r="AH457" s="121"/>
      <c r="AI457" s="121"/>
    </row>
    <row r="458" spans="1:35" s="115" customFormat="1" ht="15" customHeight="1">
      <c r="A458" s="555" t="s">
        <v>2050</v>
      </c>
      <c r="B458" s="217" t="str">
        <f t="shared" si="508"/>
        <v>119</v>
      </c>
      <c r="C458" s="217" t="str">
        <f t="shared" si="509"/>
        <v>18</v>
      </c>
      <c r="D458" s="101" t="str">
        <f t="shared" si="510"/>
        <v>183</v>
      </c>
      <c r="E458" s="217" t="str">
        <f t="shared" si="511"/>
        <v>119-18-183</v>
      </c>
      <c r="F458" s="294" t="str">
        <f t="shared" si="512"/>
        <v>50111</v>
      </c>
      <c r="G458" s="295" t="str">
        <f>VLOOKUP(F458,'GL Category'!A:C,3,FALSE)</f>
        <v>Personnel services</v>
      </c>
      <c r="H458" s="98" t="str">
        <f>VLOOKUP(F458,'GL Category'!A:C,2,FALSE)</f>
        <v>LONGEVITY PAY</v>
      </c>
      <c r="I458" s="99">
        <f>SUMIF(Import!$B:$B,'Other Fund Line-Item Details'!$A458,Import!D:D)</f>
        <v>945</v>
      </c>
      <c r="J458" s="99">
        <f>SUMIF(Import!$B:$B,'Other Fund Line-Item Details'!$A458,Import!E:E)</f>
        <v>1065</v>
      </c>
      <c r="K458" s="99">
        <f>SUMIF(Import!$B:$B,'Other Fund Line-Item Details'!$A458,Import!F:F)</f>
        <v>1185</v>
      </c>
      <c r="L458" s="99">
        <f>SUMIF(Import!$B:$B,'Other Fund Line-Item Details'!$A458,Import!G:G)</f>
        <v>1305</v>
      </c>
      <c r="M458" s="99">
        <f>SUMIF(Import!$B:$B,'Other Fund Line-Item Details'!$A458,Import!H:H)</f>
        <v>1444</v>
      </c>
      <c r="N458" s="99">
        <f>SUMIF(Import!$B:$B,'Other Fund Line-Item Details'!$A458,Import!I:I)</f>
        <v>1425</v>
      </c>
      <c r="O458" s="99">
        <f>SUMIF(Import!$B:$B,'Other Fund Line-Item Details'!$A458,Import!J:J)</f>
        <v>1425</v>
      </c>
      <c r="P458" s="99">
        <f t="shared" si="548"/>
        <v>-19</v>
      </c>
      <c r="Q458" s="99">
        <f>SUMIF(Import!$B:$B,'Other Fund Line-Item Details'!$A458,Import!K:K)</f>
        <v>1566</v>
      </c>
      <c r="R458" s="99">
        <f>SUMIF(Import!$B:$B,'Other Fund Line-Item Details'!$A458,Import!L:L)</f>
        <v>0</v>
      </c>
      <c r="S458" s="99">
        <f>SUMIF(Import!$B:$B,'Other Fund Line-Item Details'!$A458,Import!M:M)</f>
        <v>0</v>
      </c>
      <c r="T458" s="99">
        <f>SUMIF(Import!$B:$B,'Other Fund Line-Item Details'!$A458,Import!N:N)</f>
        <v>1566</v>
      </c>
      <c r="U458" s="99">
        <f t="shared" si="549"/>
        <v>122</v>
      </c>
      <c r="V458" s="255">
        <f t="shared" si="550"/>
        <v>8.4487534626038752E-2</v>
      </c>
      <c r="W458" s="102" t="s">
        <v>2050</v>
      </c>
      <c r="X458" s="121"/>
      <c r="Y458" s="121"/>
      <c r="Z458" s="121"/>
      <c r="AA458" s="121"/>
      <c r="AB458" s="121"/>
      <c r="AC458" s="121"/>
      <c r="AD458" s="121"/>
      <c r="AE458" s="121"/>
      <c r="AF458" s="121"/>
      <c r="AG458" s="121"/>
      <c r="AH458" s="121"/>
      <c r="AI458" s="121"/>
    </row>
    <row r="459" spans="1:35" s="115" customFormat="1" ht="15" customHeight="1">
      <c r="A459" s="555" t="s">
        <v>2051</v>
      </c>
      <c r="B459" s="217" t="str">
        <f t="shared" si="508"/>
        <v>119</v>
      </c>
      <c r="C459" s="217" t="str">
        <f t="shared" si="509"/>
        <v>18</v>
      </c>
      <c r="D459" s="101" t="str">
        <f t="shared" si="510"/>
        <v>183</v>
      </c>
      <c r="E459" s="217" t="str">
        <f t="shared" si="511"/>
        <v>119-18-183</v>
      </c>
      <c r="F459" s="294" t="str">
        <f t="shared" si="512"/>
        <v>50112</v>
      </c>
      <c r="G459" s="295" t="str">
        <f>VLOOKUP(F459,'GL Category'!A:C,3,FALSE)</f>
        <v>Personnel services</v>
      </c>
      <c r="H459" s="98" t="str">
        <f>VLOOKUP(F459,'GL Category'!A:C,2,FALSE)</f>
        <v>TEMPORARY/SEASONAL WAGES</v>
      </c>
      <c r="I459" s="99">
        <f>SUMIF(Import!$B:$B,'Other Fund Line-Item Details'!$A459,Import!D:D)</f>
        <v>0</v>
      </c>
      <c r="J459" s="99">
        <f>SUMIF(Import!$B:$B,'Other Fund Line-Item Details'!$A459,Import!E:E)</f>
        <v>0</v>
      </c>
      <c r="K459" s="99">
        <f>SUMIF(Import!$B:$B,'Other Fund Line-Item Details'!$A459,Import!F:F)</f>
        <v>0</v>
      </c>
      <c r="L459" s="99">
        <f>SUMIF(Import!$B:$B,'Other Fund Line-Item Details'!$A459,Import!G:G)</f>
        <v>0</v>
      </c>
      <c r="M459" s="99">
        <f>SUMIF(Import!$B:$B,'Other Fund Line-Item Details'!$A459,Import!H:H)</f>
        <v>0</v>
      </c>
      <c r="N459" s="99">
        <f>SUMIF(Import!$B:$B,'Other Fund Line-Item Details'!$A459,Import!I:I)</f>
        <v>0</v>
      </c>
      <c r="O459" s="99">
        <f>SUMIF(Import!$B:$B,'Other Fund Line-Item Details'!$A459,Import!J:J)</f>
        <v>0</v>
      </c>
      <c r="P459" s="99">
        <f t="shared" si="548"/>
        <v>0</v>
      </c>
      <c r="Q459" s="99">
        <f>SUMIF(Import!$B:$B,'Other Fund Line-Item Details'!$A459,Import!K:K)</f>
        <v>0</v>
      </c>
      <c r="R459" s="99">
        <f>SUMIF(Import!$B:$B,'Other Fund Line-Item Details'!$A459,Import!L:L)</f>
        <v>0</v>
      </c>
      <c r="S459" s="99">
        <f>SUMIF(Import!$B:$B,'Other Fund Line-Item Details'!$A459,Import!M:M)</f>
        <v>0</v>
      </c>
      <c r="T459" s="99">
        <f>SUMIF(Import!$B:$B,'Other Fund Line-Item Details'!$A459,Import!N:N)</f>
        <v>0</v>
      </c>
      <c r="U459" s="99">
        <f t="shared" si="549"/>
        <v>0</v>
      </c>
      <c r="V459" s="255" t="str">
        <f t="shared" si="550"/>
        <v>N/A</v>
      </c>
      <c r="W459" s="102" t="s">
        <v>2051</v>
      </c>
      <c r="X459" s="121"/>
      <c r="Y459" s="121"/>
      <c r="Z459" s="121"/>
      <c r="AA459" s="121"/>
      <c r="AB459" s="121"/>
      <c r="AC459" s="121"/>
      <c r="AD459" s="121"/>
      <c r="AE459" s="121"/>
      <c r="AF459" s="121"/>
      <c r="AG459" s="121"/>
      <c r="AH459" s="121"/>
      <c r="AI459" s="121"/>
    </row>
    <row r="460" spans="1:35" s="115" customFormat="1" ht="15" customHeight="1">
      <c r="A460" s="555" t="s">
        <v>2052</v>
      </c>
      <c r="B460" s="217" t="str">
        <f t="shared" si="508"/>
        <v>119</v>
      </c>
      <c r="C460" s="217" t="str">
        <f t="shared" si="509"/>
        <v>18</v>
      </c>
      <c r="D460" s="101" t="str">
        <f t="shared" si="510"/>
        <v>183</v>
      </c>
      <c r="E460" s="217" t="str">
        <f t="shared" si="511"/>
        <v>119-18-183</v>
      </c>
      <c r="F460" s="294" t="str">
        <f t="shared" si="512"/>
        <v>50115</v>
      </c>
      <c r="G460" s="295" t="str">
        <f>VLOOKUP(F460,'GL Category'!A:C,3,FALSE)</f>
        <v>Personnel services</v>
      </c>
      <c r="H460" s="98" t="str">
        <f>VLOOKUP(F460,'GL Category'!A:C,2,FALSE)</f>
        <v>INCENTIVE/CERTIFICATION PAY</v>
      </c>
      <c r="I460" s="99">
        <f>SUMIF(Import!$B:$B,'Other Fund Line-Item Details'!$A460,Import!D:D)</f>
        <v>4187.5</v>
      </c>
      <c r="J460" s="99">
        <f>SUMIF(Import!$B:$B,'Other Fund Line-Item Details'!$A460,Import!E:E)</f>
        <v>3008.86</v>
      </c>
      <c r="K460" s="99">
        <f>SUMIF(Import!$B:$B,'Other Fund Line-Item Details'!$A460,Import!F:F)</f>
        <v>3009</v>
      </c>
      <c r="L460" s="99">
        <f>SUMIF(Import!$B:$B,'Other Fund Line-Item Details'!$A460,Import!G:G)</f>
        <v>3010</v>
      </c>
      <c r="M460" s="99">
        <f>SUMIF(Import!$B:$B,'Other Fund Line-Item Details'!$A460,Import!H:H)</f>
        <v>3000</v>
      </c>
      <c r="N460" s="99">
        <f>SUMIF(Import!$B:$B,'Other Fund Line-Item Details'!$A460,Import!I:I)</f>
        <v>2240</v>
      </c>
      <c r="O460" s="99">
        <f>SUMIF(Import!$B:$B,'Other Fund Line-Item Details'!$A460,Import!J:J)</f>
        <v>4140</v>
      </c>
      <c r="P460" s="99">
        <f t="shared" si="548"/>
        <v>1140</v>
      </c>
      <c r="Q460" s="99">
        <f>SUMIF(Import!$B:$B,'Other Fund Line-Item Details'!$A460,Import!K:K)</f>
        <v>3000</v>
      </c>
      <c r="R460" s="99">
        <f>SUMIF(Import!$B:$B,'Other Fund Line-Item Details'!$A460,Import!L:L)</f>
        <v>0</v>
      </c>
      <c r="S460" s="99">
        <f>SUMIF(Import!$B:$B,'Other Fund Line-Item Details'!$A460,Import!M:M)</f>
        <v>0</v>
      </c>
      <c r="T460" s="99">
        <f>SUMIF(Import!$B:$B,'Other Fund Line-Item Details'!$A460,Import!N:N)</f>
        <v>3000</v>
      </c>
      <c r="U460" s="99">
        <f t="shared" si="549"/>
        <v>0</v>
      </c>
      <c r="V460" s="255">
        <f t="shared" si="550"/>
        <v>0</v>
      </c>
      <c r="W460" s="102" t="s">
        <v>2052</v>
      </c>
      <c r="X460" s="121"/>
      <c r="Y460" s="121"/>
      <c r="Z460" s="121"/>
      <c r="AA460" s="121"/>
      <c r="AB460" s="121"/>
      <c r="AC460" s="121"/>
      <c r="AD460" s="121"/>
      <c r="AE460" s="121"/>
      <c r="AF460" s="121"/>
      <c r="AG460" s="121"/>
      <c r="AH460" s="121"/>
      <c r="AI460" s="121"/>
    </row>
    <row r="461" spans="1:35" s="115" customFormat="1" ht="15" customHeight="1">
      <c r="A461" s="555" t="s">
        <v>2053</v>
      </c>
      <c r="B461" s="217" t="str">
        <f t="shared" si="508"/>
        <v>119</v>
      </c>
      <c r="C461" s="217" t="str">
        <f t="shared" si="509"/>
        <v>18</v>
      </c>
      <c r="D461" s="101" t="str">
        <f t="shared" si="510"/>
        <v>183</v>
      </c>
      <c r="E461" s="217" t="str">
        <f t="shared" si="511"/>
        <v>119-18-183</v>
      </c>
      <c r="F461" s="294" t="str">
        <f t="shared" si="512"/>
        <v>50610</v>
      </c>
      <c r="G461" s="295" t="str">
        <f>VLOOKUP(F461,'GL Category'!A:C,3,FALSE)</f>
        <v>Personnel services</v>
      </c>
      <c r="H461" s="98" t="str">
        <f>VLOOKUP(F461,'GL Category'!A:C,2,FALSE)</f>
        <v>SOCIAL SECURITY</v>
      </c>
      <c r="I461" s="99">
        <f>SUMIF(Import!$B:$B,'Other Fund Line-Item Details'!$A461,Import!D:D)</f>
        <v>9814.06</v>
      </c>
      <c r="J461" s="99">
        <f>SUMIF(Import!$B:$B,'Other Fund Line-Item Details'!$A461,Import!E:E)</f>
        <v>9876.5499999999993</v>
      </c>
      <c r="K461" s="99">
        <f>SUMIF(Import!$B:$B,'Other Fund Line-Item Details'!$A461,Import!F:F)</f>
        <v>10752.81</v>
      </c>
      <c r="L461" s="99">
        <f>SUMIF(Import!$B:$B,'Other Fund Line-Item Details'!$A461,Import!G:G)</f>
        <v>11327.39</v>
      </c>
      <c r="M461" s="99">
        <f>SUMIF(Import!$B:$B,'Other Fund Line-Item Details'!$A461,Import!H:H)</f>
        <v>11760</v>
      </c>
      <c r="N461" s="99">
        <f>SUMIF(Import!$B:$B,'Other Fund Line-Item Details'!$A461,Import!I:I)</f>
        <v>9103.25</v>
      </c>
      <c r="O461" s="99">
        <f>SUMIF(Import!$B:$B,'Other Fund Line-Item Details'!$A461,Import!J:J)</f>
        <v>12019</v>
      </c>
      <c r="P461" s="99">
        <f t="shared" si="548"/>
        <v>259</v>
      </c>
      <c r="Q461" s="99">
        <f>SUMIF(Import!$B:$B,'Other Fund Line-Item Details'!$A461,Import!K:K)</f>
        <v>12770</v>
      </c>
      <c r="R461" s="99">
        <f>SUMIF(Import!$B:$B,'Other Fund Line-Item Details'!$A461,Import!L:L)</f>
        <v>0</v>
      </c>
      <c r="S461" s="99">
        <f>SUMIF(Import!$B:$B,'Other Fund Line-Item Details'!$A461,Import!M:M)</f>
        <v>0</v>
      </c>
      <c r="T461" s="99">
        <f>SUMIF(Import!$B:$B,'Other Fund Line-Item Details'!$A461,Import!N:N)</f>
        <v>12770</v>
      </c>
      <c r="U461" s="99">
        <f t="shared" si="549"/>
        <v>1010</v>
      </c>
      <c r="V461" s="255">
        <f t="shared" si="550"/>
        <v>8.5884353741496611E-2</v>
      </c>
      <c r="W461" s="102" t="s">
        <v>2053</v>
      </c>
      <c r="X461" s="121"/>
      <c r="Y461" s="121"/>
      <c r="Z461" s="121"/>
      <c r="AA461" s="121"/>
      <c r="AB461" s="121"/>
      <c r="AC461" s="121"/>
      <c r="AD461" s="121"/>
      <c r="AE461" s="121"/>
      <c r="AF461" s="121"/>
      <c r="AG461" s="121"/>
      <c r="AH461" s="121"/>
      <c r="AI461" s="121"/>
    </row>
    <row r="462" spans="1:35" s="115" customFormat="1" ht="15" customHeight="1">
      <c r="A462" s="555" t="s">
        <v>2054</v>
      </c>
      <c r="B462" s="217" t="str">
        <f t="shared" si="508"/>
        <v>119</v>
      </c>
      <c r="C462" s="217" t="str">
        <f t="shared" si="509"/>
        <v>18</v>
      </c>
      <c r="D462" s="101" t="str">
        <f t="shared" si="510"/>
        <v>183</v>
      </c>
      <c r="E462" s="217" t="str">
        <f t="shared" si="511"/>
        <v>119-18-183</v>
      </c>
      <c r="F462" s="294" t="str">
        <f t="shared" si="512"/>
        <v>50620</v>
      </c>
      <c r="G462" s="295" t="str">
        <f>VLOOKUP(F462,'GL Category'!A:C,3,FALSE)</f>
        <v>Personnel services</v>
      </c>
      <c r="H462" s="98" t="str">
        <f>VLOOKUP(F462,'GL Category'!A:C,2,FALSE)</f>
        <v>HEALTH/LIFE INSURANCE</v>
      </c>
      <c r="I462" s="99">
        <f>SUMIF(Import!$B:$B,'Other Fund Line-Item Details'!$A462,Import!D:D)</f>
        <v>21530.61</v>
      </c>
      <c r="J462" s="99">
        <f>SUMIF(Import!$B:$B,'Other Fund Line-Item Details'!$A462,Import!E:E)</f>
        <v>22354.73</v>
      </c>
      <c r="K462" s="99">
        <f>SUMIF(Import!$B:$B,'Other Fund Line-Item Details'!$A462,Import!F:F)</f>
        <v>22033.83</v>
      </c>
      <c r="L462" s="99">
        <f>SUMIF(Import!$B:$B,'Other Fund Line-Item Details'!$A462,Import!G:G)</f>
        <v>22619.94</v>
      </c>
      <c r="M462" s="99">
        <f>SUMIF(Import!$B:$B,'Other Fund Line-Item Details'!$A462,Import!H:H)</f>
        <v>22085</v>
      </c>
      <c r="N462" s="99">
        <f>SUMIF(Import!$B:$B,'Other Fund Line-Item Details'!$A462,Import!I:I)</f>
        <v>16916.84</v>
      </c>
      <c r="O462" s="99">
        <f>SUMIF(Import!$B:$B,'Other Fund Line-Item Details'!$A462,Import!J:J)</f>
        <v>22722</v>
      </c>
      <c r="P462" s="99">
        <f t="shared" si="548"/>
        <v>637</v>
      </c>
      <c r="Q462" s="99">
        <f>SUMIF(Import!$B:$B,'Other Fund Line-Item Details'!$A462,Import!K:K)</f>
        <v>21986</v>
      </c>
      <c r="R462" s="99">
        <f>SUMIF(Import!$B:$B,'Other Fund Line-Item Details'!$A462,Import!L:L)</f>
        <v>0</v>
      </c>
      <c r="S462" s="99">
        <f>SUMIF(Import!$B:$B,'Other Fund Line-Item Details'!$A462,Import!M:M)</f>
        <v>0</v>
      </c>
      <c r="T462" s="99">
        <f>SUMIF(Import!$B:$B,'Other Fund Line-Item Details'!$A462,Import!N:N)</f>
        <v>21986</v>
      </c>
      <c r="U462" s="99">
        <f t="shared" si="549"/>
        <v>-99</v>
      </c>
      <c r="V462" s="255">
        <f t="shared" si="550"/>
        <v>-4.482680552411189E-3</v>
      </c>
      <c r="W462" s="102" t="s">
        <v>2054</v>
      </c>
      <c r="X462" s="121"/>
      <c r="Y462" s="121"/>
      <c r="Z462" s="121"/>
      <c r="AA462" s="121"/>
      <c r="AB462" s="121"/>
      <c r="AC462" s="121"/>
      <c r="AD462" s="121"/>
      <c r="AE462" s="121"/>
      <c r="AF462" s="121"/>
      <c r="AG462" s="121"/>
      <c r="AH462" s="121"/>
      <c r="AI462" s="121"/>
    </row>
    <row r="463" spans="1:35" s="115" customFormat="1" ht="15" customHeight="1">
      <c r="A463" s="555" t="s">
        <v>2055</v>
      </c>
      <c r="B463" s="217" t="str">
        <f t="shared" si="508"/>
        <v>119</v>
      </c>
      <c r="C463" s="217" t="str">
        <f t="shared" si="509"/>
        <v>18</v>
      </c>
      <c r="D463" s="101" t="str">
        <f t="shared" si="510"/>
        <v>183</v>
      </c>
      <c r="E463" s="217" t="str">
        <f t="shared" si="511"/>
        <v>119-18-183</v>
      </c>
      <c r="F463" s="294" t="str">
        <f t="shared" si="512"/>
        <v>50630</v>
      </c>
      <c r="G463" s="295" t="str">
        <f>VLOOKUP(F463,'GL Category'!A:C,3,FALSE)</f>
        <v>Personnel services</v>
      </c>
      <c r="H463" s="98" t="str">
        <f>VLOOKUP(F463,'GL Category'!A:C,2,FALSE)</f>
        <v>WORKER COMPENSATION</v>
      </c>
      <c r="I463" s="99">
        <f>SUMIF(Import!$B:$B,'Other Fund Line-Item Details'!$A463,Import!D:D)</f>
        <v>85.21</v>
      </c>
      <c r="J463" s="99">
        <f>SUMIF(Import!$B:$B,'Other Fund Line-Item Details'!$A463,Import!E:E)</f>
        <v>80.5</v>
      </c>
      <c r="K463" s="99">
        <f>SUMIF(Import!$B:$B,'Other Fund Line-Item Details'!$A463,Import!F:F)</f>
        <v>93.58</v>
      </c>
      <c r="L463" s="99">
        <f>SUMIF(Import!$B:$B,'Other Fund Line-Item Details'!$A463,Import!G:G)</f>
        <v>169.74</v>
      </c>
      <c r="M463" s="99">
        <f>SUMIF(Import!$B:$B,'Other Fund Line-Item Details'!$A463,Import!H:H)</f>
        <v>219</v>
      </c>
      <c r="N463" s="99">
        <f>SUMIF(Import!$B:$B,'Other Fund Line-Item Details'!$A463,Import!I:I)</f>
        <v>218.83</v>
      </c>
      <c r="O463" s="99">
        <f>SUMIF(Import!$B:$B,'Other Fund Line-Item Details'!$A463,Import!J:J)</f>
        <v>219</v>
      </c>
      <c r="P463" s="99">
        <f t="shared" si="548"/>
        <v>0</v>
      </c>
      <c r="Q463" s="99">
        <f>SUMIF(Import!$B:$B,'Other Fund Line-Item Details'!$A463,Import!K:K)</f>
        <v>230</v>
      </c>
      <c r="R463" s="99">
        <f>SUMIF(Import!$B:$B,'Other Fund Line-Item Details'!$A463,Import!L:L)</f>
        <v>0</v>
      </c>
      <c r="S463" s="99">
        <f>SUMIF(Import!$B:$B,'Other Fund Line-Item Details'!$A463,Import!M:M)</f>
        <v>0</v>
      </c>
      <c r="T463" s="99">
        <f>SUMIF(Import!$B:$B,'Other Fund Line-Item Details'!$A463,Import!N:N)</f>
        <v>230</v>
      </c>
      <c r="U463" s="99">
        <f t="shared" si="549"/>
        <v>11</v>
      </c>
      <c r="V463" s="255">
        <f t="shared" si="550"/>
        <v>5.0228310502283158E-2</v>
      </c>
      <c r="W463" s="102" t="s">
        <v>2055</v>
      </c>
      <c r="X463" s="121"/>
      <c r="Y463" s="121"/>
      <c r="Z463" s="121"/>
      <c r="AA463" s="121"/>
      <c r="AB463" s="121"/>
      <c r="AC463" s="121"/>
      <c r="AD463" s="121"/>
      <c r="AE463" s="121"/>
      <c r="AF463" s="121"/>
      <c r="AG463" s="121"/>
      <c r="AH463" s="121"/>
      <c r="AI463" s="121"/>
    </row>
    <row r="464" spans="1:35" s="115" customFormat="1" ht="15" customHeight="1">
      <c r="A464" s="555" t="s">
        <v>2056</v>
      </c>
      <c r="B464" s="217" t="str">
        <f t="shared" si="508"/>
        <v>119</v>
      </c>
      <c r="C464" s="217" t="str">
        <f t="shared" si="509"/>
        <v>18</v>
      </c>
      <c r="D464" s="101" t="str">
        <f t="shared" si="510"/>
        <v>183</v>
      </c>
      <c r="E464" s="217" t="str">
        <f t="shared" si="511"/>
        <v>119-18-183</v>
      </c>
      <c r="F464" s="294" t="str">
        <f t="shared" si="512"/>
        <v>50650</v>
      </c>
      <c r="G464" s="295" t="str">
        <f>VLOOKUP(F464,'GL Category'!A:C,3,FALSE)</f>
        <v>Personnel services</v>
      </c>
      <c r="H464" s="98" t="str">
        <f>VLOOKUP(F464,'GL Category'!A:C,2,FALSE)</f>
        <v>RETIREMENT</v>
      </c>
      <c r="I464" s="99">
        <f>SUMIF(Import!$B:$B,'Other Fund Line-Item Details'!$A464,Import!D:D)</f>
        <v>20518.490000000002</v>
      </c>
      <c r="J464" s="99">
        <f>SUMIF(Import!$B:$B,'Other Fund Line-Item Details'!$A464,Import!E:E)</f>
        <v>21284.560000000001</v>
      </c>
      <c r="K464" s="99">
        <f>SUMIF(Import!$B:$B,'Other Fund Line-Item Details'!$A464,Import!F:F)</f>
        <v>23028.74</v>
      </c>
      <c r="L464" s="99">
        <f>SUMIF(Import!$B:$B,'Other Fund Line-Item Details'!$A464,Import!G:G)</f>
        <v>24066.52</v>
      </c>
      <c r="M464" s="99">
        <f>SUMIF(Import!$B:$B,'Other Fund Line-Item Details'!$A464,Import!H:H)</f>
        <v>25396</v>
      </c>
      <c r="N464" s="99">
        <f>SUMIF(Import!$B:$B,'Other Fund Line-Item Details'!$A464,Import!I:I)</f>
        <v>19774.41</v>
      </c>
      <c r="O464" s="99">
        <f>SUMIF(Import!$B:$B,'Other Fund Line-Item Details'!$A464,Import!J:J)</f>
        <v>26107</v>
      </c>
      <c r="P464" s="99">
        <f t="shared" si="548"/>
        <v>711</v>
      </c>
      <c r="Q464" s="99">
        <f>SUMIF(Import!$B:$B,'Other Fund Line-Item Details'!$A464,Import!K:K)</f>
        <v>28242</v>
      </c>
      <c r="R464" s="99">
        <f>SUMIF(Import!$B:$B,'Other Fund Line-Item Details'!$A464,Import!L:L)</f>
        <v>0</v>
      </c>
      <c r="S464" s="99">
        <f>SUMIF(Import!$B:$B,'Other Fund Line-Item Details'!$A464,Import!M:M)</f>
        <v>0</v>
      </c>
      <c r="T464" s="99">
        <f>SUMIF(Import!$B:$B,'Other Fund Line-Item Details'!$A464,Import!N:N)</f>
        <v>28242</v>
      </c>
      <c r="U464" s="99">
        <f t="shared" si="549"/>
        <v>2846</v>
      </c>
      <c r="V464" s="255">
        <f t="shared" si="550"/>
        <v>0.11206489210899351</v>
      </c>
      <c r="W464" s="102" t="s">
        <v>2056</v>
      </c>
      <c r="X464" s="121"/>
      <c r="Y464" s="121"/>
      <c r="Z464" s="121"/>
      <c r="AA464" s="121"/>
      <c r="AB464" s="121"/>
      <c r="AC464" s="121"/>
      <c r="AD464" s="121"/>
      <c r="AE464" s="121"/>
      <c r="AF464" s="121"/>
      <c r="AG464" s="121"/>
      <c r="AH464" s="121"/>
      <c r="AI464" s="121"/>
    </row>
    <row r="465" spans="1:35" s="115" customFormat="1" ht="15" customHeight="1">
      <c r="A465" s="555"/>
      <c r="B465" s="217"/>
      <c r="C465" s="217"/>
      <c r="D465" s="101"/>
      <c r="E465" s="217"/>
      <c r="F465" s="294"/>
      <c r="G465" s="146"/>
      <c r="H465" s="107" t="str">
        <f>UPPER(G464)&amp;" TOTAL"</f>
        <v>PERSONNEL SERVICES TOTAL</v>
      </c>
      <c r="I465" s="108">
        <f t="shared" ref="I465" si="551">SUBTOTAL(9,I453:I464)</f>
        <v>181120.73999999996</v>
      </c>
      <c r="J465" s="108">
        <f t="shared" ref="J465:P465" si="552">SUBTOTAL(9,J453:J464)</f>
        <v>185326.56999999998</v>
      </c>
      <c r="K465" s="108">
        <f t="shared" ref="K465" si="553">SUBTOTAL(9,K453:K464)</f>
        <v>198151.03999999995</v>
      </c>
      <c r="L465" s="108">
        <f t="shared" ref="L465" si="554">SUBTOTAL(9,L453:L464)</f>
        <v>206226.75999999998</v>
      </c>
      <c r="M465" s="108">
        <f t="shared" si="552"/>
        <v>211354</v>
      </c>
      <c r="N465" s="109">
        <f t="shared" ref="N465" si="555">SUBTOTAL(9,N453:N464)</f>
        <v>164503.98000000001</v>
      </c>
      <c r="O465" s="109">
        <f t="shared" si="552"/>
        <v>217351</v>
      </c>
      <c r="P465" s="109">
        <f t="shared" si="552"/>
        <v>5997</v>
      </c>
      <c r="Q465" s="109">
        <f t="shared" ref="Q465:T465" si="556">SUBTOTAL(9,Q453:Q464)</f>
        <v>228296</v>
      </c>
      <c r="R465" s="109">
        <f t="shared" si="556"/>
        <v>0</v>
      </c>
      <c r="S465" s="109">
        <f t="shared" si="556"/>
        <v>0</v>
      </c>
      <c r="T465" s="109">
        <f t="shared" si="556"/>
        <v>228296</v>
      </c>
      <c r="U465" s="99">
        <f t="shared" si="549"/>
        <v>16942</v>
      </c>
      <c r="V465" s="255">
        <f t="shared" si="550"/>
        <v>8.0159353501707997E-2</v>
      </c>
      <c r="W465" s="102"/>
      <c r="X465" s="121"/>
      <c r="Y465" s="121"/>
      <c r="Z465" s="121"/>
      <c r="AA465" s="121"/>
      <c r="AB465" s="121"/>
      <c r="AC465" s="121"/>
      <c r="AD465" s="121"/>
      <c r="AE465" s="121"/>
      <c r="AF465" s="121"/>
      <c r="AG465" s="121"/>
      <c r="AH465" s="121"/>
      <c r="AI465" s="121"/>
    </row>
    <row r="466" spans="1:35" s="115" customFormat="1" ht="15" customHeight="1">
      <c r="A466" s="555"/>
      <c r="B466" s="217"/>
      <c r="C466" s="217"/>
      <c r="D466" s="101"/>
      <c r="E466" s="217"/>
      <c r="F466" s="294"/>
      <c r="G466" s="146"/>
      <c r="H466" s="98"/>
      <c r="I466" s="106"/>
      <c r="J466" s="106"/>
      <c r="K466" s="106"/>
      <c r="L466" s="106"/>
      <c r="M466" s="106"/>
      <c r="N466" s="112"/>
      <c r="O466" s="112"/>
      <c r="P466" s="112"/>
      <c r="Q466" s="113"/>
      <c r="R466" s="212"/>
      <c r="S466" s="212"/>
      <c r="T466" s="113"/>
      <c r="U466" s="105"/>
      <c r="V466" s="262"/>
      <c r="W466" s="102"/>
      <c r="X466" s="121"/>
      <c r="Y466" s="121"/>
      <c r="Z466" s="121"/>
      <c r="AA466" s="121"/>
      <c r="AB466" s="121"/>
      <c r="AC466" s="121"/>
      <c r="AD466" s="121"/>
      <c r="AE466" s="121"/>
      <c r="AF466" s="121"/>
      <c r="AG466" s="121"/>
      <c r="AH466" s="121"/>
      <c r="AI466" s="121"/>
    </row>
    <row r="467" spans="1:35" s="115" customFormat="1" ht="15" customHeight="1">
      <c r="A467" s="555" t="s">
        <v>2057</v>
      </c>
      <c r="B467" s="217" t="str">
        <f t="shared" si="508"/>
        <v>119</v>
      </c>
      <c r="C467" s="217" t="str">
        <f t="shared" si="509"/>
        <v>18</v>
      </c>
      <c r="D467" s="101" t="str">
        <f t="shared" si="510"/>
        <v>183</v>
      </c>
      <c r="E467" s="217" t="str">
        <f t="shared" si="511"/>
        <v>119-18-183</v>
      </c>
      <c r="F467" s="294" t="str">
        <f t="shared" si="512"/>
        <v>51210</v>
      </c>
      <c r="G467" s="295" t="str">
        <f>VLOOKUP(F467,'GL Category'!A:C,3,FALSE)</f>
        <v>Operations &amp; maintenance</v>
      </c>
      <c r="H467" s="98" t="str">
        <f>VLOOKUP(F467,'GL Category'!A:C,2,FALSE)</f>
        <v>OFFICE SUPPLIES</v>
      </c>
      <c r="I467" s="99">
        <f>SUMIF(Import!$B:$B,'Other Fund Line-Item Details'!$A467,Import!D:D)</f>
        <v>1684.66</v>
      </c>
      <c r="J467" s="99">
        <f>SUMIF(Import!$B:$B,'Other Fund Line-Item Details'!$A467,Import!E:E)</f>
        <v>1956.4</v>
      </c>
      <c r="K467" s="99">
        <f>SUMIF(Import!$B:$B,'Other Fund Line-Item Details'!$A467,Import!F:F)</f>
        <v>1547.09</v>
      </c>
      <c r="L467" s="99">
        <f>SUMIF(Import!$B:$B,'Other Fund Line-Item Details'!$A467,Import!G:G)</f>
        <v>4697.46</v>
      </c>
      <c r="M467" s="99">
        <f>SUMIF(Import!$B:$B,'Other Fund Line-Item Details'!$A467,Import!H:H)</f>
        <v>4000</v>
      </c>
      <c r="N467" s="99">
        <f>SUMIF(Import!$B:$B,'Other Fund Line-Item Details'!$A467,Import!I:I)</f>
        <v>1358.83</v>
      </c>
      <c r="O467" s="99">
        <f>SUMIF(Import!$B:$B,'Other Fund Line-Item Details'!$A467,Import!J:J)</f>
        <v>3000</v>
      </c>
      <c r="P467" s="99">
        <f>O467-M467</f>
        <v>-1000</v>
      </c>
      <c r="Q467" s="99">
        <f>SUMIF(Import!$B:$B,'Other Fund Line-Item Details'!$A467,Import!K:K)</f>
        <v>4000</v>
      </c>
      <c r="R467" s="99">
        <f>SUMIF(Import!$B:$B,'Other Fund Line-Item Details'!$A467,Import!L:L)</f>
        <v>0</v>
      </c>
      <c r="S467" s="99">
        <f>SUMIF(Import!$B:$B,'Other Fund Line-Item Details'!$A467,Import!M:M)</f>
        <v>0</v>
      </c>
      <c r="T467" s="99">
        <f>SUMIF(Import!$B:$B,'Other Fund Line-Item Details'!$A467,Import!N:N)</f>
        <v>4000</v>
      </c>
      <c r="U467" s="99">
        <f t="shared" ref="U467:U472" si="557">T467-M467</f>
        <v>0</v>
      </c>
      <c r="V467" s="255">
        <f t="shared" ref="V467:V472" si="558">IF(M467=0,"N/A",T467/M467-1)</f>
        <v>0</v>
      </c>
      <c r="W467" s="102" t="s">
        <v>2057</v>
      </c>
      <c r="X467" s="121"/>
      <c r="Y467" s="121"/>
      <c r="Z467" s="121"/>
      <c r="AA467" s="121"/>
      <c r="AB467" s="121"/>
      <c r="AC467" s="121"/>
      <c r="AD467" s="121"/>
      <c r="AE467" s="121"/>
      <c r="AF467" s="121"/>
      <c r="AG467" s="121"/>
      <c r="AH467" s="121"/>
      <c r="AI467" s="121"/>
    </row>
    <row r="468" spans="1:35" s="115" customFormat="1" ht="15" customHeight="1">
      <c r="A468" s="555" t="s">
        <v>2058</v>
      </c>
      <c r="B468" s="217" t="str">
        <f t="shared" si="508"/>
        <v>119</v>
      </c>
      <c r="C468" s="217" t="str">
        <f t="shared" si="509"/>
        <v>18</v>
      </c>
      <c r="D468" s="101" t="str">
        <f t="shared" si="510"/>
        <v>183</v>
      </c>
      <c r="E468" s="217" t="str">
        <f t="shared" si="511"/>
        <v>119-18-183</v>
      </c>
      <c r="F468" s="294" t="str">
        <f t="shared" si="512"/>
        <v>51230</v>
      </c>
      <c r="G468" s="295" t="str">
        <f>VLOOKUP(F468,'GL Category'!A:C,3,FALSE)</f>
        <v>Operations &amp; maintenance</v>
      </c>
      <c r="H468" s="98" t="str">
        <f>VLOOKUP(F468,'GL Category'!A:C,2,FALSE)</f>
        <v>COMPUTER SUPPLIES</v>
      </c>
      <c r="I468" s="99">
        <f>SUMIF(Import!$B:$B,'Other Fund Line-Item Details'!$A468,Import!D:D)</f>
        <v>0</v>
      </c>
      <c r="J468" s="99">
        <f>SUMIF(Import!$B:$B,'Other Fund Line-Item Details'!$A468,Import!E:E)</f>
        <v>0</v>
      </c>
      <c r="K468" s="99">
        <f>SUMIF(Import!$B:$B,'Other Fund Line-Item Details'!$A468,Import!F:F)</f>
        <v>144</v>
      </c>
      <c r="L468" s="99">
        <f>SUMIF(Import!$B:$B,'Other Fund Line-Item Details'!$A468,Import!G:G)</f>
        <v>0</v>
      </c>
      <c r="M468" s="99">
        <f>SUMIF(Import!$B:$B,'Other Fund Line-Item Details'!$A468,Import!H:H)</f>
        <v>1200</v>
      </c>
      <c r="N468" s="99">
        <f>SUMIF(Import!$B:$B,'Other Fund Line-Item Details'!$A468,Import!I:I)</f>
        <v>0</v>
      </c>
      <c r="O468" s="99">
        <f>SUMIF(Import!$B:$B,'Other Fund Line-Item Details'!$A468,Import!J:J)</f>
        <v>0</v>
      </c>
      <c r="P468" s="99">
        <f>O468-M468</f>
        <v>-1200</v>
      </c>
      <c r="Q468" s="99">
        <f>SUMIF(Import!$B:$B,'Other Fund Line-Item Details'!$A468,Import!K:K)</f>
        <v>0</v>
      </c>
      <c r="R468" s="99">
        <f>SUMIF(Import!$B:$B,'Other Fund Line-Item Details'!$A468,Import!L:L)</f>
        <v>0</v>
      </c>
      <c r="S468" s="99">
        <f>SUMIF(Import!$B:$B,'Other Fund Line-Item Details'!$A468,Import!M:M)</f>
        <v>0</v>
      </c>
      <c r="T468" s="99">
        <f>SUMIF(Import!$B:$B,'Other Fund Line-Item Details'!$A468,Import!N:N)</f>
        <v>0</v>
      </c>
      <c r="U468" s="99">
        <f t="shared" si="557"/>
        <v>-1200</v>
      </c>
      <c r="V468" s="255">
        <f t="shared" si="558"/>
        <v>-1</v>
      </c>
      <c r="W468" s="102" t="s">
        <v>2058</v>
      </c>
      <c r="X468" s="121"/>
      <c r="Y468" s="121"/>
      <c r="Z468" s="121"/>
      <c r="AA468" s="121"/>
      <c r="AB468" s="121"/>
      <c r="AC468" s="121"/>
      <c r="AD468" s="121"/>
      <c r="AE468" s="121"/>
      <c r="AF468" s="121"/>
      <c r="AG468" s="121"/>
      <c r="AH468" s="121"/>
      <c r="AI468" s="121"/>
    </row>
    <row r="469" spans="1:35" s="115" customFormat="1" ht="15" customHeight="1">
      <c r="A469" s="555" t="s">
        <v>2059</v>
      </c>
      <c r="B469" s="217" t="str">
        <f t="shared" si="508"/>
        <v>119</v>
      </c>
      <c r="C469" s="217" t="str">
        <f t="shared" si="509"/>
        <v>18</v>
      </c>
      <c r="D469" s="101" t="str">
        <f t="shared" si="510"/>
        <v>183</v>
      </c>
      <c r="E469" s="217" t="str">
        <f t="shared" si="511"/>
        <v>119-18-183</v>
      </c>
      <c r="F469" s="294" t="str">
        <f t="shared" si="512"/>
        <v>51245</v>
      </c>
      <c r="G469" s="295" t="str">
        <f>VLOOKUP(F469,'GL Category'!A:C,3,FALSE)</f>
        <v>Operations &amp; maintenance</v>
      </c>
      <c r="H469" s="98" t="str">
        <f>VLOOKUP(F469,'GL Category'!A:C,2,FALSE)</f>
        <v>SMALL TOOLS &amp; EQUIPMENT</v>
      </c>
      <c r="I469" s="99">
        <f>SUMIF(Import!$B:$B,'Other Fund Line-Item Details'!$A469,Import!D:D)</f>
        <v>0</v>
      </c>
      <c r="J469" s="99">
        <f>SUMIF(Import!$B:$B,'Other Fund Line-Item Details'!$A469,Import!E:E)</f>
        <v>0</v>
      </c>
      <c r="K469" s="99">
        <f>SUMIF(Import!$B:$B,'Other Fund Line-Item Details'!$A469,Import!F:F)</f>
        <v>0</v>
      </c>
      <c r="L469" s="99">
        <f>SUMIF(Import!$B:$B,'Other Fund Line-Item Details'!$A469,Import!G:G)</f>
        <v>0</v>
      </c>
      <c r="M469" s="99">
        <f>SUMIF(Import!$B:$B,'Other Fund Line-Item Details'!$A469,Import!H:H)</f>
        <v>0</v>
      </c>
      <c r="N469" s="99">
        <f>SUMIF(Import!$B:$B,'Other Fund Line-Item Details'!$A469,Import!I:I)</f>
        <v>0</v>
      </c>
      <c r="O469" s="99">
        <f>SUMIF(Import!$B:$B,'Other Fund Line-Item Details'!$A469,Import!J:J)</f>
        <v>0</v>
      </c>
      <c r="P469" s="99">
        <f>O469-M469</f>
        <v>0</v>
      </c>
      <c r="Q469" s="99">
        <f>SUMIF(Import!$B:$B,'Other Fund Line-Item Details'!$A469,Import!K:K)</f>
        <v>0</v>
      </c>
      <c r="R469" s="99">
        <f>SUMIF(Import!$B:$B,'Other Fund Line-Item Details'!$A469,Import!L:L)</f>
        <v>0</v>
      </c>
      <c r="S469" s="99">
        <f>SUMIF(Import!$B:$B,'Other Fund Line-Item Details'!$A469,Import!M:M)</f>
        <v>0</v>
      </c>
      <c r="T469" s="99">
        <f>SUMIF(Import!$B:$B,'Other Fund Line-Item Details'!$A469,Import!N:N)</f>
        <v>0</v>
      </c>
      <c r="U469" s="99">
        <f t="shared" si="557"/>
        <v>0</v>
      </c>
      <c r="V469" s="255" t="str">
        <f t="shared" si="558"/>
        <v>N/A</v>
      </c>
      <c r="W469" s="102" t="s">
        <v>2059</v>
      </c>
      <c r="X469" s="121"/>
      <c r="Y469" s="121"/>
      <c r="Z469" s="121"/>
      <c r="AA469" s="121"/>
      <c r="AB469" s="121"/>
      <c r="AC469" s="121"/>
      <c r="AD469" s="121"/>
      <c r="AE469" s="121"/>
      <c r="AF469" s="121"/>
      <c r="AG469" s="121"/>
      <c r="AH469" s="121"/>
      <c r="AI469" s="121"/>
    </row>
    <row r="470" spans="1:35" s="115" customFormat="1" ht="15" customHeight="1">
      <c r="A470" s="555" t="s">
        <v>2060</v>
      </c>
      <c r="B470" s="217" t="str">
        <f t="shared" si="508"/>
        <v>119</v>
      </c>
      <c r="C470" s="217" t="str">
        <f t="shared" si="509"/>
        <v>18</v>
      </c>
      <c r="D470" s="101" t="str">
        <f t="shared" si="510"/>
        <v>183</v>
      </c>
      <c r="E470" s="217" t="str">
        <f t="shared" si="511"/>
        <v>119-18-183</v>
      </c>
      <c r="F470" s="294" t="str">
        <f t="shared" si="512"/>
        <v>51285</v>
      </c>
      <c r="G470" s="295" t="str">
        <f>VLOOKUP(F470,'GL Category'!A:C,3,FALSE)</f>
        <v>Operations &amp; maintenance</v>
      </c>
      <c r="H470" s="98" t="str">
        <f>VLOOKUP(F470,'GL Category'!A:C,2,FALSE)</f>
        <v>WEARING APPAREL</v>
      </c>
      <c r="I470" s="99">
        <f>SUMIF(Import!$B:$B,'Other Fund Line-Item Details'!$A470,Import!D:D)</f>
        <v>243.48</v>
      </c>
      <c r="J470" s="99">
        <f>SUMIF(Import!$B:$B,'Other Fund Line-Item Details'!$A470,Import!E:E)</f>
        <v>140.55000000000001</v>
      </c>
      <c r="K470" s="99">
        <f>SUMIF(Import!$B:$B,'Other Fund Line-Item Details'!$A470,Import!F:F)</f>
        <v>173.63</v>
      </c>
      <c r="L470" s="99">
        <f>SUMIF(Import!$B:$B,'Other Fund Line-Item Details'!$A470,Import!G:G)</f>
        <v>0</v>
      </c>
      <c r="M470" s="99">
        <f>SUMIF(Import!$B:$B,'Other Fund Line-Item Details'!$A470,Import!H:H)</f>
        <v>250</v>
      </c>
      <c r="N470" s="99">
        <f>SUMIF(Import!$B:$B,'Other Fund Line-Item Details'!$A470,Import!I:I)</f>
        <v>0</v>
      </c>
      <c r="O470" s="99">
        <f>SUMIF(Import!$B:$B,'Other Fund Line-Item Details'!$A470,Import!J:J)</f>
        <v>250</v>
      </c>
      <c r="P470" s="99">
        <f>O470-M470</f>
        <v>0</v>
      </c>
      <c r="Q470" s="99">
        <f>SUMIF(Import!$B:$B,'Other Fund Line-Item Details'!$A470,Import!K:K)</f>
        <v>250</v>
      </c>
      <c r="R470" s="99">
        <f>SUMIF(Import!$B:$B,'Other Fund Line-Item Details'!$A470,Import!L:L)</f>
        <v>0</v>
      </c>
      <c r="S470" s="99">
        <f>SUMIF(Import!$B:$B,'Other Fund Line-Item Details'!$A470,Import!M:M)</f>
        <v>0</v>
      </c>
      <c r="T470" s="99">
        <f>SUMIF(Import!$B:$B,'Other Fund Line-Item Details'!$A470,Import!N:N)</f>
        <v>250</v>
      </c>
      <c r="U470" s="99">
        <f t="shared" si="557"/>
        <v>0</v>
      </c>
      <c r="V470" s="255">
        <f t="shared" si="558"/>
        <v>0</v>
      </c>
      <c r="W470" s="102" t="s">
        <v>2060</v>
      </c>
      <c r="X470" s="121"/>
      <c r="Y470" s="121"/>
      <c r="Z470" s="121"/>
      <c r="AA470" s="121"/>
      <c r="AB470" s="121"/>
      <c r="AC470" s="121"/>
      <c r="AD470" s="121"/>
      <c r="AE470" s="121"/>
      <c r="AF470" s="121"/>
      <c r="AG470" s="121"/>
      <c r="AH470" s="121"/>
      <c r="AI470" s="121"/>
    </row>
    <row r="471" spans="1:35" s="115" customFormat="1" ht="15" customHeight="1">
      <c r="A471" s="555" t="s">
        <v>2061</v>
      </c>
      <c r="B471" s="217" t="str">
        <f t="shared" si="508"/>
        <v>119</v>
      </c>
      <c r="C471" s="217" t="str">
        <f t="shared" si="509"/>
        <v>18</v>
      </c>
      <c r="D471" s="101" t="str">
        <f t="shared" si="510"/>
        <v>183</v>
      </c>
      <c r="E471" s="217" t="str">
        <f t="shared" si="511"/>
        <v>119-18-183</v>
      </c>
      <c r="F471" s="294" t="str">
        <f t="shared" si="512"/>
        <v>52485</v>
      </c>
      <c r="G471" s="295" t="str">
        <f>VLOOKUP(F471,'GL Category'!A:C,3,FALSE)</f>
        <v>Operations &amp; maintenance</v>
      </c>
      <c r="H471" s="98" t="str">
        <f>VLOOKUP(F471,'GL Category'!A:C,2,FALSE)</f>
        <v>SOFTWARE LICENSE &amp; MAINTENANCE</v>
      </c>
      <c r="I471" s="99">
        <f>SUMIF(Import!$B:$B,'Other Fund Line-Item Details'!$A471,Import!D:D)</f>
        <v>41259.9</v>
      </c>
      <c r="J471" s="99">
        <f>SUMIF(Import!$B:$B,'Other Fund Line-Item Details'!$A471,Import!E:E)</f>
        <v>40550</v>
      </c>
      <c r="K471" s="99">
        <f>SUMIF(Import!$B:$B,'Other Fund Line-Item Details'!$A471,Import!F:F)</f>
        <v>40418</v>
      </c>
      <c r="L471" s="99">
        <f>SUMIF(Import!$B:$B,'Other Fund Line-Item Details'!$A471,Import!G:G)</f>
        <v>38730</v>
      </c>
      <c r="M471" s="99">
        <f>SUMIF(Import!$B:$B,'Other Fund Line-Item Details'!$A471,Import!H:H)</f>
        <v>73530</v>
      </c>
      <c r="N471" s="99">
        <f>SUMIF(Import!$B:$B,'Other Fund Line-Item Details'!$A471,Import!I:I)</f>
        <v>46169.19</v>
      </c>
      <c r="O471" s="99">
        <f>SUMIF(Import!$B:$B,'Other Fund Line-Item Details'!$A471,Import!J:J)</f>
        <v>73530</v>
      </c>
      <c r="P471" s="99">
        <f>O471-M471</f>
        <v>0</v>
      </c>
      <c r="Q471" s="99">
        <f>SUMIF(Import!$B:$B,'Other Fund Line-Item Details'!$A471,Import!K:K)</f>
        <v>50930</v>
      </c>
      <c r="R471" s="99">
        <f>SUMIF(Import!$B:$B,'Other Fund Line-Item Details'!$A471,Import!L:L)</f>
        <v>0</v>
      </c>
      <c r="S471" s="99">
        <f>SUMIF(Import!$B:$B,'Other Fund Line-Item Details'!$A471,Import!M:M)</f>
        <v>0</v>
      </c>
      <c r="T471" s="99">
        <f>SUMIF(Import!$B:$B,'Other Fund Line-Item Details'!$A471,Import!N:N)</f>
        <v>50930</v>
      </c>
      <c r="U471" s="99">
        <f t="shared" si="557"/>
        <v>-22600</v>
      </c>
      <c r="V471" s="255">
        <f t="shared" si="558"/>
        <v>-0.30735754113967084</v>
      </c>
      <c r="W471" s="102" t="s">
        <v>2061</v>
      </c>
      <c r="X471" s="121"/>
      <c r="Y471" s="121"/>
      <c r="Z471" s="121"/>
      <c r="AA471" s="121"/>
      <c r="AB471" s="121"/>
      <c r="AC471" s="121"/>
      <c r="AD471" s="121"/>
      <c r="AE471" s="121"/>
      <c r="AF471" s="121"/>
      <c r="AG471" s="121"/>
      <c r="AH471" s="121"/>
      <c r="AI471" s="121"/>
    </row>
    <row r="472" spans="1:35" s="115" customFormat="1" ht="24.6" customHeight="1">
      <c r="A472" s="555"/>
      <c r="B472" s="217"/>
      <c r="C472" s="217"/>
      <c r="D472" s="101"/>
      <c r="E472" s="217"/>
      <c r="F472" s="294"/>
      <c r="G472" s="146"/>
      <c r="H472" s="107" t="str">
        <f>UPPER(G471)&amp;" TOTAL"</f>
        <v>OPERATIONS &amp; MAINTENANCE TOTAL</v>
      </c>
      <c r="I472" s="108">
        <f t="shared" ref="I472" si="559">SUBTOTAL(9,I467:I471)</f>
        <v>43188.04</v>
      </c>
      <c r="J472" s="108">
        <f t="shared" ref="J472:P472" si="560">SUBTOTAL(9,J467:J471)</f>
        <v>42646.95</v>
      </c>
      <c r="K472" s="108">
        <f t="shared" ref="K472" si="561">SUBTOTAL(9,K467:K471)</f>
        <v>42282.720000000001</v>
      </c>
      <c r="L472" s="108">
        <f t="shared" ref="L472" si="562">SUBTOTAL(9,L467:L471)</f>
        <v>43427.46</v>
      </c>
      <c r="M472" s="108">
        <f t="shared" si="560"/>
        <v>78980</v>
      </c>
      <c r="N472" s="109">
        <f t="shared" ref="N472" si="563">SUBTOTAL(9,N467:N471)</f>
        <v>47528.020000000004</v>
      </c>
      <c r="O472" s="109">
        <f t="shared" si="560"/>
        <v>76780</v>
      </c>
      <c r="P472" s="109">
        <f t="shared" si="560"/>
        <v>-2200</v>
      </c>
      <c r="Q472" s="109">
        <f t="shared" ref="Q472:T472" si="564">SUBTOTAL(9,Q467:Q471)</f>
        <v>55180</v>
      </c>
      <c r="R472" s="109">
        <f t="shared" si="564"/>
        <v>0</v>
      </c>
      <c r="S472" s="109">
        <f t="shared" si="564"/>
        <v>0</v>
      </c>
      <c r="T472" s="109">
        <f t="shared" si="564"/>
        <v>55180</v>
      </c>
      <c r="U472" s="99">
        <f t="shared" si="557"/>
        <v>-23800</v>
      </c>
      <c r="V472" s="255">
        <f t="shared" si="558"/>
        <v>-0.30134211192707017</v>
      </c>
      <c r="W472" s="102"/>
      <c r="X472" s="121"/>
      <c r="Y472" s="121"/>
      <c r="Z472" s="121"/>
      <c r="AA472" s="121"/>
      <c r="AB472" s="121"/>
      <c r="AC472" s="121"/>
      <c r="AD472" s="121"/>
      <c r="AE472" s="121"/>
      <c r="AF472" s="121"/>
      <c r="AG472" s="121"/>
      <c r="AH472" s="121"/>
      <c r="AI472" s="121"/>
    </row>
    <row r="473" spans="1:35" s="115" customFormat="1" ht="15" customHeight="1">
      <c r="A473" s="555"/>
      <c r="B473" s="217"/>
      <c r="C473" s="217"/>
      <c r="D473" s="101"/>
      <c r="E473" s="217"/>
      <c r="F473" s="294"/>
      <c r="G473" s="146"/>
      <c r="H473" s="98"/>
      <c r="I473" s="106"/>
      <c r="J473" s="106"/>
      <c r="K473" s="106"/>
      <c r="L473" s="106"/>
      <c r="M473" s="106"/>
      <c r="N473" s="112"/>
      <c r="O473" s="112"/>
      <c r="P473" s="112"/>
      <c r="Q473" s="113"/>
      <c r="R473" s="99"/>
      <c r="S473" s="99"/>
      <c r="T473" s="113"/>
      <c r="U473" s="105"/>
      <c r="V473" s="262"/>
      <c r="W473" s="102"/>
      <c r="X473" s="121"/>
      <c r="Y473" s="121"/>
      <c r="Z473" s="121"/>
      <c r="AA473" s="121"/>
      <c r="AB473" s="121"/>
      <c r="AC473" s="121"/>
      <c r="AD473" s="121"/>
      <c r="AE473" s="121"/>
      <c r="AF473" s="121"/>
      <c r="AG473" s="121"/>
      <c r="AH473" s="121"/>
      <c r="AI473" s="121"/>
    </row>
    <row r="474" spans="1:35" s="115" customFormat="1" ht="15" customHeight="1">
      <c r="A474" s="555" t="s">
        <v>2063</v>
      </c>
      <c r="B474" s="217" t="str">
        <f t="shared" ref="B474:B534" si="565">LEFT(A474,3)</f>
        <v>119</v>
      </c>
      <c r="C474" s="217" t="str">
        <f t="shared" ref="C474:C491" si="566">MID(A474,5,2)</f>
        <v>18</v>
      </c>
      <c r="D474" s="101" t="str">
        <f t="shared" ref="D474:D534" si="567">MID(A474,8,3)</f>
        <v>183</v>
      </c>
      <c r="E474" s="217" t="str">
        <f t="shared" ref="E474:E534" si="568">LEFT(A474,10)</f>
        <v>119-18-183</v>
      </c>
      <c r="F474" s="294" t="str">
        <f t="shared" ref="F474:F491" si="569">RIGHT(A474,5)</f>
        <v>53510</v>
      </c>
      <c r="G474" s="295" t="str">
        <f>VLOOKUP(F474,'GL Category'!A:C,3,FALSE)</f>
        <v>Services &amp; other</v>
      </c>
      <c r="H474" s="98" t="str">
        <f>VLOOKUP(F474,'GL Category'!A:C,2,FALSE)</f>
        <v>DUES &amp; SUBSCRIPTIONS</v>
      </c>
      <c r="I474" s="99">
        <f>SUMIF(Import!$B:$B,'Other Fund Line-Item Details'!$A474,Import!D:D)</f>
        <v>0</v>
      </c>
      <c r="J474" s="99">
        <f>SUMIF(Import!$B:$B,'Other Fund Line-Item Details'!$A474,Import!E:E)</f>
        <v>0</v>
      </c>
      <c r="K474" s="99">
        <f>SUMIF(Import!$B:$B,'Other Fund Line-Item Details'!$A474,Import!F:F)</f>
        <v>0</v>
      </c>
      <c r="L474" s="99">
        <f>SUMIF(Import!$B:$B,'Other Fund Line-Item Details'!$A474,Import!G:G)</f>
        <v>0</v>
      </c>
      <c r="M474" s="99">
        <f>SUMIF(Import!$B:$B,'Other Fund Line-Item Details'!$A474,Import!H:H)</f>
        <v>100</v>
      </c>
      <c r="N474" s="99">
        <f>SUMIF(Import!$B:$B,'Other Fund Line-Item Details'!$A474,Import!I:I)</f>
        <v>50</v>
      </c>
      <c r="O474" s="99">
        <f>SUMIF(Import!$B:$B,'Other Fund Line-Item Details'!$A474,Import!J:J)</f>
        <v>100</v>
      </c>
      <c r="P474" s="99">
        <f>O474-M474</f>
        <v>0</v>
      </c>
      <c r="Q474" s="99">
        <f>SUMIF(Import!$B:$B,'Other Fund Line-Item Details'!$A474,Import!K:K)</f>
        <v>100</v>
      </c>
      <c r="R474" s="99">
        <f>SUMIF(Import!$B:$B,'Other Fund Line-Item Details'!$A474,Import!L:L)</f>
        <v>0</v>
      </c>
      <c r="S474" s="99">
        <f>SUMIF(Import!$B:$B,'Other Fund Line-Item Details'!$A474,Import!M:M)</f>
        <v>0</v>
      </c>
      <c r="T474" s="99">
        <f>SUMIF(Import!$B:$B,'Other Fund Line-Item Details'!$A474,Import!N:N)</f>
        <v>100</v>
      </c>
      <c r="U474" s="99">
        <f t="shared" ref="U474:U479" si="570">T474-M474</f>
        <v>0</v>
      </c>
      <c r="V474" s="255">
        <f t="shared" ref="V474:V479" si="571">IF(M474=0,"N/A",T474/M474-1)</f>
        <v>0</v>
      </c>
      <c r="W474" s="102" t="s">
        <v>2063</v>
      </c>
      <c r="X474" s="121"/>
      <c r="Y474" s="121"/>
      <c r="Z474" s="121"/>
      <c r="AA474" s="121"/>
      <c r="AB474" s="121"/>
      <c r="AC474" s="121"/>
      <c r="AD474" s="121"/>
      <c r="AE474" s="121"/>
      <c r="AF474" s="121"/>
      <c r="AG474" s="121"/>
      <c r="AH474" s="121"/>
      <c r="AI474" s="121"/>
    </row>
    <row r="475" spans="1:35" s="115" customFormat="1" ht="15" customHeight="1">
      <c r="A475" s="555" t="s">
        <v>2064</v>
      </c>
      <c r="B475" s="217" t="str">
        <f t="shared" si="565"/>
        <v>119</v>
      </c>
      <c r="C475" s="217" t="str">
        <f t="shared" si="566"/>
        <v>18</v>
      </c>
      <c r="D475" s="101" t="str">
        <f t="shared" si="567"/>
        <v>183</v>
      </c>
      <c r="E475" s="217" t="str">
        <f t="shared" si="568"/>
        <v>119-18-183</v>
      </c>
      <c r="F475" s="294" t="str">
        <f t="shared" si="569"/>
        <v>53515</v>
      </c>
      <c r="G475" s="295" t="str">
        <f>VLOOKUP(F475,'GL Category'!A:C,3,FALSE)</f>
        <v>Services &amp; other</v>
      </c>
      <c r="H475" s="98" t="str">
        <f>VLOOKUP(F475,'GL Category'!A:C,2,FALSE)</f>
        <v>TRAVEL, TRAINING &amp; EDUCATION</v>
      </c>
      <c r="I475" s="99">
        <f>SUMIF(Import!$B:$B,'Other Fund Line-Item Details'!$A475,Import!D:D)</f>
        <v>7557.37</v>
      </c>
      <c r="J475" s="99">
        <f>SUMIF(Import!$B:$B,'Other Fund Line-Item Details'!$A475,Import!E:E)</f>
        <v>6662</v>
      </c>
      <c r="K475" s="99">
        <f>SUMIF(Import!$B:$B,'Other Fund Line-Item Details'!$A475,Import!F:F)</f>
        <v>6233.93</v>
      </c>
      <c r="L475" s="99">
        <f>SUMIF(Import!$B:$B,'Other Fund Line-Item Details'!$A475,Import!G:G)</f>
        <v>2997.19</v>
      </c>
      <c r="M475" s="99">
        <f>SUMIF(Import!$B:$B,'Other Fund Line-Item Details'!$A475,Import!H:H)</f>
        <v>8100</v>
      </c>
      <c r="N475" s="99">
        <f>SUMIF(Import!$B:$B,'Other Fund Line-Item Details'!$A475,Import!I:I)</f>
        <v>2383.4899999999998</v>
      </c>
      <c r="O475" s="99">
        <f>SUMIF(Import!$B:$B,'Other Fund Line-Item Details'!$A475,Import!J:J)</f>
        <v>6100</v>
      </c>
      <c r="P475" s="99">
        <f>O475-M475</f>
        <v>-2000</v>
      </c>
      <c r="Q475" s="99">
        <f>SUMIF(Import!$B:$B,'Other Fund Line-Item Details'!$A475,Import!K:K)</f>
        <v>8500</v>
      </c>
      <c r="R475" s="99">
        <f>SUMIF(Import!$B:$B,'Other Fund Line-Item Details'!$A475,Import!L:L)</f>
        <v>0</v>
      </c>
      <c r="S475" s="99">
        <f>SUMIF(Import!$B:$B,'Other Fund Line-Item Details'!$A475,Import!M:M)</f>
        <v>0</v>
      </c>
      <c r="T475" s="99">
        <f>SUMIF(Import!$B:$B,'Other Fund Line-Item Details'!$A475,Import!N:N)</f>
        <v>8500</v>
      </c>
      <c r="U475" s="99">
        <f t="shared" si="570"/>
        <v>400</v>
      </c>
      <c r="V475" s="255">
        <f t="shared" si="571"/>
        <v>4.9382716049382713E-2</v>
      </c>
      <c r="W475" s="102" t="s">
        <v>2064</v>
      </c>
      <c r="X475" s="121"/>
      <c r="Y475" s="121"/>
      <c r="Z475" s="121"/>
      <c r="AA475" s="121"/>
      <c r="AB475" s="121"/>
      <c r="AC475" s="121"/>
      <c r="AD475" s="121"/>
      <c r="AE475" s="121"/>
      <c r="AF475" s="121"/>
      <c r="AG475" s="121"/>
      <c r="AH475" s="121"/>
      <c r="AI475" s="121"/>
    </row>
    <row r="476" spans="1:35" s="115" customFormat="1" ht="15" customHeight="1">
      <c r="A476" s="555" t="s">
        <v>2065</v>
      </c>
      <c r="B476" s="217" t="str">
        <f t="shared" si="565"/>
        <v>119</v>
      </c>
      <c r="C476" s="217" t="str">
        <f t="shared" si="566"/>
        <v>18</v>
      </c>
      <c r="D476" s="101" t="str">
        <f t="shared" si="567"/>
        <v>183</v>
      </c>
      <c r="E476" s="217" t="str">
        <f t="shared" si="568"/>
        <v>119-18-183</v>
      </c>
      <c r="F476" s="294" t="str">
        <f t="shared" si="569"/>
        <v>53513</v>
      </c>
      <c r="G476" s="295" t="str">
        <f>VLOOKUP(F476,'GL Category'!A:C,3,FALSE)</f>
        <v>Services &amp; other</v>
      </c>
      <c r="H476" s="98" t="str">
        <f>VLOOKUP(F476,'GL Category'!A:C,2,FALSE)</f>
        <v>CONSULTING SERVICES</v>
      </c>
      <c r="I476" s="99">
        <f>SUMIF(Import!$B:$B,'Other Fund Line-Item Details'!$A476,Import!D:D)</f>
        <v>3390</v>
      </c>
      <c r="J476" s="99">
        <f>SUMIF(Import!$B:$B,'Other Fund Line-Item Details'!$A476,Import!E:E)</f>
        <v>6240</v>
      </c>
      <c r="K476" s="99">
        <f>SUMIF(Import!$B:$B,'Other Fund Line-Item Details'!$A476,Import!F:F)</f>
        <v>8362</v>
      </c>
      <c r="L476" s="99">
        <f>SUMIF(Import!$B:$B,'Other Fund Line-Item Details'!$A476,Import!G:G)</f>
        <v>7834</v>
      </c>
      <c r="M476" s="99">
        <f>SUMIF(Import!$B:$B,'Other Fund Line-Item Details'!$A476,Import!H:H)</f>
        <v>15000</v>
      </c>
      <c r="N476" s="99">
        <f>SUMIF(Import!$B:$B,'Other Fund Line-Item Details'!$A476,Import!I:I)</f>
        <v>3510</v>
      </c>
      <c r="O476" s="99">
        <f>SUMIF(Import!$B:$B,'Other Fund Line-Item Details'!$A476,Import!J:J)</f>
        <v>12000</v>
      </c>
      <c r="P476" s="99">
        <f>O476-M476</f>
        <v>-3000</v>
      </c>
      <c r="Q476" s="99">
        <f>SUMIF(Import!$B:$B,'Other Fund Line-Item Details'!$A476,Import!K:K)</f>
        <v>12000</v>
      </c>
      <c r="R476" s="99">
        <f>SUMIF(Import!$B:$B,'Other Fund Line-Item Details'!$A476,Import!L:L)</f>
        <v>0</v>
      </c>
      <c r="S476" s="99">
        <f>SUMIF(Import!$B:$B,'Other Fund Line-Item Details'!$A476,Import!M:M)</f>
        <v>0</v>
      </c>
      <c r="T476" s="99">
        <f>SUMIF(Import!$B:$B,'Other Fund Line-Item Details'!$A476,Import!N:N)</f>
        <v>12000</v>
      </c>
      <c r="U476" s="99">
        <f t="shared" si="570"/>
        <v>-3000</v>
      </c>
      <c r="V476" s="255">
        <f t="shared" si="571"/>
        <v>-0.19999999999999996</v>
      </c>
      <c r="W476" s="102" t="s">
        <v>2065</v>
      </c>
      <c r="X476" s="121"/>
      <c r="Y476" s="121"/>
      <c r="Z476" s="121"/>
      <c r="AA476" s="121"/>
      <c r="AB476" s="121"/>
      <c r="AC476" s="121"/>
      <c r="AD476" s="121"/>
      <c r="AE476" s="121"/>
      <c r="AF476" s="121"/>
      <c r="AG476" s="121"/>
      <c r="AH476" s="121"/>
      <c r="AI476" s="121"/>
    </row>
    <row r="477" spans="1:35" s="115" customFormat="1" ht="15" customHeight="1">
      <c r="A477" s="555" t="s">
        <v>2062</v>
      </c>
      <c r="B477" s="217" t="str">
        <f t="shared" si="565"/>
        <v>119</v>
      </c>
      <c r="C477" s="217" t="str">
        <f t="shared" si="566"/>
        <v>18</v>
      </c>
      <c r="D477" s="101" t="str">
        <f t="shared" si="567"/>
        <v>183</v>
      </c>
      <c r="E477" s="217" t="str">
        <f t="shared" si="568"/>
        <v>119-18-183</v>
      </c>
      <c r="F477" s="294" t="str">
        <f t="shared" si="569"/>
        <v>53599</v>
      </c>
      <c r="G477" s="295" t="str">
        <f>VLOOKUP(F477,'GL Category'!A:C,3,FALSE)</f>
        <v>Services &amp; other</v>
      </c>
      <c r="H477" s="98" t="str">
        <f>VLOOKUP(F477,'GL Category'!A:C,2,FALSE)</f>
        <v>MISCELLANEOUS SERVICES</v>
      </c>
      <c r="I477" s="99">
        <f>SUMIF(Import!$B:$B,'Other Fund Line-Item Details'!$A477,Import!D:D)</f>
        <v>5470</v>
      </c>
      <c r="J477" s="99">
        <f>SUMIF(Import!$B:$B,'Other Fund Line-Item Details'!$A477,Import!E:E)</f>
        <v>5812.33</v>
      </c>
      <c r="K477" s="99">
        <f>SUMIF(Import!$B:$B,'Other Fund Line-Item Details'!$A477,Import!F:F)</f>
        <v>3750</v>
      </c>
      <c r="L477" s="99">
        <f>SUMIF(Import!$B:$B,'Other Fund Line-Item Details'!$A477,Import!G:G)</f>
        <v>3750</v>
      </c>
      <c r="M477" s="99">
        <f>SUMIF(Import!$B:$B,'Other Fund Line-Item Details'!$A477,Import!H:H)</f>
        <v>7000</v>
      </c>
      <c r="N477" s="99">
        <f>SUMIF(Import!$B:$B,'Other Fund Line-Item Details'!$A477,Import!I:I)</f>
        <v>3750</v>
      </c>
      <c r="O477" s="99">
        <f>SUMIF(Import!$B:$B,'Other Fund Line-Item Details'!$A477,Import!J:J)</f>
        <v>7000</v>
      </c>
      <c r="P477" s="99">
        <f>O477-M477</f>
        <v>0</v>
      </c>
      <c r="Q477" s="99">
        <f>SUMIF(Import!$B:$B,'Other Fund Line-Item Details'!$A477,Import!K:K)</f>
        <v>7000</v>
      </c>
      <c r="R477" s="99">
        <f>SUMIF(Import!$B:$B,'Other Fund Line-Item Details'!$A477,Import!L:L)</f>
        <v>0</v>
      </c>
      <c r="S477" s="99">
        <f>SUMIF(Import!$B:$B,'Other Fund Line-Item Details'!$A477,Import!M:M)</f>
        <v>0</v>
      </c>
      <c r="T477" s="99">
        <f>SUMIF(Import!$B:$B,'Other Fund Line-Item Details'!$A477,Import!N:N)</f>
        <v>7000</v>
      </c>
      <c r="U477" s="99">
        <f t="shared" si="570"/>
        <v>0</v>
      </c>
      <c r="V477" s="255">
        <f t="shared" si="571"/>
        <v>0</v>
      </c>
      <c r="W477" s="102" t="s">
        <v>2062</v>
      </c>
      <c r="X477" s="121"/>
      <c r="Y477" s="121"/>
      <c r="Z477" s="121"/>
      <c r="AA477" s="121"/>
      <c r="AB477" s="121"/>
      <c r="AC477" s="121"/>
      <c r="AD477" s="121"/>
      <c r="AE477" s="121"/>
      <c r="AF477" s="121"/>
      <c r="AG477" s="121"/>
      <c r="AH477" s="121"/>
      <c r="AI477" s="121"/>
    </row>
    <row r="478" spans="1:35" s="115" customFormat="1" ht="15" customHeight="1">
      <c r="A478" s="555" t="s">
        <v>2066</v>
      </c>
      <c r="B478" s="217" t="str">
        <f t="shared" si="565"/>
        <v>119</v>
      </c>
      <c r="C478" s="217" t="str">
        <f t="shared" si="566"/>
        <v>18</v>
      </c>
      <c r="D478" s="101" t="str">
        <f t="shared" si="567"/>
        <v>183</v>
      </c>
      <c r="E478" s="217" t="str">
        <f t="shared" si="568"/>
        <v>119-18-183</v>
      </c>
      <c r="F478" s="294" t="str">
        <f t="shared" si="569"/>
        <v>55119</v>
      </c>
      <c r="G478" s="295" t="str">
        <f>VLOOKUP(F478,'GL Category'!A:C,3,FALSE)</f>
        <v>Services &amp; other</v>
      </c>
      <c r="H478" s="98" t="str">
        <f>VLOOKUP(F478,'GL Category'!A:C,2,FALSE)</f>
        <v>OFFICE EQUIP LEASE EXP-CITY</v>
      </c>
      <c r="I478" s="99">
        <f>SUMIF(Import!$B:$B,'Other Fund Line-Item Details'!$A478,Import!D:D)</f>
        <v>0</v>
      </c>
      <c r="J478" s="99">
        <f>SUMIF(Import!$B:$B,'Other Fund Line-Item Details'!$A478,Import!E:E)</f>
        <v>0</v>
      </c>
      <c r="K478" s="99">
        <f>SUMIF(Import!$B:$B,'Other Fund Line-Item Details'!$A478,Import!F:F)</f>
        <v>0</v>
      </c>
      <c r="L478" s="99">
        <f>SUMIF(Import!$B:$B,'Other Fund Line-Item Details'!$A478,Import!G:G)</f>
        <v>0</v>
      </c>
      <c r="M478" s="99">
        <f>SUMIF(Import!$B:$B,'Other Fund Line-Item Details'!$A478,Import!H:H)</f>
        <v>0</v>
      </c>
      <c r="N478" s="99">
        <f>SUMIF(Import!$B:$B,'Other Fund Line-Item Details'!$A478,Import!I:I)</f>
        <v>0</v>
      </c>
      <c r="O478" s="99">
        <f>SUMIF(Import!$B:$B,'Other Fund Line-Item Details'!$A478,Import!J:J)</f>
        <v>0</v>
      </c>
      <c r="P478" s="99">
        <f>O478-M478</f>
        <v>0</v>
      </c>
      <c r="Q478" s="99">
        <f>SUMIF(Import!$B:$B,'Other Fund Line-Item Details'!$A478,Import!K:K)</f>
        <v>0</v>
      </c>
      <c r="R478" s="99">
        <f>SUMIF(Import!$B:$B,'Other Fund Line-Item Details'!$A478,Import!L:L)</f>
        <v>0</v>
      </c>
      <c r="S478" s="99">
        <f>SUMIF(Import!$B:$B,'Other Fund Line-Item Details'!$A478,Import!M:M)</f>
        <v>0</v>
      </c>
      <c r="T478" s="99">
        <f>SUMIF(Import!$B:$B,'Other Fund Line-Item Details'!$A478,Import!N:N)</f>
        <v>0</v>
      </c>
      <c r="U478" s="99">
        <f t="shared" si="570"/>
        <v>0</v>
      </c>
      <c r="V478" s="255" t="str">
        <f t="shared" si="571"/>
        <v>N/A</v>
      </c>
      <c r="W478" s="102" t="s">
        <v>2066</v>
      </c>
      <c r="X478" s="121"/>
      <c r="Y478" s="121"/>
      <c r="Z478" s="121"/>
      <c r="AA478" s="121"/>
      <c r="AB478" s="121"/>
      <c r="AC478" s="121"/>
      <c r="AD478" s="121"/>
      <c r="AE478" s="121"/>
      <c r="AF478" s="121"/>
      <c r="AG478" s="121"/>
      <c r="AH478" s="121"/>
      <c r="AI478" s="121"/>
    </row>
    <row r="479" spans="1:35" s="115" customFormat="1" ht="15" customHeight="1">
      <c r="A479" s="555"/>
      <c r="B479" s="217"/>
      <c r="C479" s="217"/>
      <c r="D479" s="101"/>
      <c r="E479" s="217"/>
      <c r="F479" s="294"/>
      <c r="G479" s="146"/>
      <c r="H479" s="107" t="str">
        <f>UPPER(G478)&amp;" TOTAL"</f>
        <v>SERVICES &amp; OTHER TOTAL</v>
      </c>
      <c r="I479" s="108">
        <f t="shared" ref="I479" si="572">SUBTOTAL(9,I474:I478)</f>
        <v>16417.37</v>
      </c>
      <c r="J479" s="108">
        <f t="shared" ref="J479:T479" si="573">SUBTOTAL(9,J474:J478)</f>
        <v>18714.330000000002</v>
      </c>
      <c r="K479" s="108">
        <f t="shared" ref="K479" si="574">SUBTOTAL(9,K474:K478)</f>
        <v>18345.93</v>
      </c>
      <c r="L479" s="108">
        <f t="shared" ref="L479" si="575">SUBTOTAL(9,L474:L478)</f>
        <v>14581.19</v>
      </c>
      <c r="M479" s="108">
        <f t="shared" si="573"/>
        <v>30200</v>
      </c>
      <c r="N479" s="108">
        <f t="shared" ref="N479" si="576">SUBTOTAL(9,N474:N478)</f>
        <v>9693.49</v>
      </c>
      <c r="O479" s="108">
        <f t="shared" si="573"/>
        <v>25200</v>
      </c>
      <c r="P479" s="108">
        <f t="shared" si="573"/>
        <v>-5000</v>
      </c>
      <c r="Q479" s="108">
        <f t="shared" si="573"/>
        <v>27600</v>
      </c>
      <c r="R479" s="108">
        <f t="shared" si="573"/>
        <v>0</v>
      </c>
      <c r="S479" s="108">
        <f t="shared" si="573"/>
        <v>0</v>
      </c>
      <c r="T479" s="108">
        <f t="shared" si="573"/>
        <v>27600</v>
      </c>
      <c r="U479" s="99">
        <f t="shared" si="570"/>
        <v>-2600</v>
      </c>
      <c r="V479" s="255">
        <f t="shared" si="571"/>
        <v>-8.6092715231788075E-2</v>
      </c>
      <c r="W479" s="102"/>
      <c r="X479" s="121"/>
      <c r="Y479" s="121"/>
      <c r="Z479" s="121"/>
      <c r="AA479" s="121"/>
      <c r="AB479" s="121"/>
      <c r="AC479" s="121"/>
      <c r="AD479" s="121"/>
      <c r="AE479" s="121"/>
      <c r="AF479" s="121"/>
      <c r="AG479" s="121"/>
      <c r="AH479" s="121"/>
      <c r="AI479" s="121"/>
    </row>
    <row r="480" spans="1:35" s="115" customFormat="1" ht="15" customHeight="1">
      <c r="A480" s="555"/>
      <c r="B480" s="217"/>
      <c r="C480" s="217"/>
      <c r="D480" s="101"/>
      <c r="E480" s="217"/>
      <c r="F480" s="294"/>
      <c r="G480" s="146"/>
      <c r="H480" s="232"/>
      <c r="I480" s="233"/>
      <c r="J480" s="233"/>
      <c r="K480" s="233"/>
      <c r="L480" s="233"/>
      <c r="M480" s="233"/>
      <c r="N480" s="233"/>
      <c r="O480" s="233"/>
      <c r="P480" s="233"/>
      <c r="Q480" s="233"/>
      <c r="R480" s="233"/>
      <c r="S480" s="233"/>
      <c r="T480" s="233"/>
      <c r="U480" s="105"/>
      <c r="V480" s="262"/>
      <c r="W480" s="102"/>
      <c r="X480" s="121"/>
      <c r="Y480" s="121"/>
      <c r="Z480" s="121"/>
      <c r="AA480" s="121"/>
      <c r="AB480" s="121"/>
      <c r="AC480" s="121"/>
      <c r="AD480" s="121"/>
      <c r="AE480" s="121"/>
      <c r="AF480" s="121"/>
      <c r="AG480" s="121"/>
      <c r="AH480" s="121"/>
      <c r="AI480" s="121"/>
    </row>
    <row r="481" spans="1:35" s="115" customFormat="1" ht="15" customHeight="1">
      <c r="A481" s="555"/>
      <c r="B481" s="217"/>
      <c r="C481" s="217"/>
      <c r="D481" s="101"/>
      <c r="E481" s="217"/>
      <c r="F481" s="294"/>
      <c r="G481" s="146"/>
      <c r="H481" s="114" t="s">
        <v>763</v>
      </c>
      <c r="I481" s="108">
        <f t="shared" ref="I481" si="577">SUBTOTAL(9,I453:I480)</f>
        <v>240726.14999999997</v>
      </c>
      <c r="J481" s="108">
        <f t="shared" ref="J481:T481" si="578">SUBTOTAL(9,J453:J480)</f>
        <v>246687.84999999995</v>
      </c>
      <c r="K481" s="108">
        <f t="shared" ref="K481" si="579">SUBTOTAL(9,K453:K480)</f>
        <v>258779.68999999994</v>
      </c>
      <c r="L481" s="108">
        <f t="shared" ref="L481" si="580">SUBTOTAL(9,L453:L480)</f>
        <v>264235.40999999997</v>
      </c>
      <c r="M481" s="108">
        <f t="shared" si="578"/>
        <v>320534</v>
      </c>
      <c r="N481" s="108">
        <f t="shared" ref="N481" si="581">SUBTOTAL(9,N453:N480)</f>
        <v>221725.49</v>
      </c>
      <c r="O481" s="108">
        <f t="shared" si="578"/>
        <v>319331</v>
      </c>
      <c r="P481" s="108">
        <f t="shared" si="578"/>
        <v>-1203</v>
      </c>
      <c r="Q481" s="108">
        <f t="shared" si="578"/>
        <v>311076</v>
      </c>
      <c r="R481" s="108">
        <f t="shared" si="578"/>
        <v>0</v>
      </c>
      <c r="S481" s="108">
        <f t="shared" si="578"/>
        <v>0</v>
      </c>
      <c r="T481" s="108">
        <f t="shared" si="578"/>
        <v>311076</v>
      </c>
      <c r="U481" s="99">
        <f>T481-M481</f>
        <v>-9458</v>
      </c>
      <c r="V481" s="255">
        <f>IF(M481=0,"N/A",T481/M481-1)</f>
        <v>-2.950701017676749E-2</v>
      </c>
      <c r="W481" s="102"/>
      <c r="X481" s="121"/>
      <c r="Y481" s="121"/>
      <c r="Z481" s="121"/>
      <c r="AA481" s="121"/>
      <c r="AB481" s="121"/>
      <c r="AC481" s="121"/>
      <c r="AD481" s="121"/>
      <c r="AE481" s="121"/>
      <c r="AF481" s="121"/>
      <c r="AG481" s="121"/>
      <c r="AH481" s="121"/>
      <c r="AI481" s="121"/>
    </row>
    <row r="482" spans="1:35" s="115" customFormat="1" ht="15" customHeight="1">
      <c r="A482" s="555"/>
      <c r="B482" s="217"/>
      <c r="C482" s="217"/>
      <c r="D482" s="101"/>
      <c r="E482" s="217"/>
      <c r="F482" s="294"/>
      <c r="G482" s="146"/>
      <c r="H482" s="232"/>
      <c r="I482" s="233"/>
      <c r="J482" s="233"/>
      <c r="K482" s="233"/>
      <c r="L482" s="233"/>
      <c r="M482" s="233"/>
      <c r="N482" s="202"/>
      <c r="O482" s="202"/>
      <c r="P482" s="202"/>
      <c r="Q482" s="202"/>
      <c r="R482" s="202"/>
      <c r="S482" s="202"/>
      <c r="T482" s="202"/>
      <c r="U482" s="105"/>
      <c r="V482" s="262"/>
      <c r="W482" s="102"/>
      <c r="X482" s="121"/>
      <c r="Y482" s="121"/>
      <c r="Z482" s="121"/>
      <c r="AA482" s="121"/>
      <c r="AB482" s="121"/>
      <c r="AC482" s="121"/>
      <c r="AD482" s="121"/>
      <c r="AE482" s="121"/>
      <c r="AF482" s="121"/>
      <c r="AG482" s="121"/>
      <c r="AH482" s="121"/>
      <c r="AI482" s="121"/>
    </row>
    <row r="483" spans="1:35" s="115" customFormat="1" ht="15" customHeight="1" thickBot="1">
      <c r="A483" s="555"/>
      <c r="B483" s="217"/>
      <c r="C483" s="217"/>
      <c r="D483" s="101"/>
      <c r="E483" s="217"/>
      <c r="F483" s="294"/>
      <c r="G483" s="146"/>
      <c r="H483" s="225"/>
      <c r="I483" s="225"/>
      <c r="J483" s="225"/>
      <c r="K483" s="225"/>
      <c r="L483" s="225"/>
      <c r="M483" s="225"/>
      <c r="N483" s="225"/>
      <c r="O483" s="225"/>
      <c r="P483" s="225"/>
      <c r="Q483" s="225"/>
      <c r="R483" s="225"/>
      <c r="S483" s="225"/>
      <c r="T483" s="225"/>
      <c r="U483" s="105"/>
      <c r="V483" s="262"/>
      <c r="W483" s="102"/>
      <c r="X483" s="121"/>
      <c r="Y483" s="121"/>
      <c r="Z483" s="121"/>
      <c r="AA483" s="121"/>
      <c r="AB483" s="121"/>
      <c r="AC483" s="121"/>
      <c r="AD483" s="121"/>
      <c r="AE483" s="121"/>
      <c r="AF483" s="121"/>
      <c r="AG483" s="121"/>
      <c r="AH483" s="121"/>
      <c r="AI483" s="121"/>
    </row>
    <row r="484" spans="1:35" s="115" customFormat="1" ht="21.6" thickBot="1">
      <c r="A484" s="555"/>
      <c r="B484" s="217"/>
      <c r="C484" s="217"/>
      <c r="D484" s="101"/>
      <c r="E484" s="217"/>
      <c r="F484" s="294"/>
      <c r="G484" s="146"/>
      <c r="H484" s="665" t="s">
        <v>989</v>
      </c>
      <c r="I484" s="666"/>
      <c r="J484" s="666"/>
      <c r="K484" s="666"/>
      <c r="L484" s="666"/>
      <c r="M484" s="666"/>
      <c r="N484" s="666"/>
      <c r="O484" s="666"/>
      <c r="P484" s="666"/>
      <c r="Q484" s="666"/>
      <c r="R484" s="666"/>
      <c r="S484" s="666"/>
      <c r="T484" s="667"/>
      <c r="U484" s="264">
        <f>T484-M484</f>
        <v>0</v>
      </c>
      <c r="V484" s="265" t="str">
        <f>IF(Q484="","",IF(T484=SUM(Q484:S484),"OK","NO"))</f>
        <v/>
      </c>
      <c r="W484" s="102"/>
      <c r="X484" s="121"/>
      <c r="Y484" s="121"/>
      <c r="Z484" s="121"/>
      <c r="AA484" s="121"/>
      <c r="AB484" s="121"/>
      <c r="AC484" s="121"/>
      <c r="AD484" s="121"/>
      <c r="AE484" s="121"/>
      <c r="AF484" s="121"/>
      <c r="AG484" s="121"/>
      <c r="AH484" s="121"/>
      <c r="AI484" s="121"/>
    </row>
    <row r="485" spans="1:35" s="115" customFormat="1" ht="15" customHeight="1">
      <c r="A485" s="555"/>
      <c r="B485" s="217"/>
      <c r="C485" s="217"/>
      <c r="D485" s="101"/>
      <c r="E485" s="217"/>
      <c r="F485" s="294"/>
      <c r="G485" s="146"/>
      <c r="H485" s="98"/>
      <c r="I485" s="106"/>
      <c r="J485" s="106"/>
      <c r="K485" s="106"/>
      <c r="L485" s="106"/>
      <c r="M485" s="106"/>
      <c r="N485" s="112"/>
      <c r="O485" s="112"/>
      <c r="P485" s="112"/>
      <c r="Q485" s="113"/>
      <c r="R485" s="212"/>
      <c r="S485" s="212"/>
      <c r="T485" s="113"/>
      <c r="U485" s="105"/>
      <c r="V485" s="262"/>
      <c r="W485" s="102"/>
      <c r="X485" s="121"/>
      <c r="Y485" s="121"/>
      <c r="Z485" s="121"/>
      <c r="AA485" s="121"/>
      <c r="AB485" s="121"/>
      <c r="AC485" s="121"/>
      <c r="AD485" s="121"/>
      <c r="AE485" s="121"/>
      <c r="AF485" s="121"/>
      <c r="AG485" s="121"/>
      <c r="AH485" s="121"/>
      <c r="AI485" s="121"/>
    </row>
    <row r="486" spans="1:35" s="115" customFormat="1" ht="15" customHeight="1">
      <c r="A486" s="555" t="s">
        <v>2067</v>
      </c>
      <c r="B486" s="217" t="str">
        <f t="shared" si="565"/>
        <v>119</v>
      </c>
      <c r="C486" s="217" t="str">
        <f t="shared" si="566"/>
        <v>18</v>
      </c>
      <c r="D486" s="101" t="str">
        <f t="shared" si="567"/>
        <v>186</v>
      </c>
      <c r="E486" s="217" t="str">
        <f t="shared" si="568"/>
        <v>119-18-186</v>
      </c>
      <c r="F486" s="294" t="str">
        <f t="shared" si="569"/>
        <v>51230</v>
      </c>
      <c r="G486" s="295" t="str">
        <f>VLOOKUP(F486,'GL Category'!A:C,3,FALSE)</f>
        <v>Operations &amp; maintenance</v>
      </c>
      <c r="H486" s="98" t="str">
        <f>VLOOKUP(F486,'GL Category'!A:C,2,FALSE)</f>
        <v>COMPUTER SUPPLIES</v>
      </c>
      <c r="I486" s="99">
        <f>SUMIF(Import!$B:$B,'Other Fund Line-Item Details'!$A486,Import!D:D)</f>
        <v>173535.93</v>
      </c>
      <c r="J486" s="99">
        <f>SUMIF(Import!$B:$B,'Other Fund Line-Item Details'!$A486,Import!E:E)</f>
        <v>132414.73000000001</v>
      </c>
      <c r="K486" s="99">
        <f>SUMIF(Import!$B:$B,'Other Fund Line-Item Details'!$A486,Import!F:F)</f>
        <v>85696.59</v>
      </c>
      <c r="L486" s="99">
        <f>SUMIF(Import!$B:$B,'Other Fund Line-Item Details'!$A486,Import!G:G)</f>
        <v>106131.55</v>
      </c>
      <c r="M486" s="99">
        <f>SUMIF(Import!$B:$B,'Other Fund Line-Item Details'!$A486,Import!H:H)</f>
        <v>335350</v>
      </c>
      <c r="N486" s="99">
        <f>SUMIF(Import!$B:$B,'Other Fund Line-Item Details'!$A486,Import!I:I)</f>
        <v>183532.63</v>
      </c>
      <c r="O486" s="99">
        <f>SUMIF(Import!$B:$B,'Other Fund Line-Item Details'!$A486,Import!J:J)</f>
        <v>335350</v>
      </c>
      <c r="P486" s="99">
        <f>O486-M486</f>
        <v>0</v>
      </c>
      <c r="Q486" s="99">
        <f>SUMIF(Import!$B:$B,'Other Fund Line-Item Details'!$A486,Import!K:K)</f>
        <v>278000</v>
      </c>
      <c r="R486" s="99">
        <f>SUMIF(Import!$B:$B,'Other Fund Line-Item Details'!$A486,Import!L:L)</f>
        <v>0</v>
      </c>
      <c r="S486" s="99">
        <f>SUMIF(Import!$B:$B,'Other Fund Line-Item Details'!$A486,Import!M:M)</f>
        <v>0</v>
      </c>
      <c r="T486" s="99">
        <f>SUMIF(Import!$B:$B,'Other Fund Line-Item Details'!$A486,Import!N:N)</f>
        <v>278000</v>
      </c>
      <c r="U486" s="99">
        <f>T486-M486</f>
        <v>-57350</v>
      </c>
      <c r="V486" s="255">
        <f>IF(M486=0,"N/A",T486/M486-1)</f>
        <v>-0.17101535708960791</v>
      </c>
      <c r="W486" s="102" t="s">
        <v>2067</v>
      </c>
      <c r="X486" s="121"/>
      <c r="Y486" s="121"/>
      <c r="Z486" s="121"/>
      <c r="AA486" s="121"/>
      <c r="AB486" s="121"/>
      <c r="AC486" s="121"/>
      <c r="AD486" s="121"/>
      <c r="AE486" s="121"/>
      <c r="AF486" s="121"/>
      <c r="AG486" s="121"/>
      <c r="AH486" s="121"/>
      <c r="AI486" s="121"/>
    </row>
    <row r="487" spans="1:35" s="115" customFormat="1" ht="15" customHeight="1">
      <c r="A487" s="555" t="s">
        <v>2068</v>
      </c>
      <c r="B487" s="217" t="str">
        <f t="shared" si="565"/>
        <v>119</v>
      </c>
      <c r="C487" s="217" t="str">
        <f t="shared" si="566"/>
        <v>18</v>
      </c>
      <c r="D487" s="101" t="str">
        <f t="shared" si="567"/>
        <v>186</v>
      </c>
      <c r="E487" s="217" t="str">
        <f t="shared" si="568"/>
        <v>119-18-186</v>
      </c>
      <c r="F487" s="294" t="str">
        <f t="shared" si="569"/>
        <v>51245</v>
      </c>
      <c r="G487" s="295" t="str">
        <f>VLOOKUP(F487,'GL Category'!A:C,3,FALSE)</f>
        <v>Operations &amp; maintenance</v>
      </c>
      <c r="H487" s="98" t="str">
        <f>VLOOKUP(F487,'GL Category'!A:C,2,FALSE)</f>
        <v>SMALL TOOLS &amp; EQUIPMENT</v>
      </c>
      <c r="I487" s="99">
        <f>SUMIF(Import!$B:$B,'Other Fund Line-Item Details'!$A487,Import!D:D)</f>
        <v>0</v>
      </c>
      <c r="J487" s="99">
        <f>SUMIF(Import!$B:$B,'Other Fund Line-Item Details'!$A487,Import!E:E)</f>
        <v>0</v>
      </c>
      <c r="K487" s="99">
        <f>SUMIF(Import!$B:$B,'Other Fund Line-Item Details'!$A487,Import!F:F)</f>
        <v>0</v>
      </c>
      <c r="L487" s="99">
        <f>SUMIF(Import!$B:$B,'Other Fund Line-Item Details'!$A487,Import!G:G)</f>
        <v>0</v>
      </c>
      <c r="M487" s="99">
        <f>SUMIF(Import!$B:$B,'Other Fund Line-Item Details'!$A487,Import!H:H)</f>
        <v>0</v>
      </c>
      <c r="N487" s="99">
        <f>SUMIF(Import!$B:$B,'Other Fund Line-Item Details'!$A487,Import!I:I)</f>
        <v>0</v>
      </c>
      <c r="O487" s="99">
        <f>SUMIF(Import!$B:$B,'Other Fund Line-Item Details'!$A487,Import!J:J)</f>
        <v>0</v>
      </c>
      <c r="P487" s="99">
        <f>O487-M487</f>
        <v>0</v>
      </c>
      <c r="Q487" s="99">
        <f>SUMIF(Import!$B:$B,'Other Fund Line-Item Details'!$A487,Import!K:K)</f>
        <v>0</v>
      </c>
      <c r="R487" s="99">
        <f>SUMIF(Import!$B:$B,'Other Fund Line-Item Details'!$A487,Import!L:L)</f>
        <v>0</v>
      </c>
      <c r="S487" s="99">
        <f>SUMIF(Import!$B:$B,'Other Fund Line-Item Details'!$A487,Import!M:M)</f>
        <v>0</v>
      </c>
      <c r="T487" s="99">
        <f>SUMIF(Import!$B:$B,'Other Fund Line-Item Details'!$A487,Import!N:N)</f>
        <v>0</v>
      </c>
      <c r="U487" s="99">
        <f>T487-M487</f>
        <v>0</v>
      </c>
      <c r="V487" s="255" t="str">
        <f>IF(M487=0,"N/A",T487/M487-1)</f>
        <v>N/A</v>
      </c>
      <c r="W487" s="102" t="s">
        <v>2068</v>
      </c>
      <c r="X487" s="121"/>
      <c r="Y487" s="121"/>
      <c r="Z487" s="121"/>
      <c r="AA487" s="121"/>
      <c r="AB487" s="121"/>
      <c r="AC487" s="121"/>
      <c r="AD487" s="121"/>
      <c r="AE487" s="121"/>
      <c r="AF487" s="121"/>
      <c r="AG487" s="121"/>
      <c r="AH487" s="121"/>
      <c r="AI487" s="121"/>
    </row>
    <row r="488" spans="1:35" s="115" customFormat="1" ht="15" customHeight="1">
      <c r="A488" s="555"/>
      <c r="B488" s="217"/>
      <c r="C488" s="217"/>
      <c r="D488" s="101"/>
      <c r="E488" s="217"/>
      <c r="F488" s="294"/>
      <c r="G488" s="146"/>
      <c r="H488" s="107" t="str">
        <f>G486</f>
        <v>Operations &amp; maintenance</v>
      </c>
      <c r="I488" s="108">
        <f t="shared" ref="I488" si="582">SUBTOTAL(9,I486:I487)</f>
        <v>173535.93</v>
      </c>
      <c r="J488" s="108">
        <f t="shared" ref="J488:S488" si="583">SUBTOTAL(9,J486:J487)</f>
        <v>132414.73000000001</v>
      </c>
      <c r="K488" s="108">
        <f t="shared" ref="K488" si="584">SUBTOTAL(9,K486:K487)</f>
        <v>85696.59</v>
      </c>
      <c r="L488" s="108">
        <f t="shared" ref="L488" si="585">SUBTOTAL(9,L486:L487)</f>
        <v>106131.55</v>
      </c>
      <c r="M488" s="108">
        <f t="shared" si="583"/>
        <v>335350</v>
      </c>
      <c r="N488" s="109">
        <f t="shared" ref="N488" si="586">SUBTOTAL(9,N486:N487)</f>
        <v>183532.63</v>
      </c>
      <c r="O488" s="109">
        <f t="shared" si="583"/>
        <v>335350</v>
      </c>
      <c r="P488" s="109">
        <f t="shared" si="583"/>
        <v>0</v>
      </c>
      <c r="Q488" s="109">
        <f t="shared" si="583"/>
        <v>278000</v>
      </c>
      <c r="R488" s="109">
        <f t="shared" si="583"/>
        <v>0</v>
      </c>
      <c r="S488" s="109">
        <f t="shared" si="583"/>
        <v>0</v>
      </c>
      <c r="T488" s="109">
        <f>SUBTOTAL(9,T486:T487)</f>
        <v>278000</v>
      </c>
      <c r="U488" s="99">
        <f>T488-M488</f>
        <v>-57350</v>
      </c>
      <c r="V488" s="255">
        <f>IF(M488=0,"N/A",T488/M488-1)</f>
        <v>-0.17101535708960791</v>
      </c>
      <c r="W488" s="102"/>
      <c r="X488" s="121"/>
      <c r="Y488" s="121"/>
      <c r="Z488" s="121"/>
      <c r="AA488" s="121"/>
      <c r="AB488" s="121"/>
      <c r="AC488" s="121"/>
      <c r="AD488" s="121"/>
      <c r="AE488" s="121"/>
      <c r="AF488" s="121"/>
      <c r="AG488" s="121"/>
      <c r="AH488" s="121"/>
      <c r="AI488" s="121"/>
    </row>
    <row r="489" spans="1:35" s="115" customFormat="1" ht="15" customHeight="1">
      <c r="A489" s="555"/>
      <c r="B489" s="217"/>
      <c r="C489" s="217"/>
      <c r="D489" s="101"/>
      <c r="E489" s="217"/>
      <c r="F489" s="294"/>
      <c r="G489" s="146"/>
      <c r="H489" s="98"/>
      <c r="I489" s="106"/>
      <c r="J489" s="106"/>
      <c r="K489" s="106"/>
      <c r="L489" s="106"/>
      <c r="M489" s="106"/>
      <c r="N489" s="112"/>
      <c r="O489" s="112"/>
      <c r="P489" s="112"/>
      <c r="Q489" s="113"/>
      <c r="R489" s="99"/>
      <c r="S489" s="99"/>
      <c r="T489" s="113"/>
      <c r="U489" s="105"/>
      <c r="V489" s="262"/>
      <c r="W489" s="102"/>
      <c r="X489" s="121"/>
      <c r="Y489" s="121"/>
      <c r="Z489" s="121"/>
      <c r="AA489" s="121"/>
      <c r="AB489" s="121"/>
      <c r="AC489" s="121"/>
      <c r="AD489" s="121"/>
      <c r="AE489" s="121"/>
      <c r="AF489" s="121"/>
      <c r="AG489" s="121"/>
      <c r="AH489" s="121"/>
      <c r="AI489" s="121"/>
    </row>
    <row r="490" spans="1:35" s="115" customFormat="1" ht="15" customHeight="1">
      <c r="A490" s="555"/>
      <c r="B490" s="217"/>
      <c r="C490" s="217"/>
      <c r="D490" s="101"/>
      <c r="E490" s="217"/>
      <c r="F490" s="294"/>
      <c r="G490" s="146"/>
      <c r="H490" s="232"/>
      <c r="I490" s="233"/>
      <c r="J490" s="233"/>
      <c r="K490" s="233"/>
      <c r="L490" s="233"/>
      <c r="M490" s="233"/>
      <c r="N490" s="233"/>
      <c r="O490" s="233"/>
      <c r="P490" s="233"/>
      <c r="Q490" s="233"/>
      <c r="R490" s="233"/>
      <c r="S490" s="233"/>
      <c r="T490" s="233"/>
      <c r="U490" s="105"/>
      <c r="V490" s="262"/>
      <c r="W490" s="102"/>
      <c r="X490" s="121"/>
      <c r="Y490" s="121"/>
      <c r="Z490" s="121"/>
      <c r="AA490" s="121"/>
      <c r="AB490" s="121"/>
      <c r="AC490" s="121"/>
      <c r="AD490" s="121"/>
      <c r="AE490" s="121"/>
      <c r="AF490" s="121"/>
      <c r="AG490" s="121"/>
      <c r="AH490" s="121"/>
      <c r="AI490" s="121"/>
    </row>
    <row r="491" spans="1:35" s="115" customFormat="1" ht="15" customHeight="1">
      <c r="A491" s="555" t="s">
        <v>2069</v>
      </c>
      <c r="B491" s="217" t="str">
        <f t="shared" si="565"/>
        <v>119</v>
      </c>
      <c r="C491" s="217" t="str">
        <f t="shared" si="566"/>
        <v>18</v>
      </c>
      <c r="D491" s="101" t="str">
        <f t="shared" si="567"/>
        <v>186</v>
      </c>
      <c r="E491" s="217" t="str">
        <f t="shared" si="568"/>
        <v>119-18-186</v>
      </c>
      <c r="F491" s="294" t="str">
        <f t="shared" si="569"/>
        <v>58830</v>
      </c>
      <c r="G491" s="295" t="str">
        <f>VLOOKUP(F491,'GL Category'!A:C,3,FALSE)</f>
        <v>Capital Outlay</v>
      </c>
      <c r="H491" s="98" t="str">
        <f>VLOOKUP(F491,'GL Category'!A:C,2,FALSE)</f>
        <v>MACHINERY &amp; EQUIPMENT</v>
      </c>
      <c r="I491" s="99">
        <f>SUMIF(Import!$B:$B,'Other Fund Line-Item Details'!$A491,Import!D:D)</f>
        <v>0</v>
      </c>
      <c r="J491" s="99">
        <f>SUMIF(Import!$B:$B,'Other Fund Line-Item Details'!$A491,Import!E:E)</f>
        <v>6771.89</v>
      </c>
      <c r="K491" s="99">
        <f>SUMIF(Import!$B:$B,'Other Fund Line-Item Details'!$A491,Import!F:F)</f>
        <v>0</v>
      </c>
      <c r="L491" s="99">
        <f>SUMIF(Import!$B:$B,'Other Fund Line-Item Details'!$A491,Import!G:G)</f>
        <v>117750</v>
      </c>
      <c r="M491" s="99">
        <f>SUMIF(Import!$B:$B,'Other Fund Line-Item Details'!$A491,Import!H:H)</f>
        <v>0</v>
      </c>
      <c r="N491" s="99">
        <f>SUMIF(Import!$B:$B,'Other Fund Line-Item Details'!$A491,Import!I:I)</f>
        <v>5906.49</v>
      </c>
      <c r="O491" s="99">
        <f>SUMIF(Import!$B:$B,'Other Fund Line-Item Details'!$A491,Import!J:J)</f>
        <v>5950</v>
      </c>
      <c r="P491" s="99">
        <f>O491-M491</f>
        <v>5950</v>
      </c>
      <c r="Q491" s="99">
        <f>SUMIF(Import!$B:$B,'Other Fund Line-Item Details'!$A491,Import!K:K)</f>
        <v>0</v>
      </c>
      <c r="R491" s="99">
        <f>SUMIF(Import!$B:$B,'Other Fund Line-Item Details'!$A491,Import!L:L)</f>
        <v>0</v>
      </c>
      <c r="S491" s="99">
        <f>SUMIF(Import!$B:$B,'Other Fund Line-Item Details'!$A491,Import!M:M)</f>
        <v>0</v>
      </c>
      <c r="T491" s="99">
        <f>SUMIF(Import!$B:$B,'Other Fund Line-Item Details'!$A491,Import!N:N)</f>
        <v>0</v>
      </c>
      <c r="U491" s="99">
        <f>T491-M491</f>
        <v>0</v>
      </c>
      <c r="V491" s="255" t="str">
        <f>IF(M491=0,"N/A",T491/M491-1)</f>
        <v>N/A</v>
      </c>
      <c r="W491" s="102" t="s">
        <v>2069</v>
      </c>
      <c r="X491" s="121"/>
      <c r="Y491" s="121"/>
      <c r="Z491" s="121"/>
      <c r="AA491" s="121"/>
      <c r="AB491" s="121"/>
      <c r="AC491" s="121"/>
      <c r="AD491" s="121"/>
      <c r="AE491" s="121"/>
      <c r="AF491" s="121"/>
      <c r="AG491" s="121"/>
      <c r="AH491" s="121"/>
      <c r="AI491" s="121"/>
    </row>
    <row r="492" spans="1:35" s="115" customFormat="1" ht="15" customHeight="1">
      <c r="A492" s="555"/>
      <c r="B492" s="217"/>
      <c r="C492" s="217"/>
      <c r="D492" s="101"/>
      <c r="E492" s="217"/>
      <c r="F492" s="294"/>
      <c r="G492" s="146"/>
      <c r="H492" s="107">
        <f>G490</f>
        <v>0</v>
      </c>
      <c r="I492" s="108">
        <f t="shared" ref="I492" si="587">SUBTOTAL(9,I490:I491)</f>
        <v>0</v>
      </c>
      <c r="J492" s="108">
        <f t="shared" ref="J492:S492" si="588">SUBTOTAL(9,J490:J491)</f>
        <v>6771.89</v>
      </c>
      <c r="K492" s="108">
        <f t="shared" ref="K492" si="589">SUBTOTAL(9,K490:K491)</f>
        <v>0</v>
      </c>
      <c r="L492" s="108">
        <f t="shared" ref="L492" si="590">SUBTOTAL(9,L490:L491)</f>
        <v>117750</v>
      </c>
      <c r="M492" s="108">
        <f t="shared" si="588"/>
        <v>0</v>
      </c>
      <c r="N492" s="109">
        <f t="shared" ref="N492" si="591">SUBTOTAL(9,N490:N491)</f>
        <v>5906.49</v>
      </c>
      <c r="O492" s="109">
        <f t="shared" si="588"/>
        <v>5950</v>
      </c>
      <c r="P492" s="109">
        <f t="shared" si="588"/>
        <v>5950</v>
      </c>
      <c r="Q492" s="109">
        <f t="shared" si="588"/>
        <v>0</v>
      </c>
      <c r="R492" s="109">
        <f t="shared" si="588"/>
        <v>0</v>
      </c>
      <c r="S492" s="109">
        <f t="shared" si="588"/>
        <v>0</v>
      </c>
      <c r="T492" s="109">
        <f>SUBTOTAL(9,T490:T491)</f>
        <v>0</v>
      </c>
      <c r="U492" s="99">
        <f>T492-M492</f>
        <v>0</v>
      </c>
      <c r="V492" s="255" t="str">
        <f>IF(M492=0,"N/A",T492/M492-1)</f>
        <v>N/A</v>
      </c>
      <c r="W492" s="102"/>
      <c r="X492" s="121"/>
      <c r="Y492" s="121"/>
      <c r="Z492" s="121"/>
      <c r="AA492" s="121"/>
      <c r="AB492" s="121"/>
      <c r="AC492" s="121"/>
      <c r="AD492" s="121"/>
      <c r="AE492" s="121"/>
      <c r="AF492" s="121"/>
      <c r="AG492" s="121"/>
      <c r="AH492" s="121"/>
      <c r="AI492" s="121"/>
    </row>
    <row r="493" spans="1:35" s="115" customFormat="1" ht="15" customHeight="1">
      <c r="A493" s="555"/>
      <c r="B493" s="217"/>
      <c r="C493" s="217"/>
      <c r="D493" s="101"/>
      <c r="E493" s="217"/>
      <c r="F493" s="294"/>
      <c r="G493" s="146"/>
      <c r="H493" s="98"/>
      <c r="I493" s="106"/>
      <c r="J493" s="106"/>
      <c r="K493" s="106"/>
      <c r="L493" s="106"/>
      <c r="M493" s="106"/>
      <c r="N493" s="112"/>
      <c r="O493" s="112"/>
      <c r="P493" s="112"/>
      <c r="Q493" s="113"/>
      <c r="R493" s="99"/>
      <c r="S493" s="99"/>
      <c r="T493" s="113"/>
      <c r="U493" s="105"/>
      <c r="V493" s="262"/>
      <c r="W493" s="102"/>
      <c r="X493" s="121"/>
      <c r="Y493" s="121"/>
      <c r="Z493" s="121"/>
      <c r="AA493" s="121"/>
      <c r="AB493" s="121"/>
      <c r="AC493" s="121"/>
      <c r="AD493" s="121"/>
      <c r="AE493" s="121"/>
      <c r="AF493" s="121"/>
      <c r="AG493" s="121"/>
      <c r="AH493" s="121"/>
      <c r="AI493" s="121"/>
    </row>
    <row r="494" spans="1:35" s="115" customFormat="1" ht="15" customHeight="1">
      <c r="A494" s="555"/>
      <c r="B494" s="217"/>
      <c r="C494" s="217"/>
      <c r="D494" s="101"/>
      <c r="E494" s="217"/>
      <c r="F494" s="294"/>
      <c r="G494" s="146"/>
      <c r="H494" s="232"/>
      <c r="I494" s="233"/>
      <c r="J494" s="233"/>
      <c r="K494" s="233"/>
      <c r="L494" s="233"/>
      <c r="M494" s="233"/>
      <c r="N494" s="233"/>
      <c r="O494" s="233"/>
      <c r="P494" s="233"/>
      <c r="Q494" s="233"/>
      <c r="R494" s="233"/>
      <c r="S494" s="233"/>
      <c r="T494" s="233"/>
      <c r="U494" s="105"/>
      <c r="V494" s="262"/>
      <c r="W494" s="102"/>
      <c r="X494" s="121"/>
      <c r="Y494" s="121"/>
      <c r="Z494" s="121"/>
      <c r="AA494" s="121"/>
      <c r="AB494" s="121"/>
      <c r="AC494" s="121"/>
      <c r="AD494" s="121"/>
      <c r="AE494" s="121"/>
      <c r="AF494" s="121"/>
      <c r="AG494" s="121"/>
      <c r="AH494" s="121"/>
      <c r="AI494" s="121"/>
    </row>
    <row r="495" spans="1:35" s="115" customFormat="1" ht="15" customHeight="1">
      <c r="A495" s="555"/>
      <c r="B495" s="217"/>
      <c r="C495" s="217"/>
      <c r="D495" s="101"/>
      <c r="E495" s="217"/>
      <c r="F495" s="294"/>
      <c r="G495" s="146"/>
      <c r="H495" s="114" t="s">
        <v>763</v>
      </c>
      <c r="I495" s="108">
        <f t="shared" ref="I495" si="592">SUBTOTAL(9,I486:I492)</f>
        <v>173535.93</v>
      </c>
      <c r="J495" s="108">
        <f t="shared" ref="J495:T495" si="593">SUBTOTAL(9,J486:J492)</f>
        <v>139186.62000000002</v>
      </c>
      <c r="K495" s="108">
        <f t="shared" ref="K495" si="594">SUBTOTAL(9,K486:K492)</f>
        <v>85696.59</v>
      </c>
      <c r="L495" s="108">
        <f t="shared" ref="L495" si="595">SUBTOTAL(9,L486:L492)</f>
        <v>223881.55</v>
      </c>
      <c r="M495" s="108">
        <f t="shared" si="593"/>
        <v>335350</v>
      </c>
      <c r="N495" s="108">
        <f t="shared" ref="N495" si="596">SUBTOTAL(9,N486:N492)</f>
        <v>189439.12</v>
      </c>
      <c r="O495" s="108">
        <f t="shared" si="593"/>
        <v>341300</v>
      </c>
      <c r="P495" s="108">
        <f t="shared" si="593"/>
        <v>5950</v>
      </c>
      <c r="Q495" s="108">
        <f t="shared" si="593"/>
        <v>278000</v>
      </c>
      <c r="R495" s="108">
        <f t="shared" si="593"/>
        <v>0</v>
      </c>
      <c r="S495" s="108">
        <f t="shared" si="593"/>
        <v>0</v>
      </c>
      <c r="T495" s="108">
        <f t="shared" si="593"/>
        <v>278000</v>
      </c>
      <c r="U495" s="99">
        <f>T495-M495</f>
        <v>-57350</v>
      </c>
      <c r="V495" s="255">
        <f>IF(M495=0,"N/A",T495/M495-1)</f>
        <v>-0.17101535708960791</v>
      </c>
      <c r="W495" s="102"/>
      <c r="X495" s="121"/>
      <c r="Y495" s="121"/>
      <c r="Z495" s="121"/>
      <c r="AA495" s="121"/>
      <c r="AB495" s="121"/>
      <c r="AC495" s="121"/>
      <c r="AD495" s="121"/>
      <c r="AE495" s="121"/>
      <c r="AF495" s="121"/>
      <c r="AG495" s="121"/>
      <c r="AH495" s="121"/>
      <c r="AI495" s="121"/>
    </row>
    <row r="496" spans="1:35" s="115" customFormat="1" ht="15" customHeight="1" thickBot="1">
      <c r="A496" s="555"/>
      <c r="B496" s="217"/>
      <c r="C496" s="217"/>
      <c r="D496" s="101"/>
      <c r="E496" s="217"/>
      <c r="F496" s="294"/>
      <c r="G496" s="146"/>
      <c r="H496" s="232"/>
      <c r="I496" s="233"/>
      <c r="J496" s="233"/>
      <c r="K496" s="233"/>
      <c r="L496" s="233"/>
      <c r="M496" s="233"/>
      <c r="N496" s="202"/>
      <c r="O496" s="202"/>
      <c r="P496" s="202"/>
      <c r="Q496" s="202"/>
      <c r="R496" s="202"/>
      <c r="S496" s="202"/>
      <c r="T496" s="202"/>
      <c r="U496" s="105"/>
      <c r="V496" s="262"/>
      <c r="W496" s="102"/>
      <c r="X496" s="121"/>
      <c r="Y496" s="121"/>
      <c r="Z496" s="121"/>
      <c r="AA496" s="121"/>
      <c r="AB496" s="121"/>
      <c r="AC496" s="121"/>
      <c r="AD496" s="121"/>
      <c r="AE496" s="121"/>
      <c r="AF496" s="121"/>
      <c r="AG496" s="121"/>
      <c r="AH496" s="121"/>
      <c r="AI496" s="121"/>
    </row>
    <row r="497" spans="1:40" s="115" customFormat="1" ht="21.6" thickBot="1">
      <c r="A497" s="555"/>
      <c r="B497" s="217"/>
      <c r="C497" s="217"/>
      <c r="D497" s="101"/>
      <c r="E497" s="217"/>
      <c r="F497" s="294"/>
      <c r="G497" s="146"/>
      <c r="H497" s="665" t="s">
        <v>729</v>
      </c>
      <c r="I497" s="666"/>
      <c r="J497" s="666"/>
      <c r="K497" s="666"/>
      <c r="L497" s="666"/>
      <c r="M497" s="666"/>
      <c r="N497" s="666"/>
      <c r="O497" s="666"/>
      <c r="P497" s="666"/>
      <c r="Q497" s="666"/>
      <c r="R497" s="666"/>
      <c r="S497" s="666"/>
      <c r="T497" s="667"/>
      <c r="U497" s="264">
        <f>T497-M497</f>
        <v>0</v>
      </c>
      <c r="V497" s="265" t="str">
        <f>IF(Q497="","",IF(T497=SUM(Q497:S497),"OK","NO"))</f>
        <v/>
      </c>
      <c r="W497" s="102"/>
      <c r="X497" s="121"/>
      <c r="Y497" s="121"/>
      <c r="Z497" s="121"/>
      <c r="AA497" s="121"/>
      <c r="AB497" s="121"/>
      <c r="AC497" s="121"/>
      <c r="AD497" s="121"/>
      <c r="AE497" s="121"/>
      <c r="AF497" s="121"/>
      <c r="AG497" s="121"/>
      <c r="AH497" s="121"/>
      <c r="AI497" s="121"/>
    </row>
    <row r="498" spans="1:40" s="115" customFormat="1" ht="15" customHeight="1">
      <c r="A498" s="555"/>
      <c r="B498" s="217"/>
      <c r="C498" s="217"/>
      <c r="D498" s="101"/>
      <c r="E498" s="217"/>
      <c r="F498" s="294"/>
      <c r="G498" s="146"/>
      <c r="H498" s="98"/>
      <c r="I498" s="106"/>
      <c r="J498" s="106"/>
      <c r="K498" s="106"/>
      <c r="L498" s="106"/>
      <c r="M498" s="106"/>
      <c r="N498" s="112"/>
      <c r="O498" s="112"/>
      <c r="P498" s="112"/>
      <c r="Q498" s="113"/>
      <c r="R498" s="212"/>
      <c r="S498" s="212"/>
      <c r="T498" s="113"/>
      <c r="U498" s="105"/>
      <c r="V498" s="262"/>
      <c r="W498" s="102"/>
      <c r="X498" s="121"/>
      <c r="Y498" s="121"/>
      <c r="Z498" s="121"/>
      <c r="AA498" s="121"/>
      <c r="AB498" s="121"/>
      <c r="AC498" s="121"/>
      <c r="AD498" s="121"/>
      <c r="AE498" s="121"/>
      <c r="AF498" s="121"/>
      <c r="AG498" s="121"/>
      <c r="AH498" s="121"/>
      <c r="AI498" s="121"/>
    </row>
    <row r="499" spans="1:40" s="115" customFormat="1" ht="15" customHeight="1">
      <c r="A499" s="572" t="s">
        <v>3243</v>
      </c>
      <c r="B499" s="217" t="str">
        <f t="shared" si="565"/>
        <v>119</v>
      </c>
      <c r="C499" s="217">
        <v>18</v>
      </c>
      <c r="D499" s="101" t="str">
        <f t="shared" si="567"/>
        <v/>
      </c>
      <c r="E499" s="217" t="str">
        <f t="shared" si="568"/>
        <v>119-18</v>
      </c>
      <c r="F499" s="294" t="s">
        <v>129</v>
      </c>
      <c r="G499" s="295" t="str">
        <f>VLOOKUP(F499,'GL Category'!A:C,3,FALSE)</f>
        <v>Personnel services</v>
      </c>
      <c r="H499" s="98" t="str">
        <f>VLOOKUP(F499,'GL Category'!A:C,2,FALSE)</f>
        <v>EXEMPT SALARIES</v>
      </c>
      <c r="I499" s="99">
        <f>SUMIFS(I$2:I478,$C$2:$C478,$C499,$F$2:$F478,$F499)</f>
        <v>405615.51</v>
      </c>
      <c r="J499" s="99">
        <f>SUMIFS(J$2:J478,$C$2:$C478,$C499,$F$2:$F478,$F499)</f>
        <v>417174.96</v>
      </c>
      <c r="K499" s="99">
        <f>SUMIFS(K$2:K478,$C$2:$C478,$C499,$F$2:$F478,$F499)</f>
        <v>447876.77</v>
      </c>
      <c r="L499" s="99">
        <f>SUMIFS(L$2:L478,$C$2:$C478,$C499,$F$2:$F478,$F499)</f>
        <v>466734.41</v>
      </c>
      <c r="M499" s="99">
        <f>SUMIFS(M$2:M478,$C$2:$C478,$C499,$F$2:$F478,$F499)</f>
        <v>476997</v>
      </c>
      <c r="N499" s="99">
        <f>SUMIFS(N$2:N478,$C$2:$C478,$C499,$F$2:$F478,$F499)</f>
        <v>355048.59</v>
      </c>
      <c r="O499" s="99">
        <f>SUMIFS(O$2:O478,$C$2:$C478,$C499,$F$2:$F478,$F499)</f>
        <v>465271</v>
      </c>
      <c r="P499" s="99">
        <f t="shared" ref="P499:P508" si="597">O499-M499</f>
        <v>-11726</v>
      </c>
      <c r="Q499" s="99">
        <f>SUMIFS(Q$2:Q478,$C$2:$C478,$C499,$F$2:$F478,$F499)</f>
        <v>483538</v>
      </c>
      <c r="R499" s="99">
        <f>SUMIFS(R$2:R478,$C$2:$C478,$C499,$F$2:$F478,$F499)</f>
        <v>0</v>
      </c>
      <c r="S499" s="99">
        <f>SUMIFS(S$2:S478,$C$2:$C478,$C499,$F$2:$F478,$F499)</f>
        <v>0</v>
      </c>
      <c r="T499" s="99">
        <f>SUMIFS(T$2:T478,$C$2:$C478,$C499,$F$2:$F478,$F499)</f>
        <v>483538</v>
      </c>
      <c r="U499" s="99">
        <f t="shared" ref="U499:U509" si="598">T499-M499</f>
        <v>6541</v>
      </c>
      <c r="V499" s="255">
        <f t="shared" ref="V499:V509" si="599">IF(M499=0,"N/A",T499/M499-1)</f>
        <v>1.3712874504451911E-2</v>
      </c>
      <c r="W499" s="102"/>
      <c r="X499" s="102"/>
      <c r="Y499" s="102">
        <f t="shared" ref="Y499:Y508" si="600">T499-X499</f>
        <v>483538</v>
      </c>
      <c r="Z499" s="309">
        <f>Y499*(1+VLOOKUP($F499,'GL Category'!$A:$H,4,FALSE))</f>
        <v>500461.82999999996</v>
      </c>
      <c r="AA499" s="615"/>
      <c r="AB499" s="622">
        <f t="shared" ref="AB499:AB508" si="601">Z499+AA499</f>
        <v>500461.82999999996</v>
      </c>
      <c r="AC499" s="633">
        <f>AB499*(1+VLOOKUP($F499,'GL Category'!$A:$H,5,FALSE))</f>
        <v>517977.99404999992</v>
      </c>
      <c r="AD499" s="307"/>
      <c r="AE499" s="622">
        <f t="shared" ref="AE499:AE508" si="602">AC499+AD499</f>
        <v>517977.99404999992</v>
      </c>
      <c r="AF499" s="633">
        <f>AE499*(1+VLOOKUP($F499,'GL Category'!$A:$H,6,FALSE))</f>
        <v>536107.22384174983</v>
      </c>
      <c r="AG499" s="307"/>
      <c r="AH499" s="622">
        <f t="shared" ref="AH499:AH508" si="603">AF499+AG499</f>
        <v>536107.22384174983</v>
      </c>
      <c r="AI499" s="633">
        <f>AH499*(1+VLOOKUP($F499,'GL Category'!$A:$H,7,FALSE))</f>
        <v>554870.97667621099</v>
      </c>
      <c r="AJ499" s="307"/>
      <c r="AK499" s="622">
        <f t="shared" ref="AK499:AK508" si="604">AI499+AJ499</f>
        <v>554870.97667621099</v>
      </c>
      <c r="AL499" s="633">
        <f>AK499*(1+VLOOKUP($F499,'GL Category'!$A:$H,8,FALSE))</f>
        <v>574291.46085987834</v>
      </c>
      <c r="AM499" s="307"/>
      <c r="AN499" s="622">
        <f t="shared" ref="AN499:AN508" si="605">AL499+AM499</f>
        <v>574291.46085987834</v>
      </c>
    </row>
    <row r="500" spans="1:40" s="115" customFormat="1" ht="15" customHeight="1">
      <c r="A500" s="572" t="s">
        <v>3243</v>
      </c>
      <c r="B500" s="217" t="str">
        <f t="shared" si="565"/>
        <v>119</v>
      </c>
      <c r="C500" s="217">
        <v>18</v>
      </c>
      <c r="D500" s="101" t="str">
        <f t="shared" si="567"/>
        <v/>
      </c>
      <c r="E500" s="217" t="str">
        <f t="shared" si="568"/>
        <v>119-18</v>
      </c>
      <c r="F500" s="294" t="s">
        <v>131</v>
      </c>
      <c r="G500" s="295" t="str">
        <f>VLOOKUP(F500,'GL Category'!A:C,3,FALSE)</f>
        <v>Personnel services</v>
      </c>
      <c r="H500" s="98" t="str">
        <f>VLOOKUP(F500,'GL Category'!A:C,2,FALSE)</f>
        <v>NON EXEMPT SALARIES</v>
      </c>
      <c r="I500" s="99">
        <f>SUMIFS(I$2:I480,$C$2:$C480,$C500,$F$2:$F480,$F500)</f>
        <v>96141.31</v>
      </c>
      <c r="J500" s="99">
        <f>SUMIFS(J$2:J480,$C$2:$C480,$C500,$F$2:$F480,$F500)</f>
        <v>73167.95</v>
      </c>
      <c r="K500" s="99">
        <f>SUMIFS(K$2:K480,$C$2:$C480,$C500,$F$2:$F480,$F500)</f>
        <v>92471.65</v>
      </c>
      <c r="L500" s="99">
        <f>SUMIFS(L$2:L480,$C$2:$C480,$C500,$F$2:$F480,$F500)</f>
        <v>99519.87</v>
      </c>
      <c r="M500" s="99">
        <f>SUMIFS(M$2:M480,$C$2:$C480,$C500,$F$2:$F480,$F500)</f>
        <v>103017</v>
      </c>
      <c r="N500" s="99">
        <f>SUMIFS(N$2:N480,$C$2:$C480,$C500,$F$2:$F480,$F500)</f>
        <v>85779.540000000008</v>
      </c>
      <c r="O500" s="99">
        <f>SUMIFS(O$2:O480,$C$2:$C480,$C500,$F$2:$F480,$F500)</f>
        <v>112366</v>
      </c>
      <c r="P500" s="99">
        <f t="shared" si="597"/>
        <v>9349</v>
      </c>
      <c r="Q500" s="99">
        <f>SUMIFS(Q$2:Q480,$C$2:$C480,$C500,$F$2:$F480,$F500)</f>
        <v>118279</v>
      </c>
      <c r="R500" s="99">
        <f>SUMIFS(R$2:R480,$C$2:$C480,$C500,$F$2:$F480,$F500)</f>
        <v>0</v>
      </c>
      <c r="S500" s="99">
        <f>SUMIFS(S$2:S480,$C$2:$C480,$C500,$F$2:$F480,$F500)</f>
        <v>0</v>
      </c>
      <c r="T500" s="99">
        <f>SUMIFS(T$2:T480,$C$2:$C480,$C500,$F$2:$F480,$F500)</f>
        <v>118279</v>
      </c>
      <c r="U500" s="99">
        <f t="shared" si="598"/>
        <v>15262</v>
      </c>
      <c r="V500" s="255">
        <f t="shared" si="599"/>
        <v>0.14815030528941819</v>
      </c>
      <c r="W500" s="102"/>
      <c r="X500" s="102"/>
      <c r="Y500" s="102">
        <f t="shared" si="600"/>
        <v>118279</v>
      </c>
      <c r="Z500" s="309">
        <f>Y500*(1+VLOOKUP($F500,'GL Category'!$A:$H,4,FALSE))</f>
        <v>122418.76499999998</v>
      </c>
      <c r="AA500" s="615"/>
      <c r="AB500" s="622">
        <f t="shared" si="601"/>
        <v>122418.76499999998</v>
      </c>
      <c r="AC500" s="633">
        <f>AB500*(1+VLOOKUP($F500,'GL Category'!$A:$H,5,FALSE))</f>
        <v>126703.42177499998</v>
      </c>
      <c r="AD500" s="307"/>
      <c r="AE500" s="622">
        <f t="shared" si="602"/>
        <v>126703.42177499998</v>
      </c>
      <c r="AF500" s="633">
        <f>AE500*(1+VLOOKUP($F500,'GL Category'!$A:$H,6,FALSE))</f>
        <v>131138.04153712498</v>
      </c>
      <c r="AG500" s="307"/>
      <c r="AH500" s="622">
        <f t="shared" si="603"/>
        <v>131138.04153712498</v>
      </c>
      <c r="AI500" s="633">
        <f>AH500*(1+VLOOKUP($F500,'GL Category'!$A:$H,7,FALSE))</f>
        <v>135727.87299092434</v>
      </c>
      <c r="AJ500" s="307"/>
      <c r="AK500" s="622">
        <f t="shared" si="604"/>
        <v>135727.87299092434</v>
      </c>
      <c r="AL500" s="633">
        <f>AK500*(1+VLOOKUP($F500,'GL Category'!$A:$H,8,FALSE))</f>
        <v>140478.34854560668</v>
      </c>
      <c r="AM500" s="307"/>
      <c r="AN500" s="622">
        <f t="shared" si="605"/>
        <v>140478.34854560668</v>
      </c>
    </row>
    <row r="501" spans="1:40" s="115" customFormat="1" ht="15" customHeight="1">
      <c r="A501" s="572" t="s">
        <v>3243</v>
      </c>
      <c r="B501" s="217" t="str">
        <f t="shared" si="565"/>
        <v>119</v>
      </c>
      <c r="C501" s="217">
        <v>18</v>
      </c>
      <c r="D501" s="101" t="str">
        <f t="shared" si="567"/>
        <v/>
      </c>
      <c r="E501" s="217" t="str">
        <f t="shared" si="568"/>
        <v>119-18</v>
      </c>
      <c r="F501" s="294" t="s">
        <v>133</v>
      </c>
      <c r="G501" s="295" t="str">
        <f>VLOOKUP(F501,'GL Category'!A:C,3,FALSE)</f>
        <v>Personnel services</v>
      </c>
      <c r="H501" s="98" t="str">
        <f>VLOOKUP(F501,'GL Category'!A:C,2,FALSE)</f>
        <v>OVERTIME</v>
      </c>
      <c r="I501" s="99">
        <f>SUMIFS(I$2:I481,$C$2:$C481,$C501,$F$2:$F481,$F501)</f>
        <v>1322.16</v>
      </c>
      <c r="J501" s="99">
        <f>SUMIFS(J$2:J481,$C$2:$C481,$C501,$F$2:$F481,$F501)</f>
        <v>138.91</v>
      </c>
      <c r="K501" s="99">
        <f>SUMIFS(K$2:K481,$C$2:$C481,$C501,$F$2:$F481,$F501)</f>
        <v>1297.5</v>
      </c>
      <c r="L501" s="99">
        <f>SUMIFS(L$2:L481,$C$2:$C481,$C501,$F$2:$F481,$F501)</f>
        <v>1536.47</v>
      </c>
      <c r="M501" s="99">
        <f>SUMIFS(M$2:M481,$C$2:$C481,$C501,$F$2:$F481,$F501)</f>
        <v>4500</v>
      </c>
      <c r="N501" s="99">
        <f>SUMIFS(N$2:N481,$C$2:$C481,$C501,$F$2:$F481,$F501)</f>
        <v>1412.9399999999998</v>
      </c>
      <c r="O501" s="99">
        <f>SUMIFS(O$2:O481,$C$2:$C481,$C501,$F$2:$F481,$F501)</f>
        <v>1188</v>
      </c>
      <c r="P501" s="99">
        <f t="shared" si="597"/>
        <v>-3312</v>
      </c>
      <c r="Q501" s="99">
        <f>SUMIFS(Q$2:Q481,$C$2:$C481,$C501,$F$2:$F481,$F501)</f>
        <v>4500</v>
      </c>
      <c r="R501" s="99">
        <f>SUMIFS(R$2:R481,$C$2:$C481,$C501,$F$2:$F481,$F501)</f>
        <v>0</v>
      </c>
      <c r="S501" s="99">
        <f>SUMIFS(S$2:S481,$C$2:$C481,$C501,$F$2:$F481,$F501)</f>
        <v>0</v>
      </c>
      <c r="T501" s="99">
        <f>SUMIFS(T$2:T481,$C$2:$C481,$C501,$F$2:$F481,$F501)</f>
        <v>4500</v>
      </c>
      <c r="U501" s="99">
        <f t="shared" si="598"/>
        <v>0</v>
      </c>
      <c r="V501" s="255">
        <f t="shared" si="599"/>
        <v>0</v>
      </c>
      <c r="W501" s="102"/>
      <c r="X501" s="102"/>
      <c r="Y501" s="102">
        <f t="shared" si="600"/>
        <v>4500</v>
      </c>
      <c r="Z501" s="309">
        <f>Y501*(1+VLOOKUP($F501,'GL Category'!$A:$H,4,FALSE))</f>
        <v>4657.5</v>
      </c>
      <c r="AA501" s="615"/>
      <c r="AB501" s="622">
        <f t="shared" si="601"/>
        <v>4657.5</v>
      </c>
      <c r="AC501" s="633">
        <f>AB501*(1+VLOOKUP($F501,'GL Category'!$A:$H,5,FALSE))</f>
        <v>4820.5124999999998</v>
      </c>
      <c r="AD501" s="307"/>
      <c r="AE501" s="622">
        <f t="shared" si="602"/>
        <v>4820.5124999999998</v>
      </c>
      <c r="AF501" s="633">
        <f>AE501*(1+VLOOKUP($F501,'GL Category'!$A:$H,6,FALSE))</f>
        <v>4989.2304374999994</v>
      </c>
      <c r="AG501" s="307"/>
      <c r="AH501" s="622">
        <f t="shared" si="603"/>
        <v>4989.2304374999994</v>
      </c>
      <c r="AI501" s="633">
        <f>AH501*(1+VLOOKUP($F501,'GL Category'!$A:$H,7,FALSE))</f>
        <v>5163.8535028124988</v>
      </c>
      <c r="AJ501" s="307"/>
      <c r="AK501" s="622">
        <f t="shared" si="604"/>
        <v>5163.8535028124988</v>
      </c>
      <c r="AL501" s="633">
        <f>AK501*(1+VLOOKUP($F501,'GL Category'!$A:$H,8,FALSE))</f>
        <v>5344.5883754109354</v>
      </c>
      <c r="AM501" s="307"/>
      <c r="AN501" s="622">
        <f t="shared" si="605"/>
        <v>5344.5883754109354</v>
      </c>
    </row>
    <row r="502" spans="1:40" s="115" customFormat="1" ht="15" customHeight="1">
      <c r="A502" s="572" t="s">
        <v>3243</v>
      </c>
      <c r="B502" s="217" t="str">
        <f t="shared" si="565"/>
        <v>119</v>
      </c>
      <c r="C502" s="217">
        <v>18</v>
      </c>
      <c r="D502" s="101" t="str">
        <f t="shared" si="567"/>
        <v/>
      </c>
      <c r="E502" s="217" t="str">
        <f t="shared" si="568"/>
        <v>119-18</v>
      </c>
      <c r="F502" s="294" t="s">
        <v>136</v>
      </c>
      <c r="G502" s="295" t="str">
        <f>VLOOKUP(F502,'GL Category'!A:C,3,FALSE)</f>
        <v>Personnel services</v>
      </c>
      <c r="H502" s="98" t="str">
        <f>VLOOKUP(F502,'GL Category'!A:C,2,FALSE)</f>
        <v>LONGEVITY PAY</v>
      </c>
      <c r="I502" s="99">
        <f>SUMIFS(I$2:I482,$C$2:$C482,$C502,$F$2:$F482,$F502)</f>
        <v>4585</v>
      </c>
      <c r="J502" s="99">
        <f>SUMIFS(J$2:J482,$C$2:$C482,$C502,$F$2:$F482,$F502)</f>
        <v>5005</v>
      </c>
      <c r="K502" s="99">
        <f>SUMIFS(K$2:K482,$C$2:$C482,$C502,$F$2:$F482,$F502)</f>
        <v>5045</v>
      </c>
      <c r="L502" s="99">
        <f>SUMIFS(L$2:L482,$C$2:$C482,$C502,$F$2:$F482,$F502)</f>
        <v>5475</v>
      </c>
      <c r="M502" s="99">
        <f>SUMIFS(M$2:M482,$C$2:$C482,$C502,$F$2:$F482,$F502)</f>
        <v>5978</v>
      </c>
      <c r="N502" s="99">
        <f>SUMIFS(N$2:N482,$C$2:$C482,$C502,$F$2:$F482,$F502)</f>
        <v>5895</v>
      </c>
      <c r="O502" s="99">
        <f>SUMIFS(O$2:O482,$C$2:$C482,$C502,$F$2:$F482,$F502)</f>
        <v>5895</v>
      </c>
      <c r="P502" s="99">
        <f t="shared" si="597"/>
        <v>-83</v>
      </c>
      <c r="Q502" s="99">
        <f>SUMIFS(Q$2:Q482,$C$2:$C482,$C502,$F$2:$F482,$F502)</f>
        <v>5319</v>
      </c>
      <c r="R502" s="99">
        <f>SUMIFS(R$2:R482,$C$2:$C482,$C502,$F$2:$F482,$F502)</f>
        <v>0</v>
      </c>
      <c r="S502" s="99">
        <f>SUMIFS(S$2:S482,$C$2:$C482,$C502,$F$2:$F482,$F502)</f>
        <v>0</v>
      </c>
      <c r="T502" s="99">
        <f>SUMIFS(T$2:T482,$C$2:$C482,$C502,$F$2:$F482,$F502)</f>
        <v>5319</v>
      </c>
      <c r="U502" s="99">
        <f t="shared" si="598"/>
        <v>-659</v>
      </c>
      <c r="V502" s="255">
        <f t="shared" si="599"/>
        <v>-0.11023753763800603</v>
      </c>
      <c r="W502" s="102"/>
      <c r="X502" s="102"/>
      <c r="Y502" s="102">
        <f t="shared" si="600"/>
        <v>5319</v>
      </c>
      <c r="Z502" s="309">
        <f>Y502*(1+VLOOKUP($F502,'GL Category'!$A:$H,4,FALSE))</f>
        <v>5505.165</v>
      </c>
      <c r="AA502" s="615"/>
      <c r="AB502" s="622">
        <f t="shared" si="601"/>
        <v>5505.165</v>
      </c>
      <c r="AC502" s="633">
        <f>AB502*(1+VLOOKUP($F502,'GL Category'!$A:$H,5,FALSE))</f>
        <v>5697.8457749999998</v>
      </c>
      <c r="AD502" s="307"/>
      <c r="AE502" s="622">
        <f t="shared" si="602"/>
        <v>5697.8457749999998</v>
      </c>
      <c r="AF502" s="633">
        <f>AE502*(1+VLOOKUP($F502,'GL Category'!$A:$H,6,FALSE))</f>
        <v>5897.270377124999</v>
      </c>
      <c r="AG502" s="307"/>
      <c r="AH502" s="622">
        <f t="shared" si="603"/>
        <v>5897.270377124999</v>
      </c>
      <c r="AI502" s="633">
        <f>AH502*(1+VLOOKUP($F502,'GL Category'!$A:$H,7,FALSE))</f>
        <v>6103.6748403243737</v>
      </c>
      <c r="AJ502" s="307"/>
      <c r="AK502" s="622">
        <f t="shared" si="604"/>
        <v>6103.6748403243737</v>
      </c>
      <c r="AL502" s="633">
        <f>AK502*(1+VLOOKUP($F502,'GL Category'!$A:$H,8,FALSE))</f>
        <v>6317.3034597357264</v>
      </c>
      <c r="AM502" s="307"/>
      <c r="AN502" s="622">
        <f t="shared" si="605"/>
        <v>6317.3034597357264</v>
      </c>
    </row>
    <row r="503" spans="1:40" s="115" customFormat="1" ht="15" customHeight="1">
      <c r="A503" s="572" t="s">
        <v>3243</v>
      </c>
      <c r="B503" s="217" t="str">
        <f t="shared" si="565"/>
        <v>119</v>
      </c>
      <c r="C503" s="217">
        <v>18</v>
      </c>
      <c r="D503" s="101" t="str">
        <f t="shared" si="567"/>
        <v/>
      </c>
      <c r="E503" s="217" t="str">
        <f t="shared" si="568"/>
        <v>119-18</v>
      </c>
      <c r="F503" s="294" t="s">
        <v>138</v>
      </c>
      <c r="G503" s="295" t="str">
        <f>VLOOKUP(F503,'GL Category'!A:C,3,FALSE)</f>
        <v>Personnel services</v>
      </c>
      <c r="H503" s="98" t="str">
        <f>VLOOKUP(F503,'GL Category'!A:C,2,FALSE)</f>
        <v>INCENTIVE/CERTIFICATION PAY</v>
      </c>
      <c r="I503" s="99">
        <f>SUMIFS(I$2:I497,$C$2:$C497,$C503,$F$2:$F497,$F503)</f>
        <v>11732.15</v>
      </c>
      <c r="J503" s="99">
        <f>SUMIFS(J$2:J497,$C$2:$C497,$C503,$F$2:$F497,$F503)</f>
        <v>10035.5</v>
      </c>
      <c r="K503" s="99">
        <f>SUMIFS(K$2:K497,$C$2:$C497,$C503,$F$2:$F497,$F503)</f>
        <v>10464.5</v>
      </c>
      <c r="L503" s="99">
        <f>SUMIFS(L$2:L497,$C$2:$C497,$C503,$F$2:$F497,$F503)</f>
        <v>10535</v>
      </c>
      <c r="M503" s="99">
        <f>SUMIFS(M$2:M497,$C$2:$C497,$C503,$F$2:$F497,$F503)</f>
        <v>10500</v>
      </c>
      <c r="N503" s="99">
        <f>SUMIFS(N$2:N497,$C$2:$C497,$C503,$F$2:$F497,$F503)</f>
        <v>7465</v>
      </c>
      <c r="O503" s="99">
        <f>SUMIFS(O$2:O497,$C$2:$C497,$C503,$F$2:$F497,$F503)</f>
        <v>14115</v>
      </c>
      <c r="P503" s="99">
        <f t="shared" si="597"/>
        <v>3615</v>
      </c>
      <c r="Q503" s="99">
        <f>SUMIFS(Q$2:Q497,$C$2:$C497,$C503,$F$2:$F497,$F503)</f>
        <v>10500</v>
      </c>
      <c r="R503" s="99">
        <f>SUMIFS(R$2:R497,$C$2:$C497,$C503,$F$2:$F497,$F503)</f>
        <v>0</v>
      </c>
      <c r="S503" s="99">
        <f>SUMIFS(S$2:S497,$C$2:$C497,$C503,$F$2:$F497,$F503)</f>
        <v>0</v>
      </c>
      <c r="T503" s="99">
        <f>SUMIFS(T$2:T497,$C$2:$C497,$C503,$F$2:$F497,$F503)</f>
        <v>10500</v>
      </c>
      <c r="U503" s="99">
        <f t="shared" si="598"/>
        <v>0</v>
      </c>
      <c r="V503" s="255">
        <f t="shared" si="599"/>
        <v>0</v>
      </c>
      <c r="W503" s="102"/>
      <c r="X503" s="102"/>
      <c r="Y503" s="102">
        <f t="shared" si="600"/>
        <v>10500</v>
      </c>
      <c r="Z503" s="309">
        <f>Y503*(1+VLOOKUP($F503,'GL Category'!$A:$H,4,FALSE))</f>
        <v>10867.5</v>
      </c>
      <c r="AA503" s="615"/>
      <c r="AB503" s="622">
        <f t="shared" si="601"/>
        <v>10867.5</v>
      </c>
      <c r="AC503" s="633">
        <f>AB503*(1+VLOOKUP($F503,'GL Category'!$A:$H,5,FALSE))</f>
        <v>11247.862499999999</v>
      </c>
      <c r="AD503" s="307"/>
      <c r="AE503" s="622">
        <f t="shared" si="602"/>
        <v>11247.862499999999</v>
      </c>
      <c r="AF503" s="633">
        <f>AE503*(1+VLOOKUP($F503,'GL Category'!$A:$H,6,FALSE))</f>
        <v>11641.537687499998</v>
      </c>
      <c r="AG503" s="307"/>
      <c r="AH503" s="622">
        <f t="shared" si="603"/>
        <v>11641.537687499998</v>
      </c>
      <c r="AI503" s="633">
        <f>AH503*(1+VLOOKUP($F503,'GL Category'!$A:$H,7,FALSE))</f>
        <v>12048.991506562497</v>
      </c>
      <c r="AJ503" s="307"/>
      <c r="AK503" s="622">
        <f t="shared" si="604"/>
        <v>12048.991506562497</v>
      </c>
      <c r="AL503" s="633">
        <f>AK503*(1+VLOOKUP($F503,'GL Category'!$A:$H,8,FALSE))</f>
        <v>12470.706209292184</v>
      </c>
      <c r="AM503" s="307"/>
      <c r="AN503" s="622">
        <f t="shared" si="605"/>
        <v>12470.706209292184</v>
      </c>
    </row>
    <row r="504" spans="1:40" s="115" customFormat="1" ht="15" customHeight="1">
      <c r="A504" s="572" t="s">
        <v>3243</v>
      </c>
      <c r="B504" s="217" t="str">
        <f t="shared" si="565"/>
        <v>119</v>
      </c>
      <c r="C504" s="217">
        <v>18</v>
      </c>
      <c r="D504" s="101" t="str">
        <f t="shared" si="567"/>
        <v/>
      </c>
      <c r="E504" s="217" t="str">
        <f t="shared" si="568"/>
        <v>119-18</v>
      </c>
      <c r="F504" s="294" t="s">
        <v>127</v>
      </c>
      <c r="G504" s="295" t="str">
        <f>VLOOKUP(F504,'GL Category'!A:C,3,FALSE)</f>
        <v>Personnel services</v>
      </c>
      <c r="H504" s="98" t="str">
        <f>VLOOKUP(F504,'GL Category'!A:C,2,FALSE)</f>
        <v>COMMUNICATIONS ALLOWANCE</v>
      </c>
      <c r="I504" s="99">
        <f>SUMIFS(I$2:I498,$C$2:$C498,$C504,$F$2:$F498,$F504)</f>
        <v>68674.289999999994</v>
      </c>
      <c r="J504" s="99">
        <f>SUMIFS(J$2:J498,$C$2:$C498,$C504,$F$2:$F498,$F504)</f>
        <v>67900.2</v>
      </c>
      <c r="K504" s="99">
        <f>SUMIFS(K$2:K498,$C$2:$C498,$C504,$F$2:$F498,$F504)</f>
        <v>72005.25</v>
      </c>
      <c r="L504" s="99">
        <f>SUMIFS(L$2:L498,$C$2:$C498,$C504,$F$2:$F498,$F504)</f>
        <v>76606.5</v>
      </c>
      <c r="M504" s="99">
        <f>SUMIFS(M$2:M498,$C$2:$C498,$C504,$F$2:$F498,$F504)</f>
        <v>84020</v>
      </c>
      <c r="N504" s="99">
        <f>SUMIFS(N$2:N498,$C$2:$C498,$C504,$F$2:$F498,$F504)</f>
        <v>61001</v>
      </c>
      <c r="O504" s="99">
        <f>SUMIFS(O$2:O498,$C$2:$C498,$C504,$F$2:$F498,$F504)</f>
        <v>74371</v>
      </c>
      <c r="P504" s="99">
        <f t="shared" si="597"/>
        <v>-9649</v>
      </c>
      <c r="Q504" s="99">
        <f>SUMIFS(Q$2:Q498,$C$2:$C498,$C504,$F$2:$F498,$F504)</f>
        <v>83465</v>
      </c>
      <c r="R504" s="99">
        <f>SUMIFS(R$2:R498,$C$2:$C498,$C504,$F$2:$F498,$F504)</f>
        <v>0</v>
      </c>
      <c r="S504" s="99">
        <f>SUMIFS(S$2:S498,$C$2:$C498,$C504,$F$2:$F498,$F504)</f>
        <v>0</v>
      </c>
      <c r="T504" s="99">
        <f>SUMIFS(T$2:T498,$C$2:$C498,$C504,$F$2:$F498,$F504)</f>
        <v>83465</v>
      </c>
      <c r="U504" s="99">
        <f t="shared" si="598"/>
        <v>-555</v>
      </c>
      <c r="V504" s="255">
        <f t="shared" si="599"/>
        <v>-6.6055701023566282E-3</v>
      </c>
      <c r="W504" s="102"/>
      <c r="X504" s="102"/>
      <c r="Y504" s="102">
        <f t="shared" si="600"/>
        <v>83465</v>
      </c>
      <c r="Z504" s="309">
        <f>Y504*(1+VLOOKUP($F504,'GL Category'!$A:$H,4,FALSE))</f>
        <v>86386.274999999994</v>
      </c>
      <c r="AA504" s="615"/>
      <c r="AB504" s="622">
        <f t="shared" si="601"/>
        <v>86386.274999999994</v>
      </c>
      <c r="AC504" s="633">
        <f>AB504*(1+VLOOKUP($F504,'GL Category'!$A:$H,5,FALSE))</f>
        <v>89409.79462499998</v>
      </c>
      <c r="AD504" s="307"/>
      <c r="AE504" s="622">
        <f t="shared" si="602"/>
        <v>89409.79462499998</v>
      </c>
      <c r="AF504" s="633">
        <f>AE504*(1+VLOOKUP($F504,'GL Category'!$A:$H,6,FALSE))</f>
        <v>92539.137436874968</v>
      </c>
      <c r="AG504" s="307"/>
      <c r="AH504" s="622">
        <f t="shared" si="603"/>
        <v>92539.137436874968</v>
      </c>
      <c r="AI504" s="633">
        <f>AH504*(1+VLOOKUP($F504,'GL Category'!$A:$H,7,FALSE))</f>
        <v>95778.007247165588</v>
      </c>
      <c r="AJ504" s="307"/>
      <c r="AK504" s="622">
        <f t="shared" si="604"/>
        <v>95778.007247165588</v>
      </c>
      <c r="AL504" s="633">
        <f>AK504*(1+VLOOKUP($F504,'GL Category'!$A:$H,8,FALSE))</f>
        <v>99130.23750081638</v>
      </c>
      <c r="AM504" s="307"/>
      <c r="AN504" s="622">
        <f t="shared" si="605"/>
        <v>99130.23750081638</v>
      </c>
    </row>
    <row r="505" spans="1:40" s="115" customFormat="1" ht="15" customHeight="1">
      <c r="A505" s="572" t="s">
        <v>3243</v>
      </c>
      <c r="B505" s="217" t="str">
        <f t="shared" si="565"/>
        <v>119</v>
      </c>
      <c r="C505" s="217">
        <v>18</v>
      </c>
      <c r="D505" s="101" t="str">
        <f t="shared" si="567"/>
        <v/>
      </c>
      <c r="E505" s="217" t="str">
        <f t="shared" si="568"/>
        <v>119-18</v>
      </c>
      <c r="F505" s="294" t="s">
        <v>140</v>
      </c>
      <c r="G505" s="295" t="str">
        <f>VLOOKUP(F505,'GL Category'!A:C,3,FALSE)</f>
        <v>Personnel services</v>
      </c>
      <c r="H505" s="98" t="str">
        <f>VLOOKUP(F505,'GL Category'!A:C,2,FALSE)</f>
        <v>SOCIAL SECURITY</v>
      </c>
      <c r="I505" s="99">
        <f>SUMIFS(I$2:I499,$C$2:$C499,$C505,$F$2:$F499,$F505)</f>
        <v>42037.29</v>
      </c>
      <c r="J505" s="99">
        <f>SUMIFS(J$2:J499,$C$2:$C499,$C505,$F$2:$F499,$F505)</f>
        <v>40571.369999999995</v>
      </c>
      <c r="K505" s="99">
        <f>SUMIFS(K$2:K499,$C$2:$C499,$C505,$F$2:$F499,$F505)</f>
        <v>45259.77</v>
      </c>
      <c r="L505" s="99">
        <f>SUMIFS(L$2:L499,$C$2:$C499,$C505,$F$2:$F499,$F505)</f>
        <v>44740.7</v>
      </c>
      <c r="M505" s="99">
        <f>SUMIFS(M$2:M499,$C$2:$C499,$C505,$F$2:$F499,$F505)</f>
        <v>52760</v>
      </c>
      <c r="N505" s="99">
        <f>SUMIFS(N$2:N499,$C$2:$C499,$C505,$F$2:$F499,$F505)</f>
        <v>34130.520000000004</v>
      </c>
      <c r="O505" s="99">
        <f>SUMIFS(O$2:O499,$C$2:$C499,$C505,$F$2:$F499,$F505)</f>
        <v>47206</v>
      </c>
      <c r="P505" s="99">
        <f t="shared" si="597"/>
        <v>-5554</v>
      </c>
      <c r="Q505" s="99">
        <f>SUMIFS(Q$2:Q499,$C$2:$C499,$C505,$F$2:$F499,$F505)</f>
        <v>54000</v>
      </c>
      <c r="R505" s="99">
        <f>SUMIFS(R$2:R499,$C$2:$C499,$C505,$F$2:$F499,$F505)</f>
        <v>0</v>
      </c>
      <c r="S505" s="99">
        <f>SUMIFS(S$2:S499,$C$2:$C499,$C505,$F$2:$F499,$F505)</f>
        <v>0</v>
      </c>
      <c r="T505" s="99">
        <f>SUMIFS(T$2:T499,$C$2:$C499,$C505,$F$2:$F499,$F505)</f>
        <v>54000</v>
      </c>
      <c r="U505" s="99">
        <f t="shared" si="598"/>
        <v>1240</v>
      </c>
      <c r="V505" s="255">
        <f t="shared" si="599"/>
        <v>2.3502653525397932E-2</v>
      </c>
      <c r="W505" s="102"/>
      <c r="X505" s="102"/>
      <c r="Y505" s="102">
        <f t="shared" si="600"/>
        <v>54000</v>
      </c>
      <c r="Z505" s="309">
        <f>Y505*(1+VLOOKUP($F505,'GL Category'!$A:$H,4,FALSE))</f>
        <v>55889.999999999993</v>
      </c>
      <c r="AA505" s="615"/>
      <c r="AB505" s="622">
        <f t="shared" si="601"/>
        <v>55889.999999999993</v>
      </c>
      <c r="AC505" s="633">
        <f>AB505*(1+VLOOKUP($F505,'GL Category'!$A:$H,5,FALSE))</f>
        <v>57846.149999999987</v>
      </c>
      <c r="AD505" s="307"/>
      <c r="AE505" s="622">
        <f t="shared" si="602"/>
        <v>57846.149999999987</v>
      </c>
      <c r="AF505" s="633">
        <f>AE505*(1+VLOOKUP($F505,'GL Category'!$A:$H,6,FALSE))</f>
        <v>59870.765249999982</v>
      </c>
      <c r="AG505" s="307"/>
      <c r="AH505" s="622">
        <f t="shared" si="603"/>
        <v>59870.765249999982</v>
      </c>
      <c r="AI505" s="633">
        <f>AH505*(1+VLOOKUP($F505,'GL Category'!$A:$H,7,FALSE))</f>
        <v>61966.242033749979</v>
      </c>
      <c r="AJ505" s="307"/>
      <c r="AK505" s="622">
        <f t="shared" si="604"/>
        <v>61966.242033749979</v>
      </c>
      <c r="AL505" s="633">
        <f>AK505*(1+VLOOKUP($F505,'GL Category'!$A:$H,8,FALSE))</f>
        <v>64135.060504931222</v>
      </c>
      <c r="AM505" s="307"/>
      <c r="AN505" s="622">
        <f t="shared" si="605"/>
        <v>64135.060504931222</v>
      </c>
    </row>
    <row r="506" spans="1:40" s="115" customFormat="1" ht="15" customHeight="1">
      <c r="A506" s="572" t="s">
        <v>3243</v>
      </c>
      <c r="B506" s="217" t="str">
        <f t="shared" si="565"/>
        <v>119</v>
      </c>
      <c r="C506" s="217">
        <v>18</v>
      </c>
      <c r="D506" s="101" t="str">
        <f t="shared" si="567"/>
        <v/>
      </c>
      <c r="E506" s="217" t="str">
        <f t="shared" si="568"/>
        <v>119-18</v>
      </c>
      <c r="F506" s="294" t="s">
        <v>141</v>
      </c>
      <c r="G506" s="295" t="str">
        <f>VLOOKUP(F506,'GL Category'!A:C,3,FALSE)</f>
        <v>Personnel services</v>
      </c>
      <c r="H506" s="98" t="str">
        <f>VLOOKUP(F506,'GL Category'!A:C,2,FALSE)</f>
        <v>HEALTH/LIFE INSURANCE</v>
      </c>
      <c r="I506" s="99">
        <f>SUMIFS(I$2:I500,$C$2:$C500,$C506,$F$2:$F500,$F506)</f>
        <v>120842.14</v>
      </c>
      <c r="J506" s="99">
        <f>SUMIFS(J$2:J500,$C$2:$C500,$C506,$F$2:$F500,$F506)</f>
        <v>113417.65</v>
      </c>
      <c r="K506" s="99">
        <f>SUMIFS(K$2:K500,$C$2:$C500,$C506,$F$2:$F500,$F506)</f>
        <v>108701.65000000001</v>
      </c>
      <c r="L506" s="99">
        <f>SUMIFS(L$2:L500,$C$2:$C500,$C506,$F$2:$F500,$F506)</f>
        <v>103012.22</v>
      </c>
      <c r="M506" s="99">
        <f>SUMIFS(M$2:M500,$C$2:$C500,$C506,$F$2:$F500,$F506)</f>
        <v>95069</v>
      </c>
      <c r="N506" s="99">
        <f>SUMIFS(N$2:N500,$C$2:$C500,$C506,$F$2:$F500,$F506)</f>
        <v>64285.83</v>
      </c>
      <c r="O506" s="99">
        <f>SUMIFS(O$2:O500,$C$2:$C500,$C506,$F$2:$F500,$F506)</f>
        <v>87862</v>
      </c>
      <c r="P506" s="99">
        <f t="shared" si="597"/>
        <v>-7207</v>
      </c>
      <c r="Q506" s="99">
        <f>SUMIFS(Q$2:Q500,$C$2:$C500,$C506,$F$2:$F500,$F506)</f>
        <v>87918</v>
      </c>
      <c r="R506" s="99">
        <f>SUMIFS(R$2:R500,$C$2:$C500,$C506,$F$2:$F500,$F506)</f>
        <v>0</v>
      </c>
      <c r="S506" s="99">
        <f>SUMIFS(S$2:S500,$C$2:$C500,$C506,$F$2:$F500,$F506)</f>
        <v>0</v>
      </c>
      <c r="T506" s="99">
        <f>SUMIFS(T$2:T500,$C$2:$C500,$C506,$F$2:$F500,$F506)</f>
        <v>87918</v>
      </c>
      <c r="U506" s="99">
        <f t="shared" si="598"/>
        <v>-7151</v>
      </c>
      <c r="V506" s="255">
        <f t="shared" si="599"/>
        <v>-7.5219051425806538E-2</v>
      </c>
      <c r="W506" s="102"/>
      <c r="X506" s="102"/>
      <c r="Y506" s="102">
        <f t="shared" si="600"/>
        <v>87918</v>
      </c>
      <c r="Z506" s="309">
        <f>Y506*(1+VLOOKUP($F506,'GL Category'!$A:$H,4,FALSE))</f>
        <v>90995.12999999999</v>
      </c>
      <c r="AA506" s="615"/>
      <c r="AB506" s="622">
        <f t="shared" si="601"/>
        <v>90995.12999999999</v>
      </c>
      <c r="AC506" s="633">
        <f>AB506*(1+VLOOKUP($F506,'GL Category'!$A:$H,5,FALSE))</f>
        <v>94179.959549999985</v>
      </c>
      <c r="AD506" s="307"/>
      <c r="AE506" s="622">
        <f t="shared" si="602"/>
        <v>94179.959549999985</v>
      </c>
      <c r="AF506" s="633">
        <f>AE506*(1+VLOOKUP($F506,'GL Category'!$A:$H,6,FALSE))</f>
        <v>97476.258134249976</v>
      </c>
      <c r="AG506" s="307"/>
      <c r="AH506" s="622">
        <f t="shared" si="603"/>
        <v>97476.258134249976</v>
      </c>
      <c r="AI506" s="633">
        <f>AH506*(1+VLOOKUP($F506,'GL Category'!$A:$H,7,FALSE))</f>
        <v>100887.92716894872</v>
      </c>
      <c r="AJ506" s="307"/>
      <c r="AK506" s="622">
        <f t="shared" si="604"/>
        <v>100887.92716894872</v>
      </c>
      <c r="AL506" s="633">
        <f>AK506*(1+VLOOKUP($F506,'GL Category'!$A:$H,8,FALSE))</f>
        <v>104419.00461986192</v>
      </c>
      <c r="AM506" s="307"/>
      <c r="AN506" s="622">
        <f t="shared" si="605"/>
        <v>104419.00461986192</v>
      </c>
    </row>
    <row r="507" spans="1:40" s="115" customFormat="1" ht="15" customHeight="1">
      <c r="A507" s="572" t="s">
        <v>3243</v>
      </c>
      <c r="B507" s="217" t="str">
        <f t="shared" si="565"/>
        <v>119</v>
      </c>
      <c r="C507" s="217">
        <v>18</v>
      </c>
      <c r="D507" s="101" t="str">
        <f t="shared" si="567"/>
        <v/>
      </c>
      <c r="E507" s="217" t="str">
        <f t="shared" si="568"/>
        <v>119-18</v>
      </c>
      <c r="F507" s="294" t="s">
        <v>143</v>
      </c>
      <c r="G507" s="295" t="str">
        <f>VLOOKUP(F507,'GL Category'!A:C,3,FALSE)</f>
        <v>Personnel services</v>
      </c>
      <c r="H507" s="98" t="str">
        <f>VLOOKUP(F507,'GL Category'!A:C,2,FALSE)</f>
        <v>WORKER COMPENSATION</v>
      </c>
      <c r="I507" s="99">
        <f>SUMIFS(I$2:I501,$C$2:$C501,$C507,$F$2:$F501,$F507)</f>
        <v>393.04999999999995</v>
      </c>
      <c r="J507" s="99">
        <f>SUMIFS(J$2:J501,$C$2:$C501,$C507,$F$2:$F501,$F507)</f>
        <v>366.22</v>
      </c>
      <c r="K507" s="99">
        <f>SUMIFS(K$2:K501,$C$2:$C501,$C507,$F$2:$F501,$F507)</f>
        <v>414.43</v>
      </c>
      <c r="L507" s="99">
        <f>SUMIFS(L$2:L501,$C$2:$C501,$C507,$F$2:$F501,$F507)</f>
        <v>750.91</v>
      </c>
      <c r="M507" s="99">
        <f>SUMIFS(M$2:M501,$C$2:$C501,$C507,$F$2:$F501,$F507)</f>
        <v>989</v>
      </c>
      <c r="N507" s="99">
        <f>SUMIFS(N$2:N501,$C$2:$C501,$C507,$F$2:$F501,$F507)</f>
        <v>988.21</v>
      </c>
      <c r="O507" s="99">
        <f>SUMIFS(O$2:O501,$C$2:$C501,$C507,$F$2:$F501,$F507)</f>
        <v>988</v>
      </c>
      <c r="P507" s="99">
        <f t="shared" si="597"/>
        <v>-1</v>
      </c>
      <c r="Q507" s="99">
        <f>SUMIFS(Q$2:Q501,$C$2:$C501,$C507,$F$2:$F501,$F507)</f>
        <v>982</v>
      </c>
      <c r="R507" s="99">
        <f>SUMIFS(R$2:R501,$C$2:$C501,$C507,$F$2:$F501,$F507)</f>
        <v>0</v>
      </c>
      <c r="S507" s="99">
        <f>SUMIFS(S$2:S501,$C$2:$C501,$C507,$F$2:$F501,$F507)</f>
        <v>0</v>
      </c>
      <c r="T507" s="99">
        <f>SUMIFS(T$2:T501,$C$2:$C501,$C507,$F$2:$F501,$F507)</f>
        <v>982</v>
      </c>
      <c r="U507" s="99">
        <f t="shared" si="598"/>
        <v>-7</v>
      </c>
      <c r="V507" s="255">
        <f t="shared" si="599"/>
        <v>-7.0778564206268602E-3</v>
      </c>
      <c r="W507" s="102"/>
      <c r="X507" s="102"/>
      <c r="Y507" s="102">
        <f t="shared" si="600"/>
        <v>982</v>
      </c>
      <c r="Z507" s="309">
        <f>Y507*(1+VLOOKUP($F507,'GL Category'!$A:$H,4,FALSE))</f>
        <v>1016.3699999999999</v>
      </c>
      <c r="AA507" s="615"/>
      <c r="AB507" s="622">
        <f t="shared" si="601"/>
        <v>1016.3699999999999</v>
      </c>
      <c r="AC507" s="633">
        <f>AB507*(1+VLOOKUP($F507,'GL Category'!$A:$H,5,FALSE))</f>
        <v>1051.9429499999999</v>
      </c>
      <c r="AD507" s="307"/>
      <c r="AE507" s="622">
        <f t="shared" si="602"/>
        <v>1051.9429499999999</v>
      </c>
      <c r="AF507" s="633">
        <f>AE507*(1+VLOOKUP($F507,'GL Category'!$A:$H,6,FALSE))</f>
        <v>1088.7609532499998</v>
      </c>
      <c r="AG507" s="307"/>
      <c r="AH507" s="622">
        <f t="shared" si="603"/>
        <v>1088.7609532499998</v>
      </c>
      <c r="AI507" s="633">
        <f>AH507*(1+VLOOKUP($F507,'GL Category'!$A:$H,7,FALSE))</f>
        <v>1126.8675866137498</v>
      </c>
      <c r="AJ507" s="307"/>
      <c r="AK507" s="622">
        <f t="shared" si="604"/>
        <v>1126.8675866137498</v>
      </c>
      <c r="AL507" s="633">
        <f>AK507*(1+VLOOKUP($F507,'GL Category'!$A:$H,8,FALSE))</f>
        <v>1166.307952145231</v>
      </c>
      <c r="AM507" s="307"/>
      <c r="AN507" s="622">
        <f t="shared" si="605"/>
        <v>1166.307952145231</v>
      </c>
    </row>
    <row r="508" spans="1:40" s="115" customFormat="1" ht="15" customHeight="1">
      <c r="A508" s="572" t="s">
        <v>3243</v>
      </c>
      <c r="B508" s="217" t="str">
        <f t="shared" si="565"/>
        <v>119</v>
      </c>
      <c r="C508" s="217">
        <v>18</v>
      </c>
      <c r="D508" s="101" t="str">
        <f t="shared" si="567"/>
        <v/>
      </c>
      <c r="E508" s="217" t="str">
        <f t="shared" si="568"/>
        <v>119-18</v>
      </c>
      <c r="F508" s="294" t="s">
        <v>147</v>
      </c>
      <c r="G508" s="295" t="str">
        <f>VLOOKUP(F508,'GL Category'!A:C,3,FALSE)</f>
        <v>Personnel services</v>
      </c>
      <c r="H508" s="98" t="str">
        <f>VLOOKUP(F508,'GL Category'!A:C,2,FALSE)</f>
        <v>RETIREMENT</v>
      </c>
      <c r="I508" s="99">
        <f>SUMIFS(I$2:I502,$C$2:$C502,$C508,$F$2:$F502,$F508)</f>
        <v>109292.98000000001</v>
      </c>
      <c r="J508" s="99">
        <f>SUMIFS(J$2:J502,$C$2:$C502,$C508,$F$2:$F502,$F508)</f>
        <v>92236.209999999992</v>
      </c>
      <c r="K508" s="99">
        <f>SUMIFS(K$2:K502,$C$2:$C502,$C508,$F$2:$F502,$F508)</f>
        <v>101483.79000000001</v>
      </c>
      <c r="L508" s="99">
        <f>SUMIFS(L$2:L502,$C$2:$C502,$C508,$F$2:$F502,$F508)</f>
        <v>99867.010000000009</v>
      </c>
      <c r="M508" s="99">
        <f>SUMIFS(M$2:M502,$C$2:$C502,$C508,$F$2:$F502,$F508)</f>
        <v>114459</v>
      </c>
      <c r="N508" s="99">
        <f>SUMIFS(N$2:N502,$C$2:$C502,$C508,$F$2:$F502,$F508)</f>
        <v>76054.84</v>
      </c>
      <c r="O508" s="99">
        <f>SUMIFS(O$2:O502,$C$2:$C502,$C508,$F$2:$F502,$F508)</f>
        <v>104807</v>
      </c>
      <c r="P508" s="99">
        <f t="shared" si="597"/>
        <v>-9652</v>
      </c>
      <c r="Q508" s="99">
        <f>SUMIFS(Q$2:Q502,$C$2:$C502,$C508,$F$2:$F502,$F508)</f>
        <v>120715</v>
      </c>
      <c r="R508" s="99">
        <f>SUMIFS(R$2:R502,$C$2:$C502,$C508,$F$2:$F502,$F508)</f>
        <v>0</v>
      </c>
      <c r="S508" s="99">
        <f>SUMIFS(S$2:S502,$C$2:$C502,$C508,$F$2:$F502,$F508)</f>
        <v>0</v>
      </c>
      <c r="T508" s="99">
        <f>SUMIFS(T$2:T502,$C$2:$C502,$C508,$F$2:$F502,$F508)</f>
        <v>120715</v>
      </c>
      <c r="U508" s="99">
        <f t="shared" si="598"/>
        <v>6256</v>
      </c>
      <c r="V508" s="255">
        <f t="shared" si="599"/>
        <v>5.465712613250151E-2</v>
      </c>
      <c r="W508" s="102"/>
      <c r="X508" s="102"/>
      <c r="Y508" s="102">
        <f t="shared" si="600"/>
        <v>120715</v>
      </c>
      <c r="Z508" s="309">
        <f>Y508*(1+VLOOKUP($F508,'GL Category'!$A:$H,4,FALSE))</f>
        <v>124940.02499999999</v>
      </c>
      <c r="AA508" s="615"/>
      <c r="AB508" s="622">
        <f t="shared" si="601"/>
        <v>124940.02499999999</v>
      </c>
      <c r="AC508" s="633">
        <f>AB508*(1+VLOOKUP($F508,'GL Category'!$A:$H,5,FALSE))</f>
        <v>129312.92587499999</v>
      </c>
      <c r="AD508" s="307"/>
      <c r="AE508" s="622">
        <f t="shared" si="602"/>
        <v>129312.92587499999</v>
      </c>
      <c r="AF508" s="633">
        <f>AE508*(1+VLOOKUP($F508,'GL Category'!$A:$H,6,FALSE))</f>
        <v>133838.87828062498</v>
      </c>
      <c r="AG508" s="307"/>
      <c r="AH508" s="622">
        <f t="shared" si="603"/>
        <v>133838.87828062498</v>
      </c>
      <c r="AI508" s="633">
        <f>AH508*(1+VLOOKUP($F508,'GL Category'!$A:$H,7,FALSE))</f>
        <v>138523.23902044684</v>
      </c>
      <c r="AJ508" s="307"/>
      <c r="AK508" s="622">
        <f t="shared" si="604"/>
        <v>138523.23902044684</v>
      </c>
      <c r="AL508" s="633">
        <f>AK508*(1+VLOOKUP($F508,'GL Category'!$A:$H,8,FALSE))</f>
        <v>143371.55238616245</v>
      </c>
      <c r="AM508" s="307"/>
      <c r="AN508" s="622">
        <f t="shared" si="605"/>
        <v>143371.55238616245</v>
      </c>
    </row>
    <row r="509" spans="1:40" s="115" customFormat="1" ht="15" customHeight="1">
      <c r="A509" s="555"/>
      <c r="B509" s="217"/>
      <c r="C509" s="217"/>
      <c r="D509" s="101"/>
      <c r="E509" s="217"/>
      <c r="F509" s="294"/>
      <c r="G509" s="146"/>
      <c r="H509" s="107" t="str">
        <f>UPPER(G508)&amp;" TOTAL"</f>
        <v>PERSONNEL SERVICES TOTAL</v>
      </c>
      <c r="I509" s="108">
        <f t="shared" ref="I509" si="606">SUBTOTAL(9,I499:I508)</f>
        <v>860635.88000000012</v>
      </c>
      <c r="J509" s="108">
        <f t="shared" ref="J509:P509" si="607">SUBTOTAL(9,J499:J508)</f>
        <v>820013.97</v>
      </c>
      <c r="K509" s="108">
        <f t="shared" ref="K509" si="608">SUBTOTAL(9,K499:K508)</f>
        <v>885020.31000000017</v>
      </c>
      <c r="L509" s="108">
        <f t="shared" ref="L509" si="609">SUBTOTAL(9,L499:L508)</f>
        <v>908778.09</v>
      </c>
      <c r="M509" s="108">
        <f t="shared" si="607"/>
        <v>948289</v>
      </c>
      <c r="N509" s="109">
        <f t="shared" ref="N509" si="610">SUBTOTAL(9,N499:N508)</f>
        <v>692061.46999999986</v>
      </c>
      <c r="O509" s="109">
        <f t="shared" si="607"/>
        <v>914069</v>
      </c>
      <c r="P509" s="109">
        <f t="shared" si="607"/>
        <v>-34220</v>
      </c>
      <c r="Q509" s="109">
        <f t="shared" ref="Q509:T509" si="611">SUBTOTAL(9,Q499:Q508)</f>
        <v>969216</v>
      </c>
      <c r="R509" s="109">
        <f t="shared" si="611"/>
        <v>0</v>
      </c>
      <c r="S509" s="109">
        <f t="shared" si="611"/>
        <v>0</v>
      </c>
      <c r="T509" s="109">
        <f t="shared" si="611"/>
        <v>969216</v>
      </c>
      <c r="U509" s="99">
        <f t="shared" si="598"/>
        <v>20927</v>
      </c>
      <c r="V509" s="255">
        <f t="shared" si="599"/>
        <v>2.206816698285019E-2</v>
      </c>
      <c r="W509" s="102"/>
      <c r="X509" s="121"/>
      <c r="Y509" s="121"/>
      <c r="Z509" s="121"/>
      <c r="AA509" s="121"/>
      <c r="AB509" s="121"/>
      <c r="AC509" s="121"/>
      <c r="AD509" s="121"/>
      <c r="AE509" s="121"/>
      <c r="AF509" s="121"/>
      <c r="AG509" s="121"/>
      <c r="AH509" s="121"/>
      <c r="AI509" s="121"/>
    </row>
    <row r="510" spans="1:40" s="115" customFormat="1" ht="15" customHeight="1">
      <c r="A510" s="555"/>
      <c r="B510" s="217"/>
      <c r="C510" s="217"/>
      <c r="D510" s="101"/>
      <c r="E510" s="217"/>
      <c r="F510" s="294"/>
      <c r="G510" s="146"/>
      <c r="H510" s="98"/>
      <c r="I510" s="106"/>
      <c r="J510" s="106"/>
      <c r="K510" s="106"/>
      <c r="L510" s="106"/>
      <c r="M510" s="106"/>
      <c r="N510" s="112"/>
      <c r="O510" s="112"/>
      <c r="P510" s="112"/>
      <c r="Q510" s="113"/>
      <c r="R510" s="212"/>
      <c r="S510" s="212"/>
      <c r="T510" s="113"/>
      <c r="U510" s="105"/>
      <c r="V510" s="262"/>
      <c r="W510" s="102"/>
      <c r="X510" s="121"/>
      <c r="Y510" s="121"/>
      <c r="Z510" s="121"/>
      <c r="AA510" s="121"/>
      <c r="AB510" s="121"/>
      <c r="AC510" s="121"/>
      <c r="AD510" s="121"/>
      <c r="AE510" s="121"/>
      <c r="AF510" s="121"/>
      <c r="AG510" s="121"/>
      <c r="AH510" s="121"/>
      <c r="AI510" s="121"/>
    </row>
    <row r="511" spans="1:40" s="115" customFormat="1" ht="15" customHeight="1">
      <c r="A511" s="572" t="s">
        <v>3243</v>
      </c>
      <c r="B511" s="217" t="str">
        <f t="shared" si="565"/>
        <v>119</v>
      </c>
      <c r="C511" s="217">
        <v>18</v>
      </c>
      <c r="D511" s="101" t="str">
        <f t="shared" si="567"/>
        <v/>
      </c>
      <c r="E511" s="217" t="str">
        <f t="shared" si="568"/>
        <v>119-18</v>
      </c>
      <c r="F511" s="294" t="s">
        <v>148</v>
      </c>
      <c r="G511" s="295" t="str">
        <f>VLOOKUP(F511,'GL Category'!A:C,3,FALSE)</f>
        <v>Operations &amp; maintenance</v>
      </c>
      <c r="H511" s="98" t="str">
        <f>VLOOKUP(F511,'GL Category'!A:C,2,FALSE)</f>
        <v>OFFICE SUPPLIES</v>
      </c>
      <c r="I511" s="99">
        <f>SUMIFS(I$2:I505,$C$2:$C505,$C511,$F$2:$F505,$F511)</f>
        <v>1756.2</v>
      </c>
      <c r="J511" s="99">
        <f>SUMIFS(J$2:J505,$C$2:$C505,$C511,$F$2:$F505,$F511)</f>
        <v>2031.6000000000001</v>
      </c>
      <c r="K511" s="99">
        <f>SUMIFS(K$2:K505,$C$2:$C505,$C511,$F$2:$F505,$F511)</f>
        <v>2205.1799999999998</v>
      </c>
      <c r="L511" s="99">
        <f>SUMIFS(L$2:L505,$C$2:$C505,$C511,$F$2:$F505,$F511)</f>
        <v>4741.93</v>
      </c>
      <c r="M511" s="99">
        <f>SUMIFS(M$2:M505,$C$2:$C505,$C511,$F$2:$F505,$F511)</f>
        <v>4750</v>
      </c>
      <c r="N511" s="99">
        <f>SUMIFS(N$2:N505,$C$2:$C505,$C511,$F$2:$F505,$F511)</f>
        <v>1358.83</v>
      </c>
      <c r="O511" s="99">
        <f>SUMIFS(O$2:O505,$C$2:$C505,$C511,$F$2:$F505,$F511)</f>
        <v>3300</v>
      </c>
      <c r="P511" s="99">
        <f t="shared" ref="P511:P518" si="612">O511-M511</f>
        <v>-1450</v>
      </c>
      <c r="Q511" s="99">
        <f>SUMIFS(Q$2:Q505,$C$2:$C505,$C511,$F$2:$F505,$F511)</f>
        <v>4750</v>
      </c>
      <c r="R511" s="99">
        <f>SUMIFS(R$2:R505,$C$2:$C505,$C511,$F$2:$F505,$F511)</f>
        <v>0</v>
      </c>
      <c r="S511" s="99">
        <f>SUMIFS(S$2:S505,$C$2:$C505,$C511,$F$2:$F505,$F511)</f>
        <v>0</v>
      </c>
      <c r="T511" s="99">
        <f>SUMIFS(T$2:T505,$C$2:$C505,$C511,$F$2:$F505,$F511)</f>
        <v>4750</v>
      </c>
      <c r="U511" s="99">
        <f t="shared" ref="U511:U519" si="613">T511-M511</f>
        <v>0</v>
      </c>
      <c r="V511" s="255">
        <f t="shared" ref="V511:V519" si="614">IF(M511=0,"N/A",T511/M511-1)</f>
        <v>0</v>
      </c>
      <c r="W511" s="102"/>
      <c r="X511" s="102"/>
      <c r="Y511" s="102">
        <f t="shared" ref="Y511:Y518" si="615">T511-X511</f>
        <v>4750</v>
      </c>
      <c r="Z511" s="309">
        <f>Y511*(1+VLOOKUP($F511,'GL Category'!$A:$H,4,FALSE))</f>
        <v>4845</v>
      </c>
      <c r="AA511" s="615"/>
      <c r="AB511" s="622">
        <f t="shared" ref="AB511:AB518" si="616">Z511+AA511</f>
        <v>4845</v>
      </c>
      <c r="AC511" s="633">
        <f>AB511*(1+VLOOKUP($F511,'GL Category'!$A:$H,5,FALSE))</f>
        <v>4941.8999999999996</v>
      </c>
      <c r="AD511" s="307"/>
      <c r="AE511" s="622">
        <f t="shared" ref="AE511:AE518" si="617">AC511+AD511</f>
        <v>4941.8999999999996</v>
      </c>
      <c r="AF511" s="633">
        <f>AE511*(1+VLOOKUP($F511,'GL Category'!$A:$H,6,FALSE))</f>
        <v>5040.7379999999994</v>
      </c>
      <c r="AG511" s="307"/>
      <c r="AH511" s="622">
        <f t="shared" ref="AH511:AH518" si="618">AF511+AG511</f>
        <v>5040.7379999999994</v>
      </c>
      <c r="AI511" s="633">
        <f>AH511*(1+VLOOKUP($F511,'GL Category'!$A:$H,7,FALSE))</f>
        <v>5141.5527599999996</v>
      </c>
      <c r="AJ511" s="307"/>
      <c r="AK511" s="622">
        <f t="shared" ref="AK511:AK518" si="619">AI511+AJ511</f>
        <v>5141.5527599999996</v>
      </c>
      <c r="AL511" s="633">
        <f>AK511*(1+VLOOKUP($F511,'GL Category'!$A:$H,8,FALSE))</f>
        <v>5244.3838151999998</v>
      </c>
      <c r="AM511" s="307"/>
      <c r="AN511" s="622">
        <f t="shared" ref="AN511:AN518" si="620">AL511+AM511</f>
        <v>5244.3838151999998</v>
      </c>
    </row>
    <row r="512" spans="1:40" s="115" customFormat="1" ht="15" customHeight="1">
      <c r="A512" s="572" t="s">
        <v>3243</v>
      </c>
      <c r="B512" s="217" t="str">
        <f t="shared" si="565"/>
        <v>119</v>
      </c>
      <c r="C512" s="217">
        <v>18</v>
      </c>
      <c r="D512" s="101" t="str">
        <f t="shared" si="567"/>
        <v/>
      </c>
      <c r="E512" s="217" t="str">
        <f t="shared" si="568"/>
        <v>119-18</v>
      </c>
      <c r="F512" s="294" t="s">
        <v>156</v>
      </c>
      <c r="G512" s="295" t="str">
        <f>VLOOKUP(F512,'GL Category'!A:C,3,FALSE)</f>
        <v>Operations &amp; maintenance</v>
      </c>
      <c r="H512" s="98" t="str">
        <f>VLOOKUP(F512,'GL Category'!A:C,2,FALSE)</f>
        <v>COMPUTER SUPPLIES</v>
      </c>
      <c r="I512" s="99">
        <f>SUMIFS(I$2:I506,$C$2:$C506,$C512,$F$2:$F506,$F512)</f>
        <v>191147.4</v>
      </c>
      <c r="J512" s="99">
        <f>SUMIFS(J$2:J506,$C$2:$C506,$C512,$F$2:$F506,$F512)</f>
        <v>152517.19</v>
      </c>
      <c r="K512" s="99">
        <f>SUMIFS(K$2:K506,$C$2:$C506,$C512,$F$2:$F506,$F512)</f>
        <v>110019.4</v>
      </c>
      <c r="L512" s="99">
        <f>SUMIFS(L$2:L506,$C$2:$C506,$C512,$F$2:$F506,$F512)</f>
        <v>130487.83</v>
      </c>
      <c r="M512" s="99">
        <f>SUMIFS(M$2:M506,$C$2:$C506,$C512,$F$2:$F506,$F512)</f>
        <v>363050</v>
      </c>
      <c r="N512" s="99">
        <f>SUMIFS(N$2:N506,$C$2:$C506,$C512,$F$2:$F506,$F512)</f>
        <v>198664.91</v>
      </c>
      <c r="O512" s="99">
        <f>SUMIFS(O$2:O506,$C$2:$C506,$C512,$F$2:$F506,$F512)</f>
        <v>361850</v>
      </c>
      <c r="P512" s="99">
        <f t="shared" si="612"/>
        <v>-1200</v>
      </c>
      <c r="Q512" s="99">
        <f>SUMIFS(Q$2:Q506,$C$2:$C506,$C512,$F$2:$F506,$F512)</f>
        <v>304500</v>
      </c>
      <c r="R512" s="99">
        <f>SUMIFS(R$2:R506,$C$2:$C506,$C512,$F$2:$F506,$F512)</f>
        <v>0</v>
      </c>
      <c r="S512" s="99">
        <f>SUMIFS(S$2:S506,$C$2:$C506,$C512,$F$2:$F506,$F512)</f>
        <v>0</v>
      </c>
      <c r="T512" s="99">
        <f>SUMIFS(T$2:T506,$C$2:$C506,$C512,$F$2:$F506,$F512)</f>
        <v>304500</v>
      </c>
      <c r="U512" s="99">
        <f t="shared" si="613"/>
        <v>-58550</v>
      </c>
      <c r="V512" s="255">
        <f t="shared" si="614"/>
        <v>-0.16127255199008406</v>
      </c>
      <c r="W512" s="102"/>
      <c r="X512" s="102">
        <v>50000</v>
      </c>
      <c r="Y512" s="102">
        <f t="shared" si="615"/>
        <v>254500</v>
      </c>
      <c r="Z512" s="309">
        <f>Y512*(1+VLOOKUP($F512,'GL Category'!$A:$H,4,FALSE))</f>
        <v>259590</v>
      </c>
      <c r="AA512" s="615"/>
      <c r="AB512" s="622">
        <f t="shared" si="616"/>
        <v>259590</v>
      </c>
      <c r="AC512" s="633">
        <f>AB512*(1+VLOOKUP($F512,'GL Category'!$A:$H,5,FALSE))</f>
        <v>264781.8</v>
      </c>
      <c r="AD512" s="307"/>
      <c r="AE512" s="622">
        <f t="shared" si="617"/>
        <v>264781.8</v>
      </c>
      <c r="AF512" s="633">
        <f>AE512*(1+VLOOKUP($F512,'GL Category'!$A:$H,6,FALSE))</f>
        <v>270077.43599999999</v>
      </c>
      <c r="AG512" s="307"/>
      <c r="AH512" s="622">
        <f t="shared" si="618"/>
        <v>270077.43599999999</v>
      </c>
      <c r="AI512" s="633">
        <f>AH512*(1+VLOOKUP($F512,'GL Category'!$A:$H,7,FALSE))</f>
        <v>275478.98472000001</v>
      </c>
      <c r="AJ512" s="307"/>
      <c r="AK512" s="622">
        <f t="shared" si="619"/>
        <v>275478.98472000001</v>
      </c>
      <c r="AL512" s="633">
        <f>AK512*(1+VLOOKUP($F512,'GL Category'!$A:$H,8,FALSE))</f>
        <v>280988.56441440003</v>
      </c>
      <c r="AM512" s="307"/>
      <c r="AN512" s="622">
        <f t="shared" si="620"/>
        <v>280988.56441440003</v>
      </c>
    </row>
    <row r="513" spans="1:40" s="115" customFormat="1" ht="15" customHeight="1">
      <c r="A513" s="572" t="s">
        <v>3243</v>
      </c>
      <c r="B513" s="217" t="str">
        <f t="shared" si="565"/>
        <v>119</v>
      </c>
      <c r="C513" s="217">
        <v>18</v>
      </c>
      <c r="D513" s="101" t="str">
        <f t="shared" si="567"/>
        <v/>
      </c>
      <c r="E513" s="217" t="str">
        <f t="shared" si="568"/>
        <v>119-18</v>
      </c>
      <c r="F513" s="294" t="s">
        <v>159</v>
      </c>
      <c r="G513" s="295" t="str">
        <f>VLOOKUP(F513,'GL Category'!A:C,3,FALSE)</f>
        <v>Operations &amp; maintenance</v>
      </c>
      <c r="H513" s="98" t="str">
        <f>VLOOKUP(F513,'GL Category'!A:C,2,FALSE)</f>
        <v>SMALL TOOLS &amp; EQUIPMENT</v>
      </c>
      <c r="I513" s="99">
        <f>SUMIFS(I$2:I508,$C$2:$C508,$C513,$F$2:$F508,$F513)</f>
        <v>0</v>
      </c>
      <c r="J513" s="99">
        <f>SUMIFS(J$2:J508,$C$2:$C508,$C513,$F$2:$F508,$F513)</f>
        <v>0</v>
      </c>
      <c r="K513" s="99">
        <f>SUMIFS(K$2:K508,$C$2:$C508,$C513,$F$2:$F508,$F513)</f>
        <v>0</v>
      </c>
      <c r="L513" s="99">
        <f>SUMIFS(L$2:L508,$C$2:$C508,$C513,$F$2:$F508,$F513)</f>
        <v>0</v>
      </c>
      <c r="M513" s="99">
        <f>SUMIFS(M$2:M508,$C$2:$C508,$C513,$F$2:$F508,$F513)</f>
        <v>0</v>
      </c>
      <c r="N513" s="99">
        <f>SUMIFS(N$2:N508,$C$2:$C508,$C513,$F$2:$F508,$F513)</f>
        <v>0</v>
      </c>
      <c r="O513" s="99">
        <f>SUMIFS(O$2:O508,$C$2:$C508,$C513,$F$2:$F508,$F513)</f>
        <v>0</v>
      </c>
      <c r="P513" s="99">
        <f t="shared" si="612"/>
        <v>0</v>
      </c>
      <c r="Q513" s="99">
        <f>SUMIFS(Q$2:Q508,$C$2:$C508,$C513,$F$2:$F508,$F513)</f>
        <v>0</v>
      </c>
      <c r="R513" s="99">
        <f>SUMIFS(R$2:R508,$C$2:$C508,$C513,$F$2:$F508,$F513)</f>
        <v>0</v>
      </c>
      <c r="S513" s="99">
        <f>SUMIFS(S$2:S508,$C$2:$C508,$C513,$F$2:$F508,$F513)</f>
        <v>0</v>
      </c>
      <c r="T513" s="99">
        <f>SUMIFS(T$2:T508,$C$2:$C508,$C513,$F$2:$F508,$F513)</f>
        <v>0</v>
      </c>
      <c r="U513" s="99">
        <f t="shared" si="613"/>
        <v>0</v>
      </c>
      <c r="V513" s="255" t="str">
        <f t="shared" si="614"/>
        <v>N/A</v>
      </c>
      <c r="W513" s="102"/>
      <c r="X513" s="102"/>
      <c r="Y513" s="102">
        <f t="shared" si="615"/>
        <v>0</v>
      </c>
      <c r="Z513" s="309">
        <f>Y513*(1+VLOOKUP($F513,'GL Category'!$A:$H,4,FALSE))</f>
        <v>0</v>
      </c>
      <c r="AA513" s="615"/>
      <c r="AB513" s="622">
        <f t="shared" si="616"/>
        <v>0</v>
      </c>
      <c r="AC513" s="633">
        <f>AB513*(1+VLOOKUP($F513,'GL Category'!$A:$H,5,FALSE))</f>
        <v>0</v>
      </c>
      <c r="AD513" s="307"/>
      <c r="AE513" s="622">
        <f t="shared" si="617"/>
        <v>0</v>
      </c>
      <c r="AF513" s="633">
        <f>AE513*(1+VLOOKUP($F513,'GL Category'!$A:$H,6,FALSE))</f>
        <v>0</v>
      </c>
      <c r="AG513" s="307"/>
      <c r="AH513" s="622">
        <f t="shared" si="618"/>
        <v>0</v>
      </c>
      <c r="AI513" s="633">
        <f>AH513*(1+VLOOKUP($F513,'GL Category'!$A:$H,7,FALSE))</f>
        <v>0</v>
      </c>
      <c r="AJ513" s="307"/>
      <c r="AK513" s="622">
        <f t="shared" si="619"/>
        <v>0</v>
      </c>
      <c r="AL513" s="633">
        <f>AK513*(1+VLOOKUP($F513,'GL Category'!$A:$H,8,FALSE))</f>
        <v>0</v>
      </c>
      <c r="AM513" s="307"/>
      <c r="AN513" s="622">
        <f t="shared" si="620"/>
        <v>0</v>
      </c>
    </row>
    <row r="514" spans="1:40" s="115" customFormat="1" ht="15" customHeight="1">
      <c r="A514" s="572" t="s">
        <v>3243</v>
      </c>
      <c r="B514" s="217" t="str">
        <f t="shared" si="565"/>
        <v>119</v>
      </c>
      <c r="C514" s="217">
        <v>18</v>
      </c>
      <c r="D514" s="101" t="str">
        <f t="shared" si="567"/>
        <v/>
      </c>
      <c r="E514" s="217" t="str">
        <f t="shared" si="568"/>
        <v>119-18</v>
      </c>
      <c r="F514" s="294" t="s">
        <v>160</v>
      </c>
      <c r="G514" s="295" t="str">
        <f>VLOOKUP(F514,'GL Category'!A:C,3,FALSE)</f>
        <v>Operations &amp; maintenance</v>
      </c>
      <c r="H514" s="98" t="str">
        <f>VLOOKUP(F514,'GL Category'!A:C,2,FALSE)</f>
        <v>FUEL/OILS/LUBRICANTS</v>
      </c>
      <c r="I514" s="99">
        <f>SUMIFS(I$2:I508,$C$2:$C508,$C514,$F$2:$F508,$F514)</f>
        <v>14.33</v>
      </c>
      <c r="J514" s="99">
        <f>SUMIFS(J$2:J508,$C$2:$C508,$C514,$F$2:$F508,$F514)</f>
        <v>35.880000000000003</v>
      </c>
      <c r="K514" s="99">
        <f>SUMIFS(K$2:K508,$C$2:$C508,$C514,$F$2:$F508,$F514)</f>
        <v>63.63</v>
      </c>
      <c r="L514" s="99">
        <f>SUMIFS(L$2:L508,$C$2:$C508,$C514,$F$2:$F508,$F514)</f>
        <v>22.2</v>
      </c>
      <c r="M514" s="99">
        <f>SUMIFS(M$2:M508,$C$2:$C508,$C514,$F$2:$F508,$F514)</f>
        <v>500</v>
      </c>
      <c r="N514" s="99">
        <f>SUMIFS(N$2:N508,$C$2:$C508,$C514,$F$2:$F508,$F514)</f>
        <v>0</v>
      </c>
      <c r="O514" s="99">
        <f>SUMIFS(O$2:O508,$C$2:$C508,$C514,$F$2:$F508,$F514)</f>
        <v>500</v>
      </c>
      <c r="P514" s="99">
        <f t="shared" si="612"/>
        <v>0</v>
      </c>
      <c r="Q514" s="99">
        <f>SUMIFS(Q$2:Q508,$C$2:$C508,$C514,$F$2:$F508,$F514)</f>
        <v>500</v>
      </c>
      <c r="R514" s="99">
        <f>SUMIFS(R$2:R508,$C$2:$C508,$C514,$F$2:$F508,$F514)</f>
        <v>0</v>
      </c>
      <c r="S514" s="99">
        <f>SUMIFS(S$2:S508,$C$2:$C508,$C514,$F$2:$F508,$F514)</f>
        <v>0</v>
      </c>
      <c r="T514" s="99">
        <f>SUMIFS(T$2:T508,$C$2:$C508,$C514,$F$2:$F508,$F514)</f>
        <v>500</v>
      </c>
      <c r="U514" s="99">
        <f t="shared" si="613"/>
        <v>0</v>
      </c>
      <c r="V514" s="255">
        <f t="shared" si="614"/>
        <v>0</v>
      </c>
      <c r="W514" s="102"/>
      <c r="X514" s="102"/>
      <c r="Y514" s="102">
        <f t="shared" si="615"/>
        <v>500</v>
      </c>
      <c r="Z514" s="309">
        <f>Y514*(1+VLOOKUP($F514,'GL Category'!$A:$H,4,FALSE))</f>
        <v>510</v>
      </c>
      <c r="AA514" s="615"/>
      <c r="AB514" s="622">
        <f t="shared" si="616"/>
        <v>510</v>
      </c>
      <c r="AC514" s="633">
        <f>AB514*(1+VLOOKUP($F514,'GL Category'!$A:$H,5,FALSE))</f>
        <v>520.20000000000005</v>
      </c>
      <c r="AD514" s="307"/>
      <c r="AE514" s="622">
        <f t="shared" si="617"/>
        <v>520.20000000000005</v>
      </c>
      <c r="AF514" s="633">
        <f>AE514*(1+VLOOKUP($F514,'GL Category'!$A:$H,6,FALSE))</f>
        <v>530.60400000000004</v>
      </c>
      <c r="AG514" s="307"/>
      <c r="AH514" s="622">
        <f t="shared" si="618"/>
        <v>530.60400000000004</v>
      </c>
      <c r="AI514" s="633">
        <f>AH514*(1+VLOOKUP($F514,'GL Category'!$A:$H,7,FALSE))</f>
        <v>541.21608000000003</v>
      </c>
      <c r="AJ514" s="307"/>
      <c r="AK514" s="622">
        <f t="shared" si="619"/>
        <v>541.21608000000003</v>
      </c>
      <c r="AL514" s="633">
        <f>AK514*(1+VLOOKUP($F514,'GL Category'!$A:$H,8,FALSE))</f>
        <v>552.0404016</v>
      </c>
      <c r="AM514" s="307"/>
      <c r="AN514" s="622">
        <f t="shared" si="620"/>
        <v>552.0404016</v>
      </c>
    </row>
    <row r="515" spans="1:40" s="115" customFormat="1" ht="15" customHeight="1">
      <c r="A515" s="572" t="s">
        <v>3243</v>
      </c>
      <c r="B515" s="217" t="str">
        <f t="shared" si="565"/>
        <v>119</v>
      </c>
      <c r="C515" s="217">
        <v>18</v>
      </c>
      <c r="D515" s="101" t="str">
        <f t="shared" si="567"/>
        <v/>
      </c>
      <c r="E515" s="217" t="str">
        <f t="shared" si="568"/>
        <v>119-18</v>
      </c>
      <c r="F515" s="294" t="s">
        <v>166</v>
      </c>
      <c r="G515" s="295" t="str">
        <f>VLOOKUP(F515,'GL Category'!A:C,3,FALSE)</f>
        <v>Operations &amp; maintenance</v>
      </c>
      <c r="H515" s="98" t="str">
        <f>VLOOKUP(F515,'GL Category'!A:C,2,FALSE)</f>
        <v>WEARING APPAREL</v>
      </c>
      <c r="I515" s="99">
        <f>SUMIFS(I$2:I509,$C$2:$C509,$C515,$F$2:$F509,$F515)</f>
        <v>651.41999999999996</v>
      </c>
      <c r="J515" s="99">
        <f>SUMIFS(J$2:J509,$C$2:$C509,$C515,$F$2:$F509,$F515)</f>
        <v>473.73</v>
      </c>
      <c r="K515" s="99">
        <f>SUMIFS(K$2:K509,$C$2:$C509,$C515,$F$2:$F509,$F515)</f>
        <v>1296.21</v>
      </c>
      <c r="L515" s="99">
        <f>SUMIFS(L$2:L509,$C$2:$C509,$C515,$F$2:$F509,$F515)</f>
        <v>0</v>
      </c>
      <c r="M515" s="99">
        <f>SUMIFS(M$2:M509,$C$2:$C509,$C515,$F$2:$F509,$F515)</f>
        <v>1000</v>
      </c>
      <c r="N515" s="99">
        <f>SUMIFS(N$2:N509,$C$2:$C509,$C515,$F$2:$F509,$F515)</f>
        <v>705.23</v>
      </c>
      <c r="O515" s="99">
        <f>SUMIFS(O$2:O509,$C$2:$C509,$C515,$F$2:$F509,$F515)</f>
        <v>1000</v>
      </c>
      <c r="P515" s="99">
        <f t="shared" si="612"/>
        <v>0</v>
      </c>
      <c r="Q515" s="99">
        <f>SUMIFS(Q$2:Q509,$C$2:$C509,$C515,$F$2:$F509,$F515)</f>
        <v>1000</v>
      </c>
      <c r="R515" s="99">
        <f>SUMIFS(R$2:R509,$C$2:$C509,$C515,$F$2:$F509,$F515)</f>
        <v>0</v>
      </c>
      <c r="S515" s="99">
        <f>SUMIFS(S$2:S509,$C$2:$C509,$C515,$F$2:$F509,$F515)</f>
        <v>0</v>
      </c>
      <c r="T515" s="99">
        <f>SUMIFS(T$2:T509,$C$2:$C509,$C515,$F$2:$F509,$F515)</f>
        <v>1000</v>
      </c>
      <c r="U515" s="99">
        <f t="shared" si="613"/>
        <v>0</v>
      </c>
      <c r="V515" s="255">
        <f t="shared" si="614"/>
        <v>0</v>
      </c>
      <c r="W515" s="102"/>
      <c r="X515" s="102"/>
      <c r="Y515" s="102">
        <f t="shared" si="615"/>
        <v>1000</v>
      </c>
      <c r="Z515" s="309">
        <f>Y515*(1+VLOOKUP($F515,'GL Category'!$A:$H,4,FALSE))</f>
        <v>1020</v>
      </c>
      <c r="AA515" s="615"/>
      <c r="AB515" s="622">
        <f t="shared" si="616"/>
        <v>1020</v>
      </c>
      <c r="AC515" s="633">
        <f>AB515*(1+VLOOKUP($F515,'GL Category'!$A:$H,5,FALSE))</f>
        <v>1040.4000000000001</v>
      </c>
      <c r="AD515" s="307"/>
      <c r="AE515" s="622">
        <f t="shared" si="617"/>
        <v>1040.4000000000001</v>
      </c>
      <c r="AF515" s="633">
        <f>AE515*(1+VLOOKUP($F515,'GL Category'!$A:$H,6,FALSE))</f>
        <v>1061.2080000000001</v>
      </c>
      <c r="AG515" s="307"/>
      <c r="AH515" s="622">
        <f t="shared" si="618"/>
        <v>1061.2080000000001</v>
      </c>
      <c r="AI515" s="633">
        <f>AH515*(1+VLOOKUP($F515,'GL Category'!$A:$H,7,FALSE))</f>
        <v>1082.4321600000001</v>
      </c>
      <c r="AJ515" s="307"/>
      <c r="AK515" s="622">
        <f t="shared" si="619"/>
        <v>1082.4321600000001</v>
      </c>
      <c r="AL515" s="633">
        <f>AK515*(1+VLOOKUP($F515,'GL Category'!$A:$H,8,FALSE))</f>
        <v>1104.0808032</v>
      </c>
      <c r="AM515" s="307"/>
      <c r="AN515" s="622">
        <f t="shared" si="620"/>
        <v>1104.0808032</v>
      </c>
    </row>
    <row r="516" spans="1:40" s="115" customFormat="1" ht="15" customHeight="1">
      <c r="A516" s="572" t="s">
        <v>3243</v>
      </c>
      <c r="B516" s="217" t="str">
        <f t="shared" si="565"/>
        <v>119</v>
      </c>
      <c r="C516" s="217">
        <v>18</v>
      </c>
      <c r="D516" s="101" t="str">
        <f t="shared" si="567"/>
        <v/>
      </c>
      <c r="E516" s="217" t="str">
        <f t="shared" si="568"/>
        <v>119-18</v>
      </c>
      <c r="F516" s="294" t="s">
        <v>240</v>
      </c>
      <c r="G516" s="295" t="str">
        <f>VLOOKUP(F516,'GL Category'!A:C,3,FALSE)</f>
        <v>Operations &amp; maintenance</v>
      </c>
      <c r="H516" s="98" t="str">
        <f>VLOOKUP(F516,'GL Category'!A:C,2,FALSE)</f>
        <v>VEHICLE MAINTENANCE</v>
      </c>
      <c r="I516" s="99">
        <f>SUMIFS(I$2:I509,$C$2:$C509,$C516,$F$2:$F509,$F516)</f>
        <v>570.19000000000005</v>
      </c>
      <c r="J516" s="99">
        <f>SUMIFS(J$2:J509,$C$2:$C509,$C516,$F$2:$F509,$F516)</f>
        <v>78.209999999999994</v>
      </c>
      <c r="K516" s="99">
        <f>SUMIFS(K$2:K509,$C$2:$C509,$C516,$F$2:$F509,$F516)</f>
        <v>548.35</v>
      </c>
      <c r="L516" s="99">
        <f>SUMIFS(L$2:L509,$C$2:$C509,$C516,$F$2:$F509,$F516)</f>
        <v>459.39</v>
      </c>
      <c r="M516" s="99">
        <f>SUMIFS(M$2:M509,$C$2:$C509,$C516,$F$2:$F509,$F516)</f>
        <v>678</v>
      </c>
      <c r="N516" s="99">
        <f>SUMIFS(N$2:N509,$C$2:$C509,$C516,$F$2:$F509,$F516)</f>
        <v>0</v>
      </c>
      <c r="O516" s="99">
        <f>SUMIFS(O$2:O509,$C$2:$C509,$C516,$F$2:$F509,$F516)</f>
        <v>678</v>
      </c>
      <c r="P516" s="99">
        <f t="shared" si="612"/>
        <v>0</v>
      </c>
      <c r="Q516" s="99">
        <f>SUMIFS(Q$2:Q509,$C$2:$C509,$C516,$F$2:$F509,$F516)</f>
        <v>3465</v>
      </c>
      <c r="R516" s="99">
        <f>SUMIFS(R$2:R509,$C$2:$C509,$C516,$F$2:$F509,$F516)</f>
        <v>0</v>
      </c>
      <c r="S516" s="99">
        <f>SUMIFS(S$2:S509,$C$2:$C509,$C516,$F$2:$F509,$F516)</f>
        <v>0</v>
      </c>
      <c r="T516" s="99">
        <f>SUMIFS(T$2:T509,$C$2:$C509,$C516,$F$2:$F509,$F516)</f>
        <v>3465</v>
      </c>
      <c r="U516" s="99">
        <f t="shared" si="613"/>
        <v>2787</v>
      </c>
      <c r="V516" s="255">
        <f t="shared" si="614"/>
        <v>4.110619469026549</v>
      </c>
      <c r="W516" s="102"/>
      <c r="X516" s="102"/>
      <c r="Y516" s="102">
        <f t="shared" si="615"/>
        <v>3465</v>
      </c>
      <c r="Z516" s="309">
        <f>Y516*(1+VLOOKUP($F516,'GL Category'!$A:$H,4,FALSE))</f>
        <v>3534.3</v>
      </c>
      <c r="AA516" s="615"/>
      <c r="AB516" s="622">
        <f t="shared" si="616"/>
        <v>3534.3</v>
      </c>
      <c r="AC516" s="633">
        <f>AB516*(1+VLOOKUP($F516,'GL Category'!$A:$H,5,FALSE))</f>
        <v>3604.9860000000003</v>
      </c>
      <c r="AD516" s="307"/>
      <c r="AE516" s="622">
        <f t="shared" si="617"/>
        <v>3604.9860000000003</v>
      </c>
      <c r="AF516" s="633">
        <f>AE516*(1+VLOOKUP($F516,'GL Category'!$A:$H,6,FALSE))</f>
        <v>3677.0857200000005</v>
      </c>
      <c r="AG516" s="307"/>
      <c r="AH516" s="622">
        <f t="shared" si="618"/>
        <v>3677.0857200000005</v>
      </c>
      <c r="AI516" s="633">
        <f>AH516*(1+VLOOKUP($F516,'GL Category'!$A:$H,7,FALSE))</f>
        <v>3750.6274344000008</v>
      </c>
      <c r="AJ516" s="307"/>
      <c r="AK516" s="622">
        <f t="shared" si="619"/>
        <v>3750.6274344000008</v>
      </c>
      <c r="AL516" s="633">
        <f>AK516*(1+VLOOKUP($F516,'GL Category'!$A:$H,8,FALSE))</f>
        <v>3825.6399830880009</v>
      </c>
      <c r="AM516" s="307"/>
      <c r="AN516" s="622">
        <f t="shared" si="620"/>
        <v>3825.6399830880009</v>
      </c>
    </row>
    <row r="517" spans="1:40" s="115" customFormat="1" ht="15" customHeight="1">
      <c r="A517" s="572" t="s">
        <v>3243</v>
      </c>
      <c r="B517" s="217" t="str">
        <f t="shared" si="565"/>
        <v>119</v>
      </c>
      <c r="C517" s="217">
        <v>18</v>
      </c>
      <c r="D517" s="101" t="str">
        <f t="shared" si="567"/>
        <v/>
      </c>
      <c r="E517" s="217" t="str">
        <f t="shared" si="568"/>
        <v>119-18</v>
      </c>
      <c r="F517" s="294" t="s">
        <v>176</v>
      </c>
      <c r="G517" s="295" t="str">
        <f>VLOOKUP(F517,'GL Category'!A:C,3,FALSE)</f>
        <v>Operations &amp; maintenance</v>
      </c>
      <c r="H517" s="98" t="str">
        <f>VLOOKUP(F517,'GL Category'!A:C,2,FALSE)</f>
        <v>OFFICE EQUIPMENT MAINTENANCE</v>
      </c>
      <c r="I517" s="99">
        <f>SUMIFS(I$2:I510,$C$2:$C510,$C517,$F$2:$F510,$F517)</f>
        <v>99830.17</v>
      </c>
      <c r="J517" s="99">
        <f>SUMIFS(J$2:J510,$C$2:$C510,$C517,$F$2:$F510,$F517)</f>
        <v>89634.42</v>
      </c>
      <c r="K517" s="99">
        <f>SUMIFS(K$2:K510,$C$2:$C510,$C517,$F$2:$F510,$F517)</f>
        <v>98759.64</v>
      </c>
      <c r="L517" s="99">
        <f>SUMIFS(L$2:L510,$C$2:$C510,$C517,$F$2:$F510,$F517)</f>
        <v>152258.79999999999</v>
      </c>
      <c r="M517" s="99">
        <f>SUMIFS(M$2:M510,$C$2:$C510,$C517,$F$2:$F510,$F517)</f>
        <v>150000</v>
      </c>
      <c r="N517" s="99">
        <f>SUMIFS(N$2:N510,$C$2:$C510,$C517,$F$2:$F510,$F517)</f>
        <v>103239.76</v>
      </c>
      <c r="O517" s="99">
        <f>SUMIFS(O$2:O510,$C$2:$C510,$C517,$F$2:$F510,$F517)</f>
        <v>150000</v>
      </c>
      <c r="P517" s="99">
        <f t="shared" si="612"/>
        <v>0</v>
      </c>
      <c r="Q517" s="99">
        <f>SUMIFS(Q$2:Q510,$C$2:$C510,$C517,$F$2:$F510,$F517)</f>
        <v>161000</v>
      </c>
      <c r="R517" s="99">
        <f>SUMIFS(R$2:R510,$C$2:$C510,$C517,$F$2:$F510,$F517)</f>
        <v>0</v>
      </c>
      <c r="S517" s="99">
        <f>SUMIFS(S$2:S510,$C$2:$C510,$C517,$F$2:$F510,$F517)</f>
        <v>0</v>
      </c>
      <c r="T517" s="99">
        <f>SUMIFS(T$2:T510,$C$2:$C510,$C517,$F$2:$F510,$F517)</f>
        <v>161000</v>
      </c>
      <c r="U517" s="99">
        <f t="shared" si="613"/>
        <v>11000</v>
      </c>
      <c r="V517" s="255">
        <f t="shared" si="614"/>
        <v>7.333333333333325E-2</v>
      </c>
      <c r="W517" s="102"/>
      <c r="X517" s="102"/>
      <c r="Y517" s="102">
        <f t="shared" si="615"/>
        <v>161000</v>
      </c>
      <c r="Z517" s="309">
        <f>Y517*(1+VLOOKUP($F517,'GL Category'!$A:$H,4,FALSE))</f>
        <v>164220</v>
      </c>
      <c r="AA517" s="615"/>
      <c r="AB517" s="622">
        <f t="shared" si="616"/>
        <v>164220</v>
      </c>
      <c r="AC517" s="633">
        <f>AB517*(1+VLOOKUP($F517,'GL Category'!$A:$H,5,FALSE))</f>
        <v>167504.4</v>
      </c>
      <c r="AD517" s="307"/>
      <c r="AE517" s="622">
        <f t="shared" si="617"/>
        <v>167504.4</v>
      </c>
      <c r="AF517" s="633">
        <f>AE517*(1+VLOOKUP($F517,'GL Category'!$A:$H,6,FALSE))</f>
        <v>170854.48799999998</v>
      </c>
      <c r="AG517" s="307"/>
      <c r="AH517" s="622">
        <f t="shared" si="618"/>
        <v>170854.48799999998</v>
      </c>
      <c r="AI517" s="633">
        <f>AH517*(1+VLOOKUP($F517,'GL Category'!$A:$H,7,FALSE))</f>
        <v>174271.57775999999</v>
      </c>
      <c r="AJ517" s="307"/>
      <c r="AK517" s="622">
        <f t="shared" si="619"/>
        <v>174271.57775999999</v>
      </c>
      <c r="AL517" s="633">
        <f>AK517*(1+VLOOKUP($F517,'GL Category'!$A:$H,8,FALSE))</f>
        <v>177757.00931519998</v>
      </c>
      <c r="AM517" s="307"/>
      <c r="AN517" s="622">
        <f t="shared" si="620"/>
        <v>177757.00931519998</v>
      </c>
    </row>
    <row r="518" spans="1:40" s="115" customFormat="1" ht="15" customHeight="1">
      <c r="A518" s="572" t="s">
        <v>3243</v>
      </c>
      <c r="B518" s="217" t="str">
        <f t="shared" si="565"/>
        <v>119</v>
      </c>
      <c r="C518" s="217">
        <v>18</v>
      </c>
      <c r="D518" s="101" t="str">
        <f t="shared" si="567"/>
        <v/>
      </c>
      <c r="E518" s="217" t="str">
        <f t="shared" si="568"/>
        <v>119-18</v>
      </c>
      <c r="F518" s="294" t="s">
        <v>178</v>
      </c>
      <c r="G518" s="295" t="str">
        <f>VLOOKUP(F518,'GL Category'!A:C,3,FALSE)</f>
        <v>Operations &amp; maintenance</v>
      </c>
      <c r="H518" s="98" t="str">
        <f>VLOOKUP(F518,'GL Category'!A:C,2,FALSE)</f>
        <v>SOFTWARE LICENSE &amp; MAINTENANCE</v>
      </c>
      <c r="I518" s="99">
        <f>SUMIFS(I$2:I511,$C$2:$C511,$C518,$F$2:$F511,$F518)</f>
        <v>694130.69000000006</v>
      </c>
      <c r="J518" s="99">
        <f>SUMIFS(J$2:J511,$C$2:$C511,$C518,$F$2:$F511,$F518)</f>
        <v>727332.68</v>
      </c>
      <c r="K518" s="99">
        <f>SUMIFS(K$2:K511,$C$2:$C511,$C518,$F$2:$F511,$F518)</f>
        <v>569138.69999999995</v>
      </c>
      <c r="L518" s="99">
        <f>SUMIFS(L$2:L511,$C$2:$C511,$C518,$F$2:$F511,$F518)</f>
        <v>929344.92</v>
      </c>
      <c r="M518" s="99">
        <f>SUMIFS(M$2:M511,$C$2:$C511,$C518,$F$2:$F511,$F518)</f>
        <v>1220229</v>
      </c>
      <c r="N518" s="99">
        <f>SUMIFS(N$2:N511,$C$2:$C511,$C518,$F$2:$F511,$F518)</f>
        <v>740986.05</v>
      </c>
      <c r="O518" s="99">
        <f>SUMIFS(O$2:O511,$C$2:$C511,$C518,$F$2:$F511,$F518)</f>
        <v>1220229</v>
      </c>
      <c r="P518" s="99">
        <f t="shared" si="612"/>
        <v>0</v>
      </c>
      <c r="Q518" s="99">
        <f>SUMIFS(Q$2:Q511,$C$2:$C511,$C518,$F$2:$F511,$F518)</f>
        <v>1007730</v>
      </c>
      <c r="R518" s="99">
        <f>SUMIFS(R$2:R511,$C$2:$C511,$C518,$F$2:$F511,$F518)</f>
        <v>0</v>
      </c>
      <c r="S518" s="99">
        <f>SUMIFS(S$2:S511,$C$2:$C511,$C518,$F$2:$F511,$F518)</f>
        <v>906370</v>
      </c>
      <c r="T518" s="99">
        <f>SUMIFS(T$2:T511,$C$2:$C511,$C518,$F$2:$F511,$F518)</f>
        <v>1914100</v>
      </c>
      <c r="U518" s="99">
        <f t="shared" si="613"/>
        <v>693871</v>
      </c>
      <c r="V518" s="255">
        <f t="shared" si="614"/>
        <v>0.56863998478974032</v>
      </c>
      <c r="W518" s="102"/>
      <c r="X518" s="102">
        <f>900000*0.85</f>
        <v>765000</v>
      </c>
      <c r="Y518" s="102">
        <f t="shared" si="615"/>
        <v>1149100</v>
      </c>
      <c r="Z518" s="309">
        <f>Y518*(1+VLOOKUP($F518,'GL Category'!$A:$H,4,FALSE))</f>
        <v>1172082</v>
      </c>
      <c r="AA518" s="615"/>
      <c r="AB518" s="622">
        <f t="shared" si="616"/>
        <v>1172082</v>
      </c>
      <c r="AC518" s="633">
        <f>AB518*(1+VLOOKUP($F518,'GL Category'!$A:$H,5,FALSE))</f>
        <v>1195523.6400000001</v>
      </c>
      <c r="AD518" s="307"/>
      <c r="AE518" s="622">
        <f t="shared" si="617"/>
        <v>1195523.6400000001</v>
      </c>
      <c r="AF518" s="633">
        <f>AE518*(1+VLOOKUP($F518,'GL Category'!$A:$H,6,FALSE))</f>
        <v>1219434.1128000002</v>
      </c>
      <c r="AG518" s="307"/>
      <c r="AH518" s="622">
        <f t="shared" si="618"/>
        <v>1219434.1128000002</v>
      </c>
      <c r="AI518" s="633">
        <f>AH518*(1+VLOOKUP($F518,'GL Category'!$A:$H,7,FALSE))</f>
        <v>1243822.7950560004</v>
      </c>
      <c r="AJ518" s="307"/>
      <c r="AK518" s="622">
        <f t="shared" si="619"/>
        <v>1243822.7950560004</v>
      </c>
      <c r="AL518" s="633">
        <f>AK518*(1+VLOOKUP($F518,'GL Category'!$A:$H,8,FALSE))</f>
        <v>1268699.2509571204</v>
      </c>
      <c r="AM518" s="307"/>
      <c r="AN518" s="622">
        <f t="shared" si="620"/>
        <v>1268699.2509571204</v>
      </c>
    </row>
    <row r="519" spans="1:40" s="115" customFormat="1" ht="27.6" customHeight="1">
      <c r="A519" s="555"/>
      <c r="B519" s="217"/>
      <c r="C519" s="217"/>
      <c r="D519" s="101"/>
      <c r="E519" s="217"/>
      <c r="F519" s="294"/>
      <c r="G519" s="146"/>
      <c r="H519" s="107" t="str">
        <f>UPPER(G518)&amp;" TOTAL"</f>
        <v>OPERATIONS &amp; MAINTENANCE TOTAL</v>
      </c>
      <c r="I519" s="108">
        <f t="shared" ref="I519:T519" si="621">SUBTOTAL(9,I511:I518)</f>
        <v>988100.40000000014</v>
      </c>
      <c r="J519" s="108">
        <f t="shared" si="621"/>
        <v>972103.71000000008</v>
      </c>
      <c r="K519" s="108">
        <f t="shared" si="621"/>
        <v>782031.11</v>
      </c>
      <c r="L519" s="108">
        <f t="shared" si="621"/>
        <v>1217315.07</v>
      </c>
      <c r="M519" s="108">
        <f t="shared" si="621"/>
        <v>1740207</v>
      </c>
      <c r="N519" s="109">
        <f t="shared" si="621"/>
        <v>1044954.78</v>
      </c>
      <c r="O519" s="109">
        <f t="shared" si="621"/>
        <v>1737557</v>
      </c>
      <c r="P519" s="109">
        <f t="shared" si="621"/>
        <v>-2650</v>
      </c>
      <c r="Q519" s="109">
        <f t="shared" si="621"/>
        <v>1482945</v>
      </c>
      <c r="R519" s="109">
        <f t="shared" si="621"/>
        <v>0</v>
      </c>
      <c r="S519" s="109">
        <f t="shared" si="621"/>
        <v>906370</v>
      </c>
      <c r="T519" s="109">
        <f t="shared" si="621"/>
        <v>2389315</v>
      </c>
      <c r="U519" s="99">
        <f t="shared" si="613"/>
        <v>649108</v>
      </c>
      <c r="V519" s="255">
        <f t="shared" si="614"/>
        <v>0.37300619983714589</v>
      </c>
      <c r="W519" s="102"/>
      <c r="X519" s="121"/>
      <c r="Y519" s="121"/>
      <c r="Z519" s="121"/>
      <c r="AA519" s="121"/>
      <c r="AB519" s="121"/>
      <c r="AC519" s="121"/>
      <c r="AD519" s="121"/>
      <c r="AE519" s="121"/>
      <c r="AF519" s="121"/>
      <c r="AG519" s="121"/>
      <c r="AH519" s="121"/>
      <c r="AI519" s="121"/>
    </row>
    <row r="520" spans="1:40" s="115" customFormat="1" ht="15" customHeight="1">
      <c r="A520" s="555"/>
      <c r="B520" s="217"/>
      <c r="C520" s="217"/>
      <c r="D520" s="101"/>
      <c r="E520" s="217"/>
      <c r="F520" s="294"/>
      <c r="G520" s="146"/>
      <c r="H520" s="98"/>
      <c r="I520" s="106"/>
      <c r="J520" s="106"/>
      <c r="K520" s="106"/>
      <c r="L520" s="106"/>
      <c r="M520" s="106"/>
      <c r="N520" s="112"/>
      <c r="O520" s="112"/>
      <c r="P520" s="112"/>
      <c r="Q520" s="113"/>
      <c r="R520" s="212"/>
      <c r="S520" s="212"/>
      <c r="T520" s="113"/>
      <c r="U520" s="105"/>
      <c r="V520" s="262"/>
      <c r="W520" s="102"/>
      <c r="X520" s="121"/>
      <c r="Y520" s="121"/>
      <c r="Z520" s="121"/>
      <c r="AA520" s="121"/>
      <c r="AB520" s="121"/>
      <c r="AC520" s="121"/>
      <c r="AD520" s="121"/>
      <c r="AE520" s="121"/>
      <c r="AF520" s="121"/>
      <c r="AG520" s="121"/>
      <c r="AH520" s="121"/>
      <c r="AI520" s="121"/>
    </row>
    <row r="521" spans="1:40" s="115" customFormat="1" ht="15" customHeight="1">
      <c r="A521" s="572" t="s">
        <v>3243</v>
      </c>
      <c r="B521" s="217" t="str">
        <f t="shared" si="565"/>
        <v>119</v>
      </c>
      <c r="C521" s="217">
        <v>18</v>
      </c>
      <c r="D521" s="101" t="str">
        <f t="shared" si="567"/>
        <v/>
      </c>
      <c r="E521" s="217" t="str">
        <f t="shared" si="568"/>
        <v>119-18</v>
      </c>
      <c r="F521" s="556" t="s">
        <v>237</v>
      </c>
      <c r="G521" s="295" t="str">
        <f>VLOOKUP(F521,'GL Category'!A:C,3,FALSE)</f>
        <v>Services &amp; other</v>
      </c>
      <c r="H521" s="98" t="str">
        <f>VLOOKUP(F521,'GL Category'!A:C,2,FALSE)</f>
        <v>MISCELLANEOUS SERVICES</v>
      </c>
      <c r="I521" s="99">
        <f>SUMIFS(I$2:I513,$C$2:$C513,$C521,$F$2:$F513,$F521)</f>
        <v>5470</v>
      </c>
      <c r="J521" s="99">
        <f>SUMIFS(J$2:J513,$C$2:$C513,$C521,$F$2:$F513,$F521)</f>
        <v>5812.33</v>
      </c>
      <c r="K521" s="99">
        <f>SUMIFS(K$2:K513,$C$2:$C513,$C521,$F$2:$F513,$F521)</f>
        <v>3750</v>
      </c>
      <c r="L521" s="99">
        <f>SUMIFS(L$2:L513,$C$2:$C513,$C521,$F$2:$F513,$F521)</f>
        <v>3750</v>
      </c>
      <c r="M521" s="99">
        <f>SUMIFS(M$2:M513,$C$2:$C513,$C521,$F$2:$F513,$F521)</f>
        <v>7000</v>
      </c>
      <c r="N521" s="99">
        <f>SUMIFS(N$2:N513,$C$2:$C513,$C521,$F$2:$F513,$F521)</f>
        <v>3750</v>
      </c>
      <c r="O521" s="99">
        <f>SUMIFS(O$2:O513,$C$2:$C513,$C521,$F$2:$F513,$F521)</f>
        <v>7000</v>
      </c>
      <c r="P521" s="99">
        <f t="shared" ref="P521:P530" si="622">O521-M521</f>
        <v>0</v>
      </c>
      <c r="Q521" s="99">
        <f>SUMIFS(Q$2:Q513,$C$2:$C513,$C521,$F$2:$F513,$F521)</f>
        <v>7000</v>
      </c>
      <c r="R521" s="99">
        <f>SUMIFS(R$2:R513,$C$2:$C513,$C521,$F$2:$F513,$F521)</f>
        <v>0</v>
      </c>
      <c r="S521" s="99">
        <f>SUMIFS(S$2:S513,$C$2:$C513,$C521,$F$2:$F513,$F521)</f>
        <v>0</v>
      </c>
      <c r="T521" s="99">
        <f>SUMIFS(T$2:T513,$C$2:$C513,$C521,$F$2:$F513,$F521)</f>
        <v>7000</v>
      </c>
      <c r="U521" s="99">
        <f t="shared" ref="U521:U531" si="623">T521-M521</f>
        <v>0</v>
      </c>
      <c r="V521" s="255">
        <f t="shared" ref="V521:V531" si="624">IF(M521=0,"N/A",T521/M521-1)</f>
        <v>0</v>
      </c>
      <c r="W521" s="102"/>
      <c r="X521" s="102"/>
      <c r="Y521" s="102">
        <f t="shared" ref="Y521:Y530" si="625">T521-X521</f>
        <v>7000</v>
      </c>
      <c r="Z521" s="309">
        <f>Y521*(1+VLOOKUP($F521,'GL Category'!$A:$H,4,FALSE))</f>
        <v>7210</v>
      </c>
      <c r="AA521" s="615"/>
      <c r="AB521" s="622">
        <f t="shared" ref="AB521:AB530" si="626">Z521+AA521</f>
        <v>7210</v>
      </c>
      <c r="AC521" s="633">
        <f>AB521*(1+VLOOKUP($F521,'GL Category'!$A:$H,5,FALSE))</f>
        <v>7426.3</v>
      </c>
      <c r="AD521" s="307"/>
      <c r="AE521" s="622">
        <f t="shared" ref="AE521:AE530" si="627">AC521+AD521</f>
        <v>7426.3</v>
      </c>
      <c r="AF521" s="633">
        <f>AE521*(1+VLOOKUP($F521,'GL Category'!$A:$H,6,FALSE))</f>
        <v>7649.0889999999999</v>
      </c>
      <c r="AG521" s="307"/>
      <c r="AH521" s="622">
        <f t="shared" ref="AH521:AH530" si="628">AF521+AG521</f>
        <v>7649.0889999999999</v>
      </c>
      <c r="AI521" s="633">
        <f>AH521*(1+VLOOKUP($F521,'GL Category'!$A:$H,7,FALSE))</f>
        <v>7878.56167</v>
      </c>
      <c r="AJ521" s="307"/>
      <c r="AK521" s="622">
        <f t="shared" ref="AK521:AK530" si="629">AI521+AJ521</f>
        <v>7878.56167</v>
      </c>
      <c r="AL521" s="633">
        <f>AK521*(1+VLOOKUP($F521,'GL Category'!$A:$H,8,FALSE))</f>
        <v>8114.9185201</v>
      </c>
      <c r="AM521" s="307"/>
      <c r="AN521" s="622">
        <f t="shared" ref="AN521:AN530" si="630">AL521+AM521</f>
        <v>8114.9185201</v>
      </c>
    </row>
    <row r="522" spans="1:40" s="115" customFormat="1" ht="15" customHeight="1">
      <c r="A522" s="572" t="s">
        <v>3243</v>
      </c>
      <c r="B522" s="217" t="str">
        <f t="shared" si="565"/>
        <v>119</v>
      </c>
      <c r="C522" s="217">
        <v>18</v>
      </c>
      <c r="D522" s="101" t="str">
        <f t="shared" si="567"/>
        <v/>
      </c>
      <c r="E522" s="217" t="str">
        <f t="shared" si="568"/>
        <v>119-18</v>
      </c>
      <c r="F522" s="294" t="s">
        <v>189</v>
      </c>
      <c r="G522" s="295" t="str">
        <f>VLOOKUP(F522,'GL Category'!A:C,3,FALSE)</f>
        <v>Services &amp; other</v>
      </c>
      <c r="H522" s="98" t="str">
        <f>VLOOKUP(F522,'GL Category'!A:C,2,FALSE)</f>
        <v>DUES &amp; SUBSCRIPTIONS</v>
      </c>
      <c r="I522" s="99">
        <f>SUMIFS(I$2:I515,$C$2:$C515,$C522,$F$2:$F515,$F522)</f>
        <v>228.89</v>
      </c>
      <c r="J522" s="99">
        <f>SUMIFS(J$2:J515,$C$2:$C515,$C522,$F$2:$F515,$F522)</f>
        <v>375</v>
      </c>
      <c r="K522" s="99">
        <f>SUMIFS(K$2:K515,$C$2:$C515,$C522,$F$2:$F515,$F522)</f>
        <v>175</v>
      </c>
      <c r="L522" s="99">
        <f>SUMIFS(L$2:L515,$C$2:$C515,$C522,$F$2:$F515,$F522)</f>
        <v>175</v>
      </c>
      <c r="M522" s="99">
        <f>SUMIFS(M$2:M515,$C$2:$C515,$C522,$F$2:$F515,$F522)</f>
        <v>350</v>
      </c>
      <c r="N522" s="99">
        <f>SUMIFS(N$2:N515,$C$2:$C515,$C522,$F$2:$F515,$F522)</f>
        <v>50</v>
      </c>
      <c r="O522" s="99">
        <f>SUMIFS(O$2:O515,$C$2:$C515,$C522,$F$2:$F515,$F522)</f>
        <v>350</v>
      </c>
      <c r="P522" s="99">
        <f t="shared" si="622"/>
        <v>0</v>
      </c>
      <c r="Q522" s="99">
        <f>SUMIFS(Q$2:Q515,$C$2:$C515,$C522,$F$2:$F515,$F522)</f>
        <v>350</v>
      </c>
      <c r="R522" s="99">
        <f>SUMIFS(R$2:R515,$C$2:$C515,$C522,$F$2:$F515,$F522)</f>
        <v>0</v>
      </c>
      <c r="S522" s="99">
        <f>SUMIFS(S$2:S515,$C$2:$C515,$C522,$F$2:$F515,$F522)</f>
        <v>0</v>
      </c>
      <c r="T522" s="99">
        <f>SUMIFS(T$2:T515,$C$2:$C515,$C522,$F$2:$F515,$F522)</f>
        <v>350</v>
      </c>
      <c r="U522" s="99">
        <f t="shared" si="623"/>
        <v>0</v>
      </c>
      <c r="V522" s="255">
        <f t="shared" si="624"/>
        <v>0</v>
      </c>
      <c r="W522" s="102"/>
      <c r="X522" s="102"/>
      <c r="Y522" s="102">
        <f t="shared" si="625"/>
        <v>350</v>
      </c>
      <c r="Z522" s="309">
        <f>Y522*(1+VLOOKUP($F522,'GL Category'!$A:$H,4,FALSE))</f>
        <v>360.5</v>
      </c>
      <c r="AA522" s="615"/>
      <c r="AB522" s="622">
        <f t="shared" si="626"/>
        <v>360.5</v>
      </c>
      <c r="AC522" s="633">
        <f>AB522*(1+VLOOKUP($F522,'GL Category'!$A:$H,5,FALSE))</f>
        <v>371.315</v>
      </c>
      <c r="AD522" s="307"/>
      <c r="AE522" s="622">
        <f t="shared" si="627"/>
        <v>371.315</v>
      </c>
      <c r="AF522" s="633">
        <f>AE522*(1+VLOOKUP($F522,'GL Category'!$A:$H,6,FALSE))</f>
        <v>382.45445000000001</v>
      </c>
      <c r="AG522" s="307"/>
      <c r="AH522" s="622">
        <f t="shared" si="628"/>
        <v>382.45445000000001</v>
      </c>
      <c r="AI522" s="633">
        <f>AH522*(1+VLOOKUP($F522,'GL Category'!$A:$H,7,FALSE))</f>
        <v>393.92808350000001</v>
      </c>
      <c r="AJ522" s="307"/>
      <c r="AK522" s="622">
        <f t="shared" si="629"/>
        <v>393.92808350000001</v>
      </c>
      <c r="AL522" s="633">
        <f>AK522*(1+VLOOKUP($F522,'GL Category'!$A:$H,8,FALSE))</f>
        <v>405.745926005</v>
      </c>
      <c r="AM522" s="307"/>
      <c r="AN522" s="622">
        <f t="shared" si="630"/>
        <v>405.745926005</v>
      </c>
    </row>
    <row r="523" spans="1:40" s="115" customFormat="1" ht="15" customHeight="1">
      <c r="A523" s="572" t="s">
        <v>3243</v>
      </c>
      <c r="B523" s="217" t="str">
        <f t="shared" si="565"/>
        <v>119</v>
      </c>
      <c r="C523" s="217">
        <v>18</v>
      </c>
      <c r="D523" s="101" t="str">
        <f t="shared" si="567"/>
        <v/>
      </c>
      <c r="E523" s="217" t="str">
        <f t="shared" si="568"/>
        <v>119-18</v>
      </c>
      <c r="F523" s="556" t="s">
        <v>264</v>
      </c>
      <c r="G523" s="295" t="str">
        <f>VLOOKUP(F523,'GL Category'!A:C,3,FALSE)</f>
        <v>Services &amp; other</v>
      </c>
      <c r="H523" s="98" t="str">
        <f>VLOOKUP(F523,'GL Category'!A:C,2,FALSE)</f>
        <v>TRAVEL, TRAINING &amp; EDUCATION</v>
      </c>
      <c r="I523" s="99">
        <f>SUMIFS(I$2:I517,$C$2:$C517,$C523,$F$2:$F517,$F523)</f>
        <v>15790.630000000001</v>
      </c>
      <c r="J523" s="99">
        <f>SUMIFS(J$2:J517,$C$2:$C517,$C523,$F$2:$F517,$F523)</f>
        <v>12845.01</v>
      </c>
      <c r="K523" s="99">
        <f>SUMIFS(K$2:K517,$C$2:$C517,$C523,$F$2:$F517,$F523)</f>
        <v>14967.93</v>
      </c>
      <c r="L523" s="99">
        <f>SUMIFS(L$2:L517,$C$2:$C517,$C523,$F$2:$F517,$F523)</f>
        <v>15230.27</v>
      </c>
      <c r="M523" s="99">
        <f>SUMIFS(M$2:M517,$C$2:$C517,$C523,$F$2:$F517,$F523)</f>
        <v>32800</v>
      </c>
      <c r="N523" s="99">
        <f>SUMIFS(N$2:N517,$C$2:$C517,$C523,$F$2:$F517,$F523)</f>
        <v>13046.369999999999</v>
      </c>
      <c r="O523" s="99">
        <f>SUMIFS(O$2:O517,$C$2:$C517,$C523,$F$2:$F517,$F523)</f>
        <v>23900</v>
      </c>
      <c r="P523" s="99">
        <f t="shared" si="622"/>
        <v>-8900</v>
      </c>
      <c r="Q523" s="99">
        <f>SUMIFS(Q$2:Q517,$C$2:$C517,$C523,$F$2:$F517,$F523)</f>
        <v>33200</v>
      </c>
      <c r="R523" s="99">
        <f>SUMIFS(R$2:R517,$C$2:$C517,$C523,$F$2:$F517,$F523)</f>
        <v>0</v>
      </c>
      <c r="S523" s="99">
        <f>SUMIFS(S$2:S517,$C$2:$C517,$C523,$F$2:$F517,$F523)</f>
        <v>0</v>
      </c>
      <c r="T523" s="99">
        <f>SUMIFS(T$2:T517,$C$2:$C517,$C523,$F$2:$F517,$F523)</f>
        <v>33200</v>
      </c>
      <c r="U523" s="99">
        <f t="shared" si="623"/>
        <v>400</v>
      </c>
      <c r="V523" s="255">
        <f t="shared" si="624"/>
        <v>1.2195121951219523E-2</v>
      </c>
      <c r="W523" s="102"/>
      <c r="X523" s="102"/>
      <c r="Y523" s="102">
        <f t="shared" si="625"/>
        <v>33200</v>
      </c>
      <c r="Z523" s="309">
        <f>Y523*(1+VLOOKUP($F523,'GL Category'!$A:$H,4,FALSE))</f>
        <v>34196</v>
      </c>
      <c r="AA523" s="615"/>
      <c r="AB523" s="622">
        <f t="shared" si="626"/>
        <v>34196</v>
      </c>
      <c r="AC523" s="633">
        <f>AB523*(1+VLOOKUP($F523,'GL Category'!$A:$H,5,FALSE))</f>
        <v>35221.879999999997</v>
      </c>
      <c r="AD523" s="307"/>
      <c r="AE523" s="622">
        <f t="shared" si="627"/>
        <v>35221.879999999997</v>
      </c>
      <c r="AF523" s="633">
        <f>AE523*(1+VLOOKUP($F523,'GL Category'!$A:$H,6,FALSE))</f>
        <v>36278.536399999997</v>
      </c>
      <c r="AG523" s="307"/>
      <c r="AH523" s="622">
        <f t="shared" si="628"/>
        <v>36278.536399999997</v>
      </c>
      <c r="AI523" s="633">
        <f>AH523*(1+VLOOKUP($F523,'GL Category'!$A:$H,7,FALSE))</f>
        <v>37366.892491999999</v>
      </c>
      <c r="AJ523" s="307"/>
      <c r="AK523" s="622">
        <f t="shared" si="629"/>
        <v>37366.892491999999</v>
      </c>
      <c r="AL523" s="633">
        <f>AK523*(1+VLOOKUP($F523,'GL Category'!$A:$H,8,FALSE))</f>
        <v>38487.899266760003</v>
      </c>
      <c r="AM523" s="307"/>
      <c r="AN523" s="622">
        <f t="shared" si="630"/>
        <v>38487.899266760003</v>
      </c>
    </row>
    <row r="524" spans="1:40" s="115" customFormat="1" ht="15" customHeight="1">
      <c r="A524" s="572" t="s">
        <v>3243</v>
      </c>
      <c r="B524" s="217" t="str">
        <f t="shared" si="565"/>
        <v>119</v>
      </c>
      <c r="C524" s="217">
        <v>18</v>
      </c>
      <c r="D524" s="101" t="str">
        <f t="shared" si="567"/>
        <v/>
      </c>
      <c r="E524" s="217" t="str">
        <f t="shared" si="568"/>
        <v>119-18</v>
      </c>
      <c r="F524" s="294" t="s">
        <v>192</v>
      </c>
      <c r="G524" s="295" t="str">
        <f>VLOOKUP(F524,'GL Category'!A:C,3,FALSE)</f>
        <v>Services &amp; other</v>
      </c>
      <c r="H524" s="98" t="str">
        <f>VLOOKUP(F524,'GL Category'!A:C,2,FALSE)</f>
        <v>CONSULTING SERVICES</v>
      </c>
      <c r="I524" s="99">
        <f>SUMIFS(I$2:I518,$C$2:$C518,$C524,$F$2:$F518,$F524)</f>
        <v>20962</v>
      </c>
      <c r="J524" s="99">
        <f>SUMIFS(J$2:J518,$C$2:$C518,$C524,$F$2:$F518,$F524)</f>
        <v>86713.5</v>
      </c>
      <c r="K524" s="99">
        <f>SUMIFS(K$2:K518,$C$2:$C518,$C524,$F$2:$F518,$F524)</f>
        <v>32280</v>
      </c>
      <c r="L524" s="99">
        <f>SUMIFS(L$2:L518,$C$2:$C518,$C524,$F$2:$F518,$F524)</f>
        <v>103300.43</v>
      </c>
      <c r="M524" s="99">
        <f>SUMIFS(M$2:M518,$C$2:$C518,$C524,$F$2:$F518,$F524)</f>
        <v>85000</v>
      </c>
      <c r="N524" s="99">
        <f>SUMIFS(N$2:N518,$C$2:$C518,$C524,$F$2:$F518,$F524)</f>
        <v>34656.6</v>
      </c>
      <c r="O524" s="99">
        <f>SUMIFS(O$2:O518,$C$2:$C518,$C524,$F$2:$F518,$F524)</f>
        <v>62000</v>
      </c>
      <c r="P524" s="99">
        <f t="shared" si="622"/>
        <v>-23000</v>
      </c>
      <c r="Q524" s="99">
        <f>SUMIFS(Q$2:Q518,$C$2:$C518,$C524,$F$2:$F518,$F524)</f>
        <v>82000</v>
      </c>
      <c r="R524" s="99">
        <f>SUMIFS(R$2:R518,$C$2:$C518,$C524,$F$2:$F518,$F524)</f>
        <v>0</v>
      </c>
      <c r="S524" s="99">
        <f>SUMIFS(S$2:S518,$C$2:$C518,$C524,$F$2:$F518,$F524)</f>
        <v>0</v>
      </c>
      <c r="T524" s="99">
        <f>SUMIFS(T$2:T518,$C$2:$C518,$C524,$F$2:$F518,$F524)</f>
        <v>82000</v>
      </c>
      <c r="U524" s="99">
        <f t="shared" si="623"/>
        <v>-3000</v>
      </c>
      <c r="V524" s="255">
        <f t="shared" si="624"/>
        <v>-3.5294117647058809E-2</v>
      </c>
      <c r="W524" s="102"/>
      <c r="X524" s="102"/>
      <c r="Y524" s="102">
        <f t="shared" si="625"/>
        <v>82000</v>
      </c>
      <c r="Z524" s="309">
        <f>Y524*(1+VLOOKUP($F524,'GL Category'!$A:$H,4,FALSE))</f>
        <v>84460</v>
      </c>
      <c r="AA524" s="615"/>
      <c r="AB524" s="622">
        <f t="shared" si="626"/>
        <v>84460</v>
      </c>
      <c r="AC524" s="633">
        <f>AB524*(1+VLOOKUP($F524,'GL Category'!$A:$H,5,FALSE))</f>
        <v>86993.8</v>
      </c>
      <c r="AD524" s="307"/>
      <c r="AE524" s="622">
        <f t="shared" si="627"/>
        <v>86993.8</v>
      </c>
      <c r="AF524" s="633">
        <f>AE524*(1+VLOOKUP($F524,'GL Category'!$A:$H,6,FALSE))</f>
        <v>89603.614000000001</v>
      </c>
      <c r="AG524" s="307"/>
      <c r="AH524" s="622">
        <f t="shared" si="628"/>
        <v>89603.614000000001</v>
      </c>
      <c r="AI524" s="633">
        <f>AH524*(1+VLOOKUP($F524,'GL Category'!$A:$H,7,FALSE))</f>
        <v>92291.722420000006</v>
      </c>
      <c r="AJ524" s="307"/>
      <c r="AK524" s="622">
        <f t="shared" si="629"/>
        <v>92291.722420000006</v>
      </c>
      <c r="AL524" s="633">
        <f>AK524*(1+VLOOKUP($F524,'GL Category'!$A:$H,8,FALSE))</f>
        <v>95060.474092600009</v>
      </c>
      <c r="AM524" s="307"/>
      <c r="AN524" s="622">
        <f t="shared" si="630"/>
        <v>95060.474092600009</v>
      </c>
    </row>
    <row r="525" spans="1:40" s="115" customFormat="1" ht="15" customHeight="1">
      <c r="A525" s="572" t="s">
        <v>3243</v>
      </c>
      <c r="B525" s="217" t="str">
        <f t="shared" si="565"/>
        <v>119</v>
      </c>
      <c r="C525" s="217">
        <v>18</v>
      </c>
      <c r="D525" s="101" t="str">
        <f t="shared" si="567"/>
        <v/>
      </c>
      <c r="E525" s="217" t="str">
        <f t="shared" si="568"/>
        <v>119-18</v>
      </c>
      <c r="F525" s="294" t="s">
        <v>198</v>
      </c>
      <c r="G525" s="295" t="str">
        <f>VLOOKUP(F525,'GL Category'!A:C,3,FALSE)</f>
        <v>Services &amp; other</v>
      </c>
      <c r="H525" s="98" t="str">
        <f>VLOOKUP(F525,'GL Category'!A:C,2,FALSE)</f>
        <v>EQUIPMENT RENTAL</v>
      </c>
      <c r="I525" s="99">
        <f>SUMIFS(I$2:I518,$C$2:$C518,$C525,$F$2:$F518,$F525)</f>
        <v>73072.89</v>
      </c>
      <c r="J525" s="99">
        <f>SUMIFS(J$2:J518,$C$2:$C518,$C525,$F$2:$F518,$F525)</f>
        <v>75227.649999999994</v>
      </c>
      <c r="K525" s="99">
        <f>SUMIFS(K$2:K518,$C$2:$C518,$C525,$F$2:$F518,$F525)</f>
        <v>74929.78</v>
      </c>
      <c r="L525" s="99">
        <f>SUMIFS(L$2:L518,$C$2:$C518,$C525,$F$2:$F518,$F525)</f>
        <v>77856.58</v>
      </c>
      <c r="M525" s="99">
        <f>SUMIFS(M$2:M518,$C$2:$C518,$C525,$F$2:$F518,$F525)</f>
        <v>77920</v>
      </c>
      <c r="N525" s="99">
        <f>SUMIFS(N$2:N518,$C$2:$C518,$C525,$F$2:$F518,$F525)</f>
        <v>50768.62</v>
      </c>
      <c r="O525" s="99">
        <f>SUMIFS(O$2:O518,$C$2:$C518,$C525,$F$2:$F518,$F525)</f>
        <v>77920</v>
      </c>
      <c r="P525" s="99">
        <f t="shared" si="622"/>
        <v>0</v>
      </c>
      <c r="Q525" s="99">
        <f>SUMIFS(Q$2:Q518,$C$2:$C518,$C525,$F$2:$F518,$F525)</f>
        <v>77920</v>
      </c>
      <c r="R525" s="99">
        <f>SUMIFS(R$2:R518,$C$2:$C518,$C525,$F$2:$F518,$F525)</f>
        <v>0</v>
      </c>
      <c r="S525" s="99">
        <f>SUMIFS(S$2:S518,$C$2:$C518,$C525,$F$2:$F518,$F525)</f>
        <v>0</v>
      </c>
      <c r="T525" s="99">
        <f>SUMIFS(T$2:T518,$C$2:$C518,$C525,$F$2:$F518,$F525)</f>
        <v>77920</v>
      </c>
      <c r="U525" s="99">
        <f t="shared" si="623"/>
        <v>0</v>
      </c>
      <c r="V525" s="255">
        <f t="shared" si="624"/>
        <v>0</v>
      </c>
      <c r="W525" s="102"/>
      <c r="X525" s="102"/>
      <c r="Y525" s="102">
        <f t="shared" si="625"/>
        <v>77920</v>
      </c>
      <c r="Z525" s="309">
        <f>Y525*(1+VLOOKUP($F525,'GL Category'!$A:$H,4,FALSE))</f>
        <v>80257.600000000006</v>
      </c>
      <c r="AA525" s="615"/>
      <c r="AB525" s="622">
        <f t="shared" si="626"/>
        <v>80257.600000000006</v>
      </c>
      <c r="AC525" s="633">
        <f>AB525*(1+VLOOKUP($F525,'GL Category'!$A:$H,5,FALSE))</f>
        <v>82665.328000000009</v>
      </c>
      <c r="AD525" s="307"/>
      <c r="AE525" s="622">
        <f t="shared" si="627"/>
        <v>82665.328000000009</v>
      </c>
      <c r="AF525" s="633">
        <f>AE525*(1+VLOOKUP($F525,'GL Category'!$A:$H,6,FALSE))</f>
        <v>85145.287840000005</v>
      </c>
      <c r="AG525" s="307"/>
      <c r="AH525" s="622">
        <f t="shared" si="628"/>
        <v>85145.287840000005</v>
      </c>
      <c r="AI525" s="633">
        <f>AH525*(1+VLOOKUP($F525,'GL Category'!$A:$H,7,FALSE))</f>
        <v>87699.646475200003</v>
      </c>
      <c r="AJ525" s="307"/>
      <c r="AK525" s="622">
        <f t="shared" si="629"/>
        <v>87699.646475200003</v>
      </c>
      <c r="AL525" s="633">
        <f>AK525*(1+VLOOKUP($F525,'GL Category'!$A:$H,8,FALSE))</f>
        <v>90330.635869456004</v>
      </c>
      <c r="AM525" s="307"/>
      <c r="AN525" s="622">
        <f t="shared" si="630"/>
        <v>90330.635869456004</v>
      </c>
    </row>
    <row r="526" spans="1:40" s="115" customFormat="1" ht="15" customHeight="1">
      <c r="A526" s="572" t="s">
        <v>3243</v>
      </c>
      <c r="B526" s="217" t="str">
        <f t="shared" si="565"/>
        <v>119</v>
      </c>
      <c r="C526" s="217">
        <v>18</v>
      </c>
      <c r="D526" s="101" t="str">
        <f t="shared" si="567"/>
        <v/>
      </c>
      <c r="E526" s="217" t="str">
        <f t="shared" si="568"/>
        <v>119-18</v>
      </c>
      <c r="F526" s="294" t="s">
        <v>202</v>
      </c>
      <c r="G526" s="295" t="str">
        <f>VLOOKUP(F526,'GL Category'!A:C,3,FALSE)</f>
        <v>Services &amp; other</v>
      </c>
      <c r="H526" s="98" t="str">
        <f>VLOOKUP(F526,'GL Category'!A:C,2,FALSE)</f>
        <v>PRINTING &amp; BINDING SERVICES</v>
      </c>
      <c r="I526" s="99">
        <f>SUMIFS(I$2:I519,$C$2:$C519,$C526,$F$2:$F519,$F526)</f>
        <v>0</v>
      </c>
      <c r="J526" s="99">
        <f>SUMIFS(J$2:J519,$C$2:$C519,$C526,$F$2:$F519,$F526)</f>
        <v>0</v>
      </c>
      <c r="K526" s="99">
        <f>SUMIFS(K$2:K519,$C$2:$C519,$C526,$F$2:$F519,$F526)</f>
        <v>0</v>
      </c>
      <c r="L526" s="99">
        <f>SUMIFS(L$2:L519,$C$2:$C519,$C526,$F$2:$F519,$F526)</f>
        <v>0</v>
      </c>
      <c r="M526" s="99">
        <f>SUMIFS(M$2:M519,$C$2:$C519,$C526,$F$2:$F519,$F526)</f>
        <v>0</v>
      </c>
      <c r="N526" s="99">
        <f>SUMIFS(N$2:N519,$C$2:$C519,$C526,$F$2:$F519,$F526)</f>
        <v>0</v>
      </c>
      <c r="O526" s="99">
        <f>SUMIFS(O$2:O519,$C$2:$C519,$C526,$F$2:$F519,$F526)</f>
        <v>0</v>
      </c>
      <c r="P526" s="99">
        <f t="shared" si="622"/>
        <v>0</v>
      </c>
      <c r="Q526" s="99">
        <f>SUMIFS(Q$2:Q519,$C$2:$C519,$C526,$F$2:$F519,$F526)</f>
        <v>0</v>
      </c>
      <c r="R526" s="99">
        <f>SUMIFS(R$2:R519,$C$2:$C519,$C526,$F$2:$F519,$F526)</f>
        <v>0</v>
      </c>
      <c r="S526" s="99">
        <f>SUMIFS(S$2:S519,$C$2:$C519,$C526,$F$2:$F519,$F526)</f>
        <v>0</v>
      </c>
      <c r="T526" s="99">
        <f>SUMIFS(T$2:T519,$C$2:$C519,$C526,$F$2:$F519,$F526)</f>
        <v>0</v>
      </c>
      <c r="U526" s="99">
        <f t="shared" si="623"/>
        <v>0</v>
      </c>
      <c r="V526" s="255" t="str">
        <f t="shared" si="624"/>
        <v>N/A</v>
      </c>
      <c r="W526" s="102"/>
      <c r="X526" s="102"/>
      <c r="Y526" s="102">
        <f t="shared" si="625"/>
        <v>0</v>
      </c>
      <c r="Z526" s="309">
        <f>Y526*(1+VLOOKUP($F526,'GL Category'!$A:$H,4,FALSE))</f>
        <v>0</v>
      </c>
      <c r="AA526" s="615"/>
      <c r="AB526" s="622">
        <f t="shared" si="626"/>
        <v>0</v>
      </c>
      <c r="AC526" s="633">
        <f>AB526*(1+VLOOKUP($F526,'GL Category'!$A:$H,5,FALSE))</f>
        <v>0</v>
      </c>
      <c r="AD526" s="307"/>
      <c r="AE526" s="622">
        <f t="shared" si="627"/>
        <v>0</v>
      </c>
      <c r="AF526" s="633">
        <f>AE526*(1+VLOOKUP($F526,'GL Category'!$A:$H,6,FALSE))</f>
        <v>0</v>
      </c>
      <c r="AG526" s="307"/>
      <c r="AH526" s="622">
        <f t="shared" si="628"/>
        <v>0</v>
      </c>
      <c r="AI526" s="633">
        <f>AH526*(1+VLOOKUP($F526,'GL Category'!$A:$H,7,FALSE))</f>
        <v>0</v>
      </c>
      <c r="AJ526" s="307"/>
      <c r="AK526" s="622">
        <f t="shared" si="629"/>
        <v>0</v>
      </c>
      <c r="AL526" s="633">
        <f>AK526*(1+VLOOKUP($F526,'GL Category'!$A:$H,8,FALSE))</f>
        <v>0</v>
      </c>
      <c r="AM526" s="307"/>
      <c r="AN526" s="622">
        <f t="shared" si="630"/>
        <v>0</v>
      </c>
    </row>
    <row r="527" spans="1:40" s="115" customFormat="1" ht="15" customHeight="1">
      <c r="A527" s="572" t="s">
        <v>3243</v>
      </c>
      <c r="B527" s="217" t="str">
        <f t="shared" si="565"/>
        <v>119</v>
      </c>
      <c r="C527" s="217">
        <v>18</v>
      </c>
      <c r="D527" s="101" t="str">
        <f t="shared" si="567"/>
        <v/>
      </c>
      <c r="E527" s="217" t="str">
        <f t="shared" si="568"/>
        <v>119-18</v>
      </c>
      <c r="F527" s="294" t="s">
        <v>206</v>
      </c>
      <c r="G527" s="295" t="str">
        <f>VLOOKUP(F527,'GL Category'!A:C,3,FALSE)</f>
        <v>Services &amp; other</v>
      </c>
      <c r="H527" s="98" t="str">
        <f>VLOOKUP(F527,'GL Category'!A:C,2,FALSE)</f>
        <v>FREIGHT &amp; EXPRESS SERVICES</v>
      </c>
      <c r="I527" s="99">
        <f>SUMIFS(I$2:I520,$C$2:$C520,$C527,$F$2:$F520,$F527)</f>
        <v>0</v>
      </c>
      <c r="J527" s="99">
        <f>SUMIFS(J$2:J520,$C$2:$C520,$C527,$F$2:$F520,$F527)</f>
        <v>0</v>
      </c>
      <c r="K527" s="99">
        <f>SUMIFS(K$2:K520,$C$2:$C520,$C527,$F$2:$F520,$F527)</f>
        <v>0</v>
      </c>
      <c r="L527" s="99">
        <f>SUMIFS(L$2:L520,$C$2:$C520,$C527,$F$2:$F520,$F527)</f>
        <v>0</v>
      </c>
      <c r="M527" s="99">
        <f>SUMIFS(M$2:M520,$C$2:$C520,$C527,$F$2:$F520,$F527)</f>
        <v>0</v>
      </c>
      <c r="N527" s="99">
        <f>SUMIFS(N$2:N520,$C$2:$C520,$C527,$F$2:$F520,$F527)</f>
        <v>0</v>
      </c>
      <c r="O527" s="99">
        <f>SUMIFS(O$2:O520,$C$2:$C520,$C527,$F$2:$F520,$F527)</f>
        <v>0</v>
      </c>
      <c r="P527" s="99">
        <f t="shared" si="622"/>
        <v>0</v>
      </c>
      <c r="Q527" s="99">
        <f>SUMIFS(Q$2:Q520,$C$2:$C520,$C527,$F$2:$F520,$F527)</f>
        <v>0</v>
      </c>
      <c r="R527" s="99">
        <f>SUMIFS(R$2:R520,$C$2:$C520,$C527,$F$2:$F520,$F527)</f>
        <v>0</v>
      </c>
      <c r="S527" s="99">
        <f>SUMIFS(S$2:S520,$C$2:$C520,$C527,$F$2:$F520,$F527)</f>
        <v>0</v>
      </c>
      <c r="T527" s="99">
        <f>SUMIFS(T$2:T520,$C$2:$C520,$C527,$F$2:$F520,$F527)</f>
        <v>0</v>
      </c>
      <c r="U527" s="99">
        <f t="shared" si="623"/>
        <v>0</v>
      </c>
      <c r="V527" s="255" t="str">
        <f t="shared" si="624"/>
        <v>N/A</v>
      </c>
      <c r="W527" s="102"/>
      <c r="X527" s="102"/>
      <c r="Y527" s="102">
        <f t="shared" si="625"/>
        <v>0</v>
      </c>
      <c r="Z527" s="309">
        <f>Y527*(1+VLOOKUP($F527,'GL Category'!$A:$H,4,FALSE))</f>
        <v>0</v>
      </c>
      <c r="AA527" s="615"/>
      <c r="AB527" s="622">
        <f t="shared" si="626"/>
        <v>0</v>
      </c>
      <c r="AC527" s="633">
        <f>AB527*(1+VLOOKUP($F527,'GL Category'!$A:$H,5,FALSE))</f>
        <v>0</v>
      </c>
      <c r="AD527" s="307"/>
      <c r="AE527" s="622">
        <f t="shared" si="627"/>
        <v>0</v>
      </c>
      <c r="AF527" s="633">
        <f>AE527*(1+VLOOKUP($F527,'GL Category'!$A:$H,6,FALSE))</f>
        <v>0</v>
      </c>
      <c r="AG527" s="307"/>
      <c r="AH527" s="622">
        <f t="shared" si="628"/>
        <v>0</v>
      </c>
      <c r="AI527" s="633">
        <f>AH527*(1+VLOOKUP($F527,'GL Category'!$A:$H,7,FALSE))</f>
        <v>0</v>
      </c>
      <c r="AJ527" s="307"/>
      <c r="AK527" s="622">
        <f t="shared" si="629"/>
        <v>0</v>
      </c>
      <c r="AL527" s="633">
        <f>AK527*(1+VLOOKUP($F527,'GL Category'!$A:$H,8,FALSE))</f>
        <v>0</v>
      </c>
      <c r="AM527" s="307"/>
      <c r="AN527" s="622">
        <f t="shared" si="630"/>
        <v>0</v>
      </c>
    </row>
    <row r="528" spans="1:40" s="115" customFormat="1" ht="15" customHeight="1">
      <c r="A528" s="572" t="s">
        <v>3243</v>
      </c>
      <c r="B528" s="217" t="str">
        <f t="shared" si="565"/>
        <v>119</v>
      </c>
      <c r="C528" s="217">
        <v>18</v>
      </c>
      <c r="D528" s="101" t="str">
        <f t="shared" si="567"/>
        <v/>
      </c>
      <c r="E528" s="217" t="str">
        <f t="shared" si="568"/>
        <v>119-18</v>
      </c>
      <c r="F528" s="294" t="s">
        <v>208</v>
      </c>
      <c r="G528" s="295" t="str">
        <f>VLOOKUP(F528,'GL Category'!A:C,3,FALSE)</f>
        <v>Services &amp; other</v>
      </c>
      <c r="H528" s="98" t="str">
        <f>VLOOKUP(F528,'GL Category'!A:C,2,FALSE)</f>
        <v>GENERAL INSURANCE</v>
      </c>
      <c r="I528" s="99">
        <f>SUMIFS(I$2:I521,$C$2:$C521,$C528,$F$2:$F521,$F528)</f>
        <v>0</v>
      </c>
      <c r="J528" s="99">
        <f>SUMIFS(J$2:J521,$C$2:$C521,$C528,$F$2:$F521,$F528)</f>
        <v>0</v>
      </c>
      <c r="K528" s="99">
        <f>SUMIFS(K$2:K521,$C$2:$C521,$C528,$F$2:$F521,$F528)</f>
        <v>0</v>
      </c>
      <c r="L528" s="99">
        <f>SUMIFS(L$2:L521,$C$2:$C521,$C528,$F$2:$F521,$F528)</f>
        <v>0</v>
      </c>
      <c r="M528" s="99">
        <f>SUMIFS(M$2:M521,$C$2:$C521,$C528,$F$2:$F521,$F528)</f>
        <v>0</v>
      </c>
      <c r="N528" s="99">
        <f>SUMIFS(N$2:N521,$C$2:$C521,$C528,$F$2:$F521,$F528)</f>
        <v>0</v>
      </c>
      <c r="O528" s="99">
        <f>SUMIFS(O$2:O521,$C$2:$C521,$C528,$F$2:$F521,$F528)</f>
        <v>0</v>
      </c>
      <c r="P528" s="99">
        <f t="shared" si="622"/>
        <v>0</v>
      </c>
      <c r="Q528" s="99">
        <f>SUMIFS(Q$2:Q521,$C$2:$C521,$C528,$F$2:$F521,$F528)</f>
        <v>0</v>
      </c>
      <c r="R528" s="99">
        <f>SUMIFS(R$2:R521,$C$2:$C521,$C528,$F$2:$F521,$F528)</f>
        <v>0</v>
      </c>
      <c r="S528" s="99">
        <f>SUMIFS(S$2:S521,$C$2:$C521,$C528,$F$2:$F521,$F528)</f>
        <v>0</v>
      </c>
      <c r="T528" s="99">
        <f>SUMIFS(T$2:T521,$C$2:$C521,$C528,$F$2:$F521,$F528)</f>
        <v>0</v>
      </c>
      <c r="U528" s="99">
        <f t="shared" si="623"/>
        <v>0</v>
      </c>
      <c r="V528" s="255" t="str">
        <f t="shared" si="624"/>
        <v>N/A</v>
      </c>
      <c r="W528" s="102"/>
      <c r="X528" s="102"/>
      <c r="Y528" s="102">
        <f t="shared" si="625"/>
        <v>0</v>
      </c>
      <c r="Z528" s="309">
        <f>Y528*(1+VLOOKUP($F528,'GL Category'!$A:$H,4,FALSE))</f>
        <v>0</v>
      </c>
      <c r="AA528" s="615"/>
      <c r="AB528" s="622">
        <f t="shared" si="626"/>
        <v>0</v>
      </c>
      <c r="AC528" s="633">
        <f>AB528*(1+VLOOKUP($F528,'GL Category'!$A:$H,5,FALSE))</f>
        <v>0</v>
      </c>
      <c r="AD528" s="307"/>
      <c r="AE528" s="622">
        <f t="shared" si="627"/>
        <v>0</v>
      </c>
      <c r="AF528" s="633">
        <f>AE528*(1+VLOOKUP($F528,'GL Category'!$A:$H,6,FALSE))</f>
        <v>0</v>
      </c>
      <c r="AG528" s="307"/>
      <c r="AH528" s="622">
        <f t="shared" si="628"/>
        <v>0</v>
      </c>
      <c r="AI528" s="633">
        <f>AH528*(1+VLOOKUP($F528,'GL Category'!$A:$H,7,FALSE))</f>
        <v>0</v>
      </c>
      <c r="AJ528" s="307"/>
      <c r="AK528" s="622">
        <f t="shared" si="629"/>
        <v>0</v>
      </c>
      <c r="AL528" s="633">
        <f>AK528*(1+VLOOKUP($F528,'GL Category'!$A:$H,8,FALSE))</f>
        <v>0</v>
      </c>
      <c r="AM528" s="307"/>
      <c r="AN528" s="622">
        <f t="shared" si="630"/>
        <v>0</v>
      </c>
    </row>
    <row r="529" spans="1:40" s="115" customFormat="1" ht="15" customHeight="1">
      <c r="A529" s="572" t="s">
        <v>3243</v>
      </c>
      <c r="B529" s="217" t="str">
        <f t="shared" si="565"/>
        <v>119</v>
      </c>
      <c r="C529" s="217">
        <v>18</v>
      </c>
      <c r="D529" s="101" t="str">
        <f t="shared" si="567"/>
        <v/>
      </c>
      <c r="E529" s="217" t="str">
        <f t="shared" si="568"/>
        <v>119-18</v>
      </c>
      <c r="F529" s="294" t="s">
        <v>210</v>
      </c>
      <c r="G529" s="295" t="str">
        <f>VLOOKUP(F529,'GL Category'!A:C,3,FALSE)</f>
        <v>Services &amp; other</v>
      </c>
      <c r="H529" s="98" t="str">
        <f>VLOOKUP(F529,'GL Category'!A:C,2,FALSE)</f>
        <v>TELEPHONE/COMMUNICATIONS</v>
      </c>
      <c r="I529" s="99">
        <f>SUMIFS(I$2:I521,$C$2:$C521,$C529,$F$2:$F521,$F529)</f>
        <v>215202.14</v>
      </c>
      <c r="J529" s="99">
        <f>SUMIFS(J$2:J521,$C$2:$C521,$C529,$F$2:$F521,$F529)</f>
        <v>184664.82</v>
      </c>
      <c r="K529" s="99">
        <f>SUMIFS(K$2:K521,$C$2:$C521,$C529,$F$2:$F521,$F529)</f>
        <v>195182.95</v>
      </c>
      <c r="L529" s="99">
        <f>SUMIFS(L$2:L521,$C$2:$C521,$C529,$F$2:$F521,$F529)</f>
        <v>199411.94</v>
      </c>
      <c r="M529" s="99">
        <f>SUMIFS(M$2:M521,$C$2:$C521,$C529,$F$2:$F521,$F529)</f>
        <v>223525</v>
      </c>
      <c r="N529" s="99">
        <f>SUMIFS(N$2:N521,$C$2:$C521,$C529,$F$2:$F521,$F529)</f>
        <v>131541.82</v>
      </c>
      <c r="O529" s="99">
        <f>SUMIFS(O$2:O521,$C$2:$C521,$C529,$F$2:$F521,$F529)</f>
        <v>205625</v>
      </c>
      <c r="P529" s="99">
        <f t="shared" si="622"/>
        <v>-17900</v>
      </c>
      <c r="Q529" s="99">
        <f>SUMIFS(Q$2:Q521,$C$2:$C521,$C529,$F$2:$F521,$F529)</f>
        <v>223525</v>
      </c>
      <c r="R529" s="99">
        <f>SUMIFS(R$2:R521,$C$2:$C521,$C529,$F$2:$F521,$F529)</f>
        <v>0</v>
      </c>
      <c r="S529" s="99">
        <f>SUMIFS(S$2:S521,$C$2:$C521,$C529,$F$2:$F521,$F529)</f>
        <v>0</v>
      </c>
      <c r="T529" s="99">
        <f>SUMIFS(T$2:T521,$C$2:$C521,$C529,$F$2:$F521,$F529)</f>
        <v>223525</v>
      </c>
      <c r="U529" s="99">
        <f t="shared" si="623"/>
        <v>0</v>
      </c>
      <c r="V529" s="255">
        <f t="shared" si="624"/>
        <v>0</v>
      </c>
      <c r="W529" s="102"/>
      <c r="X529" s="102"/>
      <c r="Y529" s="102">
        <f t="shared" si="625"/>
        <v>223525</v>
      </c>
      <c r="Z529" s="309">
        <f>Y529*(1+VLOOKUP($F529,'GL Category'!$A:$H,4,FALSE))</f>
        <v>230230.75</v>
      </c>
      <c r="AA529" s="615"/>
      <c r="AB529" s="622">
        <f t="shared" si="626"/>
        <v>230230.75</v>
      </c>
      <c r="AC529" s="633">
        <f>AB529*(1+VLOOKUP($F529,'GL Category'!$A:$H,5,FALSE))</f>
        <v>237137.67250000002</v>
      </c>
      <c r="AD529" s="307"/>
      <c r="AE529" s="622">
        <f t="shared" si="627"/>
        <v>237137.67250000002</v>
      </c>
      <c r="AF529" s="633">
        <f>AE529*(1+VLOOKUP($F529,'GL Category'!$A:$H,6,FALSE))</f>
        <v>244251.80267500001</v>
      </c>
      <c r="AG529" s="307"/>
      <c r="AH529" s="622">
        <f t="shared" si="628"/>
        <v>244251.80267500001</v>
      </c>
      <c r="AI529" s="633">
        <f>AH529*(1+VLOOKUP($F529,'GL Category'!$A:$H,7,FALSE))</f>
        <v>251579.35675525002</v>
      </c>
      <c r="AJ529" s="307"/>
      <c r="AK529" s="622">
        <f t="shared" si="629"/>
        <v>251579.35675525002</v>
      </c>
      <c r="AL529" s="633">
        <f>AK529*(1+VLOOKUP($F529,'GL Category'!$A:$H,8,FALSE))</f>
        <v>259126.73745790753</v>
      </c>
      <c r="AM529" s="307"/>
      <c r="AN529" s="622">
        <f t="shared" si="630"/>
        <v>259126.73745790753</v>
      </c>
    </row>
    <row r="530" spans="1:40" s="115" customFormat="1" ht="15" customHeight="1">
      <c r="A530" s="572" t="s">
        <v>3243</v>
      </c>
      <c r="B530" s="217" t="str">
        <f t="shared" si="565"/>
        <v>119</v>
      </c>
      <c r="C530" s="217">
        <v>18</v>
      </c>
      <c r="D530" s="101" t="str">
        <f t="shared" si="567"/>
        <v/>
      </c>
      <c r="E530" s="217" t="str">
        <f t="shared" si="568"/>
        <v>119-18</v>
      </c>
      <c r="F530" s="556" t="s">
        <v>3124</v>
      </c>
      <c r="G530" s="295" t="str">
        <f>VLOOKUP(F530,'GL Category'!A:C,3,FALSE)</f>
        <v>Services &amp; other</v>
      </c>
      <c r="H530" s="98" t="str">
        <f>VLOOKUP(F530,'GL Category'!A:C,2,FALSE)</f>
        <v>VEHICLE/EQUIP LEASE EXP-CITY</v>
      </c>
      <c r="I530" s="99">
        <f>SUMIFS(I$2:I522,$C$2:$C522,$C530,$F$2:$F522,$F530)</f>
        <v>3465</v>
      </c>
      <c r="J530" s="99">
        <f>SUMIFS(J$2:J522,$C$2:$C522,$C530,$F$2:$F522,$F530)</f>
        <v>3465</v>
      </c>
      <c r="K530" s="99">
        <f>SUMIFS(K$2:K522,$C$2:$C522,$C530,$F$2:$F522,$F530)</f>
        <v>4313</v>
      </c>
      <c r="L530" s="99">
        <f>SUMIFS(L$2:L522,$C$2:$C522,$C530,$F$2:$F522,$F530)</f>
        <v>4313</v>
      </c>
      <c r="M530" s="99">
        <f>SUMIFS(M$2:M522,$C$2:$C522,$C530,$F$2:$F522,$F530)</f>
        <v>4313</v>
      </c>
      <c r="N530" s="99">
        <f>SUMIFS(N$2:N522,$C$2:$C522,$C530,$F$2:$F522,$F530)</f>
        <v>3234.75</v>
      </c>
      <c r="O530" s="99">
        <f>SUMIFS(O$2:O522,$C$2:$C522,$C530,$F$2:$F522,$F530)</f>
        <v>4313</v>
      </c>
      <c r="P530" s="99">
        <f t="shared" si="622"/>
        <v>0</v>
      </c>
      <c r="Q530" s="99">
        <f>SUMIFS(Q$2:Q522,$C$2:$C522,$C530,$F$2:$F522,$F530)</f>
        <v>3465</v>
      </c>
      <c r="R530" s="99">
        <f>SUMIFS(R$2:R522,$C$2:$C522,$C530,$F$2:$F522,$F530)</f>
        <v>0</v>
      </c>
      <c r="S530" s="99">
        <f>SUMIFS(S$2:S522,$C$2:$C522,$C530,$F$2:$F522,$F530)</f>
        <v>0</v>
      </c>
      <c r="T530" s="99">
        <f>SUMIFS(T$2:T522,$C$2:$C522,$C530,$F$2:$F522,$F530)</f>
        <v>3465</v>
      </c>
      <c r="U530" s="99">
        <f t="shared" si="623"/>
        <v>-848</v>
      </c>
      <c r="V530" s="255">
        <f t="shared" si="624"/>
        <v>-0.19661488523069792</v>
      </c>
      <c r="W530" s="102"/>
      <c r="X530" s="102"/>
      <c r="Y530" s="102">
        <f t="shared" si="625"/>
        <v>3465</v>
      </c>
      <c r="Z530" s="309">
        <f>Y530*(1+VLOOKUP($F530,'GL Category'!$A:$H,4,FALSE))</f>
        <v>3568.9500000000003</v>
      </c>
      <c r="AA530" s="615"/>
      <c r="AB530" s="622">
        <f t="shared" si="626"/>
        <v>3568.9500000000003</v>
      </c>
      <c r="AC530" s="633">
        <f>AB530*(1+VLOOKUP($F530,'GL Category'!$A:$H,5,FALSE))</f>
        <v>3676.0185000000006</v>
      </c>
      <c r="AD530" s="307"/>
      <c r="AE530" s="622">
        <f t="shared" si="627"/>
        <v>3676.0185000000006</v>
      </c>
      <c r="AF530" s="633">
        <f>AE530*(1+VLOOKUP($F530,'GL Category'!$A:$H,6,FALSE))</f>
        <v>3786.2990550000009</v>
      </c>
      <c r="AG530" s="307"/>
      <c r="AH530" s="622">
        <f t="shared" si="628"/>
        <v>3786.2990550000009</v>
      </c>
      <c r="AI530" s="633">
        <f>AH530*(1+VLOOKUP($F530,'GL Category'!$A:$H,7,FALSE))</f>
        <v>3899.8880266500009</v>
      </c>
      <c r="AJ530" s="307"/>
      <c r="AK530" s="622">
        <f t="shared" si="629"/>
        <v>3899.8880266500009</v>
      </c>
      <c r="AL530" s="633">
        <f>AK530*(1+VLOOKUP($F530,'GL Category'!$A:$H,8,FALSE))</f>
        <v>4016.8846674495012</v>
      </c>
      <c r="AM530" s="307"/>
      <c r="AN530" s="622">
        <f t="shared" si="630"/>
        <v>4016.8846674495012</v>
      </c>
    </row>
    <row r="531" spans="1:40" s="115" customFormat="1" ht="15" customHeight="1">
      <c r="A531" s="555"/>
      <c r="B531" s="217"/>
      <c r="C531" s="217"/>
      <c r="D531" s="101"/>
      <c r="E531" s="217"/>
      <c r="F531" s="294"/>
      <c r="G531" s="146"/>
      <c r="H531" s="107" t="str">
        <f>UPPER(G530)&amp;" TOTAL"</f>
        <v>SERVICES &amp; OTHER TOTAL</v>
      </c>
      <c r="I531" s="108">
        <f t="shared" ref="I531" si="631">SUBTOTAL(9,I521:I530)</f>
        <v>334191.55000000005</v>
      </c>
      <c r="J531" s="108">
        <f t="shared" ref="J531:P531" si="632">SUBTOTAL(9,J521:J530)</f>
        <v>369103.31</v>
      </c>
      <c r="K531" s="108">
        <f t="shared" ref="K531" si="633">SUBTOTAL(9,K521:K530)</f>
        <v>325598.66000000003</v>
      </c>
      <c r="L531" s="108">
        <f t="shared" ref="L531" si="634">SUBTOTAL(9,L521:L530)</f>
        <v>404037.22</v>
      </c>
      <c r="M531" s="108">
        <f t="shared" si="632"/>
        <v>430908</v>
      </c>
      <c r="N531" s="109">
        <f t="shared" ref="N531" si="635">SUBTOTAL(9,N521:N530)</f>
        <v>237048.16</v>
      </c>
      <c r="O531" s="109">
        <f t="shared" si="632"/>
        <v>381108</v>
      </c>
      <c r="P531" s="109">
        <f t="shared" si="632"/>
        <v>-49800</v>
      </c>
      <c r="Q531" s="109">
        <f t="shared" ref="Q531:T531" si="636">SUBTOTAL(9,Q521:Q530)</f>
        <v>427460</v>
      </c>
      <c r="R531" s="109">
        <f t="shared" si="636"/>
        <v>0</v>
      </c>
      <c r="S531" s="109">
        <f t="shared" si="636"/>
        <v>0</v>
      </c>
      <c r="T531" s="109">
        <f t="shared" si="636"/>
        <v>427460</v>
      </c>
      <c r="U531" s="99">
        <f t="shared" si="623"/>
        <v>-3448</v>
      </c>
      <c r="V531" s="255">
        <f t="shared" si="624"/>
        <v>-8.0017080212017033E-3</v>
      </c>
      <c r="W531" s="102"/>
      <c r="X531" s="121"/>
      <c r="Y531" s="121"/>
      <c r="Z531" s="121"/>
      <c r="AA531" s="121"/>
      <c r="AB531" s="121"/>
      <c r="AC531" s="121"/>
      <c r="AD531" s="121"/>
      <c r="AE531" s="121"/>
      <c r="AF531" s="121"/>
      <c r="AG531" s="121"/>
      <c r="AH531" s="121"/>
      <c r="AI531" s="121"/>
    </row>
    <row r="532" spans="1:40" s="115" customFormat="1" ht="15" customHeight="1">
      <c r="A532" s="555"/>
      <c r="B532" s="217"/>
      <c r="C532" s="217"/>
      <c r="D532" s="101"/>
      <c r="E532" s="217"/>
      <c r="F532" s="294"/>
      <c r="G532" s="146"/>
      <c r="H532" s="98"/>
      <c r="I532" s="106"/>
      <c r="J532" s="106"/>
      <c r="K532" s="106"/>
      <c r="L532" s="106"/>
      <c r="M532" s="106"/>
      <c r="N532" s="112"/>
      <c r="O532" s="112"/>
      <c r="P532" s="112"/>
      <c r="Q532" s="113"/>
      <c r="R532" s="99"/>
      <c r="S532" s="99"/>
      <c r="T532" s="113"/>
      <c r="U532" s="105"/>
      <c r="V532" s="262"/>
      <c r="W532" s="102"/>
      <c r="X532" s="121"/>
      <c r="Y532" s="121"/>
      <c r="Z532" s="121"/>
      <c r="AA532" s="121"/>
      <c r="AB532" s="121"/>
      <c r="AC532" s="121"/>
      <c r="AD532" s="121"/>
      <c r="AE532" s="121"/>
      <c r="AF532" s="121"/>
      <c r="AG532" s="121"/>
      <c r="AH532" s="121"/>
      <c r="AI532" s="121"/>
    </row>
    <row r="533" spans="1:40" s="115" customFormat="1" ht="15" customHeight="1">
      <c r="A533" s="572" t="s">
        <v>3243</v>
      </c>
      <c r="B533" s="217" t="str">
        <f t="shared" si="565"/>
        <v>119</v>
      </c>
      <c r="C533" s="217">
        <v>18</v>
      </c>
      <c r="D533" s="101" t="str">
        <f t="shared" si="567"/>
        <v/>
      </c>
      <c r="E533" s="217" t="str">
        <f t="shared" si="568"/>
        <v>119-18</v>
      </c>
      <c r="F533" s="294" t="s">
        <v>265</v>
      </c>
      <c r="G533" s="295" t="str">
        <f>VLOOKUP(F533,'GL Category'!A:C,3,FALSE)</f>
        <v>Capital Outlay</v>
      </c>
      <c r="H533" s="98" t="str">
        <f>VLOOKUP(F533,'GL Category'!A:C,2,FALSE)</f>
        <v>BUILDINGS &amp; IMPROVEMENTS</v>
      </c>
      <c r="I533" s="99">
        <f>SUMIFS(I$2:I524,$C$2:$C524,$C533,$F$2:$F524,$F533)</f>
        <v>0</v>
      </c>
      <c r="J533" s="99">
        <f>SUMIFS(J$2:J524,$C$2:$C524,$C533,$F$2:$F524,$F533)</f>
        <v>0</v>
      </c>
      <c r="K533" s="99">
        <f>SUMIFS(K$2:K524,$C$2:$C524,$C533,$F$2:$F524,$F533)</f>
        <v>0</v>
      </c>
      <c r="L533" s="99">
        <f>SUMIFS(L$2:L524,$C$2:$C524,$C533,$F$2:$F524,$F533)</f>
        <v>0</v>
      </c>
      <c r="M533" s="99">
        <f>SUMIFS(M$2:M524,$C$2:$C524,$C533,$F$2:$F524,$F533)</f>
        <v>0</v>
      </c>
      <c r="N533" s="99">
        <f>SUMIFS(N$2:N524,$C$2:$C524,$C533,$F$2:$F524,$F533)</f>
        <v>0</v>
      </c>
      <c r="O533" s="99">
        <f>SUMIFS(O$2:O524,$C$2:$C524,$C533,$F$2:$F524,$F533)</f>
        <v>0</v>
      </c>
      <c r="P533" s="99">
        <f>O533-M533</f>
        <v>0</v>
      </c>
      <c r="Q533" s="99">
        <f>SUMIFS(Q$2:Q524,$C$2:$C524,$C533,$F$2:$F524,$F533)</f>
        <v>0</v>
      </c>
      <c r="R533" s="99">
        <f>SUMIFS(R$2:R524,$C$2:$C524,$C533,$F$2:$F524,$F533)</f>
        <v>0</v>
      </c>
      <c r="S533" s="99">
        <f>SUMIFS(S$2:S524,$C$2:$C524,$C533,$F$2:$F524,$F533)</f>
        <v>0</v>
      </c>
      <c r="T533" s="99">
        <f>SUMIFS(T$2:T524,$C$2:$C524,$C533,$F$2:$F524,$F533)</f>
        <v>0</v>
      </c>
      <c r="U533" s="99">
        <f>T533-M533</f>
        <v>0</v>
      </c>
      <c r="V533" s="255" t="str">
        <f>IF(M533=0,"N/A",T533/M533-1)</f>
        <v>N/A</v>
      </c>
      <c r="W533" s="102"/>
      <c r="X533" s="102"/>
      <c r="Y533" s="102">
        <f t="shared" ref="Y533:Y535" si="637">T533-X533</f>
        <v>0</v>
      </c>
      <c r="Z533" s="309">
        <f>Y533*(1+VLOOKUP($F533,'GL Category'!$A:$H,4,FALSE))</f>
        <v>0</v>
      </c>
      <c r="AA533" s="615"/>
      <c r="AB533" s="622">
        <f t="shared" ref="AB533:AB535" si="638">Z533+AA533</f>
        <v>0</v>
      </c>
      <c r="AC533" s="633">
        <f>AB533*(1+VLOOKUP($F533,'GL Category'!$A:$H,5,FALSE))</f>
        <v>0</v>
      </c>
      <c r="AD533" s="307"/>
      <c r="AE533" s="622">
        <f t="shared" ref="AE533:AE535" si="639">AC533+AD533</f>
        <v>0</v>
      </c>
      <c r="AF533" s="633">
        <f>AE533*(1+VLOOKUP($F533,'GL Category'!$A:$H,6,FALSE))</f>
        <v>0</v>
      </c>
      <c r="AG533" s="307"/>
      <c r="AH533" s="622">
        <f t="shared" ref="AH533:AH535" si="640">AF533+AG533</f>
        <v>0</v>
      </c>
      <c r="AI533" s="633">
        <f>AH533*(1+VLOOKUP($F533,'GL Category'!$A:$H,7,FALSE))</f>
        <v>0</v>
      </c>
      <c r="AJ533" s="307"/>
      <c r="AK533" s="622">
        <f t="shared" ref="AK533:AK535" si="641">AI533+AJ533</f>
        <v>0</v>
      </c>
      <c r="AL533" s="633">
        <f>AK533*(1+VLOOKUP($F533,'GL Category'!$A:$H,8,FALSE))</f>
        <v>0</v>
      </c>
      <c r="AM533" s="307"/>
      <c r="AN533" s="622">
        <f t="shared" ref="AN533:AN535" si="642">AL533+AM533</f>
        <v>0</v>
      </c>
    </row>
    <row r="534" spans="1:40" s="115" customFormat="1" ht="15" customHeight="1">
      <c r="A534" s="572" t="s">
        <v>3243</v>
      </c>
      <c r="B534" s="217" t="str">
        <f t="shared" si="565"/>
        <v>119</v>
      </c>
      <c r="C534" s="217">
        <v>18</v>
      </c>
      <c r="D534" s="101" t="str">
        <f t="shared" si="567"/>
        <v/>
      </c>
      <c r="E534" s="217" t="str">
        <f t="shared" si="568"/>
        <v>119-18</v>
      </c>
      <c r="F534" s="556" t="s">
        <v>267</v>
      </c>
      <c r="G534" s="295" t="str">
        <f>VLOOKUP(F534,'GL Category'!A:C,3,FALSE)</f>
        <v>Capital Outlay</v>
      </c>
      <c r="H534" s="98" t="str">
        <f>VLOOKUP(F534,'GL Category'!A:C,2,FALSE)</f>
        <v>MACHINERY &amp; EQUIPMENT</v>
      </c>
      <c r="I534" s="99">
        <f>SUMIFS(I$2:I524,$C$2:$C524,$C534,$F$2:$F524,$F534)</f>
        <v>0</v>
      </c>
      <c r="J534" s="99">
        <f>SUMIFS(J$2:J524,$C$2:$C524,$C534,$F$2:$F524,$F534)</f>
        <v>6771.89</v>
      </c>
      <c r="K534" s="99">
        <f>SUMIFS(K$2:K524,$C$2:$C524,$C534,$F$2:$F524,$F534)</f>
        <v>0</v>
      </c>
      <c r="L534" s="99">
        <f>SUMIFS(L$2:L524,$C$2:$C524,$C534,$F$2:$F524,$F534)</f>
        <v>117750</v>
      </c>
      <c r="M534" s="99">
        <f>SUMIFS(M$2:M524,$C$2:$C524,$C534,$F$2:$F524,$F534)</f>
        <v>0</v>
      </c>
      <c r="N534" s="99">
        <f>SUMIFS(N$2:N524,$C$2:$C524,$C534,$F$2:$F524,$F534)</f>
        <v>5906.49</v>
      </c>
      <c r="O534" s="99">
        <f>SUMIFS(O$2:O524,$C$2:$C524,$C534,$F$2:$F524,$F534)</f>
        <v>5950</v>
      </c>
      <c r="P534" s="99">
        <f>O534-M534</f>
        <v>5950</v>
      </c>
      <c r="Q534" s="99">
        <f>SUMIFS(Q$2:Q524,$C$2:$C524,$C534,$F$2:$F524,$F534)</f>
        <v>0</v>
      </c>
      <c r="R534" s="99">
        <f>SUMIFS(R$2:R524,$C$2:$C524,$C534,$F$2:$F524,$F534)</f>
        <v>0</v>
      </c>
      <c r="S534" s="99">
        <f>SUMIFS(S$2:S524,$C$2:$C524,$C534,$F$2:$F524,$F534)</f>
        <v>0</v>
      </c>
      <c r="T534" s="99">
        <f>SUMIFS(T$2:T524,$C$2:$C524,$C534,$F$2:$F524,$F534)</f>
        <v>0</v>
      </c>
      <c r="U534" s="99">
        <f>T534-M534</f>
        <v>0</v>
      </c>
      <c r="V534" s="255" t="str">
        <f>IF(M534=0,"N/A",T534/M534-1)</f>
        <v>N/A</v>
      </c>
      <c r="W534" s="102"/>
      <c r="X534" s="102"/>
      <c r="Y534" s="102">
        <f t="shared" si="637"/>
        <v>0</v>
      </c>
      <c r="Z534" s="309">
        <f>Y534*(1+VLOOKUP($F534,'GL Category'!$A:$H,4,FALSE))</f>
        <v>0</v>
      </c>
      <c r="AA534" s="615"/>
      <c r="AB534" s="622">
        <f t="shared" si="638"/>
        <v>0</v>
      </c>
      <c r="AC534" s="633">
        <f>AB534*(1+VLOOKUP($F534,'GL Category'!$A:$H,5,FALSE))</f>
        <v>0</v>
      </c>
      <c r="AD534" s="307"/>
      <c r="AE534" s="622">
        <f t="shared" si="639"/>
        <v>0</v>
      </c>
      <c r="AF534" s="633">
        <f>AE534*(1+VLOOKUP($F534,'GL Category'!$A:$H,6,FALSE))</f>
        <v>0</v>
      </c>
      <c r="AG534" s="307"/>
      <c r="AH534" s="622">
        <f t="shared" si="640"/>
        <v>0</v>
      </c>
      <c r="AI534" s="633">
        <f>AH534*(1+VLOOKUP($F534,'GL Category'!$A:$H,7,FALSE))</f>
        <v>0</v>
      </c>
      <c r="AJ534" s="307"/>
      <c r="AK534" s="622">
        <f t="shared" si="641"/>
        <v>0</v>
      </c>
      <c r="AL534" s="633">
        <f>AK534*(1+VLOOKUP($F534,'GL Category'!$A:$H,8,FALSE))</f>
        <v>0</v>
      </c>
      <c r="AM534" s="307"/>
      <c r="AN534" s="622">
        <f t="shared" si="642"/>
        <v>0</v>
      </c>
    </row>
    <row r="535" spans="1:40" s="115" customFormat="1" ht="15" customHeight="1">
      <c r="A535" s="572" t="s">
        <v>3243</v>
      </c>
      <c r="B535" s="217" t="str">
        <f t="shared" ref="B535:B610" si="643">LEFT(A535,3)</f>
        <v>119</v>
      </c>
      <c r="C535" s="217">
        <v>18</v>
      </c>
      <c r="D535" s="101" t="str">
        <f t="shared" ref="D535:D610" si="644">MID(A535,8,3)</f>
        <v/>
      </c>
      <c r="E535" s="217" t="str">
        <f t="shared" ref="E535:E610" si="645">LEFT(A535,10)</f>
        <v>119-18</v>
      </c>
      <c r="F535" s="294" t="s">
        <v>222</v>
      </c>
      <c r="G535" s="295" t="str">
        <f>VLOOKUP(F535,'GL Category'!A:C,3,FALSE)</f>
        <v>Capital Outlay</v>
      </c>
      <c r="H535" s="98" t="str">
        <f>VLOOKUP(F535,'GL Category'!A:C,2,FALSE)</f>
        <v>OFFICE MACHINERY &amp; EQUIPMENT</v>
      </c>
      <c r="I535" s="99">
        <f>SUMIFS(I$2:I525,$C$2:$C525,$C535,$F$2:$F525,$F535)</f>
        <v>0</v>
      </c>
      <c r="J535" s="99">
        <f>SUMIFS(J$2:J525,$C$2:$C525,$C535,$F$2:$F525,$F535)</f>
        <v>0</v>
      </c>
      <c r="K535" s="99">
        <f>SUMIFS(K$2:K525,$C$2:$C525,$C535,$F$2:$F525,$F535)</f>
        <v>0</v>
      </c>
      <c r="L535" s="99">
        <f>SUMIFS(L$2:L525,$C$2:$C525,$C535,$F$2:$F525,$F535)</f>
        <v>0</v>
      </c>
      <c r="M535" s="99">
        <f>SUMIFS(M$2:M525,$C$2:$C525,$C535,$F$2:$F525,$F535)</f>
        <v>0</v>
      </c>
      <c r="N535" s="99">
        <f>SUMIFS(N$2:N525,$C$2:$C525,$C535,$F$2:$F525,$F535)</f>
        <v>0</v>
      </c>
      <c r="O535" s="99">
        <f>SUMIFS(O$2:O525,$C$2:$C525,$C535,$F$2:$F525,$F535)</f>
        <v>0</v>
      </c>
      <c r="P535" s="99">
        <f>O535-M535</f>
        <v>0</v>
      </c>
      <c r="Q535" s="99">
        <f>SUMIFS(Q$2:Q525,$C$2:$C525,$C535,$F$2:$F525,$F535)</f>
        <v>0</v>
      </c>
      <c r="R535" s="99">
        <f>SUMIFS(R$2:R525,$C$2:$C525,$C535,$F$2:$F525,$F535)</f>
        <v>0</v>
      </c>
      <c r="S535" s="99">
        <f>SUMIFS(S$2:S525,$C$2:$C525,$C535,$F$2:$F525,$F535)</f>
        <v>0</v>
      </c>
      <c r="T535" s="99">
        <f>SUMIFS(T$2:T525,$C$2:$C525,$C535,$F$2:$F525,$F535)</f>
        <v>0</v>
      </c>
      <c r="U535" s="99">
        <f>T535-M535</f>
        <v>0</v>
      </c>
      <c r="V535" s="255" t="str">
        <f>IF(M535=0,"N/A",T535/M535-1)</f>
        <v>N/A</v>
      </c>
      <c r="W535" s="102"/>
      <c r="X535" s="102"/>
      <c r="Y535" s="102">
        <f t="shared" si="637"/>
        <v>0</v>
      </c>
      <c r="Z535" s="309">
        <f>Y535*(1+VLOOKUP($F535,'GL Category'!$A:$H,4,FALSE))</f>
        <v>0</v>
      </c>
      <c r="AA535" s="615"/>
      <c r="AB535" s="622">
        <f t="shared" si="638"/>
        <v>0</v>
      </c>
      <c r="AC535" s="633">
        <f>AB535*(1+VLOOKUP($F535,'GL Category'!$A:$H,5,FALSE))</f>
        <v>0</v>
      </c>
      <c r="AD535" s="307"/>
      <c r="AE535" s="622">
        <f t="shared" si="639"/>
        <v>0</v>
      </c>
      <c r="AF535" s="633">
        <f>AE535*(1+VLOOKUP($F535,'GL Category'!$A:$H,6,FALSE))</f>
        <v>0</v>
      </c>
      <c r="AG535" s="307"/>
      <c r="AH535" s="622">
        <f t="shared" si="640"/>
        <v>0</v>
      </c>
      <c r="AI535" s="633">
        <f>AH535*(1+VLOOKUP($F535,'GL Category'!$A:$H,7,FALSE))</f>
        <v>0</v>
      </c>
      <c r="AJ535" s="307"/>
      <c r="AK535" s="622">
        <f t="shared" si="641"/>
        <v>0</v>
      </c>
      <c r="AL535" s="633">
        <f>AK535*(1+VLOOKUP($F535,'GL Category'!$A:$H,8,FALSE))</f>
        <v>0</v>
      </c>
      <c r="AM535" s="307"/>
      <c r="AN535" s="622">
        <f t="shared" si="642"/>
        <v>0</v>
      </c>
    </row>
    <row r="536" spans="1:40" s="115" customFormat="1" ht="14.25" customHeight="1">
      <c r="A536" s="572"/>
      <c r="B536" s="217"/>
      <c r="C536" s="217"/>
      <c r="D536" s="101"/>
      <c r="E536" s="217"/>
      <c r="F536" s="294"/>
      <c r="G536" s="295"/>
      <c r="H536" s="98"/>
      <c r="I536" s="99"/>
      <c r="J536" s="99"/>
      <c r="K536" s="99"/>
      <c r="L536" s="99"/>
      <c r="M536" s="99"/>
      <c r="N536" s="99"/>
      <c r="O536" s="99"/>
      <c r="P536" s="99"/>
      <c r="Q536" s="99"/>
      <c r="R536" s="99"/>
      <c r="S536" s="99"/>
      <c r="T536" s="99"/>
      <c r="U536" s="99"/>
      <c r="V536" s="255"/>
      <c r="W536" s="102"/>
      <c r="X536" s="102"/>
      <c r="Y536" s="102"/>
      <c r="Z536" s="309"/>
      <c r="AA536" s="615"/>
      <c r="AB536" s="622"/>
      <c r="AC536" s="633"/>
      <c r="AD536" s="307"/>
      <c r="AE536" s="622"/>
      <c r="AF536" s="633"/>
      <c r="AG536" s="307"/>
      <c r="AH536" s="622"/>
      <c r="AI536" s="633"/>
      <c r="AJ536" s="307"/>
      <c r="AK536" s="622"/>
      <c r="AL536" s="633"/>
      <c r="AM536" s="307"/>
      <c r="AN536" s="622"/>
    </row>
    <row r="537" spans="1:40" s="115" customFormat="1" ht="15" customHeight="1">
      <c r="A537" s="555"/>
      <c r="B537" s="217"/>
      <c r="C537" s="217"/>
      <c r="D537" s="101"/>
      <c r="E537" s="217"/>
      <c r="F537" s="294"/>
      <c r="G537" s="146"/>
      <c r="H537" s="107" t="str">
        <f>UPPER(G536)&amp;" TOTAL"</f>
        <v xml:space="preserve"> TOTAL</v>
      </c>
      <c r="I537" s="108">
        <f t="shared" ref="I537:T537" si="646">SUBTOTAL(9,I536:I536)</f>
        <v>0</v>
      </c>
      <c r="J537" s="108">
        <f t="shared" si="646"/>
        <v>0</v>
      </c>
      <c r="K537" s="108">
        <f t="shared" si="646"/>
        <v>0</v>
      </c>
      <c r="L537" s="108">
        <f t="shared" si="646"/>
        <v>0</v>
      </c>
      <c r="M537" s="108">
        <f t="shared" si="646"/>
        <v>0</v>
      </c>
      <c r="N537" s="108">
        <f t="shared" si="646"/>
        <v>0</v>
      </c>
      <c r="O537" s="108">
        <f t="shared" si="646"/>
        <v>0</v>
      </c>
      <c r="P537" s="108">
        <f t="shared" si="646"/>
        <v>0</v>
      </c>
      <c r="Q537" s="108">
        <f t="shared" si="646"/>
        <v>0</v>
      </c>
      <c r="R537" s="108">
        <f t="shared" si="646"/>
        <v>0</v>
      </c>
      <c r="S537" s="108">
        <f t="shared" si="646"/>
        <v>0</v>
      </c>
      <c r="T537" s="108">
        <f t="shared" si="646"/>
        <v>0</v>
      </c>
      <c r="U537" s="99">
        <f>T537-M537</f>
        <v>0</v>
      </c>
      <c r="V537" s="255" t="str">
        <f>IF(M537=0,"N/A",T537/M537-1)</f>
        <v>N/A</v>
      </c>
      <c r="W537" s="102"/>
      <c r="X537" s="121"/>
      <c r="Y537" s="121"/>
      <c r="Z537" s="121"/>
      <c r="AA537" s="121"/>
      <c r="AB537" s="121"/>
      <c r="AC537" s="121"/>
      <c r="AD537" s="121"/>
      <c r="AE537" s="121"/>
      <c r="AF537" s="121"/>
      <c r="AG537" s="121"/>
      <c r="AH537" s="121"/>
      <c r="AI537" s="121"/>
    </row>
    <row r="538" spans="1:40" s="115" customFormat="1" ht="15" customHeight="1">
      <c r="A538" s="555"/>
      <c r="B538" s="217"/>
      <c r="C538" s="217"/>
      <c r="D538" s="101"/>
      <c r="E538" s="217"/>
      <c r="F538" s="294"/>
      <c r="G538" s="146"/>
      <c r="H538" s="98"/>
      <c r="I538" s="106"/>
      <c r="J538" s="106"/>
      <c r="K538" s="106"/>
      <c r="L538" s="106"/>
      <c r="M538" s="106"/>
      <c r="N538" s="112"/>
      <c r="O538" s="112"/>
      <c r="P538" s="112"/>
      <c r="Q538" s="113"/>
      <c r="R538" s="212"/>
      <c r="S538" s="212"/>
      <c r="T538" s="113"/>
      <c r="U538" s="105"/>
      <c r="V538" s="262"/>
      <c r="W538" s="102"/>
      <c r="X538" s="121"/>
      <c r="Y538" s="121"/>
      <c r="Z538" s="121"/>
      <c r="AA538" s="121"/>
      <c r="AB538" s="121"/>
      <c r="AC538" s="121"/>
      <c r="AD538" s="121"/>
      <c r="AE538" s="121"/>
      <c r="AF538" s="121"/>
      <c r="AG538" s="121"/>
      <c r="AH538" s="121"/>
      <c r="AI538" s="121"/>
    </row>
    <row r="539" spans="1:40" s="115" customFormat="1" ht="15" customHeight="1">
      <c r="A539" s="555"/>
      <c r="B539" s="217"/>
      <c r="C539" s="217"/>
      <c r="D539" s="101"/>
      <c r="E539" s="217"/>
      <c r="F539" s="294"/>
      <c r="G539" s="146"/>
      <c r="H539" s="114" t="s">
        <v>51</v>
      </c>
      <c r="I539" s="108">
        <f t="shared" ref="I539:T539" si="647">SUBTOTAL(9,I499:I538)</f>
        <v>2182927.8299999996</v>
      </c>
      <c r="J539" s="108">
        <f t="shared" si="647"/>
        <v>2167992.8800000004</v>
      </c>
      <c r="K539" s="108">
        <f t="shared" si="647"/>
        <v>1992650.08</v>
      </c>
      <c r="L539" s="108">
        <f t="shared" si="647"/>
        <v>2647880.3800000004</v>
      </c>
      <c r="M539" s="108">
        <f t="shared" si="647"/>
        <v>3119404</v>
      </c>
      <c r="N539" s="108">
        <f t="shared" si="647"/>
        <v>1979970.9000000004</v>
      </c>
      <c r="O539" s="108">
        <f t="shared" si="647"/>
        <v>3038684</v>
      </c>
      <c r="P539" s="108">
        <f t="shared" si="647"/>
        <v>-80720</v>
      </c>
      <c r="Q539" s="108">
        <f t="shared" si="647"/>
        <v>2879621</v>
      </c>
      <c r="R539" s="108">
        <f t="shared" si="647"/>
        <v>0</v>
      </c>
      <c r="S539" s="108">
        <f t="shared" si="647"/>
        <v>906370</v>
      </c>
      <c r="T539" s="108">
        <f t="shared" si="647"/>
        <v>3785991</v>
      </c>
      <c r="U539" s="99">
        <f>T539-M539</f>
        <v>666587</v>
      </c>
      <c r="V539" s="255">
        <f>IF(M539=0,"N/A",T539/M539-1)</f>
        <v>0.2136904998518947</v>
      </c>
      <c r="W539" s="102"/>
      <c r="X539" s="121"/>
      <c r="Y539" s="108">
        <f t="shared" ref="Y539:AN539" si="648">SUBTOTAL(9,Y499:Y538)</f>
        <v>2970991</v>
      </c>
      <c r="Z539" s="108">
        <f t="shared" si="648"/>
        <v>3049223.6600000006</v>
      </c>
      <c r="AA539" s="108">
        <f t="shared" si="648"/>
        <v>0</v>
      </c>
      <c r="AB539" s="108">
        <f t="shared" si="648"/>
        <v>3049223.6600000006</v>
      </c>
      <c r="AC539" s="108">
        <f t="shared" si="648"/>
        <v>3129658.0495999996</v>
      </c>
      <c r="AD539" s="108">
        <f t="shared" si="648"/>
        <v>0</v>
      </c>
      <c r="AE539" s="108">
        <f t="shared" si="648"/>
        <v>3129658.0495999996</v>
      </c>
      <c r="AF539" s="108">
        <f t="shared" si="648"/>
        <v>3212359.8598760003</v>
      </c>
      <c r="AG539" s="108">
        <f t="shared" si="648"/>
        <v>0</v>
      </c>
      <c r="AH539" s="108">
        <f t="shared" si="648"/>
        <v>3212359.8598760003</v>
      </c>
      <c r="AI539" s="108">
        <f t="shared" si="648"/>
        <v>3297396.8344667605</v>
      </c>
      <c r="AJ539" s="108">
        <f t="shared" si="648"/>
        <v>0</v>
      </c>
      <c r="AK539" s="108">
        <f t="shared" si="648"/>
        <v>3297396.8344667605</v>
      </c>
      <c r="AL539" s="108">
        <f t="shared" si="648"/>
        <v>3384838.8359039277</v>
      </c>
      <c r="AM539" s="108">
        <f t="shared" si="648"/>
        <v>0</v>
      </c>
      <c r="AN539" s="108">
        <f t="shared" si="648"/>
        <v>3384838.8359039277</v>
      </c>
    </row>
    <row r="540" spans="1:40" s="115" customFormat="1" ht="15" customHeight="1">
      <c r="A540" s="555"/>
      <c r="B540" s="217"/>
      <c r="C540" s="217"/>
      <c r="D540" s="101"/>
      <c r="E540" s="217"/>
      <c r="F540" s="294"/>
      <c r="G540" s="146"/>
      <c r="H540" s="89"/>
      <c r="I540" s="233"/>
      <c r="J540" s="233"/>
      <c r="K540" s="233"/>
      <c r="L540" s="233"/>
      <c r="M540" s="233"/>
      <c r="N540" s="233"/>
      <c r="O540" s="233"/>
      <c r="P540" s="233"/>
      <c r="Q540" s="233"/>
      <c r="R540" s="233"/>
      <c r="S540" s="233"/>
      <c r="T540" s="233"/>
      <c r="U540" s="105"/>
      <c r="V540" s="262"/>
      <c r="W540" s="102"/>
      <c r="X540" s="121"/>
      <c r="Y540" s="121"/>
      <c r="Z540" s="121"/>
      <c r="AA540" s="121"/>
      <c r="AB540" s="121"/>
      <c r="AC540" s="121"/>
      <c r="AD540" s="121"/>
      <c r="AE540" s="121"/>
      <c r="AF540" s="121"/>
      <c r="AG540" s="121"/>
      <c r="AH540" s="121"/>
      <c r="AI540" s="121"/>
    </row>
    <row r="541" spans="1:40" s="115" customFormat="1" ht="15" customHeight="1" thickBot="1">
      <c r="A541" s="555"/>
      <c r="B541" s="217"/>
      <c r="C541" s="217"/>
      <c r="D541" s="101"/>
      <c r="E541" s="217"/>
      <c r="F541" s="294"/>
      <c r="G541" s="146"/>
      <c r="H541" s="98"/>
      <c r="I541" s="218"/>
      <c r="J541" s="218"/>
      <c r="K541" s="218"/>
      <c r="L541" s="218"/>
      <c r="M541" s="218"/>
      <c r="N541" s="96"/>
      <c r="O541" s="96"/>
      <c r="P541" s="96"/>
      <c r="Q541" s="212"/>
      <c r="R541" s="212"/>
      <c r="S541" s="212"/>
      <c r="T541" s="212"/>
      <c r="U541" s="105"/>
      <c r="V541" s="262"/>
      <c r="W541" s="102"/>
      <c r="X541" s="121"/>
      <c r="Y541" s="121"/>
      <c r="Z541" s="121"/>
      <c r="AA541" s="121"/>
      <c r="AB541" s="121"/>
      <c r="AC541" s="121"/>
      <c r="AD541" s="121"/>
      <c r="AE541" s="121"/>
      <c r="AF541" s="121"/>
      <c r="AG541" s="121"/>
      <c r="AH541" s="121"/>
      <c r="AI541" s="121"/>
    </row>
    <row r="542" spans="1:40" s="115" customFormat="1" ht="15" customHeight="1" thickBot="1">
      <c r="A542" s="555"/>
      <c r="B542" s="217"/>
      <c r="C542" s="217"/>
      <c r="D542" s="101"/>
      <c r="E542" s="217"/>
      <c r="F542" s="294"/>
      <c r="G542" s="146"/>
      <c r="H542" s="665" t="s">
        <v>748</v>
      </c>
      <c r="I542" s="666"/>
      <c r="J542" s="666"/>
      <c r="K542" s="666"/>
      <c r="L542" s="666"/>
      <c r="M542" s="666"/>
      <c r="N542" s="666"/>
      <c r="O542" s="666"/>
      <c r="P542" s="666"/>
      <c r="Q542" s="666"/>
      <c r="R542" s="666"/>
      <c r="S542" s="666"/>
      <c r="T542" s="667"/>
      <c r="U542" s="105"/>
      <c r="V542" s="262"/>
      <c r="W542" s="102"/>
      <c r="X542" s="121"/>
      <c r="Y542" s="121"/>
      <c r="Z542" s="121"/>
      <c r="AA542" s="121"/>
      <c r="AB542" s="121"/>
      <c r="AC542" s="121"/>
      <c r="AD542" s="121"/>
      <c r="AE542" s="121"/>
      <c r="AF542" s="121"/>
      <c r="AG542" s="121"/>
      <c r="AH542" s="121"/>
      <c r="AI542" s="121"/>
    </row>
    <row r="543" spans="1:40" s="115" customFormat="1" ht="15" customHeight="1">
      <c r="A543" s="555"/>
      <c r="B543" s="217"/>
      <c r="C543" s="217"/>
      <c r="D543" s="101"/>
      <c r="E543" s="217"/>
      <c r="F543" s="294"/>
      <c r="G543" s="146"/>
      <c r="H543" s="225"/>
      <c r="I543" s="225"/>
      <c r="J543" s="225"/>
      <c r="K543" s="225"/>
      <c r="L543" s="225"/>
      <c r="M543" s="225"/>
      <c r="N543" s="225"/>
      <c r="O543" s="225"/>
      <c r="P543" s="225"/>
      <c r="Q543" s="225"/>
      <c r="R543" s="225"/>
      <c r="S543" s="225"/>
      <c r="T543" s="225"/>
      <c r="U543" s="105"/>
      <c r="V543" s="262"/>
      <c r="W543" s="102"/>
      <c r="X543" s="121"/>
      <c r="Y543" s="121"/>
      <c r="Z543" s="121"/>
      <c r="AA543" s="121"/>
      <c r="AB543" s="121"/>
      <c r="AC543" s="121"/>
      <c r="AD543" s="121"/>
      <c r="AE543" s="121"/>
      <c r="AF543" s="121"/>
      <c r="AG543" s="121"/>
      <c r="AH543" s="121"/>
      <c r="AI543" s="121"/>
    </row>
    <row r="544" spans="1:40" s="115" customFormat="1" ht="15" customHeight="1">
      <c r="A544" s="555" t="s">
        <v>2070</v>
      </c>
      <c r="B544" s="217" t="str">
        <f t="shared" si="643"/>
        <v>120</v>
      </c>
      <c r="C544" s="217" t="str">
        <f t="shared" ref="C544:C610" si="649">MID(A544,5,2)</f>
        <v>00</v>
      </c>
      <c r="D544" s="101" t="str">
        <f t="shared" si="644"/>
        <v>000</v>
      </c>
      <c r="E544" s="217" t="str">
        <f t="shared" si="645"/>
        <v>120-00-000</v>
      </c>
      <c r="F544" s="294" t="str">
        <f t="shared" ref="F544:F610" si="650">RIGHT(A544,5)</f>
        <v>44870</v>
      </c>
      <c r="G544" s="295" t="str">
        <f>VLOOKUP(F544,'GL Category'!A:C,3,FALSE)</f>
        <v>CHARGES FOR SERVICE</v>
      </c>
      <c r="H544" s="98" t="str">
        <f>VLOOKUP(F544,'GL Category'!A:C,2,FALSE)</f>
        <v>SOLID WASTE/GARBAGE FEES</v>
      </c>
      <c r="I544" s="99">
        <f>SUMIF(Import!$B:$B,'Other Fund Line-Item Details'!$A544,Import!D:D)</f>
        <v>-40532.76</v>
      </c>
      <c r="J544" s="99">
        <f>SUMIF(Import!$B:$B,'Other Fund Line-Item Details'!$A544,Import!E:E)</f>
        <v>-40853.51</v>
      </c>
      <c r="K544" s="99">
        <f>SUMIF(Import!$B:$B,'Other Fund Line-Item Details'!$A544,Import!F:F)</f>
        <v>-35049.07</v>
      </c>
      <c r="L544" s="99">
        <f>SUMIF(Import!$B:$B,'Other Fund Line-Item Details'!$A544,Import!G:G)</f>
        <v>-35218.879999999997</v>
      </c>
      <c r="M544" s="99">
        <f>SUMIF(Import!$B:$B,'Other Fund Line-Item Details'!$A544,Import!H:H)</f>
        <v>-37044</v>
      </c>
      <c r="N544" s="99">
        <f>SUMIF(Import!$B:$B,'Other Fund Line-Item Details'!$A544,Import!I:I)</f>
        <v>-23547.81</v>
      </c>
      <c r="O544" s="99">
        <f>SUMIF(Import!$B:$B,'Other Fund Line-Item Details'!$A544,Import!J:J)</f>
        <v>-33109</v>
      </c>
      <c r="P544" s="99">
        <f>O544-M544</f>
        <v>3935</v>
      </c>
      <c r="Q544" s="99">
        <f>SUMIF(Import!$B:$B,'Other Fund Line-Item Details'!$A544,Import!K:K)</f>
        <v>-37044</v>
      </c>
      <c r="R544" s="99">
        <f>SUMIF(Import!$B:$B,'Other Fund Line-Item Details'!$A544,Import!L:L)</f>
        <v>0</v>
      </c>
      <c r="S544" s="99">
        <f>SUMIF(Import!$B:$B,'Other Fund Line-Item Details'!$A544,Import!M:M)</f>
        <v>0</v>
      </c>
      <c r="T544" s="99">
        <f>SUMIF(Import!$B:$B,'Other Fund Line-Item Details'!$A544,Import!N:N)</f>
        <v>-37044</v>
      </c>
      <c r="U544" s="99">
        <f>T544-M544</f>
        <v>0</v>
      </c>
      <c r="V544" s="255">
        <f>IF(M544=0,"N/A",T544/M544-1)</f>
        <v>0</v>
      </c>
      <c r="W544" s="102" t="s">
        <v>2070</v>
      </c>
      <c r="X544" s="121"/>
      <c r="Y544" s="121"/>
      <c r="Z544" s="121"/>
      <c r="AA544" s="121"/>
      <c r="AB544" s="121"/>
      <c r="AC544" s="121"/>
      <c r="AD544" s="121"/>
      <c r="AE544" s="121"/>
      <c r="AF544" s="121"/>
      <c r="AG544" s="121"/>
      <c r="AH544" s="121"/>
      <c r="AI544" s="121"/>
    </row>
    <row r="545" spans="1:40" s="115" customFormat="1" ht="15" customHeight="1">
      <c r="A545" s="555" t="s">
        <v>2071</v>
      </c>
      <c r="B545" s="217" t="str">
        <f t="shared" si="643"/>
        <v>120</v>
      </c>
      <c r="C545" s="217" t="str">
        <f t="shared" si="649"/>
        <v>00</v>
      </c>
      <c r="D545" s="101" t="str">
        <f t="shared" si="644"/>
        <v>000</v>
      </c>
      <c r="E545" s="217" t="str">
        <f t="shared" si="645"/>
        <v>120-00-000</v>
      </c>
      <c r="F545" s="294" t="str">
        <f t="shared" si="650"/>
        <v>47090</v>
      </c>
      <c r="G545" s="295" t="str">
        <f>VLOOKUP(F545,'GL Category'!A:C,3,FALSE)</f>
        <v>OTHER REVENUE</v>
      </c>
      <c r="H545" s="98" t="str">
        <f>VLOOKUP(F545,'GL Category'!A:C,2,FALSE)</f>
        <v>INTEREST REVENUE-INVESTMENTS</v>
      </c>
      <c r="I545" s="99">
        <f>SUMIF(Import!$B:$B,'Other Fund Line-Item Details'!$A545,Import!D:D)</f>
        <v>-5786.12</v>
      </c>
      <c r="J545" s="99">
        <f>SUMIF(Import!$B:$B,'Other Fund Line-Item Details'!$A545,Import!E:E)</f>
        <v>-1643.44</v>
      </c>
      <c r="K545" s="99">
        <f>SUMIF(Import!$B:$B,'Other Fund Line-Item Details'!$A545,Import!F:F)</f>
        <v>-2416.85</v>
      </c>
      <c r="L545" s="99">
        <f>SUMIF(Import!$B:$B,'Other Fund Line-Item Details'!$A545,Import!G:G)</f>
        <v>-17098.04</v>
      </c>
      <c r="M545" s="99">
        <f>SUMIF(Import!$B:$B,'Other Fund Line-Item Details'!$A545,Import!H:H)</f>
        <v>-5138</v>
      </c>
      <c r="N545" s="99">
        <f>SUMIF(Import!$B:$B,'Other Fund Line-Item Details'!$A545,Import!I:I)</f>
        <v>-18693.509999999998</v>
      </c>
      <c r="O545" s="99">
        <f>SUMIF(Import!$B:$B,'Other Fund Line-Item Details'!$A545,Import!J:J)</f>
        <v>-22574</v>
      </c>
      <c r="P545" s="99">
        <f>O545-M545</f>
        <v>-17436</v>
      </c>
      <c r="Q545" s="99">
        <f>SUMIF(Import!$B:$B,'Other Fund Line-Item Details'!$A545,Import!K:K)</f>
        <v>-22574</v>
      </c>
      <c r="R545" s="99">
        <f>SUMIF(Import!$B:$B,'Other Fund Line-Item Details'!$A545,Import!L:L)</f>
        <v>0</v>
      </c>
      <c r="S545" s="99">
        <f>SUMIF(Import!$B:$B,'Other Fund Line-Item Details'!$A545,Import!M:M)</f>
        <v>0</v>
      </c>
      <c r="T545" s="99">
        <f>SUMIF(Import!$B:$B,'Other Fund Line-Item Details'!$A545,Import!N:N)</f>
        <v>-22574</v>
      </c>
      <c r="U545" s="99">
        <f>T545-M545</f>
        <v>-17436</v>
      </c>
      <c r="V545" s="255">
        <f>IF(M545=0,"N/A",T545/M545-1)</f>
        <v>3.3935383417672247</v>
      </c>
      <c r="W545" s="102" t="s">
        <v>2071</v>
      </c>
      <c r="X545" s="121"/>
      <c r="Y545" s="121"/>
      <c r="Z545" s="121"/>
      <c r="AA545" s="121"/>
      <c r="AB545" s="121"/>
      <c r="AC545" s="121"/>
      <c r="AD545" s="121"/>
      <c r="AE545" s="121"/>
      <c r="AF545" s="121"/>
      <c r="AG545" s="121"/>
      <c r="AH545" s="121"/>
      <c r="AI545" s="121"/>
    </row>
    <row r="546" spans="1:40" s="115" customFormat="1" ht="15" customHeight="1">
      <c r="A546" s="555"/>
      <c r="B546" s="217"/>
      <c r="C546" s="217"/>
      <c r="D546" s="101"/>
      <c r="E546" s="217"/>
      <c r="F546" s="294"/>
      <c r="G546" s="146"/>
      <c r="H546" s="107" t="str">
        <f>UPPER(G545)&amp;" TOTAL"</f>
        <v>OTHER REVENUE TOTAL</v>
      </c>
      <c r="I546" s="108">
        <f t="shared" ref="I546" si="651">SUBTOTAL(9,I537:I545)</f>
        <v>-46318.880000000005</v>
      </c>
      <c r="J546" s="108">
        <f t="shared" ref="J546:P546" si="652">SUBTOTAL(9,J537:J545)</f>
        <v>-42496.950000000004</v>
      </c>
      <c r="K546" s="108">
        <f t="shared" ref="K546" si="653">SUBTOTAL(9,K537:K545)</f>
        <v>-37465.919999999998</v>
      </c>
      <c r="L546" s="108">
        <f t="shared" ref="L546" si="654">SUBTOTAL(9,L537:L545)</f>
        <v>-52316.92</v>
      </c>
      <c r="M546" s="108">
        <f t="shared" si="652"/>
        <v>-42182</v>
      </c>
      <c r="N546" s="109">
        <f t="shared" ref="N546" si="655">SUBTOTAL(9,N537:N545)</f>
        <v>-42241.32</v>
      </c>
      <c r="O546" s="109">
        <f t="shared" si="652"/>
        <v>-55683</v>
      </c>
      <c r="P546" s="109">
        <f t="shared" si="652"/>
        <v>-13501</v>
      </c>
      <c r="Q546" s="109">
        <f t="shared" ref="Q546:T546" si="656">SUBTOTAL(9,Q537:Q545)</f>
        <v>-59618</v>
      </c>
      <c r="R546" s="109">
        <f t="shared" si="656"/>
        <v>0</v>
      </c>
      <c r="S546" s="109">
        <f t="shared" si="656"/>
        <v>0</v>
      </c>
      <c r="T546" s="109">
        <f t="shared" si="656"/>
        <v>-59618</v>
      </c>
      <c r="U546" s="99">
        <f>T546-M546</f>
        <v>-17436</v>
      </c>
      <c r="V546" s="255">
        <f>IF(M546=0,"N/A",T546/M546-1)</f>
        <v>0.413351666587644</v>
      </c>
      <c r="W546" s="102"/>
      <c r="X546" s="121"/>
      <c r="Y546" s="121"/>
      <c r="Z546" s="121"/>
      <c r="AA546" s="121"/>
      <c r="AB546" s="121"/>
      <c r="AC546" s="121"/>
      <c r="AD546" s="121"/>
      <c r="AE546" s="121"/>
      <c r="AF546" s="121"/>
      <c r="AG546" s="121"/>
      <c r="AH546" s="121"/>
      <c r="AI546" s="121"/>
    </row>
    <row r="547" spans="1:40" s="115" customFormat="1" ht="15" customHeight="1">
      <c r="A547" s="555"/>
      <c r="B547" s="217"/>
      <c r="C547" s="217"/>
      <c r="D547" s="101"/>
      <c r="E547" s="217"/>
      <c r="F547" s="294"/>
      <c r="G547" s="146"/>
      <c r="H547" s="232"/>
      <c r="I547" s="233"/>
      <c r="J547" s="233"/>
      <c r="K547" s="233"/>
      <c r="L547" s="233"/>
      <c r="M547" s="233"/>
      <c r="N547" s="202"/>
      <c r="O547" s="202"/>
      <c r="P547" s="202"/>
      <c r="Q547" s="202"/>
      <c r="R547" s="202"/>
      <c r="S547" s="202"/>
      <c r="T547" s="202"/>
      <c r="U547" s="105"/>
      <c r="V547" s="262"/>
      <c r="W547" s="102"/>
      <c r="X547" s="121"/>
      <c r="Y547" s="121"/>
      <c r="Z547" s="121"/>
      <c r="AA547" s="121"/>
      <c r="AB547" s="121"/>
      <c r="AC547" s="121"/>
      <c r="AD547" s="121"/>
      <c r="AE547" s="121"/>
      <c r="AF547" s="121"/>
      <c r="AG547" s="121"/>
      <c r="AH547" s="121"/>
      <c r="AI547" s="121"/>
    </row>
    <row r="548" spans="1:40" s="115" customFormat="1" ht="15" customHeight="1">
      <c r="A548" s="555" t="s">
        <v>2072</v>
      </c>
      <c r="B548" s="217" t="str">
        <f t="shared" si="643"/>
        <v>120</v>
      </c>
      <c r="C548" s="217" t="str">
        <f t="shared" si="649"/>
        <v>10</v>
      </c>
      <c r="D548" s="101" t="str">
        <f t="shared" si="644"/>
        <v>105</v>
      </c>
      <c r="E548" s="217" t="str">
        <f t="shared" si="645"/>
        <v>120-10-105</v>
      </c>
      <c r="F548" s="294" t="str">
        <f t="shared" si="650"/>
        <v>51299</v>
      </c>
      <c r="G548" s="295" t="str">
        <f>VLOOKUP(F548,'GL Category'!A:C,3,FALSE)</f>
        <v>Operations &amp; maintenance</v>
      </c>
      <c r="H548" s="98" t="str">
        <f>VLOOKUP(F548,'GL Category'!A:C,2,FALSE)</f>
        <v>MISCELLANEOUS SUPPLIES</v>
      </c>
      <c r="I548" s="99">
        <f>SUMIF(Import!$B:$B,'Other Fund Line-Item Details'!$A548,Import!D:D)</f>
        <v>0</v>
      </c>
      <c r="J548" s="99">
        <f>SUMIF(Import!$B:$B,'Other Fund Line-Item Details'!$A548,Import!E:E)</f>
        <v>0</v>
      </c>
      <c r="K548" s="99">
        <f>SUMIF(Import!$B:$B,'Other Fund Line-Item Details'!$A548,Import!F:F)</f>
        <v>0</v>
      </c>
      <c r="L548" s="99">
        <f>SUMIF(Import!$B:$B,'Other Fund Line-Item Details'!$A548,Import!G:G)</f>
        <v>0</v>
      </c>
      <c r="M548" s="99">
        <f>SUMIF(Import!$B:$B,'Other Fund Line-Item Details'!$A548,Import!H:H)</f>
        <v>5000</v>
      </c>
      <c r="N548" s="99">
        <f>SUMIF(Import!$B:$B,'Other Fund Line-Item Details'!$A548,Import!I:I)</f>
        <v>0</v>
      </c>
      <c r="O548" s="99">
        <f>SUMIF(Import!$B:$B,'Other Fund Line-Item Details'!$A548,Import!J:J)</f>
        <v>5000</v>
      </c>
      <c r="P548" s="99">
        <f>O548-M548</f>
        <v>0</v>
      </c>
      <c r="Q548" s="99">
        <f>SUMIF(Import!$B:$B,'Other Fund Line-Item Details'!$A548,Import!K:K)</f>
        <v>5000</v>
      </c>
      <c r="R548" s="99">
        <f>SUMIF(Import!$B:$B,'Other Fund Line-Item Details'!$A548,Import!L:L)</f>
        <v>0</v>
      </c>
      <c r="S548" s="99">
        <f>SUMIF(Import!$B:$B,'Other Fund Line-Item Details'!$A548,Import!M:M)</f>
        <v>0</v>
      </c>
      <c r="T548" s="99">
        <f>SUMIF(Import!$B:$B,'Other Fund Line-Item Details'!$A548,Import!N:N)</f>
        <v>5000</v>
      </c>
      <c r="U548" s="99">
        <f>T548-M548</f>
        <v>0</v>
      </c>
      <c r="V548" s="255">
        <f>IF(M548=0,"N/A",T548/M548-1)</f>
        <v>0</v>
      </c>
      <c r="W548" s="102" t="s">
        <v>2072</v>
      </c>
      <c r="X548" s="121"/>
      <c r="Y548" s="121"/>
      <c r="Z548" s="121"/>
      <c r="AA548" s="121"/>
      <c r="AB548" s="121"/>
      <c r="AC548" s="121"/>
      <c r="AD548" s="121"/>
      <c r="AE548" s="121"/>
      <c r="AF548" s="121"/>
      <c r="AG548" s="121"/>
      <c r="AH548" s="121"/>
      <c r="AI548" s="121"/>
    </row>
    <row r="549" spans="1:40" s="115" customFormat="1" ht="15" customHeight="1">
      <c r="A549" s="555"/>
      <c r="B549" s="217"/>
      <c r="C549" s="217"/>
      <c r="D549" s="101"/>
      <c r="E549" s="217"/>
      <c r="F549" s="294"/>
      <c r="G549" s="146"/>
      <c r="H549" s="107" t="str">
        <f>UPPER(G548)&amp;" TOTAL"</f>
        <v>OPERATIONS &amp; MAINTENANCE TOTAL</v>
      </c>
      <c r="I549" s="108">
        <f t="shared" ref="I549" si="657">SUBTOTAL(9,I548:I548)</f>
        <v>0</v>
      </c>
      <c r="J549" s="108">
        <f t="shared" ref="J549:P549" si="658">SUBTOTAL(9,J548:J548)</f>
        <v>0</v>
      </c>
      <c r="K549" s="108">
        <f t="shared" ref="K549" si="659">SUBTOTAL(9,K548:K548)</f>
        <v>0</v>
      </c>
      <c r="L549" s="108">
        <f t="shared" ref="L549" si="660">SUBTOTAL(9,L548:L548)</f>
        <v>0</v>
      </c>
      <c r="M549" s="108">
        <f t="shared" si="658"/>
        <v>5000</v>
      </c>
      <c r="N549" s="109">
        <f t="shared" ref="N549" si="661">SUBTOTAL(9,N548:N548)</f>
        <v>0</v>
      </c>
      <c r="O549" s="109">
        <f t="shared" si="658"/>
        <v>5000</v>
      </c>
      <c r="P549" s="109">
        <f t="shared" si="658"/>
        <v>0</v>
      </c>
      <c r="Q549" s="109">
        <f t="shared" ref="Q549:T549" si="662">SUBTOTAL(9,Q548:Q548)</f>
        <v>5000</v>
      </c>
      <c r="R549" s="109">
        <f t="shared" si="662"/>
        <v>0</v>
      </c>
      <c r="S549" s="109">
        <f t="shared" si="662"/>
        <v>0</v>
      </c>
      <c r="T549" s="109">
        <f t="shared" si="662"/>
        <v>5000</v>
      </c>
      <c r="U549" s="99">
        <f>T549-M549</f>
        <v>0</v>
      </c>
      <c r="V549" s="255">
        <f>IF(M549=0,"N/A",T549/M549-1)</f>
        <v>0</v>
      </c>
      <c r="W549" s="102"/>
      <c r="X549" s="121"/>
      <c r="Y549" s="121"/>
      <c r="Z549" s="121"/>
      <c r="AA549" s="121"/>
      <c r="AB549" s="121"/>
      <c r="AC549" s="121"/>
      <c r="AD549" s="121"/>
      <c r="AE549" s="121"/>
      <c r="AF549" s="121"/>
      <c r="AG549" s="121"/>
      <c r="AH549" s="121"/>
      <c r="AI549" s="121"/>
    </row>
    <row r="550" spans="1:40" s="115" customFormat="1" ht="15" customHeight="1">
      <c r="A550" s="555"/>
      <c r="B550" s="217"/>
      <c r="C550" s="217"/>
      <c r="D550" s="101"/>
      <c r="E550" s="217"/>
      <c r="F550" s="294"/>
      <c r="G550" s="146"/>
      <c r="H550" s="98"/>
      <c r="I550" s="111"/>
      <c r="J550" s="111"/>
      <c r="K550" s="111"/>
      <c r="L550" s="111"/>
      <c r="M550" s="111"/>
      <c r="N550" s="112"/>
      <c r="O550" s="112"/>
      <c r="P550" s="112"/>
      <c r="Q550" s="113"/>
      <c r="R550" s="113"/>
      <c r="S550" s="113"/>
      <c r="T550" s="113"/>
      <c r="U550" s="105"/>
      <c r="V550" s="262"/>
      <c r="W550" s="102"/>
      <c r="X550" s="121"/>
      <c r="Y550" s="121"/>
      <c r="Z550" s="121"/>
      <c r="AA550" s="121"/>
      <c r="AB550" s="121"/>
      <c r="AC550" s="121"/>
      <c r="AD550" s="121"/>
      <c r="AE550" s="121"/>
      <c r="AF550" s="121"/>
      <c r="AG550" s="121"/>
      <c r="AH550" s="121"/>
      <c r="AI550" s="121"/>
    </row>
    <row r="551" spans="1:40" s="115" customFormat="1" ht="15" customHeight="1">
      <c r="A551" s="555" t="s">
        <v>2073</v>
      </c>
      <c r="B551" s="217" t="str">
        <f t="shared" si="643"/>
        <v>120</v>
      </c>
      <c r="C551" s="217" t="str">
        <f t="shared" si="649"/>
        <v>10</v>
      </c>
      <c r="D551" s="101" t="str">
        <f t="shared" si="644"/>
        <v>105</v>
      </c>
      <c r="E551" s="217" t="str">
        <f t="shared" si="645"/>
        <v>120-10-105</v>
      </c>
      <c r="F551" s="294" t="str">
        <f t="shared" si="650"/>
        <v>53599</v>
      </c>
      <c r="G551" s="295" t="str">
        <f>VLOOKUP(F551,'GL Category'!A:C,3,FALSE)</f>
        <v>Services &amp; other</v>
      </c>
      <c r="H551" s="98" t="str">
        <f>VLOOKUP(F551,'GL Category'!A:C,2,FALSE)</f>
        <v>MISCELLANEOUS SERVICES</v>
      </c>
      <c r="I551" s="99">
        <f>SUMIF(Import!$B:$B,'Other Fund Line-Item Details'!$A551,Import!D:D)</f>
        <v>0</v>
      </c>
      <c r="J551" s="99">
        <f>SUMIF(Import!$B:$B,'Other Fund Line-Item Details'!$A551,Import!E:E)</f>
        <v>0</v>
      </c>
      <c r="K551" s="99">
        <f>SUMIF(Import!$B:$B,'Other Fund Line-Item Details'!$A551,Import!F:F)</f>
        <v>0</v>
      </c>
      <c r="L551" s="99">
        <f>SUMIF(Import!$B:$B,'Other Fund Line-Item Details'!$A551,Import!G:G)</f>
        <v>0</v>
      </c>
      <c r="M551" s="99">
        <f>SUMIF(Import!$B:$B,'Other Fund Line-Item Details'!$A551,Import!H:H)</f>
        <v>33100</v>
      </c>
      <c r="N551" s="99">
        <f>SUMIF(Import!$B:$B,'Other Fund Line-Item Details'!$A551,Import!I:I)</f>
        <v>0</v>
      </c>
      <c r="O551" s="99">
        <f>SUMIF(Import!$B:$B,'Other Fund Line-Item Details'!$A551,Import!J:J)</f>
        <v>33100</v>
      </c>
      <c r="P551" s="99">
        <f>O551-M551</f>
        <v>0</v>
      </c>
      <c r="Q551" s="99">
        <f>SUMIF(Import!$B:$B,'Other Fund Line-Item Details'!$A551,Import!K:K)</f>
        <v>33100</v>
      </c>
      <c r="R551" s="99">
        <f>SUMIF(Import!$B:$B,'Other Fund Line-Item Details'!$A551,Import!L:L)</f>
        <v>0</v>
      </c>
      <c r="S551" s="99">
        <f>SUMIF(Import!$B:$B,'Other Fund Line-Item Details'!$A551,Import!M:M)</f>
        <v>0</v>
      </c>
      <c r="T551" s="99">
        <f>SUMIF(Import!$B:$B,'Other Fund Line-Item Details'!$A551,Import!N:N)</f>
        <v>33100</v>
      </c>
      <c r="U551" s="99">
        <f>T551-M551</f>
        <v>0</v>
      </c>
      <c r="V551" s="255">
        <f>IF(M551=0,"N/A",T551/M551-1)</f>
        <v>0</v>
      </c>
      <c r="W551" s="102" t="s">
        <v>2073</v>
      </c>
      <c r="X551" s="121"/>
      <c r="Y551" s="121"/>
      <c r="Z551" s="121"/>
      <c r="AA551" s="121"/>
      <c r="AB551" s="121"/>
      <c r="AC551" s="121"/>
      <c r="AD551" s="121"/>
      <c r="AE551" s="121"/>
      <c r="AF551" s="121"/>
      <c r="AG551" s="121"/>
      <c r="AH551" s="121"/>
      <c r="AI551" s="121"/>
    </row>
    <row r="552" spans="1:40" s="115" customFormat="1" ht="15" customHeight="1">
      <c r="A552" s="555" t="s">
        <v>2074</v>
      </c>
      <c r="B552" s="217" t="str">
        <f t="shared" si="643"/>
        <v>120</v>
      </c>
      <c r="C552" s="217" t="str">
        <f t="shared" si="649"/>
        <v>10</v>
      </c>
      <c r="D552" s="101" t="str">
        <f t="shared" si="644"/>
        <v>105</v>
      </c>
      <c r="E552" s="217" t="str">
        <f t="shared" si="645"/>
        <v>120-10-105</v>
      </c>
      <c r="F552" s="294" t="str">
        <f t="shared" si="650"/>
        <v>53534</v>
      </c>
      <c r="G552" s="295" t="str">
        <f>VLOOKUP(F552,'GL Category'!A:C,3,FALSE)</f>
        <v>Services &amp; other</v>
      </c>
      <c r="H552" s="98" t="str">
        <f>VLOOKUP(F552,'GL Category'!A:C,2,FALSE)</f>
        <v>MARKETING &amp; PROMOTIONAL</v>
      </c>
      <c r="I552" s="99">
        <f>SUMIF(Import!$B:$B,'Other Fund Line-Item Details'!$A552,Import!D:D)</f>
        <v>0</v>
      </c>
      <c r="J552" s="99">
        <f>SUMIF(Import!$B:$B,'Other Fund Line-Item Details'!$A552,Import!E:E)</f>
        <v>0</v>
      </c>
      <c r="K552" s="99">
        <f>SUMIF(Import!$B:$B,'Other Fund Line-Item Details'!$A552,Import!F:F)</f>
        <v>0</v>
      </c>
      <c r="L552" s="99">
        <f>SUMIF(Import!$B:$B,'Other Fund Line-Item Details'!$A552,Import!G:G)</f>
        <v>0</v>
      </c>
      <c r="M552" s="99">
        <f>SUMIF(Import!$B:$B,'Other Fund Line-Item Details'!$A552,Import!H:H)</f>
        <v>0</v>
      </c>
      <c r="N552" s="99">
        <f>SUMIF(Import!$B:$B,'Other Fund Line-Item Details'!$A552,Import!I:I)</f>
        <v>0</v>
      </c>
      <c r="O552" s="99">
        <f>SUMIF(Import!$B:$B,'Other Fund Line-Item Details'!$A552,Import!J:J)</f>
        <v>0</v>
      </c>
      <c r="P552" s="99">
        <f>O552-M552</f>
        <v>0</v>
      </c>
      <c r="Q552" s="99">
        <f>SUMIF(Import!$B:$B,'Other Fund Line-Item Details'!$A552,Import!K:K)</f>
        <v>0</v>
      </c>
      <c r="R552" s="99">
        <f>SUMIF(Import!$B:$B,'Other Fund Line-Item Details'!$A552,Import!L:L)</f>
        <v>0</v>
      </c>
      <c r="S552" s="99">
        <f>SUMIF(Import!$B:$B,'Other Fund Line-Item Details'!$A552,Import!M:M)</f>
        <v>0</v>
      </c>
      <c r="T552" s="99">
        <f>SUMIF(Import!$B:$B,'Other Fund Line-Item Details'!$A552,Import!N:N)</f>
        <v>0</v>
      </c>
      <c r="U552" s="99">
        <f>T552-M552</f>
        <v>0</v>
      </c>
      <c r="V552" s="255" t="str">
        <f>IF(M552=0,"N/A",T552/M552-1)</f>
        <v>N/A</v>
      </c>
      <c r="W552" s="102" t="s">
        <v>2074</v>
      </c>
      <c r="X552" s="121"/>
      <c r="Y552" s="121"/>
      <c r="Z552" s="121"/>
      <c r="AA552" s="121"/>
      <c r="AB552" s="121"/>
      <c r="AC552" s="121"/>
      <c r="AD552" s="121"/>
      <c r="AE552" s="121"/>
      <c r="AF552" s="121"/>
      <c r="AG552" s="121"/>
      <c r="AH552" s="121"/>
      <c r="AI552" s="121"/>
    </row>
    <row r="553" spans="1:40" s="115" customFormat="1" ht="15" customHeight="1">
      <c r="A553" s="555"/>
      <c r="B553" s="217"/>
      <c r="C553" s="217"/>
      <c r="D553" s="101"/>
      <c r="E553" s="217"/>
      <c r="F553" s="294"/>
      <c r="G553" s="146"/>
      <c r="H553" s="107" t="str">
        <f>UPPER(G464)&amp;" TOTAL"</f>
        <v>PERSONNEL SERVICES TOTAL</v>
      </c>
      <c r="I553" s="108">
        <f t="shared" ref="I553" si="663">SUBTOTAL(9,I551:I552)</f>
        <v>0</v>
      </c>
      <c r="J553" s="108">
        <f t="shared" ref="J553:T553" si="664">SUBTOTAL(9,J551:J552)</f>
        <v>0</v>
      </c>
      <c r="K553" s="108">
        <f t="shared" ref="K553" si="665">SUBTOTAL(9,K551:K552)</f>
        <v>0</v>
      </c>
      <c r="L553" s="108">
        <f t="shared" ref="L553" si="666">SUBTOTAL(9,L551:L552)</f>
        <v>0</v>
      </c>
      <c r="M553" s="108">
        <f t="shared" si="664"/>
        <v>33100</v>
      </c>
      <c r="N553" s="108">
        <f t="shared" ref="N553" si="667">SUBTOTAL(9,N551:N552)</f>
        <v>0</v>
      </c>
      <c r="O553" s="108">
        <f t="shared" si="664"/>
        <v>33100</v>
      </c>
      <c r="P553" s="108">
        <f t="shared" si="664"/>
        <v>0</v>
      </c>
      <c r="Q553" s="108">
        <f t="shared" si="664"/>
        <v>33100</v>
      </c>
      <c r="R553" s="108">
        <f t="shared" si="664"/>
        <v>0</v>
      </c>
      <c r="S553" s="108">
        <f t="shared" si="664"/>
        <v>0</v>
      </c>
      <c r="T553" s="108">
        <f t="shared" si="664"/>
        <v>33100</v>
      </c>
      <c r="U553" s="99">
        <f>T553-M553</f>
        <v>0</v>
      </c>
      <c r="V553" s="255">
        <f>IF(M553=0,"N/A",T553/M553-1)</f>
        <v>0</v>
      </c>
      <c r="W553" s="102"/>
      <c r="X553" s="121"/>
      <c r="Y553" s="121"/>
      <c r="Z553" s="121"/>
      <c r="AA553" s="121"/>
      <c r="AB553" s="121"/>
      <c r="AC553" s="121"/>
      <c r="AD553" s="121"/>
      <c r="AE553" s="121"/>
      <c r="AF553" s="121"/>
      <c r="AG553" s="121"/>
      <c r="AH553" s="121"/>
      <c r="AI553" s="121"/>
    </row>
    <row r="554" spans="1:40" s="115" customFormat="1" ht="15" customHeight="1">
      <c r="A554" s="555"/>
      <c r="B554" s="217"/>
      <c r="C554" s="217"/>
      <c r="D554" s="101"/>
      <c r="E554" s="217"/>
      <c r="F554" s="294"/>
      <c r="G554" s="146"/>
      <c r="H554" s="98"/>
      <c r="I554" s="111"/>
      <c r="J554" s="111"/>
      <c r="K554" s="111"/>
      <c r="L554" s="111"/>
      <c r="M554" s="111"/>
      <c r="N554" s="112"/>
      <c r="O554" s="112"/>
      <c r="P554" s="112"/>
      <c r="Q554" s="113"/>
      <c r="R554" s="113"/>
      <c r="S554" s="113"/>
      <c r="T554" s="113"/>
      <c r="U554" s="105"/>
      <c r="V554" s="262"/>
      <c r="W554" s="102"/>
      <c r="X554" s="121"/>
      <c r="Y554" s="121"/>
      <c r="Z554" s="121"/>
      <c r="AA554" s="121"/>
      <c r="AB554" s="121"/>
      <c r="AC554" s="121"/>
      <c r="AD554" s="121"/>
      <c r="AE554" s="121"/>
      <c r="AF554" s="121"/>
      <c r="AG554" s="121"/>
      <c r="AH554" s="121"/>
      <c r="AI554" s="121"/>
    </row>
    <row r="555" spans="1:40" s="115" customFormat="1" ht="15" customHeight="1">
      <c r="A555" s="555"/>
      <c r="B555" s="217"/>
      <c r="C555" s="217"/>
      <c r="D555" s="101"/>
      <c r="E555" s="217"/>
      <c r="F555" s="294"/>
      <c r="G555" s="146"/>
      <c r="H555" s="114" t="s">
        <v>51</v>
      </c>
      <c r="I555" s="108">
        <f t="shared" ref="I555" si="668">SUBTOTAL(9,I548:I554)</f>
        <v>0</v>
      </c>
      <c r="J555" s="108">
        <f t="shared" ref="J555:P555" si="669">SUBTOTAL(9,J548:J554)</f>
        <v>0</v>
      </c>
      <c r="K555" s="108">
        <f t="shared" ref="K555" si="670">SUBTOTAL(9,K548:K554)</f>
        <v>0</v>
      </c>
      <c r="L555" s="108">
        <f t="shared" ref="L555" si="671">SUBTOTAL(9,L548:L554)</f>
        <v>0</v>
      </c>
      <c r="M555" s="108">
        <f t="shared" si="669"/>
        <v>38100</v>
      </c>
      <c r="N555" s="108">
        <f t="shared" ref="N555" si="672">SUBTOTAL(9,N548:N554)</f>
        <v>0</v>
      </c>
      <c r="O555" s="108">
        <f t="shared" si="669"/>
        <v>38100</v>
      </c>
      <c r="P555" s="108">
        <f t="shared" si="669"/>
        <v>0</v>
      </c>
      <c r="Q555" s="108">
        <f t="shared" ref="Q555:T555" si="673">SUBTOTAL(9,Q548:Q554)</f>
        <v>38100</v>
      </c>
      <c r="R555" s="108">
        <f t="shared" si="673"/>
        <v>0</v>
      </c>
      <c r="S555" s="108">
        <f t="shared" si="673"/>
        <v>0</v>
      </c>
      <c r="T555" s="108">
        <f t="shared" si="673"/>
        <v>38100</v>
      </c>
      <c r="U555" s="99">
        <f>T555-M555</f>
        <v>0</v>
      </c>
      <c r="V555" s="255">
        <f>IF(M555=0,"N/A",T555/M555-1)</f>
        <v>0</v>
      </c>
      <c r="W555" s="102"/>
      <c r="X555" s="121"/>
      <c r="Y555" s="121"/>
      <c r="Z555" s="121"/>
      <c r="AA555" s="121"/>
      <c r="AB555" s="121"/>
      <c r="AC555" s="121"/>
      <c r="AD555" s="121"/>
      <c r="AE555" s="121"/>
      <c r="AF555" s="121"/>
      <c r="AG555" s="121"/>
      <c r="AH555" s="121"/>
      <c r="AI555" s="121"/>
    </row>
    <row r="556" spans="1:40" s="115" customFormat="1" ht="15" customHeight="1" thickBot="1">
      <c r="A556" s="555"/>
      <c r="B556" s="217"/>
      <c r="C556" s="217"/>
      <c r="D556" s="101"/>
      <c r="E556" s="217"/>
      <c r="F556" s="294"/>
      <c r="G556" s="146"/>
      <c r="H556" s="98"/>
      <c r="I556" s="218"/>
      <c r="J556" s="218"/>
      <c r="K556" s="218"/>
      <c r="L556" s="218"/>
      <c r="M556" s="218"/>
      <c r="N556" s="96"/>
      <c r="O556" s="96"/>
      <c r="P556" s="96"/>
      <c r="Q556" s="212"/>
      <c r="R556" s="212"/>
      <c r="S556" s="212"/>
      <c r="T556" s="212"/>
      <c r="U556" s="105"/>
      <c r="V556" s="262"/>
      <c r="W556" s="102"/>
      <c r="X556" s="121"/>
      <c r="Y556" s="121"/>
      <c r="Z556" s="121"/>
      <c r="AA556" s="121"/>
      <c r="AB556" s="121"/>
      <c r="AC556" s="121"/>
      <c r="AD556" s="121"/>
      <c r="AE556" s="121"/>
      <c r="AF556" s="121"/>
      <c r="AG556" s="121"/>
      <c r="AH556" s="121"/>
      <c r="AI556" s="121"/>
    </row>
    <row r="557" spans="1:40" s="115" customFormat="1" ht="18" customHeight="1" thickBot="1">
      <c r="A557" s="555"/>
      <c r="B557" s="217"/>
      <c r="C557" s="217"/>
      <c r="D557" s="101"/>
      <c r="E557" s="217"/>
      <c r="F557" s="294"/>
      <c r="G557" s="146"/>
      <c r="H557" s="665" t="s">
        <v>3244</v>
      </c>
      <c r="I557" s="666"/>
      <c r="J557" s="666"/>
      <c r="K557" s="666"/>
      <c r="L557" s="666"/>
      <c r="M557" s="666"/>
      <c r="N557" s="666"/>
      <c r="O557" s="666"/>
      <c r="P557" s="666"/>
      <c r="Q557" s="666"/>
      <c r="R557" s="666"/>
      <c r="S557" s="666"/>
      <c r="T557" s="667"/>
      <c r="U557" s="105"/>
      <c r="V557" s="262"/>
      <c r="W557" s="102"/>
      <c r="X557" s="121"/>
      <c r="Y557" s="121"/>
      <c r="Z557" s="121"/>
      <c r="AA557" s="121"/>
      <c r="AB557" s="121"/>
      <c r="AC557" s="121"/>
      <c r="AD557" s="121"/>
      <c r="AE557" s="121"/>
      <c r="AF557" s="121"/>
      <c r="AG557" s="121"/>
      <c r="AH557" s="121"/>
      <c r="AI557" s="121"/>
    </row>
    <row r="558" spans="1:40" s="115" customFormat="1" ht="15" customHeight="1">
      <c r="A558" s="555"/>
      <c r="B558" s="217"/>
      <c r="C558" s="217"/>
      <c r="D558" s="101"/>
      <c r="E558" s="217"/>
      <c r="F558" s="294"/>
      <c r="G558" s="146"/>
      <c r="H558" s="225"/>
      <c r="I558" s="225"/>
      <c r="J558" s="225"/>
      <c r="K558" s="225"/>
      <c r="L558" s="225"/>
      <c r="M558" s="225"/>
      <c r="N558" s="225"/>
      <c r="O558" s="225"/>
      <c r="P558" s="225"/>
      <c r="Q558" s="225"/>
      <c r="R558" s="225"/>
      <c r="S558" s="225"/>
      <c r="T558" s="225"/>
      <c r="U558" s="105"/>
      <c r="V558" s="262"/>
      <c r="W558" s="102"/>
      <c r="X558" s="121"/>
      <c r="Y558" s="121"/>
      <c r="Z558" s="121"/>
      <c r="AA558" s="121"/>
      <c r="AB558" s="121"/>
      <c r="AC558" s="121"/>
      <c r="AD558" s="121"/>
      <c r="AE558" s="121"/>
      <c r="AF558" s="121"/>
      <c r="AG558" s="121"/>
      <c r="AH558" s="121"/>
      <c r="AI558" s="121"/>
    </row>
    <row r="559" spans="1:40" s="115" customFormat="1" ht="15" customHeight="1">
      <c r="A559" s="555" t="s">
        <v>3253</v>
      </c>
      <c r="B559" s="217" t="str">
        <f t="shared" ref="B559:B571" si="674">LEFT(A559,3)</f>
        <v>129</v>
      </c>
      <c r="C559" s="217" t="str">
        <f t="shared" ref="C559:C571" si="675">MID(A559,5,2)</f>
        <v>00</v>
      </c>
      <c r="D559" s="101" t="str">
        <f t="shared" ref="D559:D571" si="676">MID(A559,8,3)</f>
        <v>000</v>
      </c>
      <c r="E559" s="217" t="str">
        <f t="shared" ref="E559:E571" si="677">LEFT(A559,10)</f>
        <v>129-00-000</v>
      </c>
      <c r="F559" s="294" t="str">
        <f t="shared" ref="F559:F571" si="678">RIGHT(A559,5)</f>
        <v>47010</v>
      </c>
      <c r="G559" s="295" t="str">
        <f>VLOOKUP(F559,'GL Category'!A:C,3,FALSE)</f>
        <v>OTHER REVENUE</v>
      </c>
      <c r="H559" s="98" t="str">
        <f>VLOOKUP(F559,'GL Category'!A:C,2,FALSE)</f>
        <v>MISCELLANEOUS REVENUE</v>
      </c>
      <c r="I559" s="99">
        <f>SUMIF(Import!$B:$B,'Other Fund Line-Item Details'!$A559,Import!D:D)</f>
        <v>0</v>
      </c>
      <c r="J559" s="99">
        <f>SUMIF(Import!$B:$B,'Other Fund Line-Item Details'!$A559,Import!E:E)</f>
        <v>0</v>
      </c>
      <c r="K559" s="99">
        <f>SUMIF(Import!$B:$B,'Other Fund Line-Item Details'!$A559,Import!F:F)</f>
        <v>0</v>
      </c>
      <c r="L559" s="99">
        <f>SUMIF(Import!$B:$B,'Other Fund Line-Item Details'!$A559,Import!G:G)</f>
        <v>0</v>
      </c>
      <c r="M559" s="99">
        <f>SUMIF(Import!$B:$B,'Other Fund Line-Item Details'!$A559,Import!H:H)</f>
        <v>0</v>
      </c>
      <c r="N559" s="99">
        <f>SUMIF(Import!$B:$B,'Other Fund Line-Item Details'!$A559,Import!I:I)</f>
        <v>0</v>
      </c>
      <c r="O559" s="99">
        <f>SUMIF(Import!$B:$B,'Other Fund Line-Item Details'!$A559,Import!J:J)</f>
        <v>0</v>
      </c>
      <c r="P559" s="99">
        <f t="shared" ref="P559:P571" si="679">O559-M559</f>
        <v>0</v>
      </c>
      <c r="Q559" s="99">
        <f>SUMIF(Import!$B:$B,'Other Fund Line-Item Details'!$A559,Import!K:K)</f>
        <v>0</v>
      </c>
      <c r="R559" s="99">
        <f>SUMIF(Import!$B:$B,'Other Fund Line-Item Details'!$A559,Import!L:L)</f>
        <v>0</v>
      </c>
      <c r="S559" s="99">
        <f>SUMIF(Import!$B:$B,'Other Fund Line-Item Details'!$A559,Import!M:M)</f>
        <v>0</v>
      </c>
      <c r="T559" s="99">
        <f>SUMIF(Import!$B:$B,'Other Fund Line-Item Details'!$A559,Import!N:N)</f>
        <v>0</v>
      </c>
      <c r="U559" s="99">
        <f t="shared" ref="U559:U572" si="680">T559-M559</f>
        <v>0</v>
      </c>
      <c r="V559" s="255" t="str">
        <f t="shared" ref="V559:V572" si="681">IF(M559=0,"N/A",T559/M559-1)</f>
        <v>N/A</v>
      </c>
      <c r="W559" s="102"/>
      <c r="X559" s="102"/>
      <c r="Y559" s="102">
        <f t="shared" ref="Y559:Y571" si="682">T559-X559</f>
        <v>0</v>
      </c>
      <c r="Z559" s="309">
        <f>Y559*(1+VLOOKUP($F559,'GL Category'!$A:$H,4,FALSE))</f>
        <v>0</v>
      </c>
      <c r="AA559" s="615"/>
      <c r="AB559" s="622">
        <f t="shared" ref="AB559:AB571" si="683">Z559+AA559</f>
        <v>0</v>
      </c>
      <c r="AC559" s="633">
        <f>AB559*(1+VLOOKUP($F559,'GL Category'!$A:$H,5,FALSE))</f>
        <v>0</v>
      </c>
      <c r="AD559" s="307"/>
      <c r="AE559" s="622">
        <f t="shared" ref="AE559:AE571" si="684">AC559+AD559</f>
        <v>0</v>
      </c>
      <c r="AF559" s="633">
        <f>AE559*(1+VLOOKUP($F559,'GL Category'!$A:$H,6,FALSE))</f>
        <v>0</v>
      </c>
      <c r="AG559" s="307"/>
      <c r="AH559" s="622">
        <f t="shared" ref="AH559:AH571" si="685">AF559+AG559</f>
        <v>0</v>
      </c>
      <c r="AI559" s="633">
        <f>AH559*(1+VLOOKUP($F559,'GL Category'!$A:$H,7,FALSE))</f>
        <v>0</v>
      </c>
      <c r="AJ559" s="307"/>
      <c r="AK559" s="622">
        <f t="shared" ref="AK559:AK571" si="686">AI559+AJ559</f>
        <v>0</v>
      </c>
      <c r="AL559" s="633">
        <f>AK559*(1+VLOOKUP($F559,'GL Category'!$A:$H,8,FALSE))</f>
        <v>0</v>
      </c>
      <c r="AM559" s="307"/>
      <c r="AN559" s="622">
        <f t="shared" ref="AN559:AN571" si="687">AL559+AM559</f>
        <v>0</v>
      </c>
    </row>
    <row r="560" spans="1:40" s="115" customFormat="1" ht="15" customHeight="1">
      <c r="A560" s="555" t="s">
        <v>3256</v>
      </c>
      <c r="B560" s="217" t="str">
        <f t="shared" si="674"/>
        <v>129</v>
      </c>
      <c r="C560" s="217" t="str">
        <f t="shared" si="675"/>
        <v>00</v>
      </c>
      <c r="D560" s="101" t="str">
        <f t="shared" si="676"/>
        <v>000</v>
      </c>
      <c r="E560" s="217" t="str">
        <f t="shared" si="677"/>
        <v>129-00-000</v>
      </c>
      <c r="F560" s="294" t="str">
        <f t="shared" si="678"/>
        <v>49100</v>
      </c>
      <c r="G560" s="295" t="str">
        <f>VLOOKUP(F560,'GL Category'!A:C,3,FALSE)</f>
        <v>TRANSFERS IN</v>
      </c>
      <c r="H560" s="98" t="str">
        <f>VLOOKUP(F560,'GL Category'!A:C,2,FALSE)</f>
        <v>TRANSFER FROM GENERAL FUND</v>
      </c>
      <c r="I560" s="99">
        <f>SUMIF(Import!$B:$B,'Other Fund Line-Item Details'!$A560,Import!D:D)</f>
        <v>-1242147</v>
      </c>
      <c r="J560" s="99">
        <f>SUMIF(Import!$B:$B,'Other Fund Line-Item Details'!$A560,Import!E:E)</f>
        <v>-1000000</v>
      </c>
      <c r="K560" s="99">
        <f>SUMIF(Import!$B:$B,'Other Fund Line-Item Details'!$A560,Import!F:F)</f>
        <v>0</v>
      </c>
      <c r="L560" s="99">
        <f>SUMIF(Import!$B:$B,'Other Fund Line-Item Details'!$A560,Import!G:G)</f>
        <v>0</v>
      </c>
      <c r="M560" s="99">
        <f>SUMIF(Import!$B:$B,'Other Fund Line-Item Details'!$A560,Import!H:H)</f>
        <v>0</v>
      </c>
      <c r="N560" s="99">
        <f>SUMIF(Import!$B:$B,'Other Fund Line-Item Details'!$A560,Import!I:I)</f>
        <v>0</v>
      </c>
      <c r="O560" s="99">
        <f>SUMIF(Import!$B:$B,'Other Fund Line-Item Details'!$A560,Import!J:J)</f>
        <v>0</v>
      </c>
      <c r="P560" s="99">
        <f t="shared" si="679"/>
        <v>0</v>
      </c>
      <c r="Q560" s="99">
        <f>SUMIF(Import!$B:$B,'Other Fund Line-Item Details'!$A560,Import!K:K)</f>
        <v>0</v>
      </c>
      <c r="R560" s="99">
        <f>SUMIF(Import!$B:$B,'Other Fund Line-Item Details'!$A560,Import!L:L)</f>
        <v>0</v>
      </c>
      <c r="S560" s="99">
        <f>SUMIF(Import!$B:$B,'Other Fund Line-Item Details'!$A560,Import!M:M)</f>
        <v>0</v>
      </c>
      <c r="T560" s="99">
        <f>SUMIF(Import!$B:$B,'Other Fund Line-Item Details'!$A560,Import!N:N)</f>
        <v>0</v>
      </c>
      <c r="U560" s="99">
        <f t="shared" si="680"/>
        <v>0</v>
      </c>
      <c r="V560" s="255" t="str">
        <f t="shared" si="681"/>
        <v>N/A</v>
      </c>
      <c r="W560" s="102"/>
      <c r="X560" s="102"/>
      <c r="Y560" s="102">
        <f t="shared" si="682"/>
        <v>0</v>
      </c>
      <c r="Z560" s="309">
        <f>Y560*(1+VLOOKUP($F560,'GL Category'!$A:$H,4,FALSE))</f>
        <v>0</v>
      </c>
      <c r="AA560" s="615"/>
      <c r="AB560" s="622">
        <f t="shared" si="683"/>
        <v>0</v>
      </c>
      <c r="AC560" s="633">
        <f>AB560*(1+VLOOKUP($F560,'GL Category'!$A:$H,5,FALSE))</f>
        <v>0</v>
      </c>
      <c r="AD560" s="307"/>
      <c r="AE560" s="622">
        <f t="shared" si="684"/>
        <v>0</v>
      </c>
      <c r="AF560" s="633">
        <f>AE560*(1+VLOOKUP($F560,'GL Category'!$A:$H,6,FALSE))</f>
        <v>0</v>
      </c>
      <c r="AG560" s="307"/>
      <c r="AH560" s="622">
        <f t="shared" si="685"/>
        <v>0</v>
      </c>
      <c r="AI560" s="633">
        <f>AH560*(1+VLOOKUP($F560,'GL Category'!$A:$H,7,FALSE))</f>
        <v>0</v>
      </c>
      <c r="AJ560" s="307"/>
      <c r="AK560" s="622">
        <f t="shared" si="686"/>
        <v>0</v>
      </c>
      <c r="AL560" s="633">
        <f>AK560*(1+VLOOKUP($F560,'GL Category'!$A:$H,8,FALSE))</f>
        <v>0</v>
      </c>
      <c r="AM560" s="307"/>
      <c r="AN560" s="622">
        <f t="shared" si="687"/>
        <v>0</v>
      </c>
    </row>
    <row r="561" spans="1:40" s="115" customFormat="1" ht="15" customHeight="1">
      <c r="A561" s="555" t="s">
        <v>3257</v>
      </c>
      <c r="B561" s="217" t="str">
        <f t="shared" si="674"/>
        <v>129</v>
      </c>
      <c r="C561" s="217" t="str">
        <f t="shared" si="675"/>
        <v>00</v>
      </c>
      <c r="D561" s="101" t="str">
        <f t="shared" si="676"/>
        <v>000</v>
      </c>
      <c r="E561" s="217" t="str">
        <f t="shared" si="677"/>
        <v>129-00-000</v>
      </c>
      <c r="F561" s="294" t="str">
        <f t="shared" si="678"/>
        <v>49200</v>
      </c>
      <c r="G561" s="295" t="str">
        <f>VLOOKUP(F561,'GL Category'!A:C,3,FALSE)</f>
        <v>TRANSFERS IN</v>
      </c>
      <c r="H561" s="98" t="str">
        <f>VLOOKUP(F561,'GL Category'!A:C,2,FALSE)</f>
        <v>TRANSFER FROM W&amp;S FUND</v>
      </c>
      <c r="I561" s="99">
        <f>SUMIF(Import!$B:$B,'Other Fund Line-Item Details'!$A561,Import!D:D)</f>
        <v>-200000</v>
      </c>
      <c r="J561" s="99">
        <f>SUMIF(Import!$B:$B,'Other Fund Line-Item Details'!$A561,Import!E:E)</f>
        <v>0</v>
      </c>
      <c r="K561" s="99">
        <f>SUMIF(Import!$B:$B,'Other Fund Line-Item Details'!$A561,Import!F:F)</f>
        <v>0</v>
      </c>
      <c r="L561" s="99">
        <f>SUMIF(Import!$B:$B,'Other Fund Line-Item Details'!$A561,Import!G:G)</f>
        <v>0</v>
      </c>
      <c r="M561" s="99">
        <f>SUMIF(Import!$B:$B,'Other Fund Line-Item Details'!$A561,Import!H:H)</f>
        <v>0</v>
      </c>
      <c r="N561" s="99">
        <f>SUMIF(Import!$B:$B,'Other Fund Line-Item Details'!$A561,Import!I:I)</f>
        <v>0</v>
      </c>
      <c r="O561" s="99">
        <f>SUMIF(Import!$B:$B,'Other Fund Line-Item Details'!$A561,Import!J:J)</f>
        <v>0</v>
      </c>
      <c r="P561" s="99">
        <f t="shared" si="679"/>
        <v>0</v>
      </c>
      <c r="Q561" s="99">
        <f>SUMIF(Import!$B:$B,'Other Fund Line-Item Details'!$A561,Import!K:K)</f>
        <v>0</v>
      </c>
      <c r="R561" s="99">
        <f>SUMIF(Import!$B:$B,'Other Fund Line-Item Details'!$A561,Import!L:L)</f>
        <v>0</v>
      </c>
      <c r="S561" s="99">
        <f>SUMIF(Import!$B:$B,'Other Fund Line-Item Details'!$A561,Import!M:M)</f>
        <v>0</v>
      </c>
      <c r="T561" s="99">
        <f>SUMIF(Import!$B:$B,'Other Fund Line-Item Details'!$A561,Import!N:N)</f>
        <v>0</v>
      </c>
      <c r="U561" s="99">
        <f t="shared" si="680"/>
        <v>0</v>
      </c>
      <c r="V561" s="255" t="str">
        <f t="shared" si="681"/>
        <v>N/A</v>
      </c>
      <c r="W561" s="102"/>
      <c r="X561" s="102"/>
      <c r="Y561" s="102">
        <f t="shared" si="682"/>
        <v>0</v>
      </c>
      <c r="Z561" s="309">
        <f>Y561*(1+VLOOKUP($F561,'GL Category'!$A:$H,4,FALSE))</f>
        <v>0</v>
      </c>
      <c r="AA561" s="615"/>
      <c r="AB561" s="622">
        <f t="shared" si="683"/>
        <v>0</v>
      </c>
      <c r="AC561" s="633">
        <f>AB561*(1+VLOOKUP($F561,'GL Category'!$A:$H,5,FALSE))</f>
        <v>0</v>
      </c>
      <c r="AD561" s="307"/>
      <c r="AE561" s="622">
        <f t="shared" si="684"/>
        <v>0</v>
      </c>
      <c r="AF561" s="633">
        <f>AE561*(1+VLOOKUP($F561,'GL Category'!$A:$H,6,FALSE))</f>
        <v>0</v>
      </c>
      <c r="AG561" s="307"/>
      <c r="AH561" s="622">
        <f t="shared" si="685"/>
        <v>0</v>
      </c>
      <c r="AI561" s="633">
        <f>AH561*(1+VLOOKUP($F561,'GL Category'!$A:$H,7,FALSE))</f>
        <v>0</v>
      </c>
      <c r="AJ561" s="307"/>
      <c r="AK561" s="622">
        <f t="shared" si="686"/>
        <v>0</v>
      </c>
      <c r="AL561" s="633">
        <f>AK561*(1+VLOOKUP($F561,'GL Category'!$A:$H,8,FALSE))</f>
        <v>0</v>
      </c>
      <c r="AM561" s="307"/>
      <c r="AN561" s="622">
        <f t="shared" si="687"/>
        <v>0</v>
      </c>
    </row>
    <row r="562" spans="1:40" s="115" customFormat="1" ht="15" customHeight="1">
      <c r="A562" s="555" t="s">
        <v>3246</v>
      </c>
      <c r="B562" s="217" t="str">
        <f t="shared" si="674"/>
        <v>129</v>
      </c>
      <c r="C562" s="217" t="str">
        <f t="shared" si="675"/>
        <v>00</v>
      </c>
      <c r="D562" s="101" t="str">
        <f t="shared" si="676"/>
        <v>000</v>
      </c>
      <c r="E562" s="217" t="str">
        <f t="shared" si="677"/>
        <v>129-00-000</v>
      </c>
      <c r="F562" s="294" t="str">
        <f t="shared" si="678"/>
        <v>44945</v>
      </c>
      <c r="G562" s="295" t="str">
        <f>VLOOKUP(F562,'GL Category'!A:C,3,FALSE)</f>
        <v>SERVICES &amp; OTHER</v>
      </c>
      <c r="H562" s="98" t="str">
        <f>VLOOKUP(F562,'GL Category'!A:C,2,FALSE)</f>
        <v>SELF-INSURANCE REV-F100</v>
      </c>
      <c r="I562" s="99">
        <f>SUMIF(Import!$B:$B,'Other Fund Line-Item Details'!$A562,Import!D:D)</f>
        <v>0</v>
      </c>
      <c r="J562" s="99">
        <f>SUMIF(Import!$B:$B,'Other Fund Line-Item Details'!$A562,Import!E:E)</f>
        <v>0</v>
      </c>
      <c r="K562" s="99">
        <f>SUMIF(Import!$B:$B,'Other Fund Line-Item Details'!$A562,Import!F:F)</f>
        <v>0</v>
      </c>
      <c r="L562" s="99">
        <f>SUMIF(Import!$B:$B,'Other Fund Line-Item Details'!$A562,Import!G:G)</f>
        <v>0</v>
      </c>
      <c r="M562" s="99">
        <f>SUMIF(Import!$B:$B,'Other Fund Line-Item Details'!$A562,Import!H:H)</f>
        <v>0</v>
      </c>
      <c r="N562" s="99">
        <f>SUMIF(Import!$B:$B,'Other Fund Line-Item Details'!$A562,Import!I:I)</f>
        <v>0</v>
      </c>
      <c r="O562" s="99">
        <f>SUMIF(Import!$B:$B,'Other Fund Line-Item Details'!$A562,Import!J:J)</f>
        <v>0</v>
      </c>
      <c r="P562" s="99">
        <f t="shared" si="679"/>
        <v>0</v>
      </c>
      <c r="Q562" s="99">
        <f>SUMIF(Import!$B:$B,'Other Fund Line-Item Details'!$A562,Import!K:K)</f>
        <v>0</v>
      </c>
      <c r="R562" s="99">
        <f>SUMIF(Import!$B:$B,'Other Fund Line-Item Details'!$A562,Import!L:L)</f>
        <v>0</v>
      </c>
      <c r="S562" s="99">
        <f>SUMIF(Import!$B:$B,'Other Fund Line-Item Details'!$A562,Import!M:M)</f>
        <v>0</v>
      </c>
      <c r="T562" s="99">
        <f>SUMIF(Import!$B:$B,'Other Fund Line-Item Details'!$A562,Import!N:N)</f>
        <v>0</v>
      </c>
      <c r="U562" s="99">
        <f t="shared" si="680"/>
        <v>0</v>
      </c>
      <c r="V562" s="255" t="str">
        <f t="shared" si="681"/>
        <v>N/A</v>
      </c>
      <c r="W562" s="102"/>
      <c r="X562" s="102"/>
      <c r="Y562" s="102">
        <f t="shared" si="682"/>
        <v>0</v>
      </c>
      <c r="Z562" s="309">
        <f>Y562*(1+VLOOKUP($F562,'GL Category'!$A:$H,4,FALSE))</f>
        <v>0</v>
      </c>
      <c r="AA562" s="615"/>
      <c r="AB562" s="622">
        <f t="shared" si="683"/>
        <v>0</v>
      </c>
      <c r="AC562" s="633">
        <f>AB562*(1+VLOOKUP($F562,'GL Category'!$A:$H,5,FALSE))</f>
        <v>0</v>
      </c>
      <c r="AD562" s="307"/>
      <c r="AE562" s="622">
        <f t="shared" si="684"/>
        <v>0</v>
      </c>
      <c r="AF562" s="633">
        <f>AE562*(1+VLOOKUP($F562,'GL Category'!$A:$H,6,FALSE))</f>
        <v>0</v>
      </c>
      <c r="AG562" s="307"/>
      <c r="AH562" s="622">
        <f t="shared" si="685"/>
        <v>0</v>
      </c>
      <c r="AI562" s="633">
        <f>AH562*(1+VLOOKUP($F562,'GL Category'!$A:$H,7,FALSE))</f>
        <v>0</v>
      </c>
      <c r="AJ562" s="307"/>
      <c r="AK562" s="622">
        <f t="shared" si="686"/>
        <v>0</v>
      </c>
      <c r="AL562" s="633">
        <f>AK562*(1+VLOOKUP($F562,'GL Category'!$A:$H,8,FALSE))</f>
        <v>0</v>
      </c>
      <c r="AM562" s="307"/>
      <c r="AN562" s="622">
        <f t="shared" si="687"/>
        <v>0</v>
      </c>
    </row>
    <row r="563" spans="1:40" s="115" customFormat="1" ht="15" customHeight="1">
      <c r="A563" s="555" t="s">
        <v>3247</v>
      </c>
      <c r="B563" s="217" t="str">
        <f t="shared" si="674"/>
        <v>129</v>
      </c>
      <c r="C563" s="217" t="str">
        <f t="shared" si="675"/>
        <v>00</v>
      </c>
      <c r="D563" s="101" t="str">
        <f t="shared" si="676"/>
        <v>000</v>
      </c>
      <c r="E563" s="217" t="str">
        <f t="shared" si="677"/>
        <v>129-00-000</v>
      </c>
      <c r="F563" s="294" t="str">
        <f t="shared" si="678"/>
        <v>44946</v>
      </c>
      <c r="G563" s="295" t="str">
        <f>VLOOKUP(F563,'GL Category'!A:C,3,FALSE)</f>
        <v>SERVICES &amp; OTHER</v>
      </c>
      <c r="H563" s="98" t="str">
        <f>VLOOKUP(F563,'GL Category'!A:C,2,FALSE)</f>
        <v>SELF-INSURANCE REV-F115</v>
      </c>
      <c r="I563" s="99">
        <f>SUMIF(Import!$B:$B,'Other Fund Line-Item Details'!$A563,Import!D:D)</f>
        <v>0</v>
      </c>
      <c r="J563" s="99">
        <f>SUMIF(Import!$B:$B,'Other Fund Line-Item Details'!$A563,Import!E:E)</f>
        <v>0</v>
      </c>
      <c r="K563" s="99">
        <f>SUMIF(Import!$B:$B,'Other Fund Line-Item Details'!$A563,Import!F:F)</f>
        <v>0</v>
      </c>
      <c r="L563" s="99">
        <f>SUMIF(Import!$B:$B,'Other Fund Line-Item Details'!$A563,Import!G:G)</f>
        <v>0</v>
      </c>
      <c r="M563" s="99">
        <f>SUMIF(Import!$B:$B,'Other Fund Line-Item Details'!$A563,Import!H:H)</f>
        <v>0</v>
      </c>
      <c r="N563" s="99">
        <f>SUMIF(Import!$B:$B,'Other Fund Line-Item Details'!$A563,Import!I:I)</f>
        <v>0</v>
      </c>
      <c r="O563" s="99">
        <f>SUMIF(Import!$B:$B,'Other Fund Line-Item Details'!$A563,Import!J:J)</f>
        <v>0</v>
      </c>
      <c r="P563" s="99">
        <f t="shared" si="679"/>
        <v>0</v>
      </c>
      <c r="Q563" s="99">
        <f>SUMIF(Import!$B:$B,'Other Fund Line-Item Details'!$A563,Import!K:K)</f>
        <v>0</v>
      </c>
      <c r="R563" s="99">
        <f>SUMIF(Import!$B:$B,'Other Fund Line-Item Details'!$A563,Import!L:L)</f>
        <v>0</v>
      </c>
      <c r="S563" s="99">
        <f>SUMIF(Import!$B:$B,'Other Fund Line-Item Details'!$A563,Import!M:M)</f>
        <v>0</v>
      </c>
      <c r="T563" s="99">
        <f>SUMIF(Import!$B:$B,'Other Fund Line-Item Details'!$A563,Import!N:N)</f>
        <v>0</v>
      </c>
      <c r="U563" s="99">
        <f t="shared" si="680"/>
        <v>0</v>
      </c>
      <c r="V563" s="255" t="str">
        <f t="shared" si="681"/>
        <v>N/A</v>
      </c>
      <c r="W563" s="102"/>
      <c r="X563" s="102"/>
      <c r="Y563" s="102">
        <f t="shared" si="682"/>
        <v>0</v>
      </c>
      <c r="Z563" s="309">
        <f>Y563*(1+VLOOKUP($F563,'GL Category'!$A:$H,4,FALSE))</f>
        <v>0</v>
      </c>
      <c r="AA563" s="615"/>
      <c r="AB563" s="622">
        <f t="shared" si="683"/>
        <v>0</v>
      </c>
      <c r="AC563" s="633">
        <f>AB563*(1+VLOOKUP($F563,'GL Category'!$A:$H,5,FALSE))</f>
        <v>0</v>
      </c>
      <c r="AD563" s="307"/>
      <c r="AE563" s="622">
        <f t="shared" si="684"/>
        <v>0</v>
      </c>
      <c r="AF563" s="633">
        <f>AE563*(1+VLOOKUP($F563,'GL Category'!$A:$H,6,FALSE))</f>
        <v>0</v>
      </c>
      <c r="AG563" s="307"/>
      <c r="AH563" s="622">
        <f t="shared" si="685"/>
        <v>0</v>
      </c>
      <c r="AI563" s="633">
        <f>AH563*(1+VLOOKUP($F563,'GL Category'!$A:$H,7,FALSE))</f>
        <v>0</v>
      </c>
      <c r="AJ563" s="307"/>
      <c r="AK563" s="622">
        <f t="shared" si="686"/>
        <v>0</v>
      </c>
      <c r="AL563" s="633">
        <f>AK563*(1+VLOOKUP($F563,'GL Category'!$A:$H,8,FALSE))</f>
        <v>0</v>
      </c>
      <c r="AM563" s="307"/>
      <c r="AN563" s="622">
        <f t="shared" si="687"/>
        <v>0</v>
      </c>
    </row>
    <row r="564" spans="1:40" s="115" customFormat="1" ht="15" customHeight="1">
      <c r="A564" s="555" t="s">
        <v>3248</v>
      </c>
      <c r="B564" s="217" t="str">
        <f t="shared" si="674"/>
        <v>129</v>
      </c>
      <c r="C564" s="217" t="str">
        <f t="shared" si="675"/>
        <v>00</v>
      </c>
      <c r="D564" s="101" t="str">
        <f t="shared" si="676"/>
        <v>000</v>
      </c>
      <c r="E564" s="217" t="str">
        <f t="shared" si="677"/>
        <v>129-00-000</v>
      </c>
      <c r="F564" s="294" t="str">
        <f t="shared" si="678"/>
        <v>44947</v>
      </c>
      <c r="G564" s="295" t="str">
        <f>VLOOKUP(F564,'GL Category'!A:C,3,FALSE)</f>
        <v>SERVICES &amp; OTHER</v>
      </c>
      <c r="H564" s="98" t="str">
        <f>VLOOKUP(F564,'GL Category'!A:C,2,FALSE)</f>
        <v>SELF-INSURANCE REV-F118</v>
      </c>
      <c r="I564" s="99">
        <f>SUMIF(Import!$B:$B,'Other Fund Line-Item Details'!$A564,Import!D:D)</f>
        <v>0</v>
      </c>
      <c r="J564" s="99">
        <f>SUMIF(Import!$B:$B,'Other Fund Line-Item Details'!$A564,Import!E:E)</f>
        <v>0</v>
      </c>
      <c r="K564" s="99">
        <f>SUMIF(Import!$B:$B,'Other Fund Line-Item Details'!$A564,Import!F:F)</f>
        <v>0</v>
      </c>
      <c r="L564" s="99">
        <f>SUMIF(Import!$B:$B,'Other Fund Line-Item Details'!$A564,Import!G:G)</f>
        <v>0</v>
      </c>
      <c r="M564" s="99">
        <f>SUMIF(Import!$B:$B,'Other Fund Line-Item Details'!$A564,Import!H:H)</f>
        <v>0</v>
      </c>
      <c r="N564" s="99">
        <f>SUMIF(Import!$B:$B,'Other Fund Line-Item Details'!$A564,Import!I:I)</f>
        <v>0</v>
      </c>
      <c r="O564" s="99">
        <f>SUMIF(Import!$B:$B,'Other Fund Line-Item Details'!$A564,Import!J:J)</f>
        <v>0</v>
      </c>
      <c r="P564" s="99">
        <f t="shared" si="679"/>
        <v>0</v>
      </c>
      <c r="Q564" s="99">
        <f>SUMIF(Import!$B:$B,'Other Fund Line-Item Details'!$A564,Import!K:K)</f>
        <v>0</v>
      </c>
      <c r="R564" s="99">
        <f>SUMIF(Import!$B:$B,'Other Fund Line-Item Details'!$A564,Import!L:L)</f>
        <v>0</v>
      </c>
      <c r="S564" s="99">
        <f>SUMIF(Import!$B:$B,'Other Fund Line-Item Details'!$A564,Import!M:M)</f>
        <v>0</v>
      </c>
      <c r="T564" s="99">
        <f>SUMIF(Import!$B:$B,'Other Fund Line-Item Details'!$A564,Import!N:N)</f>
        <v>0</v>
      </c>
      <c r="U564" s="99">
        <f t="shared" si="680"/>
        <v>0</v>
      </c>
      <c r="V564" s="255" t="str">
        <f t="shared" si="681"/>
        <v>N/A</v>
      </c>
      <c r="W564" s="102"/>
      <c r="X564" s="102"/>
      <c r="Y564" s="102">
        <f t="shared" si="682"/>
        <v>0</v>
      </c>
      <c r="Z564" s="309">
        <f>Y564*(1+VLOOKUP($F564,'GL Category'!$A:$H,4,FALSE))</f>
        <v>0</v>
      </c>
      <c r="AA564" s="615"/>
      <c r="AB564" s="622">
        <f t="shared" si="683"/>
        <v>0</v>
      </c>
      <c r="AC564" s="633">
        <f>AB564*(1+VLOOKUP($F564,'GL Category'!$A:$H,5,FALSE))</f>
        <v>0</v>
      </c>
      <c r="AD564" s="307"/>
      <c r="AE564" s="622">
        <f t="shared" si="684"/>
        <v>0</v>
      </c>
      <c r="AF564" s="633">
        <f>AE564*(1+VLOOKUP($F564,'GL Category'!$A:$H,6,FALSE))</f>
        <v>0</v>
      </c>
      <c r="AG564" s="307"/>
      <c r="AH564" s="622">
        <f t="shared" si="685"/>
        <v>0</v>
      </c>
      <c r="AI564" s="633">
        <f>AH564*(1+VLOOKUP($F564,'GL Category'!$A:$H,7,FALSE))</f>
        <v>0</v>
      </c>
      <c r="AJ564" s="307"/>
      <c r="AK564" s="622">
        <f t="shared" si="686"/>
        <v>0</v>
      </c>
      <c r="AL564" s="633">
        <f>AK564*(1+VLOOKUP($F564,'GL Category'!$A:$H,8,FALSE))</f>
        <v>0</v>
      </c>
      <c r="AM564" s="307"/>
      <c r="AN564" s="622">
        <f t="shared" si="687"/>
        <v>0</v>
      </c>
    </row>
    <row r="565" spans="1:40" s="115" customFormat="1" ht="15" customHeight="1">
      <c r="A565" s="555" t="s">
        <v>3249</v>
      </c>
      <c r="B565" s="217" t="str">
        <f t="shared" si="674"/>
        <v>129</v>
      </c>
      <c r="C565" s="217" t="str">
        <f t="shared" si="675"/>
        <v>00</v>
      </c>
      <c r="D565" s="101" t="str">
        <f t="shared" si="676"/>
        <v>000</v>
      </c>
      <c r="E565" s="217" t="str">
        <f t="shared" si="677"/>
        <v>129-00-000</v>
      </c>
      <c r="F565" s="294" t="str">
        <f t="shared" si="678"/>
        <v>44948</v>
      </c>
      <c r="G565" s="295" t="str">
        <f>VLOOKUP(F565,'GL Category'!A:C,3,FALSE)</f>
        <v>SERVICES &amp; OTHER</v>
      </c>
      <c r="H565" s="98" t="str">
        <f>VLOOKUP(F565,'GL Category'!A:C,2,FALSE)</f>
        <v>SELF-INSURANCE REV-F119</v>
      </c>
      <c r="I565" s="99">
        <f>SUMIF(Import!$B:$B,'Other Fund Line-Item Details'!$A565,Import!D:D)</f>
        <v>0</v>
      </c>
      <c r="J565" s="99">
        <f>SUMIF(Import!$B:$B,'Other Fund Line-Item Details'!$A565,Import!E:E)</f>
        <v>0</v>
      </c>
      <c r="K565" s="99">
        <f>SUMIF(Import!$B:$B,'Other Fund Line-Item Details'!$A565,Import!F:F)</f>
        <v>0</v>
      </c>
      <c r="L565" s="99">
        <f>SUMIF(Import!$B:$B,'Other Fund Line-Item Details'!$A565,Import!G:G)</f>
        <v>0</v>
      </c>
      <c r="M565" s="99">
        <f>SUMIF(Import!$B:$B,'Other Fund Line-Item Details'!$A565,Import!H:H)</f>
        <v>0</v>
      </c>
      <c r="N565" s="99">
        <f>SUMIF(Import!$B:$B,'Other Fund Line-Item Details'!$A565,Import!I:I)</f>
        <v>0</v>
      </c>
      <c r="O565" s="99">
        <f>SUMIF(Import!$B:$B,'Other Fund Line-Item Details'!$A565,Import!J:J)</f>
        <v>0</v>
      </c>
      <c r="P565" s="99">
        <f t="shared" si="679"/>
        <v>0</v>
      </c>
      <c r="Q565" s="99">
        <f>SUMIF(Import!$B:$B,'Other Fund Line-Item Details'!$A565,Import!K:K)</f>
        <v>0</v>
      </c>
      <c r="R565" s="99">
        <f>SUMIF(Import!$B:$B,'Other Fund Line-Item Details'!$A565,Import!L:L)</f>
        <v>0</v>
      </c>
      <c r="S565" s="99">
        <f>SUMIF(Import!$B:$B,'Other Fund Line-Item Details'!$A565,Import!M:M)</f>
        <v>0</v>
      </c>
      <c r="T565" s="99">
        <f>SUMIF(Import!$B:$B,'Other Fund Line-Item Details'!$A565,Import!N:N)</f>
        <v>0</v>
      </c>
      <c r="U565" s="99">
        <f t="shared" si="680"/>
        <v>0</v>
      </c>
      <c r="V565" s="255" t="str">
        <f t="shared" si="681"/>
        <v>N/A</v>
      </c>
      <c r="W565" s="102"/>
      <c r="X565" s="102"/>
      <c r="Y565" s="102">
        <f t="shared" si="682"/>
        <v>0</v>
      </c>
      <c r="Z565" s="309">
        <f>Y565*(1+VLOOKUP($F565,'GL Category'!$A:$H,4,FALSE))</f>
        <v>0</v>
      </c>
      <c r="AA565" s="615"/>
      <c r="AB565" s="622">
        <f t="shared" si="683"/>
        <v>0</v>
      </c>
      <c r="AC565" s="633">
        <f>AB565*(1+VLOOKUP($F565,'GL Category'!$A:$H,5,FALSE))</f>
        <v>0</v>
      </c>
      <c r="AD565" s="307"/>
      <c r="AE565" s="622">
        <f t="shared" si="684"/>
        <v>0</v>
      </c>
      <c r="AF565" s="633">
        <f>AE565*(1+VLOOKUP($F565,'GL Category'!$A:$H,6,FALSE))</f>
        <v>0</v>
      </c>
      <c r="AG565" s="307"/>
      <c r="AH565" s="622">
        <f t="shared" si="685"/>
        <v>0</v>
      </c>
      <c r="AI565" s="633">
        <f>AH565*(1+VLOOKUP($F565,'GL Category'!$A:$H,7,FALSE))</f>
        <v>0</v>
      </c>
      <c r="AJ565" s="307"/>
      <c r="AK565" s="622">
        <f t="shared" si="686"/>
        <v>0</v>
      </c>
      <c r="AL565" s="633">
        <f>AK565*(1+VLOOKUP($F565,'GL Category'!$A:$H,8,FALSE))</f>
        <v>0</v>
      </c>
      <c r="AM565" s="307"/>
      <c r="AN565" s="622">
        <f t="shared" si="687"/>
        <v>0</v>
      </c>
    </row>
    <row r="566" spans="1:40" s="115" customFormat="1" ht="15" customHeight="1">
      <c r="A566" s="555" t="s">
        <v>3250</v>
      </c>
      <c r="B566" s="217" t="str">
        <f t="shared" si="674"/>
        <v>129</v>
      </c>
      <c r="C566" s="217" t="str">
        <f t="shared" si="675"/>
        <v>00</v>
      </c>
      <c r="D566" s="101" t="str">
        <f t="shared" si="676"/>
        <v>000</v>
      </c>
      <c r="E566" s="217" t="str">
        <f t="shared" si="677"/>
        <v>129-00-000</v>
      </c>
      <c r="F566" s="294" t="str">
        <f t="shared" si="678"/>
        <v>44949</v>
      </c>
      <c r="G566" s="295" t="str">
        <f>VLOOKUP(F566,'GL Category'!A:C,3,FALSE)</f>
        <v>SERVICES &amp; OTHER</v>
      </c>
      <c r="H566" s="98" t="str">
        <f>VLOOKUP(F566,'GL Category'!A:C,2,FALSE)</f>
        <v>SELF-INSURANCE REV-F125</v>
      </c>
      <c r="I566" s="99">
        <f>SUMIF(Import!$B:$B,'Other Fund Line-Item Details'!$A566,Import!D:D)</f>
        <v>0</v>
      </c>
      <c r="J566" s="99">
        <f>SUMIF(Import!$B:$B,'Other Fund Line-Item Details'!$A566,Import!E:E)</f>
        <v>0</v>
      </c>
      <c r="K566" s="99">
        <f>SUMIF(Import!$B:$B,'Other Fund Line-Item Details'!$A566,Import!F:F)</f>
        <v>0</v>
      </c>
      <c r="L566" s="99">
        <f>SUMIF(Import!$B:$B,'Other Fund Line-Item Details'!$A566,Import!G:G)</f>
        <v>0</v>
      </c>
      <c r="M566" s="99">
        <f>SUMIF(Import!$B:$B,'Other Fund Line-Item Details'!$A566,Import!H:H)</f>
        <v>0</v>
      </c>
      <c r="N566" s="99">
        <f>SUMIF(Import!$B:$B,'Other Fund Line-Item Details'!$A566,Import!I:I)</f>
        <v>0</v>
      </c>
      <c r="O566" s="99">
        <f>SUMIF(Import!$B:$B,'Other Fund Line-Item Details'!$A566,Import!J:J)</f>
        <v>0</v>
      </c>
      <c r="P566" s="99">
        <f t="shared" si="679"/>
        <v>0</v>
      </c>
      <c r="Q566" s="99">
        <f>SUMIF(Import!$B:$B,'Other Fund Line-Item Details'!$A566,Import!K:K)</f>
        <v>0</v>
      </c>
      <c r="R566" s="99">
        <f>SUMIF(Import!$B:$B,'Other Fund Line-Item Details'!$A566,Import!L:L)</f>
        <v>0</v>
      </c>
      <c r="S566" s="99">
        <f>SUMIF(Import!$B:$B,'Other Fund Line-Item Details'!$A566,Import!M:M)</f>
        <v>0</v>
      </c>
      <c r="T566" s="99">
        <f>SUMIF(Import!$B:$B,'Other Fund Line-Item Details'!$A566,Import!N:N)</f>
        <v>0</v>
      </c>
      <c r="U566" s="99">
        <f t="shared" si="680"/>
        <v>0</v>
      </c>
      <c r="V566" s="255" t="str">
        <f t="shared" si="681"/>
        <v>N/A</v>
      </c>
      <c r="W566" s="102"/>
      <c r="X566" s="102"/>
      <c r="Y566" s="102">
        <f t="shared" si="682"/>
        <v>0</v>
      </c>
      <c r="Z566" s="309">
        <f>Y566*(1+VLOOKUP($F566,'GL Category'!$A:$H,4,FALSE))</f>
        <v>0</v>
      </c>
      <c r="AA566" s="615"/>
      <c r="AB566" s="622">
        <f t="shared" si="683"/>
        <v>0</v>
      </c>
      <c r="AC566" s="633">
        <f>AB566*(1+VLOOKUP($F566,'GL Category'!$A:$H,5,FALSE))</f>
        <v>0</v>
      </c>
      <c r="AD566" s="307"/>
      <c r="AE566" s="622">
        <f t="shared" si="684"/>
        <v>0</v>
      </c>
      <c r="AF566" s="633">
        <f>AE566*(1+VLOOKUP($F566,'GL Category'!$A:$H,6,FALSE))</f>
        <v>0</v>
      </c>
      <c r="AG566" s="307"/>
      <c r="AH566" s="622">
        <f t="shared" si="685"/>
        <v>0</v>
      </c>
      <c r="AI566" s="633">
        <f>AH566*(1+VLOOKUP($F566,'GL Category'!$A:$H,7,FALSE))</f>
        <v>0</v>
      </c>
      <c r="AJ566" s="307"/>
      <c r="AK566" s="622">
        <f t="shared" si="686"/>
        <v>0</v>
      </c>
      <c r="AL566" s="633">
        <f>AK566*(1+VLOOKUP($F566,'GL Category'!$A:$H,8,FALSE))</f>
        <v>0</v>
      </c>
      <c r="AM566" s="307"/>
      <c r="AN566" s="622">
        <f t="shared" si="687"/>
        <v>0</v>
      </c>
    </row>
    <row r="567" spans="1:40" s="115" customFormat="1" ht="15" customHeight="1">
      <c r="A567" s="555" t="s">
        <v>3251</v>
      </c>
      <c r="B567" s="217" t="str">
        <f t="shared" si="674"/>
        <v>129</v>
      </c>
      <c r="C567" s="217" t="str">
        <f t="shared" si="675"/>
        <v>00</v>
      </c>
      <c r="D567" s="101" t="str">
        <f t="shared" si="676"/>
        <v>000</v>
      </c>
      <c r="E567" s="217" t="str">
        <f t="shared" si="677"/>
        <v>129-00-000</v>
      </c>
      <c r="F567" s="294" t="str">
        <f t="shared" si="678"/>
        <v>44950</v>
      </c>
      <c r="G567" s="295" t="str">
        <f>VLOOKUP(F567,'GL Category'!A:C,3,FALSE)</f>
        <v>SERVICES &amp; OTHER</v>
      </c>
      <c r="H567" s="98" t="str">
        <f>VLOOKUP(F567,'GL Category'!A:C,2,FALSE)</f>
        <v>SELF-INSURANCE REV-F200</v>
      </c>
      <c r="I567" s="99">
        <f>SUMIF(Import!$B:$B,'Other Fund Line-Item Details'!$A567,Import!D:D)</f>
        <v>0</v>
      </c>
      <c r="J567" s="99">
        <f>SUMIF(Import!$B:$B,'Other Fund Line-Item Details'!$A567,Import!E:E)</f>
        <v>0</v>
      </c>
      <c r="K567" s="99">
        <f>SUMIF(Import!$B:$B,'Other Fund Line-Item Details'!$A567,Import!F:F)</f>
        <v>0</v>
      </c>
      <c r="L567" s="99">
        <f>SUMIF(Import!$B:$B,'Other Fund Line-Item Details'!$A567,Import!G:G)</f>
        <v>0</v>
      </c>
      <c r="M567" s="99">
        <f>SUMIF(Import!$B:$B,'Other Fund Line-Item Details'!$A567,Import!H:H)</f>
        <v>0</v>
      </c>
      <c r="N567" s="99">
        <f>SUMIF(Import!$B:$B,'Other Fund Line-Item Details'!$A567,Import!I:I)</f>
        <v>0</v>
      </c>
      <c r="O567" s="99">
        <f>SUMIF(Import!$B:$B,'Other Fund Line-Item Details'!$A567,Import!J:J)</f>
        <v>0</v>
      </c>
      <c r="P567" s="99">
        <f t="shared" si="679"/>
        <v>0</v>
      </c>
      <c r="Q567" s="99">
        <f>SUMIF(Import!$B:$B,'Other Fund Line-Item Details'!$A567,Import!K:K)</f>
        <v>0</v>
      </c>
      <c r="R567" s="99">
        <f>SUMIF(Import!$B:$B,'Other Fund Line-Item Details'!$A567,Import!L:L)</f>
        <v>0</v>
      </c>
      <c r="S567" s="99">
        <f>SUMIF(Import!$B:$B,'Other Fund Line-Item Details'!$A567,Import!M:M)</f>
        <v>0</v>
      </c>
      <c r="T567" s="99">
        <f>SUMIF(Import!$B:$B,'Other Fund Line-Item Details'!$A567,Import!N:N)</f>
        <v>0</v>
      </c>
      <c r="U567" s="99">
        <f t="shared" si="680"/>
        <v>0</v>
      </c>
      <c r="V567" s="255" t="str">
        <f t="shared" si="681"/>
        <v>N/A</v>
      </c>
      <c r="W567" s="102"/>
      <c r="X567" s="102"/>
      <c r="Y567" s="102">
        <f t="shared" si="682"/>
        <v>0</v>
      </c>
      <c r="Z567" s="309">
        <f>Y567*(1+VLOOKUP($F567,'GL Category'!$A:$H,4,FALSE))</f>
        <v>0</v>
      </c>
      <c r="AA567" s="615"/>
      <c r="AB567" s="622">
        <f t="shared" si="683"/>
        <v>0</v>
      </c>
      <c r="AC567" s="633">
        <f>AB567*(1+VLOOKUP($F567,'GL Category'!$A:$H,5,FALSE))</f>
        <v>0</v>
      </c>
      <c r="AD567" s="307"/>
      <c r="AE567" s="622">
        <f t="shared" si="684"/>
        <v>0</v>
      </c>
      <c r="AF567" s="633">
        <f>AE567*(1+VLOOKUP($F567,'GL Category'!$A:$H,6,FALSE))</f>
        <v>0</v>
      </c>
      <c r="AG567" s="307"/>
      <c r="AH567" s="622">
        <f t="shared" si="685"/>
        <v>0</v>
      </c>
      <c r="AI567" s="633">
        <f>AH567*(1+VLOOKUP($F567,'GL Category'!$A:$H,7,FALSE))</f>
        <v>0</v>
      </c>
      <c r="AJ567" s="307"/>
      <c r="AK567" s="622">
        <f t="shared" si="686"/>
        <v>0</v>
      </c>
      <c r="AL567" s="633">
        <f>AK567*(1+VLOOKUP($F567,'GL Category'!$A:$H,8,FALSE))</f>
        <v>0</v>
      </c>
      <c r="AM567" s="307"/>
      <c r="AN567" s="622">
        <f t="shared" si="687"/>
        <v>0</v>
      </c>
    </row>
    <row r="568" spans="1:40" s="115" customFormat="1" ht="15" customHeight="1">
      <c r="A568" s="555" t="s">
        <v>3252</v>
      </c>
      <c r="B568" s="217" t="str">
        <f t="shared" si="674"/>
        <v>129</v>
      </c>
      <c r="C568" s="217" t="str">
        <f t="shared" si="675"/>
        <v>00</v>
      </c>
      <c r="D568" s="101" t="str">
        <f t="shared" si="676"/>
        <v>000</v>
      </c>
      <c r="E568" s="217" t="str">
        <f t="shared" si="677"/>
        <v>129-00-000</v>
      </c>
      <c r="F568" s="294" t="str">
        <f t="shared" si="678"/>
        <v>44951</v>
      </c>
      <c r="G568" s="295" t="str">
        <f>VLOOKUP(F568,'GL Category'!A:C,3,FALSE)</f>
        <v>SERVICES &amp; OTHER</v>
      </c>
      <c r="H568" s="98" t="str">
        <f>VLOOKUP(F568,'GL Category'!A:C,2,FALSE)</f>
        <v>SELF-INSURANCE REV-F119</v>
      </c>
      <c r="I568" s="99">
        <f>SUMIF(Import!$B:$B,'Other Fund Line-Item Details'!$A568,Import!D:D)</f>
        <v>0</v>
      </c>
      <c r="J568" s="99">
        <f>SUMIF(Import!$B:$B,'Other Fund Line-Item Details'!$A568,Import!E:E)</f>
        <v>0</v>
      </c>
      <c r="K568" s="99">
        <f>SUMIF(Import!$B:$B,'Other Fund Line-Item Details'!$A568,Import!F:F)</f>
        <v>0</v>
      </c>
      <c r="L568" s="99">
        <f>SUMIF(Import!$B:$B,'Other Fund Line-Item Details'!$A568,Import!G:G)</f>
        <v>0</v>
      </c>
      <c r="M568" s="99">
        <f>SUMIF(Import!$B:$B,'Other Fund Line-Item Details'!$A568,Import!H:H)</f>
        <v>0</v>
      </c>
      <c r="N568" s="99">
        <f>SUMIF(Import!$B:$B,'Other Fund Line-Item Details'!$A568,Import!I:I)</f>
        <v>0</v>
      </c>
      <c r="O568" s="99">
        <f>SUMIF(Import!$B:$B,'Other Fund Line-Item Details'!$A568,Import!J:J)</f>
        <v>0</v>
      </c>
      <c r="P568" s="99">
        <f t="shared" si="679"/>
        <v>0</v>
      </c>
      <c r="Q568" s="99">
        <f>SUMIF(Import!$B:$B,'Other Fund Line-Item Details'!$A568,Import!K:K)</f>
        <v>0</v>
      </c>
      <c r="R568" s="99">
        <f>SUMIF(Import!$B:$B,'Other Fund Line-Item Details'!$A568,Import!L:L)</f>
        <v>0</v>
      </c>
      <c r="S568" s="99">
        <f>SUMIF(Import!$B:$B,'Other Fund Line-Item Details'!$A568,Import!M:M)</f>
        <v>0</v>
      </c>
      <c r="T568" s="99">
        <f>SUMIF(Import!$B:$B,'Other Fund Line-Item Details'!$A568,Import!N:N)</f>
        <v>0</v>
      </c>
      <c r="U568" s="99">
        <f t="shared" si="680"/>
        <v>0</v>
      </c>
      <c r="V568" s="255" t="str">
        <f t="shared" si="681"/>
        <v>N/A</v>
      </c>
      <c r="W568" s="102"/>
      <c r="X568" s="102"/>
      <c r="Y568" s="102">
        <f t="shared" si="682"/>
        <v>0</v>
      </c>
      <c r="Z568" s="309">
        <f>Y568*(1+VLOOKUP($F568,'GL Category'!$A:$H,4,FALSE))</f>
        <v>0</v>
      </c>
      <c r="AA568" s="615"/>
      <c r="AB568" s="622">
        <f t="shared" si="683"/>
        <v>0</v>
      </c>
      <c r="AC568" s="633">
        <f>AB568*(1+VLOOKUP($F568,'GL Category'!$A:$H,5,FALSE))</f>
        <v>0</v>
      </c>
      <c r="AD568" s="307"/>
      <c r="AE568" s="622">
        <f t="shared" si="684"/>
        <v>0</v>
      </c>
      <c r="AF568" s="633">
        <f>AE568*(1+VLOOKUP($F568,'GL Category'!$A:$H,6,FALSE))</f>
        <v>0</v>
      </c>
      <c r="AG568" s="307"/>
      <c r="AH568" s="622">
        <f t="shared" si="685"/>
        <v>0</v>
      </c>
      <c r="AI568" s="633">
        <f>AH568*(1+VLOOKUP($F568,'GL Category'!$A:$H,7,FALSE))</f>
        <v>0</v>
      </c>
      <c r="AJ568" s="307"/>
      <c r="AK568" s="622">
        <f t="shared" si="686"/>
        <v>0</v>
      </c>
      <c r="AL568" s="633">
        <f>AK568*(1+VLOOKUP($F568,'GL Category'!$A:$H,8,FALSE))</f>
        <v>0</v>
      </c>
      <c r="AM568" s="307"/>
      <c r="AN568" s="622">
        <f t="shared" si="687"/>
        <v>0</v>
      </c>
    </row>
    <row r="569" spans="1:40" s="115" customFormat="1" ht="15" customHeight="1">
      <c r="A569" s="555" t="s">
        <v>3339</v>
      </c>
      <c r="B569" s="217" t="str">
        <f t="shared" ref="B569" si="688">LEFT(A569,3)</f>
        <v>129</v>
      </c>
      <c r="C569" s="217" t="str">
        <f t="shared" ref="C569" si="689">MID(A569,5,2)</f>
        <v>00</v>
      </c>
      <c r="D569" s="101" t="str">
        <f t="shared" ref="D569" si="690">MID(A569,8,3)</f>
        <v>000</v>
      </c>
      <c r="E569" s="217" t="str">
        <f t="shared" ref="E569" si="691">LEFT(A569,10)</f>
        <v>129-00-000</v>
      </c>
      <c r="F569" s="294" t="str">
        <f t="shared" ref="F569" si="692">RIGHT(A569,5)</f>
        <v>43080</v>
      </c>
      <c r="G569" s="295" t="str">
        <f>VLOOKUP(F569,'GL Category'!A:C,3,FALSE)</f>
        <v>CHARGES FOR SERVICE</v>
      </c>
      <c r="H569" s="98" t="str">
        <f>VLOOKUP(F569,'GL Category'!A:C,2,FALSE)</f>
        <v>INSURANCE PREMIUMS</v>
      </c>
      <c r="I569" s="99">
        <f>SUMIF(Import!$B:$B,'Other Fund Line-Item Details'!$A569,Import!D:D)</f>
        <v>0</v>
      </c>
      <c r="J569" s="99">
        <f>SUMIF(Import!$B:$B,'Other Fund Line-Item Details'!$A569,Import!E:E)</f>
        <v>0</v>
      </c>
      <c r="K569" s="99">
        <f>SUMIF(Import!$B:$B,'Other Fund Line-Item Details'!$A569,Import!F:F)</f>
        <v>-4304951.4400000004</v>
      </c>
      <c r="L569" s="99">
        <f>SUMIF(Import!$B:$B,'Other Fund Line-Item Details'!$A569,Import!G:G)</f>
        <v>-5006464.43</v>
      </c>
      <c r="M569" s="99">
        <f>SUMIF(Import!$B:$B,'Other Fund Line-Item Details'!$A569,Import!H:H)</f>
        <v>-4656086</v>
      </c>
      <c r="N569" s="99">
        <f>SUMIF(Import!$B:$B,'Other Fund Line-Item Details'!$A569,Import!I:I)</f>
        <v>-3224256.8</v>
      </c>
      <c r="O569" s="99">
        <f>SUMIF(Import!$B:$B,'Other Fund Line-Item Details'!$A569,Import!J:J)</f>
        <v>-4344333</v>
      </c>
      <c r="P569" s="99">
        <f t="shared" ref="P569" si="693">O569-M569</f>
        <v>311753</v>
      </c>
      <c r="Q569" s="99">
        <f>SUMIF(Import!$B:$B,'Other Fund Line-Item Details'!$A569,Import!K:K)</f>
        <v>-4691556</v>
      </c>
      <c r="R569" s="99">
        <f>SUMIF(Import!$B:$B,'Other Fund Line-Item Details'!$A569,Import!L:L)</f>
        <v>0</v>
      </c>
      <c r="S569" s="99">
        <f>SUMIF(Import!$B:$B,'Other Fund Line-Item Details'!$A569,Import!M:M)</f>
        <v>0</v>
      </c>
      <c r="T569" s="99">
        <f>SUMIF(Import!$B:$B,'Other Fund Line-Item Details'!$A569,Import!N:N)</f>
        <v>-4691556</v>
      </c>
      <c r="U569" s="99">
        <f t="shared" ref="U569" si="694">T569-M569</f>
        <v>-35470</v>
      </c>
      <c r="V569" s="255">
        <f t="shared" ref="V569" si="695">IF(M569=0,"N/A",T569/M569-1)</f>
        <v>7.6179864375356399E-3</v>
      </c>
      <c r="W569" s="102"/>
      <c r="X569" s="102"/>
      <c r="Y569" s="102">
        <f t="shared" si="682"/>
        <v>-4691556</v>
      </c>
      <c r="Z569" s="309">
        <f>Y569*(1+VLOOKUP($F569,'GL Category'!$A:$H,4,FALSE))</f>
        <v>-4855760.46</v>
      </c>
      <c r="AA569" s="615"/>
      <c r="AB569" s="622">
        <f t="shared" si="683"/>
        <v>-4855760.46</v>
      </c>
      <c r="AC569" s="633">
        <f>AB569*(1+VLOOKUP($F569,'GL Category'!$A:$H,5,FALSE))</f>
        <v>-5025712.0760999992</v>
      </c>
      <c r="AD569" s="307"/>
      <c r="AE569" s="622">
        <f t="shared" si="684"/>
        <v>-5025712.0760999992</v>
      </c>
      <c r="AF569" s="633">
        <f>AE569*(1+VLOOKUP($F569,'GL Category'!$A:$H,6,FALSE))</f>
        <v>-5201611.9987634989</v>
      </c>
      <c r="AG569" s="307"/>
      <c r="AH569" s="622">
        <f t="shared" si="685"/>
        <v>-5201611.9987634989</v>
      </c>
      <c r="AI569" s="633">
        <f>AH569*(1+VLOOKUP($F569,'GL Category'!$A:$H,7,FALSE))</f>
        <v>-5383668.4187202211</v>
      </c>
      <c r="AJ569" s="307"/>
      <c r="AK569" s="622">
        <f t="shared" si="686"/>
        <v>-5383668.4187202211</v>
      </c>
      <c r="AL569" s="633">
        <f>AK569*(1+VLOOKUP($F569,'GL Category'!$A:$H,8,FALSE))</f>
        <v>-5572096.8133754283</v>
      </c>
      <c r="AM569" s="307"/>
      <c r="AN569" s="622">
        <f t="shared" si="687"/>
        <v>-5572096.8133754283</v>
      </c>
    </row>
    <row r="570" spans="1:40" s="115" customFormat="1" ht="15" customHeight="1">
      <c r="A570" s="555" t="s">
        <v>3254</v>
      </c>
      <c r="B570" s="217" t="str">
        <f t="shared" si="674"/>
        <v>129</v>
      </c>
      <c r="C570" s="217" t="str">
        <f t="shared" si="675"/>
        <v>00</v>
      </c>
      <c r="D570" s="101" t="str">
        <f t="shared" si="676"/>
        <v>000</v>
      </c>
      <c r="E570" s="217" t="str">
        <f t="shared" si="677"/>
        <v>129-00-000</v>
      </c>
      <c r="F570" s="294" t="str">
        <f t="shared" si="678"/>
        <v>47060</v>
      </c>
      <c r="G570" s="295" t="str">
        <f>VLOOKUP(F570,'GL Category'!A:C,3,FALSE)</f>
        <v>OTHER REVENUE</v>
      </c>
      <c r="H570" s="98" t="str">
        <f>VLOOKUP(F570,'GL Category'!A:C,2,FALSE)</f>
        <v>WITHHOLDINGS FROM EMPLOYEES</v>
      </c>
      <c r="I570" s="99">
        <f>SUMIF(Import!$B:$B,'Other Fund Line-Item Details'!$A570,Import!D:D)</f>
        <v>0</v>
      </c>
      <c r="J570" s="99">
        <f>SUMIF(Import!$B:$B,'Other Fund Line-Item Details'!$A570,Import!E:E)</f>
        <v>0</v>
      </c>
      <c r="K570" s="99">
        <f>SUMIF(Import!$B:$B,'Other Fund Line-Item Details'!$A570,Import!F:F)</f>
        <v>0</v>
      </c>
      <c r="L570" s="99">
        <f>SUMIF(Import!$B:$B,'Other Fund Line-Item Details'!$A570,Import!G:G)</f>
        <v>0</v>
      </c>
      <c r="M570" s="99">
        <f>SUMIF(Import!$B:$B,'Other Fund Line-Item Details'!$A570,Import!H:H)</f>
        <v>0</v>
      </c>
      <c r="N570" s="99">
        <f>SUMIF(Import!$B:$B,'Other Fund Line-Item Details'!$A570,Import!I:I)</f>
        <v>0</v>
      </c>
      <c r="O570" s="99">
        <f>SUMIF(Import!$B:$B,'Other Fund Line-Item Details'!$A570,Import!J:J)</f>
        <v>0</v>
      </c>
      <c r="P570" s="99">
        <f t="shared" si="679"/>
        <v>0</v>
      </c>
      <c r="Q570" s="99">
        <f>SUMIF(Import!$B:$B,'Other Fund Line-Item Details'!$A570,Import!K:K)</f>
        <v>0</v>
      </c>
      <c r="R570" s="99">
        <f>SUMIF(Import!$B:$B,'Other Fund Line-Item Details'!$A570,Import!L:L)</f>
        <v>0</v>
      </c>
      <c r="S570" s="99">
        <f>SUMIF(Import!$B:$B,'Other Fund Line-Item Details'!$A570,Import!M:M)</f>
        <v>0</v>
      </c>
      <c r="T570" s="99">
        <f>SUMIF(Import!$B:$B,'Other Fund Line-Item Details'!$A570,Import!N:N)</f>
        <v>0</v>
      </c>
      <c r="U570" s="99">
        <f t="shared" si="680"/>
        <v>0</v>
      </c>
      <c r="V570" s="255" t="str">
        <f t="shared" si="681"/>
        <v>N/A</v>
      </c>
      <c r="W570" s="102"/>
      <c r="X570" s="102"/>
      <c r="Y570" s="102">
        <f t="shared" si="682"/>
        <v>0</v>
      </c>
      <c r="Z570" s="309">
        <f>Y570*(1+VLOOKUP($F570,'GL Category'!$A:$H,4,FALSE))</f>
        <v>0</v>
      </c>
      <c r="AA570" s="615"/>
      <c r="AB570" s="622">
        <f t="shared" si="683"/>
        <v>0</v>
      </c>
      <c r="AC570" s="633">
        <f>AB570*(1+VLOOKUP($F570,'GL Category'!$A:$H,5,FALSE))</f>
        <v>0</v>
      </c>
      <c r="AD570" s="307"/>
      <c r="AE570" s="622">
        <f t="shared" si="684"/>
        <v>0</v>
      </c>
      <c r="AF570" s="633">
        <f>AE570*(1+VLOOKUP($F570,'GL Category'!$A:$H,6,FALSE))</f>
        <v>0</v>
      </c>
      <c r="AG570" s="307"/>
      <c r="AH570" s="622">
        <f t="shared" si="685"/>
        <v>0</v>
      </c>
      <c r="AI570" s="633">
        <f>AH570*(1+VLOOKUP($F570,'GL Category'!$A:$H,7,FALSE))</f>
        <v>0</v>
      </c>
      <c r="AJ570" s="307"/>
      <c r="AK570" s="622">
        <f t="shared" si="686"/>
        <v>0</v>
      </c>
      <c r="AL570" s="633">
        <f>AK570*(1+VLOOKUP($F570,'GL Category'!$A:$H,8,FALSE))</f>
        <v>0</v>
      </c>
      <c r="AM570" s="307"/>
      <c r="AN570" s="622">
        <f t="shared" si="687"/>
        <v>0</v>
      </c>
    </row>
    <row r="571" spans="1:40" s="115" customFormat="1" ht="15" customHeight="1">
      <c r="A571" s="555" t="s">
        <v>3255</v>
      </c>
      <c r="B571" s="217" t="str">
        <f t="shared" si="674"/>
        <v>129</v>
      </c>
      <c r="C571" s="217" t="str">
        <f t="shared" si="675"/>
        <v>00</v>
      </c>
      <c r="D571" s="101" t="str">
        <f t="shared" si="676"/>
        <v>000</v>
      </c>
      <c r="E571" s="217" t="str">
        <f t="shared" si="677"/>
        <v>129-00-000</v>
      </c>
      <c r="F571" s="294" t="str">
        <f t="shared" si="678"/>
        <v>47090</v>
      </c>
      <c r="G571" s="295" t="str">
        <f>VLOOKUP(F571,'GL Category'!A:C,3,FALSE)</f>
        <v>OTHER REVENUE</v>
      </c>
      <c r="H571" s="98" t="str">
        <f>VLOOKUP(F571,'GL Category'!A:C,2,FALSE)</f>
        <v>INTEREST REVENUE-INVESTMENTS</v>
      </c>
      <c r="I571" s="99">
        <f>SUMIF(Import!$B:$B,'Other Fund Line-Item Details'!$A571,Import!D:D)</f>
        <v>0</v>
      </c>
      <c r="J571" s="99">
        <f>SUMIF(Import!$B:$B,'Other Fund Line-Item Details'!$A571,Import!E:E)</f>
        <v>-5179.1400000000003</v>
      </c>
      <c r="K571" s="99">
        <f>SUMIF(Import!$B:$B,'Other Fund Line-Item Details'!$A571,Import!F:F)</f>
        <v>-51260.46</v>
      </c>
      <c r="L571" s="99">
        <f>SUMIF(Import!$B:$B,'Other Fund Line-Item Details'!$A571,Import!G:G)</f>
        <v>-262796.03000000003</v>
      </c>
      <c r="M571" s="99">
        <f>SUMIF(Import!$B:$B,'Other Fund Line-Item Details'!$A571,Import!H:H)</f>
        <v>-51500</v>
      </c>
      <c r="N571" s="99">
        <f>SUMIF(Import!$B:$B,'Other Fund Line-Item Details'!$A571,Import!I:I)</f>
        <v>-283773.52</v>
      </c>
      <c r="O571" s="99">
        <f>SUMIF(Import!$B:$B,'Other Fund Line-Item Details'!$A571,Import!J:J)</f>
        <v>-283774</v>
      </c>
      <c r="P571" s="99">
        <f t="shared" si="679"/>
        <v>-232274</v>
      </c>
      <c r="Q571" s="99">
        <f>SUMIF(Import!$B:$B,'Other Fund Line-Item Details'!$A571,Import!K:K)</f>
        <v>-251215</v>
      </c>
      <c r="R571" s="99">
        <f>SUMIF(Import!$B:$B,'Other Fund Line-Item Details'!$A571,Import!L:L)</f>
        <v>0</v>
      </c>
      <c r="S571" s="99">
        <f>SUMIF(Import!$B:$B,'Other Fund Line-Item Details'!$A571,Import!M:M)</f>
        <v>0</v>
      </c>
      <c r="T571" s="99">
        <f>SUMIF(Import!$B:$B,'Other Fund Line-Item Details'!$A571,Import!N:N)</f>
        <v>-251215</v>
      </c>
      <c r="U571" s="99">
        <f t="shared" si="680"/>
        <v>-199715</v>
      </c>
      <c r="V571" s="255">
        <f t="shared" si="681"/>
        <v>3.8779611650485437</v>
      </c>
      <c r="W571" s="102"/>
      <c r="X571" s="102"/>
      <c r="Y571" s="102">
        <f t="shared" si="682"/>
        <v>-251215</v>
      </c>
      <c r="Z571" s="309">
        <f>Y571*(1+VLOOKUP($F571,'GL Category'!$A:$H,4,FALSE))</f>
        <v>-188411.25</v>
      </c>
      <c r="AA571" s="615"/>
      <c r="AB571" s="622">
        <f t="shared" si="683"/>
        <v>-188411.25</v>
      </c>
      <c r="AC571" s="633">
        <f>AB571*(1+VLOOKUP($F571,'GL Category'!$A:$H,5,FALSE))</f>
        <v>-94205.625</v>
      </c>
      <c r="AD571" s="307"/>
      <c r="AE571" s="622">
        <f t="shared" si="684"/>
        <v>-94205.625</v>
      </c>
      <c r="AF571" s="633">
        <f>AE571*(1+VLOOKUP($F571,'GL Category'!$A:$H,6,FALSE))</f>
        <v>-94205.625</v>
      </c>
      <c r="AG571" s="307"/>
      <c r="AH571" s="622">
        <f t="shared" si="685"/>
        <v>-94205.625</v>
      </c>
      <c r="AI571" s="633">
        <f>AH571*(1+VLOOKUP($F571,'GL Category'!$A:$H,7,FALSE))</f>
        <v>-94205.625</v>
      </c>
      <c r="AJ571" s="307"/>
      <c r="AK571" s="622">
        <f t="shared" si="686"/>
        <v>-94205.625</v>
      </c>
      <c r="AL571" s="633">
        <f>AK571*(1+VLOOKUP($F571,'GL Category'!$A:$H,8,FALSE))</f>
        <v>-94205.625</v>
      </c>
      <c r="AM571" s="307"/>
      <c r="AN571" s="622">
        <f t="shared" si="687"/>
        <v>-94205.625</v>
      </c>
    </row>
    <row r="572" spans="1:40" s="115" customFormat="1" ht="15" customHeight="1">
      <c r="A572" s="555"/>
      <c r="B572" s="217"/>
      <c r="C572" s="217"/>
      <c r="D572" s="101"/>
      <c r="E572" s="217"/>
      <c r="F572" s="294"/>
      <c r="G572" s="146"/>
      <c r="H572" s="573" t="s">
        <v>3268</v>
      </c>
      <c r="I572" s="108">
        <f t="shared" ref="I572" si="696">SUBTOTAL(9,I559:I571)</f>
        <v>-1442147</v>
      </c>
      <c r="J572" s="108">
        <f t="shared" ref="J572:T572" si="697">SUBTOTAL(9,J559:J571)</f>
        <v>-1005179.14</v>
      </c>
      <c r="K572" s="108">
        <f t="shared" ref="K572" si="698">SUBTOTAL(9,K559:K571)</f>
        <v>-4356211.9000000004</v>
      </c>
      <c r="L572" s="108">
        <f t="shared" ref="L572" si="699">SUBTOTAL(9,L559:L571)</f>
        <v>-5269260.46</v>
      </c>
      <c r="M572" s="108">
        <f t="shared" si="697"/>
        <v>-4707586</v>
      </c>
      <c r="N572" s="109">
        <f t="shared" si="697"/>
        <v>-3508030.32</v>
      </c>
      <c r="O572" s="109">
        <f t="shared" si="697"/>
        <v>-4628107</v>
      </c>
      <c r="P572" s="109">
        <f t="shared" si="697"/>
        <v>79479</v>
      </c>
      <c r="Q572" s="109">
        <f t="shared" si="697"/>
        <v>-4942771</v>
      </c>
      <c r="R572" s="109">
        <f t="shared" si="697"/>
        <v>0</v>
      </c>
      <c r="S572" s="109">
        <f t="shared" si="697"/>
        <v>0</v>
      </c>
      <c r="T572" s="109">
        <f t="shared" si="697"/>
        <v>-4942771</v>
      </c>
      <c r="U572" s="99">
        <f t="shared" si="680"/>
        <v>-235185</v>
      </c>
      <c r="V572" s="255">
        <f t="shared" si="681"/>
        <v>4.995872619215036E-2</v>
      </c>
      <c r="W572" s="102"/>
      <c r="X572" s="121"/>
      <c r="Y572" s="109">
        <f t="shared" ref="Y572:AN572" si="700">SUBTOTAL(9,Y559:Y571)</f>
        <v>-4942771</v>
      </c>
      <c r="Z572" s="109">
        <f t="shared" si="700"/>
        <v>-5044171.71</v>
      </c>
      <c r="AA572" s="109">
        <f t="shared" si="700"/>
        <v>0</v>
      </c>
      <c r="AB572" s="109">
        <f t="shared" si="700"/>
        <v>-5044171.71</v>
      </c>
      <c r="AC572" s="109">
        <f t="shared" si="700"/>
        <v>-5119917.7010999992</v>
      </c>
      <c r="AD572" s="109">
        <f t="shared" si="700"/>
        <v>0</v>
      </c>
      <c r="AE572" s="109">
        <f t="shared" si="700"/>
        <v>-5119917.7010999992</v>
      </c>
      <c r="AF572" s="109">
        <f t="shared" si="700"/>
        <v>-5295817.6237634989</v>
      </c>
      <c r="AG572" s="109">
        <f t="shared" si="700"/>
        <v>0</v>
      </c>
      <c r="AH572" s="109">
        <f t="shared" si="700"/>
        <v>-5295817.6237634989</v>
      </c>
      <c r="AI572" s="109">
        <f t="shared" si="700"/>
        <v>-5477874.0437202211</v>
      </c>
      <c r="AJ572" s="109">
        <f t="shared" si="700"/>
        <v>0</v>
      </c>
      <c r="AK572" s="109">
        <f t="shared" si="700"/>
        <v>-5477874.0437202211</v>
      </c>
      <c r="AL572" s="109">
        <f t="shared" si="700"/>
        <v>-5666302.4383754283</v>
      </c>
      <c r="AM572" s="109">
        <f t="shared" si="700"/>
        <v>0</v>
      </c>
      <c r="AN572" s="109">
        <f t="shared" si="700"/>
        <v>-5666302.4383754283</v>
      </c>
    </row>
    <row r="573" spans="1:40" s="115" customFormat="1" ht="15" customHeight="1">
      <c r="A573" s="555"/>
      <c r="B573" s="217"/>
      <c r="C573" s="217"/>
      <c r="D573" s="101"/>
      <c r="E573" s="217"/>
      <c r="F573" s="294"/>
      <c r="G573" s="146"/>
      <c r="H573" s="98"/>
      <c r="I573" s="106"/>
      <c r="J573" s="106"/>
      <c r="K573" s="106"/>
      <c r="L573" s="106"/>
      <c r="M573" s="106"/>
      <c r="N573" s="112"/>
      <c r="O573" s="112"/>
      <c r="P573" s="112"/>
      <c r="Q573" s="113"/>
      <c r="R573" s="113"/>
      <c r="S573" s="113"/>
      <c r="T573" s="113"/>
      <c r="U573" s="105"/>
      <c r="V573" s="262"/>
      <c r="W573" s="102"/>
      <c r="X573" s="121"/>
      <c r="Y573" s="121"/>
      <c r="Z573" s="121"/>
      <c r="AA573" s="121"/>
      <c r="AB573" s="121"/>
      <c r="AC573" s="121"/>
      <c r="AD573" s="121"/>
      <c r="AE573" s="121"/>
      <c r="AF573" s="121"/>
      <c r="AG573" s="121"/>
      <c r="AH573" s="121"/>
      <c r="AI573" s="121"/>
    </row>
    <row r="574" spans="1:40" s="115" customFormat="1" ht="15" customHeight="1">
      <c r="A574" t="s">
        <v>3265</v>
      </c>
      <c r="B574" s="217" t="str">
        <f t="shared" ref="B574:B576" si="701">LEFT(A574,3)</f>
        <v>129</v>
      </c>
      <c r="C574" s="217" t="str">
        <f t="shared" ref="C574:C576" si="702">MID(A574,5,2)</f>
        <v>99</v>
      </c>
      <c r="D574" s="101" t="str">
        <f t="shared" ref="D574:D576" si="703">MID(A574,8,3)</f>
        <v>995</v>
      </c>
      <c r="E574" s="217" t="str">
        <f t="shared" ref="E574:E576" si="704">LEFT(A574,10)</f>
        <v>129-99-995</v>
      </c>
      <c r="F574" s="294" t="str">
        <f t="shared" ref="F574:F576" si="705">RIGHT(A574,5)</f>
        <v>53546</v>
      </c>
      <c r="G574" s="295" t="str">
        <f>VLOOKUP(F574,'GL Category'!A:C,3,FALSE)</f>
        <v>Services &amp; other</v>
      </c>
      <c r="H574" s="98" t="str">
        <f>VLOOKUP(F574,'GL Category'!A:C,2,FALSE)</f>
        <v>WELLNESS ACTIVITIES</v>
      </c>
      <c r="I574" s="99">
        <f>SUMIF(Import!$B:$B,'Other Fund Line-Item Details'!$A574,Import!D:D)</f>
        <v>0</v>
      </c>
      <c r="J574" s="99">
        <f>SUMIF(Import!$B:$B,'Other Fund Line-Item Details'!$A574,Import!E:E)</f>
        <v>0</v>
      </c>
      <c r="K574" s="99">
        <f>SUMIF(Import!$B:$B,'Other Fund Line-Item Details'!$A574,Import!F:F)</f>
        <v>0</v>
      </c>
      <c r="L574" s="99">
        <f>SUMIF(Import!$B:$B,'Other Fund Line-Item Details'!$A574,Import!G:G)</f>
        <v>0</v>
      </c>
      <c r="M574" s="99">
        <f>SUMIF(Import!$B:$B,'Other Fund Line-Item Details'!$A574,Import!H:H)</f>
        <v>3000</v>
      </c>
      <c r="N574" s="99">
        <f>SUMIF(Import!$B:$B,'Other Fund Line-Item Details'!$A574,Import!I:I)</f>
        <v>0</v>
      </c>
      <c r="O574" s="99">
        <f>SUMIF(Import!$B:$B,'Other Fund Line-Item Details'!$A574,Import!J:J)</f>
        <v>3000</v>
      </c>
      <c r="P574" s="99">
        <f>O574-M574</f>
        <v>0</v>
      </c>
      <c r="Q574" s="99">
        <f>SUMIF(Import!$B:$B,'Other Fund Line-Item Details'!$A574,Import!K:K)</f>
        <v>3000</v>
      </c>
      <c r="R574" s="99">
        <f>SUMIF(Import!$B:$B,'Other Fund Line-Item Details'!$A574,Import!L:L)</f>
        <v>0</v>
      </c>
      <c r="S574" s="99">
        <f>SUMIF(Import!$B:$B,'Other Fund Line-Item Details'!$A574,Import!M:M)</f>
        <v>0</v>
      </c>
      <c r="T574" s="99">
        <f>SUMIF(Import!$B:$B,'Other Fund Line-Item Details'!$A574,Import!N:N)</f>
        <v>3000</v>
      </c>
      <c r="U574" s="99">
        <f t="shared" ref="U574:U576" si="706">T574-M574</f>
        <v>0</v>
      </c>
      <c r="V574" s="255">
        <f t="shared" ref="V574:V576" si="707">IF(M574=0,"N/A",T574/M574-1)</f>
        <v>0</v>
      </c>
      <c r="W574" s="102"/>
      <c r="X574" s="102"/>
      <c r="Y574" s="102">
        <f t="shared" ref="Y574:Y576" si="708">T574-X574</f>
        <v>3000</v>
      </c>
      <c r="Z574" s="309">
        <f>Y574*(1+VLOOKUP($F574,'GL Category'!$A:$H,4,FALSE))</f>
        <v>3090</v>
      </c>
      <c r="AA574" s="615"/>
      <c r="AB574" s="622">
        <f t="shared" ref="AB574:AB576" si="709">Z574+AA574</f>
        <v>3090</v>
      </c>
      <c r="AC574" s="633">
        <f>AB574*(1+VLOOKUP($F574,'GL Category'!$A:$H,5,FALSE))</f>
        <v>3182.7000000000003</v>
      </c>
      <c r="AD574" s="307"/>
      <c r="AE574" s="622">
        <f t="shared" ref="AE574:AE576" si="710">AC574+AD574</f>
        <v>3182.7000000000003</v>
      </c>
      <c r="AF574" s="633">
        <f>AE574*(1+VLOOKUP($F574,'GL Category'!$A:$H,6,FALSE))</f>
        <v>3278.1810000000005</v>
      </c>
      <c r="AG574" s="307"/>
      <c r="AH574" s="622">
        <f t="shared" ref="AH574:AH576" si="711">AF574+AG574</f>
        <v>3278.1810000000005</v>
      </c>
      <c r="AI574" s="633">
        <f>AH574*(1+VLOOKUP($F574,'GL Category'!$A:$H,7,FALSE))</f>
        <v>3376.5264300000008</v>
      </c>
      <c r="AJ574" s="307"/>
      <c r="AK574" s="622">
        <f t="shared" ref="AK574:AK576" si="712">AI574+AJ574</f>
        <v>3376.5264300000008</v>
      </c>
      <c r="AL574" s="633">
        <f>AK574*(1+VLOOKUP($F574,'GL Category'!$A:$H,8,FALSE))</f>
        <v>3477.8222229000007</v>
      </c>
      <c r="AM574" s="307"/>
      <c r="AN574" s="622">
        <f t="shared" ref="AN574:AN576" si="713">AL574+AM574</f>
        <v>3477.8222229000007</v>
      </c>
    </row>
    <row r="575" spans="1:40" s="115" customFormat="1" ht="15" customHeight="1">
      <c r="A575" t="s">
        <v>3266</v>
      </c>
      <c r="B575" s="217" t="str">
        <f t="shared" si="701"/>
        <v>129</v>
      </c>
      <c r="C575" s="217" t="str">
        <f t="shared" si="702"/>
        <v>99</v>
      </c>
      <c r="D575" s="101" t="str">
        <f t="shared" si="703"/>
        <v>995</v>
      </c>
      <c r="E575" s="217" t="str">
        <f t="shared" si="704"/>
        <v>129-99-995</v>
      </c>
      <c r="F575" s="294" t="str">
        <f t="shared" si="705"/>
        <v>53565</v>
      </c>
      <c r="G575" s="295" t="str">
        <f>VLOOKUP(F575,'GL Category'!A:C,3,FALSE)</f>
        <v>Services &amp; other</v>
      </c>
      <c r="H575" s="98" t="str">
        <f>VLOOKUP(F575,'GL Category'!A:C,2,FALSE)</f>
        <v>SELF - INSURANCE CLAIMS</v>
      </c>
      <c r="I575" s="99">
        <f>SUMIF(Import!$B:$B,'Other Fund Line-Item Details'!$A575,Import!D:D)</f>
        <v>0</v>
      </c>
      <c r="J575" s="99">
        <f>SUMIF(Import!$B:$B,'Other Fund Line-Item Details'!$A575,Import!E:E)</f>
        <v>0</v>
      </c>
      <c r="K575" s="99">
        <f>SUMIF(Import!$B:$B,'Other Fund Line-Item Details'!$A575,Import!F:F)</f>
        <v>2679802.5</v>
      </c>
      <c r="L575" s="99">
        <f>SUMIF(Import!$B:$B,'Other Fund Line-Item Details'!$A575,Import!G:G)</f>
        <v>3501647.82</v>
      </c>
      <c r="M575" s="99">
        <f>SUMIF(Import!$B:$B,'Other Fund Line-Item Details'!$A575,Import!H:H)</f>
        <v>4484000</v>
      </c>
      <c r="N575" s="99">
        <f>SUMIF(Import!$B:$B,'Other Fund Line-Item Details'!$A575,Import!I:I)</f>
        <v>2291172.7000000002</v>
      </c>
      <c r="O575" s="99">
        <f>SUMIF(Import!$B:$B,'Other Fund Line-Item Details'!$A575,Import!J:J)</f>
        <v>3497237</v>
      </c>
      <c r="P575" s="99">
        <f>O575-M575</f>
        <v>-986763</v>
      </c>
      <c r="Q575" s="99">
        <f>SUMIF(Import!$B:$B,'Other Fund Line-Item Details'!$A575,Import!K:K)</f>
        <v>4584080</v>
      </c>
      <c r="R575" s="99">
        <f>SUMIF(Import!$B:$B,'Other Fund Line-Item Details'!$A575,Import!L:L)</f>
        <v>0</v>
      </c>
      <c r="S575" s="99">
        <f>SUMIF(Import!$B:$B,'Other Fund Line-Item Details'!$A575,Import!M:M)</f>
        <v>0</v>
      </c>
      <c r="T575" s="99">
        <f>SUMIF(Import!$B:$B,'Other Fund Line-Item Details'!$A575,Import!N:N)</f>
        <v>4584080</v>
      </c>
      <c r="U575" s="99">
        <f t="shared" si="706"/>
        <v>100080</v>
      </c>
      <c r="V575" s="255">
        <f t="shared" si="707"/>
        <v>2.2319357716324761E-2</v>
      </c>
      <c r="W575" s="102"/>
      <c r="X575" s="102"/>
      <c r="Y575" s="102">
        <f t="shared" si="708"/>
        <v>4584080</v>
      </c>
      <c r="Z575" s="309">
        <f>Y575*(1+VLOOKUP($F575,'GL Category'!$A:$H,4,FALSE))</f>
        <v>4721602.4000000004</v>
      </c>
      <c r="AA575" s="615"/>
      <c r="AB575" s="622">
        <f t="shared" si="709"/>
        <v>4721602.4000000004</v>
      </c>
      <c r="AC575" s="633">
        <f>AB575*(1+VLOOKUP($F575,'GL Category'!$A:$H,5,FALSE))</f>
        <v>4863250.4720000001</v>
      </c>
      <c r="AD575" s="307"/>
      <c r="AE575" s="622">
        <f t="shared" si="710"/>
        <v>4863250.4720000001</v>
      </c>
      <c r="AF575" s="633">
        <f>AE575*(1+VLOOKUP($F575,'GL Category'!$A:$H,6,FALSE))</f>
        <v>5009147.9861599999</v>
      </c>
      <c r="AG575" s="307"/>
      <c r="AH575" s="622">
        <f t="shared" si="711"/>
        <v>5009147.9861599999</v>
      </c>
      <c r="AI575" s="633">
        <f>AH575*(1+VLOOKUP($F575,'GL Category'!$A:$H,7,FALSE))</f>
        <v>5159422.4257447999</v>
      </c>
      <c r="AJ575" s="307"/>
      <c r="AK575" s="622">
        <f t="shared" si="712"/>
        <v>5159422.4257447999</v>
      </c>
      <c r="AL575" s="633">
        <f>AK575*(1+VLOOKUP($F575,'GL Category'!$A:$H,8,FALSE))</f>
        <v>5314205.0985171441</v>
      </c>
      <c r="AM575" s="307"/>
      <c r="AN575" s="622">
        <f t="shared" si="713"/>
        <v>5314205.0985171441</v>
      </c>
    </row>
    <row r="576" spans="1:40" s="115" customFormat="1" ht="15" customHeight="1">
      <c r="A576" t="s">
        <v>3267</v>
      </c>
      <c r="B576" s="217" t="str">
        <f t="shared" si="701"/>
        <v>129</v>
      </c>
      <c r="C576" s="217" t="str">
        <f t="shared" si="702"/>
        <v>99</v>
      </c>
      <c r="D576" s="101" t="str">
        <f t="shared" si="703"/>
        <v>995</v>
      </c>
      <c r="E576" s="217" t="str">
        <f t="shared" si="704"/>
        <v>129-99-995</v>
      </c>
      <c r="F576" s="294" t="str">
        <f t="shared" si="705"/>
        <v>53599</v>
      </c>
      <c r="G576" s="295" t="str">
        <f>VLOOKUP(F576,'GL Category'!A:C,3,FALSE)</f>
        <v>Services &amp; other</v>
      </c>
      <c r="H576" s="98" t="str">
        <f>VLOOKUP(F576,'GL Category'!A:C,2,FALSE)</f>
        <v>MISCELLANEOUS SERVICES</v>
      </c>
      <c r="I576" s="99">
        <f>SUMIF(Import!$B:$B,'Other Fund Line-Item Details'!$A576,Import!D:D)</f>
        <v>0</v>
      </c>
      <c r="J576" s="99">
        <f>SUMIF(Import!$B:$B,'Other Fund Line-Item Details'!$A576,Import!E:E)</f>
        <v>0</v>
      </c>
      <c r="K576" s="99">
        <f>SUMIF(Import!$B:$B,'Other Fund Line-Item Details'!$A576,Import!F:F)</f>
        <v>537823.12</v>
      </c>
      <c r="L576" s="99">
        <f>SUMIF(Import!$B:$B,'Other Fund Line-Item Details'!$A576,Import!G:G)</f>
        <v>569715.39</v>
      </c>
      <c r="M576" s="99">
        <f>SUMIF(Import!$B:$B,'Other Fund Line-Item Details'!$A576,Import!H:H)</f>
        <v>153578</v>
      </c>
      <c r="N576" s="99">
        <f>SUMIF(Import!$B:$B,'Other Fund Line-Item Details'!$A576,Import!I:I)</f>
        <v>618549.35</v>
      </c>
      <c r="O576" s="99">
        <f>SUMIF(Import!$B:$B,'Other Fund Line-Item Details'!$A576,Import!J:J)</f>
        <v>852665</v>
      </c>
      <c r="P576" s="99">
        <f>O576-M576</f>
        <v>699087</v>
      </c>
      <c r="Q576" s="99">
        <f>SUMIF(Import!$B:$B,'Other Fund Line-Item Details'!$A576,Import!K:K)</f>
        <v>153578</v>
      </c>
      <c r="R576" s="99">
        <f>SUMIF(Import!$B:$B,'Other Fund Line-Item Details'!$A576,Import!L:L)</f>
        <v>0</v>
      </c>
      <c r="S576" s="99">
        <f>SUMIF(Import!$B:$B,'Other Fund Line-Item Details'!$A576,Import!M:M)</f>
        <v>0</v>
      </c>
      <c r="T576" s="99">
        <f>SUMIF(Import!$B:$B,'Other Fund Line-Item Details'!$A576,Import!N:N)</f>
        <v>153578</v>
      </c>
      <c r="U576" s="99">
        <f t="shared" si="706"/>
        <v>0</v>
      </c>
      <c r="V576" s="255">
        <f t="shared" si="707"/>
        <v>0</v>
      </c>
      <c r="W576" s="102"/>
      <c r="X576" s="102"/>
      <c r="Y576" s="102">
        <f t="shared" si="708"/>
        <v>153578</v>
      </c>
      <c r="Z576" s="309">
        <f>Y576*(1+VLOOKUP($F576,'GL Category'!$A:$H,4,FALSE))</f>
        <v>158185.34</v>
      </c>
      <c r="AA576" s="615"/>
      <c r="AB576" s="622">
        <f t="shared" si="709"/>
        <v>158185.34</v>
      </c>
      <c r="AC576" s="633">
        <f>AB576*(1+VLOOKUP($F576,'GL Category'!$A:$H,5,FALSE))</f>
        <v>162930.9002</v>
      </c>
      <c r="AD576" s="307"/>
      <c r="AE576" s="622">
        <f t="shared" si="710"/>
        <v>162930.9002</v>
      </c>
      <c r="AF576" s="633">
        <f>AE576*(1+VLOOKUP($F576,'GL Category'!$A:$H,6,FALSE))</f>
        <v>167818.82720600002</v>
      </c>
      <c r="AG576" s="307"/>
      <c r="AH576" s="622">
        <f t="shared" si="711"/>
        <v>167818.82720600002</v>
      </c>
      <c r="AI576" s="633">
        <f>AH576*(1+VLOOKUP($F576,'GL Category'!$A:$H,7,FALSE))</f>
        <v>172853.39202218002</v>
      </c>
      <c r="AJ576" s="307"/>
      <c r="AK576" s="622">
        <f t="shared" si="712"/>
        <v>172853.39202218002</v>
      </c>
      <c r="AL576" s="633">
        <f>AK576*(1+VLOOKUP($F576,'GL Category'!$A:$H,8,FALSE))</f>
        <v>178038.99378284541</v>
      </c>
      <c r="AM576" s="307"/>
      <c r="AN576" s="622">
        <f t="shared" si="713"/>
        <v>178038.99378284541</v>
      </c>
    </row>
    <row r="577" spans="1:40" s="115" customFormat="1" ht="15" customHeight="1">
      <c r="A577" s="555"/>
      <c r="B577" s="217"/>
      <c r="C577" s="217"/>
      <c r="D577" s="101"/>
      <c r="E577" s="217"/>
      <c r="F577" s="294"/>
      <c r="G577" s="146"/>
      <c r="H577" s="114" t="s">
        <v>677</v>
      </c>
      <c r="I577" s="108">
        <f t="shared" ref="I577" si="714">SUBTOTAL(9,I573:I576)</f>
        <v>0</v>
      </c>
      <c r="J577" s="108">
        <f t="shared" ref="J577:T577" si="715">SUBTOTAL(9,J573:J576)</f>
        <v>0</v>
      </c>
      <c r="K577" s="108">
        <f t="shared" ref="K577" si="716">SUBTOTAL(9,K573:K576)</f>
        <v>3217625.62</v>
      </c>
      <c r="L577" s="108">
        <f t="shared" ref="L577" si="717">SUBTOTAL(9,L573:L576)</f>
        <v>4071363.21</v>
      </c>
      <c r="M577" s="108">
        <f t="shared" si="715"/>
        <v>4640578</v>
      </c>
      <c r="N577" s="108">
        <f t="shared" si="715"/>
        <v>2909722.0500000003</v>
      </c>
      <c r="O577" s="108">
        <f t="shared" si="715"/>
        <v>4352902</v>
      </c>
      <c r="P577" s="108">
        <f t="shared" si="715"/>
        <v>-287676</v>
      </c>
      <c r="Q577" s="108">
        <f t="shared" si="715"/>
        <v>4740658</v>
      </c>
      <c r="R577" s="108">
        <f t="shared" si="715"/>
        <v>0</v>
      </c>
      <c r="S577" s="108">
        <f t="shared" si="715"/>
        <v>0</v>
      </c>
      <c r="T577" s="108">
        <f t="shared" si="715"/>
        <v>4740658</v>
      </c>
      <c r="U577" s="99">
        <f>T577-M577</f>
        <v>100080</v>
      </c>
      <c r="V577" s="255">
        <f>IF(M577=0,"N/A",T577/M577-1)</f>
        <v>2.1566279028172763E-2</v>
      </c>
      <c r="W577" s="102"/>
      <c r="X577" s="121"/>
      <c r="Y577" s="108">
        <f t="shared" ref="Y577:AN577" si="718">SUBTOTAL(9,Y573:Y576)</f>
        <v>4740658</v>
      </c>
      <c r="Z577" s="108">
        <f t="shared" si="718"/>
        <v>4882877.74</v>
      </c>
      <c r="AA577" s="108">
        <f t="shared" si="718"/>
        <v>0</v>
      </c>
      <c r="AB577" s="108">
        <f t="shared" si="718"/>
        <v>4882877.74</v>
      </c>
      <c r="AC577" s="108">
        <f t="shared" si="718"/>
        <v>5029364.0722000003</v>
      </c>
      <c r="AD577" s="108">
        <f t="shared" si="718"/>
        <v>0</v>
      </c>
      <c r="AE577" s="108">
        <f t="shared" si="718"/>
        <v>5029364.0722000003</v>
      </c>
      <c r="AF577" s="108">
        <f t="shared" si="718"/>
        <v>5180244.9943659995</v>
      </c>
      <c r="AG577" s="108">
        <f t="shared" si="718"/>
        <v>0</v>
      </c>
      <c r="AH577" s="108">
        <f t="shared" si="718"/>
        <v>5180244.9943659995</v>
      </c>
      <c r="AI577" s="108">
        <f t="shared" si="718"/>
        <v>5335652.3441969799</v>
      </c>
      <c r="AJ577" s="108">
        <f t="shared" si="718"/>
        <v>0</v>
      </c>
      <c r="AK577" s="108">
        <f t="shared" si="718"/>
        <v>5335652.3441969799</v>
      </c>
      <c r="AL577" s="108">
        <f t="shared" si="718"/>
        <v>5495721.9145228891</v>
      </c>
      <c r="AM577" s="108">
        <f t="shared" si="718"/>
        <v>0</v>
      </c>
      <c r="AN577" s="108">
        <f t="shared" si="718"/>
        <v>5495721.9145228891</v>
      </c>
    </row>
    <row r="578" spans="1:40" s="115" customFormat="1" ht="15" customHeight="1">
      <c r="A578" s="555"/>
      <c r="B578" s="217"/>
      <c r="C578" s="217"/>
      <c r="D578" s="101"/>
      <c r="E578" s="217"/>
      <c r="F578" s="294"/>
      <c r="G578" s="146"/>
      <c r="H578" s="98"/>
      <c r="I578" s="218"/>
      <c r="J578" s="218"/>
      <c r="K578" s="218"/>
      <c r="L578" s="218"/>
      <c r="M578" s="218"/>
      <c r="N578" s="96"/>
      <c r="O578" s="96"/>
      <c r="P578" s="96"/>
      <c r="Q578" s="212"/>
      <c r="R578" s="212"/>
      <c r="S578" s="212"/>
      <c r="T578" s="212"/>
      <c r="U578" s="105"/>
      <c r="V578" s="262"/>
      <c r="W578" s="102"/>
      <c r="X578" s="121"/>
      <c r="Y578" s="121"/>
      <c r="Z578" s="121"/>
      <c r="AA578" s="121"/>
      <c r="AB578" s="121"/>
      <c r="AC578" s="121"/>
      <c r="AD578" s="121"/>
      <c r="AE578" s="121"/>
      <c r="AF578" s="121"/>
      <c r="AG578" s="121"/>
      <c r="AH578" s="121"/>
      <c r="AI578" s="121"/>
    </row>
    <row r="579" spans="1:40" s="115" customFormat="1" ht="15" customHeight="1">
      <c r="A579" s="555"/>
      <c r="B579" s="217"/>
      <c r="C579" s="217"/>
      <c r="D579" s="101"/>
      <c r="E579" s="217"/>
      <c r="F579" s="294"/>
      <c r="G579" s="146"/>
      <c r="H579" s="114" t="s">
        <v>678</v>
      </c>
      <c r="I579" s="108">
        <f t="shared" ref="I579" si="719">SUBTOTAL(9,I559:I578)</f>
        <v>-1442147</v>
      </c>
      <c r="J579" s="108">
        <f t="shared" ref="J579:T579" si="720">SUBTOTAL(9,J559:J578)</f>
        <v>-1005179.14</v>
      </c>
      <c r="K579" s="108">
        <f t="shared" ref="K579" si="721">SUBTOTAL(9,K559:K578)</f>
        <v>-1138586.2800000003</v>
      </c>
      <c r="L579" s="108">
        <f t="shared" ref="L579" si="722">SUBTOTAL(9,L559:L578)</f>
        <v>-1197897.25</v>
      </c>
      <c r="M579" s="108">
        <f t="shared" si="720"/>
        <v>-67008</v>
      </c>
      <c r="N579" s="108">
        <f t="shared" si="720"/>
        <v>-598308.26999999967</v>
      </c>
      <c r="O579" s="108">
        <f t="shared" si="720"/>
        <v>-275205</v>
      </c>
      <c r="P579" s="108">
        <f t="shared" si="720"/>
        <v>-208197</v>
      </c>
      <c r="Q579" s="108">
        <f t="shared" si="720"/>
        <v>-202113</v>
      </c>
      <c r="R579" s="108">
        <f t="shared" si="720"/>
        <v>0</v>
      </c>
      <c r="S579" s="108">
        <f t="shared" si="720"/>
        <v>0</v>
      </c>
      <c r="T579" s="108">
        <f t="shared" si="720"/>
        <v>-202113</v>
      </c>
      <c r="U579" s="99">
        <f>T579-M579</f>
        <v>-135105</v>
      </c>
      <c r="V579" s="255">
        <f>IF(M579=0,"N/A",T579/M579-1)</f>
        <v>2.0162517908309456</v>
      </c>
      <c r="W579" s="102"/>
      <c r="X579" s="121"/>
      <c r="Y579" s="121"/>
      <c r="Z579" s="121"/>
      <c r="AA579" s="121"/>
      <c r="AB579" s="121"/>
      <c r="AC579" s="121"/>
      <c r="AD579" s="121"/>
      <c r="AE579" s="121"/>
      <c r="AF579" s="121"/>
      <c r="AG579" s="121"/>
      <c r="AH579" s="121"/>
      <c r="AI579" s="121"/>
    </row>
    <row r="580" spans="1:40" s="115" customFormat="1" ht="15" customHeight="1" thickBot="1">
      <c r="A580" s="555"/>
      <c r="B580" s="217"/>
      <c r="C580" s="217"/>
      <c r="D580" s="101"/>
      <c r="E580" s="217"/>
      <c r="F580" s="294"/>
      <c r="G580" s="146"/>
      <c r="H580" s="98"/>
      <c r="I580" s="218"/>
      <c r="J580" s="218"/>
      <c r="K580" s="218"/>
      <c r="L580" s="218"/>
      <c r="M580" s="218"/>
      <c r="N580" s="96"/>
      <c r="O580" s="96"/>
      <c r="P580" s="96"/>
      <c r="Q580" s="212"/>
      <c r="R580" s="212"/>
      <c r="S580" s="212"/>
      <c r="T580" s="212"/>
      <c r="U580" s="105"/>
      <c r="V580" s="262"/>
      <c r="W580" s="102"/>
      <c r="X580" s="121"/>
      <c r="Y580" s="121"/>
      <c r="Z580" s="121"/>
      <c r="AA580" s="121"/>
      <c r="AB580" s="121"/>
      <c r="AC580" s="121"/>
      <c r="AD580" s="121"/>
      <c r="AE580" s="121"/>
      <c r="AF580" s="121"/>
      <c r="AG580" s="121"/>
      <c r="AH580" s="121"/>
      <c r="AI580" s="121"/>
    </row>
    <row r="581" spans="1:40" s="115" customFormat="1" ht="18" customHeight="1" thickBot="1">
      <c r="A581" s="555"/>
      <c r="B581" s="217"/>
      <c r="C581" s="217"/>
      <c r="D581" s="101"/>
      <c r="E581" s="217"/>
      <c r="F581" s="294"/>
      <c r="G581" s="146"/>
      <c r="H581" s="665" t="s">
        <v>732</v>
      </c>
      <c r="I581" s="666"/>
      <c r="J581" s="666"/>
      <c r="K581" s="666"/>
      <c r="L581" s="666"/>
      <c r="M581" s="666"/>
      <c r="N581" s="666"/>
      <c r="O581" s="666"/>
      <c r="P581" s="666"/>
      <c r="Q581" s="666"/>
      <c r="R581" s="666"/>
      <c r="S581" s="666"/>
      <c r="T581" s="667"/>
      <c r="U581" s="105"/>
      <c r="V581" s="262"/>
      <c r="W581" s="102"/>
      <c r="X581" s="121"/>
      <c r="Y581" s="121"/>
      <c r="Z581" s="121"/>
      <c r="AA581" s="121"/>
      <c r="AB581" s="121"/>
      <c r="AC581" s="121"/>
      <c r="AD581" s="121"/>
      <c r="AE581" s="121"/>
      <c r="AF581" s="121"/>
      <c r="AG581" s="121"/>
      <c r="AH581" s="121"/>
      <c r="AI581" s="121"/>
    </row>
    <row r="582" spans="1:40" s="115" customFormat="1" ht="15" customHeight="1">
      <c r="A582" s="555"/>
      <c r="B582" s="217"/>
      <c r="C582" s="217"/>
      <c r="D582" s="101"/>
      <c r="E582" s="217"/>
      <c r="F582" s="294"/>
      <c r="G582" s="146"/>
      <c r="H582" s="225"/>
      <c r="I582" s="225"/>
      <c r="J582" s="225"/>
      <c r="K582" s="225"/>
      <c r="L582" s="225"/>
      <c r="M582" s="225"/>
      <c r="N582" s="225"/>
      <c r="O582" s="225"/>
      <c r="P582" s="225"/>
      <c r="Q582" s="225"/>
      <c r="R582" s="225"/>
      <c r="S582" s="225"/>
      <c r="T582" s="225"/>
      <c r="U582" s="105"/>
      <c r="V582" s="262"/>
      <c r="W582" s="102"/>
      <c r="X582" s="121"/>
      <c r="Y582" s="121"/>
      <c r="Z582" s="121"/>
      <c r="AA582" s="121"/>
      <c r="AB582" s="121"/>
      <c r="AC582" s="121"/>
      <c r="AD582" s="121"/>
      <c r="AE582" s="121"/>
      <c r="AF582" s="121"/>
      <c r="AG582" s="121"/>
      <c r="AH582" s="121"/>
      <c r="AI582" s="121"/>
    </row>
    <row r="583" spans="1:40" s="115" customFormat="1" ht="15" customHeight="1">
      <c r="A583" s="555" t="s">
        <v>2075</v>
      </c>
      <c r="B583" s="217" t="str">
        <f t="shared" si="643"/>
        <v>150</v>
      </c>
      <c r="C583" s="217" t="str">
        <f t="shared" si="649"/>
        <v>00</v>
      </c>
      <c r="D583" s="101" t="str">
        <f t="shared" si="644"/>
        <v>000</v>
      </c>
      <c r="E583" s="217" t="str">
        <f t="shared" si="645"/>
        <v>150-00-000</v>
      </c>
      <c r="F583" s="294" t="str">
        <f t="shared" si="650"/>
        <v>40010</v>
      </c>
      <c r="G583" s="295" t="str">
        <f>VLOOKUP(F583,'GL Category'!A:C,3,FALSE)</f>
        <v>PROPERTY TAX</v>
      </c>
      <c r="H583" s="98" t="str">
        <f>VLOOKUP(F583,'GL Category'!A:C,2,FALSE)</f>
        <v>CURRENT TAXES</v>
      </c>
      <c r="I583" s="99">
        <f>SUMIF(Import!$B:$B,'Other Fund Line-Item Details'!$A583,Import!D:D)</f>
        <v>-4246678.75</v>
      </c>
      <c r="J583" s="99">
        <f>SUMIF(Import!$B:$B,'Other Fund Line-Item Details'!$A583,Import!E:E)</f>
        <v>-3703005.92</v>
      </c>
      <c r="K583" s="99">
        <f>SUMIF(Import!$B:$B,'Other Fund Line-Item Details'!$A583,Import!F:F)</f>
        <v>-3545530.92</v>
      </c>
      <c r="L583" s="99">
        <f>SUMIF(Import!$B:$B,'Other Fund Line-Item Details'!$A583,Import!G:G)</f>
        <v>-3616536.15</v>
      </c>
      <c r="M583" s="99">
        <f>SUMIF(Import!$B:$B,'Other Fund Line-Item Details'!$A583,Import!H:H)</f>
        <v>-3978747</v>
      </c>
      <c r="N583" s="99">
        <f>SUMIF(Import!$B:$B,'Other Fund Line-Item Details'!$A583,Import!I:I)</f>
        <v>-3915339.47</v>
      </c>
      <c r="O583" s="99">
        <f>SUMIF(Import!$B:$B,'Other Fund Line-Item Details'!$A583,Import!J:J)</f>
        <v>-3920747</v>
      </c>
      <c r="P583" s="99">
        <f t="shared" ref="P583:P597" si="723">O583-M583</f>
        <v>58000</v>
      </c>
      <c r="Q583" s="99">
        <f>-'PROPERTY TAX ANALYSIS'!N19</f>
        <v>-3605130</v>
      </c>
      <c r="R583" s="99">
        <f>IF(IFERROR(VLOOKUP($A583,Import!$B:$N,R$7,FALSE),"NA")="NA",0,VLOOKUP($A583,Import!$B:$N,R$7,FALSE))</f>
        <v>0</v>
      </c>
      <c r="S583" s="99">
        <f>SUMIF(Import!$B:$B,$A583,Import!M:M)</f>
        <v>0</v>
      </c>
      <c r="T583" s="99">
        <f>Q583+R583+S583</f>
        <v>-3605130</v>
      </c>
      <c r="U583" s="99">
        <f t="shared" ref="U583:U598" si="724">T583-M583</f>
        <v>373617</v>
      </c>
      <c r="V583" s="255">
        <f t="shared" ref="V583:V598" si="725">IF(M583=0,"N/A",T583/M583-1)</f>
        <v>-9.3903181076856579E-2</v>
      </c>
      <c r="W583" s="102" t="s">
        <v>2075</v>
      </c>
      <c r="X583" s="102"/>
      <c r="Y583" s="102">
        <f t="shared" ref="Y583:Y597" si="726">T583-X583</f>
        <v>-3605130</v>
      </c>
      <c r="Z583" s="309">
        <f>-'PROPERTY TAX ANALYSIS'!N20</f>
        <v>-3572379.500786989</v>
      </c>
      <c r="AA583" s="615"/>
      <c r="AB583" s="622">
        <f t="shared" ref="AB583:AB597" si="727">Z583+AA583</f>
        <v>-3572379.500786989</v>
      </c>
      <c r="AC583" s="633">
        <f>-'PROPERTY TAX ANALYSIS'!N21</f>
        <v>-3584711.3485324066</v>
      </c>
      <c r="AD583" s="307"/>
      <c r="AE583" s="622">
        <f t="shared" ref="AE583:AE597" si="728">AC583+AD583</f>
        <v>-3584711.3485324066</v>
      </c>
      <c r="AF583" s="633">
        <f>-'PROPERTY TAX ANALYSIS'!N22</f>
        <v>-3581425.120625128</v>
      </c>
      <c r="AG583" s="307"/>
      <c r="AH583" s="622">
        <f t="shared" ref="AH583:AH597" si="729">AF583+AG583</f>
        <v>-3581425.120625128</v>
      </c>
      <c r="AI583" s="633">
        <f>-'PROPERTY TAX ANALYSIS'!N23</f>
        <v>-3898703.6835670541</v>
      </c>
      <c r="AJ583" s="307"/>
      <c r="AK583" s="622">
        <f t="shared" ref="AK583:AK597" si="730">AI583+AJ583</f>
        <v>-3898703.6835670541</v>
      </c>
      <c r="AL583" s="633">
        <f>-'PROPERTY TAX ANALYSIS'!N24</f>
        <v>-3790777.7402530201</v>
      </c>
      <c r="AM583" s="307"/>
      <c r="AN583" s="622">
        <f t="shared" ref="AN583:AN597" si="731">AL583+AM583</f>
        <v>-3790777.7402530201</v>
      </c>
    </row>
    <row r="584" spans="1:40" s="115" customFormat="1" ht="15" customHeight="1">
      <c r="A584" s="555" t="s">
        <v>2076</v>
      </c>
      <c r="B584" s="217" t="str">
        <f t="shared" si="643"/>
        <v>150</v>
      </c>
      <c r="C584" s="217" t="str">
        <f t="shared" si="649"/>
        <v>00</v>
      </c>
      <c r="D584" s="101" t="str">
        <f t="shared" si="644"/>
        <v>000</v>
      </c>
      <c r="E584" s="217" t="str">
        <f t="shared" si="645"/>
        <v>150-00-000</v>
      </c>
      <c r="F584" s="294" t="str">
        <f t="shared" si="650"/>
        <v>40020</v>
      </c>
      <c r="G584" s="295" t="str">
        <f>VLOOKUP(F584,'GL Category'!A:C,3,FALSE)</f>
        <v>PROPERTY TAX</v>
      </c>
      <c r="H584" s="98" t="str">
        <f>VLOOKUP(F584,'GL Category'!A:C,2,FALSE)</f>
        <v>DELINQUENT TAXES</v>
      </c>
      <c r="I584" s="99">
        <f>SUMIF(Import!$B:$B,'Other Fund Line-Item Details'!$A584,Import!D:D)</f>
        <v>-8726.7999999999993</v>
      </c>
      <c r="J584" s="99">
        <f>SUMIF(Import!$B:$B,'Other Fund Line-Item Details'!$A584,Import!E:E)</f>
        <v>-17001.63</v>
      </c>
      <c r="K584" s="99">
        <f>SUMIF(Import!$B:$B,'Other Fund Line-Item Details'!$A584,Import!F:F)</f>
        <v>-8558.57</v>
      </c>
      <c r="L584" s="99">
        <f>SUMIF(Import!$B:$B,'Other Fund Line-Item Details'!$A584,Import!G:G)</f>
        <v>-1260.8499999999999</v>
      </c>
      <c r="M584" s="99">
        <f>SUMIF(Import!$B:$B,'Other Fund Line-Item Details'!$A584,Import!H:H)</f>
        <v>-15165</v>
      </c>
      <c r="N584" s="99">
        <f>SUMIF(Import!$B:$B,'Other Fund Line-Item Details'!$A584,Import!I:I)</f>
        <v>19133.77</v>
      </c>
      <c r="O584" s="99">
        <f>SUMIF(Import!$B:$B,'Other Fund Line-Item Details'!$A584,Import!J:J)</f>
        <v>0</v>
      </c>
      <c r="P584" s="99">
        <f t="shared" si="723"/>
        <v>15165</v>
      </c>
      <c r="Q584" s="99">
        <f>SUMIF(Import!$B:$B,'Other Fund Line-Item Details'!$A584,Import!K:K)</f>
        <v>-6140</v>
      </c>
      <c r="R584" s="99">
        <f>SUMIF(Import!$B:$B,'Other Fund Line-Item Details'!$A584,Import!L:L)</f>
        <v>0</v>
      </c>
      <c r="S584" s="99">
        <f>SUMIF(Import!$B:$B,'Other Fund Line-Item Details'!$A584,Import!M:M)</f>
        <v>0</v>
      </c>
      <c r="T584" s="99">
        <f>SUMIF(Import!$B:$B,'Other Fund Line-Item Details'!$A584,Import!N:N)</f>
        <v>-6140</v>
      </c>
      <c r="U584" s="99">
        <f t="shared" si="724"/>
        <v>9025</v>
      </c>
      <c r="V584" s="255">
        <f t="shared" si="725"/>
        <v>-0.59512034289482363</v>
      </c>
      <c r="W584" s="102" t="s">
        <v>2076</v>
      </c>
      <c r="X584" s="102"/>
      <c r="Y584" s="102">
        <f t="shared" si="726"/>
        <v>-6140</v>
      </c>
      <c r="Z584" s="309">
        <f>Y584*(1+VLOOKUP($F584,'GL Category'!$A:$H,4,FALSE))</f>
        <v>-6201.4</v>
      </c>
      <c r="AA584" s="615"/>
      <c r="AB584" s="622">
        <f t="shared" si="727"/>
        <v>-6201.4</v>
      </c>
      <c r="AC584" s="633">
        <f>AB584*(1+VLOOKUP($F584,'GL Category'!$A:$H,5,FALSE))</f>
        <v>-6263.4139999999998</v>
      </c>
      <c r="AD584" s="307"/>
      <c r="AE584" s="622">
        <f t="shared" si="728"/>
        <v>-6263.4139999999998</v>
      </c>
      <c r="AF584" s="633">
        <f>AE584*(1+VLOOKUP($F584,'GL Category'!$A:$H,6,FALSE))</f>
        <v>-6326.0481399999999</v>
      </c>
      <c r="AG584" s="307"/>
      <c r="AH584" s="622">
        <f t="shared" si="729"/>
        <v>-6326.0481399999999</v>
      </c>
      <c r="AI584" s="633">
        <f>AH584*(1+VLOOKUP($F584,'GL Category'!$A:$H,7,FALSE))</f>
        <v>-6452.5691028000001</v>
      </c>
      <c r="AJ584" s="307"/>
      <c r="AK584" s="622">
        <f t="shared" si="730"/>
        <v>-6452.5691028000001</v>
      </c>
      <c r="AL584" s="633">
        <f>AK584*(1+VLOOKUP($F584,'GL Category'!$A:$H,8,FALSE))</f>
        <v>-6581.6204848560001</v>
      </c>
      <c r="AM584" s="307"/>
      <c r="AN584" s="622">
        <f t="shared" si="731"/>
        <v>-6581.6204848560001</v>
      </c>
    </row>
    <row r="585" spans="1:40" s="115" customFormat="1" ht="15" customHeight="1">
      <c r="A585" s="555" t="s">
        <v>2077</v>
      </c>
      <c r="B585" s="217" t="str">
        <f t="shared" si="643"/>
        <v>150</v>
      </c>
      <c r="C585" s="217" t="str">
        <f t="shared" si="649"/>
        <v>00</v>
      </c>
      <c r="D585" s="101" t="str">
        <f t="shared" si="644"/>
        <v>000</v>
      </c>
      <c r="E585" s="217" t="str">
        <f t="shared" si="645"/>
        <v>150-00-000</v>
      </c>
      <c r="F585" s="294" t="str">
        <f t="shared" si="650"/>
        <v>40025</v>
      </c>
      <c r="G585" s="295" t="str">
        <f>VLOOKUP(F585,'GL Category'!A:C,3,FALSE)</f>
        <v>PROPERTY TAX</v>
      </c>
      <c r="H585" s="98" t="str">
        <f>VLOOKUP(F585,'GL Category'!A:C,2,FALSE)</f>
        <v>ACCRUED PROPERTY TAX REVENUE</v>
      </c>
      <c r="I585" s="99">
        <f>SUMIF(Import!$B:$B,'Other Fund Line-Item Details'!$A585,Import!D:D)</f>
        <v>0</v>
      </c>
      <c r="J585" s="99">
        <f>SUMIF(Import!$B:$B,'Other Fund Line-Item Details'!$A585,Import!E:E)</f>
        <v>0</v>
      </c>
      <c r="K585" s="99">
        <f>SUMIF(Import!$B:$B,'Other Fund Line-Item Details'!$A585,Import!F:F)</f>
        <v>0</v>
      </c>
      <c r="L585" s="99">
        <f>SUMIF(Import!$B:$B,'Other Fund Line-Item Details'!$A585,Import!G:G)</f>
        <v>0</v>
      </c>
      <c r="M585" s="99">
        <f>SUMIF(Import!$B:$B,'Other Fund Line-Item Details'!$A585,Import!H:H)</f>
        <v>0</v>
      </c>
      <c r="N585" s="99">
        <f>SUMIF(Import!$B:$B,'Other Fund Line-Item Details'!$A585,Import!I:I)</f>
        <v>0</v>
      </c>
      <c r="O585" s="99">
        <f>SUMIF(Import!$B:$B,'Other Fund Line-Item Details'!$A585,Import!J:J)</f>
        <v>0</v>
      </c>
      <c r="P585" s="99">
        <f t="shared" si="723"/>
        <v>0</v>
      </c>
      <c r="Q585" s="99">
        <f>SUMIF(Import!$B:$B,'Other Fund Line-Item Details'!$A585,Import!K:K)</f>
        <v>0</v>
      </c>
      <c r="R585" s="99">
        <f>SUMIF(Import!$B:$B,'Other Fund Line-Item Details'!$A585,Import!L:L)</f>
        <v>0</v>
      </c>
      <c r="S585" s="99">
        <f>SUMIF(Import!$B:$B,'Other Fund Line-Item Details'!$A585,Import!M:M)</f>
        <v>0</v>
      </c>
      <c r="T585" s="99">
        <f>SUMIF(Import!$B:$B,'Other Fund Line-Item Details'!$A585,Import!N:N)</f>
        <v>0</v>
      </c>
      <c r="U585" s="99">
        <f t="shared" si="724"/>
        <v>0</v>
      </c>
      <c r="V585" s="255" t="str">
        <f t="shared" si="725"/>
        <v>N/A</v>
      </c>
      <c r="W585" s="102" t="s">
        <v>2077</v>
      </c>
      <c r="X585" s="102"/>
      <c r="Y585" s="102">
        <f t="shared" si="726"/>
        <v>0</v>
      </c>
      <c r="Z585" s="309">
        <f>Y585*(1+VLOOKUP($F585,'GL Category'!$A:$H,4,FALSE))</f>
        <v>0</v>
      </c>
      <c r="AA585" s="615"/>
      <c r="AB585" s="622">
        <f t="shared" si="727"/>
        <v>0</v>
      </c>
      <c r="AC585" s="633">
        <f>AB585*(1+VLOOKUP($F585,'GL Category'!$A:$H,5,FALSE))</f>
        <v>0</v>
      </c>
      <c r="AD585" s="307"/>
      <c r="AE585" s="622">
        <f t="shared" si="728"/>
        <v>0</v>
      </c>
      <c r="AF585" s="633">
        <f>AE585*(1+VLOOKUP($F585,'GL Category'!$A:$H,6,FALSE))</f>
        <v>0</v>
      </c>
      <c r="AG585" s="307"/>
      <c r="AH585" s="622">
        <f t="shared" si="729"/>
        <v>0</v>
      </c>
      <c r="AI585" s="633">
        <f>AH585*(1+VLOOKUP($F585,'GL Category'!$A:$H,7,FALSE))</f>
        <v>0</v>
      </c>
      <c r="AJ585" s="307"/>
      <c r="AK585" s="622">
        <f t="shared" si="730"/>
        <v>0</v>
      </c>
      <c r="AL585" s="633">
        <f>AK585*(1+VLOOKUP($F585,'GL Category'!$A:$H,8,FALSE))</f>
        <v>0</v>
      </c>
      <c r="AM585" s="307"/>
      <c r="AN585" s="622">
        <f t="shared" si="731"/>
        <v>0</v>
      </c>
    </row>
    <row r="586" spans="1:40" s="115" customFormat="1" ht="15" customHeight="1">
      <c r="A586" s="555" t="s">
        <v>2078</v>
      </c>
      <c r="B586" s="217" t="str">
        <f t="shared" si="643"/>
        <v>150</v>
      </c>
      <c r="C586" s="217" t="str">
        <f t="shared" si="649"/>
        <v>00</v>
      </c>
      <c r="D586" s="101" t="str">
        <f t="shared" si="644"/>
        <v>000</v>
      </c>
      <c r="E586" s="217" t="str">
        <f t="shared" si="645"/>
        <v>150-00-000</v>
      </c>
      <c r="F586" s="294" t="str">
        <f t="shared" si="650"/>
        <v>40030</v>
      </c>
      <c r="G586" s="295" t="str">
        <f>VLOOKUP(F586,'GL Category'!A:C,3,FALSE)</f>
        <v>PROPERTY TAX</v>
      </c>
      <c r="H586" s="98" t="str">
        <f>VLOOKUP(F586,'GL Category'!A:C,2,FALSE)</f>
        <v>PENALTY &amp; INTEREST-TAXES</v>
      </c>
      <c r="I586" s="99">
        <f>SUMIF(Import!$B:$B,'Other Fund Line-Item Details'!$A586,Import!D:D)</f>
        <v>-17944.43</v>
      </c>
      <c r="J586" s="99">
        <f>SUMIF(Import!$B:$B,'Other Fund Line-Item Details'!$A586,Import!E:E)</f>
        <v>-14845.22</v>
      </c>
      <c r="K586" s="99">
        <f>SUMIF(Import!$B:$B,'Other Fund Line-Item Details'!$A586,Import!F:F)</f>
        <v>-13300.52</v>
      </c>
      <c r="L586" s="99">
        <f>SUMIF(Import!$B:$B,'Other Fund Line-Item Details'!$A586,Import!G:G)</f>
        <v>-12697.49</v>
      </c>
      <c r="M586" s="99">
        <f>SUMIF(Import!$B:$B,'Other Fund Line-Item Details'!$A586,Import!H:H)</f>
        <v>-12305</v>
      </c>
      <c r="N586" s="99">
        <f>SUMIF(Import!$B:$B,'Other Fund Line-Item Details'!$A586,Import!I:I)</f>
        <v>-12540.32</v>
      </c>
      <c r="O586" s="99">
        <f>SUMIF(Import!$B:$B,'Other Fund Line-Item Details'!$A586,Import!J:J)</f>
        <v>-20693</v>
      </c>
      <c r="P586" s="99">
        <f t="shared" si="723"/>
        <v>-8388</v>
      </c>
      <c r="Q586" s="99">
        <f>SUMIF(Import!$B:$B,'Other Fund Line-Item Details'!$A586,Import!K:K)</f>
        <v>-20693</v>
      </c>
      <c r="R586" s="99">
        <f>SUMIF(Import!$B:$B,'Other Fund Line-Item Details'!$A586,Import!L:L)</f>
        <v>0</v>
      </c>
      <c r="S586" s="99">
        <f>SUMIF(Import!$B:$B,'Other Fund Line-Item Details'!$A586,Import!M:M)</f>
        <v>0</v>
      </c>
      <c r="T586" s="99">
        <f>SUMIF(Import!$B:$B,'Other Fund Line-Item Details'!$A586,Import!N:N)</f>
        <v>-20693</v>
      </c>
      <c r="U586" s="99">
        <f t="shared" si="724"/>
        <v>-8388</v>
      </c>
      <c r="V586" s="255">
        <f t="shared" si="725"/>
        <v>0.68167411621292162</v>
      </c>
      <c r="W586" s="102" t="s">
        <v>2078</v>
      </c>
      <c r="X586" s="102"/>
      <c r="Y586" s="102">
        <f t="shared" si="726"/>
        <v>-20693</v>
      </c>
      <c r="Z586" s="309">
        <f>Y586*(1+VLOOKUP($F586,'GL Category'!$A:$H,4,FALSE))</f>
        <v>-20899.93</v>
      </c>
      <c r="AA586" s="615"/>
      <c r="AB586" s="622">
        <f t="shared" si="727"/>
        <v>-20899.93</v>
      </c>
      <c r="AC586" s="633">
        <f>AB586*(1+VLOOKUP($F586,'GL Category'!$A:$H,5,FALSE))</f>
        <v>-21108.9293</v>
      </c>
      <c r="AD586" s="307"/>
      <c r="AE586" s="622">
        <f t="shared" si="728"/>
        <v>-21108.9293</v>
      </c>
      <c r="AF586" s="633">
        <f>AE586*(1+VLOOKUP($F586,'GL Category'!$A:$H,6,FALSE))</f>
        <v>-21320.018593000001</v>
      </c>
      <c r="AG586" s="307"/>
      <c r="AH586" s="622">
        <f t="shared" si="729"/>
        <v>-21320.018593000001</v>
      </c>
      <c r="AI586" s="633">
        <f>AH586*(1+VLOOKUP($F586,'GL Category'!$A:$H,7,FALSE))</f>
        <v>-21746.41896486</v>
      </c>
      <c r="AJ586" s="307"/>
      <c r="AK586" s="622">
        <f t="shared" si="730"/>
        <v>-21746.41896486</v>
      </c>
      <c r="AL586" s="633">
        <f>AK586*(1+VLOOKUP($F586,'GL Category'!$A:$H,8,FALSE))</f>
        <v>-22181.347344157202</v>
      </c>
      <c r="AM586" s="307"/>
      <c r="AN586" s="622">
        <f t="shared" si="731"/>
        <v>-22181.347344157202</v>
      </c>
    </row>
    <row r="587" spans="1:40" s="115" customFormat="1" ht="15" customHeight="1">
      <c r="A587" s="555" t="s">
        <v>2079</v>
      </c>
      <c r="B587" s="217" t="str">
        <f t="shared" si="643"/>
        <v>150</v>
      </c>
      <c r="C587" s="217" t="str">
        <f t="shared" si="649"/>
        <v>00</v>
      </c>
      <c r="D587" s="101" t="str">
        <f t="shared" si="644"/>
        <v>000</v>
      </c>
      <c r="E587" s="217" t="str">
        <f t="shared" si="645"/>
        <v>150-00-000</v>
      </c>
      <c r="F587" s="294" t="str">
        <f t="shared" si="650"/>
        <v>45095</v>
      </c>
      <c r="G587" s="295" t="str">
        <f>VLOOKUP(F587,'GL Category'!A:C,3,FALSE)</f>
        <v>DEBT ISSUANCES</v>
      </c>
      <c r="H587" s="98" t="str">
        <f>VLOOKUP(F587,'GL Category'!A:C,2,FALSE)</f>
        <v>INTEREST-DEBT ISSUANCE</v>
      </c>
      <c r="I587" s="99">
        <f>SUMIF(Import!$B:$B,'Other Fund Line-Item Details'!$A587,Import!D:D)</f>
        <v>0</v>
      </c>
      <c r="J587" s="99">
        <f>SUMIF(Import!$B:$B,'Other Fund Line-Item Details'!$A587,Import!E:E)</f>
        <v>0</v>
      </c>
      <c r="K587" s="99">
        <f>SUMIF(Import!$B:$B,'Other Fund Line-Item Details'!$A587,Import!F:F)</f>
        <v>0</v>
      </c>
      <c r="L587" s="99">
        <f>SUMIF(Import!$B:$B,'Other Fund Line-Item Details'!$A587,Import!G:G)</f>
        <v>0</v>
      </c>
      <c r="M587" s="99">
        <f>SUMIF(Import!$B:$B,'Other Fund Line-Item Details'!$A587,Import!H:H)</f>
        <v>0</v>
      </c>
      <c r="N587" s="99">
        <f>SUMIF(Import!$B:$B,'Other Fund Line-Item Details'!$A587,Import!I:I)</f>
        <v>0</v>
      </c>
      <c r="O587" s="99">
        <f>SUMIF(Import!$B:$B,'Other Fund Line-Item Details'!$A587,Import!J:J)</f>
        <v>0</v>
      </c>
      <c r="P587" s="99">
        <f t="shared" si="723"/>
        <v>0</v>
      </c>
      <c r="Q587" s="99">
        <f>SUMIF(Import!$B:$B,'Other Fund Line-Item Details'!$A587,Import!K:K)</f>
        <v>0</v>
      </c>
      <c r="R587" s="99">
        <f>SUMIF(Import!$B:$B,'Other Fund Line-Item Details'!$A587,Import!L:L)</f>
        <v>0</v>
      </c>
      <c r="S587" s="99">
        <f>SUMIF(Import!$B:$B,'Other Fund Line-Item Details'!$A587,Import!M:M)</f>
        <v>0</v>
      </c>
      <c r="T587" s="99">
        <f>SUMIF(Import!$B:$B,'Other Fund Line-Item Details'!$A587,Import!N:N)</f>
        <v>0</v>
      </c>
      <c r="U587" s="99">
        <f t="shared" si="724"/>
        <v>0</v>
      </c>
      <c r="V587" s="255" t="str">
        <f t="shared" si="725"/>
        <v>N/A</v>
      </c>
      <c r="W587" s="102" t="s">
        <v>2079</v>
      </c>
      <c r="X587" s="102"/>
      <c r="Y587" s="102">
        <f t="shared" si="726"/>
        <v>0</v>
      </c>
      <c r="Z587" s="309">
        <f>Y587*(1+VLOOKUP($F587,'GL Category'!$A:$H,4,FALSE))</f>
        <v>0</v>
      </c>
      <c r="AA587" s="615"/>
      <c r="AB587" s="622">
        <f t="shared" si="727"/>
        <v>0</v>
      </c>
      <c r="AC587" s="633">
        <f>AB587*(1+VLOOKUP($F587,'GL Category'!$A:$H,5,FALSE))</f>
        <v>0</v>
      </c>
      <c r="AD587" s="307"/>
      <c r="AE587" s="622">
        <f t="shared" si="728"/>
        <v>0</v>
      </c>
      <c r="AF587" s="633">
        <f>AE587*(1+VLOOKUP($F587,'GL Category'!$A:$H,6,FALSE))</f>
        <v>0</v>
      </c>
      <c r="AG587" s="307"/>
      <c r="AH587" s="622">
        <f t="shared" si="729"/>
        <v>0</v>
      </c>
      <c r="AI587" s="633">
        <f>AH587*(1+VLOOKUP($F587,'GL Category'!$A:$H,7,FALSE))</f>
        <v>0</v>
      </c>
      <c r="AJ587" s="307"/>
      <c r="AK587" s="622">
        <f t="shared" si="730"/>
        <v>0</v>
      </c>
      <c r="AL587" s="633">
        <f>AK587*(1+VLOOKUP($F587,'GL Category'!$A:$H,8,FALSE))</f>
        <v>0</v>
      </c>
      <c r="AM587" s="307"/>
      <c r="AN587" s="622">
        <f t="shared" si="731"/>
        <v>0</v>
      </c>
    </row>
    <row r="588" spans="1:40" s="115" customFormat="1" ht="15" customHeight="1">
      <c r="A588" s="555" t="s">
        <v>2080</v>
      </c>
      <c r="B588" s="217" t="str">
        <f t="shared" si="643"/>
        <v>150</v>
      </c>
      <c r="C588" s="217" t="str">
        <f t="shared" si="649"/>
        <v>00</v>
      </c>
      <c r="D588" s="101" t="str">
        <f t="shared" si="644"/>
        <v>000</v>
      </c>
      <c r="E588" s="217" t="str">
        <f t="shared" si="645"/>
        <v>150-00-000</v>
      </c>
      <c r="F588" s="294" t="str">
        <f t="shared" si="650"/>
        <v>45100</v>
      </c>
      <c r="G588" s="295" t="str">
        <f>VLOOKUP(F588,'GL Category'!A:C,3,FALSE)</f>
        <v>DEBT ISSUANCES</v>
      </c>
      <c r="H588" s="98" t="str">
        <f>VLOOKUP(F588,'GL Category'!A:C,2,FALSE)</f>
        <v>PREMIUM ON DEBT ISSUANCE</v>
      </c>
      <c r="I588" s="99">
        <f>SUMIF(Import!$B:$B,'Other Fund Line-Item Details'!$A588,Import!D:D)</f>
        <v>-677795</v>
      </c>
      <c r="J588" s="99">
        <f>SUMIF(Import!$B:$B,'Other Fund Line-Item Details'!$A588,Import!E:E)</f>
        <v>0</v>
      </c>
      <c r="K588" s="99">
        <f>SUMIF(Import!$B:$B,'Other Fund Line-Item Details'!$A588,Import!F:F)</f>
        <v>0</v>
      </c>
      <c r="L588" s="99">
        <f>SUMIF(Import!$B:$B,'Other Fund Line-Item Details'!$A588,Import!G:G)</f>
        <v>0</v>
      </c>
      <c r="M588" s="99">
        <f>SUMIF(Import!$B:$B,'Other Fund Line-Item Details'!$A588,Import!H:H)</f>
        <v>0</v>
      </c>
      <c r="N588" s="99">
        <f>SUMIF(Import!$B:$B,'Other Fund Line-Item Details'!$A588,Import!I:I)</f>
        <v>0</v>
      </c>
      <c r="O588" s="99">
        <f>SUMIF(Import!$B:$B,'Other Fund Line-Item Details'!$A588,Import!J:J)</f>
        <v>0</v>
      </c>
      <c r="P588" s="99">
        <f t="shared" si="723"/>
        <v>0</v>
      </c>
      <c r="Q588" s="99">
        <f>SUMIF(Import!$B:$B,'Other Fund Line-Item Details'!$A588,Import!K:K)</f>
        <v>0</v>
      </c>
      <c r="R588" s="99">
        <f>SUMIF(Import!$B:$B,'Other Fund Line-Item Details'!$A588,Import!L:L)</f>
        <v>0</v>
      </c>
      <c r="S588" s="99">
        <f>SUMIF(Import!$B:$B,'Other Fund Line-Item Details'!$A588,Import!M:M)</f>
        <v>0</v>
      </c>
      <c r="T588" s="99">
        <f>SUMIF(Import!$B:$B,'Other Fund Line-Item Details'!$A588,Import!N:N)</f>
        <v>0</v>
      </c>
      <c r="U588" s="99">
        <f t="shared" si="724"/>
        <v>0</v>
      </c>
      <c r="V588" s="255" t="str">
        <f t="shared" si="725"/>
        <v>N/A</v>
      </c>
      <c r="W588" s="102" t="s">
        <v>2080</v>
      </c>
      <c r="X588" s="102"/>
      <c r="Y588" s="102">
        <f t="shared" si="726"/>
        <v>0</v>
      </c>
      <c r="Z588" s="309">
        <f>Y588*(1+VLOOKUP($F588,'GL Category'!$A:$H,4,FALSE))</f>
        <v>0</v>
      </c>
      <c r="AA588" s="615"/>
      <c r="AB588" s="622">
        <f t="shared" si="727"/>
        <v>0</v>
      </c>
      <c r="AC588" s="633">
        <f>AB588*(1+VLOOKUP($F588,'GL Category'!$A:$H,5,FALSE))</f>
        <v>0</v>
      </c>
      <c r="AD588" s="307"/>
      <c r="AE588" s="622">
        <f t="shared" si="728"/>
        <v>0</v>
      </c>
      <c r="AF588" s="633">
        <f>AE588*(1+VLOOKUP($F588,'GL Category'!$A:$H,6,FALSE))</f>
        <v>0</v>
      </c>
      <c r="AG588" s="307"/>
      <c r="AH588" s="622">
        <f t="shared" si="729"/>
        <v>0</v>
      </c>
      <c r="AI588" s="633">
        <f>AH588*(1+VLOOKUP($F588,'GL Category'!$A:$H,7,FALSE))</f>
        <v>0</v>
      </c>
      <c r="AJ588" s="307"/>
      <c r="AK588" s="622">
        <f t="shared" si="730"/>
        <v>0</v>
      </c>
      <c r="AL588" s="633">
        <f>AK588*(1+VLOOKUP($F588,'GL Category'!$A:$H,8,FALSE))</f>
        <v>0</v>
      </c>
      <c r="AM588" s="307"/>
      <c r="AN588" s="622">
        <f t="shared" si="731"/>
        <v>0</v>
      </c>
    </row>
    <row r="589" spans="1:40" s="115" customFormat="1" ht="15" customHeight="1">
      <c r="A589" s="555" t="s">
        <v>2081</v>
      </c>
      <c r="B589" s="217" t="str">
        <f t="shared" si="643"/>
        <v>150</v>
      </c>
      <c r="C589" s="217" t="str">
        <f t="shared" si="649"/>
        <v>00</v>
      </c>
      <c r="D589" s="101" t="str">
        <f t="shared" si="644"/>
        <v>000</v>
      </c>
      <c r="E589" s="217" t="str">
        <f t="shared" si="645"/>
        <v>150-00-000</v>
      </c>
      <c r="F589" s="294" t="str">
        <f t="shared" si="650"/>
        <v>45200</v>
      </c>
      <c r="G589" s="295" t="str">
        <f>VLOOKUP(F589,'GL Category'!A:C,3,FALSE)</f>
        <v>DEBT ISSUANCES</v>
      </c>
      <c r="H589" s="98" t="str">
        <f>VLOOKUP(F589,'GL Category'!A:C,2,FALSE)</f>
        <v>DEBT ISSUANCE-REFUNDING BONDS</v>
      </c>
      <c r="I589" s="99">
        <f>SUMIF(Import!$B:$B,'Other Fund Line-Item Details'!$A589,Import!D:D)</f>
        <v>-4170000</v>
      </c>
      <c r="J589" s="99">
        <f>SUMIF(Import!$B:$B,'Other Fund Line-Item Details'!$A589,Import!E:E)</f>
        <v>0</v>
      </c>
      <c r="K589" s="99">
        <f>SUMIF(Import!$B:$B,'Other Fund Line-Item Details'!$A589,Import!F:F)</f>
        <v>0</v>
      </c>
      <c r="L589" s="99">
        <f>SUMIF(Import!$B:$B,'Other Fund Line-Item Details'!$A589,Import!G:G)</f>
        <v>0</v>
      </c>
      <c r="M589" s="99">
        <f>SUMIF(Import!$B:$B,'Other Fund Line-Item Details'!$A589,Import!H:H)</f>
        <v>0</v>
      </c>
      <c r="N589" s="99">
        <f>SUMIF(Import!$B:$B,'Other Fund Line-Item Details'!$A589,Import!I:I)</f>
        <v>0</v>
      </c>
      <c r="O589" s="99">
        <f>SUMIF(Import!$B:$B,'Other Fund Line-Item Details'!$A589,Import!J:J)</f>
        <v>0</v>
      </c>
      <c r="P589" s="99">
        <f t="shared" si="723"/>
        <v>0</v>
      </c>
      <c r="Q589" s="99">
        <f>SUMIF(Import!$B:$B,'Other Fund Line-Item Details'!$A589,Import!K:K)</f>
        <v>0</v>
      </c>
      <c r="R589" s="99">
        <f>SUMIF(Import!$B:$B,'Other Fund Line-Item Details'!$A589,Import!L:L)</f>
        <v>0</v>
      </c>
      <c r="S589" s="99">
        <f>SUMIF(Import!$B:$B,'Other Fund Line-Item Details'!$A589,Import!M:M)</f>
        <v>0</v>
      </c>
      <c r="T589" s="99">
        <f>SUMIF(Import!$B:$B,'Other Fund Line-Item Details'!$A589,Import!N:N)</f>
        <v>0</v>
      </c>
      <c r="U589" s="99">
        <f t="shared" si="724"/>
        <v>0</v>
      </c>
      <c r="V589" s="255" t="str">
        <f t="shared" si="725"/>
        <v>N/A</v>
      </c>
      <c r="W589" s="102" t="s">
        <v>2081</v>
      </c>
      <c r="X589" s="102"/>
      <c r="Y589" s="102">
        <f t="shared" si="726"/>
        <v>0</v>
      </c>
      <c r="Z589" s="309">
        <f>Y589*(1+VLOOKUP($F589,'GL Category'!$A:$H,4,FALSE))</f>
        <v>0</v>
      </c>
      <c r="AA589" s="615"/>
      <c r="AB589" s="622">
        <f t="shared" si="727"/>
        <v>0</v>
      </c>
      <c r="AC589" s="633">
        <f>AB589*(1+VLOOKUP($F589,'GL Category'!$A:$H,5,FALSE))</f>
        <v>0</v>
      </c>
      <c r="AD589" s="307"/>
      <c r="AE589" s="622">
        <f t="shared" si="728"/>
        <v>0</v>
      </c>
      <c r="AF589" s="633">
        <f>AE589*(1+VLOOKUP($F589,'GL Category'!$A:$H,6,FALSE))</f>
        <v>0</v>
      </c>
      <c r="AG589" s="307"/>
      <c r="AH589" s="622">
        <f t="shared" si="729"/>
        <v>0</v>
      </c>
      <c r="AI589" s="633">
        <f>AH589*(1+VLOOKUP($F589,'GL Category'!$A:$H,7,FALSE))</f>
        <v>0</v>
      </c>
      <c r="AJ589" s="307"/>
      <c r="AK589" s="622">
        <f t="shared" si="730"/>
        <v>0</v>
      </c>
      <c r="AL589" s="633">
        <f>AK589*(1+VLOOKUP($F589,'GL Category'!$A:$H,8,FALSE))</f>
        <v>0</v>
      </c>
      <c r="AM589" s="307"/>
      <c r="AN589" s="622">
        <f t="shared" si="731"/>
        <v>0</v>
      </c>
    </row>
    <row r="590" spans="1:40" s="115" customFormat="1" ht="15" customHeight="1">
      <c r="A590" s="555" t="s">
        <v>2082</v>
      </c>
      <c r="B590" s="217" t="str">
        <f t="shared" si="643"/>
        <v>150</v>
      </c>
      <c r="C590" s="217" t="str">
        <f t="shared" si="649"/>
        <v>00</v>
      </c>
      <c r="D590" s="101" t="str">
        <f t="shared" si="644"/>
        <v>000</v>
      </c>
      <c r="E590" s="217" t="str">
        <f t="shared" si="645"/>
        <v>150-00-000</v>
      </c>
      <c r="F590" s="294" t="str">
        <f t="shared" si="650"/>
        <v>47010</v>
      </c>
      <c r="G590" s="295" t="str">
        <f>VLOOKUP(F590,'GL Category'!A:C,3,FALSE)</f>
        <v>OTHER REVENUE</v>
      </c>
      <c r="H590" s="98" t="str">
        <f>VLOOKUP(F590,'GL Category'!A:C,2,FALSE)</f>
        <v>MISCELLANEOUS REVENUE</v>
      </c>
      <c r="I590" s="99">
        <f>SUMIF(Import!$B:$B,'Other Fund Line-Item Details'!$A590,Import!D:D)</f>
        <v>1004.96</v>
      </c>
      <c r="J590" s="99">
        <f>SUMIF(Import!$B:$B,'Other Fund Line-Item Details'!$A590,Import!E:E)</f>
        <v>-1695.05</v>
      </c>
      <c r="K590" s="99">
        <f>SUMIF(Import!$B:$B,'Other Fund Line-Item Details'!$A590,Import!F:F)</f>
        <v>-3068.36</v>
      </c>
      <c r="L590" s="99">
        <f>SUMIF(Import!$B:$B,'Other Fund Line-Item Details'!$A590,Import!G:G)</f>
        <v>0</v>
      </c>
      <c r="M590" s="99">
        <f>SUMIF(Import!$B:$B,'Other Fund Line-Item Details'!$A590,Import!H:H)</f>
        <v>0</v>
      </c>
      <c r="N590" s="99">
        <f>SUMIF(Import!$B:$B,'Other Fund Line-Item Details'!$A590,Import!I:I)</f>
        <v>0</v>
      </c>
      <c r="O590" s="99">
        <f>SUMIF(Import!$B:$B,'Other Fund Line-Item Details'!$A590,Import!J:J)</f>
        <v>0</v>
      </c>
      <c r="P590" s="99">
        <f t="shared" si="723"/>
        <v>0</v>
      </c>
      <c r="Q590" s="99">
        <f>SUMIF(Import!$B:$B,'Other Fund Line-Item Details'!$A590,Import!K:K)</f>
        <v>0</v>
      </c>
      <c r="R590" s="99">
        <f>SUMIF(Import!$B:$B,'Other Fund Line-Item Details'!$A590,Import!L:L)</f>
        <v>0</v>
      </c>
      <c r="S590" s="99">
        <f>SUMIF(Import!$B:$B,'Other Fund Line-Item Details'!$A590,Import!M:M)</f>
        <v>0</v>
      </c>
      <c r="T590" s="99">
        <f>SUMIF(Import!$B:$B,'Other Fund Line-Item Details'!$A590,Import!N:N)</f>
        <v>0</v>
      </c>
      <c r="U590" s="99">
        <f t="shared" si="724"/>
        <v>0</v>
      </c>
      <c r="V590" s="255" t="str">
        <f t="shared" si="725"/>
        <v>N/A</v>
      </c>
      <c r="W590" s="102" t="s">
        <v>2082</v>
      </c>
      <c r="X590" s="102"/>
      <c r="Y590" s="102">
        <f t="shared" si="726"/>
        <v>0</v>
      </c>
      <c r="Z590" s="309">
        <f>Y590*(1+VLOOKUP($F590,'GL Category'!$A:$H,4,FALSE))</f>
        <v>0</v>
      </c>
      <c r="AA590" s="615"/>
      <c r="AB590" s="622">
        <f t="shared" si="727"/>
        <v>0</v>
      </c>
      <c r="AC590" s="633">
        <f>AB590*(1+VLOOKUP($F590,'GL Category'!$A:$H,5,FALSE))</f>
        <v>0</v>
      </c>
      <c r="AD590" s="307"/>
      <c r="AE590" s="622">
        <f t="shared" si="728"/>
        <v>0</v>
      </c>
      <c r="AF590" s="633">
        <f>AE590*(1+VLOOKUP($F590,'GL Category'!$A:$H,6,FALSE))</f>
        <v>0</v>
      </c>
      <c r="AG590" s="307"/>
      <c r="AH590" s="622">
        <f t="shared" si="729"/>
        <v>0</v>
      </c>
      <c r="AI590" s="633">
        <f>AH590*(1+VLOOKUP($F590,'GL Category'!$A:$H,7,FALSE))</f>
        <v>0</v>
      </c>
      <c r="AJ590" s="307"/>
      <c r="AK590" s="622">
        <f t="shared" si="730"/>
        <v>0</v>
      </c>
      <c r="AL590" s="633">
        <f>AK590*(1+VLOOKUP($F590,'GL Category'!$A:$H,8,FALSE))</f>
        <v>0</v>
      </c>
      <c r="AM590" s="307"/>
      <c r="AN590" s="622">
        <f t="shared" si="731"/>
        <v>0</v>
      </c>
    </row>
    <row r="591" spans="1:40" s="115" customFormat="1" ht="15" customHeight="1">
      <c r="A591" s="555" t="s">
        <v>2083</v>
      </c>
      <c r="B591" s="217" t="str">
        <f t="shared" si="643"/>
        <v>150</v>
      </c>
      <c r="C591" s="217" t="str">
        <f t="shared" si="649"/>
        <v>00</v>
      </c>
      <c r="D591" s="101" t="str">
        <f t="shared" si="644"/>
        <v>000</v>
      </c>
      <c r="E591" s="217" t="str">
        <f t="shared" si="645"/>
        <v>150-00-000</v>
      </c>
      <c r="F591" s="294" t="str">
        <f t="shared" si="650"/>
        <v>47090</v>
      </c>
      <c r="G591" s="295" t="str">
        <f>VLOOKUP(F591,'GL Category'!A:C,3,FALSE)</f>
        <v>OTHER REVENUE</v>
      </c>
      <c r="H591" s="98" t="str">
        <f>VLOOKUP(F591,'GL Category'!A:C,2,FALSE)</f>
        <v>INTEREST REVENUE-INVESTMENTS</v>
      </c>
      <c r="I591" s="99">
        <f>SUMIF(Import!$B:$B,'Other Fund Line-Item Details'!$A591,Import!D:D)</f>
        <v>-77476.33</v>
      </c>
      <c r="J591" s="99">
        <f>SUMIF(Import!$B:$B,'Other Fund Line-Item Details'!$A591,Import!E:E)</f>
        <v>-28682.83</v>
      </c>
      <c r="K591" s="99">
        <f>SUMIF(Import!$B:$B,'Other Fund Line-Item Details'!$A591,Import!F:F)</f>
        <v>-16393.400000000001</v>
      </c>
      <c r="L591" s="99">
        <f>SUMIF(Import!$B:$B,'Other Fund Line-Item Details'!$A591,Import!G:G)</f>
        <v>-118503.62</v>
      </c>
      <c r="M591" s="99">
        <f>SUMIF(Import!$B:$B,'Other Fund Line-Item Details'!$A591,Import!H:H)</f>
        <v>-55379</v>
      </c>
      <c r="N591" s="99">
        <f>SUMIF(Import!$B:$B,'Other Fund Line-Item Details'!$A591,Import!I:I)</f>
        <v>-223272.28</v>
      </c>
      <c r="O591" s="99">
        <f>SUMIF(Import!$B:$B,'Other Fund Line-Item Details'!$A591,Import!J:J)</f>
        <v>-225910</v>
      </c>
      <c r="P591" s="99">
        <f t="shared" si="723"/>
        <v>-170531</v>
      </c>
      <c r="Q591" s="99">
        <f>SUMIF(Import!$B:$B,'Other Fund Line-Item Details'!$A591,Import!K:K)</f>
        <v>-225910</v>
      </c>
      <c r="R591" s="99">
        <f>SUMIF(Import!$B:$B,'Other Fund Line-Item Details'!$A591,Import!L:L)</f>
        <v>0</v>
      </c>
      <c r="S591" s="99">
        <f>SUMIF(Import!$B:$B,'Other Fund Line-Item Details'!$A591,Import!M:M)</f>
        <v>0</v>
      </c>
      <c r="T591" s="99">
        <f>SUMIF(Import!$B:$B,'Other Fund Line-Item Details'!$A591,Import!N:N)</f>
        <v>-225910</v>
      </c>
      <c r="U591" s="99">
        <f t="shared" si="724"/>
        <v>-170531</v>
      </c>
      <c r="V591" s="255">
        <f t="shared" si="725"/>
        <v>3.0793441557268997</v>
      </c>
      <c r="W591" s="102" t="s">
        <v>2083</v>
      </c>
      <c r="X591" s="102"/>
      <c r="Y591" s="102">
        <f t="shared" si="726"/>
        <v>-225910</v>
      </c>
      <c r="Z591" s="309">
        <f>Y591*(1+VLOOKUP($F591,'GL Category'!$A:$H,4,FALSE))</f>
        <v>-169432.5</v>
      </c>
      <c r="AA591" s="615"/>
      <c r="AB591" s="622">
        <f t="shared" si="727"/>
        <v>-169432.5</v>
      </c>
      <c r="AC591" s="633">
        <f>AB591*(1+VLOOKUP($F591,'GL Category'!$A:$H,5,FALSE))</f>
        <v>-84716.25</v>
      </c>
      <c r="AD591" s="307"/>
      <c r="AE591" s="622">
        <f t="shared" si="728"/>
        <v>-84716.25</v>
      </c>
      <c r="AF591" s="633">
        <f>AE591*(1+VLOOKUP($F591,'GL Category'!$A:$H,6,FALSE))</f>
        <v>-84716.25</v>
      </c>
      <c r="AG591" s="307"/>
      <c r="AH591" s="622">
        <f t="shared" si="729"/>
        <v>-84716.25</v>
      </c>
      <c r="AI591" s="633">
        <f>AH591*(1+VLOOKUP($F591,'GL Category'!$A:$H,7,FALSE))</f>
        <v>-84716.25</v>
      </c>
      <c r="AJ591" s="307"/>
      <c r="AK591" s="622">
        <f t="shared" si="730"/>
        <v>-84716.25</v>
      </c>
      <c r="AL591" s="633">
        <f>AK591*(1+VLOOKUP($F591,'GL Category'!$A:$H,8,FALSE))</f>
        <v>-84716.25</v>
      </c>
      <c r="AM591" s="307"/>
      <c r="AN591" s="622">
        <f t="shared" si="731"/>
        <v>-84716.25</v>
      </c>
    </row>
    <row r="592" spans="1:40" s="115" customFormat="1" ht="15" customHeight="1">
      <c r="A592" s="555" t="s">
        <v>2084</v>
      </c>
      <c r="B592" s="217" t="str">
        <f t="shared" si="643"/>
        <v>150</v>
      </c>
      <c r="C592" s="217" t="str">
        <f t="shared" si="649"/>
        <v>00</v>
      </c>
      <c r="D592" s="101" t="str">
        <f t="shared" si="644"/>
        <v>000</v>
      </c>
      <c r="E592" s="217" t="str">
        <f t="shared" si="645"/>
        <v>150-00-000</v>
      </c>
      <c r="F592" s="294" t="str">
        <f t="shared" si="650"/>
        <v>47099</v>
      </c>
      <c r="G592" s="295" t="str">
        <f>VLOOKUP(F592,'GL Category'!A:C,3,FALSE)</f>
        <v>OTHER REVENUE</v>
      </c>
      <c r="H592" s="98" t="str">
        <f>VLOOKUP(F592,'GL Category'!A:C,2,FALSE)</f>
        <v>INCR/DECR IN FAIR VALUE OF INV</v>
      </c>
      <c r="I592" s="99">
        <f>SUMIF(Import!$B:$B,'Other Fund Line-Item Details'!$A592,Import!D:D)</f>
        <v>0</v>
      </c>
      <c r="J592" s="99">
        <f>SUMIF(Import!$B:$B,'Other Fund Line-Item Details'!$A592,Import!E:E)</f>
        <v>0</v>
      </c>
      <c r="K592" s="99">
        <f>SUMIF(Import!$B:$B,'Other Fund Line-Item Details'!$A592,Import!F:F)</f>
        <v>0</v>
      </c>
      <c r="L592" s="99">
        <f>SUMIF(Import!$B:$B,'Other Fund Line-Item Details'!$A592,Import!G:G)</f>
        <v>0</v>
      </c>
      <c r="M592" s="99">
        <f>SUMIF(Import!$B:$B,'Other Fund Line-Item Details'!$A592,Import!H:H)</f>
        <v>0</v>
      </c>
      <c r="N592" s="99">
        <f>SUMIF(Import!$B:$B,'Other Fund Line-Item Details'!$A592,Import!I:I)</f>
        <v>0</v>
      </c>
      <c r="O592" s="99">
        <f>SUMIF(Import!$B:$B,'Other Fund Line-Item Details'!$A592,Import!J:J)</f>
        <v>0</v>
      </c>
      <c r="P592" s="99">
        <f t="shared" si="723"/>
        <v>0</v>
      </c>
      <c r="Q592" s="99">
        <f>SUMIF(Import!$B:$B,'Other Fund Line-Item Details'!$A592,Import!K:K)</f>
        <v>0</v>
      </c>
      <c r="R592" s="99">
        <f>SUMIF(Import!$B:$B,'Other Fund Line-Item Details'!$A592,Import!L:L)</f>
        <v>0</v>
      </c>
      <c r="S592" s="99">
        <f>SUMIF(Import!$B:$B,'Other Fund Line-Item Details'!$A592,Import!M:M)</f>
        <v>0</v>
      </c>
      <c r="T592" s="99">
        <f>SUMIF(Import!$B:$B,'Other Fund Line-Item Details'!$A592,Import!N:N)</f>
        <v>0</v>
      </c>
      <c r="U592" s="99">
        <f t="shared" si="724"/>
        <v>0</v>
      </c>
      <c r="V592" s="255" t="str">
        <f t="shared" si="725"/>
        <v>N/A</v>
      </c>
      <c r="W592" s="102" t="s">
        <v>2084</v>
      </c>
      <c r="X592" s="102"/>
      <c r="Y592" s="102">
        <f t="shared" si="726"/>
        <v>0</v>
      </c>
      <c r="Z592" s="309">
        <f>Y592*(1+VLOOKUP($F592,'GL Category'!$A:$H,4,FALSE))</f>
        <v>0</v>
      </c>
      <c r="AA592" s="615"/>
      <c r="AB592" s="622">
        <f t="shared" si="727"/>
        <v>0</v>
      </c>
      <c r="AC592" s="633">
        <f>AB592*(1+VLOOKUP($F592,'GL Category'!$A:$H,5,FALSE))</f>
        <v>0</v>
      </c>
      <c r="AD592" s="307"/>
      <c r="AE592" s="622">
        <f t="shared" si="728"/>
        <v>0</v>
      </c>
      <c r="AF592" s="633">
        <f>AE592*(1+VLOOKUP($F592,'GL Category'!$A:$H,6,FALSE))</f>
        <v>0</v>
      </c>
      <c r="AG592" s="307"/>
      <c r="AH592" s="622">
        <f t="shared" si="729"/>
        <v>0</v>
      </c>
      <c r="AI592" s="633">
        <f>AH592*(1+VLOOKUP($F592,'GL Category'!$A:$H,7,FALSE))</f>
        <v>0</v>
      </c>
      <c r="AJ592" s="307"/>
      <c r="AK592" s="622">
        <f t="shared" si="730"/>
        <v>0</v>
      </c>
      <c r="AL592" s="633">
        <f>AK592*(1+VLOOKUP($F592,'GL Category'!$A:$H,8,FALSE))</f>
        <v>0</v>
      </c>
      <c r="AM592" s="307"/>
      <c r="AN592" s="622">
        <f t="shared" si="731"/>
        <v>0</v>
      </c>
    </row>
    <row r="593" spans="1:40" s="115" customFormat="1" ht="15" customHeight="1">
      <c r="A593" s="555" t="s">
        <v>2085</v>
      </c>
      <c r="B593" s="217" t="str">
        <f t="shared" si="643"/>
        <v>150</v>
      </c>
      <c r="C593" s="217" t="str">
        <f t="shared" si="649"/>
        <v>00</v>
      </c>
      <c r="D593" s="101" t="str">
        <f t="shared" si="644"/>
        <v>000</v>
      </c>
      <c r="E593" s="217" t="str">
        <f t="shared" si="645"/>
        <v>150-00-000</v>
      </c>
      <c r="F593" s="294" t="str">
        <f t="shared" si="650"/>
        <v>49100</v>
      </c>
      <c r="G593" s="295" t="str">
        <f>VLOOKUP(F593,'GL Category'!A:C,3,FALSE)</f>
        <v>TRANSFERS IN</v>
      </c>
      <c r="H593" s="98" t="str">
        <f>VLOOKUP(F593,'GL Category'!A:C,2,FALSE)</f>
        <v>TRANSFER FROM GENERAL FUND</v>
      </c>
      <c r="I593" s="99">
        <f>SUMIF(Import!$B:$B,'Other Fund Line-Item Details'!$A593,Import!D:D)</f>
        <v>0</v>
      </c>
      <c r="J593" s="99">
        <f>SUMIF(Import!$B:$B,'Other Fund Line-Item Details'!$A593,Import!E:E)</f>
        <v>0</v>
      </c>
      <c r="K593" s="99">
        <f>SUMIF(Import!$B:$B,'Other Fund Line-Item Details'!$A593,Import!F:F)</f>
        <v>0</v>
      </c>
      <c r="L593" s="99">
        <f>SUMIF(Import!$B:$B,'Other Fund Line-Item Details'!$A593,Import!G:G)</f>
        <v>0</v>
      </c>
      <c r="M593" s="99">
        <f>SUMIF(Import!$B:$B,'Other Fund Line-Item Details'!$A593,Import!H:H)</f>
        <v>0</v>
      </c>
      <c r="N593" s="99">
        <f>SUMIF(Import!$B:$B,'Other Fund Line-Item Details'!$A593,Import!I:I)</f>
        <v>0</v>
      </c>
      <c r="O593" s="99">
        <f>SUMIF(Import!$B:$B,'Other Fund Line-Item Details'!$A593,Import!J:J)</f>
        <v>0</v>
      </c>
      <c r="P593" s="99">
        <f t="shared" si="723"/>
        <v>0</v>
      </c>
      <c r="Q593" s="99">
        <f>SUMIF(Import!$B:$B,'Other Fund Line-Item Details'!$A593,Import!K:K)</f>
        <v>0</v>
      </c>
      <c r="R593" s="99">
        <f>SUMIF(Import!$B:$B,'Other Fund Line-Item Details'!$A593,Import!L:L)</f>
        <v>0</v>
      </c>
      <c r="S593" s="99">
        <f>SUMIF(Import!$B:$B,'Other Fund Line-Item Details'!$A593,Import!M:M)</f>
        <v>0</v>
      </c>
      <c r="T593" s="99">
        <f>SUMIF(Import!$B:$B,'Other Fund Line-Item Details'!$A593,Import!N:N)</f>
        <v>0</v>
      </c>
      <c r="U593" s="99">
        <f t="shared" si="724"/>
        <v>0</v>
      </c>
      <c r="V593" s="255" t="str">
        <f t="shared" si="725"/>
        <v>N/A</v>
      </c>
      <c r="W593" s="102" t="s">
        <v>2085</v>
      </c>
      <c r="X593" s="102"/>
      <c r="Y593" s="102">
        <f t="shared" si="726"/>
        <v>0</v>
      </c>
      <c r="Z593" s="309">
        <f>Y593*(1+VLOOKUP($F593,'GL Category'!$A:$H,4,FALSE))</f>
        <v>0</v>
      </c>
      <c r="AA593" s="615"/>
      <c r="AB593" s="622">
        <f t="shared" si="727"/>
        <v>0</v>
      </c>
      <c r="AC593" s="633">
        <f>AB593*(1+VLOOKUP($F593,'GL Category'!$A:$H,5,FALSE))</f>
        <v>0</v>
      </c>
      <c r="AD593" s="307"/>
      <c r="AE593" s="622">
        <f t="shared" si="728"/>
        <v>0</v>
      </c>
      <c r="AF593" s="633">
        <f>AE593*(1+VLOOKUP($F593,'GL Category'!$A:$H,6,FALSE))</f>
        <v>0</v>
      </c>
      <c r="AG593" s="307"/>
      <c r="AH593" s="622">
        <f t="shared" si="729"/>
        <v>0</v>
      </c>
      <c r="AI593" s="633">
        <f>AH593*(1+VLOOKUP($F593,'GL Category'!$A:$H,7,FALSE))</f>
        <v>0</v>
      </c>
      <c r="AJ593" s="307"/>
      <c r="AK593" s="622">
        <f t="shared" si="730"/>
        <v>0</v>
      </c>
      <c r="AL593" s="633">
        <f>AK593*(1+VLOOKUP($F593,'GL Category'!$A:$H,8,FALSE))</f>
        <v>0</v>
      </c>
      <c r="AM593" s="307"/>
      <c r="AN593" s="622">
        <f t="shared" si="731"/>
        <v>0</v>
      </c>
    </row>
    <row r="594" spans="1:40" s="115" customFormat="1" ht="15" customHeight="1">
      <c r="A594" s="555" t="s">
        <v>2086</v>
      </c>
      <c r="B594" s="217" t="str">
        <f t="shared" si="643"/>
        <v>150</v>
      </c>
      <c r="C594" s="217" t="str">
        <f t="shared" si="649"/>
        <v>00</v>
      </c>
      <c r="D594" s="101" t="str">
        <f t="shared" si="644"/>
        <v>000</v>
      </c>
      <c r="E594" s="217" t="str">
        <f t="shared" si="645"/>
        <v>150-00-000</v>
      </c>
      <c r="F594" s="294" t="str">
        <f t="shared" si="650"/>
        <v>49110</v>
      </c>
      <c r="G594" s="295" t="str">
        <f>VLOOKUP(F594,'GL Category'!A:C,3,FALSE)</f>
        <v>TRANSFERS IN</v>
      </c>
      <c r="H594" s="98" t="str">
        <f>VLOOKUP(F594,'GL Category'!A:C,2,FALSE)</f>
        <v>TRANSFER FROM KDC</v>
      </c>
      <c r="I594" s="99">
        <f>SUMIF(Import!$B:$B,'Other Fund Line-Item Details'!$A594,Import!D:D)</f>
        <v>0</v>
      </c>
      <c r="J594" s="99">
        <f>SUMIF(Import!$B:$B,'Other Fund Line-Item Details'!$A594,Import!E:E)</f>
        <v>0</v>
      </c>
      <c r="K594" s="99">
        <f>SUMIF(Import!$B:$B,'Other Fund Line-Item Details'!$A594,Import!F:F)</f>
        <v>0</v>
      </c>
      <c r="L594" s="99">
        <f>SUMIF(Import!$B:$B,'Other Fund Line-Item Details'!$A594,Import!G:G)</f>
        <v>0</v>
      </c>
      <c r="M594" s="99">
        <f>SUMIF(Import!$B:$B,'Other Fund Line-Item Details'!$A594,Import!H:H)</f>
        <v>0</v>
      </c>
      <c r="N594" s="99">
        <f>SUMIF(Import!$B:$B,'Other Fund Line-Item Details'!$A594,Import!I:I)</f>
        <v>0</v>
      </c>
      <c r="O594" s="99">
        <f>SUMIF(Import!$B:$B,'Other Fund Line-Item Details'!$A594,Import!J:J)</f>
        <v>0</v>
      </c>
      <c r="P594" s="99">
        <f t="shared" si="723"/>
        <v>0</v>
      </c>
      <c r="Q594" s="99">
        <f>SUMIF(Import!$B:$B,'Other Fund Line-Item Details'!$A594,Import!K:K)</f>
        <v>0</v>
      </c>
      <c r="R594" s="99">
        <f>SUMIF(Import!$B:$B,'Other Fund Line-Item Details'!$A594,Import!L:L)</f>
        <v>0</v>
      </c>
      <c r="S594" s="99">
        <f>SUMIF(Import!$B:$B,'Other Fund Line-Item Details'!$A594,Import!M:M)</f>
        <v>0</v>
      </c>
      <c r="T594" s="99">
        <f>SUMIF(Import!$B:$B,'Other Fund Line-Item Details'!$A594,Import!N:N)</f>
        <v>0</v>
      </c>
      <c r="U594" s="99">
        <f t="shared" si="724"/>
        <v>0</v>
      </c>
      <c r="V594" s="255" t="str">
        <f t="shared" si="725"/>
        <v>N/A</v>
      </c>
      <c r="W594" s="102" t="s">
        <v>2086</v>
      </c>
      <c r="X594" s="102"/>
      <c r="Y594" s="102">
        <f t="shared" si="726"/>
        <v>0</v>
      </c>
      <c r="Z594" s="309">
        <f>Y594*(1+VLOOKUP($F594,'GL Category'!$A:$H,4,FALSE))</f>
        <v>0</v>
      </c>
      <c r="AA594" s="615"/>
      <c r="AB594" s="622">
        <f t="shared" si="727"/>
        <v>0</v>
      </c>
      <c r="AC594" s="633">
        <f>AB594*(1+VLOOKUP($F594,'GL Category'!$A:$H,5,FALSE))</f>
        <v>0</v>
      </c>
      <c r="AD594" s="307"/>
      <c r="AE594" s="622">
        <f t="shared" si="728"/>
        <v>0</v>
      </c>
      <c r="AF594" s="633">
        <f>AE594*(1+VLOOKUP($F594,'GL Category'!$A:$H,6,FALSE))</f>
        <v>0</v>
      </c>
      <c r="AG594" s="307"/>
      <c r="AH594" s="622">
        <f t="shared" si="729"/>
        <v>0</v>
      </c>
      <c r="AI594" s="633">
        <f>AH594*(1+VLOOKUP($F594,'GL Category'!$A:$H,7,FALSE))</f>
        <v>0</v>
      </c>
      <c r="AJ594" s="307"/>
      <c r="AK594" s="622">
        <f t="shared" si="730"/>
        <v>0</v>
      </c>
      <c r="AL594" s="633">
        <f>AK594*(1+VLOOKUP($F594,'GL Category'!$A:$H,8,FALSE))</f>
        <v>0</v>
      </c>
      <c r="AM594" s="307"/>
      <c r="AN594" s="622">
        <f t="shared" si="731"/>
        <v>0</v>
      </c>
    </row>
    <row r="595" spans="1:40" s="115" customFormat="1" ht="15" customHeight="1">
      <c r="A595" s="555" t="s">
        <v>2087</v>
      </c>
      <c r="B595" s="217" t="str">
        <f t="shared" si="643"/>
        <v>150</v>
      </c>
      <c r="C595" s="217" t="str">
        <f t="shared" si="649"/>
        <v>00</v>
      </c>
      <c r="D595" s="101" t="str">
        <f t="shared" si="644"/>
        <v>000</v>
      </c>
      <c r="E595" s="217" t="str">
        <f t="shared" si="645"/>
        <v>150-00-000</v>
      </c>
      <c r="F595" s="294" t="str">
        <f t="shared" si="650"/>
        <v>49170</v>
      </c>
      <c r="G595" s="295" t="str">
        <f>VLOOKUP(F595,'GL Category'!A:C,3,FALSE)</f>
        <v>TRANSFERS IN</v>
      </c>
      <c r="H595" s="98" t="str">
        <f>VLOOKUP(F595,'GL Category'!A:C,2,FALSE)</f>
        <v>TRANSFER FROM CAPITAL PROJECTS</v>
      </c>
      <c r="I595" s="99">
        <f>SUMIF(Import!$B:$B,'Other Fund Line-Item Details'!$A595,Import!D:D)</f>
        <v>0</v>
      </c>
      <c r="J595" s="99">
        <f>SUMIF(Import!$B:$B,'Other Fund Line-Item Details'!$A595,Import!E:E)</f>
        <v>0</v>
      </c>
      <c r="K595" s="99">
        <f>SUMIF(Import!$B:$B,'Other Fund Line-Item Details'!$A595,Import!F:F)</f>
        <v>0</v>
      </c>
      <c r="L595" s="99">
        <f>SUMIF(Import!$B:$B,'Other Fund Line-Item Details'!$A595,Import!G:G)</f>
        <v>0</v>
      </c>
      <c r="M595" s="99">
        <f>SUMIF(Import!$B:$B,'Other Fund Line-Item Details'!$A595,Import!H:H)</f>
        <v>0</v>
      </c>
      <c r="N595" s="99">
        <f>SUMIF(Import!$B:$B,'Other Fund Line-Item Details'!$A595,Import!I:I)</f>
        <v>0</v>
      </c>
      <c r="O595" s="99">
        <f>SUMIF(Import!$B:$B,'Other Fund Line-Item Details'!$A595,Import!J:J)</f>
        <v>0</v>
      </c>
      <c r="P595" s="99">
        <f t="shared" si="723"/>
        <v>0</v>
      </c>
      <c r="Q595" s="99">
        <f>SUMIF(Import!$B:$B,'Other Fund Line-Item Details'!$A595,Import!K:K)</f>
        <v>0</v>
      </c>
      <c r="R595" s="99">
        <f>SUMIF(Import!$B:$B,'Other Fund Line-Item Details'!$A595,Import!L:L)</f>
        <v>0</v>
      </c>
      <c r="S595" s="99">
        <f>SUMIF(Import!$B:$B,'Other Fund Line-Item Details'!$A595,Import!M:M)</f>
        <v>0</v>
      </c>
      <c r="T595" s="99">
        <f>SUMIF(Import!$B:$B,'Other Fund Line-Item Details'!$A595,Import!N:N)</f>
        <v>0</v>
      </c>
      <c r="U595" s="99">
        <f t="shared" si="724"/>
        <v>0</v>
      </c>
      <c r="V595" s="255" t="str">
        <f t="shared" si="725"/>
        <v>N/A</v>
      </c>
      <c r="W595" s="102" t="s">
        <v>2087</v>
      </c>
      <c r="X595" s="102"/>
      <c r="Y595" s="102">
        <f t="shared" si="726"/>
        <v>0</v>
      </c>
      <c r="Z595" s="309">
        <f>Y595*(1+VLOOKUP($F595,'GL Category'!$A:$H,4,FALSE))</f>
        <v>0</v>
      </c>
      <c r="AA595" s="615"/>
      <c r="AB595" s="622">
        <f t="shared" si="727"/>
        <v>0</v>
      </c>
      <c r="AC595" s="633">
        <f>AB595*(1+VLOOKUP($F595,'GL Category'!$A:$H,5,FALSE))</f>
        <v>0</v>
      </c>
      <c r="AD595" s="307"/>
      <c r="AE595" s="622">
        <f t="shared" si="728"/>
        <v>0</v>
      </c>
      <c r="AF595" s="633">
        <f>AE595*(1+VLOOKUP($F595,'GL Category'!$A:$H,6,FALSE))</f>
        <v>0</v>
      </c>
      <c r="AG595" s="307"/>
      <c r="AH595" s="622">
        <f t="shared" si="729"/>
        <v>0</v>
      </c>
      <c r="AI595" s="633">
        <f>AH595*(1+VLOOKUP($F595,'GL Category'!$A:$H,7,FALSE))</f>
        <v>0</v>
      </c>
      <c r="AJ595" s="307"/>
      <c r="AK595" s="622">
        <f t="shared" si="730"/>
        <v>0</v>
      </c>
      <c r="AL595" s="633">
        <f>AK595*(1+VLOOKUP($F595,'GL Category'!$A:$H,8,FALSE))</f>
        <v>0</v>
      </c>
      <c r="AM595" s="307"/>
      <c r="AN595" s="622">
        <f t="shared" si="731"/>
        <v>0</v>
      </c>
    </row>
    <row r="596" spans="1:40" s="115" customFormat="1" ht="15" customHeight="1">
      <c r="A596" s="555" t="s">
        <v>2088</v>
      </c>
      <c r="B596" s="217" t="str">
        <f t="shared" si="643"/>
        <v>150</v>
      </c>
      <c r="C596" s="217" t="str">
        <f t="shared" si="649"/>
        <v>00</v>
      </c>
      <c r="D596" s="101" t="str">
        <f t="shared" si="644"/>
        <v>000</v>
      </c>
      <c r="E596" s="217" t="str">
        <f t="shared" si="645"/>
        <v>150-00-000</v>
      </c>
      <c r="F596" s="294" t="str">
        <f t="shared" si="650"/>
        <v>49178</v>
      </c>
      <c r="G596" s="295" t="str">
        <f>VLOOKUP(F596,'GL Category'!A:C,3,FALSE)</f>
        <v>TRANSFERS IN</v>
      </c>
      <c r="H596" s="98" t="str">
        <f>VLOOKUP(F596,'GL Category'!A:C,2,FALSE)</f>
        <v>TRANSFER FROM PARKS CIP</v>
      </c>
      <c r="I596" s="99">
        <f>SUMIF(Import!$B:$B,'Other Fund Line-Item Details'!$A596,Import!D:D)</f>
        <v>0</v>
      </c>
      <c r="J596" s="99">
        <f>SUMIF(Import!$B:$B,'Other Fund Line-Item Details'!$A596,Import!E:E)</f>
        <v>0</v>
      </c>
      <c r="K596" s="99">
        <f>SUMIF(Import!$B:$B,'Other Fund Line-Item Details'!$A596,Import!F:F)</f>
        <v>0</v>
      </c>
      <c r="L596" s="99">
        <f>SUMIF(Import!$B:$B,'Other Fund Line-Item Details'!$A596,Import!G:G)</f>
        <v>0</v>
      </c>
      <c r="M596" s="99">
        <f>SUMIF(Import!$B:$B,'Other Fund Line-Item Details'!$A596,Import!H:H)</f>
        <v>0</v>
      </c>
      <c r="N596" s="99">
        <f>SUMIF(Import!$B:$B,'Other Fund Line-Item Details'!$A596,Import!I:I)</f>
        <v>0</v>
      </c>
      <c r="O596" s="99">
        <f>SUMIF(Import!$B:$B,'Other Fund Line-Item Details'!$A596,Import!J:J)</f>
        <v>0</v>
      </c>
      <c r="P596" s="99">
        <f t="shared" si="723"/>
        <v>0</v>
      </c>
      <c r="Q596" s="99">
        <f>SUMIF(Import!$B:$B,'Other Fund Line-Item Details'!$A596,Import!K:K)</f>
        <v>0</v>
      </c>
      <c r="R596" s="99">
        <f>SUMIF(Import!$B:$B,'Other Fund Line-Item Details'!$A596,Import!L:L)</f>
        <v>0</v>
      </c>
      <c r="S596" s="99">
        <f>SUMIF(Import!$B:$B,'Other Fund Line-Item Details'!$A596,Import!M:M)</f>
        <v>0</v>
      </c>
      <c r="T596" s="99">
        <f>SUMIF(Import!$B:$B,'Other Fund Line-Item Details'!$A596,Import!N:N)</f>
        <v>0</v>
      </c>
      <c r="U596" s="99">
        <f t="shared" si="724"/>
        <v>0</v>
      </c>
      <c r="V596" s="255" t="str">
        <f t="shared" si="725"/>
        <v>N/A</v>
      </c>
      <c r="W596" s="102" t="s">
        <v>2088</v>
      </c>
      <c r="X596" s="102"/>
      <c r="Y596" s="102">
        <f t="shared" si="726"/>
        <v>0</v>
      </c>
      <c r="Z596" s="309">
        <f>Y596*(1+VLOOKUP($F596,'GL Category'!$A:$H,4,FALSE))</f>
        <v>0</v>
      </c>
      <c r="AA596" s="615"/>
      <c r="AB596" s="622">
        <f t="shared" si="727"/>
        <v>0</v>
      </c>
      <c r="AC596" s="633">
        <f>AB596*(1+VLOOKUP($F596,'GL Category'!$A:$H,5,FALSE))</f>
        <v>0</v>
      </c>
      <c r="AD596" s="307"/>
      <c r="AE596" s="622">
        <f t="shared" si="728"/>
        <v>0</v>
      </c>
      <c r="AF596" s="633">
        <f>AE596*(1+VLOOKUP($F596,'GL Category'!$A:$H,6,FALSE))</f>
        <v>0</v>
      </c>
      <c r="AG596" s="307"/>
      <c r="AH596" s="622">
        <f t="shared" si="729"/>
        <v>0</v>
      </c>
      <c r="AI596" s="633">
        <f>AH596*(1+VLOOKUP($F596,'GL Category'!$A:$H,7,FALSE))</f>
        <v>0</v>
      </c>
      <c r="AJ596" s="307"/>
      <c r="AK596" s="622">
        <f t="shared" si="730"/>
        <v>0</v>
      </c>
      <c r="AL596" s="633">
        <f>AK596*(1+VLOOKUP($F596,'GL Category'!$A:$H,8,FALSE))</f>
        <v>0</v>
      </c>
      <c r="AM596" s="307"/>
      <c r="AN596" s="622">
        <f t="shared" si="731"/>
        <v>0</v>
      </c>
    </row>
    <row r="597" spans="1:40" s="115" customFormat="1" ht="15" customHeight="1">
      <c r="A597" s="555" t="s">
        <v>2089</v>
      </c>
      <c r="B597" s="217" t="str">
        <f t="shared" si="643"/>
        <v>150</v>
      </c>
      <c r="C597" s="217" t="str">
        <f t="shared" si="649"/>
        <v>00</v>
      </c>
      <c r="D597" s="101" t="str">
        <f t="shared" si="644"/>
        <v>000</v>
      </c>
      <c r="E597" s="217" t="str">
        <f t="shared" si="645"/>
        <v>150-00-000</v>
      </c>
      <c r="F597" s="294" t="str">
        <f t="shared" si="650"/>
        <v>49200</v>
      </c>
      <c r="G597" s="295" t="s">
        <v>916</v>
      </c>
      <c r="H597" s="98" t="str">
        <f>VLOOKUP(F597,'GL Category'!A:C,2,FALSE)</f>
        <v>TRANSFER FROM W&amp;S FUND</v>
      </c>
      <c r="I597" s="99">
        <f>SUMIF(Import!$B:$B,'Other Fund Line-Item Details'!$A597,Import!D:D)</f>
        <v>0</v>
      </c>
      <c r="J597" s="99">
        <f>SUMIF(Import!$B:$B,'Other Fund Line-Item Details'!$A597,Import!E:E)</f>
        <v>0</v>
      </c>
      <c r="K597" s="99">
        <f>SUMIF(Import!$B:$B,'Other Fund Line-Item Details'!$A597,Import!F:F)</f>
        <v>0</v>
      </c>
      <c r="L597" s="99">
        <f>SUMIF(Import!$B:$B,'Other Fund Line-Item Details'!$A597,Import!G:G)</f>
        <v>0</v>
      </c>
      <c r="M597" s="99">
        <f>SUMIF(Import!$B:$B,'Other Fund Line-Item Details'!$A597,Import!H:H)</f>
        <v>0</v>
      </c>
      <c r="N597" s="99">
        <f>SUMIF(Import!$B:$B,'Other Fund Line-Item Details'!$A597,Import!I:I)</f>
        <v>0</v>
      </c>
      <c r="O597" s="99">
        <f>SUMIF(Import!$B:$B,'Other Fund Line-Item Details'!$A597,Import!J:J)</f>
        <v>0</v>
      </c>
      <c r="P597" s="99">
        <f t="shared" si="723"/>
        <v>0</v>
      </c>
      <c r="Q597" s="99">
        <f>SUMIF(Import!$B:$B,'Other Fund Line-Item Details'!$A597,Import!K:K)</f>
        <v>0</v>
      </c>
      <c r="R597" s="99">
        <f>SUMIF(Import!$B:$B,'Other Fund Line-Item Details'!$A597,Import!L:L)</f>
        <v>0</v>
      </c>
      <c r="S597" s="99">
        <f>SUMIF(Import!$B:$B,'Other Fund Line-Item Details'!$A597,Import!M:M)</f>
        <v>0</v>
      </c>
      <c r="T597" s="99">
        <f>SUMIF(Import!$B:$B,'Other Fund Line-Item Details'!$A597,Import!N:N)</f>
        <v>0</v>
      </c>
      <c r="U597" s="99">
        <f t="shared" si="724"/>
        <v>0</v>
      </c>
      <c r="V597" s="255" t="str">
        <f t="shared" si="725"/>
        <v>N/A</v>
      </c>
      <c r="W597" s="102" t="s">
        <v>2089</v>
      </c>
      <c r="X597" s="102"/>
      <c r="Y597" s="102">
        <f t="shared" si="726"/>
        <v>0</v>
      </c>
      <c r="Z597" s="309">
        <f>Y597*(1+VLOOKUP($F597,'GL Category'!$A:$H,4,FALSE))</f>
        <v>0</v>
      </c>
      <c r="AA597" s="615"/>
      <c r="AB597" s="622">
        <f t="shared" si="727"/>
        <v>0</v>
      </c>
      <c r="AC597" s="633">
        <f>AB597*(1+VLOOKUP($F597,'GL Category'!$A:$H,5,FALSE))</f>
        <v>0</v>
      </c>
      <c r="AD597" s="307"/>
      <c r="AE597" s="622">
        <f t="shared" si="728"/>
        <v>0</v>
      </c>
      <c r="AF597" s="633">
        <f>AE597*(1+VLOOKUP($F597,'GL Category'!$A:$H,6,FALSE))</f>
        <v>0</v>
      </c>
      <c r="AG597" s="307"/>
      <c r="AH597" s="622">
        <f t="shared" si="729"/>
        <v>0</v>
      </c>
      <c r="AI597" s="633">
        <f>AH597*(1+VLOOKUP($F597,'GL Category'!$A:$H,7,FALSE))</f>
        <v>0</v>
      </c>
      <c r="AJ597" s="307"/>
      <c r="AK597" s="622">
        <f t="shared" si="730"/>
        <v>0</v>
      </c>
      <c r="AL597" s="633">
        <f>AK597*(1+VLOOKUP($F597,'GL Category'!$A:$H,8,FALSE))</f>
        <v>0</v>
      </c>
      <c r="AM597" s="307"/>
      <c r="AN597" s="622">
        <f t="shared" si="731"/>
        <v>0</v>
      </c>
    </row>
    <row r="598" spans="1:40" s="115" customFormat="1" ht="15" customHeight="1">
      <c r="A598" s="555"/>
      <c r="B598" s="217"/>
      <c r="C598" s="217"/>
      <c r="D598" s="101"/>
      <c r="E598" s="217"/>
      <c r="F598" s="294"/>
      <c r="G598" s="146"/>
      <c r="H598" s="107" t="str">
        <f>UPPER(G597)&amp;" TOTAL"</f>
        <v>REVENUE TOTAL</v>
      </c>
      <c r="I598" s="108">
        <f t="shared" ref="I598" si="732">SUBTOTAL(9,I583:I597)</f>
        <v>-9197616.3499999996</v>
      </c>
      <c r="J598" s="108">
        <f t="shared" ref="J598:T598" si="733">SUBTOTAL(9,J583:J597)</f>
        <v>-3765230.65</v>
      </c>
      <c r="K598" s="108">
        <f t="shared" ref="K598" si="734">SUBTOTAL(9,K583:K597)</f>
        <v>-3586851.7699999996</v>
      </c>
      <c r="L598" s="108">
        <f t="shared" ref="L598" si="735">SUBTOTAL(9,L583:L597)</f>
        <v>-3748998.1100000003</v>
      </c>
      <c r="M598" s="108">
        <f t="shared" si="733"/>
        <v>-4061596</v>
      </c>
      <c r="N598" s="109">
        <f t="shared" ref="N598" si="736">SUBTOTAL(9,N583:N597)</f>
        <v>-4132018.3</v>
      </c>
      <c r="O598" s="109">
        <f t="shared" si="733"/>
        <v>-4167350</v>
      </c>
      <c r="P598" s="109">
        <f t="shared" si="733"/>
        <v>-105754</v>
      </c>
      <c r="Q598" s="109">
        <f t="shared" si="733"/>
        <v>-3857873</v>
      </c>
      <c r="R598" s="109">
        <f t="shared" si="733"/>
        <v>0</v>
      </c>
      <c r="S598" s="109">
        <f t="shared" si="733"/>
        <v>0</v>
      </c>
      <c r="T598" s="109">
        <f t="shared" si="733"/>
        <v>-3857873</v>
      </c>
      <c r="U598" s="99">
        <f t="shared" si="724"/>
        <v>203723</v>
      </c>
      <c r="V598" s="255">
        <f t="shared" si="725"/>
        <v>-5.0158361392910522E-2</v>
      </c>
      <c r="W598" s="102"/>
      <c r="X598" s="121"/>
      <c r="Y598" s="109">
        <f t="shared" ref="Y598:AN598" si="737">SUBTOTAL(9,Y583:Y597)</f>
        <v>-3857873</v>
      </c>
      <c r="Z598" s="109">
        <f t="shared" si="737"/>
        <v>-3768913.3307869891</v>
      </c>
      <c r="AA598" s="109">
        <f t="shared" si="737"/>
        <v>0</v>
      </c>
      <c r="AB598" s="109">
        <f t="shared" si="737"/>
        <v>-3768913.3307869891</v>
      </c>
      <c r="AC598" s="109">
        <f t="shared" si="737"/>
        <v>-3696799.9418324064</v>
      </c>
      <c r="AD598" s="109">
        <f t="shared" si="737"/>
        <v>0</v>
      </c>
      <c r="AE598" s="109">
        <f t="shared" si="737"/>
        <v>-3696799.9418324064</v>
      </c>
      <c r="AF598" s="109">
        <f t="shared" si="737"/>
        <v>-3693787.4373581279</v>
      </c>
      <c r="AG598" s="109">
        <f t="shared" si="737"/>
        <v>0</v>
      </c>
      <c r="AH598" s="109">
        <f t="shared" si="737"/>
        <v>-3693787.4373581279</v>
      </c>
      <c r="AI598" s="109">
        <f t="shared" si="737"/>
        <v>-4011618.9216347141</v>
      </c>
      <c r="AJ598" s="109">
        <f t="shared" si="737"/>
        <v>0</v>
      </c>
      <c r="AK598" s="109">
        <f t="shared" si="737"/>
        <v>-4011618.9216347141</v>
      </c>
      <c r="AL598" s="109">
        <f t="shared" si="737"/>
        <v>-3904256.9580820333</v>
      </c>
      <c r="AM598" s="109">
        <f t="shared" si="737"/>
        <v>0</v>
      </c>
      <c r="AN598" s="109">
        <f t="shared" si="737"/>
        <v>-3904256.9580820333</v>
      </c>
    </row>
    <row r="599" spans="1:40" s="115" customFormat="1" ht="15" customHeight="1">
      <c r="A599" s="555"/>
      <c r="B599" s="217"/>
      <c r="C599" s="217"/>
      <c r="D599" s="101"/>
      <c r="E599" s="217"/>
      <c r="F599" s="294"/>
      <c r="G599" s="146"/>
      <c r="H599" s="98"/>
      <c r="I599" s="106"/>
      <c r="J599" s="106"/>
      <c r="K599" s="106"/>
      <c r="L599" s="106"/>
      <c r="M599" s="106"/>
      <c r="N599" s="112"/>
      <c r="O599" s="112"/>
      <c r="P599" s="112"/>
      <c r="Q599" s="113"/>
      <c r="R599" s="113"/>
      <c r="S599" s="113"/>
      <c r="T599" s="113"/>
      <c r="U599" s="105"/>
      <c r="V599" s="262"/>
      <c r="W599" s="102"/>
      <c r="X599" s="121"/>
      <c r="Y599" s="121"/>
      <c r="Z599" s="121"/>
      <c r="AA599" s="121"/>
      <c r="AB599" s="121"/>
      <c r="AC599" s="121"/>
      <c r="AD599" s="121"/>
      <c r="AE599" s="121"/>
      <c r="AF599" s="121"/>
      <c r="AG599" s="121"/>
      <c r="AH599" s="121"/>
      <c r="AI599" s="121"/>
    </row>
    <row r="600" spans="1:40" s="115" customFormat="1" ht="15" customHeight="1">
      <c r="A600" s="555" t="s">
        <v>2090</v>
      </c>
      <c r="B600" s="217" t="str">
        <f t="shared" si="643"/>
        <v>150</v>
      </c>
      <c r="C600" s="217" t="str">
        <f t="shared" si="649"/>
        <v>13</v>
      </c>
      <c r="D600" s="101" t="str">
        <f t="shared" si="644"/>
        <v>131</v>
      </c>
      <c r="E600" s="217" t="str">
        <f t="shared" si="645"/>
        <v>150-13-131</v>
      </c>
      <c r="F600" s="294" t="str">
        <f t="shared" si="650"/>
        <v>53556</v>
      </c>
      <c r="G600" s="295" t="e">
        <f>VLOOKUP(F600,'GL Category'!A:C,3,FALSE)</f>
        <v>#N/A</v>
      </c>
      <c r="H600" s="98" t="e">
        <f>VLOOKUP(F600,'GL Category'!A:C,2,FALSE)</f>
        <v>#N/A</v>
      </c>
      <c r="I600" s="99">
        <f>SUMIF(Import!$B:$B,'Other Fund Line-Item Details'!$A600,Import!D:D)</f>
        <v>0</v>
      </c>
      <c r="J600" s="99">
        <f>SUMIF(Import!$B:$B,'Other Fund Line-Item Details'!$A600,Import!E:E)</f>
        <v>0</v>
      </c>
      <c r="K600" s="99">
        <f>SUMIF(Import!$B:$B,'Other Fund Line-Item Details'!$A600,Import!F:F)</f>
        <v>0</v>
      </c>
      <c r="L600" s="99">
        <f>SUMIF(Import!$B:$B,'Other Fund Line-Item Details'!$A600,Import!G:G)</f>
        <v>0</v>
      </c>
      <c r="M600" s="99">
        <f>SUMIF(Import!$B:$B,'Other Fund Line-Item Details'!$A600,Import!H:H)</f>
        <v>0</v>
      </c>
      <c r="N600" s="99">
        <f>SUMIF(Import!$B:$B,'Other Fund Line-Item Details'!$A600,Import!I:I)</f>
        <v>0</v>
      </c>
      <c r="O600" s="99">
        <f>SUMIF(Import!$B:$B,'Other Fund Line-Item Details'!$A600,Import!J:J)</f>
        <v>0</v>
      </c>
      <c r="P600" s="99">
        <f>O600-M600</f>
        <v>0</v>
      </c>
      <c r="Q600" s="99">
        <f>SUMIF(Import!$B:$B,'Other Fund Line-Item Details'!$A600,Import!K:K)</f>
        <v>0</v>
      </c>
      <c r="R600" s="99">
        <f>SUMIF(Import!$B:$B,'Other Fund Line-Item Details'!$A600,Import!L:L)</f>
        <v>0</v>
      </c>
      <c r="S600" s="99">
        <f>SUMIF(Import!$B:$B,'Other Fund Line-Item Details'!$A600,Import!M:M)</f>
        <v>0</v>
      </c>
      <c r="T600" s="99">
        <f>SUMIF(Import!$B:$B,'Other Fund Line-Item Details'!$A600,Import!N:N)</f>
        <v>0</v>
      </c>
      <c r="U600" s="99">
        <f>T600-M600</f>
        <v>0</v>
      </c>
      <c r="V600" s="255" t="str">
        <f>IF(M600=0,"N/A",T600/M600-1)</f>
        <v>N/A</v>
      </c>
      <c r="W600" s="102"/>
      <c r="X600" s="102"/>
      <c r="Y600" s="102"/>
      <c r="Z600" s="309"/>
      <c r="AA600" s="615"/>
      <c r="AB600" s="622"/>
      <c r="AC600" s="633"/>
      <c r="AD600" s="307"/>
      <c r="AE600" s="622"/>
      <c r="AF600" s="633"/>
      <c r="AG600" s="307"/>
      <c r="AH600" s="622"/>
      <c r="AI600" s="633"/>
      <c r="AJ600" s="307"/>
      <c r="AK600" s="622"/>
      <c r="AL600" s="633"/>
      <c r="AM600" s="307"/>
      <c r="AN600" s="622"/>
    </row>
    <row r="601" spans="1:40" s="115" customFormat="1" ht="15" customHeight="1">
      <c r="A601" s="555"/>
      <c r="B601" s="217"/>
      <c r="C601" s="217"/>
      <c r="D601" s="101"/>
      <c r="E601" s="217"/>
      <c r="F601" s="294"/>
      <c r="G601" s="146"/>
      <c r="H601" s="107" t="e">
        <f>UPPER(G600)&amp;" TOTAL"</f>
        <v>#N/A</v>
      </c>
      <c r="I601" s="108">
        <f t="shared" ref="I601" si="738">SUBTOTAL(9,I600:I600)</f>
        <v>0</v>
      </c>
      <c r="J601" s="108">
        <f t="shared" ref="J601:T601" si="739">SUBTOTAL(9,J600:J600)</f>
        <v>0</v>
      </c>
      <c r="K601" s="108">
        <f t="shared" ref="K601" si="740">SUBTOTAL(9,K600:K600)</f>
        <v>0</v>
      </c>
      <c r="L601" s="108">
        <f t="shared" ref="L601" si="741">SUBTOTAL(9,L600:L600)</f>
        <v>0</v>
      </c>
      <c r="M601" s="108">
        <f t="shared" si="739"/>
        <v>0</v>
      </c>
      <c r="N601" s="109">
        <f t="shared" ref="N601" si="742">SUBTOTAL(9,N600:N600)</f>
        <v>0</v>
      </c>
      <c r="O601" s="109">
        <f t="shared" si="739"/>
        <v>0</v>
      </c>
      <c r="P601" s="109">
        <f t="shared" si="739"/>
        <v>0</v>
      </c>
      <c r="Q601" s="109">
        <f t="shared" si="739"/>
        <v>0</v>
      </c>
      <c r="R601" s="109">
        <f t="shared" si="739"/>
        <v>0</v>
      </c>
      <c r="S601" s="109">
        <f t="shared" si="739"/>
        <v>0</v>
      </c>
      <c r="T601" s="109">
        <f t="shared" si="739"/>
        <v>0</v>
      </c>
      <c r="U601" s="99">
        <f>T601-M601</f>
        <v>0</v>
      </c>
      <c r="V601" s="255" t="str">
        <f>IF(M601=0,"N/A",T601/M601-1)</f>
        <v>N/A</v>
      </c>
      <c r="W601" s="102"/>
      <c r="X601" s="121"/>
      <c r="Y601" s="121"/>
      <c r="Z601" s="121"/>
      <c r="AA601" s="121"/>
      <c r="AB601" s="121"/>
      <c r="AC601" s="121"/>
      <c r="AD601" s="121"/>
      <c r="AE601" s="121"/>
      <c r="AF601" s="121"/>
      <c r="AG601" s="121"/>
      <c r="AH601" s="121"/>
      <c r="AI601" s="121"/>
    </row>
    <row r="602" spans="1:40" s="115" customFormat="1" ht="15" customHeight="1">
      <c r="A602" s="555"/>
      <c r="B602" s="217"/>
      <c r="C602" s="217"/>
      <c r="D602" s="101"/>
      <c r="E602" s="217"/>
      <c r="F602" s="294"/>
      <c r="G602" s="146"/>
      <c r="H602" s="98"/>
      <c r="I602" s="106"/>
      <c r="J602" s="106"/>
      <c r="K602" s="106"/>
      <c r="L602" s="106"/>
      <c r="M602" s="106"/>
      <c r="N602" s="112"/>
      <c r="O602" s="112"/>
      <c r="P602" s="112"/>
      <c r="Q602" s="113"/>
      <c r="R602" s="113"/>
      <c r="S602" s="113"/>
      <c r="T602" s="113"/>
      <c r="U602" s="105"/>
      <c r="V602" s="262"/>
      <c r="W602" s="102"/>
      <c r="X602" s="121"/>
      <c r="Y602" s="121"/>
      <c r="Z602" s="121"/>
      <c r="AA602" s="121"/>
      <c r="AB602" s="121"/>
      <c r="AC602" s="121"/>
      <c r="AD602" s="121"/>
      <c r="AE602" s="121"/>
      <c r="AF602" s="121"/>
      <c r="AG602" s="121"/>
      <c r="AH602" s="121"/>
      <c r="AI602" s="121"/>
    </row>
    <row r="603" spans="1:40" s="115" customFormat="1" ht="15" customHeight="1">
      <c r="A603" s="555" t="s">
        <v>2091</v>
      </c>
      <c r="B603" s="217" t="str">
        <f t="shared" si="643"/>
        <v>150</v>
      </c>
      <c r="C603" s="217" t="str">
        <f t="shared" si="649"/>
        <v>13</v>
      </c>
      <c r="D603" s="101" t="str">
        <f t="shared" si="644"/>
        <v>131</v>
      </c>
      <c r="E603" s="217" t="str">
        <f t="shared" si="645"/>
        <v>150-13-131</v>
      </c>
      <c r="F603" s="294" t="str">
        <f t="shared" si="650"/>
        <v>53599</v>
      </c>
      <c r="G603" s="295" t="str">
        <f>VLOOKUP(F603,'GL Category'!A:C,3,FALSE)</f>
        <v>Services &amp; other</v>
      </c>
      <c r="H603" s="98" t="str">
        <f>VLOOKUP(F603,'GL Category'!A:C,2,FALSE)</f>
        <v>MISCELLANEOUS SERVICES</v>
      </c>
      <c r="I603" s="99">
        <f>SUMIF(Import!$B:$B,'Other Fund Line-Item Details'!$A603,Import!D:D)</f>
        <v>0</v>
      </c>
      <c r="J603" s="99">
        <f>SUMIF(Import!$B:$B,'Other Fund Line-Item Details'!$A603,Import!E:E)</f>
        <v>0</v>
      </c>
      <c r="K603" s="99">
        <f>SUMIF(Import!$B:$B,'Other Fund Line-Item Details'!$A603,Import!F:F)</f>
        <v>20007.52</v>
      </c>
      <c r="L603" s="99">
        <f>SUMIF(Import!$B:$B,'Other Fund Line-Item Details'!$A603,Import!G:G)</f>
        <v>0</v>
      </c>
      <c r="M603" s="99">
        <f>SUMIF(Import!$B:$B,'Other Fund Line-Item Details'!$A603,Import!H:H)</f>
        <v>0</v>
      </c>
      <c r="N603" s="99">
        <f>SUMIF(Import!$B:$B,'Other Fund Line-Item Details'!$A603,Import!I:I)</f>
        <v>0</v>
      </c>
      <c r="O603" s="99">
        <f>SUMIF(Import!$B:$B,'Other Fund Line-Item Details'!$A603,Import!J:J)</f>
        <v>0</v>
      </c>
      <c r="P603" s="99">
        <f>O603-M603</f>
        <v>0</v>
      </c>
      <c r="Q603" s="99">
        <f>SUMIF(Import!$B:$B,'Other Fund Line-Item Details'!$A603,Import!K:K)</f>
        <v>0</v>
      </c>
      <c r="R603" s="99">
        <f>SUMIF(Import!$B:$B,'Other Fund Line-Item Details'!$A603,Import!L:L)</f>
        <v>0</v>
      </c>
      <c r="S603" s="99">
        <f>SUMIF(Import!$B:$B,'Other Fund Line-Item Details'!$A603,Import!M:M)</f>
        <v>0</v>
      </c>
      <c r="T603" s="99">
        <f>SUMIF(Import!$B:$B,'Other Fund Line-Item Details'!$A603,Import!N:N)</f>
        <v>0</v>
      </c>
      <c r="U603" s="99">
        <f t="shared" ref="U603:U608" si="743">T603-M603</f>
        <v>0</v>
      </c>
      <c r="V603" s="255" t="str">
        <f t="shared" ref="V603:V608" si="744">IF(M603=0,"N/A",T603/M603-1)</f>
        <v>N/A</v>
      </c>
      <c r="W603" s="102" t="s">
        <v>2091</v>
      </c>
      <c r="X603" s="102"/>
      <c r="Y603" s="102">
        <f t="shared" ref="Y603:Y606" si="745">T603-X603</f>
        <v>0</v>
      </c>
      <c r="Z603" s="309">
        <f>Y603*(1+VLOOKUP($F603,'GL Category'!$A:$H,4,FALSE))</f>
        <v>0</v>
      </c>
      <c r="AA603" s="615"/>
      <c r="AB603" s="622">
        <f t="shared" ref="AB603:AB606" si="746">Z603+AA603</f>
        <v>0</v>
      </c>
      <c r="AC603" s="633">
        <f>AB603*(1+VLOOKUP($F603,'GL Category'!$A:$H,5,FALSE))</f>
        <v>0</v>
      </c>
      <c r="AD603" s="307"/>
      <c r="AE603" s="622">
        <f t="shared" ref="AE603:AE606" si="747">AC603+AD603</f>
        <v>0</v>
      </c>
      <c r="AF603" s="633">
        <f>AE603*(1+VLOOKUP($F603,'GL Category'!$A:$H,6,FALSE))</f>
        <v>0</v>
      </c>
      <c r="AG603" s="307"/>
      <c r="AH603" s="622">
        <f t="shared" ref="AH603:AH606" si="748">AF603+AG603</f>
        <v>0</v>
      </c>
      <c r="AI603" s="633">
        <f>AH603*(1+VLOOKUP($F603,'GL Category'!$A:$H,7,FALSE))</f>
        <v>0</v>
      </c>
      <c r="AJ603" s="307"/>
      <c r="AK603" s="622">
        <f t="shared" ref="AK603:AK606" si="749">AI603+AJ603</f>
        <v>0</v>
      </c>
      <c r="AL603" s="633">
        <f>AK603*(1+VLOOKUP($F603,'GL Category'!$A:$H,8,FALSE))</f>
        <v>0</v>
      </c>
      <c r="AM603" s="307"/>
      <c r="AN603" s="622">
        <f t="shared" ref="AN603:AN606" si="750">AL603+AM603</f>
        <v>0</v>
      </c>
    </row>
    <row r="604" spans="1:40" s="115" customFormat="1" ht="15" customHeight="1">
      <c r="A604" s="555" t="s">
        <v>2092</v>
      </c>
      <c r="B604" s="217" t="str">
        <f t="shared" si="643"/>
        <v>150</v>
      </c>
      <c r="C604" s="217" t="str">
        <f t="shared" si="649"/>
        <v>13</v>
      </c>
      <c r="D604" s="101" t="str">
        <f t="shared" si="644"/>
        <v>131</v>
      </c>
      <c r="E604" s="217" t="str">
        <f t="shared" si="645"/>
        <v>150-13-131</v>
      </c>
      <c r="F604" s="294" t="str">
        <f t="shared" si="650"/>
        <v>56900</v>
      </c>
      <c r="G604" s="295" t="str">
        <f>VLOOKUP(F604,'GL Category'!A:C,3,FALSE)</f>
        <v>Debt Service</v>
      </c>
      <c r="H604" s="98" t="str">
        <f>VLOOKUP(F604,'GL Category'!A:C,2,FALSE)</f>
        <v>INTEREST/OTHER DEBTAMORTIZATI</v>
      </c>
      <c r="I604" s="99">
        <f>SUMIF(Import!$B:$B,'Other Fund Line-Item Details'!$A604,Import!D:D)</f>
        <v>638140.75</v>
      </c>
      <c r="J604" s="99">
        <f>SUMIF(Import!$B:$B,'Other Fund Line-Item Details'!$A604,Import!E:E)</f>
        <v>752858.5</v>
      </c>
      <c r="K604" s="99">
        <f>SUMIF(Import!$B:$B,'Other Fund Line-Item Details'!$A604,Import!F:F)</f>
        <v>707843.75</v>
      </c>
      <c r="L604" s="99">
        <f>SUMIF(Import!$B:$B,'Other Fund Line-Item Details'!$A604,Import!G:G)</f>
        <v>608687.25</v>
      </c>
      <c r="M604" s="99">
        <f>SUMIF(Import!$B:$B,'Other Fund Line-Item Details'!$A604,Import!H:H)</f>
        <v>510775</v>
      </c>
      <c r="N604" s="99">
        <f>SUMIF(Import!$B:$B,'Other Fund Line-Item Details'!$A604,Import!I:I)</f>
        <v>281350</v>
      </c>
      <c r="O604" s="99">
        <f>SUMIF(Import!$B:$B,'Other Fund Line-Item Details'!$A604,Import!J:J)</f>
        <v>510775</v>
      </c>
      <c r="P604" s="99">
        <f>O604-M604</f>
        <v>0</v>
      </c>
      <c r="Q604" s="99">
        <f>SUMIF(Import!$B:$B,'Other Fund Line-Item Details'!$A604,Import!K:K)</f>
        <v>1079996</v>
      </c>
      <c r="R604" s="99">
        <f>SUMIF(Import!$B:$B,'Other Fund Line-Item Details'!$A604,Import!L:L)</f>
        <v>0</v>
      </c>
      <c r="S604" s="99">
        <f>SUMIF(Import!$B:$B,'Other Fund Line-Item Details'!$A604,Import!M:M)</f>
        <v>0</v>
      </c>
      <c r="T604" s="99">
        <f>SUMIF(Import!$B:$B,'Other Fund Line-Item Details'!$A604,Import!N:N)</f>
        <v>1079996</v>
      </c>
      <c r="U604" s="99">
        <f t="shared" si="743"/>
        <v>569221</v>
      </c>
      <c r="V604" s="255">
        <f t="shared" si="744"/>
        <v>1.1144261171748813</v>
      </c>
      <c r="W604" s="102" t="s">
        <v>2092</v>
      </c>
      <c r="X604" s="102"/>
      <c r="Y604" s="102">
        <f t="shared" si="745"/>
        <v>1079996</v>
      </c>
      <c r="Z604" s="309"/>
      <c r="AA604" s="615"/>
      <c r="AB604" s="622">
        <f t="shared" si="746"/>
        <v>0</v>
      </c>
      <c r="AC604" s="633">
        <f>AB604*(1+VLOOKUP($F604,'GL Category'!$A:$H,5,FALSE))</f>
        <v>0</v>
      </c>
      <c r="AD604" s="307"/>
      <c r="AE604" s="622">
        <f t="shared" si="747"/>
        <v>0</v>
      </c>
      <c r="AF604" s="633">
        <f>AE604*(1+VLOOKUP($F604,'GL Category'!$A:$H,6,FALSE))</f>
        <v>0</v>
      </c>
      <c r="AG604" s="307"/>
      <c r="AH604" s="622">
        <f t="shared" si="748"/>
        <v>0</v>
      </c>
      <c r="AI604" s="633">
        <f>AH604*(1+VLOOKUP($F604,'GL Category'!$A:$H,7,FALSE))</f>
        <v>0</v>
      </c>
      <c r="AJ604" s="307"/>
      <c r="AK604" s="622">
        <f t="shared" si="749"/>
        <v>0</v>
      </c>
      <c r="AL604" s="633">
        <f>AK604*(1+VLOOKUP($F604,'GL Category'!$A:$H,8,FALSE))</f>
        <v>0</v>
      </c>
      <c r="AM604" s="307"/>
      <c r="AN604" s="622">
        <f t="shared" si="750"/>
        <v>0</v>
      </c>
    </row>
    <row r="605" spans="1:40" s="115" customFormat="1" ht="15" customHeight="1">
      <c r="A605" s="555" t="s">
        <v>2093</v>
      </c>
      <c r="B605" s="217" t="str">
        <f t="shared" si="643"/>
        <v>150</v>
      </c>
      <c r="C605" s="217" t="str">
        <f t="shared" si="649"/>
        <v>13</v>
      </c>
      <c r="D605" s="101" t="str">
        <f t="shared" si="644"/>
        <v>131</v>
      </c>
      <c r="E605" s="217" t="str">
        <f t="shared" si="645"/>
        <v>150-13-131</v>
      </c>
      <c r="F605" s="294" t="str">
        <f t="shared" si="650"/>
        <v>56901</v>
      </c>
      <c r="G605" s="295" t="str">
        <f>VLOOKUP(F605,'GL Category'!A:C,3,FALSE)</f>
        <v>Debt Service</v>
      </c>
      <c r="H605" s="98" t="str">
        <f>VLOOKUP(F605,'GL Category'!A:C,2,FALSE)</f>
        <v>PAYING AGENT SERVICES</v>
      </c>
      <c r="I605" s="99">
        <f>SUMIF(Import!$B:$B,'Other Fund Line-Item Details'!$A605,Import!D:D)</f>
        <v>3432.5</v>
      </c>
      <c r="J605" s="99">
        <f>SUMIF(Import!$B:$B,'Other Fund Line-Item Details'!$A605,Import!E:E)</f>
        <v>2532.5</v>
      </c>
      <c r="K605" s="99">
        <f>SUMIF(Import!$B:$B,'Other Fund Line-Item Details'!$A605,Import!F:F)</f>
        <v>2727.5</v>
      </c>
      <c r="L605" s="99">
        <f>SUMIF(Import!$B:$B,'Other Fund Line-Item Details'!$A605,Import!G:G)</f>
        <v>2360</v>
      </c>
      <c r="M605" s="99">
        <f>SUMIF(Import!$B:$B,'Other Fund Line-Item Details'!$A605,Import!H:H)</f>
        <v>0</v>
      </c>
      <c r="N605" s="99">
        <f>SUMIF(Import!$B:$B,'Other Fund Line-Item Details'!$A605,Import!I:I)</f>
        <v>1757.25</v>
      </c>
      <c r="O605" s="99">
        <f>SUMIF(Import!$B:$B,'Other Fund Line-Item Details'!$A605,Import!J:J)</f>
        <v>0</v>
      </c>
      <c r="P605" s="99">
        <f>O605-M605</f>
        <v>0</v>
      </c>
      <c r="Q605" s="99">
        <f>SUMIF(Import!$B:$B,'Other Fund Line-Item Details'!$A605,Import!K:K)</f>
        <v>2750</v>
      </c>
      <c r="R605" s="99">
        <f>SUMIF(Import!$B:$B,'Other Fund Line-Item Details'!$A605,Import!L:L)</f>
        <v>0</v>
      </c>
      <c r="S605" s="99">
        <f>SUMIF(Import!$B:$B,'Other Fund Line-Item Details'!$A605,Import!M:M)</f>
        <v>0</v>
      </c>
      <c r="T605" s="99">
        <f>SUMIF(Import!$B:$B,'Other Fund Line-Item Details'!$A605,Import!N:N)</f>
        <v>2750</v>
      </c>
      <c r="U605" s="99">
        <f t="shared" si="743"/>
        <v>2750</v>
      </c>
      <c r="V605" s="255" t="str">
        <f t="shared" si="744"/>
        <v>N/A</v>
      </c>
      <c r="W605" s="102" t="s">
        <v>2093</v>
      </c>
      <c r="X605" s="102"/>
      <c r="Y605" s="102">
        <f t="shared" si="745"/>
        <v>2750</v>
      </c>
      <c r="Z605" s="309">
        <f>Y605*(1+VLOOKUP($F605,'GL Category'!$A:$H,4,FALSE))</f>
        <v>2750</v>
      </c>
      <c r="AA605" s="615"/>
      <c r="AB605" s="622">
        <f t="shared" si="746"/>
        <v>2750</v>
      </c>
      <c r="AC605" s="633">
        <f>AB605*(1+VLOOKUP($F605,'GL Category'!$A:$H,5,FALSE))</f>
        <v>2750</v>
      </c>
      <c r="AD605" s="307"/>
      <c r="AE605" s="622">
        <f t="shared" si="747"/>
        <v>2750</v>
      </c>
      <c r="AF605" s="633">
        <f>AE605*(1+VLOOKUP($F605,'GL Category'!$A:$H,6,FALSE))</f>
        <v>2750</v>
      </c>
      <c r="AG605" s="307"/>
      <c r="AH605" s="622">
        <f t="shared" si="748"/>
        <v>2750</v>
      </c>
      <c r="AI605" s="633">
        <f>AH605*(1+VLOOKUP($F605,'GL Category'!$A:$H,7,FALSE))</f>
        <v>2750</v>
      </c>
      <c r="AJ605" s="307"/>
      <c r="AK605" s="622">
        <f t="shared" si="749"/>
        <v>2750</v>
      </c>
      <c r="AL605" s="633">
        <f>AK605*(1+VLOOKUP($F605,'GL Category'!$A:$H,8,FALSE))</f>
        <v>2750</v>
      </c>
      <c r="AM605" s="307"/>
      <c r="AN605" s="622">
        <f t="shared" si="750"/>
        <v>2750</v>
      </c>
    </row>
    <row r="606" spans="1:40" s="115" customFormat="1" ht="15" customHeight="1">
      <c r="A606" s="555" t="s">
        <v>2094</v>
      </c>
      <c r="B606" s="217" t="str">
        <f t="shared" si="643"/>
        <v>150</v>
      </c>
      <c r="C606" s="217" t="str">
        <f t="shared" si="649"/>
        <v>13</v>
      </c>
      <c r="D606" s="101" t="str">
        <f t="shared" si="644"/>
        <v>131</v>
      </c>
      <c r="E606" s="217" t="str">
        <f t="shared" si="645"/>
        <v>150-13-131</v>
      </c>
      <c r="F606" s="294" t="str">
        <f t="shared" si="650"/>
        <v>56902</v>
      </c>
      <c r="G606" s="295" t="str">
        <f>VLOOKUP(F606,'GL Category'!A:C,3,FALSE)</f>
        <v>Debt Service</v>
      </c>
      <c r="H606" s="98" t="str">
        <f>VLOOKUP(F606,'GL Category'!A:C,2,FALSE)</f>
        <v>GO RETIREMENT</v>
      </c>
      <c r="I606" s="99">
        <f>SUMIF(Import!$B:$B,'Other Fund Line-Item Details'!$A606,Import!D:D)</f>
        <v>3191207</v>
      </c>
      <c r="J606" s="99">
        <f>SUMIF(Import!$B:$B,'Other Fund Line-Item Details'!$A606,Import!E:E)</f>
        <v>2910000</v>
      </c>
      <c r="K606" s="99">
        <f>SUMIF(Import!$B:$B,'Other Fund Line-Item Details'!$A606,Import!F:F)</f>
        <v>2930000</v>
      </c>
      <c r="L606" s="99">
        <f>SUMIF(Import!$B:$B,'Other Fund Line-Item Details'!$A606,Import!G:G)</f>
        <v>2660000</v>
      </c>
      <c r="M606" s="99">
        <f>SUMIF(Import!$B:$B,'Other Fund Line-Item Details'!$A606,Import!H:H)</f>
        <v>3485817</v>
      </c>
      <c r="N606" s="99">
        <f>SUMIF(Import!$B:$B,'Other Fund Line-Item Details'!$A606,Import!I:I)</f>
        <v>2665000</v>
      </c>
      <c r="O606" s="99">
        <f>SUMIF(Import!$B:$B,'Other Fund Line-Item Details'!$A606,Import!J:J)</f>
        <v>2712211</v>
      </c>
      <c r="P606" s="99">
        <f>O606-M606</f>
        <v>-773606</v>
      </c>
      <c r="Q606" s="99">
        <f>SUMIF(Import!$B:$B,'Other Fund Line-Item Details'!$A606,Import!K:K)</f>
        <v>2480000</v>
      </c>
      <c r="R606" s="99">
        <f>SUMIF(Import!$B:$B,'Other Fund Line-Item Details'!$A606,Import!L:L)</f>
        <v>0</v>
      </c>
      <c r="S606" s="99">
        <f>SUMIF(Import!$B:$B,'Other Fund Line-Item Details'!$A606,Import!M:M)</f>
        <v>0</v>
      </c>
      <c r="T606" s="99">
        <f>SUMIF(Import!$B:$B,'Other Fund Line-Item Details'!$A606,Import!N:N)</f>
        <v>2480000</v>
      </c>
      <c r="U606" s="99">
        <f t="shared" si="743"/>
        <v>-1005817</v>
      </c>
      <c r="V606" s="255">
        <f t="shared" si="744"/>
        <v>-0.28854555474369425</v>
      </c>
      <c r="W606" s="102" t="s">
        <v>2094</v>
      </c>
      <c r="X606" s="102"/>
      <c r="Y606" s="102">
        <f t="shared" si="745"/>
        <v>2480000</v>
      </c>
      <c r="Z606" s="309">
        <f>'DEBT SUMMARY'!$S$24</f>
        <v>3563600</v>
      </c>
      <c r="AA606" s="615"/>
      <c r="AB606" s="622">
        <f t="shared" si="746"/>
        <v>3563600</v>
      </c>
      <c r="AC606" s="309">
        <f>'DEBT SUMMARY'!$S$25</f>
        <v>3567300</v>
      </c>
      <c r="AD606" s="307"/>
      <c r="AE606" s="622">
        <f t="shared" si="747"/>
        <v>3567300</v>
      </c>
      <c r="AF606" s="309">
        <f>'DEBT SUMMARY'!$S$26</f>
        <v>3567000</v>
      </c>
      <c r="AG606" s="307"/>
      <c r="AH606" s="622">
        <f t="shared" si="748"/>
        <v>3567000</v>
      </c>
      <c r="AI606" s="309">
        <f>'DEBT SUMMARY'!$S$27</f>
        <v>3828684.2849847805</v>
      </c>
      <c r="AJ606" s="307"/>
      <c r="AK606" s="622">
        <f t="shared" si="749"/>
        <v>3828684.2849847805</v>
      </c>
      <c r="AL606" s="309">
        <f>'DEBT SUMMARY'!$S$28</f>
        <v>3802734.2849847805</v>
      </c>
      <c r="AM606" s="307"/>
      <c r="AN606" s="622">
        <f t="shared" si="750"/>
        <v>3802734.2849847805</v>
      </c>
    </row>
    <row r="607" spans="1:40" s="115" customFormat="1" ht="24" customHeight="1">
      <c r="A607" s="555" t="s">
        <v>2095</v>
      </c>
      <c r="B607" s="217" t="str">
        <f t="shared" si="643"/>
        <v>150</v>
      </c>
      <c r="C607" s="217" t="str">
        <f t="shared" si="649"/>
        <v>13</v>
      </c>
      <c r="D607" s="101" t="str">
        <f t="shared" si="644"/>
        <v>131</v>
      </c>
      <c r="E607" s="217" t="str">
        <f t="shared" si="645"/>
        <v>150-13-131</v>
      </c>
      <c r="F607" s="294" t="str">
        <f t="shared" si="650"/>
        <v>56910</v>
      </c>
      <c r="G607" s="295" t="e">
        <f>VLOOKUP(F607,'GL Category'!A:C,3,FALSE)</f>
        <v>#N/A</v>
      </c>
      <c r="H607" s="98" t="e">
        <f>VLOOKUP(F607,'GL Category'!A:C,2,FALSE)</f>
        <v>#N/A</v>
      </c>
      <c r="I607" s="99">
        <f>SUMIF(Import!$B:$B,'Other Fund Line-Item Details'!$A607,Import!D:D)</f>
        <v>0</v>
      </c>
      <c r="J607" s="99">
        <f>SUMIF(Import!$B:$B,'Other Fund Line-Item Details'!$A607,Import!E:E)</f>
        <v>0</v>
      </c>
      <c r="K607" s="99">
        <f>SUMIF(Import!$B:$B,'Other Fund Line-Item Details'!$A607,Import!F:F)</f>
        <v>0</v>
      </c>
      <c r="L607" s="99">
        <f>SUMIF(Import!$B:$B,'Other Fund Line-Item Details'!$A607,Import!G:G)</f>
        <v>0</v>
      </c>
      <c r="M607" s="99">
        <f>SUMIF(Import!$B:$B,'Other Fund Line-Item Details'!$A607,Import!H:H)</f>
        <v>0</v>
      </c>
      <c r="N607" s="99">
        <f>SUMIF(Import!$B:$B,'Other Fund Line-Item Details'!$A607,Import!I:I)</f>
        <v>0</v>
      </c>
      <c r="O607" s="99">
        <f>SUMIF(Import!$B:$B,'Other Fund Line-Item Details'!$A607,Import!J:J)</f>
        <v>0</v>
      </c>
      <c r="P607" s="99">
        <f>O607-M607</f>
        <v>0</v>
      </c>
      <c r="Q607" s="99">
        <f>SUMIF(Import!$B:$B,'Other Fund Line-Item Details'!$A607,Import!K:K)</f>
        <v>0</v>
      </c>
      <c r="R607" s="99">
        <f>SUMIF(Import!$B:$B,'Other Fund Line-Item Details'!$A607,Import!L:L)</f>
        <v>0</v>
      </c>
      <c r="S607" s="99">
        <f>SUMIF(Import!$B:$B,'Other Fund Line-Item Details'!$A607,Import!M:M)</f>
        <v>0</v>
      </c>
      <c r="T607" s="99">
        <f>SUMIF(Import!$B:$B,'Other Fund Line-Item Details'!$A607,Import!N:N)</f>
        <v>0</v>
      </c>
      <c r="U607" s="99">
        <f t="shared" si="743"/>
        <v>0</v>
      </c>
      <c r="V607" s="255" t="str">
        <f t="shared" si="744"/>
        <v>N/A</v>
      </c>
      <c r="W607" s="102"/>
      <c r="X607" s="102"/>
      <c r="Y607" s="102"/>
      <c r="Z607" s="309"/>
      <c r="AA607" s="615"/>
      <c r="AB607" s="622"/>
      <c r="AC607" s="633"/>
      <c r="AD607" s="307"/>
      <c r="AE607" s="622"/>
      <c r="AF607" s="633"/>
      <c r="AG607" s="307"/>
      <c r="AH607" s="622"/>
      <c r="AI607" s="633"/>
      <c r="AJ607" s="307"/>
      <c r="AK607" s="622"/>
      <c r="AL607" s="633"/>
      <c r="AM607" s="307"/>
      <c r="AN607" s="622"/>
    </row>
    <row r="608" spans="1:40" s="115" customFormat="1" ht="15" customHeight="1">
      <c r="A608" s="555"/>
      <c r="B608" s="217"/>
      <c r="C608" s="217"/>
      <c r="D608" s="101"/>
      <c r="E608" s="217"/>
      <c r="F608" s="294"/>
      <c r="G608" s="146"/>
      <c r="H608" s="107" t="e">
        <f>UPPER(G607)&amp;" TOTAL"</f>
        <v>#N/A</v>
      </c>
      <c r="I608" s="109">
        <f t="shared" ref="I608" si="751">SUBTOTAL(9,I603:I607)</f>
        <v>3832780.25</v>
      </c>
      <c r="J608" s="109">
        <f t="shared" ref="J608:T608" si="752">SUBTOTAL(9,J603:J607)</f>
        <v>3665391</v>
      </c>
      <c r="K608" s="109">
        <f t="shared" ref="K608" si="753">SUBTOTAL(9,K603:K607)</f>
        <v>3660578.77</v>
      </c>
      <c r="L608" s="109">
        <f t="shared" ref="L608" si="754">SUBTOTAL(9,L603:L607)</f>
        <v>3271047.25</v>
      </c>
      <c r="M608" s="109">
        <f t="shared" si="752"/>
        <v>3996592</v>
      </c>
      <c r="N608" s="109">
        <f t="shared" ref="N608" si="755">SUBTOTAL(9,N603:N607)</f>
        <v>2948107.25</v>
      </c>
      <c r="O608" s="109">
        <f t="shared" si="752"/>
        <v>3222986</v>
      </c>
      <c r="P608" s="109">
        <f t="shared" si="752"/>
        <v>-773606</v>
      </c>
      <c r="Q608" s="109">
        <f t="shared" si="752"/>
        <v>3562746</v>
      </c>
      <c r="R608" s="109">
        <f t="shared" si="752"/>
        <v>0</v>
      </c>
      <c r="S608" s="109">
        <f t="shared" si="752"/>
        <v>0</v>
      </c>
      <c r="T608" s="109">
        <f t="shared" si="752"/>
        <v>3562746</v>
      </c>
      <c r="U608" s="99">
        <f t="shared" si="743"/>
        <v>-433846</v>
      </c>
      <c r="V608" s="255">
        <f t="shared" si="744"/>
        <v>-0.10855398799777405</v>
      </c>
      <c r="W608" s="102"/>
      <c r="X608" s="121"/>
      <c r="Y608" s="121"/>
      <c r="Z608" s="121"/>
      <c r="AA608" s="121"/>
      <c r="AB608" s="121"/>
      <c r="AC608" s="121"/>
      <c r="AD608" s="121"/>
      <c r="AE608" s="121"/>
      <c r="AF608" s="121"/>
      <c r="AG608" s="121"/>
      <c r="AH608" s="121"/>
      <c r="AI608" s="121"/>
    </row>
    <row r="609" spans="1:40" s="115" customFormat="1" ht="15" customHeight="1">
      <c r="A609" s="555"/>
      <c r="B609" s="217"/>
      <c r="C609" s="217"/>
      <c r="D609" s="101"/>
      <c r="E609" s="217"/>
      <c r="F609" s="294"/>
      <c r="G609" s="146"/>
      <c r="H609" s="98"/>
      <c r="I609" s="106"/>
      <c r="J609" s="106"/>
      <c r="K609" s="106"/>
      <c r="L609" s="106"/>
      <c r="M609" s="106"/>
      <c r="N609" s="112"/>
      <c r="O609" s="112"/>
      <c r="P609" s="112"/>
      <c r="Q609" s="113"/>
      <c r="R609" s="113"/>
      <c r="S609" s="113"/>
      <c r="T609" s="113"/>
      <c r="U609" s="105"/>
      <c r="V609" s="262"/>
      <c r="W609" s="102"/>
      <c r="X609" s="121"/>
      <c r="Y609" s="121"/>
      <c r="Z609" s="121"/>
      <c r="AA609" s="121"/>
      <c r="AB609" s="121"/>
      <c r="AC609" s="121"/>
      <c r="AD609" s="121"/>
      <c r="AE609" s="121"/>
      <c r="AF609" s="121"/>
      <c r="AG609" s="121"/>
      <c r="AH609" s="121"/>
      <c r="AI609" s="121"/>
    </row>
    <row r="610" spans="1:40" s="115" customFormat="1" ht="15" customHeight="1">
      <c r="A610" s="555" t="s">
        <v>2096</v>
      </c>
      <c r="B610" s="217" t="str">
        <f t="shared" si="643"/>
        <v>150</v>
      </c>
      <c r="C610" s="217" t="str">
        <f t="shared" si="649"/>
        <v>99</v>
      </c>
      <c r="D610" s="101" t="str">
        <f t="shared" si="644"/>
        <v>998</v>
      </c>
      <c r="E610" s="217" t="str">
        <f t="shared" si="645"/>
        <v>150-99-998</v>
      </c>
      <c r="F610" s="294" t="str">
        <f t="shared" si="650"/>
        <v>59151</v>
      </c>
      <c r="G610" s="295" t="e">
        <f>VLOOKUP(F610,'GL Category'!A:C,3,FALSE)</f>
        <v>#N/A</v>
      </c>
      <c r="H610" s="98" t="e">
        <f>VLOOKUP(F610,'GL Category'!A:C,2,FALSE)</f>
        <v>#N/A</v>
      </c>
      <c r="I610" s="99">
        <f>SUMIF(Import!$B:$B,'Other Fund Line-Item Details'!$A610,Import!D:D)</f>
        <v>0</v>
      </c>
      <c r="J610" s="99">
        <f>SUMIF(Import!$B:$B,'Other Fund Line-Item Details'!$A610,Import!E:E)</f>
        <v>0</v>
      </c>
      <c r="K610" s="99">
        <f>SUMIF(Import!$B:$B,'Other Fund Line-Item Details'!$A610,Import!F:F)</f>
        <v>0</v>
      </c>
      <c r="L610" s="99">
        <f>SUMIF(Import!$B:$B,'Other Fund Line-Item Details'!$A610,Import!G:G)</f>
        <v>0</v>
      </c>
      <c r="M610" s="99">
        <f>SUMIF(Import!$B:$B,'Other Fund Line-Item Details'!$A610,Import!H:H)</f>
        <v>0</v>
      </c>
      <c r="N610" s="99">
        <f>SUMIF(Import!$B:$B,'Other Fund Line-Item Details'!$A610,Import!I:I)</f>
        <v>0</v>
      </c>
      <c r="O610" s="99">
        <f>SUMIF(Import!$B:$B,'Other Fund Line-Item Details'!$A610,Import!J:J)</f>
        <v>0</v>
      </c>
      <c r="P610" s="99">
        <f>O610-M610</f>
        <v>0</v>
      </c>
      <c r="Q610" s="99">
        <f>SUMIF(Import!$B:$B,'Other Fund Line-Item Details'!$A610,Import!K:K)</f>
        <v>0</v>
      </c>
      <c r="R610" s="99">
        <f>SUMIF(Import!$B:$B,'Other Fund Line-Item Details'!$A610,Import!L:L)</f>
        <v>0</v>
      </c>
      <c r="S610" s="99">
        <f>SUMIF(Import!$B:$B,'Other Fund Line-Item Details'!$A610,Import!M:M)</f>
        <v>0</v>
      </c>
      <c r="T610" s="99">
        <f>SUMIF(Import!$B:$B,'Other Fund Line-Item Details'!$A610,Import!N:N)</f>
        <v>0</v>
      </c>
      <c r="U610" s="99">
        <f>T610-M610</f>
        <v>0</v>
      </c>
      <c r="V610" s="255" t="str">
        <f>IF(M610=0,"N/A",T610/M610-1)</f>
        <v>N/A</v>
      </c>
      <c r="W610" s="102"/>
      <c r="X610" s="102"/>
      <c r="Y610" s="102"/>
      <c r="Z610" s="309"/>
      <c r="AA610" s="615"/>
      <c r="AB610" s="622"/>
      <c r="AC610" s="633"/>
      <c r="AD610" s="307"/>
      <c r="AE610" s="622"/>
      <c r="AF610" s="633"/>
      <c r="AG610" s="307"/>
      <c r="AH610" s="622"/>
      <c r="AI610" s="633"/>
      <c r="AJ610" s="307"/>
      <c r="AK610" s="622"/>
      <c r="AL610" s="633"/>
      <c r="AM610" s="307"/>
      <c r="AN610" s="622"/>
    </row>
    <row r="611" spans="1:40" s="115" customFormat="1" ht="15" customHeight="1">
      <c r="A611" s="555"/>
      <c r="B611" s="217"/>
      <c r="C611" s="217"/>
      <c r="D611" s="101"/>
      <c r="E611" s="217"/>
      <c r="F611" s="294"/>
      <c r="G611" s="146"/>
      <c r="H611" s="107" t="e">
        <f>UPPER(G610)&amp;" TOTAL"</f>
        <v>#N/A</v>
      </c>
      <c r="I611" s="109">
        <f t="shared" ref="I611" si="756">SUBTOTAL(9,I610:I610)</f>
        <v>0</v>
      </c>
      <c r="J611" s="109">
        <f t="shared" ref="J611:T611" si="757">SUBTOTAL(9,J610:J610)</f>
        <v>0</v>
      </c>
      <c r="K611" s="109">
        <f t="shared" ref="K611" si="758">SUBTOTAL(9,K610:K610)</f>
        <v>0</v>
      </c>
      <c r="L611" s="109">
        <f t="shared" ref="L611" si="759">SUBTOTAL(9,L610:L610)</f>
        <v>0</v>
      </c>
      <c r="M611" s="109">
        <f t="shared" si="757"/>
        <v>0</v>
      </c>
      <c r="N611" s="109">
        <f t="shared" ref="N611" si="760">SUBTOTAL(9,N610:N610)</f>
        <v>0</v>
      </c>
      <c r="O611" s="109">
        <f t="shared" si="757"/>
        <v>0</v>
      </c>
      <c r="P611" s="109">
        <f t="shared" si="757"/>
        <v>0</v>
      </c>
      <c r="Q611" s="109">
        <f t="shared" si="757"/>
        <v>0</v>
      </c>
      <c r="R611" s="109">
        <f t="shared" si="757"/>
        <v>0</v>
      </c>
      <c r="S611" s="109">
        <f t="shared" si="757"/>
        <v>0</v>
      </c>
      <c r="T611" s="109">
        <f t="shared" si="757"/>
        <v>0</v>
      </c>
      <c r="U611" s="99">
        <f>T611-M611</f>
        <v>0</v>
      </c>
      <c r="V611" s="255" t="str">
        <f>IF(M611=0,"N/A",T611/M611-1)</f>
        <v>N/A</v>
      </c>
      <c r="W611" s="102"/>
      <c r="X611" s="121"/>
      <c r="Y611" s="121"/>
      <c r="Z611" s="121"/>
      <c r="AA611" s="121"/>
      <c r="AB611" s="121"/>
      <c r="AC611" s="121"/>
      <c r="AD611" s="121"/>
      <c r="AE611" s="121"/>
      <c r="AF611" s="121"/>
      <c r="AG611" s="121"/>
      <c r="AH611" s="121"/>
      <c r="AI611" s="121"/>
    </row>
    <row r="612" spans="1:40" s="115" customFormat="1" ht="15" customHeight="1">
      <c r="A612" s="555"/>
      <c r="B612" s="217"/>
      <c r="C612" s="217"/>
      <c r="D612" s="101"/>
      <c r="E612" s="217"/>
      <c r="F612" s="294"/>
      <c r="G612" s="146"/>
      <c r="H612" s="98"/>
      <c r="I612" s="106"/>
      <c r="J612" s="106"/>
      <c r="K612" s="106"/>
      <c r="L612" s="106"/>
      <c r="M612" s="106"/>
      <c r="N612" s="112"/>
      <c r="O612" s="112"/>
      <c r="P612" s="112"/>
      <c r="Q612" s="113"/>
      <c r="R612" s="113"/>
      <c r="S612" s="113"/>
      <c r="T612" s="113"/>
      <c r="U612" s="105"/>
      <c r="V612" s="262"/>
      <c r="W612" s="102"/>
      <c r="X612" s="121"/>
      <c r="Y612" s="121"/>
      <c r="Z612" s="121"/>
      <c r="AA612" s="121"/>
      <c r="AB612" s="121"/>
      <c r="AC612" s="121"/>
      <c r="AD612" s="121"/>
      <c r="AE612" s="121"/>
      <c r="AF612" s="121"/>
      <c r="AG612" s="121"/>
      <c r="AH612" s="121"/>
      <c r="AI612" s="121"/>
    </row>
    <row r="613" spans="1:40" s="115" customFormat="1" ht="15" customHeight="1">
      <c r="A613" s="555"/>
      <c r="B613" s="217"/>
      <c r="C613" s="217"/>
      <c r="D613" s="101"/>
      <c r="E613" s="217"/>
      <c r="F613" s="294"/>
      <c r="G613" s="146"/>
      <c r="H613" s="114" t="s">
        <v>677</v>
      </c>
      <c r="I613" s="108">
        <f t="shared" ref="I613" si="761">SUBTOTAL(9,I600:I612)</f>
        <v>3832780.25</v>
      </c>
      <c r="J613" s="108">
        <f t="shared" ref="J613:T613" si="762">SUBTOTAL(9,J600:J612)</f>
        <v>3665391</v>
      </c>
      <c r="K613" s="108">
        <f t="shared" ref="K613" si="763">SUBTOTAL(9,K600:K612)</f>
        <v>3660578.77</v>
      </c>
      <c r="L613" s="108">
        <f t="shared" ref="L613" si="764">SUBTOTAL(9,L600:L612)</f>
        <v>3271047.25</v>
      </c>
      <c r="M613" s="108">
        <f t="shared" si="762"/>
        <v>3996592</v>
      </c>
      <c r="N613" s="108">
        <f t="shared" ref="N613" si="765">SUBTOTAL(9,N600:N612)</f>
        <v>2948107.25</v>
      </c>
      <c r="O613" s="108">
        <f t="shared" si="762"/>
        <v>3222986</v>
      </c>
      <c r="P613" s="108">
        <f t="shared" si="762"/>
        <v>-773606</v>
      </c>
      <c r="Q613" s="108">
        <f t="shared" si="762"/>
        <v>3562746</v>
      </c>
      <c r="R613" s="108">
        <f t="shared" si="762"/>
        <v>0</v>
      </c>
      <c r="S613" s="108">
        <f t="shared" si="762"/>
        <v>0</v>
      </c>
      <c r="T613" s="108">
        <f t="shared" si="762"/>
        <v>3562746</v>
      </c>
      <c r="U613" s="99">
        <f>T613-M613</f>
        <v>-433846</v>
      </c>
      <c r="V613" s="255">
        <f>IF(M613=0,"N/A",T613/M613-1)</f>
        <v>-0.10855398799777405</v>
      </c>
      <c r="W613" s="102"/>
      <c r="X613" s="121"/>
      <c r="Y613" s="108">
        <f t="shared" ref="Y613:AN613" si="766">SUBTOTAL(9,Y600:Y612)</f>
        <v>3562746</v>
      </c>
      <c r="Z613" s="108">
        <f t="shared" si="766"/>
        <v>3566350</v>
      </c>
      <c r="AA613" s="108">
        <f t="shared" si="766"/>
        <v>0</v>
      </c>
      <c r="AB613" s="108">
        <f t="shared" si="766"/>
        <v>3566350</v>
      </c>
      <c r="AC613" s="108">
        <f t="shared" si="766"/>
        <v>3570050</v>
      </c>
      <c r="AD613" s="108">
        <f t="shared" si="766"/>
        <v>0</v>
      </c>
      <c r="AE613" s="108">
        <f t="shared" si="766"/>
        <v>3570050</v>
      </c>
      <c r="AF613" s="108">
        <f t="shared" si="766"/>
        <v>3569750</v>
      </c>
      <c r="AG613" s="108">
        <f t="shared" si="766"/>
        <v>0</v>
      </c>
      <c r="AH613" s="108">
        <f t="shared" si="766"/>
        <v>3569750</v>
      </c>
      <c r="AI613" s="108">
        <f t="shared" si="766"/>
        <v>3831434.2849847805</v>
      </c>
      <c r="AJ613" s="108">
        <f t="shared" si="766"/>
        <v>0</v>
      </c>
      <c r="AK613" s="108">
        <f t="shared" si="766"/>
        <v>3831434.2849847805</v>
      </c>
      <c r="AL613" s="108">
        <f t="shared" si="766"/>
        <v>3805484.2849847805</v>
      </c>
      <c r="AM613" s="108">
        <f t="shared" si="766"/>
        <v>0</v>
      </c>
      <c r="AN613" s="108">
        <f t="shared" si="766"/>
        <v>3805484.2849847805</v>
      </c>
    </row>
    <row r="614" spans="1:40" s="115" customFormat="1" ht="15" customHeight="1">
      <c r="A614" s="555"/>
      <c r="B614" s="217"/>
      <c r="C614" s="217"/>
      <c r="D614" s="101"/>
      <c r="E614" s="217"/>
      <c r="F614" s="294"/>
      <c r="G614" s="146"/>
      <c r="H614" s="98"/>
      <c r="I614" s="218"/>
      <c r="J614" s="218"/>
      <c r="K614" s="218"/>
      <c r="L614" s="218"/>
      <c r="M614" s="218"/>
      <c r="N614" s="96"/>
      <c r="O614" s="96"/>
      <c r="P614" s="96"/>
      <c r="Q614" s="212"/>
      <c r="R614" s="212"/>
      <c r="S614" s="212"/>
      <c r="T614" s="212"/>
      <c r="U614" s="105"/>
      <c r="V614" s="262"/>
      <c r="W614" s="102"/>
      <c r="X614" s="121"/>
      <c r="Y614" s="121"/>
      <c r="Z614" s="121"/>
      <c r="AA614" s="121"/>
      <c r="AB614" s="121"/>
      <c r="AC614" s="121"/>
      <c r="AD614" s="121"/>
      <c r="AE614" s="121"/>
      <c r="AF614" s="121"/>
      <c r="AG614" s="121"/>
      <c r="AH614" s="121"/>
      <c r="AI614" s="121"/>
    </row>
    <row r="615" spans="1:40" s="115" customFormat="1" ht="15" customHeight="1">
      <c r="A615" s="555"/>
      <c r="B615" s="217"/>
      <c r="C615" s="217"/>
      <c r="D615" s="101"/>
      <c r="E615" s="217"/>
      <c r="F615" s="294"/>
      <c r="G615" s="146"/>
      <c r="H615" s="114" t="s">
        <v>678</v>
      </c>
      <c r="I615" s="108">
        <f t="shared" ref="I615" si="767">SUBTOTAL(9,I583:I614)</f>
        <v>-5364836.0999999996</v>
      </c>
      <c r="J615" s="108">
        <f t="shared" ref="J615:T615" si="768">SUBTOTAL(9,J583:J614)</f>
        <v>-99839.649999999907</v>
      </c>
      <c r="K615" s="108">
        <f t="shared" ref="K615" si="769">SUBTOTAL(9,K583:K614)</f>
        <v>73727.000000000466</v>
      </c>
      <c r="L615" s="108">
        <f t="shared" ref="L615" si="770">SUBTOTAL(9,L583:L614)</f>
        <v>-477950.86000000034</v>
      </c>
      <c r="M615" s="108">
        <f t="shared" si="768"/>
        <v>-65004</v>
      </c>
      <c r="N615" s="108">
        <f t="shared" ref="N615" si="771">SUBTOTAL(9,N583:N614)</f>
        <v>-1183911.0499999998</v>
      </c>
      <c r="O615" s="108">
        <f t="shared" si="768"/>
        <v>-944364</v>
      </c>
      <c r="P615" s="108">
        <f t="shared" si="768"/>
        <v>-879360</v>
      </c>
      <c r="Q615" s="108">
        <f t="shared" si="768"/>
        <v>-295127</v>
      </c>
      <c r="R615" s="108">
        <f t="shared" si="768"/>
        <v>0</v>
      </c>
      <c r="S615" s="108">
        <f t="shared" si="768"/>
        <v>0</v>
      </c>
      <c r="T615" s="108">
        <f t="shared" si="768"/>
        <v>-295127</v>
      </c>
      <c r="U615" s="99">
        <f>T615-M615</f>
        <v>-230123</v>
      </c>
      <c r="V615" s="255">
        <f>IF(M615=0,"N/A",T615/M615-1)</f>
        <v>3.540135991631284</v>
      </c>
      <c r="W615" s="102"/>
      <c r="X615" s="121"/>
      <c r="Y615" s="121"/>
      <c r="Z615" s="121"/>
      <c r="AA615" s="121"/>
      <c r="AB615" s="121"/>
      <c r="AC615" s="121"/>
      <c r="AD615" s="121"/>
      <c r="AE615" s="121"/>
      <c r="AF615" s="121"/>
      <c r="AG615" s="121"/>
      <c r="AH615" s="121"/>
      <c r="AI615" s="121"/>
    </row>
    <row r="616" spans="1:40" s="115" customFormat="1" ht="15" customHeight="1" thickBot="1">
      <c r="A616" s="555"/>
      <c r="B616" s="217"/>
      <c r="C616" s="217"/>
      <c r="D616" s="101"/>
      <c r="E616" s="217"/>
      <c r="F616" s="294"/>
      <c r="G616" s="146"/>
      <c r="H616" s="98"/>
      <c r="I616" s="218"/>
      <c r="J616" s="218"/>
      <c r="K616" s="218"/>
      <c r="L616" s="218"/>
      <c r="M616" s="218"/>
      <c r="N616" s="96"/>
      <c r="O616" s="96"/>
      <c r="P616" s="96"/>
      <c r="Q616" s="212"/>
      <c r="R616" s="212"/>
      <c r="S616" s="212"/>
      <c r="T616" s="212"/>
      <c r="U616" s="105"/>
      <c r="V616" s="262"/>
      <c r="W616" s="102"/>
      <c r="X616" s="121"/>
      <c r="Y616" s="121"/>
      <c r="Z616" s="121"/>
      <c r="AA616" s="121"/>
      <c r="AB616" s="121"/>
      <c r="AC616" s="121"/>
      <c r="AD616" s="121"/>
      <c r="AE616" s="121"/>
      <c r="AF616" s="121"/>
      <c r="AG616" s="121"/>
      <c r="AH616" s="121"/>
      <c r="AI616" s="121"/>
    </row>
    <row r="617" spans="1:40" s="115" customFormat="1" ht="15" customHeight="1" thickBot="1">
      <c r="A617" s="555"/>
      <c r="B617" s="217"/>
      <c r="C617" s="217"/>
      <c r="D617" s="101"/>
      <c r="E617" s="217"/>
      <c r="F617" s="294"/>
      <c r="G617" s="146"/>
      <c r="H617" s="665" t="s">
        <v>3405</v>
      </c>
      <c r="I617" s="666"/>
      <c r="J617" s="666"/>
      <c r="K617" s="666"/>
      <c r="L617" s="666"/>
      <c r="M617" s="666"/>
      <c r="N617" s="666"/>
      <c r="O617" s="666"/>
      <c r="P617" s="666"/>
      <c r="Q617" s="666"/>
      <c r="R617" s="666"/>
      <c r="S617" s="666"/>
      <c r="T617" s="667"/>
      <c r="U617" s="105"/>
      <c r="V617" s="262"/>
      <c r="W617" s="102"/>
      <c r="X617" s="121"/>
      <c r="Y617" s="121"/>
      <c r="Z617" s="121"/>
      <c r="AA617" s="121"/>
      <c r="AB617" s="121"/>
      <c r="AC617" s="121"/>
      <c r="AD617" s="121"/>
      <c r="AE617" s="121"/>
      <c r="AF617" s="121"/>
      <c r="AG617" s="121"/>
      <c r="AH617" s="121"/>
      <c r="AI617" s="121"/>
    </row>
    <row r="618" spans="1:40" s="115" customFormat="1" ht="15" customHeight="1">
      <c r="A618" s="555"/>
      <c r="B618" s="217"/>
      <c r="C618" s="217"/>
      <c r="D618" s="101"/>
      <c r="E618" s="217"/>
      <c r="F618" s="294"/>
      <c r="G618" s="146"/>
      <c r="H618" s="225"/>
      <c r="I618" s="225"/>
      <c r="J618" s="225"/>
      <c r="K618" s="225"/>
      <c r="L618" s="225"/>
      <c r="M618" s="225"/>
      <c r="N618" s="225"/>
      <c r="O618" s="225"/>
      <c r="P618" s="225"/>
      <c r="Q618" s="225"/>
      <c r="R618" s="225"/>
      <c r="S618" s="225"/>
      <c r="T618" s="225"/>
      <c r="U618" s="105"/>
      <c r="V618" s="262"/>
      <c r="W618" s="102"/>
      <c r="X618" s="121"/>
      <c r="Y618" s="121"/>
      <c r="Z618" s="121"/>
      <c r="AA618" s="121"/>
      <c r="AB618" s="121"/>
      <c r="AC618" s="121"/>
      <c r="AD618" s="121"/>
      <c r="AE618" s="121"/>
      <c r="AF618" s="121"/>
      <c r="AG618" s="121"/>
      <c r="AH618" s="121"/>
      <c r="AI618" s="121"/>
    </row>
    <row r="619" spans="1:40" s="115" customFormat="1" ht="15" customHeight="1">
      <c r="A619" s="555" t="s">
        <v>3372</v>
      </c>
      <c r="B619" s="217" t="str">
        <f t="shared" ref="B619:B677" si="772">LEFT(A619,3)</f>
        <v>152</v>
      </c>
      <c r="C619" s="217" t="str">
        <f t="shared" ref="C619:C677" si="773">MID(A619,5,2)</f>
        <v>00</v>
      </c>
      <c r="D619" s="101" t="str">
        <f t="shared" ref="D619:D677" si="774">MID(A619,8,3)</f>
        <v>000</v>
      </c>
      <c r="E619" s="217" t="str">
        <f t="shared" ref="E619:E677" si="775">LEFT(A619,10)</f>
        <v>152-00-000</v>
      </c>
      <c r="F619" s="294" t="str">
        <f t="shared" ref="F619:F677" si="776">RIGHT(A619,5)</f>
        <v>40040</v>
      </c>
      <c r="G619" s="295" t="str">
        <f>VLOOKUP(F619,'GL Category'!A:C,3,FALSE)</f>
        <v>PROPERTY TAX</v>
      </c>
      <c r="H619" s="98" t="str">
        <f>VLOOKUP(F619,'GL Category'!A:C,2,FALSE)</f>
        <v>REVENUE-TIF TAXES/CITY</v>
      </c>
      <c r="I619" s="99">
        <f>SUMIF(Import!$B:$B,'Other Fund Line-Item Details'!$A619,Import!D:D)</f>
        <v>0</v>
      </c>
      <c r="J619" s="99">
        <f>SUMIF(Import!$B:$B,'Other Fund Line-Item Details'!$A619,Import!E:E)</f>
        <v>0</v>
      </c>
      <c r="K619" s="99">
        <f>SUMIF(Import!$B:$B,'Other Fund Line-Item Details'!$A619,Import!F:F)</f>
        <v>0</v>
      </c>
      <c r="L619" s="99">
        <f>SUMIF(Import!$B:$B,'Other Fund Line-Item Details'!$A619,Import!G:G)</f>
        <v>-27829.14</v>
      </c>
      <c r="M619" s="99">
        <f>SUMIF(Import!$B:$B,'Other Fund Line-Item Details'!$A619,Import!H:H)</f>
        <v>-154110</v>
      </c>
      <c r="N619" s="99">
        <f>SUMIF(Import!$B:$B,'Other Fund Line-Item Details'!$A619,Import!I:I)</f>
        <v>0</v>
      </c>
      <c r="O619" s="99">
        <f>SUMIF(Import!$B:$B,'Other Fund Line-Item Details'!$A619,Import!J:J)</f>
        <v>-154110</v>
      </c>
      <c r="P619" s="99">
        <f t="shared" ref="P619:P626" si="777">O619-M619</f>
        <v>0</v>
      </c>
      <c r="Q619" s="99">
        <f>-'PROPERTY TAX ANALYSIS'!P19</f>
        <v>-195683.36552390701</v>
      </c>
      <c r="R619" s="99">
        <f>SUMIF(Import!$B:$B,'Other Fund Line-Item Details'!$A619,Import!L:L)</f>
        <v>0</v>
      </c>
      <c r="S619" s="99">
        <f>SUMIF(Import!$B:$B,'Other Fund Line-Item Details'!$A619,Import!M:M)</f>
        <v>0</v>
      </c>
      <c r="T619" s="99">
        <f>Q619+R619+S619</f>
        <v>-195683.36552390701</v>
      </c>
      <c r="U619" s="99">
        <f t="shared" ref="U619:U627" si="778">T619-M619</f>
        <v>-41573.365523907007</v>
      </c>
      <c r="V619" s="255">
        <f t="shared" ref="V619:V627" si="779">IF(M619=0,"N/A",T619/M619-1)</f>
        <v>0.26976423025051588</v>
      </c>
      <c r="W619" s="102" t="s">
        <v>2097</v>
      </c>
      <c r="X619" s="121"/>
      <c r="Y619" s="102">
        <f t="shared" ref="Y619:Y625" si="780">T619-X619</f>
        <v>-195683.36552390701</v>
      </c>
      <c r="Z619" s="309">
        <f>Y619*(1+VLOOKUP($F619,'GL Category'!$A:$H,4,FALSE))</f>
        <v>-197640.19917914609</v>
      </c>
      <c r="AA619" s="615"/>
      <c r="AB619" s="622">
        <f t="shared" ref="AB619:AB625" si="781">Z619+AA619</f>
        <v>-197640.19917914609</v>
      </c>
      <c r="AC619" s="633">
        <f>AB619*(1+VLOOKUP($F619,'GL Category'!$A:$H,5,FALSE))</f>
        <v>-199616.60117093756</v>
      </c>
      <c r="AD619" s="307"/>
      <c r="AE619" s="622">
        <f t="shared" ref="AE619:AE625" si="782">AC619+AD619</f>
        <v>-199616.60117093756</v>
      </c>
      <c r="AF619" s="633">
        <f>AE619*(1+VLOOKUP($F619,'GL Category'!$A:$H,6,FALSE))</f>
        <v>-201612.76718264693</v>
      </c>
      <c r="AG619" s="307"/>
      <c r="AH619" s="622">
        <f t="shared" ref="AH619:AH625" si="783">AF619+AG619</f>
        <v>-201612.76718264693</v>
      </c>
      <c r="AI619" s="633">
        <f>AH619*(1+VLOOKUP($F619,'GL Category'!$A:$H,7,FALSE))</f>
        <v>-205645.02252629987</v>
      </c>
      <c r="AJ619" s="307"/>
      <c r="AK619" s="622">
        <f t="shared" ref="AK619:AK625" si="784">AI619+AJ619</f>
        <v>-205645.02252629987</v>
      </c>
      <c r="AL619" s="633">
        <f>AK619*(1+VLOOKUP($F619,'GL Category'!$A:$H,8,FALSE))</f>
        <v>-209757.92297682588</v>
      </c>
      <c r="AM619" s="307"/>
      <c r="AN619" s="622">
        <f t="shared" ref="AN619:AN625" si="785">AL619+AM619</f>
        <v>-209757.92297682588</v>
      </c>
    </row>
    <row r="620" spans="1:40" s="115" customFormat="1" ht="15" customHeight="1">
      <c r="A620" s="555" t="s">
        <v>3373</v>
      </c>
      <c r="B620" s="217" t="str">
        <f t="shared" si="772"/>
        <v>152</v>
      </c>
      <c r="C620" s="217" t="str">
        <f t="shared" si="773"/>
        <v>00</v>
      </c>
      <c r="D620" s="101" t="str">
        <f t="shared" si="774"/>
        <v>000</v>
      </c>
      <c r="E620" s="217" t="str">
        <f t="shared" si="775"/>
        <v>152-00-000</v>
      </c>
      <c r="F620" s="294" t="str">
        <f t="shared" si="776"/>
        <v>40060</v>
      </c>
      <c r="G620" s="295" t="str">
        <f>VLOOKUP(F620,'GL Category'!A:C,3,FALSE)</f>
        <v>PROPERTY TAX</v>
      </c>
      <c r="H620" s="98" t="str">
        <f>VLOOKUP(F620,'GL Category'!A:C,2,FALSE)</f>
        <v>REVENUE-TIF COUNTY</v>
      </c>
      <c r="I620" s="99">
        <f>SUMIF(Import!$B:$B,'Other Fund Line-Item Details'!$A620,Import!D:D)</f>
        <v>0</v>
      </c>
      <c r="J620" s="99">
        <f>SUMIF(Import!$B:$B,'Other Fund Line-Item Details'!$A620,Import!E:E)</f>
        <v>0</v>
      </c>
      <c r="K620" s="99">
        <f>SUMIF(Import!$B:$B,'Other Fund Line-Item Details'!$A620,Import!F:F)</f>
        <v>0</v>
      </c>
      <c r="L620" s="99">
        <f>SUMIF(Import!$B:$B,'Other Fund Line-Item Details'!$A620,Import!G:G)</f>
        <v>-17572.16</v>
      </c>
      <c r="M620" s="99">
        <f>SUMIF(Import!$B:$B,'Other Fund Line-Item Details'!$A620,Import!H:H)</f>
        <v>-98753</v>
      </c>
      <c r="N620" s="99">
        <f>SUMIF(Import!$B:$B,'Other Fund Line-Item Details'!$A620,Import!I:I)</f>
        <v>-95995.38</v>
      </c>
      <c r="O620" s="99">
        <f>SUMIF(Import!$B:$B,'Other Fund Line-Item Details'!$A620,Import!J:J)</f>
        <v>-95996</v>
      </c>
      <c r="P620" s="99">
        <f t="shared" si="777"/>
        <v>2757</v>
      </c>
      <c r="Q620" s="99">
        <f>SUMIF(Import!$B:$B,'Other Fund Line-Item Details'!$A620,Import!K:K)</f>
        <v>-138446</v>
      </c>
      <c r="R620" s="99">
        <f>SUMIF(Import!$B:$B,'Other Fund Line-Item Details'!$A620,Import!L:L)</f>
        <v>0</v>
      </c>
      <c r="S620" s="99">
        <f>SUMIF(Import!$B:$B,'Other Fund Line-Item Details'!$A620,Import!M:M)</f>
        <v>0</v>
      </c>
      <c r="T620" s="99">
        <f>SUMIF(Import!$B:$B,'Other Fund Line-Item Details'!$A620,Import!N:N)</f>
        <v>-138446</v>
      </c>
      <c r="U620" s="99">
        <f t="shared" si="778"/>
        <v>-39693</v>
      </c>
      <c r="V620" s="255">
        <f t="shared" si="779"/>
        <v>0.40194221947687669</v>
      </c>
      <c r="W620" s="102" t="s">
        <v>2098</v>
      </c>
      <c r="X620" s="121"/>
      <c r="Y620" s="102">
        <f t="shared" si="780"/>
        <v>-138446</v>
      </c>
      <c r="Z620" s="309">
        <f>Y620*(1+VLOOKUP($F620,'GL Category'!$A:$H,4,FALSE))</f>
        <v>-139830.46</v>
      </c>
      <c r="AA620" s="615"/>
      <c r="AB620" s="622">
        <f t="shared" si="781"/>
        <v>-139830.46</v>
      </c>
      <c r="AC620" s="633">
        <f>AB620*(1+VLOOKUP($F620,'GL Category'!$A:$H,5,FALSE))</f>
        <v>-141228.76459999999</v>
      </c>
      <c r="AD620" s="307"/>
      <c r="AE620" s="622">
        <f t="shared" si="782"/>
        <v>-141228.76459999999</v>
      </c>
      <c r="AF620" s="633">
        <f>AE620*(1+VLOOKUP($F620,'GL Category'!$A:$H,6,FALSE))</f>
        <v>-142641.05224600001</v>
      </c>
      <c r="AG620" s="307"/>
      <c r="AH620" s="622">
        <f t="shared" si="783"/>
        <v>-142641.05224600001</v>
      </c>
      <c r="AI620" s="633">
        <f>AH620*(1+VLOOKUP($F620,'GL Category'!$A:$H,7,FALSE))</f>
        <v>-145493.87329092002</v>
      </c>
      <c r="AJ620" s="307"/>
      <c r="AK620" s="622">
        <f t="shared" si="784"/>
        <v>-145493.87329092002</v>
      </c>
      <c r="AL620" s="633">
        <f>AK620*(1+VLOOKUP($F620,'GL Category'!$A:$H,8,FALSE))</f>
        <v>-148403.75075673842</v>
      </c>
      <c r="AM620" s="307"/>
      <c r="AN620" s="622">
        <f t="shared" si="785"/>
        <v>-148403.75075673842</v>
      </c>
    </row>
    <row r="621" spans="1:40" s="115" customFormat="1" ht="15" customHeight="1">
      <c r="A621" s="555" t="s">
        <v>3400</v>
      </c>
      <c r="B621" s="217" t="str">
        <f t="shared" si="772"/>
        <v>152</v>
      </c>
      <c r="C621" s="217" t="str">
        <f t="shared" si="773"/>
        <v>00</v>
      </c>
      <c r="D621" s="101" t="str">
        <f t="shared" si="774"/>
        <v>000</v>
      </c>
      <c r="E621" s="217" t="str">
        <f t="shared" si="775"/>
        <v>152-00-000</v>
      </c>
      <c r="F621" s="294" t="str">
        <f t="shared" si="776"/>
        <v>40070</v>
      </c>
      <c r="G621" s="295" t="str">
        <f>VLOOKUP(F621,'GL Category'!A:C,3,FALSE)</f>
        <v>PROPERTY TAX</v>
      </c>
      <c r="H621" s="98" t="str">
        <f>VLOOKUP(F621,'GL Category'!A:C,2,FALSE)</f>
        <v>REVENUE-TIF TAXES/TCCD</v>
      </c>
      <c r="I621" s="99">
        <f>SUMIF(Import!$B:$B,'Other Fund Line-Item Details'!$A621,Import!D:D)</f>
        <v>0</v>
      </c>
      <c r="J621" s="99">
        <f>SUMIF(Import!$B:$B,'Other Fund Line-Item Details'!$A621,Import!E:E)</f>
        <v>0</v>
      </c>
      <c r="K621" s="99">
        <f>SUMIF(Import!$B:$B,'Other Fund Line-Item Details'!$A621,Import!F:F)</f>
        <v>0</v>
      </c>
      <c r="L621" s="99">
        <f>SUMIF(Import!$B:$B,'Other Fund Line-Item Details'!$A621,Import!G:G)</f>
        <v>-10211.469999999999</v>
      </c>
      <c r="M621" s="99">
        <f>SUMIF(Import!$B:$B,'Other Fund Line-Item Details'!$A621,Import!H:H)</f>
        <v>-57763</v>
      </c>
      <c r="N621" s="99">
        <f>SUMIF(Import!$B:$B,'Other Fund Line-Item Details'!$A621,Import!I:I)</f>
        <v>-55723.55</v>
      </c>
      <c r="O621" s="99">
        <f>SUMIF(Import!$B:$B,'Other Fund Line-Item Details'!$A621,Import!J:J)</f>
        <v>-55724</v>
      </c>
      <c r="P621" s="99">
        <f t="shared" si="777"/>
        <v>2039</v>
      </c>
      <c r="Q621" s="99">
        <f>SUMIF(Import!$B:$B,'Other Fund Line-Item Details'!$A621,Import!K:K)</f>
        <v>-80207</v>
      </c>
      <c r="R621" s="99">
        <f>SUMIF(Import!$B:$B,'Other Fund Line-Item Details'!$A621,Import!L:L)</f>
        <v>0</v>
      </c>
      <c r="S621" s="99">
        <f>SUMIF(Import!$B:$B,'Other Fund Line-Item Details'!$A621,Import!M:M)</f>
        <v>0</v>
      </c>
      <c r="T621" s="99">
        <f>SUMIF(Import!$B:$B,'Other Fund Line-Item Details'!$A621,Import!N:N)</f>
        <v>-80207</v>
      </c>
      <c r="U621" s="99">
        <f t="shared" si="778"/>
        <v>-22444</v>
      </c>
      <c r="V621" s="255">
        <f t="shared" si="779"/>
        <v>0.38855322611360221</v>
      </c>
      <c r="W621" s="102" t="s">
        <v>2099</v>
      </c>
      <c r="X621" s="121"/>
      <c r="Y621" s="102">
        <f t="shared" si="780"/>
        <v>-80207</v>
      </c>
      <c r="Z621" s="309">
        <f>Y621*(1+VLOOKUP($F621,'GL Category'!$A:$H,4,FALSE))</f>
        <v>-81009.070000000007</v>
      </c>
      <c r="AA621" s="615"/>
      <c r="AB621" s="622">
        <f t="shared" si="781"/>
        <v>-81009.070000000007</v>
      </c>
      <c r="AC621" s="633">
        <f>AB621*(1+VLOOKUP($F621,'GL Category'!$A:$H,5,FALSE))</f>
        <v>-81819.160700000008</v>
      </c>
      <c r="AD621" s="307"/>
      <c r="AE621" s="622">
        <f t="shared" si="782"/>
        <v>-81819.160700000008</v>
      </c>
      <c r="AF621" s="633">
        <f>AE621*(1+VLOOKUP($F621,'GL Category'!$A:$H,6,FALSE))</f>
        <v>-82637.352307000008</v>
      </c>
      <c r="AG621" s="307"/>
      <c r="AH621" s="622">
        <f t="shared" si="783"/>
        <v>-82637.352307000008</v>
      </c>
      <c r="AI621" s="633">
        <f>AH621*(1+VLOOKUP($F621,'GL Category'!$A:$H,7,FALSE))</f>
        <v>-84290.099353140016</v>
      </c>
      <c r="AJ621" s="307"/>
      <c r="AK621" s="622">
        <f t="shared" si="784"/>
        <v>-84290.099353140016</v>
      </c>
      <c r="AL621" s="633">
        <f>AK621*(1+VLOOKUP($F621,'GL Category'!$A:$H,8,FALSE))</f>
        <v>-85975.901340202821</v>
      </c>
      <c r="AM621" s="307"/>
      <c r="AN621" s="622">
        <f t="shared" si="785"/>
        <v>-85975.901340202821</v>
      </c>
    </row>
    <row r="622" spans="1:40" s="115" customFormat="1" ht="15" customHeight="1">
      <c r="A622" s="555" t="s">
        <v>2100</v>
      </c>
      <c r="B622" s="217" t="str">
        <f t="shared" si="772"/>
        <v>151</v>
      </c>
      <c r="C622" s="217" t="str">
        <f t="shared" si="773"/>
        <v>00</v>
      </c>
      <c r="D622" s="101" t="str">
        <f t="shared" si="774"/>
        <v>000</v>
      </c>
      <c r="E622" s="217" t="str">
        <f t="shared" si="775"/>
        <v>151-00-000</v>
      </c>
      <c r="F622" s="294" t="str">
        <f t="shared" si="776"/>
        <v>45200</v>
      </c>
      <c r="G622" s="295" t="str">
        <f>VLOOKUP(F622,'GL Category'!A:C,3,FALSE)</f>
        <v>DEBT ISSUANCES</v>
      </c>
      <c r="H622" s="98" t="str">
        <f>VLOOKUP(F622,'GL Category'!A:C,2,FALSE)</f>
        <v>DEBT ISSUANCE-REFUNDING BONDS</v>
      </c>
      <c r="I622" s="99">
        <f>SUMIF(Import!$B:$B,'Other Fund Line-Item Details'!$A622,Import!D:D)</f>
        <v>0</v>
      </c>
      <c r="J622" s="99">
        <f>SUMIF(Import!$B:$B,'Other Fund Line-Item Details'!$A622,Import!E:E)</f>
        <v>0</v>
      </c>
      <c r="K622" s="99">
        <f>SUMIF(Import!$B:$B,'Other Fund Line-Item Details'!$A622,Import!F:F)</f>
        <v>0</v>
      </c>
      <c r="L622" s="99">
        <f>SUMIF(Import!$B:$B,'Other Fund Line-Item Details'!$A622,Import!G:G)</f>
        <v>0</v>
      </c>
      <c r="M622" s="99">
        <f>SUMIF(Import!$B:$B,'Other Fund Line-Item Details'!$A622,Import!H:H)</f>
        <v>0</v>
      </c>
      <c r="N622" s="99">
        <f>SUMIF(Import!$B:$B,'Other Fund Line-Item Details'!$A622,Import!I:I)</f>
        <v>0</v>
      </c>
      <c r="O622" s="99">
        <f>SUMIF(Import!$B:$B,'Other Fund Line-Item Details'!$A622,Import!J:J)</f>
        <v>0</v>
      </c>
      <c r="P622" s="99">
        <f t="shared" si="777"/>
        <v>0</v>
      </c>
      <c r="Q622" s="99">
        <f>SUMIF(Import!$B:$B,'Other Fund Line-Item Details'!$A622,Import!K:K)</f>
        <v>0</v>
      </c>
      <c r="R622" s="99">
        <f>SUMIF(Import!$B:$B,'Other Fund Line-Item Details'!$A622,Import!L:L)</f>
        <v>0</v>
      </c>
      <c r="S622" s="99">
        <f>SUMIF(Import!$B:$B,'Other Fund Line-Item Details'!$A622,Import!M:M)</f>
        <v>0</v>
      </c>
      <c r="T622" s="99">
        <f>SUMIF(Import!$B:$B,'Other Fund Line-Item Details'!$A622,Import!N:N)</f>
        <v>0</v>
      </c>
      <c r="U622" s="99">
        <f t="shared" si="778"/>
        <v>0</v>
      </c>
      <c r="V622" s="255" t="str">
        <f t="shared" si="779"/>
        <v>N/A</v>
      </c>
      <c r="W622" s="102" t="s">
        <v>2100</v>
      </c>
      <c r="X622" s="121"/>
      <c r="Y622" s="102">
        <f t="shared" si="780"/>
        <v>0</v>
      </c>
      <c r="Z622" s="309">
        <f>Y622*(1+VLOOKUP($F622,'GL Category'!$A:$H,4,FALSE))</f>
        <v>0</v>
      </c>
      <c r="AA622" s="615"/>
      <c r="AB622" s="622">
        <f t="shared" si="781"/>
        <v>0</v>
      </c>
      <c r="AC622" s="633">
        <f>AB622*(1+VLOOKUP($F622,'GL Category'!$A:$H,5,FALSE))</f>
        <v>0</v>
      </c>
      <c r="AD622" s="307"/>
      <c r="AE622" s="622">
        <f t="shared" si="782"/>
        <v>0</v>
      </c>
      <c r="AF622" s="633">
        <f>AE622*(1+VLOOKUP($F622,'GL Category'!$A:$H,6,FALSE))</f>
        <v>0</v>
      </c>
      <c r="AG622" s="307"/>
      <c r="AH622" s="622">
        <f t="shared" si="783"/>
        <v>0</v>
      </c>
      <c r="AI622" s="633">
        <f>AH622*(1+VLOOKUP($F622,'GL Category'!$A:$H,7,FALSE))</f>
        <v>0</v>
      </c>
      <c r="AJ622" s="307"/>
      <c r="AK622" s="622">
        <f t="shared" si="784"/>
        <v>0</v>
      </c>
      <c r="AL622" s="633">
        <f>AK622*(1+VLOOKUP($F622,'GL Category'!$A:$H,8,FALSE))</f>
        <v>0</v>
      </c>
      <c r="AM622" s="307"/>
      <c r="AN622" s="622">
        <f t="shared" si="785"/>
        <v>0</v>
      </c>
    </row>
    <row r="623" spans="1:40" s="115" customFormat="1" ht="15" customHeight="1">
      <c r="A623" s="555" t="s">
        <v>3402</v>
      </c>
      <c r="B623" s="217" t="str">
        <f t="shared" si="772"/>
        <v>152</v>
      </c>
      <c r="C623" s="217" t="str">
        <f t="shared" si="773"/>
        <v>00</v>
      </c>
      <c r="D623" s="101" t="str">
        <f t="shared" si="774"/>
        <v>000</v>
      </c>
      <c r="E623" s="217" t="str">
        <f t="shared" si="775"/>
        <v>152-00-000</v>
      </c>
      <c r="F623" s="294" t="str">
        <f t="shared" si="776"/>
        <v>47090</v>
      </c>
      <c r="G623" s="295" t="str">
        <f>VLOOKUP(F623,'GL Category'!A:C,3,FALSE)</f>
        <v>OTHER REVENUE</v>
      </c>
      <c r="H623" s="98" t="str">
        <f>VLOOKUP(F623,'GL Category'!A:C,2,FALSE)</f>
        <v>INTEREST REVENUE-INVESTMENTS</v>
      </c>
      <c r="I623" s="99">
        <f>SUMIF(Import!$B:$B,'Other Fund Line-Item Details'!$A623,Import!D:D)</f>
        <v>0</v>
      </c>
      <c r="J623" s="99">
        <f>SUMIF(Import!$B:$B,'Other Fund Line-Item Details'!$A623,Import!E:E)</f>
        <v>0</v>
      </c>
      <c r="K623" s="99">
        <f>SUMIF(Import!$B:$B,'Other Fund Line-Item Details'!$A623,Import!F:F)</f>
        <v>0</v>
      </c>
      <c r="L623" s="99">
        <f>SUMIF(Import!$B:$B,'Other Fund Line-Item Details'!$A623,Import!G:G)</f>
        <v>0</v>
      </c>
      <c r="M623" s="99">
        <f>SUMIF(Import!$B:$B,'Other Fund Line-Item Details'!$A623,Import!H:H)</f>
        <v>0</v>
      </c>
      <c r="N623" s="99">
        <f>SUMIF(Import!$B:$B,'Other Fund Line-Item Details'!$A623,Import!I:I)</f>
        <v>-3028.53</v>
      </c>
      <c r="O623" s="99">
        <f>SUMIF(Import!$B:$B,'Other Fund Line-Item Details'!$A623,Import!J:J)</f>
        <v>-2496</v>
      </c>
      <c r="P623" s="99">
        <f t="shared" si="777"/>
        <v>-2496</v>
      </c>
      <c r="Q623" s="99">
        <f>SUMIF(Import!$B:$B,'Other Fund Line-Item Details'!$A623,Import!K:K)</f>
        <v>-1500</v>
      </c>
      <c r="R623" s="99">
        <f>SUMIF(Import!$B:$B,'Other Fund Line-Item Details'!$A623,Import!L:L)</f>
        <v>0</v>
      </c>
      <c r="S623" s="99">
        <f>SUMIF(Import!$B:$B,'Other Fund Line-Item Details'!$A623,Import!M:M)</f>
        <v>0</v>
      </c>
      <c r="T623" s="99">
        <f>SUMIF(Import!$B:$B,'Other Fund Line-Item Details'!$A623,Import!N:N)</f>
        <v>-1500</v>
      </c>
      <c r="U623" s="99">
        <f t="shared" si="778"/>
        <v>-1500</v>
      </c>
      <c r="V623" s="255" t="str">
        <f t="shared" si="779"/>
        <v>N/A</v>
      </c>
      <c r="W623" s="102" t="s">
        <v>2101</v>
      </c>
      <c r="X623" s="121"/>
      <c r="Y623" s="102">
        <f t="shared" si="780"/>
        <v>-1500</v>
      </c>
      <c r="Z623" s="309">
        <f>Y623*(1+VLOOKUP($F623,'GL Category'!$A:$H,4,FALSE))</f>
        <v>-1125</v>
      </c>
      <c r="AA623" s="615"/>
      <c r="AB623" s="622">
        <f t="shared" si="781"/>
        <v>-1125</v>
      </c>
      <c r="AC623" s="633">
        <f>AB623*(1+VLOOKUP($F623,'GL Category'!$A:$H,5,FALSE))</f>
        <v>-562.5</v>
      </c>
      <c r="AD623" s="307"/>
      <c r="AE623" s="622">
        <f t="shared" si="782"/>
        <v>-562.5</v>
      </c>
      <c r="AF623" s="633">
        <f>AE623*(1+VLOOKUP($F623,'GL Category'!$A:$H,6,FALSE))</f>
        <v>-562.5</v>
      </c>
      <c r="AG623" s="307"/>
      <c r="AH623" s="622">
        <f t="shared" si="783"/>
        <v>-562.5</v>
      </c>
      <c r="AI623" s="633">
        <f>AH623*(1+VLOOKUP($F623,'GL Category'!$A:$H,7,FALSE))</f>
        <v>-562.5</v>
      </c>
      <c r="AJ623" s="307"/>
      <c r="AK623" s="622">
        <f t="shared" si="784"/>
        <v>-562.5</v>
      </c>
      <c r="AL623" s="633">
        <f>AK623*(1+VLOOKUP($F623,'GL Category'!$A:$H,8,FALSE))</f>
        <v>-562.5</v>
      </c>
      <c r="AM623" s="307"/>
      <c r="AN623" s="622">
        <f t="shared" si="785"/>
        <v>-562.5</v>
      </c>
    </row>
    <row r="624" spans="1:40" s="115" customFormat="1" ht="15" customHeight="1">
      <c r="A624" s="555" t="s">
        <v>2102</v>
      </c>
      <c r="B624" s="217" t="str">
        <f t="shared" si="772"/>
        <v>151</v>
      </c>
      <c r="C624" s="217" t="str">
        <f t="shared" si="773"/>
        <v>00</v>
      </c>
      <c r="D624" s="101" t="str">
        <f t="shared" si="774"/>
        <v>000</v>
      </c>
      <c r="E624" s="217" t="str">
        <f t="shared" si="775"/>
        <v>151-00-000</v>
      </c>
      <c r="F624" s="294" t="str">
        <f t="shared" si="776"/>
        <v>47099</v>
      </c>
      <c r="G624" s="295" t="str">
        <f>VLOOKUP(F624,'GL Category'!A:C,3,FALSE)</f>
        <v>OTHER REVENUE</v>
      </c>
      <c r="H624" s="98" t="str">
        <f>VLOOKUP(F624,'GL Category'!A:C,2,FALSE)</f>
        <v>INCR/DECR IN FAIR VALUE OF INV</v>
      </c>
      <c r="I624" s="99">
        <f>SUMIF(Import!$B:$B,'Other Fund Line-Item Details'!$A624,Import!D:D)</f>
        <v>0</v>
      </c>
      <c r="J624" s="99">
        <f>SUMIF(Import!$B:$B,'Other Fund Line-Item Details'!$A624,Import!E:E)</f>
        <v>0</v>
      </c>
      <c r="K624" s="99">
        <f>SUMIF(Import!$B:$B,'Other Fund Line-Item Details'!$A624,Import!F:F)</f>
        <v>0</v>
      </c>
      <c r="L624" s="99">
        <f>SUMIF(Import!$B:$B,'Other Fund Line-Item Details'!$A624,Import!G:G)</f>
        <v>0</v>
      </c>
      <c r="M624" s="99">
        <f>SUMIF(Import!$B:$B,'Other Fund Line-Item Details'!$A624,Import!H:H)</f>
        <v>0</v>
      </c>
      <c r="N624" s="99">
        <f>SUMIF(Import!$B:$B,'Other Fund Line-Item Details'!$A624,Import!I:I)</f>
        <v>0</v>
      </c>
      <c r="O624" s="99">
        <f>SUMIF(Import!$B:$B,'Other Fund Line-Item Details'!$A624,Import!J:J)</f>
        <v>0</v>
      </c>
      <c r="P624" s="99">
        <f t="shared" si="777"/>
        <v>0</v>
      </c>
      <c r="Q624" s="99">
        <f>SUMIF(Import!$B:$B,'Other Fund Line-Item Details'!$A624,Import!K:K)</f>
        <v>0</v>
      </c>
      <c r="R624" s="99">
        <f>SUMIF(Import!$B:$B,'Other Fund Line-Item Details'!$A624,Import!L:L)</f>
        <v>0</v>
      </c>
      <c r="S624" s="99">
        <f>SUMIF(Import!$B:$B,'Other Fund Line-Item Details'!$A624,Import!M:M)</f>
        <v>0</v>
      </c>
      <c r="T624" s="99">
        <f>SUMIF(Import!$B:$B,'Other Fund Line-Item Details'!$A624,Import!N:N)</f>
        <v>0</v>
      </c>
      <c r="U624" s="99">
        <f t="shared" si="778"/>
        <v>0</v>
      </c>
      <c r="V624" s="255" t="str">
        <f t="shared" si="779"/>
        <v>N/A</v>
      </c>
      <c r="W624" s="102" t="s">
        <v>2102</v>
      </c>
      <c r="X624" s="121"/>
      <c r="Y624" s="102">
        <f t="shared" si="780"/>
        <v>0</v>
      </c>
      <c r="Z624" s="309">
        <f>Y624*(1+VLOOKUP($F624,'GL Category'!$A:$H,4,FALSE))</f>
        <v>0</v>
      </c>
      <c r="AA624" s="615"/>
      <c r="AB624" s="622">
        <f t="shared" si="781"/>
        <v>0</v>
      </c>
      <c r="AC624" s="633">
        <f>AB624*(1+VLOOKUP($F624,'GL Category'!$A:$H,5,FALSE))</f>
        <v>0</v>
      </c>
      <c r="AD624" s="307"/>
      <c r="AE624" s="622">
        <f t="shared" si="782"/>
        <v>0</v>
      </c>
      <c r="AF624" s="633">
        <f>AE624*(1+VLOOKUP($F624,'GL Category'!$A:$H,6,FALSE))</f>
        <v>0</v>
      </c>
      <c r="AG624" s="307"/>
      <c r="AH624" s="622">
        <f t="shared" si="783"/>
        <v>0</v>
      </c>
      <c r="AI624" s="633">
        <f>AH624*(1+VLOOKUP($F624,'GL Category'!$A:$H,7,FALSE))</f>
        <v>0</v>
      </c>
      <c r="AJ624" s="307"/>
      <c r="AK624" s="622">
        <f t="shared" si="784"/>
        <v>0</v>
      </c>
      <c r="AL624" s="633">
        <f>AK624*(1+VLOOKUP($F624,'GL Category'!$A:$H,8,FALSE))</f>
        <v>0</v>
      </c>
      <c r="AM624" s="307"/>
      <c r="AN624" s="622">
        <f t="shared" si="785"/>
        <v>0</v>
      </c>
    </row>
    <row r="625" spans="1:40" s="115" customFormat="1" ht="15" customHeight="1">
      <c r="A625" s="555" t="s">
        <v>2103</v>
      </c>
      <c r="B625" s="217" t="str">
        <f t="shared" si="772"/>
        <v>151</v>
      </c>
      <c r="C625" s="217" t="str">
        <f t="shared" si="773"/>
        <v>00</v>
      </c>
      <c r="D625" s="101" t="str">
        <f t="shared" si="774"/>
        <v>000</v>
      </c>
      <c r="E625" s="217" t="str">
        <f t="shared" si="775"/>
        <v>151-00-000</v>
      </c>
      <c r="F625" s="294" t="str">
        <f t="shared" si="776"/>
        <v>49100</v>
      </c>
      <c r="G625" s="295" t="str">
        <f>VLOOKUP(F625,'GL Category'!A:C,3,FALSE)</f>
        <v>TRANSFERS IN</v>
      </c>
      <c r="H625" s="98" t="str">
        <f>VLOOKUP(F625,'GL Category'!A:C,2,FALSE)</f>
        <v>TRANSFER FROM GENERAL FUND</v>
      </c>
      <c r="I625" s="99">
        <f>SUMIF(Import!$B:$B,'Other Fund Line-Item Details'!$A625,Import!D:D)</f>
        <v>0</v>
      </c>
      <c r="J625" s="99">
        <f>SUMIF(Import!$B:$B,'Other Fund Line-Item Details'!$A625,Import!E:E)</f>
        <v>0</v>
      </c>
      <c r="K625" s="99">
        <f>SUMIF(Import!$B:$B,'Other Fund Line-Item Details'!$A625,Import!F:F)</f>
        <v>0</v>
      </c>
      <c r="L625" s="99">
        <f>SUMIF(Import!$B:$B,'Other Fund Line-Item Details'!$A625,Import!G:G)</f>
        <v>0</v>
      </c>
      <c r="M625" s="99">
        <f>SUMIF(Import!$B:$B,'Other Fund Line-Item Details'!$A625,Import!H:H)</f>
        <v>0</v>
      </c>
      <c r="N625" s="99">
        <f>SUMIF(Import!$B:$B,'Other Fund Line-Item Details'!$A625,Import!I:I)</f>
        <v>0</v>
      </c>
      <c r="O625" s="99">
        <f>SUMIF(Import!$B:$B,'Other Fund Line-Item Details'!$A625,Import!J:J)</f>
        <v>0</v>
      </c>
      <c r="P625" s="99">
        <f t="shared" si="777"/>
        <v>0</v>
      </c>
      <c r="Q625" s="99">
        <f>SUMIF(Import!$B:$B,'Other Fund Line-Item Details'!$A625,Import!K:K)</f>
        <v>0</v>
      </c>
      <c r="R625" s="99">
        <f>SUMIF(Import!$B:$B,'Other Fund Line-Item Details'!$A625,Import!L:L)</f>
        <v>0</v>
      </c>
      <c r="S625" s="99">
        <f>SUMIF(Import!$B:$B,'Other Fund Line-Item Details'!$A625,Import!M:M)</f>
        <v>0</v>
      </c>
      <c r="T625" s="99">
        <f>SUMIF(Import!$B:$B,'Other Fund Line-Item Details'!$A625,Import!N:N)</f>
        <v>0</v>
      </c>
      <c r="U625" s="99">
        <f t="shared" si="778"/>
        <v>0</v>
      </c>
      <c r="V625" s="255" t="str">
        <f t="shared" si="779"/>
        <v>N/A</v>
      </c>
      <c r="W625" s="102" t="s">
        <v>2103</v>
      </c>
      <c r="X625" s="121"/>
      <c r="Y625" s="102">
        <f t="shared" si="780"/>
        <v>0</v>
      </c>
      <c r="Z625" s="309">
        <f>Y625*(1+VLOOKUP($F625,'GL Category'!$A:$H,4,FALSE))</f>
        <v>0</v>
      </c>
      <c r="AA625" s="615"/>
      <c r="AB625" s="622">
        <f t="shared" si="781"/>
        <v>0</v>
      </c>
      <c r="AC625" s="633">
        <f>AB625*(1+VLOOKUP($F625,'GL Category'!$A:$H,5,FALSE))</f>
        <v>0</v>
      </c>
      <c r="AD625" s="307"/>
      <c r="AE625" s="622">
        <f t="shared" si="782"/>
        <v>0</v>
      </c>
      <c r="AF625" s="633">
        <f>AE625*(1+VLOOKUP($F625,'GL Category'!$A:$H,6,FALSE))</f>
        <v>0</v>
      </c>
      <c r="AG625" s="307"/>
      <c r="AH625" s="622">
        <f t="shared" si="783"/>
        <v>0</v>
      </c>
      <c r="AI625" s="633">
        <f>AH625*(1+VLOOKUP($F625,'GL Category'!$A:$H,7,FALSE))</f>
        <v>0</v>
      </c>
      <c r="AJ625" s="307"/>
      <c r="AK625" s="622">
        <f t="shared" si="784"/>
        <v>0</v>
      </c>
      <c r="AL625" s="633">
        <f>AK625*(1+VLOOKUP($F625,'GL Category'!$A:$H,8,FALSE))</f>
        <v>0</v>
      </c>
      <c r="AM625" s="307"/>
      <c r="AN625" s="622">
        <f t="shared" si="785"/>
        <v>0</v>
      </c>
    </row>
    <row r="626" spans="1:40" s="115" customFormat="1" ht="15" customHeight="1">
      <c r="A626" s="555" t="s">
        <v>2104</v>
      </c>
      <c r="B626" s="217" t="str">
        <f t="shared" si="772"/>
        <v>151</v>
      </c>
      <c r="C626" s="217" t="str">
        <f t="shared" si="773"/>
        <v>00</v>
      </c>
      <c r="D626" s="101" t="str">
        <f t="shared" si="774"/>
        <v>000</v>
      </c>
      <c r="E626" s="217" t="str">
        <f t="shared" si="775"/>
        <v>151-00-000</v>
      </c>
      <c r="F626" s="294" t="str">
        <f t="shared" si="776"/>
        <v>49150</v>
      </c>
      <c r="G626" s="295" t="e">
        <f>VLOOKUP(F626,'GL Category'!A:C,3,FALSE)</f>
        <v>#N/A</v>
      </c>
      <c r="H626" s="98" t="e">
        <f>VLOOKUP(F626,'GL Category'!A:C,2,FALSE)</f>
        <v>#N/A</v>
      </c>
      <c r="I626" s="99">
        <f>SUMIF(Import!$B:$B,'Other Fund Line-Item Details'!$A626,Import!D:D)</f>
        <v>0</v>
      </c>
      <c r="J626" s="99">
        <f>SUMIF(Import!$B:$B,'Other Fund Line-Item Details'!$A626,Import!E:E)</f>
        <v>0</v>
      </c>
      <c r="K626" s="99">
        <f>SUMIF(Import!$B:$B,'Other Fund Line-Item Details'!$A626,Import!F:F)</f>
        <v>0</v>
      </c>
      <c r="L626" s="99">
        <f>SUMIF(Import!$B:$B,'Other Fund Line-Item Details'!$A626,Import!G:G)</f>
        <v>0</v>
      </c>
      <c r="M626" s="99">
        <f>SUMIF(Import!$B:$B,'Other Fund Line-Item Details'!$A626,Import!H:H)</f>
        <v>0</v>
      </c>
      <c r="N626" s="99">
        <f>SUMIF(Import!$B:$B,'Other Fund Line-Item Details'!$A626,Import!I:I)</f>
        <v>0</v>
      </c>
      <c r="O626" s="99">
        <f>SUMIF(Import!$B:$B,'Other Fund Line-Item Details'!$A626,Import!J:J)</f>
        <v>0</v>
      </c>
      <c r="P626" s="99">
        <f t="shared" si="777"/>
        <v>0</v>
      </c>
      <c r="Q626" s="99">
        <f>SUMIF(Import!$B:$B,'Other Fund Line-Item Details'!$A626,Import!K:K)</f>
        <v>0</v>
      </c>
      <c r="R626" s="99">
        <f>SUMIF(Import!$B:$B,'Other Fund Line-Item Details'!$A626,Import!L:L)</f>
        <v>0</v>
      </c>
      <c r="S626" s="99">
        <f>SUMIF(Import!$B:$B,'Other Fund Line-Item Details'!$A626,Import!M:M)</f>
        <v>0</v>
      </c>
      <c r="T626" s="99">
        <f>SUMIF(Import!$B:$B,'Other Fund Line-Item Details'!$A626,Import!N:N)</f>
        <v>0</v>
      </c>
      <c r="U626" s="99">
        <f t="shared" si="778"/>
        <v>0</v>
      </c>
      <c r="V626" s="255" t="str">
        <f t="shared" si="779"/>
        <v>N/A</v>
      </c>
      <c r="W626" s="102" t="s">
        <v>2104</v>
      </c>
      <c r="X626" s="121"/>
      <c r="Y626" s="102"/>
      <c r="Z626" s="309"/>
      <c r="AA626" s="615"/>
      <c r="AB626" s="622"/>
      <c r="AC626" s="633"/>
      <c r="AD626" s="307"/>
      <c r="AE626" s="622"/>
      <c r="AF626" s="633"/>
      <c r="AG626" s="307"/>
      <c r="AH626" s="622"/>
      <c r="AI626" s="633"/>
      <c r="AJ626" s="307"/>
      <c r="AK626" s="622"/>
      <c r="AL626" s="633"/>
      <c r="AM626" s="307"/>
      <c r="AN626" s="622"/>
    </row>
    <row r="627" spans="1:40" s="115" customFormat="1" ht="15" customHeight="1">
      <c r="A627" s="555"/>
      <c r="B627" s="217"/>
      <c r="C627" s="217"/>
      <c r="D627" s="101"/>
      <c r="E627" s="217"/>
      <c r="F627" s="294"/>
      <c r="G627" s="146"/>
      <c r="H627" s="107" t="e">
        <f>UPPER('Other Fund Line-Item Details'!G626)&amp;" TOTAL"</f>
        <v>#N/A</v>
      </c>
      <c r="I627" s="109">
        <f t="shared" ref="I627:T627" si="786">SUBTOTAL(9,I619:I626)</f>
        <v>0</v>
      </c>
      <c r="J627" s="109">
        <f t="shared" si="786"/>
        <v>0</v>
      </c>
      <c r="K627" s="109">
        <f t="shared" ref="K627" si="787">SUBTOTAL(9,K619:K626)</f>
        <v>0</v>
      </c>
      <c r="L627" s="109">
        <f t="shared" ref="L627" si="788">SUBTOTAL(9,L619:L626)</f>
        <v>-55612.770000000004</v>
      </c>
      <c r="M627" s="109">
        <f t="shared" si="786"/>
        <v>-310626</v>
      </c>
      <c r="N627" s="109">
        <f t="shared" si="786"/>
        <v>-154747.46</v>
      </c>
      <c r="O627" s="109">
        <f t="shared" si="786"/>
        <v>-308326</v>
      </c>
      <c r="P627" s="109">
        <f t="shared" si="786"/>
        <v>2300</v>
      </c>
      <c r="Q627" s="109">
        <f t="shared" si="786"/>
        <v>-415836.36552390701</v>
      </c>
      <c r="R627" s="109">
        <f t="shared" si="786"/>
        <v>0</v>
      </c>
      <c r="S627" s="109">
        <f t="shared" si="786"/>
        <v>0</v>
      </c>
      <c r="T627" s="109">
        <f t="shared" si="786"/>
        <v>-415836.36552390701</v>
      </c>
      <c r="U627" s="99">
        <f t="shared" si="778"/>
        <v>-105210.36552390701</v>
      </c>
      <c r="V627" s="255">
        <f t="shared" si="779"/>
        <v>0.33870431169286208</v>
      </c>
      <c r="W627" s="102"/>
      <c r="X627" s="121"/>
      <c r="Y627" s="109">
        <f t="shared" ref="Y627:AN627" si="789">SUBTOTAL(9,Y619:Y626)</f>
        <v>-415836.36552390701</v>
      </c>
      <c r="Z627" s="109">
        <f t="shared" si="789"/>
        <v>-419604.72917914606</v>
      </c>
      <c r="AA627" s="109">
        <f t="shared" si="789"/>
        <v>0</v>
      </c>
      <c r="AB627" s="109">
        <f t="shared" si="789"/>
        <v>-419604.72917914606</v>
      </c>
      <c r="AC627" s="109">
        <f t="shared" si="789"/>
        <v>-423227.02647093753</v>
      </c>
      <c r="AD627" s="109">
        <f t="shared" si="789"/>
        <v>0</v>
      </c>
      <c r="AE627" s="109">
        <f t="shared" si="789"/>
        <v>-423227.02647093753</v>
      </c>
      <c r="AF627" s="109">
        <f t="shared" si="789"/>
        <v>-427453.67173564696</v>
      </c>
      <c r="AG627" s="109">
        <f t="shared" si="789"/>
        <v>0</v>
      </c>
      <c r="AH627" s="109">
        <f t="shared" si="789"/>
        <v>-427453.67173564696</v>
      </c>
      <c r="AI627" s="109">
        <f t="shared" si="789"/>
        <v>-435991.49517035985</v>
      </c>
      <c r="AJ627" s="109">
        <f t="shared" si="789"/>
        <v>0</v>
      </c>
      <c r="AK627" s="109">
        <f t="shared" si="789"/>
        <v>-435991.49517035985</v>
      </c>
      <c r="AL627" s="109">
        <f t="shared" si="789"/>
        <v>-444700.07507376716</v>
      </c>
      <c r="AM627" s="109">
        <f t="shared" si="789"/>
        <v>0</v>
      </c>
      <c r="AN627" s="109">
        <f t="shared" si="789"/>
        <v>-444700.07507376716</v>
      </c>
    </row>
    <row r="628" spans="1:40" s="115" customFormat="1" ht="15.75" customHeight="1">
      <c r="A628" s="555"/>
      <c r="B628" s="217"/>
      <c r="C628" s="217"/>
      <c r="D628" s="101"/>
      <c r="E628" s="217"/>
      <c r="F628" s="294"/>
      <c r="G628" s="146"/>
      <c r="H628" s="98"/>
      <c r="I628" s="106"/>
      <c r="J628" s="106"/>
      <c r="K628" s="106"/>
      <c r="L628" s="106"/>
      <c r="M628" s="106"/>
      <c r="N628" s="112"/>
      <c r="O628" s="112"/>
      <c r="P628" s="112"/>
      <c r="Q628" s="113"/>
      <c r="R628" s="113"/>
      <c r="S628" s="113"/>
      <c r="T628" s="113"/>
      <c r="U628" s="105"/>
      <c r="V628" s="262"/>
      <c r="W628" s="102"/>
      <c r="X628" s="121"/>
      <c r="Y628" s="121"/>
      <c r="Z628" s="121"/>
      <c r="AA628" s="121"/>
      <c r="AB628" s="121"/>
      <c r="AC628" s="121"/>
      <c r="AD628" s="121"/>
      <c r="AE628" s="121"/>
      <c r="AF628" s="121"/>
      <c r="AG628" s="121"/>
      <c r="AH628" s="121"/>
      <c r="AI628" s="121"/>
    </row>
    <row r="629" spans="1:40" s="115" customFormat="1" ht="15" customHeight="1">
      <c r="A629" s="555" t="s">
        <v>2105</v>
      </c>
      <c r="B629" s="217" t="str">
        <f t="shared" si="772"/>
        <v>151</v>
      </c>
      <c r="C629" s="217" t="str">
        <f t="shared" si="773"/>
        <v>13</v>
      </c>
      <c r="D629" s="101" t="str">
        <f t="shared" si="774"/>
        <v>131</v>
      </c>
      <c r="E629" s="217" t="str">
        <f t="shared" si="775"/>
        <v>151-13-131</v>
      </c>
      <c r="F629" s="294" t="str">
        <f t="shared" si="776"/>
        <v>53599</v>
      </c>
      <c r="G629" s="295" t="str">
        <f>VLOOKUP(F629,'GL Category'!A:C,3,FALSE)</f>
        <v>Services &amp; other</v>
      </c>
      <c r="H629" s="98" t="str">
        <f>VLOOKUP(F629,'GL Category'!A:C,2,FALSE)</f>
        <v>MISCELLANEOUS SERVICES</v>
      </c>
      <c r="I629" s="99">
        <f>SUMIF(Import!$B:$B,'Other Fund Line-Item Details'!$A629,Import!D:D)</f>
        <v>0</v>
      </c>
      <c r="J629" s="99">
        <f>SUMIF(Import!$B:$B,'Other Fund Line-Item Details'!$A629,Import!E:E)</f>
        <v>0</v>
      </c>
      <c r="K629" s="99">
        <f>SUMIF(Import!$B:$B,'Other Fund Line-Item Details'!$A629,Import!F:F)</f>
        <v>0</v>
      </c>
      <c r="L629" s="99">
        <f>SUMIF(Import!$B:$B,'Other Fund Line-Item Details'!$A629,Import!G:G)</f>
        <v>0</v>
      </c>
      <c r="M629" s="99">
        <f>SUMIF(Import!$B:$B,'Other Fund Line-Item Details'!$A629,Import!H:H)</f>
        <v>0</v>
      </c>
      <c r="N629" s="99">
        <f>SUMIF(Import!$B:$B,'Other Fund Line-Item Details'!$A629,Import!I:I)</f>
        <v>0</v>
      </c>
      <c r="O629" s="99">
        <f>SUMIF(Import!$B:$B,'Other Fund Line-Item Details'!$A629,Import!J:J)</f>
        <v>0</v>
      </c>
      <c r="P629" s="99">
        <f>O629-M629</f>
        <v>0</v>
      </c>
      <c r="Q629" s="99">
        <f>SUMIF(Import!$B:$B,'Other Fund Line-Item Details'!$A629,Import!K:K)</f>
        <v>0</v>
      </c>
      <c r="R629" s="99">
        <f>SUMIF(Import!$B:$B,'Other Fund Line-Item Details'!$A629,Import!L:L)</f>
        <v>0</v>
      </c>
      <c r="S629" s="99">
        <f>SUMIF(Import!$B:$B,'Other Fund Line-Item Details'!$A629,Import!M:M)</f>
        <v>0</v>
      </c>
      <c r="T629" s="99">
        <f>SUMIF(Import!$B:$B,'Other Fund Line-Item Details'!$A629,Import!N:N)</f>
        <v>0</v>
      </c>
      <c r="U629" s="99">
        <f>T629-M629</f>
        <v>0</v>
      </c>
      <c r="V629" s="255" t="str">
        <f>IF(M629=0,"N/A",T629/M629-1)</f>
        <v>N/A</v>
      </c>
      <c r="W629" s="102" t="s">
        <v>2105</v>
      </c>
      <c r="X629" s="121"/>
      <c r="Y629" s="102">
        <f t="shared" ref="Y629" si="790">T629-X629</f>
        <v>0</v>
      </c>
      <c r="Z629" s="309">
        <f>Y629*(1+VLOOKUP($F629,'GL Category'!$A:$H,4,FALSE))</f>
        <v>0</v>
      </c>
      <c r="AA629" s="615"/>
      <c r="AB629" s="622">
        <f t="shared" ref="AB629" si="791">Z629+AA629</f>
        <v>0</v>
      </c>
      <c r="AC629" s="633">
        <f>AB629*(1+VLOOKUP($F629,'GL Category'!$A:$H,5,FALSE))</f>
        <v>0</v>
      </c>
      <c r="AD629" s="307"/>
      <c r="AE629" s="622">
        <f t="shared" ref="AE629" si="792">AC629+AD629</f>
        <v>0</v>
      </c>
      <c r="AF629" s="633">
        <f>AE629*(1+VLOOKUP($F629,'GL Category'!$A:$H,6,FALSE))</f>
        <v>0</v>
      </c>
      <c r="AG629" s="307"/>
      <c r="AH629" s="622">
        <f t="shared" ref="AH629" si="793">AF629+AG629</f>
        <v>0</v>
      </c>
      <c r="AI629" s="633">
        <f>AH629*(1+VLOOKUP($F629,'GL Category'!$A:$H,7,FALSE))</f>
        <v>0</v>
      </c>
      <c r="AJ629" s="307"/>
      <c r="AK629" s="622">
        <f t="shared" ref="AK629" si="794">AI629+AJ629</f>
        <v>0</v>
      </c>
      <c r="AL629" s="633">
        <f>AK629*(1+VLOOKUP($F629,'GL Category'!$A:$H,8,FALSE))</f>
        <v>0</v>
      </c>
      <c r="AM629" s="307"/>
      <c r="AN629" s="622">
        <f t="shared" ref="AN629" si="795">AL629+AM629</f>
        <v>0</v>
      </c>
    </row>
    <row r="630" spans="1:40" s="115" customFormat="1" ht="15" customHeight="1">
      <c r="A630" s="555" t="s">
        <v>2106</v>
      </c>
      <c r="B630" s="217" t="str">
        <f t="shared" si="772"/>
        <v>151</v>
      </c>
      <c r="C630" s="217" t="str">
        <f t="shared" si="773"/>
        <v>13</v>
      </c>
      <c r="D630" s="101" t="str">
        <f t="shared" si="774"/>
        <v>131</v>
      </c>
      <c r="E630" s="217" t="str">
        <f t="shared" si="775"/>
        <v>151-13-131</v>
      </c>
      <c r="F630" s="294" t="str">
        <f t="shared" si="776"/>
        <v>53556</v>
      </c>
      <c r="G630" s="295" t="e">
        <f>VLOOKUP(F630,'GL Category'!A:C,3,FALSE)</f>
        <v>#N/A</v>
      </c>
      <c r="H630" s="98" t="e">
        <f>VLOOKUP(F630,'GL Category'!A:C,2,FALSE)</f>
        <v>#N/A</v>
      </c>
      <c r="I630" s="99">
        <f>SUMIF(Import!$B:$B,'Other Fund Line-Item Details'!$A630,Import!D:D)</f>
        <v>0</v>
      </c>
      <c r="J630" s="99">
        <f>SUMIF(Import!$B:$B,'Other Fund Line-Item Details'!$A630,Import!E:E)</f>
        <v>0</v>
      </c>
      <c r="K630" s="99">
        <f>SUMIF(Import!$B:$B,'Other Fund Line-Item Details'!$A630,Import!F:F)</f>
        <v>0</v>
      </c>
      <c r="L630" s="99">
        <f>SUMIF(Import!$B:$B,'Other Fund Line-Item Details'!$A630,Import!G:G)</f>
        <v>0</v>
      </c>
      <c r="M630" s="99">
        <f>SUMIF(Import!$B:$B,'Other Fund Line-Item Details'!$A630,Import!H:H)</f>
        <v>0</v>
      </c>
      <c r="N630" s="99">
        <f>SUMIF(Import!$B:$B,'Other Fund Line-Item Details'!$A630,Import!I:I)</f>
        <v>0</v>
      </c>
      <c r="O630" s="99">
        <f>SUMIF(Import!$B:$B,'Other Fund Line-Item Details'!$A630,Import!J:J)</f>
        <v>0</v>
      </c>
      <c r="P630" s="99">
        <f>O630-M630</f>
        <v>0</v>
      </c>
      <c r="Q630" s="99">
        <f>SUMIF(Import!$B:$B,'Other Fund Line-Item Details'!$A630,Import!K:K)</f>
        <v>0</v>
      </c>
      <c r="R630" s="99">
        <f>SUMIF(Import!$B:$B,'Other Fund Line-Item Details'!$A630,Import!L:L)</f>
        <v>0</v>
      </c>
      <c r="S630" s="99">
        <f>SUMIF(Import!$B:$B,'Other Fund Line-Item Details'!$A630,Import!M:M)</f>
        <v>0</v>
      </c>
      <c r="T630" s="99">
        <f>SUMIF(Import!$B:$B,'Other Fund Line-Item Details'!$A630,Import!N:N)</f>
        <v>0</v>
      </c>
      <c r="U630" s="99">
        <f>T630-M630</f>
        <v>0</v>
      </c>
      <c r="V630" s="255" t="str">
        <f>IF(M630=0,"N/A",T630/M630-1)</f>
        <v>N/A</v>
      </c>
      <c r="W630" s="102" t="s">
        <v>2106</v>
      </c>
      <c r="X630" s="121"/>
      <c r="Y630" s="102"/>
      <c r="Z630" s="309"/>
      <c r="AA630" s="615"/>
      <c r="AB630" s="622"/>
      <c r="AC630" s="633"/>
      <c r="AD630" s="307"/>
      <c r="AE630" s="622"/>
      <c r="AF630" s="633"/>
      <c r="AG630" s="307"/>
      <c r="AH630" s="622"/>
      <c r="AI630" s="633"/>
      <c r="AJ630" s="307"/>
      <c r="AK630" s="622"/>
      <c r="AL630" s="633"/>
      <c r="AM630" s="307"/>
      <c r="AN630" s="622"/>
    </row>
    <row r="631" spans="1:40" s="115" customFormat="1" ht="15" customHeight="1">
      <c r="A631" s="555"/>
      <c r="B631" s="217"/>
      <c r="C631" s="217"/>
      <c r="D631" s="101"/>
      <c r="E631" s="217"/>
      <c r="F631" s="294"/>
      <c r="G631" s="146"/>
      <c r="H631" s="107" t="e">
        <f>UPPER('Other Fund Line-Item Details'!G630)&amp;" TOTAL"</f>
        <v>#N/A</v>
      </c>
      <c r="I631" s="109">
        <f t="shared" ref="I631" si="796">SUBTOTAL(9,I629:I630)</f>
        <v>0</v>
      </c>
      <c r="J631" s="109">
        <f t="shared" ref="J631:T631" si="797">SUBTOTAL(9,J629:J630)</f>
        <v>0</v>
      </c>
      <c r="K631" s="109">
        <f t="shared" ref="K631" si="798">SUBTOTAL(9,K629:K630)</f>
        <v>0</v>
      </c>
      <c r="L631" s="109">
        <f t="shared" ref="L631" si="799">SUBTOTAL(9,L629:L630)</f>
        <v>0</v>
      </c>
      <c r="M631" s="109">
        <f t="shared" si="797"/>
        <v>0</v>
      </c>
      <c r="N631" s="109">
        <f t="shared" ref="N631" si="800">SUBTOTAL(9,N629:N630)</f>
        <v>0</v>
      </c>
      <c r="O631" s="109">
        <f t="shared" si="797"/>
        <v>0</v>
      </c>
      <c r="P631" s="109">
        <f t="shared" si="797"/>
        <v>0</v>
      </c>
      <c r="Q631" s="109">
        <f t="shared" si="797"/>
        <v>0</v>
      </c>
      <c r="R631" s="109">
        <f t="shared" si="797"/>
        <v>0</v>
      </c>
      <c r="S631" s="109">
        <f t="shared" si="797"/>
        <v>0</v>
      </c>
      <c r="T631" s="109">
        <f t="shared" si="797"/>
        <v>0</v>
      </c>
      <c r="U631" s="99">
        <f>T631-M631</f>
        <v>0</v>
      </c>
      <c r="V631" s="255" t="str">
        <f>IF(M631=0,"N/A",T631/M631-1)</f>
        <v>N/A</v>
      </c>
      <c r="W631" s="102"/>
      <c r="X631" s="121"/>
      <c r="Y631" s="121"/>
      <c r="Z631" s="121"/>
      <c r="AA631" s="121"/>
      <c r="AB631" s="121"/>
      <c r="AC631" s="121"/>
      <c r="AD631" s="121"/>
      <c r="AE631" s="121"/>
      <c r="AF631" s="121"/>
      <c r="AG631" s="121"/>
      <c r="AH631" s="121"/>
      <c r="AI631" s="121"/>
    </row>
    <row r="632" spans="1:40" s="115" customFormat="1" ht="15" customHeight="1">
      <c r="A632" s="555"/>
      <c r="B632" s="217"/>
      <c r="C632" s="217"/>
      <c r="D632" s="101"/>
      <c r="E632" s="217"/>
      <c r="F632" s="294"/>
      <c r="G632" s="146"/>
      <c r="H632" s="98"/>
      <c r="I632" s="106"/>
      <c r="J632" s="106"/>
      <c r="K632" s="106"/>
      <c r="L632" s="106"/>
      <c r="M632" s="106"/>
      <c r="N632" s="112"/>
      <c r="O632" s="112"/>
      <c r="P632" s="112"/>
      <c r="Q632" s="113"/>
      <c r="R632" s="113"/>
      <c r="S632" s="113"/>
      <c r="T632" s="113"/>
      <c r="U632" s="105"/>
      <c r="V632" s="262"/>
      <c r="W632" s="102"/>
      <c r="X632" s="121"/>
      <c r="Y632" s="121"/>
      <c r="Z632" s="121"/>
      <c r="AA632" s="121"/>
      <c r="AB632" s="121"/>
      <c r="AC632" s="121"/>
      <c r="AD632" s="121"/>
      <c r="AE632" s="121"/>
      <c r="AF632" s="121"/>
      <c r="AG632" s="121"/>
      <c r="AH632" s="121"/>
      <c r="AI632" s="121"/>
    </row>
    <row r="633" spans="1:40" s="115" customFormat="1" ht="15" customHeight="1">
      <c r="A633" s="555"/>
      <c r="B633" s="217"/>
      <c r="C633" s="217"/>
      <c r="D633" s="101"/>
      <c r="E633" s="217"/>
      <c r="F633" s="294"/>
      <c r="G633" s="146"/>
      <c r="H633" s="98"/>
      <c r="I633" s="106"/>
      <c r="J633" s="106"/>
      <c r="K633" s="106"/>
      <c r="L633" s="106"/>
      <c r="M633" s="106"/>
      <c r="N633" s="112"/>
      <c r="O633" s="112"/>
      <c r="P633" s="112"/>
      <c r="Q633" s="113"/>
      <c r="R633" s="113"/>
      <c r="S633" s="113"/>
      <c r="T633" s="113"/>
      <c r="U633" s="105"/>
      <c r="V633" s="262"/>
      <c r="W633" s="102"/>
      <c r="X633" s="121"/>
      <c r="Y633" s="121"/>
      <c r="Z633" s="121"/>
      <c r="AA633" s="121"/>
      <c r="AB633" s="121"/>
      <c r="AC633" s="121"/>
      <c r="AD633" s="121"/>
      <c r="AE633" s="121"/>
      <c r="AF633" s="121"/>
      <c r="AG633" s="121"/>
      <c r="AH633" s="121"/>
      <c r="AI633" s="121"/>
    </row>
    <row r="634" spans="1:40" s="115" customFormat="1" ht="15" customHeight="1">
      <c r="A634" s="555" t="s">
        <v>2107</v>
      </c>
      <c r="B634" s="217" t="str">
        <f t="shared" si="772"/>
        <v>151</v>
      </c>
      <c r="C634" s="217" t="str">
        <f t="shared" si="773"/>
        <v>13</v>
      </c>
      <c r="D634" s="101" t="str">
        <f t="shared" si="774"/>
        <v>131</v>
      </c>
      <c r="E634" s="217" t="str">
        <f t="shared" si="775"/>
        <v>151-13-131</v>
      </c>
      <c r="F634" s="294" t="str">
        <f t="shared" si="776"/>
        <v>56900</v>
      </c>
      <c r="G634" s="295" t="str">
        <f>VLOOKUP(F634,'GL Category'!A:C,3,FALSE)</f>
        <v>Debt Service</v>
      </c>
      <c r="H634" s="98" t="str">
        <f>VLOOKUP(F634,'GL Category'!A:C,2,FALSE)</f>
        <v>INTEREST/OTHER DEBTAMORTIZATI</v>
      </c>
      <c r="I634" s="99">
        <f>SUMIF(Import!$B:$B,'Other Fund Line-Item Details'!$A634,Import!D:D)</f>
        <v>0</v>
      </c>
      <c r="J634" s="99">
        <f>SUMIF(Import!$B:$B,'Other Fund Line-Item Details'!$A634,Import!E:E)</f>
        <v>0</v>
      </c>
      <c r="K634" s="99">
        <f>SUMIF(Import!$B:$B,'Other Fund Line-Item Details'!$A634,Import!F:F)</f>
        <v>0</v>
      </c>
      <c r="L634" s="99">
        <f>SUMIF(Import!$B:$B,'Other Fund Line-Item Details'!$A634,Import!G:G)</f>
        <v>0</v>
      </c>
      <c r="M634" s="99">
        <f>SUMIF(Import!$B:$B,'Other Fund Line-Item Details'!$A634,Import!H:H)</f>
        <v>0</v>
      </c>
      <c r="N634" s="99">
        <f>SUMIF(Import!$B:$B,'Other Fund Line-Item Details'!$A634,Import!I:I)</f>
        <v>0</v>
      </c>
      <c r="O634" s="99">
        <f>SUMIF(Import!$B:$B,'Other Fund Line-Item Details'!$A634,Import!J:J)</f>
        <v>0</v>
      </c>
      <c r="P634" s="99">
        <f>O634-M634</f>
        <v>0</v>
      </c>
      <c r="Q634" s="99">
        <f>SUMIF(Import!$B:$B,'Other Fund Line-Item Details'!$A634,Import!K:K)</f>
        <v>0</v>
      </c>
      <c r="R634" s="99">
        <f>SUMIF(Import!$B:$B,'Other Fund Line-Item Details'!$A634,Import!L:L)</f>
        <v>0</v>
      </c>
      <c r="S634" s="99">
        <f>SUMIF(Import!$B:$B,'Other Fund Line-Item Details'!$A634,Import!M:M)</f>
        <v>0</v>
      </c>
      <c r="T634" s="99">
        <f>SUMIF(Import!$B:$B,'Other Fund Line-Item Details'!$A634,Import!N:N)</f>
        <v>0</v>
      </c>
      <c r="U634" s="99">
        <f>T634-M634</f>
        <v>0</v>
      </c>
      <c r="V634" s="255" t="str">
        <f>IF(M634=0,"N/A",T634/M634-1)</f>
        <v>N/A</v>
      </c>
      <c r="W634" s="102" t="s">
        <v>2107</v>
      </c>
      <c r="X634" s="121"/>
      <c r="Y634" s="102">
        <f t="shared" ref="Y634:Y636" si="801">T634-X634</f>
        <v>0</v>
      </c>
      <c r="Z634" s="309">
        <f>Y634*(1+VLOOKUP($F634,'GL Category'!$A:$H,4,FALSE))</f>
        <v>0</v>
      </c>
      <c r="AA634" s="615"/>
      <c r="AB634" s="622">
        <f t="shared" ref="AB634:AB636" si="802">Z634+AA634</f>
        <v>0</v>
      </c>
      <c r="AC634" s="633">
        <f>AB634*(1+VLOOKUP($F634,'GL Category'!$A:$H,5,FALSE))</f>
        <v>0</v>
      </c>
      <c r="AD634" s="307"/>
      <c r="AE634" s="622">
        <f t="shared" ref="AE634:AE636" si="803">AC634+AD634</f>
        <v>0</v>
      </c>
      <c r="AF634" s="633">
        <f>AE634*(1+VLOOKUP($F634,'GL Category'!$A:$H,6,FALSE))</f>
        <v>0</v>
      </c>
      <c r="AG634" s="307"/>
      <c r="AH634" s="622">
        <f t="shared" ref="AH634:AH636" si="804">AF634+AG634</f>
        <v>0</v>
      </c>
      <c r="AI634" s="633">
        <f>AH634*(1+VLOOKUP($F634,'GL Category'!$A:$H,7,FALSE))</f>
        <v>0</v>
      </c>
      <c r="AJ634" s="307"/>
      <c r="AK634" s="622">
        <f t="shared" ref="AK634:AK636" si="805">AI634+AJ634</f>
        <v>0</v>
      </c>
      <c r="AL634" s="633">
        <f>AK634*(1+VLOOKUP($F634,'GL Category'!$A:$H,8,FALSE))</f>
        <v>0</v>
      </c>
      <c r="AM634" s="307"/>
      <c r="AN634" s="622">
        <f t="shared" ref="AN634:AN636" si="806">AL634+AM634</f>
        <v>0</v>
      </c>
    </row>
    <row r="635" spans="1:40" s="115" customFormat="1" ht="15" customHeight="1">
      <c r="A635" s="555" t="s">
        <v>2108</v>
      </c>
      <c r="B635" s="217" t="str">
        <f t="shared" si="772"/>
        <v>151</v>
      </c>
      <c r="C635" s="217" t="str">
        <f t="shared" si="773"/>
        <v>13</v>
      </c>
      <c r="D635" s="101" t="str">
        <f t="shared" si="774"/>
        <v>131</v>
      </c>
      <c r="E635" s="217" t="str">
        <f t="shared" si="775"/>
        <v>151-13-131</v>
      </c>
      <c r="F635" s="294" t="str">
        <f t="shared" si="776"/>
        <v>56901</v>
      </c>
      <c r="G635" s="295" t="str">
        <f>VLOOKUP(F635,'GL Category'!A:C,3,FALSE)</f>
        <v>Debt Service</v>
      </c>
      <c r="H635" s="98" t="str">
        <f>VLOOKUP(F635,'GL Category'!A:C,2,FALSE)</f>
        <v>PAYING AGENT SERVICES</v>
      </c>
      <c r="I635" s="99">
        <f>SUMIF(Import!$B:$B,'Other Fund Line-Item Details'!$A635,Import!D:D)</f>
        <v>0</v>
      </c>
      <c r="J635" s="99">
        <f>SUMIF(Import!$B:$B,'Other Fund Line-Item Details'!$A635,Import!E:E)</f>
        <v>0</v>
      </c>
      <c r="K635" s="99">
        <f>SUMIF(Import!$B:$B,'Other Fund Line-Item Details'!$A635,Import!F:F)</f>
        <v>0</v>
      </c>
      <c r="L635" s="99">
        <f>SUMIF(Import!$B:$B,'Other Fund Line-Item Details'!$A635,Import!G:G)</f>
        <v>0</v>
      </c>
      <c r="M635" s="99">
        <f>SUMIF(Import!$B:$B,'Other Fund Line-Item Details'!$A635,Import!H:H)</f>
        <v>0</v>
      </c>
      <c r="N635" s="99">
        <f>SUMIF(Import!$B:$B,'Other Fund Line-Item Details'!$A635,Import!I:I)</f>
        <v>0</v>
      </c>
      <c r="O635" s="99">
        <f>SUMIF(Import!$B:$B,'Other Fund Line-Item Details'!$A635,Import!J:J)</f>
        <v>0</v>
      </c>
      <c r="P635" s="99">
        <f>O635-M635</f>
        <v>0</v>
      </c>
      <c r="Q635" s="99">
        <f>SUMIF(Import!$B:$B,'Other Fund Line-Item Details'!$A635,Import!K:K)</f>
        <v>0</v>
      </c>
      <c r="R635" s="99">
        <f>SUMIF(Import!$B:$B,'Other Fund Line-Item Details'!$A635,Import!L:L)</f>
        <v>0</v>
      </c>
      <c r="S635" s="99">
        <f>SUMIF(Import!$B:$B,'Other Fund Line-Item Details'!$A635,Import!M:M)</f>
        <v>0</v>
      </c>
      <c r="T635" s="99">
        <f>SUMIF(Import!$B:$B,'Other Fund Line-Item Details'!$A635,Import!N:N)</f>
        <v>0</v>
      </c>
      <c r="U635" s="99">
        <f>T635-M635</f>
        <v>0</v>
      </c>
      <c r="V635" s="255" t="str">
        <f>IF(M635=0,"N/A",T635/M635-1)</f>
        <v>N/A</v>
      </c>
      <c r="W635" s="102" t="s">
        <v>2108</v>
      </c>
      <c r="X635" s="121"/>
      <c r="Y635" s="102">
        <f t="shared" si="801"/>
        <v>0</v>
      </c>
      <c r="Z635" s="309">
        <f>Y635*(1+VLOOKUP($F635,'GL Category'!$A:$H,4,FALSE))</f>
        <v>0</v>
      </c>
      <c r="AA635" s="615"/>
      <c r="AB635" s="622">
        <f t="shared" si="802"/>
        <v>0</v>
      </c>
      <c r="AC635" s="633">
        <f>AB635*(1+VLOOKUP($F635,'GL Category'!$A:$H,5,FALSE))</f>
        <v>0</v>
      </c>
      <c r="AD635" s="307"/>
      <c r="AE635" s="622">
        <f t="shared" si="803"/>
        <v>0</v>
      </c>
      <c r="AF635" s="633">
        <f>AE635*(1+VLOOKUP($F635,'GL Category'!$A:$H,6,FALSE))</f>
        <v>0</v>
      </c>
      <c r="AG635" s="307"/>
      <c r="AH635" s="622">
        <f t="shared" si="804"/>
        <v>0</v>
      </c>
      <c r="AI635" s="633">
        <f>AH635*(1+VLOOKUP($F635,'GL Category'!$A:$H,7,FALSE))</f>
        <v>0</v>
      </c>
      <c r="AJ635" s="307"/>
      <c r="AK635" s="622">
        <f t="shared" si="805"/>
        <v>0</v>
      </c>
      <c r="AL635" s="633">
        <f>AK635*(1+VLOOKUP($F635,'GL Category'!$A:$H,8,FALSE))</f>
        <v>0</v>
      </c>
      <c r="AM635" s="307"/>
      <c r="AN635" s="622">
        <f t="shared" si="806"/>
        <v>0</v>
      </c>
    </row>
    <row r="636" spans="1:40" s="115" customFormat="1" ht="15" customHeight="1">
      <c r="A636" s="555" t="s">
        <v>2109</v>
      </c>
      <c r="B636" s="217" t="str">
        <f t="shared" si="772"/>
        <v>151</v>
      </c>
      <c r="C636" s="217" t="str">
        <f t="shared" si="773"/>
        <v>13</v>
      </c>
      <c r="D636" s="101" t="str">
        <f t="shared" si="774"/>
        <v>131</v>
      </c>
      <c r="E636" s="217" t="str">
        <f t="shared" si="775"/>
        <v>151-13-131</v>
      </c>
      <c r="F636" s="294" t="str">
        <f t="shared" si="776"/>
        <v>56902</v>
      </c>
      <c r="G636" s="295" t="str">
        <f>VLOOKUP(F636,'GL Category'!A:C,3,FALSE)</f>
        <v>Debt Service</v>
      </c>
      <c r="H636" s="98" t="str">
        <f>VLOOKUP(F636,'GL Category'!A:C,2,FALSE)</f>
        <v>GO RETIREMENT</v>
      </c>
      <c r="I636" s="99">
        <f>SUMIF(Import!$B:$B,'Other Fund Line-Item Details'!$A636,Import!D:D)</f>
        <v>0</v>
      </c>
      <c r="J636" s="99">
        <f>SUMIF(Import!$B:$B,'Other Fund Line-Item Details'!$A636,Import!E:E)</f>
        <v>0</v>
      </c>
      <c r="K636" s="99">
        <f>SUMIF(Import!$B:$B,'Other Fund Line-Item Details'!$A636,Import!F:F)</f>
        <v>0</v>
      </c>
      <c r="L636" s="99">
        <f>SUMIF(Import!$B:$B,'Other Fund Line-Item Details'!$A636,Import!G:G)</f>
        <v>0</v>
      </c>
      <c r="M636" s="99">
        <f>SUMIF(Import!$B:$B,'Other Fund Line-Item Details'!$A636,Import!H:H)</f>
        <v>0</v>
      </c>
      <c r="N636" s="99">
        <f>SUMIF(Import!$B:$B,'Other Fund Line-Item Details'!$A636,Import!I:I)</f>
        <v>0</v>
      </c>
      <c r="O636" s="99">
        <f>SUMIF(Import!$B:$B,'Other Fund Line-Item Details'!$A636,Import!J:J)</f>
        <v>0</v>
      </c>
      <c r="P636" s="99">
        <f>O636-M636</f>
        <v>0</v>
      </c>
      <c r="Q636" s="99">
        <f>SUMIF(Import!$B:$B,'Other Fund Line-Item Details'!$A636,Import!K:K)</f>
        <v>0</v>
      </c>
      <c r="R636" s="99">
        <f>SUMIF(Import!$B:$B,'Other Fund Line-Item Details'!$A636,Import!L:L)</f>
        <v>0</v>
      </c>
      <c r="S636" s="99">
        <f>SUMIF(Import!$B:$B,'Other Fund Line-Item Details'!$A636,Import!M:M)</f>
        <v>0</v>
      </c>
      <c r="T636" s="99">
        <f>SUMIF(Import!$B:$B,'Other Fund Line-Item Details'!$A636,Import!N:N)</f>
        <v>0</v>
      </c>
      <c r="U636" s="99">
        <f>T636-M636</f>
        <v>0</v>
      </c>
      <c r="V636" s="255" t="str">
        <f>IF(M636=0,"N/A",T636/M636-1)</f>
        <v>N/A</v>
      </c>
      <c r="W636" s="102" t="s">
        <v>2109</v>
      </c>
      <c r="X636" s="121"/>
      <c r="Y636" s="102">
        <f t="shared" si="801"/>
        <v>0</v>
      </c>
      <c r="Z636" s="309">
        <f>Y636*(1+VLOOKUP($F636,'GL Category'!$A:$H,4,FALSE))</f>
        <v>0</v>
      </c>
      <c r="AA636" s="615"/>
      <c r="AB636" s="622">
        <f t="shared" si="802"/>
        <v>0</v>
      </c>
      <c r="AC636" s="633">
        <f>AB636*(1+VLOOKUP($F636,'GL Category'!$A:$H,5,FALSE))</f>
        <v>0</v>
      </c>
      <c r="AD636" s="307"/>
      <c r="AE636" s="622">
        <f t="shared" si="803"/>
        <v>0</v>
      </c>
      <c r="AF636" s="633">
        <f>AE636*(1+VLOOKUP($F636,'GL Category'!$A:$H,6,FALSE))</f>
        <v>0</v>
      </c>
      <c r="AG636" s="307"/>
      <c r="AH636" s="622">
        <f t="shared" si="804"/>
        <v>0</v>
      </c>
      <c r="AI636" s="633">
        <f>AH636*(1+VLOOKUP($F636,'GL Category'!$A:$H,7,FALSE))</f>
        <v>0</v>
      </c>
      <c r="AJ636" s="307"/>
      <c r="AK636" s="622">
        <f t="shared" si="805"/>
        <v>0</v>
      </c>
      <c r="AL636" s="633">
        <f>AK636*(1+VLOOKUP($F636,'GL Category'!$A:$H,8,FALSE))</f>
        <v>0</v>
      </c>
      <c r="AM636" s="307"/>
      <c r="AN636" s="622">
        <f t="shared" si="806"/>
        <v>0</v>
      </c>
    </row>
    <row r="637" spans="1:40" s="115" customFormat="1">
      <c r="A637" s="555" t="s">
        <v>2110</v>
      </c>
      <c r="B637" s="217" t="str">
        <f t="shared" si="772"/>
        <v>151</v>
      </c>
      <c r="C637" s="217" t="str">
        <f t="shared" si="773"/>
        <v>13</v>
      </c>
      <c r="D637" s="101" t="str">
        <f t="shared" si="774"/>
        <v>131</v>
      </c>
      <c r="E637" s="217" t="str">
        <f t="shared" si="775"/>
        <v>151-13-131</v>
      </c>
      <c r="F637" s="294" t="str">
        <f t="shared" si="776"/>
        <v>56910</v>
      </c>
      <c r="G637" s="295" t="e">
        <f>VLOOKUP(F637,'GL Category'!A:C,3,FALSE)</f>
        <v>#N/A</v>
      </c>
      <c r="H637" s="98" t="e">
        <f>VLOOKUP(F637,'GL Category'!A:C,2,FALSE)</f>
        <v>#N/A</v>
      </c>
      <c r="I637" s="99">
        <f>SUMIF(Import!$B:$B,'Other Fund Line-Item Details'!$A637,Import!D:D)</f>
        <v>0</v>
      </c>
      <c r="J637" s="99">
        <f>SUMIF(Import!$B:$B,'Other Fund Line-Item Details'!$A637,Import!E:E)</f>
        <v>0</v>
      </c>
      <c r="K637" s="99">
        <f>SUMIF(Import!$B:$B,'Other Fund Line-Item Details'!$A637,Import!F:F)</f>
        <v>0</v>
      </c>
      <c r="L637" s="99">
        <f>SUMIF(Import!$B:$B,'Other Fund Line-Item Details'!$A637,Import!G:G)</f>
        <v>0</v>
      </c>
      <c r="M637" s="99">
        <f>SUMIF(Import!$B:$B,'Other Fund Line-Item Details'!$A637,Import!H:H)</f>
        <v>0</v>
      </c>
      <c r="N637" s="99">
        <f>SUMIF(Import!$B:$B,'Other Fund Line-Item Details'!$A637,Import!I:I)</f>
        <v>0</v>
      </c>
      <c r="O637" s="99">
        <f>SUMIF(Import!$B:$B,'Other Fund Line-Item Details'!$A637,Import!J:J)</f>
        <v>0</v>
      </c>
      <c r="P637" s="99">
        <f>O637-M637</f>
        <v>0</v>
      </c>
      <c r="Q637" s="99">
        <f>SUMIF(Import!$B:$B,'Other Fund Line-Item Details'!$A637,Import!K:K)</f>
        <v>0</v>
      </c>
      <c r="R637" s="99">
        <f>SUMIF(Import!$B:$B,'Other Fund Line-Item Details'!$A637,Import!L:L)</f>
        <v>0</v>
      </c>
      <c r="S637" s="99">
        <f>SUMIF(Import!$B:$B,'Other Fund Line-Item Details'!$A637,Import!M:M)</f>
        <v>0</v>
      </c>
      <c r="T637" s="99">
        <f>SUMIF(Import!$B:$B,'Other Fund Line-Item Details'!$A637,Import!N:N)</f>
        <v>0</v>
      </c>
      <c r="U637" s="99">
        <f>T637-M637</f>
        <v>0</v>
      </c>
      <c r="V637" s="255" t="str">
        <f>IF(M637=0,"N/A",T637/M637-1)</f>
        <v>N/A</v>
      </c>
      <c r="W637" s="102" t="s">
        <v>2110</v>
      </c>
      <c r="X637" s="121"/>
      <c r="Y637" s="102"/>
      <c r="Z637" s="309"/>
      <c r="AA637" s="615"/>
      <c r="AB637" s="622"/>
      <c r="AC637" s="633"/>
      <c r="AD637" s="307"/>
      <c r="AE637" s="622"/>
      <c r="AF637" s="633"/>
      <c r="AG637" s="307"/>
      <c r="AH637" s="622"/>
      <c r="AI637" s="633"/>
      <c r="AJ637" s="307"/>
      <c r="AK637" s="622"/>
      <c r="AL637" s="633"/>
      <c r="AM637" s="307"/>
      <c r="AN637" s="622"/>
    </row>
    <row r="638" spans="1:40" s="115" customFormat="1" ht="15" customHeight="1">
      <c r="A638" s="555"/>
      <c r="B638" s="217"/>
      <c r="C638" s="217"/>
      <c r="D638" s="101"/>
      <c r="E638" s="217"/>
      <c r="F638" s="294" t="str">
        <f t="shared" si="776"/>
        <v/>
      </c>
      <c r="G638" s="146"/>
      <c r="H638" s="107" t="e">
        <f>UPPER('Other Fund Line-Item Details'!G637)&amp;" TOTAL"</f>
        <v>#N/A</v>
      </c>
      <c r="I638" s="109">
        <f t="shared" ref="I638" si="807">SUBTOTAL(9,I634:I637)</f>
        <v>0</v>
      </c>
      <c r="J638" s="109">
        <f t="shared" ref="J638:S638" si="808">SUBTOTAL(9,J634:J637)</f>
        <v>0</v>
      </c>
      <c r="K638" s="109">
        <f t="shared" ref="K638" si="809">SUBTOTAL(9,K634:K637)</f>
        <v>0</v>
      </c>
      <c r="L638" s="109">
        <f t="shared" ref="L638" si="810">SUBTOTAL(9,L634:L637)</f>
        <v>0</v>
      </c>
      <c r="M638" s="109">
        <f t="shared" si="808"/>
        <v>0</v>
      </c>
      <c r="N638" s="109">
        <f t="shared" ref="N638" si="811">SUBTOTAL(9,N634:N637)</f>
        <v>0</v>
      </c>
      <c r="O638" s="109">
        <f t="shared" si="808"/>
        <v>0</v>
      </c>
      <c r="P638" s="109">
        <f t="shared" si="808"/>
        <v>0</v>
      </c>
      <c r="Q638" s="109">
        <f t="shared" si="808"/>
        <v>0</v>
      </c>
      <c r="R638" s="109">
        <f t="shared" si="808"/>
        <v>0</v>
      </c>
      <c r="S638" s="109">
        <f t="shared" si="808"/>
        <v>0</v>
      </c>
      <c r="T638" s="109">
        <f>SUBTOTAL(9,T629:T637)</f>
        <v>0</v>
      </c>
      <c r="U638" s="99">
        <f>T638-M638</f>
        <v>0</v>
      </c>
      <c r="V638" s="255" t="str">
        <f>IF(M638=0,"N/A",T638/M638-1)</f>
        <v>N/A</v>
      </c>
      <c r="W638" s="102"/>
      <c r="X638" s="121"/>
      <c r="Y638" s="121"/>
      <c r="Z638" s="121"/>
      <c r="AA638" s="121"/>
      <c r="AB638" s="121"/>
      <c r="AC638" s="121"/>
      <c r="AD638" s="121"/>
      <c r="AE638" s="121"/>
      <c r="AF638" s="121"/>
      <c r="AG638" s="121"/>
      <c r="AH638" s="121"/>
      <c r="AI638" s="121"/>
    </row>
    <row r="639" spans="1:40" s="115" customFormat="1">
      <c r="A639" s="555"/>
      <c r="B639" s="217"/>
      <c r="C639" s="217"/>
      <c r="D639" s="101"/>
      <c r="E639" s="217"/>
      <c r="F639" s="294" t="str">
        <f t="shared" si="776"/>
        <v/>
      </c>
      <c r="G639" s="146"/>
      <c r="H639" s="98"/>
      <c r="I639" s="106"/>
      <c r="J639" s="106"/>
      <c r="K639" s="106"/>
      <c r="L639" s="106"/>
      <c r="M639" s="106"/>
      <c r="N639" s="112"/>
      <c r="O639" s="112"/>
      <c r="P639" s="112"/>
      <c r="Q639" s="113"/>
      <c r="R639" s="113"/>
      <c r="S639" s="113"/>
      <c r="T639" s="113"/>
      <c r="U639" s="105"/>
      <c r="V639" s="262"/>
      <c r="W639" s="102"/>
      <c r="X639" s="121"/>
      <c r="Y639" s="121"/>
      <c r="Z639" s="121"/>
      <c r="AA639" s="121"/>
      <c r="AB639" s="121"/>
      <c r="AC639" s="121"/>
      <c r="AD639" s="121"/>
      <c r="AE639" s="121"/>
      <c r="AF639" s="121"/>
      <c r="AG639" s="121"/>
      <c r="AH639" s="121"/>
      <c r="AI639" s="121"/>
    </row>
    <row r="640" spans="1:40" s="115" customFormat="1">
      <c r="A640" s="555" t="s">
        <v>2111</v>
      </c>
      <c r="B640" s="217" t="str">
        <f t="shared" si="772"/>
        <v>151</v>
      </c>
      <c r="C640" s="217" t="str">
        <f t="shared" si="773"/>
        <v>13</v>
      </c>
      <c r="D640" s="101" t="str">
        <f t="shared" si="774"/>
        <v>131</v>
      </c>
      <c r="E640" s="217" t="str">
        <f t="shared" si="775"/>
        <v>151-13-131</v>
      </c>
      <c r="F640" s="294" t="str">
        <f t="shared" si="776"/>
        <v>59100</v>
      </c>
      <c r="G640" s="295" t="e">
        <f>VLOOKUP(F640,'GL Category'!A:C,3,FALSE)</f>
        <v>#N/A</v>
      </c>
      <c r="H640" s="98" t="e">
        <f>VLOOKUP(F640,'GL Category'!A:C,2,FALSE)</f>
        <v>#N/A</v>
      </c>
      <c r="I640" s="99">
        <f>SUMIF(Import!$B:$B,'Other Fund Line-Item Details'!$A640,Import!D:D)</f>
        <v>0</v>
      </c>
      <c r="J640" s="99">
        <f>SUMIF(Import!$B:$B,'Other Fund Line-Item Details'!$A640,Import!E:E)</f>
        <v>0</v>
      </c>
      <c r="K640" s="99">
        <f>SUMIF(Import!$B:$B,'Other Fund Line-Item Details'!$A640,Import!F:F)</f>
        <v>0</v>
      </c>
      <c r="L640" s="99">
        <f>SUMIF(Import!$B:$B,'Other Fund Line-Item Details'!$A640,Import!G:G)</f>
        <v>0</v>
      </c>
      <c r="M640" s="99">
        <f>SUMIF(Import!$B:$B,'Other Fund Line-Item Details'!$A640,Import!H:H)</f>
        <v>0</v>
      </c>
      <c r="N640" s="99">
        <f>SUMIF(Import!$B:$B,'Other Fund Line-Item Details'!$A640,Import!I:I)</f>
        <v>0</v>
      </c>
      <c r="O640" s="99">
        <f>SUMIF(Import!$B:$B,'Other Fund Line-Item Details'!$A640,Import!J:J)</f>
        <v>0</v>
      </c>
      <c r="P640" s="99">
        <f>O640-M640</f>
        <v>0</v>
      </c>
      <c r="Q640" s="99">
        <f>SUMIF(Import!$B:$B,'Other Fund Line-Item Details'!$A640,Import!K:K)</f>
        <v>0</v>
      </c>
      <c r="R640" s="99">
        <f>SUMIF(Import!$B:$B,'Other Fund Line-Item Details'!$A640,Import!L:L)</f>
        <v>0</v>
      </c>
      <c r="S640" s="99">
        <f>SUMIF(Import!$B:$B,'Other Fund Line-Item Details'!$A640,Import!M:M)</f>
        <v>0</v>
      </c>
      <c r="T640" s="99">
        <f>SUMIF(Import!$B:$B,'Other Fund Line-Item Details'!$A640,Import!N:N)</f>
        <v>0</v>
      </c>
      <c r="U640" s="99">
        <f>T640-M640</f>
        <v>0</v>
      </c>
      <c r="V640" s="255" t="str">
        <f>IF(M640=0,"N/A",T640/M640-1)</f>
        <v>N/A</v>
      </c>
      <c r="W640" s="102" t="s">
        <v>2111</v>
      </c>
      <c r="X640" s="121"/>
      <c r="Y640" s="102"/>
      <c r="Z640" s="309"/>
      <c r="AA640" s="615"/>
      <c r="AB640" s="622"/>
      <c r="AC640" s="633"/>
      <c r="AD640" s="307"/>
      <c r="AE640" s="622"/>
      <c r="AF640" s="633"/>
      <c r="AG640" s="307"/>
      <c r="AH640" s="622"/>
      <c r="AI640" s="633"/>
      <c r="AJ640" s="307"/>
      <c r="AK640" s="622"/>
      <c r="AL640" s="633"/>
      <c r="AM640" s="307"/>
      <c r="AN640" s="622"/>
    </row>
    <row r="641" spans="1:40" s="115" customFormat="1" ht="15" customHeight="1">
      <c r="A641" s="555"/>
      <c r="B641" s="217"/>
      <c r="C641" s="217"/>
      <c r="D641" s="101"/>
      <c r="E641" s="217"/>
      <c r="F641" s="294"/>
      <c r="G641" s="146"/>
      <c r="H641" s="107" t="e">
        <f>UPPER('Other Fund Line-Item Details'!G640)&amp;" TOTAL"</f>
        <v>#N/A</v>
      </c>
      <c r="I641" s="109">
        <f t="shared" ref="I641" si="812">SUBTOTAL(9,I637:I640)</f>
        <v>0</v>
      </c>
      <c r="J641" s="109">
        <f t="shared" ref="J641:S641" si="813">SUBTOTAL(9,J637:J640)</f>
        <v>0</v>
      </c>
      <c r="K641" s="109">
        <f t="shared" ref="K641" si="814">SUBTOTAL(9,K637:K640)</f>
        <v>0</v>
      </c>
      <c r="L641" s="109">
        <f t="shared" ref="L641" si="815">SUBTOTAL(9,L637:L640)</f>
        <v>0</v>
      </c>
      <c r="M641" s="109">
        <f t="shared" si="813"/>
        <v>0</v>
      </c>
      <c r="N641" s="109">
        <f t="shared" ref="N641" si="816">SUBTOTAL(9,N637:N640)</f>
        <v>0</v>
      </c>
      <c r="O641" s="109">
        <f t="shared" si="813"/>
        <v>0</v>
      </c>
      <c r="P641" s="109">
        <f t="shared" si="813"/>
        <v>0</v>
      </c>
      <c r="Q641" s="109">
        <f t="shared" si="813"/>
        <v>0</v>
      </c>
      <c r="R641" s="109">
        <f t="shared" si="813"/>
        <v>0</v>
      </c>
      <c r="S641" s="109">
        <f t="shared" si="813"/>
        <v>0</v>
      </c>
      <c r="T641" s="109">
        <f>SUBTOTAL(9,T632:T640)</f>
        <v>0</v>
      </c>
      <c r="U641" s="99">
        <f>T641-M641</f>
        <v>0</v>
      </c>
      <c r="V641" s="255" t="str">
        <f>IF(M641=0,"N/A",T641/M641-1)</f>
        <v>N/A</v>
      </c>
      <c r="W641" s="102"/>
      <c r="X641" s="121"/>
      <c r="Y641" s="121"/>
      <c r="Z641" s="121"/>
      <c r="AA641" s="121"/>
      <c r="AB641" s="121"/>
      <c r="AC641" s="121"/>
      <c r="AD641" s="121"/>
      <c r="AE641" s="121"/>
      <c r="AF641" s="121"/>
      <c r="AG641" s="121"/>
      <c r="AH641" s="121"/>
      <c r="AI641" s="121"/>
    </row>
    <row r="642" spans="1:40" s="115" customFormat="1">
      <c r="A642" s="555"/>
      <c r="B642" s="217"/>
      <c r="C642" s="217"/>
      <c r="D642" s="101"/>
      <c r="E642" s="217"/>
      <c r="F642" s="294"/>
      <c r="G642" s="146"/>
      <c r="H642" s="98"/>
      <c r="I642" s="106"/>
      <c r="J642" s="106"/>
      <c r="K642" s="106"/>
      <c r="L642" s="106"/>
      <c r="M642" s="106"/>
      <c r="N642" s="112"/>
      <c r="O642" s="112"/>
      <c r="P642" s="112"/>
      <c r="Q642" s="113"/>
      <c r="R642" s="113"/>
      <c r="S642" s="113"/>
      <c r="T642" s="113"/>
      <c r="U642" s="105"/>
      <c r="V642" s="262"/>
      <c r="W642" s="102"/>
      <c r="X642" s="121"/>
      <c r="Y642" s="121"/>
      <c r="Z642" s="121"/>
      <c r="AA642" s="121"/>
      <c r="AB642" s="121"/>
      <c r="AC642" s="121"/>
      <c r="AD642" s="121"/>
      <c r="AE642" s="121"/>
      <c r="AF642" s="121"/>
      <c r="AG642" s="121"/>
      <c r="AH642" s="121"/>
      <c r="AI642" s="121"/>
    </row>
    <row r="643" spans="1:40" s="115" customFormat="1">
      <c r="A643" s="555"/>
      <c r="B643" s="217"/>
      <c r="C643" s="217"/>
      <c r="D643" s="101"/>
      <c r="E643" s="217"/>
      <c r="F643" s="294"/>
      <c r="G643" s="146"/>
      <c r="H643" s="114" t="s">
        <v>677</v>
      </c>
      <c r="I643" s="108">
        <f t="shared" ref="I643" si="817">SUBTOTAL(9,I629:I641)</f>
        <v>0</v>
      </c>
      <c r="J643" s="108">
        <f t="shared" ref="J643:T643" si="818">SUBTOTAL(9,J629:J641)</f>
        <v>0</v>
      </c>
      <c r="K643" s="108">
        <f t="shared" ref="K643" si="819">SUBTOTAL(9,K629:K641)</f>
        <v>0</v>
      </c>
      <c r="L643" s="108">
        <f t="shared" ref="L643" si="820">SUBTOTAL(9,L629:L641)</f>
        <v>0</v>
      </c>
      <c r="M643" s="108">
        <f t="shared" si="818"/>
        <v>0</v>
      </c>
      <c r="N643" s="108">
        <f t="shared" ref="N643" si="821">SUBTOTAL(9,N629:N641)</f>
        <v>0</v>
      </c>
      <c r="O643" s="108">
        <f t="shared" si="818"/>
        <v>0</v>
      </c>
      <c r="P643" s="108">
        <f t="shared" si="818"/>
        <v>0</v>
      </c>
      <c r="Q643" s="108">
        <f t="shared" si="818"/>
        <v>0</v>
      </c>
      <c r="R643" s="108">
        <f t="shared" si="818"/>
        <v>0</v>
      </c>
      <c r="S643" s="108">
        <f t="shared" si="818"/>
        <v>0</v>
      </c>
      <c r="T643" s="108">
        <f t="shared" si="818"/>
        <v>0</v>
      </c>
      <c r="U643" s="99">
        <f>T643-M643</f>
        <v>0</v>
      </c>
      <c r="V643" s="255" t="str">
        <f>IF(M643=0,"N/A",T643/M643-1)</f>
        <v>N/A</v>
      </c>
      <c r="W643" s="102"/>
      <c r="X643" s="121"/>
      <c r="Y643" s="108">
        <f t="shared" ref="Y643:AN643" si="822">SUBTOTAL(9,Y629:Y641)</f>
        <v>0</v>
      </c>
      <c r="Z643" s="108">
        <f t="shared" si="822"/>
        <v>0</v>
      </c>
      <c r="AA643" s="108">
        <f t="shared" si="822"/>
        <v>0</v>
      </c>
      <c r="AB643" s="108">
        <f t="shared" si="822"/>
        <v>0</v>
      </c>
      <c r="AC643" s="108">
        <f t="shared" si="822"/>
        <v>0</v>
      </c>
      <c r="AD643" s="108">
        <f t="shared" si="822"/>
        <v>0</v>
      </c>
      <c r="AE643" s="108">
        <f t="shared" si="822"/>
        <v>0</v>
      </c>
      <c r="AF643" s="108">
        <f t="shared" si="822"/>
        <v>0</v>
      </c>
      <c r="AG643" s="108">
        <f t="shared" si="822"/>
        <v>0</v>
      </c>
      <c r="AH643" s="108">
        <f t="shared" si="822"/>
        <v>0</v>
      </c>
      <c r="AI643" s="108">
        <f t="shared" si="822"/>
        <v>0</v>
      </c>
      <c r="AJ643" s="108">
        <f t="shared" si="822"/>
        <v>0</v>
      </c>
      <c r="AK643" s="108">
        <f t="shared" si="822"/>
        <v>0</v>
      </c>
      <c r="AL643" s="108">
        <f t="shared" si="822"/>
        <v>0</v>
      </c>
      <c r="AM643" s="108">
        <f t="shared" si="822"/>
        <v>0</v>
      </c>
      <c r="AN643" s="108">
        <f t="shared" si="822"/>
        <v>0</v>
      </c>
    </row>
    <row r="644" spans="1:40" s="115" customFormat="1">
      <c r="A644" s="555"/>
      <c r="B644" s="217"/>
      <c r="C644" s="217"/>
      <c r="D644" s="101"/>
      <c r="E644" s="217"/>
      <c r="F644" s="294"/>
      <c r="G644" s="146"/>
      <c r="H644" s="98"/>
      <c r="I644" s="218"/>
      <c r="J644" s="218"/>
      <c r="K644" s="218"/>
      <c r="L644" s="218"/>
      <c r="M644" s="218"/>
      <c r="N644" s="96"/>
      <c r="O644" s="96"/>
      <c r="P644" s="96"/>
      <c r="Q644" s="212"/>
      <c r="R644" s="212"/>
      <c r="S644" s="212"/>
      <c r="T644" s="212"/>
      <c r="U644" s="105"/>
      <c r="V644" s="262"/>
      <c r="W644" s="102"/>
      <c r="X644" s="121"/>
      <c r="Y644" s="121"/>
      <c r="Z644" s="121"/>
      <c r="AA644" s="121"/>
      <c r="AB644" s="121"/>
      <c r="AC644" s="121"/>
      <c r="AD644" s="121"/>
      <c r="AE644" s="121"/>
      <c r="AF644" s="121"/>
      <c r="AG644" s="121"/>
      <c r="AH644" s="121"/>
      <c r="AI644" s="121"/>
    </row>
    <row r="645" spans="1:40" s="115" customFormat="1">
      <c r="A645" s="555"/>
      <c r="B645" s="217"/>
      <c r="C645" s="217"/>
      <c r="D645" s="101"/>
      <c r="E645" s="217"/>
      <c r="F645" s="294"/>
      <c r="G645" s="146"/>
      <c r="H645" s="114" t="s">
        <v>678</v>
      </c>
      <c r="I645" s="108">
        <f t="shared" ref="I645:T645" si="823">SUBTOTAL(9,I619:I644)</f>
        <v>0</v>
      </c>
      <c r="J645" s="108">
        <f t="shared" si="823"/>
        <v>0</v>
      </c>
      <c r="K645" s="108">
        <f t="shared" ref="K645" si="824">SUBTOTAL(9,K619:K644)</f>
        <v>0</v>
      </c>
      <c r="L645" s="108">
        <f t="shared" ref="L645" si="825">SUBTOTAL(9,L619:L644)</f>
        <v>-55612.770000000004</v>
      </c>
      <c r="M645" s="108">
        <f t="shared" si="823"/>
        <v>-310626</v>
      </c>
      <c r="N645" s="108">
        <f t="shared" si="823"/>
        <v>-154747.46</v>
      </c>
      <c r="O645" s="108">
        <f t="shared" si="823"/>
        <v>-308326</v>
      </c>
      <c r="P645" s="108">
        <f t="shared" si="823"/>
        <v>2300</v>
      </c>
      <c r="Q645" s="108">
        <f t="shared" si="823"/>
        <v>-415836.36552390701</v>
      </c>
      <c r="R645" s="108">
        <f t="shared" si="823"/>
        <v>0</v>
      </c>
      <c r="S645" s="108">
        <f t="shared" si="823"/>
        <v>0</v>
      </c>
      <c r="T645" s="108">
        <f t="shared" si="823"/>
        <v>-415836.36552390701</v>
      </c>
      <c r="U645" s="99">
        <f>T645-M645</f>
        <v>-105210.36552390701</v>
      </c>
      <c r="V645" s="255">
        <f>IF(M645=0,"N/A",T645/M645-1)</f>
        <v>0.33870431169286208</v>
      </c>
      <c r="W645" s="102"/>
      <c r="X645" s="121"/>
      <c r="Y645" s="121"/>
      <c r="Z645" s="121"/>
      <c r="AA645" s="121"/>
      <c r="AB645" s="121"/>
      <c r="AC645" s="121"/>
      <c r="AD645" s="121"/>
      <c r="AE645" s="121"/>
      <c r="AF645" s="121"/>
      <c r="AG645" s="121"/>
      <c r="AH645" s="121"/>
      <c r="AI645" s="121"/>
    </row>
    <row r="646" spans="1:40" s="115" customFormat="1">
      <c r="A646" s="555"/>
      <c r="B646" s="217"/>
      <c r="C646" s="217"/>
      <c r="D646" s="101"/>
      <c r="E646" s="217"/>
      <c r="F646" s="294"/>
      <c r="G646" s="146"/>
      <c r="H646" s="98"/>
      <c r="I646" s="218"/>
      <c r="J646" s="218"/>
      <c r="K646" s="218"/>
      <c r="L646" s="218"/>
      <c r="M646" s="218"/>
      <c r="N646" s="96"/>
      <c r="O646" s="96"/>
      <c r="P646" s="96"/>
      <c r="Q646" s="212"/>
      <c r="R646" s="212"/>
      <c r="S646" s="212"/>
      <c r="T646" s="212"/>
      <c r="U646" s="105"/>
      <c r="V646" s="262"/>
      <c r="W646" s="102"/>
      <c r="X646" s="121"/>
      <c r="Y646" s="121"/>
      <c r="Z646" s="121"/>
      <c r="AA646" s="121"/>
      <c r="AB646" s="121"/>
      <c r="AC646" s="121"/>
      <c r="AD646" s="121"/>
      <c r="AE646" s="121"/>
      <c r="AF646" s="121"/>
      <c r="AG646" s="121"/>
      <c r="AH646" s="121"/>
      <c r="AI646" s="121"/>
    </row>
    <row r="647" spans="1:40" s="115" customFormat="1" ht="14.4" thickBot="1">
      <c r="A647" s="555"/>
      <c r="B647" s="217"/>
      <c r="C647" s="217"/>
      <c r="D647" s="101"/>
      <c r="E647" s="217"/>
      <c r="F647" s="294"/>
      <c r="G647" s="146"/>
      <c r="H647" s="98"/>
      <c r="I647" s="218"/>
      <c r="J647" s="218"/>
      <c r="K647" s="218"/>
      <c r="L647" s="218"/>
      <c r="M647" s="218"/>
      <c r="N647" s="96"/>
      <c r="O647" s="96"/>
      <c r="P647" s="96"/>
      <c r="Q647" s="212"/>
      <c r="R647" s="212"/>
      <c r="S647" s="212"/>
      <c r="T647" s="212"/>
      <c r="U647" s="105"/>
      <c r="V647" s="262"/>
      <c r="W647" s="102"/>
      <c r="X647" s="121"/>
      <c r="Y647" s="121"/>
      <c r="Z647" s="121"/>
      <c r="AA647" s="121"/>
      <c r="AB647" s="121"/>
      <c r="AC647" s="121"/>
      <c r="AD647" s="121"/>
      <c r="AE647" s="121"/>
      <c r="AF647" s="121"/>
      <c r="AG647" s="121"/>
      <c r="AH647" s="121"/>
      <c r="AI647" s="121"/>
    </row>
    <row r="648" spans="1:40" s="115" customFormat="1" ht="28.5" customHeight="1" thickBot="1">
      <c r="A648" s="555"/>
      <c r="B648" s="217"/>
      <c r="C648" s="217"/>
      <c r="D648" s="101"/>
      <c r="E648" s="217"/>
      <c r="F648" s="294"/>
      <c r="G648" s="146"/>
      <c r="H648" s="665" t="s">
        <v>758</v>
      </c>
      <c r="I648" s="666"/>
      <c r="J648" s="666"/>
      <c r="K648" s="666"/>
      <c r="L648" s="666"/>
      <c r="M648" s="666"/>
      <c r="N648" s="666"/>
      <c r="O648" s="666"/>
      <c r="P648" s="666"/>
      <c r="Q648" s="666"/>
      <c r="R648" s="666"/>
      <c r="S648" s="666"/>
      <c r="T648" s="667"/>
      <c r="U648" s="105"/>
      <c r="V648" s="262"/>
      <c r="W648" s="102"/>
      <c r="X648" s="121"/>
      <c r="Y648" s="121"/>
      <c r="Z648" s="121"/>
      <c r="AA648" s="121"/>
      <c r="AB648" s="121"/>
      <c r="AC648" s="121"/>
      <c r="AD648" s="121"/>
      <c r="AE648" s="121"/>
      <c r="AF648" s="121"/>
      <c r="AG648" s="121"/>
      <c r="AH648" s="121"/>
      <c r="AI648" s="121"/>
    </row>
    <row r="649" spans="1:40" s="115" customFormat="1" ht="15" customHeight="1">
      <c r="A649" s="555"/>
      <c r="B649" s="217"/>
      <c r="C649" s="217"/>
      <c r="D649" s="101"/>
      <c r="E649" s="217"/>
      <c r="F649" s="294"/>
      <c r="G649" s="146"/>
      <c r="H649" s="225"/>
      <c r="I649" s="225"/>
      <c r="J649" s="225"/>
      <c r="K649" s="225"/>
      <c r="L649" s="225"/>
      <c r="M649" s="225"/>
      <c r="N649" s="225"/>
      <c r="O649" s="225"/>
      <c r="P649" s="225"/>
      <c r="Q649" s="225"/>
      <c r="R649" s="225"/>
      <c r="S649" s="225"/>
      <c r="T649" s="225"/>
      <c r="U649" s="105"/>
      <c r="V649" s="262"/>
      <c r="W649" s="102"/>
      <c r="X649" s="121"/>
      <c r="Y649" s="121"/>
      <c r="Z649" s="121"/>
      <c r="AA649" s="121"/>
      <c r="AB649" s="121"/>
      <c r="AC649" s="121"/>
      <c r="AD649" s="121"/>
      <c r="AE649" s="121"/>
      <c r="AF649" s="121"/>
      <c r="AG649" s="121"/>
      <c r="AH649" s="121"/>
      <c r="AI649" s="121"/>
    </row>
    <row r="650" spans="1:40" s="115" customFormat="1" ht="15" customHeight="1">
      <c r="A650" s="555" t="s">
        <v>2112</v>
      </c>
      <c r="B650" s="217" t="str">
        <f t="shared" si="772"/>
        <v>174</v>
      </c>
      <c r="C650" s="217" t="str">
        <f t="shared" si="773"/>
        <v>00</v>
      </c>
      <c r="D650" s="101" t="str">
        <f t="shared" si="774"/>
        <v>000</v>
      </c>
      <c r="E650" s="217" t="str">
        <f t="shared" si="775"/>
        <v>174-00-000</v>
      </c>
      <c r="F650" s="294" t="str">
        <f t="shared" si="776"/>
        <v>40200</v>
      </c>
      <c r="G650" s="295" t="str">
        <f>VLOOKUP(F650,'GL Category'!A:C,3,FALSE)</f>
        <v>SALES TAX</v>
      </c>
      <c r="H650" s="98" t="str">
        <f>VLOOKUP(F650,'GL Category'!A:C,2,FALSE)</f>
        <v>CITY SALES TAXES</v>
      </c>
      <c r="I650" s="99">
        <f>SUMIF(Import!$B:$B,'Other Fund Line-Item Details'!$A650,Import!D:D)</f>
        <v>-1808641.01</v>
      </c>
      <c r="J650" s="99">
        <f>SUMIF(Import!$B:$B,'Other Fund Line-Item Details'!$A650,Import!E:E)</f>
        <v>-2018048.48</v>
      </c>
      <c r="K650" s="99">
        <f>SUMIF(Import!$B:$B,'Other Fund Line-Item Details'!$A650,Import!F:F)</f>
        <v>-2277592.4700000002</v>
      </c>
      <c r="L650" s="99">
        <f>SUMIF(Import!$B:$B,'Other Fund Line-Item Details'!$A650,Import!G:G)</f>
        <v>-2358917.02</v>
      </c>
      <c r="M650" s="99">
        <f>SUMIF(Import!$B:$B,'Other Fund Line-Item Details'!$A650,Import!H:H)</f>
        <v>-2345414</v>
      </c>
      <c r="N650" s="99">
        <f>SUMIF(Import!$B:$B,'Other Fund Line-Item Details'!$A650,Import!I:I)</f>
        <v>-1957182.76</v>
      </c>
      <c r="O650" s="99">
        <f>SUMIF(Import!$B:$B,'Other Fund Line-Item Details'!$A650,Import!J:J)</f>
        <v>-2345414</v>
      </c>
      <c r="P650" s="99">
        <f t="shared" ref="P650:P658" si="826">O650-M650</f>
        <v>0</v>
      </c>
      <c r="Q650" s="99">
        <f>SUMIF(Import!$B:$B,'Other Fund Line-Item Details'!$A650,Import!K:K)</f>
        <v>-2345414</v>
      </c>
      <c r="R650" s="99">
        <f>SUMIF(Import!$B:$B,'Other Fund Line-Item Details'!$A650,Import!L:L)</f>
        <v>0</v>
      </c>
      <c r="S650" s="99">
        <f>SUMIF(Import!$B:$B,'Other Fund Line-Item Details'!$A650,Import!M:M)</f>
        <v>0</v>
      </c>
      <c r="T650" s="99">
        <f>SUMIF(Import!$B:$B,'Other Fund Line-Item Details'!$A650,Import!N:N)</f>
        <v>-2345414</v>
      </c>
      <c r="U650" s="99">
        <f t="shared" ref="U650:U659" si="827">T650-M650</f>
        <v>0</v>
      </c>
      <c r="V650" s="255">
        <f t="shared" ref="V650:V659" si="828">IF(M650=0,"N/A",T650/M650-1)</f>
        <v>0</v>
      </c>
      <c r="W650" s="102" t="s">
        <v>2112</v>
      </c>
      <c r="X650" s="102"/>
      <c r="Y650" s="102">
        <f t="shared" ref="Y650:Y658" si="829">T650-X650</f>
        <v>-2345414</v>
      </c>
      <c r="Z650" s="309">
        <f>Y650*(1+VLOOKUP($F650,'GL Category'!$A:$H,4,FALSE))</f>
        <v>-2392322.2800000003</v>
      </c>
      <c r="AA650" s="615"/>
      <c r="AB650" s="622">
        <f t="shared" ref="AB650:AB658" si="830">Z650+AA650</f>
        <v>-2392322.2800000003</v>
      </c>
      <c r="AC650" s="633">
        <f>AB650*(1+VLOOKUP($F650,'GL Category'!$A:$H,5,FALSE))</f>
        <v>-2452130.3369999998</v>
      </c>
      <c r="AD650" s="307"/>
      <c r="AE650" s="622">
        <f t="shared" ref="AE650:AE658" si="831">AC650+AD650</f>
        <v>-2452130.3369999998</v>
      </c>
      <c r="AF650" s="633">
        <f>AE650*(1+VLOOKUP($F650,'GL Category'!$A:$H,6,FALSE))</f>
        <v>-2513433.5954249995</v>
      </c>
      <c r="AG650" s="307"/>
      <c r="AH650" s="622">
        <f t="shared" ref="AH650:AH658" si="832">AF650+AG650</f>
        <v>-2513433.5954249995</v>
      </c>
      <c r="AI650" s="633">
        <f>AH650*(1+VLOOKUP($F650,'GL Category'!$A:$H,7,FALSE))</f>
        <v>-2576269.4353106241</v>
      </c>
      <c r="AJ650" s="307"/>
      <c r="AK650" s="622">
        <f t="shared" ref="AK650:AK658" si="833">AI650+AJ650</f>
        <v>-2576269.4353106241</v>
      </c>
      <c r="AL650" s="633">
        <f>AK650*(1+VLOOKUP($F650,'GL Category'!$A:$H,8,FALSE))</f>
        <v>-2640676.1711933892</v>
      </c>
      <c r="AM650" s="307"/>
      <c r="AN650" s="622">
        <f t="shared" ref="AN650:AN658" si="834">AL650+AM650</f>
        <v>-2640676.1711933892</v>
      </c>
    </row>
    <row r="651" spans="1:40" s="115" customFormat="1" ht="15" customHeight="1">
      <c r="A651" s="555" t="s">
        <v>2113</v>
      </c>
      <c r="B651" s="217" t="str">
        <f t="shared" si="772"/>
        <v>174</v>
      </c>
      <c r="C651" s="217" t="str">
        <f t="shared" si="773"/>
        <v>00</v>
      </c>
      <c r="D651" s="101" t="str">
        <f t="shared" si="774"/>
        <v>000</v>
      </c>
      <c r="E651" s="217" t="str">
        <f t="shared" si="775"/>
        <v>174-00-000</v>
      </c>
      <c r="F651" s="294" t="str">
        <f t="shared" si="776"/>
        <v>41140</v>
      </c>
      <c r="G651" s="295" t="str">
        <f>VLOOKUP(F651,'GL Category'!A:C,3,FALSE)</f>
        <v>DEVELOPMENT FEES</v>
      </c>
      <c r="H651" s="98" t="str">
        <f>VLOOKUP(F651,'GL Category'!A:C,2,FALSE)</f>
        <v>SIDEWALK DEVELOPMENT FEES</v>
      </c>
      <c r="I651" s="99">
        <f>SUMIF(Import!$B:$B,'Other Fund Line-Item Details'!$A651,Import!D:D)</f>
        <v>-3864</v>
      </c>
      <c r="J651" s="99">
        <f>SUMIF(Import!$B:$B,'Other Fund Line-Item Details'!$A651,Import!E:E)</f>
        <v>-3075</v>
      </c>
      <c r="K651" s="99">
        <f>SUMIF(Import!$B:$B,'Other Fund Line-Item Details'!$A651,Import!F:F)</f>
        <v>-19148</v>
      </c>
      <c r="L651" s="99">
        <f>SUMIF(Import!$B:$B,'Other Fund Line-Item Details'!$A651,Import!G:G)</f>
        <v>-16500</v>
      </c>
      <c r="M651" s="99">
        <f>SUMIF(Import!$B:$B,'Other Fund Line-Item Details'!$A651,Import!H:H)</f>
        <v>0</v>
      </c>
      <c r="N651" s="99">
        <f>SUMIF(Import!$B:$B,'Other Fund Line-Item Details'!$A651,Import!I:I)</f>
        <v>-50581.78</v>
      </c>
      <c r="O651" s="99">
        <f>SUMIF(Import!$B:$B,'Other Fund Line-Item Details'!$A651,Import!J:J)</f>
        <v>-50582</v>
      </c>
      <c r="P651" s="99">
        <f t="shared" si="826"/>
        <v>-50582</v>
      </c>
      <c r="Q651" s="99">
        <f>SUMIF(Import!$B:$B,'Other Fund Line-Item Details'!$A651,Import!K:K)</f>
        <v>0</v>
      </c>
      <c r="R651" s="99">
        <f>SUMIF(Import!$B:$B,'Other Fund Line-Item Details'!$A651,Import!L:L)</f>
        <v>0</v>
      </c>
      <c r="S651" s="99">
        <f>SUMIF(Import!$B:$B,'Other Fund Line-Item Details'!$A651,Import!M:M)</f>
        <v>0</v>
      </c>
      <c r="T651" s="99">
        <f>SUMIF(Import!$B:$B,'Other Fund Line-Item Details'!$A651,Import!N:N)</f>
        <v>0</v>
      </c>
      <c r="U651" s="99">
        <f t="shared" si="827"/>
        <v>0</v>
      </c>
      <c r="V651" s="255" t="str">
        <f t="shared" si="828"/>
        <v>N/A</v>
      </c>
      <c r="W651" s="102" t="s">
        <v>2113</v>
      </c>
      <c r="X651" s="102"/>
      <c r="Y651" s="102">
        <f t="shared" si="829"/>
        <v>0</v>
      </c>
      <c r="Z651" s="309">
        <f>Y651*(1+VLOOKUP($F651,'GL Category'!$A:$H,4,FALSE))</f>
        <v>0</v>
      </c>
      <c r="AA651" s="615"/>
      <c r="AB651" s="622">
        <f t="shared" si="830"/>
        <v>0</v>
      </c>
      <c r="AC651" s="633">
        <f>AB651*(1+VLOOKUP($F651,'GL Category'!$A:$H,5,FALSE))</f>
        <v>0</v>
      </c>
      <c r="AD651" s="307"/>
      <c r="AE651" s="622">
        <f t="shared" si="831"/>
        <v>0</v>
      </c>
      <c r="AF651" s="633">
        <f>AE651*(1+VLOOKUP($F651,'GL Category'!$A:$H,6,FALSE))</f>
        <v>0</v>
      </c>
      <c r="AG651" s="307"/>
      <c r="AH651" s="622">
        <f t="shared" si="832"/>
        <v>0</v>
      </c>
      <c r="AI651" s="633">
        <f>AH651*(1+VLOOKUP($F651,'GL Category'!$A:$H,7,FALSE))</f>
        <v>0</v>
      </c>
      <c r="AJ651" s="307"/>
      <c r="AK651" s="622">
        <f t="shared" si="833"/>
        <v>0</v>
      </c>
      <c r="AL651" s="633">
        <f>AK651*(1+VLOOKUP($F651,'GL Category'!$A:$H,8,FALSE))</f>
        <v>0</v>
      </c>
      <c r="AM651" s="307"/>
      <c r="AN651" s="622">
        <f t="shared" si="834"/>
        <v>0</v>
      </c>
    </row>
    <row r="652" spans="1:40" s="115" customFormat="1" ht="15" customHeight="1">
      <c r="A652" s="555" t="s">
        <v>2114</v>
      </c>
      <c r="B652" s="217" t="str">
        <f t="shared" si="772"/>
        <v>174</v>
      </c>
      <c r="C652" s="217" t="str">
        <f t="shared" si="773"/>
        <v>00</v>
      </c>
      <c r="D652" s="101" t="str">
        <f t="shared" si="774"/>
        <v>000</v>
      </c>
      <c r="E652" s="217" t="str">
        <f t="shared" si="775"/>
        <v>174-00-000</v>
      </c>
      <c r="F652" s="294" t="str">
        <f t="shared" si="776"/>
        <v>44790</v>
      </c>
      <c r="G652" s="295" t="str">
        <f>VLOOKUP(F652,'GL Category'!A:C,3,FALSE)</f>
        <v>CHARGES FOR SERVICE</v>
      </c>
      <c r="H652" s="98" t="str">
        <f>VLOOKUP(F652,'GL Category'!A:C,2,FALSE)</f>
        <v>WRITE OFF RECOVERY</v>
      </c>
      <c r="I652" s="99">
        <f>SUMIF(Import!$B:$B,'Other Fund Line-Item Details'!$A652,Import!D:D)</f>
        <v>0</v>
      </c>
      <c r="J652" s="99">
        <f>SUMIF(Import!$B:$B,'Other Fund Line-Item Details'!$A652,Import!E:E)</f>
        <v>0</v>
      </c>
      <c r="K652" s="99">
        <f>SUMIF(Import!$B:$B,'Other Fund Line-Item Details'!$A652,Import!F:F)</f>
        <v>0</v>
      </c>
      <c r="L652" s="99">
        <f>SUMIF(Import!$B:$B,'Other Fund Line-Item Details'!$A652,Import!G:G)</f>
        <v>0</v>
      </c>
      <c r="M652" s="99">
        <f>SUMIF(Import!$B:$B,'Other Fund Line-Item Details'!$A652,Import!H:H)</f>
        <v>0</v>
      </c>
      <c r="N652" s="99">
        <f>SUMIF(Import!$B:$B,'Other Fund Line-Item Details'!$A652,Import!I:I)</f>
        <v>0</v>
      </c>
      <c r="O652" s="99">
        <f>SUMIF(Import!$B:$B,'Other Fund Line-Item Details'!$A652,Import!J:J)</f>
        <v>0</v>
      </c>
      <c r="P652" s="99">
        <f t="shared" si="826"/>
        <v>0</v>
      </c>
      <c r="Q652" s="99">
        <f>SUMIF(Import!$B:$B,'Other Fund Line-Item Details'!$A652,Import!K:K)</f>
        <v>0</v>
      </c>
      <c r="R652" s="99">
        <f>SUMIF(Import!$B:$B,'Other Fund Line-Item Details'!$A652,Import!L:L)</f>
        <v>0</v>
      </c>
      <c r="S652" s="99">
        <f>SUMIF(Import!$B:$B,'Other Fund Line-Item Details'!$A652,Import!M:M)</f>
        <v>0</v>
      </c>
      <c r="T652" s="99">
        <f>SUMIF(Import!$B:$B,'Other Fund Line-Item Details'!$A652,Import!N:N)</f>
        <v>0</v>
      </c>
      <c r="U652" s="99">
        <f t="shared" si="827"/>
        <v>0</v>
      </c>
      <c r="V652" s="255" t="str">
        <f t="shared" si="828"/>
        <v>N/A</v>
      </c>
      <c r="W652" s="102" t="s">
        <v>2114</v>
      </c>
      <c r="X652" s="102"/>
      <c r="Y652" s="102">
        <f t="shared" si="829"/>
        <v>0</v>
      </c>
      <c r="Z652" s="309">
        <f>Y652*(1+VLOOKUP($F652,'GL Category'!$A:$H,4,FALSE))</f>
        <v>0</v>
      </c>
      <c r="AA652" s="615"/>
      <c r="AB652" s="622">
        <f t="shared" si="830"/>
        <v>0</v>
      </c>
      <c r="AC652" s="633">
        <f>AB652*(1+VLOOKUP($F652,'GL Category'!$A:$H,5,FALSE))</f>
        <v>0</v>
      </c>
      <c r="AD652" s="307"/>
      <c r="AE652" s="622">
        <f t="shared" si="831"/>
        <v>0</v>
      </c>
      <c r="AF652" s="633">
        <f>AE652*(1+VLOOKUP($F652,'GL Category'!$A:$H,6,FALSE))</f>
        <v>0</v>
      </c>
      <c r="AG652" s="307"/>
      <c r="AH652" s="622">
        <f t="shared" si="832"/>
        <v>0</v>
      </c>
      <c r="AI652" s="633">
        <f>AH652*(1+VLOOKUP($F652,'GL Category'!$A:$H,7,FALSE))</f>
        <v>0</v>
      </c>
      <c r="AJ652" s="307"/>
      <c r="AK652" s="622">
        <f t="shared" si="833"/>
        <v>0</v>
      </c>
      <c r="AL652" s="633">
        <f>AK652*(1+VLOOKUP($F652,'GL Category'!$A:$H,8,FALSE))</f>
        <v>0</v>
      </c>
      <c r="AM652" s="307"/>
      <c r="AN652" s="622">
        <f t="shared" si="834"/>
        <v>0</v>
      </c>
    </row>
    <row r="653" spans="1:40" s="115" customFormat="1" ht="15" customHeight="1">
      <c r="A653" s="555" t="s">
        <v>2115</v>
      </c>
      <c r="B653" s="217" t="str">
        <f t="shared" si="772"/>
        <v>174</v>
      </c>
      <c r="C653" s="217" t="str">
        <f t="shared" si="773"/>
        <v>00</v>
      </c>
      <c r="D653" s="101" t="str">
        <f t="shared" si="774"/>
        <v>000</v>
      </c>
      <c r="E653" s="217" t="str">
        <f t="shared" si="775"/>
        <v>174-00-000</v>
      </c>
      <c r="F653" s="294" t="str">
        <f t="shared" si="776"/>
        <v>46710</v>
      </c>
      <c r="G653" s="295" t="str">
        <f>VLOOKUP(F653,'GL Category'!A:C,3,FALSE)</f>
        <v>INTERGOVERNMENTAL</v>
      </c>
      <c r="H653" s="98" t="str">
        <f>VLOOKUP(F653,'GL Category'!A:C,2,FALSE)</f>
        <v>GRANT-LOCAL</v>
      </c>
      <c r="I653" s="99">
        <f>SUMIF(Import!$B:$B,'Other Fund Line-Item Details'!$A653,Import!D:D)</f>
        <v>0</v>
      </c>
      <c r="J653" s="99">
        <f>SUMIF(Import!$B:$B,'Other Fund Line-Item Details'!$A653,Import!E:E)</f>
        <v>0</v>
      </c>
      <c r="K653" s="99">
        <f>SUMIF(Import!$B:$B,'Other Fund Line-Item Details'!$A653,Import!F:F)</f>
        <v>0</v>
      </c>
      <c r="L653" s="99">
        <f>SUMIF(Import!$B:$B,'Other Fund Line-Item Details'!$A653,Import!G:G)</f>
        <v>0</v>
      </c>
      <c r="M653" s="99">
        <f>SUMIF(Import!$B:$B,'Other Fund Line-Item Details'!$A653,Import!H:H)</f>
        <v>0</v>
      </c>
      <c r="N653" s="99">
        <f>SUMIF(Import!$B:$B,'Other Fund Line-Item Details'!$A653,Import!I:I)</f>
        <v>0</v>
      </c>
      <c r="O653" s="99">
        <f>SUMIF(Import!$B:$B,'Other Fund Line-Item Details'!$A653,Import!J:J)</f>
        <v>0</v>
      </c>
      <c r="P653" s="99">
        <f t="shared" si="826"/>
        <v>0</v>
      </c>
      <c r="Q653" s="99">
        <f>SUMIF(Import!$B:$B,'Other Fund Line-Item Details'!$A653,Import!K:K)</f>
        <v>0</v>
      </c>
      <c r="R653" s="99">
        <f>SUMIF(Import!$B:$B,'Other Fund Line-Item Details'!$A653,Import!L:L)</f>
        <v>0</v>
      </c>
      <c r="S653" s="99">
        <f>SUMIF(Import!$B:$B,'Other Fund Line-Item Details'!$A653,Import!M:M)</f>
        <v>0</v>
      </c>
      <c r="T653" s="99">
        <f>SUMIF(Import!$B:$B,'Other Fund Line-Item Details'!$A653,Import!N:N)</f>
        <v>0</v>
      </c>
      <c r="U653" s="99">
        <f t="shared" si="827"/>
        <v>0</v>
      </c>
      <c r="V653" s="255" t="str">
        <f t="shared" si="828"/>
        <v>N/A</v>
      </c>
      <c r="W653" s="102" t="s">
        <v>2115</v>
      </c>
      <c r="X653" s="102"/>
      <c r="Y653" s="102">
        <f t="shared" si="829"/>
        <v>0</v>
      </c>
      <c r="Z653" s="309">
        <f>Y653*(1+VLOOKUP($F653,'GL Category'!$A:$H,4,FALSE))</f>
        <v>0</v>
      </c>
      <c r="AA653" s="615"/>
      <c r="AB653" s="622">
        <f t="shared" si="830"/>
        <v>0</v>
      </c>
      <c r="AC653" s="633">
        <f>AB653*(1+VLOOKUP($F653,'GL Category'!$A:$H,5,FALSE))</f>
        <v>0</v>
      </c>
      <c r="AD653" s="307"/>
      <c r="AE653" s="622">
        <f t="shared" si="831"/>
        <v>0</v>
      </c>
      <c r="AF653" s="633">
        <f>AE653*(1+VLOOKUP($F653,'GL Category'!$A:$H,6,FALSE))</f>
        <v>0</v>
      </c>
      <c r="AG653" s="307"/>
      <c r="AH653" s="622">
        <f t="shared" si="832"/>
        <v>0</v>
      </c>
      <c r="AI653" s="633">
        <f>AH653*(1+VLOOKUP($F653,'GL Category'!$A:$H,7,FALSE))</f>
        <v>0</v>
      </c>
      <c r="AJ653" s="307"/>
      <c r="AK653" s="622">
        <f t="shared" si="833"/>
        <v>0</v>
      </c>
      <c r="AL653" s="633">
        <f>AK653*(1+VLOOKUP($F653,'GL Category'!$A:$H,8,FALSE))</f>
        <v>0</v>
      </c>
      <c r="AM653" s="307"/>
      <c r="AN653" s="622">
        <f t="shared" si="834"/>
        <v>0</v>
      </c>
    </row>
    <row r="654" spans="1:40" s="115" customFormat="1" ht="15.75" customHeight="1">
      <c r="A654" s="555" t="s">
        <v>2116</v>
      </c>
      <c r="B654" s="217" t="str">
        <f t="shared" si="772"/>
        <v>174</v>
      </c>
      <c r="C654" s="217" t="str">
        <f t="shared" si="773"/>
        <v>00</v>
      </c>
      <c r="D654" s="101" t="str">
        <f t="shared" si="774"/>
        <v>000</v>
      </c>
      <c r="E654" s="217" t="str">
        <f t="shared" si="775"/>
        <v>174-00-000</v>
      </c>
      <c r="F654" s="294" t="str">
        <f t="shared" si="776"/>
        <v>47010</v>
      </c>
      <c r="G654" s="295" t="str">
        <f>VLOOKUP(F654,'GL Category'!A:C,3,FALSE)</f>
        <v>OTHER REVENUE</v>
      </c>
      <c r="H654" s="98" t="str">
        <f>VLOOKUP(F654,'GL Category'!A:C,2,FALSE)</f>
        <v>MISCELLANEOUS REVENUE</v>
      </c>
      <c r="I654" s="99">
        <f>SUMIF(Import!$B:$B,'Other Fund Line-Item Details'!$A654,Import!D:D)</f>
        <v>0</v>
      </c>
      <c r="J654" s="99">
        <f>SUMIF(Import!$B:$B,'Other Fund Line-Item Details'!$A654,Import!E:E)</f>
        <v>0</v>
      </c>
      <c r="K654" s="99">
        <f>SUMIF(Import!$B:$B,'Other Fund Line-Item Details'!$A654,Import!F:F)</f>
        <v>0</v>
      </c>
      <c r="L654" s="99">
        <f>SUMIF(Import!$B:$B,'Other Fund Line-Item Details'!$A654,Import!G:G)</f>
        <v>0</v>
      </c>
      <c r="M654" s="99">
        <f>SUMIF(Import!$B:$B,'Other Fund Line-Item Details'!$A654,Import!H:H)</f>
        <v>0</v>
      </c>
      <c r="N654" s="99">
        <f>SUMIF(Import!$B:$B,'Other Fund Line-Item Details'!$A654,Import!I:I)</f>
        <v>0</v>
      </c>
      <c r="O654" s="99">
        <f>SUMIF(Import!$B:$B,'Other Fund Line-Item Details'!$A654,Import!J:J)</f>
        <v>0</v>
      </c>
      <c r="P654" s="99">
        <f t="shared" si="826"/>
        <v>0</v>
      </c>
      <c r="Q654" s="99">
        <f>SUMIF(Import!$B:$B,'Other Fund Line-Item Details'!$A654,Import!K:K)</f>
        <v>0</v>
      </c>
      <c r="R654" s="99">
        <f>SUMIF(Import!$B:$B,'Other Fund Line-Item Details'!$A654,Import!L:L)</f>
        <v>0</v>
      </c>
      <c r="S654" s="99">
        <f>SUMIF(Import!$B:$B,'Other Fund Line-Item Details'!$A654,Import!M:M)</f>
        <v>0</v>
      </c>
      <c r="T654" s="99">
        <f>SUMIF(Import!$B:$B,'Other Fund Line-Item Details'!$A654,Import!N:N)</f>
        <v>0</v>
      </c>
      <c r="U654" s="99">
        <f t="shared" si="827"/>
        <v>0</v>
      </c>
      <c r="V654" s="255" t="str">
        <f t="shared" si="828"/>
        <v>N/A</v>
      </c>
      <c r="W654" s="102" t="s">
        <v>2116</v>
      </c>
      <c r="X654" s="102"/>
      <c r="Y654" s="102">
        <f t="shared" si="829"/>
        <v>0</v>
      </c>
      <c r="Z654" s="309">
        <f>Y654*(1+VLOOKUP($F654,'GL Category'!$A:$H,4,FALSE))</f>
        <v>0</v>
      </c>
      <c r="AA654" s="615"/>
      <c r="AB654" s="622">
        <f t="shared" si="830"/>
        <v>0</v>
      </c>
      <c r="AC654" s="633">
        <f>AB654*(1+VLOOKUP($F654,'GL Category'!$A:$H,5,FALSE))</f>
        <v>0</v>
      </c>
      <c r="AD654" s="307"/>
      <c r="AE654" s="622">
        <f t="shared" si="831"/>
        <v>0</v>
      </c>
      <c r="AF654" s="633">
        <f>AE654*(1+VLOOKUP($F654,'GL Category'!$A:$H,6,FALSE))</f>
        <v>0</v>
      </c>
      <c r="AG654" s="307"/>
      <c r="AH654" s="622">
        <f t="shared" si="832"/>
        <v>0</v>
      </c>
      <c r="AI654" s="633">
        <f>AH654*(1+VLOOKUP($F654,'GL Category'!$A:$H,7,FALSE))</f>
        <v>0</v>
      </c>
      <c r="AJ654" s="307"/>
      <c r="AK654" s="622">
        <f t="shared" si="833"/>
        <v>0</v>
      </c>
      <c r="AL654" s="633">
        <f>AK654*(1+VLOOKUP($F654,'GL Category'!$A:$H,8,FALSE))</f>
        <v>0</v>
      </c>
      <c r="AM654" s="307"/>
      <c r="AN654" s="622">
        <f t="shared" si="834"/>
        <v>0</v>
      </c>
    </row>
    <row r="655" spans="1:40" s="115" customFormat="1" ht="15.75" customHeight="1">
      <c r="A655" s="555" t="s">
        <v>2117</v>
      </c>
      <c r="B655" s="217" t="str">
        <f t="shared" si="772"/>
        <v>174</v>
      </c>
      <c r="C655" s="217" t="str">
        <f t="shared" si="773"/>
        <v>00</v>
      </c>
      <c r="D655" s="101" t="str">
        <f t="shared" si="774"/>
        <v>000</v>
      </c>
      <c r="E655" s="217" t="str">
        <f t="shared" si="775"/>
        <v>174-00-000</v>
      </c>
      <c r="F655" s="294" t="str">
        <f t="shared" si="776"/>
        <v>47090</v>
      </c>
      <c r="G655" s="295" t="str">
        <f>VLOOKUP(F655,'GL Category'!A:C,3,FALSE)</f>
        <v>OTHER REVENUE</v>
      </c>
      <c r="H655" s="98" t="str">
        <f>VLOOKUP(F655,'GL Category'!A:C,2,FALSE)</f>
        <v>INTEREST REVENUE-INVESTMENTS</v>
      </c>
      <c r="I655" s="99">
        <f>SUMIF(Import!$B:$B,'Other Fund Line-Item Details'!$A655,Import!D:D)</f>
        <v>-9086.2000000000007</v>
      </c>
      <c r="J655" s="99">
        <f>SUMIF(Import!$B:$B,'Other Fund Line-Item Details'!$A655,Import!E:E)</f>
        <v>-6293</v>
      </c>
      <c r="K655" s="99">
        <f>SUMIF(Import!$B:$B,'Other Fund Line-Item Details'!$A655,Import!F:F)</f>
        <v>-3936.84</v>
      </c>
      <c r="L655" s="99">
        <f>SUMIF(Import!$B:$B,'Other Fund Line-Item Details'!$A655,Import!G:G)</f>
        <v>-65834.58</v>
      </c>
      <c r="M655" s="99">
        <f>SUMIF(Import!$B:$B,'Other Fund Line-Item Details'!$A655,Import!H:H)</f>
        <v>-11483</v>
      </c>
      <c r="N655" s="99">
        <f>SUMIF(Import!$B:$B,'Other Fund Line-Item Details'!$A655,Import!I:I)</f>
        <v>-106967.51</v>
      </c>
      <c r="O655" s="99">
        <f>SUMIF(Import!$B:$B,'Other Fund Line-Item Details'!$A655,Import!J:J)</f>
        <v>-128203</v>
      </c>
      <c r="P655" s="99">
        <f t="shared" si="826"/>
        <v>-116720</v>
      </c>
      <c r="Q655" s="99">
        <f>SUMIF(Import!$B:$B,'Other Fund Line-Item Details'!$A655,Import!K:K)</f>
        <v>-128203</v>
      </c>
      <c r="R655" s="99">
        <f>SUMIF(Import!$B:$B,'Other Fund Line-Item Details'!$A655,Import!L:L)</f>
        <v>0</v>
      </c>
      <c r="S655" s="99">
        <f>SUMIF(Import!$B:$B,'Other Fund Line-Item Details'!$A655,Import!M:M)</f>
        <v>0</v>
      </c>
      <c r="T655" s="99">
        <f>SUMIF(Import!$B:$B,'Other Fund Line-Item Details'!$A655,Import!N:N)</f>
        <v>-128203</v>
      </c>
      <c r="U655" s="99">
        <f t="shared" si="827"/>
        <v>-116720</v>
      </c>
      <c r="V655" s="255">
        <f t="shared" si="828"/>
        <v>10.164591134720892</v>
      </c>
      <c r="W655" s="102" t="s">
        <v>2117</v>
      </c>
      <c r="X655" s="102"/>
      <c r="Y655" s="102">
        <f t="shared" si="829"/>
        <v>-128203</v>
      </c>
      <c r="Z655" s="309">
        <f>Y655*(1+VLOOKUP($F655,'GL Category'!$A:$H,4,FALSE))</f>
        <v>-96152.25</v>
      </c>
      <c r="AA655" s="615"/>
      <c r="AB655" s="622">
        <f t="shared" si="830"/>
        <v>-96152.25</v>
      </c>
      <c r="AC655" s="633">
        <f>AB655*(1+VLOOKUP($F655,'GL Category'!$A:$H,5,FALSE))</f>
        <v>-48076.125</v>
      </c>
      <c r="AD655" s="307"/>
      <c r="AE655" s="622">
        <f t="shared" si="831"/>
        <v>-48076.125</v>
      </c>
      <c r="AF655" s="633">
        <f>AE655*(1+VLOOKUP($F655,'GL Category'!$A:$H,6,FALSE))</f>
        <v>-48076.125</v>
      </c>
      <c r="AG655" s="307"/>
      <c r="AH655" s="622">
        <f t="shared" si="832"/>
        <v>-48076.125</v>
      </c>
      <c r="AI655" s="633">
        <f>AH655*(1+VLOOKUP($F655,'GL Category'!$A:$H,7,FALSE))</f>
        <v>-48076.125</v>
      </c>
      <c r="AJ655" s="307"/>
      <c r="AK655" s="622">
        <f t="shared" si="833"/>
        <v>-48076.125</v>
      </c>
      <c r="AL655" s="633">
        <f>AK655*(1+VLOOKUP($F655,'GL Category'!$A:$H,8,FALSE))</f>
        <v>-48076.125</v>
      </c>
      <c r="AM655" s="307"/>
      <c r="AN655" s="622">
        <f t="shared" si="834"/>
        <v>-48076.125</v>
      </c>
    </row>
    <row r="656" spans="1:40" s="115" customFormat="1" ht="15.75" customHeight="1">
      <c r="A656" s="555" t="s">
        <v>2118</v>
      </c>
      <c r="B656" s="217" t="str">
        <f t="shared" si="772"/>
        <v>174</v>
      </c>
      <c r="C656" s="217" t="str">
        <f t="shared" si="773"/>
        <v>00</v>
      </c>
      <c r="D656" s="101" t="str">
        <f t="shared" si="774"/>
        <v>000</v>
      </c>
      <c r="E656" s="217" t="str">
        <f t="shared" si="775"/>
        <v>174-00-000</v>
      </c>
      <c r="F656" s="294" t="str">
        <f t="shared" si="776"/>
        <v>47099</v>
      </c>
      <c r="G656" s="295" t="str">
        <f>VLOOKUP(F656,'GL Category'!A:C,3,FALSE)</f>
        <v>OTHER REVENUE</v>
      </c>
      <c r="H656" s="98" t="str">
        <f>VLOOKUP(F656,'GL Category'!A:C,2,FALSE)</f>
        <v>INCR/DECR IN FAIR VALUE OF INV</v>
      </c>
      <c r="I656" s="99">
        <f>SUMIF(Import!$B:$B,'Other Fund Line-Item Details'!$A656,Import!D:D)</f>
        <v>0</v>
      </c>
      <c r="J656" s="99">
        <f>SUMIF(Import!$B:$B,'Other Fund Line-Item Details'!$A656,Import!E:E)</f>
        <v>0</v>
      </c>
      <c r="K656" s="99">
        <f>SUMIF(Import!$B:$B,'Other Fund Line-Item Details'!$A656,Import!F:F)</f>
        <v>0</v>
      </c>
      <c r="L656" s="99">
        <f>SUMIF(Import!$B:$B,'Other Fund Line-Item Details'!$A656,Import!G:G)</f>
        <v>0</v>
      </c>
      <c r="M656" s="99">
        <f>SUMIF(Import!$B:$B,'Other Fund Line-Item Details'!$A656,Import!H:H)</f>
        <v>0</v>
      </c>
      <c r="N656" s="99">
        <f>SUMIF(Import!$B:$B,'Other Fund Line-Item Details'!$A656,Import!I:I)</f>
        <v>0</v>
      </c>
      <c r="O656" s="99">
        <f>SUMIF(Import!$B:$B,'Other Fund Line-Item Details'!$A656,Import!J:J)</f>
        <v>0</v>
      </c>
      <c r="P656" s="99">
        <f t="shared" si="826"/>
        <v>0</v>
      </c>
      <c r="Q656" s="99">
        <f>SUMIF(Import!$B:$B,'Other Fund Line-Item Details'!$A656,Import!K:K)</f>
        <v>0</v>
      </c>
      <c r="R656" s="99">
        <f>SUMIF(Import!$B:$B,'Other Fund Line-Item Details'!$A656,Import!L:L)</f>
        <v>0</v>
      </c>
      <c r="S656" s="99">
        <f>SUMIF(Import!$B:$B,'Other Fund Line-Item Details'!$A656,Import!M:M)</f>
        <v>0</v>
      </c>
      <c r="T656" s="99">
        <f>SUMIF(Import!$B:$B,'Other Fund Line-Item Details'!$A656,Import!N:N)</f>
        <v>0</v>
      </c>
      <c r="U656" s="99">
        <f t="shared" si="827"/>
        <v>0</v>
      </c>
      <c r="V656" s="255" t="str">
        <f t="shared" si="828"/>
        <v>N/A</v>
      </c>
      <c r="W656" s="102" t="s">
        <v>2118</v>
      </c>
      <c r="X656" s="102"/>
      <c r="Y656" s="102">
        <f t="shared" si="829"/>
        <v>0</v>
      </c>
      <c r="Z656" s="309">
        <f>Y656*(1+VLOOKUP($F656,'GL Category'!$A:$H,4,FALSE))</f>
        <v>0</v>
      </c>
      <c r="AA656" s="615"/>
      <c r="AB656" s="622">
        <f t="shared" si="830"/>
        <v>0</v>
      </c>
      <c r="AC656" s="633">
        <f>AB656*(1+VLOOKUP($F656,'GL Category'!$A:$H,5,FALSE))</f>
        <v>0</v>
      </c>
      <c r="AD656" s="307"/>
      <c r="AE656" s="622">
        <f t="shared" si="831"/>
        <v>0</v>
      </c>
      <c r="AF656" s="633">
        <f>AE656*(1+VLOOKUP($F656,'GL Category'!$A:$H,6,FALSE))</f>
        <v>0</v>
      </c>
      <c r="AG656" s="307"/>
      <c r="AH656" s="622">
        <f t="shared" si="832"/>
        <v>0</v>
      </c>
      <c r="AI656" s="633">
        <f>AH656*(1+VLOOKUP($F656,'GL Category'!$A:$H,7,FALSE))</f>
        <v>0</v>
      </c>
      <c r="AJ656" s="307"/>
      <c r="AK656" s="622">
        <f t="shared" si="833"/>
        <v>0</v>
      </c>
      <c r="AL656" s="633">
        <f>AK656*(1+VLOOKUP($F656,'GL Category'!$A:$H,8,FALSE))</f>
        <v>0</v>
      </c>
      <c r="AM656" s="307"/>
      <c r="AN656" s="622">
        <f t="shared" si="834"/>
        <v>0</v>
      </c>
    </row>
    <row r="657" spans="1:40" s="115" customFormat="1" ht="15.75" customHeight="1">
      <c r="A657" s="555" t="s">
        <v>2119</v>
      </c>
      <c r="B657" s="217" t="str">
        <f t="shared" si="772"/>
        <v>174</v>
      </c>
      <c r="C657" s="217" t="str">
        <f t="shared" si="773"/>
        <v>00</v>
      </c>
      <c r="D657" s="101" t="str">
        <f t="shared" si="774"/>
        <v>000</v>
      </c>
      <c r="E657" s="217" t="str">
        <f t="shared" si="775"/>
        <v>174-00-000</v>
      </c>
      <c r="F657" s="294" t="str">
        <f t="shared" si="776"/>
        <v>47100</v>
      </c>
      <c r="G657" s="295" t="str">
        <f>VLOOKUP(F657,'GL Category'!A:C,3,FALSE)</f>
        <v>OTHER REVENUE</v>
      </c>
      <c r="H657" s="98" t="str">
        <f>VLOOKUP(F657,'GL Category'!A:C,2,FALSE)</f>
        <v>INTEREST REVENUE-ASSESSMENTS</v>
      </c>
      <c r="I657" s="99">
        <f>SUMIF(Import!$B:$B,'Other Fund Line-Item Details'!$A657,Import!D:D)</f>
        <v>0</v>
      </c>
      <c r="J657" s="99">
        <f>SUMIF(Import!$B:$B,'Other Fund Line-Item Details'!$A657,Import!E:E)</f>
        <v>0</v>
      </c>
      <c r="K657" s="99">
        <f>SUMIF(Import!$B:$B,'Other Fund Line-Item Details'!$A657,Import!F:F)</f>
        <v>0</v>
      </c>
      <c r="L657" s="99">
        <f>SUMIF(Import!$B:$B,'Other Fund Line-Item Details'!$A657,Import!G:G)</f>
        <v>0</v>
      </c>
      <c r="M657" s="99">
        <f>SUMIF(Import!$B:$B,'Other Fund Line-Item Details'!$A657,Import!H:H)</f>
        <v>0</v>
      </c>
      <c r="N657" s="99">
        <f>SUMIF(Import!$B:$B,'Other Fund Line-Item Details'!$A657,Import!I:I)</f>
        <v>0</v>
      </c>
      <c r="O657" s="99">
        <f>SUMIF(Import!$B:$B,'Other Fund Line-Item Details'!$A657,Import!J:J)</f>
        <v>0</v>
      </c>
      <c r="P657" s="99">
        <f t="shared" si="826"/>
        <v>0</v>
      </c>
      <c r="Q657" s="99">
        <f>SUMIF(Import!$B:$B,'Other Fund Line-Item Details'!$A657,Import!K:K)</f>
        <v>0</v>
      </c>
      <c r="R657" s="99">
        <f>SUMIF(Import!$B:$B,'Other Fund Line-Item Details'!$A657,Import!L:L)</f>
        <v>0</v>
      </c>
      <c r="S657" s="99">
        <f>SUMIF(Import!$B:$B,'Other Fund Line-Item Details'!$A657,Import!M:M)</f>
        <v>0</v>
      </c>
      <c r="T657" s="99">
        <f>SUMIF(Import!$B:$B,'Other Fund Line-Item Details'!$A657,Import!N:N)</f>
        <v>0</v>
      </c>
      <c r="U657" s="99">
        <f t="shared" si="827"/>
        <v>0</v>
      </c>
      <c r="V657" s="255" t="str">
        <f t="shared" si="828"/>
        <v>N/A</v>
      </c>
      <c r="W657" s="102" t="s">
        <v>2119</v>
      </c>
      <c r="X657" s="102"/>
      <c r="Y657" s="102">
        <f t="shared" si="829"/>
        <v>0</v>
      </c>
      <c r="Z657" s="309">
        <f>Y657*(1+VLOOKUP($F657,'GL Category'!$A:$H,4,FALSE))</f>
        <v>0</v>
      </c>
      <c r="AA657" s="615"/>
      <c r="AB657" s="622">
        <f t="shared" si="830"/>
        <v>0</v>
      </c>
      <c r="AC657" s="633">
        <f>AB657*(1+VLOOKUP($F657,'GL Category'!$A:$H,5,FALSE))</f>
        <v>0</v>
      </c>
      <c r="AD657" s="307"/>
      <c r="AE657" s="622">
        <f t="shared" si="831"/>
        <v>0</v>
      </c>
      <c r="AF657" s="633">
        <f>AE657*(1+VLOOKUP($F657,'GL Category'!$A:$H,6,FALSE))</f>
        <v>0</v>
      </c>
      <c r="AG657" s="307"/>
      <c r="AH657" s="622">
        <f t="shared" si="832"/>
        <v>0</v>
      </c>
      <c r="AI657" s="633">
        <f>AH657*(1+VLOOKUP($F657,'GL Category'!$A:$H,7,FALSE))</f>
        <v>0</v>
      </c>
      <c r="AJ657" s="307"/>
      <c r="AK657" s="622">
        <f t="shared" si="833"/>
        <v>0</v>
      </c>
      <c r="AL657" s="633">
        <f>AK657*(1+VLOOKUP($F657,'GL Category'!$A:$H,8,FALSE))</f>
        <v>0</v>
      </c>
      <c r="AM657" s="307"/>
      <c r="AN657" s="622">
        <f t="shared" si="834"/>
        <v>0</v>
      </c>
    </row>
    <row r="658" spans="1:40" s="115" customFormat="1" ht="15.75" customHeight="1">
      <c r="A658" s="555" t="s">
        <v>2120</v>
      </c>
      <c r="B658" s="217" t="str">
        <f t="shared" si="772"/>
        <v>174</v>
      </c>
      <c r="C658" s="217" t="str">
        <f t="shared" si="773"/>
        <v>00</v>
      </c>
      <c r="D658" s="101" t="str">
        <f t="shared" si="774"/>
        <v>000</v>
      </c>
      <c r="E658" s="217" t="str">
        <f t="shared" si="775"/>
        <v>174-00-000</v>
      </c>
      <c r="F658" s="294" t="str">
        <f t="shared" si="776"/>
        <v>49999</v>
      </c>
      <c r="G658" s="295" t="str">
        <f>VLOOKUP(F658,'GL Category'!A:C,3,FALSE)</f>
        <v>TRANSFERS IN</v>
      </c>
      <c r="H658" s="98" t="str">
        <f>VLOOKUP(F658,'GL Category'!A:C,2,FALSE)</f>
        <v>USE OF FUND BALANCE</v>
      </c>
      <c r="I658" s="99">
        <f>SUMIF(Import!$B:$B,'Other Fund Line-Item Details'!$A658,Import!D:D)</f>
        <v>84</v>
      </c>
      <c r="J658" s="99">
        <f>SUMIF(Import!$B:$B,'Other Fund Line-Item Details'!$A658,Import!E:E)</f>
        <v>0</v>
      </c>
      <c r="K658" s="99">
        <f>SUMIF(Import!$B:$B,'Other Fund Line-Item Details'!$A658,Import!F:F)</f>
        <v>0</v>
      </c>
      <c r="L658" s="99">
        <f>SUMIF(Import!$B:$B,'Other Fund Line-Item Details'!$A658,Import!G:G)</f>
        <v>0</v>
      </c>
      <c r="M658" s="99">
        <f>SUMIF(Import!$B:$B,'Other Fund Line-Item Details'!$A658,Import!H:H)</f>
        <v>0</v>
      </c>
      <c r="N658" s="99">
        <f>SUMIF(Import!$B:$B,'Other Fund Line-Item Details'!$A658,Import!I:I)</f>
        <v>0</v>
      </c>
      <c r="O658" s="99">
        <f>SUMIF(Import!$B:$B,'Other Fund Line-Item Details'!$A658,Import!J:J)</f>
        <v>0</v>
      </c>
      <c r="P658" s="99">
        <f t="shared" si="826"/>
        <v>0</v>
      </c>
      <c r="Q658" s="99">
        <f>SUMIF(Import!$B:$B,'Other Fund Line-Item Details'!$A658,Import!K:K)</f>
        <v>0</v>
      </c>
      <c r="R658" s="99">
        <f>SUMIF(Import!$B:$B,'Other Fund Line-Item Details'!$A658,Import!L:L)</f>
        <v>0</v>
      </c>
      <c r="S658" s="99">
        <f>SUMIF(Import!$B:$B,'Other Fund Line-Item Details'!$A658,Import!M:M)</f>
        <v>0</v>
      </c>
      <c r="T658" s="99">
        <f>SUMIF(Import!$B:$B,'Other Fund Line-Item Details'!$A658,Import!N:N)</f>
        <v>0</v>
      </c>
      <c r="U658" s="99">
        <f t="shared" si="827"/>
        <v>0</v>
      </c>
      <c r="V658" s="255" t="str">
        <f t="shared" si="828"/>
        <v>N/A</v>
      </c>
      <c r="W658" s="102" t="s">
        <v>2120</v>
      </c>
      <c r="X658" s="102"/>
      <c r="Y658" s="102">
        <f t="shared" si="829"/>
        <v>0</v>
      </c>
      <c r="Z658" s="309">
        <f>Y658*(1+VLOOKUP($F658,'GL Category'!$A:$H,4,FALSE))</f>
        <v>0</v>
      </c>
      <c r="AA658" s="615"/>
      <c r="AB658" s="622">
        <f t="shared" si="830"/>
        <v>0</v>
      </c>
      <c r="AC658" s="633">
        <f>AB658*(1+VLOOKUP($F658,'GL Category'!$A:$H,5,FALSE))</f>
        <v>0</v>
      </c>
      <c r="AD658" s="307"/>
      <c r="AE658" s="622">
        <f t="shared" si="831"/>
        <v>0</v>
      </c>
      <c r="AF658" s="633">
        <f>AE658*(1+VLOOKUP($F658,'GL Category'!$A:$H,6,FALSE))</f>
        <v>0</v>
      </c>
      <c r="AG658" s="307"/>
      <c r="AH658" s="622">
        <f t="shared" si="832"/>
        <v>0</v>
      </c>
      <c r="AI658" s="633">
        <f>AH658*(1+VLOOKUP($F658,'GL Category'!$A:$H,7,FALSE))</f>
        <v>0</v>
      </c>
      <c r="AJ658" s="307"/>
      <c r="AK658" s="622">
        <f t="shared" si="833"/>
        <v>0</v>
      </c>
      <c r="AL658" s="633">
        <f>AK658*(1+VLOOKUP($F658,'GL Category'!$A:$H,8,FALSE))</f>
        <v>0</v>
      </c>
      <c r="AM658" s="307"/>
      <c r="AN658" s="622">
        <f t="shared" si="834"/>
        <v>0</v>
      </c>
    </row>
    <row r="659" spans="1:40" s="115" customFormat="1" ht="15" customHeight="1">
      <c r="A659" s="555"/>
      <c r="B659" s="217"/>
      <c r="C659" s="217"/>
      <c r="D659" s="101"/>
      <c r="E659" s="217"/>
      <c r="F659" s="294"/>
      <c r="G659" s="146"/>
      <c r="H659" s="107" t="str">
        <f>UPPER(G658)&amp;" TOTAL"</f>
        <v>TRANSFERS IN TOTAL</v>
      </c>
      <c r="I659" s="109">
        <f t="shared" ref="I659" si="835">SUBTOTAL(9,I650:I658)</f>
        <v>-1821507.21</v>
      </c>
      <c r="J659" s="109">
        <f t="shared" ref="J659:T659" si="836">SUBTOTAL(9,J650:J658)</f>
        <v>-2027416.48</v>
      </c>
      <c r="K659" s="109">
        <f t="shared" ref="K659" si="837">SUBTOTAL(9,K650:K658)</f>
        <v>-2300677.31</v>
      </c>
      <c r="L659" s="109">
        <f t="shared" ref="L659" si="838">SUBTOTAL(9,L650:L658)</f>
        <v>-2441251.6</v>
      </c>
      <c r="M659" s="109">
        <f t="shared" si="836"/>
        <v>-2356897</v>
      </c>
      <c r="N659" s="109">
        <f t="shared" ref="N659" si="839">SUBTOTAL(9,N650:N658)</f>
        <v>-2114732.0499999998</v>
      </c>
      <c r="O659" s="109">
        <f t="shared" si="836"/>
        <v>-2524199</v>
      </c>
      <c r="P659" s="109">
        <f t="shared" si="836"/>
        <v>-167302</v>
      </c>
      <c r="Q659" s="109">
        <f t="shared" si="836"/>
        <v>-2473617</v>
      </c>
      <c r="R659" s="109">
        <f t="shared" si="836"/>
        <v>0</v>
      </c>
      <c r="S659" s="109">
        <f t="shared" si="836"/>
        <v>0</v>
      </c>
      <c r="T659" s="109">
        <f t="shared" si="836"/>
        <v>-2473617</v>
      </c>
      <c r="U659" s="99">
        <f t="shared" si="827"/>
        <v>-116720</v>
      </c>
      <c r="V659" s="255">
        <f t="shared" si="828"/>
        <v>4.9522741129544467E-2</v>
      </c>
      <c r="W659" s="102"/>
      <c r="X659" s="121"/>
      <c r="Y659" s="109">
        <f t="shared" ref="Y659:AN659" si="840">SUBTOTAL(9,Y650:Y658)</f>
        <v>-2473617</v>
      </c>
      <c r="Z659" s="109">
        <f t="shared" si="840"/>
        <v>-2488474.5300000003</v>
      </c>
      <c r="AA659" s="109">
        <f t="shared" si="840"/>
        <v>0</v>
      </c>
      <c r="AB659" s="109">
        <f t="shared" si="840"/>
        <v>-2488474.5300000003</v>
      </c>
      <c r="AC659" s="109">
        <f t="shared" si="840"/>
        <v>-2500206.4619999998</v>
      </c>
      <c r="AD659" s="109">
        <f t="shared" si="840"/>
        <v>0</v>
      </c>
      <c r="AE659" s="109">
        <f t="shared" si="840"/>
        <v>-2500206.4619999998</v>
      </c>
      <c r="AF659" s="109">
        <f t="shared" si="840"/>
        <v>-2561509.7204249995</v>
      </c>
      <c r="AG659" s="109">
        <f t="shared" si="840"/>
        <v>0</v>
      </c>
      <c r="AH659" s="109">
        <f t="shared" si="840"/>
        <v>-2561509.7204249995</v>
      </c>
      <c r="AI659" s="109">
        <f t="shared" si="840"/>
        <v>-2624345.5603106241</v>
      </c>
      <c r="AJ659" s="109">
        <f t="shared" si="840"/>
        <v>0</v>
      </c>
      <c r="AK659" s="109">
        <f t="shared" si="840"/>
        <v>-2624345.5603106241</v>
      </c>
      <c r="AL659" s="109">
        <f t="shared" si="840"/>
        <v>-2688752.2961933892</v>
      </c>
      <c r="AM659" s="109">
        <f t="shared" si="840"/>
        <v>0</v>
      </c>
      <c r="AN659" s="109">
        <f t="shared" si="840"/>
        <v>-2688752.2961933892</v>
      </c>
    </row>
    <row r="660" spans="1:40" s="115" customFormat="1" ht="15" customHeight="1">
      <c r="A660" s="555"/>
      <c r="B660" s="217"/>
      <c r="C660" s="217"/>
      <c r="D660" s="101"/>
      <c r="E660" s="217"/>
      <c r="F660" s="294"/>
      <c r="G660" s="146"/>
      <c r="H660" s="98"/>
      <c r="I660" s="106"/>
      <c r="J660" s="106"/>
      <c r="K660" s="106"/>
      <c r="L660" s="106"/>
      <c r="M660" s="106"/>
      <c r="N660" s="112"/>
      <c r="O660" s="112"/>
      <c r="P660" s="112"/>
      <c r="Q660" s="113"/>
      <c r="R660" s="113"/>
      <c r="S660" s="113"/>
      <c r="T660" s="113"/>
      <c r="U660" s="105"/>
      <c r="V660" s="262"/>
      <c r="W660" s="102"/>
      <c r="X660" s="121"/>
      <c r="Y660" s="121"/>
      <c r="Z660" s="121"/>
      <c r="AA660" s="121"/>
      <c r="AB660" s="121"/>
      <c r="AC660" s="121"/>
      <c r="AD660" s="121"/>
      <c r="AE660" s="121"/>
      <c r="AF660" s="121"/>
      <c r="AG660" s="121"/>
      <c r="AH660" s="121"/>
      <c r="AI660" s="121"/>
    </row>
    <row r="661" spans="1:40" s="115" customFormat="1" ht="15" customHeight="1">
      <c r="A661" s="555" t="s">
        <v>2121</v>
      </c>
      <c r="B661" s="217" t="str">
        <f t="shared" si="772"/>
        <v>174</v>
      </c>
      <c r="C661" s="217" t="str">
        <f t="shared" si="773"/>
        <v>13</v>
      </c>
      <c r="D661" s="101" t="str">
        <f t="shared" si="774"/>
        <v>131</v>
      </c>
      <c r="E661" s="217" t="str">
        <f t="shared" si="775"/>
        <v>174-13-131</v>
      </c>
      <c r="F661" s="294" t="str">
        <f t="shared" si="776"/>
        <v>53599</v>
      </c>
      <c r="G661" s="295" t="str">
        <f>VLOOKUP(F661,'GL Category'!A:C,3,FALSE)</f>
        <v>Services &amp; other</v>
      </c>
      <c r="H661" s="98" t="str">
        <f>VLOOKUP(F661,'GL Category'!A:C,2,FALSE)</f>
        <v>MISCELLANEOUS SERVICES</v>
      </c>
      <c r="I661" s="99">
        <f>SUMIF(Import!$B:$B,'Other Fund Line-Item Details'!$A661,Import!D:D)</f>
        <v>0</v>
      </c>
      <c r="J661" s="99">
        <f>SUMIF(Import!$B:$B,'Other Fund Line-Item Details'!$A661,Import!E:E)</f>
        <v>0</v>
      </c>
      <c r="K661" s="99">
        <f>SUMIF(Import!$B:$B,'Other Fund Line-Item Details'!$A661,Import!F:F)</f>
        <v>0</v>
      </c>
      <c r="L661" s="99">
        <f>SUMIF(Import!$B:$B,'Other Fund Line-Item Details'!$A661,Import!G:G)</f>
        <v>0</v>
      </c>
      <c r="M661" s="99">
        <f>SUMIF(Import!$B:$B,'Other Fund Line-Item Details'!$A661,Import!H:H)</f>
        <v>0</v>
      </c>
      <c r="N661" s="99">
        <f>SUMIF(Import!$B:$B,'Other Fund Line-Item Details'!$A661,Import!I:I)</f>
        <v>0</v>
      </c>
      <c r="O661" s="99">
        <f>SUMIF(Import!$B:$B,'Other Fund Line-Item Details'!$A661,Import!J:J)</f>
        <v>0</v>
      </c>
      <c r="P661" s="99">
        <f t="shared" ref="P661:P668" si="841">O661-M661</f>
        <v>0</v>
      </c>
      <c r="Q661" s="99">
        <f>SUMIF(Import!$B:$B,'Other Fund Line-Item Details'!$A661,Import!K:K)</f>
        <v>0</v>
      </c>
      <c r="R661" s="99">
        <f>SUMIF(Import!$B:$B,'Other Fund Line-Item Details'!$A661,Import!L:L)</f>
        <v>0</v>
      </c>
      <c r="S661" s="99">
        <f>SUMIF(Import!$B:$B,'Other Fund Line-Item Details'!$A661,Import!M:M)</f>
        <v>0</v>
      </c>
      <c r="T661" s="99">
        <f>SUMIF(Import!$B:$B,'Other Fund Line-Item Details'!$A661,Import!N:N)</f>
        <v>0</v>
      </c>
      <c r="U661" s="99">
        <f t="shared" ref="U661:U669" si="842">T661-M661</f>
        <v>0</v>
      </c>
      <c r="V661" s="255" t="str">
        <f t="shared" ref="V661:V669" si="843">IF(M661=0,"N/A",T661/M661-1)</f>
        <v>N/A</v>
      </c>
      <c r="W661" s="102" t="s">
        <v>2121</v>
      </c>
      <c r="X661" s="102"/>
      <c r="Y661" s="102">
        <f t="shared" ref="Y661:Y668" si="844">T661-X661</f>
        <v>0</v>
      </c>
      <c r="Z661" s="309">
        <f>Y661*(1+VLOOKUP($F661,'GL Category'!$A:$H,4,FALSE))</f>
        <v>0</v>
      </c>
      <c r="AA661" s="615"/>
      <c r="AB661" s="622">
        <f t="shared" ref="AB661:AB668" si="845">Z661+AA661</f>
        <v>0</v>
      </c>
      <c r="AC661" s="633">
        <f>AB661*(1+VLOOKUP($F661,'GL Category'!$A:$H,5,FALSE))</f>
        <v>0</v>
      </c>
      <c r="AD661" s="307"/>
      <c r="AE661" s="622">
        <f t="shared" ref="AE661:AE668" si="846">AC661+AD661</f>
        <v>0</v>
      </c>
      <c r="AF661" s="633">
        <f>AE661*(1+VLOOKUP($F661,'GL Category'!$A:$H,6,FALSE))</f>
        <v>0</v>
      </c>
      <c r="AG661" s="307"/>
      <c r="AH661" s="622">
        <f t="shared" ref="AH661:AH668" si="847">AF661+AG661</f>
        <v>0</v>
      </c>
      <c r="AI661" s="633">
        <f>AH661*(1+VLOOKUP($F661,'GL Category'!$A:$H,7,FALSE))</f>
        <v>0</v>
      </c>
      <c r="AJ661" s="307"/>
      <c r="AK661" s="622">
        <f t="shared" ref="AK661:AK668" si="848">AI661+AJ661</f>
        <v>0</v>
      </c>
      <c r="AL661" s="633">
        <f>AK661*(1+VLOOKUP($F661,'GL Category'!$A:$H,8,FALSE))</f>
        <v>0</v>
      </c>
      <c r="AM661" s="307"/>
      <c r="AN661" s="622">
        <f t="shared" ref="AN661:AN668" si="849">AL661+AM661</f>
        <v>0</v>
      </c>
    </row>
    <row r="662" spans="1:40" s="115" customFormat="1" ht="15" customHeight="1">
      <c r="A662" s="555" t="s">
        <v>2122</v>
      </c>
      <c r="B662" s="217" t="str">
        <f t="shared" si="772"/>
        <v>174</v>
      </c>
      <c r="C662" s="217" t="str">
        <f t="shared" si="773"/>
        <v>19</v>
      </c>
      <c r="D662" s="101" t="str">
        <f t="shared" si="774"/>
        <v>191</v>
      </c>
      <c r="E662" s="217" t="str">
        <f t="shared" si="775"/>
        <v>174-19-191</v>
      </c>
      <c r="F662" s="294" t="str">
        <f t="shared" si="776"/>
        <v>53599</v>
      </c>
      <c r="G662" s="295" t="str">
        <f>VLOOKUP(F662,'GL Category'!A:C,3,FALSE)</f>
        <v>Services &amp; other</v>
      </c>
      <c r="H662" s="98" t="str">
        <f>VLOOKUP(F662,'GL Category'!A:C,2,FALSE)</f>
        <v>MISCELLANEOUS SERVICES</v>
      </c>
      <c r="I662" s="99">
        <f>SUMIF(Import!$B:$B,'Other Fund Line-Item Details'!$A662,Import!D:D)</f>
        <v>0</v>
      </c>
      <c r="J662" s="99">
        <f>SUMIF(Import!$B:$B,'Other Fund Line-Item Details'!$A662,Import!E:E)</f>
        <v>0</v>
      </c>
      <c r="K662" s="99">
        <f>SUMIF(Import!$B:$B,'Other Fund Line-Item Details'!$A662,Import!F:F)</f>
        <v>0</v>
      </c>
      <c r="L662" s="99">
        <f>SUMIF(Import!$B:$B,'Other Fund Line-Item Details'!$A662,Import!G:G)</f>
        <v>0</v>
      </c>
      <c r="M662" s="99">
        <f>SUMIF(Import!$B:$B,'Other Fund Line-Item Details'!$A662,Import!H:H)</f>
        <v>0</v>
      </c>
      <c r="N662" s="99">
        <f>SUMIF(Import!$B:$B,'Other Fund Line-Item Details'!$A662,Import!I:I)</f>
        <v>0</v>
      </c>
      <c r="O662" s="99">
        <f>SUMIF(Import!$B:$B,'Other Fund Line-Item Details'!$A662,Import!J:J)</f>
        <v>0</v>
      </c>
      <c r="P662" s="99">
        <f t="shared" si="841"/>
        <v>0</v>
      </c>
      <c r="Q662" s="99">
        <f>SUMIF(Import!$B:$B,'Other Fund Line-Item Details'!$A662,Import!K:K)</f>
        <v>0</v>
      </c>
      <c r="R662" s="99">
        <f>SUMIF(Import!$B:$B,'Other Fund Line-Item Details'!$A662,Import!L:L)</f>
        <v>0</v>
      </c>
      <c r="S662" s="99">
        <f>SUMIF(Import!$B:$B,'Other Fund Line-Item Details'!$A662,Import!M:M)</f>
        <v>0</v>
      </c>
      <c r="T662" s="99">
        <f>SUMIF(Import!$B:$B,'Other Fund Line-Item Details'!$A662,Import!N:N)</f>
        <v>0</v>
      </c>
      <c r="U662" s="99">
        <f t="shared" si="842"/>
        <v>0</v>
      </c>
      <c r="V662" s="255" t="str">
        <f t="shared" si="843"/>
        <v>N/A</v>
      </c>
      <c r="W662" s="102" t="s">
        <v>2122</v>
      </c>
      <c r="X662" s="102"/>
      <c r="Y662" s="102">
        <f t="shared" si="844"/>
        <v>0</v>
      </c>
      <c r="Z662" s="309">
        <f>Y662*(1+VLOOKUP($F662,'GL Category'!$A:$H,4,FALSE))</f>
        <v>0</v>
      </c>
      <c r="AA662" s="615"/>
      <c r="AB662" s="622">
        <f t="shared" si="845"/>
        <v>0</v>
      </c>
      <c r="AC662" s="633">
        <f>AB662*(1+VLOOKUP($F662,'GL Category'!$A:$H,5,FALSE))</f>
        <v>0</v>
      </c>
      <c r="AD662" s="307"/>
      <c r="AE662" s="622">
        <f t="shared" si="846"/>
        <v>0</v>
      </c>
      <c r="AF662" s="633">
        <f>AE662*(1+VLOOKUP($F662,'GL Category'!$A:$H,6,FALSE))</f>
        <v>0</v>
      </c>
      <c r="AG662" s="307"/>
      <c r="AH662" s="622">
        <f t="shared" si="847"/>
        <v>0</v>
      </c>
      <c r="AI662" s="633">
        <f>AH662*(1+VLOOKUP($F662,'GL Category'!$A:$H,7,FALSE))</f>
        <v>0</v>
      </c>
      <c r="AJ662" s="307"/>
      <c r="AK662" s="622">
        <f t="shared" si="848"/>
        <v>0</v>
      </c>
      <c r="AL662" s="633">
        <f>AK662*(1+VLOOKUP($F662,'GL Category'!$A:$H,8,FALSE))</f>
        <v>0</v>
      </c>
      <c r="AM662" s="307"/>
      <c r="AN662" s="622">
        <f t="shared" si="849"/>
        <v>0</v>
      </c>
    </row>
    <row r="663" spans="1:40" s="115" customFormat="1" ht="15" customHeight="1">
      <c r="A663" s="555" t="s">
        <v>2123</v>
      </c>
      <c r="B663" s="217" t="str">
        <f t="shared" si="772"/>
        <v>174</v>
      </c>
      <c r="C663" s="217" t="str">
        <f t="shared" si="773"/>
        <v>19</v>
      </c>
      <c r="D663" s="101" t="str">
        <f t="shared" si="774"/>
        <v>191</v>
      </c>
      <c r="E663" s="217" t="str">
        <f t="shared" si="775"/>
        <v>174-19-191</v>
      </c>
      <c r="F663" s="294" t="str">
        <f t="shared" si="776"/>
        <v>58710</v>
      </c>
      <c r="G663" s="295" t="str">
        <f>VLOOKUP(F663,'GL Category'!A:C,3,FALSE)</f>
        <v>Capital Outlay</v>
      </c>
      <c r="H663" s="98" t="str">
        <f>VLOOKUP(F663,'GL Category'!A:C,2,FALSE)</f>
        <v>ENGINEERING/DESIGN SERVICES</v>
      </c>
      <c r="I663" s="99">
        <f>SUMIF(Import!$B:$B,'Other Fund Line-Item Details'!$A663,Import!D:D)</f>
        <v>0</v>
      </c>
      <c r="J663" s="99">
        <f>SUMIF(Import!$B:$B,'Other Fund Line-Item Details'!$A663,Import!E:E)</f>
        <v>0</v>
      </c>
      <c r="K663" s="99">
        <f>SUMIF(Import!$B:$B,'Other Fund Line-Item Details'!$A663,Import!F:F)</f>
        <v>0</v>
      </c>
      <c r="L663" s="99">
        <f>SUMIF(Import!$B:$B,'Other Fund Line-Item Details'!$A663,Import!G:G)</f>
        <v>0</v>
      </c>
      <c r="M663" s="99">
        <f>SUMIF(Import!$B:$B,'Other Fund Line-Item Details'!$A663,Import!H:H)</f>
        <v>0</v>
      </c>
      <c r="N663" s="99">
        <f>SUMIF(Import!$B:$B,'Other Fund Line-Item Details'!$A663,Import!I:I)</f>
        <v>0</v>
      </c>
      <c r="O663" s="99">
        <f>SUMIF(Import!$B:$B,'Other Fund Line-Item Details'!$A663,Import!J:J)</f>
        <v>0</v>
      </c>
      <c r="P663" s="99">
        <f t="shared" si="841"/>
        <v>0</v>
      </c>
      <c r="Q663" s="99">
        <f>SUMIF(Import!$B:$B,'Other Fund Line-Item Details'!$A663,Import!K:K)</f>
        <v>0</v>
      </c>
      <c r="R663" s="99">
        <f>SUMIF(Import!$B:$B,'Other Fund Line-Item Details'!$A663,Import!L:L)</f>
        <v>0</v>
      </c>
      <c r="S663" s="99">
        <f>SUMIF(Import!$B:$B,'Other Fund Line-Item Details'!$A663,Import!M:M)</f>
        <v>0</v>
      </c>
      <c r="T663" s="99">
        <f>SUMIF(Import!$B:$B,'Other Fund Line-Item Details'!$A663,Import!N:N)</f>
        <v>0</v>
      </c>
      <c r="U663" s="99">
        <f t="shared" si="842"/>
        <v>0</v>
      </c>
      <c r="V663" s="255" t="str">
        <f t="shared" si="843"/>
        <v>N/A</v>
      </c>
      <c r="W663" s="102" t="s">
        <v>2123</v>
      </c>
      <c r="X663" s="102"/>
      <c r="Y663" s="102">
        <f t="shared" si="844"/>
        <v>0</v>
      </c>
      <c r="Z663" s="309">
        <f>Y663*(1+VLOOKUP($F663,'GL Category'!$A:$H,4,FALSE))</f>
        <v>0</v>
      </c>
      <c r="AA663" s="615"/>
      <c r="AB663" s="622">
        <f t="shared" si="845"/>
        <v>0</v>
      </c>
      <c r="AC663" s="633">
        <f>AB663*(1+VLOOKUP($F663,'GL Category'!$A:$H,5,FALSE))</f>
        <v>0</v>
      </c>
      <c r="AD663" s="307"/>
      <c r="AE663" s="622">
        <f t="shared" si="846"/>
        <v>0</v>
      </c>
      <c r="AF663" s="633">
        <f>AE663*(1+VLOOKUP($F663,'GL Category'!$A:$H,6,FALSE))</f>
        <v>0</v>
      </c>
      <c r="AG663" s="307"/>
      <c r="AH663" s="622">
        <f t="shared" si="847"/>
        <v>0</v>
      </c>
      <c r="AI663" s="633">
        <f>AH663*(1+VLOOKUP($F663,'GL Category'!$A:$H,7,FALSE))</f>
        <v>0</v>
      </c>
      <c r="AJ663" s="307"/>
      <c r="AK663" s="622">
        <f t="shared" si="848"/>
        <v>0</v>
      </c>
      <c r="AL663" s="633">
        <f>AK663*(1+VLOOKUP($F663,'GL Category'!$A:$H,8,FALSE))</f>
        <v>0</v>
      </c>
      <c r="AM663" s="307"/>
      <c r="AN663" s="622">
        <f t="shared" si="849"/>
        <v>0</v>
      </c>
    </row>
    <row r="664" spans="1:40" s="115" customFormat="1" ht="27.75" customHeight="1">
      <c r="A664" s="555" t="s">
        <v>2124</v>
      </c>
      <c r="B664" s="217" t="str">
        <f t="shared" si="772"/>
        <v>174</v>
      </c>
      <c r="C664" s="217" t="str">
        <f t="shared" si="773"/>
        <v>19</v>
      </c>
      <c r="D664" s="101" t="str">
        <f t="shared" si="774"/>
        <v>191</v>
      </c>
      <c r="E664" s="217" t="str">
        <f t="shared" si="775"/>
        <v>174-19-191</v>
      </c>
      <c r="F664" s="294" t="str">
        <f t="shared" si="776"/>
        <v>58829</v>
      </c>
      <c r="G664" s="295" t="str">
        <f>VLOOKUP(F664,'GL Category'!A:C,3,FALSE)</f>
        <v>Capital Outlay</v>
      </c>
      <c r="H664" s="98" t="str">
        <f>VLOOKUP(F664,'GL Category'!A:C,2,FALSE)</f>
        <v>STREET/ROAD/BRIDGE IMPROVEMENT</v>
      </c>
      <c r="I664" s="99">
        <f>SUMIF(Import!$B:$B,'Other Fund Line-Item Details'!$A664,Import!D:D)</f>
        <v>0</v>
      </c>
      <c r="J664" s="99">
        <f>SUMIF(Import!$B:$B,'Other Fund Line-Item Details'!$A664,Import!E:E)</f>
        <v>0</v>
      </c>
      <c r="K664" s="99">
        <f>SUMIF(Import!$B:$B,'Other Fund Line-Item Details'!$A664,Import!F:F)</f>
        <v>0</v>
      </c>
      <c r="L664" s="99">
        <f>SUMIF(Import!$B:$B,'Other Fund Line-Item Details'!$A664,Import!G:G)</f>
        <v>0</v>
      </c>
      <c r="M664" s="99">
        <f>SUMIF(Import!$B:$B,'Other Fund Line-Item Details'!$A664,Import!H:H)</f>
        <v>0</v>
      </c>
      <c r="N664" s="99">
        <f>SUMIF(Import!$B:$B,'Other Fund Line-Item Details'!$A664,Import!I:I)</f>
        <v>0</v>
      </c>
      <c r="O664" s="99">
        <f>SUMIF(Import!$B:$B,'Other Fund Line-Item Details'!$A664,Import!J:J)</f>
        <v>0</v>
      </c>
      <c r="P664" s="99">
        <f t="shared" si="841"/>
        <v>0</v>
      </c>
      <c r="Q664" s="99">
        <f>SUMIF(Import!$B:$B,'Other Fund Line-Item Details'!$A664,Import!K:K)</f>
        <v>0</v>
      </c>
      <c r="R664" s="99">
        <f>SUMIF(Import!$B:$B,'Other Fund Line-Item Details'!$A664,Import!L:L)</f>
        <v>0</v>
      </c>
      <c r="S664" s="99">
        <f>SUMIF(Import!$B:$B,'Other Fund Line-Item Details'!$A664,Import!M:M)</f>
        <v>0</v>
      </c>
      <c r="T664" s="99">
        <f>SUMIF(Import!$B:$B,'Other Fund Line-Item Details'!$A664,Import!N:N)</f>
        <v>0</v>
      </c>
      <c r="U664" s="99">
        <f t="shared" si="842"/>
        <v>0</v>
      </c>
      <c r="V664" s="255" t="str">
        <f t="shared" si="843"/>
        <v>N/A</v>
      </c>
      <c r="W664" s="102" t="s">
        <v>2124</v>
      </c>
      <c r="X664" s="102"/>
      <c r="Y664" s="102">
        <f t="shared" si="844"/>
        <v>0</v>
      </c>
      <c r="Z664" s="309">
        <f>Y664*(1+VLOOKUP($F664,'GL Category'!$A:$H,4,FALSE))</f>
        <v>0</v>
      </c>
      <c r="AA664" s="615"/>
      <c r="AB664" s="622">
        <f t="shared" si="845"/>
        <v>0</v>
      </c>
      <c r="AC664" s="633">
        <f>AB664*(1+VLOOKUP($F664,'GL Category'!$A:$H,5,FALSE))</f>
        <v>0</v>
      </c>
      <c r="AD664" s="307"/>
      <c r="AE664" s="622">
        <f t="shared" si="846"/>
        <v>0</v>
      </c>
      <c r="AF664" s="633">
        <f>AE664*(1+VLOOKUP($F664,'GL Category'!$A:$H,6,FALSE))</f>
        <v>0</v>
      </c>
      <c r="AG664" s="307"/>
      <c r="AH664" s="622">
        <f t="shared" si="847"/>
        <v>0</v>
      </c>
      <c r="AI664" s="633">
        <f>AH664*(1+VLOOKUP($F664,'GL Category'!$A:$H,7,FALSE))</f>
        <v>0</v>
      </c>
      <c r="AJ664" s="307"/>
      <c r="AK664" s="622">
        <f t="shared" si="848"/>
        <v>0</v>
      </c>
      <c r="AL664" s="633">
        <f>AK664*(1+VLOOKUP($F664,'GL Category'!$A:$H,8,FALSE))</f>
        <v>0</v>
      </c>
      <c r="AM664" s="307"/>
      <c r="AN664" s="622">
        <f t="shared" si="849"/>
        <v>0</v>
      </c>
    </row>
    <row r="665" spans="1:40" s="115" customFormat="1" ht="15" customHeight="1">
      <c r="A665" s="555" t="s">
        <v>2125</v>
      </c>
      <c r="B665" s="217" t="str">
        <f t="shared" si="772"/>
        <v>174</v>
      </c>
      <c r="C665" s="217" t="str">
        <f t="shared" si="773"/>
        <v>19</v>
      </c>
      <c r="D665" s="101" t="str">
        <f t="shared" si="774"/>
        <v>191</v>
      </c>
      <c r="E665" s="217" t="str">
        <f t="shared" si="775"/>
        <v>174-19-191</v>
      </c>
      <c r="F665" s="294" t="str">
        <f t="shared" si="776"/>
        <v>59170</v>
      </c>
      <c r="G665" s="295" t="str">
        <f>VLOOKUP(F665,'GL Category'!A:C,3,FALSE)</f>
        <v>Transfers to other funds</v>
      </c>
      <c r="H665" s="98" t="str">
        <f>VLOOKUP(F665,'GL Category'!A:C,2,FALSE)</f>
        <v>TRANSFER TO CIP-STREET IMPROVE</v>
      </c>
      <c r="I665" s="99">
        <f>SUMIF(Import!$B:$B,'Other Fund Line-Item Details'!$A665,Import!D:D)</f>
        <v>0</v>
      </c>
      <c r="J665" s="99">
        <f>SUMIF(Import!$B:$B,'Other Fund Line-Item Details'!$A665,Import!E:E)</f>
        <v>0</v>
      </c>
      <c r="K665" s="99">
        <f>SUMIF(Import!$B:$B,'Other Fund Line-Item Details'!$A665,Import!F:F)</f>
        <v>0</v>
      </c>
      <c r="L665" s="99">
        <f>SUMIF(Import!$B:$B,'Other Fund Line-Item Details'!$A665,Import!G:G)</f>
        <v>0</v>
      </c>
      <c r="M665" s="99">
        <f>SUMIF(Import!$B:$B,'Other Fund Line-Item Details'!$A665,Import!H:H)</f>
        <v>0</v>
      </c>
      <c r="N665" s="99">
        <f>SUMIF(Import!$B:$B,'Other Fund Line-Item Details'!$A665,Import!I:I)</f>
        <v>0</v>
      </c>
      <c r="O665" s="99">
        <f>SUMIF(Import!$B:$B,'Other Fund Line-Item Details'!$A665,Import!J:J)</f>
        <v>0</v>
      </c>
      <c r="P665" s="99">
        <f t="shared" si="841"/>
        <v>0</v>
      </c>
      <c r="Q665" s="99">
        <f>SUMIF(Import!$B:$B,'Other Fund Line-Item Details'!$A665,Import!K:K)</f>
        <v>0</v>
      </c>
      <c r="R665" s="99">
        <f>SUMIF(Import!$B:$B,'Other Fund Line-Item Details'!$A665,Import!L:L)</f>
        <v>0</v>
      </c>
      <c r="S665" s="99">
        <f>SUMIF(Import!$B:$B,'Other Fund Line-Item Details'!$A665,Import!M:M)</f>
        <v>0</v>
      </c>
      <c r="T665" s="99">
        <f>SUMIF(Import!$B:$B,'Other Fund Line-Item Details'!$A665,Import!N:N)</f>
        <v>0</v>
      </c>
      <c r="U665" s="99">
        <f t="shared" si="842"/>
        <v>0</v>
      </c>
      <c r="V665" s="255" t="str">
        <f t="shared" si="843"/>
        <v>N/A</v>
      </c>
      <c r="W665" s="102" t="s">
        <v>2125</v>
      </c>
      <c r="X665" s="102"/>
      <c r="Y665" s="102">
        <f t="shared" si="844"/>
        <v>0</v>
      </c>
      <c r="Z665" s="309">
        <f>Y665*(1+VLOOKUP($F665,'GL Category'!$A:$H,4,FALSE))</f>
        <v>0</v>
      </c>
      <c r="AA665" s="615"/>
      <c r="AB665" s="622">
        <f t="shared" si="845"/>
        <v>0</v>
      </c>
      <c r="AC665" s="633">
        <f>AB665*(1+VLOOKUP($F665,'GL Category'!$A:$H,5,FALSE))</f>
        <v>0</v>
      </c>
      <c r="AD665" s="307"/>
      <c r="AE665" s="622">
        <f t="shared" si="846"/>
        <v>0</v>
      </c>
      <c r="AF665" s="633">
        <f>AE665*(1+VLOOKUP($F665,'GL Category'!$A:$H,6,FALSE))</f>
        <v>0</v>
      </c>
      <c r="AG665" s="307"/>
      <c r="AH665" s="622">
        <f t="shared" si="847"/>
        <v>0</v>
      </c>
      <c r="AI665" s="633">
        <f>AH665*(1+VLOOKUP($F665,'GL Category'!$A:$H,7,FALSE))</f>
        <v>0</v>
      </c>
      <c r="AJ665" s="307"/>
      <c r="AK665" s="622">
        <f t="shared" si="848"/>
        <v>0</v>
      </c>
      <c r="AL665" s="633">
        <f>AK665*(1+VLOOKUP($F665,'GL Category'!$A:$H,8,FALSE))</f>
        <v>0</v>
      </c>
      <c r="AM665" s="307"/>
      <c r="AN665" s="622">
        <f t="shared" si="849"/>
        <v>0</v>
      </c>
    </row>
    <row r="666" spans="1:40" s="115" customFormat="1" ht="15" customHeight="1">
      <c r="A666" s="555" t="s">
        <v>2126</v>
      </c>
      <c r="B666" s="217" t="str">
        <f t="shared" si="772"/>
        <v>174</v>
      </c>
      <c r="C666" s="217" t="str">
        <f t="shared" si="773"/>
        <v>19</v>
      </c>
      <c r="D666" s="101" t="str">
        <f t="shared" si="774"/>
        <v>191</v>
      </c>
      <c r="E666" s="217" t="str">
        <f t="shared" si="775"/>
        <v>174-19-191</v>
      </c>
      <c r="F666" s="294" t="str">
        <f t="shared" si="776"/>
        <v>58853</v>
      </c>
      <c r="G666" s="295" t="str">
        <f>VLOOKUP(F666,'GL Category'!A:C,3,FALSE)</f>
        <v>Capital Outlay</v>
      </c>
      <c r="H666" s="98" t="str">
        <f>VLOOKUP(F666,'GL Category'!A:C,2,FALSE)</f>
        <v>IMPROVEMENTS OTHER THAN BLDGS</v>
      </c>
      <c r="I666" s="99">
        <f>SUMIF(Import!$B:$B,'Other Fund Line-Item Details'!$A666,Import!D:D)</f>
        <v>0</v>
      </c>
      <c r="J666" s="99">
        <f>SUMIF(Import!$B:$B,'Other Fund Line-Item Details'!$A666,Import!E:E)</f>
        <v>0</v>
      </c>
      <c r="K666" s="99">
        <f>SUMIF(Import!$B:$B,'Other Fund Line-Item Details'!$A666,Import!F:F)</f>
        <v>0</v>
      </c>
      <c r="L666" s="99">
        <f>SUMIF(Import!$B:$B,'Other Fund Line-Item Details'!$A666,Import!G:G)</f>
        <v>0</v>
      </c>
      <c r="M666" s="99">
        <f>SUMIF(Import!$B:$B,'Other Fund Line-Item Details'!$A666,Import!H:H)</f>
        <v>0</v>
      </c>
      <c r="N666" s="99">
        <f>SUMIF(Import!$B:$B,'Other Fund Line-Item Details'!$A666,Import!I:I)</f>
        <v>0</v>
      </c>
      <c r="O666" s="99">
        <f>SUMIF(Import!$B:$B,'Other Fund Line-Item Details'!$A666,Import!J:J)</f>
        <v>0</v>
      </c>
      <c r="P666" s="99">
        <f t="shared" si="841"/>
        <v>0</v>
      </c>
      <c r="Q666" s="99">
        <f>SUMIF(Import!$B:$B,'Other Fund Line-Item Details'!$A666,Import!K:K)</f>
        <v>0</v>
      </c>
      <c r="R666" s="99">
        <f>SUMIF(Import!$B:$B,'Other Fund Line-Item Details'!$A666,Import!L:L)</f>
        <v>0</v>
      </c>
      <c r="S666" s="99">
        <f>SUMIF(Import!$B:$B,'Other Fund Line-Item Details'!$A666,Import!M:M)</f>
        <v>0</v>
      </c>
      <c r="T666" s="99">
        <f>SUMIF(Import!$B:$B,'Other Fund Line-Item Details'!$A666,Import!N:N)</f>
        <v>0</v>
      </c>
      <c r="U666" s="99">
        <f t="shared" si="842"/>
        <v>0</v>
      </c>
      <c r="V666" s="255" t="str">
        <f t="shared" si="843"/>
        <v>N/A</v>
      </c>
      <c r="W666" s="102" t="s">
        <v>2126</v>
      </c>
      <c r="X666" s="102"/>
      <c r="Y666" s="102">
        <f t="shared" si="844"/>
        <v>0</v>
      </c>
      <c r="Z666" s="309">
        <f>Y666*(1+VLOOKUP($F666,'GL Category'!$A:$H,4,FALSE))</f>
        <v>0</v>
      </c>
      <c r="AA666" s="615"/>
      <c r="AB666" s="622">
        <f t="shared" si="845"/>
        <v>0</v>
      </c>
      <c r="AC666" s="633">
        <f>AB666*(1+VLOOKUP($F666,'GL Category'!$A:$H,5,FALSE))</f>
        <v>0</v>
      </c>
      <c r="AD666" s="307"/>
      <c r="AE666" s="622">
        <f t="shared" si="846"/>
        <v>0</v>
      </c>
      <c r="AF666" s="633">
        <f>AE666*(1+VLOOKUP($F666,'GL Category'!$A:$H,6,FALSE))</f>
        <v>0</v>
      </c>
      <c r="AG666" s="307"/>
      <c r="AH666" s="622">
        <f t="shared" si="847"/>
        <v>0</v>
      </c>
      <c r="AI666" s="633">
        <f>AH666*(1+VLOOKUP($F666,'GL Category'!$A:$H,7,FALSE))</f>
        <v>0</v>
      </c>
      <c r="AJ666" s="307"/>
      <c r="AK666" s="622">
        <f t="shared" si="848"/>
        <v>0</v>
      </c>
      <c r="AL666" s="633">
        <f>AK666*(1+VLOOKUP($F666,'GL Category'!$A:$H,8,FALSE))</f>
        <v>0</v>
      </c>
      <c r="AM666" s="307"/>
      <c r="AN666" s="622">
        <f t="shared" si="849"/>
        <v>0</v>
      </c>
    </row>
    <row r="667" spans="1:40" s="115" customFormat="1" ht="15" customHeight="1">
      <c r="A667" s="555" t="s">
        <v>3368</v>
      </c>
      <c r="B667" s="217" t="str">
        <f t="shared" ref="B667" si="850">LEFT(A667,3)</f>
        <v>174</v>
      </c>
      <c r="C667" s="217" t="str">
        <f t="shared" ref="C667" si="851">MID(A667,5,2)</f>
        <v>99</v>
      </c>
      <c r="D667" s="101" t="str">
        <f t="shared" ref="D667" si="852">MID(A667,8,3)</f>
        <v>998</v>
      </c>
      <c r="E667" s="217" t="str">
        <f t="shared" ref="E667" si="853">LEFT(A667,10)</f>
        <v>174-99-998</v>
      </c>
      <c r="F667" s="294" t="str">
        <f t="shared" ref="F667" si="854">RIGHT(A667,5)</f>
        <v>52485</v>
      </c>
      <c r="G667" s="295" t="str">
        <f>VLOOKUP(F667,'GL Category'!A:C,3,FALSE)</f>
        <v>Operations &amp; maintenance</v>
      </c>
      <c r="H667" s="98" t="str">
        <f>VLOOKUP(F667,'GL Category'!A:C,2,FALSE)</f>
        <v>SOFTWARE LICENSE &amp; MAINTENANCE</v>
      </c>
      <c r="I667" s="99">
        <f>SUMIF(Import!$B:$B,'Other Fund Line-Item Details'!$A667,Import!D:D)</f>
        <v>0</v>
      </c>
      <c r="J667" s="99">
        <f>SUMIF(Import!$B:$B,'Other Fund Line-Item Details'!$A667,Import!E:E)</f>
        <v>0</v>
      </c>
      <c r="K667" s="99">
        <f>SUMIF(Import!$B:$B,'Other Fund Line-Item Details'!$A667,Import!F:F)</f>
        <v>0</v>
      </c>
      <c r="L667" s="99">
        <f>SUMIF(Import!$B:$B,'Other Fund Line-Item Details'!$A667,Import!G:G)</f>
        <v>8500</v>
      </c>
      <c r="M667" s="99">
        <f>SUMIF(Import!$B:$B,'Other Fund Line-Item Details'!$A667,Import!H:H)</f>
        <v>10000</v>
      </c>
      <c r="N667" s="99">
        <f>SUMIF(Import!$B:$B,'Other Fund Line-Item Details'!$A667,Import!I:I)</f>
        <v>8500</v>
      </c>
      <c r="O667" s="99">
        <f>SUMIF(Import!$B:$B,'Other Fund Line-Item Details'!$A667,Import!J:J)</f>
        <v>10000</v>
      </c>
      <c r="P667" s="99">
        <f t="shared" ref="P667" si="855">O667-M667</f>
        <v>0</v>
      </c>
      <c r="Q667" s="99">
        <f>SUMIF(Import!$B:$B,'Other Fund Line-Item Details'!$A667,Import!K:K)</f>
        <v>10000</v>
      </c>
      <c r="R667" s="99">
        <f>SUMIF(Import!$B:$B,'Other Fund Line-Item Details'!$A667,Import!L:L)</f>
        <v>0</v>
      </c>
      <c r="S667" s="99">
        <f>SUMIF(Import!$B:$B,'Other Fund Line-Item Details'!$A667,Import!M:M)</f>
        <v>0</v>
      </c>
      <c r="T667" s="99">
        <f>SUMIF(Import!$B:$B,'Other Fund Line-Item Details'!$A667,Import!N:N)</f>
        <v>10000</v>
      </c>
      <c r="U667" s="99">
        <f t="shared" ref="U667" si="856">T667-M667</f>
        <v>0</v>
      </c>
      <c r="V667" s="255">
        <f t="shared" ref="V667" si="857">IF(M667=0,"N/A",T667/M667-1)</f>
        <v>0</v>
      </c>
      <c r="W667" s="102" t="s">
        <v>2127</v>
      </c>
      <c r="X667" s="102"/>
      <c r="Y667" s="102">
        <f t="shared" si="844"/>
        <v>10000</v>
      </c>
      <c r="Z667" s="309">
        <f>Y667*(1+VLOOKUP($F667,'GL Category'!$A:$H,4,FALSE))</f>
        <v>10200</v>
      </c>
      <c r="AA667" s="615"/>
      <c r="AB667" s="622">
        <f t="shared" si="845"/>
        <v>10200</v>
      </c>
      <c r="AC667" s="633">
        <f>AB667*(1+VLOOKUP($F667,'GL Category'!$A:$H,5,FALSE))</f>
        <v>10404</v>
      </c>
      <c r="AD667" s="307"/>
      <c r="AE667" s="622">
        <f t="shared" si="846"/>
        <v>10404</v>
      </c>
      <c r="AF667" s="633">
        <f>AE667*(1+VLOOKUP($F667,'GL Category'!$A:$H,6,FALSE))</f>
        <v>10612.08</v>
      </c>
      <c r="AG667" s="307"/>
      <c r="AH667" s="622">
        <f t="shared" si="847"/>
        <v>10612.08</v>
      </c>
      <c r="AI667" s="633">
        <f>AH667*(1+VLOOKUP($F667,'GL Category'!$A:$H,7,FALSE))</f>
        <v>10824.321599999999</v>
      </c>
      <c r="AJ667" s="307"/>
      <c r="AK667" s="622">
        <f t="shared" si="848"/>
        <v>10824.321599999999</v>
      </c>
      <c r="AL667" s="633">
        <f>AK667*(1+VLOOKUP($F667,'GL Category'!$A:$H,8,FALSE))</f>
        <v>11040.808031999999</v>
      </c>
      <c r="AM667" s="307"/>
      <c r="AN667" s="622">
        <f t="shared" si="849"/>
        <v>11040.808031999999</v>
      </c>
    </row>
    <row r="668" spans="1:40" s="115" customFormat="1" ht="15" customHeight="1">
      <c r="A668" s="555" t="s">
        <v>2127</v>
      </c>
      <c r="B668" s="217" t="str">
        <f t="shared" si="772"/>
        <v>174</v>
      </c>
      <c r="C668" s="217" t="str">
        <f t="shared" si="773"/>
        <v>99</v>
      </c>
      <c r="D668" s="101" t="str">
        <f t="shared" si="774"/>
        <v>998</v>
      </c>
      <c r="E668" s="217" t="str">
        <f t="shared" si="775"/>
        <v>174-99-998</v>
      </c>
      <c r="F668" s="294" t="str">
        <f t="shared" si="776"/>
        <v>59170</v>
      </c>
      <c r="G668" s="295" t="str">
        <f>VLOOKUP(F668,'GL Category'!A:C,3,FALSE)</f>
        <v>Transfers to other funds</v>
      </c>
      <c r="H668" s="98" t="str">
        <f>VLOOKUP(F668,'GL Category'!A:C,2,FALSE)</f>
        <v>TRANSFER TO CIP-STREET IMPROVE</v>
      </c>
      <c r="I668" s="99">
        <f>SUMIF(Import!$B:$B,'Other Fund Line-Item Details'!$A668,Import!D:D)</f>
        <v>1801609</v>
      </c>
      <c r="J668" s="99">
        <f>SUMIF(Import!$B:$B,'Other Fund Line-Item Details'!$A668,Import!E:E)</f>
        <v>1526609</v>
      </c>
      <c r="K668" s="99">
        <f>SUMIF(Import!$B:$B,'Other Fund Line-Item Details'!$A668,Import!F:F)</f>
        <v>1800057</v>
      </c>
      <c r="L668" s="99">
        <f>SUMIF(Import!$B:$B,'Other Fund Line-Item Details'!$A668,Import!G:G)</f>
        <v>2100000</v>
      </c>
      <c r="M668" s="99">
        <f>SUMIF(Import!$B:$B,'Other Fund Line-Item Details'!$A668,Import!H:H)</f>
        <v>2595414</v>
      </c>
      <c r="N668" s="99">
        <f>SUMIF(Import!$B:$B,'Other Fund Line-Item Details'!$A668,Import!I:I)</f>
        <v>1946560.5</v>
      </c>
      <c r="O668" s="99">
        <f>SUMIF(Import!$B:$B,'Other Fund Line-Item Details'!$A668,Import!J:J)</f>
        <v>2595414</v>
      </c>
      <c r="P668" s="99">
        <f t="shared" si="841"/>
        <v>0</v>
      </c>
      <c r="Q668" s="99">
        <f>SUMIF(Import!$B:$B,'Other Fund Line-Item Details'!$A668,Import!K:K)</f>
        <v>2895414</v>
      </c>
      <c r="R668" s="99">
        <f>SUMIF(Import!$B:$B,'Other Fund Line-Item Details'!$A668,Import!L:L)</f>
        <v>0</v>
      </c>
      <c r="S668" s="99">
        <f>SUMIF(Import!$B:$B,'Other Fund Line-Item Details'!$A668,Import!M:M)</f>
        <v>0</v>
      </c>
      <c r="T668" s="99">
        <f>SUMIF(Import!$B:$B,'Other Fund Line-Item Details'!$A668,Import!N:N)</f>
        <v>2895414</v>
      </c>
      <c r="U668" s="99">
        <f t="shared" si="842"/>
        <v>300000</v>
      </c>
      <c r="V668" s="255">
        <f t="shared" si="843"/>
        <v>0.11558849570819918</v>
      </c>
      <c r="W668" s="102" t="s">
        <v>2127</v>
      </c>
      <c r="X668" s="102">
        <v>550000</v>
      </c>
      <c r="Y668" s="102">
        <f t="shared" si="844"/>
        <v>2345414</v>
      </c>
      <c r="Z668" s="309">
        <f>Y668*(1+VLOOKUP($F668,'GL Category'!$A:$H,4,FALSE))</f>
        <v>2345414</v>
      </c>
      <c r="AA668" s="615"/>
      <c r="AB668" s="622">
        <f t="shared" si="845"/>
        <v>2345414</v>
      </c>
      <c r="AC668" s="633">
        <f>AB668*(1+VLOOKUP($F668,'GL Category'!$A:$H,5,FALSE))</f>
        <v>2345414</v>
      </c>
      <c r="AD668" s="307"/>
      <c r="AE668" s="622">
        <f t="shared" si="846"/>
        <v>2345414</v>
      </c>
      <c r="AF668" s="633">
        <f>AE668*(1+VLOOKUP($F668,'GL Category'!$A:$H,6,FALSE))</f>
        <v>2345414</v>
      </c>
      <c r="AG668" s="307"/>
      <c r="AH668" s="622">
        <f t="shared" si="847"/>
        <v>2345414</v>
      </c>
      <c r="AI668" s="633">
        <f>AH668*(1+VLOOKUP($F668,'GL Category'!$A:$H,7,FALSE))</f>
        <v>2345414</v>
      </c>
      <c r="AJ668" s="307"/>
      <c r="AK668" s="622">
        <f t="shared" si="848"/>
        <v>2345414</v>
      </c>
      <c r="AL668" s="633">
        <f>AK668*(1+VLOOKUP($F668,'GL Category'!$A:$H,8,FALSE))</f>
        <v>2345414</v>
      </c>
      <c r="AM668" s="307"/>
      <c r="AN668" s="622">
        <f t="shared" si="849"/>
        <v>2345414</v>
      </c>
    </row>
    <row r="669" spans="1:40" s="115" customFormat="1" ht="15" customHeight="1">
      <c r="A669" s="555"/>
      <c r="B669" s="217"/>
      <c r="C669" s="217"/>
      <c r="D669" s="101"/>
      <c r="E669" s="217"/>
      <c r="F669" s="294"/>
      <c r="G669" s="146"/>
      <c r="H669" s="114" t="s">
        <v>677</v>
      </c>
      <c r="I669" s="108">
        <f t="shared" ref="I669:T669" si="858">SUBTOTAL(9,I661:I668)</f>
        <v>1801609</v>
      </c>
      <c r="J669" s="108">
        <f t="shared" si="858"/>
        <v>1526609</v>
      </c>
      <c r="K669" s="108">
        <f t="shared" si="858"/>
        <v>1800057</v>
      </c>
      <c r="L669" s="108">
        <f t="shared" si="858"/>
        <v>2108500</v>
      </c>
      <c r="M669" s="108">
        <f t="shared" si="858"/>
        <v>2605414</v>
      </c>
      <c r="N669" s="108">
        <f t="shared" si="858"/>
        <v>1955060.5</v>
      </c>
      <c r="O669" s="108">
        <f t="shared" si="858"/>
        <v>2605414</v>
      </c>
      <c r="P669" s="108">
        <f t="shared" si="858"/>
        <v>0</v>
      </c>
      <c r="Q669" s="108">
        <f t="shared" si="858"/>
        <v>2905414</v>
      </c>
      <c r="R669" s="108">
        <f t="shared" si="858"/>
        <v>0</v>
      </c>
      <c r="S669" s="108">
        <f t="shared" si="858"/>
        <v>0</v>
      </c>
      <c r="T669" s="108">
        <f t="shared" si="858"/>
        <v>2905414</v>
      </c>
      <c r="U669" s="99">
        <f t="shared" si="842"/>
        <v>300000</v>
      </c>
      <c r="V669" s="255">
        <f t="shared" si="843"/>
        <v>0.11514484838110173</v>
      </c>
      <c r="W669" s="102"/>
      <c r="X669" s="121"/>
      <c r="Y669" s="108">
        <f t="shared" ref="Y669:AN669" si="859">SUBTOTAL(9,Y661:Y668)</f>
        <v>2355414</v>
      </c>
      <c r="Z669" s="108">
        <f t="shared" si="859"/>
        <v>2355614</v>
      </c>
      <c r="AA669" s="108">
        <f t="shared" si="859"/>
        <v>0</v>
      </c>
      <c r="AB669" s="108">
        <f t="shared" si="859"/>
        <v>2355614</v>
      </c>
      <c r="AC669" s="108">
        <f t="shared" si="859"/>
        <v>2355818</v>
      </c>
      <c r="AD669" s="108">
        <f t="shared" si="859"/>
        <v>0</v>
      </c>
      <c r="AE669" s="108">
        <f t="shared" si="859"/>
        <v>2355818</v>
      </c>
      <c r="AF669" s="108">
        <f t="shared" si="859"/>
        <v>2356026.08</v>
      </c>
      <c r="AG669" s="108">
        <f t="shared" si="859"/>
        <v>0</v>
      </c>
      <c r="AH669" s="108">
        <f t="shared" si="859"/>
        <v>2356026.08</v>
      </c>
      <c r="AI669" s="108">
        <f t="shared" si="859"/>
        <v>2356238.3215999999</v>
      </c>
      <c r="AJ669" s="108">
        <f t="shared" si="859"/>
        <v>0</v>
      </c>
      <c r="AK669" s="108">
        <f t="shared" si="859"/>
        <v>2356238.3215999999</v>
      </c>
      <c r="AL669" s="108">
        <f t="shared" si="859"/>
        <v>2356454.808032</v>
      </c>
      <c r="AM669" s="108">
        <f t="shared" si="859"/>
        <v>0</v>
      </c>
      <c r="AN669" s="108">
        <f t="shared" si="859"/>
        <v>2356454.808032</v>
      </c>
    </row>
    <row r="670" spans="1:40" s="115" customFormat="1" ht="15" customHeight="1">
      <c r="A670" s="555"/>
      <c r="B670" s="217"/>
      <c r="C670" s="217"/>
      <c r="D670" s="101"/>
      <c r="E670" s="217"/>
      <c r="F670" s="294"/>
      <c r="G670" s="146"/>
      <c r="H670" s="98"/>
      <c r="I670" s="218"/>
      <c r="J670" s="218"/>
      <c r="K670" s="218"/>
      <c r="L670" s="218"/>
      <c r="M670" s="218"/>
      <c r="N670" s="96"/>
      <c r="O670" s="96"/>
      <c r="P670" s="96"/>
      <c r="Q670" s="212"/>
      <c r="R670" s="212"/>
      <c r="S670" s="212"/>
      <c r="T670" s="212"/>
      <c r="U670" s="105"/>
      <c r="V670" s="262"/>
      <c r="W670" s="102"/>
      <c r="X670" s="121"/>
      <c r="Y670" s="121"/>
      <c r="Z670" s="121"/>
      <c r="AA670" s="121"/>
      <c r="AB670" s="121"/>
      <c r="AC670" s="121"/>
      <c r="AD670" s="121"/>
      <c r="AE670" s="121"/>
      <c r="AF670" s="121"/>
      <c r="AG670" s="121"/>
      <c r="AH670" s="121"/>
      <c r="AI670" s="121"/>
    </row>
    <row r="671" spans="1:40" s="115" customFormat="1" ht="15" customHeight="1">
      <c r="A671" s="555"/>
      <c r="B671" s="217"/>
      <c r="C671" s="217"/>
      <c r="D671" s="101"/>
      <c r="E671" s="217"/>
      <c r="F671" s="294"/>
      <c r="G671" s="146"/>
      <c r="H671" s="114" t="s">
        <v>678</v>
      </c>
      <c r="I671" s="108">
        <f t="shared" ref="I671:T671" si="860">SUBTOTAL(9,I650:I670)</f>
        <v>-19898.209999999963</v>
      </c>
      <c r="J671" s="108">
        <f t="shared" si="860"/>
        <v>-500807.48</v>
      </c>
      <c r="K671" s="108">
        <f t="shared" si="860"/>
        <v>-500620.31000000006</v>
      </c>
      <c r="L671" s="108">
        <f t="shared" si="860"/>
        <v>-332751.60000000009</v>
      </c>
      <c r="M671" s="108">
        <f t="shared" si="860"/>
        <v>248517</v>
      </c>
      <c r="N671" s="108">
        <f t="shared" si="860"/>
        <v>-159671.54999999981</v>
      </c>
      <c r="O671" s="108">
        <f t="shared" si="860"/>
        <v>81215</v>
      </c>
      <c r="P671" s="108">
        <f t="shared" si="860"/>
        <v>-167302</v>
      </c>
      <c r="Q671" s="108">
        <f t="shared" si="860"/>
        <v>431797</v>
      </c>
      <c r="R671" s="108">
        <f t="shared" si="860"/>
        <v>0</v>
      </c>
      <c r="S671" s="108">
        <f t="shared" si="860"/>
        <v>0</v>
      </c>
      <c r="T671" s="108">
        <f t="shared" si="860"/>
        <v>431797</v>
      </c>
      <c r="U671" s="99">
        <f>T671-M671</f>
        <v>183280</v>
      </c>
      <c r="V671" s="255">
        <f>IF(M671=0,"N/A",T671/M671-1)</f>
        <v>0.73749481926789717</v>
      </c>
      <c r="W671" s="102"/>
      <c r="X671" s="121"/>
      <c r="Y671" s="121"/>
      <c r="Z671" s="121"/>
      <c r="AA671" s="121"/>
      <c r="AB671" s="121"/>
      <c r="AC671" s="121"/>
      <c r="AD671" s="121"/>
      <c r="AE671" s="121"/>
      <c r="AF671" s="121"/>
      <c r="AG671" s="121"/>
      <c r="AH671" s="121"/>
      <c r="AI671" s="121"/>
    </row>
    <row r="672" spans="1:40" s="115" customFormat="1">
      <c r="A672" s="555"/>
      <c r="B672" s="217"/>
      <c r="C672" s="217"/>
      <c r="D672" s="101"/>
      <c r="E672" s="217"/>
      <c r="F672" s="294"/>
      <c r="G672" s="146"/>
      <c r="H672" s="98"/>
      <c r="I672" s="218"/>
      <c r="J672" s="218"/>
      <c r="K672" s="218"/>
      <c r="L672" s="218"/>
      <c r="M672" s="218"/>
      <c r="N672" s="96"/>
      <c r="O672" s="96"/>
      <c r="P672" s="96"/>
      <c r="Q672" s="212"/>
      <c r="R672" s="212"/>
      <c r="S672" s="212"/>
      <c r="T672" s="212"/>
      <c r="U672" s="105"/>
      <c r="V672" s="262"/>
      <c r="W672" s="102"/>
      <c r="X672" s="121"/>
      <c r="Y672" s="121"/>
      <c r="Z672" s="121"/>
      <c r="AA672" s="121"/>
      <c r="AB672" s="121"/>
      <c r="AC672" s="121"/>
      <c r="AD672" s="121"/>
      <c r="AE672" s="121"/>
      <c r="AF672" s="121"/>
      <c r="AG672" s="121"/>
      <c r="AH672" s="121"/>
      <c r="AI672" s="121"/>
    </row>
    <row r="673" spans="1:40" s="115" customFormat="1" ht="14.4" thickBot="1">
      <c r="A673" s="555"/>
      <c r="B673" s="217"/>
      <c r="C673" s="217"/>
      <c r="D673" s="101"/>
      <c r="E673" s="217"/>
      <c r="F673" s="294"/>
      <c r="G673" s="146"/>
      <c r="H673" s="98"/>
      <c r="I673" s="218"/>
      <c r="J673" s="218"/>
      <c r="K673" s="218"/>
      <c r="L673" s="218"/>
      <c r="M673" s="218"/>
      <c r="N673" s="96"/>
      <c r="O673" s="96"/>
      <c r="P673" s="96"/>
      <c r="Q673" s="212"/>
      <c r="R673" s="212"/>
      <c r="S673" s="212"/>
      <c r="T673" s="212"/>
      <c r="U673" s="105"/>
      <c r="V673" s="262"/>
      <c r="W673" s="102"/>
      <c r="X673" s="121"/>
      <c r="Y673" s="121"/>
      <c r="Z673" s="121"/>
      <c r="AA673" s="121"/>
      <c r="AB673" s="121"/>
      <c r="AC673" s="121"/>
      <c r="AD673" s="121"/>
      <c r="AE673" s="121"/>
      <c r="AF673" s="121"/>
      <c r="AG673" s="121"/>
      <c r="AH673" s="121"/>
      <c r="AI673" s="121"/>
    </row>
    <row r="674" spans="1:40" s="115" customFormat="1" ht="28.5" customHeight="1" thickBot="1">
      <c r="A674" s="555"/>
      <c r="B674" s="217"/>
      <c r="C674" s="217"/>
      <c r="D674" s="101"/>
      <c r="E674" s="217"/>
      <c r="F674" s="294"/>
      <c r="G674" s="146"/>
      <c r="H674" s="665" t="s">
        <v>759</v>
      </c>
      <c r="I674" s="666"/>
      <c r="J674" s="666"/>
      <c r="K674" s="666"/>
      <c r="L674" s="666"/>
      <c r="M674" s="666"/>
      <c r="N674" s="666"/>
      <c r="O674" s="666"/>
      <c r="P674" s="666"/>
      <c r="Q674" s="666"/>
      <c r="R674" s="666"/>
      <c r="S674" s="666"/>
      <c r="T674" s="667"/>
      <c r="U674" s="105"/>
      <c r="V674" s="262"/>
      <c r="W674" s="102"/>
      <c r="X674" s="121"/>
      <c r="Y674" s="121"/>
      <c r="Z674" s="121"/>
      <c r="AA674" s="121"/>
      <c r="AB674" s="121"/>
      <c r="AC674" s="121"/>
      <c r="AD674" s="121"/>
      <c r="AE674" s="121"/>
      <c r="AF674" s="121"/>
      <c r="AG674" s="121"/>
      <c r="AH674" s="121"/>
      <c r="AI674" s="121"/>
    </row>
    <row r="675" spans="1:40" s="115" customFormat="1" ht="15" customHeight="1">
      <c r="A675" s="555"/>
      <c r="B675" s="217"/>
      <c r="C675" s="217"/>
      <c r="D675" s="101"/>
      <c r="E675" s="217"/>
      <c r="F675" s="294"/>
      <c r="G675" s="146"/>
      <c r="H675" s="225"/>
      <c r="I675" s="225"/>
      <c r="J675" s="225"/>
      <c r="K675" s="225"/>
      <c r="L675" s="225"/>
      <c r="M675" s="225"/>
      <c r="N675" s="225"/>
      <c r="O675" s="225"/>
      <c r="P675" s="225"/>
      <c r="Q675" s="225"/>
      <c r="R675" s="225"/>
      <c r="S675" s="225"/>
      <c r="T675" s="225"/>
      <c r="U675" s="105"/>
      <c r="V675" s="262"/>
      <c r="W675" s="102"/>
      <c r="X675" s="121"/>
      <c r="Y675" s="121"/>
      <c r="Z675" s="121"/>
      <c r="AA675" s="121"/>
      <c r="AB675" s="121"/>
      <c r="AC675" s="121"/>
      <c r="AD675" s="121"/>
      <c r="AE675" s="121"/>
      <c r="AF675" s="121"/>
      <c r="AG675" s="121"/>
      <c r="AH675" s="121"/>
      <c r="AI675" s="121"/>
    </row>
    <row r="676" spans="1:40" s="115" customFormat="1" ht="15" customHeight="1">
      <c r="A676" s="555" t="s">
        <v>2128</v>
      </c>
      <c r="B676" s="217" t="str">
        <f t="shared" si="772"/>
        <v>175</v>
      </c>
      <c r="C676" s="217" t="str">
        <f t="shared" si="773"/>
        <v>00</v>
      </c>
      <c r="D676" s="101" t="str">
        <f t="shared" si="774"/>
        <v>000</v>
      </c>
      <c r="E676" s="217" t="str">
        <f t="shared" si="775"/>
        <v>175-00-000</v>
      </c>
      <c r="F676" s="294" t="str">
        <f t="shared" si="776"/>
        <v>44955</v>
      </c>
      <c r="G676" s="295" t="str">
        <f>VLOOKUP(F676,'GL Category'!A:C,3,FALSE)</f>
        <v>CHARGES FOR SERVICE</v>
      </c>
      <c r="H676" s="98" t="str">
        <f>VLOOKUP(F676,'GL Category'!A:C,2,FALSE)</f>
        <v>VEHICLE/EQUIP LEASE REV-F 100</v>
      </c>
      <c r="I676" s="99">
        <f>SUMIF(Import!$B:$B,'Other Fund Line-Item Details'!$A676,Import!D:D)</f>
        <v>-938268</v>
      </c>
      <c r="J676" s="99">
        <f>SUMIF(Import!$B:$B,'Other Fund Line-Item Details'!$A676,Import!E:E)</f>
        <v>-965890</v>
      </c>
      <c r="K676" s="99">
        <f>SUMIF(Import!$B:$B,'Other Fund Line-Item Details'!$A676,Import!F:F)</f>
        <v>-893615</v>
      </c>
      <c r="L676" s="99">
        <f>SUMIF(Import!$B:$B,'Other Fund Line-Item Details'!$A676,Import!G:G)</f>
        <v>-794560</v>
      </c>
      <c r="M676" s="99">
        <f>SUMIF(Import!$B:$B,'Other Fund Line-Item Details'!$A676,Import!H:H)</f>
        <v>-1146763</v>
      </c>
      <c r="N676" s="99">
        <f>SUMIF(Import!$B:$B,'Other Fund Line-Item Details'!$A676,Import!I:I)</f>
        <v>-860072.25</v>
      </c>
      <c r="O676" s="99">
        <f>SUMIF(Import!$B:$B,'Other Fund Line-Item Details'!$A676,Import!J:J)</f>
        <v>-1146763</v>
      </c>
      <c r="P676" s="99">
        <f t="shared" ref="P676:P688" si="861">O676-M676</f>
        <v>0</v>
      </c>
      <c r="Q676" s="99">
        <f>SUMIF(Import!$B:$B,'Other Fund Line-Item Details'!$A676,Import!K:K)</f>
        <v>-1038831</v>
      </c>
      <c r="R676" s="99">
        <f>SUMIF(Import!$B:$B,'Other Fund Line-Item Details'!$A676,Import!L:L)</f>
        <v>0</v>
      </c>
      <c r="S676" s="99">
        <f>SUMIF(Import!$B:$B,'Other Fund Line-Item Details'!$A676,Import!M:M)</f>
        <v>-75000</v>
      </c>
      <c r="T676" s="99">
        <f>SUMIF(Import!$B:$B,'Other Fund Line-Item Details'!$A676,Import!N:N)</f>
        <v>-1113831</v>
      </c>
      <c r="U676" s="99">
        <f t="shared" ref="U676:U689" si="862">T676-M676</f>
        <v>32932</v>
      </c>
      <c r="V676" s="255">
        <f t="shared" ref="V676:V689" si="863">IF(M676=0,"N/A",T676/M676-1)</f>
        <v>-2.8717354850130272E-2</v>
      </c>
      <c r="W676" s="102" t="s">
        <v>2128</v>
      </c>
      <c r="X676" s="102">
        <f>-75000*0.9</f>
        <v>-67500</v>
      </c>
      <c r="Y676" s="102">
        <f t="shared" ref="Y676:Y688" si="864">T676-X676</f>
        <v>-1046331</v>
      </c>
      <c r="Z676" s="309">
        <f>Y676*(1+VLOOKUP($F676,'GL Category'!$A:$H,4,FALSE))</f>
        <v>-1077720.93</v>
      </c>
      <c r="AA676" s="615"/>
      <c r="AB676" s="622">
        <f t="shared" ref="AB676:AB688" si="865">Z676+AA676</f>
        <v>-1077720.93</v>
      </c>
      <c r="AC676" s="633">
        <f>AB676*(1+VLOOKUP($F676,'GL Category'!$A:$H,5,FALSE))</f>
        <v>-1110052.5578999999</v>
      </c>
      <c r="AD676" s="307"/>
      <c r="AE676" s="622">
        <f t="shared" ref="AE676:AE688" si="866">AC676+AD676</f>
        <v>-1110052.5578999999</v>
      </c>
      <c r="AF676" s="633">
        <f>AE676*(1+VLOOKUP($F676,'GL Category'!$A:$H,6,FALSE))</f>
        <v>-1143354.134637</v>
      </c>
      <c r="AG676" s="307"/>
      <c r="AH676" s="622">
        <f t="shared" ref="AH676:AH688" si="867">AF676+AG676</f>
        <v>-1143354.134637</v>
      </c>
      <c r="AI676" s="633">
        <f>AH676*(1+VLOOKUP($F676,'GL Category'!$A:$H,7,FALSE))</f>
        <v>-1177654.7586761101</v>
      </c>
      <c r="AJ676" s="307"/>
      <c r="AK676" s="622">
        <f t="shared" ref="AK676:AK688" si="868">AI676+AJ676</f>
        <v>-1177654.7586761101</v>
      </c>
      <c r="AL676" s="633">
        <f>AK676*(1+VLOOKUP($F676,'GL Category'!$A:$H,8,FALSE))</f>
        <v>-1212984.4014363934</v>
      </c>
      <c r="AM676" s="307"/>
      <c r="AN676" s="622">
        <f t="shared" ref="AN676:AN688" si="869">AL676+AM676</f>
        <v>-1212984.4014363934</v>
      </c>
    </row>
    <row r="677" spans="1:40" s="115" customFormat="1" ht="15" customHeight="1">
      <c r="A677" s="555" t="s">
        <v>3121</v>
      </c>
      <c r="B677" s="217" t="str">
        <f t="shared" si="772"/>
        <v>175</v>
      </c>
      <c r="C677" s="217" t="str">
        <f t="shared" si="773"/>
        <v>00</v>
      </c>
      <c r="D677" s="101" t="str">
        <f t="shared" si="774"/>
        <v>000</v>
      </c>
      <c r="E677" s="217" t="str">
        <f t="shared" si="775"/>
        <v>175-00-000</v>
      </c>
      <c r="F677" s="294" t="str">
        <f t="shared" si="776"/>
        <v>44935</v>
      </c>
      <c r="G677" s="295" t="str">
        <f>VLOOKUP(F677,'GL Category'!A:C,3,FALSE)</f>
        <v>CHARGES FOR SERVICE</v>
      </c>
      <c r="H677" s="98" t="str">
        <f>VLOOKUP(F677,'GL Category'!A:C,2,FALSE)</f>
        <v>VEHICLE/EQUIP LEASE REV-F 119</v>
      </c>
      <c r="I677" s="99">
        <f>SUMIF(Import!$B:$B,'Other Fund Line-Item Details'!$A677,Import!D:D)</f>
        <v>-3465</v>
      </c>
      <c r="J677" s="99">
        <f>SUMIF(Import!$B:$B,'Other Fund Line-Item Details'!$A677,Import!E:E)</f>
        <v>-3465</v>
      </c>
      <c r="K677" s="99">
        <f>SUMIF(Import!$B:$B,'Other Fund Line-Item Details'!$A677,Import!F:F)</f>
        <v>-4313</v>
      </c>
      <c r="L677" s="99">
        <f>SUMIF(Import!$B:$B,'Other Fund Line-Item Details'!$A677,Import!G:G)</f>
        <v>-4313</v>
      </c>
      <c r="M677" s="99">
        <f>SUMIF(Import!$B:$B,'Other Fund Line-Item Details'!$A677,Import!H:H)</f>
        <v>-4313</v>
      </c>
      <c r="N677" s="99">
        <f>SUMIF(Import!$B:$B,'Other Fund Line-Item Details'!$A677,Import!I:I)</f>
        <v>-3234.75</v>
      </c>
      <c r="O677" s="99">
        <f>SUMIF(Import!$B:$B,'Other Fund Line-Item Details'!$A677,Import!J:J)</f>
        <v>-4313</v>
      </c>
      <c r="P677" s="99">
        <f t="shared" si="861"/>
        <v>0</v>
      </c>
      <c r="Q677" s="99">
        <f>SUMIF(Import!$B:$B,'Other Fund Line-Item Details'!$A677,Import!K:K)</f>
        <v>-3465</v>
      </c>
      <c r="R677" s="99">
        <f>SUMIF(Import!$B:$B,'Other Fund Line-Item Details'!$A677,Import!L:L)</f>
        <v>0</v>
      </c>
      <c r="S677" s="99">
        <f>SUMIF(Import!$B:$B,'Other Fund Line-Item Details'!$A677,Import!M:M)</f>
        <v>0</v>
      </c>
      <c r="T677" s="99">
        <f>SUMIF(Import!$B:$B,'Other Fund Line-Item Details'!$A677,Import!N:N)</f>
        <v>-3465</v>
      </c>
      <c r="U677" s="99">
        <f t="shared" si="862"/>
        <v>848</v>
      </c>
      <c r="V677" s="255">
        <f t="shared" si="863"/>
        <v>-0.19661488523069792</v>
      </c>
      <c r="W677" s="102" t="s">
        <v>2129</v>
      </c>
      <c r="X677" s="102"/>
      <c r="Y677" s="102">
        <f t="shared" si="864"/>
        <v>-3465</v>
      </c>
      <c r="Z677" s="309">
        <f>Y677*(1+VLOOKUP($F677,'GL Category'!$A:$H,4,FALSE))</f>
        <v>-3568.9500000000003</v>
      </c>
      <c r="AA677" s="615"/>
      <c r="AB677" s="622">
        <f t="shared" si="865"/>
        <v>-3568.9500000000003</v>
      </c>
      <c r="AC677" s="633">
        <f>AB677*(1+VLOOKUP($F677,'GL Category'!$A:$H,5,FALSE))</f>
        <v>-3676.0185000000006</v>
      </c>
      <c r="AD677" s="307"/>
      <c r="AE677" s="622">
        <f t="shared" si="866"/>
        <v>-3676.0185000000006</v>
      </c>
      <c r="AF677" s="633">
        <f>AE677*(1+VLOOKUP($F677,'GL Category'!$A:$H,6,FALSE))</f>
        <v>-3786.2990550000009</v>
      </c>
      <c r="AG677" s="307"/>
      <c r="AH677" s="622">
        <f t="shared" si="867"/>
        <v>-3786.2990550000009</v>
      </c>
      <c r="AI677" s="633">
        <f>AH677*(1+VLOOKUP($F677,'GL Category'!$A:$H,7,FALSE))</f>
        <v>-3899.8880266500009</v>
      </c>
      <c r="AJ677" s="307"/>
      <c r="AK677" s="622">
        <f t="shared" si="868"/>
        <v>-3899.8880266500009</v>
      </c>
      <c r="AL677" s="633">
        <f>AK677*(1+VLOOKUP($F677,'GL Category'!$A:$H,8,FALSE))</f>
        <v>-4016.8846674495012</v>
      </c>
      <c r="AM677" s="307"/>
      <c r="AN677" s="622">
        <f t="shared" si="869"/>
        <v>-4016.8846674495012</v>
      </c>
    </row>
    <row r="678" spans="1:40" s="115" customFormat="1" ht="15" customHeight="1">
      <c r="A678" s="555" t="s">
        <v>2130</v>
      </c>
      <c r="B678" s="217" t="str">
        <f t="shared" ref="B678:B749" si="870">LEFT(A678,3)</f>
        <v>175</v>
      </c>
      <c r="C678" s="217" t="str">
        <f t="shared" ref="C678:C749" si="871">MID(A678,5,2)</f>
        <v>00</v>
      </c>
      <c r="D678" s="101" t="str">
        <f t="shared" ref="D678:D749" si="872">MID(A678,8,3)</f>
        <v>000</v>
      </c>
      <c r="E678" s="217" t="str">
        <f t="shared" ref="E678:E749" si="873">LEFT(A678,10)</f>
        <v>175-00-000</v>
      </c>
      <c r="F678" s="294" t="str">
        <f t="shared" ref="F678:F749" si="874">RIGHT(A678,5)</f>
        <v>44960</v>
      </c>
      <c r="G678" s="295" t="str">
        <f>VLOOKUP(F678,'GL Category'!A:C,3,FALSE)</f>
        <v>CHARGES FOR SERVICE</v>
      </c>
      <c r="H678" s="98" t="str">
        <f>VLOOKUP(F678,'GL Category'!A:C,2,FALSE)</f>
        <v>VEHICLE/EQUIP LEASE REV-F 200</v>
      </c>
      <c r="I678" s="99">
        <f>SUMIF(Import!$B:$B,'Other Fund Line-Item Details'!$A678,Import!D:D)</f>
        <v>-512249</v>
      </c>
      <c r="J678" s="99">
        <f>SUMIF(Import!$B:$B,'Other Fund Line-Item Details'!$A678,Import!E:E)</f>
        <v>-333588</v>
      </c>
      <c r="K678" s="99">
        <f>SUMIF(Import!$B:$B,'Other Fund Line-Item Details'!$A678,Import!F:F)</f>
        <v>-418240</v>
      </c>
      <c r="L678" s="99">
        <f>SUMIF(Import!$B:$B,'Other Fund Line-Item Details'!$A678,Import!G:G)</f>
        <v>-401706</v>
      </c>
      <c r="M678" s="99">
        <f>SUMIF(Import!$B:$B,'Other Fund Line-Item Details'!$A678,Import!H:H)</f>
        <v>-599611</v>
      </c>
      <c r="N678" s="99">
        <f>SUMIF(Import!$B:$B,'Other Fund Line-Item Details'!$A678,Import!I:I)</f>
        <v>-449708.25</v>
      </c>
      <c r="O678" s="99">
        <f>SUMIF(Import!$B:$B,'Other Fund Line-Item Details'!$A678,Import!J:J)</f>
        <v>-599611</v>
      </c>
      <c r="P678" s="99">
        <f t="shared" si="861"/>
        <v>0</v>
      </c>
      <c r="Q678" s="99">
        <f>SUMIF(Import!$B:$B,'Other Fund Line-Item Details'!$A678,Import!K:K)</f>
        <v>-416566</v>
      </c>
      <c r="R678" s="99">
        <f>SUMIF(Import!$B:$B,'Other Fund Line-Item Details'!$A678,Import!L:L)</f>
        <v>0</v>
      </c>
      <c r="S678" s="99">
        <f>SUMIF(Import!$B:$B,'Other Fund Line-Item Details'!$A678,Import!M:M)</f>
        <v>-65000</v>
      </c>
      <c r="T678" s="99">
        <f>SUMIF(Import!$B:$B,'Other Fund Line-Item Details'!$A678,Import!N:N)</f>
        <v>-481566</v>
      </c>
      <c r="U678" s="99">
        <f t="shared" si="862"/>
        <v>118045</v>
      </c>
      <c r="V678" s="255">
        <f t="shared" si="863"/>
        <v>-0.19686930359849975</v>
      </c>
      <c r="W678" s="102" t="s">
        <v>2130</v>
      </c>
      <c r="X678" s="102">
        <f>-65000*0.9</f>
        <v>-58500</v>
      </c>
      <c r="Y678" s="102">
        <f t="shared" si="864"/>
        <v>-423066</v>
      </c>
      <c r="Z678" s="309">
        <f>Y678*(1+VLOOKUP($F678,'GL Category'!$A:$H,4,FALSE))</f>
        <v>-435757.98000000004</v>
      </c>
      <c r="AA678" s="615"/>
      <c r="AB678" s="622">
        <f t="shared" si="865"/>
        <v>-435757.98000000004</v>
      </c>
      <c r="AC678" s="633">
        <f>AB678*(1+VLOOKUP($F678,'GL Category'!$A:$H,5,FALSE))</f>
        <v>-448830.71940000006</v>
      </c>
      <c r="AD678" s="307"/>
      <c r="AE678" s="622">
        <f t="shared" si="866"/>
        <v>-448830.71940000006</v>
      </c>
      <c r="AF678" s="633">
        <f>AE678*(1+VLOOKUP($F678,'GL Category'!$A:$H,6,FALSE))</f>
        <v>-462295.6409820001</v>
      </c>
      <c r="AG678" s="307"/>
      <c r="AH678" s="622">
        <f t="shared" si="867"/>
        <v>-462295.6409820001</v>
      </c>
      <c r="AI678" s="633">
        <f>AH678*(1+VLOOKUP($F678,'GL Category'!$A:$H,7,FALSE))</f>
        <v>-476164.51021146012</v>
      </c>
      <c r="AJ678" s="307"/>
      <c r="AK678" s="622">
        <f t="shared" si="868"/>
        <v>-476164.51021146012</v>
      </c>
      <c r="AL678" s="633">
        <f>AK678*(1+VLOOKUP($F678,'GL Category'!$A:$H,8,FALSE))</f>
        <v>-490449.44551780395</v>
      </c>
      <c r="AM678" s="307"/>
      <c r="AN678" s="622">
        <f t="shared" si="869"/>
        <v>-490449.44551780395</v>
      </c>
    </row>
    <row r="679" spans="1:40" s="115" customFormat="1" ht="15" customHeight="1">
      <c r="A679" s="555" t="s">
        <v>2131</v>
      </c>
      <c r="B679" s="217" t="str">
        <f t="shared" si="870"/>
        <v>175</v>
      </c>
      <c r="C679" s="217" t="str">
        <f t="shared" si="871"/>
        <v>00</v>
      </c>
      <c r="D679" s="101" t="str">
        <f t="shared" si="872"/>
        <v>000</v>
      </c>
      <c r="E679" s="217" t="str">
        <f t="shared" si="873"/>
        <v>175-00-000</v>
      </c>
      <c r="F679" s="294" t="str">
        <f t="shared" si="874"/>
        <v>44965</v>
      </c>
      <c r="G679" s="295" t="str">
        <f>VLOOKUP(F679,'GL Category'!A:C,3,FALSE)</f>
        <v>CHARGES FOR SERVICE</v>
      </c>
      <c r="H679" s="98" t="str">
        <f>VLOOKUP(F679,'GL Category'!A:C,2,FALSE)</f>
        <v>VEHICLE/EQUIP LEASE REV-F 125</v>
      </c>
      <c r="I679" s="99">
        <f>SUMIF(Import!$B:$B,'Other Fund Line-Item Details'!$A679,Import!D:D)</f>
        <v>-4733</v>
      </c>
      <c r="J679" s="99">
        <f>SUMIF(Import!$B:$B,'Other Fund Line-Item Details'!$A679,Import!E:E)</f>
        <v>-4727</v>
      </c>
      <c r="K679" s="99">
        <f>SUMIF(Import!$B:$B,'Other Fund Line-Item Details'!$A679,Import!F:F)</f>
        <v>-5561</v>
      </c>
      <c r="L679" s="99">
        <f>SUMIF(Import!$B:$B,'Other Fund Line-Item Details'!$A679,Import!G:G)</f>
        <v>-7840</v>
      </c>
      <c r="M679" s="99">
        <f>SUMIF(Import!$B:$B,'Other Fund Line-Item Details'!$A679,Import!H:H)</f>
        <v>-8280</v>
      </c>
      <c r="N679" s="99">
        <f>SUMIF(Import!$B:$B,'Other Fund Line-Item Details'!$A679,Import!I:I)</f>
        <v>-6210</v>
      </c>
      <c r="O679" s="99">
        <f>SUMIF(Import!$B:$B,'Other Fund Line-Item Details'!$A679,Import!J:J)</f>
        <v>-8280</v>
      </c>
      <c r="P679" s="99">
        <f t="shared" si="861"/>
        <v>0</v>
      </c>
      <c r="Q679" s="99">
        <f>SUMIF(Import!$B:$B,'Other Fund Line-Item Details'!$A679,Import!K:K)</f>
        <v>-6766</v>
      </c>
      <c r="R679" s="99">
        <f>SUMIF(Import!$B:$B,'Other Fund Line-Item Details'!$A679,Import!L:L)</f>
        <v>0</v>
      </c>
      <c r="S679" s="99">
        <f>SUMIF(Import!$B:$B,'Other Fund Line-Item Details'!$A679,Import!M:M)</f>
        <v>0</v>
      </c>
      <c r="T679" s="99">
        <f>SUMIF(Import!$B:$B,'Other Fund Line-Item Details'!$A679,Import!N:N)</f>
        <v>-6766</v>
      </c>
      <c r="U679" s="99">
        <f t="shared" si="862"/>
        <v>1514</v>
      </c>
      <c r="V679" s="255">
        <f t="shared" si="863"/>
        <v>-0.18285024154589369</v>
      </c>
      <c r="W679" s="102" t="s">
        <v>2131</v>
      </c>
      <c r="X679" s="102"/>
      <c r="Y679" s="102">
        <f t="shared" si="864"/>
        <v>-6766</v>
      </c>
      <c r="Z679" s="309">
        <f>Y679*(1+VLOOKUP($F679,'GL Category'!$A:$H,4,FALSE))</f>
        <v>-6968.9800000000005</v>
      </c>
      <c r="AA679" s="615"/>
      <c r="AB679" s="622">
        <f t="shared" si="865"/>
        <v>-6968.9800000000005</v>
      </c>
      <c r="AC679" s="633">
        <f>AB679*(1+VLOOKUP($F679,'GL Category'!$A:$H,5,FALSE))</f>
        <v>-7178.0494000000008</v>
      </c>
      <c r="AD679" s="307"/>
      <c r="AE679" s="622">
        <f t="shared" si="866"/>
        <v>-7178.0494000000008</v>
      </c>
      <c r="AF679" s="633">
        <f>AE679*(1+VLOOKUP($F679,'GL Category'!$A:$H,6,FALSE))</f>
        <v>-7393.3908820000006</v>
      </c>
      <c r="AG679" s="307"/>
      <c r="AH679" s="622">
        <f t="shared" si="867"/>
        <v>-7393.3908820000006</v>
      </c>
      <c r="AI679" s="633">
        <f>AH679*(1+VLOOKUP($F679,'GL Category'!$A:$H,7,FALSE))</f>
        <v>-7615.1926084600009</v>
      </c>
      <c r="AJ679" s="307"/>
      <c r="AK679" s="622">
        <f t="shared" si="868"/>
        <v>-7615.1926084600009</v>
      </c>
      <c r="AL679" s="633">
        <f>AK679*(1+VLOOKUP($F679,'GL Category'!$A:$H,8,FALSE))</f>
        <v>-7843.6483867138013</v>
      </c>
      <c r="AM679" s="307"/>
      <c r="AN679" s="622">
        <f t="shared" si="869"/>
        <v>-7843.6483867138013</v>
      </c>
    </row>
    <row r="680" spans="1:40" s="115" customFormat="1" ht="15" customHeight="1">
      <c r="A680" s="555" t="s">
        <v>2132</v>
      </c>
      <c r="B680" s="217" t="str">
        <f t="shared" si="870"/>
        <v>175</v>
      </c>
      <c r="C680" s="217" t="str">
        <f t="shared" si="871"/>
        <v>00</v>
      </c>
      <c r="D680" s="101" t="str">
        <f t="shared" si="872"/>
        <v>000</v>
      </c>
      <c r="E680" s="217" t="str">
        <f t="shared" si="873"/>
        <v>175-00-000</v>
      </c>
      <c r="F680" s="294" t="str">
        <f t="shared" si="874"/>
        <v>44970</v>
      </c>
      <c r="G680" s="295" t="str">
        <f>VLOOKUP(F680,'GL Category'!A:C,3,FALSE)</f>
        <v>CHARGES FOR SERVICE</v>
      </c>
      <c r="H680" s="98" t="str">
        <f>VLOOKUP(F680,'GL Category'!A:C,2,FALSE)</f>
        <v>VEHICLE/EQUIP LEASE REV-F 400</v>
      </c>
      <c r="I680" s="99">
        <f>SUMIF(Import!$B:$B,'Other Fund Line-Item Details'!$A680,Import!D:D)</f>
        <v>-227484</v>
      </c>
      <c r="J680" s="99">
        <f>SUMIF(Import!$B:$B,'Other Fund Line-Item Details'!$A680,Import!E:E)</f>
        <v>-83243</v>
      </c>
      <c r="K680" s="99">
        <f>SUMIF(Import!$B:$B,'Other Fund Line-Item Details'!$A680,Import!F:F)</f>
        <v>-88999</v>
      </c>
      <c r="L680" s="99">
        <f>SUMIF(Import!$B:$B,'Other Fund Line-Item Details'!$A680,Import!G:G)</f>
        <v>-91842</v>
      </c>
      <c r="M680" s="99">
        <f>SUMIF(Import!$B:$B,'Other Fund Line-Item Details'!$A680,Import!H:H)</f>
        <v>-91842</v>
      </c>
      <c r="N680" s="99">
        <f>SUMIF(Import!$B:$B,'Other Fund Line-Item Details'!$A680,Import!I:I)</f>
        <v>-68881.5</v>
      </c>
      <c r="O680" s="99">
        <f>SUMIF(Import!$B:$B,'Other Fund Line-Item Details'!$A680,Import!J:J)</f>
        <v>-91842</v>
      </c>
      <c r="P680" s="99">
        <f t="shared" si="861"/>
        <v>0</v>
      </c>
      <c r="Q680" s="99">
        <f>SUMIF(Import!$B:$B,'Other Fund Line-Item Details'!$A680,Import!K:K)</f>
        <v>-91395</v>
      </c>
      <c r="R680" s="99">
        <f>SUMIF(Import!$B:$B,'Other Fund Line-Item Details'!$A680,Import!L:L)</f>
        <v>0</v>
      </c>
      <c r="S680" s="99">
        <f>SUMIF(Import!$B:$B,'Other Fund Line-Item Details'!$A680,Import!M:M)</f>
        <v>-44000</v>
      </c>
      <c r="T680" s="99">
        <f>SUMIF(Import!$B:$B,'Other Fund Line-Item Details'!$A680,Import!N:N)</f>
        <v>-135395</v>
      </c>
      <c r="U680" s="99">
        <f t="shared" si="862"/>
        <v>-43553</v>
      </c>
      <c r="V680" s="255">
        <f t="shared" si="863"/>
        <v>0.47421658935998789</v>
      </c>
      <c r="W680" s="102" t="s">
        <v>2132</v>
      </c>
      <c r="X680" s="102">
        <f>-44000*0.9</f>
        <v>-39600</v>
      </c>
      <c r="Y680" s="102">
        <f t="shared" si="864"/>
        <v>-95795</v>
      </c>
      <c r="Z680" s="309">
        <f>Y680*(1+VLOOKUP($F680,'GL Category'!$A:$H,4,FALSE))</f>
        <v>-98668.85</v>
      </c>
      <c r="AA680" s="615"/>
      <c r="AB680" s="622">
        <f t="shared" si="865"/>
        <v>-98668.85</v>
      </c>
      <c r="AC680" s="633">
        <f>AB680*(1+VLOOKUP($F680,'GL Category'!$A:$H,5,FALSE))</f>
        <v>-101628.9155</v>
      </c>
      <c r="AD680" s="307"/>
      <c r="AE680" s="622">
        <f t="shared" si="866"/>
        <v>-101628.9155</v>
      </c>
      <c r="AF680" s="633">
        <f>AE680*(1+VLOOKUP($F680,'GL Category'!$A:$H,6,FALSE))</f>
        <v>-104677.78296500001</v>
      </c>
      <c r="AG680" s="307"/>
      <c r="AH680" s="622">
        <f t="shared" si="867"/>
        <v>-104677.78296500001</v>
      </c>
      <c r="AI680" s="633">
        <f>AH680*(1+VLOOKUP($F680,'GL Category'!$A:$H,7,FALSE))</f>
        <v>-107818.11645395</v>
      </c>
      <c r="AJ680" s="307"/>
      <c r="AK680" s="622">
        <f t="shared" si="868"/>
        <v>-107818.11645395</v>
      </c>
      <c r="AL680" s="633">
        <f>AK680*(1+VLOOKUP($F680,'GL Category'!$A:$H,8,FALSE))</f>
        <v>-111052.65994756851</v>
      </c>
      <c r="AM680" s="307"/>
      <c r="AN680" s="622">
        <f t="shared" si="869"/>
        <v>-111052.65994756851</v>
      </c>
    </row>
    <row r="681" spans="1:40" s="115" customFormat="1" ht="15" customHeight="1">
      <c r="A681" s="555" t="s">
        <v>3325</v>
      </c>
      <c r="B681" s="217" t="str">
        <f t="shared" si="870"/>
        <v>175</v>
      </c>
      <c r="C681" s="217" t="str">
        <f t="shared" si="871"/>
        <v>00</v>
      </c>
      <c r="D681" s="101" t="str">
        <f t="shared" si="872"/>
        <v>000</v>
      </c>
      <c r="E681" s="217" t="str">
        <f t="shared" si="873"/>
        <v>175-00-000</v>
      </c>
      <c r="F681" s="294" t="str">
        <f t="shared" si="874"/>
        <v>47250</v>
      </c>
      <c r="G681" s="295" t="str">
        <f>VLOOKUP(F681,'GL Category'!A:C,3,FALSE)</f>
        <v>OTHER REVENUE</v>
      </c>
      <c r="H681" s="98" t="str">
        <f>VLOOKUP(F681,'GL Category'!A:C,2,FALSE)</f>
        <v>REIMB-INSURANCE PROCEEDS</v>
      </c>
      <c r="I681" s="99">
        <f>SUMIF(Import!$B:$B,'Other Fund Line-Item Details'!$A681,Import!D:D)</f>
        <v>0</v>
      </c>
      <c r="J681" s="99">
        <f>SUMIF(Import!$B:$B,'Other Fund Line-Item Details'!$A681,Import!E:E)</f>
        <v>-254572.03</v>
      </c>
      <c r="K681" s="99">
        <f>SUMIF(Import!$B:$B,'Other Fund Line-Item Details'!$A681,Import!F:F)</f>
        <v>0</v>
      </c>
      <c r="L681" s="99">
        <f>SUMIF(Import!$B:$B,'Other Fund Line-Item Details'!$A681,Import!G:G)</f>
        <v>-5298.02</v>
      </c>
      <c r="M681" s="99">
        <f>SUMIF(Import!$B:$B,'Other Fund Line-Item Details'!$A681,Import!H:H)</f>
        <v>0</v>
      </c>
      <c r="N681" s="99">
        <f>SUMIF(Import!$B:$B,'Other Fund Line-Item Details'!$A681,Import!I:I)</f>
        <v>-84509.73</v>
      </c>
      <c r="O681" s="99">
        <f>SUMIF(Import!$B:$B,'Other Fund Line-Item Details'!$A681,Import!J:J)</f>
        <v>-84510</v>
      </c>
      <c r="P681" s="99">
        <f t="shared" si="861"/>
        <v>-84510</v>
      </c>
      <c r="Q681" s="99">
        <f>SUMIF(Import!$B:$B,'Other Fund Line-Item Details'!$A681,Import!K:K)</f>
        <v>0</v>
      </c>
      <c r="R681" s="99">
        <f>SUMIF(Import!$B:$B,'Other Fund Line-Item Details'!$A681,Import!L:L)</f>
        <v>0</v>
      </c>
      <c r="S681" s="99">
        <f>SUMIF(Import!$B:$B,'Other Fund Line-Item Details'!$A681,Import!M:M)</f>
        <v>0</v>
      </c>
      <c r="T681" s="99">
        <f>SUMIF(Import!$B:$B,'Other Fund Line-Item Details'!$A681,Import!N:N)</f>
        <v>0</v>
      </c>
      <c r="U681" s="99">
        <f t="shared" si="862"/>
        <v>0</v>
      </c>
      <c r="V681" s="255" t="str">
        <f t="shared" si="863"/>
        <v>N/A</v>
      </c>
      <c r="W681" s="102" t="s">
        <v>2133</v>
      </c>
      <c r="X681" s="102"/>
      <c r="Y681" s="102">
        <f t="shared" si="864"/>
        <v>0</v>
      </c>
      <c r="Z681" s="309">
        <f>Y681*(1+VLOOKUP($F681,'GL Category'!$A:$H,4,FALSE))</f>
        <v>0</v>
      </c>
      <c r="AA681" s="615"/>
      <c r="AB681" s="622">
        <f t="shared" si="865"/>
        <v>0</v>
      </c>
      <c r="AC681" s="633">
        <f>AB681*(1+VLOOKUP($F681,'GL Category'!$A:$H,5,FALSE))</f>
        <v>0</v>
      </c>
      <c r="AD681" s="307"/>
      <c r="AE681" s="622">
        <f t="shared" si="866"/>
        <v>0</v>
      </c>
      <c r="AF681" s="633">
        <f>AE681*(1+VLOOKUP($F681,'GL Category'!$A:$H,6,FALSE))</f>
        <v>0</v>
      </c>
      <c r="AG681" s="307"/>
      <c r="AH681" s="622">
        <f t="shared" si="867"/>
        <v>0</v>
      </c>
      <c r="AI681" s="633">
        <f>AH681*(1+VLOOKUP($F681,'GL Category'!$A:$H,7,FALSE))</f>
        <v>0</v>
      </c>
      <c r="AJ681" s="307"/>
      <c r="AK681" s="622">
        <f t="shared" si="868"/>
        <v>0</v>
      </c>
      <c r="AL681" s="633">
        <f>AK681*(1+VLOOKUP($F681,'GL Category'!$A:$H,8,FALSE))</f>
        <v>0</v>
      </c>
      <c r="AM681" s="307"/>
      <c r="AN681" s="622">
        <f t="shared" si="869"/>
        <v>0</v>
      </c>
    </row>
    <row r="682" spans="1:40" s="115" customFormat="1" ht="15" customHeight="1">
      <c r="A682" s="555" t="s">
        <v>2134</v>
      </c>
      <c r="B682" s="217" t="str">
        <f t="shared" si="870"/>
        <v>175</v>
      </c>
      <c r="C682" s="217" t="str">
        <f t="shared" si="871"/>
        <v>00</v>
      </c>
      <c r="D682" s="101" t="str">
        <f t="shared" si="872"/>
        <v>000</v>
      </c>
      <c r="E682" s="217" t="str">
        <f t="shared" si="873"/>
        <v>175-00-000</v>
      </c>
      <c r="F682" s="294" t="str">
        <f t="shared" si="874"/>
        <v>47010</v>
      </c>
      <c r="G682" s="295" t="str">
        <f>VLOOKUP(F682,'GL Category'!A:C,3,FALSE)</f>
        <v>OTHER REVENUE</v>
      </c>
      <c r="H682" s="98" t="str">
        <f>VLOOKUP(F682,'GL Category'!A:C,2,FALSE)</f>
        <v>MISCELLANEOUS REVENUE</v>
      </c>
      <c r="I682" s="99">
        <f>SUMIF(Import!$B:$B,'Other Fund Line-Item Details'!$A682,Import!D:D)</f>
        <v>0</v>
      </c>
      <c r="J682" s="99">
        <f>SUMIF(Import!$B:$B,'Other Fund Line-Item Details'!$A682,Import!E:E)</f>
        <v>0</v>
      </c>
      <c r="K682" s="99">
        <f>SUMIF(Import!$B:$B,'Other Fund Line-Item Details'!$A682,Import!F:F)</f>
        <v>0</v>
      </c>
      <c r="L682" s="99">
        <f>SUMIF(Import!$B:$B,'Other Fund Line-Item Details'!$A682,Import!G:G)</f>
        <v>0</v>
      </c>
      <c r="M682" s="99">
        <f>SUMIF(Import!$B:$B,'Other Fund Line-Item Details'!$A682,Import!H:H)</f>
        <v>0</v>
      </c>
      <c r="N682" s="99">
        <f>SUMIF(Import!$B:$B,'Other Fund Line-Item Details'!$A682,Import!I:I)</f>
        <v>0</v>
      </c>
      <c r="O682" s="99">
        <f>SUMIF(Import!$B:$B,'Other Fund Line-Item Details'!$A682,Import!J:J)</f>
        <v>0</v>
      </c>
      <c r="P682" s="99">
        <f t="shared" si="861"/>
        <v>0</v>
      </c>
      <c r="Q682" s="99">
        <f>SUMIF(Import!$B:$B,'Other Fund Line-Item Details'!$A682,Import!K:K)</f>
        <v>0</v>
      </c>
      <c r="R682" s="99">
        <f>SUMIF(Import!$B:$B,'Other Fund Line-Item Details'!$A682,Import!L:L)</f>
        <v>0</v>
      </c>
      <c r="S682" s="99">
        <f>SUMIF(Import!$B:$B,'Other Fund Line-Item Details'!$A682,Import!M:M)</f>
        <v>0</v>
      </c>
      <c r="T682" s="99">
        <f>SUMIF(Import!$B:$B,'Other Fund Line-Item Details'!$A682,Import!N:N)</f>
        <v>0</v>
      </c>
      <c r="U682" s="99">
        <f t="shared" si="862"/>
        <v>0</v>
      </c>
      <c r="V682" s="255" t="str">
        <f t="shared" si="863"/>
        <v>N/A</v>
      </c>
      <c r="W682" s="102" t="s">
        <v>2134</v>
      </c>
      <c r="X682" s="102"/>
      <c r="Y682" s="102">
        <f t="shared" si="864"/>
        <v>0</v>
      </c>
      <c r="Z682" s="309">
        <f>Y682*(1+VLOOKUP($F682,'GL Category'!$A:$H,4,FALSE))</f>
        <v>0</v>
      </c>
      <c r="AA682" s="615"/>
      <c r="AB682" s="622">
        <f t="shared" si="865"/>
        <v>0</v>
      </c>
      <c r="AC682" s="633">
        <f>AB682*(1+VLOOKUP($F682,'GL Category'!$A:$H,5,FALSE))</f>
        <v>0</v>
      </c>
      <c r="AD682" s="307"/>
      <c r="AE682" s="622">
        <f t="shared" si="866"/>
        <v>0</v>
      </c>
      <c r="AF682" s="633">
        <f>AE682*(1+VLOOKUP($F682,'GL Category'!$A:$H,6,FALSE))</f>
        <v>0</v>
      </c>
      <c r="AG682" s="307"/>
      <c r="AH682" s="622">
        <f t="shared" si="867"/>
        <v>0</v>
      </c>
      <c r="AI682" s="633">
        <f>AH682*(1+VLOOKUP($F682,'GL Category'!$A:$H,7,FALSE))</f>
        <v>0</v>
      </c>
      <c r="AJ682" s="307"/>
      <c r="AK682" s="622">
        <f t="shared" si="868"/>
        <v>0</v>
      </c>
      <c r="AL682" s="633">
        <f>AK682*(1+VLOOKUP($F682,'GL Category'!$A:$H,8,FALSE))</f>
        <v>0</v>
      </c>
      <c r="AM682" s="307"/>
      <c r="AN682" s="622">
        <f t="shared" si="869"/>
        <v>0</v>
      </c>
    </row>
    <row r="683" spans="1:40" s="115" customFormat="1" ht="15" customHeight="1">
      <c r="A683" s="555" t="s">
        <v>2135</v>
      </c>
      <c r="B683" s="217" t="str">
        <f t="shared" si="870"/>
        <v>175</v>
      </c>
      <c r="C683" s="217" t="str">
        <f t="shared" si="871"/>
        <v>00</v>
      </c>
      <c r="D683" s="101" t="str">
        <f t="shared" si="872"/>
        <v>000</v>
      </c>
      <c r="E683" s="217" t="str">
        <f t="shared" si="873"/>
        <v>175-00-000</v>
      </c>
      <c r="F683" s="294" t="str">
        <f t="shared" si="874"/>
        <v>47020</v>
      </c>
      <c r="G683" s="295" t="str">
        <f>VLOOKUP(F683,'GL Category'!A:C,3,FALSE)</f>
        <v>OTHER REVENUE</v>
      </c>
      <c r="H683" s="98" t="str">
        <f>VLOOKUP(F683,'GL Category'!A:C,2,FALSE)</f>
        <v>AUCTION PROCEEDS</v>
      </c>
      <c r="I683" s="99">
        <f>SUMIF(Import!$B:$B,'Other Fund Line-Item Details'!$A683,Import!D:D)</f>
        <v>-2918.98</v>
      </c>
      <c r="J683" s="99">
        <f>SUMIF(Import!$B:$B,'Other Fund Line-Item Details'!$A683,Import!E:E)</f>
        <v>11905</v>
      </c>
      <c r="K683" s="99">
        <f>SUMIF(Import!$B:$B,'Other Fund Line-Item Details'!$A683,Import!F:F)</f>
        <v>-13450</v>
      </c>
      <c r="L683" s="99">
        <f>SUMIF(Import!$B:$B,'Other Fund Line-Item Details'!$A683,Import!G:G)</f>
        <v>-23490</v>
      </c>
      <c r="M683" s="99">
        <f>SUMIF(Import!$B:$B,'Other Fund Line-Item Details'!$A683,Import!H:H)</f>
        <v>0</v>
      </c>
      <c r="N683" s="99">
        <f>SUMIF(Import!$B:$B,'Other Fund Line-Item Details'!$A683,Import!I:I)</f>
        <v>-123991.2</v>
      </c>
      <c r="O683" s="99">
        <f>SUMIF(Import!$B:$B,'Other Fund Line-Item Details'!$A683,Import!J:J)</f>
        <v>-123992</v>
      </c>
      <c r="P683" s="99">
        <f t="shared" si="861"/>
        <v>-123992</v>
      </c>
      <c r="Q683" s="99">
        <f>SUMIF(Import!$B:$B,'Other Fund Line-Item Details'!$A683,Import!K:K)</f>
        <v>0</v>
      </c>
      <c r="R683" s="99">
        <f>SUMIF(Import!$B:$B,'Other Fund Line-Item Details'!$A683,Import!L:L)</f>
        <v>0</v>
      </c>
      <c r="S683" s="99">
        <f>SUMIF(Import!$B:$B,'Other Fund Line-Item Details'!$A683,Import!M:M)</f>
        <v>0</v>
      </c>
      <c r="T683" s="99">
        <f>SUMIF(Import!$B:$B,'Other Fund Line-Item Details'!$A683,Import!N:N)</f>
        <v>0</v>
      </c>
      <c r="U683" s="99">
        <f t="shared" si="862"/>
        <v>0</v>
      </c>
      <c r="V683" s="255" t="str">
        <f t="shared" si="863"/>
        <v>N/A</v>
      </c>
      <c r="W683" s="102" t="s">
        <v>2135</v>
      </c>
      <c r="X683" s="102"/>
      <c r="Y683" s="102">
        <f t="shared" si="864"/>
        <v>0</v>
      </c>
      <c r="Z683" s="309">
        <f>Y683*(1+VLOOKUP($F683,'GL Category'!$A:$H,4,FALSE))</f>
        <v>0</v>
      </c>
      <c r="AA683" s="615"/>
      <c r="AB683" s="622">
        <f t="shared" si="865"/>
        <v>0</v>
      </c>
      <c r="AC683" s="633">
        <f>AB683*(1+VLOOKUP($F683,'GL Category'!$A:$H,5,FALSE))</f>
        <v>0</v>
      </c>
      <c r="AD683" s="307"/>
      <c r="AE683" s="622">
        <f t="shared" si="866"/>
        <v>0</v>
      </c>
      <c r="AF683" s="633">
        <f>AE683*(1+VLOOKUP($F683,'GL Category'!$A:$H,6,FALSE))</f>
        <v>0</v>
      </c>
      <c r="AG683" s="307"/>
      <c r="AH683" s="622">
        <f t="shared" si="867"/>
        <v>0</v>
      </c>
      <c r="AI683" s="633">
        <f>AH683*(1+VLOOKUP($F683,'GL Category'!$A:$H,7,FALSE))</f>
        <v>0</v>
      </c>
      <c r="AJ683" s="307"/>
      <c r="AK683" s="622">
        <f t="shared" si="868"/>
        <v>0</v>
      </c>
      <c r="AL683" s="633">
        <f>AK683*(1+VLOOKUP($F683,'GL Category'!$A:$H,8,FALSE))</f>
        <v>0</v>
      </c>
      <c r="AM683" s="307"/>
      <c r="AN683" s="622">
        <f t="shared" si="869"/>
        <v>0</v>
      </c>
    </row>
    <row r="684" spans="1:40" s="115" customFormat="1" ht="15" customHeight="1">
      <c r="A684" s="555" t="s">
        <v>2136</v>
      </c>
      <c r="B684" s="217" t="str">
        <f t="shared" si="870"/>
        <v>175</v>
      </c>
      <c r="C684" s="217" t="str">
        <f t="shared" si="871"/>
        <v>00</v>
      </c>
      <c r="D684" s="101" t="str">
        <f t="shared" si="872"/>
        <v>000</v>
      </c>
      <c r="E684" s="217" t="str">
        <f t="shared" si="873"/>
        <v>175-00-000</v>
      </c>
      <c r="F684" s="294" t="str">
        <f t="shared" si="874"/>
        <v>47030</v>
      </c>
      <c r="G684" s="295" t="str">
        <f>VLOOKUP(F684,'GL Category'!A:C,3,FALSE)</f>
        <v>OTHER REVENUE</v>
      </c>
      <c r="H684" s="98" t="str">
        <f>VLOOKUP(F684,'GL Category'!A:C,2,FALSE)</f>
        <v>GAIN/LOSS ON DISP OF ASSETS</v>
      </c>
      <c r="I684" s="99">
        <f>SUMIF(Import!$B:$B,'Other Fund Line-Item Details'!$A684,Import!D:D)</f>
        <v>-396245.18</v>
      </c>
      <c r="J684" s="99">
        <f>SUMIF(Import!$B:$B,'Other Fund Line-Item Details'!$A684,Import!E:E)</f>
        <v>-79320</v>
      </c>
      <c r="K684" s="99">
        <f>SUMIF(Import!$B:$B,'Other Fund Line-Item Details'!$A684,Import!F:F)</f>
        <v>-86880.5</v>
      </c>
      <c r="L684" s="99">
        <f>SUMIF(Import!$B:$B,'Other Fund Line-Item Details'!$A684,Import!G:G)</f>
        <v>-147331.10999999999</v>
      </c>
      <c r="M684" s="99">
        <f>SUMIF(Import!$B:$B,'Other Fund Line-Item Details'!$A684,Import!H:H)</f>
        <v>0</v>
      </c>
      <c r="N684" s="99">
        <f>SUMIF(Import!$B:$B,'Other Fund Line-Item Details'!$A684,Import!I:I)</f>
        <v>-52275</v>
      </c>
      <c r="O684" s="99">
        <f>SUMIF(Import!$B:$B,'Other Fund Line-Item Details'!$A684,Import!J:J)</f>
        <v>0</v>
      </c>
      <c r="P684" s="99">
        <f t="shared" si="861"/>
        <v>0</v>
      </c>
      <c r="Q684" s="99">
        <f>SUMIF(Import!$B:$B,'Other Fund Line-Item Details'!$A684,Import!K:K)</f>
        <v>0</v>
      </c>
      <c r="R684" s="99">
        <f>SUMIF(Import!$B:$B,'Other Fund Line-Item Details'!$A684,Import!L:L)</f>
        <v>0</v>
      </c>
      <c r="S684" s="99">
        <f>SUMIF(Import!$B:$B,'Other Fund Line-Item Details'!$A684,Import!M:M)</f>
        <v>0</v>
      </c>
      <c r="T684" s="99">
        <f>SUMIF(Import!$B:$B,'Other Fund Line-Item Details'!$A684,Import!N:N)</f>
        <v>0</v>
      </c>
      <c r="U684" s="99">
        <f t="shared" si="862"/>
        <v>0</v>
      </c>
      <c r="V684" s="255" t="str">
        <f t="shared" si="863"/>
        <v>N/A</v>
      </c>
      <c r="W684" s="102" t="s">
        <v>2136</v>
      </c>
      <c r="X684" s="102"/>
      <c r="Y684" s="102">
        <f t="shared" si="864"/>
        <v>0</v>
      </c>
      <c r="Z684" s="309">
        <f>Y684*(1+VLOOKUP($F684,'GL Category'!$A:$H,4,FALSE))</f>
        <v>0</v>
      </c>
      <c r="AA684" s="615"/>
      <c r="AB684" s="622">
        <f t="shared" si="865"/>
        <v>0</v>
      </c>
      <c r="AC684" s="633">
        <f>AB684*(1+VLOOKUP($F684,'GL Category'!$A:$H,5,FALSE))</f>
        <v>0</v>
      </c>
      <c r="AD684" s="307"/>
      <c r="AE684" s="622">
        <f t="shared" si="866"/>
        <v>0</v>
      </c>
      <c r="AF684" s="633">
        <f>AE684*(1+VLOOKUP($F684,'GL Category'!$A:$H,6,FALSE))</f>
        <v>0</v>
      </c>
      <c r="AG684" s="307"/>
      <c r="AH684" s="622">
        <f t="shared" si="867"/>
        <v>0</v>
      </c>
      <c r="AI684" s="633">
        <f>AH684*(1+VLOOKUP($F684,'GL Category'!$A:$H,7,FALSE))</f>
        <v>0</v>
      </c>
      <c r="AJ684" s="307"/>
      <c r="AK684" s="622">
        <f t="shared" si="868"/>
        <v>0</v>
      </c>
      <c r="AL684" s="633">
        <f>AK684*(1+VLOOKUP($F684,'GL Category'!$A:$H,8,FALSE))</f>
        <v>0</v>
      </c>
      <c r="AM684" s="307"/>
      <c r="AN684" s="622">
        <f t="shared" si="869"/>
        <v>0</v>
      </c>
    </row>
    <row r="685" spans="1:40" s="115" customFormat="1" ht="27" customHeight="1">
      <c r="A685" s="555" t="s">
        <v>2137</v>
      </c>
      <c r="B685" s="217" t="str">
        <f t="shared" si="870"/>
        <v>175</v>
      </c>
      <c r="C685" s="217" t="str">
        <f t="shared" si="871"/>
        <v>00</v>
      </c>
      <c r="D685" s="101" t="str">
        <f t="shared" si="872"/>
        <v>000</v>
      </c>
      <c r="E685" s="217" t="str">
        <f t="shared" si="873"/>
        <v>175-00-000</v>
      </c>
      <c r="F685" s="294" t="str">
        <f t="shared" si="874"/>
        <v>47090</v>
      </c>
      <c r="G685" s="295" t="str">
        <f>VLOOKUP(F685,'GL Category'!A:C,3,FALSE)</f>
        <v>OTHER REVENUE</v>
      </c>
      <c r="H685" s="98" t="str">
        <f>VLOOKUP(F685,'GL Category'!A:C,2,FALSE)</f>
        <v>INTEREST REVENUE-INVESTMENTS</v>
      </c>
      <c r="I685" s="99">
        <f>SUMIF(Import!$B:$B,'Other Fund Line-Item Details'!$A685,Import!D:D)</f>
        <v>-38270.379999999997</v>
      </c>
      <c r="J685" s="99">
        <f>SUMIF(Import!$B:$B,'Other Fund Line-Item Details'!$A685,Import!E:E)</f>
        <v>-11115.16</v>
      </c>
      <c r="K685" s="99">
        <f>SUMIF(Import!$B:$B,'Other Fund Line-Item Details'!$A685,Import!F:F)</f>
        <v>-24041.51</v>
      </c>
      <c r="L685" s="99">
        <f>SUMIF(Import!$B:$B,'Other Fund Line-Item Details'!$A685,Import!G:G)</f>
        <v>-150292.39000000001</v>
      </c>
      <c r="M685" s="99">
        <f>SUMIF(Import!$B:$B,'Other Fund Line-Item Details'!$A685,Import!H:H)</f>
        <v>-44377</v>
      </c>
      <c r="N685" s="99">
        <f>SUMIF(Import!$B:$B,'Other Fund Line-Item Details'!$A685,Import!I:I)</f>
        <v>-148353.88</v>
      </c>
      <c r="O685" s="99">
        <f>SUMIF(Import!$B:$B,'Other Fund Line-Item Details'!$A685,Import!J:J)</f>
        <v>-155313</v>
      </c>
      <c r="P685" s="99">
        <f t="shared" si="861"/>
        <v>-110936</v>
      </c>
      <c r="Q685" s="99">
        <f>SUMIF(Import!$B:$B,'Other Fund Line-Item Details'!$A685,Import!K:K)</f>
        <v>-155313</v>
      </c>
      <c r="R685" s="99">
        <f>SUMIF(Import!$B:$B,'Other Fund Line-Item Details'!$A685,Import!L:L)</f>
        <v>0</v>
      </c>
      <c r="S685" s="99">
        <f>SUMIF(Import!$B:$B,'Other Fund Line-Item Details'!$A685,Import!M:M)</f>
        <v>0</v>
      </c>
      <c r="T685" s="99">
        <f>SUMIF(Import!$B:$B,'Other Fund Line-Item Details'!$A685,Import!N:N)</f>
        <v>-155313</v>
      </c>
      <c r="U685" s="99">
        <f t="shared" si="862"/>
        <v>-110936</v>
      </c>
      <c r="V685" s="255">
        <f t="shared" si="863"/>
        <v>2.4998535277283276</v>
      </c>
      <c r="W685" s="102" t="s">
        <v>2137</v>
      </c>
      <c r="X685" s="102"/>
      <c r="Y685" s="102">
        <f t="shared" si="864"/>
        <v>-155313</v>
      </c>
      <c r="Z685" s="309">
        <f>Y685*(1+VLOOKUP($F685,'GL Category'!$A:$H,4,FALSE))</f>
        <v>-116484.75</v>
      </c>
      <c r="AA685" s="615"/>
      <c r="AB685" s="622">
        <f t="shared" si="865"/>
        <v>-116484.75</v>
      </c>
      <c r="AC685" s="633">
        <f>AB685*(1+VLOOKUP($F685,'GL Category'!$A:$H,5,FALSE))</f>
        <v>-58242.375</v>
      </c>
      <c r="AD685" s="307"/>
      <c r="AE685" s="622">
        <f t="shared" si="866"/>
        <v>-58242.375</v>
      </c>
      <c r="AF685" s="633">
        <f>AE685*(1+VLOOKUP($F685,'GL Category'!$A:$H,6,FALSE))</f>
        <v>-58242.375</v>
      </c>
      <c r="AG685" s="307"/>
      <c r="AH685" s="622">
        <f t="shared" si="867"/>
        <v>-58242.375</v>
      </c>
      <c r="AI685" s="633">
        <f>AH685*(1+VLOOKUP($F685,'GL Category'!$A:$H,7,FALSE))</f>
        <v>-58242.375</v>
      </c>
      <c r="AJ685" s="307"/>
      <c r="AK685" s="622">
        <f t="shared" si="868"/>
        <v>-58242.375</v>
      </c>
      <c r="AL685" s="633">
        <f>AK685*(1+VLOOKUP($F685,'GL Category'!$A:$H,8,FALSE))</f>
        <v>-58242.375</v>
      </c>
      <c r="AM685" s="307"/>
      <c r="AN685" s="622">
        <f t="shared" si="869"/>
        <v>-58242.375</v>
      </c>
    </row>
    <row r="686" spans="1:40" s="115" customFormat="1" ht="27" customHeight="1">
      <c r="A686" s="555" t="s">
        <v>2138</v>
      </c>
      <c r="B686" s="217" t="str">
        <f t="shared" si="870"/>
        <v>175</v>
      </c>
      <c r="C686" s="217" t="str">
        <f t="shared" si="871"/>
        <v>00</v>
      </c>
      <c r="D686" s="101" t="str">
        <f t="shared" si="872"/>
        <v>000</v>
      </c>
      <c r="E686" s="217" t="str">
        <f t="shared" si="873"/>
        <v>175-00-000</v>
      </c>
      <c r="F686" s="294" t="str">
        <f t="shared" si="874"/>
        <v>47099</v>
      </c>
      <c r="G686" s="295" t="str">
        <f>VLOOKUP(F686,'GL Category'!A:C,3,FALSE)</f>
        <v>OTHER REVENUE</v>
      </c>
      <c r="H686" s="98" t="str">
        <f>VLOOKUP(F686,'GL Category'!A:C,2,FALSE)</f>
        <v>INCR/DECR IN FAIR VALUE OF INV</v>
      </c>
      <c r="I686" s="99">
        <f>SUMIF(Import!$B:$B,'Other Fund Line-Item Details'!$A686,Import!D:D)</f>
        <v>0</v>
      </c>
      <c r="J686" s="99">
        <f>SUMIF(Import!$B:$B,'Other Fund Line-Item Details'!$A686,Import!E:E)</f>
        <v>0</v>
      </c>
      <c r="K686" s="99">
        <f>SUMIF(Import!$B:$B,'Other Fund Line-Item Details'!$A686,Import!F:F)</f>
        <v>0</v>
      </c>
      <c r="L686" s="99">
        <f>SUMIF(Import!$B:$B,'Other Fund Line-Item Details'!$A686,Import!G:G)</f>
        <v>0</v>
      </c>
      <c r="M686" s="99">
        <f>SUMIF(Import!$B:$B,'Other Fund Line-Item Details'!$A686,Import!H:H)</f>
        <v>0</v>
      </c>
      <c r="N686" s="99">
        <f>SUMIF(Import!$B:$B,'Other Fund Line-Item Details'!$A686,Import!I:I)</f>
        <v>0</v>
      </c>
      <c r="O686" s="99">
        <f>SUMIF(Import!$B:$B,'Other Fund Line-Item Details'!$A686,Import!J:J)</f>
        <v>0</v>
      </c>
      <c r="P686" s="99">
        <f t="shared" si="861"/>
        <v>0</v>
      </c>
      <c r="Q686" s="99">
        <f>SUMIF(Import!$B:$B,'Other Fund Line-Item Details'!$A686,Import!K:K)</f>
        <v>0</v>
      </c>
      <c r="R686" s="99">
        <f>SUMIF(Import!$B:$B,'Other Fund Line-Item Details'!$A686,Import!L:L)</f>
        <v>0</v>
      </c>
      <c r="S686" s="99">
        <f>SUMIF(Import!$B:$B,'Other Fund Line-Item Details'!$A686,Import!M:M)</f>
        <v>0</v>
      </c>
      <c r="T686" s="99">
        <f>SUMIF(Import!$B:$B,'Other Fund Line-Item Details'!$A686,Import!N:N)</f>
        <v>0</v>
      </c>
      <c r="U686" s="99">
        <f t="shared" si="862"/>
        <v>0</v>
      </c>
      <c r="V686" s="255" t="str">
        <f t="shared" si="863"/>
        <v>N/A</v>
      </c>
      <c r="W686" s="102" t="s">
        <v>2138</v>
      </c>
      <c r="X686" s="102"/>
      <c r="Y686" s="102">
        <f t="shared" si="864"/>
        <v>0</v>
      </c>
      <c r="Z686" s="309">
        <f>Y686*(1+VLOOKUP($F686,'GL Category'!$A:$H,4,FALSE))</f>
        <v>0</v>
      </c>
      <c r="AA686" s="615"/>
      <c r="AB686" s="622">
        <f t="shared" si="865"/>
        <v>0</v>
      </c>
      <c r="AC686" s="633">
        <f>AB686*(1+VLOOKUP($F686,'GL Category'!$A:$H,5,FALSE))</f>
        <v>0</v>
      </c>
      <c r="AD686" s="307"/>
      <c r="AE686" s="622">
        <f t="shared" si="866"/>
        <v>0</v>
      </c>
      <c r="AF686" s="633">
        <f>AE686*(1+VLOOKUP($F686,'GL Category'!$A:$H,6,FALSE))</f>
        <v>0</v>
      </c>
      <c r="AG686" s="307"/>
      <c r="AH686" s="622">
        <f t="shared" si="867"/>
        <v>0</v>
      </c>
      <c r="AI686" s="633">
        <f>AH686*(1+VLOOKUP($F686,'GL Category'!$A:$H,7,FALSE))</f>
        <v>0</v>
      </c>
      <c r="AJ686" s="307"/>
      <c r="AK686" s="622">
        <f t="shared" si="868"/>
        <v>0</v>
      </c>
      <c r="AL686" s="633">
        <f>AK686*(1+VLOOKUP($F686,'GL Category'!$A:$H,8,FALSE))</f>
        <v>0</v>
      </c>
      <c r="AM686" s="307"/>
      <c r="AN686" s="622">
        <f t="shared" si="869"/>
        <v>0</v>
      </c>
    </row>
    <row r="687" spans="1:40" s="115" customFormat="1" ht="25.5" customHeight="1">
      <c r="A687" s="555" t="s">
        <v>2139</v>
      </c>
      <c r="B687" s="217" t="str">
        <f t="shared" si="870"/>
        <v>175</v>
      </c>
      <c r="C687" s="217" t="str">
        <f t="shared" si="871"/>
        <v>00</v>
      </c>
      <c r="D687" s="101" t="str">
        <f t="shared" si="872"/>
        <v>000</v>
      </c>
      <c r="E687" s="217" t="str">
        <f t="shared" si="873"/>
        <v>175-00-000</v>
      </c>
      <c r="F687" s="294" t="str">
        <f t="shared" si="874"/>
        <v>49100</v>
      </c>
      <c r="G687" s="295" t="str">
        <f>VLOOKUP(F687,'GL Category'!A:C,3,FALSE)</f>
        <v>TRANSFERS IN</v>
      </c>
      <c r="H687" s="98" t="str">
        <f>VLOOKUP(F687,'GL Category'!A:C,2,FALSE)</f>
        <v>TRANSFER FROM GENERAL FUND</v>
      </c>
      <c r="I687" s="99">
        <f>SUMIF(Import!$B:$B,'Other Fund Line-Item Details'!$A687,Import!D:D)</f>
        <v>0</v>
      </c>
      <c r="J687" s="99">
        <f>SUMIF(Import!$B:$B,'Other Fund Line-Item Details'!$A687,Import!E:E)</f>
        <v>0</v>
      </c>
      <c r="K687" s="99">
        <f>SUMIF(Import!$B:$B,'Other Fund Line-Item Details'!$A687,Import!F:F)</f>
        <v>0</v>
      </c>
      <c r="L687" s="99">
        <f>SUMIF(Import!$B:$B,'Other Fund Line-Item Details'!$A687,Import!G:G)</f>
        <v>0</v>
      </c>
      <c r="M687" s="99">
        <f>SUMIF(Import!$B:$B,'Other Fund Line-Item Details'!$A687,Import!H:H)</f>
        <v>0</v>
      </c>
      <c r="N687" s="99">
        <f>SUMIF(Import!$B:$B,'Other Fund Line-Item Details'!$A687,Import!I:I)</f>
        <v>0</v>
      </c>
      <c r="O687" s="99">
        <f>SUMIF(Import!$B:$B,'Other Fund Line-Item Details'!$A687,Import!J:J)</f>
        <v>0</v>
      </c>
      <c r="P687" s="99">
        <f t="shared" si="861"/>
        <v>0</v>
      </c>
      <c r="Q687" s="99">
        <f>SUMIF(Import!$B:$B,'Other Fund Line-Item Details'!$A687,Import!K:K)</f>
        <v>0</v>
      </c>
      <c r="R687" s="99">
        <f>SUMIF(Import!$B:$B,'Other Fund Line-Item Details'!$A687,Import!L:L)</f>
        <v>0</v>
      </c>
      <c r="S687" s="99">
        <f>SUMIF(Import!$B:$B,'Other Fund Line-Item Details'!$A687,Import!M:M)</f>
        <v>0</v>
      </c>
      <c r="T687" s="99">
        <f>SUMIF(Import!$B:$B,'Other Fund Line-Item Details'!$A687,Import!N:N)</f>
        <v>0</v>
      </c>
      <c r="U687" s="99">
        <f t="shared" si="862"/>
        <v>0</v>
      </c>
      <c r="V687" s="255" t="str">
        <f t="shared" si="863"/>
        <v>N/A</v>
      </c>
      <c r="W687" s="102" t="s">
        <v>2139</v>
      </c>
      <c r="X687" s="102"/>
      <c r="Y687" s="102">
        <f t="shared" si="864"/>
        <v>0</v>
      </c>
      <c r="Z687" s="309">
        <f>Y687*(1+VLOOKUP($F687,'GL Category'!$A:$H,4,FALSE))</f>
        <v>0</v>
      </c>
      <c r="AA687" s="615"/>
      <c r="AB687" s="622">
        <f t="shared" si="865"/>
        <v>0</v>
      </c>
      <c r="AC687" s="633">
        <f>AB687*(1+VLOOKUP($F687,'GL Category'!$A:$H,5,FALSE))</f>
        <v>0</v>
      </c>
      <c r="AD687" s="307"/>
      <c r="AE687" s="622">
        <f t="shared" si="866"/>
        <v>0</v>
      </c>
      <c r="AF687" s="633">
        <f>AE687*(1+VLOOKUP($F687,'GL Category'!$A:$H,6,FALSE))</f>
        <v>0</v>
      </c>
      <c r="AG687" s="307"/>
      <c r="AH687" s="622">
        <f t="shared" si="867"/>
        <v>0</v>
      </c>
      <c r="AI687" s="633">
        <f>AH687*(1+VLOOKUP($F687,'GL Category'!$A:$H,7,FALSE))</f>
        <v>0</v>
      </c>
      <c r="AJ687" s="307"/>
      <c r="AK687" s="622">
        <f t="shared" si="868"/>
        <v>0</v>
      </c>
      <c r="AL687" s="633">
        <f>AK687*(1+VLOOKUP($F687,'GL Category'!$A:$H,8,FALSE))</f>
        <v>0</v>
      </c>
      <c r="AM687" s="307"/>
      <c r="AN687" s="622">
        <f t="shared" si="869"/>
        <v>0</v>
      </c>
    </row>
    <row r="688" spans="1:40" s="115" customFormat="1" ht="25.5" customHeight="1">
      <c r="A688" s="555" t="s">
        <v>2140</v>
      </c>
      <c r="B688" s="217" t="str">
        <f t="shared" si="870"/>
        <v>175</v>
      </c>
      <c r="C688" s="217" t="str">
        <f t="shared" si="871"/>
        <v>00</v>
      </c>
      <c r="D688" s="101" t="str">
        <f t="shared" si="872"/>
        <v>000</v>
      </c>
      <c r="E688" s="217" t="str">
        <f t="shared" si="873"/>
        <v>175-00-000</v>
      </c>
      <c r="F688" s="294" t="str">
        <f t="shared" si="874"/>
        <v>49999</v>
      </c>
      <c r="G688" s="295" t="str">
        <f>VLOOKUP(F688,'GL Category'!A:C,3,FALSE)</f>
        <v>TRANSFERS IN</v>
      </c>
      <c r="H688" s="98" t="str">
        <f>VLOOKUP(F688,'GL Category'!A:C,2,FALSE)</f>
        <v>USE OF FUND BALANCE</v>
      </c>
      <c r="I688" s="99">
        <f>SUMIF(Import!$B:$B,'Other Fund Line-Item Details'!$A688,Import!D:D)</f>
        <v>-264648</v>
      </c>
      <c r="J688" s="99">
        <f>SUMIF(Import!$B:$B,'Other Fund Line-Item Details'!$A688,Import!E:E)</f>
        <v>0</v>
      </c>
      <c r="K688" s="99">
        <f>SUMIF(Import!$B:$B,'Other Fund Line-Item Details'!$A688,Import!F:F)</f>
        <v>-534570.49</v>
      </c>
      <c r="L688" s="99">
        <f>SUMIF(Import!$B:$B,'Other Fund Line-Item Details'!$A688,Import!G:G)</f>
        <v>-2099982.27</v>
      </c>
      <c r="M688" s="99">
        <f>SUMIF(Import!$B:$B,'Other Fund Line-Item Details'!$A688,Import!H:H)</f>
        <v>0</v>
      </c>
      <c r="N688" s="99">
        <f>SUMIF(Import!$B:$B,'Other Fund Line-Item Details'!$A688,Import!I:I)</f>
        <v>0</v>
      </c>
      <c r="O688" s="99">
        <f>SUMIF(Import!$B:$B,'Other Fund Line-Item Details'!$A688,Import!J:J)</f>
        <v>0</v>
      </c>
      <c r="P688" s="99">
        <f t="shared" si="861"/>
        <v>0</v>
      </c>
      <c r="Q688" s="99">
        <f>SUMIF(Import!$B:$B,'Other Fund Line-Item Details'!$A688,Import!K:K)</f>
        <v>0</v>
      </c>
      <c r="R688" s="99">
        <f>SUMIF(Import!$B:$B,'Other Fund Line-Item Details'!$A688,Import!L:L)</f>
        <v>0</v>
      </c>
      <c r="S688" s="99">
        <f>SUMIF(Import!$B:$B,'Other Fund Line-Item Details'!$A688,Import!M:M)</f>
        <v>0</v>
      </c>
      <c r="T688" s="99">
        <f>SUMIF(Import!$B:$B,'Other Fund Line-Item Details'!$A688,Import!N:N)</f>
        <v>0</v>
      </c>
      <c r="U688" s="99">
        <f t="shared" si="862"/>
        <v>0</v>
      </c>
      <c r="V688" s="255" t="str">
        <f t="shared" si="863"/>
        <v>N/A</v>
      </c>
      <c r="W688" s="102" t="s">
        <v>2140</v>
      </c>
      <c r="X688" s="102"/>
      <c r="Y688" s="102">
        <f t="shared" si="864"/>
        <v>0</v>
      </c>
      <c r="Z688" s="309">
        <f>Y688*(1+VLOOKUP($F688,'GL Category'!$A:$H,4,FALSE))</f>
        <v>0</v>
      </c>
      <c r="AA688" s="615"/>
      <c r="AB688" s="622">
        <f t="shared" si="865"/>
        <v>0</v>
      </c>
      <c r="AC688" s="633">
        <f>AB688*(1+VLOOKUP($F688,'GL Category'!$A:$H,5,FALSE))</f>
        <v>0</v>
      </c>
      <c r="AD688" s="307"/>
      <c r="AE688" s="622">
        <f t="shared" si="866"/>
        <v>0</v>
      </c>
      <c r="AF688" s="633">
        <f>AE688*(1+VLOOKUP($F688,'GL Category'!$A:$H,6,FALSE))</f>
        <v>0</v>
      </c>
      <c r="AG688" s="307"/>
      <c r="AH688" s="622">
        <f t="shared" si="867"/>
        <v>0</v>
      </c>
      <c r="AI688" s="633">
        <f>AH688*(1+VLOOKUP($F688,'GL Category'!$A:$H,7,FALSE))</f>
        <v>0</v>
      </c>
      <c r="AJ688" s="307"/>
      <c r="AK688" s="622">
        <f t="shared" si="868"/>
        <v>0</v>
      </c>
      <c r="AL688" s="633">
        <f>AK688*(1+VLOOKUP($F688,'GL Category'!$A:$H,8,FALSE))</f>
        <v>0</v>
      </c>
      <c r="AM688" s="307"/>
      <c r="AN688" s="622">
        <f t="shared" si="869"/>
        <v>0</v>
      </c>
    </row>
    <row r="689" spans="1:40" s="115" customFormat="1" ht="15" customHeight="1">
      <c r="A689" s="555"/>
      <c r="B689" s="217"/>
      <c r="C689" s="217"/>
      <c r="D689" s="101"/>
      <c r="E689" s="217"/>
      <c r="F689" s="294"/>
      <c r="G689" s="146"/>
      <c r="H689" s="107" t="str">
        <f>UPPER('Other Fund Line-Item Details'!G688)&amp;" TOTAL"</f>
        <v>TRANSFERS IN TOTAL</v>
      </c>
      <c r="I689" s="109">
        <f t="shared" ref="I689" si="875">SUBTOTAL(9,I676:I688)</f>
        <v>-2388281.54</v>
      </c>
      <c r="J689" s="109">
        <f t="shared" ref="J689:T689" si="876">SUBTOTAL(9,J676:J688)</f>
        <v>-1724015.19</v>
      </c>
      <c r="K689" s="109">
        <f t="shared" ref="K689" si="877">SUBTOTAL(9,K676:K688)</f>
        <v>-2069670.5</v>
      </c>
      <c r="L689" s="109">
        <f t="shared" ref="L689" si="878">SUBTOTAL(9,L676:L688)</f>
        <v>-3726654.79</v>
      </c>
      <c r="M689" s="109">
        <f t="shared" si="876"/>
        <v>-1895186</v>
      </c>
      <c r="N689" s="109">
        <f t="shared" ref="N689" si="879">SUBTOTAL(9,N676:N688)</f>
        <v>-1797236.56</v>
      </c>
      <c r="O689" s="109">
        <f t="shared" si="876"/>
        <v>-2214624</v>
      </c>
      <c r="P689" s="109">
        <f t="shared" si="876"/>
        <v>-319438</v>
      </c>
      <c r="Q689" s="109">
        <f t="shared" si="876"/>
        <v>-1712336</v>
      </c>
      <c r="R689" s="109">
        <f t="shared" si="876"/>
        <v>0</v>
      </c>
      <c r="S689" s="109">
        <f t="shared" si="876"/>
        <v>-184000</v>
      </c>
      <c r="T689" s="109">
        <f t="shared" si="876"/>
        <v>-1896336</v>
      </c>
      <c r="U689" s="99">
        <f t="shared" si="862"/>
        <v>-1150</v>
      </c>
      <c r="V689" s="255">
        <f t="shared" si="863"/>
        <v>6.0680059899143046E-4</v>
      </c>
      <c r="W689" s="102"/>
      <c r="X689" s="121"/>
      <c r="Y689" s="109">
        <f t="shared" ref="Y689:AN689" si="880">SUBTOTAL(9,Y676:Y688)</f>
        <v>-1730736</v>
      </c>
      <c r="Z689" s="109">
        <f t="shared" si="880"/>
        <v>-1739170.44</v>
      </c>
      <c r="AA689" s="109">
        <f t="shared" si="880"/>
        <v>0</v>
      </c>
      <c r="AB689" s="109">
        <f t="shared" si="880"/>
        <v>-1739170.44</v>
      </c>
      <c r="AC689" s="109">
        <f t="shared" si="880"/>
        <v>-1729608.6357</v>
      </c>
      <c r="AD689" s="109">
        <f t="shared" si="880"/>
        <v>0</v>
      </c>
      <c r="AE689" s="109">
        <f t="shared" si="880"/>
        <v>-1729608.6357</v>
      </c>
      <c r="AF689" s="109">
        <f t="shared" si="880"/>
        <v>-1779749.6235210004</v>
      </c>
      <c r="AG689" s="109">
        <f t="shared" si="880"/>
        <v>0</v>
      </c>
      <c r="AH689" s="109">
        <f t="shared" si="880"/>
        <v>-1779749.6235210004</v>
      </c>
      <c r="AI689" s="109">
        <f t="shared" si="880"/>
        <v>-1831394.8409766303</v>
      </c>
      <c r="AJ689" s="109">
        <f t="shared" si="880"/>
        <v>0</v>
      </c>
      <c r="AK689" s="109">
        <f t="shared" si="880"/>
        <v>-1831394.8409766303</v>
      </c>
      <c r="AL689" s="109">
        <f t="shared" si="880"/>
        <v>-1884589.4149559292</v>
      </c>
      <c r="AM689" s="109">
        <f t="shared" si="880"/>
        <v>0</v>
      </c>
      <c r="AN689" s="109">
        <f t="shared" si="880"/>
        <v>-1884589.4149559292</v>
      </c>
    </row>
    <row r="690" spans="1:40" s="115" customFormat="1" ht="15" customHeight="1">
      <c r="A690" s="555"/>
      <c r="B690" s="217"/>
      <c r="C690" s="217"/>
      <c r="D690" s="101"/>
      <c r="E690" s="217"/>
      <c r="F690" s="294"/>
      <c r="G690" s="146"/>
      <c r="H690" s="98"/>
      <c r="I690" s="106"/>
      <c r="J690" s="106"/>
      <c r="K690" s="106"/>
      <c r="L690" s="106"/>
      <c r="M690" s="106"/>
      <c r="N690" s="112"/>
      <c r="O690" s="112"/>
      <c r="P690" s="112"/>
      <c r="Q690" s="113"/>
      <c r="R690" s="113"/>
      <c r="S690" s="113"/>
      <c r="T690" s="113"/>
      <c r="U690" s="105"/>
      <c r="V690" s="262"/>
      <c r="W690" s="102"/>
      <c r="X690" s="121"/>
      <c r="Y690" s="121"/>
      <c r="Z690" s="121"/>
      <c r="AA690" s="121"/>
      <c r="AB690" s="121"/>
      <c r="AC690" s="121"/>
      <c r="AD690" s="121"/>
      <c r="AE690" s="121"/>
      <c r="AF690" s="121"/>
      <c r="AG690" s="121"/>
      <c r="AH690" s="121"/>
      <c r="AI690" s="121"/>
    </row>
    <row r="691" spans="1:40" s="115" customFormat="1" ht="15" customHeight="1">
      <c r="A691" s="555" t="s">
        <v>2141</v>
      </c>
      <c r="B691" s="217" t="str">
        <f t="shared" si="870"/>
        <v>175</v>
      </c>
      <c r="C691" s="217" t="str">
        <f t="shared" si="871"/>
        <v>11</v>
      </c>
      <c r="D691" s="101" t="str">
        <f t="shared" si="872"/>
        <v>111</v>
      </c>
      <c r="E691" s="217" t="str">
        <f t="shared" si="873"/>
        <v>175-11-111</v>
      </c>
      <c r="F691" s="294" t="str">
        <f t="shared" si="874"/>
        <v>58840</v>
      </c>
      <c r="G691" s="295" t="str">
        <f>VLOOKUP(F691,'GL Category'!A:C,3,FALSE)</f>
        <v>Capital Outlay</v>
      </c>
      <c r="H691" s="98" t="str">
        <f>VLOOKUP(F691,'GL Category'!A:C,2,FALSE)</f>
        <v>MOTOR VEHICLES</v>
      </c>
      <c r="I691" s="99">
        <f>SUMIF(Import!$B:$B,'Other Fund Line-Item Details'!$A691,Import!D:D)</f>
        <v>57464.33</v>
      </c>
      <c r="J691" s="99">
        <f>SUMIF(Import!$B:$B,'Other Fund Line-Item Details'!$A691,Import!E:E)</f>
        <v>0</v>
      </c>
      <c r="K691" s="99">
        <f>SUMIF(Import!$B:$B,'Other Fund Line-Item Details'!$A691,Import!F:F)</f>
        <v>0</v>
      </c>
      <c r="L691" s="99">
        <f>SUMIF(Import!$B:$B,'Other Fund Line-Item Details'!$A691,Import!G:G)</f>
        <v>0</v>
      </c>
      <c r="M691" s="99">
        <f>SUMIF(Import!$B:$B,'Other Fund Line-Item Details'!$A691,Import!H:H)</f>
        <v>49296</v>
      </c>
      <c r="N691" s="99">
        <f>SUMIF(Import!$B:$B,'Other Fund Line-Item Details'!$A691,Import!I:I)</f>
        <v>45998.43</v>
      </c>
      <c r="O691" s="99">
        <f>SUMIF(Import!$B:$B,'Other Fund Line-Item Details'!$A691,Import!J:J)</f>
        <v>49296</v>
      </c>
      <c r="P691" s="99">
        <f t="shared" ref="P691:P728" si="881">O691-M691</f>
        <v>0</v>
      </c>
      <c r="Q691" s="99">
        <f>SUMIF(Import!$B:$B,'Other Fund Line-Item Details'!$A691,Import!K:K)</f>
        <v>0</v>
      </c>
      <c r="R691" s="99">
        <f>SUMIF(Import!$B:$B,'Other Fund Line-Item Details'!$A691,Import!L:L)</f>
        <v>0</v>
      </c>
      <c r="S691" s="99">
        <f>SUMIF(Import!$B:$B,'Other Fund Line-Item Details'!$A691,Import!M:M)</f>
        <v>0</v>
      </c>
      <c r="T691" s="99">
        <f>SUMIF(Import!$B:$B,'Other Fund Line-Item Details'!$A691,Import!N:N)</f>
        <v>0</v>
      </c>
      <c r="U691" s="99">
        <f t="shared" ref="U691:U729" si="882">T691-M691</f>
        <v>-49296</v>
      </c>
      <c r="V691" s="255">
        <f t="shared" ref="V691:V729" si="883">IF(M691=0,"N/A",T691/M691-1)</f>
        <v>-1</v>
      </c>
      <c r="W691" s="102" t="s">
        <v>2141</v>
      </c>
      <c r="X691" s="102"/>
      <c r="Y691" s="102">
        <f t="shared" ref="Y691:Y727" si="884">T691-X691</f>
        <v>0</v>
      </c>
      <c r="Z691" s="309">
        <f>Y691*(1+VLOOKUP($F691,'GL Category'!$A:$H,4,FALSE))</f>
        <v>0</v>
      </c>
      <c r="AA691" s="615"/>
      <c r="AB691" s="622">
        <f t="shared" ref="AB691:AB728" si="885">Z691+AA691</f>
        <v>0</v>
      </c>
      <c r="AC691" s="633">
        <f>AB691*(1+VLOOKUP($F691,'GL Category'!$A:$H,5,FALSE))</f>
        <v>0</v>
      </c>
      <c r="AD691" s="307"/>
      <c r="AE691" s="622">
        <f t="shared" ref="AE691:AE728" si="886">AC691+AD691</f>
        <v>0</v>
      </c>
      <c r="AF691" s="633">
        <f>AE691*(1+VLOOKUP($F691,'GL Category'!$A:$H,6,FALSE))</f>
        <v>0</v>
      </c>
      <c r="AG691" s="307"/>
      <c r="AH691" s="622">
        <f t="shared" ref="AH691:AH728" si="887">AF691+AG691</f>
        <v>0</v>
      </c>
      <c r="AI691" s="633">
        <f>AH691*(1+VLOOKUP($F691,'GL Category'!$A:$H,7,FALSE))</f>
        <v>0</v>
      </c>
      <c r="AJ691" s="307"/>
      <c r="AK691" s="622">
        <f t="shared" ref="AK691:AK728" si="888">AI691+AJ691</f>
        <v>0</v>
      </c>
      <c r="AL691" s="633">
        <f>AK691*(1+VLOOKUP($F691,'GL Category'!$A:$H,8,FALSE))</f>
        <v>0</v>
      </c>
      <c r="AM691" s="307"/>
      <c r="AN691" s="622">
        <f t="shared" ref="AN691:AN728" si="889">AL691+AM691</f>
        <v>0</v>
      </c>
    </row>
    <row r="692" spans="1:40" s="115" customFormat="1" ht="15" customHeight="1">
      <c r="A692" s="555" t="s">
        <v>2142</v>
      </c>
      <c r="B692" s="217" t="str">
        <f t="shared" si="870"/>
        <v>175</v>
      </c>
      <c r="C692" s="217" t="str">
        <f t="shared" si="871"/>
        <v>18</v>
      </c>
      <c r="D692" s="101" t="str">
        <f t="shared" si="872"/>
        <v>181</v>
      </c>
      <c r="E692" s="217" t="str">
        <f t="shared" si="873"/>
        <v>175-18-181</v>
      </c>
      <c r="F692" s="294" t="str">
        <f t="shared" si="874"/>
        <v>52460</v>
      </c>
      <c r="G692" s="295" t="str">
        <f>VLOOKUP(F692,'GL Category'!A:C,3,FALSE)</f>
        <v>Operations &amp; maintenance</v>
      </c>
      <c r="H692" s="98" t="str">
        <f>VLOOKUP(F692,'GL Category'!A:C,2,FALSE)</f>
        <v>VEHICLE MAINTENANCE</v>
      </c>
      <c r="I692" s="99">
        <f>SUMIF(Import!$B:$B,'Other Fund Line-Item Details'!$A692,Import!D:D)</f>
        <v>72</v>
      </c>
      <c r="J692" s="99">
        <f>SUMIF(Import!$B:$B,'Other Fund Line-Item Details'!$A692,Import!E:E)</f>
        <v>72</v>
      </c>
      <c r="K692" s="99">
        <f>SUMIF(Import!$B:$B,'Other Fund Line-Item Details'!$A692,Import!F:F)</f>
        <v>72</v>
      </c>
      <c r="L692" s="99">
        <f>SUMIF(Import!$B:$B,'Other Fund Line-Item Details'!$A692,Import!G:G)</f>
        <v>72</v>
      </c>
      <c r="M692" s="99">
        <f>SUMIF(Import!$B:$B,'Other Fund Line-Item Details'!$A692,Import!H:H)</f>
        <v>72</v>
      </c>
      <c r="N692" s="99">
        <f>SUMIF(Import!$B:$B,'Other Fund Line-Item Details'!$A692,Import!I:I)</f>
        <v>54</v>
      </c>
      <c r="O692" s="99">
        <f>SUMIF(Import!$B:$B,'Other Fund Line-Item Details'!$A692,Import!J:J)</f>
        <v>72</v>
      </c>
      <c r="P692" s="99">
        <f t="shared" si="881"/>
        <v>0</v>
      </c>
      <c r="Q692" s="99">
        <f>SUMIF(Import!$B:$B,'Other Fund Line-Item Details'!$A692,Import!K:K)</f>
        <v>72</v>
      </c>
      <c r="R692" s="99">
        <f>SUMIF(Import!$B:$B,'Other Fund Line-Item Details'!$A692,Import!L:L)</f>
        <v>0</v>
      </c>
      <c r="S692" s="99">
        <f>SUMIF(Import!$B:$B,'Other Fund Line-Item Details'!$A692,Import!M:M)</f>
        <v>0</v>
      </c>
      <c r="T692" s="99">
        <f>SUMIF(Import!$B:$B,'Other Fund Line-Item Details'!$A692,Import!N:N)</f>
        <v>72</v>
      </c>
      <c r="U692" s="99">
        <f t="shared" si="882"/>
        <v>0</v>
      </c>
      <c r="V692" s="255">
        <f t="shared" si="883"/>
        <v>0</v>
      </c>
      <c r="W692" s="102" t="s">
        <v>2142</v>
      </c>
      <c r="X692" s="102"/>
      <c r="Y692" s="102">
        <f t="shared" si="884"/>
        <v>72</v>
      </c>
      <c r="Z692" s="309">
        <f>Y692*(1+VLOOKUP($F692,'GL Category'!$A:$H,4,FALSE))</f>
        <v>73.44</v>
      </c>
      <c r="AA692" s="615"/>
      <c r="AB692" s="622">
        <f t="shared" si="885"/>
        <v>73.44</v>
      </c>
      <c r="AC692" s="633">
        <f>AB692*(1+VLOOKUP($F692,'GL Category'!$A:$H,5,FALSE))</f>
        <v>74.908799999999999</v>
      </c>
      <c r="AD692" s="307"/>
      <c r="AE692" s="622">
        <f t="shared" si="886"/>
        <v>74.908799999999999</v>
      </c>
      <c r="AF692" s="633">
        <f>AE692*(1+VLOOKUP($F692,'GL Category'!$A:$H,6,FALSE))</f>
        <v>76.406976</v>
      </c>
      <c r="AG692" s="307"/>
      <c r="AH692" s="622">
        <f t="shared" si="887"/>
        <v>76.406976</v>
      </c>
      <c r="AI692" s="633">
        <f>AH692*(1+VLOOKUP($F692,'GL Category'!$A:$H,7,FALSE))</f>
        <v>77.935115519999997</v>
      </c>
      <c r="AJ692" s="307"/>
      <c r="AK692" s="622">
        <f t="shared" si="888"/>
        <v>77.935115519999997</v>
      </c>
      <c r="AL692" s="633">
        <f>AK692*(1+VLOOKUP($F692,'GL Category'!$A:$H,8,FALSE))</f>
        <v>79.493817830400005</v>
      </c>
      <c r="AM692" s="307"/>
      <c r="AN692" s="622">
        <f t="shared" si="889"/>
        <v>79.493817830400005</v>
      </c>
    </row>
    <row r="693" spans="1:40" s="115" customFormat="1" ht="15" customHeight="1">
      <c r="A693" s="555" t="s">
        <v>2143</v>
      </c>
      <c r="B693" s="217" t="str">
        <f t="shared" si="870"/>
        <v>175</v>
      </c>
      <c r="C693" s="217" t="str">
        <f t="shared" si="871"/>
        <v>50</v>
      </c>
      <c r="D693" s="101" t="str">
        <f t="shared" si="872"/>
        <v>502</v>
      </c>
      <c r="E693" s="217" t="str">
        <f t="shared" si="873"/>
        <v>175-50-502</v>
      </c>
      <c r="F693" s="294" t="str">
        <f t="shared" si="874"/>
        <v>58840</v>
      </c>
      <c r="G693" s="295" t="str">
        <f>VLOOKUP(F693,'GL Category'!A:C,3,FALSE)</f>
        <v>Capital Outlay</v>
      </c>
      <c r="H693" s="98" t="str">
        <f>VLOOKUP(F693,'GL Category'!A:C,2,FALSE)</f>
        <v>MOTOR VEHICLES</v>
      </c>
      <c r="I693" s="99">
        <f>SUMIF(Import!$B:$B,'Other Fund Line-Item Details'!$A693,Import!D:D)</f>
        <v>30558.6</v>
      </c>
      <c r="J693" s="99">
        <f>SUMIF(Import!$B:$B,'Other Fund Line-Item Details'!$A693,Import!E:E)</f>
        <v>0</v>
      </c>
      <c r="K693" s="99">
        <f>SUMIF(Import!$B:$B,'Other Fund Line-Item Details'!$A693,Import!F:F)</f>
        <v>0</v>
      </c>
      <c r="L693" s="99">
        <f>SUMIF(Import!$B:$B,'Other Fund Line-Item Details'!$A693,Import!G:G)</f>
        <v>0</v>
      </c>
      <c r="M693" s="99">
        <f>SUMIF(Import!$B:$B,'Other Fund Line-Item Details'!$A693,Import!H:H)</f>
        <v>0</v>
      </c>
      <c r="N693" s="99">
        <f>SUMIF(Import!$B:$B,'Other Fund Line-Item Details'!$A693,Import!I:I)</f>
        <v>0</v>
      </c>
      <c r="O693" s="99">
        <f>SUMIF(Import!$B:$B,'Other Fund Line-Item Details'!$A693,Import!J:J)</f>
        <v>0</v>
      </c>
      <c r="P693" s="99">
        <f t="shared" si="881"/>
        <v>0</v>
      </c>
      <c r="Q693" s="99">
        <f>SUMIF(Import!$B:$B,'Other Fund Line-Item Details'!$A693,Import!K:K)</f>
        <v>0</v>
      </c>
      <c r="R693" s="99">
        <f>SUMIF(Import!$B:$B,'Other Fund Line-Item Details'!$A693,Import!L:L)</f>
        <v>0</v>
      </c>
      <c r="S693" s="99">
        <f>SUMIF(Import!$B:$B,'Other Fund Line-Item Details'!$A693,Import!M:M)</f>
        <v>0</v>
      </c>
      <c r="T693" s="99">
        <f>SUMIF(Import!$B:$B,'Other Fund Line-Item Details'!$A693,Import!N:N)</f>
        <v>0</v>
      </c>
      <c r="U693" s="99">
        <f t="shared" si="882"/>
        <v>0</v>
      </c>
      <c r="V693" s="255" t="str">
        <f t="shared" si="883"/>
        <v>N/A</v>
      </c>
      <c r="W693" s="102" t="s">
        <v>2143</v>
      </c>
      <c r="X693" s="102"/>
      <c r="Y693" s="102">
        <f t="shared" si="884"/>
        <v>0</v>
      </c>
      <c r="Z693" s="309">
        <f>Y693*(1+VLOOKUP($F693,'GL Category'!$A:$H,4,FALSE))</f>
        <v>0</v>
      </c>
      <c r="AA693" s="615"/>
      <c r="AB693" s="622">
        <f t="shared" si="885"/>
        <v>0</v>
      </c>
      <c r="AC693" s="633">
        <f>AB693*(1+VLOOKUP($F693,'GL Category'!$A:$H,5,FALSE))</f>
        <v>0</v>
      </c>
      <c r="AD693" s="307"/>
      <c r="AE693" s="622">
        <f t="shared" si="886"/>
        <v>0</v>
      </c>
      <c r="AF693" s="633">
        <f>AE693*(1+VLOOKUP($F693,'GL Category'!$A:$H,6,FALSE))</f>
        <v>0</v>
      </c>
      <c r="AG693" s="307"/>
      <c r="AH693" s="622">
        <f t="shared" si="887"/>
        <v>0</v>
      </c>
      <c r="AI693" s="633">
        <f>AH693*(1+VLOOKUP($F693,'GL Category'!$A:$H,7,FALSE))</f>
        <v>0</v>
      </c>
      <c r="AJ693" s="307"/>
      <c r="AK693" s="622">
        <f t="shared" si="888"/>
        <v>0</v>
      </c>
      <c r="AL693" s="633">
        <f>AK693*(1+VLOOKUP($F693,'GL Category'!$A:$H,8,FALSE))</f>
        <v>0</v>
      </c>
      <c r="AM693" s="307"/>
      <c r="AN693" s="622">
        <f t="shared" si="889"/>
        <v>0</v>
      </c>
    </row>
    <row r="694" spans="1:40" s="115" customFormat="1" ht="15" customHeight="1">
      <c r="A694" s="555" t="s">
        <v>3352</v>
      </c>
      <c r="B694" s="217" t="str">
        <f t="shared" ref="B694:B695" si="890">LEFT(A694,3)</f>
        <v>175</v>
      </c>
      <c r="C694" s="217" t="str">
        <f t="shared" ref="C694:C695" si="891">MID(A694,5,2)</f>
        <v>50</v>
      </c>
      <c r="D694" s="101" t="str">
        <f t="shared" ref="D694:D695" si="892">MID(A694,8,3)</f>
        <v>503</v>
      </c>
      <c r="E694" s="217" t="str">
        <f t="shared" ref="E694:E695" si="893">LEFT(A694,10)</f>
        <v>175-50-503</v>
      </c>
      <c r="F694" s="294" t="str">
        <f t="shared" ref="F694:F695" si="894">RIGHT(A694,5)</f>
        <v>52460</v>
      </c>
      <c r="G694" s="295" t="str">
        <f>VLOOKUP(F694,'GL Category'!A:C,3,FALSE)</f>
        <v>Operations &amp; maintenance</v>
      </c>
      <c r="H694" s="98" t="str">
        <f>VLOOKUP(F694,'GL Category'!A:C,2,FALSE)</f>
        <v>VEHICLE MAINTENANCE</v>
      </c>
      <c r="I694" s="99">
        <f>SUMIF(Import!$B:$B,'Other Fund Line-Item Details'!$A694,Import!D:D)</f>
        <v>0</v>
      </c>
      <c r="J694" s="99">
        <f>SUMIF(Import!$B:$B,'Other Fund Line-Item Details'!$A694,Import!E:E)</f>
        <v>-395</v>
      </c>
      <c r="K694" s="99">
        <f>SUMIF(Import!$B:$B,'Other Fund Line-Item Details'!$A694,Import!F:F)</f>
        <v>0</v>
      </c>
      <c r="L694" s="99">
        <f>SUMIF(Import!$B:$B,'Other Fund Line-Item Details'!$A694,Import!G:G)</f>
        <v>0</v>
      </c>
      <c r="M694" s="99">
        <f>SUMIF(Import!$B:$B,'Other Fund Line-Item Details'!$A694,Import!H:H)</f>
        <v>0</v>
      </c>
      <c r="N694" s="99">
        <f>SUMIF(Import!$B:$B,'Other Fund Line-Item Details'!$A694,Import!I:I)</f>
        <v>0</v>
      </c>
      <c r="O694" s="99">
        <f>SUMIF(Import!$B:$B,'Other Fund Line-Item Details'!$A694,Import!J:J)</f>
        <v>0</v>
      </c>
      <c r="P694" s="99">
        <f t="shared" ref="P694:P695" si="895">O694-M694</f>
        <v>0</v>
      </c>
      <c r="Q694" s="99">
        <f>SUMIF(Import!$B:$B,'Other Fund Line-Item Details'!$A694,Import!K:K)</f>
        <v>0</v>
      </c>
      <c r="R694" s="99">
        <f>SUMIF(Import!$B:$B,'Other Fund Line-Item Details'!$A694,Import!L:L)</f>
        <v>0</v>
      </c>
      <c r="S694" s="99">
        <f>SUMIF(Import!$B:$B,'Other Fund Line-Item Details'!$A694,Import!M:M)</f>
        <v>0</v>
      </c>
      <c r="T694" s="99">
        <f>SUMIF(Import!$B:$B,'Other Fund Line-Item Details'!$A694,Import!N:N)</f>
        <v>0</v>
      </c>
      <c r="U694" s="99">
        <f t="shared" ref="U694:U695" si="896">T694-M694</f>
        <v>0</v>
      </c>
      <c r="V694" s="255" t="str">
        <f t="shared" ref="V694:V695" si="897">IF(M694=0,"N/A",T694/M694-1)</f>
        <v>N/A</v>
      </c>
      <c r="W694" s="102" t="s">
        <v>2144</v>
      </c>
      <c r="X694" s="102"/>
      <c r="Y694" s="102">
        <f t="shared" si="884"/>
        <v>0</v>
      </c>
      <c r="Z694" s="309">
        <f>Y694*(1+VLOOKUP($F694,'GL Category'!$A:$H,4,FALSE))</f>
        <v>0</v>
      </c>
      <c r="AA694" s="615"/>
      <c r="AB694" s="622">
        <f t="shared" si="885"/>
        <v>0</v>
      </c>
      <c r="AC694" s="633">
        <f>AB694*(1+VLOOKUP($F694,'GL Category'!$A:$H,5,FALSE))</f>
        <v>0</v>
      </c>
      <c r="AD694" s="307"/>
      <c r="AE694" s="622">
        <f t="shared" si="886"/>
        <v>0</v>
      </c>
      <c r="AF694" s="633">
        <f>AE694*(1+VLOOKUP($F694,'GL Category'!$A:$H,6,FALSE))</f>
        <v>0</v>
      </c>
      <c r="AG694" s="307"/>
      <c r="AH694" s="622">
        <f t="shared" si="887"/>
        <v>0</v>
      </c>
      <c r="AI694" s="633">
        <f>AH694*(1+VLOOKUP($F694,'GL Category'!$A:$H,7,FALSE))</f>
        <v>0</v>
      </c>
      <c r="AJ694" s="307"/>
      <c r="AK694" s="622">
        <f t="shared" si="888"/>
        <v>0</v>
      </c>
      <c r="AL694" s="633">
        <f>AK694*(1+VLOOKUP($F694,'GL Category'!$A:$H,8,FALSE))</f>
        <v>0</v>
      </c>
      <c r="AM694" s="307"/>
      <c r="AN694" s="622">
        <f t="shared" si="889"/>
        <v>0</v>
      </c>
    </row>
    <row r="695" spans="1:40" s="115" customFormat="1" ht="15" customHeight="1">
      <c r="A695" s="555" t="s">
        <v>3358</v>
      </c>
      <c r="B695" s="217" t="str">
        <f t="shared" si="890"/>
        <v>175</v>
      </c>
      <c r="C695" s="217" t="str">
        <f t="shared" si="891"/>
        <v>65</v>
      </c>
      <c r="D695" s="101" t="str">
        <f t="shared" si="892"/>
        <v>655</v>
      </c>
      <c r="E695" s="217" t="str">
        <f t="shared" si="893"/>
        <v>175-65-655</v>
      </c>
      <c r="F695" s="294" t="str">
        <f t="shared" si="894"/>
        <v>52460</v>
      </c>
      <c r="G695" s="295" t="str">
        <f>VLOOKUP(F695,'GL Category'!A:C,3,FALSE)</f>
        <v>Operations &amp; maintenance</v>
      </c>
      <c r="H695" s="98" t="str">
        <f>VLOOKUP(F695,'GL Category'!A:C,2,FALSE)</f>
        <v>VEHICLE MAINTENANCE</v>
      </c>
      <c r="I695" s="99">
        <f>SUMIF(Import!$B:$B,'Other Fund Line-Item Details'!$A695,Import!D:D)</f>
        <v>0</v>
      </c>
      <c r="J695" s="99">
        <f>SUMIF(Import!$B:$B,'Other Fund Line-Item Details'!$A695,Import!E:E)</f>
        <v>0</v>
      </c>
      <c r="K695" s="99">
        <f>SUMIF(Import!$B:$B,'Other Fund Line-Item Details'!$A695,Import!F:F)</f>
        <v>8848.42</v>
      </c>
      <c r="L695" s="99">
        <f>SUMIF(Import!$B:$B,'Other Fund Line-Item Details'!$A695,Import!G:G)</f>
        <v>1243.29</v>
      </c>
      <c r="M695" s="99">
        <f>SUMIF(Import!$B:$B,'Other Fund Line-Item Details'!$A695,Import!H:H)</f>
        <v>711</v>
      </c>
      <c r="N695" s="99">
        <f>SUMIF(Import!$B:$B,'Other Fund Line-Item Details'!$A695,Import!I:I)</f>
        <v>618.74</v>
      </c>
      <c r="O695" s="99">
        <f>SUMIF(Import!$B:$B,'Other Fund Line-Item Details'!$A695,Import!J:J)</f>
        <v>711</v>
      </c>
      <c r="P695" s="99">
        <f t="shared" si="895"/>
        <v>0</v>
      </c>
      <c r="Q695" s="99">
        <f>SUMIF(Import!$B:$B,'Other Fund Line-Item Details'!$A695,Import!K:K)</f>
        <v>711</v>
      </c>
      <c r="R695" s="99">
        <f>SUMIF(Import!$B:$B,'Other Fund Line-Item Details'!$A695,Import!L:L)</f>
        <v>0</v>
      </c>
      <c r="S695" s="99">
        <f>SUMIF(Import!$B:$B,'Other Fund Line-Item Details'!$A695,Import!M:M)</f>
        <v>0</v>
      </c>
      <c r="T695" s="99">
        <f>SUMIF(Import!$B:$B,'Other Fund Line-Item Details'!$A695,Import!N:N)</f>
        <v>711</v>
      </c>
      <c r="U695" s="99">
        <f t="shared" si="896"/>
        <v>0</v>
      </c>
      <c r="V695" s="255">
        <f t="shared" si="897"/>
        <v>0</v>
      </c>
      <c r="W695" s="102" t="s">
        <v>2144</v>
      </c>
      <c r="X695" s="102"/>
      <c r="Y695" s="102">
        <f t="shared" si="884"/>
        <v>711</v>
      </c>
      <c r="Z695" s="309">
        <f>Y695*(1+VLOOKUP($F695,'GL Category'!$A:$H,4,FALSE))</f>
        <v>725.22</v>
      </c>
      <c r="AA695" s="615"/>
      <c r="AB695" s="622">
        <f t="shared" si="885"/>
        <v>725.22</v>
      </c>
      <c r="AC695" s="633">
        <f>AB695*(1+VLOOKUP($F695,'GL Category'!$A:$H,5,FALSE))</f>
        <v>739.72440000000006</v>
      </c>
      <c r="AD695" s="307"/>
      <c r="AE695" s="622">
        <f t="shared" si="886"/>
        <v>739.72440000000006</v>
      </c>
      <c r="AF695" s="633">
        <f>AE695*(1+VLOOKUP($F695,'GL Category'!$A:$H,6,FALSE))</f>
        <v>754.51888800000006</v>
      </c>
      <c r="AG695" s="307"/>
      <c r="AH695" s="622">
        <f t="shared" si="887"/>
        <v>754.51888800000006</v>
      </c>
      <c r="AI695" s="633">
        <f>AH695*(1+VLOOKUP($F695,'GL Category'!$A:$H,7,FALSE))</f>
        <v>769.60926576000008</v>
      </c>
      <c r="AJ695" s="307"/>
      <c r="AK695" s="622">
        <f t="shared" si="888"/>
        <v>769.60926576000008</v>
      </c>
      <c r="AL695" s="633">
        <f>AK695*(1+VLOOKUP($F695,'GL Category'!$A:$H,8,FALSE))</f>
        <v>785.00145107520007</v>
      </c>
      <c r="AM695" s="307"/>
      <c r="AN695" s="622">
        <f t="shared" si="889"/>
        <v>785.00145107520007</v>
      </c>
    </row>
    <row r="696" spans="1:40" s="115" customFormat="1" ht="15" customHeight="1">
      <c r="A696" s="555" t="s">
        <v>2144</v>
      </c>
      <c r="B696" s="217" t="str">
        <f t="shared" si="870"/>
        <v>175</v>
      </c>
      <c r="C696" s="217" t="str">
        <f t="shared" si="871"/>
        <v>65</v>
      </c>
      <c r="D696" s="101" t="str">
        <f t="shared" si="872"/>
        <v>651</v>
      </c>
      <c r="E696" s="217" t="str">
        <f t="shared" si="873"/>
        <v>175-65-651</v>
      </c>
      <c r="F696" s="294" t="str">
        <f t="shared" si="874"/>
        <v>52460</v>
      </c>
      <c r="G696" s="295" t="str">
        <f>VLOOKUP(F696,'GL Category'!A:C,3,FALSE)</f>
        <v>Operations &amp; maintenance</v>
      </c>
      <c r="H696" s="98" t="str">
        <f>VLOOKUP(F696,'GL Category'!A:C,2,FALSE)</f>
        <v>VEHICLE MAINTENANCE</v>
      </c>
      <c r="I696" s="99">
        <f>SUMIF(Import!$B:$B,'Other Fund Line-Item Details'!$A696,Import!D:D)</f>
        <v>0</v>
      </c>
      <c r="J696" s="99">
        <f>SUMIF(Import!$B:$B,'Other Fund Line-Item Details'!$A696,Import!E:E)</f>
        <v>0</v>
      </c>
      <c r="K696" s="99">
        <f>SUMIF(Import!$B:$B,'Other Fund Line-Item Details'!$A696,Import!F:F)</f>
        <v>143.84</v>
      </c>
      <c r="L696" s="99">
        <f>SUMIF(Import!$B:$B,'Other Fund Line-Item Details'!$A696,Import!G:G)</f>
        <v>0</v>
      </c>
      <c r="M696" s="99">
        <f>SUMIF(Import!$B:$B,'Other Fund Line-Item Details'!$A696,Import!H:H)</f>
        <v>0</v>
      </c>
      <c r="N696" s="99">
        <f>SUMIF(Import!$B:$B,'Other Fund Line-Item Details'!$A696,Import!I:I)</f>
        <v>0</v>
      </c>
      <c r="O696" s="99">
        <f>SUMIF(Import!$B:$B,'Other Fund Line-Item Details'!$A696,Import!J:J)</f>
        <v>0</v>
      </c>
      <c r="P696" s="99">
        <f t="shared" si="881"/>
        <v>0</v>
      </c>
      <c r="Q696" s="99">
        <f>SUMIF(Import!$B:$B,'Other Fund Line-Item Details'!$A696,Import!K:K)</f>
        <v>0</v>
      </c>
      <c r="R696" s="99">
        <f>SUMIF(Import!$B:$B,'Other Fund Line-Item Details'!$A696,Import!L:L)</f>
        <v>0</v>
      </c>
      <c r="S696" s="99">
        <f>SUMIF(Import!$B:$B,'Other Fund Line-Item Details'!$A696,Import!M:M)</f>
        <v>0</v>
      </c>
      <c r="T696" s="99">
        <f>SUMIF(Import!$B:$B,'Other Fund Line-Item Details'!$A696,Import!N:N)</f>
        <v>0</v>
      </c>
      <c r="U696" s="99">
        <f t="shared" si="882"/>
        <v>0</v>
      </c>
      <c r="V696" s="255" t="str">
        <f t="shared" si="883"/>
        <v>N/A</v>
      </c>
      <c r="W696" s="102" t="s">
        <v>2144</v>
      </c>
      <c r="X696" s="102"/>
      <c r="Y696" s="102">
        <f t="shared" si="884"/>
        <v>0</v>
      </c>
      <c r="Z696" s="309">
        <f>Y696*(1+VLOOKUP($F696,'GL Category'!$A:$H,4,FALSE))</f>
        <v>0</v>
      </c>
      <c r="AA696" s="615"/>
      <c r="AB696" s="622">
        <f t="shared" si="885"/>
        <v>0</v>
      </c>
      <c r="AC696" s="633">
        <f>AB696*(1+VLOOKUP($F696,'GL Category'!$A:$H,5,FALSE))</f>
        <v>0</v>
      </c>
      <c r="AD696" s="307"/>
      <c r="AE696" s="622">
        <f t="shared" si="886"/>
        <v>0</v>
      </c>
      <c r="AF696" s="633">
        <f>AE696*(1+VLOOKUP($F696,'GL Category'!$A:$H,6,FALSE))</f>
        <v>0</v>
      </c>
      <c r="AG696" s="307"/>
      <c r="AH696" s="622">
        <f t="shared" si="887"/>
        <v>0</v>
      </c>
      <c r="AI696" s="633">
        <f>AH696*(1+VLOOKUP($F696,'GL Category'!$A:$H,7,FALSE))</f>
        <v>0</v>
      </c>
      <c r="AJ696" s="307"/>
      <c r="AK696" s="622">
        <f t="shared" si="888"/>
        <v>0</v>
      </c>
      <c r="AL696" s="633">
        <f>AK696*(1+VLOOKUP($F696,'GL Category'!$A:$H,8,FALSE))</f>
        <v>0</v>
      </c>
      <c r="AM696" s="307"/>
      <c r="AN696" s="622">
        <f t="shared" si="889"/>
        <v>0</v>
      </c>
    </row>
    <row r="697" spans="1:40" s="115" customFormat="1" ht="15" customHeight="1">
      <c r="A697" s="555" t="s">
        <v>2145</v>
      </c>
      <c r="B697" s="217" t="str">
        <f t="shared" si="870"/>
        <v>175</v>
      </c>
      <c r="C697" s="217" t="str">
        <f t="shared" si="871"/>
        <v>70</v>
      </c>
      <c r="D697" s="101" t="str">
        <f t="shared" si="872"/>
        <v>701</v>
      </c>
      <c r="E697" s="217" t="str">
        <f t="shared" si="873"/>
        <v>175-70-701</v>
      </c>
      <c r="F697" s="294" t="str">
        <f t="shared" si="874"/>
        <v>52460</v>
      </c>
      <c r="G697" s="295" t="str">
        <f>VLOOKUP(F697,'GL Category'!A:C,3,FALSE)</f>
        <v>Operations &amp; maintenance</v>
      </c>
      <c r="H697" s="98" t="str">
        <f>VLOOKUP(F697,'GL Category'!A:C,2,FALSE)</f>
        <v>VEHICLE MAINTENANCE</v>
      </c>
      <c r="I697" s="99">
        <f>SUMIF(Import!$B:$B,'Other Fund Line-Item Details'!$A697,Import!D:D)</f>
        <v>4102.7</v>
      </c>
      <c r="J697" s="99">
        <f>SUMIF(Import!$B:$B,'Other Fund Line-Item Details'!$A697,Import!E:E)</f>
        <v>14440.77</v>
      </c>
      <c r="K697" s="99">
        <f>SUMIF(Import!$B:$B,'Other Fund Line-Item Details'!$A697,Import!F:F)</f>
        <v>76712.94</v>
      </c>
      <c r="L697" s="99">
        <f>SUMIF(Import!$B:$B,'Other Fund Line-Item Details'!$A697,Import!G:G)</f>
        <v>25887.599999999999</v>
      </c>
      <c r="M697" s="99">
        <f>SUMIF(Import!$B:$B,'Other Fund Line-Item Details'!$A697,Import!H:H)</f>
        <v>0</v>
      </c>
      <c r="N697" s="99">
        <f>SUMIF(Import!$B:$B,'Other Fund Line-Item Details'!$A697,Import!I:I)</f>
        <v>13541.97</v>
      </c>
      <c r="O697" s="99">
        <f>SUMIF(Import!$B:$B,'Other Fund Line-Item Details'!$A697,Import!J:J)</f>
        <v>15799</v>
      </c>
      <c r="P697" s="99">
        <f t="shared" si="881"/>
        <v>15799</v>
      </c>
      <c r="Q697" s="99">
        <f>SUMIF(Import!$B:$B,'Other Fund Line-Item Details'!$A697,Import!K:K)</f>
        <v>15799</v>
      </c>
      <c r="R697" s="99">
        <f>SUMIF(Import!$B:$B,'Other Fund Line-Item Details'!$A697,Import!L:L)</f>
        <v>0</v>
      </c>
      <c r="S697" s="99">
        <f>SUMIF(Import!$B:$B,'Other Fund Line-Item Details'!$A697,Import!M:M)</f>
        <v>0</v>
      </c>
      <c r="T697" s="99">
        <f>SUMIF(Import!$B:$B,'Other Fund Line-Item Details'!$A697,Import!N:N)</f>
        <v>15799</v>
      </c>
      <c r="U697" s="99">
        <f t="shared" si="882"/>
        <v>15799</v>
      </c>
      <c r="V697" s="255" t="str">
        <f t="shared" si="883"/>
        <v>N/A</v>
      </c>
      <c r="W697" s="102" t="s">
        <v>2145</v>
      </c>
      <c r="X697" s="102"/>
      <c r="Y697" s="102">
        <f t="shared" si="884"/>
        <v>15799</v>
      </c>
      <c r="Z697" s="309">
        <f>Y697*(1+VLOOKUP($F697,'GL Category'!$A:$H,4,FALSE))</f>
        <v>16114.98</v>
      </c>
      <c r="AA697" s="615"/>
      <c r="AB697" s="622">
        <f t="shared" si="885"/>
        <v>16114.98</v>
      </c>
      <c r="AC697" s="633">
        <f>AB697*(1+VLOOKUP($F697,'GL Category'!$A:$H,5,FALSE))</f>
        <v>16437.279599999998</v>
      </c>
      <c r="AD697" s="307"/>
      <c r="AE697" s="622">
        <f t="shared" si="886"/>
        <v>16437.279599999998</v>
      </c>
      <c r="AF697" s="633">
        <f>AE697*(1+VLOOKUP($F697,'GL Category'!$A:$H,6,FALSE))</f>
        <v>16766.025191999997</v>
      </c>
      <c r="AG697" s="307"/>
      <c r="AH697" s="622">
        <f t="shared" si="887"/>
        <v>16766.025191999997</v>
      </c>
      <c r="AI697" s="633">
        <f>AH697*(1+VLOOKUP($F697,'GL Category'!$A:$H,7,FALSE))</f>
        <v>17101.345695839998</v>
      </c>
      <c r="AJ697" s="307"/>
      <c r="AK697" s="622">
        <f t="shared" si="888"/>
        <v>17101.345695839998</v>
      </c>
      <c r="AL697" s="633">
        <f>AK697*(1+VLOOKUP($F697,'GL Category'!$A:$H,8,FALSE))</f>
        <v>17443.3726097568</v>
      </c>
      <c r="AM697" s="307"/>
      <c r="AN697" s="622">
        <f t="shared" si="889"/>
        <v>17443.3726097568</v>
      </c>
    </row>
    <row r="698" spans="1:40" s="115" customFormat="1" ht="15" customHeight="1">
      <c r="A698" s="555" t="s">
        <v>3362</v>
      </c>
      <c r="B698" s="217" t="str">
        <f t="shared" ref="B698" si="898">LEFT(A698,3)</f>
        <v>175</v>
      </c>
      <c r="C698" s="217" t="str">
        <f t="shared" ref="C698" si="899">MID(A698,5,2)</f>
        <v>71</v>
      </c>
      <c r="D698" s="101" t="str">
        <f t="shared" ref="D698" si="900">MID(A698,8,3)</f>
        <v>712</v>
      </c>
      <c r="E698" s="217" t="str">
        <f t="shared" ref="E698" si="901">LEFT(A698,10)</f>
        <v>175-71-712</v>
      </c>
      <c r="F698" s="294" t="str">
        <f t="shared" ref="F698" si="902">RIGHT(A698,5)</f>
        <v>52460</v>
      </c>
      <c r="G698" s="295" t="str">
        <f>VLOOKUP(F698,'GL Category'!A:C,3,FALSE)</f>
        <v>Operations &amp; maintenance</v>
      </c>
      <c r="H698" s="98" t="str">
        <f>VLOOKUP(F698,'GL Category'!A:C,2,FALSE)</f>
        <v>VEHICLE MAINTENANCE</v>
      </c>
      <c r="I698" s="99">
        <f>SUMIF(Import!$B:$B,'Other Fund Line-Item Details'!$A698,Import!D:D)</f>
        <v>0</v>
      </c>
      <c r="J698" s="99">
        <f>SUMIF(Import!$B:$B,'Other Fund Line-Item Details'!$A698,Import!E:E)</f>
        <v>300</v>
      </c>
      <c r="K698" s="99">
        <f>SUMIF(Import!$B:$B,'Other Fund Line-Item Details'!$A698,Import!F:F)</f>
        <v>0</v>
      </c>
      <c r="L698" s="99">
        <f>SUMIF(Import!$B:$B,'Other Fund Line-Item Details'!$A698,Import!G:G)</f>
        <v>0</v>
      </c>
      <c r="M698" s="99">
        <f>SUMIF(Import!$B:$B,'Other Fund Line-Item Details'!$A698,Import!H:H)</f>
        <v>0</v>
      </c>
      <c r="N698" s="99">
        <f>SUMIF(Import!$B:$B,'Other Fund Line-Item Details'!$A698,Import!I:I)</f>
        <v>0</v>
      </c>
      <c r="O698" s="99">
        <f>SUMIF(Import!$B:$B,'Other Fund Line-Item Details'!$A698,Import!J:J)</f>
        <v>0</v>
      </c>
      <c r="P698" s="99">
        <f t="shared" ref="P698" si="903">O698-M698</f>
        <v>0</v>
      </c>
      <c r="Q698" s="99">
        <f>SUMIF(Import!$B:$B,'Other Fund Line-Item Details'!$A698,Import!K:K)</f>
        <v>0</v>
      </c>
      <c r="R698" s="99">
        <f>SUMIF(Import!$B:$B,'Other Fund Line-Item Details'!$A698,Import!L:L)</f>
        <v>0</v>
      </c>
      <c r="S698" s="99">
        <f>SUMIF(Import!$B:$B,'Other Fund Line-Item Details'!$A698,Import!M:M)</f>
        <v>0</v>
      </c>
      <c r="T698" s="99">
        <f>SUMIF(Import!$B:$B,'Other Fund Line-Item Details'!$A698,Import!N:N)</f>
        <v>0</v>
      </c>
      <c r="U698" s="99">
        <f t="shared" ref="U698" si="904">T698-M698</f>
        <v>0</v>
      </c>
      <c r="V698" s="255" t="str">
        <f t="shared" ref="V698" si="905">IF(M698=0,"N/A",T698/M698-1)</f>
        <v>N/A</v>
      </c>
      <c r="W698" s="102" t="s">
        <v>2145</v>
      </c>
      <c r="X698" s="102"/>
      <c r="Y698" s="102">
        <f t="shared" si="884"/>
        <v>0</v>
      </c>
      <c r="Z698" s="309">
        <f>Y698*(1+VLOOKUP($F698,'GL Category'!$A:$H,4,FALSE))</f>
        <v>0</v>
      </c>
      <c r="AA698" s="615"/>
      <c r="AB698" s="622">
        <f t="shared" si="885"/>
        <v>0</v>
      </c>
      <c r="AC698" s="633">
        <f>AB698*(1+VLOOKUP($F698,'GL Category'!$A:$H,5,FALSE))</f>
        <v>0</v>
      </c>
      <c r="AD698" s="307"/>
      <c r="AE698" s="622">
        <f t="shared" si="886"/>
        <v>0</v>
      </c>
      <c r="AF698" s="633">
        <f>AE698*(1+VLOOKUP($F698,'GL Category'!$A:$H,6,FALSE))</f>
        <v>0</v>
      </c>
      <c r="AG698" s="307"/>
      <c r="AH698" s="622">
        <f t="shared" si="887"/>
        <v>0</v>
      </c>
      <c r="AI698" s="633">
        <f>AH698*(1+VLOOKUP($F698,'GL Category'!$A:$H,7,FALSE))</f>
        <v>0</v>
      </c>
      <c r="AJ698" s="307"/>
      <c r="AK698" s="622">
        <f t="shared" si="888"/>
        <v>0</v>
      </c>
      <c r="AL698" s="633">
        <f>AK698*(1+VLOOKUP($F698,'GL Category'!$A:$H,8,FALSE))</f>
        <v>0</v>
      </c>
      <c r="AM698" s="307"/>
      <c r="AN698" s="622">
        <f t="shared" si="889"/>
        <v>0</v>
      </c>
    </row>
    <row r="699" spans="1:40" s="115" customFormat="1" ht="15" customHeight="1">
      <c r="A699" s="555" t="s">
        <v>3245</v>
      </c>
      <c r="B699" s="217" t="str">
        <f t="shared" si="870"/>
        <v>175</v>
      </c>
      <c r="C699" s="217" t="str">
        <f t="shared" si="871"/>
        <v>73</v>
      </c>
      <c r="D699" s="101" t="str">
        <f t="shared" si="872"/>
        <v>735</v>
      </c>
      <c r="E699" s="217" t="str">
        <f t="shared" si="873"/>
        <v>175-73-735</v>
      </c>
      <c r="F699" s="294" t="str">
        <f t="shared" si="874"/>
        <v>52460</v>
      </c>
      <c r="G699" s="295" t="str">
        <f>VLOOKUP(F699,'GL Category'!A:C,3,FALSE)</f>
        <v>Operations &amp; maintenance</v>
      </c>
      <c r="H699" s="98" t="str">
        <f>VLOOKUP(F699,'GL Category'!A:C,2,FALSE)</f>
        <v>VEHICLE MAINTENANCE</v>
      </c>
      <c r="I699" s="99">
        <f>SUMIF(Import!$B:$B,'Other Fund Line-Item Details'!$A699,Import!D:D)</f>
        <v>0</v>
      </c>
      <c r="J699" s="99">
        <f>SUMIF(Import!$B:$B,'Other Fund Line-Item Details'!$A699,Import!E:E)</f>
        <v>480</v>
      </c>
      <c r="K699" s="99">
        <f>SUMIF(Import!$B:$B,'Other Fund Line-Item Details'!$A699,Import!F:F)</f>
        <v>0</v>
      </c>
      <c r="L699" s="99">
        <f>SUMIF(Import!$B:$B,'Other Fund Line-Item Details'!$A699,Import!G:G)</f>
        <v>0</v>
      </c>
      <c r="M699" s="99">
        <f>SUMIF(Import!$B:$B,'Other Fund Line-Item Details'!$A699,Import!H:H)</f>
        <v>0</v>
      </c>
      <c r="N699" s="99">
        <f>SUMIF(Import!$B:$B,'Other Fund Line-Item Details'!$A699,Import!I:I)</f>
        <v>0</v>
      </c>
      <c r="O699" s="99">
        <f>SUMIF(Import!$B:$B,'Other Fund Line-Item Details'!$A699,Import!J:J)</f>
        <v>0</v>
      </c>
      <c r="P699" s="99">
        <f t="shared" si="881"/>
        <v>0</v>
      </c>
      <c r="Q699" s="99">
        <f>SUMIF(Import!$B:$B,'Other Fund Line-Item Details'!$A699,Import!K:K)</f>
        <v>0</v>
      </c>
      <c r="R699" s="99">
        <f>SUMIF(Import!$B:$B,'Other Fund Line-Item Details'!$A699,Import!L:L)</f>
        <v>0</v>
      </c>
      <c r="S699" s="99">
        <f>SUMIF(Import!$B:$B,'Other Fund Line-Item Details'!$A699,Import!M:M)</f>
        <v>0</v>
      </c>
      <c r="T699" s="99">
        <f>SUMIF(Import!$B:$B,'Other Fund Line-Item Details'!$A699,Import!N:N)</f>
        <v>0</v>
      </c>
      <c r="U699" s="99">
        <f t="shared" si="882"/>
        <v>0</v>
      </c>
      <c r="V699" s="255" t="str">
        <f t="shared" si="883"/>
        <v>N/A</v>
      </c>
      <c r="W699" s="102" t="s">
        <v>2145</v>
      </c>
      <c r="X699" s="102"/>
      <c r="Y699" s="102">
        <f t="shared" si="884"/>
        <v>0</v>
      </c>
      <c r="Z699" s="309">
        <f>Y699*(1+VLOOKUP($F699,'GL Category'!$A:$H,4,FALSE))</f>
        <v>0</v>
      </c>
      <c r="AA699" s="615"/>
      <c r="AB699" s="622">
        <f t="shared" si="885"/>
        <v>0</v>
      </c>
      <c r="AC699" s="633">
        <f>AB699*(1+VLOOKUP($F699,'GL Category'!$A:$H,5,FALSE))</f>
        <v>0</v>
      </c>
      <c r="AD699" s="307"/>
      <c r="AE699" s="622">
        <f t="shared" si="886"/>
        <v>0</v>
      </c>
      <c r="AF699" s="633">
        <f>AE699*(1+VLOOKUP($F699,'GL Category'!$A:$H,6,FALSE))</f>
        <v>0</v>
      </c>
      <c r="AG699" s="307"/>
      <c r="AH699" s="622">
        <f t="shared" si="887"/>
        <v>0</v>
      </c>
      <c r="AI699" s="633">
        <f>AH699*(1+VLOOKUP($F699,'GL Category'!$A:$H,7,FALSE))</f>
        <v>0</v>
      </c>
      <c r="AJ699" s="307"/>
      <c r="AK699" s="622">
        <f t="shared" si="888"/>
        <v>0</v>
      </c>
      <c r="AL699" s="633">
        <f>AK699*(1+VLOOKUP($F699,'GL Category'!$A:$H,8,FALSE))</f>
        <v>0</v>
      </c>
      <c r="AM699" s="307"/>
      <c r="AN699" s="622">
        <f t="shared" si="889"/>
        <v>0</v>
      </c>
    </row>
    <row r="700" spans="1:40" s="115" customFormat="1" ht="15" customHeight="1">
      <c r="A700" s="555" t="s">
        <v>3363</v>
      </c>
      <c r="B700" s="217" t="str">
        <f t="shared" ref="B700" si="906">LEFT(A700,3)</f>
        <v>175</v>
      </c>
      <c r="C700" s="217" t="str">
        <f t="shared" ref="C700" si="907">MID(A700,5,2)</f>
        <v>75</v>
      </c>
      <c r="D700" s="101" t="str">
        <f t="shared" ref="D700" si="908">MID(A700,8,3)</f>
        <v>752</v>
      </c>
      <c r="E700" s="217" t="str">
        <f t="shared" ref="E700" si="909">LEFT(A700,10)</f>
        <v>175-75-752</v>
      </c>
      <c r="F700" s="294" t="str">
        <f t="shared" ref="F700" si="910">RIGHT(A700,5)</f>
        <v>52460</v>
      </c>
      <c r="G700" s="295" t="str">
        <f>VLOOKUP(F700,'GL Category'!A:C,3,FALSE)</f>
        <v>Operations &amp; maintenance</v>
      </c>
      <c r="H700" s="98" t="str">
        <f>VLOOKUP(F700,'GL Category'!A:C,2,FALSE)</f>
        <v>VEHICLE MAINTENANCE</v>
      </c>
      <c r="I700" s="99">
        <f>SUMIF(Import!$B:$B,'Other Fund Line-Item Details'!$A700,Import!D:D)</f>
        <v>0</v>
      </c>
      <c r="J700" s="99">
        <f>SUMIF(Import!$B:$B,'Other Fund Line-Item Details'!$A700,Import!E:E)</f>
        <v>300</v>
      </c>
      <c r="K700" s="99">
        <f>SUMIF(Import!$B:$B,'Other Fund Line-Item Details'!$A700,Import!F:F)</f>
        <v>0</v>
      </c>
      <c r="L700" s="99">
        <f>SUMIF(Import!$B:$B,'Other Fund Line-Item Details'!$A700,Import!G:G)</f>
        <v>0</v>
      </c>
      <c r="M700" s="99">
        <f>SUMIF(Import!$B:$B,'Other Fund Line-Item Details'!$A700,Import!H:H)</f>
        <v>0</v>
      </c>
      <c r="N700" s="99">
        <f>SUMIF(Import!$B:$B,'Other Fund Line-Item Details'!$A700,Import!I:I)</f>
        <v>0</v>
      </c>
      <c r="O700" s="99">
        <f>SUMIF(Import!$B:$B,'Other Fund Line-Item Details'!$A700,Import!J:J)</f>
        <v>0</v>
      </c>
      <c r="P700" s="99">
        <f t="shared" ref="P700" si="911">O700-M700</f>
        <v>0</v>
      </c>
      <c r="Q700" s="99">
        <f>SUMIF(Import!$B:$B,'Other Fund Line-Item Details'!$A700,Import!K:K)</f>
        <v>0</v>
      </c>
      <c r="R700" s="99">
        <f>SUMIF(Import!$B:$B,'Other Fund Line-Item Details'!$A700,Import!L:L)</f>
        <v>0</v>
      </c>
      <c r="S700" s="99">
        <f>SUMIF(Import!$B:$B,'Other Fund Line-Item Details'!$A700,Import!M:M)</f>
        <v>0</v>
      </c>
      <c r="T700" s="99">
        <f>SUMIF(Import!$B:$B,'Other Fund Line-Item Details'!$A700,Import!N:N)</f>
        <v>0</v>
      </c>
      <c r="U700" s="99">
        <f t="shared" ref="U700" si="912">T700-M700</f>
        <v>0</v>
      </c>
      <c r="V700" s="255" t="str">
        <f t="shared" ref="V700" si="913">IF(M700=0,"N/A",T700/M700-1)</f>
        <v>N/A</v>
      </c>
      <c r="W700" s="102" t="s">
        <v>2145</v>
      </c>
      <c r="X700" s="102"/>
      <c r="Y700" s="102">
        <f t="shared" si="884"/>
        <v>0</v>
      </c>
      <c r="Z700" s="309">
        <f>Y700*(1+VLOOKUP($F700,'GL Category'!$A:$H,4,FALSE))</f>
        <v>0</v>
      </c>
      <c r="AA700" s="615"/>
      <c r="AB700" s="622">
        <f t="shared" si="885"/>
        <v>0</v>
      </c>
      <c r="AC700" s="633">
        <f>AB700*(1+VLOOKUP($F700,'GL Category'!$A:$H,5,FALSE))</f>
        <v>0</v>
      </c>
      <c r="AD700" s="307"/>
      <c r="AE700" s="622">
        <f t="shared" si="886"/>
        <v>0</v>
      </c>
      <c r="AF700" s="633">
        <f>AE700*(1+VLOOKUP($F700,'GL Category'!$A:$H,6,FALSE))</f>
        <v>0</v>
      </c>
      <c r="AG700" s="307"/>
      <c r="AH700" s="622">
        <f t="shared" si="887"/>
        <v>0</v>
      </c>
      <c r="AI700" s="633">
        <f>AH700*(1+VLOOKUP($F700,'GL Category'!$A:$H,7,FALSE))</f>
        <v>0</v>
      </c>
      <c r="AJ700" s="307"/>
      <c r="AK700" s="622">
        <f t="shared" si="888"/>
        <v>0</v>
      </c>
      <c r="AL700" s="633">
        <f>AK700*(1+VLOOKUP($F700,'GL Category'!$A:$H,8,FALSE))</f>
        <v>0</v>
      </c>
      <c r="AM700" s="307"/>
      <c r="AN700" s="622">
        <f t="shared" si="889"/>
        <v>0</v>
      </c>
    </row>
    <row r="701" spans="1:40" s="115" customFormat="1" ht="15" customHeight="1">
      <c r="A701" s="555" t="s">
        <v>2146</v>
      </c>
      <c r="B701" s="217" t="str">
        <f t="shared" si="870"/>
        <v>175</v>
      </c>
      <c r="C701" s="217" t="str">
        <f t="shared" si="871"/>
        <v>81</v>
      </c>
      <c r="D701" s="101" t="str">
        <f t="shared" si="872"/>
        <v>815</v>
      </c>
      <c r="E701" s="217" t="str">
        <f t="shared" si="873"/>
        <v>175-81-815</v>
      </c>
      <c r="F701" s="294" t="str">
        <f t="shared" si="874"/>
        <v>52460</v>
      </c>
      <c r="G701" s="295" t="str">
        <f>VLOOKUP(F701,'GL Category'!A:C,3,FALSE)</f>
        <v>Operations &amp; maintenance</v>
      </c>
      <c r="H701" s="98" t="str">
        <f>VLOOKUP(F701,'GL Category'!A:C,2,FALSE)</f>
        <v>VEHICLE MAINTENANCE</v>
      </c>
      <c r="I701" s="99">
        <f>SUMIF(Import!$B:$B,'Other Fund Line-Item Details'!$A701,Import!D:D)</f>
        <v>346.11</v>
      </c>
      <c r="J701" s="99">
        <f>SUMIF(Import!$B:$B,'Other Fund Line-Item Details'!$A701,Import!E:E)</f>
        <v>1468.15</v>
      </c>
      <c r="K701" s="99">
        <f>SUMIF(Import!$B:$B,'Other Fund Line-Item Details'!$A701,Import!F:F)</f>
        <v>10389.16</v>
      </c>
      <c r="L701" s="99">
        <f>SUMIF(Import!$B:$B,'Other Fund Line-Item Details'!$A701,Import!G:G)</f>
        <v>3958.05</v>
      </c>
      <c r="M701" s="99">
        <f>SUMIF(Import!$B:$B,'Other Fund Line-Item Details'!$A701,Import!H:H)</f>
        <v>8420</v>
      </c>
      <c r="N701" s="99">
        <f>SUMIF(Import!$B:$B,'Other Fund Line-Item Details'!$A701,Import!I:I)</f>
        <v>1844.73</v>
      </c>
      <c r="O701" s="99">
        <f>SUMIF(Import!$B:$B,'Other Fund Line-Item Details'!$A701,Import!J:J)</f>
        <v>8420</v>
      </c>
      <c r="P701" s="99">
        <f t="shared" si="881"/>
        <v>0</v>
      </c>
      <c r="Q701" s="99">
        <f>SUMIF(Import!$B:$B,'Other Fund Line-Item Details'!$A701,Import!K:K)</f>
        <v>8420</v>
      </c>
      <c r="R701" s="99">
        <f>SUMIF(Import!$B:$B,'Other Fund Line-Item Details'!$A701,Import!L:L)</f>
        <v>0</v>
      </c>
      <c r="S701" s="99">
        <f>SUMIF(Import!$B:$B,'Other Fund Line-Item Details'!$A701,Import!M:M)</f>
        <v>0</v>
      </c>
      <c r="T701" s="99">
        <f>SUMIF(Import!$B:$B,'Other Fund Line-Item Details'!$A701,Import!N:N)</f>
        <v>8420</v>
      </c>
      <c r="U701" s="99">
        <f t="shared" si="882"/>
        <v>0</v>
      </c>
      <c r="V701" s="255">
        <f t="shared" si="883"/>
        <v>0</v>
      </c>
      <c r="W701" s="102" t="s">
        <v>2146</v>
      </c>
      <c r="X701" s="102"/>
      <c r="Y701" s="102">
        <f t="shared" si="884"/>
        <v>8420</v>
      </c>
      <c r="Z701" s="309">
        <f>Y701*(1+VLOOKUP($F701,'GL Category'!$A:$H,4,FALSE))</f>
        <v>8588.4</v>
      </c>
      <c r="AA701" s="615"/>
      <c r="AB701" s="622">
        <f t="shared" si="885"/>
        <v>8588.4</v>
      </c>
      <c r="AC701" s="633">
        <f>AB701*(1+VLOOKUP($F701,'GL Category'!$A:$H,5,FALSE))</f>
        <v>8760.1679999999997</v>
      </c>
      <c r="AD701" s="307"/>
      <c r="AE701" s="622">
        <f t="shared" si="886"/>
        <v>8760.1679999999997</v>
      </c>
      <c r="AF701" s="633">
        <f>AE701*(1+VLOOKUP($F701,'GL Category'!$A:$H,6,FALSE))</f>
        <v>8935.3713599999992</v>
      </c>
      <c r="AG701" s="307"/>
      <c r="AH701" s="622">
        <f t="shared" si="887"/>
        <v>8935.3713599999992</v>
      </c>
      <c r="AI701" s="633">
        <f>AH701*(1+VLOOKUP($F701,'GL Category'!$A:$H,7,FALSE))</f>
        <v>9114.0787872000001</v>
      </c>
      <c r="AJ701" s="307"/>
      <c r="AK701" s="622">
        <f t="shared" si="888"/>
        <v>9114.0787872000001</v>
      </c>
      <c r="AL701" s="633">
        <f>AK701*(1+VLOOKUP($F701,'GL Category'!$A:$H,8,FALSE))</f>
        <v>9296.3603629440004</v>
      </c>
      <c r="AM701" s="307"/>
      <c r="AN701" s="622">
        <f t="shared" si="889"/>
        <v>9296.3603629440004</v>
      </c>
    </row>
    <row r="702" spans="1:40" s="115" customFormat="1" ht="15" customHeight="1">
      <c r="A702" s="555" t="s">
        <v>2147</v>
      </c>
      <c r="B702" s="217" t="str">
        <f t="shared" si="870"/>
        <v>175</v>
      </c>
      <c r="C702" s="217" t="str">
        <f t="shared" si="871"/>
        <v>99</v>
      </c>
      <c r="D702" s="101" t="str">
        <f t="shared" si="872"/>
        <v>994</v>
      </c>
      <c r="E702" s="217" t="str">
        <f t="shared" si="873"/>
        <v>175-99-994</v>
      </c>
      <c r="F702" s="294" t="str">
        <f t="shared" si="874"/>
        <v>52460</v>
      </c>
      <c r="G702" s="295" t="str">
        <f>VLOOKUP(F702,'GL Category'!A:C,3,FALSE)</f>
        <v>Operations &amp; maintenance</v>
      </c>
      <c r="H702" s="98" t="str">
        <f>VLOOKUP(F702,'GL Category'!A:C,2,FALSE)</f>
        <v>VEHICLE MAINTENANCE</v>
      </c>
      <c r="I702" s="99">
        <f>SUMIF(Import!$B:$B,'Other Fund Line-Item Details'!$A702,Import!D:D)</f>
        <v>17985.63</v>
      </c>
      <c r="J702" s="99">
        <f>SUMIF(Import!$B:$B,'Other Fund Line-Item Details'!$A702,Import!E:E)</f>
        <v>61688.380000000005</v>
      </c>
      <c r="K702" s="99">
        <f>SUMIF(Import!$B:$B,'Other Fund Line-Item Details'!$A702,Import!F:F)</f>
        <v>218179.28</v>
      </c>
      <c r="L702" s="99">
        <f>SUMIF(Import!$B:$B,'Other Fund Line-Item Details'!$A702,Import!G:G)</f>
        <v>39804.129999999997</v>
      </c>
      <c r="M702" s="99">
        <f>SUMIF(Import!$B:$B,'Other Fund Line-Item Details'!$A702,Import!H:H)</f>
        <v>42084</v>
      </c>
      <c r="N702" s="99">
        <f>SUMIF(Import!$B:$B,'Other Fund Line-Item Details'!$A702,Import!I:I)</f>
        <v>49869.14</v>
      </c>
      <c r="O702" s="99">
        <f>SUMIF(Import!$B:$B,'Other Fund Line-Item Details'!$A702,Import!J:J)</f>
        <v>58180</v>
      </c>
      <c r="P702" s="99">
        <f t="shared" si="881"/>
        <v>16096</v>
      </c>
      <c r="Q702" s="99">
        <f>SUMIF(Import!$B:$B,'Other Fund Line-Item Details'!$A702,Import!K:K)</f>
        <v>59460</v>
      </c>
      <c r="R702" s="99">
        <f>SUMIF(Import!$B:$B,'Other Fund Line-Item Details'!$A702,Import!L:L)</f>
        <v>0</v>
      </c>
      <c r="S702" s="99">
        <f>SUMIF(Import!$B:$B,'Other Fund Line-Item Details'!$A702,Import!M:M)</f>
        <v>0</v>
      </c>
      <c r="T702" s="99">
        <f>SUMIF(Import!$B:$B,'Other Fund Line-Item Details'!$A702,Import!N:N)</f>
        <v>59460</v>
      </c>
      <c r="U702" s="99">
        <f t="shared" si="882"/>
        <v>17376</v>
      </c>
      <c r="V702" s="255">
        <f t="shared" si="883"/>
        <v>0.41288850869689186</v>
      </c>
      <c r="W702" s="102" t="s">
        <v>2147</v>
      </c>
      <c r="X702" s="102"/>
      <c r="Y702" s="102">
        <f t="shared" si="884"/>
        <v>59460</v>
      </c>
      <c r="Z702" s="309">
        <f>Y702*(1+VLOOKUP($F702,'GL Category'!$A:$H,4,FALSE))</f>
        <v>60649.200000000004</v>
      </c>
      <c r="AA702" s="615"/>
      <c r="AB702" s="622">
        <f t="shared" si="885"/>
        <v>60649.200000000004</v>
      </c>
      <c r="AC702" s="633">
        <f>AB702*(1+VLOOKUP($F702,'GL Category'!$A:$H,5,FALSE))</f>
        <v>61862.184000000008</v>
      </c>
      <c r="AD702" s="307"/>
      <c r="AE702" s="622">
        <f t="shared" si="886"/>
        <v>61862.184000000008</v>
      </c>
      <c r="AF702" s="633">
        <f>AE702*(1+VLOOKUP($F702,'GL Category'!$A:$H,6,FALSE))</f>
        <v>63099.427680000008</v>
      </c>
      <c r="AG702" s="307"/>
      <c r="AH702" s="622">
        <f t="shared" si="887"/>
        <v>63099.427680000008</v>
      </c>
      <c r="AI702" s="633">
        <f>AH702*(1+VLOOKUP($F702,'GL Category'!$A:$H,7,FALSE))</f>
        <v>64361.416233600008</v>
      </c>
      <c r="AJ702" s="307"/>
      <c r="AK702" s="622">
        <f t="shared" si="888"/>
        <v>64361.416233600008</v>
      </c>
      <c r="AL702" s="633">
        <f>AK702*(1+VLOOKUP($F702,'GL Category'!$A:$H,8,FALSE))</f>
        <v>65648.644558272004</v>
      </c>
      <c r="AM702" s="307"/>
      <c r="AN702" s="622">
        <f t="shared" si="889"/>
        <v>65648.644558272004</v>
      </c>
    </row>
    <row r="703" spans="1:40" s="115" customFormat="1" ht="15" customHeight="1">
      <c r="A703" s="555" t="s">
        <v>2148</v>
      </c>
      <c r="B703" s="217" t="str">
        <f t="shared" si="870"/>
        <v>175</v>
      </c>
      <c r="C703" s="217" t="str">
        <f t="shared" si="871"/>
        <v>20</v>
      </c>
      <c r="D703" s="101" t="str">
        <f t="shared" si="872"/>
        <v>204</v>
      </c>
      <c r="E703" s="217" t="str">
        <f t="shared" si="873"/>
        <v>175-20-204</v>
      </c>
      <c r="F703" s="294" t="str">
        <f t="shared" si="874"/>
        <v>58840</v>
      </c>
      <c r="G703" s="295" t="str">
        <f>VLOOKUP(F703,'GL Category'!A:C,3,FALSE)</f>
        <v>Capital Outlay</v>
      </c>
      <c r="H703" s="98" t="str">
        <f>VLOOKUP(F703,'GL Category'!A:C,2,FALSE)</f>
        <v>MOTOR VEHICLES</v>
      </c>
      <c r="I703" s="99">
        <f>SUMIF(Import!$B:$B,'Other Fund Line-Item Details'!$A703,Import!D:D)</f>
        <v>29763.5</v>
      </c>
      <c r="J703" s="99">
        <f>SUMIF(Import!$B:$B,'Other Fund Line-Item Details'!$A703,Import!E:E)</f>
        <v>0</v>
      </c>
      <c r="K703" s="99">
        <f>SUMIF(Import!$B:$B,'Other Fund Line-Item Details'!$A703,Import!F:F)</f>
        <v>0</v>
      </c>
      <c r="L703" s="99">
        <f>SUMIF(Import!$B:$B,'Other Fund Line-Item Details'!$A703,Import!G:G)</f>
        <v>0</v>
      </c>
      <c r="M703" s="99">
        <f>SUMIF(Import!$B:$B,'Other Fund Line-Item Details'!$A703,Import!H:H)</f>
        <v>0</v>
      </c>
      <c r="N703" s="99">
        <f>SUMIF(Import!$B:$B,'Other Fund Line-Item Details'!$A703,Import!I:I)</f>
        <v>0</v>
      </c>
      <c r="O703" s="99">
        <f>SUMIF(Import!$B:$B,'Other Fund Line-Item Details'!$A703,Import!J:J)</f>
        <v>0</v>
      </c>
      <c r="P703" s="99">
        <f t="shared" si="881"/>
        <v>0</v>
      </c>
      <c r="Q703" s="99">
        <f>SUMIF(Import!$B:$B,'Other Fund Line-Item Details'!$A703,Import!K:K)</f>
        <v>115535</v>
      </c>
      <c r="R703" s="99">
        <f>SUMIF(Import!$B:$B,'Other Fund Line-Item Details'!$A703,Import!L:L)</f>
        <v>0</v>
      </c>
      <c r="S703" s="99">
        <f>SUMIF(Import!$B:$B,'Other Fund Line-Item Details'!$A703,Import!M:M)</f>
        <v>0</v>
      </c>
      <c r="T703" s="99">
        <f>SUMIF(Import!$B:$B,'Other Fund Line-Item Details'!$A703,Import!N:N)</f>
        <v>115535</v>
      </c>
      <c r="U703" s="99">
        <f t="shared" si="882"/>
        <v>115535</v>
      </c>
      <c r="V703" s="255" t="str">
        <f t="shared" si="883"/>
        <v>N/A</v>
      </c>
      <c r="W703" s="102" t="s">
        <v>2148</v>
      </c>
      <c r="X703" s="102"/>
      <c r="Y703" s="102">
        <v>0</v>
      </c>
      <c r="Z703" s="309">
        <f>Y703*(1+VLOOKUP($F703,'GL Category'!$A:$H,4,FALSE))</f>
        <v>0</v>
      </c>
      <c r="AA703" s="615"/>
      <c r="AB703" s="622">
        <f t="shared" si="885"/>
        <v>0</v>
      </c>
      <c r="AC703" s="633">
        <f>AB703*(1+VLOOKUP($F703,'GL Category'!$A:$H,5,FALSE))</f>
        <v>0</v>
      </c>
      <c r="AD703" s="307"/>
      <c r="AE703" s="622">
        <f t="shared" si="886"/>
        <v>0</v>
      </c>
      <c r="AF703" s="633">
        <f>AE703*(1+VLOOKUP($F703,'GL Category'!$A:$H,6,FALSE))</f>
        <v>0</v>
      </c>
      <c r="AG703" s="307"/>
      <c r="AH703" s="622">
        <f t="shared" si="887"/>
        <v>0</v>
      </c>
      <c r="AI703" s="633">
        <f>AH703*(1+VLOOKUP($F703,'GL Category'!$A:$H,7,FALSE))</f>
        <v>0</v>
      </c>
      <c r="AJ703" s="307"/>
      <c r="AK703" s="622">
        <f t="shared" si="888"/>
        <v>0</v>
      </c>
      <c r="AL703" s="633">
        <f>AK703*(1+VLOOKUP($F703,'GL Category'!$A:$H,8,FALSE))</f>
        <v>0</v>
      </c>
      <c r="AM703" s="307"/>
      <c r="AN703" s="622">
        <f t="shared" si="889"/>
        <v>0</v>
      </c>
    </row>
    <row r="704" spans="1:40" s="115" customFormat="1" ht="15" customHeight="1">
      <c r="A704" s="555" t="s">
        <v>3367</v>
      </c>
      <c r="B704" s="217" t="str">
        <f t="shared" ref="B704:B705" si="914">LEFT(A704,3)</f>
        <v>175</v>
      </c>
      <c r="C704" s="217" t="str">
        <f t="shared" ref="C704:C705" si="915">MID(A704,5,2)</f>
        <v>20</v>
      </c>
      <c r="D704" s="101" t="str">
        <f t="shared" ref="D704:D705" si="916">MID(A704,8,3)</f>
        <v>208</v>
      </c>
      <c r="E704" s="217" t="str">
        <f t="shared" ref="E704:E705" si="917">LEFT(A704,10)</f>
        <v>175-20-208</v>
      </c>
      <c r="F704" s="294" t="str">
        <f t="shared" ref="F704:F705" si="918">RIGHT(A704,5)</f>
        <v>58840</v>
      </c>
      <c r="G704" s="295" t="str">
        <f>VLOOKUP(F704,'GL Category'!A:C,3,FALSE)</f>
        <v>Capital Outlay</v>
      </c>
      <c r="H704" s="98" t="str">
        <f>VLOOKUP(F704,'GL Category'!A:C,2,FALSE)</f>
        <v>MOTOR VEHICLES</v>
      </c>
      <c r="I704" s="99">
        <f>SUMIF(Import!$B:$B,'Other Fund Line-Item Details'!$A704,Import!D:D)</f>
        <v>0</v>
      </c>
      <c r="J704" s="99">
        <f>SUMIF(Import!$B:$B,'Other Fund Line-Item Details'!$A704,Import!E:E)</f>
        <v>0</v>
      </c>
      <c r="K704" s="99">
        <f>SUMIF(Import!$B:$B,'Other Fund Line-Item Details'!$A704,Import!F:F)</f>
        <v>0</v>
      </c>
      <c r="L704" s="99">
        <f>SUMIF(Import!$B:$B,'Other Fund Line-Item Details'!$A704,Import!G:G)</f>
        <v>47560.26</v>
      </c>
      <c r="M704" s="99">
        <f>SUMIF(Import!$B:$B,'Other Fund Line-Item Details'!$A704,Import!H:H)</f>
        <v>0</v>
      </c>
      <c r="N704" s="99">
        <f>SUMIF(Import!$B:$B,'Other Fund Line-Item Details'!$A704,Import!I:I)</f>
        <v>0</v>
      </c>
      <c r="O704" s="99">
        <f>SUMIF(Import!$B:$B,'Other Fund Line-Item Details'!$A704,Import!J:J)</f>
        <v>0</v>
      </c>
      <c r="P704" s="99">
        <f t="shared" ref="P704:P705" si="919">O704-M704</f>
        <v>0</v>
      </c>
      <c r="Q704" s="99">
        <f>SUMIF(Import!$B:$B,'Other Fund Line-Item Details'!$A704,Import!K:K)</f>
        <v>0</v>
      </c>
      <c r="R704" s="99">
        <f>SUMIF(Import!$B:$B,'Other Fund Line-Item Details'!$A704,Import!L:L)</f>
        <v>0</v>
      </c>
      <c r="S704" s="99">
        <f>SUMIF(Import!$B:$B,'Other Fund Line-Item Details'!$A704,Import!M:M)</f>
        <v>0</v>
      </c>
      <c r="T704" s="99">
        <f>SUMIF(Import!$B:$B,'Other Fund Line-Item Details'!$A704,Import!N:N)</f>
        <v>0</v>
      </c>
      <c r="U704" s="99">
        <f t="shared" ref="U704:U705" si="920">T704-M704</f>
        <v>0</v>
      </c>
      <c r="V704" s="255" t="str">
        <f t="shared" ref="V704:V705" si="921">IF(M704=0,"N/A",T704/M704-1)</f>
        <v>N/A</v>
      </c>
      <c r="W704" s="102" t="s">
        <v>2148</v>
      </c>
      <c r="X704" s="102"/>
      <c r="Y704" s="102">
        <f t="shared" si="884"/>
        <v>0</v>
      </c>
      <c r="Z704" s="309">
        <f>Y704*(1+VLOOKUP($F704,'GL Category'!$A:$H,4,FALSE))</f>
        <v>0</v>
      </c>
      <c r="AA704" s="615"/>
      <c r="AB704" s="622">
        <f t="shared" si="885"/>
        <v>0</v>
      </c>
      <c r="AC704" s="633">
        <f>AB704*(1+VLOOKUP($F704,'GL Category'!$A:$H,5,FALSE))</f>
        <v>0</v>
      </c>
      <c r="AD704" s="307"/>
      <c r="AE704" s="622">
        <f t="shared" si="886"/>
        <v>0</v>
      </c>
      <c r="AF704" s="633">
        <f>AE704*(1+VLOOKUP($F704,'GL Category'!$A:$H,6,FALSE))</f>
        <v>0</v>
      </c>
      <c r="AG704" s="307"/>
      <c r="AH704" s="622">
        <f t="shared" si="887"/>
        <v>0</v>
      </c>
      <c r="AI704" s="633">
        <f>AH704*(1+VLOOKUP($F704,'GL Category'!$A:$H,7,FALSE))</f>
        <v>0</v>
      </c>
      <c r="AJ704" s="307"/>
      <c r="AK704" s="622">
        <f t="shared" si="888"/>
        <v>0</v>
      </c>
      <c r="AL704" s="633">
        <f>AK704*(1+VLOOKUP($F704,'GL Category'!$A:$H,8,FALSE))</f>
        <v>0</v>
      </c>
      <c r="AM704" s="307"/>
      <c r="AN704" s="622">
        <f t="shared" si="889"/>
        <v>0</v>
      </c>
    </row>
    <row r="705" spans="1:40" s="115" customFormat="1" ht="15" customHeight="1">
      <c r="A705" s="555" t="s">
        <v>3361</v>
      </c>
      <c r="B705" s="217" t="str">
        <f t="shared" si="914"/>
        <v>175</v>
      </c>
      <c r="C705" s="217" t="str">
        <f t="shared" si="915"/>
        <v>35</v>
      </c>
      <c r="D705" s="101" t="str">
        <f t="shared" si="916"/>
        <v>351</v>
      </c>
      <c r="E705" s="217" t="str">
        <f t="shared" si="917"/>
        <v>175-35-351</v>
      </c>
      <c r="F705" s="294" t="str">
        <f t="shared" si="918"/>
        <v>52460</v>
      </c>
      <c r="G705" s="295" t="str">
        <f>VLOOKUP(F705,'GL Category'!A:C,3,FALSE)</f>
        <v>Operations &amp; maintenance</v>
      </c>
      <c r="H705" s="98" t="str">
        <f>VLOOKUP(F705,'GL Category'!A:C,2,FALSE)</f>
        <v>VEHICLE MAINTENANCE</v>
      </c>
      <c r="I705" s="99">
        <f>SUMIF(Import!$B:$B,'Other Fund Line-Item Details'!$A705,Import!D:D)</f>
        <v>0</v>
      </c>
      <c r="J705" s="99">
        <f>SUMIF(Import!$B:$B,'Other Fund Line-Item Details'!$A705,Import!E:E)</f>
        <v>20820.3</v>
      </c>
      <c r="K705" s="99">
        <f>SUMIF(Import!$B:$B,'Other Fund Line-Item Details'!$A705,Import!F:F)</f>
        <v>0</v>
      </c>
      <c r="L705" s="99">
        <f>SUMIF(Import!$B:$B,'Other Fund Line-Item Details'!$A705,Import!G:G)</f>
        <v>0</v>
      </c>
      <c r="M705" s="99">
        <f>SUMIF(Import!$B:$B,'Other Fund Line-Item Details'!$A705,Import!H:H)</f>
        <v>0</v>
      </c>
      <c r="N705" s="99">
        <f>SUMIF(Import!$B:$B,'Other Fund Line-Item Details'!$A705,Import!I:I)</f>
        <v>0</v>
      </c>
      <c r="O705" s="99">
        <f>SUMIF(Import!$B:$B,'Other Fund Line-Item Details'!$A705,Import!J:J)</f>
        <v>0</v>
      </c>
      <c r="P705" s="99">
        <f t="shared" si="919"/>
        <v>0</v>
      </c>
      <c r="Q705" s="99">
        <f>SUMIF(Import!$B:$B,'Other Fund Line-Item Details'!$A705,Import!K:K)</f>
        <v>0</v>
      </c>
      <c r="R705" s="99">
        <f>SUMIF(Import!$B:$B,'Other Fund Line-Item Details'!$A705,Import!L:L)</f>
        <v>0</v>
      </c>
      <c r="S705" s="99">
        <f>SUMIF(Import!$B:$B,'Other Fund Line-Item Details'!$A705,Import!M:M)</f>
        <v>0</v>
      </c>
      <c r="T705" s="99">
        <f>SUMIF(Import!$B:$B,'Other Fund Line-Item Details'!$A705,Import!N:N)</f>
        <v>0</v>
      </c>
      <c r="U705" s="99">
        <f t="shared" si="920"/>
        <v>0</v>
      </c>
      <c r="V705" s="255" t="str">
        <f t="shared" si="921"/>
        <v>N/A</v>
      </c>
      <c r="W705" s="102" t="s">
        <v>2149</v>
      </c>
      <c r="X705" s="102"/>
      <c r="Y705" s="102">
        <f t="shared" si="884"/>
        <v>0</v>
      </c>
      <c r="Z705" s="309">
        <f>Y705*(1+VLOOKUP($F705,'GL Category'!$A:$H,4,FALSE))</f>
        <v>0</v>
      </c>
      <c r="AA705" s="615"/>
      <c r="AB705" s="622">
        <f t="shared" si="885"/>
        <v>0</v>
      </c>
      <c r="AC705" s="633">
        <f>AB705*(1+VLOOKUP($F705,'GL Category'!$A:$H,5,FALSE))</f>
        <v>0</v>
      </c>
      <c r="AD705" s="307"/>
      <c r="AE705" s="622">
        <f t="shared" si="886"/>
        <v>0</v>
      </c>
      <c r="AF705" s="633">
        <f>AE705*(1+VLOOKUP($F705,'GL Category'!$A:$H,6,FALSE))</f>
        <v>0</v>
      </c>
      <c r="AG705" s="307"/>
      <c r="AH705" s="622">
        <f t="shared" si="887"/>
        <v>0</v>
      </c>
      <c r="AI705" s="633">
        <f>AH705*(1+VLOOKUP($F705,'GL Category'!$A:$H,7,FALSE))</f>
        <v>0</v>
      </c>
      <c r="AJ705" s="307"/>
      <c r="AK705" s="622">
        <f t="shared" si="888"/>
        <v>0</v>
      </c>
      <c r="AL705" s="633">
        <f>AK705*(1+VLOOKUP($F705,'GL Category'!$A:$H,8,FALSE))</f>
        <v>0</v>
      </c>
      <c r="AM705" s="307"/>
      <c r="AN705" s="622">
        <f t="shared" si="889"/>
        <v>0</v>
      </c>
    </row>
    <row r="706" spans="1:40" s="115" customFormat="1" ht="15" customHeight="1">
      <c r="A706" s="555" t="s">
        <v>2149</v>
      </c>
      <c r="B706" s="217" t="str">
        <f t="shared" si="870"/>
        <v>175</v>
      </c>
      <c r="C706" s="217" t="str">
        <f t="shared" si="871"/>
        <v>35</v>
      </c>
      <c r="D706" s="101" t="str">
        <f t="shared" si="872"/>
        <v>351</v>
      </c>
      <c r="E706" s="217" t="str">
        <f t="shared" si="873"/>
        <v>175-35-351</v>
      </c>
      <c r="F706" s="294" t="str">
        <f t="shared" si="874"/>
        <v>58840</v>
      </c>
      <c r="G706" s="295" t="str">
        <f>VLOOKUP(F706,'GL Category'!A:C,3,FALSE)</f>
        <v>Capital Outlay</v>
      </c>
      <c r="H706" s="98" t="str">
        <f>VLOOKUP(F706,'GL Category'!A:C,2,FALSE)</f>
        <v>MOTOR VEHICLES</v>
      </c>
      <c r="I706" s="99">
        <f>SUMIF(Import!$B:$B,'Other Fund Line-Item Details'!$A706,Import!D:D)</f>
        <v>120409.04</v>
      </c>
      <c r="J706" s="99">
        <f>SUMIF(Import!$B:$B,'Other Fund Line-Item Details'!$A706,Import!E:E)</f>
        <v>0</v>
      </c>
      <c r="K706" s="99">
        <f>SUMIF(Import!$B:$B,'Other Fund Line-Item Details'!$A706,Import!F:F)</f>
        <v>0</v>
      </c>
      <c r="L706" s="99">
        <f>SUMIF(Import!$B:$B,'Other Fund Line-Item Details'!$A706,Import!G:G)</f>
        <v>0</v>
      </c>
      <c r="M706" s="99">
        <f>SUMIF(Import!$B:$B,'Other Fund Line-Item Details'!$A706,Import!H:H)</f>
        <v>0</v>
      </c>
      <c r="N706" s="99">
        <f>SUMIF(Import!$B:$B,'Other Fund Line-Item Details'!$A706,Import!I:I)</f>
        <v>0</v>
      </c>
      <c r="O706" s="99">
        <f>SUMIF(Import!$B:$B,'Other Fund Line-Item Details'!$A706,Import!J:J)</f>
        <v>0</v>
      </c>
      <c r="P706" s="99">
        <f t="shared" si="881"/>
        <v>0</v>
      </c>
      <c r="Q706" s="99">
        <f>SUMIF(Import!$B:$B,'Other Fund Line-Item Details'!$A706,Import!K:K)</f>
        <v>100011</v>
      </c>
      <c r="R706" s="99">
        <f>SUMIF(Import!$B:$B,'Other Fund Line-Item Details'!$A706,Import!L:L)</f>
        <v>0</v>
      </c>
      <c r="S706" s="99">
        <f>SUMIF(Import!$B:$B,'Other Fund Line-Item Details'!$A706,Import!M:M)</f>
        <v>0</v>
      </c>
      <c r="T706" s="99">
        <f>SUMIF(Import!$B:$B,'Other Fund Line-Item Details'!$A706,Import!N:N)</f>
        <v>100011</v>
      </c>
      <c r="U706" s="99">
        <f t="shared" si="882"/>
        <v>100011</v>
      </c>
      <c r="V706" s="255" t="str">
        <f t="shared" si="883"/>
        <v>N/A</v>
      </c>
      <c r="W706" s="102" t="s">
        <v>2149</v>
      </c>
      <c r="X706" s="102"/>
      <c r="Y706" s="102">
        <v>0</v>
      </c>
      <c r="Z706" s="309">
        <f>Y706*(1+VLOOKUP($F706,'GL Category'!$A:$H,4,FALSE))</f>
        <v>0</v>
      </c>
      <c r="AA706" s="615"/>
      <c r="AB706" s="622">
        <f t="shared" si="885"/>
        <v>0</v>
      </c>
      <c r="AC706" s="633">
        <f>AB706*(1+VLOOKUP($F706,'GL Category'!$A:$H,5,FALSE))</f>
        <v>0</v>
      </c>
      <c r="AD706" s="307"/>
      <c r="AE706" s="622">
        <f t="shared" si="886"/>
        <v>0</v>
      </c>
      <c r="AF706" s="633">
        <f>AE706*(1+VLOOKUP($F706,'GL Category'!$A:$H,6,FALSE))</f>
        <v>0</v>
      </c>
      <c r="AG706" s="307"/>
      <c r="AH706" s="622">
        <f t="shared" si="887"/>
        <v>0</v>
      </c>
      <c r="AI706" s="633">
        <f>AH706*(1+VLOOKUP($F706,'GL Category'!$A:$H,7,FALSE))</f>
        <v>0</v>
      </c>
      <c r="AJ706" s="307"/>
      <c r="AK706" s="622">
        <f t="shared" si="888"/>
        <v>0</v>
      </c>
      <c r="AL706" s="633">
        <f>AK706*(1+VLOOKUP($F706,'GL Category'!$A:$H,8,FALSE))</f>
        <v>0</v>
      </c>
      <c r="AM706" s="307"/>
      <c r="AN706" s="622">
        <f t="shared" si="889"/>
        <v>0</v>
      </c>
    </row>
    <row r="707" spans="1:40" s="115" customFormat="1" ht="15" customHeight="1">
      <c r="A707" s="555" t="s">
        <v>2150</v>
      </c>
      <c r="B707" s="217" t="str">
        <f t="shared" si="870"/>
        <v>175</v>
      </c>
      <c r="C707" s="217" t="str">
        <f t="shared" si="871"/>
        <v>35</v>
      </c>
      <c r="D707" s="101" t="str">
        <f t="shared" si="872"/>
        <v>352</v>
      </c>
      <c r="E707" s="217" t="str">
        <f t="shared" si="873"/>
        <v>175-35-352</v>
      </c>
      <c r="F707" s="294" t="str">
        <f t="shared" si="874"/>
        <v>58830</v>
      </c>
      <c r="G707" s="295" t="str">
        <f>VLOOKUP(F707,'GL Category'!A:C,3,FALSE)</f>
        <v>Capital Outlay</v>
      </c>
      <c r="H707" s="98" t="str">
        <f>VLOOKUP(F707,'GL Category'!A:C,2,FALSE)</f>
        <v>MACHINERY &amp; EQUIPMENT</v>
      </c>
      <c r="I707" s="99">
        <f>SUMIF(Import!$B:$B,'Other Fund Line-Item Details'!$A707,Import!D:D)</f>
        <v>0</v>
      </c>
      <c r="J707" s="99">
        <f>SUMIF(Import!$B:$B,'Other Fund Line-Item Details'!$A707,Import!E:E)</f>
        <v>79835</v>
      </c>
      <c r="K707" s="99">
        <f>SUMIF(Import!$B:$B,'Other Fund Line-Item Details'!$A707,Import!F:F)</f>
        <v>0</v>
      </c>
      <c r="L707" s="99">
        <f>SUMIF(Import!$B:$B,'Other Fund Line-Item Details'!$A707,Import!G:G)</f>
        <v>1484644</v>
      </c>
      <c r="M707" s="99">
        <f>SUMIF(Import!$B:$B,'Other Fund Line-Item Details'!$A707,Import!H:H)</f>
        <v>1094140</v>
      </c>
      <c r="N707" s="99">
        <f>SUMIF(Import!$B:$B,'Other Fund Line-Item Details'!$A707,Import!I:I)</f>
        <v>6834.87</v>
      </c>
      <c r="O707" s="99">
        <f>SUMIF(Import!$B:$B,'Other Fund Line-Item Details'!$A707,Import!J:J)</f>
        <v>1094140</v>
      </c>
      <c r="P707" s="99">
        <f t="shared" si="881"/>
        <v>0</v>
      </c>
      <c r="Q707" s="99">
        <f>SUMIF(Import!$B:$B,'Other Fund Line-Item Details'!$A707,Import!K:K)</f>
        <v>0</v>
      </c>
      <c r="R707" s="99">
        <f>SUMIF(Import!$B:$B,'Other Fund Line-Item Details'!$A707,Import!L:L)</f>
        <v>0</v>
      </c>
      <c r="S707" s="99">
        <f>SUMIF(Import!$B:$B,'Other Fund Line-Item Details'!$A707,Import!M:M)</f>
        <v>0</v>
      </c>
      <c r="T707" s="99">
        <f>SUMIF(Import!$B:$B,'Other Fund Line-Item Details'!$A707,Import!N:N)</f>
        <v>0</v>
      </c>
      <c r="U707" s="99">
        <f t="shared" si="882"/>
        <v>-1094140</v>
      </c>
      <c r="V707" s="255">
        <f t="shared" si="883"/>
        <v>-1</v>
      </c>
      <c r="W707" s="102" t="s">
        <v>2150</v>
      </c>
      <c r="X707" s="102"/>
      <c r="Y707" s="102">
        <f t="shared" si="884"/>
        <v>0</v>
      </c>
      <c r="Z707" s="309">
        <f>Y707*(1+VLOOKUP($F707,'GL Category'!$A:$H,4,FALSE))</f>
        <v>0</v>
      </c>
      <c r="AA707" s="615"/>
      <c r="AB707" s="622">
        <f t="shared" si="885"/>
        <v>0</v>
      </c>
      <c r="AC707" s="633">
        <f>AB707*(1+VLOOKUP($F707,'GL Category'!$A:$H,5,FALSE))</f>
        <v>0</v>
      </c>
      <c r="AD707" s="307"/>
      <c r="AE707" s="622">
        <f t="shared" si="886"/>
        <v>0</v>
      </c>
      <c r="AF707" s="633">
        <f>AE707*(1+VLOOKUP($F707,'GL Category'!$A:$H,6,FALSE))</f>
        <v>0</v>
      </c>
      <c r="AG707" s="307"/>
      <c r="AH707" s="622">
        <f t="shared" si="887"/>
        <v>0</v>
      </c>
      <c r="AI707" s="633">
        <f>AH707*(1+VLOOKUP($F707,'GL Category'!$A:$H,7,FALSE))</f>
        <v>0</v>
      </c>
      <c r="AJ707" s="307"/>
      <c r="AK707" s="622">
        <f t="shared" si="888"/>
        <v>0</v>
      </c>
      <c r="AL707" s="633">
        <f>AK707*(1+VLOOKUP($F707,'GL Category'!$A:$H,8,FALSE))</f>
        <v>0</v>
      </c>
      <c r="AM707" s="307"/>
      <c r="AN707" s="622">
        <f t="shared" si="889"/>
        <v>0</v>
      </c>
    </row>
    <row r="708" spans="1:40" s="115" customFormat="1" ht="15" customHeight="1">
      <c r="A708" s="555" t="s">
        <v>2151</v>
      </c>
      <c r="B708" s="217" t="str">
        <f t="shared" si="870"/>
        <v>175</v>
      </c>
      <c r="C708" s="217" t="str">
        <f t="shared" si="871"/>
        <v>35</v>
      </c>
      <c r="D708" s="101" t="str">
        <f t="shared" si="872"/>
        <v>352</v>
      </c>
      <c r="E708" s="217" t="str">
        <f t="shared" si="873"/>
        <v>175-35-352</v>
      </c>
      <c r="F708" s="294" t="str">
        <f t="shared" si="874"/>
        <v>51245</v>
      </c>
      <c r="G708" s="295" t="str">
        <f>VLOOKUP(F708,'GL Category'!A:C,3,FALSE)</f>
        <v>Operations &amp; maintenance</v>
      </c>
      <c r="H708" s="98" t="str">
        <f>VLOOKUP(F708,'GL Category'!A:C,2,FALSE)</f>
        <v>SMALL TOOLS &amp; EQUIPMENT</v>
      </c>
      <c r="I708" s="99">
        <f>SUMIF(Import!$B:$B,'Other Fund Line-Item Details'!$A708,Import!D:D)</f>
        <v>0</v>
      </c>
      <c r="J708" s="99">
        <f>SUMIF(Import!$B:$B,'Other Fund Line-Item Details'!$A708,Import!E:E)</f>
        <v>0</v>
      </c>
      <c r="K708" s="99">
        <f>SUMIF(Import!$B:$B,'Other Fund Line-Item Details'!$A708,Import!F:F)</f>
        <v>13800</v>
      </c>
      <c r="L708" s="99">
        <f>SUMIF(Import!$B:$B,'Other Fund Line-Item Details'!$A708,Import!G:G)</f>
        <v>0</v>
      </c>
      <c r="M708" s="99">
        <f>SUMIF(Import!$B:$B,'Other Fund Line-Item Details'!$A708,Import!H:H)</f>
        <v>0</v>
      </c>
      <c r="N708" s="99">
        <f>SUMIF(Import!$B:$B,'Other Fund Line-Item Details'!$A708,Import!I:I)</f>
        <v>0</v>
      </c>
      <c r="O708" s="99">
        <f>SUMIF(Import!$B:$B,'Other Fund Line-Item Details'!$A708,Import!J:J)</f>
        <v>0</v>
      </c>
      <c r="P708" s="99">
        <f t="shared" si="881"/>
        <v>0</v>
      </c>
      <c r="Q708" s="99">
        <f>SUMIF(Import!$B:$B,'Other Fund Line-Item Details'!$A708,Import!K:K)</f>
        <v>280000</v>
      </c>
      <c r="R708" s="99">
        <f>SUMIF(Import!$B:$B,'Other Fund Line-Item Details'!$A708,Import!L:L)</f>
        <v>0</v>
      </c>
      <c r="S708" s="99">
        <f>SUMIF(Import!$B:$B,'Other Fund Line-Item Details'!$A708,Import!M:M)</f>
        <v>0</v>
      </c>
      <c r="T708" s="99">
        <f>SUMIF(Import!$B:$B,'Other Fund Line-Item Details'!$A708,Import!N:N)</f>
        <v>280000</v>
      </c>
      <c r="U708" s="99">
        <f t="shared" si="882"/>
        <v>280000</v>
      </c>
      <c r="V708" s="255" t="str">
        <f t="shared" si="883"/>
        <v>N/A</v>
      </c>
      <c r="W708" s="102" t="s">
        <v>2151</v>
      </c>
      <c r="X708" s="102">
        <v>280000</v>
      </c>
      <c r="Y708" s="102">
        <f t="shared" si="884"/>
        <v>0</v>
      </c>
      <c r="Z708" s="309">
        <f>Y708*(1+VLOOKUP($F708,'GL Category'!$A:$H,4,FALSE))</f>
        <v>0</v>
      </c>
      <c r="AA708" s="615"/>
      <c r="AB708" s="622">
        <f t="shared" si="885"/>
        <v>0</v>
      </c>
      <c r="AC708" s="633">
        <f>AB708*(1+VLOOKUP($F708,'GL Category'!$A:$H,5,FALSE))</f>
        <v>0</v>
      </c>
      <c r="AD708" s="307"/>
      <c r="AE708" s="622">
        <f t="shared" si="886"/>
        <v>0</v>
      </c>
      <c r="AF708" s="633">
        <f>AE708*(1+VLOOKUP($F708,'GL Category'!$A:$H,6,FALSE))</f>
        <v>0</v>
      </c>
      <c r="AG708" s="307"/>
      <c r="AH708" s="622">
        <f t="shared" si="887"/>
        <v>0</v>
      </c>
      <c r="AI708" s="633">
        <f>AH708*(1+VLOOKUP($F708,'GL Category'!$A:$H,7,FALSE))</f>
        <v>0</v>
      </c>
      <c r="AJ708" s="307"/>
      <c r="AK708" s="622">
        <f t="shared" si="888"/>
        <v>0</v>
      </c>
      <c r="AL708" s="633">
        <f>AK708*(1+VLOOKUP($F708,'GL Category'!$A:$H,8,FALSE))</f>
        <v>0</v>
      </c>
      <c r="AM708" s="307"/>
      <c r="AN708" s="622">
        <f t="shared" si="889"/>
        <v>0</v>
      </c>
    </row>
    <row r="709" spans="1:40" s="115" customFormat="1" ht="15" customHeight="1">
      <c r="A709" s="555" t="s">
        <v>2152</v>
      </c>
      <c r="B709" s="217" t="str">
        <f t="shared" si="870"/>
        <v>175</v>
      </c>
      <c r="C709" s="217" t="str">
        <f t="shared" si="871"/>
        <v>35</v>
      </c>
      <c r="D709" s="101" t="str">
        <f t="shared" si="872"/>
        <v>352</v>
      </c>
      <c r="E709" s="217" t="str">
        <f t="shared" si="873"/>
        <v>175-35-352</v>
      </c>
      <c r="F709" s="294" t="str">
        <f t="shared" si="874"/>
        <v>58840</v>
      </c>
      <c r="G709" s="295" t="str">
        <f>VLOOKUP(F709,'GL Category'!A:C,3,FALSE)</f>
        <v>Capital Outlay</v>
      </c>
      <c r="H709" s="98" t="str">
        <f>VLOOKUP(F709,'GL Category'!A:C,2,FALSE)</f>
        <v>MOTOR VEHICLES</v>
      </c>
      <c r="I709" s="99">
        <f>SUMIF(Import!$B:$B,'Other Fund Line-Item Details'!$A709,Import!D:D)</f>
        <v>49529.15</v>
      </c>
      <c r="J709" s="99">
        <f>SUMIF(Import!$B:$B,'Other Fund Line-Item Details'!$A709,Import!E:E)</f>
        <v>0</v>
      </c>
      <c r="K709" s="99">
        <f>SUMIF(Import!$B:$B,'Other Fund Line-Item Details'!$A709,Import!F:F)</f>
        <v>0</v>
      </c>
      <c r="L709" s="99">
        <f>SUMIF(Import!$B:$B,'Other Fund Line-Item Details'!$A709,Import!G:G)</f>
        <v>243957</v>
      </c>
      <c r="M709" s="99">
        <f>SUMIF(Import!$B:$B,'Other Fund Line-Item Details'!$A709,Import!H:H)</f>
        <v>0</v>
      </c>
      <c r="N709" s="99">
        <f>SUMIF(Import!$B:$B,'Other Fund Line-Item Details'!$A709,Import!I:I)</f>
        <v>-7.5</v>
      </c>
      <c r="O709" s="99">
        <f>SUMIF(Import!$B:$B,'Other Fund Line-Item Details'!$A709,Import!J:J)</f>
        <v>0</v>
      </c>
      <c r="P709" s="99">
        <f t="shared" si="881"/>
        <v>0</v>
      </c>
      <c r="Q709" s="99">
        <f>SUMIF(Import!$B:$B,'Other Fund Line-Item Details'!$A709,Import!K:K)</f>
        <v>0</v>
      </c>
      <c r="R709" s="99">
        <f>SUMIF(Import!$B:$B,'Other Fund Line-Item Details'!$A709,Import!L:L)</f>
        <v>0</v>
      </c>
      <c r="S709" s="99">
        <f>SUMIF(Import!$B:$B,'Other Fund Line-Item Details'!$A709,Import!M:M)</f>
        <v>0</v>
      </c>
      <c r="T709" s="99">
        <f>SUMIF(Import!$B:$B,'Other Fund Line-Item Details'!$A709,Import!N:N)</f>
        <v>0</v>
      </c>
      <c r="U709" s="99">
        <f t="shared" si="882"/>
        <v>0</v>
      </c>
      <c r="V709" s="255" t="str">
        <f t="shared" si="883"/>
        <v>N/A</v>
      </c>
      <c r="W709" s="102" t="s">
        <v>2152</v>
      </c>
      <c r="X709" s="102"/>
      <c r="Y709" s="102">
        <f t="shared" si="884"/>
        <v>0</v>
      </c>
      <c r="Z709" s="309">
        <f>Y709*(1+VLOOKUP($F709,'GL Category'!$A:$H,4,FALSE))</f>
        <v>0</v>
      </c>
      <c r="AA709" s="615"/>
      <c r="AB709" s="622">
        <f t="shared" si="885"/>
        <v>0</v>
      </c>
      <c r="AC709" s="633">
        <f>AB709*(1+VLOOKUP($F709,'GL Category'!$A:$H,5,FALSE))</f>
        <v>0</v>
      </c>
      <c r="AD709" s="307"/>
      <c r="AE709" s="622">
        <f t="shared" si="886"/>
        <v>0</v>
      </c>
      <c r="AF709" s="633">
        <f>AE709*(1+VLOOKUP($F709,'GL Category'!$A:$H,6,FALSE))</f>
        <v>0</v>
      </c>
      <c r="AG709" s="307"/>
      <c r="AH709" s="622">
        <f t="shared" si="887"/>
        <v>0</v>
      </c>
      <c r="AI709" s="633">
        <f>AH709*(1+VLOOKUP($F709,'GL Category'!$A:$H,7,FALSE))</f>
        <v>0</v>
      </c>
      <c r="AJ709" s="307"/>
      <c r="AK709" s="622">
        <f t="shared" si="888"/>
        <v>0</v>
      </c>
      <c r="AL709" s="633">
        <f>AK709*(1+VLOOKUP($F709,'GL Category'!$A:$H,8,FALSE))</f>
        <v>0</v>
      </c>
      <c r="AM709" s="307"/>
      <c r="AN709" s="622">
        <f t="shared" si="889"/>
        <v>0</v>
      </c>
    </row>
    <row r="710" spans="1:40" s="115" customFormat="1" ht="15" customHeight="1">
      <c r="A710" s="555" t="s">
        <v>2153</v>
      </c>
      <c r="B710" s="217" t="str">
        <f t="shared" si="870"/>
        <v>175</v>
      </c>
      <c r="C710" s="217" t="str">
        <f t="shared" si="871"/>
        <v>35</v>
      </c>
      <c r="D710" s="101" t="str">
        <f t="shared" si="872"/>
        <v>353</v>
      </c>
      <c r="E710" s="217" t="str">
        <f t="shared" si="873"/>
        <v>175-35-353</v>
      </c>
      <c r="F710" s="294" t="str">
        <f t="shared" si="874"/>
        <v>58840</v>
      </c>
      <c r="G710" s="295" t="str">
        <f>VLOOKUP(F710,'GL Category'!A:C,3,FALSE)</f>
        <v>Capital Outlay</v>
      </c>
      <c r="H710" s="98" t="str">
        <f>VLOOKUP(F710,'GL Category'!A:C,2,FALSE)</f>
        <v>MOTOR VEHICLES</v>
      </c>
      <c r="I710" s="99">
        <f>SUMIF(Import!$B:$B,'Other Fund Line-Item Details'!$A710,Import!D:D)</f>
        <v>185523.97</v>
      </c>
      <c r="J710" s="99">
        <f>SUMIF(Import!$B:$B,'Other Fund Line-Item Details'!$A710,Import!E:E)</f>
        <v>0</v>
      </c>
      <c r="K710" s="99">
        <f>SUMIF(Import!$B:$B,'Other Fund Line-Item Details'!$A710,Import!F:F)</f>
        <v>0</v>
      </c>
      <c r="L710" s="99">
        <f>SUMIF(Import!$B:$B,'Other Fund Line-Item Details'!$A710,Import!G:G)</f>
        <v>0</v>
      </c>
      <c r="M710" s="99">
        <f>SUMIF(Import!$B:$B,'Other Fund Line-Item Details'!$A710,Import!H:H)</f>
        <v>0</v>
      </c>
      <c r="N710" s="99">
        <f>SUMIF(Import!$B:$B,'Other Fund Line-Item Details'!$A710,Import!I:I)</f>
        <v>0</v>
      </c>
      <c r="O710" s="99">
        <f>SUMIF(Import!$B:$B,'Other Fund Line-Item Details'!$A710,Import!J:J)</f>
        <v>0</v>
      </c>
      <c r="P710" s="99">
        <f t="shared" si="881"/>
        <v>0</v>
      </c>
      <c r="Q710" s="99">
        <f>SUMIF(Import!$B:$B,'Other Fund Line-Item Details'!$A710,Import!K:K)</f>
        <v>506710</v>
      </c>
      <c r="R710" s="99">
        <f>SUMIF(Import!$B:$B,'Other Fund Line-Item Details'!$A710,Import!L:L)</f>
        <v>0</v>
      </c>
      <c r="S710" s="99">
        <f>SUMIF(Import!$B:$B,'Other Fund Line-Item Details'!$A710,Import!M:M)</f>
        <v>0</v>
      </c>
      <c r="T710" s="99">
        <f>SUMIF(Import!$B:$B,'Other Fund Line-Item Details'!$A710,Import!N:N)</f>
        <v>506710</v>
      </c>
      <c r="U710" s="99">
        <f t="shared" si="882"/>
        <v>506710</v>
      </c>
      <c r="V710" s="255" t="str">
        <f t="shared" si="883"/>
        <v>N/A</v>
      </c>
      <c r="W710" s="102" t="s">
        <v>2153</v>
      </c>
      <c r="X710" s="102"/>
      <c r="Y710" s="102">
        <v>0</v>
      </c>
      <c r="Z710" s="309">
        <f>Y710*(1+VLOOKUP($F710,'GL Category'!$A:$H,4,FALSE))</f>
        <v>0</v>
      </c>
      <c r="AA710" s="615"/>
      <c r="AB710" s="622">
        <f t="shared" si="885"/>
        <v>0</v>
      </c>
      <c r="AC710" s="633">
        <f>AB710*(1+VLOOKUP($F710,'GL Category'!$A:$H,5,FALSE))</f>
        <v>0</v>
      </c>
      <c r="AD710" s="307"/>
      <c r="AE710" s="622">
        <f t="shared" si="886"/>
        <v>0</v>
      </c>
      <c r="AF710" s="633">
        <f>AE710*(1+VLOOKUP($F710,'GL Category'!$A:$H,6,FALSE))</f>
        <v>0</v>
      </c>
      <c r="AG710" s="307"/>
      <c r="AH710" s="622">
        <f t="shared" si="887"/>
        <v>0</v>
      </c>
      <c r="AI710" s="633">
        <f>AH710*(1+VLOOKUP($F710,'GL Category'!$A:$H,7,FALSE))</f>
        <v>0</v>
      </c>
      <c r="AJ710" s="307"/>
      <c r="AK710" s="622">
        <f t="shared" si="888"/>
        <v>0</v>
      </c>
      <c r="AL710" s="633">
        <f>AK710*(1+VLOOKUP($F710,'GL Category'!$A:$H,8,FALSE))</f>
        <v>0</v>
      </c>
      <c r="AM710" s="307"/>
      <c r="AN710" s="622">
        <f t="shared" si="889"/>
        <v>0</v>
      </c>
    </row>
    <row r="711" spans="1:40" s="115" customFormat="1" ht="15" customHeight="1">
      <c r="A711" s="555" t="s">
        <v>2154</v>
      </c>
      <c r="B711" s="217" t="str">
        <f t="shared" si="870"/>
        <v>175</v>
      </c>
      <c r="C711" s="217" t="str">
        <f t="shared" si="871"/>
        <v>50</v>
      </c>
      <c r="D711" s="101" t="str">
        <f t="shared" si="872"/>
        <v>503</v>
      </c>
      <c r="E711" s="217" t="str">
        <f t="shared" si="873"/>
        <v>175-50-503</v>
      </c>
      <c r="F711" s="294" t="str">
        <f t="shared" si="874"/>
        <v>58830</v>
      </c>
      <c r="G711" s="295" t="str">
        <f>VLOOKUP(F711,'GL Category'!A:C,3,FALSE)</f>
        <v>Capital Outlay</v>
      </c>
      <c r="H711" s="98" t="str">
        <f>VLOOKUP(F711,'GL Category'!A:C,2,FALSE)</f>
        <v>MACHINERY &amp; EQUIPMENT</v>
      </c>
      <c r="I711" s="99">
        <f>SUMIF(Import!$B:$B,'Other Fund Line-Item Details'!$A711,Import!D:D)</f>
        <v>361011.71</v>
      </c>
      <c r="J711" s="99">
        <f>SUMIF(Import!$B:$B,'Other Fund Line-Item Details'!$A711,Import!E:E)</f>
        <v>81632.02</v>
      </c>
      <c r="K711" s="99">
        <f>SUMIF(Import!$B:$B,'Other Fund Line-Item Details'!$A711,Import!F:F)</f>
        <v>54385.16</v>
      </c>
      <c r="L711" s="99">
        <f>SUMIF(Import!$B:$B,'Other Fund Line-Item Details'!$A711,Import!G:G)</f>
        <v>0</v>
      </c>
      <c r="M711" s="99">
        <f>SUMIF(Import!$B:$B,'Other Fund Line-Item Details'!$A711,Import!H:H)</f>
        <v>0</v>
      </c>
      <c r="N711" s="99">
        <f>SUMIF(Import!$B:$B,'Other Fund Line-Item Details'!$A711,Import!I:I)</f>
        <v>0</v>
      </c>
      <c r="O711" s="99">
        <f>SUMIF(Import!$B:$B,'Other Fund Line-Item Details'!$A711,Import!J:J)</f>
        <v>0</v>
      </c>
      <c r="P711" s="99">
        <f t="shared" si="881"/>
        <v>0</v>
      </c>
      <c r="Q711" s="99">
        <f>SUMIF(Import!$B:$B,'Other Fund Line-Item Details'!$A711,Import!K:K)</f>
        <v>0</v>
      </c>
      <c r="R711" s="99">
        <f>SUMIF(Import!$B:$B,'Other Fund Line-Item Details'!$A711,Import!L:L)</f>
        <v>0</v>
      </c>
      <c r="S711" s="99">
        <f>SUMIF(Import!$B:$B,'Other Fund Line-Item Details'!$A711,Import!M:M)</f>
        <v>340000</v>
      </c>
      <c r="T711" s="99">
        <f>SUMIF(Import!$B:$B,'Other Fund Line-Item Details'!$A711,Import!N:N)</f>
        <v>340000</v>
      </c>
      <c r="U711" s="99">
        <f t="shared" si="882"/>
        <v>340000</v>
      </c>
      <c r="V711" s="255" t="str">
        <f t="shared" si="883"/>
        <v>N/A</v>
      </c>
      <c r="W711" s="102" t="s">
        <v>2154</v>
      </c>
      <c r="X711" s="102"/>
      <c r="Y711" s="102">
        <v>0</v>
      </c>
      <c r="Z711" s="309">
        <f>Y711*(1+VLOOKUP($F711,'GL Category'!$A:$H,4,FALSE))</f>
        <v>0</v>
      </c>
      <c r="AA711" s="615"/>
      <c r="AB711" s="622">
        <f t="shared" si="885"/>
        <v>0</v>
      </c>
      <c r="AC711" s="633">
        <f>AB711*(1+VLOOKUP($F711,'GL Category'!$A:$H,5,FALSE))</f>
        <v>0</v>
      </c>
      <c r="AD711" s="307"/>
      <c r="AE711" s="622">
        <f t="shared" si="886"/>
        <v>0</v>
      </c>
      <c r="AF711" s="633">
        <f>AE711*(1+VLOOKUP($F711,'GL Category'!$A:$H,6,FALSE))</f>
        <v>0</v>
      </c>
      <c r="AG711" s="307"/>
      <c r="AH711" s="622">
        <f t="shared" si="887"/>
        <v>0</v>
      </c>
      <c r="AI711" s="633">
        <f>AH711*(1+VLOOKUP($F711,'GL Category'!$A:$H,7,FALSE))</f>
        <v>0</v>
      </c>
      <c r="AJ711" s="307"/>
      <c r="AK711" s="622">
        <f t="shared" si="888"/>
        <v>0</v>
      </c>
      <c r="AL711" s="633">
        <f>AK711*(1+VLOOKUP($F711,'GL Category'!$A:$H,8,FALSE))</f>
        <v>0</v>
      </c>
      <c r="AM711" s="307"/>
      <c r="AN711" s="622">
        <f t="shared" si="889"/>
        <v>0</v>
      </c>
    </row>
    <row r="712" spans="1:40" s="115" customFormat="1" ht="15" customHeight="1">
      <c r="A712" s="555" t="s">
        <v>2155</v>
      </c>
      <c r="B712" s="217" t="str">
        <f t="shared" si="870"/>
        <v>175</v>
      </c>
      <c r="C712" s="217" t="str">
        <f t="shared" si="871"/>
        <v>50</v>
      </c>
      <c r="D712" s="101" t="str">
        <f t="shared" si="872"/>
        <v>503</v>
      </c>
      <c r="E712" s="217" t="str">
        <f t="shared" si="873"/>
        <v>175-50-503</v>
      </c>
      <c r="F712" s="294" t="str">
        <f t="shared" si="874"/>
        <v>58840</v>
      </c>
      <c r="G712" s="295" t="str">
        <f>VLOOKUP(F712,'GL Category'!A:C,3,FALSE)</f>
        <v>Capital Outlay</v>
      </c>
      <c r="H712" s="98" t="str">
        <f>VLOOKUP(F712,'GL Category'!A:C,2,FALSE)</f>
        <v>MOTOR VEHICLES</v>
      </c>
      <c r="I712" s="99">
        <f>SUMIF(Import!$B:$B,'Other Fund Line-Item Details'!$A712,Import!D:D)</f>
        <v>124258.08</v>
      </c>
      <c r="J712" s="99">
        <f>SUMIF(Import!$B:$B,'Other Fund Line-Item Details'!$A712,Import!E:E)</f>
        <v>75031.75</v>
      </c>
      <c r="K712" s="99">
        <f>SUMIF(Import!$B:$B,'Other Fund Line-Item Details'!$A712,Import!F:F)</f>
        <v>71715.509999999995</v>
      </c>
      <c r="L712" s="99">
        <f>SUMIF(Import!$B:$B,'Other Fund Line-Item Details'!$A712,Import!G:G)</f>
        <v>82322.62</v>
      </c>
      <c r="M712" s="99">
        <f>SUMIF(Import!$B:$B,'Other Fund Line-Item Details'!$A712,Import!H:H)</f>
        <v>240000</v>
      </c>
      <c r="N712" s="99">
        <f>SUMIF(Import!$B:$B,'Other Fund Line-Item Details'!$A712,Import!I:I)</f>
        <v>201949</v>
      </c>
      <c r="O712" s="99">
        <f>SUMIF(Import!$B:$B,'Other Fund Line-Item Details'!$A712,Import!J:J)</f>
        <v>240000</v>
      </c>
      <c r="P712" s="99">
        <f t="shared" si="881"/>
        <v>0</v>
      </c>
      <c r="Q712" s="99">
        <f>SUMIF(Import!$B:$B,'Other Fund Line-Item Details'!$A712,Import!K:K)</f>
        <v>197327</v>
      </c>
      <c r="R712" s="99">
        <f>SUMIF(Import!$B:$B,'Other Fund Line-Item Details'!$A712,Import!L:L)</f>
        <v>0</v>
      </c>
      <c r="S712" s="99">
        <f>SUMIF(Import!$B:$B,'Other Fund Line-Item Details'!$A712,Import!M:M)</f>
        <v>0</v>
      </c>
      <c r="T712" s="99">
        <f>SUMIF(Import!$B:$B,'Other Fund Line-Item Details'!$A712,Import!N:N)</f>
        <v>197327</v>
      </c>
      <c r="U712" s="99">
        <f t="shared" si="882"/>
        <v>-42673</v>
      </c>
      <c r="V712" s="255">
        <f t="shared" si="883"/>
        <v>-0.17780416666666665</v>
      </c>
      <c r="W712" s="102" t="s">
        <v>2155</v>
      </c>
      <c r="X712" s="102"/>
      <c r="Y712" s="102">
        <v>0</v>
      </c>
      <c r="Z712" s="309">
        <f>Y712*(1+VLOOKUP($F712,'GL Category'!$A:$H,4,FALSE))</f>
        <v>0</v>
      </c>
      <c r="AA712" s="615"/>
      <c r="AB712" s="622">
        <f t="shared" si="885"/>
        <v>0</v>
      </c>
      <c r="AC712" s="633">
        <f>AB712*(1+VLOOKUP($F712,'GL Category'!$A:$H,5,FALSE))</f>
        <v>0</v>
      </c>
      <c r="AD712" s="307"/>
      <c r="AE712" s="622">
        <f t="shared" si="886"/>
        <v>0</v>
      </c>
      <c r="AF712" s="633">
        <f>AE712*(1+VLOOKUP($F712,'GL Category'!$A:$H,6,FALSE))</f>
        <v>0</v>
      </c>
      <c r="AG712" s="307"/>
      <c r="AH712" s="622">
        <f t="shared" si="887"/>
        <v>0</v>
      </c>
      <c r="AI712" s="633">
        <f>AH712*(1+VLOOKUP($F712,'GL Category'!$A:$H,7,FALSE))</f>
        <v>0</v>
      </c>
      <c r="AJ712" s="307"/>
      <c r="AK712" s="622">
        <f t="shared" si="888"/>
        <v>0</v>
      </c>
      <c r="AL712" s="633">
        <f>AK712*(1+VLOOKUP($F712,'GL Category'!$A:$H,8,FALSE))</f>
        <v>0</v>
      </c>
      <c r="AM712" s="307"/>
      <c r="AN712" s="622">
        <f t="shared" si="889"/>
        <v>0</v>
      </c>
    </row>
    <row r="713" spans="1:40" s="115" customFormat="1" ht="15" customHeight="1">
      <c r="A713" s="555" t="s">
        <v>2156</v>
      </c>
      <c r="B713" s="217" t="str">
        <f t="shared" si="870"/>
        <v>175</v>
      </c>
      <c r="C713" s="217" t="str">
        <f t="shared" si="871"/>
        <v>63</v>
      </c>
      <c r="D713" s="101" t="str">
        <f t="shared" si="872"/>
        <v>632</v>
      </c>
      <c r="E713" s="217" t="str">
        <f t="shared" si="873"/>
        <v>175-63-632</v>
      </c>
      <c r="F713" s="294" t="str">
        <f t="shared" si="874"/>
        <v>58830</v>
      </c>
      <c r="G713" s="295" t="str">
        <f>VLOOKUP(F713,'GL Category'!A:C,3,FALSE)</f>
        <v>Capital Outlay</v>
      </c>
      <c r="H713" s="98" t="str">
        <f>VLOOKUP(F713,'GL Category'!A:C,2,FALSE)</f>
        <v>MACHINERY &amp; EQUIPMENT</v>
      </c>
      <c r="I713" s="99">
        <f>SUMIF(Import!$B:$B,'Other Fund Line-Item Details'!$A713,Import!D:D)</f>
        <v>0</v>
      </c>
      <c r="J713" s="99">
        <f>SUMIF(Import!$B:$B,'Other Fund Line-Item Details'!$A713,Import!E:E)</f>
        <v>0</v>
      </c>
      <c r="K713" s="99">
        <f>SUMIF(Import!$B:$B,'Other Fund Line-Item Details'!$A713,Import!F:F)</f>
        <v>0</v>
      </c>
      <c r="L713" s="99">
        <f>SUMIF(Import!$B:$B,'Other Fund Line-Item Details'!$A713,Import!G:G)</f>
        <v>0</v>
      </c>
      <c r="M713" s="99">
        <f>SUMIF(Import!$B:$B,'Other Fund Line-Item Details'!$A713,Import!H:H)</f>
        <v>0</v>
      </c>
      <c r="N713" s="99">
        <f>SUMIF(Import!$B:$B,'Other Fund Line-Item Details'!$A713,Import!I:I)</f>
        <v>0</v>
      </c>
      <c r="O713" s="99">
        <f>SUMIF(Import!$B:$B,'Other Fund Line-Item Details'!$A713,Import!J:J)</f>
        <v>0</v>
      </c>
      <c r="P713" s="99">
        <f t="shared" si="881"/>
        <v>0</v>
      </c>
      <c r="Q713" s="99">
        <f>SUMIF(Import!$B:$B,'Other Fund Line-Item Details'!$A713,Import!K:K)</f>
        <v>0</v>
      </c>
      <c r="R713" s="99">
        <f>SUMIF(Import!$B:$B,'Other Fund Line-Item Details'!$A713,Import!L:L)</f>
        <v>0</v>
      </c>
      <c r="S713" s="99">
        <f>SUMIF(Import!$B:$B,'Other Fund Line-Item Details'!$A713,Import!M:M)</f>
        <v>0</v>
      </c>
      <c r="T713" s="99">
        <f>SUMIF(Import!$B:$B,'Other Fund Line-Item Details'!$A713,Import!N:N)</f>
        <v>0</v>
      </c>
      <c r="U713" s="99">
        <f t="shared" si="882"/>
        <v>0</v>
      </c>
      <c r="V713" s="255" t="str">
        <f t="shared" si="883"/>
        <v>N/A</v>
      </c>
      <c r="W713" s="102" t="s">
        <v>2156</v>
      </c>
      <c r="X713" s="102"/>
      <c r="Y713" s="102">
        <f t="shared" si="884"/>
        <v>0</v>
      </c>
      <c r="Z713" s="309">
        <f>Y713*(1+VLOOKUP($F713,'GL Category'!$A:$H,4,FALSE))</f>
        <v>0</v>
      </c>
      <c r="AA713" s="615"/>
      <c r="AB713" s="622">
        <f t="shared" si="885"/>
        <v>0</v>
      </c>
      <c r="AC713" s="633">
        <f>AB713*(1+VLOOKUP($F713,'GL Category'!$A:$H,5,FALSE))</f>
        <v>0</v>
      </c>
      <c r="AD713" s="307"/>
      <c r="AE713" s="622">
        <f t="shared" si="886"/>
        <v>0</v>
      </c>
      <c r="AF713" s="633">
        <f>AE713*(1+VLOOKUP($F713,'GL Category'!$A:$H,6,FALSE))</f>
        <v>0</v>
      </c>
      <c r="AG713" s="307"/>
      <c r="AH713" s="622">
        <f t="shared" si="887"/>
        <v>0</v>
      </c>
      <c r="AI713" s="633">
        <f>AH713*(1+VLOOKUP($F713,'GL Category'!$A:$H,7,FALSE))</f>
        <v>0</v>
      </c>
      <c r="AJ713" s="307"/>
      <c r="AK713" s="622">
        <f t="shared" si="888"/>
        <v>0</v>
      </c>
      <c r="AL713" s="633">
        <f>AK713*(1+VLOOKUP($F713,'GL Category'!$A:$H,8,FALSE))</f>
        <v>0</v>
      </c>
      <c r="AM713" s="307"/>
      <c r="AN713" s="622">
        <f t="shared" si="889"/>
        <v>0</v>
      </c>
    </row>
    <row r="714" spans="1:40" s="115" customFormat="1" ht="15" customHeight="1">
      <c r="A714" s="555" t="s">
        <v>2157</v>
      </c>
      <c r="B714" s="217" t="str">
        <f t="shared" si="870"/>
        <v>175</v>
      </c>
      <c r="C714" s="217" t="str">
        <f t="shared" si="871"/>
        <v>63</v>
      </c>
      <c r="D714" s="101" t="str">
        <f t="shared" si="872"/>
        <v>632</v>
      </c>
      <c r="E714" s="217" t="str">
        <f t="shared" si="873"/>
        <v>175-63-632</v>
      </c>
      <c r="F714" s="294" t="str">
        <f t="shared" si="874"/>
        <v>58840</v>
      </c>
      <c r="G714" s="295" t="str">
        <f>VLOOKUP(F714,'GL Category'!A:C,3,FALSE)</f>
        <v>Capital Outlay</v>
      </c>
      <c r="H714" s="98" t="str">
        <f>VLOOKUP(F714,'GL Category'!A:C,2,FALSE)</f>
        <v>MOTOR VEHICLES</v>
      </c>
      <c r="I714" s="99">
        <f>SUMIF(Import!$B:$B,'Other Fund Line-Item Details'!$A714,Import!D:D)</f>
        <v>141813.51</v>
      </c>
      <c r="J714" s="99">
        <f>SUMIF(Import!$B:$B,'Other Fund Line-Item Details'!$A714,Import!E:E)</f>
        <v>0</v>
      </c>
      <c r="K714" s="99">
        <f>SUMIF(Import!$B:$B,'Other Fund Line-Item Details'!$A714,Import!F:F)</f>
        <v>41311.65</v>
      </c>
      <c r="L714" s="99">
        <f>SUMIF(Import!$B:$B,'Other Fund Line-Item Details'!$A714,Import!G:G)</f>
        <v>81096.98</v>
      </c>
      <c r="M714" s="99">
        <f>SUMIF(Import!$B:$B,'Other Fund Line-Item Details'!$A714,Import!H:H)</f>
        <v>0</v>
      </c>
      <c r="N714" s="99">
        <f>SUMIF(Import!$B:$B,'Other Fund Line-Item Details'!$A714,Import!I:I)</f>
        <v>0</v>
      </c>
      <c r="O714" s="99">
        <f>SUMIF(Import!$B:$B,'Other Fund Line-Item Details'!$A714,Import!J:J)</f>
        <v>0</v>
      </c>
      <c r="P714" s="99">
        <f t="shared" si="881"/>
        <v>0</v>
      </c>
      <c r="Q714" s="99">
        <f>SUMIF(Import!$B:$B,'Other Fund Line-Item Details'!$A714,Import!K:K)</f>
        <v>120056</v>
      </c>
      <c r="R714" s="99">
        <f>SUMIF(Import!$B:$B,'Other Fund Line-Item Details'!$A714,Import!L:L)</f>
        <v>0</v>
      </c>
      <c r="S714" s="99">
        <f>SUMIF(Import!$B:$B,'Other Fund Line-Item Details'!$A714,Import!M:M)</f>
        <v>0</v>
      </c>
      <c r="T714" s="99">
        <f>SUMIF(Import!$B:$B,'Other Fund Line-Item Details'!$A714,Import!N:N)</f>
        <v>120056</v>
      </c>
      <c r="U714" s="99">
        <f t="shared" si="882"/>
        <v>120056</v>
      </c>
      <c r="V714" s="255" t="str">
        <f t="shared" si="883"/>
        <v>N/A</v>
      </c>
      <c r="W714" s="102" t="s">
        <v>2157</v>
      </c>
      <c r="X714" s="102"/>
      <c r="Y714" s="102">
        <v>0</v>
      </c>
      <c r="Z714" s="309">
        <f>Y714*(1+VLOOKUP($F714,'GL Category'!$A:$H,4,FALSE))</f>
        <v>0</v>
      </c>
      <c r="AA714" s="615"/>
      <c r="AB714" s="622">
        <f t="shared" si="885"/>
        <v>0</v>
      </c>
      <c r="AC714" s="633">
        <f>AB714*(1+VLOOKUP($F714,'GL Category'!$A:$H,5,FALSE))</f>
        <v>0</v>
      </c>
      <c r="AD714" s="307"/>
      <c r="AE714" s="622">
        <f t="shared" si="886"/>
        <v>0</v>
      </c>
      <c r="AF714" s="633">
        <f>AE714*(1+VLOOKUP($F714,'GL Category'!$A:$H,6,FALSE))</f>
        <v>0</v>
      </c>
      <c r="AG714" s="307"/>
      <c r="AH714" s="622">
        <f t="shared" si="887"/>
        <v>0</v>
      </c>
      <c r="AI714" s="633">
        <f>AH714*(1+VLOOKUP($F714,'GL Category'!$A:$H,7,FALSE))</f>
        <v>0</v>
      </c>
      <c r="AJ714" s="307"/>
      <c r="AK714" s="622">
        <f t="shared" si="888"/>
        <v>0</v>
      </c>
      <c r="AL714" s="633">
        <f>AK714*(1+VLOOKUP($F714,'GL Category'!$A:$H,8,FALSE))</f>
        <v>0</v>
      </c>
      <c r="AM714" s="307"/>
      <c r="AN714" s="622">
        <f t="shared" si="889"/>
        <v>0</v>
      </c>
    </row>
    <row r="715" spans="1:40" s="115" customFormat="1" ht="15" customHeight="1">
      <c r="A715" s="555" t="s">
        <v>2158</v>
      </c>
      <c r="B715" s="217" t="str">
        <f t="shared" si="870"/>
        <v>175</v>
      </c>
      <c r="C715" s="217" t="str">
        <f t="shared" si="871"/>
        <v>63</v>
      </c>
      <c r="D715" s="101" t="str">
        <f t="shared" si="872"/>
        <v>633</v>
      </c>
      <c r="E715" s="217" t="str">
        <f t="shared" si="873"/>
        <v>175-63-633</v>
      </c>
      <c r="F715" s="294" t="str">
        <f t="shared" si="874"/>
        <v>58840</v>
      </c>
      <c r="G715" s="295" t="str">
        <f>VLOOKUP(F715,'GL Category'!A:C,3,FALSE)</f>
        <v>Capital Outlay</v>
      </c>
      <c r="H715" s="98" t="str">
        <f>VLOOKUP(F715,'GL Category'!A:C,2,FALSE)</f>
        <v>MOTOR VEHICLES</v>
      </c>
      <c r="I715" s="99">
        <f>SUMIF(Import!$B:$B,'Other Fund Line-Item Details'!$A715,Import!D:D)</f>
        <v>0</v>
      </c>
      <c r="J715" s="99">
        <f>SUMIF(Import!$B:$B,'Other Fund Line-Item Details'!$A715,Import!E:E)</f>
        <v>0</v>
      </c>
      <c r="K715" s="99">
        <f>SUMIF(Import!$B:$B,'Other Fund Line-Item Details'!$A715,Import!F:F)</f>
        <v>0</v>
      </c>
      <c r="L715" s="99">
        <f>SUMIF(Import!$B:$B,'Other Fund Line-Item Details'!$A715,Import!G:G)</f>
        <v>0</v>
      </c>
      <c r="M715" s="99">
        <f>SUMIF(Import!$B:$B,'Other Fund Line-Item Details'!$A715,Import!H:H)</f>
        <v>0</v>
      </c>
      <c r="N715" s="99">
        <f>SUMIF(Import!$B:$B,'Other Fund Line-Item Details'!$A715,Import!I:I)</f>
        <v>0</v>
      </c>
      <c r="O715" s="99">
        <f>SUMIF(Import!$B:$B,'Other Fund Line-Item Details'!$A715,Import!J:J)</f>
        <v>0</v>
      </c>
      <c r="P715" s="99">
        <f t="shared" si="881"/>
        <v>0</v>
      </c>
      <c r="Q715" s="99">
        <f>SUMIF(Import!$B:$B,'Other Fund Line-Item Details'!$A715,Import!K:K)</f>
        <v>0</v>
      </c>
      <c r="R715" s="99">
        <f>SUMIF(Import!$B:$B,'Other Fund Line-Item Details'!$A715,Import!L:L)</f>
        <v>0</v>
      </c>
      <c r="S715" s="99">
        <f>SUMIF(Import!$B:$B,'Other Fund Line-Item Details'!$A715,Import!M:M)</f>
        <v>0</v>
      </c>
      <c r="T715" s="99">
        <f>SUMIF(Import!$B:$B,'Other Fund Line-Item Details'!$A715,Import!N:N)</f>
        <v>0</v>
      </c>
      <c r="U715" s="99">
        <f t="shared" si="882"/>
        <v>0</v>
      </c>
      <c r="V715" s="255" t="str">
        <f t="shared" si="883"/>
        <v>N/A</v>
      </c>
      <c r="W715" s="102" t="s">
        <v>2158</v>
      </c>
      <c r="X715" s="102"/>
      <c r="Y715" s="102">
        <f t="shared" si="884"/>
        <v>0</v>
      </c>
      <c r="Z715" s="309">
        <f>Y715*(1+VLOOKUP($F715,'GL Category'!$A:$H,4,FALSE))</f>
        <v>0</v>
      </c>
      <c r="AA715" s="615"/>
      <c r="AB715" s="622">
        <f t="shared" si="885"/>
        <v>0</v>
      </c>
      <c r="AC715" s="633">
        <f>AB715*(1+VLOOKUP($F715,'GL Category'!$A:$H,5,FALSE))</f>
        <v>0</v>
      </c>
      <c r="AD715" s="307"/>
      <c r="AE715" s="622">
        <f t="shared" si="886"/>
        <v>0</v>
      </c>
      <c r="AF715" s="633">
        <f>AE715*(1+VLOOKUP($F715,'GL Category'!$A:$H,6,FALSE))</f>
        <v>0</v>
      </c>
      <c r="AG715" s="307"/>
      <c r="AH715" s="622">
        <f t="shared" si="887"/>
        <v>0</v>
      </c>
      <c r="AI715" s="633">
        <f>AH715*(1+VLOOKUP($F715,'GL Category'!$A:$H,7,FALSE))</f>
        <v>0</v>
      </c>
      <c r="AJ715" s="307"/>
      <c r="AK715" s="622">
        <f t="shared" si="888"/>
        <v>0</v>
      </c>
      <c r="AL715" s="633">
        <f>AK715*(1+VLOOKUP($F715,'GL Category'!$A:$H,8,FALSE))</f>
        <v>0</v>
      </c>
      <c r="AM715" s="307"/>
      <c r="AN715" s="622">
        <f t="shared" si="889"/>
        <v>0</v>
      </c>
    </row>
    <row r="716" spans="1:40" s="115" customFormat="1" ht="15" customHeight="1">
      <c r="A716" s="555" t="s">
        <v>3374</v>
      </c>
      <c r="B716" s="217" t="str">
        <f t="shared" ref="B716" si="922">LEFT(A716,3)</f>
        <v>175</v>
      </c>
      <c r="C716" s="217" t="str">
        <f t="shared" ref="C716" si="923">MID(A716,5,2)</f>
        <v>63</v>
      </c>
      <c r="D716" s="101" t="str">
        <f t="shared" ref="D716" si="924">MID(A716,8,3)</f>
        <v>634</v>
      </c>
      <c r="E716" s="217" t="str">
        <f t="shared" ref="E716" si="925">LEFT(A716,10)</f>
        <v>175-63-634</v>
      </c>
      <c r="F716" s="294" t="str">
        <f t="shared" ref="F716" si="926">RIGHT(A716,5)</f>
        <v>58840</v>
      </c>
      <c r="G716" s="295" t="str">
        <f>VLOOKUP(F716,'GL Category'!A:C,3,FALSE)</f>
        <v>Capital Outlay</v>
      </c>
      <c r="H716" s="98" t="str">
        <f>VLOOKUP(F716,'GL Category'!A:C,2,FALSE)</f>
        <v>MOTOR VEHICLES</v>
      </c>
      <c r="I716" s="99">
        <f>SUMIF(Import!$B:$B,'Other Fund Line-Item Details'!$A716,Import!D:D)</f>
        <v>0</v>
      </c>
      <c r="J716" s="99">
        <f>SUMIF(Import!$B:$B,'Other Fund Line-Item Details'!$A716,Import!E:E)</f>
        <v>0</v>
      </c>
      <c r="K716" s="99">
        <f>SUMIF(Import!$B:$B,'Other Fund Line-Item Details'!$A716,Import!F:F)</f>
        <v>105433.15</v>
      </c>
      <c r="L716" s="99">
        <f>SUMIF(Import!$B:$B,'Other Fund Line-Item Details'!$A716,Import!G:G)</f>
        <v>0</v>
      </c>
      <c r="M716" s="99">
        <f>SUMIF(Import!$B:$B,'Other Fund Line-Item Details'!$A716,Import!H:H)</f>
        <v>0</v>
      </c>
      <c r="N716" s="99">
        <f>SUMIF(Import!$B:$B,'Other Fund Line-Item Details'!$A716,Import!I:I)</f>
        <v>0</v>
      </c>
      <c r="O716" s="99">
        <f>SUMIF(Import!$B:$B,'Other Fund Line-Item Details'!$A716,Import!J:J)</f>
        <v>0</v>
      </c>
      <c r="P716" s="99">
        <f t="shared" ref="P716" si="927">O716-M716</f>
        <v>0</v>
      </c>
      <c r="Q716" s="99">
        <f>SUMIF(Import!$B:$B,'Other Fund Line-Item Details'!$A716,Import!K:K)</f>
        <v>0</v>
      </c>
      <c r="R716" s="99">
        <f>SUMIF(Import!$B:$B,'Other Fund Line-Item Details'!$A716,Import!L:L)</f>
        <v>0</v>
      </c>
      <c r="S716" s="99">
        <f>SUMIF(Import!$B:$B,'Other Fund Line-Item Details'!$A716,Import!M:M)</f>
        <v>0</v>
      </c>
      <c r="T716" s="99">
        <f>SUMIF(Import!$B:$B,'Other Fund Line-Item Details'!$A716,Import!N:N)</f>
        <v>0</v>
      </c>
      <c r="U716" s="99">
        <f t="shared" ref="U716" si="928">T716-M716</f>
        <v>0</v>
      </c>
      <c r="V716" s="255" t="str">
        <f t="shared" ref="V716" si="929">IF(M716=0,"N/A",T716/M716-1)</f>
        <v>N/A</v>
      </c>
      <c r="W716" s="102" t="s">
        <v>2158</v>
      </c>
      <c r="X716" s="102"/>
      <c r="Y716" s="102">
        <f t="shared" si="884"/>
        <v>0</v>
      </c>
      <c r="Z716" s="309">
        <f>Y716*(1+VLOOKUP($F716,'GL Category'!$A:$H,4,FALSE))</f>
        <v>0</v>
      </c>
      <c r="AA716" s="615"/>
      <c r="AB716" s="622">
        <f t="shared" si="885"/>
        <v>0</v>
      </c>
      <c r="AC716" s="633">
        <f>AB716*(1+VLOOKUP($F716,'GL Category'!$A:$H,5,FALSE))</f>
        <v>0</v>
      </c>
      <c r="AD716" s="307"/>
      <c r="AE716" s="622">
        <f t="shared" si="886"/>
        <v>0</v>
      </c>
      <c r="AF716" s="633">
        <f>AE716*(1+VLOOKUP($F716,'GL Category'!$A:$H,6,FALSE))</f>
        <v>0</v>
      </c>
      <c r="AG716" s="307"/>
      <c r="AH716" s="622">
        <f t="shared" si="887"/>
        <v>0</v>
      </c>
      <c r="AI716" s="633">
        <f>AH716*(1+VLOOKUP($F716,'GL Category'!$A:$H,7,FALSE))</f>
        <v>0</v>
      </c>
      <c r="AJ716" s="307"/>
      <c r="AK716" s="622">
        <f t="shared" si="888"/>
        <v>0</v>
      </c>
      <c r="AL716" s="633">
        <f>AK716*(1+VLOOKUP($F716,'GL Category'!$A:$H,8,FALSE))</f>
        <v>0</v>
      </c>
      <c r="AM716" s="307"/>
      <c r="AN716" s="622">
        <f t="shared" si="889"/>
        <v>0</v>
      </c>
    </row>
    <row r="717" spans="1:40" s="115" customFormat="1" ht="15" customHeight="1">
      <c r="A717" s="555" t="s">
        <v>2159</v>
      </c>
      <c r="B717" s="217" t="str">
        <f t="shared" si="870"/>
        <v>175</v>
      </c>
      <c r="C717" s="217" t="str">
        <f t="shared" si="871"/>
        <v>63</v>
      </c>
      <c r="D717" s="101" t="str">
        <f t="shared" si="872"/>
        <v>635</v>
      </c>
      <c r="E717" s="217" t="str">
        <f t="shared" si="873"/>
        <v>175-63-635</v>
      </c>
      <c r="F717" s="294" t="str">
        <f t="shared" si="874"/>
        <v>58840</v>
      </c>
      <c r="G717" s="295" t="str">
        <f>VLOOKUP(F717,'GL Category'!A:C,3,FALSE)</f>
        <v>Capital Outlay</v>
      </c>
      <c r="H717" s="98" t="str">
        <f>VLOOKUP(F717,'GL Category'!A:C,2,FALSE)</f>
        <v>MOTOR VEHICLES</v>
      </c>
      <c r="I717" s="99">
        <f>SUMIF(Import!$B:$B,'Other Fund Line-Item Details'!$A717,Import!D:D)</f>
        <v>36219.699999999997</v>
      </c>
      <c r="J717" s="99">
        <f>SUMIF(Import!$B:$B,'Other Fund Line-Item Details'!$A717,Import!E:E)</f>
        <v>0</v>
      </c>
      <c r="K717" s="99">
        <f>SUMIF(Import!$B:$B,'Other Fund Line-Item Details'!$A717,Import!F:F)</f>
        <v>0</v>
      </c>
      <c r="L717" s="99">
        <f>SUMIF(Import!$B:$B,'Other Fund Line-Item Details'!$A717,Import!G:G)</f>
        <v>0</v>
      </c>
      <c r="M717" s="99">
        <f>SUMIF(Import!$B:$B,'Other Fund Line-Item Details'!$A717,Import!H:H)</f>
        <v>0</v>
      </c>
      <c r="N717" s="99">
        <f>SUMIF(Import!$B:$B,'Other Fund Line-Item Details'!$A717,Import!I:I)</f>
        <v>0</v>
      </c>
      <c r="O717" s="99">
        <f>SUMIF(Import!$B:$B,'Other Fund Line-Item Details'!$A717,Import!J:J)</f>
        <v>0</v>
      </c>
      <c r="P717" s="99">
        <f t="shared" si="881"/>
        <v>0</v>
      </c>
      <c r="Q717" s="99">
        <f>SUMIF(Import!$B:$B,'Other Fund Line-Item Details'!$A717,Import!K:K)</f>
        <v>139630</v>
      </c>
      <c r="R717" s="99">
        <f>SUMIF(Import!$B:$B,'Other Fund Line-Item Details'!$A717,Import!L:L)</f>
        <v>0</v>
      </c>
      <c r="S717" s="99">
        <f>SUMIF(Import!$B:$B,'Other Fund Line-Item Details'!$A717,Import!M:M)</f>
        <v>0</v>
      </c>
      <c r="T717" s="99">
        <f>SUMIF(Import!$B:$B,'Other Fund Line-Item Details'!$A717,Import!N:N)</f>
        <v>139630</v>
      </c>
      <c r="U717" s="99">
        <f t="shared" si="882"/>
        <v>139630</v>
      </c>
      <c r="V717" s="255" t="str">
        <f t="shared" si="883"/>
        <v>N/A</v>
      </c>
      <c r="W717" s="102" t="s">
        <v>2159</v>
      </c>
      <c r="X717" s="102"/>
      <c r="Y717" s="102">
        <v>0</v>
      </c>
      <c r="Z717" s="309">
        <f>Y717*(1+VLOOKUP($F717,'GL Category'!$A:$H,4,FALSE))</f>
        <v>0</v>
      </c>
      <c r="AA717" s="615"/>
      <c r="AB717" s="622">
        <f t="shared" si="885"/>
        <v>0</v>
      </c>
      <c r="AC717" s="633">
        <f>AB717*(1+VLOOKUP($F717,'GL Category'!$A:$H,5,FALSE))</f>
        <v>0</v>
      </c>
      <c r="AD717" s="307"/>
      <c r="AE717" s="622">
        <f t="shared" si="886"/>
        <v>0</v>
      </c>
      <c r="AF717" s="633">
        <f>AE717*(1+VLOOKUP($F717,'GL Category'!$A:$H,6,FALSE))</f>
        <v>0</v>
      </c>
      <c r="AG717" s="307"/>
      <c r="AH717" s="622">
        <f t="shared" si="887"/>
        <v>0</v>
      </c>
      <c r="AI717" s="633">
        <f>AH717*(1+VLOOKUP($F717,'GL Category'!$A:$H,7,FALSE))</f>
        <v>0</v>
      </c>
      <c r="AJ717" s="307"/>
      <c r="AK717" s="622">
        <f t="shared" si="888"/>
        <v>0</v>
      </c>
      <c r="AL717" s="633">
        <f>AK717*(1+VLOOKUP($F717,'GL Category'!$A:$H,8,FALSE))</f>
        <v>0</v>
      </c>
      <c r="AM717" s="307"/>
      <c r="AN717" s="622">
        <f t="shared" si="889"/>
        <v>0</v>
      </c>
    </row>
    <row r="718" spans="1:40" s="115" customFormat="1" ht="15" customHeight="1">
      <c r="A718" s="555" t="s">
        <v>2160</v>
      </c>
      <c r="B718" s="217" t="str">
        <f t="shared" si="870"/>
        <v>175</v>
      </c>
      <c r="C718" s="217" t="str">
        <f t="shared" si="871"/>
        <v>70</v>
      </c>
      <c r="D718" s="101" t="str">
        <f t="shared" si="872"/>
        <v>701</v>
      </c>
      <c r="E718" s="217" t="str">
        <f t="shared" si="873"/>
        <v>175-70-701</v>
      </c>
      <c r="F718" s="294" t="str">
        <f t="shared" si="874"/>
        <v>58840</v>
      </c>
      <c r="G718" s="295" t="str">
        <f>VLOOKUP(F718,'GL Category'!A:C,3,FALSE)</f>
        <v>Capital Outlay</v>
      </c>
      <c r="H718" s="98" t="str">
        <f>VLOOKUP(F718,'GL Category'!A:C,2,FALSE)</f>
        <v>MOTOR VEHICLES</v>
      </c>
      <c r="I718" s="99">
        <f>SUMIF(Import!$B:$B,'Other Fund Line-Item Details'!$A718,Import!D:D)</f>
        <v>30558.6</v>
      </c>
      <c r="J718" s="99">
        <f>SUMIF(Import!$B:$B,'Other Fund Line-Item Details'!$A718,Import!E:E)</f>
        <v>0</v>
      </c>
      <c r="K718" s="99">
        <f>SUMIF(Import!$B:$B,'Other Fund Line-Item Details'!$A718,Import!F:F)</f>
        <v>0</v>
      </c>
      <c r="L718" s="99">
        <f>SUMIF(Import!$B:$B,'Other Fund Line-Item Details'!$A718,Import!G:G)</f>
        <v>0</v>
      </c>
      <c r="M718" s="99">
        <f>SUMIF(Import!$B:$B,'Other Fund Line-Item Details'!$A718,Import!H:H)</f>
        <v>53572</v>
      </c>
      <c r="N718" s="99">
        <f>SUMIF(Import!$B:$B,'Other Fund Line-Item Details'!$A718,Import!I:I)</f>
        <v>49737.42</v>
      </c>
      <c r="O718" s="99">
        <f>SUMIF(Import!$B:$B,'Other Fund Line-Item Details'!$A718,Import!J:J)</f>
        <v>53572</v>
      </c>
      <c r="P718" s="99">
        <f t="shared" si="881"/>
        <v>0</v>
      </c>
      <c r="Q718" s="99">
        <f>SUMIF(Import!$B:$B,'Other Fund Line-Item Details'!$A718,Import!K:K)</f>
        <v>59168</v>
      </c>
      <c r="R718" s="99">
        <f>SUMIF(Import!$B:$B,'Other Fund Line-Item Details'!$A718,Import!L:L)</f>
        <v>0</v>
      </c>
      <c r="S718" s="99">
        <f>SUMIF(Import!$B:$B,'Other Fund Line-Item Details'!$A718,Import!M:M)</f>
        <v>0</v>
      </c>
      <c r="T718" s="99">
        <f>SUMIF(Import!$B:$B,'Other Fund Line-Item Details'!$A718,Import!N:N)</f>
        <v>59168</v>
      </c>
      <c r="U718" s="99">
        <f t="shared" si="882"/>
        <v>5596</v>
      </c>
      <c r="V718" s="255">
        <f t="shared" si="883"/>
        <v>0.10445755245277377</v>
      </c>
      <c r="W718" s="102" t="s">
        <v>2160</v>
      </c>
      <c r="X718" s="102"/>
      <c r="Y718" s="102">
        <v>0</v>
      </c>
      <c r="Z718" s="309">
        <f>Y718*(1+VLOOKUP($F718,'GL Category'!$A:$H,4,FALSE))</f>
        <v>0</v>
      </c>
      <c r="AA718" s="615"/>
      <c r="AB718" s="622">
        <f t="shared" si="885"/>
        <v>0</v>
      </c>
      <c r="AC718" s="633">
        <f>AB718*(1+VLOOKUP($F718,'GL Category'!$A:$H,5,FALSE))</f>
        <v>0</v>
      </c>
      <c r="AD718" s="307"/>
      <c r="AE718" s="622">
        <f t="shared" si="886"/>
        <v>0</v>
      </c>
      <c r="AF718" s="633">
        <f>AE718*(1+VLOOKUP($F718,'GL Category'!$A:$H,6,FALSE))</f>
        <v>0</v>
      </c>
      <c r="AG718" s="307"/>
      <c r="AH718" s="622">
        <f t="shared" si="887"/>
        <v>0</v>
      </c>
      <c r="AI718" s="633">
        <f>AH718*(1+VLOOKUP($F718,'GL Category'!$A:$H,7,FALSE))</f>
        <v>0</v>
      </c>
      <c r="AJ718" s="307"/>
      <c r="AK718" s="622">
        <f t="shared" si="888"/>
        <v>0</v>
      </c>
      <c r="AL718" s="633">
        <f>AK718*(1+VLOOKUP($F718,'GL Category'!$A:$H,8,FALSE))</f>
        <v>0</v>
      </c>
      <c r="AM718" s="307"/>
      <c r="AN718" s="622">
        <f t="shared" si="889"/>
        <v>0</v>
      </c>
    </row>
    <row r="719" spans="1:40" s="115" customFormat="1" ht="15" customHeight="1">
      <c r="A719" s="555" t="s">
        <v>2161</v>
      </c>
      <c r="B719" s="217" t="str">
        <f t="shared" si="870"/>
        <v>175</v>
      </c>
      <c r="C719" s="217" t="str">
        <f t="shared" si="871"/>
        <v>71</v>
      </c>
      <c r="D719" s="101" t="str">
        <f t="shared" si="872"/>
        <v>711</v>
      </c>
      <c r="E719" s="217" t="str">
        <f t="shared" si="873"/>
        <v>175-71-711</v>
      </c>
      <c r="F719" s="294" t="str">
        <f t="shared" si="874"/>
        <v>58840</v>
      </c>
      <c r="G719" s="295" t="str">
        <f>VLOOKUP(F719,'GL Category'!A:C,3,FALSE)</f>
        <v>Capital Outlay</v>
      </c>
      <c r="H719" s="98" t="str">
        <f>VLOOKUP(F719,'GL Category'!A:C,2,FALSE)</f>
        <v>MOTOR VEHICLES</v>
      </c>
      <c r="I719" s="99">
        <f>SUMIF(Import!$B:$B,'Other Fund Line-Item Details'!$A719,Import!D:D)</f>
        <v>0</v>
      </c>
      <c r="J719" s="99">
        <f>SUMIF(Import!$B:$B,'Other Fund Line-Item Details'!$A719,Import!E:E)</f>
        <v>0</v>
      </c>
      <c r="K719" s="99">
        <f>SUMIF(Import!$B:$B,'Other Fund Line-Item Details'!$A719,Import!F:F)</f>
        <v>0</v>
      </c>
      <c r="L719" s="99">
        <f>SUMIF(Import!$B:$B,'Other Fund Line-Item Details'!$A719,Import!G:G)</f>
        <v>0</v>
      </c>
      <c r="M719" s="99">
        <f>SUMIF(Import!$B:$B,'Other Fund Line-Item Details'!$A719,Import!H:H)</f>
        <v>0</v>
      </c>
      <c r="N719" s="99">
        <f>SUMIF(Import!$B:$B,'Other Fund Line-Item Details'!$A719,Import!I:I)</f>
        <v>0</v>
      </c>
      <c r="O719" s="99">
        <f>SUMIF(Import!$B:$B,'Other Fund Line-Item Details'!$A719,Import!J:J)</f>
        <v>0</v>
      </c>
      <c r="P719" s="99">
        <f t="shared" si="881"/>
        <v>0</v>
      </c>
      <c r="Q719" s="99">
        <f>SUMIF(Import!$B:$B,'Other Fund Line-Item Details'!$A719,Import!K:K)</f>
        <v>0</v>
      </c>
      <c r="R719" s="99">
        <f>SUMIF(Import!$B:$B,'Other Fund Line-Item Details'!$A719,Import!L:L)</f>
        <v>0</v>
      </c>
      <c r="S719" s="99">
        <f>SUMIF(Import!$B:$B,'Other Fund Line-Item Details'!$A719,Import!M:M)</f>
        <v>0</v>
      </c>
      <c r="T719" s="99">
        <f>SUMIF(Import!$B:$B,'Other Fund Line-Item Details'!$A719,Import!N:N)</f>
        <v>0</v>
      </c>
      <c r="U719" s="99">
        <f t="shared" si="882"/>
        <v>0</v>
      </c>
      <c r="V719" s="255" t="str">
        <f t="shared" si="883"/>
        <v>N/A</v>
      </c>
      <c r="W719" s="102" t="s">
        <v>2161</v>
      </c>
      <c r="X719" s="102"/>
      <c r="Y719" s="102">
        <f t="shared" si="884"/>
        <v>0</v>
      </c>
      <c r="Z719" s="309">
        <f>Y719*(1+VLOOKUP($F719,'GL Category'!$A:$H,4,FALSE))</f>
        <v>0</v>
      </c>
      <c r="AA719" s="615"/>
      <c r="AB719" s="622">
        <f t="shared" si="885"/>
        <v>0</v>
      </c>
      <c r="AC719" s="633">
        <f>AB719*(1+VLOOKUP($F719,'GL Category'!$A:$H,5,FALSE))</f>
        <v>0</v>
      </c>
      <c r="AD719" s="307"/>
      <c r="AE719" s="622">
        <f t="shared" si="886"/>
        <v>0</v>
      </c>
      <c r="AF719" s="633">
        <f>AE719*(1+VLOOKUP($F719,'GL Category'!$A:$H,6,FALSE))</f>
        <v>0</v>
      </c>
      <c r="AG719" s="307"/>
      <c r="AH719" s="622">
        <f t="shared" si="887"/>
        <v>0</v>
      </c>
      <c r="AI719" s="633">
        <f>AH719*(1+VLOOKUP($F719,'GL Category'!$A:$H,7,FALSE))</f>
        <v>0</v>
      </c>
      <c r="AJ719" s="307"/>
      <c r="AK719" s="622">
        <f t="shared" si="888"/>
        <v>0</v>
      </c>
      <c r="AL719" s="633">
        <f>AK719*(1+VLOOKUP($F719,'GL Category'!$A:$H,8,FALSE))</f>
        <v>0</v>
      </c>
      <c r="AM719" s="307"/>
      <c r="AN719" s="622">
        <f t="shared" si="889"/>
        <v>0</v>
      </c>
    </row>
    <row r="720" spans="1:40" s="115" customFormat="1" ht="15" customHeight="1">
      <c r="A720" s="555" t="s">
        <v>2162</v>
      </c>
      <c r="B720" s="217" t="str">
        <f t="shared" si="870"/>
        <v>175</v>
      </c>
      <c r="C720" s="217" t="str">
        <f t="shared" si="871"/>
        <v>71</v>
      </c>
      <c r="D720" s="101" t="str">
        <f t="shared" si="872"/>
        <v>712</v>
      </c>
      <c r="E720" s="217" t="str">
        <f t="shared" si="873"/>
        <v>175-71-712</v>
      </c>
      <c r="F720" s="294" t="str">
        <f t="shared" si="874"/>
        <v>58840</v>
      </c>
      <c r="G720" s="295" t="str">
        <f>VLOOKUP(F720,'GL Category'!A:C,3,FALSE)</f>
        <v>Capital Outlay</v>
      </c>
      <c r="H720" s="98" t="str">
        <f>VLOOKUP(F720,'GL Category'!A:C,2,FALSE)</f>
        <v>MOTOR VEHICLES</v>
      </c>
      <c r="I720" s="99">
        <f>SUMIF(Import!$B:$B,'Other Fund Line-Item Details'!$A720,Import!D:D)</f>
        <v>27818.25</v>
      </c>
      <c r="J720" s="99">
        <f>SUMIF(Import!$B:$B,'Other Fund Line-Item Details'!$A720,Import!E:E)</f>
        <v>58952.5</v>
      </c>
      <c r="K720" s="99">
        <f>SUMIF(Import!$B:$B,'Other Fund Line-Item Details'!$A720,Import!F:F)</f>
        <v>0</v>
      </c>
      <c r="L720" s="99">
        <f>SUMIF(Import!$B:$B,'Other Fund Line-Item Details'!$A720,Import!G:G)</f>
        <v>33006.559999999998</v>
      </c>
      <c r="M720" s="99">
        <f>SUMIF(Import!$B:$B,'Other Fund Line-Item Details'!$A720,Import!H:H)</f>
        <v>49296</v>
      </c>
      <c r="N720" s="99">
        <f>SUMIF(Import!$B:$B,'Other Fund Line-Item Details'!$A720,Import!I:I)</f>
        <v>46890.9</v>
      </c>
      <c r="O720" s="99">
        <f>SUMIF(Import!$B:$B,'Other Fund Line-Item Details'!$A720,Import!J:J)</f>
        <v>49296</v>
      </c>
      <c r="P720" s="99">
        <f t="shared" si="881"/>
        <v>0</v>
      </c>
      <c r="Q720" s="99">
        <f>SUMIF(Import!$B:$B,'Other Fund Line-Item Details'!$A720,Import!K:K)</f>
        <v>54327</v>
      </c>
      <c r="R720" s="99">
        <f>SUMIF(Import!$B:$B,'Other Fund Line-Item Details'!$A720,Import!L:L)</f>
        <v>0</v>
      </c>
      <c r="S720" s="99">
        <f>SUMIF(Import!$B:$B,'Other Fund Line-Item Details'!$A720,Import!M:M)</f>
        <v>0</v>
      </c>
      <c r="T720" s="99">
        <f>SUMIF(Import!$B:$B,'Other Fund Line-Item Details'!$A720,Import!N:N)</f>
        <v>54327</v>
      </c>
      <c r="U720" s="99">
        <f t="shared" si="882"/>
        <v>5031</v>
      </c>
      <c r="V720" s="255">
        <f t="shared" si="883"/>
        <v>0.10205696202531644</v>
      </c>
      <c r="W720" s="102" t="s">
        <v>2162</v>
      </c>
      <c r="X720" s="102"/>
      <c r="Y720" s="102">
        <v>0</v>
      </c>
      <c r="Z720" s="309">
        <f>Y720*(1+VLOOKUP($F720,'GL Category'!$A:$H,4,FALSE))</f>
        <v>0</v>
      </c>
      <c r="AA720" s="615"/>
      <c r="AB720" s="622">
        <f t="shared" si="885"/>
        <v>0</v>
      </c>
      <c r="AC720" s="633">
        <f>AB720*(1+VLOOKUP($F720,'GL Category'!$A:$H,5,FALSE))</f>
        <v>0</v>
      </c>
      <c r="AD720" s="307"/>
      <c r="AE720" s="622">
        <f t="shared" si="886"/>
        <v>0</v>
      </c>
      <c r="AF720" s="633">
        <f>AE720*(1+VLOOKUP($F720,'GL Category'!$A:$H,6,FALSE))</f>
        <v>0</v>
      </c>
      <c r="AG720" s="307"/>
      <c r="AH720" s="622">
        <f t="shared" si="887"/>
        <v>0</v>
      </c>
      <c r="AI720" s="633">
        <f>AH720*(1+VLOOKUP($F720,'GL Category'!$A:$H,7,FALSE))</f>
        <v>0</v>
      </c>
      <c r="AJ720" s="307"/>
      <c r="AK720" s="622">
        <f t="shared" si="888"/>
        <v>0</v>
      </c>
      <c r="AL720" s="633">
        <f>AK720*(1+VLOOKUP($F720,'GL Category'!$A:$H,8,FALSE))</f>
        <v>0</v>
      </c>
      <c r="AM720" s="307"/>
      <c r="AN720" s="622">
        <f t="shared" si="889"/>
        <v>0</v>
      </c>
    </row>
    <row r="721" spans="1:40" s="115" customFormat="1" ht="15" customHeight="1">
      <c r="A721" s="555" t="s">
        <v>2163</v>
      </c>
      <c r="B721" s="217" t="str">
        <f t="shared" si="870"/>
        <v>175</v>
      </c>
      <c r="C721" s="217" t="str">
        <f t="shared" si="871"/>
        <v>73</v>
      </c>
      <c r="D721" s="101" t="str">
        <f t="shared" si="872"/>
        <v>734</v>
      </c>
      <c r="E721" s="217" t="str">
        <f t="shared" si="873"/>
        <v>175-73-734</v>
      </c>
      <c r="F721" s="294" t="str">
        <f t="shared" si="874"/>
        <v>58840</v>
      </c>
      <c r="G721" s="295" t="str">
        <f>VLOOKUP(F721,'GL Category'!A:C,3,FALSE)</f>
        <v>Capital Outlay</v>
      </c>
      <c r="H721" s="98" t="str">
        <f>VLOOKUP(F721,'GL Category'!A:C,2,FALSE)</f>
        <v>MOTOR VEHICLES</v>
      </c>
      <c r="I721" s="99">
        <f>SUMIF(Import!$B:$B,'Other Fund Line-Item Details'!$A721,Import!D:D)</f>
        <v>98824.68</v>
      </c>
      <c r="J721" s="99">
        <f>SUMIF(Import!$B:$B,'Other Fund Line-Item Details'!$A721,Import!E:E)</f>
        <v>0</v>
      </c>
      <c r="K721" s="99">
        <f>SUMIF(Import!$B:$B,'Other Fund Line-Item Details'!$A721,Import!F:F)</f>
        <v>0</v>
      </c>
      <c r="L721" s="99">
        <f>SUMIF(Import!$B:$B,'Other Fund Line-Item Details'!$A721,Import!G:G)</f>
        <v>0</v>
      </c>
      <c r="M721" s="99">
        <f>SUMIF(Import!$B:$B,'Other Fund Line-Item Details'!$A721,Import!H:H)</f>
        <v>0</v>
      </c>
      <c r="N721" s="99">
        <f>SUMIF(Import!$B:$B,'Other Fund Line-Item Details'!$A721,Import!I:I)</f>
        <v>51189.93</v>
      </c>
      <c r="O721" s="99">
        <f>SUMIF(Import!$B:$B,'Other Fund Line-Item Details'!$A721,Import!J:J)</f>
        <v>51190</v>
      </c>
      <c r="P721" s="99">
        <f t="shared" si="881"/>
        <v>51190</v>
      </c>
      <c r="Q721" s="99">
        <f>SUMIF(Import!$B:$B,'Other Fund Line-Item Details'!$A721,Import!K:K)</f>
        <v>0</v>
      </c>
      <c r="R721" s="99">
        <f>SUMIF(Import!$B:$B,'Other Fund Line-Item Details'!$A721,Import!L:L)</f>
        <v>0</v>
      </c>
      <c r="S721" s="99">
        <f>SUMIF(Import!$B:$B,'Other Fund Line-Item Details'!$A721,Import!M:M)</f>
        <v>0</v>
      </c>
      <c r="T721" s="99">
        <f>SUMIF(Import!$B:$B,'Other Fund Line-Item Details'!$A721,Import!N:N)</f>
        <v>0</v>
      </c>
      <c r="U721" s="99">
        <f t="shared" si="882"/>
        <v>0</v>
      </c>
      <c r="V721" s="255" t="str">
        <f t="shared" si="883"/>
        <v>N/A</v>
      </c>
      <c r="W721" s="102" t="s">
        <v>2163</v>
      </c>
      <c r="X721" s="102"/>
      <c r="Y721" s="102">
        <f t="shared" si="884"/>
        <v>0</v>
      </c>
      <c r="Z721" s="309">
        <f>Y721*(1+VLOOKUP($F721,'GL Category'!$A:$H,4,FALSE))</f>
        <v>0</v>
      </c>
      <c r="AA721" s="615"/>
      <c r="AB721" s="622">
        <f t="shared" si="885"/>
        <v>0</v>
      </c>
      <c r="AC721" s="633">
        <f>AB721*(1+VLOOKUP($F721,'GL Category'!$A:$H,5,FALSE))</f>
        <v>0</v>
      </c>
      <c r="AD721" s="307"/>
      <c r="AE721" s="622">
        <f t="shared" si="886"/>
        <v>0</v>
      </c>
      <c r="AF721" s="633">
        <f>AE721*(1+VLOOKUP($F721,'GL Category'!$A:$H,6,FALSE))</f>
        <v>0</v>
      </c>
      <c r="AG721" s="307"/>
      <c r="AH721" s="622">
        <f t="shared" si="887"/>
        <v>0</v>
      </c>
      <c r="AI721" s="633">
        <f>AH721*(1+VLOOKUP($F721,'GL Category'!$A:$H,7,FALSE))</f>
        <v>0</v>
      </c>
      <c r="AJ721" s="307"/>
      <c r="AK721" s="622">
        <f t="shared" si="888"/>
        <v>0</v>
      </c>
      <c r="AL721" s="633">
        <f>AK721*(1+VLOOKUP($F721,'GL Category'!$A:$H,8,FALSE))</f>
        <v>0</v>
      </c>
      <c r="AM721" s="307"/>
      <c r="AN721" s="622">
        <f t="shared" si="889"/>
        <v>0</v>
      </c>
    </row>
    <row r="722" spans="1:40" s="115" customFormat="1" ht="15" customHeight="1">
      <c r="A722" s="555" t="s">
        <v>2164</v>
      </c>
      <c r="B722" s="217" t="str">
        <f t="shared" si="870"/>
        <v>175</v>
      </c>
      <c r="C722" s="217" t="str">
        <f t="shared" si="871"/>
        <v>73</v>
      </c>
      <c r="D722" s="101" t="str">
        <f t="shared" si="872"/>
        <v>735</v>
      </c>
      <c r="E722" s="217" t="str">
        <f t="shared" si="873"/>
        <v>175-73-735</v>
      </c>
      <c r="F722" s="294" t="str">
        <f t="shared" si="874"/>
        <v>58830</v>
      </c>
      <c r="G722" s="295" t="str">
        <f>VLOOKUP(F722,'GL Category'!A:C,3,FALSE)</f>
        <v>Capital Outlay</v>
      </c>
      <c r="H722" s="98" t="str">
        <f>VLOOKUP(F722,'GL Category'!A:C,2,FALSE)</f>
        <v>MACHINERY &amp; EQUIPMENT</v>
      </c>
      <c r="I722" s="99">
        <f>SUMIF(Import!$B:$B,'Other Fund Line-Item Details'!$A722,Import!D:D)</f>
        <v>0</v>
      </c>
      <c r="J722" s="99">
        <f>SUMIF(Import!$B:$B,'Other Fund Line-Item Details'!$A722,Import!E:E)</f>
        <v>84996.58</v>
      </c>
      <c r="K722" s="99">
        <f>SUMIF(Import!$B:$B,'Other Fund Line-Item Details'!$A722,Import!F:F)</f>
        <v>95610.23</v>
      </c>
      <c r="L722" s="99">
        <f>SUMIF(Import!$B:$B,'Other Fund Line-Item Details'!$A722,Import!G:G)</f>
        <v>0</v>
      </c>
      <c r="M722" s="99">
        <f>SUMIF(Import!$B:$B,'Other Fund Line-Item Details'!$A722,Import!H:H)</f>
        <v>6850</v>
      </c>
      <c r="N722" s="99">
        <f>SUMIF(Import!$B:$B,'Other Fund Line-Item Details'!$A722,Import!I:I)</f>
        <v>0</v>
      </c>
      <c r="O722" s="99">
        <f>SUMIF(Import!$B:$B,'Other Fund Line-Item Details'!$A722,Import!J:J)</f>
        <v>6850</v>
      </c>
      <c r="P722" s="99">
        <f t="shared" si="881"/>
        <v>0</v>
      </c>
      <c r="Q722" s="99">
        <f>SUMIF(Import!$B:$B,'Other Fund Line-Item Details'!$A722,Import!K:K)</f>
        <v>6850</v>
      </c>
      <c r="R722" s="99">
        <f>SUMIF(Import!$B:$B,'Other Fund Line-Item Details'!$A722,Import!L:L)</f>
        <v>0</v>
      </c>
      <c r="S722" s="99">
        <f>SUMIF(Import!$B:$B,'Other Fund Line-Item Details'!$A722,Import!M:M)</f>
        <v>0</v>
      </c>
      <c r="T722" s="99">
        <f>SUMIF(Import!$B:$B,'Other Fund Line-Item Details'!$A722,Import!N:N)</f>
        <v>6850</v>
      </c>
      <c r="U722" s="99">
        <f t="shared" si="882"/>
        <v>0</v>
      </c>
      <c r="V722" s="255">
        <f t="shared" si="883"/>
        <v>0</v>
      </c>
      <c r="W722" s="102" t="s">
        <v>2164</v>
      </c>
      <c r="X722" s="102"/>
      <c r="Y722" s="102">
        <v>0</v>
      </c>
      <c r="Z722" s="309">
        <f>Y722*(1+VLOOKUP($F722,'GL Category'!$A:$H,4,FALSE))</f>
        <v>0</v>
      </c>
      <c r="AA722" s="615"/>
      <c r="AB722" s="622">
        <f t="shared" si="885"/>
        <v>0</v>
      </c>
      <c r="AC722" s="633">
        <f>AB722*(1+VLOOKUP($F722,'GL Category'!$A:$H,5,FALSE))</f>
        <v>0</v>
      </c>
      <c r="AD722" s="307"/>
      <c r="AE722" s="622">
        <f t="shared" si="886"/>
        <v>0</v>
      </c>
      <c r="AF722" s="633">
        <f>AE722*(1+VLOOKUP($F722,'GL Category'!$A:$H,6,FALSE))</f>
        <v>0</v>
      </c>
      <c r="AG722" s="307"/>
      <c r="AH722" s="622">
        <f t="shared" si="887"/>
        <v>0</v>
      </c>
      <c r="AI722" s="633">
        <f>AH722*(1+VLOOKUP($F722,'GL Category'!$A:$H,7,FALSE))</f>
        <v>0</v>
      </c>
      <c r="AJ722" s="307"/>
      <c r="AK722" s="622">
        <f t="shared" si="888"/>
        <v>0</v>
      </c>
      <c r="AL722" s="633">
        <f>AK722*(1+VLOOKUP($F722,'GL Category'!$A:$H,8,FALSE))</f>
        <v>0</v>
      </c>
      <c r="AM722" s="307"/>
      <c r="AN722" s="622">
        <f t="shared" si="889"/>
        <v>0</v>
      </c>
    </row>
    <row r="723" spans="1:40" s="115" customFormat="1" ht="15" customHeight="1">
      <c r="A723" s="555" t="s">
        <v>2165</v>
      </c>
      <c r="B723" s="217" t="str">
        <f t="shared" si="870"/>
        <v>175</v>
      </c>
      <c r="C723" s="217" t="str">
        <f t="shared" si="871"/>
        <v>73</v>
      </c>
      <c r="D723" s="101" t="str">
        <f t="shared" si="872"/>
        <v>735</v>
      </c>
      <c r="E723" s="217" t="str">
        <f t="shared" si="873"/>
        <v>175-73-735</v>
      </c>
      <c r="F723" s="294" t="str">
        <f t="shared" si="874"/>
        <v>58840</v>
      </c>
      <c r="G723" s="295" t="str">
        <f>VLOOKUP(F723,'GL Category'!A:C,3,FALSE)</f>
        <v>Capital Outlay</v>
      </c>
      <c r="H723" s="98" t="str">
        <f>VLOOKUP(F723,'GL Category'!A:C,2,FALSE)</f>
        <v>MOTOR VEHICLES</v>
      </c>
      <c r="I723" s="99">
        <f>SUMIF(Import!$B:$B,'Other Fund Line-Item Details'!$A723,Import!D:D)</f>
        <v>125860.33</v>
      </c>
      <c r="J723" s="99">
        <f>SUMIF(Import!$B:$B,'Other Fund Line-Item Details'!$A723,Import!E:E)</f>
        <v>0</v>
      </c>
      <c r="K723" s="99">
        <f>SUMIF(Import!$B:$B,'Other Fund Line-Item Details'!$A723,Import!F:F)</f>
        <v>43427.37</v>
      </c>
      <c r="L723" s="99">
        <f>SUMIF(Import!$B:$B,'Other Fund Line-Item Details'!$A723,Import!G:G)</f>
        <v>0</v>
      </c>
      <c r="M723" s="99">
        <f>SUMIF(Import!$B:$B,'Other Fund Line-Item Details'!$A723,Import!H:H)</f>
        <v>112645</v>
      </c>
      <c r="N723" s="99">
        <f>SUMIF(Import!$B:$B,'Other Fund Line-Item Details'!$A723,Import!I:I)</f>
        <v>148578.93</v>
      </c>
      <c r="O723" s="99">
        <f>SUMIF(Import!$B:$B,'Other Fund Line-Item Details'!$A723,Import!J:J)</f>
        <v>148580</v>
      </c>
      <c r="P723" s="99">
        <f t="shared" si="881"/>
        <v>35935</v>
      </c>
      <c r="Q723" s="99">
        <f>SUMIF(Import!$B:$B,'Other Fund Line-Item Details'!$A723,Import!K:K)</f>
        <v>0</v>
      </c>
      <c r="R723" s="99">
        <f>SUMIF(Import!$B:$B,'Other Fund Line-Item Details'!$A723,Import!L:L)</f>
        <v>0</v>
      </c>
      <c r="S723" s="99">
        <f>SUMIF(Import!$B:$B,'Other Fund Line-Item Details'!$A723,Import!M:M)</f>
        <v>0</v>
      </c>
      <c r="T723" s="99">
        <f>SUMIF(Import!$B:$B,'Other Fund Line-Item Details'!$A723,Import!N:N)</f>
        <v>0</v>
      </c>
      <c r="U723" s="99">
        <f t="shared" si="882"/>
        <v>-112645</v>
      </c>
      <c r="V723" s="255">
        <f t="shared" si="883"/>
        <v>-1</v>
      </c>
      <c r="W723" s="102" t="s">
        <v>2165</v>
      </c>
      <c r="X723" s="102"/>
      <c r="Y723" s="102">
        <f t="shared" si="884"/>
        <v>0</v>
      </c>
      <c r="Z723" s="309">
        <f>Y723*(1+VLOOKUP($F723,'GL Category'!$A:$H,4,FALSE))</f>
        <v>0</v>
      </c>
      <c r="AA723" s="615"/>
      <c r="AB723" s="622">
        <f t="shared" si="885"/>
        <v>0</v>
      </c>
      <c r="AC723" s="633">
        <f>AB723*(1+VLOOKUP($F723,'GL Category'!$A:$H,5,FALSE))</f>
        <v>0</v>
      </c>
      <c r="AD723" s="307"/>
      <c r="AE723" s="622">
        <f t="shared" si="886"/>
        <v>0</v>
      </c>
      <c r="AF723" s="633">
        <f>AE723*(1+VLOOKUP($F723,'GL Category'!$A:$H,6,FALSE))</f>
        <v>0</v>
      </c>
      <c r="AG723" s="307"/>
      <c r="AH723" s="622">
        <f t="shared" si="887"/>
        <v>0</v>
      </c>
      <c r="AI723" s="633">
        <f>AH723*(1+VLOOKUP($F723,'GL Category'!$A:$H,7,FALSE))</f>
        <v>0</v>
      </c>
      <c r="AJ723" s="307"/>
      <c r="AK723" s="622">
        <f t="shared" si="888"/>
        <v>0</v>
      </c>
      <c r="AL723" s="633">
        <f>AK723*(1+VLOOKUP($F723,'GL Category'!$A:$H,8,FALSE))</f>
        <v>0</v>
      </c>
      <c r="AM723" s="307"/>
      <c r="AN723" s="622">
        <f t="shared" si="889"/>
        <v>0</v>
      </c>
    </row>
    <row r="724" spans="1:40" s="115" customFormat="1" ht="15" customHeight="1">
      <c r="A724" s="555" t="s">
        <v>2166</v>
      </c>
      <c r="B724" s="217" t="str">
        <f t="shared" si="870"/>
        <v>175</v>
      </c>
      <c r="C724" s="217" t="str">
        <f t="shared" si="871"/>
        <v>75</v>
      </c>
      <c r="D724" s="101" t="str">
        <f t="shared" si="872"/>
        <v>752</v>
      </c>
      <c r="E724" s="217" t="str">
        <f t="shared" si="873"/>
        <v>175-75-752</v>
      </c>
      <c r="F724" s="294" t="str">
        <f t="shared" si="874"/>
        <v>58830</v>
      </c>
      <c r="G724" s="295" t="str">
        <f>VLOOKUP(F724,'GL Category'!A:C,3,FALSE)</f>
        <v>Capital Outlay</v>
      </c>
      <c r="H724" s="98" t="str">
        <f>VLOOKUP(F724,'GL Category'!A:C,2,FALSE)</f>
        <v>MACHINERY &amp; EQUIPMENT</v>
      </c>
      <c r="I724" s="99">
        <f>SUMIF(Import!$B:$B,'Other Fund Line-Item Details'!$A724,Import!D:D)</f>
        <v>457886.75</v>
      </c>
      <c r="J724" s="99">
        <f>SUMIF(Import!$B:$B,'Other Fund Line-Item Details'!$A724,Import!E:E)</f>
        <v>0</v>
      </c>
      <c r="K724" s="99">
        <f>SUMIF(Import!$B:$B,'Other Fund Line-Item Details'!$A724,Import!F:F)</f>
        <v>0</v>
      </c>
      <c r="L724" s="99">
        <f>SUMIF(Import!$B:$B,'Other Fund Line-Item Details'!$A724,Import!G:G)</f>
        <v>71066.880000000005</v>
      </c>
      <c r="M724" s="99">
        <f>SUMIF(Import!$B:$B,'Other Fund Line-Item Details'!$A724,Import!H:H)</f>
        <v>740505</v>
      </c>
      <c r="N724" s="99">
        <f>SUMIF(Import!$B:$B,'Other Fund Line-Item Details'!$A724,Import!I:I)</f>
        <v>541897.75</v>
      </c>
      <c r="O724" s="99">
        <f>SUMIF(Import!$B:$B,'Other Fund Line-Item Details'!$A724,Import!J:J)</f>
        <v>740505</v>
      </c>
      <c r="P724" s="99">
        <f t="shared" si="881"/>
        <v>0</v>
      </c>
      <c r="Q724" s="99">
        <f>SUMIF(Import!$B:$B,'Other Fund Line-Item Details'!$A724,Import!K:K)</f>
        <v>375000</v>
      </c>
      <c r="R724" s="99">
        <f>SUMIF(Import!$B:$B,'Other Fund Line-Item Details'!$A724,Import!L:L)</f>
        <v>0</v>
      </c>
      <c r="S724" s="99">
        <f>SUMIF(Import!$B:$B,'Other Fund Line-Item Details'!$A724,Import!M:M)</f>
        <v>0</v>
      </c>
      <c r="T724" s="99">
        <f>SUMIF(Import!$B:$B,'Other Fund Line-Item Details'!$A724,Import!N:N)</f>
        <v>375000</v>
      </c>
      <c r="U724" s="99">
        <f t="shared" si="882"/>
        <v>-365505</v>
      </c>
      <c r="V724" s="255">
        <f t="shared" si="883"/>
        <v>-0.49358883464662628</v>
      </c>
      <c r="W724" s="102" t="s">
        <v>2166</v>
      </c>
      <c r="X724" s="102"/>
      <c r="Y724" s="102">
        <v>0</v>
      </c>
      <c r="Z724" s="309">
        <f>Y724*(1+VLOOKUP($F724,'GL Category'!$A:$H,4,FALSE))</f>
        <v>0</v>
      </c>
      <c r="AA724" s="615"/>
      <c r="AB724" s="622">
        <f t="shared" si="885"/>
        <v>0</v>
      </c>
      <c r="AC724" s="633">
        <f>AB724*(1+VLOOKUP($F724,'GL Category'!$A:$H,5,FALSE))</f>
        <v>0</v>
      </c>
      <c r="AD724" s="307"/>
      <c r="AE724" s="622">
        <f t="shared" si="886"/>
        <v>0</v>
      </c>
      <c r="AF724" s="633">
        <f>AE724*(1+VLOOKUP($F724,'GL Category'!$A:$H,6,FALSE))</f>
        <v>0</v>
      </c>
      <c r="AG724" s="307"/>
      <c r="AH724" s="622">
        <f t="shared" si="887"/>
        <v>0</v>
      </c>
      <c r="AI724" s="633">
        <f>AH724*(1+VLOOKUP($F724,'GL Category'!$A:$H,7,FALSE))</f>
        <v>0</v>
      </c>
      <c r="AJ724" s="307"/>
      <c r="AK724" s="622">
        <f t="shared" si="888"/>
        <v>0</v>
      </c>
      <c r="AL724" s="633">
        <f>AK724*(1+VLOOKUP($F724,'GL Category'!$A:$H,8,FALSE))</f>
        <v>0</v>
      </c>
      <c r="AM724" s="307"/>
      <c r="AN724" s="622">
        <f t="shared" si="889"/>
        <v>0</v>
      </c>
    </row>
    <row r="725" spans="1:40" s="115" customFormat="1" ht="15" customHeight="1">
      <c r="A725" s="555" t="s">
        <v>2167</v>
      </c>
      <c r="B725" s="217" t="str">
        <f t="shared" si="870"/>
        <v>175</v>
      </c>
      <c r="C725" s="217" t="str">
        <f t="shared" si="871"/>
        <v>75</v>
      </c>
      <c r="D725" s="101" t="str">
        <f t="shared" si="872"/>
        <v>752</v>
      </c>
      <c r="E725" s="217" t="str">
        <f t="shared" si="873"/>
        <v>175-75-752</v>
      </c>
      <c r="F725" s="294" t="str">
        <f t="shared" si="874"/>
        <v>58840</v>
      </c>
      <c r="G725" s="295" t="str">
        <f>VLOOKUP(F725,'GL Category'!A:C,3,FALSE)</f>
        <v>Capital Outlay</v>
      </c>
      <c r="H725" s="98" t="str">
        <f>VLOOKUP(F725,'GL Category'!A:C,2,FALSE)</f>
        <v>MOTOR VEHICLES</v>
      </c>
      <c r="I725" s="99">
        <f>SUMIF(Import!$B:$B,'Other Fund Line-Item Details'!$A725,Import!D:D)</f>
        <v>0</v>
      </c>
      <c r="J725" s="99">
        <f>SUMIF(Import!$B:$B,'Other Fund Line-Item Details'!$A725,Import!E:E)</f>
        <v>0</v>
      </c>
      <c r="K725" s="99">
        <f>SUMIF(Import!$B:$B,'Other Fund Line-Item Details'!$A725,Import!F:F)</f>
        <v>139435.1</v>
      </c>
      <c r="L725" s="99">
        <f>SUMIF(Import!$B:$B,'Other Fund Line-Item Details'!$A725,Import!G:G)</f>
        <v>56327.96</v>
      </c>
      <c r="M725" s="99">
        <f>SUMIF(Import!$B:$B,'Other Fund Line-Item Details'!$A725,Import!H:H)</f>
        <v>88574</v>
      </c>
      <c r="N725" s="99">
        <f>SUMIF(Import!$B:$B,'Other Fund Line-Item Details'!$A725,Import!I:I)</f>
        <v>0</v>
      </c>
      <c r="O725" s="99">
        <f>SUMIF(Import!$B:$B,'Other Fund Line-Item Details'!$A725,Import!J:J)</f>
        <v>88574</v>
      </c>
      <c r="P725" s="99">
        <f t="shared" si="881"/>
        <v>0</v>
      </c>
      <c r="Q725" s="99">
        <f>SUMIF(Import!$B:$B,'Other Fund Line-Item Details'!$A725,Import!K:K)</f>
        <v>156216</v>
      </c>
      <c r="R725" s="99">
        <f>SUMIF(Import!$B:$B,'Other Fund Line-Item Details'!$A725,Import!L:L)</f>
        <v>0</v>
      </c>
      <c r="S725" s="99">
        <f>SUMIF(Import!$B:$B,'Other Fund Line-Item Details'!$A725,Import!M:M)</f>
        <v>0</v>
      </c>
      <c r="T725" s="99">
        <f>SUMIF(Import!$B:$B,'Other Fund Line-Item Details'!$A725,Import!N:N)</f>
        <v>156216</v>
      </c>
      <c r="U725" s="99">
        <f t="shared" si="882"/>
        <v>67642</v>
      </c>
      <c r="V725" s="255">
        <f t="shared" si="883"/>
        <v>0.76367782870819889</v>
      </c>
      <c r="W725" s="102" t="s">
        <v>2167</v>
      </c>
      <c r="X725" s="102"/>
      <c r="Y725" s="102">
        <v>0</v>
      </c>
      <c r="Z725" s="309">
        <f>Y725*(1+VLOOKUP($F725,'GL Category'!$A:$H,4,FALSE))</f>
        <v>0</v>
      </c>
      <c r="AA725" s="615"/>
      <c r="AB725" s="622">
        <f t="shared" si="885"/>
        <v>0</v>
      </c>
      <c r="AC725" s="633">
        <f>AB725*(1+VLOOKUP($F725,'GL Category'!$A:$H,5,FALSE))</f>
        <v>0</v>
      </c>
      <c r="AD725" s="307"/>
      <c r="AE725" s="622">
        <f t="shared" si="886"/>
        <v>0</v>
      </c>
      <c r="AF725" s="633">
        <f>AE725*(1+VLOOKUP($F725,'GL Category'!$A:$H,6,FALSE))</f>
        <v>0</v>
      </c>
      <c r="AG725" s="307"/>
      <c r="AH725" s="622">
        <f t="shared" si="887"/>
        <v>0</v>
      </c>
      <c r="AI725" s="633">
        <f>AH725*(1+VLOOKUP($F725,'GL Category'!$A:$H,7,FALSE))</f>
        <v>0</v>
      </c>
      <c r="AJ725" s="307"/>
      <c r="AK725" s="622">
        <f t="shared" si="888"/>
        <v>0</v>
      </c>
      <c r="AL725" s="633">
        <f>AK725*(1+VLOOKUP($F725,'GL Category'!$A:$H,8,FALSE))</f>
        <v>0</v>
      </c>
      <c r="AM725" s="307"/>
      <c r="AN725" s="622">
        <f t="shared" si="889"/>
        <v>0</v>
      </c>
    </row>
    <row r="726" spans="1:40" s="115" customFormat="1" ht="15" customHeight="1">
      <c r="A726" s="555" t="s">
        <v>3238</v>
      </c>
      <c r="B726" s="217" t="str">
        <f t="shared" si="870"/>
        <v>175</v>
      </c>
      <c r="C726" s="217" t="str">
        <f t="shared" si="871"/>
        <v>77</v>
      </c>
      <c r="D726" s="101" t="str">
        <f t="shared" si="872"/>
        <v>772</v>
      </c>
      <c r="E726" s="217" t="str">
        <f t="shared" si="873"/>
        <v>175-77-772</v>
      </c>
      <c r="F726" s="294" t="str">
        <f t="shared" si="874"/>
        <v>58830</v>
      </c>
      <c r="G726" s="295" t="str">
        <f>VLOOKUP(F726,'GL Category'!A:C,3,FALSE)</f>
        <v>Capital Outlay</v>
      </c>
      <c r="H726" s="98" t="str">
        <f>VLOOKUP(F726,'GL Category'!A:C,2,FALSE)</f>
        <v>MACHINERY &amp; EQUIPMENT</v>
      </c>
      <c r="I726" s="99">
        <f>SUMIF(Import!$B:$B,'Other Fund Line-Item Details'!$A726,Import!D:D)</f>
        <v>0</v>
      </c>
      <c r="J726" s="99">
        <f>SUMIF(Import!$B:$B,'Other Fund Line-Item Details'!$A726,Import!E:E)</f>
        <v>0</v>
      </c>
      <c r="K726" s="99">
        <f>SUMIF(Import!$B:$B,'Other Fund Line-Item Details'!$A726,Import!F:F)</f>
        <v>37637.480000000003</v>
      </c>
      <c r="L726" s="99">
        <f>SUMIF(Import!$B:$B,'Other Fund Line-Item Details'!$A726,Import!G:G)</f>
        <v>0</v>
      </c>
      <c r="M726" s="99">
        <f>SUMIF(Import!$B:$B,'Other Fund Line-Item Details'!$A726,Import!H:H)</f>
        <v>0</v>
      </c>
      <c r="N726" s="99">
        <f>SUMIF(Import!$B:$B,'Other Fund Line-Item Details'!$A726,Import!I:I)</f>
        <v>0</v>
      </c>
      <c r="O726" s="99">
        <f>SUMIF(Import!$B:$B,'Other Fund Line-Item Details'!$A726,Import!J:J)</f>
        <v>0</v>
      </c>
      <c r="P726" s="99">
        <f t="shared" ref="P726" si="930">O726-M726</f>
        <v>0</v>
      </c>
      <c r="Q726" s="99">
        <f>SUMIF(Import!$B:$B,'Other Fund Line-Item Details'!$A726,Import!K:K)</f>
        <v>0</v>
      </c>
      <c r="R726" s="99">
        <f>SUMIF(Import!$B:$B,'Other Fund Line-Item Details'!$A726,Import!L:L)</f>
        <v>0</v>
      </c>
      <c r="S726" s="99">
        <f>SUMIF(Import!$B:$B,'Other Fund Line-Item Details'!$A726,Import!M:M)</f>
        <v>0</v>
      </c>
      <c r="T726" s="99">
        <f>SUMIF(Import!$B:$B,'Other Fund Line-Item Details'!$A726,Import!N:N)</f>
        <v>0</v>
      </c>
      <c r="U726" s="99">
        <f t="shared" ref="U726" si="931">T726-M726</f>
        <v>0</v>
      </c>
      <c r="V726" s="255" t="str">
        <f t="shared" ref="V726" si="932">IF(M726=0,"N/A",T726/M726-1)</f>
        <v>N/A</v>
      </c>
      <c r="W726" s="102" t="s">
        <v>3320</v>
      </c>
      <c r="X726" s="102"/>
      <c r="Y726" s="102">
        <f t="shared" si="884"/>
        <v>0</v>
      </c>
      <c r="Z726" s="309">
        <f>Y726*(1+VLOOKUP($F726,'GL Category'!$A:$H,4,FALSE))</f>
        <v>0</v>
      </c>
      <c r="AA726" s="615"/>
      <c r="AB726" s="622">
        <f t="shared" si="885"/>
        <v>0</v>
      </c>
      <c r="AC726" s="633">
        <f>AB726*(1+VLOOKUP($F726,'GL Category'!$A:$H,5,FALSE))</f>
        <v>0</v>
      </c>
      <c r="AD726" s="307"/>
      <c r="AE726" s="622">
        <f t="shared" si="886"/>
        <v>0</v>
      </c>
      <c r="AF726" s="633">
        <f>AE726*(1+VLOOKUP($F726,'GL Category'!$A:$H,6,FALSE))</f>
        <v>0</v>
      </c>
      <c r="AG726" s="307"/>
      <c r="AH726" s="622">
        <f t="shared" si="887"/>
        <v>0</v>
      </c>
      <c r="AI726" s="633">
        <f>AH726*(1+VLOOKUP($F726,'GL Category'!$A:$H,7,FALSE))</f>
        <v>0</v>
      </c>
      <c r="AJ726" s="307"/>
      <c r="AK726" s="622">
        <f t="shared" si="888"/>
        <v>0</v>
      </c>
      <c r="AL726" s="633">
        <f>AK726*(1+VLOOKUP($F726,'GL Category'!$A:$H,8,FALSE))</f>
        <v>0</v>
      </c>
      <c r="AM726" s="307"/>
      <c r="AN726" s="622">
        <f t="shared" si="889"/>
        <v>0</v>
      </c>
    </row>
    <row r="727" spans="1:40" s="115" customFormat="1" ht="15" customHeight="1">
      <c r="A727" s="555" t="s">
        <v>2168</v>
      </c>
      <c r="B727" s="217" t="str">
        <f t="shared" si="870"/>
        <v>175</v>
      </c>
      <c r="C727" s="217" t="str">
        <f t="shared" si="871"/>
        <v>77</v>
      </c>
      <c r="D727" s="101" t="str">
        <f t="shared" si="872"/>
        <v>772</v>
      </c>
      <c r="E727" s="217" t="str">
        <f t="shared" si="873"/>
        <v>175-77-772</v>
      </c>
      <c r="F727" s="294" t="str">
        <f t="shared" si="874"/>
        <v>58840</v>
      </c>
      <c r="G727" s="295" t="str">
        <f>VLOOKUP(F727,'GL Category'!A:C,3,FALSE)</f>
        <v>Capital Outlay</v>
      </c>
      <c r="H727" s="98" t="str">
        <f>VLOOKUP(F727,'GL Category'!A:C,2,FALSE)</f>
        <v>MOTOR VEHICLES</v>
      </c>
      <c r="I727" s="99">
        <f>SUMIF(Import!$B:$B,'Other Fund Line-Item Details'!$A727,Import!D:D)</f>
        <v>128000</v>
      </c>
      <c r="J727" s="99">
        <f>SUMIF(Import!$B:$B,'Other Fund Line-Item Details'!$A727,Import!E:E)</f>
        <v>0</v>
      </c>
      <c r="K727" s="99">
        <f>SUMIF(Import!$B:$B,'Other Fund Line-Item Details'!$A727,Import!F:F)</f>
        <v>0</v>
      </c>
      <c r="L727" s="99">
        <f>SUMIF(Import!$B:$B,'Other Fund Line-Item Details'!$A727,Import!G:G)</f>
        <v>0</v>
      </c>
      <c r="M727" s="99">
        <f>SUMIF(Import!$B:$B,'Other Fund Line-Item Details'!$A727,Import!H:H)</f>
        <v>49296</v>
      </c>
      <c r="N727" s="99">
        <f>SUMIF(Import!$B:$B,'Other Fund Line-Item Details'!$A727,Import!I:I)</f>
        <v>45711.3</v>
      </c>
      <c r="O727" s="99">
        <f>SUMIF(Import!$B:$B,'Other Fund Line-Item Details'!$A727,Import!J:J)</f>
        <v>49296</v>
      </c>
      <c r="P727" s="99">
        <f t="shared" si="881"/>
        <v>0</v>
      </c>
      <c r="Q727" s="99">
        <f>SUMIF(Import!$B:$B,'Other Fund Line-Item Details'!$A727,Import!K:K)</f>
        <v>0</v>
      </c>
      <c r="R727" s="99">
        <f>SUMIF(Import!$B:$B,'Other Fund Line-Item Details'!$A727,Import!L:L)</f>
        <v>0</v>
      </c>
      <c r="S727" s="99">
        <f>SUMIF(Import!$B:$B,'Other Fund Line-Item Details'!$A727,Import!M:M)</f>
        <v>0</v>
      </c>
      <c r="T727" s="99">
        <f>SUMIF(Import!$B:$B,'Other Fund Line-Item Details'!$A727,Import!N:N)</f>
        <v>0</v>
      </c>
      <c r="U727" s="99">
        <f t="shared" si="882"/>
        <v>-49296</v>
      </c>
      <c r="V727" s="255">
        <f t="shared" si="883"/>
        <v>-1</v>
      </c>
      <c r="W727" s="102" t="s">
        <v>2168</v>
      </c>
      <c r="X727" s="102"/>
      <c r="Y727" s="102">
        <f t="shared" si="884"/>
        <v>0</v>
      </c>
      <c r="Z727" s="309">
        <f>Y727*(1+VLOOKUP($F727,'GL Category'!$A:$H,4,FALSE))</f>
        <v>0</v>
      </c>
      <c r="AA727" s="615"/>
      <c r="AB727" s="622">
        <f t="shared" si="885"/>
        <v>0</v>
      </c>
      <c r="AC727" s="633">
        <f>AB727*(1+VLOOKUP($F727,'GL Category'!$A:$H,5,FALSE))</f>
        <v>0</v>
      </c>
      <c r="AD727" s="307"/>
      <c r="AE727" s="622">
        <f t="shared" si="886"/>
        <v>0</v>
      </c>
      <c r="AF727" s="633">
        <f>AE727*(1+VLOOKUP($F727,'GL Category'!$A:$H,6,FALSE))</f>
        <v>0</v>
      </c>
      <c r="AG727" s="307"/>
      <c r="AH727" s="622">
        <f t="shared" si="887"/>
        <v>0</v>
      </c>
      <c r="AI727" s="633">
        <f>AH727*(1+VLOOKUP($F727,'GL Category'!$A:$H,7,FALSE))</f>
        <v>0</v>
      </c>
      <c r="AJ727" s="307"/>
      <c r="AK727" s="622">
        <f t="shared" si="888"/>
        <v>0</v>
      </c>
      <c r="AL727" s="633">
        <f>AK727*(1+VLOOKUP($F727,'GL Category'!$A:$H,8,FALSE))</f>
        <v>0</v>
      </c>
      <c r="AM727" s="307"/>
      <c r="AN727" s="622">
        <f t="shared" si="889"/>
        <v>0</v>
      </c>
    </row>
    <row r="728" spans="1:40" s="115" customFormat="1" ht="15" customHeight="1">
      <c r="A728" s="555" t="s">
        <v>2169</v>
      </c>
      <c r="B728" s="217" t="str">
        <f t="shared" si="870"/>
        <v>175</v>
      </c>
      <c r="C728" s="217" t="str">
        <f t="shared" si="871"/>
        <v>81</v>
      </c>
      <c r="D728" s="101" t="str">
        <f t="shared" si="872"/>
        <v>815</v>
      </c>
      <c r="E728" s="217" t="str">
        <f t="shared" si="873"/>
        <v>175-81-815</v>
      </c>
      <c r="F728" s="294" t="str">
        <f t="shared" si="874"/>
        <v>58840</v>
      </c>
      <c r="G728" s="295" t="str">
        <f>VLOOKUP(F728,'GL Category'!A:C,3,FALSE)</f>
        <v>Capital Outlay</v>
      </c>
      <c r="H728" s="98" t="str">
        <f>VLOOKUP(F728,'GL Category'!A:C,2,FALSE)</f>
        <v>MOTOR VEHICLES</v>
      </c>
      <c r="I728" s="99">
        <f>SUMIF(Import!$B:$B,'Other Fund Line-Item Details'!$A728,Import!D:D)</f>
        <v>49814.82</v>
      </c>
      <c r="J728" s="99">
        <f>SUMIF(Import!$B:$B,'Other Fund Line-Item Details'!$A728,Import!E:E)</f>
        <v>31847.55</v>
      </c>
      <c r="K728" s="99">
        <f>SUMIF(Import!$B:$B,'Other Fund Line-Item Details'!$A728,Import!F:F)</f>
        <v>0</v>
      </c>
      <c r="L728" s="99">
        <f>SUMIF(Import!$B:$B,'Other Fund Line-Item Details'!$A728,Import!G:G)</f>
        <v>0</v>
      </c>
      <c r="M728" s="99">
        <f>SUMIF(Import!$B:$B,'Other Fund Line-Item Details'!$A728,Import!H:H)</f>
        <v>0</v>
      </c>
      <c r="N728" s="99">
        <f>SUMIF(Import!$B:$B,'Other Fund Line-Item Details'!$A728,Import!I:I)</f>
        <v>0</v>
      </c>
      <c r="O728" s="99">
        <f>SUMIF(Import!$B:$B,'Other Fund Line-Item Details'!$A728,Import!J:J)</f>
        <v>0</v>
      </c>
      <c r="P728" s="99">
        <f t="shared" si="881"/>
        <v>0</v>
      </c>
      <c r="Q728" s="99">
        <f>SUMIF(Import!$B:$B,'Other Fund Line-Item Details'!$A728,Import!K:K)</f>
        <v>62528</v>
      </c>
      <c r="R728" s="99">
        <f>SUMIF(Import!$B:$B,'Other Fund Line-Item Details'!$A728,Import!L:L)</f>
        <v>0</v>
      </c>
      <c r="S728" s="99">
        <f>SUMIF(Import!$B:$B,'Other Fund Line-Item Details'!$A728,Import!M:M)</f>
        <v>240000</v>
      </c>
      <c r="T728" s="99">
        <f>SUMIF(Import!$B:$B,'Other Fund Line-Item Details'!$A728,Import!N:N)</f>
        <v>302528</v>
      </c>
      <c r="U728" s="99">
        <f t="shared" si="882"/>
        <v>302528</v>
      </c>
      <c r="V728" s="255" t="str">
        <f t="shared" si="883"/>
        <v>N/A</v>
      </c>
      <c r="W728" s="102" t="s">
        <v>2169</v>
      </c>
      <c r="X728" s="102"/>
      <c r="Y728" s="102">
        <v>0</v>
      </c>
      <c r="Z728" s="309">
        <f>Y728*(1+VLOOKUP($F728,'GL Category'!$A:$H,4,FALSE))</f>
        <v>0</v>
      </c>
      <c r="AA728" s="615"/>
      <c r="AB728" s="622">
        <f t="shared" si="885"/>
        <v>0</v>
      </c>
      <c r="AC728" s="633">
        <f>AB728*(1+VLOOKUP($F728,'GL Category'!$A:$H,5,FALSE))</f>
        <v>0</v>
      </c>
      <c r="AD728" s="307"/>
      <c r="AE728" s="622">
        <f t="shared" si="886"/>
        <v>0</v>
      </c>
      <c r="AF728" s="633">
        <f>AE728*(1+VLOOKUP($F728,'GL Category'!$A:$H,6,FALSE))</f>
        <v>0</v>
      </c>
      <c r="AG728" s="307"/>
      <c r="AH728" s="622">
        <f t="shared" si="887"/>
        <v>0</v>
      </c>
      <c r="AI728" s="633">
        <f>AH728*(1+VLOOKUP($F728,'GL Category'!$A:$H,7,FALSE))</f>
        <v>0</v>
      </c>
      <c r="AJ728" s="307"/>
      <c r="AK728" s="622">
        <f t="shared" si="888"/>
        <v>0</v>
      </c>
      <c r="AL728" s="633">
        <f>AK728*(1+VLOOKUP($F728,'GL Category'!$A:$H,8,FALSE))</f>
        <v>0</v>
      </c>
      <c r="AM728" s="307"/>
      <c r="AN728" s="622">
        <f t="shared" si="889"/>
        <v>0</v>
      </c>
    </row>
    <row r="729" spans="1:40" s="115" customFormat="1" ht="15" customHeight="1">
      <c r="A729" s="555"/>
      <c r="B729" s="217"/>
      <c r="C729" s="217"/>
      <c r="D729" s="101"/>
      <c r="E729" s="217"/>
      <c r="F729" s="294"/>
      <c r="G729" s="146"/>
      <c r="H729" s="114" t="s">
        <v>677</v>
      </c>
      <c r="I729" s="108">
        <f t="shared" ref="I729:T729" si="933">SUBTOTAL(9,I691:I728)</f>
        <v>2077821.4600000002</v>
      </c>
      <c r="J729" s="108">
        <f t="shared" si="933"/>
        <v>511470</v>
      </c>
      <c r="K729" s="108">
        <f t="shared" si="933"/>
        <v>917101.29</v>
      </c>
      <c r="L729" s="108">
        <f t="shared" si="933"/>
        <v>2170947.33</v>
      </c>
      <c r="M729" s="108">
        <f t="shared" si="933"/>
        <v>2535461</v>
      </c>
      <c r="N729" s="108">
        <f t="shared" si="933"/>
        <v>1204709.6100000001</v>
      </c>
      <c r="O729" s="108">
        <f t="shared" si="933"/>
        <v>2654481</v>
      </c>
      <c r="P729" s="108">
        <f t="shared" si="933"/>
        <v>119020</v>
      </c>
      <c r="Q729" s="108">
        <f t="shared" si="933"/>
        <v>2257820</v>
      </c>
      <c r="R729" s="108">
        <f t="shared" si="933"/>
        <v>0</v>
      </c>
      <c r="S729" s="108">
        <f t="shared" si="933"/>
        <v>580000</v>
      </c>
      <c r="T729" s="108">
        <f t="shared" si="933"/>
        <v>2837820</v>
      </c>
      <c r="U729" s="99">
        <f t="shared" si="882"/>
        <v>302359</v>
      </c>
      <c r="V729" s="255">
        <f t="shared" si="883"/>
        <v>0.1192520807853088</v>
      </c>
      <c r="W729" s="102"/>
      <c r="X729" s="121"/>
      <c r="Y729" s="108">
        <f t="shared" ref="Y729:AN729" si="934">SUBTOTAL(9,Y691:Y728)</f>
        <v>84462</v>
      </c>
      <c r="Z729" s="108">
        <f t="shared" si="934"/>
        <v>86151.24</v>
      </c>
      <c r="AA729" s="108">
        <f t="shared" si="934"/>
        <v>0</v>
      </c>
      <c r="AB729" s="108">
        <f t="shared" si="934"/>
        <v>86151.24</v>
      </c>
      <c r="AC729" s="108">
        <f t="shared" si="934"/>
        <v>87874.264800000004</v>
      </c>
      <c r="AD729" s="108">
        <f t="shared" si="934"/>
        <v>0</v>
      </c>
      <c r="AE729" s="108">
        <f t="shared" si="934"/>
        <v>87874.264800000004</v>
      </c>
      <c r="AF729" s="108">
        <f t="shared" si="934"/>
        <v>89631.750096000003</v>
      </c>
      <c r="AG729" s="108">
        <f t="shared" si="934"/>
        <v>0</v>
      </c>
      <c r="AH729" s="108">
        <f t="shared" si="934"/>
        <v>89631.750096000003</v>
      </c>
      <c r="AI729" s="108">
        <f t="shared" si="934"/>
        <v>91424.385097920007</v>
      </c>
      <c r="AJ729" s="108">
        <f t="shared" si="934"/>
        <v>0</v>
      </c>
      <c r="AK729" s="108">
        <f t="shared" si="934"/>
        <v>91424.385097920007</v>
      </c>
      <c r="AL729" s="108">
        <f t="shared" si="934"/>
        <v>93252.872799878402</v>
      </c>
      <c r="AM729" s="108">
        <f t="shared" si="934"/>
        <v>0</v>
      </c>
      <c r="AN729" s="108">
        <f t="shared" si="934"/>
        <v>93252.872799878402</v>
      </c>
    </row>
    <row r="730" spans="1:40" s="115" customFormat="1" ht="15" customHeight="1">
      <c r="A730" s="555"/>
      <c r="B730" s="217"/>
      <c r="C730" s="217"/>
      <c r="D730" s="101"/>
      <c r="E730" s="217"/>
      <c r="F730" s="294"/>
      <c r="G730" s="146"/>
      <c r="H730" s="98"/>
      <c r="I730" s="218"/>
      <c r="J730" s="218"/>
      <c r="K730" s="218"/>
      <c r="L730" s="218"/>
      <c r="M730" s="218"/>
      <c r="N730" s="96"/>
      <c r="O730" s="96"/>
      <c r="P730" s="96"/>
      <c r="Q730" s="212"/>
      <c r="R730" s="212"/>
      <c r="S730" s="212"/>
      <c r="T730" s="212"/>
      <c r="U730" s="105"/>
      <c r="V730" s="262"/>
      <c r="W730" s="102"/>
      <c r="X730" s="121"/>
      <c r="Y730" s="121"/>
      <c r="Z730" s="121"/>
      <c r="AA730" s="121"/>
      <c r="AB730" s="121"/>
      <c r="AC730" s="121"/>
      <c r="AD730" s="121"/>
      <c r="AE730" s="121"/>
      <c r="AF730" s="121"/>
      <c r="AG730" s="121"/>
      <c r="AH730" s="121"/>
      <c r="AI730" s="121"/>
    </row>
    <row r="731" spans="1:40" s="115" customFormat="1" ht="15" customHeight="1">
      <c r="A731" s="555"/>
      <c r="B731" s="217"/>
      <c r="C731" s="217"/>
      <c r="D731" s="101"/>
      <c r="E731" s="217"/>
      <c r="F731" s="294"/>
      <c r="G731" s="146"/>
      <c r="H731" s="114" t="s">
        <v>678</v>
      </c>
      <c r="I731" s="108">
        <f t="shared" ref="I731:T731" si="935">SUBTOTAL(9,I676:I730)</f>
        <v>-310460.08</v>
      </c>
      <c r="J731" s="108">
        <f t="shared" si="935"/>
        <v>-1212545.19</v>
      </c>
      <c r="K731" s="108">
        <f t="shared" si="935"/>
        <v>-1152569.2100000002</v>
      </c>
      <c r="L731" s="108">
        <f t="shared" si="935"/>
        <v>-1555707.4600000004</v>
      </c>
      <c r="M731" s="108">
        <f t="shared" si="935"/>
        <v>640275</v>
      </c>
      <c r="N731" s="108">
        <f t="shared" si="935"/>
        <v>-592526.95000000042</v>
      </c>
      <c r="O731" s="108">
        <f t="shared" si="935"/>
        <v>439857</v>
      </c>
      <c r="P731" s="108">
        <f t="shared" si="935"/>
        <v>-200418</v>
      </c>
      <c r="Q731" s="108">
        <f t="shared" si="935"/>
        <v>545484</v>
      </c>
      <c r="R731" s="108">
        <f t="shared" si="935"/>
        <v>0</v>
      </c>
      <c r="S731" s="108">
        <f t="shared" si="935"/>
        <v>396000</v>
      </c>
      <c r="T731" s="108">
        <f t="shared" si="935"/>
        <v>941484</v>
      </c>
      <c r="U731" s="99">
        <f>T731-M731</f>
        <v>301209</v>
      </c>
      <c r="V731" s="255">
        <f>IF(M731=0,"N/A",T731/M731-1)</f>
        <v>0.47043692163523487</v>
      </c>
      <c r="W731" s="102"/>
      <c r="X731" s="121"/>
      <c r="Y731" s="121"/>
      <c r="Z731" s="121"/>
      <c r="AA731" s="121"/>
      <c r="AB731" s="121"/>
      <c r="AC731" s="121"/>
      <c r="AD731" s="121"/>
      <c r="AE731" s="121"/>
      <c r="AF731" s="121"/>
      <c r="AG731" s="121"/>
      <c r="AH731" s="121"/>
      <c r="AI731" s="121"/>
    </row>
    <row r="732" spans="1:40" s="115" customFormat="1">
      <c r="A732" s="555"/>
      <c r="B732" s="217"/>
      <c r="C732" s="217"/>
      <c r="D732" s="101"/>
      <c r="E732" s="217"/>
      <c r="F732" s="294"/>
      <c r="G732" s="146"/>
      <c r="H732" s="98"/>
      <c r="I732" s="99"/>
      <c r="J732" s="99"/>
      <c r="K732" s="99"/>
      <c r="L732" s="99"/>
      <c r="M732" s="99"/>
      <c r="N732" s="99"/>
      <c r="O732" s="99"/>
      <c r="P732" s="99"/>
      <c r="Q732" s="99"/>
      <c r="R732" s="99"/>
      <c r="S732" s="99"/>
      <c r="T732" s="99"/>
      <c r="U732" s="105"/>
      <c r="V732" s="262"/>
      <c r="W732" s="102"/>
      <c r="X732" s="121"/>
      <c r="Y732" s="121"/>
      <c r="Z732" s="121"/>
      <c r="AA732" s="121"/>
      <c r="AB732" s="121"/>
      <c r="AC732" s="121"/>
      <c r="AD732" s="121"/>
      <c r="AE732" s="121"/>
      <c r="AF732" s="121"/>
      <c r="AG732" s="121"/>
      <c r="AH732" s="121"/>
      <c r="AI732" s="121"/>
    </row>
    <row r="733" spans="1:40" s="115" customFormat="1" ht="14.4" thickBot="1">
      <c r="A733" s="555"/>
      <c r="B733" s="217"/>
      <c r="C733" s="217"/>
      <c r="D733" s="101"/>
      <c r="E733" s="217"/>
      <c r="F733" s="294"/>
      <c r="G733" s="146"/>
      <c r="H733" s="98"/>
      <c r="I733" s="99"/>
      <c r="J733" s="99"/>
      <c r="K733" s="99"/>
      <c r="L733" s="99"/>
      <c r="M733" s="99"/>
      <c r="N733" s="99"/>
      <c r="O733" s="99"/>
      <c r="P733" s="99"/>
      <c r="Q733" s="99"/>
      <c r="R733" s="99"/>
      <c r="S733" s="99"/>
      <c r="T733" s="99"/>
      <c r="U733" s="105"/>
      <c r="V733" s="262"/>
      <c r="W733" s="102"/>
      <c r="X733" s="121"/>
      <c r="Y733" s="121"/>
      <c r="Z733" s="121"/>
      <c r="AA733" s="121"/>
      <c r="AB733" s="121"/>
      <c r="AC733" s="121"/>
      <c r="AD733" s="121"/>
      <c r="AE733" s="121"/>
      <c r="AF733" s="121"/>
      <c r="AG733" s="121"/>
      <c r="AH733" s="121"/>
      <c r="AI733" s="121"/>
    </row>
    <row r="734" spans="1:40" s="115" customFormat="1" ht="28.5" customHeight="1" thickBot="1">
      <c r="A734" s="555"/>
      <c r="B734" s="217"/>
      <c r="C734" s="217"/>
      <c r="D734" s="101"/>
      <c r="E734" s="217"/>
      <c r="F734" s="294"/>
      <c r="G734" s="146"/>
      <c r="H734" s="665" t="s">
        <v>845</v>
      </c>
      <c r="I734" s="666"/>
      <c r="J734" s="666"/>
      <c r="K734" s="666"/>
      <c r="L734" s="666"/>
      <c r="M734" s="666"/>
      <c r="N734" s="666"/>
      <c r="O734" s="666"/>
      <c r="P734" s="666"/>
      <c r="Q734" s="666"/>
      <c r="R734" s="666"/>
      <c r="S734" s="666"/>
      <c r="T734" s="667"/>
      <c r="U734" s="105"/>
      <c r="V734" s="262"/>
      <c r="W734" s="102"/>
      <c r="X734" s="121"/>
      <c r="Y734" s="121"/>
      <c r="Z734" s="121"/>
      <c r="AA734" s="121"/>
      <c r="AB734" s="121"/>
      <c r="AC734" s="121"/>
      <c r="AD734" s="121"/>
      <c r="AE734" s="121"/>
      <c r="AF734" s="121"/>
      <c r="AG734" s="121"/>
      <c r="AH734" s="121"/>
      <c r="AI734" s="121"/>
    </row>
    <row r="735" spans="1:40" s="115" customFormat="1" ht="15" customHeight="1">
      <c r="A735" s="555"/>
      <c r="B735" s="217"/>
      <c r="C735" s="217"/>
      <c r="D735" s="101"/>
      <c r="E735" s="217"/>
      <c r="F735" s="294"/>
      <c r="G735" s="146"/>
      <c r="H735" s="225"/>
      <c r="I735" s="225"/>
      <c r="J735" s="225"/>
      <c r="K735" s="225"/>
      <c r="L735" s="225"/>
      <c r="M735" s="225"/>
      <c r="N735" s="225"/>
      <c r="O735" s="225"/>
      <c r="P735" s="225"/>
      <c r="Q735" s="225"/>
      <c r="R735" s="225"/>
      <c r="S735" s="225"/>
      <c r="T735" s="225"/>
      <c r="U735" s="105"/>
      <c r="V735" s="262"/>
      <c r="W735" s="102"/>
      <c r="X735" s="121"/>
      <c r="Y735" s="121"/>
      <c r="Z735" s="121"/>
      <c r="AA735" s="121"/>
      <c r="AB735" s="121"/>
      <c r="AC735" s="121"/>
      <c r="AD735" s="121"/>
      <c r="AE735" s="121"/>
      <c r="AF735" s="121"/>
      <c r="AG735" s="121"/>
      <c r="AH735" s="121"/>
      <c r="AI735" s="121"/>
    </row>
    <row r="736" spans="1:40" s="115" customFormat="1" ht="15" customHeight="1">
      <c r="A736" s="555" t="s">
        <v>2170</v>
      </c>
      <c r="B736" s="217" t="str">
        <f t="shared" si="870"/>
        <v>179</v>
      </c>
      <c r="C736" s="217" t="str">
        <f t="shared" si="871"/>
        <v>00</v>
      </c>
      <c r="D736" s="101" t="str">
        <f t="shared" si="872"/>
        <v>000</v>
      </c>
      <c r="E736" s="217" t="str">
        <f t="shared" si="873"/>
        <v>179-00-000</v>
      </c>
      <c r="F736" s="294" t="str">
        <f t="shared" si="874"/>
        <v>49100</v>
      </c>
      <c r="G736" s="295" t="str">
        <f>VLOOKUP(F736,'GL Category'!A:C,3,FALSE)</f>
        <v>TRANSFERS IN</v>
      </c>
      <c r="H736" s="98" t="str">
        <f>VLOOKUP(F736,'GL Category'!A:C,2,FALSE)</f>
        <v>TRANSFER FROM GENERAL FUND</v>
      </c>
      <c r="I736" s="99">
        <f>SUMIF(Import!$B:$B,'Other Fund Line-Item Details'!$A736,Import!D:D)</f>
        <v>0</v>
      </c>
      <c r="J736" s="99">
        <f>SUMIF(Import!$B:$B,'Other Fund Line-Item Details'!$A736,Import!E:E)</f>
        <v>-375000</v>
      </c>
      <c r="K736" s="99">
        <f>SUMIF(Import!$B:$B,'Other Fund Line-Item Details'!$A736,Import!F:F)</f>
        <v>-243067</v>
      </c>
      <c r="L736" s="99">
        <f>SUMIF(Import!$B:$B,'Other Fund Line-Item Details'!$A736,Import!G:G)</f>
        <v>-243067</v>
      </c>
      <c r="M736" s="99">
        <f>SUMIF(Import!$B:$B,'Other Fund Line-Item Details'!$A736,Import!H:H)</f>
        <v>-243067</v>
      </c>
      <c r="N736" s="99">
        <f>SUMIF(Import!$B:$B,'Other Fund Line-Item Details'!$A736,Import!I:I)</f>
        <v>-182300.25</v>
      </c>
      <c r="O736" s="99">
        <f>SUMIF(Import!$B:$B,'Other Fund Line-Item Details'!$A736,Import!J:J)</f>
        <v>-243067</v>
      </c>
      <c r="P736" s="99">
        <f>O736-M736</f>
        <v>0</v>
      </c>
      <c r="Q736" s="99">
        <f>SUMIF(Import!$B:$B,'Other Fund Line-Item Details'!$A736,Import!K:K)</f>
        <v>-243067</v>
      </c>
      <c r="R736" s="99">
        <f>SUMIF(Import!$B:$B,'Other Fund Line-Item Details'!$A736,Import!L:L)</f>
        <v>0</v>
      </c>
      <c r="S736" s="99">
        <f>SUMIF(Import!$B:$B,'Other Fund Line-Item Details'!$A736,Import!M:M)</f>
        <v>0</v>
      </c>
      <c r="T736" s="99">
        <f>SUMIF(Import!$B:$B,'Other Fund Line-Item Details'!$A736,Import!N:N)</f>
        <v>-243067</v>
      </c>
      <c r="U736" s="99">
        <f t="shared" ref="U736:U741" si="936">T736-M736</f>
        <v>0</v>
      </c>
      <c r="V736" s="255">
        <f t="shared" ref="V736:V741" si="937">IF(M736=0,"N/A",T736/M736-1)</f>
        <v>0</v>
      </c>
      <c r="W736" s="102" t="s">
        <v>2170</v>
      </c>
      <c r="X736" s="102"/>
      <c r="Y736" s="102">
        <f t="shared" ref="Y736:Y740" si="938">T736-X736</f>
        <v>-243067</v>
      </c>
      <c r="Z736" s="309">
        <f>Y736*(1+VLOOKUP($F736,'GL Category'!$A:$H,4,FALSE))</f>
        <v>-243067</v>
      </c>
      <c r="AA736" s="615"/>
      <c r="AB736" s="622">
        <f t="shared" ref="AB736:AB740" si="939">Z736+AA736</f>
        <v>-243067</v>
      </c>
      <c r="AC736" s="633">
        <f>AB736*(1+VLOOKUP($F736,'GL Category'!$A:$H,5,FALSE))</f>
        <v>-243067</v>
      </c>
      <c r="AD736" s="307"/>
      <c r="AE736" s="622">
        <f t="shared" ref="AE736:AE740" si="940">AC736+AD736</f>
        <v>-243067</v>
      </c>
      <c r="AF736" s="633">
        <f>AE736*(1+VLOOKUP($F736,'GL Category'!$A:$H,6,FALSE))</f>
        <v>-243067</v>
      </c>
      <c r="AG736" s="307"/>
      <c r="AH736" s="622">
        <f t="shared" ref="AH736:AH740" si="941">AF736+AG736</f>
        <v>-243067</v>
      </c>
      <c r="AI736" s="633">
        <f>AH736*(1+VLOOKUP($F736,'GL Category'!$A:$H,7,FALSE))</f>
        <v>-243067</v>
      </c>
      <c r="AJ736" s="307"/>
      <c r="AK736" s="622">
        <f t="shared" ref="AK736:AK740" si="942">AI736+AJ736</f>
        <v>-243067</v>
      </c>
      <c r="AL736" s="633">
        <f>AK736*(1+VLOOKUP($F736,'GL Category'!$A:$H,8,FALSE))</f>
        <v>-243067</v>
      </c>
      <c r="AM736" s="307"/>
      <c r="AN736" s="622">
        <f t="shared" ref="AN736:AN740" si="943">AL736+AM736</f>
        <v>-243067</v>
      </c>
    </row>
    <row r="737" spans="1:40" s="115" customFormat="1" ht="15" customHeight="1">
      <c r="A737" s="555" t="s">
        <v>3414</v>
      </c>
      <c r="B737" s="217" t="str">
        <f t="shared" si="870"/>
        <v>179</v>
      </c>
      <c r="C737" s="217" t="str">
        <f t="shared" si="871"/>
        <v>00</v>
      </c>
      <c r="D737" s="101" t="str">
        <f t="shared" si="872"/>
        <v>000</v>
      </c>
      <c r="E737" s="217" t="str">
        <f t="shared" si="873"/>
        <v>179-00-000</v>
      </c>
      <c r="F737" s="294" t="str">
        <f t="shared" si="874"/>
        <v>47250</v>
      </c>
      <c r="G737" s="295" t="str">
        <f>VLOOKUP(F737,'GL Category'!A:C,3,FALSE)</f>
        <v>OTHER REVENUE</v>
      </c>
      <c r="H737" s="98" t="str">
        <f>VLOOKUP(F737,'GL Category'!A:C,2,FALSE)</f>
        <v>REIMB-INSURANCE PROCEEDS</v>
      </c>
      <c r="I737" s="99">
        <f>SUMIF(Import!$B:$B,'Other Fund Line-Item Details'!$A737,Import!D:D)</f>
        <v>0</v>
      </c>
      <c r="J737" s="99">
        <f>SUMIF(Import!$B:$B,'Other Fund Line-Item Details'!$A737,Import!E:E)</f>
        <v>0</v>
      </c>
      <c r="K737" s="99">
        <f>SUMIF(Import!$B:$B,'Other Fund Line-Item Details'!$A737,Import!F:F)</f>
        <v>0</v>
      </c>
      <c r="L737" s="99">
        <f>SUMIF(Import!$B:$B,'Other Fund Line-Item Details'!$A737,Import!G:G)</f>
        <v>0</v>
      </c>
      <c r="M737" s="99">
        <f>SUMIF(Import!$B:$B,'Other Fund Line-Item Details'!$A737,Import!H:H)</f>
        <v>0</v>
      </c>
      <c r="N737" s="99">
        <f>SUMIF(Import!$B:$B,'Other Fund Line-Item Details'!$A737,Import!I:I)</f>
        <v>-361405.43</v>
      </c>
      <c r="O737" s="99">
        <f>SUMIF(Import!$B:$B,'Other Fund Line-Item Details'!$A737,Import!J:J)</f>
        <v>-361406</v>
      </c>
      <c r="P737" s="99">
        <f>O737-M737</f>
        <v>-361406</v>
      </c>
      <c r="Q737" s="99">
        <f>SUMIF(Import!$B:$B,'Other Fund Line-Item Details'!$A737,Import!K:K)</f>
        <v>0</v>
      </c>
      <c r="R737" s="99">
        <f>SUMIF(Import!$B:$B,'Other Fund Line-Item Details'!$A737,Import!L:L)</f>
        <v>0</v>
      </c>
      <c r="S737" s="99">
        <f>SUMIF(Import!$B:$B,'Other Fund Line-Item Details'!$A737,Import!M:M)</f>
        <v>0</v>
      </c>
      <c r="T737" s="99">
        <f>SUMIF(Import!$B:$B,'Other Fund Line-Item Details'!$A737,Import!N:N)</f>
        <v>0</v>
      </c>
      <c r="U737" s="99">
        <f t="shared" si="936"/>
        <v>0</v>
      </c>
      <c r="V737" s="255" t="str">
        <f t="shared" si="937"/>
        <v>N/A</v>
      </c>
      <c r="W737" s="102" t="s">
        <v>2170</v>
      </c>
      <c r="X737" s="102"/>
      <c r="Y737" s="102">
        <f t="shared" si="938"/>
        <v>0</v>
      </c>
      <c r="Z737" s="309">
        <f>Y737*(1+VLOOKUP($F737,'GL Category'!$A:$H,4,FALSE))</f>
        <v>0</v>
      </c>
      <c r="AA737" s="615"/>
      <c r="AB737" s="622">
        <f t="shared" si="939"/>
        <v>0</v>
      </c>
      <c r="AC737" s="633">
        <f>AB737*(1+VLOOKUP($F737,'GL Category'!$A:$H,5,FALSE))</f>
        <v>0</v>
      </c>
      <c r="AD737" s="307"/>
      <c r="AE737" s="622">
        <f t="shared" si="940"/>
        <v>0</v>
      </c>
      <c r="AF737" s="633">
        <f>AE737*(1+VLOOKUP($F737,'GL Category'!$A:$H,6,FALSE))</f>
        <v>0</v>
      </c>
      <c r="AG737" s="307"/>
      <c r="AH737" s="622">
        <f t="shared" si="941"/>
        <v>0</v>
      </c>
      <c r="AI737" s="633">
        <f>AH737*(1+VLOOKUP($F737,'GL Category'!$A:$H,7,FALSE))</f>
        <v>0</v>
      </c>
      <c r="AJ737" s="307"/>
      <c r="AK737" s="622">
        <f t="shared" si="942"/>
        <v>0</v>
      </c>
      <c r="AL737" s="633">
        <f>AK737*(1+VLOOKUP($F737,'GL Category'!$A:$H,8,FALSE))</f>
        <v>0</v>
      </c>
      <c r="AM737" s="307"/>
      <c r="AN737" s="622">
        <f t="shared" si="943"/>
        <v>0</v>
      </c>
    </row>
    <row r="738" spans="1:40" s="115" customFormat="1" ht="15" customHeight="1">
      <c r="A738" s="555" t="s">
        <v>3520</v>
      </c>
      <c r="B738" s="217" t="str">
        <f t="shared" ref="B738" si="944">LEFT(A738,3)</f>
        <v>179</v>
      </c>
      <c r="C738" s="217" t="str">
        <f t="shared" ref="C738" si="945">MID(A738,5,2)</f>
        <v>00</v>
      </c>
      <c r="D738" s="101" t="str">
        <f t="shared" ref="D738" si="946">MID(A738,8,3)</f>
        <v>000</v>
      </c>
      <c r="E738" s="217" t="str">
        <f t="shared" ref="E738" si="947">LEFT(A738,10)</f>
        <v>179-00-000</v>
      </c>
      <c r="F738" s="294" t="str">
        <f t="shared" ref="F738" si="948">RIGHT(A738,5)</f>
        <v>49160</v>
      </c>
      <c r="G738" s="295" t="str">
        <f>VLOOKUP(F738,'GL Category'!A:C,3,FALSE)</f>
        <v>TRANSFERS IN</v>
      </c>
      <c r="H738" s="98" t="str">
        <f>VLOOKUP(F738,'GL Category'!A:C,2,FALSE)</f>
        <v>TRANSFER FROM GRANT FUND</v>
      </c>
      <c r="I738" s="99">
        <f>SUMIF(Import!$B:$B,'Other Fund Line-Item Details'!$A738,Import!D:D)</f>
        <v>0</v>
      </c>
      <c r="J738" s="99">
        <f>SUMIF(Import!$B:$B,'Other Fund Line-Item Details'!$A738,Import!E:E)</f>
        <v>0</v>
      </c>
      <c r="K738" s="99">
        <f>SUMIF(Import!$B:$B,'Other Fund Line-Item Details'!$A738,Import!F:F)</f>
        <v>-88620</v>
      </c>
      <c r="L738" s="99">
        <f>SUMIF(Import!$B:$B,'Other Fund Line-Item Details'!$A738,Import!G:G)</f>
        <v>-98605.5</v>
      </c>
      <c r="M738" s="99">
        <f>SUMIF(Import!$B:$B,'Other Fund Line-Item Details'!$A738,Import!H:H)</f>
        <v>0</v>
      </c>
      <c r="N738" s="99">
        <f>SUMIF(Import!$B:$B,'Other Fund Line-Item Details'!$A738,Import!I:I)</f>
        <v>-50530.5</v>
      </c>
      <c r="O738" s="99">
        <f>SUMIF(Import!$B:$B,'Other Fund Line-Item Details'!$A738,Import!J:J)</f>
        <v>-50531</v>
      </c>
      <c r="P738" s="99">
        <f>O738-M738</f>
        <v>-50531</v>
      </c>
      <c r="Q738" s="99">
        <f>SUMIF(Import!$B:$B,'Other Fund Line-Item Details'!$A738,Import!K:K)</f>
        <v>0</v>
      </c>
      <c r="R738" s="99">
        <f>SUMIF(Import!$B:$B,'Other Fund Line-Item Details'!$A738,Import!L:L)</f>
        <v>0</v>
      </c>
      <c r="S738" s="99">
        <f>SUMIF(Import!$B:$B,'Other Fund Line-Item Details'!$A738,Import!M:M)</f>
        <v>0</v>
      </c>
      <c r="T738" s="99">
        <f>SUMIF(Import!$B:$B,'Other Fund Line-Item Details'!$A738,Import!N:N)</f>
        <v>0</v>
      </c>
      <c r="U738" s="99">
        <f t="shared" si="936"/>
        <v>0</v>
      </c>
      <c r="V738" s="255" t="str">
        <f t="shared" si="937"/>
        <v>N/A</v>
      </c>
      <c r="W738" s="102" t="s">
        <v>2170</v>
      </c>
      <c r="X738" s="102"/>
      <c r="Y738" s="102">
        <f t="shared" si="938"/>
        <v>0</v>
      </c>
      <c r="Z738" s="309">
        <f>Y738*(1+VLOOKUP($F738,'GL Category'!$A:$H,4,FALSE))</f>
        <v>0</v>
      </c>
      <c r="AA738" s="615"/>
      <c r="AB738" s="622">
        <f t="shared" si="939"/>
        <v>0</v>
      </c>
      <c r="AC738" s="633">
        <f>AB738*(1+VLOOKUP($F738,'GL Category'!$A:$H,5,FALSE))</f>
        <v>0</v>
      </c>
      <c r="AD738" s="307"/>
      <c r="AE738" s="622">
        <f t="shared" si="940"/>
        <v>0</v>
      </c>
      <c r="AF738" s="633">
        <f>AE738*(1+VLOOKUP($F738,'GL Category'!$A:$H,6,FALSE))</f>
        <v>0</v>
      </c>
      <c r="AG738" s="307"/>
      <c r="AH738" s="622">
        <f t="shared" si="941"/>
        <v>0</v>
      </c>
      <c r="AI738" s="633">
        <f>AH738*(1+VLOOKUP($F738,'GL Category'!$A:$H,7,FALSE))</f>
        <v>0</v>
      </c>
      <c r="AJ738" s="307"/>
      <c r="AK738" s="622">
        <f t="shared" si="942"/>
        <v>0</v>
      </c>
      <c r="AL738" s="633">
        <f>AK738*(1+VLOOKUP($F738,'GL Category'!$A:$H,8,FALSE))</f>
        <v>0</v>
      </c>
      <c r="AM738" s="307"/>
      <c r="AN738" s="622">
        <f t="shared" si="943"/>
        <v>0</v>
      </c>
    </row>
    <row r="739" spans="1:40" s="115" customFormat="1" ht="27" customHeight="1">
      <c r="A739" s="555" t="s">
        <v>3200</v>
      </c>
      <c r="B739" s="217" t="str">
        <f t="shared" ref="B739" si="949">LEFT(A739,3)</f>
        <v>179</v>
      </c>
      <c r="C739" s="217" t="str">
        <f t="shared" ref="C739" si="950">MID(A739,5,2)</f>
        <v>00</v>
      </c>
      <c r="D739" s="101" t="str">
        <f t="shared" ref="D739" si="951">MID(A739,8,3)</f>
        <v>000</v>
      </c>
      <c r="E739" s="217" t="str">
        <f t="shared" ref="E739" si="952">LEFT(A739,10)</f>
        <v>179-00-000</v>
      </c>
      <c r="F739" s="294" t="str">
        <f t="shared" ref="F739" si="953">RIGHT(A739,5)</f>
        <v>47010</v>
      </c>
      <c r="G739" s="295" t="str">
        <f>VLOOKUP(F739,'GL Category'!A:C,3,FALSE)</f>
        <v>OTHER REVENUE</v>
      </c>
      <c r="H739" s="98" t="str">
        <f>VLOOKUP(F739,'GL Category'!A:C,2,FALSE)</f>
        <v>MISCELLANEOUS REVENUE</v>
      </c>
      <c r="I739" s="99">
        <f>SUMIF(Import!$B:$B,'Other Fund Line-Item Details'!$A739,Import!D:D)</f>
        <v>-375000</v>
      </c>
      <c r="J739" s="99">
        <f>SUMIF(Import!$B:$B,'Other Fund Line-Item Details'!$A739,Import!E:E)</f>
        <v>-884718.38</v>
      </c>
      <c r="K739" s="99">
        <f>SUMIF(Import!$B:$B,'Other Fund Line-Item Details'!$A739,Import!F:F)</f>
        <v>-422723.27</v>
      </c>
      <c r="L739" s="99">
        <f>SUMIF(Import!$B:$B,'Other Fund Line-Item Details'!$A739,Import!G:G)</f>
        <v>-450859.99</v>
      </c>
      <c r="M739" s="99">
        <f>SUMIF(Import!$B:$B,'Other Fund Line-Item Details'!$A739,Import!H:H)</f>
        <v>0</v>
      </c>
      <c r="N739" s="99">
        <f>SUMIF(Import!$B:$B,'Other Fund Line-Item Details'!$A739,Import!I:I)</f>
        <v>0</v>
      </c>
      <c r="O739" s="99">
        <f>SUMIF(Import!$B:$B,'Other Fund Line-Item Details'!$A739,Import!J:J)</f>
        <v>0</v>
      </c>
      <c r="P739" s="99">
        <f>O739-M739</f>
        <v>0</v>
      </c>
      <c r="Q739" s="99">
        <f>SUMIF(Import!$B:$B,'Other Fund Line-Item Details'!$A739,Import!K:K)</f>
        <v>0</v>
      </c>
      <c r="R739" s="99">
        <f>SUMIF(Import!$B:$B,'Other Fund Line-Item Details'!$A739,Import!L:L)</f>
        <v>0</v>
      </c>
      <c r="S739" s="99">
        <f>SUMIF(Import!$B:$B,'Other Fund Line-Item Details'!$A739,Import!M:M)</f>
        <v>0</v>
      </c>
      <c r="T739" s="99">
        <f>SUMIF(Import!$B:$B,'Other Fund Line-Item Details'!$A739,Import!N:N)</f>
        <v>0</v>
      </c>
      <c r="U739" s="99">
        <f t="shared" si="936"/>
        <v>0</v>
      </c>
      <c r="V739" s="255" t="str">
        <f t="shared" si="937"/>
        <v>N/A</v>
      </c>
      <c r="W739" s="102" t="s">
        <v>2171</v>
      </c>
      <c r="X739" s="102"/>
      <c r="Y739" s="102">
        <f t="shared" si="938"/>
        <v>0</v>
      </c>
      <c r="Z739" s="309">
        <f>Y739*(1+VLOOKUP($F739,'GL Category'!$A:$H,4,FALSE))</f>
        <v>0</v>
      </c>
      <c r="AA739" s="615"/>
      <c r="AB739" s="622">
        <f t="shared" si="939"/>
        <v>0</v>
      </c>
      <c r="AC739" s="633">
        <f>AB739*(1+VLOOKUP($F739,'GL Category'!$A:$H,5,FALSE))</f>
        <v>0</v>
      </c>
      <c r="AD739" s="307"/>
      <c r="AE739" s="622">
        <f t="shared" si="940"/>
        <v>0</v>
      </c>
      <c r="AF739" s="633">
        <f>AE739*(1+VLOOKUP($F739,'GL Category'!$A:$H,6,FALSE))</f>
        <v>0</v>
      </c>
      <c r="AG739" s="307"/>
      <c r="AH739" s="622">
        <f t="shared" si="941"/>
        <v>0</v>
      </c>
      <c r="AI739" s="633">
        <f>AH739*(1+VLOOKUP($F739,'GL Category'!$A:$H,7,FALSE))</f>
        <v>0</v>
      </c>
      <c r="AJ739" s="307"/>
      <c r="AK739" s="622">
        <f t="shared" si="942"/>
        <v>0</v>
      </c>
      <c r="AL739" s="633">
        <f>AK739*(1+VLOOKUP($F739,'GL Category'!$A:$H,8,FALSE))</f>
        <v>0</v>
      </c>
      <c r="AM739" s="307"/>
      <c r="AN739" s="622">
        <f t="shared" si="943"/>
        <v>0</v>
      </c>
    </row>
    <row r="740" spans="1:40" s="115" customFormat="1" ht="27" customHeight="1">
      <c r="A740" s="555" t="s">
        <v>2171</v>
      </c>
      <c r="B740" s="217" t="str">
        <f t="shared" si="870"/>
        <v>179</v>
      </c>
      <c r="C740" s="217" t="str">
        <f t="shared" si="871"/>
        <v>00</v>
      </c>
      <c r="D740" s="101" t="str">
        <f t="shared" si="872"/>
        <v>000</v>
      </c>
      <c r="E740" s="217" t="str">
        <f t="shared" si="873"/>
        <v>179-00-000</v>
      </c>
      <c r="F740" s="294" t="str">
        <f t="shared" si="874"/>
        <v>47090</v>
      </c>
      <c r="G740" s="295" t="str">
        <f>VLOOKUP(F740,'GL Category'!A:C,3,FALSE)</f>
        <v>OTHER REVENUE</v>
      </c>
      <c r="H740" s="98" t="str">
        <f>VLOOKUP(F740,'GL Category'!A:C,2,FALSE)</f>
        <v>INTEREST REVENUE-INVESTMENTS</v>
      </c>
      <c r="I740" s="99">
        <f>SUMIF(Import!$B:$B,'Other Fund Line-Item Details'!$A740,Import!D:D)</f>
        <v>-25605.360000000001</v>
      </c>
      <c r="J740" s="99">
        <f>SUMIF(Import!$B:$B,'Other Fund Line-Item Details'!$A740,Import!E:E)</f>
        <v>-6684.43</v>
      </c>
      <c r="K740" s="99">
        <f>SUMIF(Import!$B:$B,'Other Fund Line-Item Details'!$A740,Import!F:F)</f>
        <v>-20029.72</v>
      </c>
      <c r="L740" s="99">
        <f>SUMIF(Import!$B:$B,'Other Fund Line-Item Details'!$A740,Import!G:G)</f>
        <v>-54113.760000000002</v>
      </c>
      <c r="M740" s="99">
        <f>SUMIF(Import!$B:$B,'Other Fund Line-Item Details'!$A740,Import!H:H)</f>
        <v>-20420</v>
      </c>
      <c r="N740" s="99">
        <f>SUMIF(Import!$B:$B,'Other Fund Line-Item Details'!$A740,Import!I:I)</f>
        <v>-60280.72</v>
      </c>
      <c r="O740" s="99">
        <f>SUMIF(Import!$B:$B,'Other Fund Line-Item Details'!$A740,Import!J:J)</f>
        <v>-67586</v>
      </c>
      <c r="P740" s="99">
        <f>O740-M740</f>
        <v>-47166</v>
      </c>
      <c r="Q740" s="99">
        <f>SUMIF(Import!$B:$B,'Other Fund Line-Item Details'!$A740,Import!K:K)</f>
        <v>-67586</v>
      </c>
      <c r="R740" s="99">
        <f>SUMIF(Import!$B:$B,'Other Fund Line-Item Details'!$A740,Import!L:L)</f>
        <v>0</v>
      </c>
      <c r="S740" s="99">
        <f>SUMIF(Import!$B:$B,'Other Fund Line-Item Details'!$A740,Import!M:M)</f>
        <v>0</v>
      </c>
      <c r="T740" s="99">
        <f>SUMIF(Import!$B:$B,'Other Fund Line-Item Details'!$A740,Import!N:N)</f>
        <v>-67586</v>
      </c>
      <c r="U740" s="99">
        <f t="shared" si="936"/>
        <v>-47166</v>
      </c>
      <c r="V740" s="255">
        <f t="shared" si="937"/>
        <v>2.3097943192948089</v>
      </c>
      <c r="W740" s="102" t="s">
        <v>2171</v>
      </c>
      <c r="X740" s="102"/>
      <c r="Y740" s="102">
        <f t="shared" si="938"/>
        <v>-67586</v>
      </c>
      <c r="Z740" s="309">
        <f>Y740*(1+VLOOKUP($F740,'GL Category'!$A:$H,4,FALSE))</f>
        <v>-50689.5</v>
      </c>
      <c r="AA740" s="615"/>
      <c r="AB740" s="622">
        <f t="shared" si="939"/>
        <v>-50689.5</v>
      </c>
      <c r="AC740" s="633">
        <f>AB740*(1+VLOOKUP($F740,'GL Category'!$A:$H,5,FALSE))</f>
        <v>-25344.75</v>
      </c>
      <c r="AD740" s="307"/>
      <c r="AE740" s="622">
        <f t="shared" si="940"/>
        <v>-25344.75</v>
      </c>
      <c r="AF740" s="633">
        <f>AE740*(1+VLOOKUP($F740,'GL Category'!$A:$H,6,FALSE))</f>
        <v>-25344.75</v>
      </c>
      <c r="AG740" s="307"/>
      <c r="AH740" s="622">
        <f t="shared" si="941"/>
        <v>-25344.75</v>
      </c>
      <c r="AI740" s="633">
        <f>AH740*(1+VLOOKUP($F740,'GL Category'!$A:$H,7,FALSE))</f>
        <v>-25344.75</v>
      </c>
      <c r="AJ740" s="307"/>
      <c r="AK740" s="622">
        <f t="shared" si="942"/>
        <v>-25344.75</v>
      </c>
      <c r="AL740" s="633">
        <f>AK740*(1+VLOOKUP($F740,'GL Category'!$A:$H,8,FALSE))</f>
        <v>-25344.75</v>
      </c>
      <c r="AM740" s="307"/>
      <c r="AN740" s="622">
        <f t="shared" si="943"/>
        <v>-25344.75</v>
      </c>
    </row>
    <row r="741" spans="1:40" s="115" customFormat="1" ht="15" customHeight="1">
      <c r="A741" s="555"/>
      <c r="B741" s="217"/>
      <c r="C741" s="217"/>
      <c r="D741" s="101"/>
      <c r="E741" s="217"/>
      <c r="F741" s="294"/>
      <c r="G741" s="146"/>
      <c r="H741" s="107" t="str">
        <f>UPPER(G740)&amp;" TOTAL"</f>
        <v>OTHER REVENUE TOTAL</v>
      </c>
      <c r="I741" s="109">
        <f t="shared" ref="I741" si="954">SUBTOTAL(9,I736:I740)</f>
        <v>-400605.36</v>
      </c>
      <c r="J741" s="109">
        <f t="shared" ref="J741:T741" si="955">SUBTOTAL(9,J736:J740)</f>
        <v>-1266402.8099999998</v>
      </c>
      <c r="K741" s="109">
        <f t="shared" ref="K741" si="956">SUBTOTAL(9,K736:K740)</f>
        <v>-774439.99</v>
      </c>
      <c r="L741" s="109">
        <f t="shared" ref="L741" si="957">SUBTOTAL(9,L736:L740)</f>
        <v>-846646.25</v>
      </c>
      <c r="M741" s="109">
        <f t="shared" si="955"/>
        <v>-263487</v>
      </c>
      <c r="N741" s="109">
        <f t="shared" ref="N741" si="958">SUBTOTAL(9,N736:N740)</f>
        <v>-654516.89999999991</v>
      </c>
      <c r="O741" s="109">
        <f t="shared" si="955"/>
        <v>-722590</v>
      </c>
      <c r="P741" s="109">
        <f t="shared" si="955"/>
        <v>-459103</v>
      </c>
      <c r="Q741" s="109">
        <f t="shared" si="955"/>
        <v>-310653</v>
      </c>
      <c r="R741" s="109">
        <f t="shared" si="955"/>
        <v>0</v>
      </c>
      <c r="S741" s="109">
        <f t="shared" si="955"/>
        <v>0</v>
      </c>
      <c r="T741" s="109">
        <f t="shared" si="955"/>
        <v>-310653</v>
      </c>
      <c r="U741" s="99">
        <f t="shared" si="936"/>
        <v>-47166</v>
      </c>
      <c r="V741" s="255">
        <f t="shared" si="937"/>
        <v>0.17900693392842904</v>
      </c>
      <c r="W741" s="102"/>
      <c r="X741" s="121"/>
      <c r="Y741" s="109">
        <f t="shared" ref="Y741:AN741" si="959">SUBTOTAL(9,Y736:Y740)</f>
        <v>-310653</v>
      </c>
      <c r="Z741" s="109">
        <f t="shared" si="959"/>
        <v>-293756.5</v>
      </c>
      <c r="AA741" s="109">
        <f t="shared" si="959"/>
        <v>0</v>
      </c>
      <c r="AB741" s="109">
        <f t="shared" si="959"/>
        <v>-293756.5</v>
      </c>
      <c r="AC741" s="109">
        <f t="shared" si="959"/>
        <v>-268411.75</v>
      </c>
      <c r="AD741" s="109">
        <f t="shared" si="959"/>
        <v>0</v>
      </c>
      <c r="AE741" s="109">
        <f t="shared" si="959"/>
        <v>-268411.75</v>
      </c>
      <c r="AF741" s="109">
        <f t="shared" si="959"/>
        <v>-268411.75</v>
      </c>
      <c r="AG741" s="109">
        <f t="shared" si="959"/>
        <v>0</v>
      </c>
      <c r="AH741" s="109">
        <f t="shared" si="959"/>
        <v>-268411.75</v>
      </c>
      <c r="AI741" s="109">
        <f t="shared" si="959"/>
        <v>-268411.75</v>
      </c>
      <c r="AJ741" s="109">
        <f t="shared" si="959"/>
        <v>0</v>
      </c>
      <c r="AK741" s="109">
        <f t="shared" si="959"/>
        <v>-268411.75</v>
      </c>
      <c r="AL741" s="109">
        <f t="shared" si="959"/>
        <v>-268411.75</v>
      </c>
      <c r="AM741" s="109">
        <f t="shared" si="959"/>
        <v>0</v>
      </c>
      <c r="AN741" s="109">
        <f t="shared" si="959"/>
        <v>-268411.75</v>
      </c>
    </row>
    <row r="742" spans="1:40" s="115" customFormat="1" ht="15" customHeight="1">
      <c r="A742" s="555"/>
      <c r="B742" s="217"/>
      <c r="C742" s="217"/>
      <c r="D742" s="101"/>
      <c r="E742" s="217"/>
      <c r="F742" s="294"/>
      <c r="G742" s="146"/>
      <c r="H742" s="98"/>
      <c r="I742" s="106"/>
      <c r="J742" s="106"/>
      <c r="K742" s="106"/>
      <c r="L742" s="106"/>
      <c r="M742" s="106"/>
      <c r="N742" s="112"/>
      <c r="O742" s="112"/>
      <c r="P742" s="112"/>
      <c r="Q742" s="113"/>
      <c r="R742" s="113"/>
      <c r="S742" s="113"/>
      <c r="T742" s="113"/>
      <c r="U742" s="105"/>
      <c r="V742" s="262"/>
      <c r="W742" s="102"/>
      <c r="X742" s="121"/>
      <c r="Y742" s="121"/>
      <c r="Z742" s="121"/>
      <c r="AA742" s="121"/>
      <c r="AB742" s="121"/>
      <c r="AC742" s="121"/>
      <c r="AD742" s="121"/>
      <c r="AE742" s="121"/>
      <c r="AF742" s="121"/>
      <c r="AG742" s="121"/>
      <c r="AH742" s="121"/>
      <c r="AI742" s="121"/>
    </row>
    <row r="743" spans="1:40" s="115" customFormat="1" ht="15" customHeight="1">
      <c r="A743" s="555" t="s">
        <v>2172</v>
      </c>
      <c r="B743" s="217" t="str">
        <f t="shared" si="870"/>
        <v>179</v>
      </c>
      <c r="C743" s="217" t="str">
        <f t="shared" si="871"/>
        <v>11</v>
      </c>
      <c r="D743" s="101" t="str">
        <f t="shared" si="872"/>
        <v>111</v>
      </c>
      <c r="E743" s="217" t="str">
        <f t="shared" si="873"/>
        <v>179-11-111</v>
      </c>
      <c r="F743" s="294" t="str">
        <f t="shared" si="874"/>
        <v>58828</v>
      </c>
      <c r="G743" s="295" t="str">
        <f>VLOOKUP(F743,'GL Category'!A:C,3,FALSE)</f>
        <v>Capital Outlay</v>
      </c>
      <c r="H743" s="98" t="str">
        <f>VLOOKUP(F743,'GL Category'!A:C,2,FALSE)</f>
        <v>BUILDINGS &amp; IMPROVEMENTS</v>
      </c>
      <c r="I743" s="99">
        <f>SUMIF(Import!$B:$B,'Other Fund Line-Item Details'!$A743,Import!D:D)</f>
        <v>0</v>
      </c>
      <c r="J743" s="99">
        <f>SUMIF(Import!$B:$B,'Other Fund Line-Item Details'!$A743,Import!E:E)</f>
        <v>0</v>
      </c>
      <c r="K743" s="99">
        <f>SUMIF(Import!$B:$B,'Other Fund Line-Item Details'!$A743,Import!F:F)</f>
        <v>1121391.78</v>
      </c>
      <c r="L743" s="99">
        <f>SUMIF(Import!$B:$B,'Other Fund Line-Item Details'!$A743,Import!G:G)</f>
        <v>316539.78999999998</v>
      </c>
      <c r="M743" s="99">
        <f>SUMIF(Import!$B:$B,'Other Fund Line-Item Details'!$A743,Import!H:H)</f>
        <v>760553</v>
      </c>
      <c r="N743" s="99">
        <f>SUMIF(Import!$B:$B,'Other Fund Line-Item Details'!$A743,Import!I:I)</f>
        <v>331052.2</v>
      </c>
      <c r="O743" s="99">
        <f>SUMIF(Import!$B:$B,'Other Fund Line-Item Details'!$A743,Import!J:J)</f>
        <v>512304</v>
      </c>
      <c r="P743" s="99">
        <f t="shared" ref="P743:P749" si="960">O743-M743</f>
        <v>-248249</v>
      </c>
      <c r="Q743" s="99">
        <f>SUMIF(Import!$B:$B,'Other Fund Line-Item Details'!$A743,Import!K:K)</f>
        <v>187500</v>
      </c>
      <c r="R743" s="99">
        <f>SUMIF(Import!$B:$B,'Other Fund Line-Item Details'!$A743,Import!L:L)</f>
        <v>0</v>
      </c>
      <c r="S743" s="99">
        <f>SUMIF(Import!$B:$B,'Other Fund Line-Item Details'!$A743,Import!M:M)</f>
        <v>0</v>
      </c>
      <c r="T743" s="99">
        <f>SUMIF(Import!$B:$B,'Other Fund Line-Item Details'!$A743,Import!N:N)</f>
        <v>187500</v>
      </c>
      <c r="U743" s="99">
        <f t="shared" ref="U743:U752" si="961">T743-M743</f>
        <v>-573053</v>
      </c>
      <c r="V743" s="255">
        <f t="shared" ref="V743:V752" si="962">IF(M743=0,"N/A",T743/M743-1)</f>
        <v>-0.75346885752866666</v>
      </c>
      <c r="W743" s="102" t="s">
        <v>2172</v>
      </c>
      <c r="X743" s="102"/>
      <c r="Y743" s="102">
        <v>0</v>
      </c>
      <c r="Z743" s="309">
        <f>Y743*(1+VLOOKUP($F743,'GL Category'!$A:$H,4,FALSE))</f>
        <v>0</v>
      </c>
      <c r="AA743" s="615"/>
      <c r="AB743" s="622">
        <f t="shared" ref="AB743:AB751" si="963">Z743+AA743</f>
        <v>0</v>
      </c>
      <c r="AC743" s="633">
        <f>AB743*(1+VLOOKUP($F743,'GL Category'!$A:$H,5,FALSE))</f>
        <v>0</v>
      </c>
      <c r="AD743" s="307"/>
      <c r="AE743" s="622">
        <f t="shared" ref="AE743:AE751" si="964">AC743+AD743</f>
        <v>0</v>
      </c>
      <c r="AF743" s="633">
        <f>AE743*(1+VLOOKUP($F743,'GL Category'!$A:$H,6,FALSE))</f>
        <v>0</v>
      </c>
      <c r="AG743" s="307"/>
      <c r="AH743" s="622">
        <f t="shared" ref="AH743:AH751" si="965">AF743+AG743</f>
        <v>0</v>
      </c>
      <c r="AI743" s="633">
        <f>AH743*(1+VLOOKUP($F743,'GL Category'!$A:$H,7,FALSE))</f>
        <v>0</v>
      </c>
      <c r="AJ743" s="307"/>
      <c r="AK743" s="622">
        <f t="shared" ref="AK743:AK751" si="966">AI743+AJ743</f>
        <v>0</v>
      </c>
      <c r="AL743" s="633">
        <f>AK743*(1+VLOOKUP($F743,'GL Category'!$A:$H,8,FALSE))</f>
        <v>0</v>
      </c>
      <c r="AM743" s="307"/>
      <c r="AN743" s="622">
        <f t="shared" ref="AN743:AN751" si="967">AL743+AM743</f>
        <v>0</v>
      </c>
    </row>
    <row r="744" spans="1:40" s="115" customFormat="1" ht="15" customHeight="1">
      <c r="A744" s="555" t="s">
        <v>2173</v>
      </c>
      <c r="B744" s="217" t="str">
        <f t="shared" si="870"/>
        <v>179</v>
      </c>
      <c r="C744" s="217" t="str">
        <f t="shared" si="871"/>
        <v>11</v>
      </c>
      <c r="D744" s="101" t="str">
        <f t="shared" si="872"/>
        <v>111</v>
      </c>
      <c r="E744" s="217" t="str">
        <f t="shared" si="873"/>
        <v>179-11-111</v>
      </c>
      <c r="F744" s="294" t="str">
        <f t="shared" si="874"/>
        <v>52310</v>
      </c>
      <c r="G744" s="295" t="str">
        <f>VLOOKUP(F744,'GL Category'!A:C,3,FALSE)</f>
        <v>Operations &amp; maintenance</v>
      </c>
      <c r="H744" s="98" t="str">
        <f>VLOOKUP(F744,'GL Category'!A:C,2,FALSE)</f>
        <v>BUILDING MAINTENANCE</v>
      </c>
      <c r="I744" s="99">
        <f>SUMIF(Import!$B:$B,'Other Fund Line-Item Details'!$A744,Import!D:D)</f>
        <v>13803</v>
      </c>
      <c r="J744" s="99">
        <f>SUMIF(Import!$B:$B,'Other Fund Line-Item Details'!$A744,Import!E:E)</f>
        <v>52123.31</v>
      </c>
      <c r="K744" s="99">
        <f>SUMIF(Import!$B:$B,'Other Fund Line-Item Details'!$A744,Import!F:F)</f>
        <v>152028.41</v>
      </c>
      <c r="L744" s="99">
        <f>SUMIF(Import!$B:$B,'Other Fund Line-Item Details'!$A744,Import!G:G)</f>
        <v>0</v>
      </c>
      <c r="M744" s="99">
        <f>SUMIF(Import!$B:$B,'Other Fund Line-Item Details'!$A744,Import!H:H)</f>
        <v>0</v>
      </c>
      <c r="N744" s="99">
        <f>SUMIF(Import!$B:$B,'Other Fund Line-Item Details'!$A744,Import!I:I)</f>
        <v>0</v>
      </c>
      <c r="O744" s="99">
        <f>SUMIF(Import!$B:$B,'Other Fund Line-Item Details'!$A744,Import!J:J)</f>
        <v>0</v>
      </c>
      <c r="P744" s="99">
        <f t="shared" si="960"/>
        <v>0</v>
      </c>
      <c r="Q744" s="99">
        <f>SUMIF(Import!$B:$B,'Other Fund Line-Item Details'!$A744,Import!K:K)</f>
        <v>0</v>
      </c>
      <c r="R744" s="99">
        <f>SUMIF(Import!$B:$B,'Other Fund Line-Item Details'!$A744,Import!L:L)</f>
        <v>0</v>
      </c>
      <c r="S744" s="99">
        <f>SUMIF(Import!$B:$B,'Other Fund Line-Item Details'!$A744,Import!M:M)</f>
        <v>0</v>
      </c>
      <c r="T744" s="99">
        <f>SUMIF(Import!$B:$B,'Other Fund Line-Item Details'!$A744,Import!N:N)</f>
        <v>0</v>
      </c>
      <c r="U744" s="99">
        <f t="shared" si="961"/>
        <v>0</v>
      </c>
      <c r="V744" s="255" t="str">
        <f t="shared" si="962"/>
        <v>N/A</v>
      </c>
      <c r="W744" s="102" t="s">
        <v>2173</v>
      </c>
      <c r="X744" s="102"/>
      <c r="Y744" s="102">
        <f t="shared" ref="Y744:Y751" si="968">T744-X744</f>
        <v>0</v>
      </c>
      <c r="Z744" s="309">
        <f>Y744*(1+VLOOKUP($F744,'GL Category'!$A:$H,4,FALSE))</f>
        <v>0</v>
      </c>
      <c r="AA744" s="615"/>
      <c r="AB744" s="622">
        <f t="shared" si="963"/>
        <v>0</v>
      </c>
      <c r="AC744" s="633">
        <f>AB744*(1+VLOOKUP($F744,'GL Category'!$A:$H,5,FALSE))</f>
        <v>0</v>
      </c>
      <c r="AD744" s="307"/>
      <c r="AE744" s="622">
        <f t="shared" si="964"/>
        <v>0</v>
      </c>
      <c r="AF744" s="633">
        <f>AE744*(1+VLOOKUP($F744,'GL Category'!$A:$H,6,FALSE))</f>
        <v>0</v>
      </c>
      <c r="AG744" s="307"/>
      <c r="AH744" s="622">
        <f t="shared" si="965"/>
        <v>0</v>
      </c>
      <c r="AI744" s="633">
        <f>AH744*(1+VLOOKUP($F744,'GL Category'!$A:$H,7,FALSE))</f>
        <v>0</v>
      </c>
      <c r="AJ744" s="307"/>
      <c r="AK744" s="622">
        <f t="shared" si="966"/>
        <v>0</v>
      </c>
      <c r="AL744" s="633">
        <f>AK744*(1+VLOOKUP($F744,'GL Category'!$A:$H,8,FALSE))</f>
        <v>0</v>
      </c>
      <c r="AM744" s="307"/>
      <c r="AN744" s="622">
        <f t="shared" si="967"/>
        <v>0</v>
      </c>
    </row>
    <row r="745" spans="1:40" s="115" customFormat="1" ht="15" customHeight="1">
      <c r="A745" s="555" t="s">
        <v>3521</v>
      </c>
      <c r="B745" s="217" t="str">
        <f t="shared" ref="B745" si="969">LEFT(A745,3)</f>
        <v>179</v>
      </c>
      <c r="C745" s="217" t="str">
        <f t="shared" ref="C745" si="970">MID(A745,5,2)</f>
        <v>11</v>
      </c>
      <c r="D745" s="101" t="str">
        <f t="shared" ref="D745" si="971">MID(A745,8,3)</f>
        <v>111</v>
      </c>
      <c r="E745" s="217" t="str">
        <f t="shared" ref="E745" si="972">LEFT(A745,10)</f>
        <v>179-11-111</v>
      </c>
      <c r="F745" s="294" t="str">
        <f t="shared" ref="F745" si="973">RIGHT(A745,5)</f>
        <v>58710</v>
      </c>
      <c r="G745" s="295" t="str">
        <f>VLOOKUP(F745,'GL Category'!A:C,3,FALSE)</f>
        <v>Capital Outlay</v>
      </c>
      <c r="H745" s="98" t="str">
        <f>VLOOKUP(F745,'GL Category'!A:C,2,FALSE)</f>
        <v>ENGINEERING/DESIGN SERVICES</v>
      </c>
      <c r="I745" s="99">
        <f>SUMIF(Import!$B:$B,'Other Fund Line-Item Details'!$A745,Import!D:D)</f>
        <v>0</v>
      </c>
      <c r="J745" s="99">
        <f>SUMIF(Import!$B:$B,'Other Fund Line-Item Details'!$A745,Import!E:E)</f>
        <v>0</v>
      </c>
      <c r="K745" s="99">
        <f>SUMIF(Import!$B:$B,'Other Fund Line-Item Details'!$A745,Import!F:F)</f>
        <v>0</v>
      </c>
      <c r="L745" s="99">
        <f>SUMIF(Import!$B:$B,'Other Fund Line-Item Details'!$A745,Import!G:G)</f>
        <v>28360</v>
      </c>
      <c r="M745" s="99">
        <f>SUMIF(Import!$B:$B,'Other Fund Line-Item Details'!$A745,Import!H:H)</f>
        <v>0</v>
      </c>
      <c r="N745" s="99">
        <f>SUMIF(Import!$B:$B,'Other Fund Line-Item Details'!$A745,Import!I:I)</f>
        <v>14868.84</v>
      </c>
      <c r="O745" s="99">
        <f>SUMIF(Import!$B:$B,'Other Fund Line-Item Details'!$A745,Import!J:J)</f>
        <v>15640</v>
      </c>
      <c r="P745" s="99">
        <f t="shared" ref="P745" si="974">O745-M745</f>
        <v>15640</v>
      </c>
      <c r="Q745" s="99">
        <f>SUMIF(Import!$B:$B,'Other Fund Line-Item Details'!$A745,Import!K:K)</f>
        <v>0</v>
      </c>
      <c r="R745" s="99">
        <f>SUMIF(Import!$B:$B,'Other Fund Line-Item Details'!$A745,Import!L:L)</f>
        <v>0</v>
      </c>
      <c r="S745" s="99">
        <f>SUMIF(Import!$B:$B,'Other Fund Line-Item Details'!$A745,Import!M:M)</f>
        <v>0</v>
      </c>
      <c r="T745" s="99">
        <f>SUMIF(Import!$B:$B,'Other Fund Line-Item Details'!$A745,Import!N:N)</f>
        <v>0</v>
      </c>
      <c r="U745" s="99">
        <f t="shared" ref="U745" si="975">T745-M745</f>
        <v>0</v>
      </c>
      <c r="V745" s="255" t="str">
        <f t="shared" ref="V745" si="976">IF(M745=0,"N/A",T745/M745-1)</f>
        <v>N/A</v>
      </c>
      <c r="W745" s="102" t="s">
        <v>2173</v>
      </c>
      <c r="X745" s="102"/>
      <c r="Y745" s="102">
        <f t="shared" si="968"/>
        <v>0</v>
      </c>
      <c r="Z745" s="309">
        <f>Y745*(1+VLOOKUP($F745,'GL Category'!$A:$H,4,FALSE))</f>
        <v>0</v>
      </c>
      <c r="AA745" s="615"/>
      <c r="AB745" s="622">
        <f t="shared" si="963"/>
        <v>0</v>
      </c>
      <c r="AC745" s="633">
        <f>AB745*(1+VLOOKUP($F745,'GL Category'!$A:$H,5,FALSE))</f>
        <v>0</v>
      </c>
      <c r="AD745" s="307"/>
      <c r="AE745" s="622">
        <f t="shared" si="964"/>
        <v>0</v>
      </c>
      <c r="AF745" s="633">
        <f>AE745*(1+VLOOKUP($F745,'GL Category'!$A:$H,6,FALSE))</f>
        <v>0</v>
      </c>
      <c r="AG745" s="307"/>
      <c r="AH745" s="622">
        <f t="shared" si="965"/>
        <v>0</v>
      </c>
      <c r="AI745" s="633">
        <f>AH745*(1+VLOOKUP($F745,'GL Category'!$A:$H,7,FALSE))</f>
        <v>0</v>
      </c>
      <c r="AJ745" s="307"/>
      <c r="AK745" s="622">
        <f t="shared" si="966"/>
        <v>0</v>
      </c>
      <c r="AL745" s="633">
        <f>AK745*(1+VLOOKUP($F745,'GL Category'!$A:$H,8,FALSE))</f>
        <v>0</v>
      </c>
      <c r="AM745" s="307"/>
      <c r="AN745" s="622">
        <f t="shared" si="967"/>
        <v>0</v>
      </c>
    </row>
    <row r="746" spans="1:40" s="115" customFormat="1" ht="15" customHeight="1">
      <c r="A746" s="555" t="s">
        <v>2174</v>
      </c>
      <c r="B746" s="217" t="str">
        <f t="shared" si="870"/>
        <v>179</v>
      </c>
      <c r="C746" s="217" t="str">
        <f t="shared" si="871"/>
        <v>77</v>
      </c>
      <c r="D746" s="101" t="str">
        <f t="shared" si="872"/>
        <v>772</v>
      </c>
      <c r="E746" s="217" t="str">
        <f t="shared" si="873"/>
        <v>179-77-772</v>
      </c>
      <c r="F746" s="294" t="str">
        <f t="shared" si="874"/>
        <v>52310</v>
      </c>
      <c r="G746" s="295" t="str">
        <f>VLOOKUP(F746,'GL Category'!A:C,3,FALSE)</f>
        <v>Operations &amp; maintenance</v>
      </c>
      <c r="H746" s="98" t="str">
        <f>VLOOKUP(F746,'GL Category'!A:C,2,FALSE)</f>
        <v>BUILDING MAINTENANCE</v>
      </c>
      <c r="I746" s="99">
        <f>SUMIF(Import!$B:$B,'Other Fund Line-Item Details'!$A746,Import!D:D)</f>
        <v>0</v>
      </c>
      <c r="J746" s="99">
        <f>SUMIF(Import!$B:$B,'Other Fund Line-Item Details'!$A746,Import!E:E)</f>
        <v>0</v>
      </c>
      <c r="K746" s="99">
        <f>SUMIF(Import!$B:$B,'Other Fund Line-Item Details'!$A746,Import!F:F)</f>
        <v>0</v>
      </c>
      <c r="L746" s="99">
        <f>SUMIF(Import!$B:$B,'Other Fund Line-Item Details'!$A746,Import!G:G)</f>
        <v>0</v>
      </c>
      <c r="M746" s="99">
        <f>SUMIF(Import!$B:$B,'Other Fund Line-Item Details'!$A746,Import!H:H)</f>
        <v>0</v>
      </c>
      <c r="N746" s="99">
        <f>SUMIF(Import!$B:$B,'Other Fund Line-Item Details'!$A746,Import!I:I)</f>
        <v>0</v>
      </c>
      <c r="O746" s="99">
        <f>SUMIF(Import!$B:$B,'Other Fund Line-Item Details'!$A746,Import!J:J)</f>
        <v>0</v>
      </c>
      <c r="P746" s="99">
        <f t="shared" si="960"/>
        <v>0</v>
      </c>
      <c r="Q746" s="99">
        <f>SUMIF(Import!$B:$B,'Other Fund Line-Item Details'!$A746,Import!K:K)</f>
        <v>0</v>
      </c>
      <c r="R746" s="99">
        <f>SUMIF(Import!$B:$B,'Other Fund Line-Item Details'!$A746,Import!L:L)</f>
        <v>0</v>
      </c>
      <c r="S746" s="99">
        <f>SUMIF(Import!$B:$B,'Other Fund Line-Item Details'!$A746,Import!M:M)</f>
        <v>0</v>
      </c>
      <c r="T746" s="99">
        <f>SUMIF(Import!$B:$B,'Other Fund Line-Item Details'!$A746,Import!N:N)</f>
        <v>0</v>
      </c>
      <c r="U746" s="99">
        <f t="shared" si="961"/>
        <v>0</v>
      </c>
      <c r="V746" s="255" t="str">
        <f t="shared" si="962"/>
        <v>N/A</v>
      </c>
      <c r="W746" s="102" t="s">
        <v>2174</v>
      </c>
      <c r="X746" s="102"/>
      <c r="Y746" s="102">
        <f t="shared" si="968"/>
        <v>0</v>
      </c>
      <c r="Z746" s="309">
        <f>Y746*(1+VLOOKUP($F746,'GL Category'!$A:$H,4,FALSE))</f>
        <v>0</v>
      </c>
      <c r="AA746" s="615"/>
      <c r="AB746" s="622">
        <f t="shared" si="963"/>
        <v>0</v>
      </c>
      <c r="AC746" s="633">
        <f>AB746*(1+VLOOKUP($F746,'GL Category'!$A:$H,5,FALSE))</f>
        <v>0</v>
      </c>
      <c r="AD746" s="307"/>
      <c r="AE746" s="622">
        <f t="shared" si="964"/>
        <v>0</v>
      </c>
      <c r="AF746" s="633">
        <f>AE746*(1+VLOOKUP($F746,'GL Category'!$A:$H,6,FALSE))</f>
        <v>0</v>
      </c>
      <c r="AG746" s="307"/>
      <c r="AH746" s="622">
        <f t="shared" si="965"/>
        <v>0</v>
      </c>
      <c r="AI746" s="633">
        <f>AH746*(1+VLOOKUP($F746,'GL Category'!$A:$H,7,FALSE))</f>
        <v>0</v>
      </c>
      <c r="AJ746" s="307"/>
      <c r="AK746" s="622">
        <f t="shared" si="966"/>
        <v>0</v>
      </c>
      <c r="AL746" s="633">
        <f>AK746*(1+VLOOKUP($F746,'GL Category'!$A:$H,8,FALSE))</f>
        <v>0</v>
      </c>
      <c r="AM746" s="307"/>
      <c r="AN746" s="622">
        <f t="shared" si="967"/>
        <v>0</v>
      </c>
    </row>
    <row r="747" spans="1:40" s="115" customFormat="1" ht="15" customHeight="1">
      <c r="A747" s="555" t="s">
        <v>2175</v>
      </c>
      <c r="B747" s="217" t="str">
        <f t="shared" si="870"/>
        <v>179</v>
      </c>
      <c r="C747" s="217" t="str">
        <f t="shared" si="871"/>
        <v>11</v>
      </c>
      <c r="D747" s="101" t="str">
        <f t="shared" si="872"/>
        <v>111</v>
      </c>
      <c r="E747" s="217" t="str">
        <f t="shared" si="873"/>
        <v>179-11-111</v>
      </c>
      <c r="F747" s="294" t="str">
        <f t="shared" si="874"/>
        <v>58830</v>
      </c>
      <c r="G747" s="295" t="str">
        <f>VLOOKUP(F747,'GL Category'!A:C,3,FALSE)</f>
        <v>Capital Outlay</v>
      </c>
      <c r="H747" s="98" t="str">
        <f>VLOOKUP(F747,'GL Category'!A:C,2,FALSE)</f>
        <v>MACHINERY &amp; EQUIPMENT</v>
      </c>
      <c r="I747" s="99">
        <f>SUMIF(Import!$B:$B,'Other Fund Line-Item Details'!$A747,Import!D:D)</f>
        <v>0</v>
      </c>
      <c r="J747" s="99">
        <f>SUMIF(Import!$B:$B,'Other Fund Line-Item Details'!$A747,Import!E:E)</f>
        <v>0</v>
      </c>
      <c r="K747" s="99">
        <f>SUMIF(Import!$B:$B,'Other Fund Line-Item Details'!$A747,Import!F:F)</f>
        <v>0</v>
      </c>
      <c r="L747" s="99">
        <f>SUMIF(Import!$B:$B,'Other Fund Line-Item Details'!$A747,Import!G:G)</f>
        <v>0</v>
      </c>
      <c r="M747" s="99">
        <f>SUMIF(Import!$B:$B,'Other Fund Line-Item Details'!$A747,Import!H:H)</f>
        <v>0</v>
      </c>
      <c r="N747" s="99">
        <f>SUMIF(Import!$B:$B,'Other Fund Line-Item Details'!$A747,Import!I:I)</f>
        <v>0</v>
      </c>
      <c r="O747" s="99">
        <f>SUMIF(Import!$B:$B,'Other Fund Line-Item Details'!$A747,Import!J:J)</f>
        <v>0</v>
      </c>
      <c r="P747" s="99">
        <f t="shared" si="960"/>
        <v>0</v>
      </c>
      <c r="Q747" s="99">
        <f>SUMIF(Import!$B:$B,'Other Fund Line-Item Details'!$A747,Import!K:K)</f>
        <v>0</v>
      </c>
      <c r="R747" s="99">
        <f>SUMIF(Import!$B:$B,'Other Fund Line-Item Details'!$A747,Import!L:L)</f>
        <v>0</v>
      </c>
      <c r="S747" s="99">
        <f>SUMIF(Import!$B:$B,'Other Fund Line-Item Details'!$A747,Import!M:M)</f>
        <v>0</v>
      </c>
      <c r="T747" s="99">
        <f>SUMIF(Import!$B:$B,'Other Fund Line-Item Details'!$A747,Import!N:N)</f>
        <v>0</v>
      </c>
      <c r="U747" s="99">
        <f t="shared" si="961"/>
        <v>0</v>
      </c>
      <c r="V747" s="255" t="str">
        <f t="shared" si="962"/>
        <v>N/A</v>
      </c>
      <c r="W747" s="102" t="s">
        <v>2175</v>
      </c>
      <c r="X747" s="102"/>
      <c r="Y747" s="102">
        <f t="shared" si="968"/>
        <v>0</v>
      </c>
      <c r="Z747" s="309">
        <f>Y747*(1+VLOOKUP($F747,'GL Category'!$A:$H,4,FALSE))</f>
        <v>0</v>
      </c>
      <c r="AA747" s="615"/>
      <c r="AB747" s="622">
        <f t="shared" si="963"/>
        <v>0</v>
      </c>
      <c r="AC747" s="633">
        <f>AB747*(1+VLOOKUP($F747,'GL Category'!$A:$H,5,FALSE))</f>
        <v>0</v>
      </c>
      <c r="AD747" s="307"/>
      <c r="AE747" s="622">
        <f t="shared" si="964"/>
        <v>0</v>
      </c>
      <c r="AF747" s="633">
        <f>AE747*(1+VLOOKUP($F747,'GL Category'!$A:$H,6,FALSE))</f>
        <v>0</v>
      </c>
      <c r="AG747" s="307"/>
      <c r="AH747" s="622">
        <f t="shared" si="965"/>
        <v>0</v>
      </c>
      <c r="AI747" s="633">
        <f>AH747*(1+VLOOKUP($F747,'GL Category'!$A:$H,7,FALSE))</f>
        <v>0</v>
      </c>
      <c r="AJ747" s="307"/>
      <c r="AK747" s="622">
        <f t="shared" si="966"/>
        <v>0</v>
      </c>
      <c r="AL747" s="633">
        <f>AK747*(1+VLOOKUP($F747,'GL Category'!$A:$H,8,FALSE))</f>
        <v>0</v>
      </c>
      <c r="AM747" s="307"/>
      <c r="AN747" s="622">
        <f t="shared" si="967"/>
        <v>0</v>
      </c>
    </row>
    <row r="748" spans="1:40" s="115" customFormat="1" ht="15" customHeight="1">
      <c r="A748" s="555" t="s">
        <v>3364</v>
      </c>
      <c r="B748" s="217" t="str">
        <f t="shared" ref="B748" si="977">LEFT(A748,3)</f>
        <v>179</v>
      </c>
      <c r="C748" s="217" t="str">
        <f t="shared" ref="C748" si="978">MID(A748,5,2)</f>
        <v>65</v>
      </c>
      <c r="D748" s="101" t="str">
        <f t="shared" ref="D748" si="979">MID(A748,8,3)</f>
        <v>651</v>
      </c>
      <c r="E748" s="217" t="str">
        <f t="shared" ref="E748" si="980">LEFT(A748,10)</f>
        <v>179-65-651</v>
      </c>
      <c r="F748" s="294" t="str">
        <f t="shared" ref="F748" si="981">RIGHT(A748,5)</f>
        <v>58828</v>
      </c>
      <c r="G748" s="295" t="str">
        <f>VLOOKUP(F748,'GL Category'!A:C,3,FALSE)</f>
        <v>Capital Outlay</v>
      </c>
      <c r="H748" s="98" t="str">
        <f>VLOOKUP(F748,'GL Category'!A:C,2,FALSE)</f>
        <v>BUILDINGS &amp; IMPROVEMENTS</v>
      </c>
      <c r="I748" s="99">
        <f>SUMIF(Import!$B:$B,'Other Fund Line-Item Details'!$A748,Import!D:D)</f>
        <v>0</v>
      </c>
      <c r="J748" s="99">
        <f>SUMIF(Import!$B:$B,'Other Fund Line-Item Details'!$A748,Import!E:E)</f>
        <v>0</v>
      </c>
      <c r="K748" s="99">
        <f>SUMIF(Import!$B:$B,'Other Fund Line-Item Details'!$A748,Import!F:F)</f>
        <v>222811.33</v>
      </c>
      <c r="L748" s="99">
        <f>SUMIF(Import!$B:$B,'Other Fund Line-Item Details'!$A748,Import!G:G)</f>
        <v>544893.1</v>
      </c>
      <c r="M748" s="99">
        <f>SUMIF(Import!$B:$B,'Other Fund Line-Item Details'!$A748,Import!H:H)</f>
        <v>0</v>
      </c>
      <c r="N748" s="99">
        <f>SUMIF(Import!$B:$B,'Other Fund Line-Item Details'!$A748,Import!I:I)</f>
        <v>0</v>
      </c>
      <c r="O748" s="99">
        <f>SUMIF(Import!$B:$B,'Other Fund Line-Item Details'!$A748,Import!J:J)</f>
        <v>0</v>
      </c>
      <c r="P748" s="99">
        <f t="shared" ref="P748" si="982">O748-M748</f>
        <v>0</v>
      </c>
      <c r="Q748" s="99">
        <f>SUMIF(Import!$B:$B,'Other Fund Line-Item Details'!$A748,Import!K:K)</f>
        <v>0</v>
      </c>
      <c r="R748" s="99">
        <f>SUMIF(Import!$B:$B,'Other Fund Line-Item Details'!$A748,Import!L:L)</f>
        <v>0</v>
      </c>
      <c r="S748" s="99">
        <f>SUMIF(Import!$B:$B,'Other Fund Line-Item Details'!$A748,Import!M:M)</f>
        <v>0</v>
      </c>
      <c r="T748" s="99">
        <f>SUMIF(Import!$B:$B,'Other Fund Line-Item Details'!$A748,Import!N:N)</f>
        <v>0</v>
      </c>
      <c r="U748" s="99">
        <f t="shared" ref="U748" si="983">T748-M748</f>
        <v>0</v>
      </c>
      <c r="V748" s="255" t="str">
        <f t="shared" ref="V748" si="984">IF(M748=0,"N/A",T748/M748-1)</f>
        <v>N/A</v>
      </c>
      <c r="W748" s="102" t="s">
        <v>2175</v>
      </c>
      <c r="X748" s="102"/>
      <c r="Y748" s="102">
        <f t="shared" si="968"/>
        <v>0</v>
      </c>
      <c r="Z748" s="309">
        <f>Y748*(1+VLOOKUP($F748,'GL Category'!$A:$H,4,FALSE))</f>
        <v>0</v>
      </c>
      <c r="AA748" s="615"/>
      <c r="AB748" s="622">
        <f t="shared" si="963"/>
        <v>0</v>
      </c>
      <c r="AC748" s="633">
        <f>AB748*(1+VLOOKUP($F748,'GL Category'!$A:$H,5,FALSE))</f>
        <v>0</v>
      </c>
      <c r="AD748" s="307"/>
      <c r="AE748" s="622">
        <f t="shared" si="964"/>
        <v>0</v>
      </c>
      <c r="AF748" s="633">
        <f>AE748*(1+VLOOKUP($F748,'GL Category'!$A:$H,6,FALSE))</f>
        <v>0</v>
      </c>
      <c r="AG748" s="307"/>
      <c r="AH748" s="622">
        <f t="shared" si="965"/>
        <v>0</v>
      </c>
      <c r="AI748" s="633">
        <f>AH748*(1+VLOOKUP($F748,'GL Category'!$A:$H,7,FALSE))</f>
        <v>0</v>
      </c>
      <c r="AJ748" s="307"/>
      <c r="AK748" s="622">
        <f t="shared" si="966"/>
        <v>0</v>
      </c>
      <c r="AL748" s="633">
        <f>AK748*(1+VLOOKUP($F748,'GL Category'!$A:$H,8,FALSE))</f>
        <v>0</v>
      </c>
      <c r="AM748" s="307"/>
      <c r="AN748" s="622">
        <f t="shared" si="967"/>
        <v>0</v>
      </c>
    </row>
    <row r="749" spans="1:40" s="115" customFormat="1" ht="15" customHeight="1">
      <c r="A749" s="555" t="s">
        <v>3234</v>
      </c>
      <c r="B749" s="217" t="str">
        <f t="shared" si="870"/>
        <v>179</v>
      </c>
      <c r="C749" s="217" t="str">
        <f t="shared" si="871"/>
        <v>35</v>
      </c>
      <c r="D749" s="101" t="str">
        <f t="shared" si="872"/>
        <v>352</v>
      </c>
      <c r="E749" s="217" t="str">
        <f t="shared" si="873"/>
        <v>179-35-352</v>
      </c>
      <c r="F749" s="294" t="str">
        <f t="shared" si="874"/>
        <v>51245</v>
      </c>
      <c r="G749" s="295" t="str">
        <f>VLOOKUP(F749,'GL Category'!A:C,3,FALSE)</f>
        <v>Operations &amp; maintenance</v>
      </c>
      <c r="H749" s="98" t="str">
        <f>VLOOKUP(F749,'GL Category'!A:C,2,FALSE)</f>
        <v>SMALL TOOLS &amp; EQUIPMENT</v>
      </c>
      <c r="I749" s="99">
        <f>SUMIF(Import!$B:$B,'Other Fund Line-Item Details'!$A749,Import!D:D)</f>
        <v>0</v>
      </c>
      <c r="J749" s="99">
        <f>SUMIF(Import!$B:$B,'Other Fund Line-Item Details'!$A749,Import!E:E)</f>
        <v>9070.2099999999991</v>
      </c>
      <c r="K749" s="99">
        <f>SUMIF(Import!$B:$B,'Other Fund Line-Item Details'!$A749,Import!F:F)</f>
        <v>13593.19</v>
      </c>
      <c r="L749" s="99">
        <f>SUMIF(Import!$B:$B,'Other Fund Line-Item Details'!$A749,Import!G:G)</f>
        <v>4275</v>
      </c>
      <c r="M749" s="99">
        <f>SUMIF(Import!$B:$B,'Other Fund Line-Item Details'!$A749,Import!H:H)</f>
        <v>0</v>
      </c>
      <c r="N749" s="99">
        <f>SUMIF(Import!$B:$B,'Other Fund Line-Item Details'!$A749,Import!I:I)</f>
        <v>0</v>
      </c>
      <c r="O749" s="99">
        <f>SUMIF(Import!$B:$B,'Other Fund Line-Item Details'!$A749,Import!J:J)</f>
        <v>0</v>
      </c>
      <c r="P749" s="99">
        <f t="shared" si="960"/>
        <v>0</v>
      </c>
      <c r="Q749" s="99">
        <f>SUMIF(Import!$B:$B,'Other Fund Line-Item Details'!$A749,Import!K:K)</f>
        <v>0</v>
      </c>
      <c r="R749" s="99">
        <f>SUMIF(Import!$B:$B,'Other Fund Line-Item Details'!$A749,Import!L:L)</f>
        <v>0</v>
      </c>
      <c r="S749" s="99">
        <f>SUMIF(Import!$B:$B,'Other Fund Line-Item Details'!$A749,Import!M:M)</f>
        <v>0</v>
      </c>
      <c r="T749" s="99">
        <f>SUMIF(Import!$B:$B,'Other Fund Line-Item Details'!$A749,Import!N:N)</f>
        <v>0</v>
      </c>
      <c r="U749" s="99">
        <f t="shared" ref="U749:U751" si="985">T749-M749</f>
        <v>0</v>
      </c>
      <c r="V749" s="255" t="str">
        <f t="shared" ref="V749:V751" si="986">IF(M749=0,"N/A",T749/M749-1)</f>
        <v>N/A</v>
      </c>
      <c r="W749" s="102" t="s">
        <v>3321</v>
      </c>
      <c r="X749" s="102"/>
      <c r="Y749" s="102">
        <f t="shared" si="968"/>
        <v>0</v>
      </c>
      <c r="Z749" s="309">
        <f>Y749*(1+VLOOKUP($F749,'GL Category'!$A:$H,4,FALSE))</f>
        <v>0</v>
      </c>
      <c r="AA749" s="615"/>
      <c r="AB749" s="622">
        <f t="shared" si="963"/>
        <v>0</v>
      </c>
      <c r="AC749" s="633">
        <f>AB749*(1+VLOOKUP($F749,'GL Category'!$A:$H,5,FALSE))</f>
        <v>0</v>
      </c>
      <c r="AD749" s="307"/>
      <c r="AE749" s="622">
        <f t="shared" si="964"/>
        <v>0</v>
      </c>
      <c r="AF749" s="633">
        <f>AE749*(1+VLOOKUP($F749,'GL Category'!$A:$H,6,FALSE))</f>
        <v>0</v>
      </c>
      <c r="AG749" s="307"/>
      <c r="AH749" s="622">
        <f t="shared" si="965"/>
        <v>0</v>
      </c>
      <c r="AI749" s="633">
        <f>AH749*(1+VLOOKUP($F749,'GL Category'!$A:$H,7,FALSE))</f>
        <v>0</v>
      </c>
      <c r="AJ749" s="307"/>
      <c r="AK749" s="622">
        <f t="shared" si="966"/>
        <v>0</v>
      </c>
      <c r="AL749" s="633">
        <f>AK749*(1+VLOOKUP($F749,'GL Category'!$A:$H,8,FALSE))</f>
        <v>0</v>
      </c>
      <c r="AM749" s="307"/>
      <c r="AN749" s="622">
        <f t="shared" si="967"/>
        <v>0</v>
      </c>
    </row>
    <row r="750" spans="1:40" s="115" customFormat="1" ht="15" customHeight="1">
      <c r="A750" s="555" t="s">
        <v>3387</v>
      </c>
      <c r="B750" s="217" t="str">
        <f t="shared" ref="B750" si="987">LEFT(A750,3)</f>
        <v>179</v>
      </c>
      <c r="C750" s="217" t="str">
        <f t="shared" ref="C750" si="988">MID(A750,5,2)</f>
        <v>35</v>
      </c>
      <c r="D750" s="101" t="str">
        <f t="shared" ref="D750" si="989">MID(A750,8,3)</f>
        <v>352</v>
      </c>
      <c r="E750" s="217" t="str">
        <f t="shared" ref="E750" si="990">LEFT(A750,10)</f>
        <v>179-35-352</v>
      </c>
      <c r="F750" s="294" t="str">
        <f t="shared" ref="F750" si="991">RIGHT(A750,5)</f>
        <v>58830</v>
      </c>
      <c r="G750" s="295" t="str">
        <f>VLOOKUP(F750,'GL Category'!A:C,3,FALSE)</f>
        <v>Capital Outlay</v>
      </c>
      <c r="H750" s="98" t="str">
        <f>VLOOKUP(F750,'GL Category'!A:C,2,FALSE)</f>
        <v>MACHINERY &amp; EQUIPMENT</v>
      </c>
      <c r="I750" s="99">
        <f>SUMIF(Import!$B:$B,'Other Fund Line-Item Details'!$A750,Import!D:D)</f>
        <v>0</v>
      </c>
      <c r="J750" s="99">
        <f>SUMIF(Import!$B:$B,'Other Fund Line-Item Details'!$A750,Import!E:E)</f>
        <v>0</v>
      </c>
      <c r="K750" s="99">
        <f>SUMIF(Import!$B:$B,'Other Fund Line-Item Details'!$A750,Import!F:F)</f>
        <v>0</v>
      </c>
      <c r="L750" s="99">
        <f>SUMIF(Import!$B:$B,'Other Fund Line-Item Details'!$A750,Import!G:G)</f>
        <v>16782.3</v>
      </c>
      <c r="M750" s="99">
        <f>SUMIF(Import!$B:$B,'Other Fund Line-Item Details'!$A750,Import!H:H)</f>
        <v>0</v>
      </c>
      <c r="N750" s="99">
        <f>SUMIF(Import!$B:$B,'Other Fund Line-Item Details'!$A750,Import!I:I)</f>
        <v>0</v>
      </c>
      <c r="O750" s="99">
        <f>SUMIF(Import!$B:$B,'Other Fund Line-Item Details'!$A750,Import!J:J)</f>
        <v>0</v>
      </c>
      <c r="P750" s="99">
        <f t="shared" ref="P750" si="992">O750-M750</f>
        <v>0</v>
      </c>
      <c r="Q750" s="99">
        <f>SUMIF(Import!$B:$B,'Other Fund Line-Item Details'!$A750,Import!K:K)</f>
        <v>0</v>
      </c>
      <c r="R750" s="99">
        <f>SUMIF(Import!$B:$B,'Other Fund Line-Item Details'!$A750,Import!L:L)</f>
        <v>0</v>
      </c>
      <c r="S750" s="99">
        <f>SUMIF(Import!$B:$B,'Other Fund Line-Item Details'!$A750,Import!M:M)</f>
        <v>0</v>
      </c>
      <c r="T750" s="99">
        <f>SUMIF(Import!$B:$B,'Other Fund Line-Item Details'!$A750,Import!N:N)</f>
        <v>0</v>
      </c>
      <c r="U750" s="99">
        <f t="shared" ref="U750" si="993">T750-M750</f>
        <v>0</v>
      </c>
      <c r="V750" s="255" t="str">
        <f t="shared" ref="V750" si="994">IF(M750=0,"N/A",T750/M750-1)</f>
        <v>N/A</v>
      </c>
      <c r="W750" s="102" t="s">
        <v>3321</v>
      </c>
      <c r="X750" s="102"/>
      <c r="Y750" s="102">
        <f t="shared" si="968"/>
        <v>0</v>
      </c>
      <c r="Z750" s="309">
        <f>Y750*(1+VLOOKUP($F750,'GL Category'!$A:$H,4,FALSE))</f>
        <v>0</v>
      </c>
      <c r="AA750" s="615"/>
      <c r="AB750" s="622">
        <f t="shared" si="963"/>
        <v>0</v>
      </c>
      <c r="AC750" s="633">
        <f>AB750*(1+VLOOKUP($F750,'GL Category'!$A:$H,5,FALSE))</f>
        <v>0</v>
      </c>
      <c r="AD750" s="307"/>
      <c r="AE750" s="622">
        <f t="shared" si="964"/>
        <v>0</v>
      </c>
      <c r="AF750" s="633">
        <f>AE750*(1+VLOOKUP($F750,'GL Category'!$A:$H,6,FALSE))</f>
        <v>0</v>
      </c>
      <c r="AG750" s="307"/>
      <c r="AH750" s="622">
        <f t="shared" si="965"/>
        <v>0</v>
      </c>
      <c r="AI750" s="633">
        <f>AH750*(1+VLOOKUP($F750,'GL Category'!$A:$H,7,FALSE))</f>
        <v>0</v>
      </c>
      <c r="AJ750" s="307"/>
      <c r="AK750" s="622">
        <f t="shared" si="966"/>
        <v>0</v>
      </c>
      <c r="AL750" s="633">
        <f>AK750*(1+VLOOKUP($F750,'GL Category'!$A:$H,8,FALSE))</f>
        <v>0</v>
      </c>
      <c r="AM750" s="307"/>
      <c r="AN750" s="622">
        <f t="shared" si="967"/>
        <v>0</v>
      </c>
    </row>
    <row r="751" spans="1:40" s="115" customFormat="1" ht="15" customHeight="1">
      <c r="A751" s="555" t="s">
        <v>2176</v>
      </c>
      <c r="B751" s="217" t="str">
        <f t="shared" ref="B751" si="995">LEFT(A751,3)</f>
        <v>179</v>
      </c>
      <c r="C751" s="217" t="str">
        <f t="shared" ref="C751" si="996">MID(A751,5,2)</f>
        <v>77</v>
      </c>
      <c r="D751" s="101" t="str">
        <f t="shared" ref="D751" si="997">MID(A751,8,3)</f>
        <v>772</v>
      </c>
      <c r="E751" s="217" t="str">
        <f t="shared" ref="E751" si="998">LEFT(A751,10)</f>
        <v>179-77-772</v>
      </c>
      <c r="F751" s="294" t="str">
        <f t="shared" ref="F751" si="999">RIGHT(A751,5)</f>
        <v>58828</v>
      </c>
      <c r="G751" s="295" t="str">
        <f>VLOOKUP(F751,'GL Category'!A:C,3,FALSE)</f>
        <v>Capital Outlay</v>
      </c>
      <c r="H751" s="98" t="str">
        <f>VLOOKUP(F751,'GL Category'!A:C,2,FALSE)</f>
        <v>BUILDINGS &amp; IMPROVEMENTS</v>
      </c>
      <c r="I751" s="99">
        <f>SUMIF(Import!$B:$B,'Other Fund Line-Item Details'!$A751,Import!D:D)</f>
        <v>38500</v>
      </c>
      <c r="J751" s="99">
        <f>SUMIF(Import!$B:$B,'Other Fund Line-Item Details'!$A751,Import!E:E)</f>
        <v>32000</v>
      </c>
      <c r="K751" s="99">
        <f>SUMIF(Import!$B:$B,'Other Fund Line-Item Details'!$A751,Import!F:F)</f>
        <v>423489.18</v>
      </c>
      <c r="L751" s="99">
        <f>SUMIF(Import!$B:$B,'Other Fund Line-Item Details'!$A751,Import!G:G)</f>
        <v>98605.5</v>
      </c>
      <c r="M751" s="99">
        <f>SUMIF(Import!$B:$B,'Other Fund Line-Item Details'!$A751,Import!H:H)</f>
        <v>0</v>
      </c>
      <c r="N751" s="99">
        <f>SUMIF(Import!$B:$B,'Other Fund Line-Item Details'!$A751,Import!I:I)</f>
        <v>50530.5</v>
      </c>
      <c r="O751" s="99">
        <f>SUMIF(Import!$B:$B,'Other Fund Line-Item Details'!$A751,Import!J:J)</f>
        <v>50531</v>
      </c>
      <c r="P751" s="99">
        <f t="shared" ref="P751" si="1000">O751-M751</f>
        <v>50531</v>
      </c>
      <c r="Q751" s="99">
        <f>SUMIF(Import!$B:$B,'Other Fund Line-Item Details'!$A751,Import!K:K)</f>
        <v>0</v>
      </c>
      <c r="R751" s="99">
        <f>SUMIF(Import!$B:$B,'Other Fund Line-Item Details'!$A751,Import!L:L)</f>
        <v>0</v>
      </c>
      <c r="S751" s="99">
        <f>SUMIF(Import!$B:$B,'Other Fund Line-Item Details'!$A751,Import!M:M)</f>
        <v>0</v>
      </c>
      <c r="T751" s="99">
        <f>SUMIF(Import!$B:$B,'Other Fund Line-Item Details'!$A751,Import!N:N)</f>
        <v>0</v>
      </c>
      <c r="U751" s="99">
        <f t="shared" si="985"/>
        <v>0</v>
      </c>
      <c r="V751" s="255" t="str">
        <f t="shared" si="986"/>
        <v>N/A</v>
      </c>
      <c r="W751" s="102" t="s">
        <v>2176</v>
      </c>
      <c r="X751" s="102"/>
      <c r="Y751" s="102">
        <f t="shared" si="968"/>
        <v>0</v>
      </c>
      <c r="Z751" s="309">
        <f>Y751*(1+VLOOKUP($F751,'GL Category'!$A:$H,4,FALSE))</f>
        <v>0</v>
      </c>
      <c r="AA751" s="615"/>
      <c r="AB751" s="622">
        <f t="shared" si="963"/>
        <v>0</v>
      </c>
      <c r="AC751" s="633">
        <f>AB751*(1+VLOOKUP($F751,'GL Category'!$A:$H,5,FALSE))</f>
        <v>0</v>
      </c>
      <c r="AD751" s="307"/>
      <c r="AE751" s="622">
        <f t="shared" si="964"/>
        <v>0</v>
      </c>
      <c r="AF751" s="633">
        <f>AE751*(1+VLOOKUP($F751,'GL Category'!$A:$H,6,FALSE))</f>
        <v>0</v>
      </c>
      <c r="AG751" s="307"/>
      <c r="AH751" s="622">
        <f t="shared" si="965"/>
        <v>0</v>
      </c>
      <c r="AI751" s="633">
        <f>AH751*(1+VLOOKUP($F751,'GL Category'!$A:$H,7,FALSE))</f>
        <v>0</v>
      </c>
      <c r="AJ751" s="307"/>
      <c r="AK751" s="622">
        <f t="shared" si="966"/>
        <v>0</v>
      </c>
      <c r="AL751" s="633">
        <f>AK751*(1+VLOOKUP($F751,'GL Category'!$A:$H,8,FALSE))</f>
        <v>0</v>
      </c>
      <c r="AM751" s="307"/>
      <c r="AN751" s="622">
        <f t="shared" si="967"/>
        <v>0</v>
      </c>
    </row>
    <row r="752" spans="1:40" s="115" customFormat="1" ht="15" customHeight="1">
      <c r="A752" s="555"/>
      <c r="B752" s="217"/>
      <c r="C752" s="217"/>
      <c r="D752" s="101"/>
      <c r="E752" s="217"/>
      <c r="F752" s="294"/>
      <c r="G752" s="146"/>
      <c r="H752" s="114" t="s">
        <v>677</v>
      </c>
      <c r="I752" s="108">
        <f t="shared" ref="I752" si="1001">SUBTOTAL(9,I743:I751)</f>
        <v>52303</v>
      </c>
      <c r="J752" s="108">
        <f t="shared" ref="J752:T752" si="1002">SUBTOTAL(9,J743:J751)</f>
        <v>93193.51999999999</v>
      </c>
      <c r="K752" s="108">
        <f t="shared" ref="K752" si="1003">SUBTOTAL(9,K743:K751)</f>
        <v>1933313.89</v>
      </c>
      <c r="L752" s="108">
        <f t="shared" ref="L752" si="1004">SUBTOTAL(9,L743:L751)</f>
        <v>1009455.69</v>
      </c>
      <c r="M752" s="108">
        <f t="shared" si="1002"/>
        <v>760553</v>
      </c>
      <c r="N752" s="108">
        <f t="shared" si="1002"/>
        <v>396451.54000000004</v>
      </c>
      <c r="O752" s="108">
        <f t="shared" si="1002"/>
        <v>578475</v>
      </c>
      <c r="P752" s="108">
        <f t="shared" si="1002"/>
        <v>-182078</v>
      </c>
      <c r="Q752" s="108">
        <f t="shared" si="1002"/>
        <v>187500</v>
      </c>
      <c r="R752" s="108">
        <f t="shared" si="1002"/>
        <v>0</v>
      </c>
      <c r="S752" s="108">
        <f t="shared" si="1002"/>
        <v>0</v>
      </c>
      <c r="T752" s="108">
        <f t="shared" si="1002"/>
        <v>187500</v>
      </c>
      <c r="U752" s="99">
        <f t="shared" si="961"/>
        <v>-573053</v>
      </c>
      <c r="V752" s="255">
        <f t="shared" si="962"/>
        <v>-0.75346885752866666</v>
      </c>
      <c r="W752" s="102"/>
      <c r="X752" s="121"/>
      <c r="Y752" s="108">
        <f t="shared" ref="Y752:AN752" si="1005">SUBTOTAL(9,Y743:Y751)</f>
        <v>0</v>
      </c>
      <c r="Z752" s="108">
        <f t="shared" si="1005"/>
        <v>0</v>
      </c>
      <c r="AA752" s="108">
        <f t="shared" si="1005"/>
        <v>0</v>
      </c>
      <c r="AB752" s="108">
        <f t="shared" si="1005"/>
        <v>0</v>
      </c>
      <c r="AC752" s="108">
        <f t="shared" si="1005"/>
        <v>0</v>
      </c>
      <c r="AD752" s="108">
        <f t="shared" si="1005"/>
        <v>0</v>
      </c>
      <c r="AE752" s="108">
        <f t="shared" si="1005"/>
        <v>0</v>
      </c>
      <c r="AF752" s="108">
        <f t="shared" si="1005"/>
        <v>0</v>
      </c>
      <c r="AG752" s="108">
        <f t="shared" si="1005"/>
        <v>0</v>
      </c>
      <c r="AH752" s="108">
        <f t="shared" si="1005"/>
        <v>0</v>
      </c>
      <c r="AI752" s="108">
        <f t="shared" si="1005"/>
        <v>0</v>
      </c>
      <c r="AJ752" s="108">
        <f t="shared" si="1005"/>
        <v>0</v>
      </c>
      <c r="AK752" s="108">
        <f t="shared" si="1005"/>
        <v>0</v>
      </c>
      <c r="AL752" s="108">
        <f t="shared" si="1005"/>
        <v>0</v>
      </c>
      <c r="AM752" s="108">
        <f t="shared" si="1005"/>
        <v>0</v>
      </c>
      <c r="AN752" s="108">
        <f t="shared" si="1005"/>
        <v>0</v>
      </c>
    </row>
    <row r="753" spans="1:35" s="115" customFormat="1" ht="15" customHeight="1">
      <c r="A753" s="555"/>
      <c r="B753" s="217"/>
      <c r="C753" s="217"/>
      <c r="D753" s="101"/>
      <c r="E753" s="217"/>
      <c r="F753" s="294"/>
      <c r="G753" s="146"/>
      <c r="H753" s="98"/>
      <c r="I753" s="218"/>
      <c r="J753" s="218"/>
      <c r="K753" s="218"/>
      <c r="L753" s="218"/>
      <c r="M753" s="218"/>
      <c r="N753" s="96"/>
      <c r="O753" s="96"/>
      <c r="P753" s="96"/>
      <c r="Q753" s="212"/>
      <c r="R753" s="212"/>
      <c r="S753" s="212"/>
      <c r="T753" s="212"/>
      <c r="U753" s="105"/>
      <c r="V753" s="262"/>
      <c r="W753" s="102"/>
      <c r="X753" s="121"/>
      <c r="Y753" s="121"/>
      <c r="Z753" s="121"/>
      <c r="AA753" s="121"/>
      <c r="AB753" s="121"/>
      <c r="AC753" s="121"/>
      <c r="AD753" s="121"/>
      <c r="AE753" s="121"/>
      <c r="AF753" s="121"/>
      <c r="AG753" s="121"/>
      <c r="AH753" s="121"/>
      <c r="AI753" s="121"/>
    </row>
    <row r="754" spans="1:35" s="115" customFormat="1" ht="15" customHeight="1">
      <c r="A754" s="187"/>
      <c r="B754" s="190"/>
      <c r="C754" s="190"/>
      <c r="D754" s="69"/>
      <c r="E754" s="69"/>
      <c r="F754" s="149"/>
      <c r="G754" s="146"/>
      <c r="H754" s="114" t="s">
        <v>678</v>
      </c>
      <c r="I754" s="108">
        <f t="shared" ref="I754" si="1006">SUBTOTAL(9,I736:I753)</f>
        <v>-348302.36</v>
      </c>
      <c r="J754" s="108">
        <f t="shared" ref="J754:N754" si="1007">SUBTOTAL(9,J736:J753)</f>
        <v>-1173209.2899999998</v>
      </c>
      <c r="K754" s="108">
        <f t="shared" ref="K754" si="1008">SUBTOTAL(9,K736:K753)</f>
        <v>1158873.8999999999</v>
      </c>
      <c r="L754" s="108">
        <f t="shared" ref="L754" si="1009">SUBTOTAL(9,L736:L753)</f>
        <v>162809.44</v>
      </c>
      <c r="M754" s="108">
        <f t="shared" si="1007"/>
        <v>497066</v>
      </c>
      <c r="N754" s="108">
        <f t="shared" si="1007"/>
        <v>-258065.35999999987</v>
      </c>
      <c r="O754" s="108">
        <f t="shared" ref="O754:T754" si="1010">SUBTOTAL(9,O736:O753)</f>
        <v>-144115</v>
      </c>
      <c r="P754" s="108">
        <f t="shared" si="1010"/>
        <v>-641181</v>
      </c>
      <c r="Q754" s="108">
        <f t="shared" si="1010"/>
        <v>-123153</v>
      </c>
      <c r="R754" s="108">
        <f t="shared" si="1010"/>
        <v>0</v>
      </c>
      <c r="S754" s="108">
        <f t="shared" si="1010"/>
        <v>0</v>
      </c>
      <c r="T754" s="108">
        <f t="shared" si="1010"/>
        <v>-123153</v>
      </c>
      <c r="U754" s="99">
        <f>T754-M754</f>
        <v>-620219</v>
      </c>
      <c r="V754" s="255">
        <f>IF(M754=0,"N/A",T754/M754-1)</f>
        <v>-1.2477598548281315</v>
      </c>
      <c r="W754" s="102"/>
      <c r="X754" s="121"/>
      <c r="Y754" s="121"/>
      <c r="Z754" s="121"/>
      <c r="AA754" s="121"/>
      <c r="AB754" s="121"/>
      <c r="AC754" s="121"/>
      <c r="AD754" s="121"/>
      <c r="AE754" s="121"/>
      <c r="AF754" s="121"/>
      <c r="AG754" s="121"/>
      <c r="AH754" s="121"/>
      <c r="AI754" s="121"/>
    </row>
    <row r="755" spans="1:35" s="115" customFormat="1" ht="14.4">
      <c r="A755" s="187"/>
      <c r="B755" s="190"/>
      <c r="C755" s="190"/>
      <c r="D755" s="69"/>
      <c r="E755" s="69"/>
      <c r="F755" s="149"/>
      <c r="G755" s="146"/>
      <c r="H755" s="98"/>
      <c r="I755" s="99"/>
      <c r="J755" s="99"/>
      <c r="K755" s="99"/>
      <c r="L755" s="99"/>
      <c r="M755" s="99"/>
      <c r="N755" s="99"/>
      <c r="O755" s="99"/>
      <c r="P755" s="99"/>
      <c r="Q755" s="99"/>
      <c r="R755" s="99"/>
      <c r="S755" s="99"/>
      <c r="T755" s="99"/>
      <c r="U755" s="105"/>
      <c r="V755" s="262"/>
      <c r="W755" s="102"/>
      <c r="X755" s="121"/>
      <c r="Y755" s="121"/>
      <c r="Z755" s="121"/>
      <c r="AA755" s="121"/>
      <c r="AB755" s="121"/>
      <c r="AC755" s="121"/>
      <c r="AD755" s="121"/>
      <c r="AE755" s="121"/>
      <c r="AF755" s="121"/>
      <c r="AG755" s="121"/>
      <c r="AH755" s="121"/>
      <c r="AI755" s="121"/>
    </row>
    <row r="756" spans="1:35" s="115" customFormat="1" ht="14.4">
      <c r="A756" s="187"/>
      <c r="B756" s="190"/>
      <c r="C756" s="190"/>
      <c r="D756" s="69"/>
      <c r="E756" s="69"/>
      <c r="F756" s="149"/>
      <c r="G756" s="146"/>
      <c r="H756" s="98"/>
      <c r="I756" s="99"/>
      <c r="J756" s="99"/>
      <c r="K756" s="99"/>
      <c r="L756" s="99"/>
      <c r="M756" s="99"/>
      <c r="N756" s="99"/>
      <c r="O756" s="99"/>
      <c r="P756" s="99"/>
      <c r="Q756" s="99"/>
      <c r="R756" s="99"/>
      <c r="S756" s="99"/>
      <c r="T756" s="99"/>
      <c r="U756" s="105"/>
      <c r="V756" s="262"/>
      <c r="W756" s="102"/>
      <c r="X756" s="121"/>
      <c r="Y756" s="121"/>
      <c r="Z756" s="121"/>
      <c r="AA756" s="121"/>
      <c r="AB756" s="121"/>
      <c r="AC756" s="121"/>
      <c r="AD756" s="121"/>
      <c r="AE756" s="121"/>
      <c r="AF756" s="121"/>
      <c r="AG756" s="121"/>
      <c r="AH756" s="121"/>
      <c r="AI756" s="121"/>
    </row>
    <row r="757" spans="1:35" s="115" customFormat="1" ht="14.4">
      <c r="A757" s="187"/>
      <c r="B757" s="190"/>
      <c r="C757" s="190"/>
      <c r="D757" s="69"/>
      <c r="E757" s="69"/>
      <c r="F757" s="149"/>
      <c r="G757" s="146"/>
      <c r="H757" s="98"/>
      <c r="I757" s="99"/>
      <c r="J757" s="99"/>
      <c r="K757" s="99"/>
      <c r="L757" s="99"/>
      <c r="M757" s="99"/>
      <c r="N757" s="99"/>
      <c r="O757" s="99"/>
      <c r="P757" s="99"/>
      <c r="Q757" s="99"/>
      <c r="R757" s="99"/>
      <c r="S757" s="99"/>
      <c r="T757" s="99"/>
      <c r="U757" s="105"/>
      <c r="V757" s="262"/>
      <c r="W757" s="102"/>
      <c r="X757" s="121"/>
      <c r="Y757" s="121"/>
      <c r="Z757" s="121"/>
      <c r="AA757" s="121"/>
      <c r="AB757" s="121"/>
      <c r="AC757" s="121"/>
      <c r="AD757" s="121"/>
      <c r="AE757" s="121"/>
      <c r="AF757" s="121"/>
      <c r="AG757" s="121"/>
      <c r="AH757" s="121"/>
      <c r="AI757" s="121"/>
    </row>
    <row r="758" spans="1:35" s="115" customFormat="1" ht="14.4">
      <c r="A758" s="187"/>
      <c r="B758" s="190"/>
      <c r="C758" s="190"/>
      <c r="D758" s="69"/>
      <c r="E758" s="69"/>
      <c r="F758" s="149"/>
      <c r="G758" s="146"/>
      <c r="H758" s="95"/>
      <c r="I758" s="96"/>
      <c r="J758" s="96"/>
      <c r="K758" s="96"/>
      <c r="L758" s="96"/>
      <c r="M758" s="96"/>
      <c r="N758" s="96"/>
      <c r="O758" s="96"/>
      <c r="P758" s="96"/>
      <c r="Q758" s="212"/>
      <c r="R758" s="212"/>
      <c r="S758" s="212"/>
      <c r="T758" s="212"/>
      <c r="U758" s="212"/>
      <c r="V758" s="113"/>
      <c r="W758" s="121"/>
      <c r="X758" s="121"/>
      <c r="Y758" s="121"/>
      <c r="Z758" s="121"/>
      <c r="AA758" s="121"/>
      <c r="AB758" s="121"/>
      <c r="AC758" s="121"/>
      <c r="AD758" s="121"/>
      <c r="AE758" s="121"/>
      <c r="AF758" s="121"/>
      <c r="AG758" s="121"/>
      <c r="AH758" s="121"/>
      <c r="AI758" s="121"/>
    </row>
    <row r="759" spans="1:35" s="115" customFormat="1" ht="14.4">
      <c r="A759" s="187"/>
      <c r="B759" s="190"/>
      <c r="C759" s="190"/>
      <c r="D759" s="69"/>
      <c r="E759" s="69"/>
      <c r="F759" s="149"/>
      <c r="G759" s="146"/>
      <c r="H759" s="98"/>
      <c r="I759" s="99"/>
      <c r="J759" s="99"/>
      <c r="K759" s="99"/>
      <c r="L759" s="99"/>
      <c r="M759" s="99"/>
      <c r="N759" s="99"/>
      <c r="O759" s="99"/>
      <c r="P759" s="99"/>
      <c r="Q759" s="99">
        <f>SUMIF(A2:A751,"125-55590*",Q2:Q751)</f>
        <v>0</v>
      </c>
      <c r="R759" s="99"/>
      <c r="S759" s="99"/>
      <c r="T759" s="99"/>
      <c r="U759" s="105"/>
      <c r="V759" s="262"/>
      <c r="W759" s="121"/>
      <c r="X759" s="121"/>
      <c r="Y759" s="121"/>
      <c r="Z759" s="121"/>
      <c r="AA759" s="121"/>
      <c r="AB759" s="121"/>
      <c r="AC759" s="121"/>
      <c r="AD759" s="121"/>
      <c r="AE759" s="121"/>
      <c r="AF759" s="121"/>
      <c r="AG759" s="121"/>
      <c r="AH759" s="121"/>
      <c r="AI759" s="121"/>
    </row>
    <row r="760" spans="1:35" s="115" customFormat="1" ht="14.4">
      <c r="A760" s="187"/>
      <c r="B760" s="190"/>
      <c r="C760" s="190"/>
      <c r="D760" s="69"/>
      <c r="E760" s="69"/>
      <c r="F760" s="149"/>
      <c r="G760" s="146"/>
      <c r="H760" s="98"/>
      <c r="I760" s="99"/>
      <c r="J760" s="99"/>
      <c r="K760" s="99"/>
      <c r="L760" s="99"/>
      <c r="M760" s="99"/>
      <c r="N760" s="99"/>
      <c r="O760" s="99"/>
      <c r="P760" s="99"/>
      <c r="Q760" s="99"/>
      <c r="R760" s="99"/>
      <c r="S760" s="99"/>
      <c r="T760" s="99"/>
      <c r="U760" s="105"/>
      <c r="V760" s="262"/>
      <c r="W760" s="121"/>
      <c r="X760" s="121"/>
      <c r="Y760" s="121"/>
      <c r="Z760" s="121"/>
      <c r="AA760" s="121"/>
      <c r="AB760" s="121"/>
      <c r="AC760" s="121"/>
      <c r="AD760" s="121"/>
      <c r="AE760" s="121"/>
      <c r="AF760" s="121"/>
      <c r="AG760" s="121"/>
      <c r="AH760" s="121"/>
      <c r="AI760" s="121"/>
    </row>
    <row r="761" spans="1:35" s="115" customFormat="1" ht="14.4">
      <c r="A761" s="187"/>
      <c r="B761" s="190"/>
      <c r="C761" s="190"/>
      <c r="D761" s="69"/>
      <c r="E761" s="69"/>
      <c r="F761" s="149"/>
      <c r="G761" s="146"/>
      <c r="H761" s="98"/>
      <c r="I761" s="99"/>
      <c r="J761" s="99"/>
      <c r="K761" s="99"/>
      <c r="L761" s="99"/>
      <c r="M761" s="99"/>
      <c r="N761" s="99"/>
      <c r="O761" s="99"/>
      <c r="P761" s="99"/>
      <c r="Q761" s="99"/>
      <c r="R761" s="99"/>
      <c r="S761" s="99"/>
      <c r="T761" s="99"/>
      <c r="U761" s="105"/>
      <c r="V761" s="262"/>
      <c r="W761" s="121"/>
      <c r="X761" s="121"/>
      <c r="Y761" s="121"/>
      <c r="Z761" s="121"/>
      <c r="AA761" s="121"/>
      <c r="AB761" s="121"/>
      <c r="AC761" s="121"/>
      <c r="AD761" s="121"/>
      <c r="AE761" s="121"/>
      <c r="AF761" s="121"/>
      <c r="AG761" s="121"/>
      <c r="AH761" s="121"/>
      <c r="AI761" s="121"/>
    </row>
    <row r="762" spans="1:35" s="115" customFormat="1" ht="14.4">
      <c r="A762" s="187"/>
      <c r="B762" s="190"/>
      <c r="C762" s="190"/>
      <c r="D762" s="69"/>
      <c r="E762" s="69"/>
      <c r="F762" s="149"/>
      <c r="G762" s="146"/>
      <c r="H762" s="98"/>
      <c r="I762" s="99"/>
      <c r="J762" s="99"/>
      <c r="K762" s="99"/>
      <c r="L762" s="99"/>
      <c r="M762" s="99"/>
      <c r="N762" s="99"/>
      <c r="O762" s="99"/>
      <c r="P762" s="99"/>
      <c r="Q762" s="99"/>
      <c r="R762" s="99"/>
      <c r="S762" s="99"/>
      <c r="T762" s="99"/>
      <c r="U762" s="105"/>
      <c r="V762" s="262"/>
      <c r="W762" s="121"/>
      <c r="X762" s="121"/>
      <c r="Y762" s="121"/>
      <c r="Z762" s="121"/>
      <c r="AA762" s="121"/>
      <c r="AB762" s="121"/>
      <c r="AC762" s="121"/>
      <c r="AD762" s="121"/>
      <c r="AE762" s="121"/>
      <c r="AF762" s="121"/>
      <c r="AG762" s="121"/>
      <c r="AH762" s="121"/>
      <c r="AI762" s="121"/>
    </row>
    <row r="763" spans="1:35" s="115" customFormat="1" ht="14.4">
      <c r="A763" s="187"/>
      <c r="B763" s="190"/>
      <c r="C763" s="190"/>
      <c r="D763" s="69"/>
      <c r="E763" s="69"/>
      <c r="F763" s="149"/>
      <c r="G763" s="146"/>
      <c r="H763" s="98"/>
      <c r="I763" s="99"/>
      <c r="J763" s="99"/>
      <c r="K763" s="99"/>
      <c r="L763" s="99"/>
      <c r="M763" s="99"/>
      <c r="N763" s="99"/>
      <c r="O763" s="99"/>
      <c r="P763" s="99"/>
      <c r="Q763" s="99"/>
      <c r="R763" s="99"/>
      <c r="S763" s="99"/>
      <c r="T763" s="99"/>
      <c r="U763" s="105"/>
      <c r="V763" s="262"/>
      <c r="W763" s="121"/>
      <c r="X763" s="121"/>
      <c r="Y763" s="121"/>
      <c r="Z763" s="121"/>
      <c r="AA763" s="121"/>
      <c r="AB763" s="121"/>
      <c r="AC763" s="121"/>
      <c r="AD763" s="121"/>
      <c r="AE763" s="121"/>
      <c r="AF763" s="121"/>
      <c r="AG763" s="121"/>
      <c r="AH763" s="121"/>
      <c r="AI763" s="121"/>
    </row>
    <row r="764" spans="1:35" s="115" customFormat="1" ht="14.4">
      <c r="A764" s="187"/>
      <c r="B764" s="190"/>
      <c r="C764" s="190"/>
      <c r="D764" s="69"/>
      <c r="E764" s="69"/>
      <c r="F764" s="149"/>
      <c r="G764" s="146"/>
      <c r="H764" s="98"/>
      <c r="I764" s="99"/>
      <c r="J764" s="99"/>
      <c r="K764" s="99"/>
      <c r="L764" s="99"/>
      <c r="M764" s="99"/>
      <c r="N764" s="99"/>
      <c r="O764" s="99"/>
      <c r="P764" s="99"/>
      <c r="Q764" s="99"/>
      <c r="R764" s="99"/>
      <c r="S764" s="99"/>
      <c r="T764" s="99"/>
      <c r="U764" s="105"/>
      <c r="V764" s="262"/>
      <c r="W764" s="121"/>
      <c r="X764" s="121"/>
      <c r="Y764" s="121"/>
      <c r="Z764" s="121"/>
      <c r="AA764" s="121"/>
      <c r="AB764" s="121"/>
      <c r="AC764" s="121"/>
      <c r="AD764" s="121"/>
      <c r="AE764" s="121"/>
      <c r="AF764" s="121"/>
      <c r="AG764" s="121"/>
      <c r="AH764" s="121"/>
      <c r="AI764" s="121"/>
    </row>
    <row r="765" spans="1:35" s="115" customFormat="1" ht="14.4">
      <c r="A765" s="187"/>
      <c r="B765" s="190"/>
      <c r="C765" s="190"/>
      <c r="D765" s="69"/>
      <c r="E765" s="69"/>
      <c r="F765" s="149"/>
      <c r="G765" s="146"/>
      <c r="H765" s="98"/>
      <c r="I765" s="99"/>
      <c r="J765" s="99"/>
      <c r="K765" s="99"/>
      <c r="L765" s="99"/>
      <c r="M765" s="99"/>
      <c r="N765" s="99"/>
      <c r="O765" s="99"/>
      <c r="P765" s="99"/>
      <c r="Q765" s="99"/>
      <c r="R765" s="99"/>
      <c r="S765" s="99"/>
      <c r="T765" s="99"/>
      <c r="U765" s="105"/>
      <c r="V765" s="262"/>
      <c r="W765" s="121"/>
      <c r="X765" s="121"/>
      <c r="Y765" s="121"/>
      <c r="Z765" s="121"/>
      <c r="AA765" s="121"/>
      <c r="AB765" s="121"/>
      <c r="AC765" s="121"/>
      <c r="AD765" s="121"/>
      <c r="AE765" s="121"/>
      <c r="AF765" s="121"/>
      <c r="AG765" s="121"/>
      <c r="AH765" s="121"/>
      <c r="AI765" s="121"/>
    </row>
    <row r="766" spans="1:35" s="115" customFormat="1" ht="14.4">
      <c r="A766" s="187"/>
      <c r="B766" s="190"/>
      <c r="C766" s="190"/>
      <c r="D766" s="69"/>
      <c r="E766" s="69"/>
      <c r="F766" s="149"/>
      <c r="G766" s="146"/>
      <c r="H766" s="98"/>
      <c r="I766" s="99"/>
      <c r="J766" s="99"/>
      <c r="K766" s="99"/>
      <c r="L766" s="99"/>
      <c r="M766" s="99"/>
      <c r="N766" s="99"/>
      <c r="O766" s="99"/>
      <c r="P766" s="99"/>
      <c r="Q766" s="99"/>
      <c r="R766" s="99"/>
      <c r="S766" s="99"/>
      <c r="T766" s="99"/>
      <c r="U766" s="105"/>
      <c r="V766" s="262"/>
      <c r="W766" s="121"/>
      <c r="X766" s="121"/>
      <c r="Y766" s="121"/>
      <c r="Z766" s="121"/>
      <c r="AA766" s="121"/>
      <c r="AB766" s="121"/>
      <c r="AC766" s="121"/>
      <c r="AD766" s="121"/>
      <c r="AE766" s="121"/>
      <c r="AF766" s="121"/>
      <c r="AG766" s="121"/>
      <c r="AH766" s="121"/>
      <c r="AI766" s="121"/>
    </row>
    <row r="767" spans="1:35" s="115" customFormat="1" ht="14.4">
      <c r="A767" s="187"/>
      <c r="B767" s="190"/>
      <c r="C767" s="190"/>
      <c r="D767" s="69"/>
      <c r="E767" s="69"/>
      <c r="F767" s="149"/>
      <c r="G767" s="146"/>
      <c r="H767" s="98"/>
      <c r="I767" s="99"/>
      <c r="J767" s="99"/>
      <c r="K767" s="99"/>
      <c r="L767" s="99"/>
      <c r="M767" s="99"/>
      <c r="N767" s="99"/>
      <c r="O767" s="99"/>
      <c r="P767" s="99"/>
      <c r="Q767" s="99"/>
      <c r="R767" s="99"/>
      <c r="S767" s="99"/>
      <c r="T767" s="99"/>
      <c r="U767" s="105"/>
      <c r="V767" s="262"/>
      <c r="W767" s="121"/>
      <c r="X767" s="121"/>
      <c r="Y767" s="121"/>
      <c r="Z767" s="121"/>
      <c r="AA767" s="121"/>
      <c r="AB767" s="121"/>
      <c r="AC767" s="121"/>
      <c r="AD767" s="121"/>
      <c r="AE767" s="121"/>
      <c r="AF767" s="121"/>
      <c r="AG767" s="121"/>
      <c r="AH767" s="121"/>
      <c r="AI767" s="121"/>
    </row>
    <row r="768" spans="1:35" s="115" customFormat="1" ht="14.4">
      <c r="A768" s="187"/>
      <c r="B768" s="190"/>
      <c r="C768" s="190"/>
      <c r="D768" s="69"/>
      <c r="E768" s="69"/>
      <c r="F768" s="149"/>
      <c r="G768" s="146"/>
      <c r="H768" s="98"/>
      <c r="I768" s="99"/>
      <c r="J768" s="99"/>
      <c r="K768" s="99"/>
      <c r="L768" s="99"/>
      <c r="M768" s="99"/>
      <c r="N768" s="99"/>
      <c r="O768" s="99"/>
      <c r="P768" s="99"/>
      <c r="Q768" s="99"/>
      <c r="R768" s="99"/>
      <c r="S768" s="99"/>
      <c r="T768" s="99"/>
      <c r="U768" s="105"/>
      <c r="V768" s="262"/>
      <c r="W768" s="121"/>
      <c r="X768" s="121"/>
      <c r="Y768" s="121"/>
      <c r="Z768" s="121"/>
      <c r="AA768" s="121"/>
      <c r="AB768" s="121"/>
      <c r="AC768" s="121"/>
      <c r="AD768" s="121"/>
      <c r="AE768" s="121"/>
      <c r="AF768" s="121"/>
      <c r="AG768" s="121"/>
      <c r="AH768" s="121"/>
      <c r="AI768" s="121"/>
    </row>
    <row r="769" spans="1:35" s="115" customFormat="1" ht="14.4">
      <c r="A769" s="187"/>
      <c r="B769" s="190"/>
      <c r="C769" s="190"/>
      <c r="D769" s="69"/>
      <c r="E769" s="69"/>
      <c r="F769" s="149"/>
      <c r="G769" s="146"/>
      <c r="H769" s="98"/>
      <c r="I769" s="99"/>
      <c r="J769" s="99"/>
      <c r="K769" s="99"/>
      <c r="L769" s="99"/>
      <c r="M769" s="99"/>
      <c r="N769" s="99"/>
      <c r="O769" s="99"/>
      <c r="P769" s="99"/>
      <c r="Q769" s="99"/>
      <c r="R769" s="99"/>
      <c r="S769" s="99"/>
      <c r="T769" s="99"/>
      <c r="U769" s="105"/>
      <c r="V769" s="262"/>
      <c r="W769" s="121"/>
      <c r="X769" s="121"/>
      <c r="Y769" s="121"/>
      <c r="Z769" s="121"/>
      <c r="AA769" s="121"/>
      <c r="AB769" s="121"/>
      <c r="AC769" s="121"/>
      <c r="AD769" s="121"/>
      <c r="AE769" s="121"/>
      <c r="AF769" s="121"/>
      <c r="AG769" s="121"/>
      <c r="AH769" s="121"/>
      <c r="AI769" s="121"/>
    </row>
    <row r="770" spans="1:35" s="115" customFormat="1" ht="14.4">
      <c r="A770" s="187"/>
      <c r="B770" s="190"/>
      <c r="C770" s="190"/>
      <c r="D770" s="69"/>
      <c r="E770" s="69"/>
      <c r="F770" s="149"/>
      <c r="G770" s="146"/>
      <c r="H770" s="98"/>
      <c r="I770" s="99"/>
      <c r="J770" s="99"/>
      <c r="K770" s="99"/>
      <c r="L770" s="99"/>
      <c r="M770" s="99"/>
      <c r="N770" s="99"/>
      <c r="O770" s="99"/>
      <c r="P770" s="99"/>
      <c r="Q770" s="99"/>
      <c r="R770" s="99"/>
      <c r="S770" s="99"/>
      <c r="T770" s="99"/>
      <c r="U770" s="105"/>
      <c r="V770" s="262"/>
      <c r="W770" s="121"/>
      <c r="X770" s="121"/>
      <c r="Y770" s="121"/>
      <c r="Z770" s="121"/>
      <c r="AA770" s="121"/>
      <c r="AB770" s="121"/>
      <c r="AC770" s="121"/>
      <c r="AD770" s="121"/>
      <c r="AE770" s="121"/>
      <c r="AF770" s="121"/>
      <c r="AG770" s="121"/>
      <c r="AH770" s="121"/>
      <c r="AI770" s="121"/>
    </row>
    <row r="771" spans="1:35" s="115" customFormat="1" ht="14.4">
      <c r="A771" s="187"/>
      <c r="B771" s="190"/>
      <c r="C771" s="190"/>
      <c r="D771" s="69"/>
      <c r="E771" s="69"/>
      <c r="F771" s="149"/>
      <c r="G771" s="146"/>
      <c r="H771" s="107"/>
      <c r="I771" s="108"/>
      <c r="J771" s="108"/>
      <c r="K771" s="108"/>
      <c r="L771" s="108"/>
      <c r="M771" s="108"/>
      <c r="N771" s="108"/>
      <c r="O771" s="108"/>
      <c r="P771" s="108"/>
      <c r="Q771" s="108"/>
      <c r="R771" s="108"/>
      <c r="S771" s="108"/>
      <c r="T771" s="108"/>
      <c r="U771" s="105"/>
      <c r="V771" s="262"/>
      <c r="W771" s="121"/>
      <c r="X771" s="121"/>
      <c r="Y771" s="121"/>
      <c r="Z771" s="121"/>
      <c r="AA771" s="121"/>
      <c r="AB771" s="121"/>
      <c r="AC771" s="121"/>
      <c r="AD771" s="121"/>
      <c r="AE771" s="121"/>
      <c r="AF771" s="121"/>
      <c r="AG771" s="121"/>
      <c r="AH771" s="121"/>
      <c r="AI771" s="121"/>
    </row>
    <row r="772" spans="1:35" s="115" customFormat="1" ht="14.4">
      <c r="A772" s="187"/>
      <c r="B772" s="190"/>
      <c r="C772" s="190"/>
      <c r="D772" s="69"/>
      <c r="E772" s="69"/>
      <c r="F772" s="149"/>
      <c r="G772" s="146"/>
      <c r="H772" s="98"/>
      <c r="I772" s="218"/>
      <c r="J772" s="218"/>
      <c r="K772" s="218"/>
      <c r="L772" s="218"/>
      <c r="M772" s="218"/>
      <c r="N772" s="226"/>
      <c r="O772" s="226"/>
      <c r="P772" s="226"/>
      <c r="Q772" s="111"/>
      <c r="R772" s="111"/>
      <c r="S772" s="111"/>
      <c r="T772" s="111"/>
      <c r="U772" s="105"/>
      <c r="V772" s="262"/>
      <c r="W772" s="121"/>
      <c r="X772" s="121"/>
      <c r="Y772" s="121"/>
      <c r="Z772" s="121"/>
      <c r="AA772" s="121"/>
      <c r="AB772" s="121"/>
      <c r="AC772" s="121"/>
      <c r="AD772" s="121"/>
      <c r="AE772" s="121"/>
      <c r="AF772" s="121"/>
      <c r="AG772" s="121"/>
      <c r="AH772" s="121"/>
      <c r="AI772" s="121"/>
    </row>
    <row r="773" spans="1:35" s="115" customFormat="1" ht="14.4">
      <c r="A773" s="187"/>
      <c r="B773" s="190"/>
      <c r="C773" s="190"/>
      <c r="D773" s="69"/>
      <c r="E773" s="69"/>
      <c r="F773" s="149"/>
      <c r="G773" s="146"/>
      <c r="H773" s="98"/>
      <c r="I773" s="99"/>
      <c r="J773" s="99"/>
      <c r="K773" s="99"/>
      <c r="L773" s="99"/>
      <c r="M773" s="99"/>
      <c r="N773" s="99"/>
      <c r="O773" s="99"/>
      <c r="P773" s="99"/>
      <c r="Q773" s="99"/>
      <c r="R773" s="99"/>
      <c r="S773" s="99"/>
      <c r="T773" s="99"/>
      <c r="U773" s="105"/>
      <c r="V773" s="262"/>
      <c r="W773" s="121"/>
      <c r="X773" s="121"/>
      <c r="Y773" s="121"/>
      <c r="Z773" s="121"/>
      <c r="AA773" s="121"/>
      <c r="AB773" s="121"/>
      <c r="AC773" s="121"/>
      <c r="AD773" s="121"/>
      <c r="AE773" s="121"/>
      <c r="AF773" s="121"/>
      <c r="AG773" s="121"/>
      <c r="AH773" s="121"/>
      <c r="AI773" s="121"/>
    </row>
    <row r="774" spans="1:35" s="115" customFormat="1" ht="14.4">
      <c r="A774" s="187"/>
      <c r="B774" s="190"/>
      <c r="C774" s="190"/>
      <c r="D774" s="69"/>
      <c r="E774" s="69"/>
      <c r="F774" s="149"/>
      <c r="G774" s="146"/>
      <c r="H774" s="98"/>
      <c r="I774" s="99"/>
      <c r="J774" s="99"/>
      <c r="K774" s="99"/>
      <c r="L774" s="99"/>
      <c r="M774" s="99"/>
      <c r="N774" s="99"/>
      <c r="O774" s="99"/>
      <c r="P774" s="99"/>
      <c r="Q774" s="99"/>
      <c r="R774" s="99"/>
      <c r="S774" s="99"/>
      <c r="T774" s="99"/>
      <c r="U774" s="105"/>
      <c r="V774" s="262"/>
      <c r="W774" s="121"/>
      <c r="X774" s="121"/>
      <c r="Y774" s="121"/>
      <c r="Z774" s="121"/>
      <c r="AA774" s="121"/>
      <c r="AB774" s="121"/>
      <c r="AC774" s="121"/>
      <c r="AD774" s="121"/>
      <c r="AE774" s="121"/>
      <c r="AF774" s="121"/>
      <c r="AG774" s="121"/>
      <c r="AH774" s="121"/>
      <c r="AI774" s="121"/>
    </row>
    <row r="775" spans="1:35" s="115" customFormat="1" ht="14.4">
      <c r="A775" s="187"/>
      <c r="B775" s="190"/>
      <c r="C775" s="190"/>
      <c r="D775" s="69"/>
      <c r="E775" s="69"/>
      <c r="F775" s="149"/>
      <c r="G775" s="146"/>
      <c r="H775" s="98"/>
      <c r="I775" s="99"/>
      <c r="J775" s="99"/>
      <c r="K775" s="99"/>
      <c r="L775" s="99"/>
      <c r="M775" s="99"/>
      <c r="N775" s="99"/>
      <c r="O775" s="99"/>
      <c r="P775" s="99"/>
      <c r="Q775" s="99"/>
      <c r="R775" s="99"/>
      <c r="S775" s="99"/>
      <c r="T775" s="99"/>
      <c r="U775" s="105"/>
      <c r="V775" s="262"/>
      <c r="W775" s="121"/>
      <c r="X775" s="121"/>
      <c r="Y775" s="121"/>
      <c r="Z775" s="121"/>
      <c r="AA775" s="121"/>
      <c r="AB775" s="121"/>
      <c r="AC775" s="121"/>
      <c r="AD775" s="121"/>
      <c r="AE775" s="121"/>
      <c r="AF775" s="121"/>
      <c r="AG775" s="121"/>
      <c r="AH775" s="121"/>
      <c r="AI775" s="121"/>
    </row>
    <row r="776" spans="1:35" s="115" customFormat="1" ht="14.4">
      <c r="A776" s="187"/>
      <c r="B776" s="190"/>
      <c r="C776" s="190"/>
      <c r="D776" s="69"/>
      <c r="E776" s="69"/>
      <c r="F776" s="149"/>
      <c r="G776" s="146"/>
      <c r="H776" s="98"/>
      <c r="I776" s="99"/>
      <c r="J776" s="99"/>
      <c r="K776" s="99"/>
      <c r="L776" s="99"/>
      <c r="M776" s="99"/>
      <c r="N776" s="99"/>
      <c r="O776" s="99"/>
      <c r="P776" s="99"/>
      <c r="Q776" s="99"/>
      <c r="R776" s="99"/>
      <c r="S776" s="99"/>
      <c r="T776" s="99"/>
      <c r="U776" s="105"/>
      <c r="V776" s="262"/>
      <c r="W776" s="121"/>
      <c r="X776" s="121"/>
      <c r="Y776" s="121"/>
      <c r="Z776" s="121"/>
      <c r="AA776" s="121"/>
      <c r="AB776" s="121"/>
      <c r="AC776" s="121"/>
      <c r="AD776" s="121"/>
      <c r="AE776" s="121"/>
      <c r="AF776" s="121"/>
      <c r="AG776" s="121"/>
      <c r="AH776" s="121"/>
      <c r="AI776" s="121"/>
    </row>
    <row r="777" spans="1:35" s="115" customFormat="1" ht="14.4">
      <c r="A777" s="187"/>
      <c r="B777" s="190"/>
      <c r="C777" s="190"/>
      <c r="D777" s="69"/>
      <c r="E777" s="69"/>
      <c r="F777" s="149"/>
      <c r="G777" s="146"/>
      <c r="H777" s="98"/>
      <c r="I777" s="99"/>
      <c r="J777" s="99"/>
      <c r="K777" s="99"/>
      <c r="L777" s="99"/>
      <c r="M777" s="99"/>
      <c r="N777" s="99"/>
      <c r="O777" s="99"/>
      <c r="P777" s="99"/>
      <c r="Q777" s="99"/>
      <c r="R777" s="99"/>
      <c r="S777" s="99"/>
      <c r="T777" s="99"/>
      <c r="U777" s="105"/>
      <c r="V777" s="262"/>
      <c r="W777" s="121"/>
      <c r="X777" s="121"/>
      <c r="Y777" s="121"/>
      <c r="Z777" s="121"/>
      <c r="AA777" s="121"/>
      <c r="AB777" s="121"/>
      <c r="AC777" s="121"/>
      <c r="AD777" s="121"/>
      <c r="AE777" s="121"/>
      <c r="AF777" s="121"/>
      <c r="AG777" s="121"/>
      <c r="AH777" s="121"/>
      <c r="AI777" s="121"/>
    </row>
    <row r="778" spans="1:35" s="115" customFormat="1" ht="14.4">
      <c r="A778" s="187"/>
      <c r="B778" s="190"/>
      <c r="C778" s="190"/>
      <c r="D778" s="69"/>
      <c r="E778" s="69"/>
      <c r="F778" s="149"/>
      <c r="G778" s="146"/>
      <c r="H778" s="98"/>
      <c r="I778" s="99"/>
      <c r="J778" s="99"/>
      <c r="K778" s="99"/>
      <c r="L778" s="99"/>
      <c r="M778" s="99"/>
      <c r="N778" s="99"/>
      <c r="O778" s="99"/>
      <c r="P778" s="99"/>
      <c r="Q778" s="99"/>
      <c r="R778" s="99"/>
      <c r="S778" s="99"/>
      <c r="T778" s="99"/>
      <c r="U778" s="105"/>
      <c r="V778" s="262"/>
      <c r="W778" s="121"/>
      <c r="X778" s="121"/>
      <c r="Y778" s="121"/>
      <c r="Z778" s="121"/>
      <c r="AA778" s="121"/>
      <c r="AB778" s="121"/>
      <c r="AC778" s="121"/>
      <c r="AD778" s="121"/>
      <c r="AE778" s="121"/>
      <c r="AF778" s="121"/>
      <c r="AG778" s="121"/>
      <c r="AH778" s="121"/>
      <c r="AI778" s="121"/>
    </row>
    <row r="779" spans="1:35" s="115" customFormat="1" ht="14.4">
      <c r="A779" s="187"/>
      <c r="B779" s="190"/>
      <c r="C779" s="190"/>
      <c r="D779" s="69"/>
      <c r="E779" s="69"/>
      <c r="F779" s="149"/>
      <c r="G779" s="146"/>
      <c r="H779" s="107"/>
      <c r="I779" s="108"/>
      <c r="J779" s="108"/>
      <c r="K779" s="108"/>
      <c r="L779" s="108"/>
      <c r="M779" s="108"/>
      <c r="N779" s="108"/>
      <c r="O779" s="108"/>
      <c r="P779" s="108"/>
      <c r="Q779" s="108"/>
      <c r="R779" s="108"/>
      <c r="S779" s="108"/>
      <c r="T779" s="108"/>
      <c r="U779" s="105"/>
      <c r="V779" s="262"/>
      <c r="W779" s="121"/>
      <c r="X779" s="121"/>
      <c r="Y779" s="121"/>
      <c r="Z779" s="121"/>
      <c r="AA779" s="121"/>
      <c r="AB779" s="121"/>
      <c r="AC779" s="121"/>
      <c r="AD779" s="121"/>
      <c r="AE779" s="121"/>
      <c r="AF779" s="121"/>
      <c r="AG779" s="121"/>
      <c r="AH779" s="121"/>
      <c r="AI779" s="121"/>
    </row>
    <row r="780" spans="1:35" s="115" customFormat="1" ht="14.4">
      <c r="A780" s="187"/>
      <c r="B780" s="190"/>
      <c r="C780" s="190"/>
      <c r="D780" s="69"/>
      <c r="E780" s="69"/>
      <c r="F780" s="149"/>
      <c r="G780" s="146"/>
      <c r="H780" s="98"/>
      <c r="I780" s="218"/>
      <c r="J780" s="218"/>
      <c r="K780" s="218"/>
      <c r="L780" s="218"/>
      <c r="M780" s="218"/>
      <c r="N780" s="226"/>
      <c r="O780" s="226"/>
      <c r="P780" s="226"/>
      <c r="Q780" s="111"/>
      <c r="R780" s="111"/>
      <c r="S780" s="111"/>
      <c r="T780" s="111"/>
      <c r="U780" s="105"/>
      <c r="V780" s="262"/>
      <c r="W780" s="121"/>
      <c r="X780" s="121"/>
      <c r="Y780" s="121"/>
      <c r="Z780" s="121"/>
      <c r="AA780" s="121"/>
      <c r="AB780" s="121"/>
      <c r="AC780" s="121"/>
      <c r="AD780" s="121"/>
      <c r="AE780" s="121"/>
      <c r="AF780" s="121"/>
      <c r="AG780" s="121"/>
      <c r="AH780" s="121"/>
      <c r="AI780" s="121"/>
    </row>
    <row r="781" spans="1:35" s="115" customFormat="1" ht="14.4">
      <c r="A781" s="187"/>
      <c r="B781" s="190"/>
      <c r="C781" s="190"/>
      <c r="D781" s="69"/>
      <c r="E781" s="69"/>
      <c r="F781" s="149"/>
      <c r="G781" s="146"/>
      <c r="H781" s="114"/>
      <c r="I781" s="108"/>
      <c r="J781" s="108"/>
      <c r="K781" s="108"/>
      <c r="L781" s="108"/>
      <c r="M781" s="108"/>
      <c r="N781" s="108"/>
      <c r="O781" s="108"/>
      <c r="P781" s="108"/>
      <c r="Q781" s="108"/>
      <c r="R781" s="108"/>
      <c r="S781" s="108"/>
      <c r="T781" s="108"/>
      <c r="U781" s="105"/>
      <c r="V781" s="262"/>
      <c r="W781" s="121"/>
      <c r="X781" s="121"/>
      <c r="Y781" s="121"/>
      <c r="Z781" s="121"/>
      <c r="AA781" s="121"/>
      <c r="AB781" s="121"/>
      <c r="AC781" s="121"/>
      <c r="AD781" s="121"/>
      <c r="AE781" s="121"/>
      <c r="AF781" s="121"/>
      <c r="AG781" s="121"/>
      <c r="AH781" s="121"/>
      <c r="AI781" s="121"/>
    </row>
    <row r="782" spans="1:35" s="115" customFormat="1" ht="14.4">
      <c r="A782" s="187"/>
      <c r="B782" s="190"/>
      <c r="C782" s="190"/>
      <c r="D782" s="69"/>
      <c r="E782" s="69"/>
      <c r="F782" s="149"/>
      <c r="G782" s="146"/>
      <c r="H782" s="227"/>
      <c r="I782" s="218"/>
      <c r="J782" s="218"/>
      <c r="K782" s="218"/>
      <c r="L782" s="218"/>
      <c r="M782" s="218"/>
      <c r="N782" s="219"/>
      <c r="O782" s="219"/>
      <c r="P782" s="219"/>
      <c r="Q782" s="100"/>
      <c r="R782" s="100"/>
      <c r="S782" s="100"/>
      <c r="T782" s="100"/>
      <c r="U782" s="105"/>
      <c r="V782" s="262"/>
      <c r="W782" s="121"/>
      <c r="X782" s="121"/>
      <c r="Y782" s="121"/>
      <c r="Z782" s="121"/>
      <c r="AA782" s="121"/>
      <c r="AB782" s="121"/>
      <c r="AC782" s="121"/>
      <c r="AD782" s="121"/>
      <c r="AE782" s="121"/>
      <c r="AF782" s="121"/>
      <c r="AG782" s="121"/>
      <c r="AH782" s="121"/>
      <c r="AI782" s="121"/>
    </row>
    <row r="783" spans="1:35" s="115" customFormat="1" ht="15" thickBot="1">
      <c r="A783" s="187"/>
      <c r="B783" s="190"/>
      <c r="C783" s="190"/>
      <c r="D783" s="69"/>
      <c r="E783" s="69"/>
      <c r="F783" s="149"/>
      <c r="G783" s="146"/>
      <c r="H783" s="98"/>
      <c r="I783" s="218"/>
      <c r="J783" s="218"/>
      <c r="K783" s="218"/>
      <c r="L783" s="218"/>
      <c r="M783" s="218"/>
      <c r="N783" s="219"/>
      <c r="O783" s="219"/>
      <c r="P783" s="219"/>
      <c r="Q783" s="100"/>
      <c r="R783" s="100"/>
      <c r="S783" s="100"/>
      <c r="T783" s="100"/>
      <c r="U783" s="105"/>
      <c r="V783" s="262"/>
      <c r="W783" s="121"/>
      <c r="X783" s="121"/>
      <c r="Y783" s="121"/>
      <c r="Z783" s="121"/>
      <c r="AA783" s="121"/>
      <c r="AB783" s="121"/>
      <c r="AC783" s="121"/>
      <c r="AD783" s="121"/>
      <c r="AE783" s="121"/>
      <c r="AF783" s="121"/>
      <c r="AG783" s="121"/>
      <c r="AH783" s="121"/>
      <c r="AI783" s="121"/>
    </row>
    <row r="784" spans="1:35" s="115" customFormat="1" ht="23.4" thickBot="1">
      <c r="A784" s="187"/>
      <c r="B784" s="190"/>
      <c r="C784" s="190"/>
      <c r="D784" s="69"/>
      <c r="E784" s="69"/>
      <c r="F784" s="149"/>
      <c r="G784" s="146"/>
      <c r="H784" s="689"/>
      <c r="I784" s="690"/>
      <c r="J784" s="690"/>
      <c r="K784" s="690"/>
      <c r="L784" s="690"/>
      <c r="M784" s="690"/>
      <c r="N784" s="690"/>
      <c r="O784" s="690"/>
      <c r="P784" s="690"/>
      <c r="Q784" s="690"/>
      <c r="R784" s="690"/>
      <c r="S784" s="690"/>
      <c r="T784" s="691"/>
      <c r="U784" s="105"/>
      <c r="V784" s="262"/>
      <c r="W784" s="121"/>
      <c r="X784" s="121"/>
      <c r="Y784" s="121"/>
      <c r="Z784" s="121"/>
      <c r="AA784" s="121"/>
      <c r="AB784" s="121"/>
      <c r="AC784" s="121"/>
      <c r="AD784" s="121"/>
      <c r="AE784" s="121"/>
      <c r="AF784" s="121"/>
      <c r="AG784" s="121"/>
      <c r="AH784" s="121"/>
      <c r="AI784" s="121"/>
    </row>
    <row r="785" spans="1:35" s="115" customFormat="1" ht="22.8">
      <c r="A785" s="187"/>
      <c r="B785" s="190"/>
      <c r="C785" s="190"/>
      <c r="D785" s="69"/>
      <c r="E785" s="69"/>
      <c r="F785" s="149"/>
      <c r="G785" s="146"/>
      <c r="H785" s="225"/>
      <c r="I785" s="225"/>
      <c r="J785" s="225"/>
      <c r="K785" s="225"/>
      <c r="L785" s="225"/>
      <c r="M785" s="225"/>
      <c r="N785" s="225"/>
      <c r="O785" s="225"/>
      <c r="P785" s="225"/>
      <c r="Q785" s="225"/>
      <c r="R785" s="225"/>
      <c r="S785" s="225"/>
      <c r="T785" s="225"/>
      <c r="U785" s="105"/>
      <c r="V785" s="262"/>
      <c r="W785" s="121"/>
      <c r="X785" s="121"/>
      <c r="Y785" s="121"/>
      <c r="Z785" s="121"/>
      <c r="AA785" s="121"/>
      <c r="AB785" s="121"/>
      <c r="AC785" s="121"/>
      <c r="AD785" s="121"/>
      <c r="AE785" s="121"/>
      <c r="AF785" s="121"/>
      <c r="AG785" s="121"/>
      <c r="AH785" s="121"/>
      <c r="AI785" s="121"/>
    </row>
    <row r="786" spans="1:35" s="115" customFormat="1" ht="14.4">
      <c r="A786" s="187"/>
      <c r="B786" s="190"/>
      <c r="C786" s="190"/>
      <c r="D786" s="69"/>
      <c r="E786" s="69"/>
      <c r="F786" s="149"/>
      <c r="G786" s="146"/>
      <c r="H786" s="98"/>
      <c r="I786" s="99"/>
      <c r="J786" s="99"/>
      <c r="K786" s="99"/>
      <c r="L786" s="99"/>
      <c r="M786" s="99"/>
      <c r="N786" s="99"/>
      <c r="O786" s="99"/>
      <c r="P786" s="99"/>
      <c r="Q786" s="99"/>
      <c r="R786" s="99"/>
      <c r="S786" s="99"/>
      <c r="T786" s="99"/>
      <c r="U786" s="105"/>
      <c r="V786" s="262"/>
      <c r="W786" s="121"/>
      <c r="X786" s="121"/>
      <c r="Y786" s="121"/>
      <c r="Z786" s="121"/>
      <c r="AA786" s="121"/>
      <c r="AB786" s="121"/>
      <c r="AC786" s="121"/>
      <c r="AD786" s="121"/>
      <c r="AE786" s="121"/>
      <c r="AF786" s="121"/>
      <c r="AG786" s="121"/>
      <c r="AH786" s="121"/>
      <c r="AI786" s="121"/>
    </row>
    <row r="787" spans="1:35" s="115" customFormat="1" ht="14.4">
      <c r="A787" s="187"/>
      <c r="B787" s="190"/>
      <c r="C787" s="190"/>
      <c r="D787" s="69"/>
      <c r="E787" s="69"/>
      <c r="F787" s="149"/>
      <c r="G787" s="146"/>
      <c r="H787" s="98"/>
      <c r="I787" s="99"/>
      <c r="J787" s="99"/>
      <c r="K787" s="99"/>
      <c r="L787" s="99"/>
      <c r="M787" s="99"/>
      <c r="N787" s="99"/>
      <c r="O787" s="99"/>
      <c r="P787" s="99"/>
      <c r="Q787" s="99"/>
      <c r="R787" s="99"/>
      <c r="S787" s="99"/>
      <c r="T787" s="99"/>
      <c r="U787" s="105"/>
      <c r="V787" s="262"/>
      <c r="W787" s="121"/>
      <c r="X787" s="121"/>
      <c r="Y787" s="121"/>
      <c r="Z787" s="121"/>
      <c r="AA787" s="121"/>
      <c r="AB787" s="121"/>
      <c r="AC787" s="121"/>
      <c r="AD787" s="121"/>
      <c r="AE787" s="121"/>
      <c r="AF787" s="121"/>
      <c r="AG787" s="121"/>
      <c r="AH787" s="121"/>
      <c r="AI787" s="121"/>
    </row>
    <row r="788" spans="1:35" s="115" customFormat="1" ht="14.4">
      <c r="A788" s="187"/>
      <c r="B788" s="190"/>
      <c r="C788" s="190"/>
      <c r="D788" s="69"/>
      <c r="E788" s="69"/>
      <c r="F788" s="149"/>
      <c r="G788" s="146"/>
      <c r="H788" s="98"/>
      <c r="I788" s="99"/>
      <c r="J788" s="99"/>
      <c r="K788" s="99"/>
      <c r="L788" s="99"/>
      <c r="M788" s="99"/>
      <c r="N788" s="99"/>
      <c r="O788" s="99"/>
      <c r="P788" s="99"/>
      <c r="Q788" s="99"/>
      <c r="R788" s="99"/>
      <c r="S788" s="99"/>
      <c r="T788" s="99"/>
      <c r="U788" s="105"/>
      <c r="V788" s="262"/>
      <c r="W788" s="121"/>
      <c r="X788" s="121"/>
      <c r="Y788" s="121"/>
      <c r="Z788" s="121"/>
      <c r="AA788" s="121"/>
      <c r="AB788" s="121"/>
      <c r="AC788" s="121"/>
      <c r="AD788" s="121"/>
      <c r="AE788" s="121"/>
      <c r="AF788" s="121"/>
      <c r="AG788" s="121"/>
      <c r="AH788" s="121"/>
      <c r="AI788" s="121"/>
    </row>
    <row r="789" spans="1:35" s="115" customFormat="1" ht="14.4">
      <c r="A789" s="187"/>
      <c r="B789" s="190"/>
      <c r="C789" s="190"/>
      <c r="D789" s="69"/>
      <c r="E789" s="69"/>
      <c r="F789" s="149"/>
      <c r="G789" s="146"/>
      <c r="H789" s="98"/>
      <c r="I789" s="99"/>
      <c r="J789" s="99"/>
      <c r="K789" s="99"/>
      <c r="L789" s="99"/>
      <c r="M789" s="99"/>
      <c r="N789" s="99"/>
      <c r="O789" s="99"/>
      <c r="P789" s="99"/>
      <c r="Q789" s="99"/>
      <c r="R789" s="99"/>
      <c r="S789" s="99"/>
      <c r="T789" s="99"/>
      <c r="U789" s="105"/>
      <c r="V789" s="262"/>
      <c r="W789" s="121"/>
      <c r="X789" s="121"/>
      <c r="Y789" s="121"/>
      <c r="Z789" s="121"/>
      <c r="AA789" s="121"/>
      <c r="AB789" s="121"/>
      <c r="AC789" s="121"/>
      <c r="AD789" s="121"/>
      <c r="AE789" s="121"/>
      <c r="AF789" s="121"/>
      <c r="AG789" s="121"/>
      <c r="AH789" s="121"/>
      <c r="AI789" s="121"/>
    </row>
    <row r="790" spans="1:35" s="115" customFormat="1" ht="14.4">
      <c r="A790" s="187"/>
      <c r="B790" s="190"/>
      <c r="C790" s="190"/>
      <c r="D790" s="69"/>
      <c r="E790" s="69"/>
      <c r="F790" s="149"/>
      <c r="G790" s="146"/>
      <c r="H790" s="98"/>
      <c r="I790" s="99"/>
      <c r="J790" s="99"/>
      <c r="K790" s="99"/>
      <c r="L790" s="99"/>
      <c r="M790" s="99"/>
      <c r="N790" s="99"/>
      <c r="O790" s="99"/>
      <c r="P790" s="99"/>
      <c r="Q790" s="99"/>
      <c r="R790" s="99"/>
      <c r="S790" s="99"/>
      <c r="T790" s="99"/>
      <c r="U790" s="105"/>
      <c r="V790" s="262"/>
      <c r="W790" s="121"/>
      <c r="X790" s="121"/>
      <c r="Y790" s="121"/>
      <c r="Z790" s="121"/>
      <c r="AA790" s="121"/>
      <c r="AB790" s="121"/>
      <c r="AC790" s="121"/>
      <c r="AD790" s="121"/>
      <c r="AE790" s="121"/>
      <c r="AF790" s="121"/>
      <c r="AG790" s="121"/>
      <c r="AH790" s="121"/>
      <c r="AI790" s="121"/>
    </row>
    <row r="791" spans="1:35" s="115" customFormat="1" ht="14.4">
      <c r="A791" s="187"/>
      <c r="B791" s="190"/>
      <c r="C791" s="190"/>
      <c r="D791" s="69"/>
      <c r="E791" s="69"/>
      <c r="F791" s="149"/>
      <c r="G791" s="146"/>
      <c r="H791" s="98"/>
      <c r="I791" s="99"/>
      <c r="J791" s="99"/>
      <c r="K791" s="99"/>
      <c r="L791" s="99"/>
      <c r="M791" s="99"/>
      <c r="N791" s="99"/>
      <c r="O791" s="99"/>
      <c r="P791" s="99"/>
      <c r="Q791" s="99"/>
      <c r="R791" s="99"/>
      <c r="S791" s="99"/>
      <c r="T791" s="99"/>
      <c r="U791" s="105"/>
      <c r="V791" s="262"/>
      <c r="W791" s="121"/>
      <c r="X791" s="121"/>
      <c r="Y791" s="121"/>
      <c r="Z791" s="121"/>
      <c r="AA791" s="121"/>
      <c r="AB791" s="121"/>
      <c r="AC791" s="121"/>
      <c r="AD791" s="121"/>
      <c r="AE791" s="121"/>
      <c r="AF791" s="121"/>
      <c r="AG791" s="121"/>
      <c r="AH791" s="121"/>
      <c r="AI791" s="121"/>
    </row>
    <row r="792" spans="1:35" s="115" customFormat="1" ht="14.4">
      <c r="A792" s="187"/>
      <c r="B792" s="190"/>
      <c r="C792" s="190"/>
      <c r="D792" s="69"/>
      <c r="E792" s="69"/>
      <c r="F792" s="149"/>
      <c r="G792" s="146"/>
      <c r="H792" s="98"/>
      <c r="I792" s="99"/>
      <c r="J792" s="99"/>
      <c r="K792" s="99"/>
      <c r="L792" s="99"/>
      <c r="M792" s="99"/>
      <c r="N792" s="99"/>
      <c r="O792" s="99"/>
      <c r="P792" s="99"/>
      <c r="Q792" s="99"/>
      <c r="R792" s="99"/>
      <c r="S792" s="99"/>
      <c r="T792" s="99"/>
      <c r="U792" s="105"/>
      <c r="V792" s="262"/>
      <c r="W792" s="121"/>
      <c r="X792" s="121"/>
      <c r="Y792" s="121"/>
      <c r="Z792" s="121"/>
      <c r="AA792" s="121"/>
      <c r="AB792" s="121"/>
      <c r="AC792" s="121"/>
      <c r="AD792" s="121"/>
      <c r="AE792" s="121"/>
      <c r="AF792" s="121"/>
      <c r="AG792" s="121"/>
      <c r="AH792" s="121"/>
      <c r="AI792" s="121"/>
    </row>
    <row r="793" spans="1:35" s="115" customFormat="1" ht="14.4">
      <c r="A793" s="187"/>
      <c r="B793" s="190"/>
      <c r="C793" s="190"/>
      <c r="D793" s="69"/>
      <c r="E793" s="69"/>
      <c r="F793" s="149"/>
      <c r="G793" s="146"/>
      <c r="H793" s="98"/>
      <c r="I793" s="99"/>
      <c r="J793" s="99"/>
      <c r="K793" s="99"/>
      <c r="L793" s="99"/>
      <c r="M793" s="99"/>
      <c r="N793" s="99"/>
      <c r="O793" s="99"/>
      <c r="P793" s="99"/>
      <c r="Q793" s="99"/>
      <c r="R793" s="99"/>
      <c r="S793" s="99"/>
      <c r="T793" s="99"/>
      <c r="U793" s="105"/>
      <c r="V793" s="262"/>
      <c r="W793" s="121"/>
      <c r="X793" s="121"/>
      <c r="Y793" s="121"/>
      <c r="Z793" s="121"/>
      <c r="AA793" s="121"/>
      <c r="AB793" s="121"/>
      <c r="AC793" s="121"/>
      <c r="AD793" s="121"/>
      <c r="AE793" s="121"/>
      <c r="AF793" s="121"/>
      <c r="AG793" s="121"/>
      <c r="AH793" s="121"/>
      <c r="AI793" s="121"/>
    </row>
    <row r="794" spans="1:35" s="115" customFormat="1" ht="14.4">
      <c r="A794" s="187"/>
      <c r="B794" s="190"/>
      <c r="C794" s="190"/>
      <c r="D794" s="69"/>
      <c r="E794" s="69"/>
      <c r="F794" s="149"/>
      <c r="G794" s="146"/>
      <c r="H794" s="98"/>
      <c r="I794" s="99"/>
      <c r="J794" s="99"/>
      <c r="K794" s="99"/>
      <c r="L794" s="99"/>
      <c r="M794" s="99"/>
      <c r="N794" s="99"/>
      <c r="O794" s="99"/>
      <c r="P794" s="99"/>
      <c r="Q794" s="99"/>
      <c r="R794" s="99"/>
      <c r="S794" s="99"/>
      <c r="T794" s="99"/>
      <c r="U794" s="105"/>
      <c r="V794" s="262"/>
      <c r="W794" s="121"/>
      <c r="X794" s="121"/>
      <c r="Y794" s="121"/>
      <c r="Z794" s="121"/>
      <c r="AA794" s="121"/>
      <c r="AB794" s="121"/>
      <c r="AC794" s="121"/>
      <c r="AD794" s="121"/>
      <c r="AE794" s="121"/>
      <c r="AF794" s="121"/>
      <c r="AG794" s="121"/>
      <c r="AH794" s="121"/>
      <c r="AI794" s="121"/>
    </row>
    <row r="795" spans="1:35" s="115" customFormat="1" ht="14.4">
      <c r="A795" s="187"/>
      <c r="B795" s="190"/>
      <c r="C795" s="190"/>
      <c r="D795" s="69"/>
      <c r="E795" s="69"/>
      <c r="F795" s="149"/>
      <c r="G795" s="146"/>
      <c r="H795" s="98"/>
      <c r="I795" s="99"/>
      <c r="J795" s="99"/>
      <c r="K795" s="99"/>
      <c r="L795" s="99"/>
      <c r="M795" s="99"/>
      <c r="N795" s="99"/>
      <c r="O795" s="99"/>
      <c r="P795" s="99"/>
      <c r="Q795" s="99"/>
      <c r="R795" s="99"/>
      <c r="S795" s="99"/>
      <c r="T795" s="99"/>
      <c r="U795" s="105"/>
      <c r="V795" s="262"/>
      <c r="W795" s="121"/>
      <c r="X795" s="121"/>
      <c r="Y795" s="121"/>
      <c r="Z795" s="121"/>
      <c r="AA795" s="121"/>
      <c r="AB795" s="121"/>
      <c r="AC795" s="121"/>
      <c r="AD795" s="121"/>
      <c r="AE795" s="121"/>
      <c r="AF795" s="121"/>
      <c r="AG795" s="121"/>
      <c r="AH795" s="121"/>
      <c r="AI795" s="121"/>
    </row>
    <row r="796" spans="1:35" s="115" customFormat="1" ht="14.4">
      <c r="A796" s="187"/>
      <c r="B796" s="190"/>
      <c r="C796" s="190"/>
      <c r="D796" s="69"/>
      <c r="E796" s="69"/>
      <c r="F796" s="149"/>
      <c r="G796" s="146"/>
      <c r="H796" s="98"/>
      <c r="I796" s="99"/>
      <c r="J796" s="99"/>
      <c r="K796" s="99"/>
      <c r="L796" s="99"/>
      <c r="M796" s="99"/>
      <c r="N796" s="99"/>
      <c r="O796" s="99"/>
      <c r="P796" s="99"/>
      <c r="Q796" s="99"/>
      <c r="R796" s="99"/>
      <c r="S796" s="99"/>
      <c r="T796" s="99"/>
      <c r="U796" s="105"/>
      <c r="V796" s="262"/>
      <c r="W796" s="121"/>
      <c r="X796" s="121"/>
      <c r="Y796" s="121"/>
      <c r="Z796" s="121"/>
      <c r="AA796" s="121"/>
      <c r="AB796" s="121"/>
      <c r="AC796" s="121"/>
      <c r="AD796" s="121"/>
      <c r="AE796" s="121"/>
      <c r="AF796" s="121"/>
      <c r="AG796" s="121"/>
      <c r="AH796" s="121"/>
      <c r="AI796" s="121"/>
    </row>
    <row r="797" spans="1:35" s="115" customFormat="1" ht="14.4">
      <c r="A797" s="187"/>
      <c r="B797" s="190"/>
      <c r="C797" s="190"/>
      <c r="D797" s="69"/>
      <c r="E797" s="69"/>
      <c r="F797" s="149"/>
      <c r="G797" s="146"/>
      <c r="H797" s="98"/>
      <c r="I797" s="99"/>
      <c r="J797" s="99"/>
      <c r="K797" s="99"/>
      <c r="L797" s="99"/>
      <c r="M797" s="99"/>
      <c r="N797" s="99"/>
      <c r="O797" s="99"/>
      <c r="P797" s="99"/>
      <c r="Q797" s="99"/>
      <c r="R797" s="99"/>
      <c r="S797" s="99"/>
      <c r="T797" s="99"/>
      <c r="U797" s="105"/>
      <c r="V797" s="262"/>
      <c r="W797" s="121"/>
      <c r="X797" s="121"/>
      <c r="Y797" s="121"/>
      <c r="Z797" s="121"/>
      <c r="AA797" s="121"/>
      <c r="AB797" s="121"/>
      <c r="AC797" s="121"/>
      <c r="AD797" s="121"/>
      <c r="AE797" s="121"/>
      <c r="AF797" s="121"/>
      <c r="AG797" s="121"/>
      <c r="AH797" s="121"/>
      <c r="AI797" s="121"/>
    </row>
    <row r="798" spans="1:35" s="115" customFormat="1" ht="14.4">
      <c r="A798" s="187"/>
      <c r="B798" s="190"/>
      <c r="C798" s="190"/>
      <c r="D798" s="69"/>
      <c r="E798" s="69"/>
      <c r="F798" s="149"/>
      <c r="G798" s="146"/>
      <c r="H798" s="107"/>
      <c r="I798" s="108"/>
      <c r="J798" s="108"/>
      <c r="K798" s="108"/>
      <c r="L798" s="108"/>
      <c r="M798" s="108"/>
      <c r="N798" s="108"/>
      <c r="O798" s="108"/>
      <c r="P798" s="108"/>
      <c r="Q798" s="108"/>
      <c r="R798" s="108"/>
      <c r="S798" s="108"/>
      <c r="T798" s="108"/>
      <c r="U798" s="105"/>
      <c r="V798" s="262"/>
      <c r="W798" s="121"/>
      <c r="X798" s="121"/>
      <c r="Y798" s="121"/>
      <c r="Z798" s="121"/>
      <c r="AA798" s="121"/>
      <c r="AB798" s="121"/>
      <c r="AC798" s="121"/>
      <c r="AD798" s="121"/>
      <c r="AE798" s="121"/>
      <c r="AF798" s="121"/>
      <c r="AG798" s="121"/>
      <c r="AH798" s="121"/>
      <c r="AI798" s="121"/>
    </row>
    <row r="799" spans="1:35" s="115" customFormat="1" ht="14.4">
      <c r="A799" s="187"/>
      <c r="B799" s="190"/>
      <c r="C799" s="190"/>
      <c r="D799" s="69"/>
      <c r="E799" s="69"/>
      <c r="F799" s="149"/>
      <c r="G799" s="146"/>
      <c r="H799" s="98"/>
      <c r="I799" s="228"/>
      <c r="J799" s="228"/>
      <c r="K799" s="228"/>
      <c r="L799" s="228"/>
      <c r="M799" s="228"/>
      <c r="N799" s="229"/>
      <c r="O799" s="229"/>
      <c r="P799" s="229"/>
      <c r="Q799" s="230"/>
      <c r="R799" s="231"/>
      <c r="S799" s="231"/>
      <c r="T799" s="230"/>
      <c r="U799" s="105"/>
      <c r="V799" s="262"/>
      <c r="W799" s="121"/>
      <c r="X799" s="121"/>
      <c r="Y799" s="121"/>
      <c r="Z799" s="121"/>
      <c r="AA799" s="121"/>
      <c r="AB799" s="121"/>
      <c r="AC799" s="121"/>
      <c r="AD799" s="121"/>
      <c r="AE799" s="121"/>
      <c r="AF799" s="121"/>
      <c r="AG799" s="121"/>
      <c r="AH799" s="121"/>
      <c r="AI799" s="121"/>
    </row>
    <row r="800" spans="1:35" s="115" customFormat="1" ht="14.4">
      <c r="A800" s="187"/>
      <c r="B800" s="190"/>
      <c r="C800" s="190"/>
      <c r="D800" s="69"/>
      <c r="E800" s="69"/>
      <c r="F800" s="149"/>
      <c r="G800" s="146"/>
      <c r="H800" s="98"/>
      <c r="I800" s="99"/>
      <c r="J800" s="99"/>
      <c r="K800" s="99"/>
      <c r="L800" s="99"/>
      <c r="M800" s="99"/>
      <c r="N800" s="99"/>
      <c r="O800" s="99"/>
      <c r="P800" s="99"/>
      <c r="Q800" s="99"/>
      <c r="R800" s="99"/>
      <c r="S800" s="99"/>
      <c r="T800" s="99"/>
      <c r="U800" s="105"/>
      <c r="V800" s="262"/>
      <c r="W800" s="121"/>
      <c r="X800" s="121"/>
      <c r="Y800" s="121"/>
      <c r="Z800" s="121"/>
      <c r="AA800" s="121"/>
      <c r="AB800" s="121"/>
      <c r="AC800" s="121"/>
      <c r="AD800" s="121"/>
      <c r="AE800" s="121"/>
      <c r="AF800" s="121"/>
      <c r="AG800" s="121"/>
      <c r="AH800" s="121"/>
      <c r="AI800" s="121"/>
    </row>
    <row r="801" spans="1:35" s="115" customFormat="1" ht="14.4">
      <c r="A801" s="187"/>
      <c r="B801" s="190"/>
      <c r="C801" s="190"/>
      <c r="D801" s="69"/>
      <c r="E801" s="69"/>
      <c r="F801" s="149"/>
      <c r="G801" s="146"/>
      <c r="H801" s="98"/>
      <c r="I801" s="99"/>
      <c r="J801" s="99"/>
      <c r="K801" s="99"/>
      <c r="L801" s="99"/>
      <c r="M801" s="99"/>
      <c r="N801" s="99"/>
      <c r="O801" s="99"/>
      <c r="P801" s="99"/>
      <c r="Q801" s="99"/>
      <c r="R801" s="99"/>
      <c r="S801" s="99"/>
      <c r="T801" s="99"/>
      <c r="U801" s="105"/>
      <c r="V801" s="262"/>
      <c r="W801" s="121"/>
      <c r="X801" s="121"/>
      <c r="Y801" s="121"/>
      <c r="Z801" s="121"/>
      <c r="AA801" s="121"/>
      <c r="AB801" s="121"/>
      <c r="AC801" s="121"/>
      <c r="AD801" s="121"/>
      <c r="AE801" s="121"/>
      <c r="AF801" s="121"/>
      <c r="AG801" s="121"/>
      <c r="AH801" s="121"/>
      <c r="AI801" s="121"/>
    </row>
    <row r="802" spans="1:35" s="115" customFormat="1" ht="14.4">
      <c r="A802" s="187"/>
      <c r="B802" s="190"/>
      <c r="C802" s="190"/>
      <c r="D802" s="69"/>
      <c r="E802" s="69"/>
      <c r="F802" s="149"/>
      <c r="G802" s="146"/>
      <c r="H802" s="98"/>
      <c r="I802" s="99"/>
      <c r="J802" s="99"/>
      <c r="K802" s="99"/>
      <c r="L802" s="99"/>
      <c r="M802" s="99"/>
      <c r="N802" s="99"/>
      <c r="O802" s="99"/>
      <c r="P802" s="99"/>
      <c r="Q802" s="99"/>
      <c r="R802" s="99"/>
      <c r="S802" s="99"/>
      <c r="T802" s="99"/>
      <c r="U802" s="105"/>
      <c r="V802" s="262"/>
      <c r="W802" s="121"/>
      <c r="X802" s="121"/>
      <c r="Y802" s="121"/>
      <c r="Z802" s="121"/>
      <c r="AA802" s="121"/>
      <c r="AB802" s="121"/>
      <c r="AC802" s="121"/>
      <c r="AD802" s="121"/>
      <c r="AE802" s="121"/>
      <c r="AF802" s="121"/>
      <c r="AG802" s="121"/>
      <c r="AH802" s="121"/>
      <c r="AI802" s="121"/>
    </row>
    <row r="803" spans="1:35" s="115" customFormat="1" ht="14.4">
      <c r="A803" s="187"/>
      <c r="B803" s="190"/>
      <c r="C803" s="190"/>
      <c r="D803" s="69"/>
      <c r="E803" s="69"/>
      <c r="F803" s="149"/>
      <c r="G803" s="146"/>
      <c r="H803" s="98"/>
      <c r="I803" s="99"/>
      <c r="J803" s="99"/>
      <c r="K803" s="99"/>
      <c r="L803" s="99"/>
      <c r="M803" s="99"/>
      <c r="N803" s="99"/>
      <c r="O803" s="99"/>
      <c r="P803" s="99"/>
      <c r="Q803" s="99"/>
      <c r="R803" s="99"/>
      <c r="S803" s="99"/>
      <c r="T803" s="99"/>
      <c r="U803" s="105"/>
      <c r="V803" s="262"/>
      <c r="W803" s="121"/>
      <c r="X803" s="121"/>
      <c r="Y803" s="121"/>
      <c r="Z803" s="121"/>
      <c r="AA803" s="121"/>
      <c r="AB803" s="121"/>
      <c r="AC803" s="121"/>
      <c r="AD803" s="121"/>
      <c r="AE803" s="121"/>
      <c r="AF803" s="121"/>
      <c r="AG803" s="121"/>
      <c r="AH803" s="121"/>
      <c r="AI803" s="121"/>
    </row>
    <row r="804" spans="1:35" s="115" customFormat="1" ht="14.4">
      <c r="A804" s="187"/>
      <c r="B804" s="190"/>
      <c r="C804" s="190"/>
      <c r="D804" s="69"/>
      <c r="E804" s="69"/>
      <c r="F804" s="149"/>
      <c r="G804" s="146"/>
      <c r="H804" s="98"/>
      <c r="I804" s="99"/>
      <c r="J804" s="99"/>
      <c r="K804" s="99"/>
      <c r="L804" s="99"/>
      <c r="M804" s="99"/>
      <c r="N804" s="99"/>
      <c r="O804" s="99"/>
      <c r="P804" s="99"/>
      <c r="Q804" s="99"/>
      <c r="R804" s="99"/>
      <c r="S804" s="99"/>
      <c r="T804" s="99"/>
      <c r="U804" s="105"/>
      <c r="V804" s="262"/>
      <c r="W804" s="121"/>
      <c r="X804" s="121"/>
      <c r="Y804" s="121"/>
      <c r="Z804" s="121"/>
      <c r="AA804" s="121"/>
      <c r="AB804" s="121"/>
      <c r="AC804" s="121"/>
      <c r="AD804" s="121"/>
      <c r="AE804" s="121"/>
      <c r="AF804" s="121"/>
      <c r="AG804" s="121"/>
      <c r="AH804" s="121"/>
      <c r="AI804" s="121"/>
    </row>
    <row r="805" spans="1:35" s="115" customFormat="1" ht="14.4">
      <c r="A805" s="187"/>
      <c r="B805" s="190"/>
      <c r="C805" s="190"/>
      <c r="D805" s="69"/>
      <c r="E805" s="69"/>
      <c r="F805" s="149"/>
      <c r="G805" s="146"/>
      <c r="H805" s="98"/>
      <c r="I805" s="99"/>
      <c r="J805" s="99"/>
      <c r="K805" s="99"/>
      <c r="L805" s="99"/>
      <c r="M805" s="99"/>
      <c r="N805" s="99"/>
      <c r="O805" s="99"/>
      <c r="P805" s="99"/>
      <c r="Q805" s="99"/>
      <c r="R805" s="99"/>
      <c r="S805" s="99"/>
      <c r="T805" s="99"/>
      <c r="U805" s="105"/>
      <c r="V805" s="262"/>
      <c r="W805" s="121"/>
      <c r="X805" s="121"/>
      <c r="Y805" s="121"/>
      <c r="Z805" s="121"/>
      <c r="AA805" s="121"/>
      <c r="AB805" s="121"/>
      <c r="AC805" s="121"/>
      <c r="AD805" s="121"/>
      <c r="AE805" s="121"/>
      <c r="AF805" s="121"/>
      <c r="AG805" s="121"/>
      <c r="AH805" s="121"/>
      <c r="AI805" s="121"/>
    </row>
    <row r="806" spans="1:35" s="115" customFormat="1" ht="14.4">
      <c r="A806" s="187"/>
      <c r="B806" s="190"/>
      <c r="C806" s="190"/>
      <c r="D806" s="69"/>
      <c r="E806" s="69"/>
      <c r="F806" s="149"/>
      <c r="G806" s="146"/>
      <c r="H806" s="98"/>
      <c r="I806" s="99"/>
      <c r="J806" s="99"/>
      <c r="K806" s="99"/>
      <c r="L806" s="99"/>
      <c r="M806" s="99"/>
      <c r="N806" s="99"/>
      <c r="O806" s="99"/>
      <c r="P806" s="99"/>
      <c r="Q806" s="99"/>
      <c r="R806" s="99"/>
      <c r="S806" s="99"/>
      <c r="T806" s="99"/>
      <c r="U806" s="105"/>
      <c r="V806" s="262"/>
      <c r="W806" s="121"/>
      <c r="X806" s="121"/>
      <c r="Y806" s="121"/>
      <c r="Z806" s="121"/>
      <c r="AA806" s="121"/>
      <c r="AB806" s="121"/>
      <c r="AC806" s="121"/>
      <c r="AD806" s="121"/>
      <c r="AE806" s="121"/>
      <c r="AF806" s="121"/>
      <c r="AG806" s="121"/>
      <c r="AH806" s="121"/>
      <c r="AI806" s="121"/>
    </row>
    <row r="807" spans="1:35" s="115" customFormat="1" ht="14.4">
      <c r="A807" s="187"/>
      <c r="B807" s="190"/>
      <c r="C807" s="190"/>
      <c r="D807" s="69"/>
      <c r="E807" s="69"/>
      <c r="F807" s="149"/>
      <c r="G807" s="146"/>
      <c r="H807" s="98"/>
      <c r="I807" s="99"/>
      <c r="J807" s="99"/>
      <c r="K807" s="99"/>
      <c r="L807" s="99"/>
      <c r="M807" s="99"/>
      <c r="N807" s="99"/>
      <c r="O807" s="99"/>
      <c r="P807" s="99"/>
      <c r="Q807" s="99"/>
      <c r="R807" s="99"/>
      <c r="S807" s="99"/>
      <c r="T807" s="99"/>
      <c r="U807" s="105"/>
      <c r="V807" s="262"/>
      <c r="W807" s="121"/>
      <c r="X807" s="121"/>
      <c r="Y807" s="121"/>
      <c r="Z807" s="121"/>
      <c r="AA807" s="121"/>
      <c r="AB807" s="121"/>
      <c r="AC807" s="121"/>
      <c r="AD807" s="121"/>
      <c r="AE807" s="121"/>
      <c r="AF807" s="121"/>
      <c r="AG807" s="121"/>
      <c r="AH807" s="121"/>
      <c r="AI807" s="121"/>
    </row>
    <row r="808" spans="1:35" s="115" customFormat="1" ht="14.4">
      <c r="A808" s="187"/>
      <c r="B808" s="190"/>
      <c r="C808" s="190"/>
      <c r="D808" s="69"/>
      <c r="E808" s="69"/>
      <c r="F808" s="149"/>
      <c r="G808" s="146"/>
      <c r="H808" s="98"/>
      <c r="I808" s="99"/>
      <c r="J808" s="99"/>
      <c r="K808" s="99"/>
      <c r="L808" s="99"/>
      <c r="M808" s="99"/>
      <c r="N808" s="99"/>
      <c r="O808" s="99"/>
      <c r="P808" s="99"/>
      <c r="Q808" s="99"/>
      <c r="R808" s="99"/>
      <c r="S808" s="99"/>
      <c r="T808" s="99"/>
      <c r="U808" s="105"/>
      <c r="V808" s="262"/>
      <c r="W808" s="121"/>
      <c r="X808" s="121"/>
      <c r="Y808" s="121"/>
      <c r="Z808" s="121"/>
      <c r="AA808" s="121"/>
      <c r="AB808" s="121"/>
      <c r="AC808" s="121"/>
      <c r="AD808" s="121"/>
      <c r="AE808" s="121"/>
      <c r="AF808" s="121"/>
      <c r="AG808" s="121"/>
      <c r="AH808" s="121"/>
      <c r="AI808" s="121"/>
    </row>
    <row r="809" spans="1:35" s="115" customFormat="1" ht="14.4">
      <c r="A809" s="187"/>
      <c r="B809" s="190"/>
      <c r="C809" s="190"/>
      <c r="D809" s="69"/>
      <c r="E809" s="69"/>
      <c r="F809" s="149"/>
      <c r="G809" s="146"/>
      <c r="H809" s="98"/>
      <c r="I809" s="99"/>
      <c r="J809" s="99"/>
      <c r="K809" s="99"/>
      <c r="L809" s="99"/>
      <c r="M809" s="99"/>
      <c r="N809" s="99"/>
      <c r="O809" s="99"/>
      <c r="P809" s="99"/>
      <c r="Q809" s="99"/>
      <c r="R809" s="99"/>
      <c r="S809" s="99"/>
      <c r="T809" s="99"/>
      <c r="U809" s="105"/>
      <c r="V809" s="262"/>
      <c r="W809" s="121"/>
      <c r="X809" s="121"/>
      <c r="Y809" s="121"/>
      <c r="Z809" s="121"/>
      <c r="AA809" s="121"/>
      <c r="AB809" s="121"/>
      <c r="AC809" s="121"/>
      <c r="AD809" s="121"/>
      <c r="AE809" s="121"/>
      <c r="AF809" s="121"/>
      <c r="AG809" s="121"/>
      <c r="AH809" s="121"/>
      <c r="AI809" s="121"/>
    </row>
    <row r="810" spans="1:35" s="115" customFormat="1" ht="14.4">
      <c r="A810" s="187"/>
      <c r="B810" s="190"/>
      <c r="C810" s="190"/>
      <c r="D810" s="69"/>
      <c r="E810" s="69"/>
      <c r="F810" s="149"/>
      <c r="G810" s="146"/>
      <c r="H810" s="98"/>
      <c r="I810" s="99"/>
      <c r="J810" s="99"/>
      <c r="K810" s="99"/>
      <c r="L810" s="99"/>
      <c r="M810" s="99"/>
      <c r="N810" s="99"/>
      <c r="O810" s="99"/>
      <c r="P810" s="99"/>
      <c r="Q810" s="99"/>
      <c r="R810" s="99"/>
      <c r="S810" s="99"/>
      <c r="T810" s="99"/>
      <c r="U810" s="105"/>
      <c r="V810" s="262"/>
      <c r="W810" s="121"/>
      <c r="X810" s="121"/>
      <c r="Y810" s="121"/>
      <c r="Z810" s="121"/>
      <c r="AA810" s="121"/>
      <c r="AB810" s="121"/>
      <c r="AC810" s="121"/>
      <c r="AD810" s="121"/>
      <c r="AE810" s="121"/>
      <c r="AF810" s="121"/>
      <c r="AG810" s="121"/>
      <c r="AH810" s="121"/>
      <c r="AI810" s="121"/>
    </row>
    <row r="811" spans="1:35" s="115" customFormat="1" ht="14.4">
      <c r="A811" s="187"/>
      <c r="B811" s="190"/>
      <c r="C811" s="190"/>
      <c r="D811" s="69"/>
      <c r="E811" s="69"/>
      <c r="F811" s="149"/>
      <c r="G811" s="146"/>
      <c r="H811" s="98"/>
      <c r="I811" s="99"/>
      <c r="J811" s="99"/>
      <c r="K811" s="99"/>
      <c r="L811" s="99"/>
      <c r="M811" s="99"/>
      <c r="N811" s="99"/>
      <c r="O811" s="99"/>
      <c r="P811" s="99"/>
      <c r="Q811" s="99"/>
      <c r="R811" s="99"/>
      <c r="S811" s="99"/>
      <c r="T811" s="99"/>
      <c r="U811" s="105"/>
      <c r="V811" s="262"/>
      <c r="W811" s="121"/>
      <c r="X811" s="121"/>
      <c r="Y811" s="121"/>
      <c r="Z811" s="121"/>
      <c r="AA811" s="121"/>
      <c r="AB811" s="121"/>
      <c r="AC811" s="121"/>
      <c r="AD811" s="121"/>
      <c r="AE811" s="121"/>
      <c r="AF811" s="121"/>
      <c r="AG811" s="121"/>
      <c r="AH811" s="121"/>
      <c r="AI811" s="121"/>
    </row>
    <row r="812" spans="1:35" s="115" customFormat="1" ht="14.4">
      <c r="A812" s="187"/>
      <c r="B812" s="190"/>
      <c r="C812" s="190"/>
      <c r="D812" s="69"/>
      <c r="E812" s="69"/>
      <c r="F812" s="149"/>
      <c r="G812" s="146"/>
      <c r="H812" s="98"/>
      <c r="I812" s="99"/>
      <c r="J812" s="99"/>
      <c r="K812" s="99"/>
      <c r="L812" s="99"/>
      <c r="M812" s="99"/>
      <c r="N812" s="99"/>
      <c r="O812" s="99"/>
      <c r="P812" s="99"/>
      <c r="Q812" s="99"/>
      <c r="R812" s="99"/>
      <c r="S812" s="99"/>
      <c r="T812" s="99"/>
      <c r="U812" s="105"/>
      <c r="V812" s="262"/>
      <c r="W812" s="121"/>
      <c r="X812" s="121"/>
      <c r="Y812" s="121"/>
      <c r="Z812" s="121"/>
      <c r="AA812" s="121"/>
      <c r="AB812" s="121"/>
      <c r="AC812" s="121"/>
      <c r="AD812" s="121"/>
      <c r="AE812" s="121"/>
      <c r="AF812" s="121"/>
      <c r="AG812" s="121"/>
      <c r="AH812" s="121"/>
      <c r="AI812" s="121"/>
    </row>
    <row r="813" spans="1:35" s="115" customFormat="1" ht="14.4">
      <c r="A813" s="187"/>
      <c r="B813" s="190"/>
      <c r="C813" s="190"/>
      <c r="D813" s="69"/>
      <c r="E813" s="69"/>
      <c r="F813" s="149"/>
      <c r="G813" s="146"/>
      <c r="H813" s="98"/>
      <c r="I813" s="99"/>
      <c r="J813" s="99"/>
      <c r="K813" s="99"/>
      <c r="L813" s="99"/>
      <c r="M813" s="99"/>
      <c r="N813" s="99"/>
      <c r="O813" s="99"/>
      <c r="P813" s="99"/>
      <c r="Q813" s="99"/>
      <c r="R813" s="99"/>
      <c r="S813" s="99"/>
      <c r="T813" s="99"/>
      <c r="U813" s="105"/>
      <c r="V813" s="262"/>
      <c r="W813" s="121"/>
      <c r="X813" s="121"/>
      <c r="Y813" s="121"/>
      <c r="Z813" s="121"/>
      <c r="AA813" s="121"/>
      <c r="AB813" s="121"/>
      <c r="AC813" s="121"/>
      <c r="AD813" s="121"/>
      <c r="AE813" s="121"/>
      <c r="AF813" s="121"/>
      <c r="AG813" s="121"/>
      <c r="AH813" s="121"/>
      <c r="AI813" s="121"/>
    </row>
    <row r="814" spans="1:35" s="115" customFormat="1" ht="14.4">
      <c r="A814" s="187"/>
      <c r="B814" s="190"/>
      <c r="C814" s="190"/>
      <c r="D814" s="69"/>
      <c r="E814" s="69"/>
      <c r="F814" s="149"/>
      <c r="G814" s="146"/>
      <c r="H814" s="107"/>
      <c r="I814" s="108"/>
      <c r="J814" s="108"/>
      <c r="K814" s="108"/>
      <c r="L814" s="108"/>
      <c r="M814" s="108"/>
      <c r="N814" s="108"/>
      <c r="O814" s="108"/>
      <c r="P814" s="108"/>
      <c r="Q814" s="108"/>
      <c r="R814" s="108"/>
      <c r="S814" s="108"/>
      <c r="T814" s="108"/>
      <c r="U814" s="105"/>
      <c r="V814" s="262"/>
      <c r="W814" s="121"/>
      <c r="X814" s="121"/>
      <c r="Y814" s="121"/>
      <c r="Z814" s="121"/>
      <c r="AA814" s="121"/>
      <c r="AB814" s="121"/>
      <c r="AC814" s="121"/>
      <c r="AD814" s="121"/>
      <c r="AE814" s="121"/>
      <c r="AF814" s="121"/>
      <c r="AG814" s="121"/>
      <c r="AH814" s="121"/>
      <c r="AI814" s="121"/>
    </row>
    <row r="815" spans="1:35" s="115" customFormat="1" ht="14.4">
      <c r="A815" s="187"/>
      <c r="B815" s="190"/>
      <c r="C815" s="190"/>
      <c r="D815" s="69"/>
      <c r="E815" s="69"/>
      <c r="F815" s="149"/>
      <c r="G815" s="146"/>
      <c r="H815" s="98"/>
      <c r="I815" s="228"/>
      <c r="J815" s="228"/>
      <c r="K815" s="228"/>
      <c r="L815" s="228"/>
      <c r="M815" s="228"/>
      <c r="N815" s="229"/>
      <c r="O815" s="229"/>
      <c r="P815" s="229"/>
      <c r="Q815" s="230"/>
      <c r="R815" s="231"/>
      <c r="S815" s="231"/>
      <c r="T815" s="230"/>
      <c r="U815" s="105"/>
      <c r="V815" s="262"/>
      <c r="W815" s="121"/>
      <c r="X815" s="121"/>
      <c r="Y815" s="121"/>
      <c r="Z815" s="121"/>
      <c r="AA815" s="121"/>
      <c r="AB815" s="121"/>
      <c r="AC815" s="121"/>
      <c r="AD815" s="121"/>
      <c r="AE815" s="121"/>
      <c r="AF815" s="121"/>
      <c r="AG815" s="121"/>
      <c r="AH815" s="121"/>
      <c r="AI815" s="121"/>
    </row>
    <row r="816" spans="1:35" s="115" customFormat="1" ht="14.4">
      <c r="A816" s="187"/>
      <c r="B816" s="190"/>
      <c r="C816" s="190"/>
      <c r="D816" s="69"/>
      <c r="E816" s="69"/>
      <c r="F816" s="149"/>
      <c r="G816" s="146"/>
      <c r="H816" s="98"/>
      <c r="I816" s="99"/>
      <c r="J816" s="99"/>
      <c r="K816" s="99"/>
      <c r="L816" s="99"/>
      <c r="M816" s="99"/>
      <c r="N816" s="99"/>
      <c r="O816" s="99"/>
      <c r="P816" s="99"/>
      <c r="Q816" s="99"/>
      <c r="R816" s="99"/>
      <c r="S816" s="99"/>
      <c r="T816" s="99"/>
      <c r="U816" s="105"/>
      <c r="V816" s="262"/>
      <c r="W816" s="121"/>
      <c r="X816" s="121"/>
      <c r="Y816" s="121"/>
      <c r="Z816" s="121"/>
      <c r="AA816" s="121"/>
      <c r="AB816" s="121"/>
      <c r="AC816" s="121"/>
      <c r="AD816" s="121"/>
      <c r="AE816" s="121"/>
      <c r="AF816" s="121"/>
      <c r="AG816" s="121"/>
      <c r="AH816" s="121"/>
      <c r="AI816" s="121"/>
    </row>
    <row r="817" spans="1:35" s="115" customFormat="1" ht="14.4">
      <c r="A817" s="187"/>
      <c r="B817" s="190"/>
      <c r="C817" s="190"/>
      <c r="D817" s="69"/>
      <c r="E817" s="69"/>
      <c r="F817" s="149"/>
      <c r="G817" s="146"/>
      <c r="H817" s="98"/>
      <c r="I817" s="99"/>
      <c r="J817" s="99"/>
      <c r="K817" s="99"/>
      <c r="L817" s="99"/>
      <c r="M817" s="99"/>
      <c r="N817" s="99"/>
      <c r="O817" s="99"/>
      <c r="P817" s="99"/>
      <c r="Q817" s="99"/>
      <c r="R817" s="99"/>
      <c r="S817" s="99"/>
      <c r="T817" s="99"/>
      <c r="U817" s="105"/>
      <c r="V817" s="262"/>
      <c r="W817" s="121"/>
      <c r="X817" s="121"/>
      <c r="Y817" s="121"/>
      <c r="Z817" s="121"/>
      <c r="AA817" s="121"/>
      <c r="AB817" s="121"/>
      <c r="AC817" s="121"/>
      <c r="AD817" s="121"/>
      <c r="AE817" s="121"/>
      <c r="AF817" s="121"/>
      <c r="AG817" s="121"/>
      <c r="AH817" s="121"/>
      <c r="AI817" s="121"/>
    </row>
    <row r="818" spans="1:35" s="115" customFormat="1" ht="14.4">
      <c r="A818" s="187"/>
      <c r="B818" s="190"/>
      <c r="C818" s="190"/>
      <c r="D818" s="69"/>
      <c r="E818" s="69"/>
      <c r="F818" s="149"/>
      <c r="G818" s="146"/>
      <c r="H818" s="98"/>
      <c r="I818" s="99"/>
      <c r="J818" s="99"/>
      <c r="K818" s="99"/>
      <c r="L818" s="99"/>
      <c r="M818" s="99"/>
      <c r="N818" s="99"/>
      <c r="O818" s="99"/>
      <c r="P818" s="99"/>
      <c r="Q818" s="99"/>
      <c r="R818" s="99"/>
      <c r="S818" s="99"/>
      <c r="T818" s="99"/>
      <c r="U818" s="105"/>
      <c r="V818" s="262"/>
      <c r="W818" s="121"/>
      <c r="X818" s="121"/>
      <c r="Y818" s="121"/>
      <c r="Z818" s="121"/>
      <c r="AA818" s="121"/>
      <c r="AB818" s="121"/>
      <c r="AC818" s="121"/>
      <c r="AD818" s="121"/>
      <c r="AE818" s="121"/>
      <c r="AF818" s="121"/>
      <c r="AG818" s="121"/>
      <c r="AH818" s="121"/>
      <c r="AI818" s="121"/>
    </row>
    <row r="819" spans="1:35" s="115" customFormat="1" ht="14.4">
      <c r="A819" s="187"/>
      <c r="B819" s="190"/>
      <c r="C819" s="190"/>
      <c r="D819" s="69"/>
      <c r="E819" s="69"/>
      <c r="F819" s="149"/>
      <c r="G819" s="146"/>
      <c r="H819" s="98"/>
      <c r="I819" s="99"/>
      <c r="J819" s="99"/>
      <c r="K819" s="99"/>
      <c r="L819" s="99"/>
      <c r="M819" s="99"/>
      <c r="N819" s="99"/>
      <c r="O819" s="99"/>
      <c r="P819" s="99"/>
      <c r="Q819" s="99"/>
      <c r="R819" s="99"/>
      <c r="S819" s="99"/>
      <c r="T819" s="99"/>
      <c r="U819" s="105"/>
      <c r="V819" s="262"/>
      <c r="W819" s="121"/>
      <c r="X819" s="121"/>
      <c r="Y819" s="121"/>
      <c r="Z819" s="121"/>
      <c r="AA819" s="121"/>
      <c r="AB819" s="121"/>
      <c r="AC819" s="121"/>
      <c r="AD819" s="121"/>
      <c r="AE819" s="121"/>
      <c r="AF819" s="121"/>
      <c r="AG819" s="121"/>
      <c r="AH819" s="121"/>
      <c r="AI819" s="121"/>
    </row>
    <row r="820" spans="1:35" s="115" customFormat="1" ht="14.4">
      <c r="A820" s="187"/>
      <c r="B820" s="190"/>
      <c r="C820" s="190"/>
      <c r="D820" s="69"/>
      <c r="E820" s="69"/>
      <c r="F820" s="149"/>
      <c r="G820" s="146"/>
      <c r="H820" s="98"/>
      <c r="I820" s="99"/>
      <c r="J820" s="99"/>
      <c r="K820" s="99"/>
      <c r="L820" s="99"/>
      <c r="M820" s="99"/>
      <c r="N820" s="99"/>
      <c r="O820" s="99"/>
      <c r="P820" s="99"/>
      <c r="Q820" s="99"/>
      <c r="R820" s="99"/>
      <c r="S820" s="99"/>
      <c r="T820" s="99"/>
      <c r="U820" s="105"/>
      <c r="V820" s="262"/>
      <c r="W820" s="121"/>
      <c r="X820" s="121"/>
      <c r="Y820" s="121"/>
      <c r="Z820" s="121"/>
      <c r="AA820" s="121"/>
      <c r="AB820" s="121"/>
      <c r="AC820" s="121"/>
      <c r="AD820" s="121"/>
      <c r="AE820" s="121"/>
      <c r="AF820" s="121"/>
      <c r="AG820" s="121"/>
      <c r="AH820" s="121"/>
      <c r="AI820" s="121"/>
    </row>
    <row r="821" spans="1:35" s="115" customFormat="1" ht="14.4">
      <c r="A821" s="187"/>
      <c r="B821" s="190"/>
      <c r="C821" s="190"/>
      <c r="D821" s="69"/>
      <c r="E821" s="69"/>
      <c r="F821" s="149"/>
      <c r="G821" s="146"/>
      <c r="H821" s="98"/>
      <c r="I821" s="99"/>
      <c r="J821" s="99"/>
      <c r="K821" s="99"/>
      <c r="L821" s="99"/>
      <c r="M821" s="99"/>
      <c r="N821" s="99"/>
      <c r="O821" s="99"/>
      <c r="P821" s="99"/>
      <c r="Q821" s="99"/>
      <c r="R821" s="99"/>
      <c r="S821" s="99"/>
      <c r="T821" s="99"/>
      <c r="U821" s="105"/>
      <c r="V821" s="262"/>
      <c r="W821" s="121"/>
      <c r="X821" s="121"/>
      <c r="Y821" s="121"/>
      <c r="Z821" s="121"/>
      <c r="AA821" s="121"/>
      <c r="AB821" s="121"/>
      <c r="AC821" s="121"/>
      <c r="AD821" s="121"/>
      <c r="AE821" s="121"/>
      <c r="AF821" s="121"/>
      <c r="AG821" s="121"/>
      <c r="AH821" s="121"/>
      <c r="AI821" s="121"/>
    </row>
    <row r="822" spans="1:35" s="115" customFormat="1" ht="14.4">
      <c r="A822" s="187"/>
      <c r="B822" s="190"/>
      <c r="C822" s="190"/>
      <c r="D822" s="69"/>
      <c r="E822" s="69"/>
      <c r="F822" s="149"/>
      <c r="G822" s="146"/>
      <c r="H822" s="98"/>
      <c r="I822" s="99"/>
      <c r="J822" s="99"/>
      <c r="K822" s="99"/>
      <c r="L822" s="99"/>
      <c r="M822" s="99"/>
      <c r="N822" s="99"/>
      <c r="O822" s="99"/>
      <c r="P822" s="99"/>
      <c r="Q822" s="99"/>
      <c r="R822" s="99"/>
      <c r="S822" s="99"/>
      <c r="T822" s="99"/>
      <c r="U822" s="105"/>
      <c r="V822" s="262"/>
      <c r="W822" s="121"/>
      <c r="X822" s="121"/>
      <c r="Y822" s="121"/>
      <c r="Z822" s="121"/>
      <c r="AA822" s="121"/>
      <c r="AB822" s="121"/>
      <c r="AC822" s="121"/>
      <c r="AD822" s="121"/>
      <c r="AE822" s="121"/>
      <c r="AF822" s="121"/>
      <c r="AG822" s="121"/>
      <c r="AH822" s="121"/>
      <c r="AI822" s="121"/>
    </row>
    <row r="823" spans="1:35" s="115" customFormat="1" ht="14.4">
      <c r="A823" s="187"/>
      <c r="B823" s="190"/>
      <c r="C823" s="190"/>
      <c r="D823" s="69"/>
      <c r="E823" s="69"/>
      <c r="F823" s="149"/>
      <c r="G823" s="146"/>
      <c r="H823" s="98"/>
      <c r="I823" s="99"/>
      <c r="J823" s="99"/>
      <c r="K823" s="99"/>
      <c r="L823" s="99"/>
      <c r="M823" s="99"/>
      <c r="N823" s="99"/>
      <c r="O823" s="99"/>
      <c r="P823" s="99"/>
      <c r="Q823" s="99"/>
      <c r="R823" s="99"/>
      <c r="S823" s="99"/>
      <c r="T823" s="99"/>
      <c r="U823" s="105"/>
      <c r="V823" s="262"/>
      <c r="W823" s="121"/>
      <c r="X823" s="121"/>
      <c r="Y823" s="121"/>
      <c r="Z823" s="121"/>
      <c r="AA823" s="121"/>
      <c r="AB823" s="121"/>
      <c r="AC823" s="121"/>
      <c r="AD823" s="121"/>
      <c r="AE823" s="121"/>
      <c r="AF823" s="121"/>
      <c r="AG823" s="121"/>
      <c r="AH823" s="121"/>
      <c r="AI823" s="121"/>
    </row>
    <row r="824" spans="1:35" s="115" customFormat="1" ht="14.4">
      <c r="A824" s="187"/>
      <c r="B824" s="190"/>
      <c r="C824" s="190"/>
      <c r="D824" s="69"/>
      <c r="E824" s="69"/>
      <c r="F824" s="149"/>
      <c r="G824" s="146"/>
      <c r="H824" s="98"/>
      <c r="I824" s="99"/>
      <c r="J824" s="99"/>
      <c r="K824" s="99"/>
      <c r="L824" s="99"/>
      <c r="M824" s="99"/>
      <c r="N824" s="99"/>
      <c r="O824" s="99"/>
      <c r="P824" s="99"/>
      <c r="Q824" s="99"/>
      <c r="R824" s="99"/>
      <c r="S824" s="99"/>
      <c r="T824" s="99"/>
      <c r="U824" s="105"/>
      <c r="V824" s="262"/>
      <c r="W824" s="121"/>
      <c r="X824" s="121"/>
      <c r="Y824" s="121"/>
      <c r="Z824" s="121"/>
      <c r="AA824" s="121"/>
      <c r="AB824" s="121"/>
      <c r="AC824" s="121"/>
      <c r="AD824" s="121"/>
      <c r="AE824" s="121"/>
      <c r="AF824" s="121"/>
      <c r="AG824" s="121"/>
      <c r="AH824" s="121"/>
      <c r="AI824" s="121"/>
    </row>
    <row r="825" spans="1:35" s="115" customFormat="1" ht="14.4">
      <c r="A825" s="187"/>
      <c r="B825" s="190"/>
      <c r="C825" s="190"/>
      <c r="D825" s="69"/>
      <c r="E825" s="69"/>
      <c r="F825" s="149"/>
      <c r="G825" s="146"/>
      <c r="H825" s="98"/>
      <c r="I825" s="99"/>
      <c r="J825" s="99"/>
      <c r="K825" s="99"/>
      <c r="L825" s="99"/>
      <c r="M825" s="99"/>
      <c r="N825" s="99"/>
      <c r="O825" s="99"/>
      <c r="P825" s="99"/>
      <c r="Q825" s="99"/>
      <c r="R825" s="99"/>
      <c r="S825" s="99"/>
      <c r="T825" s="99"/>
      <c r="U825" s="105"/>
      <c r="V825" s="262"/>
      <c r="W825" s="121"/>
      <c r="X825" s="121"/>
      <c r="Y825" s="121"/>
      <c r="Z825" s="121"/>
      <c r="AA825" s="121"/>
      <c r="AB825" s="121"/>
      <c r="AC825" s="121"/>
      <c r="AD825" s="121"/>
      <c r="AE825" s="121"/>
      <c r="AF825" s="121"/>
      <c r="AG825" s="121"/>
      <c r="AH825" s="121"/>
      <c r="AI825" s="121"/>
    </row>
    <row r="826" spans="1:35" s="115" customFormat="1" ht="14.4">
      <c r="A826" s="187"/>
      <c r="B826" s="190"/>
      <c r="C826" s="190"/>
      <c r="D826" s="69"/>
      <c r="E826" s="69"/>
      <c r="F826" s="149"/>
      <c r="G826" s="146"/>
      <c r="H826" s="98"/>
      <c r="I826" s="99"/>
      <c r="J826" s="99"/>
      <c r="K826" s="99"/>
      <c r="L826" s="99"/>
      <c r="M826" s="99"/>
      <c r="N826" s="99"/>
      <c r="O826" s="99"/>
      <c r="P826" s="99"/>
      <c r="Q826" s="99"/>
      <c r="R826" s="99"/>
      <c r="S826" s="99"/>
      <c r="T826" s="99"/>
      <c r="U826" s="105"/>
      <c r="V826" s="262"/>
      <c r="W826" s="121"/>
      <c r="X826" s="121"/>
      <c r="Y826" s="121"/>
      <c r="Z826" s="121"/>
      <c r="AA826" s="121"/>
      <c r="AB826" s="121"/>
      <c r="AC826" s="121"/>
      <c r="AD826" s="121"/>
      <c r="AE826" s="121"/>
      <c r="AF826" s="121"/>
      <c r="AG826" s="121"/>
      <c r="AH826" s="121"/>
      <c r="AI826" s="121"/>
    </row>
    <row r="827" spans="1:35" s="115" customFormat="1" ht="14.4">
      <c r="A827" s="187"/>
      <c r="B827" s="190"/>
      <c r="C827" s="190"/>
      <c r="D827" s="69"/>
      <c r="E827" s="69"/>
      <c r="F827" s="149"/>
      <c r="G827" s="146"/>
      <c r="H827" s="98"/>
      <c r="I827" s="99"/>
      <c r="J827" s="99"/>
      <c r="K827" s="99"/>
      <c r="L827" s="99"/>
      <c r="M827" s="99"/>
      <c r="N827" s="99"/>
      <c r="O827" s="99"/>
      <c r="P827" s="99"/>
      <c r="Q827" s="99"/>
      <c r="R827" s="99"/>
      <c r="S827" s="99"/>
      <c r="T827" s="99"/>
      <c r="U827" s="105"/>
      <c r="V827" s="262"/>
      <c r="W827" s="121"/>
      <c r="X827" s="121"/>
      <c r="Y827" s="121"/>
      <c r="Z827" s="121"/>
      <c r="AA827" s="121"/>
      <c r="AB827" s="121"/>
      <c r="AC827" s="121"/>
      <c r="AD827" s="121"/>
      <c r="AE827" s="121"/>
      <c r="AF827" s="121"/>
      <c r="AG827" s="121"/>
      <c r="AH827" s="121"/>
      <c r="AI827" s="121"/>
    </row>
    <row r="828" spans="1:35" s="115" customFormat="1" ht="14.4">
      <c r="A828" s="187"/>
      <c r="B828" s="190"/>
      <c r="C828" s="190"/>
      <c r="D828" s="69"/>
      <c r="E828" s="69"/>
      <c r="F828" s="149"/>
      <c r="G828" s="146"/>
      <c r="H828" s="98"/>
      <c r="I828" s="99"/>
      <c r="J828" s="99"/>
      <c r="K828" s="99"/>
      <c r="L828" s="99"/>
      <c r="M828" s="99"/>
      <c r="N828" s="99"/>
      <c r="O828" s="99"/>
      <c r="P828" s="99"/>
      <c r="Q828" s="99"/>
      <c r="R828" s="99"/>
      <c r="S828" s="99"/>
      <c r="T828" s="99"/>
      <c r="U828" s="105"/>
      <c r="V828" s="262"/>
      <c r="W828" s="121"/>
      <c r="X828" s="121"/>
      <c r="Y828" s="121"/>
      <c r="Z828" s="121"/>
      <c r="AA828" s="121"/>
      <c r="AB828" s="121"/>
      <c r="AC828" s="121"/>
      <c r="AD828" s="121"/>
      <c r="AE828" s="121"/>
      <c r="AF828" s="121"/>
      <c r="AG828" s="121"/>
      <c r="AH828" s="121"/>
      <c r="AI828" s="121"/>
    </row>
    <row r="829" spans="1:35" s="115" customFormat="1" ht="14.4">
      <c r="A829" s="187"/>
      <c r="B829" s="190"/>
      <c r="C829" s="190"/>
      <c r="D829" s="69"/>
      <c r="E829" s="69"/>
      <c r="F829" s="149"/>
      <c r="G829" s="146"/>
      <c r="H829" s="98"/>
      <c r="I829" s="99"/>
      <c r="J829" s="99"/>
      <c r="K829" s="99"/>
      <c r="L829" s="99"/>
      <c r="M829" s="99"/>
      <c r="N829" s="99"/>
      <c r="O829" s="99"/>
      <c r="P829" s="99"/>
      <c r="Q829" s="99"/>
      <c r="R829" s="99"/>
      <c r="S829" s="99"/>
      <c r="T829" s="99"/>
      <c r="U829" s="105"/>
      <c r="V829" s="262"/>
      <c r="W829" s="121"/>
      <c r="X829" s="121"/>
      <c r="Y829" s="121"/>
      <c r="Z829" s="121"/>
      <c r="AA829" s="121"/>
      <c r="AB829" s="121"/>
      <c r="AC829" s="121"/>
      <c r="AD829" s="121"/>
      <c r="AE829" s="121"/>
      <c r="AF829" s="121"/>
      <c r="AG829" s="121"/>
      <c r="AH829" s="121"/>
      <c r="AI829" s="121"/>
    </row>
    <row r="830" spans="1:35" s="115" customFormat="1" ht="14.4">
      <c r="A830" s="187"/>
      <c r="B830" s="190"/>
      <c r="C830" s="190"/>
      <c r="D830" s="69"/>
      <c r="E830" s="69"/>
      <c r="F830" s="149"/>
      <c r="G830" s="146"/>
      <c r="H830" s="98"/>
      <c r="I830" s="99"/>
      <c r="J830" s="99"/>
      <c r="K830" s="99"/>
      <c r="L830" s="99"/>
      <c r="M830" s="99"/>
      <c r="N830" s="99"/>
      <c r="O830" s="99"/>
      <c r="P830" s="99"/>
      <c r="Q830" s="99"/>
      <c r="R830" s="99"/>
      <c r="S830" s="99"/>
      <c r="T830" s="99"/>
      <c r="U830" s="105"/>
      <c r="V830" s="262"/>
      <c r="W830" s="121"/>
      <c r="X830" s="121"/>
      <c r="Y830" s="121"/>
      <c r="Z830" s="121"/>
      <c r="AA830" s="121"/>
      <c r="AB830" s="121"/>
      <c r="AC830" s="121"/>
      <c r="AD830" s="121"/>
      <c r="AE830" s="121"/>
      <c r="AF830" s="121"/>
      <c r="AG830" s="121"/>
      <c r="AH830" s="121"/>
      <c r="AI830" s="121"/>
    </row>
    <row r="831" spans="1:35" s="115" customFormat="1" ht="14.4">
      <c r="A831" s="187"/>
      <c r="B831" s="190"/>
      <c r="C831" s="190"/>
      <c r="D831" s="69"/>
      <c r="E831" s="69"/>
      <c r="F831" s="149"/>
      <c r="G831" s="146"/>
      <c r="H831" s="98"/>
      <c r="I831" s="99"/>
      <c r="J831" s="99"/>
      <c r="K831" s="99"/>
      <c r="L831" s="99"/>
      <c r="M831" s="99"/>
      <c r="N831" s="99"/>
      <c r="O831" s="99"/>
      <c r="P831" s="99"/>
      <c r="Q831" s="99"/>
      <c r="R831" s="99"/>
      <c r="S831" s="99"/>
      <c r="T831" s="99"/>
      <c r="U831" s="105"/>
      <c r="V831" s="262"/>
      <c r="W831" s="121"/>
      <c r="X831" s="121"/>
      <c r="Y831" s="121"/>
      <c r="Z831" s="121"/>
      <c r="AA831" s="121"/>
      <c r="AB831" s="121"/>
      <c r="AC831" s="121"/>
      <c r="AD831" s="121"/>
      <c r="AE831" s="121"/>
      <c r="AF831" s="121"/>
      <c r="AG831" s="121"/>
      <c r="AH831" s="121"/>
      <c r="AI831" s="121"/>
    </row>
    <row r="832" spans="1:35" s="115" customFormat="1" ht="14.4">
      <c r="A832" s="187"/>
      <c r="B832" s="190"/>
      <c r="C832" s="190"/>
      <c r="D832" s="69"/>
      <c r="E832" s="69"/>
      <c r="F832" s="149"/>
      <c r="G832" s="146"/>
      <c r="H832" s="98"/>
      <c r="I832" s="99"/>
      <c r="J832" s="99"/>
      <c r="K832" s="99"/>
      <c r="L832" s="99"/>
      <c r="M832" s="99"/>
      <c r="N832" s="99"/>
      <c r="O832" s="99"/>
      <c r="P832" s="99"/>
      <c r="Q832" s="99"/>
      <c r="R832" s="99"/>
      <c r="S832" s="99"/>
      <c r="T832" s="99"/>
      <c r="U832" s="105"/>
      <c r="V832" s="262"/>
      <c r="W832" s="121"/>
      <c r="X832" s="121"/>
      <c r="Y832" s="121"/>
      <c r="Z832" s="121"/>
      <c r="AA832" s="121"/>
      <c r="AB832" s="121"/>
      <c r="AC832" s="121"/>
      <c r="AD832" s="121"/>
      <c r="AE832" s="121"/>
      <c r="AF832" s="121"/>
      <c r="AG832" s="121"/>
      <c r="AH832" s="121"/>
      <c r="AI832" s="121"/>
    </row>
    <row r="833" spans="1:35" s="115" customFormat="1" ht="14.4">
      <c r="A833" s="187"/>
      <c r="B833" s="190"/>
      <c r="C833" s="190"/>
      <c r="D833" s="69"/>
      <c r="E833" s="69"/>
      <c r="F833" s="149"/>
      <c r="G833" s="146"/>
      <c r="H833" s="98"/>
      <c r="I833" s="99"/>
      <c r="J833" s="99"/>
      <c r="K833" s="99"/>
      <c r="L833" s="99"/>
      <c r="M833" s="99"/>
      <c r="N833" s="99"/>
      <c r="O833" s="99"/>
      <c r="P833" s="99"/>
      <c r="Q833" s="99"/>
      <c r="R833" s="99"/>
      <c r="S833" s="99"/>
      <c r="T833" s="99"/>
      <c r="U833" s="105"/>
      <c r="V833" s="262"/>
      <c r="W833" s="121"/>
      <c r="X833" s="121"/>
      <c r="Y833" s="121"/>
      <c r="Z833" s="121"/>
      <c r="AA833" s="121"/>
      <c r="AB833" s="121"/>
      <c r="AC833" s="121"/>
      <c r="AD833" s="121"/>
      <c r="AE833" s="121"/>
      <c r="AF833" s="121"/>
      <c r="AG833" s="121"/>
      <c r="AH833" s="121"/>
      <c r="AI833" s="121"/>
    </row>
    <row r="834" spans="1:35" s="115" customFormat="1" ht="14.4">
      <c r="A834" s="187"/>
      <c r="B834" s="190"/>
      <c r="C834" s="190"/>
      <c r="D834" s="69"/>
      <c r="E834" s="69"/>
      <c r="F834" s="149"/>
      <c r="G834" s="146"/>
      <c r="H834" s="98"/>
      <c r="I834" s="99"/>
      <c r="J834" s="99"/>
      <c r="K834" s="99"/>
      <c r="L834" s="99"/>
      <c r="M834" s="99"/>
      <c r="N834" s="99"/>
      <c r="O834" s="99"/>
      <c r="P834" s="99"/>
      <c r="Q834" s="99"/>
      <c r="R834" s="99"/>
      <c r="S834" s="99"/>
      <c r="T834" s="99"/>
      <c r="U834" s="105"/>
      <c r="V834" s="262"/>
      <c r="W834" s="121"/>
      <c r="X834" s="121"/>
      <c r="Y834" s="121"/>
      <c r="Z834" s="121"/>
      <c r="AA834" s="121"/>
      <c r="AB834" s="121"/>
      <c r="AC834" s="121"/>
      <c r="AD834" s="121"/>
      <c r="AE834" s="121"/>
      <c r="AF834" s="121"/>
      <c r="AG834" s="121"/>
      <c r="AH834" s="121"/>
      <c r="AI834" s="121"/>
    </row>
    <row r="835" spans="1:35" s="115" customFormat="1" ht="14.4">
      <c r="A835" s="187"/>
      <c r="B835" s="190"/>
      <c r="C835" s="190"/>
      <c r="D835" s="69"/>
      <c r="E835" s="69"/>
      <c r="F835" s="149"/>
      <c r="G835" s="146"/>
      <c r="H835" s="98"/>
      <c r="I835" s="99"/>
      <c r="J835" s="99"/>
      <c r="K835" s="99"/>
      <c r="L835" s="99"/>
      <c r="M835" s="99"/>
      <c r="N835" s="99"/>
      <c r="O835" s="99"/>
      <c r="P835" s="99"/>
      <c r="Q835" s="99"/>
      <c r="R835" s="99"/>
      <c r="S835" s="99"/>
      <c r="T835" s="99"/>
      <c r="U835" s="105"/>
      <c r="V835" s="262"/>
      <c r="W835" s="121"/>
      <c r="X835" s="121"/>
      <c r="Y835" s="121"/>
      <c r="Z835" s="121"/>
      <c r="AA835" s="121"/>
      <c r="AB835" s="121"/>
      <c r="AC835" s="121"/>
      <c r="AD835" s="121"/>
      <c r="AE835" s="121"/>
      <c r="AF835" s="121"/>
      <c r="AG835" s="121"/>
      <c r="AH835" s="121"/>
      <c r="AI835" s="121"/>
    </row>
    <row r="836" spans="1:35" s="115" customFormat="1" ht="14.4">
      <c r="A836" s="187"/>
      <c r="B836" s="190"/>
      <c r="C836" s="190"/>
      <c r="D836" s="69"/>
      <c r="E836" s="69"/>
      <c r="F836" s="149"/>
      <c r="G836" s="146"/>
      <c r="H836" s="98"/>
      <c r="I836" s="99"/>
      <c r="J836" s="99"/>
      <c r="K836" s="99"/>
      <c r="L836" s="99"/>
      <c r="M836" s="99"/>
      <c r="N836" s="99"/>
      <c r="O836" s="99"/>
      <c r="P836" s="99"/>
      <c r="Q836" s="99"/>
      <c r="R836" s="99"/>
      <c r="S836" s="99"/>
      <c r="T836" s="99"/>
      <c r="U836" s="105"/>
      <c r="V836" s="262"/>
      <c r="W836" s="121"/>
      <c r="X836" s="121"/>
      <c r="Y836" s="121"/>
      <c r="Z836" s="121"/>
      <c r="AA836" s="121"/>
      <c r="AB836" s="121"/>
      <c r="AC836" s="121"/>
      <c r="AD836" s="121"/>
      <c r="AE836" s="121"/>
      <c r="AF836" s="121"/>
      <c r="AG836" s="121"/>
      <c r="AH836" s="121"/>
      <c r="AI836" s="121"/>
    </row>
    <row r="837" spans="1:35" s="115" customFormat="1" ht="14.4">
      <c r="A837" s="187"/>
      <c r="B837" s="190"/>
      <c r="C837" s="190"/>
      <c r="D837" s="69"/>
      <c r="E837" s="69"/>
      <c r="F837" s="149"/>
      <c r="G837" s="146"/>
      <c r="H837" s="98"/>
      <c r="I837" s="99"/>
      <c r="J837" s="99"/>
      <c r="K837" s="99"/>
      <c r="L837" s="99"/>
      <c r="M837" s="99"/>
      <c r="N837" s="99"/>
      <c r="O837" s="99"/>
      <c r="P837" s="99"/>
      <c r="Q837" s="99"/>
      <c r="R837" s="99"/>
      <c r="S837" s="99"/>
      <c r="T837" s="99"/>
      <c r="U837" s="105"/>
      <c r="V837" s="262"/>
      <c r="W837" s="121"/>
      <c r="X837" s="121"/>
      <c r="Y837" s="121"/>
      <c r="Z837" s="121"/>
      <c r="AA837" s="121"/>
      <c r="AB837" s="121"/>
      <c r="AC837" s="121"/>
      <c r="AD837" s="121"/>
      <c r="AE837" s="121"/>
      <c r="AF837" s="121"/>
      <c r="AG837" s="121"/>
      <c r="AH837" s="121"/>
      <c r="AI837" s="121"/>
    </row>
    <row r="838" spans="1:35" s="115" customFormat="1" ht="14.4">
      <c r="A838" s="187"/>
      <c r="B838" s="190"/>
      <c r="C838" s="190"/>
      <c r="D838" s="69"/>
      <c r="E838" s="69"/>
      <c r="F838" s="149"/>
      <c r="G838" s="146"/>
      <c r="H838" s="107"/>
      <c r="I838" s="108"/>
      <c r="J838" s="108"/>
      <c r="K838" s="108"/>
      <c r="L838" s="108"/>
      <c r="M838" s="108"/>
      <c r="N838" s="108"/>
      <c r="O838" s="108"/>
      <c r="P838" s="108"/>
      <c r="Q838" s="108"/>
      <c r="R838" s="108"/>
      <c r="S838" s="108"/>
      <c r="T838" s="108"/>
      <c r="U838" s="105"/>
      <c r="V838" s="262"/>
      <c r="W838" s="121"/>
      <c r="X838" s="121"/>
      <c r="Y838" s="121"/>
      <c r="Z838" s="121"/>
      <c r="AA838" s="121"/>
      <c r="AB838" s="121"/>
      <c r="AC838" s="121"/>
      <c r="AD838" s="121"/>
      <c r="AE838" s="121"/>
      <c r="AF838" s="121"/>
      <c r="AG838" s="121"/>
      <c r="AH838" s="121"/>
      <c r="AI838" s="121"/>
    </row>
    <row r="839" spans="1:35" s="115" customFormat="1" ht="14.4">
      <c r="A839" s="187"/>
      <c r="B839" s="190"/>
      <c r="C839" s="190"/>
      <c r="D839" s="69"/>
      <c r="E839" s="69"/>
      <c r="F839" s="149"/>
      <c r="G839" s="146"/>
      <c r="H839" s="98"/>
      <c r="I839" s="218"/>
      <c r="J839" s="218"/>
      <c r="K839" s="218"/>
      <c r="L839" s="218"/>
      <c r="M839" s="218"/>
      <c r="N839" s="226"/>
      <c r="O839" s="226"/>
      <c r="P839" s="226"/>
      <c r="Q839" s="111"/>
      <c r="R839" s="111"/>
      <c r="S839" s="111"/>
      <c r="T839" s="230"/>
      <c r="U839" s="105"/>
      <c r="V839" s="262"/>
      <c r="W839" s="121"/>
      <c r="X839" s="121"/>
      <c r="Y839" s="121"/>
      <c r="Z839" s="121"/>
      <c r="AA839" s="121"/>
      <c r="AB839" s="121"/>
      <c r="AC839" s="121"/>
      <c r="AD839" s="121"/>
      <c r="AE839" s="121"/>
      <c r="AF839" s="121"/>
      <c r="AG839" s="121"/>
      <c r="AH839" s="121"/>
      <c r="AI839" s="121"/>
    </row>
    <row r="840" spans="1:35" s="115" customFormat="1" ht="14.4">
      <c r="A840" s="187"/>
      <c r="B840" s="190"/>
      <c r="C840" s="190"/>
      <c r="D840" s="69"/>
      <c r="E840" s="69"/>
      <c r="F840" s="149"/>
      <c r="G840" s="146"/>
      <c r="H840" s="98"/>
      <c r="I840" s="218"/>
      <c r="J840" s="218"/>
      <c r="K840" s="218"/>
      <c r="L840" s="218"/>
      <c r="M840" s="218"/>
      <c r="N840" s="226"/>
      <c r="O840" s="226"/>
      <c r="P840" s="226"/>
      <c r="Q840" s="111"/>
      <c r="R840" s="111"/>
      <c r="S840" s="111"/>
      <c r="T840" s="230"/>
      <c r="U840" s="105"/>
      <c r="V840" s="262"/>
      <c r="W840" s="121"/>
      <c r="X840" s="121"/>
      <c r="Y840" s="121"/>
      <c r="Z840" s="121"/>
      <c r="AA840" s="121"/>
      <c r="AB840" s="121"/>
      <c r="AC840" s="121"/>
      <c r="AD840" s="121"/>
      <c r="AE840" s="121"/>
      <c r="AF840" s="121"/>
      <c r="AG840" s="121"/>
      <c r="AH840" s="121"/>
      <c r="AI840" s="121"/>
    </row>
    <row r="841" spans="1:35" s="115" customFormat="1" ht="14.4">
      <c r="A841" s="187"/>
      <c r="B841" s="190"/>
      <c r="C841" s="190"/>
      <c r="D841" s="69"/>
      <c r="E841" s="69"/>
      <c r="F841" s="149"/>
      <c r="G841" s="146"/>
      <c r="H841" s="98"/>
      <c r="I841" s="218"/>
      <c r="J841" s="218"/>
      <c r="K841" s="218"/>
      <c r="L841" s="218"/>
      <c r="M841" s="218"/>
      <c r="N841" s="226"/>
      <c r="O841" s="226"/>
      <c r="P841" s="226"/>
      <c r="Q841" s="111"/>
      <c r="R841" s="111"/>
      <c r="S841" s="111"/>
      <c r="T841" s="230"/>
      <c r="U841" s="105"/>
      <c r="V841" s="262"/>
      <c r="W841" s="121"/>
      <c r="X841" s="121"/>
      <c r="Y841" s="121"/>
      <c r="Z841" s="121"/>
      <c r="AA841" s="121"/>
      <c r="AB841" s="121"/>
      <c r="AC841" s="121"/>
      <c r="AD841" s="121"/>
      <c r="AE841" s="121"/>
      <c r="AF841" s="121"/>
      <c r="AG841" s="121"/>
      <c r="AH841" s="121"/>
      <c r="AI841" s="121"/>
    </row>
    <row r="842" spans="1:35" s="115" customFormat="1" ht="14.4">
      <c r="A842" s="187"/>
      <c r="B842" s="190"/>
      <c r="C842" s="190"/>
      <c r="D842" s="69"/>
      <c r="E842" s="69"/>
      <c r="F842" s="149"/>
      <c r="G842" s="146"/>
      <c r="H842" s="98"/>
      <c r="I842" s="218"/>
      <c r="J842" s="218"/>
      <c r="K842" s="218"/>
      <c r="L842" s="218"/>
      <c r="M842" s="218"/>
      <c r="N842" s="226"/>
      <c r="O842" s="226"/>
      <c r="P842" s="226"/>
      <c r="Q842" s="111"/>
      <c r="R842" s="111"/>
      <c r="S842" s="111"/>
      <c r="T842" s="230"/>
      <c r="U842" s="105"/>
      <c r="V842" s="262"/>
      <c r="W842" s="121"/>
      <c r="X842" s="121"/>
      <c r="Y842" s="121"/>
      <c r="Z842" s="121"/>
      <c r="AA842" s="121"/>
      <c r="AB842" s="121"/>
      <c r="AC842" s="121"/>
      <c r="AD842" s="121"/>
      <c r="AE842" s="121"/>
      <c r="AF842" s="121"/>
      <c r="AG842" s="121"/>
      <c r="AH842" s="121"/>
      <c r="AI842" s="121"/>
    </row>
    <row r="843" spans="1:35" s="115" customFormat="1" ht="14.4">
      <c r="A843" s="187"/>
      <c r="B843" s="190"/>
      <c r="C843" s="190"/>
      <c r="D843" s="69"/>
      <c r="E843" s="69"/>
      <c r="F843" s="149"/>
      <c r="G843" s="146"/>
      <c r="H843" s="98"/>
      <c r="I843" s="99"/>
      <c r="J843" s="99"/>
      <c r="K843" s="99"/>
      <c r="L843" s="99"/>
      <c r="M843" s="99"/>
      <c r="N843" s="99"/>
      <c r="O843" s="99"/>
      <c r="P843" s="99"/>
      <c r="Q843" s="99"/>
      <c r="R843" s="99"/>
      <c r="S843" s="99"/>
      <c r="T843" s="99"/>
      <c r="U843" s="105"/>
      <c r="V843" s="262"/>
      <c r="W843" s="121"/>
      <c r="X843" s="121"/>
      <c r="Y843" s="121"/>
      <c r="Z843" s="121"/>
      <c r="AA843" s="121"/>
      <c r="AB843" s="121"/>
      <c r="AC843" s="121"/>
      <c r="AD843" s="121"/>
      <c r="AE843" s="121"/>
      <c r="AF843" s="121"/>
      <c r="AG843" s="121"/>
      <c r="AH843" s="121"/>
      <c r="AI843" s="121"/>
    </row>
    <row r="844" spans="1:35" s="115" customFormat="1" ht="14.4">
      <c r="A844" s="187"/>
      <c r="B844" s="190"/>
      <c r="C844" s="190"/>
      <c r="D844" s="69"/>
      <c r="E844" s="69"/>
      <c r="F844" s="149"/>
      <c r="G844" s="146"/>
      <c r="H844" s="107"/>
      <c r="I844" s="108"/>
      <c r="J844" s="108"/>
      <c r="K844" s="108"/>
      <c r="L844" s="108"/>
      <c r="M844" s="108"/>
      <c r="N844" s="108"/>
      <c r="O844" s="108"/>
      <c r="P844" s="108"/>
      <c r="Q844" s="108"/>
      <c r="R844" s="108"/>
      <c r="S844" s="108"/>
      <c r="T844" s="108"/>
      <c r="U844" s="105"/>
      <c r="V844" s="262"/>
      <c r="W844" s="121"/>
      <c r="X844" s="121"/>
      <c r="Y844" s="121"/>
      <c r="Z844" s="121"/>
      <c r="AA844" s="121"/>
      <c r="AB844" s="121"/>
      <c r="AC844" s="121"/>
      <c r="AD844" s="121"/>
      <c r="AE844" s="121"/>
      <c r="AF844" s="121"/>
      <c r="AG844" s="121"/>
      <c r="AH844" s="121"/>
      <c r="AI844" s="121"/>
    </row>
    <row r="845" spans="1:35" s="115" customFormat="1" ht="14.4">
      <c r="A845" s="187"/>
      <c r="B845" s="190"/>
      <c r="C845" s="190"/>
      <c r="D845" s="69"/>
      <c r="E845" s="69"/>
      <c r="F845" s="149"/>
      <c r="G845" s="146"/>
      <c r="H845" s="98"/>
      <c r="I845" s="218"/>
      <c r="J845" s="218"/>
      <c r="K845" s="218"/>
      <c r="L845" s="218"/>
      <c r="M845" s="218"/>
      <c r="N845" s="226"/>
      <c r="O845" s="226"/>
      <c r="P845" s="226"/>
      <c r="Q845" s="111"/>
      <c r="R845" s="111"/>
      <c r="S845" s="111"/>
      <c r="T845" s="230"/>
      <c r="U845" s="105"/>
      <c r="V845" s="262"/>
      <c r="W845" s="121"/>
      <c r="X845" s="121"/>
      <c r="Y845" s="121"/>
      <c r="Z845" s="121"/>
      <c r="AA845" s="121"/>
      <c r="AB845" s="121"/>
      <c r="AC845" s="121"/>
      <c r="AD845" s="121"/>
      <c r="AE845" s="121"/>
      <c r="AF845" s="121"/>
      <c r="AG845" s="121"/>
      <c r="AH845" s="121"/>
      <c r="AI845" s="121"/>
    </row>
    <row r="846" spans="1:35" s="115" customFormat="1" ht="14.4">
      <c r="A846" s="187"/>
      <c r="B846" s="190"/>
      <c r="C846" s="190"/>
      <c r="D846" s="69"/>
      <c r="E846" s="69"/>
      <c r="F846" s="149"/>
      <c r="G846" s="146"/>
      <c r="H846" s="114"/>
      <c r="I846" s="221"/>
      <c r="J846" s="221"/>
      <c r="K846" s="221"/>
      <c r="L846" s="221"/>
      <c r="M846" s="221"/>
      <c r="N846" s="221"/>
      <c r="O846" s="221"/>
      <c r="P846" s="221"/>
      <c r="Q846" s="221"/>
      <c r="R846" s="221"/>
      <c r="S846" s="221"/>
      <c r="T846" s="221"/>
      <c r="U846" s="105"/>
      <c r="V846" s="262"/>
      <c r="W846" s="121"/>
      <c r="X846" s="121"/>
      <c r="Y846" s="121"/>
      <c r="Z846" s="121"/>
      <c r="AA846" s="121"/>
      <c r="AB846" s="121"/>
      <c r="AC846" s="121"/>
      <c r="AD846" s="121"/>
      <c r="AE846" s="121"/>
      <c r="AF846" s="121"/>
      <c r="AG846" s="121"/>
      <c r="AH846" s="121"/>
      <c r="AI846" s="121"/>
    </row>
    <row r="847" spans="1:35" s="115" customFormat="1" ht="15" thickBot="1">
      <c r="A847" s="187"/>
      <c r="B847" s="190"/>
      <c r="C847" s="190"/>
      <c r="D847" s="69"/>
      <c r="E847" s="69"/>
      <c r="F847" s="149"/>
      <c r="G847" s="146"/>
      <c r="H847" s="98"/>
      <c r="I847" s="218"/>
      <c r="J847" s="218"/>
      <c r="K847" s="218"/>
      <c r="L847" s="218"/>
      <c r="M847" s="218"/>
      <c r="N847" s="96"/>
      <c r="O847" s="96"/>
      <c r="P847" s="96"/>
      <c r="Q847" s="212"/>
      <c r="R847" s="212"/>
      <c r="S847" s="212"/>
      <c r="T847" s="212"/>
      <c r="U847" s="105"/>
      <c r="V847" s="262"/>
      <c r="W847" s="121"/>
      <c r="X847" s="121"/>
      <c r="Y847" s="121"/>
      <c r="Z847" s="121"/>
      <c r="AA847" s="121"/>
      <c r="AB847" s="121"/>
      <c r="AC847" s="121"/>
      <c r="AD847" s="121"/>
      <c r="AE847" s="121"/>
      <c r="AF847" s="121"/>
      <c r="AG847" s="121"/>
      <c r="AH847" s="121"/>
      <c r="AI847" s="121"/>
    </row>
    <row r="848" spans="1:35" s="115" customFormat="1" ht="23.4" thickBot="1">
      <c r="A848" s="187"/>
      <c r="B848" s="190"/>
      <c r="C848" s="190"/>
      <c r="D848" s="69"/>
      <c r="E848" s="69"/>
      <c r="F848" s="149"/>
      <c r="G848" s="146"/>
      <c r="H848" s="686"/>
      <c r="I848" s="687"/>
      <c r="J848" s="687"/>
      <c r="K848" s="687"/>
      <c r="L848" s="687"/>
      <c r="M848" s="687"/>
      <c r="N848" s="687"/>
      <c r="O848" s="687"/>
      <c r="P848" s="687"/>
      <c r="Q848" s="687"/>
      <c r="R848" s="687"/>
      <c r="S848" s="687"/>
      <c r="T848" s="688"/>
      <c r="U848" s="105"/>
      <c r="V848" s="262"/>
      <c r="W848" s="121"/>
      <c r="X848" s="121"/>
      <c r="Y848" s="121"/>
      <c r="Z848" s="121"/>
      <c r="AA848" s="121"/>
      <c r="AB848" s="121"/>
      <c r="AC848" s="121"/>
      <c r="AD848" s="121"/>
      <c r="AE848" s="121"/>
      <c r="AF848" s="121"/>
      <c r="AG848" s="121"/>
      <c r="AH848" s="121"/>
      <c r="AI848" s="121"/>
    </row>
    <row r="849" spans="1:35" s="115" customFormat="1" ht="22.8">
      <c r="A849" s="187"/>
      <c r="B849" s="190"/>
      <c r="C849" s="190"/>
      <c r="D849" s="69"/>
      <c r="E849" s="69"/>
      <c r="F849" s="149"/>
      <c r="G849" s="146"/>
      <c r="H849" s="225"/>
      <c r="I849" s="225"/>
      <c r="J849" s="225"/>
      <c r="K849" s="225"/>
      <c r="L849" s="225"/>
      <c r="M849" s="225"/>
      <c r="N849" s="225"/>
      <c r="O849" s="225"/>
      <c r="P849" s="225"/>
      <c r="Q849" s="225"/>
      <c r="R849" s="225"/>
      <c r="S849" s="225"/>
      <c r="T849" s="225"/>
      <c r="U849" s="105"/>
      <c r="V849" s="262"/>
      <c r="W849" s="121"/>
      <c r="X849" s="121"/>
      <c r="Y849" s="121"/>
      <c r="Z849" s="121"/>
      <c r="AA849" s="121"/>
      <c r="AB849" s="121"/>
      <c r="AC849" s="121"/>
      <c r="AD849" s="121"/>
      <c r="AE849" s="121"/>
      <c r="AF849" s="121"/>
      <c r="AG849" s="121"/>
      <c r="AH849" s="121"/>
      <c r="AI849" s="121"/>
    </row>
    <row r="850" spans="1:35" s="115" customFormat="1" ht="14.4">
      <c r="A850" s="187"/>
      <c r="B850" s="190"/>
      <c r="C850" s="190"/>
      <c r="D850" s="69"/>
      <c r="E850" s="69"/>
      <c r="F850" s="149"/>
      <c r="G850" s="146"/>
      <c r="H850" s="98"/>
      <c r="I850" s="99"/>
      <c r="J850" s="99"/>
      <c r="K850" s="99"/>
      <c r="L850" s="99"/>
      <c r="M850" s="99"/>
      <c r="N850" s="99"/>
      <c r="O850" s="99"/>
      <c r="P850" s="99"/>
      <c r="Q850" s="99"/>
      <c r="R850" s="99"/>
      <c r="S850" s="99"/>
      <c r="T850" s="99"/>
      <c r="U850" s="105"/>
      <c r="V850" s="262"/>
      <c r="W850" s="121"/>
      <c r="X850" s="121"/>
      <c r="Y850" s="121"/>
      <c r="Z850" s="121"/>
      <c r="AA850" s="121"/>
      <c r="AB850" s="121"/>
      <c r="AC850" s="121"/>
      <c r="AD850" s="121"/>
      <c r="AE850" s="121"/>
      <c r="AF850" s="121"/>
      <c r="AG850" s="121"/>
      <c r="AH850" s="121"/>
      <c r="AI850" s="121"/>
    </row>
    <row r="851" spans="1:35" s="115" customFormat="1" ht="14.4">
      <c r="A851" s="187"/>
      <c r="B851" s="190"/>
      <c r="C851" s="190"/>
      <c r="D851" s="69"/>
      <c r="E851" s="69"/>
      <c r="F851" s="149"/>
      <c r="G851" s="146"/>
      <c r="H851" s="98"/>
      <c r="I851" s="99"/>
      <c r="J851" s="99"/>
      <c r="K851" s="99"/>
      <c r="L851" s="99"/>
      <c r="M851" s="99"/>
      <c r="N851" s="99"/>
      <c r="O851" s="99"/>
      <c r="P851" s="99"/>
      <c r="Q851" s="99"/>
      <c r="R851" s="99"/>
      <c r="S851" s="99"/>
      <c r="T851" s="99"/>
      <c r="U851" s="105"/>
      <c r="V851" s="262"/>
      <c r="W851" s="121"/>
      <c r="X851" s="121"/>
      <c r="Y851" s="121"/>
      <c r="Z851" s="121"/>
      <c r="AA851" s="121"/>
      <c r="AB851" s="121"/>
      <c r="AC851" s="121"/>
      <c r="AD851" s="121"/>
      <c r="AE851" s="121"/>
      <c r="AF851" s="121"/>
      <c r="AG851" s="121"/>
      <c r="AH851" s="121"/>
      <c r="AI851" s="121"/>
    </row>
    <row r="852" spans="1:35" s="115" customFormat="1" ht="14.4">
      <c r="A852" s="187"/>
      <c r="B852" s="190"/>
      <c r="C852" s="190"/>
      <c r="D852" s="69"/>
      <c r="E852" s="69"/>
      <c r="F852" s="149"/>
      <c r="G852" s="146"/>
      <c r="H852" s="98"/>
      <c r="I852" s="99"/>
      <c r="J852" s="99"/>
      <c r="K852" s="99"/>
      <c r="L852" s="99"/>
      <c r="M852" s="99"/>
      <c r="N852" s="99"/>
      <c r="O852" s="99"/>
      <c r="P852" s="99"/>
      <c r="Q852" s="99"/>
      <c r="R852" s="99"/>
      <c r="S852" s="99"/>
      <c r="T852" s="99"/>
      <c r="U852" s="105"/>
      <c r="V852" s="262"/>
      <c r="W852" s="121"/>
      <c r="X852" s="121"/>
      <c r="Y852" s="121"/>
      <c r="Z852" s="121"/>
      <c r="AA852" s="121"/>
      <c r="AB852" s="121"/>
      <c r="AC852" s="121"/>
      <c r="AD852" s="121"/>
      <c r="AE852" s="121"/>
      <c r="AF852" s="121"/>
      <c r="AG852" s="121"/>
      <c r="AH852" s="121"/>
      <c r="AI852" s="121"/>
    </row>
    <row r="853" spans="1:35" s="115" customFormat="1" ht="14.4">
      <c r="A853" s="187"/>
      <c r="B853" s="190"/>
      <c r="C853" s="190"/>
      <c r="D853" s="69"/>
      <c r="E853" s="69"/>
      <c r="F853" s="149"/>
      <c r="G853" s="146"/>
      <c r="H853" s="98"/>
      <c r="I853" s="99"/>
      <c r="J853" s="99"/>
      <c r="K853" s="99"/>
      <c r="L853" s="99"/>
      <c r="M853" s="99"/>
      <c r="N853" s="99"/>
      <c r="O853" s="99"/>
      <c r="P853" s="99"/>
      <c r="Q853" s="99"/>
      <c r="R853" s="99"/>
      <c r="S853" s="99"/>
      <c r="T853" s="99"/>
      <c r="U853" s="105"/>
      <c r="V853" s="262"/>
      <c r="W853" s="121"/>
      <c r="X853" s="121"/>
      <c r="Y853" s="121"/>
      <c r="Z853" s="121"/>
      <c r="AA853" s="121"/>
      <c r="AB853" s="121"/>
      <c r="AC853" s="121"/>
      <c r="AD853" s="121"/>
      <c r="AE853" s="121"/>
      <c r="AF853" s="121"/>
      <c r="AG853" s="121"/>
      <c r="AH853" s="121"/>
      <c r="AI853" s="121"/>
    </row>
    <row r="854" spans="1:35" s="115" customFormat="1" ht="14.4">
      <c r="A854" s="187"/>
      <c r="B854" s="190"/>
      <c r="C854" s="190"/>
      <c r="D854" s="69"/>
      <c r="E854" s="69"/>
      <c r="F854" s="149"/>
      <c r="G854" s="146"/>
      <c r="H854" s="98"/>
      <c r="I854" s="99"/>
      <c r="J854" s="99"/>
      <c r="K854" s="99"/>
      <c r="L854" s="99"/>
      <c r="M854" s="99"/>
      <c r="N854" s="99"/>
      <c r="O854" s="99"/>
      <c r="P854" s="99"/>
      <c r="Q854" s="99"/>
      <c r="R854" s="99"/>
      <c r="S854" s="99"/>
      <c r="T854" s="99"/>
      <c r="U854" s="105"/>
      <c r="V854" s="262"/>
      <c r="W854" s="121"/>
      <c r="X854" s="121"/>
      <c r="Y854" s="121"/>
      <c r="Z854" s="121"/>
      <c r="AA854" s="121"/>
      <c r="AB854" s="121"/>
      <c r="AC854" s="121"/>
      <c r="AD854" s="121"/>
      <c r="AE854" s="121"/>
      <c r="AF854" s="121"/>
      <c r="AG854" s="121"/>
      <c r="AH854" s="121"/>
      <c r="AI854" s="121"/>
    </row>
    <row r="855" spans="1:35" s="115" customFormat="1" ht="14.4">
      <c r="A855" s="187"/>
      <c r="B855" s="190"/>
      <c r="C855" s="190"/>
      <c r="D855" s="69"/>
      <c r="E855" s="69"/>
      <c r="F855" s="149"/>
      <c r="G855" s="146"/>
      <c r="H855" s="98"/>
      <c r="I855" s="99"/>
      <c r="J855" s="99"/>
      <c r="K855" s="99"/>
      <c r="L855" s="99"/>
      <c r="M855" s="99"/>
      <c r="N855" s="99"/>
      <c r="O855" s="99"/>
      <c r="P855" s="99"/>
      <c r="Q855" s="99"/>
      <c r="R855" s="99"/>
      <c r="S855" s="99"/>
      <c r="T855" s="99"/>
      <c r="U855" s="105"/>
      <c r="V855" s="262"/>
      <c r="W855" s="121"/>
      <c r="X855" s="121"/>
      <c r="Y855" s="121"/>
      <c r="Z855" s="121"/>
      <c r="AA855" s="121"/>
      <c r="AB855" s="121"/>
      <c r="AC855" s="121"/>
      <c r="AD855" s="121"/>
      <c r="AE855" s="121"/>
      <c r="AF855" s="121"/>
      <c r="AG855" s="121"/>
      <c r="AH855" s="121"/>
      <c r="AI855" s="121"/>
    </row>
    <row r="856" spans="1:35" s="115" customFormat="1" ht="14.4">
      <c r="A856" s="187"/>
      <c r="B856" s="190"/>
      <c r="C856" s="190"/>
      <c r="D856" s="69"/>
      <c r="E856" s="69"/>
      <c r="F856" s="149"/>
      <c r="G856" s="146"/>
      <c r="H856" s="98"/>
      <c r="I856" s="99"/>
      <c r="J856" s="99"/>
      <c r="K856" s="99"/>
      <c r="L856" s="99"/>
      <c r="M856" s="99"/>
      <c r="N856" s="99"/>
      <c r="O856" s="99"/>
      <c r="P856" s="99"/>
      <c r="Q856" s="99"/>
      <c r="R856" s="99"/>
      <c r="S856" s="99"/>
      <c r="T856" s="99"/>
      <c r="U856" s="105"/>
      <c r="V856" s="262"/>
      <c r="W856" s="121"/>
      <c r="X856" s="121"/>
      <c r="Y856" s="121"/>
      <c r="Z856" s="121"/>
      <c r="AA856" s="121"/>
      <c r="AB856" s="121"/>
      <c r="AC856" s="121"/>
      <c r="AD856" s="121"/>
      <c r="AE856" s="121"/>
      <c r="AF856" s="121"/>
      <c r="AG856" s="121"/>
      <c r="AH856" s="121"/>
      <c r="AI856" s="121"/>
    </row>
    <row r="857" spans="1:35" s="115" customFormat="1" ht="14.4">
      <c r="A857" s="187"/>
      <c r="B857" s="190"/>
      <c r="C857" s="190"/>
      <c r="D857" s="69"/>
      <c r="E857" s="69"/>
      <c r="F857" s="149"/>
      <c r="G857" s="146"/>
      <c r="H857" s="98"/>
      <c r="I857" s="99"/>
      <c r="J857" s="99"/>
      <c r="K857" s="99"/>
      <c r="L857" s="99"/>
      <c r="M857" s="99"/>
      <c r="N857" s="99"/>
      <c r="O857" s="99"/>
      <c r="P857" s="99"/>
      <c r="Q857" s="99"/>
      <c r="R857" s="99"/>
      <c r="S857" s="99"/>
      <c r="T857" s="99"/>
      <c r="U857" s="105"/>
      <c r="V857" s="262"/>
      <c r="W857" s="121"/>
      <c r="X857" s="121"/>
      <c r="Y857" s="121"/>
      <c r="Z857" s="121"/>
      <c r="AA857" s="121"/>
      <c r="AB857" s="121"/>
      <c r="AC857" s="121"/>
      <c r="AD857" s="121"/>
      <c r="AE857" s="121"/>
      <c r="AF857" s="121"/>
      <c r="AG857" s="121"/>
      <c r="AH857" s="121"/>
      <c r="AI857" s="121"/>
    </row>
    <row r="858" spans="1:35" s="115" customFormat="1" ht="14.4">
      <c r="A858" s="187"/>
      <c r="B858" s="190"/>
      <c r="C858" s="190"/>
      <c r="D858" s="69"/>
      <c r="E858" s="69"/>
      <c r="F858" s="149"/>
      <c r="G858" s="146"/>
      <c r="H858" s="98"/>
      <c r="I858" s="99"/>
      <c r="J858" s="99"/>
      <c r="K858" s="99"/>
      <c r="L858" s="99"/>
      <c r="M858" s="99"/>
      <c r="N858" s="99"/>
      <c r="O858" s="99"/>
      <c r="P858" s="99"/>
      <c r="Q858" s="99"/>
      <c r="R858" s="99"/>
      <c r="S858" s="99"/>
      <c r="T858" s="99"/>
      <c r="U858" s="105"/>
      <c r="V858" s="262"/>
      <c r="W858" s="121"/>
      <c r="X858" s="121"/>
      <c r="Y858" s="121"/>
      <c r="Z858" s="121"/>
      <c r="AA858" s="121"/>
      <c r="AB858" s="121"/>
      <c r="AC858" s="121"/>
      <c r="AD858" s="121"/>
      <c r="AE858" s="121"/>
      <c r="AF858" s="121"/>
      <c r="AG858" s="121"/>
      <c r="AH858" s="121"/>
      <c r="AI858" s="121"/>
    </row>
    <row r="859" spans="1:35" s="115" customFormat="1" ht="14.4">
      <c r="A859" s="187"/>
      <c r="B859" s="190"/>
      <c r="C859" s="190"/>
      <c r="D859" s="69"/>
      <c r="E859" s="69"/>
      <c r="F859" s="149"/>
      <c r="G859" s="146"/>
      <c r="H859" s="107"/>
      <c r="I859" s="108"/>
      <c r="J859" s="108"/>
      <c r="K859" s="108"/>
      <c r="L859" s="108"/>
      <c r="M859" s="108"/>
      <c r="N859" s="108"/>
      <c r="O859" s="108"/>
      <c r="P859" s="108"/>
      <c r="Q859" s="108"/>
      <c r="R859" s="108"/>
      <c r="S859" s="108"/>
      <c r="T859" s="108"/>
      <c r="U859" s="105"/>
      <c r="V859" s="262"/>
      <c r="W859" s="121"/>
      <c r="X859" s="121"/>
      <c r="Y859" s="121"/>
      <c r="Z859" s="121"/>
      <c r="AA859" s="121"/>
      <c r="AB859" s="121"/>
      <c r="AC859" s="121"/>
      <c r="AD859" s="121"/>
      <c r="AE859" s="121"/>
      <c r="AF859" s="121"/>
      <c r="AG859" s="121"/>
      <c r="AH859" s="121"/>
      <c r="AI859" s="121"/>
    </row>
    <row r="860" spans="1:35" s="115" customFormat="1" ht="14.4">
      <c r="A860" s="187"/>
      <c r="B860" s="190"/>
      <c r="C860" s="190"/>
      <c r="D860" s="69"/>
      <c r="E860" s="69"/>
      <c r="F860" s="149"/>
      <c r="G860" s="146"/>
      <c r="H860" s="232"/>
      <c r="I860" s="233"/>
      <c r="J860" s="233"/>
      <c r="K860" s="233"/>
      <c r="L860" s="233"/>
      <c r="M860" s="233"/>
      <c r="N860" s="233"/>
      <c r="O860" s="233"/>
      <c r="P860" s="233"/>
      <c r="Q860" s="233"/>
      <c r="R860" s="233"/>
      <c r="S860" s="233"/>
      <c r="T860" s="233"/>
      <c r="U860" s="105"/>
      <c r="V860" s="262"/>
      <c r="W860" s="121"/>
      <c r="X860" s="121"/>
      <c r="Y860" s="121"/>
      <c r="Z860" s="121"/>
      <c r="AA860" s="121"/>
      <c r="AB860" s="121"/>
      <c r="AC860" s="121"/>
      <c r="AD860" s="121"/>
      <c r="AE860" s="121"/>
      <c r="AF860" s="121"/>
      <c r="AG860" s="121"/>
      <c r="AH860" s="121"/>
      <c r="AI860" s="121"/>
    </row>
    <row r="861" spans="1:35" s="115" customFormat="1" ht="14.4">
      <c r="A861" s="187"/>
      <c r="B861" s="190"/>
      <c r="C861" s="190"/>
      <c r="D861" s="69"/>
      <c r="E861" s="69"/>
      <c r="F861" s="149"/>
      <c r="G861" s="146"/>
      <c r="H861" s="98"/>
      <c r="I861" s="99"/>
      <c r="J861" s="99"/>
      <c r="K861" s="99"/>
      <c r="L861" s="99"/>
      <c r="M861" s="99"/>
      <c r="N861" s="99"/>
      <c r="O861" s="99"/>
      <c r="P861" s="99"/>
      <c r="Q861" s="99"/>
      <c r="R861" s="99"/>
      <c r="S861" s="99"/>
      <c r="T861" s="99"/>
      <c r="U861" s="105"/>
      <c r="V861" s="262"/>
      <c r="W861" s="121"/>
      <c r="X861" s="121"/>
      <c r="Y861" s="121"/>
      <c r="Z861" s="121"/>
      <c r="AA861" s="121"/>
      <c r="AB861" s="121"/>
      <c r="AC861" s="121"/>
      <c r="AD861" s="121"/>
      <c r="AE861" s="121"/>
      <c r="AF861" s="121"/>
      <c r="AG861" s="121"/>
      <c r="AH861" s="121"/>
      <c r="AI861" s="121"/>
    </row>
    <row r="862" spans="1:35" s="115" customFormat="1" ht="14.4">
      <c r="A862" s="187"/>
      <c r="B862" s="190"/>
      <c r="C862" s="190"/>
      <c r="D862" s="69"/>
      <c r="E862" s="69"/>
      <c r="F862" s="149"/>
      <c r="G862" s="146"/>
      <c r="H862" s="98"/>
      <c r="I862" s="99"/>
      <c r="J862" s="99"/>
      <c r="K862" s="99"/>
      <c r="L862" s="99"/>
      <c r="M862" s="99"/>
      <c r="N862" s="99"/>
      <c r="O862" s="99"/>
      <c r="P862" s="99"/>
      <c r="Q862" s="99"/>
      <c r="R862" s="99"/>
      <c r="S862" s="99"/>
      <c r="T862" s="99"/>
      <c r="U862" s="105"/>
      <c r="V862" s="262"/>
      <c r="W862" s="121"/>
      <c r="X862" s="121"/>
      <c r="Y862" s="121"/>
      <c r="Z862" s="121"/>
      <c r="AA862" s="121"/>
      <c r="AB862" s="121"/>
      <c r="AC862" s="121"/>
      <c r="AD862" s="121"/>
      <c r="AE862" s="121"/>
      <c r="AF862" s="121"/>
      <c r="AG862" s="121"/>
      <c r="AH862" s="121"/>
      <c r="AI862" s="121"/>
    </row>
    <row r="863" spans="1:35" s="115" customFormat="1" ht="14.4">
      <c r="A863" s="187"/>
      <c r="B863" s="190"/>
      <c r="C863" s="190"/>
      <c r="D863" s="69"/>
      <c r="E863" s="69"/>
      <c r="F863" s="149"/>
      <c r="G863" s="146"/>
      <c r="H863" s="98"/>
      <c r="I863" s="99"/>
      <c r="J863" s="99"/>
      <c r="K863" s="99"/>
      <c r="L863" s="99"/>
      <c r="M863" s="99"/>
      <c r="N863" s="99"/>
      <c r="O863" s="99"/>
      <c r="P863" s="99"/>
      <c r="Q863" s="99"/>
      <c r="R863" s="99"/>
      <c r="S863" s="99"/>
      <c r="T863" s="99"/>
      <c r="U863" s="105"/>
      <c r="V863" s="262"/>
      <c r="W863" s="121"/>
      <c r="X863" s="121"/>
      <c r="Y863" s="121"/>
      <c r="Z863" s="121"/>
      <c r="AA863" s="121"/>
      <c r="AB863" s="121"/>
      <c r="AC863" s="121"/>
      <c r="AD863" s="121"/>
      <c r="AE863" s="121"/>
      <c r="AF863" s="121"/>
      <c r="AG863" s="121"/>
      <c r="AH863" s="121"/>
      <c r="AI863" s="121"/>
    </row>
    <row r="864" spans="1:35" s="115" customFormat="1" ht="14.4">
      <c r="A864" s="187"/>
      <c r="B864" s="190"/>
      <c r="C864" s="190"/>
      <c r="D864" s="69"/>
      <c r="E864" s="69"/>
      <c r="F864" s="149"/>
      <c r="G864" s="146"/>
      <c r="H864" s="98"/>
      <c r="I864" s="99"/>
      <c r="J864" s="99"/>
      <c r="K864" s="99"/>
      <c r="L864" s="99"/>
      <c r="M864" s="99"/>
      <c r="N864" s="99"/>
      <c r="O864" s="99"/>
      <c r="P864" s="99"/>
      <c r="Q864" s="99"/>
      <c r="R864" s="99"/>
      <c r="S864" s="99"/>
      <c r="T864" s="99"/>
      <c r="U864" s="105"/>
      <c r="V864" s="262"/>
      <c r="W864" s="121"/>
      <c r="X864" s="121"/>
      <c r="Y864" s="121"/>
      <c r="Z864" s="121"/>
      <c r="AA864" s="121"/>
      <c r="AB864" s="121"/>
      <c r="AC864" s="121"/>
      <c r="AD864" s="121"/>
      <c r="AE864" s="121"/>
      <c r="AF864" s="121"/>
      <c r="AG864" s="121"/>
      <c r="AH864" s="121"/>
      <c r="AI864" s="121"/>
    </row>
    <row r="865" spans="1:35" s="115" customFormat="1" ht="14.4">
      <c r="A865" s="187"/>
      <c r="B865" s="190"/>
      <c r="C865" s="190"/>
      <c r="D865" s="69"/>
      <c r="E865" s="69"/>
      <c r="F865" s="149"/>
      <c r="G865" s="146"/>
      <c r="H865" s="98"/>
      <c r="I865" s="99"/>
      <c r="J865" s="99"/>
      <c r="K865" s="99"/>
      <c r="L865" s="99"/>
      <c r="M865" s="99"/>
      <c r="N865" s="99"/>
      <c r="O865" s="99"/>
      <c r="P865" s="99"/>
      <c r="Q865" s="99"/>
      <c r="R865" s="99"/>
      <c r="S865" s="99"/>
      <c r="T865" s="99"/>
      <c r="U865" s="105"/>
      <c r="V865" s="262"/>
      <c r="W865" s="121"/>
      <c r="X865" s="121"/>
      <c r="Y865" s="121"/>
      <c r="Z865" s="121"/>
      <c r="AA865" s="121"/>
      <c r="AB865" s="121"/>
      <c r="AC865" s="121"/>
      <c r="AD865" s="121"/>
      <c r="AE865" s="121"/>
      <c r="AF865" s="121"/>
      <c r="AG865" s="121"/>
      <c r="AH865" s="121"/>
      <c r="AI865" s="121"/>
    </row>
    <row r="866" spans="1:35" s="115" customFormat="1" ht="14.4">
      <c r="A866" s="187"/>
      <c r="B866" s="190"/>
      <c r="C866" s="190"/>
      <c r="D866" s="69"/>
      <c r="E866" s="69"/>
      <c r="F866" s="149"/>
      <c r="G866" s="146"/>
      <c r="H866" s="98"/>
      <c r="I866" s="99"/>
      <c r="J866" s="99"/>
      <c r="K866" s="99"/>
      <c r="L866" s="99"/>
      <c r="M866" s="99"/>
      <c r="N866" s="99"/>
      <c r="O866" s="99"/>
      <c r="P866" s="99"/>
      <c r="Q866" s="99"/>
      <c r="R866" s="99"/>
      <c r="S866" s="99"/>
      <c r="T866" s="99"/>
      <c r="U866" s="105"/>
      <c r="V866" s="262"/>
      <c r="W866" s="121"/>
      <c r="X866" s="121"/>
      <c r="Y866" s="121"/>
      <c r="Z866" s="121"/>
      <c r="AA866" s="121"/>
      <c r="AB866" s="121"/>
      <c r="AC866" s="121"/>
      <c r="AD866" s="121"/>
      <c r="AE866" s="121"/>
      <c r="AF866" s="121"/>
      <c r="AG866" s="121"/>
      <c r="AH866" s="121"/>
      <c r="AI866" s="121"/>
    </row>
    <row r="867" spans="1:35" s="115" customFormat="1" ht="14.4">
      <c r="A867" s="187"/>
      <c r="B867" s="190"/>
      <c r="C867" s="190"/>
      <c r="D867" s="69"/>
      <c r="E867" s="69"/>
      <c r="F867" s="149"/>
      <c r="G867" s="146"/>
      <c r="H867" s="98"/>
      <c r="I867" s="99"/>
      <c r="J867" s="99"/>
      <c r="K867" s="99"/>
      <c r="L867" s="99"/>
      <c r="M867" s="99"/>
      <c r="N867" s="99"/>
      <c r="O867" s="99"/>
      <c r="P867" s="99"/>
      <c r="Q867" s="99"/>
      <c r="R867" s="99"/>
      <c r="S867" s="99"/>
      <c r="T867" s="99"/>
      <c r="U867" s="105"/>
      <c r="V867" s="262"/>
      <c r="W867" s="121"/>
      <c r="X867" s="121"/>
      <c r="Y867" s="121"/>
      <c r="Z867" s="121"/>
      <c r="AA867" s="121"/>
      <c r="AB867" s="121"/>
      <c r="AC867" s="121"/>
      <c r="AD867" s="121"/>
      <c r="AE867" s="121"/>
      <c r="AF867" s="121"/>
      <c r="AG867" s="121"/>
      <c r="AH867" s="121"/>
      <c r="AI867" s="121"/>
    </row>
    <row r="868" spans="1:35" s="115" customFormat="1" ht="14.4">
      <c r="A868" s="187"/>
      <c r="B868" s="190"/>
      <c r="C868" s="190"/>
      <c r="D868" s="69"/>
      <c r="E868" s="69"/>
      <c r="F868" s="149"/>
      <c r="G868" s="146"/>
      <c r="H868" s="98"/>
      <c r="I868" s="99"/>
      <c r="J868" s="99"/>
      <c r="K868" s="99"/>
      <c r="L868" s="99"/>
      <c r="M868" s="99"/>
      <c r="N868" s="99"/>
      <c r="O868" s="99"/>
      <c r="P868" s="99"/>
      <c r="Q868" s="99"/>
      <c r="R868" s="99"/>
      <c r="S868" s="99"/>
      <c r="T868" s="99"/>
      <c r="U868" s="105"/>
      <c r="V868" s="262"/>
      <c r="W868" s="121"/>
      <c r="X868" s="121"/>
      <c r="Y868" s="121"/>
      <c r="Z868" s="121"/>
      <c r="AA868" s="121"/>
      <c r="AB868" s="121"/>
      <c r="AC868" s="121"/>
      <c r="AD868" s="121"/>
      <c r="AE868" s="121"/>
      <c r="AF868" s="121"/>
      <c r="AG868" s="121"/>
      <c r="AH868" s="121"/>
      <c r="AI868" s="121"/>
    </row>
    <row r="869" spans="1:35" s="115" customFormat="1" ht="14.4">
      <c r="A869" s="187"/>
      <c r="B869" s="190"/>
      <c r="C869" s="190"/>
      <c r="D869" s="69"/>
      <c r="E869" s="69"/>
      <c r="F869" s="149"/>
      <c r="G869" s="146"/>
      <c r="H869" s="98"/>
      <c r="I869" s="99"/>
      <c r="J869" s="99"/>
      <c r="K869" s="99"/>
      <c r="L869" s="99"/>
      <c r="M869" s="99"/>
      <c r="N869" s="99"/>
      <c r="O869" s="99"/>
      <c r="P869" s="99"/>
      <c r="Q869" s="99"/>
      <c r="R869" s="99"/>
      <c r="S869" s="99"/>
      <c r="T869" s="99"/>
      <c r="U869" s="105"/>
      <c r="V869" s="262"/>
      <c r="W869" s="121"/>
      <c r="X869" s="121"/>
      <c r="Y869" s="121"/>
      <c r="Z869" s="121"/>
      <c r="AA869" s="121"/>
      <c r="AB869" s="121"/>
      <c r="AC869" s="121"/>
      <c r="AD869" s="121"/>
      <c r="AE869" s="121"/>
      <c r="AF869" s="121"/>
      <c r="AG869" s="121"/>
      <c r="AH869" s="121"/>
      <c r="AI869" s="121"/>
    </row>
    <row r="870" spans="1:35" s="115" customFormat="1" ht="14.4">
      <c r="A870" s="187"/>
      <c r="B870" s="190"/>
      <c r="C870" s="190"/>
      <c r="D870" s="69"/>
      <c r="E870" s="69"/>
      <c r="F870" s="149"/>
      <c r="G870" s="146"/>
      <c r="H870" s="107"/>
      <c r="I870" s="108"/>
      <c r="J870" s="108"/>
      <c r="K870" s="108"/>
      <c r="L870" s="108"/>
      <c r="M870" s="108"/>
      <c r="N870" s="108"/>
      <c r="O870" s="108"/>
      <c r="P870" s="108"/>
      <c r="Q870" s="108"/>
      <c r="R870" s="108"/>
      <c r="S870" s="108"/>
      <c r="T870" s="108"/>
      <c r="U870" s="105"/>
      <c r="V870" s="262"/>
      <c r="W870" s="121"/>
      <c r="X870" s="121"/>
      <c r="Y870" s="121"/>
      <c r="Z870" s="121"/>
      <c r="AA870" s="121"/>
      <c r="AB870" s="121"/>
      <c r="AC870" s="121"/>
      <c r="AD870" s="121"/>
      <c r="AE870" s="121"/>
      <c r="AF870" s="121"/>
      <c r="AG870" s="121"/>
      <c r="AH870" s="121"/>
      <c r="AI870" s="121"/>
    </row>
    <row r="871" spans="1:35" s="115" customFormat="1" ht="14.4">
      <c r="A871" s="187"/>
      <c r="B871" s="190"/>
      <c r="C871" s="190"/>
      <c r="D871" s="69"/>
      <c r="E871" s="69"/>
      <c r="F871" s="149"/>
      <c r="G871" s="146"/>
      <c r="H871" s="232"/>
      <c r="I871" s="233"/>
      <c r="J871" s="233"/>
      <c r="K871" s="233"/>
      <c r="L871" s="233"/>
      <c r="M871" s="233"/>
      <c r="N871" s="233"/>
      <c r="O871" s="233"/>
      <c r="P871" s="233"/>
      <c r="Q871" s="233"/>
      <c r="R871" s="233"/>
      <c r="S871" s="233"/>
      <c r="T871" s="233"/>
      <c r="U871" s="105"/>
      <c r="V871" s="262"/>
      <c r="W871" s="121"/>
      <c r="X871" s="121"/>
      <c r="Y871" s="121"/>
      <c r="Z871" s="121"/>
      <c r="AA871" s="121"/>
      <c r="AB871" s="121"/>
      <c r="AC871" s="121"/>
      <c r="AD871" s="121"/>
      <c r="AE871" s="121"/>
      <c r="AF871" s="121"/>
      <c r="AG871" s="121"/>
      <c r="AH871" s="121"/>
      <c r="AI871" s="121"/>
    </row>
    <row r="872" spans="1:35" s="115" customFormat="1" ht="14.4">
      <c r="A872" s="187"/>
      <c r="B872" s="190"/>
      <c r="C872" s="190"/>
      <c r="D872" s="69"/>
      <c r="E872" s="69"/>
      <c r="F872" s="149"/>
      <c r="G872" s="146"/>
      <c r="H872" s="98"/>
      <c r="I872" s="99"/>
      <c r="J872" s="99"/>
      <c r="K872" s="99"/>
      <c r="L872" s="99"/>
      <c r="M872" s="99"/>
      <c r="N872" s="99"/>
      <c r="O872" s="99"/>
      <c r="P872" s="99"/>
      <c r="Q872" s="99"/>
      <c r="R872" s="99"/>
      <c r="S872" s="99"/>
      <c r="T872" s="99"/>
      <c r="U872" s="105"/>
      <c r="V872" s="262"/>
      <c r="W872" s="121"/>
      <c r="X872" s="121"/>
      <c r="Y872" s="121"/>
      <c r="Z872" s="121"/>
      <c r="AA872" s="121"/>
      <c r="AB872" s="121"/>
      <c r="AC872" s="121"/>
      <c r="AD872" s="121"/>
      <c r="AE872" s="121"/>
      <c r="AF872" s="121"/>
      <c r="AG872" s="121"/>
      <c r="AH872" s="121"/>
      <c r="AI872" s="121"/>
    </row>
    <row r="873" spans="1:35" s="115" customFormat="1" ht="14.4">
      <c r="A873" s="187"/>
      <c r="B873" s="190"/>
      <c r="C873" s="190"/>
      <c r="D873" s="69"/>
      <c r="E873" s="69"/>
      <c r="F873" s="149"/>
      <c r="G873" s="146"/>
      <c r="H873" s="98"/>
      <c r="I873" s="99"/>
      <c r="J873" s="99"/>
      <c r="K873" s="99"/>
      <c r="L873" s="99"/>
      <c r="M873" s="99"/>
      <c r="N873" s="99"/>
      <c r="O873" s="99"/>
      <c r="P873" s="99"/>
      <c r="Q873" s="99"/>
      <c r="R873" s="99"/>
      <c r="S873" s="99"/>
      <c r="T873" s="99"/>
      <c r="U873" s="105"/>
      <c r="V873" s="262"/>
      <c r="W873" s="121"/>
      <c r="X873" s="121"/>
      <c r="Y873" s="121"/>
      <c r="Z873" s="121"/>
      <c r="AA873" s="121"/>
      <c r="AB873" s="121"/>
      <c r="AC873" s="121"/>
      <c r="AD873" s="121"/>
      <c r="AE873" s="121"/>
      <c r="AF873" s="121"/>
      <c r="AG873" s="121"/>
      <c r="AH873" s="121"/>
      <c r="AI873" s="121"/>
    </row>
    <row r="874" spans="1:35" s="115" customFormat="1" ht="14.4">
      <c r="A874" s="187"/>
      <c r="B874" s="190"/>
      <c r="C874" s="190"/>
      <c r="D874" s="69"/>
      <c r="E874" s="69"/>
      <c r="F874" s="149"/>
      <c r="G874" s="146"/>
      <c r="H874" s="98"/>
      <c r="I874" s="99"/>
      <c r="J874" s="99"/>
      <c r="K874" s="99"/>
      <c r="L874" s="99"/>
      <c r="M874" s="99"/>
      <c r="N874" s="99"/>
      <c r="O874" s="99"/>
      <c r="P874" s="99"/>
      <c r="Q874" s="99"/>
      <c r="R874" s="99"/>
      <c r="S874" s="99"/>
      <c r="T874" s="99"/>
      <c r="U874" s="105"/>
      <c r="V874" s="262"/>
      <c r="W874" s="121"/>
      <c r="X874" s="121"/>
      <c r="Y874" s="121"/>
      <c r="Z874" s="121"/>
      <c r="AA874" s="121"/>
      <c r="AB874" s="121"/>
      <c r="AC874" s="121"/>
      <c r="AD874" s="121"/>
      <c r="AE874" s="121"/>
      <c r="AF874" s="121"/>
      <c r="AG874" s="121"/>
      <c r="AH874" s="121"/>
      <c r="AI874" s="121"/>
    </row>
    <row r="875" spans="1:35" s="115" customFormat="1" ht="14.4">
      <c r="A875" s="187"/>
      <c r="B875" s="190"/>
      <c r="C875" s="190"/>
      <c r="D875" s="69"/>
      <c r="E875" s="69"/>
      <c r="F875" s="149"/>
      <c r="G875" s="146"/>
      <c r="H875" s="98"/>
      <c r="I875" s="99"/>
      <c r="J875" s="99"/>
      <c r="K875" s="99"/>
      <c r="L875" s="99"/>
      <c r="M875" s="99"/>
      <c r="N875" s="99"/>
      <c r="O875" s="99"/>
      <c r="P875" s="99"/>
      <c r="Q875" s="99"/>
      <c r="R875" s="99"/>
      <c r="S875" s="99"/>
      <c r="T875" s="99"/>
      <c r="U875" s="105"/>
      <c r="V875" s="262"/>
      <c r="W875" s="121"/>
      <c r="X875" s="121"/>
      <c r="Y875" s="121"/>
      <c r="Z875" s="121"/>
      <c r="AA875" s="121"/>
      <c r="AB875" s="121"/>
      <c r="AC875" s="121"/>
      <c r="AD875" s="121"/>
      <c r="AE875" s="121"/>
      <c r="AF875" s="121"/>
      <c r="AG875" s="121"/>
      <c r="AH875" s="121"/>
      <c r="AI875" s="121"/>
    </row>
    <row r="876" spans="1:35" s="115" customFormat="1" ht="14.4">
      <c r="A876" s="187"/>
      <c r="B876" s="190"/>
      <c r="C876" s="190"/>
      <c r="D876" s="69"/>
      <c r="E876" s="69"/>
      <c r="F876" s="149"/>
      <c r="G876" s="146"/>
      <c r="H876" s="98"/>
      <c r="I876" s="99"/>
      <c r="J876" s="99"/>
      <c r="K876" s="99"/>
      <c r="L876" s="99"/>
      <c r="M876" s="99"/>
      <c r="N876" s="99"/>
      <c r="O876" s="99"/>
      <c r="P876" s="99"/>
      <c r="Q876" s="99"/>
      <c r="R876" s="99"/>
      <c r="S876" s="99"/>
      <c r="T876" s="99"/>
      <c r="U876" s="105"/>
      <c r="V876" s="262"/>
      <c r="W876" s="121"/>
      <c r="X876" s="121"/>
      <c r="Y876" s="121"/>
      <c r="Z876" s="121"/>
      <c r="AA876" s="121"/>
      <c r="AB876" s="121"/>
      <c r="AC876" s="121"/>
      <c r="AD876" s="121"/>
      <c r="AE876" s="121"/>
      <c r="AF876" s="121"/>
      <c r="AG876" s="121"/>
      <c r="AH876" s="121"/>
      <c r="AI876" s="121"/>
    </row>
    <row r="877" spans="1:35" s="115" customFormat="1" ht="14.4">
      <c r="A877" s="187"/>
      <c r="B877" s="190"/>
      <c r="C877" s="190"/>
      <c r="D877" s="69"/>
      <c r="E877" s="69"/>
      <c r="F877" s="149"/>
      <c r="G877" s="146"/>
      <c r="H877" s="98"/>
      <c r="I877" s="99"/>
      <c r="J877" s="99"/>
      <c r="K877" s="99"/>
      <c r="L877" s="99"/>
      <c r="M877" s="99"/>
      <c r="N877" s="99"/>
      <c r="O877" s="99"/>
      <c r="P877" s="99"/>
      <c r="Q877" s="99"/>
      <c r="R877" s="99"/>
      <c r="S877" s="99"/>
      <c r="T877" s="99"/>
      <c r="U877" s="105"/>
      <c r="V877" s="262"/>
      <c r="W877" s="121"/>
      <c r="X877" s="121"/>
      <c r="Y877" s="121"/>
      <c r="Z877" s="121"/>
      <c r="AA877" s="121"/>
      <c r="AB877" s="121"/>
      <c r="AC877" s="121"/>
      <c r="AD877" s="121"/>
      <c r="AE877" s="121"/>
      <c r="AF877" s="121"/>
      <c r="AG877" s="121"/>
      <c r="AH877" s="121"/>
      <c r="AI877" s="121"/>
    </row>
    <row r="878" spans="1:35" s="115" customFormat="1" ht="14.4">
      <c r="A878" s="187"/>
      <c r="B878" s="190"/>
      <c r="C878" s="190"/>
      <c r="D878" s="69"/>
      <c r="E878" s="69"/>
      <c r="F878" s="149"/>
      <c r="G878" s="146"/>
      <c r="H878" s="98"/>
      <c r="I878" s="99"/>
      <c r="J878" s="99"/>
      <c r="K878" s="99"/>
      <c r="L878" s="99"/>
      <c r="M878" s="99"/>
      <c r="N878" s="99"/>
      <c r="O878" s="99"/>
      <c r="P878" s="99"/>
      <c r="Q878" s="99"/>
      <c r="R878" s="99"/>
      <c r="S878" s="99"/>
      <c r="T878" s="99"/>
      <c r="U878" s="105"/>
      <c r="V878" s="262"/>
      <c r="W878" s="121"/>
      <c r="X878" s="121"/>
      <c r="Y878" s="121"/>
      <c r="Z878" s="121"/>
      <c r="AA878" s="121"/>
      <c r="AB878" s="121"/>
      <c r="AC878" s="121"/>
      <c r="AD878" s="121"/>
      <c r="AE878" s="121"/>
      <c r="AF878" s="121"/>
      <c r="AG878" s="121"/>
      <c r="AH878" s="121"/>
      <c r="AI878" s="121"/>
    </row>
    <row r="879" spans="1:35" s="115" customFormat="1" ht="14.4">
      <c r="A879" s="187"/>
      <c r="B879" s="190"/>
      <c r="C879" s="190"/>
      <c r="D879" s="69"/>
      <c r="E879" s="69"/>
      <c r="F879" s="149"/>
      <c r="G879" s="146"/>
      <c r="H879" s="98"/>
      <c r="I879" s="99"/>
      <c r="J879" s="99"/>
      <c r="K879" s="99"/>
      <c r="L879" s="99"/>
      <c r="M879" s="99"/>
      <c r="N879" s="99"/>
      <c r="O879" s="99"/>
      <c r="P879" s="99"/>
      <c r="Q879" s="99"/>
      <c r="R879" s="99"/>
      <c r="S879" s="99"/>
      <c r="T879" s="99"/>
      <c r="U879" s="105"/>
      <c r="V879" s="262"/>
      <c r="W879" s="121"/>
      <c r="X879" s="121"/>
      <c r="Y879" s="121"/>
      <c r="Z879" s="121"/>
      <c r="AA879" s="121"/>
      <c r="AB879" s="121"/>
      <c r="AC879" s="121"/>
      <c r="AD879" s="121"/>
      <c r="AE879" s="121"/>
      <c r="AF879" s="121"/>
      <c r="AG879" s="121"/>
      <c r="AH879" s="121"/>
      <c r="AI879" s="121"/>
    </row>
    <row r="880" spans="1:35" s="115" customFormat="1" ht="14.4">
      <c r="A880" s="187"/>
      <c r="B880" s="190"/>
      <c r="C880" s="190"/>
      <c r="D880" s="69"/>
      <c r="E880" s="69"/>
      <c r="F880" s="149"/>
      <c r="G880" s="146"/>
      <c r="H880" s="98"/>
      <c r="I880" s="99"/>
      <c r="J880" s="99"/>
      <c r="K880" s="99"/>
      <c r="L880" s="99"/>
      <c r="M880" s="99"/>
      <c r="N880" s="99"/>
      <c r="O880" s="99"/>
      <c r="P880" s="99"/>
      <c r="Q880" s="99"/>
      <c r="R880" s="99"/>
      <c r="S880" s="99"/>
      <c r="T880" s="99"/>
      <c r="U880" s="105"/>
      <c r="V880" s="262"/>
      <c r="W880" s="121"/>
      <c r="X880" s="121"/>
      <c r="Y880" s="121"/>
      <c r="Z880" s="121"/>
      <c r="AA880" s="121"/>
      <c r="AB880" s="121"/>
      <c r="AC880" s="121"/>
      <c r="AD880" s="121"/>
      <c r="AE880" s="121"/>
      <c r="AF880" s="121"/>
      <c r="AG880" s="121"/>
      <c r="AH880" s="121"/>
      <c r="AI880" s="121"/>
    </row>
    <row r="881" spans="1:35" s="115" customFormat="1" ht="14.4">
      <c r="A881" s="187"/>
      <c r="B881" s="190"/>
      <c r="C881" s="190"/>
      <c r="D881" s="69"/>
      <c r="E881" s="69"/>
      <c r="F881" s="149"/>
      <c r="G881" s="146"/>
      <c r="H881" s="98"/>
      <c r="I881" s="99"/>
      <c r="J881" s="99"/>
      <c r="K881" s="99"/>
      <c r="L881" s="99"/>
      <c r="M881" s="99"/>
      <c r="N881" s="99"/>
      <c r="O881" s="99"/>
      <c r="P881" s="99"/>
      <c r="Q881" s="99"/>
      <c r="R881" s="99"/>
      <c r="S881" s="99"/>
      <c r="T881" s="99"/>
      <c r="U881" s="105"/>
      <c r="V881" s="262"/>
      <c r="W881" s="121"/>
      <c r="X881" s="121"/>
      <c r="Y881" s="121"/>
      <c r="Z881" s="121"/>
      <c r="AA881" s="121"/>
      <c r="AB881" s="121"/>
      <c r="AC881" s="121"/>
      <c r="AD881" s="121"/>
      <c r="AE881" s="121"/>
      <c r="AF881" s="121"/>
      <c r="AG881" s="121"/>
      <c r="AH881" s="121"/>
      <c r="AI881" s="121"/>
    </row>
    <row r="882" spans="1:35" s="115" customFormat="1" ht="14.4">
      <c r="A882" s="187"/>
      <c r="B882" s="190"/>
      <c r="C882" s="190"/>
      <c r="D882" s="69"/>
      <c r="E882" s="69"/>
      <c r="F882" s="149"/>
      <c r="G882" s="146"/>
      <c r="H882" s="98"/>
      <c r="I882" s="99"/>
      <c r="J882" s="99"/>
      <c r="K882" s="99"/>
      <c r="L882" s="99"/>
      <c r="M882" s="99"/>
      <c r="N882" s="99"/>
      <c r="O882" s="99"/>
      <c r="P882" s="99"/>
      <c r="Q882" s="99"/>
      <c r="R882" s="99"/>
      <c r="S882" s="99"/>
      <c r="T882" s="99"/>
      <c r="U882" s="105"/>
      <c r="V882" s="262"/>
      <c r="W882" s="121"/>
      <c r="X882" s="121"/>
      <c r="Y882" s="121"/>
      <c r="Z882" s="121"/>
      <c r="AA882" s="121"/>
      <c r="AB882" s="121"/>
      <c r="AC882" s="121"/>
      <c r="AD882" s="121"/>
      <c r="AE882" s="121"/>
      <c r="AF882" s="121"/>
      <c r="AG882" s="121"/>
      <c r="AH882" s="121"/>
      <c r="AI882" s="121"/>
    </row>
    <row r="883" spans="1:35" s="115" customFormat="1" ht="14.4">
      <c r="A883" s="187"/>
      <c r="B883" s="190"/>
      <c r="C883" s="190"/>
      <c r="D883" s="69"/>
      <c r="E883" s="69"/>
      <c r="F883" s="149"/>
      <c r="G883" s="146"/>
      <c r="H883" s="107"/>
      <c r="I883" s="108"/>
      <c r="J883" s="108"/>
      <c r="K883" s="108"/>
      <c r="L883" s="108"/>
      <c r="M883" s="108"/>
      <c r="N883" s="108"/>
      <c r="O883" s="108"/>
      <c r="P883" s="108"/>
      <c r="Q883" s="108"/>
      <c r="R883" s="108"/>
      <c r="S883" s="108"/>
      <c r="T883" s="108"/>
      <c r="U883" s="105"/>
      <c r="V883" s="262"/>
      <c r="W883" s="121"/>
      <c r="X883" s="121"/>
      <c r="Y883" s="121"/>
      <c r="Z883" s="121"/>
      <c r="AA883" s="121"/>
      <c r="AB883" s="121"/>
      <c r="AC883" s="121"/>
      <c r="AD883" s="121"/>
      <c r="AE883" s="121"/>
      <c r="AF883" s="121"/>
      <c r="AG883" s="121"/>
      <c r="AH883" s="121"/>
      <c r="AI883" s="121"/>
    </row>
    <row r="884" spans="1:35" s="115" customFormat="1" ht="14.4">
      <c r="A884" s="187"/>
      <c r="B884" s="190"/>
      <c r="C884" s="190"/>
      <c r="D884" s="69"/>
      <c r="E884" s="69"/>
      <c r="F884" s="149"/>
      <c r="G884" s="146"/>
      <c r="H884" s="98"/>
      <c r="I884" s="218"/>
      <c r="J884" s="218"/>
      <c r="K884" s="218"/>
      <c r="L884" s="218"/>
      <c r="M884" s="218"/>
      <c r="N884" s="226"/>
      <c r="O884" s="226"/>
      <c r="P884" s="226"/>
      <c r="Q884" s="111"/>
      <c r="R884" s="111"/>
      <c r="S884" s="111"/>
      <c r="T884" s="111"/>
      <c r="U884" s="105"/>
      <c r="V884" s="262"/>
      <c r="W884" s="121"/>
      <c r="X884" s="121"/>
      <c r="Y884" s="121"/>
      <c r="Z884" s="121"/>
      <c r="AA884" s="121"/>
      <c r="AB884" s="121"/>
      <c r="AC884" s="121"/>
      <c r="AD884" s="121"/>
      <c r="AE884" s="121"/>
      <c r="AF884" s="121"/>
      <c r="AG884" s="121"/>
      <c r="AH884" s="121"/>
      <c r="AI884" s="121"/>
    </row>
    <row r="885" spans="1:35" s="115" customFormat="1" ht="14.4">
      <c r="A885" s="187"/>
      <c r="B885" s="190"/>
      <c r="C885" s="190"/>
      <c r="D885" s="69"/>
      <c r="E885" s="69"/>
      <c r="F885" s="149"/>
      <c r="G885" s="146"/>
      <c r="H885" s="98"/>
      <c r="I885" s="99"/>
      <c r="J885" s="99"/>
      <c r="K885" s="99"/>
      <c r="L885" s="99"/>
      <c r="M885" s="99"/>
      <c r="N885" s="99"/>
      <c r="O885" s="99"/>
      <c r="P885" s="99"/>
      <c r="Q885" s="99"/>
      <c r="R885" s="99"/>
      <c r="S885" s="99"/>
      <c r="T885" s="99"/>
      <c r="U885" s="105"/>
      <c r="V885" s="262"/>
      <c r="W885" s="121"/>
      <c r="X885" s="121"/>
      <c r="Y885" s="121"/>
      <c r="Z885" s="121"/>
      <c r="AA885" s="121"/>
      <c r="AB885" s="121"/>
      <c r="AC885" s="121"/>
      <c r="AD885" s="121"/>
      <c r="AE885" s="121"/>
      <c r="AF885" s="121"/>
      <c r="AG885" s="121"/>
      <c r="AH885" s="121"/>
      <c r="AI885" s="121"/>
    </row>
    <row r="886" spans="1:35" s="115" customFormat="1" ht="14.4">
      <c r="A886" s="187"/>
      <c r="B886" s="190"/>
      <c r="C886" s="190"/>
      <c r="D886" s="69"/>
      <c r="E886" s="69"/>
      <c r="F886" s="149"/>
      <c r="G886" s="146"/>
      <c r="H886" s="98"/>
      <c r="I886" s="99"/>
      <c r="J886" s="99"/>
      <c r="K886" s="99"/>
      <c r="L886" s="99"/>
      <c r="M886" s="99"/>
      <c r="N886" s="99"/>
      <c r="O886" s="99"/>
      <c r="P886" s="99"/>
      <c r="Q886" s="99"/>
      <c r="R886" s="99"/>
      <c r="S886" s="99"/>
      <c r="T886" s="99"/>
      <c r="U886" s="105"/>
      <c r="V886" s="262"/>
      <c r="W886" s="121"/>
      <c r="X886" s="121"/>
      <c r="Y886" s="121"/>
      <c r="Z886" s="121"/>
      <c r="AA886" s="121"/>
      <c r="AB886" s="121"/>
      <c r="AC886" s="121"/>
      <c r="AD886" s="121"/>
      <c r="AE886" s="121"/>
      <c r="AF886" s="121"/>
      <c r="AG886" s="121"/>
      <c r="AH886" s="121"/>
      <c r="AI886" s="121"/>
    </row>
    <row r="887" spans="1:35" s="115" customFormat="1" ht="14.4">
      <c r="A887" s="187"/>
      <c r="B887" s="190"/>
      <c r="C887" s="190"/>
      <c r="D887" s="69"/>
      <c r="E887" s="69"/>
      <c r="F887" s="149"/>
      <c r="G887" s="146"/>
      <c r="H887" s="107"/>
      <c r="I887" s="108"/>
      <c r="J887" s="108"/>
      <c r="K887" s="108"/>
      <c r="L887" s="108"/>
      <c r="M887" s="108"/>
      <c r="N887" s="108"/>
      <c r="O887" s="108"/>
      <c r="P887" s="108"/>
      <c r="Q887" s="108"/>
      <c r="R887" s="108"/>
      <c r="S887" s="108"/>
      <c r="T887" s="108"/>
      <c r="U887" s="105"/>
      <c r="V887" s="262"/>
      <c r="W887" s="121"/>
      <c r="X887" s="121"/>
      <c r="Y887" s="121"/>
      <c r="Z887" s="121"/>
      <c r="AA887" s="121"/>
      <c r="AB887" s="121"/>
      <c r="AC887" s="121"/>
      <c r="AD887" s="121"/>
      <c r="AE887" s="121"/>
      <c r="AF887" s="121"/>
      <c r="AG887" s="121"/>
      <c r="AH887" s="121"/>
      <c r="AI887" s="121"/>
    </row>
    <row r="888" spans="1:35" s="115" customFormat="1" ht="14.4">
      <c r="A888" s="187"/>
      <c r="B888" s="190"/>
      <c r="C888" s="190"/>
      <c r="D888" s="69"/>
      <c r="E888" s="69"/>
      <c r="F888" s="149"/>
      <c r="G888" s="146"/>
      <c r="H888" s="98"/>
      <c r="I888" s="218"/>
      <c r="J888" s="218"/>
      <c r="K888" s="218"/>
      <c r="L888" s="218"/>
      <c r="M888" s="218"/>
      <c r="N888" s="226"/>
      <c r="O888" s="226"/>
      <c r="P888" s="226"/>
      <c r="Q888" s="111"/>
      <c r="R888" s="111"/>
      <c r="S888" s="111"/>
      <c r="T888" s="111"/>
      <c r="U888" s="105"/>
      <c r="V888" s="262"/>
      <c r="W888" s="121"/>
      <c r="X888" s="121"/>
      <c r="Y888" s="121"/>
      <c r="Z888" s="121"/>
      <c r="AA888" s="121"/>
      <c r="AB888" s="121"/>
      <c r="AC888" s="121"/>
      <c r="AD888" s="121"/>
      <c r="AE888" s="121"/>
      <c r="AF888" s="121"/>
      <c r="AG888" s="121"/>
      <c r="AH888" s="121"/>
      <c r="AI888" s="121"/>
    </row>
    <row r="889" spans="1:35" s="115" customFormat="1" ht="14.4">
      <c r="A889" s="187"/>
      <c r="B889" s="190"/>
      <c r="C889" s="190"/>
      <c r="D889" s="69"/>
      <c r="E889" s="69"/>
      <c r="F889" s="149"/>
      <c r="G889" s="146"/>
      <c r="H889" s="114"/>
      <c r="I889" s="221"/>
      <c r="J889" s="221"/>
      <c r="K889" s="221"/>
      <c r="L889" s="221"/>
      <c r="M889" s="221"/>
      <c r="N889" s="221"/>
      <c r="O889" s="221"/>
      <c r="P889" s="221"/>
      <c r="Q889" s="221"/>
      <c r="R889" s="221"/>
      <c r="S889" s="221"/>
      <c r="T889" s="221"/>
      <c r="U889" s="105"/>
      <c r="V889" s="262"/>
      <c r="W889" s="121"/>
      <c r="X889" s="121"/>
      <c r="Y889" s="121"/>
      <c r="Z889" s="121"/>
      <c r="AA889" s="121"/>
      <c r="AB889" s="121"/>
      <c r="AC889" s="121"/>
      <c r="AD889" s="121"/>
      <c r="AE889" s="121"/>
      <c r="AF889" s="121"/>
      <c r="AG889" s="121"/>
      <c r="AH889" s="121"/>
      <c r="AI889" s="121"/>
    </row>
    <row r="890" spans="1:35" s="115" customFormat="1" ht="15" thickBot="1">
      <c r="A890" s="187"/>
      <c r="B890" s="190"/>
      <c r="C890" s="190"/>
      <c r="D890" s="69"/>
      <c r="E890" s="69"/>
      <c r="F890" s="149"/>
      <c r="G890" s="146"/>
      <c r="H890" s="89"/>
      <c r="I890" s="223"/>
      <c r="J890" s="223"/>
      <c r="K890" s="223"/>
      <c r="L890" s="223"/>
      <c r="M890" s="223"/>
      <c r="N890" s="234"/>
      <c r="O890" s="234"/>
      <c r="P890" s="234"/>
      <c r="Q890" s="223"/>
      <c r="R890" s="223"/>
      <c r="S890" s="223"/>
      <c r="T890" s="223"/>
      <c r="U890" s="105"/>
      <c r="V890" s="262"/>
      <c r="W890" s="121"/>
      <c r="X890" s="121"/>
      <c r="Y890" s="121"/>
      <c r="Z890" s="121"/>
      <c r="AA890" s="121"/>
      <c r="AB890" s="121"/>
      <c r="AC890" s="121"/>
      <c r="AD890" s="121"/>
      <c r="AE890" s="121"/>
      <c r="AF890" s="121"/>
      <c r="AG890" s="121"/>
      <c r="AH890" s="121"/>
      <c r="AI890" s="121"/>
    </row>
    <row r="891" spans="1:35" s="115" customFormat="1" ht="23.4" thickBot="1">
      <c r="A891" s="187"/>
      <c r="B891" s="190"/>
      <c r="C891" s="190"/>
      <c r="D891" s="69"/>
      <c r="E891" s="69"/>
      <c r="F891" s="149"/>
      <c r="G891" s="146"/>
      <c r="H891" s="686"/>
      <c r="I891" s="687"/>
      <c r="J891" s="687"/>
      <c r="K891" s="687"/>
      <c r="L891" s="687"/>
      <c r="M891" s="687"/>
      <c r="N891" s="687"/>
      <c r="O891" s="687"/>
      <c r="P891" s="687"/>
      <c r="Q891" s="687"/>
      <c r="R891" s="687"/>
      <c r="S891" s="687"/>
      <c r="T891" s="688"/>
      <c r="U891" s="105"/>
      <c r="V891" s="262"/>
      <c r="W891" s="121"/>
      <c r="X891" s="121"/>
      <c r="Y891" s="121"/>
      <c r="Z891" s="121"/>
      <c r="AA891" s="121"/>
      <c r="AB891" s="121"/>
      <c r="AC891" s="121"/>
      <c r="AD891" s="121"/>
      <c r="AE891" s="121"/>
      <c r="AF891" s="121"/>
      <c r="AG891" s="121"/>
      <c r="AH891" s="121"/>
      <c r="AI891" s="121"/>
    </row>
    <row r="892" spans="1:35" s="115" customFormat="1" ht="22.8">
      <c r="A892" s="187"/>
      <c r="B892" s="190"/>
      <c r="C892" s="190"/>
      <c r="D892" s="69"/>
      <c r="E892" s="69"/>
      <c r="F892" s="149"/>
      <c r="G892" s="146"/>
      <c r="H892" s="225"/>
      <c r="I892" s="225"/>
      <c r="J892" s="225"/>
      <c r="K892" s="225"/>
      <c r="L892" s="225"/>
      <c r="M892" s="225"/>
      <c r="N892" s="225"/>
      <c r="O892" s="225"/>
      <c r="P892" s="225"/>
      <c r="Q892" s="225"/>
      <c r="R892" s="225"/>
      <c r="S892" s="225"/>
      <c r="T892" s="225"/>
      <c r="U892" s="105"/>
      <c r="V892" s="262"/>
      <c r="W892" s="121"/>
      <c r="X892" s="121"/>
      <c r="Y892" s="121"/>
      <c r="Z892" s="121"/>
      <c r="AA892" s="121"/>
      <c r="AB892" s="121"/>
      <c r="AC892" s="121"/>
      <c r="AD892" s="121"/>
      <c r="AE892" s="121"/>
      <c r="AF892" s="121"/>
      <c r="AG892" s="121"/>
      <c r="AH892" s="121"/>
      <c r="AI892" s="121"/>
    </row>
    <row r="893" spans="1:35" s="115" customFormat="1" ht="14.4">
      <c r="A893" s="187"/>
      <c r="B893" s="190"/>
      <c r="C893" s="190"/>
      <c r="D893" s="69"/>
      <c r="E893" s="69"/>
      <c r="F893" s="149"/>
      <c r="G893" s="146"/>
      <c r="H893" s="98"/>
      <c r="I893" s="99"/>
      <c r="J893" s="99"/>
      <c r="K893" s="99"/>
      <c r="L893" s="99"/>
      <c r="M893" s="99"/>
      <c r="N893" s="99"/>
      <c r="O893" s="99"/>
      <c r="P893" s="99"/>
      <c r="Q893" s="99"/>
      <c r="R893" s="99"/>
      <c r="S893" s="99"/>
      <c r="T893" s="99"/>
      <c r="U893" s="105"/>
      <c r="V893" s="262"/>
      <c r="W893" s="121"/>
      <c r="X893" s="121"/>
      <c r="Y893" s="121"/>
      <c r="Z893" s="121"/>
      <c r="AA893" s="121"/>
      <c r="AB893" s="121"/>
      <c r="AC893" s="121"/>
      <c r="AD893" s="121"/>
      <c r="AE893" s="121"/>
      <c r="AF893" s="121"/>
      <c r="AG893" s="121"/>
      <c r="AH893" s="121"/>
      <c r="AI893" s="121"/>
    </row>
    <row r="894" spans="1:35" s="115" customFormat="1" ht="14.4">
      <c r="A894" s="187"/>
      <c r="B894" s="190"/>
      <c r="C894" s="190"/>
      <c r="D894" s="69"/>
      <c r="E894" s="69"/>
      <c r="F894" s="149"/>
      <c r="G894" s="146"/>
      <c r="H894" s="98"/>
      <c r="I894" s="99"/>
      <c r="J894" s="99"/>
      <c r="K894" s="99"/>
      <c r="L894" s="99"/>
      <c r="M894" s="99"/>
      <c r="N894" s="99"/>
      <c r="O894" s="99"/>
      <c r="P894" s="99"/>
      <c r="Q894" s="99"/>
      <c r="R894" s="99"/>
      <c r="S894" s="99"/>
      <c r="T894" s="99"/>
      <c r="U894" s="105"/>
      <c r="V894" s="262"/>
      <c r="W894" s="121"/>
      <c r="X894" s="121"/>
      <c r="Y894" s="121"/>
      <c r="Z894" s="121"/>
      <c r="AA894" s="121"/>
      <c r="AB894" s="121"/>
      <c r="AC894" s="121"/>
      <c r="AD894" s="121"/>
      <c r="AE894" s="121"/>
      <c r="AF894" s="121"/>
      <c r="AG894" s="121"/>
      <c r="AH894" s="121"/>
      <c r="AI894" s="121"/>
    </row>
    <row r="895" spans="1:35" s="115" customFormat="1" ht="14.4">
      <c r="A895" s="187"/>
      <c r="B895" s="190"/>
      <c r="C895" s="190"/>
      <c r="D895" s="69"/>
      <c r="E895" s="69"/>
      <c r="F895" s="149"/>
      <c r="G895" s="146"/>
      <c r="H895" s="98"/>
      <c r="I895" s="99"/>
      <c r="J895" s="99"/>
      <c r="K895" s="99"/>
      <c r="L895" s="99"/>
      <c r="M895" s="99"/>
      <c r="N895" s="99"/>
      <c r="O895" s="99"/>
      <c r="P895" s="99"/>
      <c r="Q895" s="99"/>
      <c r="R895" s="99"/>
      <c r="S895" s="99"/>
      <c r="T895" s="99"/>
      <c r="U895" s="105"/>
      <c r="V895" s="262"/>
      <c r="W895" s="121"/>
      <c r="X895" s="121"/>
      <c r="Y895" s="121"/>
      <c r="Z895" s="121"/>
      <c r="AA895" s="121"/>
      <c r="AB895" s="121"/>
      <c r="AC895" s="121"/>
      <c r="AD895" s="121"/>
      <c r="AE895" s="121"/>
      <c r="AF895" s="121"/>
      <c r="AG895" s="121"/>
      <c r="AH895" s="121"/>
      <c r="AI895" s="121"/>
    </row>
    <row r="896" spans="1:35" s="115" customFormat="1" ht="14.4">
      <c r="A896" s="187"/>
      <c r="B896" s="190"/>
      <c r="C896" s="190"/>
      <c r="D896" s="69"/>
      <c r="E896" s="69"/>
      <c r="F896" s="149"/>
      <c r="G896" s="146"/>
      <c r="H896" s="98"/>
      <c r="I896" s="99"/>
      <c r="J896" s="99"/>
      <c r="K896" s="99"/>
      <c r="L896" s="99"/>
      <c r="M896" s="99"/>
      <c r="N896" s="99"/>
      <c r="O896" s="99"/>
      <c r="P896" s="99"/>
      <c r="Q896" s="99"/>
      <c r="R896" s="99"/>
      <c r="S896" s="99"/>
      <c r="T896" s="99"/>
      <c r="U896" s="105"/>
      <c r="V896" s="262"/>
      <c r="W896" s="121"/>
      <c r="X896" s="121"/>
      <c r="Y896" s="121"/>
      <c r="Z896" s="121"/>
      <c r="AA896" s="121"/>
      <c r="AB896" s="121"/>
      <c r="AC896" s="121"/>
      <c r="AD896" s="121"/>
      <c r="AE896" s="121"/>
      <c r="AF896" s="121"/>
      <c r="AG896" s="121"/>
      <c r="AH896" s="121"/>
      <c r="AI896" s="121"/>
    </row>
    <row r="897" spans="1:35" s="115" customFormat="1" ht="14.4">
      <c r="A897" s="187"/>
      <c r="B897" s="190"/>
      <c r="C897" s="190"/>
      <c r="D897" s="69"/>
      <c r="E897" s="69"/>
      <c r="F897" s="149"/>
      <c r="G897" s="146"/>
      <c r="H897" s="98"/>
      <c r="I897" s="99"/>
      <c r="J897" s="99"/>
      <c r="K897" s="99"/>
      <c r="L897" s="99"/>
      <c r="M897" s="99"/>
      <c r="N897" s="99"/>
      <c r="O897" s="99"/>
      <c r="P897" s="99"/>
      <c r="Q897" s="99"/>
      <c r="R897" s="99"/>
      <c r="S897" s="99"/>
      <c r="T897" s="99"/>
      <c r="U897" s="105"/>
      <c r="V897" s="262"/>
      <c r="W897" s="121"/>
      <c r="X897" s="121"/>
      <c r="Y897" s="121"/>
      <c r="Z897" s="121"/>
      <c r="AA897" s="121"/>
      <c r="AB897" s="121"/>
      <c r="AC897" s="121"/>
      <c r="AD897" s="121"/>
      <c r="AE897" s="121"/>
      <c r="AF897" s="121"/>
      <c r="AG897" s="121"/>
      <c r="AH897" s="121"/>
      <c r="AI897" s="121"/>
    </row>
    <row r="898" spans="1:35" s="115" customFormat="1" ht="14.4">
      <c r="A898" s="187"/>
      <c r="B898" s="190"/>
      <c r="C898" s="190"/>
      <c r="D898" s="69"/>
      <c r="E898" s="69"/>
      <c r="F898" s="149"/>
      <c r="G898" s="146"/>
      <c r="H898" s="98"/>
      <c r="I898" s="99"/>
      <c r="J898" s="99"/>
      <c r="K898" s="99"/>
      <c r="L898" s="99"/>
      <c r="M898" s="99"/>
      <c r="N898" s="99"/>
      <c r="O898" s="99"/>
      <c r="P898" s="99"/>
      <c r="Q898" s="99"/>
      <c r="R898" s="99"/>
      <c r="S898" s="99"/>
      <c r="T898" s="99"/>
      <c r="U898" s="105"/>
      <c r="V898" s="262"/>
      <c r="W898" s="121"/>
      <c r="X898" s="121"/>
      <c r="Y898" s="121"/>
      <c r="Z898" s="121"/>
      <c r="AA898" s="121"/>
      <c r="AB898" s="121"/>
      <c r="AC898" s="121"/>
      <c r="AD898" s="121"/>
      <c r="AE898" s="121"/>
      <c r="AF898" s="121"/>
      <c r="AG898" s="121"/>
      <c r="AH898" s="121"/>
      <c r="AI898" s="121"/>
    </row>
    <row r="899" spans="1:35" s="115" customFormat="1" ht="14.4">
      <c r="A899" s="187"/>
      <c r="B899" s="190"/>
      <c r="C899" s="190"/>
      <c r="D899" s="69"/>
      <c r="E899" s="69"/>
      <c r="F899" s="149"/>
      <c r="G899" s="146"/>
      <c r="H899" s="98"/>
      <c r="I899" s="99"/>
      <c r="J899" s="99"/>
      <c r="K899" s="99"/>
      <c r="L899" s="99"/>
      <c r="M899" s="99"/>
      <c r="N899" s="99"/>
      <c r="O899" s="99"/>
      <c r="P899" s="99"/>
      <c r="Q899" s="99"/>
      <c r="R899" s="99"/>
      <c r="S899" s="99"/>
      <c r="T899" s="99"/>
      <c r="U899" s="105"/>
      <c r="V899" s="262"/>
      <c r="W899" s="121"/>
      <c r="X899" s="121"/>
      <c r="Y899" s="121"/>
      <c r="Z899" s="121"/>
      <c r="AA899" s="121"/>
      <c r="AB899" s="121"/>
      <c r="AC899" s="121"/>
      <c r="AD899" s="121"/>
      <c r="AE899" s="121"/>
      <c r="AF899" s="121"/>
      <c r="AG899" s="121"/>
      <c r="AH899" s="121"/>
      <c r="AI899" s="121"/>
    </row>
    <row r="900" spans="1:35" s="115" customFormat="1" ht="14.4">
      <c r="A900" s="187"/>
      <c r="B900" s="190"/>
      <c r="C900" s="190"/>
      <c r="D900" s="69"/>
      <c r="E900" s="69"/>
      <c r="F900" s="149"/>
      <c r="G900" s="146"/>
      <c r="H900" s="98"/>
      <c r="I900" s="99"/>
      <c r="J900" s="99"/>
      <c r="K900" s="99"/>
      <c r="L900" s="99"/>
      <c r="M900" s="99"/>
      <c r="N900" s="99"/>
      <c r="O900" s="99"/>
      <c r="P900" s="99"/>
      <c r="Q900" s="99"/>
      <c r="R900" s="99"/>
      <c r="S900" s="99"/>
      <c r="T900" s="99"/>
      <c r="U900" s="105"/>
      <c r="V900" s="262"/>
      <c r="W900" s="121"/>
      <c r="X900" s="121"/>
      <c r="Y900" s="121"/>
      <c r="Z900" s="121"/>
      <c r="AA900" s="121"/>
      <c r="AB900" s="121"/>
      <c r="AC900" s="121"/>
      <c r="AD900" s="121"/>
      <c r="AE900" s="121"/>
      <c r="AF900" s="121"/>
      <c r="AG900" s="121"/>
      <c r="AH900" s="121"/>
      <c r="AI900" s="121"/>
    </row>
    <row r="901" spans="1:35" s="115" customFormat="1" ht="14.4">
      <c r="A901" s="187"/>
      <c r="B901" s="190"/>
      <c r="C901" s="190"/>
      <c r="D901" s="69"/>
      <c r="E901" s="69"/>
      <c r="F901" s="149"/>
      <c r="G901" s="146"/>
      <c r="H901" s="98"/>
      <c r="I901" s="99"/>
      <c r="J901" s="99"/>
      <c r="K901" s="99"/>
      <c r="L901" s="99"/>
      <c r="M901" s="99"/>
      <c r="N901" s="99"/>
      <c r="O901" s="99"/>
      <c r="P901" s="99"/>
      <c r="Q901" s="99"/>
      <c r="R901" s="99"/>
      <c r="S901" s="99"/>
      <c r="T901" s="99"/>
      <c r="U901" s="105"/>
      <c r="V901" s="262"/>
      <c r="W901" s="121"/>
      <c r="X901" s="121"/>
      <c r="Y901" s="121"/>
      <c r="Z901" s="121"/>
      <c r="AA901" s="121"/>
      <c r="AB901" s="121"/>
      <c r="AC901" s="121"/>
      <c r="AD901" s="121"/>
      <c r="AE901" s="121"/>
      <c r="AF901" s="121"/>
      <c r="AG901" s="121"/>
      <c r="AH901" s="121"/>
      <c r="AI901" s="121"/>
    </row>
    <row r="902" spans="1:35" s="115" customFormat="1" ht="14.4">
      <c r="A902" s="187"/>
      <c r="B902" s="190"/>
      <c r="C902" s="190"/>
      <c r="D902" s="69"/>
      <c r="E902" s="69"/>
      <c r="F902" s="149"/>
      <c r="G902" s="146"/>
      <c r="H902" s="107"/>
      <c r="I902" s="108"/>
      <c r="J902" s="108"/>
      <c r="K902" s="108"/>
      <c r="L902" s="108"/>
      <c r="M902" s="108"/>
      <c r="N902" s="108"/>
      <c r="O902" s="108"/>
      <c r="P902" s="108"/>
      <c r="Q902" s="108"/>
      <c r="R902" s="108"/>
      <c r="S902" s="108"/>
      <c r="T902" s="108"/>
      <c r="U902" s="105"/>
      <c r="V902" s="262"/>
      <c r="W902" s="121"/>
      <c r="X902" s="121"/>
      <c r="Y902" s="121"/>
      <c r="Z902" s="121"/>
      <c r="AA902" s="121"/>
      <c r="AB902" s="121"/>
      <c r="AC902" s="121"/>
      <c r="AD902" s="121"/>
      <c r="AE902" s="121"/>
      <c r="AF902" s="121"/>
      <c r="AG902" s="121"/>
      <c r="AH902" s="121"/>
      <c r="AI902" s="121"/>
    </row>
    <row r="903" spans="1:35" s="115" customFormat="1" ht="14.4">
      <c r="A903" s="187"/>
      <c r="B903" s="190"/>
      <c r="C903" s="190"/>
      <c r="D903" s="69"/>
      <c r="E903" s="69"/>
      <c r="F903" s="149"/>
      <c r="G903" s="146"/>
      <c r="H903" s="232"/>
      <c r="I903" s="233"/>
      <c r="J903" s="233"/>
      <c r="K903" s="233"/>
      <c r="L903" s="233"/>
      <c r="M903" s="233"/>
      <c r="N903" s="233"/>
      <c r="O903" s="233"/>
      <c r="P903" s="233"/>
      <c r="Q903" s="233"/>
      <c r="R903" s="233"/>
      <c r="S903" s="233"/>
      <c r="T903" s="233"/>
      <c r="U903" s="105"/>
      <c r="V903" s="262"/>
      <c r="W903" s="121"/>
      <c r="X903" s="121"/>
      <c r="Y903" s="121"/>
      <c r="Z903" s="121"/>
      <c r="AA903" s="121"/>
      <c r="AB903" s="121"/>
      <c r="AC903" s="121"/>
      <c r="AD903" s="121"/>
      <c r="AE903" s="121"/>
      <c r="AF903" s="121"/>
      <c r="AG903" s="121"/>
      <c r="AH903" s="121"/>
      <c r="AI903" s="121"/>
    </row>
    <row r="904" spans="1:35" s="115" customFormat="1" ht="14.4">
      <c r="A904" s="187"/>
      <c r="B904" s="190"/>
      <c r="C904" s="190"/>
      <c r="D904" s="69"/>
      <c r="E904" s="69"/>
      <c r="F904" s="149"/>
      <c r="G904" s="146"/>
      <c r="H904" s="98"/>
      <c r="I904" s="99"/>
      <c r="J904" s="99"/>
      <c r="K904" s="99"/>
      <c r="L904" s="99"/>
      <c r="M904" s="99"/>
      <c r="N904" s="99"/>
      <c r="O904" s="99"/>
      <c r="P904" s="99"/>
      <c r="Q904" s="99"/>
      <c r="R904" s="99"/>
      <c r="S904" s="99"/>
      <c r="T904" s="99"/>
      <c r="U904" s="105"/>
      <c r="V904" s="262"/>
      <c r="W904" s="121"/>
      <c r="X904" s="121"/>
      <c r="Y904" s="121"/>
      <c r="Z904" s="121"/>
      <c r="AA904" s="121"/>
      <c r="AB904" s="121"/>
      <c r="AC904" s="121"/>
      <c r="AD904" s="121"/>
      <c r="AE904" s="121"/>
      <c r="AF904" s="121"/>
      <c r="AG904" s="121"/>
      <c r="AH904" s="121"/>
      <c r="AI904" s="121"/>
    </row>
    <row r="905" spans="1:35" s="115" customFormat="1" ht="14.4">
      <c r="A905" s="187"/>
      <c r="B905" s="190"/>
      <c r="C905" s="190"/>
      <c r="D905" s="69"/>
      <c r="E905" s="69"/>
      <c r="F905" s="149"/>
      <c r="G905" s="146"/>
      <c r="H905" s="98"/>
      <c r="I905" s="99"/>
      <c r="J905" s="99"/>
      <c r="K905" s="99"/>
      <c r="L905" s="99"/>
      <c r="M905" s="99"/>
      <c r="N905" s="99"/>
      <c r="O905" s="99"/>
      <c r="P905" s="99"/>
      <c r="Q905" s="99"/>
      <c r="R905" s="99"/>
      <c r="S905" s="99"/>
      <c r="T905" s="99"/>
      <c r="U905" s="105"/>
      <c r="V905" s="262"/>
      <c r="W905" s="121"/>
      <c r="X905" s="121"/>
      <c r="Y905" s="121"/>
      <c r="Z905" s="121"/>
      <c r="AA905" s="121"/>
      <c r="AB905" s="121"/>
      <c r="AC905" s="121"/>
      <c r="AD905" s="121"/>
      <c r="AE905" s="121"/>
      <c r="AF905" s="121"/>
      <c r="AG905" s="121"/>
      <c r="AH905" s="121"/>
      <c r="AI905" s="121"/>
    </row>
    <row r="906" spans="1:35" s="115" customFormat="1" ht="14.4">
      <c r="A906" s="187"/>
      <c r="B906" s="190"/>
      <c r="C906" s="190"/>
      <c r="D906" s="69"/>
      <c r="E906" s="69"/>
      <c r="F906" s="149"/>
      <c r="G906" s="146"/>
      <c r="H906" s="98"/>
      <c r="I906" s="99"/>
      <c r="J906" s="99"/>
      <c r="K906" s="99"/>
      <c r="L906" s="99"/>
      <c r="M906" s="99"/>
      <c r="N906" s="99"/>
      <c r="O906" s="99"/>
      <c r="P906" s="99"/>
      <c r="Q906" s="99"/>
      <c r="R906" s="99"/>
      <c r="S906" s="99"/>
      <c r="T906" s="99"/>
      <c r="U906" s="105"/>
      <c r="V906" s="262"/>
      <c r="W906" s="121"/>
      <c r="X906" s="121"/>
      <c r="Y906" s="121"/>
      <c r="Z906" s="121"/>
      <c r="AA906" s="121"/>
      <c r="AB906" s="121"/>
      <c r="AC906" s="121"/>
      <c r="AD906" s="121"/>
      <c r="AE906" s="121"/>
      <c r="AF906" s="121"/>
      <c r="AG906" s="121"/>
      <c r="AH906" s="121"/>
      <c r="AI906" s="121"/>
    </row>
    <row r="907" spans="1:35" s="115" customFormat="1" ht="14.4">
      <c r="A907" s="187"/>
      <c r="B907" s="190"/>
      <c r="C907" s="190"/>
      <c r="D907" s="69"/>
      <c r="E907" s="69"/>
      <c r="F907" s="149"/>
      <c r="G907" s="146"/>
      <c r="H907" s="98"/>
      <c r="I907" s="99"/>
      <c r="J907" s="99"/>
      <c r="K907" s="99"/>
      <c r="L907" s="99"/>
      <c r="M907" s="99"/>
      <c r="N907" s="99"/>
      <c r="O907" s="99"/>
      <c r="P907" s="99"/>
      <c r="Q907" s="99"/>
      <c r="R907" s="99"/>
      <c r="S907" s="99"/>
      <c r="T907" s="99"/>
      <c r="U907" s="105"/>
      <c r="V907" s="262"/>
      <c r="W907" s="121"/>
      <c r="X907" s="121"/>
      <c r="Y907" s="121"/>
      <c r="Z907" s="121"/>
      <c r="AA907" s="121"/>
      <c r="AB907" s="121"/>
      <c r="AC907" s="121"/>
      <c r="AD907" s="121"/>
      <c r="AE907" s="121"/>
      <c r="AF907" s="121"/>
      <c r="AG907" s="121"/>
      <c r="AH907" s="121"/>
      <c r="AI907" s="121"/>
    </row>
    <row r="908" spans="1:35" s="115" customFormat="1" ht="14.4">
      <c r="A908" s="187"/>
      <c r="B908" s="190"/>
      <c r="C908" s="190"/>
      <c r="D908" s="69"/>
      <c r="E908" s="69"/>
      <c r="F908" s="149"/>
      <c r="G908" s="146"/>
      <c r="H908" s="98"/>
      <c r="I908" s="99"/>
      <c r="J908" s="99"/>
      <c r="K908" s="99"/>
      <c r="L908" s="99"/>
      <c r="M908" s="99"/>
      <c r="N908" s="99"/>
      <c r="O908" s="99"/>
      <c r="P908" s="99"/>
      <c r="Q908" s="99"/>
      <c r="R908" s="99"/>
      <c r="S908" s="99"/>
      <c r="T908" s="99"/>
      <c r="U908" s="105"/>
      <c r="V908" s="262"/>
      <c r="W908" s="121"/>
      <c r="X908" s="121"/>
      <c r="Y908" s="121"/>
      <c r="Z908" s="121"/>
      <c r="AA908" s="121"/>
      <c r="AB908" s="121"/>
      <c r="AC908" s="121"/>
      <c r="AD908" s="121"/>
      <c r="AE908" s="121"/>
      <c r="AF908" s="121"/>
      <c r="AG908" s="121"/>
      <c r="AH908" s="121"/>
      <c r="AI908" s="121"/>
    </row>
    <row r="909" spans="1:35" s="115" customFormat="1" ht="14.4">
      <c r="A909" s="187"/>
      <c r="B909" s="190"/>
      <c r="C909" s="190"/>
      <c r="D909" s="69"/>
      <c r="E909" s="69"/>
      <c r="F909" s="149"/>
      <c r="G909" s="146"/>
      <c r="H909" s="98"/>
      <c r="I909" s="99"/>
      <c r="J909" s="99"/>
      <c r="K909" s="99"/>
      <c r="L909" s="99"/>
      <c r="M909" s="99"/>
      <c r="N909" s="99"/>
      <c r="O909" s="99"/>
      <c r="P909" s="99"/>
      <c r="Q909" s="99"/>
      <c r="R909" s="99"/>
      <c r="S909" s="99"/>
      <c r="T909" s="99"/>
      <c r="U909" s="105"/>
      <c r="V909" s="262"/>
      <c r="W909" s="121"/>
      <c r="X909" s="121"/>
      <c r="Y909" s="121"/>
      <c r="Z909" s="121"/>
      <c r="AA909" s="121"/>
      <c r="AB909" s="121"/>
      <c r="AC909" s="121"/>
      <c r="AD909" s="121"/>
      <c r="AE909" s="121"/>
      <c r="AF909" s="121"/>
      <c r="AG909" s="121"/>
      <c r="AH909" s="121"/>
      <c r="AI909" s="121"/>
    </row>
    <row r="910" spans="1:35" s="115" customFormat="1" ht="14.4">
      <c r="A910" s="187"/>
      <c r="B910" s="190"/>
      <c r="C910" s="190"/>
      <c r="D910" s="69"/>
      <c r="E910" s="69"/>
      <c r="F910" s="149"/>
      <c r="G910" s="146"/>
      <c r="H910" s="98"/>
      <c r="I910" s="99"/>
      <c r="J910" s="99"/>
      <c r="K910" s="99"/>
      <c r="L910" s="99"/>
      <c r="M910" s="99"/>
      <c r="N910" s="99"/>
      <c r="O910" s="99"/>
      <c r="P910" s="99"/>
      <c r="Q910" s="99"/>
      <c r="R910" s="99"/>
      <c r="S910" s="99"/>
      <c r="T910" s="99"/>
      <c r="U910" s="105"/>
      <c r="V910" s="262"/>
      <c r="W910" s="121"/>
      <c r="X910" s="121"/>
      <c r="Y910" s="121"/>
      <c r="Z910" s="121"/>
      <c r="AA910" s="121"/>
      <c r="AB910" s="121"/>
      <c r="AC910" s="121"/>
      <c r="AD910" s="121"/>
      <c r="AE910" s="121"/>
      <c r="AF910" s="121"/>
      <c r="AG910" s="121"/>
      <c r="AH910" s="121"/>
      <c r="AI910" s="121"/>
    </row>
    <row r="911" spans="1:35" s="115" customFormat="1" ht="14.4">
      <c r="A911" s="187"/>
      <c r="B911" s="190"/>
      <c r="C911" s="190"/>
      <c r="D911" s="69"/>
      <c r="E911" s="69"/>
      <c r="F911" s="149"/>
      <c r="G911" s="146"/>
      <c r="H911" s="98"/>
      <c r="I911" s="99"/>
      <c r="J911" s="99"/>
      <c r="K911" s="99"/>
      <c r="L911" s="99"/>
      <c r="M911" s="99"/>
      <c r="N911" s="99"/>
      <c r="O911" s="99"/>
      <c r="P911" s="99"/>
      <c r="Q911" s="99"/>
      <c r="R911" s="99"/>
      <c r="S911" s="99"/>
      <c r="T911" s="99"/>
      <c r="U911" s="105"/>
      <c r="V911" s="262"/>
      <c r="W911" s="121"/>
      <c r="X911" s="121"/>
      <c r="Y911" s="121"/>
      <c r="Z911" s="121"/>
      <c r="AA911" s="121"/>
      <c r="AB911" s="121"/>
      <c r="AC911" s="121"/>
      <c r="AD911" s="121"/>
      <c r="AE911" s="121"/>
      <c r="AF911" s="121"/>
      <c r="AG911" s="121"/>
      <c r="AH911" s="121"/>
      <c r="AI911" s="121"/>
    </row>
    <row r="912" spans="1:35" s="115" customFormat="1" ht="14.4">
      <c r="A912" s="187"/>
      <c r="B912" s="190"/>
      <c r="C912" s="190"/>
      <c r="D912" s="69"/>
      <c r="E912" s="69"/>
      <c r="F912" s="149"/>
      <c r="G912" s="146"/>
      <c r="H912" s="98"/>
      <c r="I912" s="99"/>
      <c r="J912" s="99"/>
      <c r="K912" s="99"/>
      <c r="L912" s="99"/>
      <c r="M912" s="99"/>
      <c r="N912" s="99"/>
      <c r="O912" s="99"/>
      <c r="P912" s="99"/>
      <c r="Q912" s="99"/>
      <c r="R912" s="99"/>
      <c r="S912" s="99"/>
      <c r="T912" s="99"/>
      <c r="U912" s="105"/>
      <c r="V912" s="262"/>
      <c r="W912" s="121"/>
      <c r="X912" s="121"/>
      <c r="Y912" s="121"/>
      <c r="Z912" s="121"/>
      <c r="AA912" s="121"/>
      <c r="AB912" s="121"/>
      <c r="AC912" s="121"/>
      <c r="AD912" s="121"/>
      <c r="AE912" s="121"/>
      <c r="AF912" s="121"/>
      <c r="AG912" s="121"/>
      <c r="AH912" s="121"/>
      <c r="AI912" s="121"/>
    </row>
    <row r="913" spans="1:35" s="115" customFormat="1" ht="14.4">
      <c r="A913" s="187"/>
      <c r="B913" s="190"/>
      <c r="C913" s="190"/>
      <c r="D913" s="69"/>
      <c r="E913" s="69"/>
      <c r="F913" s="149"/>
      <c r="G913" s="146"/>
      <c r="H913" s="98"/>
      <c r="I913" s="99"/>
      <c r="J913" s="99"/>
      <c r="K913" s="99"/>
      <c r="L913" s="99"/>
      <c r="M913" s="99"/>
      <c r="N913" s="99"/>
      <c r="O913" s="99"/>
      <c r="P913" s="99"/>
      <c r="Q913" s="99"/>
      <c r="R913" s="99"/>
      <c r="S913" s="99"/>
      <c r="T913" s="99"/>
      <c r="U913" s="105"/>
      <c r="V913" s="262"/>
      <c r="W913" s="121"/>
      <c r="X913" s="121"/>
      <c r="Y913" s="121"/>
      <c r="Z913" s="121"/>
      <c r="AA913" s="121"/>
      <c r="AB913" s="121"/>
      <c r="AC913" s="121"/>
      <c r="AD913" s="121"/>
      <c r="AE913" s="121"/>
      <c r="AF913" s="121"/>
      <c r="AG913" s="121"/>
      <c r="AH913" s="121"/>
      <c r="AI913" s="121"/>
    </row>
    <row r="914" spans="1:35" s="115" customFormat="1" ht="14.4">
      <c r="A914" s="187"/>
      <c r="B914" s="190"/>
      <c r="C914" s="190"/>
      <c r="D914" s="69"/>
      <c r="E914" s="69"/>
      <c r="F914" s="149"/>
      <c r="G914" s="146"/>
      <c r="H914" s="98"/>
      <c r="I914" s="99"/>
      <c r="J914" s="99"/>
      <c r="K914" s="99"/>
      <c r="L914" s="99"/>
      <c r="M914" s="99"/>
      <c r="N914" s="99"/>
      <c r="O914" s="99"/>
      <c r="P914" s="99"/>
      <c r="Q914" s="99"/>
      <c r="R914" s="99"/>
      <c r="S914" s="99"/>
      <c r="T914" s="99"/>
      <c r="U914" s="105"/>
      <c r="V914" s="262"/>
      <c r="W914" s="121"/>
      <c r="X914" s="121"/>
      <c r="Y914" s="121"/>
      <c r="Z914" s="121"/>
      <c r="AA914" s="121"/>
      <c r="AB914" s="121"/>
      <c r="AC914" s="121"/>
      <c r="AD914" s="121"/>
      <c r="AE914" s="121"/>
      <c r="AF914" s="121"/>
      <c r="AG914" s="121"/>
      <c r="AH914" s="121"/>
      <c r="AI914" s="121"/>
    </row>
    <row r="915" spans="1:35" s="115" customFormat="1" ht="14.4">
      <c r="A915" s="187"/>
      <c r="B915" s="190"/>
      <c r="C915" s="190"/>
      <c r="D915" s="69"/>
      <c r="E915" s="69"/>
      <c r="F915" s="149"/>
      <c r="G915" s="146"/>
      <c r="H915" s="98"/>
      <c r="I915" s="99"/>
      <c r="J915" s="99"/>
      <c r="K915" s="99"/>
      <c r="L915" s="99"/>
      <c r="M915" s="99"/>
      <c r="N915" s="99"/>
      <c r="O915" s="99"/>
      <c r="P915" s="99"/>
      <c r="Q915" s="99"/>
      <c r="R915" s="99"/>
      <c r="S915" s="99"/>
      <c r="T915" s="99"/>
      <c r="U915" s="105"/>
      <c r="V915" s="262"/>
      <c r="W915" s="121"/>
      <c r="X915" s="121"/>
      <c r="Y915" s="121"/>
      <c r="Z915" s="121"/>
      <c r="AA915" s="121"/>
      <c r="AB915" s="121"/>
      <c r="AC915" s="121"/>
      <c r="AD915" s="121"/>
      <c r="AE915" s="121"/>
      <c r="AF915" s="121"/>
      <c r="AG915" s="121"/>
      <c r="AH915" s="121"/>
      <c r="AI915" s="121"/>
    </row>
    <row r="916" spans="1:35" s="115" customFormat="1" ht="14.4">
      <c r="A916" s="187"/>
      <c r="B916" s="190"/>
      <c r="C916" s="190"/>
      <c r="D916" s="69"/>
      <c r="E916" s="69"/>
      <c r="F916" s="149"/>
      <c r="G916" s="146"/>
      <c r="H916" s="98"/>
      <c r="I916" s="99"/>
      <c r="J916" s="99"/>
      <c r="K916" s="99"/>
      <c r="L916" s="99"/>
      <c r="M916" s="99"/>
      <c r="N916" s="99"/>
      <c r="O916" s="99"/>
      <c r="P916" s="99"/>
      <c r="Q916" s="99"/>
      <c r="R916" s="99"/>
      <c r="S916" s="99"/>
      <c r="T916" s="99"/>
      <c r="U916" s="105"/>
      <c r="V916" s="262"/>
      <c r="W916" s="121"/>
      <c r="X916" s="121"/>
      <c r="Y916" s="121"/>
      <c r="Z916" s="121"/>
      <c r="AA916" s="121"/>
      <c r="AB916" s="121"/>
      <c r="AC916" s="121"/>
      <c r="AD916" s="121"/>
      <c r="AE916" s="121"/>
      <c r="AF916" s="121"/>
      <c r="AG916" s="121"/>
      <c r="AH916" s="121"/>
      <c r="AI916" s="121"/>
    </row>
    <row r="917" spans="1:35" s="115" customFormat="1" ht="14.4">
      <c r="A917" s="187"/>
      <c r="B917" s="190"/>
      <c r="C917" s="190"/>
      <c r="D917" s="69"/>
      <c r="E917" s="69"/>
      <c r="F917" s="149"/>
      <c r="G917" s="146"/>
      <c r="H917" s="98"/>
      <c r="I917" s="99"/>
      <c r="J917" s="99"/>
      <c r="K917" s="99"/>
      <c r="L917" s="99"/>
      <c r="M917" s="99"/>
      <c r="N917" s="99"/>
      <c r="O917" s="99"/>
      <c r="P917" s="99"/>
      <c r="Q917" s="99"/>
      <c r="R917" s="99"/>
      <c r="S917" s="99"/>
      <c r="T917" s="99"/>
      <c r="U917" s="105"/>
      <c r="V917" s="262"/>
      <c r="W917" s="121"/>
      <c r="X917" s="121"/>
      <c r="Y917" s="121"/>
      <c r="Z917" s="121"/>
      <c r="AA917" s="121"/>
      <c r="AB917" s="121"/>
      <c r="AC917" s="121"/>
      <c r="AD917" s="121"/>
      <c r="AE917" s="121"/>
      <c r="AF917" s="121"/>
      <c r="AG917" s="121"/>
      <c r="AH917" s="121"/>
      <c r="AI917" s="121"/>
    </row>
    <row r="918" spans="1:35" s="115" customFormat="1" ht="14.4">
      <c r="A918" s="187"/>
      <c r="B918" s="190"/>
      <c r="C918" s="190"/>
      <c r="D918" s="69"/>
      <c r="E918" s="69"/>
      <c r="F918" s="149"/>
      <c r="G918" s="146"/>
      <c r="H918" s="107"/>
      <c r="I918" s="108"/>
      <c r="J918" s="108"/>
      <c r="K918" s="108"/>
      <c r="L918" s="108"/>
      <c r="M918" s="108"/>
      <c r="N918" s="108"/>
      <c r="O918" s="108"/>
      <c r="P918" s="108"/>
      <c r="Q918" s="108"/>
      <c r="R918" s="108"/>
      <c r="S918" s="108"/>
      <c r="T918" s="108"/>
      <c r="U918" s="105"/>
      <c r="V918" s="262"/>
      <c r="W918" s="121"/>
      <c r="X918" s="121"/>
      <c r="Y918" s="121"/>
      <c r="Z918" s="121"/>
      <c r="AA918" s="121"/>
      <c r="AB918" s="121"/>
      <c r="AC918" s="121"/>
      <c r="AD918" s="121"/>
      <c r="AE918" s="121"/>
      <c r="AF918" s="121"/>
      <c r="AG918" s="121"/>
      <c r="AH918" s="121"/>
      <c r="AI918" s="121"/>
    </row>
    <row r="919" spans="1:35" s="115" customFormat="1" ht="14.4">
      <c r="A919" s="187"/>
      <c r="B919" s="190"/>
      <c r="C919" s="190"/>
      <c r="D919" s="69"/>
      <c r="E919" s="69"/>
      <c r="F919" s="149"/>
      <c r="G919" s="146"/>
      <c r="H919" s="232"/>
      <c r="I919" s="233"/>
      <c r="J919" s="233"/>
      <c r="K919" s="233"/>
      <c r="L919" s="233"/>
      <c r="M919" s="233"/>
      <c r="N919" s="233"/>
      <c r="O919" s="233"/>
      <c r="P919" s="233"/>
      <c r="Q919" s="233"/>
      <c r="R919" s="233"/>
      <c r="S919" s="233"/>
      <c r="T919" s="233"/>
      <c r="U919" s="105"/>
      <c r="V919" s="262"/>
      <c r="W919" s="121"/>
      <c r="X919" s="121"/>
      <c r="Y919" s="121"/>
      <c r="Z919" s="121"/>
      <c r="AA919" s="121"/>
      <c r="AB919" s="121"/>
      <c r="AC919" s="121"/>
      <c r="AD919" s="121"/>
      <c r="AE919" s="121"/>
      <c r="AF919" s="121"/>
      <c r="AG919" s="121"/>
      <c r="AH919" s="121"/>
      <c r="AI919" s="121"/>
    </row>
    <row r="920" spans="1:35" s="115" customFormat="1" ht="14.4">
      <c r="A920" s="187"/>
      <c r="B920" s="190"/>
      <c r="C920" s="190"/>
      <c r="D920" s="69"/>
      <c r="E920" s="69"/>
      <c r="F920" s="149"/>
      <c r="G920" s="146"/>
      <c r="H920" s="98"/>
      <c r="I920" s="99"/>
      <c r="J920" s="99"/>
      <c r="K920" s="99"/>
      <c r="L920" s="99"/>
      <c r="M920" s="99"/>
      <c r="N920" s="99"/>
      <c r="O920" s="99"/>
      <c r="P920" s="99"/>
      <c r="Q920" s="99"/>
      <c r="R920" s="99"/>
      <c r="S920" s="99"/>
      <c r="T920" s="99"/>
      <c r="U920" s="105"/>
      <c r="V920" s="262"/>
      <c r="W920" s="121"/>
      <c r="X920" s="121"/>
      <c r="Y920" s="121"/>
      <c r="Z920" s="121"/>
      <c r="AA920" s="121"/>
      <c r="AB920" s="121"/>
      <c r="AC920" s="121"/>
      <c r="AD920" s="121"/>
      <c r="AE920" s="121"/>
      <c r="AF920" s="121"/>
      <c r="AG920" s="121"/>
      <c r="AH920" s="121"/>
      <c r="AI920" s="121"/>
    </row>
    <row r="921" spans="1:35" s="115" customFormat="1" ht="14.4">
      <c r="A921" s="187"/>
      <c r="B921" s="190"/>
      <c r="C921" s="190"/>
      <c r="D921" s="69"/>
      <c r="E921" s="69"/>
      <c r="F921" s="149"/>
      <c r="G921" s="146"/>
      <c r="H921" s="98"/>
      <c r="I921" s="99"/>
      <c r="J921" s="99"/>
      <c r="K921" s="99"/>
      <c r="L921" s="99"/>
      <c r="M921" s="99"/>
      <c r="N921" s="99"/>
      <c r="O921" s="99"/>
      <c r="P921" s="99"/>
      <c r="Q921" s="99"/>
      <c r="R921" s="99"/>
      <c r="S921" s="99"/>
      <c r="T921" s="99"/>
      <c r="U921" s="105"/>
      <c r="V921" s="262"/>
      <c r="W921" s="121"/>
      <c r="X921" s="121"/>
      <c r="Y921" s="121"/>
      <c r="Z921" s="121"/>
      <c r="AA921" s="121"/>
      <c r="AB921" s="121"/>
      <c r="AC921" s="121"/>
      <c r="AD921" s="121"/>
      <c r="AE921" s="121"/>
      <c r="AF921" s="121"/>
      <c r="AG921" s="121"/>
      <c r="AH921" s="121"/>
      <c r="AI921" s="121"/>
    </row>
    <row r="922" spans="1:35" s="115" customFormat="1" ht="14.4">
      <c r="A922" s="187"/>
      <c r="B922" s="190"/>
      <c r="C922" s="190"/>
      <c r="D922" s="69"/>
      <c r="E922" s="69"/>
      <c r="F922" s="149"/>
      <c r="G922" s="146"/>
      <c r="H922" s="98"/>
      <c r="I922" s="99"/>
      <c r="J922" s="99"/>
      <c r="K922" s="99"/>
      <c r="L922" s="99"/>
      <c r="M922" s="99"/>
      <c r="N922" s="99"/>
      <c r="O922" s="99"/>
      <c r="P922" s="99"/>
      <c r="Q922" s="99"/>
      <c r="R922" s="99"/>
      <c r="S922" s="99"/>
      <c r="T922" s="99"/>
      <c r="U922" s="105"/>
      <c r="V922" s="262"/>
      <c r="W922" s="121"/>
      <c r="X922" s="121"/>
      <c r="Y922" s="121"/>
      <c r="Z922" s="121"/>
      <c r="AA922" s="121"/>
      <c r="AB922" s="121"/>
      <c r="AC922" s="121"/>
      <c r="AD922" s="121"/>
      <c r="AE922" s="121"/>
      <c r="AF922" s="121"/>
      <c r="AG922" s="121"/>
      <c r="AH922" s="121"/>
      <c r="AI922" s="121"/>
    </row>
    <row r="923" spans="1:35" s="115" customFormat="1" ht="14.4">
      <c r="A923" s="187"/>
      <c r="B923" s="190"/>
      <c r="C923" s="190"/>
      <c r="D923" s="69"/>
      <c r="E923" s="69"/>
      <c r="F923" s="149"/>
      <c r="G923" s="146"/>
      <c r="H923" s="98"/>
      <c r="I923" s="99"/>
      <c r="J923" s="99"/>
      <c r="K923" s="99"/>
      <c r="L923" s="99"/>
      <c r="M923" s="99"/>
      <c r="N923" s="99"/>
      <c r="O923" s="99"/>
      <c r="P923" s="99"/>
      <c r="Q923" s="99"/>
      <c r="R923" s="99"/>
      <c r="S923" s="99"/>
      <c r="T923" s="99"/>
      <c r="U923" s="105"/>
      <c r="V923" s="262"/>
      <c r="W923" s="121"/>
      <c r="X923" s="121"/>
      <c r="Y923" s="121"/>
      <c r="Z923" s="121"/>
      <c r="AA923" s="121"/>
      <c r="AB923" s="121"/>
      <c r="AC923" s="121"/>
      <c r="AD923" s="121"/>
      <c r="AE923" s="121"/>
      <c r="AF923" s="121"/>
      <c r="AG923" s="121"/>
      <c r="AH923" s="121"/>
      <c r="AI923" s="121"/>
    </row>
    <row r="924" spans="1:35" s="115" customFormat="1" ht="14.4">
      <c r="A924" s="187"/>
      <c r="B924" s="190"/>
      <c r="C924" s="190"/>
      <c r="D924" s="69"/>
      <c r="E924" s="69"/>
      <c r="F924" s="149"/>
      <c r="G924" s="146"/>
      <c r="H924" s="98"/>
      <c r="I924" s="99"/>
      <c r="J924" s="99"/>
      <c r="K924" s="99"/>
      <c r="L924" s="99"/>
      <c r="M924" s="99"/>
      <c r="N924" s="99"/>
      <c r="O924" s="99"/>
      <c r="P924" s="99"/>
      <c r="Q924" s="99"/>
      <c r="R924" s="99"/>
      <c r="S924" s="99"/>
      <c r="T924" s="99"/>
      <c r="U924" s="105"/>
      <c r="V924" s="262"/>
      <c r="W924" s="121"/>
      <c r="X924" s="121"/>
      <c r="Y924" s="121"/>
      <c r="Z924" s="121"/>
      <c r="AA924" s="121"/>
      <c r="AB924" s="121"/>
      <c r="AC924" s="121"/>
      <c r="AD924" s="121"/>
      <c r="AE924" s="121"/>
      <c r="AF924" s="121"/>
      <c r="AG924" s="121"/>
      <c r="AH924" s="121"/>
      <c r="AI924" s="121"/>
    </row>
    <row r="925" spans="1:35" s="115" customFormat="1" ht="14.4">
      <c r="A925" s="187"/>
      <c r="B925" s="190"/>
      <c r="C925" s="190"/>
      <c r="D925" s="69"/>
      <c r="E925" s="69"/>
      <c r="F925" s="149"/>
      <c r="G925" s="146"/>
      <c r="H925" s="98"/>
      <c r="I925" s="99"/>
      <c r="J925" s="99"/>
      <c r="K925" s="99"/>
      <c r="L925" s="99"/>
      <c r="M925" s="99"/>
      <c r="N925" s="99"/>
      <c r="O925" s="99"/>
      <c r="P925" s="99"/>
      <c r="Q925" s="99"/>
      <c r="R925" s="99"/>
      <c r="S925" s="99"/>
      <c r="T925" s="99"/>
      <c r="U925" s="105"/>
      <c r="V925" s="262"/>
      <c r="W925" s="121"/>
      <c r="X925" s="121"/>
      <c r="Y925" s="121"/>
      <c r="Z925" s="121"/>
      <c r="AA925" s="121"/>
      <c r="AB925" s="121"/>
      <c r="AC925" s="121"/>
      <c r="AD925" s="121"/>
      <c r="AE925" s="121"/>
      <c r="AF925" s="121"/>
      <c r="AG925" s="121"/>
      <c r="AH925" s="121"/>
      <c r="AI925" s="121"/>
    </row>
    <row r="926" spans="1:35" s="115" customFormat="1" ht="14.4">
      <c r="A926" s="187"/>
      <c r="B926" s="190"/>
      <c r="C926" s="190"/>
      <c r="D926" s="69"/>
      <c r="E926" s="69"/>
      <c r="F926" s="149"/>
      <c r="G926" s="146"/>
      <c r="H926" s="98"/>
      <c r="I926" s="99"/>
      <c r="J926" s="99"/>
      <c r="K926" s="99"/>
      <c r="L926" s="99"/>
      <c r="M926" s="99"/>
      <c r="N926" s="99"/>
      <c r="O926" s="99"/>
      <c r="P926" s="99"/>
      <c r="Q926" s="99"/>
      <c r="R926" s="99"/>
      <c r="S926" s="99"/>
      <c r="T926" s="99"/>
      <c r="U926" s="105"/>
      <c r="V926" s="262"/>
      <c r="W926" s="121"/>
      <c r="X926" s="121"/>
      <c r="Y926" s="121"/>
      <c r="Z926" s="121"/>
      <c r="AA926" s="121"/>
      <c r="AB926" s="121"/>
      <c r="AC926" s="121"/>
      <c r="AD926" s="121"/>
      <c r="AE926" s="121"/>
      <c r="AF926" s="121"/>
      <c r="AG926" s="121"/>
      <c r="AH926" s="121"/>
      <c r="AI926" s="121"/>
    </row>
    <row r="927" spans="1:35" s="115" customFormat="1" ht="14.4">
      <c r="A927" s="187"/>
      <c r="B927" s="190"/>
      <c r="C927" s="190"/>
      <c r="D927" s="69"/>
      <c r="E927" s="69"/>
      <c r="F927" s="149"/>
      <c r="G927" s="146"/>
      <c r="H927" s="98"/>
      <c r="I927" s="99"/>
      <c r="J927" s="99"/>
      <c r="K927" s="99"/>
      <c r="L927" s="99"/>
      <c r="M927" s="99"/>
      <c r="N927" s="99"/>
      <c r="O927" s="99"/>
      <c r="P927" s="99"/>
      <c r="Q927" s="99"/>
      <c r="R927" s="99"/>
      <c r="S927" s="99"/>
      <c r="T927" s="99"/>
      <c r="U927" s="105"/>
      <c r="V927" s="262"/>
      <c r="W927" s="121"/>
      <c r="X927" s="121"/>
      <c r="Y927" s="121"/>
      <c r="Z927" s="121"/>
      <c r="AA927" s="121"/>
      <c r="AB927" s="121"/>
      <c r="AC927" s="121"/>
      <c r="AD927" s="121"/>
      <c r="AE927" s="121"/>
      <c r="AF927" s="121"/>
      <c r="AG927" s="121"/>
      <c r="AH927" s="121"/>
      <c r="AI927" s="121"/>
    </row>
    <row r="928" spans="1:35" s="115" customFormat="1" ht="14.4">
      <c r="A928" s="187"/>
      <c r="B928" s="190"/>
      <c r="C928" s="190"/>
      <c r="D928" s="69"/>
      <c r="E928" s="69"/>
      <c r="F928" s="149"/>
      <c r="G928" s="146"/>
      <c r="H928" s="98"/>
      <c r="I928" s="99"/>
      <c r="J928" s="99"/>
      <c r="K928" s="99"/>
      <c r="L928" s="99"/>
      <c r="M928" s="99"/>
      <c r="N928" s="99"/>
      <c r="O928" s="99"/>
      <c r="P928" s="99"/>
      <c r="Q928" s="99"/>
      <c r="R928" s="99"/>
      <c r="S928" s="99"/>
      <c r="T928" s="99"/>
      <c r="U928" s="105"/>
      <c r="V928" s="262"/>
      <c r="W928" s="121"/>
      <c r="X928" s="121"/>
      <c r="Y928" s="121"/>
      <c r="Z928" s="121"/>
      <c r="AA928" s="121"/>
      <c r="AB928" s="121"/>
      <c r="AC928" s="121"/>
      <c r="AD928" s="121"/>
      <c r="AE928" s="121"/>
      <c r="AF928" s="121"/>
      <c r="AG928" s="121"/>
      <c r="AH928" s="121"/>
      <c r="AI928" s="121"/>
    </row>
    <row r="929" spans="1:35" s="115" customFormat="1" ht="14.4">
      <c r="A929" s="187"/>
      <c r="B929" s="190"/>
      <c r="C929" s="190"/>
      <c r="D929" s="69"/>
      <c r="E929" s="69"/>
      <c r="F929" s="149"/>
      <c r="G929" s="146"/>
      <c r="H929" s="98"/>
      <c r="I929" s="99"/>
      <c r="J929" s="99"/>
      <c r="K929" s="99"/>
      <c r="L929" s="99"/>
      <c r="M929" s="99"/>
      <c r="N929" s="99"/>
      <c r="O929" s="99"/>
      <c r="P929" s="99"/>
      <c r="Q929" s="99"/>
      <c r="R929" s="99"/>
      <c r="S929" s="99"/>
      <c r="T929" s="99"/>
      <c r="U929" s="105"/>
      <c r="V929" s="262"/>
      <c r="W929" s="121"/>
      <c r="X929" s="121"/>
      <c r="Y929" s="121"/>
      <c r="Z929" s="121"/>
      <c r="AA929" s="121"/>
      <c r="AB929" s="121"/>
      <c r="AC929" s="121"/>
      <c r="AD929" s="121"/>
      <c r="AE929" s="121"/>
      <c r="AF929" s="121"/>
      <c r="AG929" s="121"/>
      <c r="AH929" s="121"/>
      <c r="AI929" s="121"/>
    </row>
    <row r="930" spans="1:35" s="115" customFormat="1" ht="14.4">
      <c r="A930" s="187"/>
      <c r="B930" s="190"/>
      <c r="C930" s="190"/>
      <c r="D930" s="69"/>
      <c r="E930" s="69"/>
      <c r="F930" s="149"/>
      <c r="G930" s="146"/>
      <c r="H930" s="98"/>
      <c r="I930" s="99"/>
      <c r="J930" s="99"/>
      <c r="K930" s="99"/>
      <c r="L930" s="99"/>
      <c r="M930" s="99"/>
      <c r="N930" s="99"/>
      <c r="O930" s="99"/>
      <c r="P930" s="99"/>
      <c r="Q930" s="99"/>
      <c r="R930" s="99"/>
      <c r="S930" s="99"/>
      <c r="T930" s="99"/>
      <c r="U930" s="105"/>
      <c r="V930" s="262"/>
      <c r="W930" s="121"/>
      <c r="X930" s="121"/>
      <c r="Y930" s="121"/>
      <c r="Z930" s="121"/>
      <c r="AA930" s="121"/>
      <c r="AB930" s="121"/>
      <c r="AC930" s="121"/>
      <c r="AD930" s="121"/>
      <c r="AE930" s="121"/>
      <c r="AF930" s="121"/>
      <c r="AG930" s="121"/>
      <c r="AH930" s="121"/>
      <c r="AI930" s="121"/>
    </row>
    <row r="931" spans="1:35" s="115" customFormat="1" ht="14.4">
      <c r="A931" s="187"/>
      <c r="B931" s="190"/>
      <c r="C931" s="190"/>
      <c r="D931" s="69"/>
      <c r="E931" s="69"/>
      <c r="F931" s="149"/>
      <c r="G931" s="146"/>
      <c r="H931" s="98"/>
      <c r="I931" s="99"/>
      <c r="J931" s="99"/>
      <c r="K931" s="99"/>
      <c r="L931" s="99"/>
      <c r="M931" s="99"/>
      <c r="N931" s="99"/>
      <c r="O931" s="99"/>
      <c r="P931" s="99"/>
      <c r="Q931" s="99"/>
      <c r="R931" s="99"/>
      <c r="S931" s="99"/>
      <c r="T931" s="99"/>
      <c r="U931" s="105"/>
      <c r="V931" s="262"/>
      <c r="W931" s="121"/>
      <c r="X931" s="121"/>
      <c r="Y931" s="121"/>
      <c r="Z931" s="121"/>
      <c r="AA931" s="121"/>
      <c r="AB931" s="121"/>
      <c r="AC931" s="121"/>
      <c r="AD931" s="121"/>
      <c r="AE931" s="121"/>
      <c r="AF931" s="121"/>
      <c r="AG931" s="121"/>
      <c r="AH931" s="121"/>
      <c r="AI931" s="121"/>
    </row>
    <row r="932" spans="1:35" s="115" customFormat="1" ht="14.4">
      <c r="A932" s="187"/>
      <c r="B932" s="190"/>
      <c r="C932" s="190"/>
      <c r="D932" s="69"/>
      <c r="E932" s="69"/>
      <c r="F932" s="149"/>
      <c r="G932" s="146"/>
      <c r="H932" s="98"/>
      <c r="I932" s="99"/>
      <c r="J932" s="99"/>
      <c r="K932" s="99"/>
      <c r="L932" s="99"/>
      <c r="M932" s="99"/>
      <c r="N932" s="99"/>
      <c r="O932" s="99"/>
      <c r="P932" s="99"/>
      <c r="Q932" s="99"/>
      <c r="R932" s="99"/>
      <c r="S932" s="99"/>
      <c r="T932" s="99"/>
      <c r="U932" s="105"/>
      <c r="V932" s="262"/>
      <c r="W932" s="121"/>
      <c r="X932" s="121"/>
      <c r="Y932" s="121"/>
      <c r="Z932" s="121"/>
      <c r="AA932" s="121"/>
      <c r="AB932" s="121"/>
      <c r="AC932" s="121"/>
      <c r="AD932" s="121"/>
      <c r="AE932" s="121"/>
      <c r="AF932" s="121"/>
      <c r="AG932" s="121"/>
      <c r="AH932" s="121"/>
      <c r="AI932" s="121"/>
    </row>
    <row r="933" spans="1:35" s="115" customFormat="1" ht="14.4">
      <c r="A933" s="187"/>
      <c r="B933" s="190"/>
      <c r="C933" s="190"/>
      <c r="D933" s="69"/>
      <c r="E933" s="69"/>
      <c r="F933" s="149"/>
      <c r="G933" s="146"/>
      <c r="H933" s="98"/>
      <c r="I933" s="99"/>
      <c r="J933" s="99"/>
      <c r="K933" s="99"/>
      <c r="L933" s="99"/>
      <c r="M933" s="99"/>
      <c r="N933" s="99"/>
      <c r="O933" s="99"/>
      <c r="P933" s="99"/>
      <c r="Q933" s="99"/>
      <c r="R933" s="99"/>
      <c r="S933" s="99"/>
      <c r="T933" s="99"/>
      <c r="U933" s="105"/>
      <c r="V933" s="262"/>
      <c r="W933" s="121"/>
      <c r="X933" s="121"/>
      <c r="Y933" s="121"/>
      <c r="Z933" s="121"/>
      <c r="AA933" s="121"/>
      <c r="AB933" s="121"/>
      <c r="AC933" s="121"/>
      <c r="AD933" s="121"/>
      <c r="AE933" s="121"/>
      <c r="AF933" s="121"/>
      <c r="AG933" s="121"/>
      <c r="AH933" s="121"/>
      <c r="AI933" s="121"/>
    </row>
    <row r="934" spans="1:35" s="115" customFormat="1" ht="14.4">
      <c r="A934" s="187"/>
      <c r="B934" s="190"/>
      <c r="C934" s="190"/>
      <c r="D934" s="69"/>
      <c r="E934" s="69"/>
      <c r="F934" s="149"/>
      <c r="G934" s="146"/>
      <c r="H934" s="107"/>
      <c r="I934" s="108"/>
      <c r="J934" s="108"/>
      <c r="K934" s="108"/>
      <c r="L934" s="108"/>
      <c r="M934" s="108"/>
      <c r="N934" s="108"/>
      <c r="O934" s="108"/>
      <c r="P934" s="108"/>
      <c r="Q934" s="108"/>
      <c r="R934" s="108"/>
      <c r="S934" s="108"/>
      <c r="T934" s="108"/>
      <c r="U934" s="105"/>
      <c r="V934" s="262"/>
      <c r="W934" s="121"/>
      <c r="X934" s="121"/>
      <c r="Y934" s="121"/>
      <c r="Z934" s="121"/>
      <c r="AA934" s="121"/>
      <c r="AB934" s="121"/>
      <c r="AC934" s="121"/>
      <c r="AD934" s="121"/>
      <c r="AE934" s="121"/>
      <c r="AF934" s="121"/>
      <c r="AG934" s="121"/>
      <c r="AH934" s="121"/>
      <c r="AI934" s="121"/>
    </row>
    <row r="935" spans="1:35" s="115" customFormat="1" ht="14.4">
      <c r="A935" s="187"/>
      <c r="B935" s="190"/>
      <c r="C935" s="190"/>
      <c r="D935" s="69"/>
      <c r="E935" s="69"/>
      <c r="F935" s="149"/>
      <c r="G935" s="146"/>
      <c r="H935" s="232"/>
      <c r="I935" s="233"/>
      <c r="J935" s="233"/>
      <c r="K935" s="233"/>
      <c r="L935" s="233"/>
      <c r="M935" s="233"/>
      <c r="N935" s="233"/>
      <c r="O935" s="233"/>
      <c r="P935" s="233"/>
      <c r="Q935" s="233"/>
      <c r="R935" s="233"/>
      <c r="S935" s="233"/>
      <c r="T935" s="233"/>
      <c r="U935" s="105"/>
      <c r="V935" s="262"/>
      <c r="W935" s="121"/>
      <c r="X935" s="121"/>
      <c r="Y935" s="121"/>
      <c r="Z935" s="121"/>
      <c r="AA935" s="121"/>
      <c r="AB935" s="121"/>
      <c r="AC935" s="121"/>
      <c r="AD935" s="121"/>
      <c r="AE935" s="121"/>
      <c r="AF935" s="121"/>
      <c r="AG935" s="121"/>
      <c r="AH935" s="121"/>
      <c r="AI935" s="121"/>
    </row>
    <row r="936" spans="1:35" s="115" customFormat="1" ht="14.4">
      <c r="A936" s="187"/>
      <c r="B936" s="190"/>
      <c r="C936" s="190"/>
      <c r="D936" s="69"/>
      <c r="E936" s="69"/>
      <c r="F936" s="149"/>
      <c r="G936" s="146"/>
      <c r="H936" s="98"/>
      <c r="I936" s="99"/>
      <c r="J936" s="99"/>
      <c r="K936" s="99"/>
      <c r="L936" s="99"/>
      <c r="M936" s="99"/>
      <c r="N936" s="99"/>
      <c r="O936" s="99"/>
      <c r="P936" s="99"/>
      <c r="Q936" s="99"/>
      <c r="R936" s="99"/>
      <c r="S936" s="99"/>
      <c r="T936" s="99"/>
      <c r="U936" s="105"/>
      <c r="V936" s="262"/>
      <c r="W936" s="121"/>
      <c r="X936" s="121"/>
      <c r="Y936" s="121"/>
      <c r="Z936" s="121"/>
      <c r="AA936" s="121"/>
      <c r="AB936" s="121"/>
      <c r="AC936" s="121"/>
      <c r="AD936" s="121"/>
      <c r="AE936" s="121"/>
      <c r="AF936" s="121"/>
      <c r="AG936" s="121"/>
      <c r="AH936" s="121"/>
      <c r="AI936" s="121"/>
    </row>
    <row r="937" spans="1:35" s="115" customFormat="1" ht="24" customHeight="1">
      <c r="A937" s="187"/>
      <c r="B937" s="190"/>
      <c r="C937" s="190"/>
      <c r="D937" s="69"/>
      <c r="E937" s="69"/>
      <c r="F937" s="149"/>
      <c r="G937" s="146"/>
      <c r="H937" s="107"/>
      <c r="I937" s="108"/>
      <c r="J937" s="108"/>
      <c r="K937" s="108"/>
      <c r="L937" s="108"/>
      <c r="M937" s="108"/>
      <c r="N937" s="108"/>
      <c r="O937" s="108"/>
      <c r="P937" s="108"/>
      <c r="Q937" s="108"/>
      <c r="R937" s="108"/>
      <c r="S937" s="108"/>
      <c r="T937" s="108"/>
      <c r="U937" s="105"/>
      <c r="V937" s="262"/>
      <c r="W937" s="121"/>
      <c r="X937" s="121"/>
      <c r="Y937" s="121"/>
      <c r="Z937" s="121"/>
      <c r="AA937" s="121"/>
      <c r="AB937" s="121"/>
      <c r="AC937" s="121"/>
      <c r="AD937" s="121"/>
      <c r="AE937" s="121"/>
      <c r="AF937" s="121"/>
      <c r="AG937" s="121"/>
      <c r="AH937" s="121"/>
      <c r="AI937" s="121"/>
    </row>
    <row r="938" spans="1:35" s="115" customFormat="1" ht="14.4">
      <c r="A938" s="187"/>
      <c r="B938" s="190"/>
      <c r="C938" s="190"/>
      <c r="D938" s="69"/>
      <c r="E938" s="69"/>
      <c r="F938" s="149"/>
      <c r="G938" s="146"/>
      <c r="H938" s="98"/>
      <c r="I938" s="218"/>
      <c r="J938" s="218"/>
      <c r="K938" s="218"/>
      <c r="L938" s="218"/>
      <c r="M938" s="218"/>
      <c r="N938" s="226"/>
      <c r="O938" s="226"/>
      <c r="P938" s="226"/>
      <c r="Q938" s="111"/>
      <c r="R938" s="111"/>
      <c r="S938" s="111"/>
      <c r="T938" s="111"/>
      <c r="U938" s="105"/>
      <c r="V938" s="262"/>
      <c r="W938" s="121"/>
      <c r="X938" s="121"/>
      <c r="Y938" s="121"/>
      <c r="Z938" s="121"/>
      <c r="AA938" s="121"/>
      <c r="AB938" s="121"/>
      <c r="AC938" s="121"/>
      <c r="AD938" s="121"/>
      <c r="AE938" s="121"/>
      <c r="AF938" s="121"/>
      <c r="AG938" s="121"/>
      <c r="AH938" s="121"/>
      <c r="AI938" s="121"/>
    </row>
    <row r="939" spans="1:35" s="115" customFormat="1" ht="14.4">
      <c r="A939" s="187"/>
      <c r="B939" s="190"/>
      <c r="C939" s="190"/>
      <c r="D939" s="69"/>
      <c r="E939" s="69"/>
      <c r="F939" s="149"/>
      <c r="G939" s="146"/>
      <c r="H939" s="98"/>
      <c r="I939" s="99"/>
      <c r="J939" s="99"/>
      <c r="K939" s="99"/>
      <c r="L939" s="99"/>
      <c r="M939" s="99"/>
      <c r="N939" s="99"/>
      <c r="O939" s="99"/>
      <c r="P939" s="99"/>
      <c r="Q939" s="99"/>
      <c r="R939" s="99"/>
      <c r="S939" s="99"/>
      <c r="T939" s="99"/>
      <c r="U939" s="105"/>
      <c r="V939" s="262"/>
      <c r="W939" s="121"/>
      <c r="X939" s="121"/>
      <c r="Y939" s="121"/>
      <c r="Z939" s="121"/>
      <c r="AA939" s="121"/>
      <c r="AB939" s="121"/>
      <c r="AC939" s="121"/>
      <c r="AD939" s="121"/>
      <c r="AE939" s="121"/>
      <c r="AF939" s="121"/>
      <c r="AG939" s="121"/>
      <c r="AH939" s="121"/>
      <c r="AI939" s="121"/>
    </row>
    <row r="940" spans="1:35" s="115" customFormat="1" ht="14.4">
      <c r="A940" s="187"/>
      <c r="B940" s="190"/>
      <c r="C940" s="190"/>
      <c r="D940" s="69"/>
      <c r="E940" s="69"/>
      <c r="F940" s="149"/>
      <c r="G940" s="146"/>
      <c r="H940" s="98"/>
      <c r="I940" s="99"/>
      <c r="J940" s="99"/>
      <c r="K940" s="99"/>
      <c r="L940" s="99"/>
      <c r="M940" s="99"/>
      <c r="N940" s="99"/>
      <c r="O940" s="99"/>
      <c r="P940" s="99"/>
      <c r="Q940" s="99"/>
      <c r="R940" s="99"/>
      <c r="S940" s="99"/>
      <c r="T940" s="99"/>
      <c r="U940" s="105"/>
      <c r="V940" s="262"/>
      <c r="W940" s="121"/>
      <c r="X940" s="121"/>
      <c r="Y940" s="121"/>
      <c r="Z940" s="121"/>
      <c r="AA940" s="121"/>
      <c r="AB940" s="121"/>
      <c r="AC940" s="121"/>
      <c r="AD940" s="121"/>
      <c r="AE940" s="121"/>
      <c r="AF940" s="121"/>
      <c r="AG940" s="121"/>
      <c r="AH940" s="121"/>
      <c r="AI940" s="121"/>
    </row>
    <row r="941" spans="1:35" s="115" customFormat="1" ht="14.4">
      <c r="A941" s="187"/>
      <c r="B941" s="190"/>
      <c r="C941" s="190"/>
      <c r="D941" s="69"/>
      <c r="E941" s="69"/>
      <c r="F941" s="149"/>
      <c r="G941" s="146"/>
      <c r="H941" s="107"/>
      <c r="I941" s="108"/>
      <c r="J941" s="108"/>
      <c r="K941" s="108"/>
      <c r="L941" s="108"/>
      <c r="M941" s="108"/>
      <c r="N941" s="108"/>
      <c r="O941" s="108"/>
      <c r="P941" s="108"/>
      <c r="Q941" s="108"/>
      <c r="R941" s="108"/>
      <c r="S941" s="108"/>
      <c r="T941" s="108"/>
      <c r="U941" s="105"/>
      <c r="V941" s="262"/>
      <c r="W941" s="121"/>
      <c r="X941" s="121"/>
      <c r="Y941" s="121"/>
      <c r="Z941" s="121"/>
      <c r="AA941" s="121"/>
      <c r="AB941" s="121"/>
      <c r="AC941" s="121"/>
      <c r="AD941" s="121"/>
      <c r="AE941" s="121"/>
      <c r="AF941" s="121"/>
      <c r="AG941" s="121"/>
      <c r="AH941" s="121"/>
      <c r="AI941" s="121"/>
    </row>
    <row r="942" spans="1:35" s="115" customFormat="1" ht="14.4">
      <c r="A942" s="187"/>
      <c r="B942" s="190"/>
      <c r="C942" s="190"/>
      <c r="D942" s="69"/>
      <c r="E942" s="69"/>
      <c r="F942" s="149"/>
      <c r="G942" s="146"/>
      <c r="H942" s="98"/>
      <c r="I942" s="218"/>
      <c r="J942" s="218"/>
      <c r="K942" s="218"/>
      <c r="L942" s="218"/>
      <c r="M942" s="218"/>
      <c r="N942" s="226"/>
      <c r="O942" s="226"/>
      <c r="P942" s="226"/>
      <c r="Q942" s="111"/>
      <c r="R942" s="111"/>
      <c r="S942" s="111"/>
      <c r="T942" s="111"/>
      <c r="U942" s="105"/>
      <c r="V942" s="262"/>
      <c r="W942" s="121"/>
      <c r="X942" s="121"/>
      <c r="Y942" s="121"/>
      <c r="Z942" s="121"/>
      <c r="AA942" s="121"/>
      <c r="AB942" s="121"/>
      <c r="AC942" s="121"/>
      <c r="AD942" s="121"/>
      <c r="AE942" s="121"/>
      <c r="AF942" s="121"/>
      <c r="AG942" s="121"/>
      <c r="AH942" s="121"/>
      <c r="AI942" s="121"/>
    </row>
    <row r="943" spans="1:35" s="115" customFormat="1" ht="14.4">
      <c r="A943" s="187"/>
      <c r="B943" s="190"/>
      <c r="C943" s="190"/>
      <c r="D943" s="69"/>
      <c r="E943" s="69"/>
      <c r="F943" s="149"/>
      <c r="G943" s="146"/>
      <c r="H943" s="114"/>
      <c r="I943" s="108"/>
      <c r="J943" s="108"/>
      <c r="K943" s="108"/>
      <c r="L943" s="108"/>
      <c r="M943" s="108"/>
      <c r="N943" s="108"/>
      <c r="O943" s="108"/>
      <c r="P943" s="108"/>
      <c r="Q943" s="108"/>
      <c r="R943" s="108"/>
      <c r="S943" s="108"/>
      <c r="T943" s="108"/>
      <c r="U943" s="105"/>
      <c r="V943" s="262"/>
      <c r="W943" s="121"/>
      <c r="X943" s="121"/>
      <c r="Y943" s="121"/>
      <c r="Z943" s="121"/>
      <c r="AA943" s="121"/>
      <c r="AB943" s="121"/>
      <c r="AC943" s="121"/>
      <c r="AD943" s="121"/>
      <c r="AE943" s="121"/>
      <c r="AF943" s="121"/>
      <c r="AG943" s="121"/>
      <c r="AH943" s="121"/>
      <c r="AI943" s="121"/>
    </row>
    <row r="944" spans="1:35" s="115" customFormat="1" ht="15" thickBot="1">
      <c r="A944" s="187"/>
      <c r="B944" s="190"/>
      <c r="C944" s="190"/>
      <c r="D944" s="69"/>
      <c r="E944" s="69"/>
      <c r="F944" s="149"/>
      <c r="G944" s="146"/>
      <c r="H944" s="98"/>
      <c r="I944" s="218"/>
      <c r="J944" s="218"/>
      <c r="K944" s="218"/>
      <c r="L944" s="218"/>
      <c r="M944" s="218"/>
      <c r="N944" s="96"/>
      <c r="O944" s="96"/>
      <c r="P944" s="96"/>
      <c r="Q944" s="212"/>
      <c r="R944" s="212"/>
      <c r="S944" s="212"/>
      <c r="T944" s="212"/>
      <c r="U944" s="105"/>
      <c r="V944" s="262"/>
      <c r="W944" s="121"/>
      <c r="X944" s="121"/>
      <c r="Y944" s="121"/>
      <c r="Z944" s="121"/>
      <c r="AA944" s="121"/>
      <c r="AB944" s="121"/>
      <c r="AC944" s="121"/>
      <c r="AD944" s="121"/>
      <c r="AE944" s="121"/>
      <c r="AF944" s="121"/>
      <c r="AG944" s="121"/>
      <c r="AH944" s="121"/>
      <c r="AI944" s="121"/>
    </row>
    <row r="945" spans="1:35" s="115" customFormat="1" ht="23.4" thickBot="1">
      <c r="A945" s="187"/>
      <c r="B945" s="190"/>
      <c r="C945" s="190"/>
      <c r="D945" s="69"/>
      <c r="E945" s="69"/>
      <c r="F945" s="149"/>
      <c r="G945" s="146"/>
      <c r="H945" s="686"/>
      <c r="I945" s="687"/>
      <c r="J945" s="687"/>
      <c r="K945" s="687"/>
      <c r="L945" s="687"/>
      <c r="M945" s="687"/>
      <c r="N945" s="687"/>
      <c r="O945" s="687"/>
      <c r="P945" s="687"/>
      <c r="Q945" s="687"/>
      <c r="R945" s="687"/>
      <c r="S945" s="687"/>
      <c r="T945" s="688"/>
      <c r="U945" s="105"/>
      <c r="V945" s="262"/>
      <c r="W945" s="121"/>
      <c r="X945" s="121"/>
      <c r="Y945" s="121"/>
      <c r="Z945" s="121"/>
      <c r="AA945" s="121"/>
      <c r="AB945" s="121"/>
      <c r="AC945" s="121"/>
      <c r="AD945" s="121"/>
      <c r="AE945" s="121"/>
      <c r="AF945" s="121"/>
      <c r="AG945" s="121"/>
      <c r="AH945" s="121"/>
      <c r="AI945" s="121"/>
    </row>
    <row r="946" spans="1:35" s="115" customFormat="1" ht="22.8">
      <c r="A946" s="187"/>
      <c r="B946" s="190"/>
      <c r="C946" s="190"/>
      <c r="D946" s="69"/>
      <c r="E946" s="69"/>
      <c r="F946" s="149"/>
      <c r="G946" s="146"/>
      <c r="H946" s="225"/>
      <c r="I946" s="225"/>
      <c r="J946" s="225"/>
      <c r="K946" s="225"/>
      <c r="L946" s="225"/>
      <c r="M946" s="225"/>
      <c r="N946" s="225"/>
      <c r="O946" s="225"/>
      <c r="P946" s="225"/>
      <c r="Q946" s="225"/>
      <c r="R946" s="225"/>
      <c r="S946" s="225"/>
      <c r="T946" s="225"/>
      <c r="U946" s="105"/>
      <c r="V946" s="262"/>
      <c r="W946" s="121"/>
      <c r="X946" s="121"/>
      <c r="Y946" s="121"/>
      <c r="Z946" s="121"/>
      <c r="AA946" s="121"/>
      <c r="AB946" s="121"/>
      <c r="AC946" s="121"/>
      <c r="AD946" s="121"/>
      <c r="AE946" s="121"/>
      <c r="AF946" s="121"/>
      <c r="AG946" s="121"/>
      <c r="AH946" s="121"/>
      <c r="AI946" s="121"/>
    </row>
    <row r="947" spans="1:35" s="115" customFormat="1" ht="14.4">
      <c r="A947" s="187"/>
      <c r="B947" s="190"/>
      <c r="C947" s="190"/>
      <c r="D947" s="69"/>
      <c r="E947" s="69"/>
      <c r="F947" s="149"/>
      <c r="G947" s="146"/>
      <c r="H947" s="98"/>
      <c r="I947" s="99"/>
      <c r="J947" s="99"/>
      <c r="K947" s="99"/>
      <c r="L947" s="99"/>
      <c r="M947" s="99"/>
      <c r="N947" s="99"/>
      <c r="O947" s="99"/>
      <c r="P947" s="99"/>
      <c r="Q947" s="99"/>
      <c r="R947" s="99"/>
      <c r="S947" s="99"/>
      <c r="T947" s="99"/>
      <c r="U947" s="105"/>
      <c r="V947" s="262"/>
      <c r="W947" s="121"/>
      <c r="X947" s="121"/>
      <c r="Y947" s="121"/>
      <c r="Z947" s="121"/>
      <c r="AA947" s="121"/>
      <c r="AB947" s="121"/>
      <c r="AC947" s="121"/>
      <c r="AD947" s="121"/>
      <c r="AE947" s="121"/>
      <c r="AF947" s="121"/>
      <c r="AG947" s="121"/>
      <c r="AH947" s="121"/>
      <c r="AI947" s="121"/>
    </row>
    <row r="948" spans="1:35" s="115" customFormat="1" ht="14.4">
      <c r="A948" s="187"/>
      <c r="B948" s="190"/>
      <c r="C948" s="190"/>
      <c r="D948" s="69"/>
      <c r="E948" s="69"/>
      <c r="F948" s="149"/>
      <c r="G948" s="146"/>
      <c r="H948" s="98"/>
      <c r="I948" s="99"/>
      <c r="J948" s="99"/>
      <c r="K948" s="99"/>
      <c r="L948" s="99"/>
      <c r="M948" s="99"/>
      <c r="N948" s="99"/>
      <c r="O948" s="99"/>
      <c r="P948" s="99"/>
      <c r="Q948" s="99"/>
      <c r="R948" s="99"/>
      <c r="S948" s="99"/>
      <c r="T948" s="99"/>
      <c r="U948" s="105"/>
      <c r="V948" s="262"/>
      <c r="W948" s="121"/>
      <c r="X948" s="121"/>
      <c r="Y948" s="121"/>
      <c r="Z948" s="121"/>
      <c r="AA948" s="121"/>
      <c r="AB948" s="121"/>
      <c r="AC948" s="121"/>
      <c r="AD948" s="121"/>
      <c r="AE948" s="121"/>
      <c r="AF948" s="121"/>
      <c r="AG948" s="121"/>
      <c r="AH948" s="121"/>
      <c r="AI948" s="121"/>
    </row>
    <row r="949" spans="1:35" s="115" customFormat="1" ht="14.4">
      <c r="A949" s="187"/>
      <c r="B949" s="190"/>
      <c r="C949" s="190"/>
      <c r="D949" s="69"/>
      <c r="E949" s="69"/>
      <c r="F949" s="149"/>
      <c r="G949" s="146"/>
      <c r="H949" s="98"/>
      <c r="I949" s="99"/>
      <c r="J949" s="99"/>
      <c r="K949" s="99"/>
      <c r="L949" s="99"/>
      <c r="M949" s="99"/>
      <c r="N949" s="99"/>
      <c r="O949" s="99"/>
      <c r="P949" s="99"/>
      <c r="Q949" s="99"/>
      <c r="R949" s="99"/>
      <c r="S949" s="99"/>
      <c r="T949" s="99"/>
      <c r="U949" s="105"/>
      <c r="V949" s="262"/>
      <c r="W949" s="121"/>
      <c r="X949" s="121"/>
      <c r="Y949" s="121"/>
      <c r="Z949" s="121"/>
      <c r="AA949" s="121"/>
      <c r="AB949" s="121"/>
      <c r="AC949" s="121"/>
      <c r="AD949" s="121"/>
      <c r="AE949" s="121"/>
      <c r="AF949" s="121"/>
      <c r="AG949" s="121"/>
      <c r="AH949" s="121"/>
      <c r="AI949" s="121"/>
    </row>
    <row r="950" spans="1:35" s="115" customFormat="1" ht="14.4">
      <c r="A950" s="187"/>
      <c r="B950" s="190"/>
      <c r="C950" s="190"/>
      <c r="D950" s="69"/>
      <c r="E950" s="69"/>
      <c r="F950" s="149"/>
      <c r="G950" s="146"/>
      <c r="H950" s="98"/>
      <c r="I950" s="99"/>
      <c r="J950" s="99"/>
      <c r="K950" s="99"/>
      <c r="L950" s="99"/>
      <c r="M950" s="99"/>
      <c r="N950" s="99"/>
      <c r="O950" s="99"/>
      <c r="P950" s="99"/>
      <c r="Q950" s="99"/>
      <c r="R950" s="99"/>
      <c r="S950" s="99"/>
      <c r="T950" s="99"/>
      <c r="U950" s="105"/>
      <c r="V950" s="262"/>
      <c r="W950" s="121"/>
      <c r="X950" s="121"/>
      <c r="Y950" s="121"/>
      <c r="Z950" s="121"/>
      <c r="AA950" s="121"/>
      <c r="AB950" s="121"/>
      <c r="AC950" s="121"/>
      <c r="AD950" s="121"/>
      <c r="AE950" s="121"/>
      <c r="AF950" s="121"/>
      <c r="AG950" s="121"/>
      <c r="AH950" s="121"/>
      <c r="AI950" s="121"/>
    </row>
    <row r="951" spans="1:35" s="115" customFormat="1" ht="14.4">
      <c r="A951" s="187"/>
      <c r="B951" s="190"/>
      <c r="C951" s="190"/>
      <c r="D951" s="69"/>
      <c r="E951" s="69"/>
      <c r="F951" s="149"/>
      <c r="G951" s="146"/>
      <c r="H951" s="98"/>
      <c r="I951" s="99"/>
      <c r="J951" s="99"/>
      <c r="K951" s="99"/>
      <c r="L951" s="99"/>
      <c r="M951" s="99"/>
      <c r="N951" s="99"/>
      <c r="O951" s="99"/>
      <c r="P951" s="99"/>
      <c r="Q951" s="99"/>
      <c r="R951" s="99"/>
      <c r="S951" s="99"/>
      <c r="T951" s="99"/>
      <c r="U951" s="105"/>
      <c r="V951" s="262"/>
      <c r="W951" s="121"/>
      <c r="X951" s="121"/>
      <c r="Y951" s="121"/>
      <c r="Z951" s="121"/>
      <c r="AA951" s="121"/>
      <c r="AB951" s="121"/>
      <c r="AC951" s="121"/>
      <c r="AD951" s="121"/>
      <c r="AE951" s="121"/>
      <c r="AF951" s="121"/>
      <c r="AG951" s="121"/>
      <c r="AH951" s="121"/>
      <c r="AI951" s="121"/>
    </row>
    <row r="952" spans="1:35" s="115" customFormat="1" ht="14.4">
      <c r="A952" s="187"/>
      <c r="B952" s="190"/>
      <c r="C952" s="190"/>
      <c r="D952" s="69"/>
      <c r="E952" s="69"/>
      <c r="F952" s="149"/>
      <c r="G952" s="146"/>
      <c r="H952" s="98"/>
      <c r="I952" s="99"/>
      <c r="J952" s="99"/>
      <c r="K952" s="99"/>
      <c r="L952" s="99"/>
      <c r="M952" s="99"/>
      <c r="N952" s="99"/>
      <c r="O952" s="99"/>
      <c r="P952" s="99"/>
      <c r="Q952" s="99"/>
      <c r="R952" s="99"/>
      <c r="S952" s="99"/>
      <c r="T952" s="99"/>
      <c r="U952" s="105"/>
      <c r="V952" s="262"/>
      <c r="W952" s="121"/>
      <c r="X952" s="121"/>
      <c r="Y952" s="121"/>
      <c r="Z952" s="121"/>
      <c r="AA952" s="121"/>
      <c r="AB952" s="121"/>
      <c r="AC952" s="121"/>
      <c r="AD952" s="121"/>
      <c r="AE952" s="121"/>
      <c r="AF952" s="121"/>
      <c r="AG952" s="121"/>
      <c r="AH952" s="121"/>
      <c r="AI952" s="121"/>
    </row>
    <row r="953" spans="1:35" s="115" customFormat="1" ht="14.4">
      <c r="A953" s="187"/>
      <c r="B953" s="190"/>
      <c r="C953" s="190"/>
      <c r="D953" s="69"/>
      <c r="E953" s="69"/>
      <c r="F953" s="149"/>
      <c r="G953" s="146"/>
      <c r="H953" s="98"/>
      <c r="I953" s="99"/>
      <c r="J953" s="99"/>
      <c r="K953" s="99"/>
      <c r="L953" s="99"/>
      <c r="M953" s="99"/>
      <c r="N953" s="99"/>
      <c r="O953" s="99"/>
      <c r="P953" s="99"/>
      <c r="Q953" s="99"/>
      <c r="R953" s="99"/>
      <c r="S953" s="99"/>
      <c r="T953" s="99"/>
      <c r="U953" s="105"/>
      <c r="V953" s="262"/>
      <c r="W953" s="121"/>
      <c r="X953" s="121"/>
      <c r="Y953" s="121"/>
      <c r="Z953" s="121"/>
      <c r="AA953" s="121"/>
      <c r="AB953" s="121"/>
      <c r="AC953" s="121"/>
      <c r="AD953" s="121"/>
      <c r="AE953" s="121"/>
      <c r="AF953" s="121"/>
      <c r="AG953" s="121"/>
      <c r="AH953" s="121"/>
      <c r="AI953" s="121"/>
    </row>
    <row r="954" spans="1:35" s="115" customFormat="1" ht="14.4">
      <c r="A954" s="187"/>
      <c r="B954" s="190"/>
      <c r="C954" s="190"/>
      <c r="D954" s="69"/>
      <c r="E954" s="69"/>
      <c r="F954" s="149"/>
      <c r="G954" s="146"/>
      <c r="H954" s="98"/>
      <c r="I954" s="99"/>
      <c r="J954" s="99"/>
      <c r="K954" s="99"/>
      <c r="L954" s="99"/>
      <c r="M954" s="99"/>
      <c r="N954" s="99"/>
      <c r="O954" s="99"/>
      <c r="P954" s="99"/>
      <c r="Q954" s="99"/>
      <c r="R954" s="99"/>
      <c r="S954" s="99"/>
      <c r="T954" s="99"/>
      <c r="U954" s="105"/>
      <c r="V954" s="262"/>
      <c r="W954" s="121"/>
      <c r="X954" s="121"/>
      <c r="Y954" s="121"/>
      <c r="Z954" s="121"/>
      <c r="AA954" s="121"/>
      <c r="AB954" s="121"/>
      <c r="AC954" s="121"/>
      <c r="AD954" s="121"/>
      <c r="AE954" s="121"/>
      <c r="AF954" s="121"/>
      <c r="AG954" s="121"/>
      <c r="AH954" s="121"/>
      <c r="AI954" s="121"/>
    </row>
    <row r="955" spans="1:35" s="115" customFormat="1" ht="14.4">
      <c r="A955" s="187"/>
      <c r="B955" s="190"/>
      <c r="C955" s="190"/>
      <c r="D955" s="69"/>
      <c r="E955" s="69"/>
      <c r="F955" s="149"/>
      <c r="G955" s="146"/>
      <c r="H955" s="98"/>
      <c r="I955" s="99"/>
      <c r="J955" s="99"/>
      <c r="K955" s="99"/>
      <c r="L955" s="99"/>
      <c r="M955" s="99"/>
      <c r="N955" s="99"/>
      <c r="O955" s="99"/>
      <c r="P955" s="99"/>
      <c r="Q955" s="99"/>
      <c r="R955" s="99"/>
      <c r="S955" s="99"/>
      <c r="T955" s="99"/>
      <c r="U955" s="105"/>
      <c r="V955" s="262"/>
      <c r="W955" s="121"/>
      <c r="X955" s="121"/>
      <c r="Y955" s="121"/>
      <c r="Z955" s="121"/>
      <c r="AA955" s="121"/>
      <c r="AB955" s="121"/>
      <c r="AC955" s="121"/>
      <c r="AD955" s="121"/>
      <c r="AE955" s="121"/>
      <c r="AF955" s="121"/>
      <c r="AG955" s="121"/>
      <c r="AH955" s="121"/>
      <c r="AI955" s="121"/>
    </row>
    <row r="956" spans="1:35" s="115" customFormat="1" ht="14.4">
      <c r="A956" s="187"/>
      <c r="B956" s="190"/>
      <c r="C956" s="190"/>
      <c r="D956" s="69"/>
      <c r="E956" s="69"/>
      <c r="F956" s="149"/>
      <c r="G956" s="146"/>
      <c r="H956" s="98"/>
      <c r="I956" s="99"/>
      <c r="J956" s="99"/>
      <c r="K956" s="99"/>
      <c r="L956" s="99"/>
      <c r="M956" s="99"/>
      <c r="N956" s="99"/>
      <c r="O956" s="99"/>
      <c r="P956" s="99"/>
      <c r="Q956" s="99"/>
      <c r="R956" s="99"/>
      <c r="S956" s="99"/>
      <c r="T956" s="99"/>
      <c r="U956" s="105"/>
      <c r="V956" s="262"/>
      <c r="W956" s="121"/>
      <c r="X956" s="121"/>
      <c r="Y956" s="121"/>
      <c r="Z956" s="121"/>
      <c r="AA956" s="121"/>
      <c r="AB956" s="121"/>
      <c r="AC956" s="121"/>
      <c r="AD956" s="121"/>
      <c r="AE956" s="121"/>
      <c r="AF956" s="121"/>
      <c r="AG956" s="121"/>
      <c r="AH956" s="121"/>
      <c r="AI956" s="121"/>
    </row>
    <row r="957" spans="1:35" s="115" customFormat="1" ht="14.4">
      <c r="A957" s="187"/>
      <c r="B957" s="190"/>
      <c r="C957" s="190"/>
      <c r="D957" s="69"/>
      <c r="E957" s="69"/>
      <c r="F957" s="149"/>
      <c r="G957" s="146"/>
      <c r="H957" s="98"/>
      <c r="I957" s="99"/>
      <c r="J957" s="99"/>
      <c r="K957" s="99"/>
      <c r="L957" s="99"/>
      <c r="M957" s="99"/>
      <c r="N957" s="99"/>
      <c r="O957" s="99"/>
      <c r="P957" s="99"/>
      <c r="Q957" s="99"/>
      <c r="R957" s="99"/>
      <c r="S957" s="99"/>
      <c r="T957" s="99"/>
      <c r="U957" s="105"/>
      <c r="V957" s="262"/>
      <c r="W957" s="121"/>
      <c r="X957" s="121"/>
      <c r="Y957" s="121"/>
      <c r="Z957" s="121"/>
      <c r="AA957" s="121"/>
      <c r="AB957" s="121"/>
      <c r="AC957" s="121"/>
      <c r="AD957" s="121"/>
      <c r="AE957" s="121"/>
      <c r="AF957" s="121"/>
      <c r="AG957" s="121"/>
      <c r="AH957" s="121"/>
      <c r="AI957" s="121"/>
    </row>
    <row r="958" spans="1:35" s="115" customFormat="1" ht="14.4">
      <c r="A958" s="187"/>
      <c r="B958" s="190"/>
      <c r="C958" s="190"/>
      <c r="D958" s="69"/>
      <c r="E958" s="69"/>
      <c r="F958" s="149"/>
      <c r="G958" s="146"/>
      <c r="H958" s="98"/>
      <c r="I958" s="99"/>
      <c r="J958" s="99"/>
      <c r="K958" s="99"/>
      <c r="L958" s="99"/>
      <c r="M958" s="99"/>
      <c r="N958" s="99"/>
      <c r="O958" s="99"/>
      <c r="P958" s="99"/>
      <c r="Q958" s="99"/>
      <c r="R958" s="99"/>
      <c r="S958" s="99"/>
      <c r="T958" s="99"/>
      <c r="U958" s="105"/>
      <c r="V958" s="262"/>
      <c r="W958" s="121"/>
      <c r="X958" s="121"/>
      <c r="Y958" s="121"/>
      <c r="Z958" s="121"/>
      <c r="AA958" s="121"/>
      <c r="AB958" s="121"/>
      <c r="AC958" s="121"/>
      <c r="AD958" s="121"/>
      <c r="AE958" s="121"/>
      <c r="AF958" s="121"/>
      <c r="AG958" s="121"/>
      <c r="AH958" s="121"/>
      <c r="AI958" s="121"/>
    </row>
    <row r="959" spans="1:35" s="115" customFormat="1" ht="14.4">
      <c r="A959" s="187"/>
      <c r="B959" s="190"/>
      <c r="C959" s="190"/>
      <c r="D959" s="69"/>
      <c r="E959" s="69"/>
      <c r="F959" s="149"/>
      <c r="G959" s="146"/>
      <c r="H959" s="98"/>
      <c r="I959" s="99"/>
      <c r="J959" s="99"/>
      <c r="K959" s="99"/>
      <c r="L959" s="99"/>
      <c r="M959" s="99"/>
      <c r="N959" s="99"/>
      <c r="O959" s="99"/>
      <c r="P959" s="99"/>
      <c r="Q959" s="99"/>
      <c r="R959" s="99"/>
      <c r="S959" s="99"/>
      <c r="T959" s="99"/>
      <c r="U959" s="105"/>
      <c r="V959" s="262"/>
      <c r="W959" s="121"/>
      <c r="X959" s="121"/>
      <c r="Y959" s="121"/>
      <c r="Z959" s="121"/>
      <c r="AA959" s="121"/>
      <c r="AB959" s="121"/>
      <c r="AC959" s="121"/>
      <c r="AD959" s="121"/>
      <c r="AE959" s="121"/>
      <c r="AF959" s="121"/>
      <c r="AG959" s="121"/>
      <c r="AH959" s="121"/>
      <c r="AI959" s="121"/>
    </row>
    <row r="960" spans="1:35" s="115" customFormat="1" ht="14.4">
      <c r="A960" s="187"/>
      <c r="B960" s="190"/>
      <c r="C960" s="190"/>
      <c r="D960" s="69"/>
      <c r="E960" s="69"/>
      <c r="F960" s="149"/>
      <c r="G960" s="146"/>
      <c r="H960" s="107"/>
      <c r="I960" s="108"/>
      <c r="J960" s="108"/>
      <c r="K960" s="108"/>
      <c r="L960" s="108"/>
      <c r="M960" s="108"/>
      <c r="N960" s="109"/>
      <c r="O960" s="109"/>
      <c r="P960" s="109"/>
      <c r="Q960" s="109"/>
      <c r="R960" s="109"/>
      <c r="S960" s="109"/>
      <c r="T960" s="109"/>
      <c r="U960" s="105"/>
      <c r="V960" s="262"/>
      <c r="W960" s="121"/>
      <c r="X960" s="121"/>
      <c r="Y960" s="121"/>
      <c r="Z960" s="121"/>
      <c r="AA960" s="121"/>
      <c r="AB960" s="121"/>
      <c r="AC960" s="121"/>
      <c r="AD960" s="121"/>
      <c r="AE960" s="121"/>
      <c r="AF960" s="121"/>
      <c r="AG960" s="121"/>
      <c r="AH960" s="121"/>
      <c r="AI960" s="121"/>
    </row>
    <row r="961" spans="1:35" s="115" customFormat="1" ht="14.4">
      <c r="A961" s="187"/>
      <c r="B961" s="190"/>
      <c r="C961" s="190"/>
      <c r="D961" s="69"/>
      <c r="E961" s="69"/>
      <c r="F961" s="149"/>
      <c r="G961" s="146"/>
      <c r="H961" s="98"/>
      <c r="I961" s="106"/>
      <c r="J961" s="106"/>
      <c r="K961" s="106"/>
      <c r="L961" s="106"/>
      <c r="M961" s="106"/>
      <c r="N961" s="110"/>
      <c r="O961" s="110"/>
      <c r="P961" s="110"/>
      <c r="Q961" s="111"/>
      <c r="R961" s="111"/>
      <c r="S961" s="111"/>
      <c r="T961" s="111"/>
      <c r="U961" s="105"/>
      <c r="V961" s="262"/>
      <c r="W961" s="121"/>
      <c r="X961" s="121"/>
      <c r="Y961" s="121"/>
      <c r="Z961" s="121"/>
      <c r="AA961" s="121"/>
      <c r="AB961" s="121"/>
      <c r="AC961" s="121"/>
      <c r="AD961" s="121"/>
      <c r="AE961" s="121"/>
      <c r="AF961" s="121"/>
      <c r="AG961" s="121"/>
      <c r="AH961" s="121"/>
      <c r="AI961" s="121"/>
    </row>
    <row r="962" spans="1:35" s="115" customFormat="1" ht="14.4">
      <c r="A962" s="187"/>
      <c r="B962" s="190"/>
      <c r="C962" s="190"/>
      <c r="D962" s="69"/>
      <c r="E962" s="69"/>
      <c r="F962" s="149"/>
      <c r="G962" s="146"/>
      <c r="H962" s="98"/>
      <c r="I962" s="99"/>
      <c r="J962" s="99"/>
      <c r="K962" s="99"/>
      <c r="L962" s="99"/>
      <c r="M962" s="99"/>
      <c r="N962" s="99"/>
      <c r="O962" s="99"/>
      <c r="P962" s="99"/>
      <c r="Q962" s="99"/>
      <c r="R962" s="99"/>
      <c r="S962" s="99"/>
      <c r="T962" s="99"/>
      <c r="U962" s="105"/>
      <c r="V962" s="262"/>
      <c r="W962" s="121"/>
      <c r="X962" s="121"/>
      <c r="Y962" s="121"/>
      <c r="Z962" s="121"/>
      <c r="AA962" s="121"/>
      <c r="AB962" s="121"/>
      <c r="AC962" s="121"/>
      <c r="AD962" s="121"/>
      <c r="AE962" s="121"/>
      <c r="AF962" s="121"/>
      <c r="AG962" s="121"/>
      <c r="AH962" s="121"/>
      <c r="AI962" s="121"/>
    </row>
    <row r="963" spans="1:35" s="115" customFormat="1" ht="14.4">
      <c r="A963" s="187"/>
      <c r="B963" s="190"/>
      <c r="C963" s="190"/>
      <c r="D963" s="69"/>
      <c r="E963" s="69"/>
      <c r="F963" s="149"/>
      <c r="G963" s="146"/>
      <c r="H963" s="98"/>
      <c r="I963" s="99"/>
      <c r="J963" s="99"/>
      <c r="K963" s="99"/>
      <c r="L963" s="99"/>
      <c r="M963" s="99"/>
      <c r="N963" s="99"/>
      <c r="O963" s="99"/>
      <c r="P963" s="99"/>
      <c r="Q963" s="99"/>
      <c r="R963" s="99"/>
      <c r="S963" s="99"/>
      <c r="T963" s="99"/>
      <c r="U963" s="105"/>
      <c r="V963" s="262"/>
      <c r="W963" s="121"/>
      <c r="X963" s="121"/>
      <c r="Y963" s="121"/>
      <c r="Z963" s="121"/>
      <c r="AA963" s="121"/>
      <c r="AB963" s="121"/>
      <c r="AC963" s="121"/>
      <c r="AD963" s="121"/>
      <c r="AE963" s="121"/>
      <c r="AF963" s="121"/>
      <c r="AG963" s="121"/>
      <c r="AH963" s="121"/>
      <c r="AI963" s="121"/>
    </row>
    <row r="964" spans="1:35" s="115" customFormat="1" ht="14.4">
      <c r="A964" s="187"/>
      <c r="B964" s="190"/>
      <c r="C964" s="190"/>
      <c r="D964" s="69"/>
      <c r="E964" s="69"/>
      <c r="F964" s="149"/>
      <c r="G964" s="146"/>
      <c r="H964" s="98"/>
      <c r="I964" s="99"/>
      <c r="J964" s="99"/>
      <c r="K964" s="99"/>
      <c r="L964" s="99"/>
      <c r="M964" s="99"/>
      <c r="N964" s="99"/>
      <c r="O964" s="99"/>
      <c r="P964" s="99"/>
      <c r="Q964" s="99"/>
      <c r="R964" s="99"/>
      <c r="S964" s="99"/>
      <c r="T964" s="99"/>
      <c r="U964" s="105"/>
      <c r="V964" s="262"/>
      <c r="W964" s="121"/>
      <c r="X964" s="121"/>
      <c r="Y964" s="121"/>
      <c r="Z964" s="121"/>
      <c r="AA964" s="121"/>
      <c r="AB964" s="121"/>
      <c r="AC964" s="121"/>
      <c r="AD964" s="121"/>
      <c r="AE964" s="121"/>
      <c r="AF964" s="121"/>
      <c r="AG964" s="121"/>
      <c r="AH964" s="121"/>
      <c r="AI964" s="121"/>
    </row>
    <row r="965" spans="1:35" s="115" customFormat="1" ht="14.4">
      <c r="A965" s="187"/>
      <c r="B965" s="190"/>
      <c r="C965" s="190"/>
      <c r="D965" s="69"/>
      <c r="E965" s="69"/>
      <c r="F965" s="149"/>
      <c r="G965" s="146"/>
      <c r="H965" s="98"/>
      <c r="I965" s="99"/>
      <c r="J965" s="99"/>
      <c r="K965" s="99"/>
      <c r="L965" s="99"/>
      <c r="M965" s="99"/>
      <c r="N965" s="99"/>
      <c r="O965" s="99"/>
      <c r="P965" s="99"/>
      <c r="Q965" s="99"/>
      <c r="R965" s="99"/>
      <c r="S965" s="99"/>
      <c r="T965" s="99"/>
      <c r="U965" s="105"/>
      <c r="V965" s="262"/>
      <c r="W965" s="121"/>
      <c r="X965" s="121"/>
      <c r="Y965" s="121"/>
      <c r="Z965" s="121"/>
      <c r="AA965" s="121"/>
      <c r="AB965" s="121"/>
      <c r="AC965" s="121"/>
      <c r="AD965" s="121"/>
      <c r="AE965" s="121"/>
      <c r="AF965" s="121"/>
      <c r="AG965" s="121"/>
      <c r="AH965" s="121"/>
      <c r="AI965" s="121"/>
    </row>
    <row r="966" spans="1:35" s="115" customFormat="1" ht="14.4">
      <c r="A966" s="187"/>
      <c r="B966" s="190"/>
      <c r="C966" s="190"/>
      <c r="D966" s="69"/>
      <c r="E966" s="69"/>
      <c r="F966" s="149"/>
      <c r="G966" s="146"/>
      <c r="H966" s="98"/>
      <c r="I966" s="99"/>
      <c r="J966" s="99"/>
      <c r="K966" s="99"/>
      <c r="L966" s="99"/>
      <c r="M966" s="99"/>
      <c r="N966" s="99"/>
      <c r="O966" s="99"/>
      <c r="P966" s="99"/>
      <c r="Q966" s="99"/>
      <c r="R966" s="99"/>
      <c r="S966" s="99"/>
      <c r="T966" s="99"/>
      <c r="U966" s="105"/>
      <c r="V966" s="262"/>
      <c r="W966" s="121"/>
      <c r="X966" s="121"/>
      <c r="Y966" s="121"/>
      <c r="Z966" s="121"/>
      <c r="AA966" s="121"/>
      <c r="AB966" s="121"/>
      <c r="AC966" s="121"/>
      <c r="AD966" s="121"/>
      <c r="AE966" s="121"/>
      <c r="AF966" s="121"/>
      <c r="AG966" s="121"/>
      <c r="AH966" s="121"/>
      <c r="AI966" s="121"/>
    </row>
    <row r="967" spans="1:35" s="115" customFormat="1" ht="14.4">
      <c r="A967" s="187"/>
      <c r="B967" s="190"/>
      <c r="C967" s="190"/>
      <c r="D967" s="69"/>
      <c r="E967" s="69"/>
      <c r="F967" s="149"/>
      <c r="G967" s="146"/>
      <c r="H967" s="98"/>
      <c r="I967" s="99"/>
      <c r="J967" s="99"/>
      <c r="K967" s="99"/>
      <c r="L967" s="99"/>
      <c r="M967" s="99"/>
      <c r="N967" s="99"/>
      <c r="O967" s="99"/>
      <c r="P967" s="99"/>
      <c r="Q967" s="99"/>
      <c r="R967" s="99"/>
      <c r="S967" s="99"/>
      <c r="T967" s="99"/>
      <c r="U967" s="105"/>
      <c r="V967" s="262"/>
      <c r="W967" s="121"/>
      <c r="X967" s="121"/>
      <c r="Y967" s="121"/>
      <c r="Z967" s="121"/>
      <c r="AA967" s="121"/>
      <c r="AB967" s="121"/>
      <c r="AC967" s="121"/>
      <c r="AD967" s="121"/>
      <c r="AE967" s="121"/>
      <c r="AF967" s="121"/>
      <c r="AG967" s="121"/>
      <c r="AH967" s="121"/>
      <c r="AI967" s="121"/>
    </row>
    <row r="968" spans="1:35" s="115" customFormat="1" ht="14.4">
      <c r="A968" s="187"/>
      <c r="B968" s="190"/>
      <c r="C968" s="190"/>
      <c r="D968" s="69"/>
      <c r="E968" s="69"/>
      <c r="F968" s="149"/>
      <c r="G968" s="146"/>
      <c r="H968" s="98"/>
      <c r="I968" s="99"/>
      <c r="J968" s="99"/>
      <c r="K968" s="99"/>
      <c r="L968" s="99"/>
      <c r="M968" s="99"/>
      <c r="N968" s="99"/>
      <c r="O968" s="99"/>
      <c r="P968" s="99"/>
      <c r="Q968" s="99"/>
      <c r="R968" s="99"/>
      <c r="S968" s="99"/>
      <c r="T968" s="99"/>
      <c r="U968" s="105"/>
      <c r="V968" s="262"/>
      <c r="W968" s="121"/>
      <c r="X968" s="121"/>
      <c r="Y968" s="121"/>
      <c r="Z968" s="121"/>
      <c r="AA968" s="121"/>
      <c r="AB968" s="121"/>
      <c r="AC968" s="121"/>
      <c r="AD968" s="121"/>
      <c r="AE968" s="121"/>
      <c r="AF968" s="121"/>
      <c r="AG968" s="121"/>
      <c r="AH968" s="121"/>
      <c r="AI968" s="121"/>
    </row>
    <row r="969" spans="1:35" s="115" customFormat="1" ht="14.4">
      <c r="A969" s="187"/>
      <c r="B969" s="190"/>
      <c r="C969" s="190"/>
      <c r="D969" s="69"/>
      <c r="E969" s="69"/>
      <c r="F969" s="149"/>
      <c r="G969" s="146"/>
      <c r="H969" s="98"/>
      <c r="I969" s="99"/>
      <c r="J969" s="99"/>
      <c r="K969" s="99"/>
      <c r="L969" s="99"/>
      <c r="M969" s="99"/>
      <c r="N969" s="99"/>
      <c r="O969" s="99"/>
      <c r="P969" s="99"/>
      <c r="Q969" s="99"/>
      <c r="R969" s="99"/>
      <c r="S969" s="99"/>
      <c r="T969" s="99"/>
      <c r="U969" s="105"/>
      <c r="V969" s="262"/>
      <c r="W969" s="121"/>
      <c r="X969" s="121"/>
      <c r="Y969" s="121"/>
      <c r="Z969" s="121"/>
      <c r="AA969" s="121"/>
      <c r="AB969" s="121"/>
      <c r="AC969" s="121"/>
      <c r="AD969" s="121"/>
      <c r="AE969" s="121"/>
      <c r="AF969" s="121"/>
      <c r="AG969" s="121"/>
      <c r="AH969" s="121"/>
      <c r="AI969" s="121"/>
    </row>
    <row r="970" spans="1:35" s="115" customFormat="1" ht="14.4">
      <c r="A970" s="187"/>
      <c r="B970" s="190"/>
      <c r="C970" s="190"/>
      <c r="D970" s="69"/>
      <c r="E970" s="69"/>
      <c r="F970" s="149"/>
      <c r="G970" s="146"/>
      <c r="H970" s="98"/>
      <c r="I970" s="99"/>
      <c r="J970" s="99"/>
      <c r="K970" s="99"/>
      <c r="L970" s="99"/>
      <c r="M970" s="99"/>
      <c r="N970" s="99"/>
      <c r="O970" s="99"/>
      <c r="P970" s="99"/>
      <c r="Q970" s="99"/>
      <c r="R970" s="99"/>
      <c r="S970" s="99"/>
      <c r="T970" s="99"/>
      <c r="U970" s="105"/>
      <c r="V970" s="262"/>
      <c r="W970" s="121"/>
      <c r="X970" s="121"/>
      <c r="Y970" s="121"/>
      <c r="Z970" s="121"/>
      <c r="AA970" s="121"/>
      <c r="AB970" s="121"/>
      <c r="AC970" s="121"/>
      <c r="AD970" s="121"/>
      <c r="AE970" s="121"/>
      <c r="AF970" s="121"/>
      <c r="AG970" s="121"/>
      <c r="AH970" s="121"/>
      <c r="AI970" s="121"/>
    </row>
    <row r="971" spans="1:35" s="115" customFormat="1" ht="14.4">
      <c r="A971" s="187"/>
      <c r="B971" s="190"/>
      <c r="C971" s="190"/>
      <c r="D971" s="69"/>
      <c r="E971" s="69"/>
      <c r="F971" s="149"/>
      <c r="G971" s="146"/>
      <c r="H971" s="98"/>
      <c r="I971" s="99"/>
      <c r="J971" s="99"/>
      <c r="K971" s="99"/>
      <c r="L971" s="99"/>
      <c r="M971" s="99"/>
      <c r="N971" s="99"/>
      <c r="O971" s="99"/>
      <c r="P971" s="99"/>
      <c r="Q971" s="99"/>
      <c r="R971" s="99"/>
      <c r="S971" s="99"/>
      <c r="T971" s="99"/>
      <c r="U971" s="105"/>
      <c r="V971" s="262"/>
      <c r="W971" s="121"/>
      <c r="X971" s="121"/>
      <c r="Y971" s="121"/>
      <c r="Z971" s="121"/>
      <c r="AA971" s="121"/>
      <c r="AB971" s="121"/>
      <c r="AC971" s="121"/>
      <c r="AD971" s="121"/>
      <c r="AE971" s="121"/>
      <c r="AF971" s="121"/>
      <c r="AG971" s="121"/>
      <c r="AH971" s="121"/>
      <c r="AI971" s="121"/>
    </row>
    <row r="972" spans="1:35" s="115" customFormat="1" ht="14.4">
      <c r="A972" s="187"/>
      <c r="B972" s="190"/>
      <c r="C972" s="190"/>
      <c r="D972" s="69"/>
      <c r="E972" s="69"/>
      <c r="F972" s="149"/>
      <c r="G972" s="146"/>
      <c r="H972" s="98"/>
      <c r="I972" s="99"/>
      <c r="J972" s="99"/>
      <c r="K972" s="99"/>
      <c r="L972" s="99"/>
      <c r="M972" s="99"/>
      <c r="N972" s="99"/>
      <c r="O972" s="99"/>
      <c r="P972" s="99"/>
      <c r="Q972" s="99"/>
      <c r="R972" s="99"/>
      <c r="S972" s="99"/>
      <c r="T972" s="99"/>
      <c r="U972" s="105"/>
      <c r="V972" s="262"/>
      <c r="W972" s="121"/>
      <c r="X972" s="121"/>
      <c r="Y972" s="121"/>
      <c r="Z972" s="121"/>
      <c r="AA972" s="121"/>
      <c r="AB972" s="121"/>
      <c r="AC972" s="121"/>
      <c r="AD972" s="121"/>
      <c r="AE972" s="121"/>
      <c r="AF972" s="121"/>
      <c r="AG972" s="121"/>
      <c r="AH972" s="121"/>
      <c r="AI972" s="121"/>
    </row>
    <row r="973" spans="1:35" s="115" customFormat="1" ht="14.4">
      <c r="A973" s="187"/>
      <c r="B973" s="190"/>
      <c r="C973" s="190"/>
      <c r="D973" s="69"/>
      <c r="E973" s="69"/>
      <c r="F973" s="149"/>
      <c r="G973" s="146"/>
      <c r="H973" s="98"/>
      <c r="I973" s="99"/>
      <c r="J973" s="99"/>
      <c r="K973" s="99"/>
      <c r="L973" s="99"/>
      <c r="M973" s="99"/>
      <c r="N973" s="99"/>
      <c r="O973" s="99"/>
      <c r="P973" s="99"/>
      <c r="Q973" s="99"/>
      <c r="R973" s="99"/>
      <c r="S973" s="99"/>
      <c r="T973" s="99"/>
      <c r="U973" s="105"/>
      <c r="V973" s="262"/>
      <c r="W973" s="121"/>
      <c r="X973" s="121"/>
      <c r="Y973" s="121"/>
      <c r="Z973" s="121"/>
      <c r="AA973" s="121"/>
      <c r="AB973" s="121"/>
      <c r="AC973" s="121"/>
      <c r="AD973" s="121"/>
      <c r="AE973" s="121"/>
      <c r="AF973" s="121"/>
      <c r="AG973" s="121"/>
      <c r="AH973" s="121"/>
      <c r="AI973" s="121"/>
    </row>
    <row r="974" spans="1:35" s="115" customFormat="1" ht="14.4">
      <c r="A974" s="187"/>
      <c r="B974" s="190"/>
      <c r="C974" s="190"/>
      <c r="D974" s="69"/>
      <c r="E974" s="69"/>
      <c r="F974" s="149"/>
      <c r="G974" s="146"/>
      <c r="H974" s="98"/>
      <c r="I974" s="99"/>
      <c r="J974" s="99"/>
      <c r="K974" s="99"/>
      <c r="L974" s="99"/>
      <c r="M974" s="99"/>
      <c r="N974" s="99"/>
      <c r="O974" s="99"/>
      <c r="P974" s="99"/>
      <c r="Q974" s="99"/>
      <c r="R974" s="99"/>
      <c r="S974" s="99"/>
      <c r="T974" s="99"/>
      <c r="U974" s="105"/>
      <c r="V974" s="262"/>
      <c r="W974" s="121"/>
      <c r="X974" s="121"/>
      <c r="Y974" s="121"/>
      <c r="Z974" s="121"/>
      <c r="AA974" s="121"/>
      <c r="AB974" s="121"/>
      <c r="AC974" s="121"/>
      <c r="AD974" s="121"/>
      <c r="AE974" s="121"/>
      <c r="AF974" s="121"/>
      <c r="AG974" s="121"/>
      <c r="AH974" s="121"/>
      <c r="AI974" s="121"/>
    </row>
    <row r="975" spans="1:35" s="115" customFormat="1" ht="14.4">
      <c r="A975" s="187"/>
      <c r="B975" s="190"/>
      <c r="C975" s="190"/>
      <c r="D975" s="69"/>
      <c r="E975" s="69"/>
      <c r="F975" s="149"/>
      <c r="G975" s="146"/>
      <c r="H975" s="98"/>
      <c r="I975" s="99"/>
      <c r="J975" s="99"/>
      <c r="K975" s="99"/>
      <c r="L975" s="99"/>
      <c r="M975" s="99"/>
      <c r="N975" s="99"/>
      <c r="O975" s="99"/>
      <c r="P975" s="99"/>
      <c r="Q975" s="99"/>
      <c r="R975" s="99"/>
      <c r="S975" s="99"/>
      <c r="T975" s="99"/>
      <c r="U975" s="105"/>
      <c r="V975" s="262"/>
      <c r="W975" s="121"/>
      <c r="X975" s="121"/>
      <c r="Y975" s="121"/>
      <c r="Z975" s="121"/>
      <c r="AA975" s="121"/>
      <c r="AB975" s="121"/>
      <c r="AC975" s="121"/>
      <c r="AD975" s="121"/>
      <c r="AE975" s="121"/>
      <c r="AF975" s="121"/>
      <c r="AG975" s="121"/>
      <c r="AH975" s="121"/>
      <c r="AI975" s="121"/>
    </row>
    <row r="976" spans="1:35" s="115" customFormat="1" ht="14.4">
      <c r="A976" s="187"/>
      <c r="B976" s="190"/>
      <c r="C976" s="190"/>
      <c r="D976" s="69"/>
      <c r="E976" s="69"/>
      <c r="F976" s="149"/>
      <c r="G976" s="146"/>
      <c r="H976" s="98"/>
      <c r="I976" s="99"/>
      <c r="J976" s="99"/>
      <c r="K976" s="99"/>
      <c r="L976" s="99"/>
      <c r="M976" s="99"/>
      <c r="N976" s="99"/>
      <c r="O976" s="99"/>
      <c r="P976" s="99"/>
      <c r="Q976" s="99"/>
      <c r="R976" s="99"/>
      <c r="S976" s="99"/>
      <c r="T976" s="99"/>
      <c r="U976" s="105"/>
      <c r="V976" s="262"/>
      <c r="W976" s="121"/>
      <c r="X976" s="121"/>
      <c r="Y976" s="121"/>
      <c r="Z976" s="121"/>
      <c r="AA976" s="121"/>
      <c r="AB976" s="121"/>
      <c r="AC976" s="121"/>
      <c r="AD976" s="121"/>
      <c r="AE976" s="121"/>
      <c r="AF976" s="121"/>
      <c r="AG976" s="121"/>
      <c r="AH976" s="121"/>
      <c r="AI976" s="121"/>
    </row>
    <row r="977" spans="1:35" s="115" customFormat="1" ht="14.4">
      <c r="A977" s="187"/>
      <c r="B977" s="190"/>
      <c r="C977" s="190"/>
      <c r="D977" s="69"/>
      <c r="E977" s="69"/>
      <c r="F977" s="149"/>
      <c r="G977" s="146"/>
      <c r="H977" s="98"/>
      <c r="I977" s="99"/>
      <c r="J977" s="99"/>
      <c r="K977" s="99"/>
      <c r="L977" s="99"/>
      <c r="M977" s="99"/>
      <c r="N977" s="99"/>
      <c r="O977" s="99"/>
      <c r="P977" s="99"/>
      <c r="Q977" s="99"/>
      <c r="R977" s="99"/>
      <c r="S977" s="99"/>
      <c r="T977" s="99"/>
      <c r="U977" s="105"/>
      <c r="V977" s="262"/>
      <c r="W977" s="121"/>
      <c r="X977" s="121"/>
      <c r="Y977" s="121"/>
      <c r="Z977" s="121"/>
      <c r="AA977" s="121"/>
      <c r="AB977" s="121"/>
      <c r="AC977" s="121"/>
      <c r="AD977" s="121"/>
      <c r="AE977" s="121"/>
      <c r="AF977" s="121"/>
      <c r="AG977" s="121"/>
      <c r="AH977" s="121"/>
      <c r="AI977" s="121"/>
    </row>
    <row r="978" spans="1:35" s="115" customFormat="1" ht="14.4">
      <c r="A978" s="187"/>
      <c r="B978" s="190"/>
      <c r="C978" s="190"/>
      <c r="D978" s="69"/>
      <c r="E978" s="69"/>
      <c r="F978" s="149"/>
      <c r="G978" s="146"/>
      <c r="H978" s="98"/>
      <c r="I978" s="99"/>
      <c r="J978" s="99"/>
      <c r="K978" s="99"/>
      <c r="L978" s="99"/>
      <c r="M978" s="99"/>
      <c r="N978" s="99"/>
      <c r="O978" s="99"/>
      <c r="P978" s="99"/>
      <c r="Q978" s="99"/>
      <c r="R978" s="99"/>
      <c r="S978" s="99"/>
      <c r="T978" s="99"/>
      <c r="U978" s="105"/>
      <c r="V978" s="262"/>
      <c r="W978" s="121"/>
      <c r="X978" s="121"/>
      <c r="Y978" s="121"/>
      <c r="Z978" s="121"/>
      <c r="AA978" s="121"/>
      <c r="AB978" s="121"/>
      <c r="AC978" s="121"/>
      <c r="AD978" s="121"/>
      <c r="AE978" s="121"/>
      <c r="AF978" s="121"/>
      <c r="AG978" s="121"/>
      <c r="AH978" s="121"/>
      <c r="AI978" s="121"/>
    </row>
    <row r="979" spans="1:35" s="115" customFormat="1" ht="14.4">
      <c r="A979" s="187"/>
      <c r="B979" s="190"/>
      <c r="C979" s="190"/>
      <c r="D979" s="69"/>
      <c r="E979" s="69"/>
      <c r="F979" s="149"/>
      <c r="G979" s="146"/>
      <c r="H979" s="98"/>
      <c r="I979" s="99"/>
      <c r="J979" s="99"/>
      <c r="K979" s="99"/>
      <c r="L979" s="99"/>
      <c r="M979" s="99"/>
      <c r="N979" s="99"/>
      <c r="O979" s="99"/>
      <c r="P979" s="99"/>
      <c r="Q979" s="99"/>
      <c r="R979" s="99"/>
      <c r="S979" s="99"/>
      <c r="T979" s="99"/>
      <c r="U979" s="105"/>
      <c r="V979" s="262"/>
      <c r="W979" s="121"/>
      <c r="X979" s="121"/>
      <c r="Y979" s="121"/>
      <c r="Z979" s="121"/>
      <c r="AA979" s="121"/>
      <c r="AB979" s="121"/>
      <c r="AC979" s="121"/>
      <c r="AD979" s="121"/>
      <c r="AE979" s="121"/>
      <c r="AF979" s="121"/>
      <c r="AG979" s="121"/>
      <c r="AH979" s="121"/>
      <c r="AI979" s="121"/>
    </row>
    <row r="980" spans="1:35" s="115" customFormat="1" ht="14.4">
      <c r="A980" s="187"/>
      <c r="B980" s="190"/>
      <c r="C980" s="190"/>
      <c r="D980" s="69"/>
      <c r="E980" s="69"/>
      <c r="F980" s="149"/>
      <c r="G980" s="146"/>
      <c r="H980" s="98"/>
      <c r="I980" s="99"/>
      <c r="J980" s="99"/>
      <c r="K980" s="99"/>
      <c r="L980" s="99"/>
      <c r="M980" s="99"/>
      <c r="N980" s="99"/>
      <c r="O980" s="99"/>
      <c r="P980" s="99"/>
      <c r="Q980" s="99"/>
      <c r="R980" s="99"/>
      <c r="S980" s="99"/>
      <c r="T980" s="99"/>
      <c r="U980" s="105"/>
      <c r="V980" s="262"/>
      <c r="W980" s="121"/>
      <c r="X980" s="121"/>
      <c r="Y980" s="121"/>
      <c r="Z980" s="121"/>
      <c r="AA980" s="121"/>
      <c r="AB980" s="121"/>
      <c r="AC980" s="121"/>
      <c r="AD980" s="121"/>
      <c r="AE980" s="121"/>
      <c r="AF980" s="121"/>
      <c r="AG980" s="121"/>
      <c r="AH980" s="121"/>
      <c r="AI980" s="121"/>
    </row>
    <row r="981" spans="1:35" s="115" customFormat="1" ht="14.4">
      <c r="A981" s="187"/>
      <c r="B981" s="190"/>
      <c r="C981" s="190"/>
      <c r="D981" s="69"/>
      <c r="E981" s="69"/>
      <c r="F981" s="149"/>
      <c r="G981" s="146"/>
      <c r="H981" s="98"/>
      <c r="I981" s="99"/>
      <c r="J981" s="99"/>
      <c r="K981" s="99"/>
      <c r="L981" s="99"/>
      <c r="M981" s="99"/>
      <c r="N981" s="99"/>
      <c r="O981" s="99"/>
      <c r="P981" s="99"/>
      <c r="Q981" s="99"/>
      <c r="R981" s="99"/>
      <c r="S981" s="99"/>
      <c r="T981" s="99"/>
      <c r="U981" s="105"/>
      <c r="V981" s="262"/>
      <c r="W981" s="121"/>
      <c r="X981" s="121"/>
      <c r="Y981" s="121"/>
      <c r="Z981" s="121"/>
      <c r="AA981" s="121"/>
      <c r="AB981" s="121"/>
      <c r="AC981" s="121"/>
      <c r="AD981" s="121"/>
      <c r="AE981" s="121"/>
      <c r="AF981" s="121"/>
      <c r="AG981" s="121"/>
      <c r="AH981" s="121"/>
      <c r="AI981" s="121"/>
    </row>
    <row r="982" spans="1:35" s="115" customFormat="1" ht="14.4">
      <c r="A982" s="187"/>
      <c r="B982" s="190"/>
      <c r="C982" s="190"/>
      <c r="D982" s="69"/>
      <c r="E982" s="69"/>
      <c r="F982" s="149"/>
      <c r="G982" s="146"/>
      <c r="H982" s="98"/>
      <c r="I982" s="99"/>
      <c r="J982" s="99"/>
      <c r="K982" s="99"/>
      <c r="L982" s="99"/>
      <c r="M982" s="99"/>
      <c r="N982" s="99"/>
      <c r="O982" s="99"/>
      <c r="P982" s="99"/>
      <c r="Q982" s="99"/>
      <c r="R982" s="99"/>
      <c r="S982" s="99"/>
      <c r="T982" s="99"/>
      <c r="U982" s="105"/>
      <c r="V982" s="262"/>
      <c r="W982" s="121"/>
      <c r="X982" s="121"/>
      <c r="Y982" s="121"/>
      <c r="Z982" s="121"/>
      <c r="AA982" s="121"/>
      <c r="AB982" s="121"/>
      <c r="AC982" s="121"/>
      <c r="AD982" s="121"/>
      <c r="AE982" s="121"/>
      <c r="AF982" s="121"/>
      <c r="AG982" s="121"/>
      <c r="AH982" s="121"/>
      <c r="AI982" s="121"/>
    </row>
    <row r="983" spans="1:35" s="115" customFormat="1" ht="14.4">
      <c r="A983" s="187"/>
      <c r="B983" s="190"/>
      <c r="C983" s="190"/>
      <c r="D983" s="69"/>
      <c r="E983" s="69"/>
      <c r="F983" s="149"/>
      <c r="G983" s="146"/>
      <c r="H983" s="98"/>
      <c r="I983" s="99"/>
      <c r="J983" s="99"/>
      <c r="K983" s="99"/>
      <c r="L983" s="99"/>
      <c r="M983" s="99"/>
      <c r="N983" s="99"/>
      <c r="O983" s="99"/>
      <c r="P983" s="99"/>
      <c r="Q983" s="99"/>
      <c r="R983" s="99"/>
      <c r="S983" s="99"/>
      <c r="T983" s="99"/>
      <c r="U983" s="105"/>
      <c r="V983" s="262"/>
      <c r="W983" s="121"/>
      <c r="X983" s="121"/>
      <c r="Y983" s="121"/>
      <c r="Z983" s="121"/>
      <c r="AA983" s="121"/>
      <c r="AB983" s="121"/>
      <c r="AC983" s="121"/>
      <c r="AD983" s="121"/>
      <c r="AE983" s="121"/>
      <c r="AF983" s="121"/>
      <c r="AG983" s="121"/>
      <c r="AH983" s="121"/>
      <c r="AI983" s="121"/>
    </row>
    <row r="984" spans="1:35" s="115" customFormat="1" ht="14.4">
      <c r="A984" s="187"/>
      <c r="B984" s="190"/>
      <c r="C984" s="190"/>
      <c r="D984" s="69"/>
      <c r="E984" s="69"/>
      <c r="F984" s="149"/>
      <c r="G984" s="146"/>
      <c r="H984" s="98"/>
      <c r="I984" s="99"/>
      <c r="J984" s="99"/>
      <c r="K984" s="99"/>
      <c r="L984" s="99"/>
      <c r="M984" s="99"/>
      <c r="N984" s="99"/>
      <c r="O984" s="99"/>
      <c r="P984" s="99"/>
      <c r="Q984" s="99"/>
      <c r="R984" s="99"/>
      <c r="S984" s="99"/>
      <c r="T984" s="99"/>
      <c r="U984" s="105"/>
      <c r="V984" s="262"/>
      <c r="W984" s="121"/>
      <c r="X984" s="121"/>
      <c r="Y984" s="121"/>
      <c r="Z984" s="121"/>
      <c r="AA984" s="121"/>
      <c r="AB984" s="121"/>
      <c r="AC984" s="121"/>
      <c r="AD984" s="121"/>
      <c r="AE984" s="121"/>
      <c r="AF984" s="121"/>
      <c r="AG984" s="121"/>
      <c r="AH984" s="121"/>
      <c r="AI984" s="121"/>
    </row>
    <row r="985" spans="1:35" s="115" customFormat="1" ht="14.4">
      <c r="A985" s="187"/>
      <c r="B985" s="190"/>
      <c r="C985" s="190"/>
      <c r="D985" s="69"/>
      <c r="E985" s="69"/>
      <c r="F985" s="149"/>
      <c r="G985" s="146"/>
      <c r="H985" s="98"/>
      <c r="I985" s="99"/>
      <c r="J985" s="99"/>
      <c r="K985" s="99"/>
      <c r="L985" s="99"/>
      <c r="M985" s="99"/>
      <c r="N985" s="99"/>
      <c r="O985" s="99"/>
      <c r="P985" s="99"/>
      <c r="Q985" s="99"/>
      <c r="R985" s="99"/>
      <c r="S985" s="99"/>
      <c r="T985" s="99"/>
      <c r="U985" s="105"/>
      <c r="V985" s="262"/>
      <c r="W985" s="121"/>
      <c r="X985" s="121"/>
      <c r="Y985" s="121"/>
      <c r="Z985" s="121"/>
      <c r="AA985" s="121"/>
      <c r="AB985" s="121"/>
      <c r="AC985" s="121"/>
      <c r="AD985" s="121"/>
      <c r="AE985" s="121"/>
      <c r="AF985" s="121"/>
      <c r="AG985" s="121"/>
      <c r="AH985" s="121"/>
      <c r="AI985" s="121"/>
    </row>
    <row r="986" spans="1:35" s="115" customFormat="1" ht="14.4">
      <c r="A986" s="187"/>
      <c r="B986" s="190"/>
      <c r="C986" s="190"/>
      <c r="D986" s="69"/>
      <c r="E986" s="69"/>
      <c r="F986" s="149"/>
      <c r="G986" s="146"/>
      <c r="H986" s="98"/>
      <c r="I986" s="99"/>
      <c r="J986" s="99"/>
      <c r="K986" s="99"/>
      <c r="L986" s="99"/>
      <c r="M986" s="99"/>
      <c r="N986" s="99"/>
      <c r="O986" s="99"/>
      <c r="P986" s="99"/>
      <c r="Q986" s="99"/>
      <c r="R986" s="99"/>
      <c r="S986" s="99"/>
      <c r="T986" s="99"/>
      <c r="U986" s="105"/>
      <c r="V986" s="262"/>
      <c r="W986" s="121"/>
      <c r="X986" s="121"/>
      <c r="Y986" s="121"/>
      <c r="Z986" s="121"/>
      <c r="AA986" s="121"/>
      <c r="AB986" s="121"/>
      <c r="AC986" s="121"/>
      <c r="AD986" s="121"/>
      <c r="AE986" s="121"/>
      <c r="AF986" s="121"/>
      <c r="AG986" s="121"/>
      <c r="AH986" s="121"/>
      <c r="AI986" s="121"/>
    </row>
    <row r="987" spans="1:35" s="115" customFormat="1" ht="14.4">
      <c r="A987" s="187"/>
      <c r="B987" s="190"/>
      <c r="C987" s="190"/>
      <c r="D987" s="69"/>
      <c r="E987" s="69"/>
      <c r="F987" s="149"/>
      <c r="G987" s="146"/>
      <c r="H987" s="98"/>
      <c r="I987" s="99"/>
      <c r="J987" s="99"/>
      <c r="K987" s="99"/>
      <c r="L987" s="99"/>
      <c r="M987" s="99"/>
      <c r="N987" s="99"/>
      <c r="O987" s="99"/>
      <c r="P987" s="99"/>
      <c r="Q987" s="99"/>
      <c r="R987" s="99"/>
      <c r="S987" s="99"/>
      <c r="T987" s="99"/>
      <c r="U987" s="105"/>
      <c r="V987" s="262"/>
      <c r="W987" s="121"/>
      <c r="X987" s="121"/>
      <c r="Y987" s="121"/>
      <c r="Z987" s="121"/>
      <c r="AA987" s="121"/>
      <c r="AB987" s="121"/>
      <c r="AC987" s="121"/>
      <c r="AD987" s="121"/>
      <c r="AE987" s="121"/>
      <c r="AF987" s="121"/>
      <c r="AG987" s="121"/>
      <c r="AH987" s="121"/>
      <c r="AI987" s="121"/>
    </row>
    <row r="988" spans="1:35" s="115" customFormat="1" ht="14.4">
      <c r="A988" s="187"/>
      <c r="B988" s="190"/>
      <c r="C988" s="190"/>
      <c r="D988" s="69"/>
      <c r="E988" s="69"/>
      <c r="F988" s="149"/>
      <c r="G988" s="146"/>
      <c r="H988" s="98"/>
      <c r="I988" s="99"/>
      <c r="J988" s="99"/>
      <c r="K988" s="99"/>
      <c r="L988" s="99"/>
      <c r="M988" s="99"/>
      <c r="N988" s="99"/>
      <c r="O988" s="99"/>
      <c r="P988" s="99"/>
      <c r="Q988" s="99"/>
      <c r="R988" s="99"/>
      <c r="S988" s="99"/>
      <c r="T988" s="99"/>
      <c r="U988" s="105"/>
      <c r="V988" s="262"/>
      <c r="W988" s="121"/>
      <c r="X988" s="121"/>
      <c r="Y988" s="121"/>
      <c r="Z988" s="121"/>
      <c r="AA988" s="121"/>
      <c r="AB988" s="121"/>
      <c r="AC988" s="121"/>
      <c r="AD988" s="121"/>
      <c r="AE988" s="121"/>
      <c r="AF988" s="121"/>
      <c r="AG988" s="121"/>
      <c r="AH988" s="121"/>
      <c r="AI988" s="121"/>
    </row>
    <row r="989" spans="1:35" s="115" customFormat="1" ht="14.4">
      <c r="A989" s="187"/>
      <c r="B989" s="190"/>
      <c r="C989" s="190"/>
      <c r="D989" s="69"/>
      <c r="E989" s="69"/>
      <c r="F989" s="149"/>
      <c r="G989" s="146"/>
      <c r="H989" s="107"/>
      <c r="I989" s="108"/>
      <c r="J989" s="108"/>
      <c r="K989" s="108"/>
      <c r="L989" s="108"/>
      <c r="M989" s="108"/>
      <c r="N989" s="108"/>
      <c r="O989" s="108"/>
      <c r="P989" s="108"/>
      <c r="Q989" s="108"/>
      <c r="R989" s="108"/>
      <c r="S989" s="108"/>
      <c r="T989" s="108"/>
      <c r="U989" s="105"/>
      <c r="V989" s="262"/>
      <c r="W989" s="121"/>
      <c r="X989" s="121"/>
      <c r="Y989" s="121"/>
      <c r="Z989" s="121"/>
      <c r="AA989" s="121"/>
      <c r="AB989" s="121"/>
      <c r="AC989" s="121"/>
      <c r="AD989" s="121"/>
      <c r="AE989" s="121"/>
      <c r="AF989" s="121"/>
      <c r="AG989" s="121"/>
      <c r="AH989" s="121"/>
      <c r="AI989" s="121"/>
    </row>
    <row r="990" spans="1:35" s="115" customFormat="1" ht="14.4">
      <c r="A990" s="187"/>
      <c r="B990" s="190"/>
      <c r="C990" s="190"/>
      <c r="D990" s="69"/>
      <c r="E990" s="69"/>
      <c r="F990" s="149"/>
      <c r="G990" s="146"/>
      <c r="H990" s="98"/>
      <c r="I990" s="106"/>
      <c r="J990" s="106"/>
      <c r="K990" s="106"/>
      <c r="L990" s="106"/>
      <c r="M990" s="106"/>
      <c r="N990" s="110"/>
      <c r="O990" s="110"/>
      <c r="P990" s="110"/>
      <c r="Q990" s="111"/>
      <c r="R990" s="111"/>
      <c r="S990" s="111"/>
      <c r="T990" s="111"/>
      <c r="U990" s="105"/>
      <c r="V990" s="262"/>
      <c r="W990" s="121"/>
      <c r="X990" s="121"/>
      <c r="Y990" s="121"/>
      <c r="Z990" s="121"/>
      <c r="AA990" s="121"/>
      <c r="AB990" s="121"/>
      <c r="AC990" s="121"/>
      <c r="AD990" s="121"/>
      <c r="AE990" s="121"/>
      <c r="AF990" s="121"/>
      <c r="AG990" s="121"/>
      <c r="AH990" s="121"/>
      <c r="AI990" s="121"/>
    </row>
    <row r="991" spans="1:35" s="115" customFormat="1" ht="14.4">
      <c r="A991" s="187"/>
      <c r="B991" s="190"/>
      <c r="C991" s="190"/>
      <c r="D991" s="69"/>
      <c r="E991" s="69"/>
      <c r="F991" s="149"/>
      <c r="G991" s="146"/>
      <c r="H991" s="98"/>
      <c r="I991" s="99"/>
      <c r="J991" s="99"/>
      <c r="K991" s="99"/>
      <c r="L991" s="99"/>
      <c r="M991" s="99"/>
      <c r="N991" s="99"/>
      <c r="O991" s="99"/>
      <c r="P991" s="99"/>
      <c r="Q991" s="99"/>
      <c r="R991" s="99"/>
      <c r="S991" s="99"/>
      <c r="T991" s="99"/>
      <c r="U991" s="105"/>
      <c r="V991" s="262"/>
      <c r="W991" s="121"/>
      <c r="X991" s="121"/>
      <c r="Y991" s="121"/>
      <c r="Z991" s="121"/>
      <c r="AA991" s="121"/>
      <c r="AB991" s="121"/>
      <c r="AC991" s="121"/>
      <c r="AD991" s="121"/>
      <c r="AE991" s="121"/>
      <c r="AF991" s="121"/>
      <c r="AG991" s="121"/>
      <c r="AH991" s="121"/>
      <c r="AI991" s="121"/>
    </row>
    <row r="992" spans="1:35" s="115" customFormat="1" ht="14.4">
      <c r="A992" s="187"/>
      <c r="B992" s="190"/>
      <c r="C992" s="190"/>
      <c r="D992" s="69"/>
      <c r="E992" s="69"/>
      <c r="F992" s="149"/>
      <c r="G992" s="146"/>
      <c r="H992" s="98"/>
      <c r="I992" s="99"/>
      <c r="J992" s="99"/>
      <c r="K992" s="99"/>
      <c r="L992" s="99"/>
      <c r="M992" s="99"/>
      <c r="N992" s="99"/>
      <c r="O992" s="99"/>
      <c r="P992" s="99"/>
      <c r="Q992" s="99"/>
      <c r="R992" s="99"/>
      <c r="S992" s="99"/>
      <c r="T992" s="99"/>
      <c r="U992" s="105"/>
      <c r="V992" s="262"/>
      <c r="W992" s="121"/>
      <c r="X992" s="121"/>
      <c r="Y992" s="121"/>
      <c r="Z992" s="121"/>
      <c r="AA992" s="121"/>
      <c r="AB992" s="121"/>
      <c r="AC992" s="121"/>
      <c r="AD992" s="121"/>
      <c r="AE992" s="121"/>
      <c r="AF992" s="121"/>
      <c r="AG992" s="121"/>
      <c r="AH992" s="121"/>
      <c r="AI992" s="121"/>
    </row>
    <row r="993" spans="1:35" s="115" customFormat="1" ht="14.4">
      <c r="A993" s="187"/>
      <c r="B993" s="190"/>
      <c r="C993" s="190"/>
      <c r="D993" s="69"/>
      <c r="E993" s="69"/>
      <c r="F993" s="149"/>
      <c r="G993" s="146"/>
      <c r="H993" s="98"/>
      <c r="I993" s="99"/>
      <c r="J993" s="99"/>
      <c r="K993" s="99"/>
      <c r="L993" s="99"/>
      <c r="M993" s="99"/>
      <c r="N993" s="99"/>
      <c r="O993" s="99"/>
      <c r="P993" s="99"/>
      <c r="Q993" s="99"/>
      <c r="R993" s="99"/>
      <c r="S993" s="99"/>
      <c r="T993" s="99"/>
      <c r="U993" s="105"/>
      <c r="V993" s="262"/>
      <c r="W993" s="121"/>
      <c r="X993" s="121"/>
      <c r="Y993" s="121"/>
      <c r="Z993" s="121"/>
      <c r="AA993" s="121"/>
      <c r="AB993" s="121"/>
      <c r="AC993" s="121"/>
      <c r="AD993" s="121"/>
      <c r="AE993" s="121"/>
      <c r="AF993" s="121"/>
      <c r="AG993" s="121"/>
      <c r="AH993" s="121"/>
      <c r="AI993" s="121"/>
    </row>
    <row r="994" spans="1:35" s="115" customFormat="1" ht="14.4">
      <c r="A994" s="187"/>
      <c r="B994" s="190"/>
      <c r="C994" s="190"/>
      <c r="D994" s="69"/>
      <c r="E994" s="69"/>
      <c r="F994" s="149"/>
      <c r="G994" s="146"/>
      <c r="H994" s="98"/>
      <c r="I994" s="99"/>
      <c r="J994" s="99"/>
      <c r="K994" s="99"/>
      <c r="L994" s="99"/>
      <c r="M994" s="99"/>
      <c r="N994" s="99"/>
      <c r="O994" s="99"/>
      <c r="P994" s="99"/>
      <c r="Q994" s="99"/>
      <c r="R994" s="99"/>
      <c r="S994" s="99"/>
      <c r="T994" s="99"/>
      <c r="U994" s="105"/>
      <c r="V994" s="262"/>
      <c r="W994" s="121"/>
      <c r="X994" s="121"/>
      <c r="Y994" s="121"/>
      <c r="Z994" s="121"/>
      <c r="AA994" s="121"/>
      <c r="AB994" s="121"/>
      <c r="AC994" s="121"/>
      <c r="AD994" s="121"/>
      <c r="AE994" s="121"/>
      <c r="AF994" s="121"/>
      <c r="AG994" s="121"/>
      <c r="AH994" s="121"/>
      <c r="AI994" s="121"/>
    </row>
    <row r="995" spans="1:35" s="115" customFormat="1" ht="14.4">
      <c r="A995" s="187"/>
      <c r="B995" s="190"/>
      <c r="C995" s="190"/>
      <c r="D995" s="69"/>
      <c r="E995" s="69"/>
      <c r="F995" s="149"/>
      <c r="G995" s="146"/>
      <c r="H995" s="98"/>
      <c r="I995" s="99"/>
      <c r="J995" s="99"/>
      <c r="K995" s="99"/>
      <c r="L995" s="99"/>
      <c r="M995" s="99"/>
      <c r="N995" s="99"/>
      <c r="O995" s="99"/>
      <c r="P995" s="99"/>
      <c r="Q995" s="99"/>
      <c r="R995" s="99"/>
      <c r="S995" s="99"/>
      <c r="T995" s="99"/>
      <c r="U995" s="105"/>
      <c r="V995" s="262"/>
      <c r="W995" s="121"/>
      <c r="X995" s="121"/>
      <c r="Y995" s="121"/>
      <c r="Z995" s="121"/>
      <c r="AA995" s="121"/>
      <c r="AB995" s="121"/>
      <c r="AC995" s="121"/>
      <c r="AD995" s="121"/>
      <c r="AE995" s="121"/>
      <c r="AF995" s="121"/>
      <c r="AG995" s="121"/>
      <c r="AH995" s="121"/>
      <c r="AI995" s="121"/>
    </row>
    <row r="996" spans="1:35" s="115" customFormat="1" ht="14.4">
      <c r="A996" s="187"/>
      <c r="B996" s="190"/>
      <c r="C996" s="190"/>
      <c r="D996" s="69"/>
      <c r="E996" s="69"/>
      <c r="F996" s="149"/>
      <c r="G996" s="146"/>
      <c r="H996" s="98"/>
      <c r="I996" s="99"/>
      <c r="J996" s="99"/>
      <c r="K996" s="99"/>
      <c r="L996" s="99"/>
      <c r="M996" s="99"/>
      <c r="N996" s="99"/>
      <c r="O996" s="99"/>
      <c r="P996" s="99"/>
      <c r="Q996" s="99"/>
      <c r="R996" s="99"/>
      <c r="S996" s="99"/>
      <c r="T996" s="99"/>
      <c r="U996" s="105"/>
      <c r="V996" s="262"/>
      <c r="W996" s="121"/>
      <c r="X996" s="121"/>
      <c r="Y996" s="121"/>
      <c r="Z996" s="121"/>
      <c r="AA996" s="121"/>
      <c r="AB996" s="121"/>
      <c r="AC996" s="121"/>
      <c r="AD996" s="121"/>
      <c r="AE996" s="121"/>
      <c r="AF996" s="121"/>
      <c r="AG996" s="121"/>
      <c r="AH996" s="121"/>
      <c r="AI996" s="121"/>
    </row>
    <row r="997" spans="1:35" s="115" customFormat="1" ht="14.4">
      <c r="A997" s="187"/>
      <c r="B997" s="190"/>
      <c r="C997" s="190"/>
      <c r="D997" s="69"/>
      <c r="E997" s="69"/>
      <c r="F997" s="149"/>
      <c r="G997" s="146"/>
      <c r="H997" s="98"/>
      <c r="I997" s="99"/>
      <c r="J997" s="99"/>
      <c r="K997" s="99"/>
      <c r="L997" s="99"/>
      <c r="M997" s="99"/>
      <c r="N997" s="99"/>
      <c r="O997" s="99"/>
      <c r="P997" s="99"/>
      <c r="Q997" s="99"/>
      <c r="R997" s="99"/>
      <c r="S997" s="99"/>
      <c r="T997" s="99"/>
      <c r="U997" s="105"/>
      <c r="V997" s="262"/>
      <c r="W997" s="121"/>
      <c r="X997" s="121"/>
      <c r="Y997" s="121"/>
      <c r="Z997" s="121"/>
      <c r="AA997" s="121"/>
      <c r="AB997" s="121"/>
      <c r="AC997" s="121"/>
      <c r="AD997" s="121"/>
      <c r="AE997" s="121"/>
      <c r="AF997" s="121"/>
      <c r="AG997" s="121"/>
      <c r="AH997" s="121"/>
      <c r="AI997" s="121"/>
    </row>
    <row r="998" spans="1:35" s="115" customFormat="1" ht="14.4">
      <c r="A998" s="187"/>
      <c r="B998" s="190"/>
      <c r="C998" s="190"/>
      <c r="D998" s="69"/>
      <c r="E998" s="69"/>
      <c r="F998" s="149"/>
      <c r="G998" s="146"/>
      <c r="H998" s="98"/>
      <c r="I998" s="99"/>
      <c r="J998" s="99"/>
      <c r="K998" s="99"/>
      <c r="L998" s="99"/>
      <c r="M998" s="99"/>
      <c r="N998" s="99"/>
      <c r="O998" s="99"/>
      <c r="P998" s="99"/>
      <c r="Q998" s="99"/>
      <c r="R998" s="99"/>
      <c r="S998" s="99"/>
      <c r="T998" s="99"/>
      <c r="U998" s="105"/>
      <c r="V998" s="262"/>
      <c r="W998" s="121"/>
      <c r="X998" s="121"/>
      <c r="Y998" s="121"/>
      <c r="Z998" s="121"/>
      <c r="AA998" s="121"/>
      <c r="AB998" s="121"/>
      <c r="AC998" s="121"/>
      <c r="AD998" s="121"/>
      <c r="AE998" s="121"/>
      <c r="AF998" s="121"/>
      <c r="AG998" s="121"/>
      <c r="AH998" s="121"/>
      <c r="AI998" s="121"/>
    </row>
    <row r="999" spans="1:35" s="115" customFormat="1" ht="14.4">
      <c r="A999" s="187"/>
      <c r="B999" s="190"/>
      <c r="C999" s="190"/>
      <c r="D999" s="69"/>
      <c r="E999" s="69"/>
      <c r="F999" s="149"/>
      <c r="G999" s="146"/>
      <c r="H999" s="98"/>
      <c r="I999" s="99"/>
      <c r="J999" s="99"/>
      <c r="K999" s="99"/>
      <c r="L999" s="99"/>
      <c r="M999" s="99"/>
      <c r="N999" s="99"/>
      <c r="O999" s="99"/>
      <c r="P999" s="99"/>
      <c r="Q999" s="99"/>
      <c r="R999" s="99"/>
      <c r="S999" s="99"/>
      <c r="T999" s="99"/>
      <c r="U999" s="105"/>
      <c r="V999" s="262"/>
      <c r="W999" s="121"/>
      <c r="X999" s="121"/>
      <c r="Y999" s="121"/>
      <c r="Z999" s="121"/>
      <c r="AA999" s="121"/>
      <c r="AB999" s="121"/>
      <c r="AC999" s="121"/>
      <c r="AD999" s="121"/>
      <c r="AE999" s="121"/>
      <c r="AF999" s="121"/>
      <c r="AG999" s="121"/>
      <c r="AH999" s="121"/>
      <c r="AI999" s="121"/>
    </row>
    <row r="1000" spans="1:35" s="115" customFormat="1" ht="14.4">
      <c r="A1000" s="187"/>
      <c r="B1000" s="190"/>
      <c r="C1000" s="190"/>
      <c r="D1000" s="69"/>
      <c r="E1000" s="69"/>
      <c r="F1000" s="149"/>
      <c r="G1000" s="146"/>
      <c r="H1000" s="98"/>
      <c r="I1000" s="99"/>
      <c r="J1000" s="99"/>
      <c r="K1000" s="99"/>
      <c r="L1000" s="99"/>
      <c r="M1000" s="99"/>
      <c r="N1000" s="99"/>
      <c r="O1000" s="99"/>
      <c r="P1000" s="99"/>
      <c r="Q1000" s="99"/>
      <c r="R1000" s="99"/>
      <c r="S1000" s="99"/>
      <c r="T1000" s="99"/>
      <c r="U1000" s="105"/>
      <c r="V1000" s="262"/>
      <c r="W1000" s="121"/>
      <c r="X1000" s="121"/>
      <c r="Y1000" s="121"/>
      <c r="Z1000" s="121"/>
      <c r="AA1000" s="121"/>
      <c r="AB1000" s="121"/>
      <c r="AC1000" s="121"/>
      <c r="AD1000" s="121"/>
      <c r="AE1000" s="121"/>
      <c r="AF1000" s="121"/>
      <c r="AG1000" s="121"/>
      <c r="AH1000" s="121"/>
      <c r="AI1000" s="121"/>
    </row>
    <row r="1001" spans="1:35" s="115" customFormat="1" ht="14.4">
      <c r="A1001" s="187"/>
      <c r="B1001" s="190"/>
      <c r="C1001" s="190"/>
      <c r="D1001" s="69"/>
      <c r="E1001" s="69"/>
      <c r="F1001" s="149"/>
      <c r="G1001" s="146"/>
      <c r="H1001" s="98"/>
      <c r="I1001" s="99"/>
      <c r="J1001" s="99"/>
      <c r="K1001" s="99"/>
      <c r="L1001" s="99"/>
      <c r="M1001" s="99"/>
      <c r="N1001" s="99"/>
      <c r="O1001" s="99"/>
      <c r="P1001" s="99"/>
      <c r="Q1001" s="99"/>
      <c r="R1001" s="99"/>
      <c r="S1001" s="99"/>
      <c r="T1001" s="99"/>
      <c r="U1001" s="105"/>
      <c r="V1001" s="262"/>
      <c r="W1001" s="121"/>
      <c r="X1001" s="121"/>
      <c r="Y1001" s="121"/>
      <c r="Z1001" s="121"/>
      <c r="AA1001" s="121"/>
      <c r="AB1001" s="121"/>
      <c r="AC1001" s="121"/>
      <c r="AD1001" s="121"/>
      <c r="AE1001" s="121"/>
      <c r="AF1001" s="121"/>
      <c r="AG1001" s="121"/>
      <c r="AH1001" s="121"/>
      <c r="AI1001" s="121"/>
    </row>
    <row r="1002" spans="1:35" s="115" customFormat="1" ht="14.4">
      <c r="A1002" s="187"/>
      <c r="B1002" s="190"/>
      <c r="C1002" s="190"/>
      <c r="D1002" s="69"/>
      <c r="E1002" s="69"/>
      <c r="F1002" s="149"/>
      <c r="G1002" s="146"/>
      <c r="H1002" s="98"/>
      <c r="I1002" s="99"/>
      <c r="J1002" s="99"/>
      <c r="K1002" s="99"/>
      <c r="L1002" s="99"/>
      <c r="M1002" s="99"/>
      <c r="N1002" s="99"/>
      <c r="O1002" s="99"/>
      <c r="P1002" s="99"/>
      <c r="Q1002" s="99"/>
      <c r="R1002" s="99"/>
      <c r="S1002" s="99"/>
      <c r="T1002" s="99"/>
      <c r="U1002" s="105"/>
      <c r="V1002" s="262"/>
      <c r="W1002" s="121"/>
      <c r="X1002" s="121"/>
      <c r="Y1002" s="121"/>
      <c r="Z1002" s="121"/>
      <c r="AA1002" s="121"/>
      <c r="AB1002" s="121"/>
      <c r="AC1002" s="121"/>
      <c r="AD1002" s="121"/>
      <c r="AE1002" s="121"/>
      <c r="AF1002" s="121"/>
      <c r="AG1002" s="121"/>
      <c r="AH1002" s="121"/>
      <c r="AI1002" s="121"/>
    </row>
    <row r="1003" spans="1:35" s="115" customFormat="1" ht="14.4">
      <c r="A1003" s="187"/>
      <c r="B1003" s="190"/>
      <c r="C1003" s="190"/>
      <c r="D1003" s="69"/>
      <c r="E1003" s="69"/>
      <c r="F1003" s="149"/>
      <c r="G1003" s="146"/>
      <c r="H1003" s="98"/>
      <c r="I1003" s="99"/>
      <c r="J1003" s="99"/>
      <c r="K1003" s="99"/>
      <c r="L1003" s="99"/>
      <c r="M1003" s="99"/>
      <c r="N1003" s="99"/>
      <c r="O1003" s="99"/>
      <c r="P1003" s="99"/>
      <c r="Q1003" s="99"/>
      <c r="R1003" s="99"/>
      <c r="S1003" s="99"/>
      <c r="T1003" s="99"/>
      <c r="U1003" s="105"/>
      <c r="V1003" s="262"/>
      <c r="W1003" s="121"/>
      <c r="X1003" s="121"/>
      <c r="Y1003" s="121"/>
      <c r="Z1003" s="121"/>
      <c r="AA1003" s="121"/>
      <c r="AB1003" s="121"/>
      <c r="AC1003" s="121"/>
      <c r="AD1003" s="121"/>
      <c r="AE1003" s="121"/>
      <c r="AF1003" s="121"/>
      <c r="AG1003" s="121"/>
      <c r="AH1003" s="121"/>
      <c r="AI1003" s="121"/>
    </row>
    <row r="1004" spans="1:35" s="115" customFormat="1" ht="14.4">
      <c r="A1004" s="187"/>
      <c r="B1004" s="190"/>
      <c r="C1004" s="190"/>
      <c r="D1004" s="69"/>
      <c r="E1004" s="69"/>
      <c r="F1004" s="149"/>
      <c r="G1004" s="146"/>
      <c r="H1004" s="98"/>
      <c r="I1004" s="99"/>
      <c r="J1004" s="99"/>
      <c r="K1004" s="99"/>
      <c r="L1004" s="99"/>
      <c r="M1004" s="99"/>
      <c r="N1004" s="99"/>
      <c r="O1004" s="99"/>
      <c r="P1004" s="99"/>
      <c r="Q1004" s="99"/>
      <c r="R1004" s="99"/>
      <c r="S1004" s="99"/>
      <c r="T1004" s="99"/>
      <c r="U1004" s="105"/>
      <c r="V1004" s="262"/>
      <c r="W1004" s="121"/>
      <c r="X1004" s="121"/>
      <c r="Y1004" s="121"/>
      <c r="Z1004" s="121"/>
      <c r="AA1004" s="121"/>
      <c r="AB1004" s="121"/>
      <c r="AC1004" s="121"/>
      <c r="AD1004" s="121"/>
      <c r="AE1004" s="121"/>
      <c r="AF1004" s="121"/>
      <c r="AG1004" s="121"/>
      <c r="AH1004" s="121"/>
      <c r="AI1004" s="121"/>
    </row>
    <row r="1005" spans="1:35" s="115" customFormat="1" ht="14.4">
      <c r="A1005" s="187"/>
      <c r="B1005" s="190"/>
      <c r="C1005" s="190"/>
      <c r="D1005" s="69"/>
      <c r="E1005" s="69"/>
      <c r="F1005" s="149"/>
      <c r="G1005" s="146"/>
      <c r="H1005" s="98"/>
      <c r="I1005" s="99"/>
      <c r="J1005" s="99"/>
      <c r="K1005" s="99"/>
      <c r="L1005" s="99"/>
      <c r="M1005" s="99"/>
      <c r="N1005" s="99"/>
      <c r="O1005" s="99"/>
      <c r="P1005" s="99"/>
      <c r="Q1005" s="99"/>
      <c r="R1005" s="99"/>
      <c r="S1005" s="99"/>
      <c r="T1005" s="99"/>
      <c r="U1005" s="105"/>
      <c r="V1005" s="262"/>
      <c r="W1005" s="121"/>
      <c r="X1005" s="121"/>
      <c r="Y1005" s="121"/>
      <c r="Z1005" s="121"/>
      <c r="AA1005" s="121"/>
      <c r="AB1005" s="121"/>
      <c r="AC1005" s="121"/>
      <c r="AD1005" s="121"/>
      <c r="AE1005" s="121"/>
      <c r="AF1005" s="121"/>
      <c r="AG1005" s="121"/>
      <c r="AH1005" s="121"/>
      <c r="AI1005" s="121"/>
    </row>
    <row r="1006" spans="1:35" s="115" customFormat="1" ht="14.4">
      <c r="A1006" s="187"/>
      <c r="B1006" s="190"/>
      <c r="C1006" s="190"/>
      <c r="D1006" s="69"/>
      <c r="E1006" s="69"/>
      <c r="F1006" s="149"/>
      <c r="G1006" s="146"/>
      <c r="H1006" s="98"/>
      <c r="I1006" s="99"/>
      <c r="J1006" s="99"/>
      <c r="K1006" s="99"/>
      <c r="L1006" s="99"/>
      <c r="M1006" s="99"/>
      <c r="N1006" s="99"/>
      <c r="O1006" s="99"/>
      <c r="P1006" s="99"/>
      <c r="Q1006" s="99"/>
      <c r="R1006" s="99"/>
      <c r="S1006" s="99"/>
      <c r="T1006" s="99"/>
      <c r="U1006" s="105"/>
      <c r="V1006" s="262"/>
      <c r="W1006" s="121"/>
      <c r="X1006" s="121"/>
      <c r="Y1006" s="121"/>
      <c r="Z1006" s="121"/>
      <c r="AA1006" s="121"/>
      <c r="AB1006" s="121"/>
      <c r="AC1006" s="121"/>
      <c r="AD1006" s="121"/>
      <c r="AE1006" s="121"/>
      <c r="AF1006" s="121"/>
      <c r="AG1006" s="121"/>
      <c r="AH1006" s="121"/>
      <c r="AI1006" s="121"/>
    </row>
    <row r="1007" spans="1:35" s="115" customFormat="1" ht="14.4">
      <c r="A1007" s="187"/>
      <c r="B1007" s="190"/>
      <c r="C1007" s="190"/>
      <c r="D1007" s="69"/>
      <c r="E1007" s="69"/>
      <c r="F1007" s="149"/>
      <c r="G1007" s="146"/>
      <c r="H1007" s="98"/>
      <c r="I1007" s="99"/>
      <c r="J1007" s="99"/>
      <c r="K1007" s="99"/>
      <c r="L1007" s="99"/>
      <c r="M1007" s="99"/>
      <c r="N1007" s="99"/>
      <c r="O1007" s="99"/>
      <c r="P1007" s="99"/>
      <c r="Q1007" s="99"/>
      <c r="R1007" s="99"/>
      <c r="S1007" s="99"/>
      <c r="T1007" s="99"/>
      <c r="U1007" s="105"/>
      <c r="V1007" s="262"/>
      <c r="W1007" s="121"/>
      <c r="X1007" s="121"/>
      <c r="Y1007" s="121"/>
      <c r="Z1007" s="121"/>
      <c r="AA1007" s="121"/>
      <c r="AB1007" s="121"/>
      <c r="AC1007" s="121"/>
      <c r="AD1007" s="121"/>
      <c r="AE1007" s="121"/>
      <c r="AF1007" s="121"/>
      <c r="AG1007" s="121"/>
      <c r="AH1007" s="121"/>
      <c r="AI1007" s="121"/>
    </row>
    <row r="1008" spans="1:35" s="115" customFormat="1" ht="14.4">
      <c r="A1008" s="187"/>
      <c r="B1008" s="190"/>
      <c r="C1008" s="190"/>
      <c r="D1008" s="69"/>
      <c r="E1008" s="69"/>
      <c r="F1008" s="149"/>
      <c r="G1008" s="146"/>
      <c r="H1008" s="98"/>
      <c r="I1008" s="99"/>
      <c r="J1008" s="99"/>
      <c r="K1008" s="99"/>
      <c r="L1008" s="99"/>
      <c r="M1008" s="99"/>
      <c r="N1008" s="99"/>
      <c r="O1008" s="99"/>
      <c r="P1008" s="99"/>
      <c r="Q1008" s="99"/>
      <c r="R1008" s="99"/>
      <c r="S1008" s="99"/>
      <c r="T1008" s="99"/>
      <c r="U1008" s="105"/>
      <c r="V1008" s="262"/>
      <c r="W1008" s="121"/>
      <c r="X1008" s="121"/>
      <c r="Y1008" s="121"/>
      <c r="Z1008" s="121"/>
      <c r="AA1008" s="121"/>
      <c r="AB1008" s="121"/>
      <c r="AC1008" s="121"/>
      <c r="AD1008" s="121"/>
      <c r="AE1008" s="121"/>
      <c r="AF1008" s="121"/>
      <c r="AG1008" s="121"/>
      <c r="AH1008" s="121"/>
      <c r="AI1008" s="121"/>
    </row>
    <row r="1009" spans="1:35" s="115" customFormat="1" ht="14.4">
      <c r="A1009" s="187"/>
      <c r="B1009" s="190"/>
      <c r="C1009" s="190"/>
      <c r="D1009" s="69"/>
      <c r="E1009" s="69"/>
      <c r="F1009" s="149"/>
      <c r="G1009" s="146"/>
      <c r="H1009" s="98"/>
      <c r="I1009" s="99"/>
      <c r="J1009" s="99"/>
      <c r="K1009" s="99"/>
      <c r="L1009" s="99"/>
      <c r="M1009" s="99"/>
      <c r="N1009" s="99"/>
      <c r="O1009" s="99"/>
      <c r="P1009" s="99"/>
      <c r="Q1009" s="99"/>
      <c r="R1009" s="99"/>
      <c r="S1009" s="99"/>
      <c r="T1009" s="99"/>
      <c r="U1009" s="105"/>
      <c r="V1009" s="262"/>
      <c r="W1009" s="121"/>
      <c r="X1009" s="121"/>
      <c r="Y1009" s="121"/>
      <c r="Z1009" s="121"/>
      <c r="AA1009" s="121"/>
      <c r="AB1009" s="121"/>
      <c r="AC1009" s="121"/>
      <c r="AD1009" s="121"/>
      <c r="AE1009" s="121"/>
      <c r="AF1009" s="121"/>
      <c r="AG1009" s="121"/>
      <c r="AH1009" s="121"/>
      <c r="AI1009" s="121"/>
    </row>
    <row r="1010" spans="1:35" s="115" customFormat="1" ht="14.4">
      <c r="A1010" s="187"/>
      <c r="B1010" s="190"/>
      <c r="C1010" s="190"/>
      <c r="D1010" s="69"/>
      <c r="E1010" s="69"/>
      <c r="F1010" s="149"/>
      <c r="G1010" s="146"/>
      <c r="H1010" s="98"/>
      <c r="I1010" s="99"/>
      <c r="J1010" s="99"/>
      <c r="K1010" s="99"/>
      <c r="L1010" s="99"/>
      <c r="M1010" s="99"/>
      <c r="N1010" s="99"/>
      <c r="O1010" s="99"/>
      <c r="P1010" s="99"/>
      <c r="Q1010" s="99"/>
      <c r="R1010" s="99"/>
      <c r="S1010" s="99"/>
      <c r="T1010" s="99"/>
      <c r="U1010" s="105"/>
      <c r="V1010" s="262"/>
      <c r="W1010" s="121"/>
      <c r="X1010" s="121"/>
      <c r="Y1010" s="121"/>
      <c r="Z1010" s="121"/>
      <c r="AA1010" s="121"/>
      <c r="AB1010" s="121"/>
      <c r="AC1010" s="121"/>
      <c r="AD1010" s="121"/>
      <c r="AE1010" s="121"/>
      <c r="AF1010" s="121"/>
      <c r="AG1010" s="121"/>
      <c r="AH1010" s="121"/>
      <c r="AI1010" s="121"/>
    </row>
    <row r="1011" spans="1:35" s="115" customFormat="1" ht="14.4">
      <c r="A1011" s="187"/>
      <c r="B1011" s="190"/>
      <c r="C1011" s="190"/>
      <c r="D1011" s="69"/>
      <c r="E1011" s="69"/>
      <c r="F1011" s="149"/>
      <c r="G1011" s="146"/>
      <c r="H1011" s="98"/>
      <c r="I1011" s="99"/>
      <c r="J1011" s="99"/>
      <c r="K1011" s="99"/>
      <c r="L1011" s="99"/>
      <c r="M1011" s="99"/>
      <c r="N1011" s="99"/>
      <c r="O1011" s="99"/>
      <c r="P1011" s="99"/>
      <c r="Q1011" s="99"/>
      <c r="R1011" s="99"/>
      <c r="S1011" s="99"/>
      <c r="T1011" s="99"/>
      <c r="U1011" s="105"/>
      <c r="V1011" s="262"/>
      <c r="W1011" s="121"/>
      <c r="X1011" s="121"/>
      <c r="Y1011" s="121"/>
      <c r="Z1011" s="121"/>
      <c r="AA1011" s="121"/>
      <c r="AB1011" s="121"/>
      <c r="AC1011" s="121"/>
      <c r="AD1011" s="121"/>
      <c r="AE1011" s="121"/>
      <c r="AF1011" s="121"/>
      <c r="AG1011" s="121"/>
      <c r="AH1011" s="121"/>
      <c r="AI1011" s="121"/>
    </row>
    <row r="1012" spans="1:35" s="115" customFormat="1" ht="14.4">
      <c r="A1012" s="187"/>
      <c r="B1012" s="190"/>
      <c r="C1012" s="190"/>
      <c r="D1012" s="69"/>
      <c r="E1012" s="69"/>
      <c r="F1012" s="149"/>
      <c r="G1012" s="146"/>
      <c r="H1012" s="98"/>
      <c r="I1012" s="99"/>
      <c r="J1012" s="99"/>
      <c r="K1012" s="99"/>
      <c r="L1012" s="99"/>
      <c r="M1012" s="99"/>
      <c r="N1012" s="99"/>
      <c r="O1012" s="99"/>
      <c r="P1012" s="99"/>
      <c r="Q1012" s="99"/>
      <c r="R1012" s="99"/>
      <c r="S1012" s="99"/>
      <c r="T1012" s="99"/>
      <c r="U1012" s="105"/>
      <c r="V1012" s="262"/>
      <c r="W1012" s="121"/>
      <c r="X1012" s="121"/>
      <c r="Y1012" s="121"/>
      <c r="Z1012" s="121"/>
      <c r="AA1012" s="121"/>
      <c r="AB1012" s="121"/>
      <c r="AC1012" s="121"/>
      <c r="AD1012" s="121"/>
      <c r="AE1012" s="121"/>
      <c r="AF1012" s="121"/>
      <c r="AG1012" s="121"/>
      <c r="AH1012" s="121"/>
      <c r="AI1012" s="121"/>
    </row>
    <row r="1013" spans="1:35" s="115" customFormat="1" ht="14.4">
      <c r="A1013" s="187"/>
      <c r="B1013" s="190"/>
      <c r="C1013" s="190"/>
      <c r="D1013" s="69"/>
      <c r="E1013" s="69"/>
      <c r="F1013" s="149"/>
      <c r="G1013" s="146"/>
      <c r="H1013" s="98"/>
      <c r="I1013" s="99"/>
      <c r="J1013" s="99"/>
      <c r="K1013" s="99"/>
      <c r="L1013" s="99"/>
      <c r="M1013" s="99"/>
      <c r="N1013" s="99"/>
      <c r="O1013" s="99"/>
      <c r="P1013" s="99"/>
      <c r="Q1013" s="99"/>
      <c r="R1013" s="99"/>
      <c r="S1013" s="99"/>
      <c r="T1013" s="99"/>
      <c r="U1013" s="105"/>
      <c r="V1013" s="262"/>
      <c r="W1013" s="121"/>
      <c r="X1013" s="121"/>
      <c r="Y1013" s="121"/>
      <c r="Z1013" s="121"/>
      <c r="AA1013" s="121"/>
      <c r="AB1013" s="121"/>
      <c r="AC1013" s="121"/>
      <c r="AD1013" s="121"/>
      <c r="AE1013" s="121"/>
      <c r="AF1013" s="121"/>
      <c r="AG1013" s="121"/>
      <c r="AH1013" s="121"/>
      <c r="AI1013" s="121"/>
    </row>
    <row r="1014" spans="1:35" s="115" customFormat="1" ht="14.4">
      <c r="A1014" s="187"/>
      <c r="B1014" s="190"/>
      <c r="C1014" s="190"/>
      <c r="D1014" s="69"/>
      <c r="E1014" s="69"/>
      <c r="F1014" s="149"/>
      <c r="G1014" s="146"/>
      <c r="H1014" s="107"/>
      <c r="I1014" s="108"/>
      <c r="J1014" s="108"/>
      <c r="K1014" s="108"/>
      <c r="L1014" s="108"/>
      <c r="M1014" s="108"/>
      <c r="N1014" s="109"/>
      <c r="O1014" s="109"/>
      <c r="P1014" s="109"/>
      <c r="Q1014" s="109"/>
      <c r="R1014" s="109"/>
      <c r="S1014" s="109"/>
      <c r="T1014" s="109"/>
      <c r="U1014" s="105"/>
      <c r="V1014" s="262"/>
      <c r="W1014" s="121"/>
      <c r="X1014" s="121"/>
      <c r="Y1014" s="121"/>
      <c r="Z1014" s="121"/>
      <c r="AA1014" s="121"/>
      <c r="AB1014" s="121"/>
      <c r="AC1014" s="121"/>
      <c r="AD1014" s="121"/>
      <c r="AE1014" s="121"/>
      <c r="AF1014" s="121"/>
      <c r="AG1014" s="121"/>
      <c r="AH1014" s="121"/>
      <c r="AI1014" s="121"/>
    </row>
    <row r="1015" spans="1:35" s="115" customFormat="1" ht="14.4">
      <c r="A1015" s="187"/>
      <c r="B1015" s="190"/>
      <c r="C1015" s="190"/>
      <c r="D1015" s="69"/>
      <c r="E1015" s="69"/>
      <c r="F1015" s="149"/>
      <c r="G1015" s="146"/>
      <c r="H1015" s="98"/>
      <c r="I1015" s="106"/>
      <c r="J1015" s="106"/>
      <c r="K1015" s="106"/>
      <c r="L1015" s="106"/>
      <c r="M1015" s="106"/>
      <c r="N1015" s="110"/>
      <c r="O1015" s="110"/>
      <c r="P1015" s="110"/>
      <c r="Q1015" s="111"/>
      <c r="R1015" s="111"/>
      <c r="S1015" s="111"/>
      <c r="T1015" s="111"/>
      <c r="U1015" s="105"/>
      <c r="V1015" s="262"/>
      <c r="W1015" s="121"/>
      <c r="X1015" s="121"/>
      <c r="Y1015" s="121"/>
      <c r="Z1015" s="121"/>
      <c r="AA1015" s="121"/>
      <c r="AB1015" s="121"/>
      <c r="AC1015" s="121"/>
      <c r="AD1015" s="121"/>
      <c r="AE1015" s="121"/>
      <c r="AF1015" s="121"/>
      <c r="AG1015" s="121"/>
      <c r="AH1015" s="121"/>
      <c r="AI1015" s="121"/>
    </row>
    <row r="1016" spans="1:35" s="115" customFormat="1" ht="14.4">
      <c r="A1016" s="187"/>
      <c r="B1016" s="190"/>
      <c r="C1016" s="190"/>
      <c r="D1016" s="69"/>
      <c r="E1016" s="69"/>
      <c r="F1016" s="149"/>
      <c r="G1016" s="146"/>
      <c r="H1016" s="98"/>
      <c r="I1016" s="99"/>
      <c r="J1016" s="99"/>
      <c r="K1016" s="99"/>
      <c r="L1016" s="99"/>
      <c r="M1016" s="99"/>
      <c r="N1016" s="99"/>
      <c r="O1016" s="99"/>
      <c r="P1016" s="99"/>
      <c r="Q1016" s="99"/>
      <c r="R1016" s="99"/>
      <c r="S1016" s="99"/>
      <c r="T1016" s="99"/>
      <c r="U1016" s="105"/>
      <c r="V1016" s="262"/>
      <c r="W1016" s="121"/>
      <c r="X1016" s="121"/>
      <c r="Y1016" s="121"/>
      <c r="Z1016" s="121"/>
      <c r="AA1016" s="121"/>
      <c r="AB1016" s="121"/>
      <c r="AC1016" s="121"/>
      <c r="AD1016" s="121"/>
      <c r="AE1016" s="121"/>
      <c r="AF1016" s="121"/>
      <c r="AG1016" s="121"/>
      <c r="AH1016" s="121"/>
      <c r="AI1016" s="121"/>
    </row>
    <row r="1017" spans="1:35" s="115" customFormat="1" ht="14.4">
      <c r="A1017" s="187"/>
      <c r="B1017" s="190"/>
      <c r="C1017" s="190"/>
      <c r="D1017" s="69"/>
      <c r="E1017" s="69"/>
      <c r="F1017" s="149"/>
      <c r="G1017" s="146"/>
      <c r="H1017" s="107"/>
      <c r="I1017" s="108"/>
      <c r="J1017" s="108"/>
      <c r="K1017" s="108"/>
      <c r="L1017" s="108"/>
      <c r="M1017" s="108"/>
      <c r="N1017" s="109"/>
      <c r="O1017" s="109"/>
      <c r="P1017" s="109"/>
      <c r="Q1017" s="109"/>
      <c r="R1017" s="109"/>
      <c r="S1017" s="109"/>
      <c r="T1017" s="109"/>
      <c r="U1017" s="105"/>
      <c r="V1017" s="262"/>
      <c r="W1017" s="121"/>
      <c r="X1017" s="121"/>
      <c r="Y1017" s="121"/>
      <c r="Z1017" s="121"/>
      <c r="AA1017" s="121"/>
      <c r="AB1017" s="121"/>
      <c r="AC1017" s="121"/>
      <c r="AD1017" s="121"/>
      <c r="AE1017" s="121"/>
      <c r="AF1017" s="121"/>
      <c r="AG1017" s="121"/>
      <c r="AH1017" s="121"/>
      <c r="AI1017" s="121"/>
    </row>
    <row r="1018" spans="1:35" s="115" customFormat="1" ht="14.4">
      <c r="A1018" s="187"/>
      <c r="B1018" s="190"/>
      <c r="C1018" s="190"/>
      <c r="D1018" s="69"/>
      <c r="E1018" s="69"/>
      <c r="F1018" s="149"/>
      <c r="G1018" s="146"/>
      <c r="H1018" s="98"/>
      <c r="I1018" s="99"/>
      <c r="J1018" s="99"/>
      <c r="K1018" s="99"/>
      <c r="L1018" s="99"/>
      <c r="M1018" s="99"/>
      <c r="N1018" s="99"/>
      <c r="O1018" s="99"/>
      <c r="P1018" s="99"/>
      <c r="Q1018" s="99"/>
      <c r="R1018" s="99"/>
      <c r="S1018" s="99"/>
      <c r="T1018" s="99"/>
      <c r="U1018" s="105"/>
      <c r="V1018" s="262"/>
      <c r="W1018" s="121"/>
      <c r="X1018" s="121"/>
      <c r="Y1018" s="121"/>
      <c r="Z1018" s="121"/>
      <c r="AA1018" s="121"/>
      <c r="AB1018" s="121"/>
      <c r="AC1018" s="121"/>
      <c r="AD1018" s="121"/>
      <c r="AE1018" s="121"/>
      <c r="AF1018" s="121"/>
      <c r="AG1018" s="121"/>
      <c r="AH1018" s="121"/>
      <c r="AI1018" s="121"/>
    </row>
    <row r="1019" spans="1:35" s="115" customFormat="1" ht="14.4">
      <c r="A1019" s="187"/>
      <c r="B1019" s="190"/>
      <c r="C1019" s="190"/>
      <c r="D1019" s="69"/>
      <c r="E1019" s="69"/>
      <c r="F1019" s="149"/>
      <c r="G1019" s="146"/>
      <c r="H1019" s="98"/>
      <c r="I1019" s="99"/>
      <c r="J1019" s="99"/>
      <c r="K1019" s="99"/>
      <c r="L1019" s="99"/>
      <c r="M1019" s="99"/>
      <c r="N1019" s="99"/>
      <c r="O1019" s="99"/>
      <c r="P1019" s="99"/>
      <c r="Q1019" s="99"/>
      <c r="R1019" s="99"/>
      <c r="S1019" s="99"/>
      <c r="T1019" s="99"/>
      <c r="U1019" s="105"/>
      <c r="V1019" s="262"/>
      <c r="W1019" s="121"/>
      <c r="X1019" s="121"/>
      <c r="Y1019" s="121"/>
      <c r="Z1019" s="121"/>
      <c r="AA1019" s="121"/>
      <c r="AB1019" s="121"/>
      <c r="AC1019" s="121"/>
      <c r="AD1019" s="121"/>
      <c r="AE1019" s="121"/>
      <c r="AF1019" s="121"/>
      <c r="AG1019" s="121"/>
      <c r="AH1019" s="121"/>
      <c r="AI1019" s="121"/>
    </row>
    <row r="1020" spans="1:35" s="115" customFormat="1" ht="14.4">
      <c r="A1020" s="187"/>
      <c r="B1020" s="190"/>
      <c r="C1020" s="190"/>
      <c r="D1020" s="69"/>
      <c r="E1020" s="69"/>
      <c r="F1020" s="149"/>
      <c r="G1020" s="146"/>
      <c r="H1020" s="98"/>
      <c r="I1020" s="99"/>
      <c r="J1020" s="99"/>
      <c r="K1020" s="99"/>
      <c r="L1020" s="99"/>
      <c r="M1020" s="99"/>
      <c r="N1020" s="99"/>
      <c r="O1020" s="99"/>
      <c r="P1020" s="99"/>
      <c r="Q1020" s="99"/>
      <c r="R1020" s="99"/>
      <c r="S1020" s="99"/>
      <c r="T1020" s="99"/>
      <c r="U1020" s="105"/>
      <c r="V1020" s="262"/>
      <c r="W1020" s="121"/>
      <c r="X1020" s="121"/>
      <c r="Y1020" s="121"/>
      <c r="Z1020" s="121"/>
      <c r="AA1020" s="121"/>
      <c r="AB1020" s="121"/>
      <c r="AC1020" s="121"/>
      <c r="AD1020" s="121"/>
      <c r="AE1020" s="121"/>
      <c r="AF1020" s="121"/>
      <c r="AG1020" s="121"/>
      <c r="AH1020" s="121"/>
      <c r="AI1020" s="121"/>
    </row>
    <row r="1021" spans="1:35" s="115" customFormat="1" ht="14.4">
      <c r="A1021" s="187"/>
      <c r="B1021" s="190"/>
      <c r="C1021" s="190"/>
      <c r="D1021" s="69"/>
      <c r="E1021" s="69"/>
      <c r="F1021" s="149"/>
      <c r="G1021" s="146"/>
      <c r="H1021" s="107"/>
      <c r="I1021" s="108"/>
      <c r="J1021" s="108"/>
      <c r="K1021" s="108"/>
      <c r="L1021" s="108"/>
      <c r="M1021" s="108"/>
      <c r="N1021" s="109"/>
      <c r="O1021" s="109"/>
      <c r="P1021" s="109"/>
      <c r="Q1021" s="109"/>
      <c r="R1021" s="109"/>
      <c r="S1021" s="109"/>
      <c r="T1021" s="109"/>
      <c r="U1021" s="105"/>
      <c r="V1021" s="262"/>
      <c r="W1021" s="121"/>
      <c r="X1021" s="121"/>
      <c r="Y1021" s="121"/>
      <c r="Z1021" s="121"/>
      <c r="AA1021" s="121"/>
      <c r="AB1021" s="121"/>
      <c r="AC1021" s="121"/>
      <c r="AD1021" s="121"/>
      <c r="AE1021" s="121"/>
      <c r="AF1021" s="121"/>
      <c r="AG1021" s="121"/>
      <c r="AH1021" s="121"/>
      <c r="AI1021" s="121"/>
    </row>
    <row r="1022" spans="1:35" s="115" customFormat="1" ht="14.4">
      <c r="A1022" s="187"/>
      <c r="B1022" s="190"/>
      <c r="C1022" s="190"/>
      <c r="D1022" s="69"/>
      <c r="E1022" s="69"/>
      <c r="F1022" s="149"/>
      <c r="G1022" s="146"/>
      <c r="H1022" s="98"/>
      <c r="I1022" s="106"/>
      <c r="J1022" s="106"/>
      <c r="K1022" s="106"/>
      <c r="L1022" s="106"/>
      <c r="M1022" s="106"/>
      <c r="N1022" s="110"/>
      <c r="O1022" s="110"/>
      <c r="P1022" s="110"/>
      <c r="Q1022" s="111"/>
      <c r="R1022" s="111"/>
      <c r="S1022" s="111"/>
      <c r="T1022" s="111"/>
      <c r="U1022" s="105"/>
      <c r="V1022" s="262"/>
      <c r="W1022" s="121"/>
      <c r="X1022" s="121"/>
      <c r="Y1022" s="121"/>
      <c r="Z1022" s="121"/>
      <c r="AA1022" s="121"/>
      <c r="AB1022" s="121"/>
      <c r="AC1022" s="121"/>
      <c r="AD1022" s="121"/>
      <c r="AE1022" s="121"/>
      <c r="AF1022" s="121"/>
      <c r="AG1022" s="121"/>
      <c r="AH1022" s="121"/>
      <c r="AI1022" s="121"/>
    </row>
    <row r="1023" spans="1:35" s="115" customFormat="1" ht="14.4">
      <c r="A1023" s="187"/>
      <c r="B1023" s="190"/>
      <c r="C1023" s="190"/>
      <c r="D1023" s="69"/>
      <c r="E1023" s="69"/>
      <c r="F1023" s="149"/>
      <c r="G1023" s="146"/>
      <c r="H1023" s="98"/>
      <c r="I1023" s="106"/>
      <c r="J1023" s="106"/>
      <c r="K1023" s="106"/>
      <c r="L1023" s="106"/>
      <c r="M1023" s="106"/>
      <c r="N1023" s="110"/>
      <c r="O1023" s="110"/>
      <c r="P1023" s="110"/>
      <c r="Q1023" s="111"/>
      <c r="R1023" s="111"/>
      <c r="S1023" s="111"/>
      <c r="T1023" s="111"/>
      <c r="U1023" s="105"/>
      <c r="V1023" s="262"/>
      <c r="W1023" s="121"/>
      <c r="X1023" s="121"/>
      <c r="Y1023" s="121"/>
      <c r="Z1023" s="121"/>
      <c r="AA1023" s="121"/>
      <c r="AB1023" s="121"/>
      <c r="AC1023" s="121"/>
      <c r="AD1023" s="121"/>
      <c r="AE1023" s="121"/>
      <c r="AF1023" s="121"/>
      <c r="AG1023" s="121"/>
      <c r="AH1023" s="121"/>
      <c r="AI1023" s="121"/>
    </row>
    <row r="1024" spans="1:35" s="115" customFormat="1" ht="14.4">
      <c r="A1024" s="187"/>
      <c r="B1024" s="190"/>
      <c r="C1024" s="190"/>
      <c r="D1024" s="69"/>
      <c r="E1024" s="69"/>
      <c r="F1024" s="149"/>
      <c r="G1024" s="146"/>
      <c r="H1024" s="98"/>
      <c r="I1024" s="99"/>
      <c r="J1024" s="99"/>
      <c r="K1024" s="99"/>
      <c r="L1024" s="99"/>
      <c r="M1024" s="99"/>
      <c r="N1024" s="99"/>
      <c r="O1024" s="99"/>
      <c r="P1024" s="99"/>
      <c r="Q1024" s="99"/>
      <c r="R1024" s="99"/>
      <c r="S1024" s="99"/>
      <c r="T1024" s="99"/>
      <c r="U1024" s="105"/>
      <c r="V1024" s="262"/>
      <c r="W1024" s="121"/>
      <c r="X1024" s="121"/>
      <c r="Y1024" s="121"/>
      <c r="Z1024" s="121"/>
      <c r="AA1024" s="121"/>
      <c r="AB1024" s="121"/>
      <c r="AC1024" s="121"/>
      <c r="AD1024" s="121"/>
      <c r="AE1024" s="121"/>
      <c r="AF1024" s="121"/>
      <c r="AG1024" s="121"/>
      <c r="AH1024" s="121"/>
      <c r="AI1024" s="121"/>
    </row>
    <row r="1025" spans="1:35" s="115" customFormat="1" ht="14.4">
      <c r="A1025" s="187"/>
      <c r="B1025" s="190"/>
      <c r="C1025" s="190"/>
      <c r="D1025" s="69"/>
      <c r="E1025" s="69"/>
      <c r="F1025" s="149"/>
      <c r="G1025" s="146"/>
      <c r="H1025" s="98"/>
      <c r="I1025" s="99"/>
      <c r="J1025" s="99"/>
      <c r="K1025" s="99"/>
      <c r="L1025" s="99"/>
      <c r="M1025" s="99"/>
      <c r="N1025" s="99"/>
      <c r="O1025" s="99"/>
      <c r="P1025" s="99"/>
      <c r="Q1025" s="99"/>
      <c r="R1025" s="99"/>
      <c r="S1025" s="99"/>
      <c r="T1025" s="99"/>
      <c r="U1025" s="105"/>
      <c r="V1025" s="262"/>
      <c r="W1025" s="121"/>
      <c r="X1025" s="121"/>
      <c r="Y1025" s="121"/>
      <c r="Z1025" s="121"/>
      <c r="AA1025" s="121"/>
      <c r="AB1025" s="121"/>
      <c r="AC1025" s="121"/>
      <c r="AD1025" s="121"/>
      <c r="AE1025" s="121"/>
      <c r="AF1025" s="121"/>
      <c r="AG1025" s="121"/>
      <c r="AH1025" s="121"/>
      <c r="AI1025" s="121"/>
    </row>
    <row r="1026" spans="1:35" s="115" customFormat="1" ht="14.4">
      <c r="A1026" s="187"/>
      <c r="B1026" s="190"/>
      <c r="C1026" s="190"/>
      <c r="D1026" s="69"/>
      <c r="E1026" s="69"/>
      <c r="F1026" s="149"/>
      <c r="G1026" s="146"/>
      <c r="H1026" s="98"/>
      <c r="I1026" s="99"/>
      <c r="J1026" s="99"/>
      <c r="K1026" s="99"/>
      <c r="L1026" s="99"/>
      <c r="M1026" s="99"/>
      <c r="N1026" s="99"/>
      <c r="O1026" s="99"/>
      <c r="P1026" s="99"/>
      <c r="Q1026" s="99"/>
      <c r="R1026" s="99"/>
      <c r="S1026" s="99"/>
      <c r="T1026" s="99"/>
      <c r="U1026" s="105"/>
      <c r="V1026" s="262"/>
      <c r="W1026" s="121"/>
      <c r="X1026" s="121"/>
      <c r="Y1026" s="121"/>
      <c r="Z1026" s="121"/>
      <c r="AA1026" s="121"/>
      <c r="AB1026" s="121"/>
      <c r="AC1026" s="121"/>
      <c r="AD1026" s="121"/>
      <c r="AE1026" s="121"/>
      <c r="AF1026" s="121"/>
      <c r="AG1026" s="121"/>
      <c r="AH1026" s="121"/>
      <c r="AI1026" s="121"/>
    </row>
    <row r="1027" spans="1:35" s="115" customFormat="1" ht="14.4">
      <c r="A1027" s="187"/>
      <c r="B1027" s="190"/>
      <c r="C1027" s="190"/>
      <c r="D1027" s="69"/>
      <c r="E1027" s="69"/>
      <c r="F1027" s="149"/>
      <c r="G1027" s="146"/>
      <c r="H1027" s="107"/>
      <c r="I1027" s="108"/>
      <c r="J1027" s="108"/>
      <c r="K1027" s="108"/>
      <c r="L1027" s="108"/>
      <c r="M1027" s="108"/>
      <c r="N1027" s="109"/>
      <c r="O1027" s="109"/>
      <c r="P1027" s="109"/>
      <c r="Q1027" s="109"/>
      <c r="R1027" s="109"/>
      <c r="S1027" s="109"/>
      <c r="T1027" s="109"/>
      <c r="U1027" s="105"/>
      <c r="V1027" s="262"/>
      <c r="W1027" s="121"/>
      <c r="X1027" s="121"/>
      <c r="Y1027" s="121"/>
      <c r="Z1027" s="121"/>
      <c r="AA1027" s="121"/>
      <c r="AB1027" s="121"/>
      <c r="AC1027" s="121"/>
      <c r="AD1027" s="121"/>
      <c r="AE1027" s="121"/>
      <c r="AF1027" s="121"/>
      <c r="AG1027" s="121"/>
      <c r="AH1027" s="121"/>
      <c r="AI1027" s="121"/>
    </row>
    <row r="1028" spans="1:35" s="115" customFormat="1" ht="14.4">
      <c r="A1028" s="187"/>
      <c r="B1028" s="190"/>
      <c r="C1028" s="190"/>
      <c r="D1028" s="69"/>
      <c r="E1028" s="69"/>
      <c r="F1028" s="149"/>
      <c r="G1028" s="146"/>
      <c r="H1028" s="98"/>
      <c r="I1028" s="106"/>
      <c r="J1028" s="106"/>
      <c r="K1028" s="106"/>
      <c r="L1028" s="106"/>
      <c r="M1028" s="106"/>
      <c r="N1028" s="110"/>
      <c r="O1028" s="110"/>
      <c r="P1028" s="110"/>
      <c r="Q1028" s="111"/>
      <c r="R1028" s="111"/>
      <c r="S1028" s="111"/>
      <c r="T1028" s="111"/>
      <c r="U1028" s="105"/>
      <c r="V1028" s="262"/>
      <c r="W1028" s="121"/>
      <c r="X1028" s="121"/>
      <c r="Y1028" s="121"/>
      <c r="Z1028" s="121"/>
      <c r="AA1028" s="121"/>
      <c r="AB1028" s="121"/>
      <c r="AC1028" s="121"/>
      <c r="AD1028" s="121"/>
      <c r="AE1028" s="121"/>
      <c r="AF1028" s="121"/>
      <c r="AG1028" s="121"/>
      <c r="AH1028" s="121"/>
      <c r="AI1028" s="121"/>
    </row>
    <row r="1029" spans="1:35" s="115" customFormat="1" ht="14.4">
      <c r="A1029" s="187"/>
      <c r="B1029" s="190"/>
      <c r="C1029" s="190"/>
      <c r="D1029" s="69"/>
      <c r="E1029" s="69"/>
      <c r="F1029" s="149"/>
      <c r="G1029" s="146"/>
      <c r="H1029" s="114"/>
      <c r="I1029" s="108"/>
      <c r="J1029" s="108"/>
      <c r="K1029" s="108"/>
      <c r="L1029" s="108"/>
      <c r="M1029" s="108"/>
      <c r="N1029" s="108"/>
      <c r="O1029" s="108"/>
      <c r="P1029" s="108"/>
      <c r="Q1029" s="108"/>
      <c r="R1029" s="108"/>
      <c r="S1029" s="108"/>
      <c r="T1029" s="108"/>
      <c r="U1029" s="105"/>
      <c r="V1029" s="262"/>
      <c r="W1029" s="121"/>
      <c r="X1029" s="121"/>
      <c r="Y1029" s="121"/>
      <c r="Z1029" s="121"/>
      <c r="AA1029" s="121"/>
      <c r="AB1029" s="121"/>
      <c r="AC1029" s="121"/>
      <c r="AD1029" s="121"/>
      <c r="AE1029" s="121"/>
      <c r="AF1029" s="121"/>
      <c r="AG1029" s="121"/>
      <c r="AH1029" s="121"/>
      <c r="AI1029" s="121"/>
    </row>
    <row r="1030" spans="1:35" s="115" customFormat="1" ht="15" thickBot="1">
      <c r="A1030" s="187"/>
      <c r="B1030" s="190"/>
      <c r="C1030" s="190"/>
      <c r="D1030" s="69"/>
      <c r="E1030" s="69"/>
      <c r="F1030" s="149"/>
      <c r="G1030" s="146"/>
      <c r="H1030" s="98"/>
      <c r="I1030" s="218"/>
      <c r="J1030" s="218"/>
      <c r="K1030" s="218"/>
      <c r="L1030" s="218"/>
      <c r="M1030" s="218"/>
      <c r="N1030" s="96"/>
      <c r="O1030" s="96"/>
      <c r="P1030" s="96"/>
      <c r="Q1030" s="212"/>
      <c r="R1030" s="212"/>
      <c r="S1030" s="212"/>
      <c r="T1030" s="212"/>
      <c r="U1030" s="105"/>
      <c r="V1030" s="262"/>
      <c r="W1030" s="121"/>
      <c r="X1030" s="121"/>
      <c r="Y1030" s="121"/>
      <c r="Z1030" s="121"/>
      <c r="AA1030" s="121"/>
      <c r="AB1030" s="121"/>
      <c r="AC1030" s="121"/>
      <c r="AD1030" s="121"/>
      <c r="AE1030" s="121"/>
      <c r="AF1030" s="121"/>
      <c r="AG1030" s="121"/>
      <c r="AH1030" s="121"/>
      <c r="AI1030" s="121"/>
    </row>
    <row r="1031" spans="1:35" s="115" customFormat="1" ht="23.4" thickBot="1">
      <c r="A1031" s="187"/>
      <c r="B1031" s="190"/>
      <c r="C1031" s="190"/>
      <c r="D1031" s="69"/>
      <c r="E1031" s="69"/>
      <c r="F1031" s="149"/>
      <c r="G1031" s="146"/>
      <c r="H1031" s="686"/>
      <c r="I1031" s="687"/>
      <c r="J1031" s="687"/>
      <c r="K1031" s="687"/>
      <c r="L1031" s="687"/>
      <c r="M1031" s="687"/>
      <c r="N1031" s="687"/>
      <c r="O1031" s="687"/>
      <c r="P1031" s="687"/>
      <c r="Q1031" s="687"/>
      <c r="R1031" s="687"/>
      <c r="S1031" s="687"/>
      <c r="T1031" s="688"/>
      <c r="U1031" s="105"/>
      <c r="V1031" s="262"/>
      <c r="W1031" s="121"/>
      <c r="X1031" s="121"/>
      <c r="Y1031" s="121"/>
      <c r="Z1031" s="121"/>
      <c r="AA1031" s="121"/>
      <c r="AB1031" s="121"/>
      <c r="AC1031" s="121"/>
      <c r="AD1031" s="121"/>
      <c r="AE1031" s="121"/>
      <c r="AF1031" s="121"/>
      <c r="AG1031" s="121"/>
      <c r="AH1031" s="121"/>
      <c r="AI1031" s="121"/>
    </row>
    <row r="1032" spans="1:35" s="115" customFormat="1" ht="22.8">
      <c r="A1032" s="187"/>
      <c r="B1032" s="190"/>
      <c r="C1032" s="190"/>
      <c r="D1032" s="69"/>
      <c r="E1032" s="69"/>
      <c r="F1032" s="149"/>
      <c r="G1032" s="146"/>
      <c r="H1032" s="225"/>
      <c r="I1032" s="225"/>
      <c r="J1032" s="225"/>
      <c r="K1032" s="225"/>
      <c r="L1032" s="225"/>
      <c r="M1032" s="225"/>
      <c r="N1032" s="225"/>
      <c r="O1032" s="225"/>
      <c r="P1032" s="225"/>
      <c r="Q1032" s="225"/>
      <c r="R1032" s="225"/>
      <c r="S1032" s="225"/>
      <c r="T1032" s="225"/>
      <c r="U1032" s="105"/>
      <c r="V1032" s="262"/>
      <c r="W1032" s="121"/>
      <c r="X1032" s="121"/>
      <c r="Y1032" s="121"/>
      <c r="Z1032" s="121"/>
      <c r="AA1032" s="121"/>
      <c r="AB1032" s="121"/>
      <c r="AC1032" s="121"/>
      <c r="AD1032" s="121"/>
      <c r="AE1032" s="121"/>
      <c r="AF1032" s="121"/>
      <c r="AG1032" s="121"/>
      <c r="AH1032" s="121"/>
      <c r="AI1032" s="121"/>
    </row>
    <row r="1033" spans="1:35" s="115" customFormat="1" ht="14.4">
      <c r="A1033" s="187"/>
      <c r="B1033" s="190"/>
      <c r="C1033" s="190"/>
      <c r="D1033" s="69"/>
      <c r="E1033" s="69"/>
      <c r="F1033" s="149"/>
      <c r="G1033" s="146"/>
      <c r="H1033" s="98"/>
      <c r="I1033" s="99"/>
      <c r="J1033" s="99"/>
      <c r="K1033" s="99"/>
      <c r="L1033" s="99"/>
      <c r="M1033" s="99"/>
      <c r="N1033" s="99"/>
      <c r="O1033" s="99"/>
      <c r="P1033" s="99"/>
      <c r="Q1033" s="99"/>
      <c r="R1033" s="99"/>
      <c r="S1033" s="99"/>
      <c r="T1033" s="99"/>
      <c r="U1033" s="105"/>
      <c r="V1033" s="262"/>
      <c r="W1033" s="121"/>
      <c r="X1033" s="121"/>
      <c r="Y1033" s="121"/>
      <c r="Z1033" s="121"/>
      <c r="AA1033" s="121"/>
      <c r="AB1033" s="121"/>
      <c r="AC1033" s="121"/>
      <c r="AD1033" s="121"/>
      <c r="AE1033" s="121"/>
      <c r="AF1033" s="121"/>
      <c r="AG1033" s="121"/>
      <c r="AH1033" s="121"/>
      <c r="AI1033" s="121"/>
    </row>
    <row r="1034" spans="1:35" s="115" customFormat="1" ht="14.4">
      <c r="A1034" s="187"/>
      <c r="B1034" s="190"/>
      <c r="C1034" s="190"/>
      <c r="D1034" s="69"/>
      <c r="E1034" s="69"/>
      <c r="F1034" s="149"/>
      <c r="G1034" s="146"/>
      <c r="H1034" s="107"/>
      <c r="I1034" s="108"/>
      <c r="J1034" s="108"/>
      <c r="K1034" s="108"/>
      <c r="L1034" s="108"/>
      <c r="M1034" s="108"/>
      <c r="N1034" s="109"/>
      <c r="O1034" s="109"/>
      <c r="P1034" s="109"/>
      <c r="Q1034" s="109"/>
      <c r="R1034" s="109"/>
      <c r="S1034" s="109"/>
      <c r="T1034" s="109"/>
      <c r="U1034" s="105"/>
      <c r="V1034" s="262"/>
      <c r="W1034" s="121"/>
      <c r="X1034" s="121"/>
      <c r="Y1034" s="121"/>
      <c r="Z1034" s="121"/>
      <c r="AA1034" s="121"/>
      <c r="AB1034" s="121"/>
      <c r="AC1034" s="121"/>
      <c r="AD1034" s="121"/>
      <c r="AE1034" s="121"/>
      <c r="AF1034" s="121"/>
      <c r="AG1034" s="121"/>
      <c r="AH1034" s="121"/>
      <c r="AI1034" s="121"/>
    </row>
    <row r="1035" spans="1:35" s="115" customFormat="1" ht="24" customHeight="1">
      <c r="A1035" s="187"/>
      <c r="B1035" s="190"/>
      <c r="C1035" s="190"/>
      <c r="D1035" s="69"/>
      <c r="E1035" s="69"/>
      <c r="F1035" s="149"/>
      <c r="G1035" s="146"/>
      <c r="H1035" s="98"/>
      <c r="I1035" s="106"/>
      <c r="J1035" s="106"/>
      <c r="K1035" s="106"/>
      <c r="L1035" s="106"/>
      <c r="M1035" s="106"/>
      <c r="N1035" s="110"/>
      <c r="O1035" s="110"/>
      <c r="P1035" s="110"/>
      <c r="Q1035" s="111"/>
      <c r="R1035" s="99"/>
      <c r="S1035" s="99"/>
      <c r="T1035" s="111"/>
      <c r="U1035" s="105"/>
      <c r="V1035" s="262"/>
      <c r="W1035" s="121"/>
      <c r="X1035" s="121"/>
      <c r="Y1035" s="121"/>
      <c r="Z1035" s="121"/>
      <c r="AA1035" s="121"/>
      <c r="AB1035" s="121"/>
      <c r="AC1035" s="121"/>
      <c r="AD1035" s="121"/>
      <c r="AE1035" s="121"/>
      <c r="AF1035" s="121"/>
      <c r="AG1035" s="121"/>
      <c r="AH1035" s="121"/>
      <c r="AI1035" s="121"/>
    </row>
    <row r="1036" spans="1:35" s="115" customFormat="1" ht="14.4">
      <c r="A1036" s="187"/>
      <c r="B1036" s="190"/>
      <c r="C1036" s="190"/>
      <c r="D1036" s="69"/>
      <c r="E1036" s="69"/>
      <c r="F1036" s="149"/>
      <c r="G1036" s="146"/>
      <c r="H1036" s="98"/>
      <c r="I1036" s="99"/>
      <c r="J1036" s="99"/>
      <c r="K1036" s="99"/>
      <c r="L1036" s="99"/>
      <c r="M1036" s="99"/>
      <c r="N1036" s="99"/>
      <c r="O1036" s="99"/>
      <c r="P1036" s="99"/>
      <c r="Q1036" s="99"/>
      <c r="R1036" s="99"/>
      <c r="S1036" s="99"/>
      <c r="T1036" s="99"/>
      <c r="U1036" s="105"/>
      <c r="V1036" s="262"/>
      <c r="W1036" s="121"/>
      <c r="X1036" s="121"/>
      <c r="Y1036" s="121"/>
      <c r="Z1036" s="121"/>
      <c r="AA1036" s="121"/>
      <c r="AB1036" s="121"/>
      <c r="AC1036" s="121"/>
      <c r="AD1036" s="121"/>
      <c r="AE1036" s="121"/>
      <c r="AF1036" s="121"/>
      <c r="AG1036" s="121"/>
      <c r="AH1036" s="121"/>
      <c r="AI1036" s="121"/>
    </row>
    <row r="1037" spans="1:35" s="115" customFormat="1" ht="14.4">
      <c r="A1037" s="187"/>
      <c r="B1037" s="190"/>
      <c r="C1037" s="190"/>
      <c r="D1037" s="69"/>
      <c r="E1037" s="69"/>
      <c r="F1037" s="149"/>
      <c r="G1037" s="146"/>
      <c r="H1037" s="98"/>
      <c r="I1037" s="99"/>
      <c r="J1037" s="99"/>
      <c r="K1037" s="99"/>
      <c r="L1037" s="99"/>
      <c r="M1037" s="99"/>
      <c r="N1037" s="99"/>
      <c r="O1037" s="99"/>
      <c r="P1037" s="99"/>
      <c r="Q1037" s="99"/>
      <c r="R1037" s="99"/>
      <c r="S1037" s="99"/>
      <c r="T1037" s="99"/>
      <c r="U1037" s="105"/>
      <c r="V1037" s="262"/>
      <c r="W1037" s="121"/>
      <c r="X1037" s="121"/>
      <c r="Y1037" s="121"/>
      <c r="Z1037" s="121"/>
      <c r="AA1037" s="121"/>
      <c r="AB1037" s="121"/>
      <c r="AC1037" s="121"/>
      <c r="AD1037" s="121"/>
      <c r="AE1037" s="121"/>
      <c r="AF1037" s="121"/>
      <c r="AG1037" s="121"/>
      <c r="AH1037" s="121"/>
      <c r="AI1037" s="121"/>
    </row>
    <row r="1038" spans="1:35" s="115" customFormat="1" ht="14.4">
      <c r="A1038" s="187"/>
      <c r="B1038" s="190"/>
      <c r="C1038" s="190"/>
      <c r="D1038" s="69"/>
      <c r="E1038" s="69"/>
      <c r="F1038" s="149"/>
      <c r="G1038" s="146"/>
      <c r="H1038" s="98"/>
      <c r="I1038" s="99"/>
      <c r="J1038" s="99"/>
      <c r="K1038" s="99"/>
      <c r="L1038" s="99"/>
      <c r="M1038" s="99"/>
      <c r="N1038" s="99"/>
      <c r="O1038" s="99"/>
      <c r="P1038" s="99"/>
      <c r="Q1038" s="99"/>
      <c r="R1038" s="99"/>
      <c r="S1038" s="99"/>
      <c r="T1038" s="99"/>
      <c r="U1038" s="105"/>
      <c r="V1038" s="262"/>
      <c r="W1038" s="121"/>
      <c r="X1038" s="121"/>
      <c r="Y1038" s="121"/>
      <c r="Z1038" s="121"/>
      <c r="AA1038" s="121"/>
      <c r="AB1038" s="121"/>
      <c r="AC1038" s="121"/>
      <c r="AD1038" s="121"/>
      <c r="AE1038" s="121"/>
      <c r="AF1038" s="121"/>
      <c r="AG1038" s="121"/>
      <c r="AH1038" s="121"/>
      <c r="AI1038" s="121"/>
    </row>
    <row r="1039" spans="1:35" s="115" customFormat="1" ht="14.4">
      <c r="A1039" s="187"/>
      <c r="B1039" s="190"/>
      <c r="C1039" s="190"/>
      <c r="D1039" s="69"/>
      <c r="E1039" s="69"/>
      <c r="F1039" s="149"/>
      <c r="G1039" s="146"/>
      <c r="H1039" s="98"/>
      <c r="I1039" s="99"/>
      <c r="J1039" s="99"/>
      <c r="K1039" s="99"/>
      <c r="L1039" s="99"/>
      <c r="M1039" s="99"/>
      <c r="N1039" s="99"/>
      <c r="O1039" s="99"/>
      <c r="P1039" s="99"/>
      <c r="Q1039" s="99"/>
      <c r="R1039" s="99"/>
      <c r="S1039" s="99"/>
      <c r="T1039" s="99"/>
      <c r="U1039" s="105"/>
      <c r="V1039" s="262"/>
      <c r="W1039" s="121"/>
      <c r="X1039" s="121"/>
      <c r="Y1039" s="121"/>
      <c r="Z1039" s="121"/>
      <c r="AA1039" s="121"/>
      <c r="AB1039" s="121"/>
      <c r="AC1039" s="121"/>
      <c r="AD1039" s="121"/>
      <c r="AE1039" s="121"/>
      <c r="AF1039" s="121"/>
      <c r="AG1039" s="121"/>
      <c r="AH1039" s="121"/>
      <c r="AI1039" s="121"/>
    </row>
    <row r="1040" spans="1:35" s="115" customFormat="1" ht="14.4">
      <c r="A1040" s="187"/>
      <c r="B1040" s="190"/>
      <c r="C1040" s="190"/>
      <c r="D1040" s="69"/>
      <c r="E1040" s="69"/>
      <c r="F1040" s="149"/>
      <c r="G1040" s="146"/>
      <c r="H1040" s="98"/>
      <c r="I1040" s="99"/>
      <c r="J1040" s="99"/>
      <c r="K1040" s="99"/>
      <c r="L1040" s="99"/>
      <c r="M1040" s="99"/>
      <c r="N1040" s="99"/>
      <c r="O1040" s="99"/>
      <c r="P1040" s="99"/>
      <c r="Q1040" s="99"/>
      <c r="R1040" s="99"/>
      <c r="S1040" s="99"/>
      <c r="T1040" s="99"/>
      <c r="U1040" s="105"/>
      <c r="V1040" s="262"/>
      <c r="W1040" s="121"/>
      <c r="X1040" s="121"/>
      <c r="Y1040" s="121"/>
      <c r="Z1040" s="121"/>
      <c r="AA1040" s="121"/>
      <c r="AB1040" s="121"/>
      <c r="AC1040" s="121"/>
      <c r="AD1040" s="121"/>
      <c r="AE1040" s="121"/>
      <c r="AF1040" s="121"/>
      <c r="AG1040" s="121"/>
      <c r="AH1040" s="121"/>
      <c r="AI1040" s="121"/>
    </row>
    <row r="1041" spans="1:35" s="115" customFormat="1" ht="14.4">
      <c r="A1041" s="187"/>
      <c r="B1041" s="190"/>
      <c r="C1041" s="190"/>
      <c r="D1041" s="69"/>
      <c r="E1041" s="69"/>
      <c r="F1041" s="149"/>
      <c r="G1041" s="146"/>
      <c r="H1041" s="107"/>
      <c r="I1041" s="108"/>
      <c r="J1041" s="108"/>
      <c r="K1041" s="108"/>
      <c r="L1041" s="108"/>
      <c r="M1041" s="108"/>
      <c r="N1041" s="108"/>
      <c r="O1041" s="108"/>
      <c r="P1041" s="108"/>
      <c r="Q1041" s="108"/>
      <c r="R1041" s="108"/>
      <c r="S1041" s="108"/>
      <c r="T1041" s="108"/>
      <c r="U1041" s="105"/>
      <c r="V1041" s="262"/>
      <c r="W1041" s="121"/>
      <c r="X1041" s="121"/>
      <c r="Y1041" s="121"/>
      <c r="Z1041" s="121"/>
      <c r="AA1041" s="121"/>
      <c r="AB1041" s="121"/>
      <c r="AC1041" s="121"/>
      <c r="AD1041" s="121"/>
      <c r="AE1041" s="121"/>
      <c r="AF1041" s="121"/>
      <c r="AG1041" s="121"/>
      <c r="AH1041" s="121"/>
      <c r="AI1041" s="121"/>
    </row>
    <row r="1042" spans="1:35" s="115" customFormat="1" ht="14.4">
      <c r="A1042" s="187"/>
      <c r="B1042" s="190"/>
      <c r="C1042" s="190"/>
      <c r="D1042" s="69"/>
      <c r="E1042" s="69"/>
      <c r="F1042" s="149"/>
      <c r="G1042" s="146"/>
      <c r="H1042" s="98"/>
      <c r="I1042" s="106"/>
      <c r="J1042" s="106"/>
      <c r="K1042" s="106"/>
      <c r="L1042" s="106"/>
      <c r="M1042" s="106"/>
      <c r="N1042" s="110"/>
      <c r="O1042" s="110"/>
      <c r="P1042" s="110"/>
      <c r="Q1042" s="111"/>
      <c r="R1042" s="99"/>
      <c r="S1042" s="99"/>
      <c r="T1042" s="111"/>
      <c r="U1042" s="105"/>
      <c r="V1042" s="262"/>
      <c r="W1042" s="121"/>
      <c r="X1042" s="121"/>
      <c r="Y1042" s="121"/>
      <c r="Z1042" s="121"/>
      <c r="AA1042" s="121"/>
      <c r="AB1042" s="121"/>
      <c r="AC1042" s="121"/>
      <c r="AD1042" s="121"/>
      <c r="AE1042" s="121"/>
      <c r="AF1042" s="121"/>
      <c r="AG1042" s="121"/>
      <c r="AH1042" s="121"/>
      <c r="AI1042" s="121"/>
    </row>
    <row r="1043" spans="1:35" s="115" customFormat="1" ht="14.4">
      <c r="A1043" s="187"/>
      <c r="B1043" s="190"/>
      <c r="C1043" s="190"/>
      <c r="D1043" s="69"/>
      <c r="E1043" s="69"/>
      <c r="F1043" s="149"/>
      <c r="G1043" s="146"/>
      <c r="H1043" s="98"/>
      <c r="I1043" s="99"/>
      <c r="J1043" s="99"/>
      <c r="K1043" s="99"/>
      <c r="L1043" s="99"/>
      <c r="M1043" s="99"/>
      <c r="N1043" s="99"/>
      <c r="O1043" s="99"/>
      <c r="P1043" s="99"/>
      <c r="Q1043" s="99"/>
      <c r="R1043" s="99"/>
      <c r="S1043" s="99"/>
      <c r="T1043" s="99"/>
      <c r="U1043" s="105"/>
      <c r="V1043" s="262"/>
      <c r="W1043" s="121"/>
      <c r="X1043" s="121"/>
      <c r="Y1043" s="121"/>
      <c r="Z1043" s="121"/>
      <c r="AA1043" s="121"/>
      <c r="AB1043" s="121"/>
      <c r="AC1043" s="121"/>
      <c r="AD1043" s="121"/>
      <c r="AE1043" s="121"/>
      <c r="AF1043" s="121"/>
      <c r="AG1043" s="121"/>
      <c r="AH1043" s="121"/>
      <c r="AI1043" s="121"/>
    </row>
    <row r="1044" spans="1:35" s="115" customFormat="1" ht="14.4">
      <c r="A1044" s="187"/>
      <c r="B1044" s="190"/>
      <c r="C1044" s="190"/>
      <c r="D1044" s="69"/>
      <c r="E1044" s="69"/>
      <c r="F1044" s="149"/>
      <c r="G1044" s="146"/>
      <c r="H1044" s="107"/>
      <c r="I1044" s="108"/>
      <c r="J1044" s="108"/>
      <c r="K1044" s="108"/>
      <c r="L1044" s="108"/>
      <c r="M1044" s="108"/>
      <c r="N1044" s="109"/>
      <c r="O1044" s="109"/>
      <c r="P1044" s="109"/>
      <c r="Q1044" s="109"/>
      <c r="R1044" s="109"/>
      <c r="S1044" s="109"/>
      <c r="T1044" s="109"/>
      <c r="U1044" s="105"/>
      <c r="V1044" s="262"/>
      <c r="W1044" s="121"/>
      <c r="X1044" s="121"/>
      <c r="Y1044" s="121"/>
      <c r="Z1044" s="121"/>
      <c r="AA1044" s="121"/>
      <c r="AB1044" s="121"/>
      <c r="AC1044" s="121"/>
      <c r="AD1044" s="121"/>
      <c r="AE1044" s="121"/>
      <c r="AF1044" s="121"/>
      <c r="AG1044" s="121"/>
      <c r="AH1044" s="121"/>
      <c r="AI1044" s="121"/>
    </row>
    <row r="1045" spans="1:35" s="115" customFormat="1" ht="14.4">
      <c r="A1045" s="187"/>
      <c r="B1045" s="190"/>
      <c r="C1045" s="190"/>
      <c r="D1045" s="69"/>
      <c r="E1045" s="69"/>
      <c r="F1045" s="149"/>
      <c r="G1045" s="146"/>
      <c r="H1045" s="98"/>
      <c r="I1045" s="106"/>
      <c r="J1045" s="106"/>
      <c r="K1045" s="106"/>
      <c r="L1045" s="106"/>
      <c r="M1045" s="106"/>
      <c r="N1045" s="110"/>
      <c r="O1045" s="110"/>
      <c r="P1045" s="110"/>
      <c r="Q1045" s="111"/>
      <c r="R1045" s="99"/>
      <c r="S1045" s="99"/>
      <c r="T1045" s="111"/>
      <c r="U1045" s="105"/>
      <c r="V1045" s="262"/>
      <c r="W1045" s="121"/>
      <c r="X1045" s="121"/>
      <c r="Y1045" s="121"/>
      <c r="Z1045" s="121"/>
      <c r="AA1045" s="121"/>
      <c r="AB1045" s="121"/>
      <c r="AC1045" s="121"/>
      <c r="AD1045" s="121"/>
      <c r="AE1045" s="121"/>
      <c r="AF1045" s="121"/>
      <c r="AG1045" s="121"/>
      <c r="AH1045" s="121"/>
      <c r="AI1045" s="121"/>
    </row>
    <row r="1046" spans="1:35" s="115" customFormat="1" ht="14.4">
      <c r="A1046" s="187"/>
      <c r="B1046" s="190"/>
      <c r="C1046" s="190"/>
      <c r="D1046" s="69"/>
      <c r="E1046" s="69"/>
      <c r="F1046" s="149"/>
      <c r="G1046" s="146"/>
      <c r="H1046" s="98"/>
      <c r="I1046" s="99"/>
      <c r="J1046" s="99"/>
      <c r="K1046" s="99"/>
      <c r="L1046" s="99"/>
      <c r="M1046" s="99"/>
      <c r="N1046" s="99"/>
      <c r="O1046" s="99"/>
      <c r="P1046" s="99"/>
      <c r="Q1046" s="99"/>
      <c r="R1046" s="99"/>
      <c r="S1046" s="99"/>
      <c r="T1046" s="99"/>
      <c r="U1046" s="105"/>
      <c r="V1046" s="262"/>
      <c r="W1046" s="121"/>
      <c r="X1046" s="121"/>
      <c r="Y1046" s="121"/>
      <c r="Z1046" s="121"/>
      <c r="AA1046" s="121"/>
      <c r="AB1046" s="121"/>
      <c r="AC1046" s="121"/>
      <c r="AD1046" s="121"/>
      <c r="AE1046" s="121"/>
      <c r="AF1046" s="121"/>
      <c r="AG1046" s="121"/>
      <c r="AH1046" s="121"/>
      <c r="AI1046" s="121"/>
    </row>
    <row r="1047" spans="1:35" s="115" customFormat="1" ht="14.4">
      <c r="A1047" s="187"/>
      <c r="B1047" s="190"/>
      <c r="C1047" s="190"/>
      <c r="D1047" s="69"/>
      <c r="E1047" s="69"/>
      <c r="F1047" s="149"/>
      <c r="G1047" s="146"/>
      <c r="H1047" s="107"/>
      <c r="I1047" s="108"/>
      <c r="J1047" s="108"/>
      <c r="K1047" s="108"/>
      <c r="L1047" s="108"/>
      <c r="M1047" s="108"/>
      <c r="N1047" s="109"/>
      <c r="O1047" s="109"/>
      <c r="P1047" s="109"/>
      <c r="Q1047" s="109"/>
      <c r="R1047" s="109"/>
      <c r="S1047" s="109"/>
      <c r="T1047" s="109"/>
      <c r="U1047" s="105"/>
      <c r="V1047" s="262"/>
      <c r="W1047" s="121"/>
      <c r="X1047" s="121"/>
      <c r="Y1047" s="121"/>
      <c r="Z1047" s="121"/>
      <c r="AA1047" s="121"/>
      <c r="AB1047" s="121"/>
      <c r="AC1047" s="121"/>
      <c r="AD1047" s="121"/>
      <c r="AE1047" s="121"/>
      <c r="AF1047" s="121"/>
      <c r="AG1047" s="121"/>
      <c r="AH1047" s="121"/>
      <c r="AI1047" s="121"/>
    </row>
    <row r="1048" spans="1:35" s="115" customFormat="1" ht="14.4">
      <c r="A1048" s="187"/>
      <c r="B1048" s="190"/>
      <c r="C1048" s="190"/>
      <c r="D1048" s="69"/>
      <c r="E1048" s="69"/>
      <c r="F1048" s="149"/>
      <c r="G1048" s="146"/>
      <c r="H1048" s="98"/>
      <c r="I1048" s="106"/>
      <c r="J1048" s="106"/>
      <c r="K1048" s="106"/>
      <c r="L1048" s="106"/>
      <c r="M1048" s="106"/>
      <c r="N1048" s="110"/>
      <c r="O1048" s="110"/>
      <c r="P1048" s="110"/>
      <c r="Q1048" s="111"/>
      <c r="R1048" s="99"/>
      <c r="S1048" s="99"/>
      <c r="T1048" s="111"/>
      <c r="U1048" s="105"/>
      <c r="V1048" s="262"/>
      <c r="W1048" s="121"/>
      <c r="X1048" s="121"/>
      <c r="Y1048" s="121"/>
      <c r="Z1048" s="121"/>
      <c r="AA1048" s="121"/>
      <c r="AB1048" s="121"/>
      <c r="AC1048" s="121"/>
      <c r="AD1048" s="121"/>
      <c r="AE1048" s="121"/>
      <c r="AF1048" s="121"/>
      <c r="AG1048" s="121"/>
      <c r="AH1048" s="121"/>
      <c r="AI1048" s="121"/>
    </row>
    <row r="1049" spans="1:35" s="115" customFormat="1" ht="14.4">
      <c r="A1049" s="187"/>
      <c r="B1049" s="190"/>
      <c r="C1049" s="190"/>
      <c r="D1049" s="69"/>
      <c r="E1049" s="69"/>
      <c r="F1049" s="149"/>
      <c r="G1049" s="146"/>
      <c r="H1049" s="114"/>
      <c r="I1049" s="108"/>
      <c r="J1049" s="108"/>
      <c r="K1049" s="108"/>
      <c r="L1049" s="108"/>
      <c r="M1049" s="108"/>
      <c r="N1049" s="108"/>
      <c r="O1049" s="108"/>
      <c r="P1049" s="108"/>
      <c r="Q1049" s="108"/>
      <c r="R1049" s="108"/>
      <c r="S1049" s="108"/>
      <c r="T1049" s="108"/>
      <c r="U1049" s="105"/>
      <c r="V1049" s="262"/>
      <c r="W1049" s="121"/>
      <c r="X1049" s="121"/>
      <c r="Y1049" s="121"/>
      <c r="Z1049" s="121"/>
      <c r="AA1049" s="121"/>
      <c r="AB1049" s="121"/>
      <c r="AC1049" s="121"/>
      <c r="AD1049" s="121"/>
      <c r="AE1049" s="121"/>
      <c r="AF1049" s="121"/>
      <c r="AG1049" s="121"/>
      <c r="AH1049" s="121"/>
      <c r="AI1049" s="121"/>
    </row>
    <row r="1050" spans="1:35" s="115" customFormat="1" ht="15" thickBot="1">
      <c r="A1050" s="187"/>
      <c r="B1050" s="190"/>
      <c r="C1050" s="190"/>
      <c r="D1050" s="69"/>
      <c r="E1050" s="69"/>
      <c r="F1050" s="149"/>
      <c r="G1050" s="146"/>
      <c r="H1050" s="98"/>
      <c r="I1050" s="218"/>
      <c r="J1050" s="218"/>
      <c r="K1050" s="218"/>
      <c r="L1050" s="218"/>
      <c r="M1050" s="218"/>
      <c r="N1050" s="96"/>
      <c r="O1050" s="96"/>
      <c r="P1050" s="96"/>
      <c r="Q1050" s="212"/>
      <c r="R1050" s="212"/>
      <c r="S1050" s="212"/>
      <c r="T1050" s="212"/>
      <c r="U1050" s="105"/>
      <c r="V1050" s="262"/>
      <c r="W1050" s="121"/>
      <c r="X1050" s="121"/>
      <c r="Y1050" s="121"/>
      <c r="Z1050" s="121"/>
      <c r="AA1050" s="121"/>
      <c r="AB1050" s="121"/>
      <c r="AC1050" s="121"/>
      <c r="AD1050" s="121"/>
      <c r="AE1050" s="121"/>
      <c r="AF1050" s="121"/>
      <c r="AG1050" s="121"/>
      <c r="AH1050" s="121"/>
      <c r="AI1050" s="121"/>
    </row>
    <row r="1051" spans="1:35" s="115" customFormat="1" ht="23.4" thickBot="1">
      <c r="A1051" s="187"/>
      <c r="B1051" s="190"/>
      <c r="C1051" s="190"/>
      <c r="D1051" s="69"/>
      <c r="E1051" s="69"/>
      <c r="F1051" s="149"/>
      <c r="G1051" s="146"/>
      <c r="H1051" s="686"/>
      <c r="I1051" s="687"/>
      <c r="J1051" s="687"/>
      <c r="K1051" s="687"/>
      <c r="L1051" s="687"/>
      <c r="M1051" s="687"/>
      <c r="N1051" s="687"/>
      <c r="O1051" s="687"/>
      <c r="P1051" s="687"/>
      <c r="Q1051" s="687"/>
      <c r="R1051" s="687"/>
      <c r="S1051" s="687"/>
      <c r="T1051" s="688"/>
      <c r="U1051" s="105"/>
      <c r="V1051" s="262"/>
      <c r="W1051" s="121"/>
      <c r="X1051" s="121"/>
      <c r="Y1051" s="121"/>
      <c r="Z1051" s="121"/>
      <c r="AA1051" s="121"/>
      <c r="AB1051" s="121"/>
      <c r="AC1051" s="121"/>
      <c r="AD1051" s="121"/>
      <c r="AE1051" s="121"/>
      <c r="AF1051" s="121"/>
      <c r="AG1051" s="121"/>
      <c r="AH1051" s="121"/>
      <c r="AI1051" s="121"/>
    </row>
    <row r="1052" spans="1:35" s="115" customFormat="1" ht="22.8">
      <c r="A1052" s="187"/>
      <c r="B1052" s="190"/>
      <c r="C1052" s="190"/>
      <c r="D1052" s="69"/>
      <c r="E1052" s="69"/>
      <c r="F1052" s="149"/>
      <c r="G1052" s="146"/>
      <c r="H1052" s="225"/>
      <c r="I1052" s="225"/>
      <c r="J1052" s="225"/>
      <c r="K1052" s="225"/>
      <c r="L1052" s="225"/>
      <c r="M1052" s="225"/>
      <c r="N1052" s="225"/>
      <c r="O1052" s="225"/>
      <c r="P1052" s="225"/>
      <c r="Q1052" s="225"/>
      <c r="R1052" s="225"/>
      <c r="S1052" s="225"/>
      <c r="T1052" s="225"/>
      <c r="U1052" s="105"/>
      <c r="V1052" s="262"/>
      <c r="W1052" s="121"/>
      <c r="X1052" s="121"/>
      <c r="Y1052" s="121"/>
      <c r="Z1052" s="121"/>
      <c r="AA1052" s="121"/>
      <c r="AB1052" s="121"/>
      <c r="AC1052" s="121"/>
      <c r="AD1052" s="121"/>
      <c r="AE1052" s="121"/>
      <c r="AF1052" s="121"/>
      <c r="AG1052" s="121"/>
      <c r="AH1052" s="121"/>
      <c r="AI1052" s="121"/>
    </row>
    <row r="1053" spans="1:35" s="115" customFormat="1" ht="14.4">
      <c r="A1053" s="187"/>
      <c r="B1053" s="190"/>
      <c r="C1053" s="190"/>
      <c r="D1053" s="69"/>
      <c r="E1053" s="69"/>
      <c r="F1053" s="149"/>
      <c r="G1053" s="146"/>
      <c r="H1053" s="98"/>
      <c r="I1053" s="99"/>
      <c r="J1053" s="99"/>
      <c r="K1053" s="99"/>
      <c r="L1053" s="99"/>
      <c r="M1053" s="99"/>
      <c r="N1053" s="99"/>
      <c r="O1053" s="99"/>
      <c r="P1053" s="99"/>
      <c r="Q1053" s="99"/>
      <c r="R1053" s="99"/>
      <c r="S1053" s="99"/>
      <c r="T1053" s="99"/>
      <c r="U1053" s="105"/>
      <c r="V1053" s="262"/>
      <c r="W1053" s="121"/>
      <c r="X1053" s="121"/>
      <c r="Y1053" s="121"/>
      <c r="Z1053" s="121"/>
      <c r="AA1053" s="121"/>
      <c r="AB1053" s="121"/>
      <c r="AC1053" s="121"/>
      <c r="AD1053" s="121"/>
      <c r="AE1053" s="121"/>
      <c r="AF1053" s="121"/>
      <c r="AG1053" s="121"/>
      <c r="AH1053" s="121"/>
      <c r="AI1053" s="121"/>
    </row>
    <row r="1054" spans="1:35" s="115" customFormat="1" ht="14.4">
      <c r="A1054" s="187"/>
      <c r="B1054" s="190"/>
      <c r="C1054" s="190"/>
      <c r="D1054" s="69"/>
      <c r="E1054" s="69"/>
      <c r="F1054" s="149"/>
      <c r="G1054" s="146"/>
      <c r="H1054" s="98"/>
      <c r="I1054" s="99"/>
      <c r="J1054" s="99"/>
      <c r="K1054" s="99"/>
      <c r="L1054" s="99"/>
      <c r="M1054" s="99"/>
      <c r="N1054" s="99"/>
      <c r="O1054" s="99"/>
      <c r="P1054" s="99"/>
      <c r="Q1054" s="99"/>
      <c r="R1054" s="99"/>
      <c r="S1054" s="99"/>
      <c r="T1054" s="99"/>
      <c r="U1054" s="105"/>
      <c r="V1054" s="262"/>
      <c r="W1054" s="121"/>
      <c r="X1054" s="121"/>
      <c r="Y1054" s="121"/>
      <c r="Z1054" s="121"/>
      <c r="AA1054" s="121"/>
      <c r="AB1054" s="121"/>
      <c r="AC1054" s="121"/>
      <c r="AD1054" s="121"/>
      <c r="AE1054" s="121"/>
      <c r="AF1054" s="121"/>
      <c r="AG1054" s="121"/>
      <c r="AH1054" s="121"/>
      <c r="AI1054" s="121"/>
    </row>
    <row r="1055" spans="1:35" s="115" customFormat="1" ht="14.4">
      <c r="A1055" s="187"/>
      <c r="B1055" s="190"/>
      <c r="C1055" s="190"/>
      <c r="D1055" s="69"/>
      <c r="E1055" s="69"/>
      <c r="F1055" s="149"/>
      <c r="G1055" s="146"/>
      <c r="H1055" s="98"/>
      <c r="I1055" s="99"/>
      <c r="J1055" s="99"/>
      <c r="K1055" s="99"/>
      <c r="L1055" s="99"/>
      <c r="M1055" s="99"/>
      <c r="N1055" s="99"/>
      <c r="O1055" s="99"/>
      <c r="P1055" s="99"/>
      <c r="Q1055" s="99"/>
      <c r="R1055" s="99"/>
      <c r="S1055" s="99"/>
      <c r="T1055" s="99"/>
      <c r="U1055" s="105"/>
      <c r="V1055" s="262"/>
      <c r="W1055" s="121"/>
      <c r="X1055" s="121"/>
      <c r="Y1055" s="121"/>
      <c r="Z1055" s="121"/>
      <c r="AA1055" s="121"/>
      <c r="AB1055" s="121"/>
      <c r="AC1055" s="121"/>
      <c r="AD1055" s="121"/>
      <c r="AE1055" s="121"/>
      <c r="AF1055" s="121"/>
      <c r="AG1055" s="121"/>
      <c r="AH1055" s="121"/>
      <c r="AI1055" s="121"/>
    </row>
    <row r="1056" spans="1:35" s="115" customFormat="1" ht="14.4">
      <c r="A1056" s="187"/>
      <c r="B1056" s="190"/>
      <c r="C1056" s="190"/>
      <c r="D1056" s="69"/>
      <c r="E1056" s="69"/>
      <c r="F1056" s="149"/>
      <c r="G1056" s="146"/>
      <c r="H1056" s="98"/>
      <c r="I1056" s="99"/>
      <c r="J1056" s="99"/>
      <c r="K1056" s="99"/>
      <c r="L1056" s="99"/>
      <c r="M1056" s="99"/>
      <c r="N1056" s="99"/>
      <c r="O1056" s="99"/>
      <c r="P1056" s="99"/>
      <c r="Q1056" s="99"/>
      <c r="R1056" s="99"/>
      <c r="S1056" s="99"/>
      <c r="T1056" s="99"/>
      <c r="U1056" s="105"/>
      <c r="V1056" s="262"/>
      <c r="W1056" s="121"/>
      <c r="X1056" s="121"/>
      <c r="Y1056" s="121"/>
      <c r="Z1056" s="121"/>
      <c r="AA1056" s="121"/>
      <c r="AB1056" s="121"/>
      <c r="AC1056" s="121"/>
      <c r="AD1056" s="121"/>
      <c r="AE1056" s="121"/>
      <c r="AF1056" s="121"/>
      <c r="AG1056" s="121"/>
      <c r="AH1056" s="121"/>
      <c r="AI1056" s="121"/>
    </row>
    <row r="1057" spans="1:35" s="115" customFormat="1" ht="14.4">
      <c r="A1057" s="187"/>
      <c r="B1057" s="190"/>
      <c r="C1057" s="190"/>
      <c r="D1057" s="69"/>
      <c r="E1057" s="69"/>
      <c r="F1057" s="149"/>
      <c r="G1057" s="146"/>
      <c r="H1057" s="98"/>
      <c r="I1057" s="99"/>
      <c r="J1057" s="99"/>
      <c r="K1057" s="99"/>
      <c r="L1057" s="99"/>
      <c r="M1057" s="99"/>
      <c r="N1057" s="99"/>
      <c r="O1057" s="99"/>
      <c r="P1057" s="99"/>
      <c r="Q1057" s="99"/>
      <c r="R1057" s="99"/>
      <c r="S1057" s="99"/>
      <c r="T1057" s="99"/>
      <c r="U1057" s="105"/>
      <c r="V1057" s="262"/>
      <c r="W1057" s="121"/>
      <c r="X1057" s="121"/>
      <c r="Y1057" s="121"/>
      <c r="Z1057" s="121"/>
      <c r="AA1057" s="121"/>
      <c r="AB1057" s="121"/>
      <c r="AC1057" s="121"/>
      <c r="AD1057" s="121"/>
      <c r="AE1057" s="121"/>
      <c r="AF1057" s="121"/>
      <c r="AG1057" s="121"/>
      <c r="AH1057" s="121"/>
      <c r="AI1057" s="121"/>
    </row>
    <row r="1058" spans="1:35" s="115" customFormat="1" ht="14.4">
      <c r="A1058" s="187"/>
      <c r="B1058" s="190"/>
      <c r="C1058" s="190"/>
      <c r="D1058" s="69"/>
      <c r="E1058" s="69"/>
      <c r="F1058" s="149"/>
      <c r="G1058" s="146"/>
      <c r="H1058" s="98"/>
      <c r="I1058" s="99"/>
      <c r="J1058" s="99"/>
      <c r="K1058" s="99"/>
      <c r="L1058" s="99"/>
      <c r="M1058" s="99"/>
      <c r="N1058" s="99"/>
      <c r="O1058" s="99"/>
      <c r="P1058" s="99"/>
      <c r="Q1058" s="99"/>
      <c r="R1058" s="99"/>
      <c r="S1058" s="99"/>
      <c r="T1058" s="99"/>
      <c r="U1058" s="105"/>
      <c r="V1058" s="262"/>
      <c r="W1058" s="121"/>
      <c r="X1058" s="121"/>
      <c r="Y1058" s="121"/>
      <c r="Z1058" s="121"/>
      <c r="AA1058" s="121"/>
      <c r="AB1058" s="121"/>
      <c r="AC1058" s="121"/>
      <c r="AD1058" s="121"/>
      <c r="AE1058" s="121"/>
      <c r="AF1058" s="121"/>
      <c r="AG1058" s="121"/>
      <c r="AH1058" s="121"/>
      <c r="AI1058" s="121"/>
    </row>
    <row r="1059" spans="1:35" s="115" customFormat="1" ht="14.4">
      <c r="A1059" s="187"/>
      <c r="B1059" s="190"/>
      <c r="C1059" s="190"/>
      <c r="D1059" s="69"/>
      <c r="E1059" s="69"/>
      <c r="F1059" s="149"/>
      <c r="G1059" s="146"/>
      <c r="H1059" s="98"/>
      <c r="I1059" s="99"/>
      <c r="J1059" s="99"/>
      <c r="K1059" s="99"/>
      <c r="L1059" s="99"/>
      <c r="M1059" s="99"/>
      <c r="N1059" s="99"/>
      <c r="O1059" s="99"/>
      <c r="P1059" s="99"/>
      <c r="Q1059" s="99"/>
      <c r="R1059" s="99"/>
      <c r="S1059" s="99"/>
      <c r="T1059" s="99"/>
      <c r="U1059" s="105"/>
      <c r="V1059" s="262"/>
      <c r="W1059" s="121"/>
      <c r="X1059" s="121"/>
      <c r="Y1059" s="121"/>
      <c r="Z1059" s="121"/>
      <c r="AA1059" s="121"/>
      <c r="AB1059" s="121"/>
      <c r="AC1059" s="121"/>
      <c r="AD1059" s="121"/>
      <c r="AE1059" s="121"/>
      <c r="AF1059" s="121"/>
      <c r="AG1059" s="121"/>
      <c r="AH1059" s="121"/>
      <c r="AI1059" s="121"/>
    </row>
    <row r="1060" spans="1:35" s="115" customFormat="1" ht="14.4">
      <c r="A1060" s="187"/>
      <c r="B1060" s="190"/>
      <c r="C1060" s="190"/>
      <c r="D1060" s="69"/>
      <c r="E1060" s="69"/>
      <c r="F1060" s="149"/>
      <c r="G1060" s="146"/>
      <c r="H1060" s="98"/>
      <c r="I1060" s="99"/>
      <c r="J1060" s="99"/>
      <c r="K1060" s="99"/>
      <c r="L1060" s="99"/>
      <c r="M1060" s="99"/>
      <c r="N1060" s="99"/>
      <c r="O1060" s="99"/>
      <c r="P1060" s="99"/>
      <c r="Q1060" s="99"/>
      <c r="R1060" s="99"/>
      <c r="S1060" s="99"/>
      <c r="T1060" s="99"/>
      <c r="U1060" s="105"/>
      <c r="V1060" s="262"/>
      <c r="W1060" s="121"/>
      <c r="X1060" s="121"/>
      <c r="Y1060" s="121"/>
      <c r="Z1060" s="121"/>
      <c r="AA1060" s="121"/>
      <c r="AB1060" s="121"/>
      <c r="AC1060" s="121"/>
      <c r="AD1060" s="121"/>
      <c r="AE1060" s="121"/>
      <c r="AF1060" s="121"/>
      <c r="AG1060" s="121"/>
      <c r="AH1060" s="121"/>
      <c r="AI1060" s="121"/>
    </row>
    <row r="1061" spans="1:35" s="115" customFormat="1" ht="24.75" customHeight="1">
      <c r="A1061" s="187"/>
      <c r="B1061" s="190"/>
      <c r="C1061" s="190"/>
      <c r="D1061" s="69"/>
      <c r="E1061" s="69"/>
      <c r="F1061" s="149"/>
      <c r="G1061" s="146"/>
      <c r="H1061" s="98"/>
      <c r="I1061" s="99"/>
      <c r="J1061" s="99"/>
      <c r="K1061" s="99"/>
      <c r="L1061" s="99"/>
      <c r="M1061" s="99"/>
      <c r="N1061" s="99"/>
      <c r="O1061" s="99"/>
      <c r="P1061" s="99"/>
      <c r="Q1061" s="99"/>
      <c r="R1061" s="99"/>
      <c r="S1061" s="99"/>
      <c r="T1061" s="99"/>
      <c r="U1061" s="105"/>
      <c r="V1061" s="262"/>
      <c r="W1061" s="121"/>
      <c r="X1061" s="121"/>
      <c r="Y1061" s="121"/>
      <c r="Z1061" s="121"/>
      <c r="AA1061" s="121"/>
      <c r="AB1061" s="121"/>
      <c r="AC1061" s="121"/>
      <c r="AD1061" s="121"/>
      <c r="AE1061" s="121"/>
      <c r="AF1061" s="121"/>
      <c r="AG1061" s="121"/>
      <c r="AH1061" s="121"/>
      <c r="AI1061" s="121"/>
    </row>
    <row r="1062" spans="1:35" s="115" customFormat="1" ht="14.4">
      <c r="A1062" s="187"/>
      <c r="B1062" s="190"/>
      <c r="C1062" s="190"/>
      <c r="D1062" s="69"/>
      <c r="E1062" s="69"/>
      <c r="F1062" s="149"/>
      <c r="G1062" s="146"/>
      <c r="H1062" s="98"/>
      <c r="I1062" s="99"/>
      <c r="J1062" s="99"/>
      <c r="K1062" s="99"/>
      <c r="L1062" s="99"/>
      <c r="M1062" s="99"/>
      <c r="N1062" s="99"/>
      <c r="O1062" s="99"/>
      <c r="P1062" s="99"/>
      <c r="Q1062" s="99"/>
      <c r="R1062" s="99"/>
      <c r="S1062" s="99"/>
      <c r="T1062" s="99"/>
      <c r="U1062" s="105"/>
      <c r="V1062" s="262"/>
      <c r="W1062" s="121"/>
      <c r="X1062" s="121"/>
      <c r="Y1062" s="121"/>
      <c r="Z1062" s="121"/>
      <c r="AA1062" s="121"/>
      <c r="AB1062" s="121"/>
      <c r="AC1062" s="121"/>
      <c r="AD1062" s="121"/>
      <c r="AE1062" s="121"/>
      <c r="AF1062" s="121"/>
      <c r="AG1062" s="121"/>
      <c r="AH1062" s="121"/>
      <c r="AI1062" s="121"/>
    </row>
    <row r="1063" spans="1:35" s="115" customFormat="1" ht="14.4">
      <c r="A1063" s="187"/>
      <c r="B1063" s="190"/>
      <c r="C1063" s="190"/>
      <c r="D1063" s="69"/>
      <c r="E1063" s="69"/>
      <c r="F1063" s="149"/>
      <c r="G1063" s="146"/>
      <c r="H1063" s="107"/>
      <c r="I1063" s="108"/>
      <c r="J1063" s="108"/>
      <c r="K1063" s="108"/>
      <c r="L1063" s="108"/>
      <c r="M1063" s="108"/>
      <c r="N1063" s="109"/>
      <c r="O1063" s="109"/>
      <c r="P1063" s="109"/>
      <c r="Q1063" s="109"/>
      <c r="R1063" s="109"/>
      <c r="S1063" s="109"/>
      <c r="T1063" s="109"/>
      <c r="U1063" s="105"/>
      <c r="V1063" s="262"/>
      <c r="W1063" s="121"/>
      <c r="X1063" s="121"/>
      <c r="Y1063" s="121"/>
      <c r="Z1063" s="121"/>
      <c r="AA1063" s="121"/>
      <c r="AB1063" s="121"/>
      <c r="AC1063" s="121"/>
      <c r="AD1063" s="121"/>
      <c r="AE1063" s="121"/>
      <c r="AF1063" s="121"/>
      <c r="AG1063" s="121"/>
      <c r="AH1063" s="121"/>
      <c r="AI1063" s="121"/>
    </row>
    <row r="1064" spans="1:35" s="115" customFormat="1" ht="14.4">
      <c r="A1064" s="187"/>
      <c r="B1064" s="190"/>
      <c r="C1064" s="190"/>
      <c r="D1064" s="69"/>
      <c r="E1064" s="69"/>
      <c r="F1064" s="149"/>
      <c r="G1064" s="146"/>
      <c r="H1064" s="98"/>
      <c r="I1064" s="106"/>
      <c r="J1064" s="106"/>
      <c r="K1064" s="106"/>
      <c r="L1064" s="106"/>
      <c r="M1064" s="106"/>
      <c r="N1064" s="110"/>
      <c r="O1064" s="110"/>
      <c r="P1064" s="110"/>
      <c r="Q1064" s="111"/>
      <c r="R1064" s="99"/>
      <c r="S1064" s="99"/>
      <c r="T1064" s="111"/>
      <c r="U1064" s="105"/>
      <c r="V1064" s="262"/>
      <c r="W1064" s="121"/>
      <c r="X1064" s="121"/>
      <c r="Y1064" s="121"/>
      <c r="Z1064" s="121"/>
      <c r="AA1064" s="121"/>
      <c r="AB1064" s="121"/>
      <c r="AC1064" s="121"/>
      <c r="AD1064" s="121"/>
      <c r="AE1064" s="121"/>
      <c r="AF1064" s="121"/>
      <c r="AG1064" s="121"/>
      <c r="AH1064" s="121"/>
      <c r="AI1064" s="121"/>
    </row>
    <row r="1065" spans="1:35" s="115" customFormat="1" ht="14.4">
      <c r="A1065" s="187"/>
      <c r="B1065" s="190"/>
      <c r="C1065" s="190"/>
      <c r="D1065" s="69"/>
      <c r="E1065" s="69"/>
      <c r="F1065" s="149"/>
      <c r="G1065" s="146"/>
      <c r="H1065" s="98"/>
      <c r="I1065" s="99"/>
      <c r="J1065" s="99"/>
      <c r="K1065" s="99"/>
      <c r="L1065" s="99"/>
      <c r="M1065" s="99"/>
      <c r="N1065" s="99"/>
      <c r="O1065" s="99"/>
      <c r="P1065" s="99"/>
      <c r="Q1065" s="99"/>
      <c r="R1065" s="99"/>
      <c r="S1065" s="99"/>
      <c r="T1065" s="99"/>
      <c r="U1065" s="105"/>
      <c r="V1065" s="262"/>
      <c r="W1065" s="121"/>
      <c r="X1065" s="121"/>
      <c r="Y1065" s="121"/>
      <c r="Z1065" s="121"/>
      <c r="AA1065" s="121"/>
      <c r="AB1065" s="121"/>
      <c r="AC1065" s="121"/>
      <c r="AD1065" s="121"/>
      <c r="AE1065" s="121"/>
      <c r="AF1065" s="121"/>
      <c r="AG1065" s="121"/>
      <c r="AH1065" s="121"/>
      <c r="AI1065" s="121"/>
    </row>
    <row r="1066" spans="1:35" s="115" customFormat="1" ht="14.4">
      <c r="A1066" s="187"/>
      <c r="B1066" s="190"/>
      <c r="C1066" s="190"/>
      <c r="D1066" s="69"/>
      <c r="E1066" s="69"/>
      <c r="F1066" s="149"/>
      <c r="G1066" s="146"/>
      <c r="H1066" s="98"/>
      <c r="I1066" s="99"/>
      <c r="J1066" s="99"/>
      <c r="K1066" s="99"/>
      <c r="L1066" s="99"/>
      <c r="M1066" s="99"/>
      <c r="N1066" s="99"/>
      <c r="O1066" s="99"/>
      <c r="P1066" s="99"/>
      <c r="Q1066" s="99"/>
      <c r="R1066" s="99"/>
      <c r="S1066" s="99"/>
      <c r="T1066" s="99"/>
      <c r="U1066" s="105"/>
      <c r="V1066" s="262"/>
      <c r="W1066" s="121"/>
      <c r="X1066" s="121"/>
      <c r="Y1066" s="121"/>
      <c r="Z1066" s="121"/>
      <c r="AA1066" s="121"/>
      <c r="AB1066" s="121"/>
      <c r="AC1066" s="121"/>
      <c r="AD1066" s="121"/>
      <c r="AE1066" s="121"/>
      <c r="AF1066" s="121"/>
      <c r="AG1066" s="121"/>
      <c r="AH1066" s="121"/>
      <c r="AI1066" s="121"/>
    </row>
    <row r="1067" spans="1:35" s="115" customFormat="1" ht="14.4">
      <c r="A1067" s="187"/>
      <c r="B1067" s="190"/>
      <c r="C1067" s="190"/>
      <c r="D1067" s="69"/>
      <c r="E1067" s="69"/>
      <c r="F1067" s="149"/>
      <c r="G1067" s="146"/>
      <c r="H1067" s="98"/>
      <c r="I1067" s="99"/>
      <c r="J1067" s="99"/>
      <c r="K1067" s="99"/>
      <c r="L1067" s="99"/>
      <c r="M1067" s="99"/>
      <c r="N1067" s="99"/>
      <c r="O1067" s="99"/>
      <c r="P1067" s="99"/>
      <c r="Q1067" s="99"/>
      <c r="R1067" s="99"/>
      <c r="S1067" s="99"/>
      <c r="T1067" s="99"/>
      <c r="U1067" s="105"/>
      <c r="V1067" s="262"/>
      <c r="W1067" s="121"/>
      <c r="X1067" s="121"/>
      <c r="Y1067" s="121"/>
      <c r="Z1067" s="121"/>
      <c r="AA1067" s="121"/>
      <c r="AB1067" s="121"/>
      <c r="AC1067" s="121"/>
      <c r="AD1067" s="121"/>
      <c r="AE1067" s="121"/>
      <c r="AF1067" s="121"/>
      <c r="AG1067" s="121"/>
      <c r="AH1067" s="121"/>
      <c r="AI1067" s="121"/>
    </row>
    <row r="1068" spans="1:35" s="115" customFormat="1" ht="14.4">
      <c r="A1068" s="187"/>
      <c r="B1068" s="190"/>
      <c r="C1068" s="190"/>
      <c r="D1068" s="69"/>
      <c r="E1068" s="69"/>
      <c r="F1068" s="149"/>
      <c r="G1068" s="146"/>
      <c r="H1068" s="98"/>
      <c r="I1068" s="99"/>
      <c r="J1068" s="99"/>
      <c r="K1068" s="99"/>
      <c r="L1068" s="99"/>
      <c r="M1068" s="99"/>
      <c r="N1068" s="99"/>
      <c r="O1068" s="99"/>
      <c r="P1068" s="99"/>
      <c r="Q1068" s="99"/>
      <c r="R1068" s="99"/>
      <c r="S1068" s="99"/>
      <c r="T1068" s="99"/>
      <c r="U1068" s="105"/>
      <c r="V1068" s="262"/>
      <c r="W1068" s="121"/>
      <c r="X1068" s="121"/>
      <c r="Y1068" s="121"/>
      <c r="Z1068" s="121"/>
      <c r="AA1068" s="121"/>
      <c r="AB1068" s="121"/>
      <c r="AC1068" s="121"/>
      <c r="AD1068" s="121"/>
      <c r="AE1068" s="121"/>
      <c r="AF1068" s="121"/>
      <c r="AG1068" s="121"/>
      <c r="AH1068" s="121"/>
      <c r="AI1068" s="121"/>
    </row>
    <row r="1069" spans="1:35" s="115" customFormat="1" ht="14.4">
      <c r="A1069" s="187"/>
      <c r="B1069" s="190"/>
      <c r="C1069" s="190"/>
      <c r="D1069" s="69"/>
      <c r="E1069" s="69"/>
      <c r="F1069" s="149"/>
      <c r="G1069" s="146"/>
      <c r="H1069" s="98"/>
      <c r="I1069" s="99"/>
      <c r="J1069" s="99"/>
      <c r="K1069" s="99"/>
      <c r="L1069" s="99"/>
      <c r="M1069" s="99"/>
      <c r="N1069" s="99"/>
      <c r="O1069" s="99"/>
      <c r="P1069" s="99"/>
      <c r="Q1069" s="99"/>
      <c r="R1069" s="99"/>
      <c r="S1069" s="99"/>
      <c r="T1069" s="99"/>
      <c r="U1069" s="105"/>
      <c r="V1069" s="262"/>
      <c r="W1069" s="121"/>
      <c r="X1069" s="121"/>
      <c r="Y1069" s="121"/>
      <c r="Z1069" s="121"/>
      <c r="AA1069" s="121"/>
      <c r="AB1069" s="121"/>
      <c r="AC1069" s="121"/>
      <c r="AD1069" s="121"/>
      <c r="AE1069" s="121"/>
      <c r="AF1069" s="121"/>
      <c r="AG1069" s="121"/>
      <c r="AH1069" s="121"/>
      <c r="AI1069" s="121"/>
    </row>
    <row r="1070" spans="1:35" s="115" customFormat="1" ht="14.4">
      <c r="A1070" s="187"/>
      <c r="B1070" s="190"/>
      <c r="C1070" s="190"/>
      <c r="D1070" s="69"/>
      <c r="E1070" s="69"/>
      <c r="F1070" s="149"/>
      <c r="G1070" s="146"/>
      <c r="H1070" s="98"/>
      <c r="I1070" s="99"/>
      <c r="J1070" s="99"/>
      <c r="K1070" s="99"/>
      <c r="L1070" s="99"/>
      <c r="M1070" s="99"/>
      <c r="N1070" s="99"/>
      <c r="O1070" s="99"/>
      <c r="P1070" s="99"/>
      <c r="Q1070" s="99"/>
      <c r="R1070" s="99"/>
      <c r="S1070" s="99"/>
      <c r="T1070" s="99"/>
      <c r="U1070" s="105"/>
      <c r="V1070" s="262"/>
      <c r="W1070" s="121"/>
      <c r="X1070" s="121"/>
      <c r="Y1070" s="121"/>
      <c r="Z1070" s="121"/>
      <c r="AA1070" s="121"/>
      <c r="AB1070" s="121"/>
      <c r="AC1070" s="121"/>
      <c r="AD1070" s="121"/>
      <c r="AE1070" s="121"/>
      <c r="AF1070" s="121"/>
      <c r="AG1070" s="121"/>
      <c r="AH1070" s="121"/>
      <c r="AI1070" s="121"/>
    </row>
    <row r="1071" spans="1:35" s="115" customFormat="1" ht="14.4">
      <c r="A1071" s="187"/>
      <c r="B1071" s="190"/>
      <c r="C1071" s="190"/>
      <c r="D1071" s="69"/>
      <c r="E1071" s="69"/>
      <c r="F1071" s="149"/>
      <c r="G1071" s="146"/>
      <c r="H1071" s="98"/>
      <c r="I1071" s="99"/>
      <c r="J1071" s="99"/>
      <c r="K1071" s="99"/>
      <c r="L1071" s="99"/>
      <c r="M1071" s="99"/>
      <c r="N1071" s="99"/>
      <c r="O1071" s="99"/>
      <c r="P1071" s="99"/>
      <c r="Q1071" s="99"/>
      <c r="R1071" s="99"/>
      <c r="S1071" s="99"/>
      <c r="T1071" s="99"/>
      <c r="U1071" s="105"/>
      <c r="V1071" s="262"/>
      <c r="W1071" s="121"/>
      <c r="X1071" s="121"/>
      <c r="Y1071" s="121"/>
      <c r="Z1071" s="121"/>
      <c r="AA1071" s="121"/>
      <c r="AB1071" s="121"/>
      <c r="AC1071" s="121"/>
      <c r="AD1071" s="121"/>
      <c r="AE1071" s="121"/>
      <c r="AF1071" s="121"/>
      <c r="AG1071" s="121"/>
      <c r="AH1071" s="121"/>
      <c r="AI1071" s="121"/>
    </row>
    <row r="1072" spans="1:35" s="115" customFormat="1" ht="14.4">
      <c r="A1072" s="187"/>
      <c r="B1072" s="190"/>
      <c r="C1072" s="190"/>
      <c r="D1072" s="69"/>
      <c r="E1072" s="69"/>
      <c r="F1072" s="149"/>
      <c r="G1072" s="146"/>
      <c r="H1072" s="98"/>
      <c r="I1072" s="99"/>
      <c r="J1072" s="99"/>
      <c r="K1072" s="99"/>
      <c r="L1072" s="99"/>
      <c r="M1072" s="99"/>
      <c r="N1072" s="99"/>
      <c r="O1072" s="99"/>
      <c r="P1072" s="99"/>
      <c r="Q1072" s="99"/>
      <c r="R1072" s="99"/>
      <c r="S1072" s="99"/>
      <c r="T1072" s="99"/>
      <c r="U1072" s="105"/>
      <c r="V1072" s="262"/>
      <c r="W1072" s="121"/>
      <c r="X1072" s="121"/>
      <c r="Y1072" s="121"/>
      <c r="Z1072" s="121"/>
      <c r="AA1072" s="121"/>
      <c r="AB1072" s="121"/>
      <c r="AC1072" s="121"/>
      <c r="AD1072" s="121"/>
      <c r="AE1072" s="121"/>
      <c r="AF1072" s="121"/>
      <c r="AG1072" s="121"/>
      <c r="AH1072" s="121"/>
      <c r="AI1072" s="121"/>
    </row>
    <row r="1073" spans="1:35" s="115" customFormat="1" ht="14.4">
      <c r="A1073" s="187"/>
      <c r="B1073" s="190"/>
      <c r="C1073" s="190"/>
      <c r="D1073" s="69"/>
      <c r="E1073" s="69"/>
      <c r="F1073" s="149"/>
      <c r="G1073" s="146"/>
      <c r="H1073" s="98"/>
      <c r="I1073" s="99"/>
      <c r="J1073" s="99"/>
      <c r="K1073" s="99"/>
      <c r="L1073" s="99"/>
      <c r="M1073" s="99"/>
      <c r="N1073" s="99"/>
      <c r="O1073" s="99"/>
      <c r="P1073" s="99"/>
      <c r="Q1073" s="99"/>
      <c r="R1073" s="99"/>
      <c r="S1073" s="99"/>
      <c r="T1073" s="99"/>
      <c r="U1073" s="105"/>
      <c r="V1073" s="262"/>
      <c r="W1073" s="121"/>
      <c r="X1073" s="121"/>
      <c r="Y1073" s="121"/>
      <c r="Z1073" s="121"/>
      <c r="AA1073" s="121"/>
      <c r="AB1073" s="121"/>
      <c r="AC1073" s="121"/>
      <c r="AD1073" s="121"/>
      <c r="AE1073" s="121"/>
      <c r="AF1073" s="121"/>
      <c r="AG1073" s="121"/>
      <c r="AH1073" s="121"/>
      <c r="AI1073" s="121"/>
    </row>
    <row r="1074" spans="1:35" s="115" customFormat="1" ht="14.4">
      <c r="A1074" s="187"/>
      <c r="B1074" s="190"/>
      <c r="C1074" s="190"/>
      <c r="D1074" s="69"/>
      <c r="E1074" s="69"/>
      <c r="F1074" s="149"/>
      <c r="G1074" s="146"/>
      <c r="H1074" s="98"/>
      <c r="I1074" s="99"/>
      <c r="J1074" s="99"/>
      <c r="K1074" s="99"/>
      <c r="L1074" s="99"/>
      <c r="M1074" s="99"/>
      <c r="N1074" s="99"/>
      <c r="O1074" s="99"/>
      <c r="P1074" s="99"/>
      <c r="Q1074" s="99"/>
      <c r="R1074" s="99"/>
      <c r="S1074" s="99"/>
      <c r="T1074" s="99"/>
      <c r="U1074" s="105"/>
      <c r="V1074" s="262"/>
      <c r="W1074" s="121"/>
      <c r="X1074" s="121"/>
      <c r="Y1074" s="121"/>
      <c r="Z1074" s="121"/>
      <c r="AA1074" s="121"/>
      <c r="AB1074" s="121"/>
      <c r="AC1074" s="121"/>
      <c r="AD1074" s="121"/>
      <c r="AE1074" s="121"/>
      <c r="AF1074" s="121"/>
      <c r="AG1074" s="121"/>
      <c r="AH1074" s="121"/>
      <c r="AI1074" s="121"/>
    </row>
    <row r="1075" spans="1:35" s="115" customFormat="1" ht="14.4">
      <c r="A1075" s="187"/>
      <c r="B1075" s="190"/>
      <c r="C1075" s="190"/>
      <c r="D1075" s="69"/>
      <c r="E1075" s="69"/>
      <c r="F1075" s="149"/>
      <c r="G1075" s="146"/>
      <c r="H1075" s="98"/>
      <c r="I1075" s="99"/>
      <c r="J1075" s="99"/>
      <c r="K1075" s="99"/>
      <c r="L1075" s="99"/>
      <c r="M1075" s="99"/>
      <c r="N1075" s="99"/>
      <c r="O1075" s="99"/>
      <c r="P1075" s="99"/>
      <c r="Q1075" s="99"/>
      <c r="R1075" s="99"/>
      <c r="S1075" s="99"/>
      <c r="T1075" s="99"/>
      <c r="U1075" s="105"/>
      <c r="V1075" s="262"/>
      <c r="W1075" s="121"/>
      <c r="X1075" s="121"/>
      <c r="Y1075" s="121"/>
      <c r="Z1075" s="121"/>
      <c r="AA1075" s="121"/>
      <c r="AB1075" s="121"/>
      <c r="AC1075" s="121"/>
      <c r="AD1075" s="121"/>
      <c r="AE1075" s="121"/>
      <c r="AF1075" s="121"/>
      <c r="AG1075" s="121"/>
      <c r="AH1075" s="121"/>
      <c r="AI1075" s="121"/>
    </row>
    <row r="1076" spans="1:35" s="115" customFormat="1" ht="14.4">
      <c r="A1076" s="187"/>
      <c r="B1076" s="190"/>
      <c r="C1076" s="190"/>
      <c r="D1076" s="69"/>
      <c r="E1076" s="69"/>
      <c r="F1076" s="149"/>
      <c r="G1076" s="146"/>
      <c r="H1076" s="98"/>
      <c r="I1076" s="99"/>
      <c r="J1076" s="99"/>
      <c r="K1076" s="99"/>
      <c r="L1076" s="99"/>
      <c r="M1076" s="99"/>
      <c r="N1076" s="99"/>
      <c r="O1076" s="99"/>
      <c r="P1076" s="99"/>
      <c r="Q1076" s="99"/>
      <c r="R1076" s="99"/>
      <c r="S1076" s="99"/>
      <c r="T1076" s="99"/>
      <c r="U1076" s="105"/>
      <c r="V1076" s="262"/>
      <c r="W1076" s="121"/>
      <c r="X1076" s="121"/>
      <c r="Y1076" s="121"/>
      <c r="Z1076" s="121"/>
      <c r="AA1076" s="121"/>
      <c r="AB1076" s="121"/>
      <c r="AC1076" s="121"/>
      <c r="AD1076" s="121"/>
      <c r="AE1076" s="121"/>
      <c r="AF1076" s="121"/>
      <c r="AG1076" s="121"/>
      <c r="AH1076" s="121"/>
      <c r="AI1076" s="121"/>
    </row>
    <row r="1077" spans="1:35" s="115" customFormat="1" ht="14.4">
      <c r="A1077" s="187"/>
      <c r="B1077" s="190"/>
      <c r="C1077" s="190"/>
      <c r="D1077" s="69"/>
      <c r="E1077" s="69"/>
      <c r="F1077" s="149"/>
      <c r="G1077" s="146"/>
      <c r="H1077" s="98"/>
      <c r="I1077" s="99"/>
      <c r="J1077" s="99"/>
      <c r="K1077" s="99"/>
      <c r="L1077" s="99"/>
      <c r="M1077" s="99"/>
      <c r="N1077" s="99"/>
      <c r="O1077" s="99"/>
      <c r="P1077" s="99"/>
      <c r="Q1077" s="99"/>
      <c r="R1077" s="99"/>
      <c r="S1077" s="99"/>
      <c r="T1077" s="99"/>
      <c r="U1077" s="105"/>
      <c r="V1077" s="262"/>
      <c r="W1077" s="121"/>
      <c r="X1077" s="121"/>
      <c r="Y1077" s="121"/>
      <c r="Z1077" s="121"/>
      <c r="AA1077" s="121"/>
      <c r="AB1077" s="121"/>
      <c r="AC1077" s="121"/>
      <c r="AD1077" s="121"/>
      <c r="AE1077" s="121"/>
      <c r="AF1077" s="121"/>
      <c r="AG1077" s="121"/>
      <c r="AH1077" s="121"/>
      <c r="AI1077" s="121"/>
    </row>
    <row r="1078" spans="1:35" s="115" customFormat="1" ht="14.4">
      <c r="A1078" s="187"/>
      <c r="B1078" s="190"/>
      <c r="C1078" s="190"/>
      <c r="D1078" s="69"/>
      <c r="E1078" s="69"/>
      <c r="F1078" s="149"/>
      <c r="G1078" s="146"/>
      <c r="H1078" s="98"/>
      <c r="I1078" s="99"/>
      <c r="J1078" s="99"/>
      <c r="K1078" s="99"/>
      <c r="L1078" s="99"/>
      <c r="M1078" s="99"/>
      <c r="N1078" s="99"/>
      <c r="O1078" s="99"/>
      <c r="P1078" s="99"/>
      <c r="Q1078" s="99"/>
      <c r="R1078" s="99"/>
      <c r="S1078" s="99"/>
      <c r="T1078" s="99"/>
      <c r="U1078" s="105"/>
      <c r="V1078" s="262"/>
      <c r="W1078" s="121"/>
      <c r="X1078" s="121"/>
      <c r="Y1078" s="121"/>
      <c r="Z1078" s="121"/>
      <c r="AA1078" s="121"/>
      <c r="AB1078" s="121"/>
      <c r="AC1078" s="121"/>
      <c r="AD1078" s="121"/>
      <c r="AE1078" s="121"/>
      <c r="AF1078" s="121"/>
      <c r="AG1078" s="121"/>
      <c r="AH1078" s="121"/>
      <c r="AI1078" s="121"/>
    </row>
    <row r="1079" spans="1:35" s="115" customFormat="1" ht="14.4">
      <c r="A1079" s="187"/>
      <c r="B1079" s="190"/>
      <c r="C1079" s="190"/>
      <c r="D1079" s="69"/>
      <c r="E1079" s="69"/>
      <c r="F1079" s="149"/>
      <c r="G1079" s="146"/>
      <c r="H1079" s="98"/>
      <c r="I1079" s="99"/>
      <c r="J1079" s="99"/>
      <c r="K1079" s="99"/>
      <c r="L1079" s="99"/>
      <c r="M1079" s="99"/>
      <c r="N1079" s="99"/>
      <c r="O1079" s="99"/>
      <c r="P1079" s="99"/>
      <c r="Q1079" s="99"/>
      <c r="R1079" s="99"/>
      <c r="S1079" s="99"/>
      <c r="T1079" s="99"/>
      <c r="U1079" s="105"/>
      <c r="V1079" s="262"/>
      <c r="W1079" s="121"/>
      <c r="X1079" s="121"/>
      <c r="Y1079" s="121"/>
      <c r="Z1079" s="121"/>
      <c r="AA1079" s="121"/>
      <c r="AB1079" s="121"/>
      <c r="AC1079" s="121"/>
      <c r="AD1079" s="121"/>
      <c r="AE1079" s="121"/>
      <c r="AF1079" s="121"/>
      <c r="AG1079" s="121"/>
      <c r="AH1079" s="121"/>
      <c r="AI1079" s="121"/>
    </row>
    <row r="1080" spans="1:35" s="115" customFormat="1" ht="14.4">
      <c r="A1080" s="187"/>
      <c r="B1080" s="190"/>
      <c r="C1080" s="190"/>
      <c r="D1080" s="69"/>
      <c r="E1080" s="69"/>
      <c r="F1080" s="149"/>
      <c r="G1080" s="146"/>
      <c r="H1080" s="107"/>
      <c r="I1080" s="108"/>
      <c r="J1080" s="108"/>
      <c r="K1080" s="108"/>
      <c r="L1080" s="108"/>
      <c r="M1080" s="108"/>
      <c r="N1080" s="109"/>
      <c r="O1080" s="109"/>
      <c r="P1080" s="109"/>
      <c r="Q1080" s="109"/>
      <c r="R1080" s="109"/>
      <c r="S1080" s="109"/>
      <c r="T1080" s="108"/>
      <c r="U1080" s="105"/>
      <c r="V1080" s="262"/>
      <c r="W1080" s="121"/>
      <c r="X1080" s="121"/>
      <c r="Y1080" s="121"/>
      <c r="Z1080" s="121"/>
      <c r="AA1080" s="121"/>
      <c r="AB1080" s="121"/>
      <c r="AC1080" s="121"/>
      <c r="AD1080" s="121"/>
      <c r="AE1080" s="121"/>
      <c r="AF1080" s="121"/>
      <c r="AG1080" s="121"/>
      <c r="AH1080" s="121"/>
      <c r="AI1080" s="121"/>
    </row>
    <row r="1081" spans="1:35" s="115" customFormat="1" ht="14.4">
      <c r="A1081" s="187"/>
      <c r="B1081" s="190"/>
      <c r="C1081" s="190"/>
      <c r="D1081" s="69"/>
      <c r="E1081" s="69"/>
      <c r="F1081" s="149"/>
      <c r="G1081" s="146"/>
      <c r="H1081" s="98"/>
      <c r="I1081" s="106"/>
      <c r="J1081" s="106"/>
      <c r="K1081" s="106"/>
      <c r="L1081" s="106"/>
      <c r="M1081" s="106"/>
      <c r="N1081" s="110"/>
      <c r="O1081" s="110"/>
      <c r="P1081" s="110"/>
      <c r="Q1081" s="111"/>
      <c r="R1081" s="99"/>
      <c r="S1081" s="99"/>
      <c r="T1081" s="111"/>
      <c r="U1081" s="105"/>
      <c r="V1081" s="262"/>
      <c r="W1081" s="121"/>
      <c r="X1081" s="121"/>
      <c r="Y1081" s="121"/>
      <c r="Z1081" s="121"/>
      <c r="AA1081" s="121"/>
      <c r="AB1081" s="121"/>
      <c r="AC1081" s="121"/>
      <c r="AD1081" s="121"/>
      <c r="AE1081" s="121"/>
      <c r="AF1081" s="121"/>
      <c r="AG1081" s="121"/>
      <c r="AH1081" s="121"/>
      <c r="AI1081" s="121"/>
    </row>
    <row r="1082" spans="1:35" s="115" customFormat="1" ht="14.4">
      <c r="A1082" s="187"/>
      <c r="B1082" s="190"/>
      <c r="C1082" s="190"/>
      <c r="D1082" s="69"/>
      <c r="E1082" s="69"/>
      <c r="F1082" s="149"/>
      <c r="G1082" s="146"/>
      <c r="H1082" s="98"/>
      <c r="I1082" s="99"/>
      <c r="J1082" s="99"/>
      <c r="K1082" s="99"/>
      <c r="L1082" s="99"/>
      <c r="M1082" s="99"/>
      <c r="N1082" s="99"/>
      <c r="O1082" s="99"/>
      <c r="P1082" s="99"/>
      <c r="Q1082" s="99"/>
      <c r="R1082" s="99"/>
      <c r="S1082" s="99"/>
      <c r="T1082" s="99"/>
      <c r="U1082" s="105"/>
      <c r="V1082" s="262"/>
      <c r="W1082" s="121"/>
      <c r="X1082" s="121"/>
      <c r="Y1082" s="121"/>
      <c r="Z1082" s="121"/>
      <c r="AA1082" s="121"/>
      <c r="AB1082" s="121"/>
      <c r="AC1082" s="121"/>
      <c r="AD1082" s="121"/>
      <c r="AE1082" s="121"/>
      <c r="AF1082" s="121"/>
      <c r="AG1082" s="121"/>
      <c r="AH1082" s="121"/>
      <c r="AI1082" s="121"/>
    </row>
    <row r="1083" spans="1:35" s="115" customFormat="1" ht="14.4">
      <c r="A1083" s="187"/>
      <c r="B1083" s="190"/>
      <c r="C1083" s="190"/>
      <c r="D1083" s="69"/>
      <c r="E1083" s="69"/>
      <c r="F1083" s="149"/>
      <c r="G1083" s="146"/>
      <c r="H1083" s="98"/>
      <c r="I1083" s="99"/>
      <c r="J1083" s="99"/>
      <c r="K1083" s="99"/>
      <c r="L1083" s="99"/>
      <c r="M1083" s="99"/>
      <c r="N1083" s="99"/>
      <c r="O1083" s="99"/>
      <c r="P1083" s="99"/>
      <c r="Q1083" s="99"/>
      <c r="R1083" s="99"/>
      <c r="S1083" s="99"/>
      <c r="T1083" s="99"/>
      <c r="U1083" s="105"/>
      <c r="V1083" s="262"/>
      <c r="W1083" s="121"/>
      <c r="X1083" s="121"/>
      <c r="Y1083" s="121"/>
      <c r="Z1083" s="121"/>
      <c r="AA1083" s="121"/>
      <c r="AB1083" s="121"/>
      <c r="AC1083" s="121"/>
      <c r="AD1083" s="121"/>
      <c r="AE1083" s="121"/>
      <c r="AF1083" s="121"/>
      <c r="AG1083" s="121"/>
      <c r="AH1083" s="121"/>
      <c r="AI1083" s="121"/>
    </row>
    <row r="1084" spans="1:35" s="115" customFormat="1" ht="14.4">
      <c r="A1084" s="187"/>
      <c r="B1084" s="190"/>
      <c r="C1084" s="190"/>
      <c r="D1084" s="69"/>
      <c r="E1084" s="69"/>
      <c r="F1084" s="149"/>
      <c r="G1084" s="146"/>
      <c r="H1084" s="98"/>
      <c r="I1084" s="99"/>
      <c r="J1084" s="99"/>
      <c r="K1084" s="99"/>
      <c r="L1084" s="99"/>
      <c r="M1084" s="99"/>
      <c r="N1084" s="99"/>
      <c r="O1084" s="99"/>
      <c r="P1084" s="99"/>
      <c r="Q1084" s="99"/>
      <c r="R1084" s="99"/>
      <c r="S1084" s="99"/>
      <c r="T1084" s="99"/>
      <c r="U1084" s="105"/>
      <c r="V1084" s="262"/>
      <c r="W1084" s="121"/>
      <c r="X1084" s="121"/>
      <c r="Y1084" s="121"/>
      <c r="Z1084" s="121"/>
      <c r="AA1084" s="121"/>
      <c r="AB1084" s="121"/>
      <c r="AC1084" s="121"/>
      <c r="AD1084" s="121"/>
      <c r="AE1084" s="121"/>
      <c r="AF1084" s="121"/>
      <c r="AG1084" s="121"/>
      <c r="AH1084" s="121"/>
      <c r="AI1084" s="121"/>
    </row>
    <row r="1085" spans="1:35" s="115" customFormat="1" ht="14.4">
      <c r="A1085" s="187"/>
      <c r="B1085" s="190"/>
      <c r="C1085" s="190"/>
      <c r="D1085" s="69"/>
      <c r="E1085" s="69"/>
      <c r="F1085" s="149"/>
      <c r="G1085" s="146"/>
      <c r="H1085" s="98"/>
      <c r="I1085" s="99"/>
      <c r="J1085" s="99"/>
      <c r="K1085" s="99"/>
      <c r="L1085" s="99"/>
      <c r="M1085" s="99"/>
      <c r="N1085" s="99"/>
      <c r="O1085" s="99"/>
      <c r="P1085" s="99"/>
      <c r="Q1085" s="99"/>
      <c r="R1085" s="99"/>
      <c r="S1085" s="99"/>
      <c r="T1085" s="99"/>
      <c r="U1085" s="105"/>
      <c r="V1085" s="262"/>
      <c r="W1085" s="121"/>
      <c r="X1085" s="121"/>
      <c r="Y1085" s="121"/>
      <c r="Z1085" s="121"/>
      <c r="AA1085" s="121"/>
      <c r="AB1085" s="121"/>
      <c r="AC1085" s="121"/>
      <c r="AD1085" s="121"/>
      <c r="AE1085" s="121"/>
      <c r="AF1085" s="121"/>
      <c r="AG1085" s="121"/>
      <c r="AH1085" s="121"/>
      <c r="AI1085" s="121"/>
    </row>
    <row r="1086" spans="1:35" s="115" customFormat="1" ht="14.4">
      <c r="A1086" s="187"/>
      <c r="B1086" s="190"/>
      <c r="C1086" s="190"/>
      <c r="D1086" s="69"/>
      <c r="E1086" s="69"/>
      <c r="F1086" s="149"/>
      <c r="G1086" s="146"/>
      <c r="H1086" s="98"/>
      <c r="I1086" s="99"/>
      <c r="J1086" s="99"/>
      <c r="K1086" s="99"/>
      <c r="L1086" s="99"/>
      <c r="M1086" s="99"/>
      <c r="N1086" s="99"/>
      <c r="O1086" s="99"/>
      <c r="P1086" s="99"/>
      <c r="Q1086" s="99"/>
      <c r="R1086" s="99"/>
      <c r="S1086" s="99"/>
      <c r="T1086" s="99"/>
      <c r="U1086" s="105"/>
      <c r="V1086" s="262"/>
      <c r="W1086" s="121"/>
      <c r="X1086" s="121"/>
      <c r="Y1086" s="121"/>
      <c r="Z1086" s="121"/>
      <c r="AA1086" s="121"/>
      <c r="AB1086" s="121"/>
      <c r="AC1086" s="121"/>
      <c r="AD1086" s="121"/>
      <c r="AE1086" s="121"/>
      <c r="AF1086" s="121"/>
      <c r="AG1086" s="121"/>
      <c r="AH1086" s="121"/>
      <c r="AI1086" s="121"/>
    </row>
    <row r="1087" spans="1:35" s="115" customFormat="1" ht="14.4">
      <c r="A1087" s="187"/>
      <c r="B1087" s="190"/>
      <c r="C1087" s="190"/>
      <c r="D1087" s="69"/>
      <c r="E1087" s="69"/>
      <c r="F1087" s="149"/>
      <c r="G1087" s="146"/>
      <c r="H1087" s="98"/>
      <c r="I1087" s="99"/>
      <c r="J1087" s="99"/>
      <c r="K1087" s="99"/>
      <c r="L1087" s="99"/>
      <c r="M1087" s="99"/>
      <c r="N1087" s="99"/>
      <c r="O1087" s="99"/>
      <c r="P1087" s="99"/>
      <c r="Q1087" s="99"/>
      <c r="R1087" s="99"/>
      <c r="S1087" s="99"/>
      <c r="T1087" s="99"/>
      <c r="U1087" s="105"/>
      <c r="V1087" s="262"/>
      <c r="W1087" s="121"/>
      <c r="X1087" s="121"/>
      <c r="Y1087" s="121"/>
      <c r="Z1087" s="121"/>
      <c r="AA1087" s="121"/>
      <c r="AB1087" s="121"/>
      <c r="AC1087" s="121"/>
      <c r="AD1087" s="121"/>
      <c r="AE1087" s="121"/>
      <c r="AF1087" s="121"/>
      <c r="AG1087" s="121"/>
      <c r="AH1087" s="121"/>
      <c r="AI1087" s="121"/>
    </row>
    <row r="1088" spans="1:35" s="115" customFormat="1" ht="14.4">
      <c r="A1088" s="187"/>
      <c r="B1088" s="190"/>
      <c r="C1088" s="190"/>
      <c r="D1088" s="69"/>
      <c r="E1088" s="69"/>
      <c r="F1088" s="149"/>
      <c r="G1088" s="146"/>
      <c r="H1088" s="98"/>
      <c r="I1088" s="99"/>
      <c r="J1088" s="99"/>
      <c r="K1088" s="99"/>
      <c r="L1088" s="99"/>
      <c r="M1088" s="99"/>
      <c r="N1088" s="99"/>
      <c r="O1088" s="99"/>
      <c r="P1088" s="99"/>
      <c r="Q1088" s="99"/>
      <c r="R1088" s="99"/>
      <c r="S1088" s="99"/>
      <c r="T1088" s="99"/>
      <c r="U1088" s="105"/>
      <c r="V1088" s="262"/>
      <c r="W1088" s="121"/>
      <c r="X1088" s="121"/>
      <c r="Y1088" s="121"/>
      <c r="Z1088" s="121"/>
      <c r="AA1088" s="121"/>
      <c r="AB1088" s="121"/>
      <c r="AC1088" s="121"/>
      <c r="AD1088" s="121"/>
      <c r="AE1088" s="121"/>
      <c r="AF1088" s="121"/>
      <c r="AG1088" s="121"/>
      <c r="AH1088" s="121"/>
      <c r="AI1088" s="121"/>
    </row>
    <row r="1089" spans="1:35" s="115" customFormat="1" ht="14.4">
      <c r="A1089" s="187"/>
      <c r="B1089" s="190"/>
      <c r="C1089" s="190"/>
      <c r="D1089" s="69"/>
      <c r="E1089" s="69"/>
      <c r="F1089" s="149"/>
      <c r="G1089" s="146"/>
      <c r="H1089" s="98"/>
      <c r="I1089" s="99"/>
      <c r="J1089" s="99"/>
      <c r="K1089" s="99"/>
      <c r="L1089" s="99"/>
      <c r="M1089" s="99"/>
      <c r="N1089" s="99"/>
      <c r="O1089" s="99"/>
      <c r="P1089" s="99"/>
      <c r="Q1089" s="99"/>
      <c r="R1089" s="99"/>
      <c r="S1089" s="99"/>
      <c r="T1089" s="99"/>
      <c r="U1089" s="105"/>
      <c r="V1089" s="262"/>
      <c r="W1089" s="121"/>
      <c r="X1089" s="121"/>
      <c r="Y1089" s="121"/>
      <c r="Z1089" s="121"/>
      <c r="AA1089" s="121"/>
      <c r="AB1089" s="121"/>
      <c r="AC1089" s="121"/>
      <c r="AD1089" s="121"/>
      <c r="AE1089" s="121"/>
      <c r="AF1089" s="121"/>
      <c r="AG1089" s="121"/>
      <c r="AH1089" s="121"/>
      <c r="AI1089" s="121"/>
    </row>
    <row r="1090" spans="1:35" s="115" customFormat="1" ht="14.4">
      <c r="A1090" s="187"/>
      <c r="B1090" s="190"/>
      <c r="C1090" s="190"/>
      <c r="D1090" s="69"/>
      <c r="E1090" s="69"/>
      <c r="F1090" s="149"/>
      <c r="G1090" s="146"/>
      <c r="H1090" s="98"/>
      <c r="I1090" s="99"/>
      <c r="J1090" s="99"/>
      <c r="K1090" s="99"/>
      <c r="L1090" s="99"/>
      <c r="M1090" s="99"/>
      <c r="N1090" s="99"/>
      <c r="O1090" s="99"/>
      <c r="P1090" s="99"/>
      <c r="Q1090" s="99"/>
      <c r="R1090" s="99"/>
      <c r="S1090" s="99"/>
      <c r="T1090" s="99"/>
      <c r="U1090" s="105"/>
      <c r="V1090" s="262"/>
      <c r="W1090" s="121"/>
      <c r="X1090" s="121"/>
      <c r="Y1090" s="121"/>
      <c r="Z1090" s="121"/>
      <c r="AA1090" s="121"/>
      <c r="AB1090" s="121"/>
      <c r="AC1090" s="121"/>
      <c r="AD1090" s="121"/>
      <c r="AE1090" s="121"/>
      <c r="AF1090" s="121"/>
      <c r="AG1090" s="121"/>
      <c r="AH1090" s="121"/>
      <c r="AI1090" s="121"/>
    </row>
    <row r="1091" spans="1:35" s="115" customFormat="1" ht="14.4">
      <c r="A1091" s="187"/>
      <c r="B1091" s="190"/>
      <c r="C1091" s="190"/>
      <c r="D1091" s="69"/>
      <c r="E1091" s="69"/>
      <c r="F1091" s="149"/>
      <c r="G1091" s="146"/>
      <c r="H1091" s="98"/>
      <c r="I1091" s="99"/>
      <c r="J1091" s="99"/>
      <c r="K1091" s="99"/>
      <c r="L1091" s="99"/>
      <c r="M1091" s="99"/>
      <c r="N1091" s="99"/>
      <c r="O1091" s="99"/>
      <c r="P1091" s="99"/>
      <c r="Q1091" s="99"/>
      <c r="R1091" s="99"/>
      <c r="S1091" s="99"/>
      <c r="T1091" s="99"/>
      <c r="U1091" s="105"/>
      <c r="V1091" s="262"/>
      <c r="W1091" s="121"/>
      <c r="X1091" s="121"/>
      <c r="Y1091" s="121"/>
      <c r="Z1091" s="121"/>
      <c r="AA1091" s="121"/>
      <c r="AB1091" s="121"/>
      <c r="AC1091" s="121"/>
      <c r="AD1091" s="121"/>
      <c r="AE1091" s="121"/>
      <c r="AF1091" s="121"/>
      <c r="AG1091" s="121"/>
      <c r="AH1091" s="121"/>
      <c r="AI1091" s="121"/>
    </row>
    <row r="1092" spans="1:35" s="115" customFormat="1" ht="14.4">
      <c r="A1092" s="187"/>
      <c r="B1092" s="190"/>
      <c r="C1092" s="190"/>
      <c r="D1092" s="69"/>
      <c r="E1092" s="69"/>
      <c r="F1092" s="149"/>
      <c r="G1092" s="146"/>
      <c r="H1092" s="98"/>
      <c r="I1092" s="99"/>
      <c r="J1092" s="99"/>
      <c r="K1092" s="99"/>
      <c r="L1092" s="99"/>
      <c r="M1092" s="99"/>
      <c r="N1092" s="99"/>
      <c r="O1092" s="99"/>
      <c r="P1092" s="99"/>
      <c r="Q1092" s="99"/>
      <c r="R1092" s="99"/>
      <c r="S1092" s="99"/>
      <c r="T1092" s="99"/>
      <c r="U1092" s="105"/>
      <c r="V1092" s="262"/>
      <c r="W1092" s="121"/>
      <c r="X1092" s="121"/>
      <c r="Y1092" s="121"/>
      <c r="Z1092" s="121"/>
      <c r="AA1092" s="121"/>
      <c r="AB1092" s="121"/>
      <c r="AC1092" s="121"/>
      <c r="AD1092" s="121"/>
      <c r="AE1092" s="121"/>
      <c r="AF1092" s="121"/>
      <c r="AG1092" s="121"/>
      <c r="AH1092" s="121"/>
      <c r="AI1092" s="121"/>
    </row>
    <row r="1093" spans="1:35" s="115" customFormat="1" ht="14.4">
      <c r="A1093" s="187"/>
      <c r="B1093" s="190"/>
      <c r="C1093" s="190"/>
      <c r="D1093" s="69"/>
      <c r="E1093" s="69"/>
      <c r="F1093" s="149"/>
      <c r="G1093" s="146"/>
      <c r="H1093" s="98"/>
      <c r="I1093" s="99"/>
      <c r="J1093" s="99"/>
      <c r="K1093" s="99"/>
      <c r="L1093" s="99"/>
      <c r="M1093" s="99"/>
      <c r="N1093" s="99"/>
      <c r="O1093" s="99"/>
      <c r="P1093" s="99"/>
      <c r="Q1093" s="99"/>
      <c r="R1093" s="99"/>
      <c r="S1093" s="99"/>
      <c r="T1093" s="99"/>
      <c r="U1093" s="105"/>
      <c r="V1093" s="262"/>
      <c r="W1093" s="121"/>
      <c r="X1093" s="121"/>
      <c r="Y1093" s="121"/>
      <c r="Z1093" s="121"/>
      <c r="AA1093" s="121"/>
      <c r="AB1093" s="121"/>
      <c r="AC1093" s="121"/>
      <c r="AD1093" s="121"/>
      <c r="AE1093" s="121"/>
      <c r="AF1093" s="121"/>
      <c r="AG1093" s="121"/>
      <c r="AH1093" s="121"/>
      <c r="AI1093" s="121"/>
    </row>
    <row r="1094" spans="1:35" s="115" customFormat="1" ht="14.4">
      <c r="A1094" s="187"/>
      <c r="B1094" s="190"/>
      <c r="C1094" s="190"/>
      <c r="D1094" s="69"/>
      <c r="E1094" s="69"/>
      <c r="F1094" s="149"/>
      <c r="G1094" s="146"/>
      <c r="H1094" s="98"/>
      <c r="I1094" s="99"/>
      <c r="J1094" s="99"/>
      <c r="K1094" s="99"/>
      <c r="L1094" s="99"/>
      <c r="M1094" s="99"/>
      <c r="N1094" s="99"/>
      <c r="O1094" s="99"/>
      <c r="P1094" s="99"/>
      <c r="Q1094" s="99"/>
      <c r="R1094" s="99"/>
      <c r="S1094" s="99"/>
      <c r="T1094" s="99"/>
      <c r="U1094" s="105"/>
      <c r="V1094" s="262"/>
      <c r="W1094" s="121"/>
      <c r="X1094" s="121"/>
      <c r="Y1094" s="121"/>
      <c r="Z1094" s="121"/>
      <c r="AA1094" s="121"/>
      <c r="AB1094" s="121"/>
      <c r="AC1094" s="121"/>
      <c r="AD1094" s="121"/>
      <c r="AE1094" s="121"/>
      <c r="AF1094" s="121"/>
      <c r="AG1094" s="121"/>
      <c r="AH1094" s="121"/>
      <c r="AI1094" s="121"/>
    </row>
    <row r="1095" spans="1:35" s="115" customFormat="1" ht="14.4">
      <c r="A1095" s="187"/>
      <c r="B1095" s="190"/>
      <c r="C1095" s="190"/>
      <c r="D1095" s="69"/>
      <c r="E1095" s="69"/>
      <c r="F1095" s="149"/>
      <c r="G1095" s="146"/>
      <c r="H1095" s="107"/>
      <c r="I1095" s="108"/>
      <c r="J1095" s="108"/>
      <c r="K1095" s="108"/>
      <c r="L1095" s="108"/>
      <c r="M1095" s="108"/>
      <c r="N1095" s="109"/>
      <c r="O1095" s="109"/>
      <c r="P1095" s="109"/>
      <c r="Q1095" s="109"/>
      <c r="R1095" s="109"/>
      <c r="S1095" s="109"/>
      <c r="T1095" s="108"/>
      <c r="U1095" s="105"/>
      <c r="V1095" s="262"/>
      <c r="W1095" s="121"/>
      <c r="X1095" s="121"/>
      <c r="Y1095" s="121"/>
      <c r="Z1095" s="121"/>
      <c r="AA1095" s="121"/>
      <c r="AB1095" s="121"/>
      <c r="AC1095" s="121"/>
      <c r="AD1095" s="121"/>
      <c r="AE1095" s="121"/>
      <c r="AF1095" s="121"/>
      <c r="AG1095" s="121"/>
      <c r="AH1095" s="121"/>
      <c r="AI1095" s="121"/>
    </row>
    <row r="1096" spans="1:35" s="115" customFormat="1" ht="14.4">
      <c r="A1096" s="187"/>
      <c r="B1096" s="190"/>
      <c r="C1096" s="190"/>
      <c r="D1096" s="69"/>
      <c r="E1096" s="69"/>
      <c r="F1096" s="149"/>
      <c r="G1096" s="146"/>
      <c r="H1096" s="98"/>
      <c r="I1096" s="106"/>
      <c r="J1096" s="106"/>
      <c r="K1096" s="106"/>
      <c r="L1096" s="106"/>
      <c r="M1096" s="106"/>
      <c r="N1096" s="110"/>
      <c r="O1096" s="110"/>
      <c r="P1096" s="110"/>
      <c r="Q1096" s="111"/>
      <c r="R1096" s="99"/>
      <c r="S1096" s="99"/>
      <c r="T1096" s="111"/>
      <c r="U1096" s="105"/>
      <c r="V1096" s="262"/>
      <c r="W1096" s="121"/>
      <c r="X1096" s="121"/>
      <c r="Y1096" s="121"/>
      <c r="Z1096" s="121"/>
      <c r="AA1096" s="121"/>
      <c r="AB1096" s="121"/>
      <c r="AC1096" s="121"/>
      <c r="AD1096" s="121"/>
      <c r="AE1096" s="121"/>
      <c r="AF1096" s="121"/>
      <c r="AG1096" s="121"/>
      <c r="AH1096" s="121"/>
      <c r="AI1096" s="121"/>
    </row>
    <row r="1097" spans="1:35" s="115" customFormat="1" ht="14.4">
      <c r="A1097" s="187"/>
      <c r="B1097" s="190"/>
      <c r="C1097" s="190"/>
      <c r="D1097" s="69"/>
      <c r="E1097" s="69"/>
      <c r="F1097" s="149"/>
      <c r="G1097" s="146"/>
      <c r="H1097" s="98"/>
      <c r="I1097" s="99"/>
      <c r="J1097" s="99"/>
      <c r="K1097" s="99"/>
      <c r="L1097" s="99"/>
      <c r="M1097" s="99"/>
      <c r="N1097" s="99"/>
      <c r="O1097" s="99"/>
      <c r="P1097" s="99"/>
      <c r="Q1097" s="99"/>
      <c r="R1097" s="99"/>
      <c r="S1097" s="99"/>
      <c r="T1097" s="99"/>
      <c r="U1097" s="105"/>
      <c r="V1097" s="262"/>
      <c r="W1097" s="121"/>
      <c r="X1097" s="121"/>
      <c r="Y1097" s="121"/>
      <c r="Z1097" s="121"/>
      <c r="AA1097" s="121"/>
      <c r="AB1097" s="121"/>
      <c r="AC1097" s="121"/>
      <c r="AD1097" s="121"/>
      <c r="AE1097" s="121"/>
      <c r="AF1097" s="121"/>
      <c r="AG1097" s="121"/>
      <c r="AH1097" s="121"/>
      <c r="AI1097" s="121"/>
    </row>
    <row r="1098" spans="1:35" s="115" customFormat="1" ht="14.4">
      <c r="A1098" s="187"/>
      <c r="B1098" s="190"/>
      <c r="C1098" s="190"/>
      <c r="D1098" s="69"/>
      <c r="E1098" s="69"/>
      <c r="F1098" s="149"/>
      <c r="G1098" s="146"/>
      <c r="H1098" s="98"/>
      <c r="I1098" s="99"/>
      <c r="J1098" s="99"/>
      <c r="K1098" s="99"/>
      <c r="L1098" s="99"/>
      <c r="M1098" s="99"/>
      <c r="N1098" s="99"/>
      <c r="O1098" s="99"/>
      <c r="P1098" s="99"/>
      <c r="Q1098" s="99"/>
      <c r="R1098" s="99"/>
      <c r="S1098" s="99"/>
      <c r="T1098" s="99"/>
      <c r="U1098" s="105"/>
      <c r="V1098" s="262"/>
      <c r="W1098" s="121"/>
      <c r="X1098" s="121"/>
      <c r="Y1098" s="121"/>
      <c r="Z1098" s="121"/>
      <c r="AA1098" s="121"/>
      <c r="AB1098" s="121"/>
      <c r="AC1098" s="121"/>
      <c r="AD1098" s="121"/>
      <c r="AE1098" s="121"/>
      <c r="AF1098" s="121"/>
      <c r="AG1098" s="121"/>
      <c r="AH1098" s="121"/>
      <c r="AI1098" s="121"/>
    </row>
    <row r="1099" spans="1:35" s="115" customFormat="1" ht="14.4">
      <c r="A1099" s="187"/>
      <c r="B1099" s="190"/>
      <c r="C1099" s="190"/>
      <c r="D1099" s="69"/>
      <c r="E1099" s="69"/>
      <c r="F1099" s="149"/>
      <c r="G1099" s="146"/>
      <c r="H1099" s="98"/>
      <c r="I1099" s="99"/>
      <c r="J1099" s="99"/>
      <c r="K1099" s="99"/>
      <c r="L1099" s="99"/>
      <c r="M1099" s="99"/>
      <c r="N1099" s="99"/>
      <c r="O1099" s="99"/>
      <c r="P1099" s="99"/>
      <c r="Q1099" s="99"/>
      <c r="R1099" s="99"/>
      <c r="S1099" s="99"/>
      <c r="T1099" s="99"/>
      <c r="U1099" s="105"/>
      <c r="V1099" s="262"/>
      <c r="W1099" s="121"/>
      <c r="X1099" s="121"/>
      <c r="Y1099" s="121"/>
      <c r="Z1099" s="121"/>
      <c r="AA1099" s="121"/>
      <c r="AB1099" s="121"/>
      <c r="AC1099" s="121"/>
      <c r="AD1099" s="121"/>
      <c r="AE1099" s="121"/>
      <c r="AF1099" s="121"/>
      <c r="AG1099" s="121"/>
      <c r="AH1099" s="121"/>
      <c r="AI1099" s="121"/>
    </row>
    <row r="1100" spans="1:35" s="115" customFormat="1" ht="14.4">
      <c r="A1100" s="187"/>
      <c r="B1100" s="190"/>
      <c r="C1100" s="190"/>
      <c r="D1100" s="69"/>
      <c r="E1100" s="69"/>
      <c r="F1100" s="149"/>
      <c r="G1100" s="146"/>
      <c r="H1100" s="107"/>
      <c r="I1100" s="108"/>
      <c r="J1100" s="108"/>
      <c r="K1100" s="108"/>
      <c r="L1100" s="108"/>
      <c r="M1100" s="108"/>
      <c r="N1100" s="109"/>
      <c r="O1100" s="109"/>
      <c r="P1100" s="109"/>
      <c r="Q1100" s="109"/>
      <c r="R1100" s="109"/>
      <c r="S1100" s="109"/>
      <c r="T1100" s="109"/>
      <c r="U1100" s="105"/>
      <c r="V1100" s="262"/>
      <c r="W1100" s="121"/>
      <c r="X1100" s="121"/>
      <c r="Y1100" s="121"/>
      <c r="Z1100" s="121"/>
      <c r="AA1100" s="121"/>
      <c r="AB1100" s="121"/>
      <c r="AC1100" s="121"/>
      <c r="AD1100" s="121"/>
      <c r="AE1100" s="121"/>
      <c r="AF1100" s="121"/>
      <c r="AG1100" s="121"/>
      <c r="AH1100" s="121"/>
      <c r="AI1100" s="121"/>
    </row>
    <row r="1101" spans="1:35" s="115" customFormat="1" ht="14.4">
      <c r="A1101" s="187"/>
      <c r="B1101" s="190"/>
      <c r="C1101" s="190"/>
      <c r="D1101" s="69"/>
      <c r="E1101" s="69"/>
      <c r="F1101" s="149"/>
      <c r="G1101" s="146"/>
      <c r="H1101" s="98"/>
      <c r="I1101" s="106"/>
      <c r="J1101" s="106"/>
      <c r="K1101" s="106"/>
      <c r="L1101" s="106"/>
      <c r="M1101" s="106"/>
      <c r="N1101" s="110"/>
      <c r="O1101" s="110"/>
      <c r="P1101" s="110"/>
      <c r="Q1101" s="111"/>
      <c r="R1101" s="99"/>
      <c r="S1101" s="99"/>
      <c r="T1101" s="111"/>
      <c r="U1101" s="105"/>
      <c r="V1101" s="262"/>
      <c r="W1101" s="121"/>
      <c r="X1101" s="121"/>
      <c r="Y1101" s="121"/>
      <c r="Z1101" s="121"/>
      <c r="AA1101" s="121"/>
      <c r="AB1101" s="121"/>
      <c r="AC1101" s="121"/>
      <c r="AD1101" s="121"/>
      <c r="AE1101" s="121"/>
      <c r="AF1101" s="121"/>
      <c r="AG1101" s="121"/>
      <c r="AH1101" s="121"/>
      <c r="AI1101" s="121"/>
    </row>
    <row r="1102" spans="1:35" s="115" customFormat="1" ht="14.4">
      <c r="A1102" s="187"/>
      <c r="B1102" s="190"/>
      <c r="C1102" s="190"/>
      <c r="D1102" s="69"/>
      <c r="E1102" s="69"/>
      <c r="F1102" s="149"/>
      <c r="G1102" s="146"/>
      <c r="H1102" s="114"/>
      <c r="I1102" s="108"/>
      <c r="J1102" s="108"/>
      <c r="K1102" s="108"/>
      <c r="L1102" s="108"/>
      <c r="M1102" s="108"/>
      <c r="N1102" s="108"/>
      <c r="O1102" s="108"/>
      <c r="P1102" s="108"/>
      <c r="Q1102" s="108"/>
      <c r="R1102" s="108"/>
      <c r="S1102" s="108"/>
      <c r="T1102" s="108"/>
      <c r="U1102" s="105"/>
      <c r="V1102" s="262"/>
      <c r="W1102" s="121"/>
      <c r="X1102" s="121"/>
      <c r="Y1102" s="121"/>
      <c r="Z1102" s="121"/>
      <c r="AA1102" s="121"/>
      <c r="AB1102" s="121"/>
      <c r="AC1102" s="121"/>
      <c r="AD1102" s="121"/>
      <c r="AE1102" s="121"/>
      <c r="AF1102" s="121"/>
      <c r="AG1102" s="121"/>
      <c r="AH1102" s="121"/>
      <c r="AI1102" s="121"/>
    </row>
    <row r="1103" spans="1:35" s="115" customFormat="1" ht="15" thickBot="1">
      <c r="A1103" s="187"/>
      <c r="B1103" s="190"/>
      <c r="C1103" s="190"/>
      <c r="D1103" s="69"/>
      <c r="E1103" s="69"/>
      <c r="F1103" s="149"/>
      <c r="G1103" s="146"/>
      <c r="H1103" s="98"/>
      <c r="I1103" s="218"/>
      <c r="J1103" s="218"/>
      <c r="K1103" s="218"/>
      <c r="L1103" s="218"/>
      <c r="M1103" s="218"/>
      <c r="N1103" s="96"/>
      <c r="O1103" s="96"/>
      <c r="P1103" s="96"/>
      <c r="Q1103" s="212"/>
      <c r="R1103" s="212"/>
      <c r="S1103" s="212"/>
      <c r="T1103" s="212"/>
      <c r="U1103" s="105"/>
      <c r="V1103" s="262"/>
      <c r="W1103" s="121"/>
      <c r="X1103" s="121"/>
      <c r="Y1103" s="121"/>
      <c r="Z1103" s="121"/>
      <c r="AA1103" s="121"/>
      <c r="AB1103" s="121"/>
      <c r="AC1103" s="121"/>
      <c r="AD1103" s="121"/>
      <c r="AE1103" s="121"/>
      <c r="AF1103" s="121"/>
      <c r="AG1103" s="121"/>
      <c r="AH1103" s="121"/>
      <c r="AI1103" s="121"/>
    </row>
    <row r="1104" spans="1:35" s="115" customFormat="1" ht="23.4" thickBot="1">
      <c r="A1104" s="187"/>
      <c r="B1104" s="190"/>
      <c r="C1104" s="190"/>
      <c r="D1104" s="69"/>
      <c r="E1104" s="69"/>
      <c r="F1104" s="149"/>
      <c r="G1104" s="146"/>
      <c r="H1104" s="686"/>
      <c r="I1104" s="687"/>
      <c r="J1104" s="687"/>
      <c r="K1104" s="687"/>
      <c r="L1104" s="687"/>
      <c r="M1104" s="687"/>
      <c r="N1104" s="687"/>
      <c r="O1104" s="687"/>
      <c r="P1104" s="687"/>
      <c r="Q1104" s="687"/>
      <c r="R1104" s="687"/>
      <c r="S1104" s="687"/>
      <c r="T1104" s="688"/>
      <c r="U1104" s="105"/>
      <c r="V1104" s="262"/>
      <c r="W1104" s="121"/>
      <c r="X1104" s="121"/>
      <c r="Y1104" s="121"/>
      <c r="Z1104" s="121"/>
      <c r="AA1104" s="121"/>
      <c r="AB1104" s="121"/>
      <c r="AC1104" s="121"/>
      <c r="AD1104" s="121"/>
      <c r="AE1104" s="121"/>
      <c r="AF1104" s="121"/>
      <c r="AG1104" s="121"/>
      <c r="AH1104" s="121"/>
      <c r="AI1104" s="121"/>
    </row>
    <row r="1105" spans="1:35" s="115" customFormat="1" ht="22.8">
      <c r="A1105" s="187"/>
      <c r="B1105" s="190"/>
      <c r="C1105" s="190"/>
      <c r="D1105" s="69"/>
      <c r="E1105" s="69"/>
      <c r="F1105" s="149"/>
      <c r="G1105" s="146"/>
      <c r="H1105" s="225"/>
      <c r="I1105" s="225"/>
      <c r="J1105" s="225"/>
      <c r="K1105" s="225"/>
      <c r="L1105" s="225"/>
      <c r="M1105" s="225"/>
      <c r="N1105" s="225"/>
      <c r="O1105" s="225"/>
      <c r="P1105" s="225"/>
      <c r="Q1105" s="225"/>
      <c r="R1105" s="225"/>
      <c r="S1105" s="225"/>
      <c r="T1105" s="225"/>
      <c r="U1105" s="105"/>
      <c r="V1105" s="262"/>
      <c r="W1105" s="121"/>
      <c r="X1105" s="121"/>
      <c r="Y1105" s="121"/>
      <c r="Z1105" s="121"/>
      <c r="AA1105" s="121"/>
      <c r="AB1105" s="121"/>
      <c r="AC1105" s="121"/>
      <c r="AD1105" s="121"/>
      <c r="AE1105" s="121"/>
      <c r="AF1105" s="121"/>
      <c r="AG1105" s="121"/>
      <c r="AH1105" s="121"/>
      <c r="AI1105" s="121"/>
    </row>
    <row r="1106" spans="1:35" s="115" customFormat="1" ht="14.4">
      <c r="A1106" s="187"/>
      <c r="B1106" s="190"/>
      <c r="C1106" s="190"/>
      <c r="D1106" s="69"/>
      <c r="E1106" s="69"/>
      <c r="F1106" s="149"/>
      <c r="G1106" s="146"/>
      <c r="H1106" s="98"/>
      <c r="I1106" s="99"/>
      <c r="J1106" s="99"/>
      <c r="K1106" s="99"/>
      <c r="L1106" s="99"/>
      <c r="M1106" s="99"/>
      <c r="N1106" s="99"/>
      <c r="O1106" s="99"/>
      <c r="P1106" s="99"/>
      <c r="Q1106" s="99"/>
      <c r="R1106" s="99"/>
      <c r="S1106" s="99"/>
      <c r="T1106" s="99"/>
      <c r="U1106" s="105"/>
      <c r="V1106" s="262"/>
      <c r="W1106" s="121"/>
      <c r="X1106" s="121"/>
      <c r="Y1106" s="121"/>
      <c r="Z1106" s="121"/>
      <c r="AA1106" s="121"/>
      <c r="AB1106" s="121"/>
      <c r="AC1106" s="121"/>
      <c r="AD1106" s="121"/>
      <c r="AE1106" s="121"/>
      <c r="AF1106" s="121"/>
      <c r="AG1106" s="121"/>
      <c r="AH1106" s="121"/>
      <c r="AI1106" s="121"/>
    </row>
    <row r="1107" spans="1:35" s="115" customFormat="1" ht="14.4">
      <c r="A1107" s="187"/>
      <c r="B1107" s="190"/>
      <c r="C1107" s="190"/>
      <c r="D1107" s="69"/>
      <c r="E1107" s="69"/>
      <c r="F1107" s="149"/>
      <c r="G1107" s="146"/>
      <c r="H1107" s="98"/>
      <c r="I1107" s="99"/>
      <c r="J1107" s="99"/>
      <c r="K1107" s="99"/>
      <c r="L1107" s="99"/>
      <c r="M1107" s="99"/>
      <c r="N1107" s="99"/>
      <c r="O1107" s="99"/>
      <c r="P1107" s="99"/>
      <c r="Q1107" s="99"/>
      <c r="R1107" s="99"/>
      <c r="S1107" s="99"/>
      <c r="T1107" s="99"/>
      <c r="U1107" s="105"/>
      <c r="V1107" s="262"/>
      <c r="W1107" s="121"/>
      <c r="X1107" s="121"/>
      <c r="Y1107" s="121"/>
      <c r="Z1107" s="121"/>
      <c r="AA1107" s="121"/>
      <c r="AB1107" s="121"/>
      <c r="AC1107" s="121"/>
      <c r="AD1107" s="121"/>
      <c r="AE1107" s="121"/>
      <c r="AF1107" s="121"/>
      <c r="AG1107" s="121"/>
      <c r="AH1107" s="121"/>
      <c r="AI1107" s="121"/>
    </row>
    <row r="1108" spans="1:35" s="115" customFormat="1" ht="14.4">
      <c r="A1108" s="187"/>
      <c r="B1108" s="190"/>
      <c r="C1108" s="190"/>
      <c r="D1108" s="69"/>
      <c r="E1108" s="69"/>
      <c r="F1108" s="149"/>
      <c r="G1108" s="146"/>
      <c r="H1108" s="98"/>
      <c r="I1108" s="99"/>
      <c r="J1108" s="99"/>
      <c r="K1108" s="99"/>
      <c r="L1108" s="99"/>
      <c r="M1108" s="99"/>
      <c r="N1108" s="99"/>
      <c r="O1108" s="99"/>
      <c r="P1108" s="99"/>
      <c r="Q1108" s="99"/>
      <c r="R1108" s="99"/>
      <c r="S1108" s="99"/>
      <c r="T1108" s="99"/>
      <c r="U1108" s="105"/>
      <c r="V1108" s="262"/>
      <c r="W1108" s="121"/>
      <c r="X1108" s="121"/>
      <c r="Y1108" s="121"/>
      <c r="Z1108" s="121"/>
      <c r="AA1108" s="121"/>
      <c r="AB1108" s="121"/>
      <c r="AC1108" s="121"/>
      <c r="AD1108" s="121"/>
      <c r="AE1108" s="121"/>
      <c r="AF1108" s="121"/>
      <c r="AG1108" s="121"/>
      <c r="AH1108" s="121"/>
      <c r="AI1108" s="121"/>
    </row>
    <row r="1109" spans="1:35" s="115" customFormat="1" ht="14.4">
      <c r="A1109" s="187"/>
      <c r="B1109" s="190"/>
      <c r="C1109" s="190"/>
      <c r="D1109" s="69"/>
      <c r="E1109" s="69"/>
      <c r="F1109" s="149"/>
      <c r="G1109" s="146"/>
      <c r="H1109" s="98"/>
      <c r="I1109" s="99"/>
      <c r="J1109" s="99"/>
      <c r="K1109" s="99"/>
      <c r="L1109" s="99"/>
      <c r="M1109" s="99"/>
      <c r="N1109" s="99"/>
      <c r="O1109" s="99"/>
      <c r="P1109" s="99"/>
      <c r="Q1109" s="99"/>
      <c r="R1109" s="99"/>
      <c r="S1109" s="99"/>
      <c r="T1109" s="99"/>
      <c r="U1109" s="105"/>
      <c r="V1109" s="262"/>
      <c r="W1109" s="121"/>
      <c r="X1109" s="121"/>
      <c r="Y1109" s="121"/>
      <c r="Z1109" s="121"/>
      <c r="AA1109" s="121"/>
      <c r="AB1109" s="121"/>
      <c r="AC1109" s="121"/>
      <c r="AD1109" s="121"/>
      <c r="AE1109" s="121"/>
      <c r="AF1109" s="121"/>
      <c r="AG1109" s="121"/>
      <c r="AH1109" s="121"/>
      <c r="AI1109" s="121"/>
    </row>
    <row r="1110" spans="1:35" s="115" customFormat="1" ht="14.4">
      <c r="A1110" s="187"/>
      <c r="B1110" s="190"/>
      <c r="C1110" s="190"/>
      <c r="D1110" s="69"/>
      <c r="E1110" s="69"/>
      <c r="F1110" s="149"/>
      <c r="G1110" s="146"/>
      <c r="H1110" s="98"/>
      <c r="I1110" s="99"/>
      <c r="J1110" s="99"/>
      <c r="K1110" s="99"/>
      <c r="L1110" s="99"/>
      <c r="M1110" s="99"/>
      <c r="N1110" s="99"/>
      <c r="O1110" s="99"/>
      <c r="P1110" s="99"/>
      <c r="Q1110" s="99"/>
      <c r="R1110" s="99"/>
      <c r="S1110" s="99"/>
      <c r="T1110" s="99"/>
      <c r="U1110" s="105"/>
      <c r="V1110" s="262"/>
      <c r="W1110" s="121"/>
      <c r="X1110" s="121"/>
      <c r="Y1110" s="121"/>
      <c r="Z1110" s="121"/>
      <c r="AA1110" s="121"/>
      <c r="AB1110" s="121"/>
      <c r="AC1110" s="121"/>
      <c r="AD1110" s="121"/>
      <c r="AE1110" s="121"/>
      <c r="AF1110" s="121"/>
      <c r="AG1110" s="121"/>
      <c r="AH1110" s="121"/>
      <c r="AI1110" s="121"/>
    </row>
    <row r="1111" spans="1:35" s="115" customFormat="1" ht="14.4">
      <c r="A1111" s="187"/>
      <c r="B1111" s="190"/>
      <c r="C1111" s="190"/>
      <c r="D1111" s="69"/>
      <c r="E1111" s="69"/>
      <c r="F1111" s="149"/>
      <c r="G1111" s="146"/>
      <c r="H1111" s="98"/>
      <c r="I1111" s="99"/>
      <c r="J1111" s="99"/>
      <c r="K1111" s="99"/>
      <c r="L1111" s="99"/>
      <c r="M1111" s="99"/>
      <c r="N1111" s="99"/>
      <c r="O1111" s="99"/>
      <c r="P1111" s="99"/>
      <c r="Q1111" s="99"/>
      <c r="R1111" s="99"/>
      <c r="S1111" s="99"/>
      <c r="T1111" s="99"/>
      <c r="U1111" s="105"/>
      <c r="V1111" s="262"/>
      <c r="W1111" s="121"/>
      <c r="X1111" s="121"/>
      <c r="Y1111" s="121"/>
      <c r="Z1111" s="121"/>
      <c r="AA1111" s="121"/>
      <c r="AB1111" s="121"/>
      <c r="AC1111" s="121"/>
      <c r="AD1111" s="121"/>
      <c r="AE1111" s="121"/>
      <c r="AF1111" s="121"/>
      <c r="AG1111" s="121"/>
      <c r="AH1111" s="121"/>
      <c r="AI1111" s="121"/>
    </row>
    <row r="1112" spans="1:35" s="115" customFormat="1" ht="14.4">
      <c r="A1112" s="187"/>
      <c r="B1112" s="190"/>
      <c r="C1112" s="190"/>
      <c r="D1112" s="69"/>
      <c r="E1112" s="69"/>
      <c r="F1112" s="149"/>
      <c r="G1112" s="146"/>
      <c r="H1112" s="107"/>
      <c r="I1112" s="108"/>
      <c r="J1112" s="108"/>
      <c r="K1112" s="108"/>
      <c r="L1112" s="108"/>
      <c r="M1112" s="108"/>
      <c r="N1112" s="109"/>
      <c r="O1112" s="109"/>
      <c r="P1112" s="109"/>
      <c r="Q1112" s="109"/>
      <c r="R1112" s="109"/>
      <c r="S1112" s="109"/>
      <c r="T1112" s="109"/>
      <c r="U1112" s="105"/>
      <c r="V1112" s="262"/>
      <c r="W1112" s="121"/>
      <c r="X1112" s="121"/>
      <c r="Y1112" s="121"/>
      <c r="Z1112" s="121"/>
      <c r="AA1112" s="121"/>
      <c r="AB1112" s="121"/>
      <c r="AC1112" s="121"/>
      <c r="AD1112" s="121"/>
      <c r="AE1112" s="121"/>
      <c r="AF1112" s="121"/>
      <c r="AG1112" s="121"/>
      <c r="AH1112" s="121"/>
      <c r="AI1112" s="121"/>
    </row>
    <row r="1113" spans="1:35" s="115" customFormat="1" ht="14.4">
      <c r="A1113" s="187"/>
      <c r="B1113" s="190"/>
      <c r="C1113" s="190"/>
      <c r="D1113" s="69"/>
      <c r="E1113" s="69"/>
      <c r="F1113" s="149"/>
      <c r="G1113" s="146"/>
      <c r="H1113" s="98"/>
      <c r="I1113" s="106"/>
      <c r="J1113" s="106"/>
      <c r="K1113" s="106"/>
      <c r="L1113" s="106"/>
      <c r="M1113" s="106"/>
      <c r="N1113" s="112"/>
      <c r="O1113" s="112"/>
      <c r="P1113" s="112"/>
      <c r="Q1113" s="113"/>
      <c r="R1113" s="113"/>
      <c r="S1113" s="113"/>
      <c r="T1113" s="113"/>
      <c r="U1113" s="105"/>
      <c r="V1113" s="262"/>
      <c r="W1113" s="121"/>
      <c r="X1113" s="121"/>
      <c r="Y1113" s="121"/>
      <c r="Z1113" s="121"/>
      <c r="AA1113" s="121"/>
      <c r="AB1113" s="121"/>
      <c r="AC1113" s="121"/>
      <c r="AD1113" s="121"/>
      <c r="AE1113" s="121"/>
      <c r="AF1113" s="121"/>
      <c r="AG1113" s="121"/>
      <c r="AH1113" s="121"/>
      <c r="AI1113" s="121"/>
    </row>
    <row r="1114" spans="1:35" s="115" customFormat="1" ht="14.4">
      <c r="A1114" s="187"/>
      <c r="B1114" s="190"/>
      <c r="C1114" s="190"/>
      <c r="D1114" s="69"/>
      <c r="E1114" s="69"/>
      <c r="F1114" s="149"/>
      <c r="G1114" s="146"/>
      <c r="H1114" s="98"/>
      <c r="I1114" s="99"/>
      <c r="J1114" s="99"/>
      <c r="K1114" s="99"/>
      <c r="L1114" s="99"/>
      <c r="M1114" s="99"/>
      <c r="N1114" s="99"/>
      <c r="O1114" s="99"/>
      <c r="P1114" s="99"/>
      <c r="Q1114" s="99"/>
      <c r="R1114" s="99"/>
      <c r="S1114" s="99"/>
      <c r="T1114" s="99"/>
      <c r="U1114" s="105"/>
      <c r="V1114" s="262"/>
      <c r="W1114" s="121"/>
      <c r="X1114" s="121"/>
      <c r="Y1114" s="121"/>
      <c r="Z1114" s="121"/>
      <c r="AA1114" s="121"/>
      <c r="AB1114" s="121"/>
      <c r="AC1114" s="121"/>
      <c r="AD1114" s="121"/>
      <c r="AE1114" s="121"/>
      <c r="AF1114" s="121"/>
      <c r="AG1114" s="121"/>
      <c r="AH1114" s="121"/>
      <c r="AI1114" s="121"/>
    </row>
    <row r="1115" spans="1:35" s="115" customFormat="1" ht="14.4">
      <c r="A1115" s="187"/>
      <c r="B1115" s="190"/>
      <c r="C1115" s="190"/>
      <c r="D1115" s="69"/>
      <c r="E1115" s="69"/>
      <c r="F1115" s="149"/>
      <c r="G1115" s="146"/>
      <c r="H1115" s="98"/>
      <c r="I1115" s="99"/>
      <c r="J1115" s="99"/>
      <c r="K1115" s="99"/>
      <c r="L1115" s="99"/>
      <c r="M1115" s="99"/>
      <c r="N1115" s="99"/>
      <c r="O1115" s="99"/>
      <c r="P1115" s="99"/>
      <c r="Q1115" s="99"/>
      <c r="R1115" s="99"/>
      <c r="S1115" s="99"/>
      <c r="T1115" s="99"/>
      <c r="U1115" s="105"/>
      <c r="V1115" s="262"/>
      <c r="W1115" s="121"/>
      <c r="X1115" s="121"/>
      <c r="Y1115" s="121"/>
      <c r="Z1115" s="121"/>
      <c r="AA1115" s="121"/>
      <c r="AB1115" s="121"/>
      <c r="AC1115" s="121"/>
      <c r="AD1115" s="121"/>
      <c r="AE1115" s="121"/>
      <c r="AF1115" s="121"/>
      <c r="AG1115" s="121"/>
      <c r="AH1115" s="121"/>
      <c r="AI1115" s="121"/>
    </row>
    <row r="1116" spans="1:35" s="115" customFormat="1" ht="14.4">
      <c r="A1116" s="187"/>
      <c r="B1116" s="190"/>
      <c r="C1116" s="190"/>
      <c r="D1116" s="69"/>
      <c r="E1116" s="69"/>
      <c r="F1116" s="149"/>
      <c r="G1116" s="146"/>
      <c r="H1116" s="98"/>
      <c r="I1116" s="99"/>
      <c r="J1116" s="99"/>
      <c r="K1116" s="99"/>
      <c r="L1116" s="99"/>
      <c r="M1116" s="99"/>
      <c r="N1116" s="99"/>
      <c r="O1116" s="99"/>
      <c r="P1116" s="99"/>
      <c r="Q1116" s="99"/>
      <c r="R1116" s="99"/>
      <c r="S1116" s="99"/>
      <c r="T1116" s="99"/>
      <c r="U1116" s="105"/>
      <c r="V1116" s="262"/>
      <c r="W1116" s="121"/>
      <c r="X1116" s="121"/>
      <c r="Y1116" s="121"/>
      <c r="Z1116" s="121"/>
      <c r="AA1116" s="121"/>
      <c r="AB1116" s="121"/>
      <c r="AC1116" s="121"/>
      <c r="AD1116" s="121"/>
      <c r="AE1116" s="121"/>
      <c r="AF1116" s="121"/>
      <c r="AG1116" s="121"/>
      <c r="AH1116" s="121"/>
      <c r="AI1116" s="121"/>
    </row>
    <row r="1117" spans="1:35" s="115" customFormat="1" ht="14.4">
      <c r="A1117" s="187"/>
      <c r="B1117" s="190"/>
      <c r="C1117" s="190"/>
      <c r="D1117" s="69"/>
      <c r="E1117" s="69"/>
      <c r="F1117" s="149"/>
      <c r="G1117" s="146"/>
      <c r="H1117" s="98"/>
      <c r="I1117" s="99"/>
      <c r="J1117" s="99"/>
      <c r="K1117" s="99"/>
      <c r="L1117" s="99"/>
      <c r="M1117" s="99"/>
      <c r="N1117" s="99"/>
      <c r="O1117" s="99"/>
      <c r="P1117" s="99"/>
      <c r="Q1117" s="99"/>
      <c r="R1117" s="99"/>
      <c r="S1117" s="99"/>
      <c r="T1117" s="99"/>
      <c r="U1117" s="105"/>
      <c r="V1117" s="262"/>
      <c r="W1117" s="121"/>
      <c r="X1117" s="121"/>
      <c r="Y1117" s="121"/>
      <c r="Z1117" s="121"/>
      <c r="AA1117" s="121"/>
      <c r="AB1117" s="121"/>
      <c r="AC1117" s="121"/>
      <c r="AD1117" s="121"/>
      <c r="AE1117" s="121"/>
      <c r="AF1117" s="121"/>
      <c r="AG1117" s="121"/>
      <c r="AH1117" s="121"/>
      <c r="AI1117" s="121"/>
    </row>
    <row r="1118" spans="1:35" s="115" customFormat="1" ht="14.4">
      <c r="A1118" s="187"/>
      <c r="B1118" s="190"/>
      <c r="C1118" s="190"/>
      <c r="D1118" s="69"/>
      <c r="E1118" s="69"/>
      <c r="F1118" s="149"/>
      <c r="G1118" s="146"/>
      <c r="H1118" s="98"/>
      <c r="I1118" s="99"/>
      <c r="J1118" s="99"/>
      <c r="K1118" s="99"/>
      <c r="L1118" s="99"/>
      <c r="M1118" s="99"/>
      <c r="N1118" s="99"/>
      <c r="O1118" s="99"/>
      <c r="P1118" s="99"/>
      <c r="Q1118" s="99"/>
      <c r="R1118" s="99"/>
      <c r="S1118" s="99"/>
      <c r="T1118" s="99"/>
      <c r="U1118" s="105"/>
      <c r="V1118" s="262"/>
      <c r="W1118" s="121"/>
      <c r="X1118" s="121"/>
      <c r="Y1118" s="121"/>
      <c r="Z1118" s="121"/>
      <c r="AA1118" s="121"/>
      <c r="AB1118" s="121"/>
      <c r="AC1118" s="121"/>
      <c r="AD1118" s="121"/>
      <c r="AE1118" s="121"/>
      <c r="AF1118" s="121"/>
      <c r="AG1118" s="121"/>
      <c r="AH1118" s="121"/>
      <c r="AI1118" s="121"/>
    </row>
    <row r="1119" spans="1:35" s="115" customFormat="1" ht="14.4">
      <c r="A1119" s="187"/>
      <c r="B1119" s="190"/>
      <c r="C1119" s="190"/>
      <c r="D1119" s="69"/>
      <c r="E1119" s="69"/>
      <c r="F1119" s="149"/>
      <c r="G1119" s="146"/>
      <c r="H1119" s="98"/>
      <c r="I1119" s="99"/>
      <c r="J1119" s="99"/>
      <c r="K1119" s="99"/>
      <c r="L1119" s="99"/>
      <c r="M1119" s="99"/>
      <c r="N1119" s="99"/>
      <c r="O1119" s="99"/>
      <c r="P1119" s="99"/>
      <c r="Q1119" s="99"/>
      <c r="R1119" s="99"/>
      <c r="S1119" s="99"/>
      <c r="T1119" s="99"/>
      <c r="U1119" s="105"/>
      <c r="V1119" s="262"/>
      <c r="W1119" s="121"/>
      <c r="X1119" s="121"/>
      <c r="Y1119" s="121"/>
      <c r="Z1119" s="121"/>
      <c r="AA1119" s="121"/>
      <c r="AB1119" s="121"/>
      <c r="AC1119" s="121"/>
      <c r="AD1119" s="121"/>
      <c r="AE1119" s="121"/>
      <c r="AF1119" s="121"/>
      <c r="AG1119" s="121"/>
      <c r="AH1119" s="121"/>
      <c r="AI1119" s="121"/>
    </row>
    <row r="1120" spans="1:35" s="115" customFormat="1" ht="14.4">
      <c r="A1120" s="187"/>
      <c r="B1120" s="190"/>
      <c r="C1120" s="190"/>
      <c r="D1120" s="69"/>
      <c r="E1120" s="69"/>
      <c r="F1120" s="149"/>
      <c r="G1120" s="146"/>
      <c r="H1120" s="98"/>
      <c r="I1120" s="99"/>
      <c r="J1120" s="99"/>
      <c r="K1120" s="99"/>
      <c r="L1120" s="99"/>
      <c r="M1120" s="99"/>
      <c r="N1120" s="99"/>
      <c r="O1120" s="99"/>
      <c r="P1120" s="99"/>
      <c r="Q1120" s="99"/>
      <c r="R1120" s="99"/>
      <c r="S1120" s="99"/>
      <c r="T1120" s="99"/>
      <c r="U1120" s="105"/>
      <c r="V1120" s="262"/>
      <c r="W1120" s="121"/>
      <c r="X1120" s="121"/>
      <c r="Y1120" s="121"/>
      <c r="Z1120" s="121"/>
      <c r="AA1120" s="121"/>
      <c r="AB1120" s="121"/>
      <c r="AC1120" s="121"/>
      <c r="AD1120" s="121"/>
      <c r="AE1120" s="121"/>
      <c r="AF1120" s="121"/>
      <c r="AG1120" s="121"/>
      <c r="AH1120" s="121"/>
      <c r="AI1120" s="121"/>
    </row>
    <row r="1121" spans="1:35" s="115" customFormat="1" ht="14.4">
      <c r="A1121" s="187"/>
      <c r="B1121" s="190"/>
      <c r="C1121" s="190"/>
      <c r="D1121" s="69"/>
      <c r="E1121" s="69"/>
      <c r="F1121" s="149"/>
      <c r="G1121" s="146"/>
      <c r="H1121" s="98"/>
      <c r="I1121" s="99"/>
      <c r="J1121" s="99"/>
      <c r="K1121" s="99"/>
      <c r="L1121" s="99"/>
      <c r="M1121" s="99"/>
      <c r="N1121" s="99"/>
      <c r="O1121" s="99"/>
      <c r="P1121" s="99"/>
      <c r="Q1121" s="99"/>
      <c r="R1121" s="99"/>
      <c r="S1121" s="99"/>
      <c r="T1121" s="99"/>
      <c r="U1121" s="105"/>
      <c r="V1121" s="262"/>
      <c r="W1121" s="121"/>
      <c r="X1121" s="121"/>
      <c r="Y1121" s="121"/>
      <c r="Z1121" s="121"/>
      <c r="AA1121" s="121"/>
      <c r="AB1121" s="121"/>
      <c r="AC1121" s="121"/>
      <c r="AD1121" s="121"/>
      <c r="AE1121" s="121"/>
      <c r="AF1121" s="121"/>
      <c r="AG1121" s="121"/>
      <c r="AH1121" s="121"/>
      <c r="AI1121" s="121"/>
    </row>
    <row r="1122" spans="1:35" s="115" customFormat="1" ht="14.4">
      <c r="A1122" s="187"/>
      <c r="B1122" s="190"/>
      <c r="C1122" s="190"/>
      <c r="D1122" s="69"/>
      <c r="E1122" s="69"/>
      <c r="F1122" s="149"/>
      <c r="G1122" s="146"/>
      <c r="H1122" s="98"/>
      <c r="I1122" s="99"/>
      <c r="J1122" s="99"/>
      <c r="K1122" s="99"/>
      <c r="L1122" s="99"/>
      <c r="M1122" s="99"/>
      <c r="N1122" s="99"/>
      <c r="O1122" s="99"/>
      <c r="P1122" s="99"/>
      <c r="Q1122" s="99"/>
      <c r="R1122" s="99"/>
      <c r="S1122" s="99"/>
      <c r="T1122" s="99"/>
      <c r="U1122" s="105"/>
      <c r="V1122" s="262"/>
      <c r="W1122" s="121"/>
      <c r="X1122" s="121"/>
      <c r="Y1122" s="121"/>
      <c r="Z1122" s="121"/>
      <c r="AA1122" s="121"/>
      <c r="AB1122" s="121"/>
      <c r="AC1122" s="121"/>
      <c r="AD1122" s="121"/>
      <c r="AE1122" s="121"/>
      <c r="AF1122" s="121"/>
      <c r="AG1122" s="121"/>
      <c r="AH1122" s="121"/>
      <c r="AI1122" s="121"/>
    </row>
    <row r="1123" spans="1:35" s="115" customFormat="1" ht="14.4">
      <c r="A1123" s="187"/>
      <c r="B1123" s="190"/>
      <c r="C1123" s="190"/>
      <c r="D1123" s="69"/>
      <c r="E1123" s="69"/>
      <c r="F1123" s="149"/>
      <c r="G1123" s="146"/>
      <c r="H1123" s="107"/>
      <c r="I1123" s="109"/>
      <c r="J1123" s="109"/>
      <c r="K1123" s="109"/>
      <c r="L1123" s="109"/>
      <c r="M1123" s="109"/>
      <c r="N1123" s="109"/>
      <c r="O1123" s="109"/>
      <c r="P1123" s="109"/>
      <c r="Q1123" s="109"/>
      <c r="R1123" s="109"/>
      <c r="S1123" s="109"/>
      <c r="T1123" s="109"/>
      <c r="U1123" s="105"/>
      <c r="V1123" s="262"/>
      <c r="W1123" s="121"/>
      <c r="X1123" s="121"/>
      <c r="Y1123" s="121"/>
      <c r="Z1123" s="121"/>
      <c r="AA1123" s="121"/>
      <c r="AB1123" s="121"/>
      <c r="AC1123" s="121"/>
      <c r="AD1123" s="121"/>
      <c r="AE1123" s="121"/>
      <c r="AF1123" s="121"/>
      <c r="AG1123" s="121"/>
      <c r="AH1123" s="121"/>
      <c r="AI1123" s="121"/>
    </row>
    <row r="1124" spans="1:35" s="115" customFormat="1" ht="14.4">
      <c r="A1124" s="187"/>
      <c r="B1124" s="190"/>
      <c r="C1124" s="190"/>
      <c r="D1124" s="69"/>
      <c r="E1124" s="69"/>
      <c r="F1124" s="149"/>
      <c r="G1124" s="146"/>
      <c r="H1124" s="98"/>
      <c r="I1124" s="106"/>
      <c r="J1124" s="106"/>
      <c r="K1124" s="106"/>
      <c r="L1124" s="106"/>
      <c r="M1124" s="106"/>
      <c r="N1124" s="112"/>
      <c r="O1124" s="112"/>
      <c r="P1124" s="112"/>
      <c r="Q1124" s="113"/>
      <c r="R1124" s="113"/>
      <c r="S1124" s="113"/>
      <c r="T1124" s="113"/>
      <c r="U1124" s="105"/>
      <c r="V1124" s="262"/>
      <c r="W1124" s="121"/>
      <c r="X1124" s="121"/>
      <c r="Y1124" s="121"/>
      <c r="Z1124" s="121"/>
      <c r="AA1124" s="121"/>
      <c r="AB1124" s="121"/>
      <c r="AC1124" s="121"/>
      <c r="AD1124" s="121"/>
      <c r="AE1124" s="121"/>
      <c r="AF1124" s="121"/>
      <c r="AG1124" s="121"/>
      <c r="AH1124" s="121"/>
      <c r="AI1124" s="121"/>
    </row>
    <row r="1125" spans="1:35" s="115" customFormat="1" ht="14.4">
      <c r="A1125" s="187"/>
      <c r="B1125" s="190"/>
      <c r="C1125" s="190"/>
      <c r="D1125" s="69"/>
      <c r="E1125" s="69"/>
      <c r="F1125" s="149"/>
      <c r="G1125" s="146"/>
      <c r="H1125" s="98"/>
      <c r="I1125" s="99"/>
      <c r="J1125" s="99"/>
      <c r="K1125" s="99"/>
      <c r="L1125" s="99"/>
      <c r="M1125" s="99"/>
      <c r="N1125" s="99"/>
      <c r="O1125" s="99"/>
      <c r="P1125" s="99"/>
      <c r="Q1125" s="99"/>
      <c r="R1125" s="99"/>
      <c r="S1125" s="99"/>
      <c r="T1125" s="99"/>
      <c r="U1125" s="105"/>
      <c r="V1125" s="262"/>
      <c r="W1125" s="121"/>
      <c r="X1125" s="121"/>
      <c r="Y1125" s="121"/>
      <c r="Z1125" s="121"/>
      <c r="AA1125" s="121"/>
      <c r="AB1125" s="121"/>
      <c r="AC1125" s="121"/>
      <c r="AD1125" s="121"/>
      <c r="AE1125" s="121"/>
      <c r="AF1125" s="121"/>
      <c r="AG1125" s="121"/>
      <c r="AH1125" s="121"/>
      <c r="AI1125" s="121"/>
    </row>
    <row r="1126" spans="1:35" s="115" customFormat="1" ht="14.4">
      <c r="A1126" s="187"/>
      <c r="B1126" s="190"/>
      <c r="C1126" s="190"/>
      <c r="D1126" s="69"/>
      <c r="E1126" s="69"/>
      <c r="F1126" s="149"/>
      <c r="G1126" s="146"/>
      <c r="H1126" s="107"/>
      <c r="I1126" s="108"/>
      <c r="J1126" s="108"/>
      <c r="K1126" s="108"/>
      <c r="L1126" s="108"/>
      <c r="M1126" s="108"/>
      <c r="N1126" s="109"/>
      <c r="O1126" s="109"/>
      <c r="P1126" s="109"/>
      <c r="Q1126" s="109"/>
      <c r="R1126" s="109"/>
      <c r="S1126" s="109"/>
      <c r="T1126" s="109"/>
      <c r="U1126" s="105"/>
      <c r="V1126" s="262"/>
      <c r="W1126" s="121"/>
      <c r="X1126" s="121"/>
      <c r="Y1126" s="121"/>
      <c r="Z1126" s="121"/>
      <c r="AA1126" s="121"/>
      <c r="AB1126" s="121"/>
      <c r="AC1126" s="121"/>
      <c r="AD1126" s="121"/>
      <c r="AE1126" s="121"/>
      <c r="AF1126" s="121"/>
      <c r="AG1126" s="121"/>
      <c r="AH1126" s="121"/>
      <c r="AI1126" s="121"/>
    </row>
    <row r="1127" spans="1:35" s="115" customFormat="1" ht="14.4">
      <c r="A1127" s="187"/>
      <c r="B1127" s="190"/>
      <c r="C1127" s="190"/>
      <c r="D1127" s="69"/>
      <c r="E1127" s="69"/>
      <c r="F1127" s="149"/>
      <c r="G1127" s="146"/>
      <c r="H1127" s="98"/>
      <c r="I1127" s="106"/>
      <c r="J1127" s="106"/>
      <c r="K1127" s="106"/>
      <c r="L1127" s="106"/>
      <c r="M1127" s="106"/>
      <c r="N1127" s="112"/>
      <c r="O1127" s="112"/>
      <c r="P1127" s="112"/>
      <c r="Q1127" s="113"/>
      <c r="R1127" s="113"/>
      <c r="S1127" s="113"/>
      <c r="T1127" s="113"/>
      <c r="U1127" s="105"/>
      <c r="V1127" s="262"/>
      <c r="W1127" s="121"/>
      <c r="X1127" s="121"/>
      <c r="Y1127" s="121"/>
      <c r="Z1127" s="121"/>
      <c r="AA1127" s="121"/>
      <c r="AB1127" s="121"/>
      <c r="AC1127" s="121"/>
      <c r="AD1127" s="121"/>
      <c r="AE1127" s="121"/>
      <c r="AF1127" s="121"/>
      <c r="AG1127" s="121"/>
      <c r="AH1127" s="121"/>
      <c r="AI1127" s="121"/>
    </row>
    <row r="1128" spans="1:35" s="115" customFormat="1" ht="14.4">
      <c r="A1128" s="187"/>
      <c r="B1128" s="190"/>
      <c r="C1128" s="190"/>
      <c r="D1128" s="69"/>
      <c r="E1128" s="69"/>
      <c r="F1128" s="149"/>
      <c r="G1128" s="146"/>
      <c r="H1128" s="114"/>
      <c r="I1128" s="108"/>
      <c r="J1128" s="108"/>
      <c r="K1128" s="108"/>
      <c r="L1128" s="108"/>
      <c r="M1128" s="108"/>
      <c r="N1128" s="108"/>
      <c r="O1128" s="108"/>
      <c r="P1128" s="108"/>
      <c r="Q1128" s="108"/>
      <c r="R1128" s="108"/>
      <c r="S1128" s="108"/>
      <c r="T1128" s="108"/>
      <c r="U1128" s="105"/>
      <c r="V1128" s="262"/>
      <c r="W1128" s="121"/>
      <c r="X1128" s="121"/>
      <c r="Y1128" s="121"/>
      <c r="Z1128" s="121"/>
      <c r="AA1128" s="121"/>
      <c r="AB1128" s="121"/>
      <c r="AC1128" s="121"/>
      <c r="AD1128" s="121"/>
      <c r="AE1128" s="121"/>
      <c r="AF1128" s="121"/>
      <c r="AG1128" s="121"/>
      <c r="AH1128" s="121"/>
      <c r="AI1128" s="121"/>
    </row>
    <row r="1129" spans="1:35" s="115" customFormat="1" ht="15" thickBot="1">
      <c r="A1129" s="187"/>
      <c r="B1129" s="190"/>
      <c r="C1129" s="190"/>
      <c r="D1129" s="69"/>
      <c r="E1129" s="69"/>
      <c r="F1129" s="149"/>
      <c r="G1129" s="146"/>
      <c r="H1129" s="98"/>
      <c r="I1129" s="106"/>
      <c r="J1129" s="106"/>
      <c r="K1129" s="106"/>
      <c r="L1129" s="106"/>
      <c r="M1129" s="106"/>
      <c r="N1129" s="112"/>
      <c r="O1129" s="112"/>
      <c r="P1129" s="112"/>
      <c r="Q1129" s="113"/>
      <c r="R1129" s="113"/>
      <c r="S1129" s="113"/>
      <c r="T1129" s="113"/>
      <c r="U1129" s="105"/>
      <c r="V1129" s="262"/>
      <c r="W1129" s="121"/>
      <c r="X1129" s="121"/>
      <c r="Y1129" s="121"/>
      <c r="Z1129" s="121"/>
      <c r="AA1129" s="121"/>
      <c r="AB1129" s="121"/>
      <c r="AC1129" s="121"/>
      <c r="AD1129" s="121"/>
      <c r="AE1129" s="121"/>
      <c r="AF1129" s="121"/>
      <c r="AG1129" s="121"/>
      <c r="AH1129" s="121"/>
      <c r="AI1129" s="121"/>
    </row>
    <row r="1130" spans="1:35" s="115" customFormat="1" ht="24.75" customHeight="1" thickBot="1">
      <c r="A1130" s="187"/>
      <c r="B1130" s="190"/>
      <c r="C1130" s="190"/>
      <c r="D1130" s="69"/>
      <c r="E1130" s="69"/>
      <c r="F1130" s="149"/>
      <c r="G1130" s="146"/>
      <c r="H1130" s="686"/>
      <c r="I1130" s="687"/>
      <c r="J1130" s="687"/>
      <c r="K1130" s="687"/>
      <c r="L1130" s="687"/>
      <c r="M1130" s="687"/>
      <c r="N1130" s="687"/>
      <c r="O1130" s="687"/>
      <c r="P1130" s="687"/>
      <c r="Q1130" s="687"/>
      <c r="R1130" s="687"/>
      <c r="S1130" s="687"/>
      <c r="T1130" s="688"/>
      <c r="U1130" s="105"/>
      <c r="V1130" s="262"/>
      <c r="W1130" s="121"/>
      <c r="X1130" s="121"/>
      <c r="Y1130" s="121"/>
      <c r="Z1130" s="121"/>
      <c r="AA1130" s="121"/>
      <c r="AB1130" s="121"/>
      <c r="AC1130" s="121"/>
      <c r="AD1130" s="121"/>
      <c r="AE1130" s="121"/>
      <c r="AF1130" s="121"/>
      <c r="AG1130" s="121"/>
      <c r="AH1130" s="121"/>
      <c r="AI1130" s="121"/>
    </row>
    <row r="1131" spans="1:35" s="115" customFormat="1" ht="22.8">
      <c r="A1131" s="187"/>
      <c r="B1131" s="190"/>
      <c r="C1131" s="190"/>
      <c r="D1131" s="69"/>
      <c r="E1131" s="69"/>
      <c r="F1131" s="149"/>
      <c r="G1131" s="146"/>
      <c r="H1131" s="225"/>
      <c r="I1131" s="225"/>
      <c r="J1131" s="225"/>
      <c r="K1131" s="225"/>
      <c r="L1131" s="225"/>
      <c r="M1131" s="225"/>
      <c r="N1131" s="225"/>
      <c r="O1131" s="225"/>
      <c r="P1131" s="225"/>
      <c r="Q1131" s="225"/>
      <c r="R1131" s="225"/>
      <c r="S1131" s="225"/>
      <c r="T1131" s="225"/>
      <c r="U1131" s="105"/>
      <c r="V1131" s="262"/>
      <c r="W1131" s="121"/>
      <c r="X1131" s="121"/>
      <c r="Y1131" s="121"/>
      <c r="Z1131" s="121"/>
      <c r="AA1131" s="121"/>
      <c r="AB1131" s="121"/>
      <c r="AC1131" s="121"/>
      <c r="AD1131" s="121"/>
      <c r="AE1131" s="121"/>
      <c r="AF1131" s="121"/>
      <c r="AG1131" s="121"/>
      <c r="AH1131" s="121"/>
      <c r="AI1131" s="121"/>
    </row>
    <row r="1132" spans="1:35" s="115" customFormat="1" ht="14.4">
      <c r="A1132" s="187"/>
      <c r="B1132" s="190"/>
      <c r="C1132" s="190"/>
      <c r="D1132" s="69"/>
      <c r="E1132" s="69"/>
      <c r="F1132" s="149"/>
      <c r="G1132" s="146"/>
      <c r="H1132" s="98"/>
      <c r="I1132" s="99"/>
      <c r="J1132" s="99"/>
      <c r="K1132" s="99"/>
      <c r="L1132" s="99"/>
      <c r="M1132" s="99"/>
      <c r="N1132" s="99"/>
      <c r="O1132" s="99"/>
      <c r="P1132" s="99"/>
      <c r="Q1132" s="99"/>
      <c r="R1132" s="99"/>
      <c r="S1132" s="99"/>
      <c r="T1132" s="99"/>
      <c r="U1132" s="105"/>
      <c r="V1132" s="262"/>
      <c r="W1132" s="121"/>
      <c r="X1132" s="121"/>
      <c r="Y1132" s="121"/>
      <c r="Z1132" s="121"/>
      <c r="AA1132" s="121"/>
      <c r="AB1132" s="121"/>
      <c r="AC1132" s="121"/>
      <c r="AD1132" s="121"/>
      <c r="AE1132" s="121"/>
      <c r="AF1132" s="121"/>
      <c r="AG1132" s="121"/>
      <c r="AH1132" s="121"/>
      <c r="AI1132" s="121"/>
    </row>
    <row r="1133" spans="1:35" s="115" customFormat="1" ht="14.4">
      <c r="A1133" s="187"/>
      <c r="B1133" s="190"/>
      <c r="C1133" s="190"/>
      <c r="D1133" s="69"/>
      <c r="E1133" s="69"/>
      <c r="F1133" s="149"/>
      <c r="G1133" s="146"/>
      <c r="H1133" s="98"/>
      <c r="I1133" s="99"/>
      <c r="J1133" s="99"/>
      <c r="K1133" s="99"/>
      <c r="L1133" s="99"/>
      <c r="M1133" s="99"/>
      <c r="N1133" s="99"/>
      <c r="O1133" s="99"/>
      <c r="P1133" s="99"/>
      <c r="Q1133" s="99"/>
      <c r="R1133" s="99"/>
      <c r="S1133" s="99"/>
      <c r="T1133" s="99"/>
      <c r="U1133" s="105"/>
      <c r="V1133" s="262"/>
      <c r="W1133" s="121"/>
      <c r="X1133" s="121"/>
      <c r="Y1133" s="121"/>
      <c r="Z1133" s="121"/>
      <c r="AA1133" s="121"/>
      <c r="AB1133" s="121"/>
      <c r="AC1133" s="121"/>
      <c r="AD1133" s="121"/>
      <c r="AE1133" s="121"/>
      <c r="AF1133" s="121"/>
      <c r="AG1133" s="121"/>
      <c r="AH1133" s="121"/>
      <c r="AI1133" s="121"/>
    </row>
    <row r="1134" spans="1:35" s="115" customFormat="1" ht="14.4">
      <c r="A1134" s="187"/>
      <c r="B1134" s="190"/>
      <c r="C1134" s="190"/>
      <c r="D1134" s="69"/>
      <c r="E1134" s="69"/>
      <c r="F1134" s="149"/>
      <c r="G1134" s="146"/>
      <c r="H1134" s="98"/>
      <c r="I1134" s="99"/>
      <c r="J1134" s="99"/>
      <c r="K1134" s="99"/>
      <c r="L1134" s="99"/>
      <c r="M1134" s="99"/>
      <c r="N1134" s="99"/>
      <c r="O1134" s="99"/>
      <c r="P1134" s="99"/>
      <c r="Q1134" s="99"/>
      <c r="R1134" s="99"/>
      <c r="S1134" s="99"/>
      <c r="T1134" s="99"/>
      <c r="U1134" s="105"/>
      <c r="V1134" s="262"/>
      <c r="W1134" s="121"/>
      <c r="X1134" s="121"/>
      <c r="Y1134" s="121"/>
      <c r="Z1134" s="121"/>
      <c r="AA1134" s="121"/>
      <c r="AB1134" s="121"/>
      <c r="AC1134" s="121"/>
      <c r="AD1134" s="121"/>
      <c r="AE1134" s="121"/>
      <c r="AF1134" s="121"/>
      <c r="AG1134" s="121"/>
      <c r="AH1134" s="121"/>
      <c r="AI1134" s="121"/>
    </row>
    <row r="1135" spans="1:35" s="115" customFormat="1" ht="14.4">
      <c r="A1135" s="187"/>
      <c r="B1135" s="190"/>
      <c r="C1135" s="190"/>
      <c r="D1135" s="69"/>
      <c r="E1135" s="69"/>
      <c r="F1135" s="149"/>
      <c r="G1135" s="146"/>
      <c r="H1135" s="98"/>
      <c r="I1135" s="99"/>
      <c r="J1135" s="99"/>
      <c r="K1135" s="99"/>
      <c r="L1135" s="99"/>
      <c r="M1135" s="99"/>
      <c r="N1135" s="99"/>
      <c r="O1135" s="99"/>
      <c r="P1135" s="99"/>
      <c r="Q1135" s="99"/>
      <c r="R1135" s="99"/>
      <c r="S1135" s="99"/>
      <c r="T1135" s="99"/>
      <c r="U1135" s="105"/>
      <c r="V1135" s="262"/>
      <c r="W1135" s="121"/>
      <c r="X1135" s="121"/>
      <c r="Y1135" s="121"/>
      <c r="Z1135" s="121"/>
      <c r="AA1135" s="121"/>
      <c r="AB1135" s="121"/>
      <c r="AC1135" s="121"/>
      <c r="AD1135" s="121"/>
      <c r="AE1135" s="121"/>
      <c r="AF1135" s="121"/>
      <c r="AG1135" s="121"/>
      <c r="AH1135" s="121"/>
      <c r="AI1135" s="121"/>
    </row>
    <row r="1136" spans="1:35" s="115" customFormat="1" ht="14.4">
      <c r="A1136" s="187"/>
      <c r="B1136" s="190"/>
      <c r="C1136" s="190"/>
      <c r="D1136" s="69"/>
      <c r="E1136" s="69"/>
      <c r="F1136" s="149"/>
      <c r="G1136" s="146"/>
      <c r="H1136" s="98"/>
      <c r="I1136" s="99"/>
      <c r="J1136" s="99"/>
      <c r="K1136" s="99"/>
      <c r="L1136" s="99"/>
      <c r="M1136" s="99"/>
      <c r="N1136" s="99"/>
      <c r="O1136" s="99"/>
      <c r="P1136" s="99"/>
      <c r="Q1136" s="99"/>
      <c r="R1136" s="99"/>
      <c r="S1136" s="99"/>
      <c r="T1136" s="99"/>
      <c r="U1136" s="105"/>
      <c r="V1136" s="262"/>
      <c r="W1136" s="121"/>
      <c r="X1136" s="121"/>
      <c r="Y1136" s="121"/>
      <c r="Z1136" s="121"/>
      <c r="AA1136" s="121"/>
      <c r="AB1136" s="121"/>
      <c r="AC1136" s="121"/>
      <c r="AD1136" s="121"/>
      <c r="AE1136" s="121"/>
      <c r="AF1136" s="121"/>
      <c r="AG1136" s="121"/>
      <c r="AH1136" s="121"/>
      <c r="AI1136" s="121"/>
    </row>
    <row r="1137" spans="1:35" s="115" customFormat="1" ht="14.4">
      <c r="A1137" s="187"/>
      <c r="B1137" s="190"/>
      <c r="C1137" s="190"/>
      <c r="D1137" s="69"/>
      <c r="E1137" s="69"/>
      <c r="F1137" s="149"/>
      <c r="G1137" s="146"/>
      <c r="H1137" s="98"/>
      <c r="I1137" s="99"/>
      <c r="J1137" s="99"/>
      <c r="K1137" s="99"/>
      <c r="L1137" s="99"/>
      <c r="M1137" s="99"/>
      <c r="N1137" s="99"/>
      <c r="O1137" s="99"/>
      <c r="P1137" s="99"/>
      <c r="Q1137" s="99"/>
      <c r="R1137" s="99"/>
      <c r="S1137" s="99"/>
      <c r="T1137" s="99"/>
      <c r="U1137" s="105"/>
      <c r="V1137" s="262"/>
      <c r="W1137" s="121"/>
      <c r="X1137" s="121"/>
      <c r="Y1137" s="121"/>
      <c r="Z1137" s="121"/>
      <c r="AA1137" s="121"/>
      <c r="AB1137" s="121"/>
      <c r="AC1137" s="121"/>
      <c r="AD1137" s="121"/>
      <c r="AE1137" s="121"/>
      <c r="AF1137" s="121"/>
      <c r="AG1137" s="121"/>
      <c r="AH1137" s="121"/>
      <c r="AI1137" s="121"/>
    </row>
    <row r="1138" spans="1:35" s="115" customFormat="1" ht="14.4">
      <c r="A1138" s="187"/>
      <c r="B1138" s="190"/>
      <c r="C1138" s="190"/>
      <c r="D1138" s="69"/>
      <c r="E1138" s="69"/>
      <c r="F1138" s="149"/>
      <c r="G1138" s="146"/>
      <c r="H1138" s="98"/>
      <c r="I1138" s="99"/>
      <c r="J1138" s="99"/>
      <c r="K1138" s="99"/>
      <c r="L1138" s="99"/>
      <c r="M1138" s="99"/>
      <c r="N1138" s="99"/>
      <c r="O1138" s="99"/>
      <c r="P1138" s="99"/>
      <c r="Q1138" s="99"/>
      <c r="R1138" s="99"/>
      <c r="S1138" s="99"/>
      <c r="T1138" s="99"/>
      <c r="U1138" s="105"/>
      <c r="V1138" s="262"/>
      <c r="W1138" s="121"/>
      <c r="X1138" s="121"/>
      <c r="Y1138" s="121"/>
      <c r="Z1138" s="121"/>
      <c r="AA1138" s="121"/>
      <c r="AB1138" s="121"/>
      <c r="AC1138" s="121"/>
      <c r="AD1138" s="121"/>
      <c r="AE1138" s="121"/>
      <c r="AF1138" s="121"/>
      <c r="AG1138" s="121"/>
      <c r="AH1138" s="121"/>
      <c r="AI1138" s="121"/>
    </row>
    <row r="1139" spans="1:35" s="115" customFormat="1" ht="14.4">
      <c r="A1139" s="187"/>
      <c r="B1139" s="190"/>
      <c r="C1139" s="190"/>
      <c r="D1139" s="69"/>
      <c r="E1139" s="69"/>
      <c r="F1139" s="149"/>
      <c r="G1139" s="146"/>
      <c r="H1139" s="98"/>
      <c r="I1139" s="99"/>
      <c r="J1139" s="99"/>
      <c r="K1139" s="99"/>
      <c r="L1139" s="99"/>
      <c r="M1139" s="99"/>
      <c r="N1139" s="99"/>
      <c r="O1139" s="99"/>
      <c r="P1139" s="99"/>
      <c r="Q1139" s="99"/>
      <c r="R1139" s="99"/>
      <c r="S1139" s="99"/>
      <c r="T1139" s="99"/>
      <c r="U1139" s="105"/>
      <c r="V1139" s="262"/>
      <c r="W1139" s="121"/>
      <c r="X1139" s="121"/>
      <c r="Y1139" s="121"/>
      <c r="Z1139" s="121"/>
      <c r="AA1139" s="121"/>
      <c r="AB1139" s="121"/>
      <c r="AC1139" s="121"/>
      <c r="AD1139" s="121"/>
      <c r="AE1139" s="121"/>
      <c r="AF1139" s="121"/>
      <c r="AG1139" s="121"/>
      <c r="AH1139" s="121"/>
      <c r="AI1139" s="121"/>
    </row>
    <row r="1140" spans="1:35" s="115" customFormat="1" ht="14.4">
      <c r="A1140" s="187"/>
      <c r="B1140" s="190"/>
      <c r="C1140" s="190"/>
      <c r="D1140" s="69"/>
      <c r="E1140" s="69"/>
      <c r="F1140" s="149"/>
      <c r="G1140" s="146"/>
      <c r="H1140" s="98"/>
      <c r="I1140" s="99"/>
      <c r="J1140" s="99"/>
      <c r="K1140" s="99"/>
      <c r="L1140" s="99"/>
      <c r="M1140" s="99"/>
      <c r="N1140" s="99"/>
      <c r="O1140" s="99"/>
      <c r="P1140" s="99"/>
      <c r="Q1140" s="99"/>
      <c r="R1140" s="99"/>
      <c r="S1140" s="99"/>
      <c r="T1140" s="99"/>
      <c r="U1140" s="105"/>
      <c r="V1140" s="262"/>
      <c r="W1140" s="121"/>
      <c r="X1140" s="121"/>
      <c r="Y1140" s="121"/>
      <c r="Z1140" s="121"/>
      <c r="AA1140" s="121"/>
      <c r="AB1140" s="121"/>
      <c r="AC1140" s="121"/>
      <c r="AD1140" s="121"/>
      <c r="AE1140" s="121"/>
      <c r="AF1140" s="121"/>
      <c r="AG1140" s="121"/>
      <c r="AH1140" s="121"/>
      <c r="AI1140" s="121"/>
    </row>
    <row r="1141" spans="1:35" s="115" customFormat="1" ht="14.4">
      <c r="A1141" s="187"/>
      <c r="B1141" s="190"/>
      <c r="C1141" s="190"/>
      <c r="D1141" s="69"/>
      <c r="E1141" s="69"/>
      <c r="F1141" s="149"/>
      <c r="G1141" s="146"/>
      <c r="H1141" s="98"/>
      <c r="I1141" s="99"/>
      <c r="J1141" s="99"/>
      <c r="K1141" s="99"/>
      <c r="L1141" s="99"/>
      <c r="M1141" s="99"/>
      <c r="N1141" s="99"/>
      <c r="O1141" s="99"/>
      <c r="P1141" s="99"/>
      <c r="Q1141" s="99"/>
      <c r="R1141" s="99"/>
      <c r="S1141" s="99"/>
      <c r="T1141" s="99"/>
      <c r="U1141" s="105"/>
      <c r="V1141" s="262"/>
      <c r="W1141" s="121"/>
      <c r="X1141" s="121"/>
      <c r="Y1141" s="121"/>
      <c r="Z1141" s="121"/>
      <c r="AA1141" s="121"/>
      <c r="AB1141" s="121"/>
      <c r="AC1141" s="121"/>
      <c r="AD1141" s="121"/>
      <c r="AE1141" s="121"/>
      <c r="AF1141" s="121"/>
      <c r="AG1141" s="121"/>
      <c r="AH1141" s="121"/>
      <c r="AI1141" s="121"/>
    </row>
    <row r="1142" spans="1:35" s="115" customFormat="1" ht="14.4">
      <c r="A1142" s="187"/>
      <c r="B1142" s="190"/>
      <c r="C1142" s="190"/>
      <c r="D1142" s="69"/>
      <c r="E1142" s="69"/>
      <c r="F1142" s="149"/>
      <c r="G1142" s="146"/>
      <c r="H1142" s="98"/>
      <c r="I1142" s="99"/>
      <c r="J1142" s="99"/>
      <c r="K1142" s="99"/>
      <c r="L1142" s="99"/>
      <c r="M1142" s="99"/>
      <c r="N1142" s="99"/>
      <c r="O1142" s="99"/>
      <c r="P1142" s="99"/>
      <c r="Q1142" s="99"/>
      <c r="R1142" s="99"/>
      <c r="S1142" s="99"/>
      <c r="T1142" s="99"/>
      <c r="U1142" s="105"/>
      <c r="V1142" s="262"/>
      <c r="W1142" s="121"/>
      <c r="X1142" s="121"/>
      <c r="Y1142" s="121"/>
      <c r="Z1142" s="121"/>
      <c r="AA1142" s="121"/>
      <c r="AB1142" s="121"/>
      <c r="AC1142" s="121"/>
      <c r="AD1142" s="121"/>
      <c r="AE1142" s="121"/>
      <c r="AF1142" s="121"/>
      <c r="AG1142" s="121"/>
      <c r="AH1142" s="121"/>
      <c r="AI1142" s="121"/>
    </row>
    <row r="1143" spans="1:35" s="115" customFormat="1" ht="14.4">
      <c r="A1143" s="187"/>
      <c r="B1143" s="190"/>
      <c r="C1143" s="190"/>
      <c r="D1143" s="69"/>
      <c r="E1143" s="69"/>
      <c r="F1143" s="149"/>
      <c r="G1143" s="146"/>
      <c r="H1143" s="98"/>
      <c r="I1143" s="99"/>
      <c r="J1143" s="99"/>
      <c r="K1143" s="99"/>
      <c r="L1143" s="99"/>
      <c r="M1143" s="99"/>
      <c r="N1143" s="99"/>
      <c r="O1143" s="99"/>
      <c r="P1143" s="99"/>
      <c r="Q1143" s="99"/>
      <c r="R1143" s="99"/>
      <c r="S1143" s="99"/>
      <c r="T1143" s="99"/>
      <c r="U1143" s="105"/>
      <c r="V1143" s="262"/>
      <c r="W1143" s="121"/>
      <c r="X1143" s="121"/>
      <c r="Y1143" s="121"/>
      <c r="Z1143" s="121"/>
      <c r="AA1143" s="121"/>
      <c r="AB1143" s="121"/>
      <c r="AC1143" s="121"/>
      <c r="AD1143" s="121"/>
      <c r="AE1143" s="121"/>
      <c r="AF1143" s="121"/>
      <c r="AG1143" s="121"/>
      <c r="AH1143" s="121"/>
      <c r="AI1143" s="121"/>
    </row>
    <row r="1144" spans="1:35" s="115" customFormat="1" ht="14.4">
      <c r="A1144" s="187"/>
      <c r="B1144" s="190"/>
      <c r="C1144" s="190"/>
      <c r="D1144" s="69"/>
      <c r="E1144" s="69"/>
      <c r="F1144" s="149"/>
      <c r="G1144" s="146"/>
      <c r="H1144" s="98"/>
      <c r="I1144" s="99"/>
      <c r="J1144" s="99"/>
      <c r="K1144" s="99"/>
      <c r="L1144" s="99"/>
      <c r="M1144" s="99"/>
      <c r="N1144" s="99"/>
      <c r="O1144" s="99"/>
      <c r="P1144" s="99"/>
      <c r="Q1144" s="99"/>
      <c r="R1144" s="99"/>
      <c r="S1144" s="99"/>
      <c r="T1144" s="99"/>
      <c r="U1144" s="105"/>
      <c r="V1144" s="262"/>
      <c r="W1144" s="121"/>
      <c r="X1144" s="121"/>
      <c r="Y1144" s="121"/>
      <c r="Z1144" s="121"/>
      <c r="AA1144" s="121"/>
      <c r="AB1144" s="121"/>
      <c r="AC1144" s="121"/>
      <c r="AD1144" s="121"/>
      <c r="AE1144" s="121"/>
      <c r="AF1144" s="121"/>
      <c r="AG1144" s="121"/>
      <c r="AH1144" s="121"/>
      <c r="AI1144" s="121"/>
    </row>
    <row r="1145" spans="1:35" s="115" customFormat="1" ht="14.4">
      <c r="A1145" s="187"/>
      <c r="B1145" s="190"/>
      <c r="C1145" s="190"/>
      <c r="D1145" s="69"/>
      <c r="E1145" s="69"/>
      <c r="F1145" s="149"/>
      <c r="G1145" s="146"/>
      <c r="H1145" s="98"/>
      <c r="I1145" s="99"/>
      <c r="J1145" s="99"/>
      <c r="K1145" s="99"/>
      <c r="L1145" s="99"/>
      <c r="M1145" s="99"/>
      <c r="N1145" s="99"/>
      <c r="O1145" s="99"/>
      <c r="P1145" s="99"/>
      <c r="Q1145" s="99"/>
      <c r="R1145" s="99"/>
      <c r="S1145" s="99"/>
      <c r="T1145" s="99"/>
      <c r="U1145" s="105"/>
      <c r="V1145" s="262"/>
      <c r="W1145" s="121"/>
      <c r="X1145" s="121"/>
      <c r="Y1145" s="121"/>
      <c r="Z1145" s="121"/>
      <c r="AA1145" s="121"/>
      <c r="AB1145" s="121"/>
      <c r="AC1145" s="121"/>
      <c r="AD1145" s="121"/>
      <c r="AE1145" s="121"/>
      <c r="AF1145" s="121"/>
      <c r="AG1145" s="121"/>
      <c r="AH1145" s="121"/>
      <c r="AI1145" s="121"/>
    </row>
    <row r="1146" spans="1:35" s="115" customFormat="1" ht="14.4">
      <c r="A1146" s="187"/>
      <c r="B1146" s="190"/>
      <c r="C1146" s="190"/>
      <c r="D1146" s="69"/>
      <c r="E1146" s="69"/>
      <c r="F1146" s="149"/>
      <c r="G1146" s="146"/>
      <c r="H1146" s="98"/>
      <c r="I1146" s="99"/>
      <c r="J1146" s="99"/>
      <c r="K1146" s="99"/>
      <c r="L1146" s="99"/>
      <c r="M1146" s="99"/>
      <c r="N1146" s="99"/>
      <c r="O1146" s="99"/>
      <c r="P1146" s="99"/>
      <c r="Q1146" s="99"/>
      <c r="R1146" s="99"/>
      <c r="S1146" s="99"/>
      <c r="T1146" s="99"/>
      <c r="U1146" s="105"/>
      <c r="V1146" s="262"/>
      <c r="W1146" s="121"/>
      <c r="X1146" s="121"/>
      <c r="Y1146" s="121"/>
      <c r="Z1146" s="121"/>
      <c r="AA1146" s="121"/>
      <c r="AB1146" s="121"/>
      <c r="AC1146" s="121"/>
      <c r="AD1146" s="121"/>
      <c r="AE1146" s="121"/>
      <c r="AF1146" s="121"/>
      <c r="AG1146" s="121"/>
      <c r="AH1146" s="121"/>
      <c r="AI1146" s="121"/>
    </row>
    <row r="1147" spans="1:35" s="115" customFormat="1" ht="14.4">
      <c r="A1147" s="187"/>
      <c r="B1147" s="190"/>
      <c r="C1147" s="190"/>
      <c r="D1147" s="69"/>
      <c r="E1147" s="69"/>
      <c r="F1147" s="149"/>
      <c r="G1147" s="146"/>
      <c r="H1147" s="107"/>
      <c r="I1147" s="108"/>
      <c r="J1147" s="108"/>
      <c r="K1147" s="108"/>
      <c r="L1147" s="108"/>
      <c r="M1147" s="108"/>
      <c r="N1147" s="109"/>
      <c r="O1147" s="109"/>
      <c r="P1147" s="109"/>
      <c r="Q1147" s="109"/>
      <c r="R1147" s="109"/>
      <c r="S1147" s="109"/>
      <c r="T1147" s="109"/>
      <c r="U1147" s="105"/>
      <c r="V1147" s="262"/>
      <c r="W1147" s="121"/>
      <c r="X1147" s="121"/>
      <c r="Y1147" s="121"/>
      <c r="Z1147" s="121"/>
      <c r="AA1147" s="121"/>
      <c r="AB1147" s="121"/>
      <c r="AC1147" s="121"/>
      <c r="AD1147" s="121"/>
      <c r="AE1147" s="121"/>
      <c r="AF1147" s="121"/>
      <c r="AG1147" s="121"/>
      <c r="AH1147" s="121"/>
      <c r="AI1147" s="121"/>
    </row>
    <row r="1148" spans="1:35" s="115" customFormat="1" ht="14.4">
      <c r="A1148" s="187"/>
      <c r="B1148" s="190"/>
      <c r="C1148" s="190"/>
      <c r="D1148" s="69"/>
      <c r="E1148" s="69"/>
      <c r="F1148" s="149"/>
      <c r="G1148" s="146"/>
      <c r="H1148" s="98"/>
      <c r="I1148" s="106"/>
      <c r="J1148" s="106"/>
      <c r="K1148" s="106"/>
      <c r="L1148" s="106"/>
      <c r="M1148" s="106"/>
      <c r="N1148" s="112"/>
      <c r="O1148" s="112"/>
      <c r="P1148" s="112"/>
      <c r="Q1148" s="113"/>
      <c r="R1148" s="113"/>
      <c r="S1148" s="113"/>
      <c r="T1148" s="113"/>
      <c r="U1148" s="105"/>
      <c r="V1148" s="262"/>
      <c r="W1148" s="121"/>
      <c r="X1148" s="121"/>
      <c r="Y1148" s="121"/>
      <c r="Z1148" s="121"/>
      <c r="AA1148" s="121"/>
      <c r="AB1148" s="121"/>
      <c r="AC1148" s="121"/>
      <c r="AD1148" s="121"/>
      <c r="AE1148" s="121"/>
      <c r="AF1148" s="121"/>
      <c r="AG1148" s="121"/>
      <c r="AH1148" s="121"/>
      <c r="AI1148" s="121"/>
    </row>
    <row r="1149" spans="1:35" s="115" customFormat="1" ht="14.4">
      <c r="A1149" s="187"/>
      <c r="B1149" s="190"/>
      <c r="C1149" s="190"/>
      <c r="D1149" s="69"/>
      <c r="E1149" s="69"/>
      <c r="F1149" s="149"/>
      <c r="G1149" s="146"/>
      <c r="H1149" s="98"/>
      <c r="I1149" s="99"/>
      <c r="J1149" s="99"/>
      <c r="K1149" s="99"/>
      <c r="L1149" s="99"/>
      <c r="M1149" s="99"/>
      <c r="N1149" s="99"/>
      <c r="O1149" s="99"/>
      <c r="P1149" s="99"/>
      <c r="Q1149" s="99"/>
      <c r="R1149" s="99"/>
      <c r="S1149" s="99"/>
      <c r="T1149" s="99"/>
      <c r="U1149" s="105"/>
      <c r="V1149" s="262"/>
      <c r="W1149" s="121"/>
      <c r="X1149" s="121"/>
      <c r="Y1149" s="121"/>
      <c r="Z1149" s="121"/>
      <c r="AA1149" s="121"/>
      <c r="AB1149" s="121"/>
      <c r="AC1149" s="121"/>
      <c r="AD1149" s="121"/>
      <c r="AE1149" s="121"/>
      <c r="AF1149" s="121"/>
      <c r="AG1149" s="121"/>
      <c r="AH1149" s="121"/>
      <c r="AI1149" s="121"/>
    </row>
    <row r="1150" spans="1:35" s="115" customFormat="1" ht="14.4">
      <c r="A1150" s="187"/>
      <c r="B1150" s="190"/>
      <c r="C1150" s="190"/>
      <c r="D1150" s="69"/>
      <c r="E1150" s="69"/>
      <c r="F1150" s="149"/>
      <c r="G1150" s="146"/>
      <c r="H1150" s="98"/>
      <c r="I1150" s="99"/>
      <c r="J1150" s="99"/>
      <c r="K1150" s="99"/>
      <c r="L1150" s="99"/>
      <c r="M1150" s="99"/>
      <c r="N1150" s="99"/>
      <c r="O1150" s="99"/>
      <c r="P1150" s="99"/>
      <c r="Q1150" s="99"/>
      <c r="R1150" s="99"/>
      <c r="S1150" s="99"/>
      <c r="T1150" s="99"/>
      <c r="U1150" s="105"/>
      <c r="V1150" s="262"/>
      <c r="W1150" s="121"/>
      <c r="X1150" s="121"/>
      <c r="Y1150" s="121"/>
      <c r="Z1150" s="121"/>
      <c r="AA1150" s="121"/>
      <c r="AB1150" s="121"/>
      <c r="AC1150" s="121"/>
      <c r="AD1150" s="121"/>
      <c r="AE1150" s="121"/>
      <c r="AF1150" s="121"/>
      <c r="AG1150" s="121"/>
      <c r="AH1150" s="121"/>
      <c r="AI1150" s="121"/>
    </row>
    <row r="1151" spans="1:35" s="115" customFormat="1" ht="14.4">
      <c r="A1151" s="187"/>
      <c r="B1151" s="190"/>
      <c r="C1151" s="190"/>
      <c r="D1151" s="69"/>
      <c r="E1151" s="69"/>
      <c r="F1151" s="149"/>
      <c r="G1151" s="146"/>
      <c r="H1151" s="98"/>
      <c r="I1151" s="99"/>
      <c r="J1151" s="99"/>
      <c r="K1151" s="99"/>
      <c r="L1151" s="99"/>
      <c r="M1151" s="99"/>
      <c r="N1151" s="99"/>
      <c r="O1151" s="99"/>
      <c r="P1151" s="99"/>
      <c r="Q1151" s="99"/>
      <c r="R1151" s="99"/>
      <c r="S1151" s="99"/>
      <c r="T1151" s="99"/>
      <c r="U1151" s="105"/>
      <c r="V1151" s="262"/>
      <c r="W1151" s="121"/>
      <c r="X1151" s="121"/>
      <c r="Y1151" s="121"/>
      <c r="Z1151" s="121"/>
      <c r="AA1151" s="121"/>
      <c r="AB1151" s="121"/>
      <c r="AC1151" s="121"/>
      <c r="AD1151" s="121"/>
      <c r="AE1151" s="121"/>
      <c r="AF1151" s="121"/>
      <c r="AG1151" s="121"/>
      <c r="AH1151" s="121"/>
      <c r="AI1151" s="121"/>
    </row>
    <row r="1152" spans="1:35" s="115" customFormat="1" ht="14.4">
      <c r="A1152" s="187"/>
      <c r="B1152" s="190"/>
      <c r="C1152" s="190"/>
      <c r="D1152" s="69"/>
      <c r="E1152" s="69"/>
      <c r="F1152" s="149"/>
      <c r="G1152" s="146"/>
      <c r="H1152" s="98"/>
      <c r="I1152" s="99"/>
      <c r="J1152" s="99"/>
      <c r="K1152" s="99"/>
      <c r="L1152" s="99"/>
      <c r="M1152" s="99"/>
      <c r="N1152" s="99"/>
      <c r="O1152" s="99"/>
      <c r="P1152" s="99"/>
      <c r="Q1152" s="99"/>
      <c r="R1152" s="99"/>
      <c r="S1152" s="99"/>
      <c r="T1152" s="99"/>
      <c r="U1152" s="105"/>
      <c r="V1152" s="262"/>
      <c r="W1152" s="121"/>
      <c r="X1152" s="121"/>
      <c r="Y1152" s="121"/>
      <c r="Z1152" s="121"/>
      <c r="AA1152" s="121"/>
      <c r="AB1152" s="121"/>
      <c r="AC1152" s="121"/>
      <c r="AD1152" s="121"/>
      <c r="AE1152" s="121"/>
      <c r="AF1152" s="121"/>
      <c r="AG1152" s="121"/>
      <c r="AH1152" s="121"/>
      <c r="AI1152" s="121"/>
    </row>
    <row r="1153" spans="1:35" s="115" customFormat="1" ht="24" customHeight="1">
      <c r="A1153" s="187"/>
      <c r="B1153" s="190"/>
      <c r="C1153" s="190"/>
      <c r="D1153" s="69"/>
      <c r="E1153" s="69"/>
      <c r="F1153" s="149"/>
      <c r="G1153" s="146"/>
      <c r="H1153" s="98"/>
      <c r="I1153" s="99"/>
      <c r="J1153" s="99"/>
      <c r="K1153" s="99"/>
      <c r="L1153" s="99"/>
      <c r="M1153" s="99"/>
      <c r="N1153" s="99"/>
      <c r="O1153" s="99"/>
      <c r="P1153" s="99"/>
      <c r="Q1153" s="99"/>
      <c r="R1153" s="99"/>
      <c r="S1153" s="99"/>
      <c r="T1153" s="99"/>
      <c r="U1153" s="105"/>
      <c r="V1153" s="262"/>
      <c r="W1153" s="121"/>
      <c r="X1153" s="121"/>
      <c r="Y1153" s="121"/>
      <c r="Z1153" s="121"/>
      <c r="AA1153" s="121"/>
      <c r="AB1153" s="121"/>
      <c r="AC1153" s="121"/>
      <c r="AD1153" s="121"/>
      <c r="AE1153" s="121"/>
      <c r="AF1153" s="121"/>
      <c r="AG1153" s="121"/>
      <c r="AH1153" s="121"/>
      <c r="AI1153" s="121"/>
    </row>
    <row r="1154" spans="1:35" s="115" customFormat="1" ht="14.4">
      <c r="A1154" s="187"/>
      <c r="B1154" s="190"/>
      <c r="C1154" s="190"/>
      <c r="D1154" s="69"/>
      <c r="E1154" s="69"/>
      <c r="F1154" s="149"/>
      <c r="G1154" s="146"/>
      <c r="H1154" s="98"/>
      <c r="I1154" s="99"/>
      <c r="J1154" s="99"/>
      <c r="K1154" s="99"/>
      <c r="L1154" s="99"/>
      <c r="M1154" s="99"/>
      <c r="N1154" s="99"/>
      <c r="O1154" s="99"/>
      <c r="P1154" s="99"/>
      <c r="Q1154" s="99"/>
      <c r="R1154" s="99"/>
      <c r="S1154" s="99"/>
      <c r="T1154" s="99"/>
      <c r="U1154" s="105"/>
      <c r="V1154" s="262"/>
      <c r="W1154" s="121"/>
      <c r="X1154" s="121"/>
      <c r="Y1154" s="121"/>
      <c r="Z1154" s="121"/>
      <c r="AA1154" s="121"/>
      <c r="AB1154" s="121"/>
      <c r="AC1154" s="121"/>
      <c r="AD1154" s="121"/>
      <c r="AE1154" s="121"/>
      <c r="AF1154" s="121"/>
      <c r="AG1154" s="121"/>
      <c r="AH1154" s="121"/>
      <c r="AI1154" s="121"/>
    </row>
    <row r="1155" spans="1:35" s="115" customFormat="1" ht="14.4">
      <c r="A1155" s="187"/>
      <c r="B1155" s="190"/>
      <c r="C1155" s="190"/>
      <c r="D1155" s="69"/>
      <c r="E1155" s="69"/>
      <c r="F1155" s="149"/>
      <c r="G1155" s="146"/>
      <c r="H1155" s="98"/>
      <c r="I1155" s="99"/>
      <c r="J1155" s="99"/>
      <c r="K1155" s="99"/>
      <c r="L1155" s="99"/>
      <c r="M1155" s="99"/>
      <c r="N1155" s="99"/>
      <c r="O1155" s="99"/>
      <c r="P1155" s="99"/>
      <c r="Q1155" s="99"/>
      <c r="R1155" s="99"/>
      <c r="S1155" s="99"/>
      <c r="T1155" s="99"/>
      <c r="U1155" s="105"/>
      <c r="V1155" s="262"/>
      <c r="W1155" s="121"/>
      <c r="X1155" s="121"/>
      <c r="Y1155" s="121"/>
      <c r="Z1155" s="121"/>
      <c r="AA1155" s="121"/>
      <c r="AB1155" s="121"/>
      <c r="AC1155" s="121"/>
      <c r="AD1155" s="121"/>
      <c r="AE1155" s="121"/>
      <c r="AF1155" s="121"/>
      <c r="AG1155" s="121"/>
      <c r="AH1155" s="121"/>
      <c r="AI1155" s="121"/>
    </row>
    <row r="1156" spans="1:35" s="115" customFormat="1" ht="14.4">
      <c r="A1156" s="187"/>
      <c r="B1156" s="190"/>
      <c r="C1156" s="190"/>
      <c r="D1156" s="69"/>
      <c r="E1156" s="69"/>
      <c r="F1156" s="149"/>
      <c r="G1156" s="146"/>
      <c r="H1156" s="98"/>
      <c r="I1156" s="99"/>
      <c r="J1156" s="99"/>
      <c r="K1156" s="99"/>
      <c r="L1156" s="99"/>
      <c r="M1156" s="99"/>
      <c r="N1156" s="99"/>
      <c r="O1156" s="99"/>
      <c r="P1156" s="99"/>
      <c r="Q1156" s="99"/>
      <c r="R1156" s="99"/>
      <c r="S1156" s="99"/>
      <c r="T1156" s="99"/>
      <c r="U1156" s="105"/>
      <c r="V1156" s="262"/>
      <c r="W1156" s="121"/>
      <c r="X1156" s="121"/>
      <c r="Y1156" s="121"/>
      <c r="Z1156" s="121"/>
      <c r="AA1156" s="121"/>
      <c r="AB1156" s="121"/>
      <c r="AC1156" s="121"/>
      <c r="AD1156" s="121"/>
      <c r="AE1156" s="121"/>
      <c r="AF1156" s="121"/>
      <c r="AG1156" s="121"/>
      <c r="AH1156" s="121"/>
      <c r="AI1156" s="121"/>
    </row>
    <row r="1157" spans="1:35" s="115" customFormat="1" ht="14.4">
      <c r="A1157" s="187"/>
      <c r="B1157" s="190"/>
      <c r="C1157" s="190"/>
      <c r="D1157" s="69"/>
      <c r="E1157" s="69"/>
      <c r="F1157" s="149"/>
      <c r="G1157" s="146"/>
      <c r="H1157" s="98"/>
      <c r="I1157" s="99"/>
      <c r="J1157" s="99"/>
      <c r="K1157" s="99"/>
      <c r="L1157" s="99"/>
      <c r="M1157" s="99"/>
      <c r="N1157" s="99"/>
      <c r="O1157" s="99"/>
      <c r="P1157" s="99"/>
      <c r="Q1157" s="99"/>
      <c r="R1157" s="99"/>
      <c r="S1157" s="99"/>
      <c r="T1157" s="99"/>
      <c r="U1157" s="105"/>
      <c r="V1157" s="262"/>
      <c r="W1157" s="121"/>
      <c r="X1157" s="121"/>
      <c r="Y1157" s="121"/>
      <c r="Z1157" s="121"/>
      <c r="AA1157" s="121"/>
      <c r="AB1157" s="121"/>
      <c r="AC1157" s="121"/>
      <c r="AD1157" s="121"/>
      <c r="AE1157" s="121"/>
      <c r="AF1157" s="121"/>
      <c r="AG1157" s="121"/>
      <c r="AH1157" s="121"/>
      <c r="AI1157" s="121"/>
    </row>
    <row r="1158" spans="1:35" s="115" customFormat="1" ht="14.4">
      <c r="A1158" s="187"/>
      <c r="B1158" s="190"/>
      <c r="C1158" s="190"/>
      <c r="D1158" s="69"/>
      <c r="E1158" s="69"/>
      <c r="F1158" s="149"/>
      <c r="G1158" s="146"/>
      <c r="H1158" s="98"/>
      <c r="I1158" s="99"/>
      <c r="J1158" s="99"/>
      <c r="K1158" s="99"/>
      <c r="L1158" s="99"/>
      <c r="M1158" s="99"/>
      <c r="N1158" s="99"/>
      <c r="O1158" s="99"/>
      <c r="P1158" s="99"/>
      <c r="Q1158" s="99"/>
      <c r="R1158" s="99"/>
      <c r="S1158" s="99"/>
      <c r="T1158" s="99"/>
      <c r="U1158" s="105"/>
      <c r="V1158" s="262"/>
      <c r="W1158" s="121"/>
      <c r="X1158" s="121"/>
      <c r="Y1158" s="121"/>
      <c r="Z1158" s="121"/>
      <c r="AA1158" s="121"/>
      <c r="AB1158" s="121"/>
      <c r="AC1158" s="121"/>
      <c r="AD1158" s="121"/>
      <c r="AE1158" s="121"/>
      <c r="AF1158" s="121"/>
      <c r="AG1158" s="121"/>
      <c r="AH1158" s="121"/>
      <c r="AI1158" s="121"/>
    </row>
    <row r="1159" spans="1:35" s="115" customFormat="1" ht="14.4">
      <c r="A1159" s="187"/>
      <c r="B1159" s="190"/>
      <c r="C1159" s="190"/>
      <c r="D1159" s="69"/>
      <c r="E1159" s="69"/>
      <c r="F1159" s="149"/>
      <c r="G1159" s="146"/>
      <c r="H1159" s="98"/>
      <c r="I1159" s="99"/>
      <c r="J1159" s="99"/>
      <c r="K1159" s="99"/>
      <c r="L1159" s="99"/>
      <c r="M1159" s="99"/>
      <c r="N1159" s="99"/>
      <c r="O1159" s="99"/>
      <c r="P1159" s="99"/>
      <c r="Q1159" s="99"/>
      <c r="R1159" s="99"/>
      <c r="S1159" s="99"/>
      <c r="T1159" s="99"/>
      <c r="U1159" s="105"/>
      <c r="V1159" s="262"/>
      <c r="W1159" s="121"/>
      <c r="X1159" s="121"/>
      <c r="Y1159" s="121"/>
      <c r="Z1159" s="121"/>
      <c r="AA1159" s="121"/>
      <c r="AB1159" s="121"/>
      <c r="AC1159" s="121"/>
      <c r="AD1159" s="121"/>
      <c r="AE1159" s="121"/>
      <c r="AF1159" s="121"/>
      <c r="AG1159" s="121"/>
      <c r="AH1159" s="121"/>
      <c r="AI1159" s="121"/>
    </row>
    <row r="1160" spans="1:35" s="115" customFormat="1" ht="14.4">
      <c r="A1160" s="187"/>
      <c r="B1160" s="190"/>
      <c r="C1160" s="190"/>
      <c r="D1160" s="69"/>
      <c r="E1160" s="69"/>
      <c r="F1160" s="149"/>
      <c r="G1160" s="146"/>
      <c r="H1160" s="98"/>
      <c r="I1160" s="99"/>
      <c r="J1160" s="99"/>
      <c r="K1160" s="99"/>
      <c r="L1160" s="99"/>
      <c r="M1160" s="99"/>
      <c r="N1160" s="99"/>
      <c r="O1160" s="99"/>
      <c r="P1160" s="99"/>
      <c r="Q1160" s="99"/>
      <c r="R1160" s="99"/>
      <c r="S1160" s="99"/>
      <c r="T1160" s="99"/>
      <c r="U1160" s="105"/>
      <c r="V1160" s="262"/>
      <c r="W1160" s="121"/>
      <c r="X1160" s="121"/>
      <c r="Y1160" s="121"/>
      <c r="Z1160" s="121"/>
      <c r="AA1160" s="121"/>
      <c r="AB1160" s="121"/>
      <c r="AC1160" s="121"/>
      <c r="AD1160" s="121"/>
      <c r="AE1160" s="121"/>
      <c r="AF1160" s="121"/>
      <c r="AG1160" s="121"/>
      <c r="AH1160" s="121"/>
      <c r="AI1160" s="121"/>
    </row>
    <row r="1161" spans="1:35" s="115" customFormat="1" ht="14.4">
      <c r="A1161" s="187"/>
      <c r="B1161" s="190"/>
      <c r="C1161" s="190"/>
      <c r="D1161" s="69"/>
      <c r="E1161" s="69"/>
      <c r="F1161" s="149"/>
      <c r="G1161" s="146"/>
      <c r="H1161" s="98"/>
      <c r="I1161" s="99"/>
      <c r="J1161" s="99"/>
      <c r="K1161" s="99"/>
      <c r="L1161" s="99"/>
      <c r="M1161" s="99"/>
      <c r="N1161" s="99"/>
      <c r="O1161" s="99"/>
      <c r="P1161" s="99"/>
      <c r="Q1161" s="99"/>
      <c r="R1161" s="99"/>
      <c r="S1161" s="99"/>
      <c r="T1161" s="99"/>
      <c r="U1161" s="105"/>
      <c r="V1161" s="262"/>
      <c r="W1161" s="121"/>
      <c r="X1161" s="121"/>
      <c r="Y1161" s="121"/>
      <c r="Z1161" s="121"/>
      <c r="AA1161" s="121"/>
      <c r="AB1161" s="121"/>
      <c r="AC1161" s="121"/>
      <c r="AD1161" s="121"/>
      <c r="AE1161" s="121"/>
      <c r="AF1161" s="121"/>
      <c r="AG1161" s="121"/>
      <c r="AH1161" s="121"/>
      <c r="AI1161" s="121"/>
    </row>
    <row r="1162" spans="1:35" s="115" customFormat="1" ht="14.4">
      <c r="A1162" s="187"/>
      <c r="B1162" s="190"/>
      <c r="C1162" s="190"/>
      <c r="D1162" s="69"/>
      <c r="E1162" s="69"/>
      <c r="F1162" s="149"/>
      <c r="G1162" s="146"/>
      <c r="H1162" s="98"/>
      <c r="I1162" s="99"/>
      <c r="J1162" s="99"/>
      <c r="K1162" s="99"/>
      <c r="L1162" s="99"/>
      <c r="M1162" s="99"/>
      <c r="N1162" s="99"/>
      <c r="O1162" s="99"/>
      <c r="P1162" s="99"/>
      <c r="Q1162" s="99"/>
      <c r="R1162" s="99"/>
      <c r="S1162" s="99"/>
      <c r="T1162" s="99"/>
      <c r="U1162" s="105"/>
      <c r="V1162" s="262"/>
      <c r="W1162" s="121"/>
      <c r="X1162" s="121"/>
      <c r="Y1162" s="121"/>
      <c r="Z1162" s="121"/>
      <c r="AA1162" s="121"/>
      <c r="AB1162" s="121"/>
      <c r="AC1162" s="121"/>
      <c r="AD1162" s="121"/>
      <c r="AE1162" s="121"/>
      <c r="AF1162" s="121"/>
      <c r="AG1162" s="121"/>
      <c r="AH1162" s="121"/>
      <c r="AI1162" s="121"/>
    </row>
    <row r="1163" spans="1:35" s="115" customFormat="1" ht="14.4">
      <c r="A1163" s="187"/>
      <c r="B1163" s="190"/>
      <c r="C1163" s="190"/>
      <c r="D1163" s="69"/>
      <c r="E1163" s="69"/>
      <c r="F1163" s="149"/>
      <c r="G1163" s="146"/>
      <c r="H1163" s="98"/>
      <c r="I1163" s="99"/>
      <c r="J1163" s="99"/>
      <c r="K1163" s="99"/>
      <c r="L1163" s="99"/>
      <c r="M1163" s="99"/>
      <c r="N1163" s="99"/>
      <c r="O1163" s="99"/>
      <c r="P1163" s="99"/>
      <c r="Q1163" s="99"/>
      <c r="R1163" s="99"/>
      <c r="S1163" s="99"/>
      <c r="T1163" s="99"/>
      <c r="U1163" s="105"/>
      <c r="V1163" s="262"/>
      <c r="W1163" s="121"/>
      <c r="X1163" s="121"/>
      <c r="Y1163" s="121"/>
      <c r="Z1163" s="121"/>
      <c r="AA1163" s="121"/>
      <c r="AB1163" s="121"/>
      <c r="AC1163" s="121"/>
      <c r="AD1163" s="121"/>
      <c r="AE1163" s="121"/>
      <c r="AF1163" s="121"/>
      <c r="AG1163" s="121"/>
      <c r="AH1163" s="121"/>
      <c r="AI1163" s="121"/>
    </row>
    <row r="1164" spans="1:35" s="115" customFormat="1" ht="14.4">
      <c r="A1164" s="187"/>
      <c r="B1164" s="190"/>
      <c r="C1164" s="190"/>
      <c r="D1164" s="69"/>
      <c r="E1164" s="69"/>
      <c r="F1164" s="149"/>
      <c r="G1164" s="146"/>
      <c r="H1164" s="107"/>
      <c r="I1164" s="108"/>
      <c r="J1164" s="108"/>
      <c r="K1164" s="108"/>
      <c r="L1164" s="108"/>
      <c r="M1164" s="108"/>
      <c r="N1164" s="108"/>
      <c r="O1164" s="108"/>
      <c r="P1164" s="108"/>
      <c r="Q1164" s="108"/>
      <c r="R1164" s="108"/>
      <c r="S1164" s="108"/>
      <c r="T1164" s="108"/>
      <c r="U1164" s="105"/>
      <c r="V1164" s="262"/>
      <c r="W1164" s="121"/>
      <c r="X1164" s="121"/>
      <c r="Y1164" s="121"/>
      <c r="Z1164" s="121"/>
      <c r="AA1164" s="121"/>
      <c r="AB1164" s="121"/>
      <c r="AC1164" s="121"/>
      <c r="AD1164" s="121"/>
      <c r="AE1164" s="121"/>
      <c r="AF1164" s="121"/>
      <c r="AG1164" s="121"/>
      <c r="AH1164" s="121"/>
      <c r="AI1164" s="121"/>
    </row>
    <row r="1165" spans="1:35" s="115" customFormat="1" ht="14.4">
      <c r="A1165" s="187"/>
      <c r="B1165" s="190"/>
      <c r="C1165" s="190"/>
      <c r="D1165" s="69"/>
      <c r="E1165" s="69"/>
      <c r="F1165" s="149"/>
      <c r="G1165" s="146"/>
      <c r="H1165" s="98"/>
      <c r="I1165" s="106"/>
      <c r="J1165" s="106"/>
      <c r="K1165" s="106"/>
      <c r="L1165" s="106"/>
      <c r="M1165" s="106"/>
      <c r="N1165" s="112"/>
      <c r="O1165" s="112"/>
      <c r="P1165" s="112"/>
      <c r="Q1165" s="113"/>
      <c r="R1165" s="113"/>
      <c r="S1165" s="113"/>
      <c r="T1165" s="113"/>
      <c r="U1165" s="105"/>
      <c r="V1165" s="262"/>
      <c r="W1165" s="121"/>
      <c r="X1165" s="121"/>
      <c r="Y1165" s="121"/>
      <c r="Z1165" s="121"/>
      <c r="AA1165" s="121"/>
      <c r="AB1165" s="121"/>
      <c r="AC1165" s="121"/>
      <c r="AD1165" s="121"/>
      <c r="AE1165" s="121"/>
      <c r="AF1165" s="121"/>
      <c r="AG1165" s="121"/>
      <c r="AH1165" s="121"/>
      <c r="AI1165" s="121"/>
    </row>
    <row r="1166" spans="1:35" s="115" customFormat="1" ht="14.4">
      <c r="A1166" s="187"/>
      <c r="B1166" s="190"/>
      <c r="C1166" s="190"/>
      <c r="D1166" s="69"/>
      <c r="E1166" s="69"/>
      <c r="F1166" s="149"/>
      <c r="G1166" s="146"/>
      <c r="H1166" s="98"/>
      <c r="I1166" s="99"/>
      <c r="J1166" s="99"/>
      <c r="K1166" s="99"/>
      <c r="L1166" s="99"/>
      <c r="M1166" s="99"/>
      <c r="N1166" s="99"/>
      <c r="O1166" s="99"/>
      <c r="P1166" s="99"/>
      <c r="Q1166" s="99"/>
      <c r="R1166" s="99"/>
      <c r="S1166" s="99"/>
      <c r="T1166" s="99"/>
      <c r="U1166" s="105"/>
      <c r="V1166" s="262"/>
      <c r="W1166" s="121"/>
      <c r="X1166" s="121"/>
      <c r="Y1166" s="121"/>
      <c r="Z1166" s="121"/>
      <c r="AA1166" s="121"/>
      <c r="AB1166" s="121"/>
      <c r="AC1166" s="121"/>
      <c r="AD1166" s="121"/>
      <c r="AE1166" s="121"/>
      <c r="AF1166" s="121"/>
      <c r="AG1166" s="121"/>
      <c r="AH1166" s="121"/>
      <c r="AI1166" s="121"/>
    </row>
    <row r="1167" spans="1:35" s="115" customFormat="1" ht="14.4">
      <c r="A1167" s="187"/>
      <c r="B1167" s="190"/>
      <c r="C1167" s="190"/>
      <c r="D1167" s="69"/>
      <c r="E1167" s="69"/>
      <c r="F1167" s="149"/>
      <c r="G1167" s="146"/>
      <c r="H1167" s="98"/>
      <c r="I1167" s="99"/>
      <c r="J1167" s="99"/>
      <c r="K1167" s="99"/>
      <c r="L1167" s="99"/>
      <c r="M1167" s="99"/>
      <c r="N1167" s="99"/>
      <c r="O1167" s="99"/>
      <c r="P1167" s="99"/>
      <c r="Q1167" s="99"/>
      <c r="R1167" s="99"/>
      <c r="S1167" s="99"/>
      <c r="T1167" s="99"/>
      <c r="U1167" s="105"/>
      <c r="V1167" s="262"/>
      <c r="W1167" s="121"/>
      <c r="X1167" s="121"/>
      <c r="Y1167" s="121"/>
      <c r="Z1167" s="121"/>
      <c r="AA1167" s="121"/>
      <c r="AB1167" s="121"/>
      <c r="AC1167" s="121"/>
      <c r="AD1167" s="121"/>
      <c r="AE1167" s="121"/>
      <c r="AF1167" s="121"/>
      <c r="AG1167" s="121"/>
      <c r="AH1167" s="121"/>
      <c r="AI1167" s="121"/>
    </row>
    <row r="1168" spans="1:35" s="115" customFormat="1" ht="14.4">
      <c r="A1168" s="187"/>
      <c r="B1168" s="190"/>
      <c r="C1168" s="190"/>
      <c r="D1168" s="69"/>
      <c r="E1168" s="69"/>
      <c r="F1168" s="149"/>
      <c r="G1168" s="146"/>
      <c r="H1168" s="98"/>
      <c r="I1168" s="99"/>
      <c r="J1168" s="99"/>
      <c r="K1168" s="99"/>
      <c r="L1168" s="99"/>
      <c r="M1168" s="99"/>
      <c r="N1168" s="99"/>
      <c r="O1168" s="99"/>
      <c r="P1168" s="99"/>
      <c r="Q1168" s="99"/>
      <c r="R1168" s="99"/>
      <c r="S1168" s="99"/>
      <c r="T1168" s="99"/>
      <c r="U1168" s="105"/>
      <c r="V1168" s="262"/>
      <c r="W1168" s="121"/>
      <c r="X1168" s="121"/>
      <c r="Y1168" s="121"/>
      <c r="Z1168" s="121"/>
      <c r="AA1168" s="121"/>
      <c r="AB1168" s="121"/>
      <c r="AC1168" s="121"/>
      <c r="AD1168" s="121"/>
      <c r="AE1168" s="121"/>
      <c r="AF1168" s="121"/>
      <c r="AG1168" s="121"/>
      <c r="AH1168" s="121"/>
      <c r="AI1168" s="121"/>
    </row>
    <row r="1169" spans="1:35" s="115" customFormat="1" ht="14.4">
      <c r="A1169" s="187"/>
      <c r="B1169" s="190"/>
      <c r="C1169" s="190"/>
      <c r="D1169" s="69"/>
      <c r="E1169" s="69"/>
      <c r="F1169" s="149"/>
      <c r="G1169" s="146"/>
      <c r="H1169" s="98"/>
      <c r="I1169" s="99"/>
      <c r="J1169" s="99"/>
      <c r="K1169" s="99"/>
      <c r="L1169" s="99"/>
      <c r="M1169" s="99"/>
      <c r="N1169" s="99"/>
      <c r="O1169" s="99"/>
      <c r="P1169" s="99"/>
      <c r="Q1169" s="99"/>
      <c r="R1169" s="99"/>
      <c r="S1169" s="99"/>
      <c r="T1169" s="99"/>
      <c r="U1169" s="105"/>
      <c r="V1169" s="262"/>
      <c r="W1169" s="121"/>
      <c r="X1169" s="121"/>
      <c r="Y1169" s="121"/>
      <c r="Z1169" s="121"/>
      <c r="AA1169" s="121"/>
      <c r="AB1169" s="121"/>
      <c r="AC1169" s="121"/>
      <c r="AD1169" s="121"/>
      <c r="AE1169" s="121"/>
      <c r="AF1169" s="121"/>
      <c r="AG1169" s="121"/>
      <c r="AH1169" s="121"/>
      <c r="AI1169" s="121"/>
    </row>
    <row r="1170" spans="1:35" s="115" customFormat="1" ht="14.4">
      <c r="A1170" s="187"/>
      <c r="B1170" s="190"/>
      <c r="C1170" s="190"/>
      <c r="D1170" s="69"/>
      <c r="E1170" s="69"/>
      <c r="F1170" s="149"/>
      <c r="G1170" s="146"/>
      <c r="H1170" s="98"/>
      <c r="I1170" s="99"/>
      <c r="J1170" s="99"/>
      <c r="K1170" s="99"/>
      <c r="L1170" s="99"/>
      <c r="M1170" s="99"/>
      <c r="N1170" s="99"/>
      <c r="O1170" s="99"/>
      <c r="P1170" s="99"/>
      <c r="Q1170" s="99"/>
      <c r="R1170" s="99"/>
      <c r="S1170" s="99"/>
      <c r="T1170" s="99"/>
      <c r="U1170" s="105"/>
      <c r="V1170" s="262"/>
      <c r="W1170" s="121"/>
      <c r="X1170" s="121"/>
      <c r="Y1170" s="121"/>
      <c r="Z1170" s="121"/>
      <c r="AA1170" s="121"/>
      <c r="AB1170" s="121"/>
      <c r="AC1170" s="121"/>
      <c r="AD1170" s="121"/>
      <c r="AE1170" s="121"/>
      <c r="AF1170" s="121"/>
      <c r="AG1170" s="121"/>
      <c r="AH1170" s="121"/>
      <c r="AI1170" s="121"/>
    </row>
    <row r="1171" spans="1:35" s="115" customFormat="1" ht="14.4">
      <c r="A1171" s="187"/>
      <c r="B1171" s="190"/>
      <c r="C1171" s="190"/>
      <c r="D1171" s="69"/>
      <c r="E1171" s="69"/>
      <c r="F1171" s="149"/>
      <c r="G1171" s="146"/>
      <c r="H1171" s="98"/>
      <c r="I1171" s="99"/>
      <c r="J1171" s="99"/>
      <c r="K1171" s="99"/>
      <c r="L1171" s="99"/>
      <c r="M1171" s="99"/>
      <c r="N1171" s="99"/>
      <c r="O1171" s="99"/>
      <c r="P1171" s="99"/>
      <c r="Q1171" s="99"/>
      <c r="R1171" s="99"/>
      <c r="S1171" s="99"/>
      <c r="T1171" s="99"/>
      <c r="U1171" s="105"/>
      <c r="V1171" s="262"/>
      <c r="W1171" s="121"/>
      <c r="X1171" s="121"/>
      <c r="Y1171" s="121"/>
      <c r="Z1171" s="121"/>
      <c r="AA1171" s="121"/>
      <c r="AB1171" s="121"/>
      <c r="AC1171" s="121"/>
      <c r="AD1171" s="121"/>
      <c r="AE1171" s="121"/>
      <c r="AF1171" s="121"/>
      <c r="AG1171" s="121"/>
      <c r="AH1171" s="121"/>
      <c r="AI1171" s="121"/>
    </row>
    <row r="1172" spans="1:35" s="115" customFormat="1" ht="14.4">
      <c r="A1172" s="187"/>
      <c r="B1172" s="190"/>
      <c r="C1172" s="190"/>
      <c r="D1172" s="69"/>
      <c r="E1172" s="69"/>
      <c r="F1172" s="149"/>
      <c r="G1172" s="146"/>
      <c r="H1172" s="98"/>
      <c r="I1172" s="99"/>
      <c r="J1172" s="99"/>
      <c r="K1172" s="99"/>
      <c r="L1172" s="99"/>
      <c r="M1172" s="99"/>
      <c r="N1172" s="99"/>
      <c r="O1172" s="99"/>
      <c r="P1172" s="99"/>
      <c r="Q1172" s="99"/>
      <c r="R1172" s="99"/>
      <c r="S1172" s="99"/>
      <c r="T1172" s="99"/>
      <c r="U1172" s="105"/>
      <c r="V1172" s="262"/>
      <c r="W1172" s="121"/>
      <c r="X1172" s="121"/>
      <c r="Y1172" s="121"/>
      <c r="Z1172" s="121"/>
      <c r="AA1172" s="121"/>
      <c r="AB1172" s="121"/>
      <c r="AC1172" s="121"/>
      <c r="AD1172" s="121"/>
      <c r="AE1172" s="121"/>
      <c r="AF1172" s="121"/>
      <c r="AG1172" s="121"/>
      <c r="AH1172" s="121"/>
      <c r="AI1172" s="121"/>
    </row>
    <row r="1173" spans="1:35" s="115" customFormat="1" ht="14.4">
      <c r="A1173" s="187"/>
      <c r="B1173" s="190"/>
      <c r="C1173" s="190"/>
      <c r="D1173" s="69"/>
      <c r="E1173" s="69"/>
      <c r="F1173" s="149"/>
      <c r="G1173" s="146"/>
      <c r="H1173" s="98"/>
      <c r="I1173" s="99"/>
      <c r="J1173" s="99"/>
      <c r="K1173" s="99"/>
      <c r="L1173" s="99"/>
      <c r="M1173" s="99"/>
      <c r="N1173" s="99"/>
      <c r="O1173" s="99"/>
      <c r="P1173" s="99"/>
      <c r="Q1173" s="99"/>
      <c r="R1173" s="99"/>
      <c r="S1173" s="99"/>
      <c r="T1173" s="99"/>
      <c r="U1173" s="105"/>
      <c r="V1173" s="262"/>
      <c r="W1173" s="121"/>
      <c r="X1173" s="121"/>
      <c r="Y1173" s="121"/>
      <c r="Z1173" s="121"/>
      <c r="AA1173" s="121"/>
      <c r="AB1173" s="121"/>
      <c r="AC1173" s="121"/>
      <c r="AD1173" s="121"/>
      <c r="AE1173" s="121"/>
      <c r="AF1173" s="121"/>
      <c r="AG1173" s="121"/>
      <c r="AH1173" s="121"/>
      <c r="AI1173" s="121"/>
    </row>
    <row r="1174" spans="1:35" s="115" customFormat="1" ht="14.4">
      <c r="A1174" s="187"/>
      <c r="B1174" s="190"/>
      <c r="C1174" s="190"/>
      <c r="D1174" s="69"/>
      <c r="E1174" s="69"/>
      <c r="F1174" s="149"/>
      <c r="G1174" s="146"/>
      <c r="H1174" s="98"/>
      <c r="I1174" s="99"/>
      <c r="J1174" s="99"/>
      <c r="K1174" s="99"/>
      <c r="L1174" s="99"/>
      <c r="M1174" s="99"/>
      <c r="N1174" s="99"/>
      <c r="O1174" s="99"/>
      <c r="P1174" s="99"/>
      <c r="Q1174" s="99"/>
      <c r="R1174" s="99"/>
      <c r="S1174" s="99"/>
      <c r="T1174" s="99"/>
      <c r="U1174" s="105"/>
      <c r="V1174" s="262"/>
      <c r="W1174" s="121"/>
      <c r="X1174" s="121"/>
      <c r="Y1174" s="121"/>
      <c r="Z1174" s="121"/>
      <c r="AA1174" s="121"/>
      <c r="AB1174" s="121"/>
      <c r="AC1174" s="121"/>
      <c r="AD1174" s="121"/>
      <c r="AE1174" s="121"/>
      <c r="AF1174" s="121"/>
      <c r="AG1174" s="121"/>
      <c r="AH1174" s="121"/>
      <c r="AI1174" s="121"/>
    </row>
    <row r="1175" spans="1:35" s="115" customFormat="1" ht="14.4">
      <c r="A1175" s="187"/>
      <c r="B1175" s="190"/>
      <c r="C1175" s="190"/>
      <c r="D1175" s="69"/>
      <c r="E1175" s="69"/>
      <c r="F1175" s="149"/>
      <c r="G1175" s="146"/>
      <c r="H1175" s="98"/>
      <c r="I1175" s="99"/>
      <c r="J1175" s="99"/>
      <c r="K1175" s="99"/>
      <c r="L1175" s="99"/>
      <c r="M1175" s="99"/>
      <c r="N1175" s="99"/>
      <c r="O1175" s="99"/>
      <c r="P1175" s="99"/>
      <c r="Q1175" s="99"/>
      <c r="R1175" s="99"/>
      <c r="S1175" s="99"/>
      <c r="T1175" s="99"/>
      <c r="U1175" s="105"/>
      <c r="V1175" s="262"/>
      <c r="W1175" s="121"/>
      <c r="X1175" s="121"/>
      <c r="Y1175" s="121"/>
      <c r="Z1175" s="121"/>
      <c r="AA1175" s="121"/>
      <c r="AB1175" s="121"/>
      <c r="AC1175" s="121"/>
      <c r="AD1175" s="121"/>
      <c r="AE1175" s="121"/>
      <c r="AF1175" s="121"/>
      <c r="AG1175" s="121"/>
      <c r="AH1175" s="121"/>
      <c r="AI1175" s="121"/>
    </row>
    <row r="1176" spans="1:35" s="115" customFormat="1" ht="14.4">
      <c r="A1176" s="187"/>
      <c r="B1176" s="190"/>
      <c r="C1176" s="190"/>
      <c r="D1176" s="69"/>
      <c r="E1176" s="69"/>
      <c r="F1176" s="149"/>
      <c r="G1176" s="146"/>
      <c r="H1176" s="98"/>
      <c r="I1176" s="99"/>
      <c r="J1176" s="99"/>
      <c r="K1176" s="99"/>
      <c r="L1176" s="99"/>
      <c r="M1176" s="99"/>
      <c r="N1176" s="99"/>
      <c r="O1176" s="99"/>
      <c r="P1176" s="99"/>
      <c r="Q1176" s="99"/>
      <c r="R1176" s="99"/>
      <c r="S1176" s="99"/>
      <c r="T1176" s="99"/>
      <c r="U1176" s="105"/>
      <c r="V1176" s="262"/>
      <c r="W1176" s="121"/>
      <c r="X1176" s="121"/>
      <c r="Y1176" s="121"/>
      <c r="Z1176" s="121"/>
      <c r="AA1176" s="121"/>
      <c r="AB1176" s="121"/>
      <c r="AC1176" s="121"/>
      <c r="AD1176" s="121"/>
      <c r="AE1176" s="121"/>
      <c r="AF1176" s="121"/>
      <c r="AG1176" s="121"/>
      <c r="AH1176" s="121"/>
      <c r="AI1176" s="121"/>
    </row>
    <row r="1177" spans="1:35" s="115" customFormat="1" ht="14.4">
      <c r="A1177" s="187"/>
      <c r="B1177" s="190"/>
      <c r="C1177" s="190"/>
      <c r="D1177" s="69"/>
      <c r="E1177" s="69"/>
      <c r="F1177" s="149"/>
      <c r="G1177" s="146"/>
      <c r="H1177" s="98"/>
      <c r="I1177" s="99"/>
      <c r="J1177" s="99"/>
      <c r="K1177" s="99"/>
      <c r="L1177" s="99"/>
      <c r="M1177" s="99"/>
      <c r="N1177" s="99"/>
      <c r="O1177" s="99"/>
      <c r="P1177" s="99"/>
      <c r="Q1177" s="99"/>
      <c r="R1177" s="99"/>
      <c r="S1177" s="99"/>
      <c r="T1177" s="99"/>
      <c r="U1177" s="105"/>
      <c r="V1177" s="262"/>
      <c r="W1177" s="121"/>
      <c r="X1177" s="121"/>
      <c r="Y1177" s="121"/>
      <c r="Z1177" s="121"/>
      <c r="AA1177" s="121"/>
      <c r="AB1177" s="121"/>
      <c r="AC1177" s="121"/>
      <c r="AD1177" s="121"/>
      <c r="AE1177" s="121"/>
      <c r="AF1177" s="121"/>
      <c r="AG1177" s="121"/>
      <c r="AH1177" s="121"/>
      <c r="AI1177" s="121"/>
    </row>
    <row r="1178" spans="1:35" s="115" customFormat="1" ht="14.4">
      <c r="A1178" s="187"/>
      <c r="B1178" s="190"/>
      <c r="C1178" s="190"/>
      <c r="D1178" s="69"/>
      <c r="E1178" s="69"/>
      <c r="F1178" s="149"/>
      <c r="G1178" s="146"/>
      <c r="H1178" s="98"/>
      <c r="I1178" s="99"/>
      <c r="J1178" s="99"/>
      <c r="K1178" s="99"/>
      <c r="L1178" s="99"/>
      <c r="M1178" s="99"/>
      <c r="N1178" s="99"/>
      <c r="O1178" s="99"/>
      <c r="P1178" s="99"/>
      <c r="Q1178" s="99"/>
      <c r="R1178" s="99"/>
      <c r="S1178" s="99"/>
      <c r="T1178" s="99"/>
      <c r="U1178" s="105"/>
      <c r="V1178" s="262"/>
      <c r="W1178" s="121"/>
      <c r="X1178" s="121"/>
      <c r="Y1178" s="121"/>
      <c r="Z1178" s="121"/>
      <c r="AA1178" s="121"/>
      <c r="AB1178" s="121"/>
      <c r="AC1178" s="121"/>
      <c r="AD1178" s="121"/>
      <c r="AE1178" s="121"/>
      <c r="AF1178" s="121"/>
      <c r="AG1178" s="121"/>
      <c r="AH1178" s="121"/>
      <c r="AI1178" s="121"/>
    </row>
    <row r="1179" spans="1:35" s="115" customFormat="1" ht="14.4">
      <c r="A1179" s="187"/>
      <c r="B1179" s="190"/>
      <c r="C1179" s="190"/>
      <c r="D1179" s="69"/>
      <c r="E1179" s="69"/>
      <c r="F1179" s="149"/>
      <c r="G1179" s="146"/>
      <c r="H1179" s="98"/>
      <c r="I1179" s="99"/>
      <c r="J1179" s="99"/>
      <c r="K1179" s="99"/>
      <c r="L1179" s="99"/>
      <c r="M1179" s="99"/>
      <c r="N1179" s="99"/>
      <c r="O1179" s="99"/>
      <c r="P1179" s="99"/>
      <c r="Q1179" s="99"/>
      <c r="R1179" s="99"/>
      <c r="S1179" s="99"/>
      <c r="T1179" s="99"/>
      <c r="U1179" s="105"/>
      <c r="V1179" s="262"/>
      <c r="W1179" s="121"/>
      <c r="X1179" s="121"/>
      <c r="Y1179" s="121"/>
      <c r="Z1179" s="121"/>
      <c r="AA1179" s="121"/>
      <c r="AB1179" s="121"/>
      <c r="AC1179" s="121"/>
      <c r="AD1179" s="121"/>
      <c r="AE1179" s="121"/>
      <c r="AF1179" s="121"/>
      <c r="AG1179" s="121"/>
      <c r="AH1179" s="121"/>
      <c r="AI1179" s="121"/>
    </row>
    <row r="1180" spans="1:35" s="115" customFormat="1" ht="14.4">
      <c r="A1180" s="187"/>
      <c r="B1180" s="190"/>
      <c r="C1180" s="190"/>
      <c r="D1180" s="69"/>
      <c r="E1180" s="69"/>
      <c r="F1180" s="149"/>
      <c r="G1180" s="146"/>
      <c r="H1180" s="98"/>
      <c r="I1180" s="99"/>
      <c r="J1180" s="99"/>
      <c r="K1180" s="99"/>
      <c r="L1180" s="99"/>
      <c r="M1180" s="99"/>
      <c r="N1180" s="99"/>
      <c r="O1180" s="99"/>
      <c r="P1180" s="99"/>
      <c r="Q1180" s="99"/>
      <c r="R1180" s="99"/>
      <c r="S1180" s="99"/>
      <c r="T1180" s="99"/>
      <c r="U1180" s="105"/>
      <c r="V1180" s="262"/>
      <c r="W1180" s="121"/>
      <c r="X1180" s="121"/>
      <c r="Y1180" s="121"/>
      <c r="Z1180" s="121"/>
      <c r="AA1180" s="121"/>
      <c r="AB1180" s="121"/>
      <c r="AC1180" s="121"/>
      <c r="AD1180" s="121"/>
      <c r="AE1180" s="121"/>
      <c r="AF1180" s="121"/>
      <c r="AG1180" s="121"/>
      <c r="AH1180" s="121"/>
      <c r="AI1180" s="121"/>
    </row>
    <row r="1181" spans="1:35" s="115" customFormat="1" ht="14.4">
      <c r="A1181" s="187"/>
      <c r="B1181" s="190"/>
      <c r="C1181" s="190"/>
      <c r="D1181" s="69"/>
      <c r="E1181" s="69"/>
      <c r="F1181" s="149"/>
      <c r="G1181" s="146"/>
      <c r="H1181" s="98"/>
      <c r="I1181" s="99"/>
      <c r="J1181" s="99"/>
      <c r="K1181" s="99"/>
      <c r="L1181" s="99"/>
      <c r="M1181" s="99"/>
      <c r="N1181" s="99"/>
      <c r="O1181" s="99"/>
      <c r="P1181" s="99"/>
      <c r="Q1181" s="99"/>
      <c r="R1181" s="99"/>
      <c r="S1181" s="99"/>
      <c r="T1181" s="99"/>
      <c r="U1181" s="105"/>
      <c r="V1181" s="262"/>
      <c r="W1181" s="121"/>
      <c r="X1181" s="121"/>
      <c r="Y1181" s="121"/>
      <c r="Z1181" s="121"/>
      <c r="AA1181" s="121"/>
      <c r="AB1181" s="121"/>
      <c r="AC1181" s="121"/>
      <c r="AD1181" s="121"/>
      <c r="AE1181" s="121"/>
      <c r="AF1181" s="121"/>
      <c r="AG1181" s="121"/>
      <c r="AH1181" s="121"/>
      <c r="AI1181" s="121"/>
    </row>
    <row r="1182" spans="1:35" s="115" customFormat="1" ht="14.4">
      <c r="A1182" s="187"/>
      <c r="B1182" s="190"/>
      <c r="C1182" s="190"/>
      <c r="D1182" s="69"/>
      <c r="E1182" s="69"/>
      <c r="F1182" s="149"/>
      <c r="G1182" s="146"/>
      <c r="H1182" s="98"/>
      <c r="I1182" s="99"/>
      <c r="J1182" s="99"/>
      <c r="K1182" s="99"/>
      <c r="L1182" s="99"/>
      <c r="M1182" s="99"/>
      <c r="N1182" s="99"/>
      <c r="O1182" s="99"/>
      <c r="P1182" s="99"/>
      <c r="Q1182" s="99"/>
      <c r="R1182" s="99"/>
      <c r="S1182" s="99"/>
      <c r="T1182" s="99"/>
      <c r="U1182" s="105"/>
      <c r="V1182" s="262"/>
      <c r="W1182" s="121"/>
      <c r="X1182" s="121"/>
      <c r="Y1182" s="121"/>
      <c r="Z1182" s="121"/>
      <c r="AA1182" s="121"/>
      <c r="AB1182" s="121"/>
      <c r="AC1182" s="121"/>
      <c r="AD1182" s="121"/>
      <c r="AE1182" s="121"/>
      <c r="AF1182" s="121"/>
      <c r="AG1182" s="121"/>
      <c r="AH1182" s="121"/>
      <c r="AI1182" s="121"/>
    </row>
    <row r="1183" spans="1:35" s="115" customFormat="1" ht="14.4">
      <c r="A1183" s="187"/>
      <c r="B1183" s="190"/>
      <c r="C1183" s="190"/>
      <c r="D1183" s="69"/>
      <c r="E1183" s="69"/>
      <c r="F1183" s="149"/>
      <c r="G1183" s="146"/>
      <c r="H1183" s="98"/>
      <c r="I1183" s="99"/>
      <c r="J1183" s="99"/>
      <c r="K1183" s="99"/>
      <c r="L1183" s="99"/>
      <c r="M1183" s="99"/>
      <c r="N1183" s="99"/>
      <c r="O1183" s="99"/>
      <c r="P1183" s="99"/>
      <c r="Q1183" s="99"/>
      <c r="R1183" s="99"/>
      <c r="S1183" s="99"/>
      <c r="T1183" s="99"/>
      <c r="U1183" s="105"/>
      <c r="V1183" s="262"/>
      <c r="W1183" s="121"/>
      <c r="X1183" s="121"/>
      <c r="Y1183" s="121"/>
      <c r="Z1183" s="121"/>
      <c r="AA1183" s="121"/>
      <c r="AB1183" s="121"/>
      <c r="AC1183" s="121"/>
      <c r="AD1183" s="121"/>
      <c r="AE1183" s="121"/>
      <c r="AF1183" s="121"/>
      <c r="AG1183" s="121"/>
      <c r="AH1183" s="121"/>
      <c r="AI1183" s="121"/>
    </row>
    <row r="1184" spans="1:35" s="115" customFormat="1" ht="14.4">
      <c r="A1184" s="187"/>
      <c r="B1184" s="190"/>
      <c r="C1184" s="190"/>
      <c r="D1184" s="69"/>
      <c r="E1184" s="69"/>
      <c r="F1184" s="149"/>
      <c r="G1184" s="146"/>
      <c r="H1184" s="98"/>
      <c r="I1184" s="99"/>
      <c r="J1184" s="99"/>
      <c r="K1184" s="99"/>
      <c r="L1184" s="99"/>
      <c r="M1184" s="99"/>
      <c r="N1184" s="99"/>
      <c r="O1184" s="99"/>
      <c r="P1184" s="99"/>
      <c r="Q1184" s="99"/>
      <c r="R1184" s="99"/>
      <c r="S1184" s="99"/>
      <c r="T1184" s="99"/>
      <c r="U1184" s="105"/>
      <c r="V1184" s="262"/>
      <c r="W1184" s="121"/>
      <c r="X1184" s="121"/>
      <c r="Y1184" s="121"/>
      <c r="Z1184" s="121"/>
      <c r="AA1184" s="121"/>
      <c r="AB1184" s="121"/>
      <c r="AC1184" s="121"/>
      <c r="AD1184" s="121"/>
      <c r="AE1184" s="121"/>
      <c r="AF1184" s="121"/>
      <c r="AG1184" s="121"/>
      <c r="AH1184" s="121"/>
      <c r="AI1184" s="121"/>
    </row>
    <row r="1185" spans="1:35" s="115" customFormat="1" ht="14.4">
      <c r="A1185" s="187"/>
      <c r="B1185" s="190"/>
      <c r="C1185" s="190"/>
      <c r="D1185" s="69"/>
      <c r="E1185" s="69"/>
      <c r="F1185" s="149"/>
      <c r="G1185" s="146"/>
      <c r="H1185" s="98"/>
      <c r="I1185" s="99"/>
      <c r="J1185" s="99"/>
      <c r="K1185" s="99"/>
      <c r="L1185" s="99"/>
      <c r="M1185" s="99"/>
      <c r="N1185" s="99"/>
      <c r="O1185" s="99"/>
      <c r="P1185" s="99"/>
      <c r="Q1185" s="99"/>
      <c r="R1185" s="99"/>
      <c r="S1185" s="99"/>
      <c r="T1185" s="99"/>
      <c r="U1185" s="105"/>
      <c r="V1185" s="262"/>
      <c r="W1185" s="121"/>
      <c r="X1185" s="121"/>
      <c r="Y1185" s="121"/>
      <c r="Z1185" s="121"/>
      <c r="AA1185" s="121"/>
      <c r="AB1185" s="121"/>
      <c r="AC1185" s="121"/>
      <c r="AD1185" s="121"/>
      <c r="AE1185" s="121"/>
      <c r="AF1185" s="121"/>
      <c r="AG1185" s="121"/>
      <c r="AH1185" s="121"/>
      <c r="AI1185" s="121"/>
    </row>
    <row r="1186" spans="1:35" s="115" customFormat="1" ht="14.4">
      <c r="A1186" s="187"/>
      <c r="B1186" s="190"/>
      <c r="C1186" s="190"/>
      <c r="D1186" s="69"/>
      <c r="E1186" s="69"/>
      <c r="F1186" s="149"/>
      <c r="G1186" s="146"/>
      <c r="H1186" s="98"/>
      <c r="I1186" s="99"/>
      <c r="J1186" s="99"/>
      <c r="K1186" s="99"/>
      <c r="L1186" s="99"/>
      <c r="M1186" s="99"/>
      <c r="N1186" s="99"/>
      <c r="O1186" s="99"/>
      <c r="P1186" s="99"/>
      <c r="Q1186" s="99"/>
      <c r="R1186" s="99"/>
      <c r="S1186" s="99"/>
      <c r="T1186" s="99"/>
      <c r="U1186" s="105"/>
      <c r="V1186" s="262"/>
      <c r="W1186" s="121"/>
      <c r="X1186" s="121"/>
      <c r="Y1186" s="121"/>
      <c r="Z1186" s="121"/>
      <c r="AA1186" s="121"/>
      <c r="AB1186" s="121"/>
      <c r="AC1186" s="121"/>
      <c r="AD1186" s="121"/>
      <c r="AE1186" s="121"/>
      <c r="AF1186" s="121"/>
      <c r="AG1186" s="121"/>
      <c r="AH1186" s="121"/>
      <c r="AI1186" s="121"/>
    </row>
    <row r="1187" spans="1:35" s="115" customFormat="1" ht="14.4">
      <c r="A1187" s="187"/>
      <c r="B1187" s="190"/>
      <c r="C1187" s="190"/>
      <c r="D1187" s="69"/>
      <c r="E1187" s="69"/>
      <c r="F1187" s="149"/>
      <c r="G1187" s="146"/>
      <c r="H1187" s="98"/>
      <c r="I1187" s="99"/>
      <c r="J1187" s="99"/>
      <c r="K1187" s="99"/>
      <c r="L1187" s="99"/>
      <c r="M1187" s="99"/>
      <c r="N1187" s="99"/>
      <c r="O1187" s="99"/>
      <c r="P1187" s="99"/>
      <c r="Q1187" s="99"/>
      <c r="R1187" s="99"/>
      <c r="S1187" s="99"/>
      <c r="T1187" s="99"/>
      <c r="U1187" s="105"/>
      <c r="V1187" s="262"/>
      <c r="W1187" s="121"/>
      <c r="X1187" s="121"/>
      <c r="Y1187" s="121"/>
      <c r="Z1187" s="121"/>
      <c r="AA1187" s="121"/>
      <c r="AB1187" s="121"/>
      <c r="AC1187" s="121"/>
      <c r="AD1187" s="121"/>
      <c r="AE1187" s="121"/>
      <c r="AF1187" s="121"/>
      <c r="AG1187" s="121"/>
      <c r="AH1187" s="121"/>
      <c r="AI1187" s="121"/>
    </row>
    <row r="1188" spans="1:35" s="115" customFormat="1" ht="14.4">
      <c r="A1188" s="187"/>
      <c r="B1188" s="190"/>
      <c r="C1188" s="190"/>
      <c r="D1188" s="69"/>
      <c r="E1188" s="69"/>
      <c r="F1188" s="149"/>
      <c r="G1188" s="146"/>
      <c r="H1188" s="98"/>
      <c r="I1188" s="99"/>
      <c r="J1188" s="99"/>
      <c r="K1188" s="99"/>
      <c r="L1188" s="99"/>
      <c r="M1188" s="99"/>
      <c r="N1188" s="99"/>
      <c r="O1188" s="99"/>
      <c r="P1188" s="99"/>
      <c r="Q1188" s="99"/>
      <c r="R1188" s="99"/>
      <c r="S1188" s="99"/>
      <c r="T1188" s="99"/>
      <c r="U1188" s="105"/>
      <c r="V1188" s="262"/>
      <c r="W1188" s="121"/>
      <c r="X1188" s="121"/>
      <c r="Y1188" s="121"/>
      <c r="Z1188" s="121"/>
      <c r="AA1188" s="121"/>
      <c r="AB1188" s="121"/>
      <c r="AC1188" s="121"/>
      <c r="AD1188" s="121"/>
      <c r="AE1188" s="121"/>
      <c r="AF1188" s="121"/>
      <c r="AG1188" s="121"/>
      <c r="AH1188" s="121"/>
      <c r="AI1188" s="121"/>
    </row>
    <row r="1189" spans="1:35" s="115" customFormat="1" ht="14.4">
      <c r="A1189" s="187"/>
      <c r="B1189" s="190"/>
      <c r="C1189" s="190"/>
      <c r="D1189" s="69"/>
      <c r="E1189" s="69"/>
      <c r="F1189" s="149"/>
      <c r="G1189" s="146"/>
      <c r="H1189" s="98"/>
      <c r="I1189" s="99"/>
      <c r="J1189" s="99"/>
      <c r="K1189" s="99"/>
      <c r="L1189" s="99"/>
      <c r="M1189" s="99"/>
      <c r="N1189" s="99"/>
      <c r="O1189" s="99"/>
      <c r="P1189" s="99"/>
      <c r="Q1189" s="99"/>
      <c r="R1189" s="99"/>
      <c r="S1189" s="99"/>
      <c r="T1189" s="99"/>
      <c r="U1189" s="105"/>
      <c r="V1189" s="262"/>
      <c r="W1189" s="121"/>
      <c r="X1189" s="121"/>
      <c r="Y1189" s="121"/>
      <c r="Z1189" s="121"/>
      <c r="AA1189" s="121"/>
      <c r="AB1189" s="121"/>
      <c r="AC1189" s="121"/>
      <c r="AD1189" s="121"/>
      <c r="AE1189" s="121"/>
      <c r="AF1189" s="121"/>
      <c r="AG1189" s="121"/>
      <c r="AH1189" s="121"/>
      <c r="AI1189" s="121"/>
    </row>
    <row r="1190" spans="1:35" s="115" customFormat="1" ht="14.4">
      <c r="A1190" s="187"/>
      <c r="B1190" s="190"/>
      <c r="C1190" s="190"/>
      <c r="D1190" s="69"/>
      <c r="E1190" s="69"/>
      <c r="F1190" s="149"/>
      <c r="G1190" s="146"/>
      <c r="H1190" s="98"/>
      <c r="I1190" s="99"/>
      <c r="J1190" s="99"/>
      <c r="K1190" s="99"/>
      <c r="L1190" s="99"/>
      <c r="M1190" s="99"/>
      <c r="N1190" s="99"/>
      <c r="O1190" s="99"/>
      <c r="P1190" s="99"/>
      <c r="Q1190" s="99"/>
      <c r="R1190" s="99"/>
      <c r="S1190" s="99"/>
      <c r="T1190" s="99"/>
      <c r="U1190" s="105"/>
      <c r="V1190" s="262"/>
      <c r="W1190" s="121"/>
      <c r="X1190" s="121"/>
      <c r="Y1190" s="121"/>
      <c r="Z1190" s="121"/>
      <c r="AA1190" s="121"/>
      <c r="AB1190" s="121"/>
      <c r="AC1190" s="121"/>
      <c r="AD1190" s="121"/>
      <c r="AE1190" s="121"/>
      <c r="AF1190" s="121"/>
      <c r="AG1190" s="121"/>
      <c r="AH1190" s="121"/>
      <c r="AI1190" s="121"/>
    </row>
    <row r="1191" spans="1:35" s="115" customFormat="1" ht="14.4">
      <c r="A1191" s="187"/>
      <c r="B1191" s="190"/>
      <c r="C1191" s="190"/>
      <c r="D1191" s="69"/>
      <c r="E1191" s="69"/>
      <c r="F1191" s="149"/>
      <c r="G1191" s="146"/>
      <c r="H1191" s="107"/>
      <c r="I1191" s="108"/>
      <c r="J1191" s="108"/>
      <c r="K1191" s="108"/>
      <c r="L1191" s="108"/>
      <c r="M1191" s="108"/>
      <c r="N1191" s="108"/>
      <c r="O1191" s="108"/>
      <c r="P1191" s="108"/>
      <c r="Q1191" s="108"/>
      <c r="R1191" s="108"/>
      <c r="S1191" s="108"/>
      <c r="T1191" s="108"/>
      <c r="U1191" s="105"/>
      <c r="V1191" s="262"/>
      <c r="W1191" s="121"/>
      <c r="X1191" s="121"/>
      <c r="Y1191" s="121"/>
      <c r="Z1191" s="121"/>
      <c r="AA1191" s="121"/>
      <c r="AB1191" s="121"/>
      <c r="AC1191" s="121"/>
      <c r="AD1191" s="121"/>
      <c r="AE1191" s="121"/>
      <c r="AF1191" s="121"/>
      <c r="AG1191" s="121"/>
      <c r="AH1191" s="121"/>
      <c r="AI1191" s="121"/>
    </row>
    <row r="1192" spans="1:35" s="115" customFormat="1" ht="14.4">
      <c r="A1192" s="187"/>
      <c r="B1192" s="190"/>
      <c r="C1192" s="190"/>
      <c r="D1192" s="69"/>
      <c r="E1192" s="69"/>
      <c r="F1192" s="149"/>
      <c r="G1192" s="146"/>
      <c r="H1192" s="98"/>
      <c r="I1192" s="106"/>
      <c r="J1192" s="106"/>
      <c r="K1192" s="106"/>
      <c r="L1192" s="106"/>
      <c r="M1192" s="106"/>
      <c r="N1192" s="112"/>
      <c r="O1192" s="112"/>
      <c r="P1192" s="112"/>
      <c r="Q1192" s="113"/>
      <c r="R1192" s="113"/>
      <c r="S1192" s="113"/>
      <c r="T1192" s="113"/>
      <c r="U1192" s="105"/>
      <c r="V1192" s="262"/>
      <c r="W1192" s="121"/>
      <c r="X1192" s="121"/>
      <c r="Y1192" s="121"/>
      <c r="Z1192" s="121"/>
      <c r="AA1192" s="121"/>
      <c r="AB1192" s="121"/>
      <c r="AC1192" s="121"/>
      <c r="AD1192" s="121"/>
      <c r="AE1192" s="121"/>
      <c r="AF1192" s="121"/>
      <c r="AG1192" s="121"/>
      <c r="AH1192" s="121"/>
      <c r="AI1192" s="121"/>
    </row>
    <row r="1193" spans="1:35" s="115" customFormat="1" ht="14.4">
      <c r="A1193" s="187"/>
      <c r="B1193" s="190"/>
      <c r="C1193" s="190"/>
      <c r="D1193" s="69"/>
      <c r="E1193" s="69"/>
      <c r="F1193" s="149"/>
      <c r="G1193" s="146"/>
      <c r="H1193" s="98"/>
      <c r="I1193" s="99"/>
      <c r="J1193" s="99"/>
      <c r="K1193" s="99"/>
      <c r="L1193" s="99"/>
      <c r="M1193" s="99"/>
      <c r="N1193" s="99"/>
      <c r="O1193" s="99"/>
      <c r="P1193" s="99"/>
      <c r="Q1193" s="99"/>
      <c r="R1193" s="99"/>
      <c r="S1193" s="99"/>
      <c r="T1193" s="99"/>
      <c r="U1193" s="105"/>
      <c r="V1193" s="262"/>
      <c r="W1193" s="121"/>
      <c r="X1193" s="121"/>
      <c r="Y1193" s="121"/>
      <c r="Z1193" s="121"/>
      <c r="AA1193" s="121"/>
      <c r="AB1193" s="121"/>
      <c r="AC1193" s="121"/>
      <c r="AD1193" s="121"/>
      <c r="AE1193" s="121"/>
      <c r="AF1193" s="121"/>
      <c r="AG1193" s="121"/>
      <c r="AH1193" s="121"/>
      <c r="AI1193" s="121"/>
    </row>
    <row r="1194" spans="1:35" s="115" customFormat="1" ht="14.4">
      <c r="A1194" s="187"/>
      <c r="B1194" s="190"/>
      <c r="C1194" s="190"/>
      <c r="D1194" s="69"/>
      <c r="E1194" s="69"/>
      <c r="F1194" s="149"/>
      <c r="G1194" s="146"/>
      <c r="H1194" s="98"/>
      <c r="I1194" s="99"/>
      <c r="J1194" s="99"/>
      <c r="K1194" s="99"/>
      <c r="L1194" s="99"/>
      <c r="M1194" s="99"/>
      <c r="N1194" s="99"/>
      <c r="O1194" s="99"/>
      <c r="P1194" s="99"/>
      <c r="Q1194" s="99"/>
      <c r="R1194" s="99"/>
      <c r="S1194" s="99"/>
      <c r="T1194" s="99"/>
      <c r="U1194" s="105"/>
      <c r="V1194" s="262"/>
      <c r="W1194" s="121"/>
      <c r="X1194" s="121"/>
      <c r="Y1194" s="121"/>
      <c r="Z1194" s="121"/>
      <c r="AA1194" s="121"/>
      <c r="AB1194" s="121"/>
      <c r="AC1194" s="121"/>
      <c r="AD1194" s="121"/>
      <c r="AE1194" s="121"/>
      <c r="AF1194" s="121"/>
      <c r="AG1194" s="121"/>
      <c r="AH1194" s="121"/>
      <c r="AI1194" s="121"/>
    </row>
    <row r="1195" spans="1:35" s="115" customFormat="1" ht="14.4">
      <c r="A1195" s="187"/>
      <c r="B1195" s="190"/>
      <c r="C1195" s="190"/>
      <c r="D1195" s="69"/>
      <c r="E1195" s="69"/>
      <c r="F1195" s="149"/>
      <c r="G1195" s="146"/>
      <c r="H1195" s="107"/>
      <c r="I1195" s="108"/>
      <c r="J1195" s="108"/>
      <c r="K1195" s="108"/>
      <c r="L1195" s="108"/>
      <c r="M1195" s="108"/>
      <c r="N1195" s="108"/>
      <c r="O1195" s="108"/>
      <c r="P1195" s="108"/>
      <c r="Q1195" s="108"/>
      <c r="R1195" s="108"/>
      <c r="S1195" s="108"/>
      <c r="T1195" s="108"/>
      <c r="U1195" s="105"/>
      <c r="V1195" s="262"/>
      <c r="W1195" s="121"/>
      <c r="X1195" s="121"/>
      <c r="Y1195" s="121"/>
      <c r="Z1195" s="121"/>
      <c r="AA1195" s="121"/>
      <c r="AB1195" s="121"/>
      <c r="AC1195" s="121"/>
      <c r="AD1195" s="121"/>
      <c r="AE1195" s="121"/>
      <c r="AF1195" s="121"/>
      <c r="AG1195" s="121"/>
      <c r="AH1195" s="121"/>
      <c r="AI1195" s="121"/>
    </row>
    <row r="1196" spans="1:35" s="115" customFormat="1" ht="14.4">
      <c r="A1196" s="187"/>
      <c r="B1196" s="190"/>
      <c r="C1196" s="190"/>
      <c r="D1196" s="69"/>
      <c r="E1196" s="69"/>
      <c r="F1196" s="149"/>
      <c r="G1196" s="146"/>
      <c r="H1196" s="98"/>
      <c r="I1196" s="106"/>
      <c r="J1196" s="106"/>
      <c r="K1196" s="106"/>
      <c r="L1196" s="106"/>
      <c r="M1196" s="106"/>
      <c r="N1196" s="112"/>
      <c r="O1196" s="112"/>
      <c r="P1196" s="112"/>
      <c r="Q1196" s="113"/>
      <c r="R1196" s="113"/>
      <c r="S1196" s="113"/>
      <c r="T1196" s="113"/>
      <c r="U1196" s="105"/>
      <c r="V1196" s="262"/>
      <c r="W1196" s="121"/>
      <c r="X1196" s="121"/>
      <c r="Y1196" s="121"/>
      <c r="Z1196" s="121"/>
      <c r="AA1196" s="121"/>
      <c r="AB1196" s="121"/>
      <c r="AC1196" s="121"/>
      <c r="AD1196" s="121"/>
      <c r="AE1196" s="121"/>
      <c r="AF1196" s="121"/>
      <c r="AG1196" s="121"/>
      <c r="AH1196" s="121"/>
      <c r="AI1196" s="121"/>
    </row>
    <row r="1197" spans="1:35" s="115" customFormat="1" ht="14.4">
      <c r="A1197" s="187"/>
      <c r="B1197" s="190"/>
      <c r="C1197" s="190"/>
      <c r="D1197" s="69"/>
      <c r="E1197" s="69"/>
      <c r="F1197" s="149"/>
      <c r="G1197" s="146"/>
      <c r="H1197" s="114"/>
      <c r="I1197" s="108"/>
      <c r="J1197" s="108"/>
      <c r="K1197" s="108"/>
      <c r="L1197" s="108"/>
      <c r="M1197" s="108"/>
      <c r="N1197" s="108"/>
      <c r="O1197" s="108"/>
      <c r="P1197" s="108"/>
      <c r="Q1197" s="108"/>
      <c r="R1197" s="108"/>
      <c r="S1197" s="108"/>
      <c r="T1197" s="108"/>
      <c r="U1197" s="105"/>
      <c r="V1197" s="262"/>
      <c r="W1197" s="121"/>
      <c r="X1197" s="121"/>
      <c r="Y1197" s="121"/>
      <c r="Z1197" s="121"/>
      <c r="AA1197" s="121"/>
      <c r="AB1197" s="121"/>
      <c r="AC1197" s="121"/>
      <c r="AD1197" s="121"/>
      <c r="AE1197" s="121"/>
      <c r="AF1197" s="121"/>
      <c r="AG1197" s="121"/>
      <c r="AH1197" s="121"/>
      <c r="AI1197" s="121"/>
    </row>
    <row r="1198" spans="1:35" s="115" customFormat="1" ht="15" thickBot="1">
      <c r="A1198" s="187"/>
      <c r="B1198" s="190"/>
      <c r="C1198" s="190"/>
      <c r="D1198" s="69"/>
      <c r="E1198" s="69"/>
      <c r="F1198" s="149"/>
      <c r="G1198" s="146"/>
      <c r="H1198" s="98"/>
      <c r="I1198" s="106"/>
      <c r="J1198" s="106"/>
      <c r="K1198" s="106"/>
      <c r="L1198" s="106"/>
      <c r="M1198" s="106"/>
      <c r="N1198" s="112"/>
      <c r="O1198" s="112"/>
      <c r="P1198" s="112"/>
      <c r="Q1198" s="113"/>
      <c r="R1198" s="113"/>
      <c r="S1198" s="113"/>
      <c r="T1198" s="113"/>
      <c r="U1198" s="105"/>
      <c r="V1198" s="262"/>
      <c r="W1198" s="121"/>
      <c r="X1198" s="121"/>
      <c r="Y1198" s="121"/>
      <c r="Z1198" s="121"/>
      <c r="AA1198" s="121"/>
      <c r="AB1198" s="121"/>
      <c r="AC1198" s="121"/>
      <c r="AD1198" s="121"/>
      <c r="AE1198" s="121"/>
      <c r="AF1198" s="121"/>
      <c r="AG1198" s="121"/>
      <c r="AH1198" s="121"/>
      <c r="AI1198" s="121"/>
    </row>
    <row r="1199" spans="1:35" s="115" customFormat="1" ht="23.4" thickBot="1">
      <c r="A1199" s="187"/>
      <c r="B1199" s="190"/>
      <c r="C1199" s="190"/>
      <c r="D1199" s="69"/>
      <c r="E1199" s="69"/>
      <c r="F1199" s="149"/>
      <c r="G1199" s="146"/>
      <c r="H1199" s="686"/>
      <c r="I1199" s="687"/>
      <c r="J1199" s="687"/>
      <c r="K1199" s="687"/>
      <c r="L1199" s="687"/>
      <c r="M1199" s="687"/>
      <c r="N1199" s="687"/>
      <c r="O1199" s="687"/>
      <c r="P1199" s="687"/>
      <c r="Q1199" s="687"/>
      <c r="R1199" s="687"/>
      <c r="S1199" s="687"/>
      <c r="T1199" s="688"/>
      <c r="U1199" s="105"/>
      <c r="V1199" s="262"/>
      <c r="W1199" s="121"/>
      <c r="X1199" s="121"/>
      <c r="Y1199" s="121"/>
      <c r="Z1199" s="121"/>
      <c r="AA1199" s="121"/>
      <c r="AB1199" s="121"/>
      <c r="AC1199" s="121"/>
      <c r="AD1199" s="121"/>
      <c r="AE1199" s="121"/>
      <c r="AF1199" s="121"/>
      <c r="AG1199" s="121"/>
      <c r="AH1199" s="121"/>
      <c r="AI1199" s="121"/>
    </row>
    <row r="1200" spans="1:35" s="115" customFormat="1" ht="22.8">
      <c r="A1200" s="187"/>
      <c r="B1200" s="190"/>
      <c r="C1200" s="190"/>
      <c r="D1200" s="69"/>
      <c r="E1200" s="69"/>
      <c r="F1200" s="149"/>
      <c r="G1200" s="146"/>
      <c r="H1200" s="225"/>
      <c r="I1200" s="225"/>
      <c r="J1200" s="225"/>
      <c r="K1200" s="225"/>
      <c r="L1200" s="225"/>
      <c r="M1200" s="225"/>
      <c r="N1200" s="225"/>
      <c r="O1200" s="225"/>
      <c r="P1200" s="225"/>
      <c r="Q1200" s="225"/>
      <c r="R1200" s="225"/>
      <c r="S1200" s="225"/>
      <c r="T1200" s="225"/>
      <c r="U1200" s="105"/>
      <c r="V1200" s="262"/>
      <c r="W1200" s="121"/>
      <c r="X1200" s="121"/>
      <c r="Y1200" s="121"/>
      <c r="Z1200" s="121"/>
      <c r="AA1200" s="121"/>
      <c r="AB1200" s="121"/>
      <c r="AC1200" s="121"/>
      <c r="AD1200" s="121"/>
      <c r="AE1200" s="121"/>
      <c r="AF1200" s="121"/>
      <c r="AG1200" s="121"/>
      <c r="AH1200" s="121"/>
      <c r="AI1200" s="121"/>
    </row>
    <row r="1201" spans="1:35" s="115" customFormat="1" ht="14.4">
      <c r="A1201" s="187"/>
      <c r="B1201" s="190"/>
      <c r="C1201" s="190"/>
      <c r="D1201" s="69"/>
      <c r="E1201" s="69"/>
      <c r="F1201" s="149"/>
      <c r="G1201" s="146"/>
      <c r="H1201" s="98"/>
      <c r="I1201" s="99"/>
      <c r="J1201" s="99"/>
      <c r="K1201" s="99"/>
      <c r="L1201" s="99"/>
      <c r="M1201" s="99"/>
      <c r="N1201" s="99"/>
      <c r="O1201" s="99"/>
      <c r="P1201" s="99"/>
      <c r="Q1201" s="99"/>
      <c r="R1201" s="99"/>
      <c r="S1201" s="99"/>
      <c r="T1201" s="99"/>
      <c r="U1201" s="105"/>
      <c r="V1201" s="262"/>
      <c r="W1201" s="121"/>
      <c r="X1201" s="121"/>
      <c r="Y1201" s="121"/>
      <c r="Z1201" s="121"/>
      <c r="AA1201" s="121"/>
      <c r="AB1201" s="121"/>
      <c r="AC1201" s="121"/>
      <c r="AD1201" s="121"/>
      <c r="AE1201" s="121"/>
      <c r="AF1201" s="121"/>
      <c r="AG1201" s="121"/>
      <c r="AH1201" s="121"/>
      <c r="AI1201" s="121"/>
    </row>
    <row r="1202" spans="1:35" s="115" customFormat="1" ht="14.4">
      <c r="A1202" s="187"/>
      <c r="B1202" s="190"/>
      <c r="C1202" s="190"/>
      <c r="D1202" s="69"/>
      <c r="E1202" s="69"/>
      <c r="F1202" s="149"/>
      <c r="G1202" s="146"/>
      <c r="H1202" s="98"/>
      <c r="I1202" s="99"/>
      <c r="J1202" s="99"/>
      <c r="K1202" s="99"/>
      <c r="L1202" s="99"/>
      <c r="M1202" s="99"/>
      <c r="N1202" s="99"/>
      <c r="O1202" s="99"/>
      <c r="P1202" s="99"/>
      <c r="Q1202" s="99"/>
      <c r="R1202" s="99"/>
      <c r="S1202" s="99"/>
      <c r="T1202" s="99"/>
      <c r="U1202" s="105"/>
      <c r="V1202" s="262"/>
      <c r="W1202" s="121"/>
      <c r="X1202" s="121"/>
      <c r="Y1202" s="121"/>
      <c r="Z1202" s="121"/>
      <c r="AA1202" s="121"/>
      <c r="AB1202" s="121"/>
      <c r="AC1202" s="121"/>
      <c r="AD1202" s="121"/>
      <c r="AE1202" s="121"/>
      <c r="AF1202" s="121"/>
      <c r="AG1202" s="121"/>
      <c r="AH1202" s="121"/>
      <c r="AI1202" s="121"/>
    </row>
    <row r="1203" spans="1:35" s="115" customFormat="1" ht="14.4">
      <c r="A1203" s="187"/>
      <c r="B1203" s="190"/>
      <c r="C1203" s="190"/>
      <c r="D1203" s="69"/>
      <c r="E1203" s="69"/>
      <c r="F1203" s="149"/>
      <c r="G1203" s="146"/>
      <c r="H1203" s="98"/>
      <c r="I1203" s="99"/>
      <c r="J1203" s="99"/>
      <c r="K1203" s="99"/>
      <c r="L1203" s="99"/>
      <c r="M1203" s="99"/>
      <c r="N1203" s="99"/>
      <c r="O1203" s="99"/>
      <c r="P1203" s="99"/>
      <c r="Q1203" s="99"/>
      <c r="R1203" s="99"/>
      <c r="S1203" s="99"/>
      <c r="T1203" s="99"/>
      <c r="U1203" s="105"/>
      <c r="V1203" s="262"/>
      <c r="W1203" s="121"/>
      <c r="X1203" s="121"/>
      <c r="Y1203" s="121"/>
      <c r="Z1203" s="121"/>
      <c r="AA1203" s="121"/>
      <c r="AB1203" s="121"/>
      <c r="AC1203" s="121"/>
      <c r="AD1203" s="121"/>
      <c r="AE1203" s="121"/>
      <c r="AF1203" s="121"/>
      <c r="AG1203" s="121"/>
      <c r="AH1203" s="121"/>
      <c r="AI1203" s="121"/>
    </row>
    <row r="1204" spans="1:35" s="115" customFormat="1" ht="14.4">
      <c r="A1204" s="187"/>
      <c r="B1204" s="190"/>
      <c r="C1204" s="190"/>
      <c r="D1204" s="69"/>
      <c r="E1204" s="69"/>
      <c r="F1204" s="149"/>
      <c r="G1204" s="146"/>
      <c r="H1204" s="98"/>
      <c r="I1204" s="99"/>
      <c r="J1204" s="99"/>
      <c r="K1204" s="99"/>
      <c r="L1204" s="99"/>
      <c r="M1204" s="99"/>
      <c r="N1204" s="99"/>
      <c r="O1204" s="99"/>
      <c r="P1204" s="99"/>
      <c r="Q1204" s="99"/>
      <c r="R1204" s="99"/>
      <c r="S1204" s="99"/>
      <c r="T1204" s="99"/>
      <c r="U1204" s="105"/>
      <c r="V1204" s="262"/>
      <c r="W1204" s="121"/>
      <c r="X1204" s="121"/>
      <c r="Y1204" s="121"/>
      <c r="Z1204" s="121"/>
      <c r="AA1204" s="121"/>
      <c r="AB1204" s="121"/>
      <c r="AC1204" s="121"/>
      <c r="AD1204" s="121"/>
      <c r="AE1204" s="121"/>
      <c r="AF1204" s="121"/>
      <c r="AG1204" s="121"/>
      <c r="AH1204" s="121"/>
      <c r="AI1204" s="121"/>
    </row>
    <row r="1205" spans="1:35" s="115" customFormat="1" ht="14.4">
      <c r="A1205" s="187"/>
      <c r="B1205" s="190"/>
      <c r="C1205" s="190"/>
      <c r="D1205" s="69"/>
      <c r="E1205" s="69"/>
      <c r="F1205" s="149"/>
      <c r="G1205" s="146"/>
      <c r="H1205" s="98"/>
      <c r="I1205" s="99"/>
      <c r="J1205" s="99"/>
      <c r="K1205" s="99"/>
      <c r="L1205" s="99"/>
      <c r="M1205" s="99"/>
      <c r="N1205" s="99"/>
      <c r="O1205" s="99"/>
      <c r="P1205" s="99"/>
      <c r="Q1205" s="99"/>
      <c r="R1205" s="99"/>
      <c r="S1205" s="99"/>
      <c r="T1205" s="99"/>
      <c r="U1205" s="105"/>
      <c r="V1205" s="262"/>
      <c r="W1205" s="121"/>
      <c r="X1205" s="121"/>
      <c r="Y1205" s="121"/>
      <c r="Z1205" s="121"/>
      <c r="AA1205" s="121"/>
      <c r="AB1205" s="121"/>
      <c r="AC1205" s="121"/>
      <c r="AD1205" s="121"/>
      <c r="AE1205" s="121"/>
      <c r="AF1205" s="121"/>
      <c r="AG1205" s="121"/>
      <c r="AH1205" s="121"/>
      <c r="AI1205" s="121"/>
    </row>
    <row r="1206" spans="1:35" s="115" customFormat="1" ht="14.4">
      <c r="A1206" s="187"/>
      <c r="B1206" s="190"/>
      <c r="C1206" s="190"/>
      <c r="D1206" s="69"/>
      <c r="E1206" s="69"/>
      <c r="F1206" s="149"/>
      <c r="G1206" s="146"/>
      <c r="H1206" s="98"/>
      <c r="I1206" s="99"/>
      <c r="J1206" s="99"/>
      <c r="K1206" s="99"/>
      <c r="L1206" s="99"/>
      <c r="M1206" s="99"/>
      <c r="N1206" s="99"/>
      <c r="O1206" s="99"/>
      <c r="P1206" s="99"/>
      <c r="Q1206" s="99"/>
      <c r="R1206" s="99"/>
      <c r="S1206" s="99"/>
      <c r="T1206" s="99"/>
      <c r="U1206" s="105"/>
      <c r="V1206" s="262"/>
      <c r="W1206" s="121"/>
      <c r="X1206" s="121"/>
      <c r="Y1206" s="121"/>
      <c r="Z1206" s="121"/>
      <c r="AA1206" s="121"/>
      <c r="AB1206" s="121"/>
      <c r="AC1206" s="121"/>
      <c r="AD1206" s="121"/>
      <c r="AE1206" s="121"/>
      <c r="AF1206" s="121"/>
      <c r="AG1206" s="121"/>
      <c r="AH1206" s="121"/>
      <c r="AI1206" s="121"/>
    </row>
    <row r="1207" spans="1:35" s="115" customFormat="1" ht="14.4">
      <c r="A1207" s="187"/>
      <c r="B1207" s="190"/>
      <c r="C1207" s="190"/>
      <c r="D1207" s="69"/>
      <c r="E1207" s="69"/>
      <c r="F1207" s="149"/>
      <c r="G1207" s="146"/>
      <c r="H1207" s="98"/>
      <c r="I1207" s="99"/>
      <c r="J1207" s="99"/>
      <c r="K1207" s="99"/>
      <c r="L1207" s="99"/>
      <c r="M1207" s="99"/>
      <c r="N1207" s="99"/>
      <c r="O1207" s="99"/>
      <c r="P1207" s="99"/>
      <c r="Q1207" s="99"/>
      <c r="R1207" s="99"/>
      <c r="S1207" s="99"/>
      <c r="T1207" s="99"/>
      <c r="U1207" s="105"/>
      <c r="V1207" s="262"/>
      <c r="W1207" s="121"/>
      <c r="X1207" s="121"/>
      <c r="Y1207" s="121"/>
      <c r="Z1207" s="121"/>
      <c r="AA1207" s="121"/>
      <c r="AB1207" s="121"/>
      <c r="AC1207" s="121"/>
      <c r="AD1207" s="121"/>
      <c r="AE1207" s="121"/>
      <c r="AF1207" s="121"/>
      <c r="AG1207" s="121"/>
      <c r="AH1207" s="121"/>
      <c r="AI1207" s="121"/>
    </row>
    <row r="1208" spans="1:35" s="115" customFormat="1" ht="14.4">
      <c r="A1208" s="187"/>
      <c r="B1208" s="190"/>
      <c r="C1208" s="190"/>
      <c r="D1208" s="69"/>
      <c r="E1208" s="69"/>
      <c r="F1208" s="149"/>
      <c r="G1208" s="146"/>
      <c r="H1208" s="107"/>
      <c r="I1208" s="108"/>
      <c r="J1208" s="108"/>
      <c r="K1208" s="108"/>
      <c r="L1208" s="108"/>
      <c r="M1208" s="108"/>
      <c r="N1208" s="109"/>
      <c r="O1208" s="109"/>
      <c r="P1208" s="109"/>
      <c r="Q1208" s="109"/>
      <c r="R1208" s="109"/>
      <c r="S1208" s="109"/>
      <c r="T1208" s="109"/>
      <c r="U1208" s="105"/>
      <c r="V1208" s="262"/>
      <c r="W1208" s="121"/>
      <c r="X1208" s="121"/>
      <c r="Y1208" s="121"/>
      <c r="Z1208" s="121"/>
      <c r="AA1208" s="121"/>
      <c r="AB1208" s="121"/>
      <c r="AC1208" s="121"/>
      <c r="AD1208" s="121"/>
      <c r="AE1208" s="121"/>
      <c r="AF1208" s="121"/>
      <c r="AG1208" s="121"/>
      <c r="AH1208" s="121"/>
      <c r="AI1208" s="121"/>
    </row>
    <row r="1209" spans="1:35" s="115" customFormat="1" ht="14.4">
      <c r="A1209" s="187"/>
      <c r="B1209" s="190"/>
      <c r="C1209" s="190"/>
      <c r="D1209" s="69"/>
      <c r="E1209" s="69"/>
      <c r="F1209" s="149"/>
      <c r="G1209" s="146"/>
      <c r="H1209" s="98"/>
      <c r="I1209" s="106"/>
      <c r="J1209" s="106"/>
      <c r="K1209" s="106"/>
      <c r="L1209" s="106"/>
      <c r="M1209" s="106"/>
      <c r="N1209" s="112"/>
      <c r="O1209" s="112"/>
      <c r="P1209" s="112"/>
      <c r="Q1209" s="113"/>
      <c r="R1209" s="212"/>
      <c r="S1209" s="212"/>
      <c r="T1209" s="113"/>
      <c r="U1209" s="105"/>
      <c r="V1209" s="262"/>
      <c r="W1209" s="121"/>
      <c r="X1209" s="121"/>
      <c r="Y1209" s="121"/>
      <c r="Z1209" s="121"/>
      <c r="AA1209" s="121"/>
      <c r="AB1209" s="121"/>
      <c r="AC1209" s="121"/>
      <c r="AD1209" s="121"/>
      <c r="AE1209" s="121"/>
      <c r="AF1209" s="121"/>
      <c r="AG1209" s="121"/>
      <c r="AH1209" s="121"/>
      <c r="AI1209" s="121"/>
    </row>
    <row r="1210" spans="1:35" s="115" customFormat="1" ht="14.4">
      <c r="A1210" s="187"/>
      <c r="B1210" s="190"/>
      <c r="C1210" s="190"/>
      <c r="D1210" s="69"/>
      <c r="E1210" s="69"/>
      <c r="F1210" s="149"/>
      <c r="G1210" s="146"/>
      <c r="H1210" s="98"/>
      <c r="I1210" s="99"/>
      <c r="J1210" s="99"/>
      <c r="K1210" s="99"/>
      <c r="L1210" s="99"/>
      <c r="M1210" s="99"/>
      <c r="N1210" s="99"/>
      <c r="O1210" s="99"/>
      <c r="P1210" s="99"/>
      <c r="Q1210" s="99"/>
      <c r="R1210" s="99"/>
      <c r="S1210" s="99"/>
      <c r="T1210" s="99"/>
      <c r="U1210" s="105"/>
      <c r="V1210" s="262"/>
      <c r="W1210" s="121"/>
      <c r="X1210" s="121"/>
      <c r="Y1210" s="121"/>
      <c r="Z1210" s="121"/>
      <c r="AA1210" s="121"/>
      <c r="AB1210" s="121"/>
      <c r="AC1210" s="121"/>
      <c r="AD1210" s="121"/>
      <c r="AE1210" s="121"/>
      <c r="AF1210" s="121"/>
      <c r="AG1210" s="121"/>
      <c r="AH1210" s="121"/>
      <c r="AI1210" s="121"/>
    </row>
    <row r="1211" spans="1:35" s="115" customFormat="1" ht="14.4">
      <c r="A1211" s="187"/>
      <c r="B1211" s="190"/>
      <c r="C1211" s="190"/>
      <c r="D1211" s="69"/>
      <c r="E1211" s="69"/>
      <c r="F1211" s="149"/>
      <c r="G1211" s="146"/>
      <c r="H1211" s="98"/>
      <c r="I1211" s="99"/>
      <c r="J1211" s="99"/>
      <c r="K1211" s="99"/>
      <c r="L1211" s="99"/>
      <c r="M1211" s="99"/>
      <c r="N1211" s="99"/>
      <c r="O1211" s="99"/>
      <c r="P1211" s="99"/>
      <c r="Q1211" s="99"/>
      <c r="R1211" s="99"/>
      <c r="S1211" s="99"/>
      <c r="T1211" s="99"/>
      <c r="U1211" s="105"/>
      <c r="V1211" s="262"/>
      <c r="W1211" s="121"/>
      <c r="X1211" s="121"/>
      <c r="Y1211" s="121"/>
      <c r="Z1211" s="121"/>
      <c r="AA1211" s="121"/>
      <c r="AB1211" s="121"/>
      <c r="AC1211" s="121"/>
      <c r="AD1211" s="121"/>
      <c r="AE1211" s="121"/>
      <c r="AF1211" s="121"/>
      <c r="AG1211" s="121"/>
      <c r="AH1211" s="121"/>
      <c r="AI1211" s="121"/>
    </row>
    <row r="1212" spans="1:35" s="115" customFormat="1" ht="14.4">
      <c r="A1212" s="187"/>
      <c r="B1212" s="190"/>
      <c r="C1212" s="190"/>
      <c r="D1212" s="69"/>
      <c r="E1212" s="69"/>
      <c r="F1212" s="149"/>
      <c r="G1212" s="146"/>
      <c r="H1212" s="98"/>
      <c r="I1212" s="99"/>
      <c r="J1212" s="99"/>
      <c r="K1212" s="99"/>
      <c r="L1212" s="99"/>
      <c r="M1212" s="99"/>
      <c r="N1212" s="99"/>
      <c r="O1212" s="99"/>
      <c r="P1212" s="99"/>
      <c r="Q1212" s="99"/>
      <c r="R1212" s="99"/>
      <c r="S1212" s="99"/>
      <c r="T1212" s="99"/>
      <c r="U1212" s="105"/>
      <c r="V1212" s="262"/>
      <c r="W1212" s="121"/>
      <c r="X1212" s="121"/>
      <c r="Y1212" s="121"/>
      <c r="Z1212" s="121"/>
      <c r="AA1212" s="121"/>
      <c r="AB1212" s="121"/>
      <c r="AC1212" s="121"/>
      <c r="AD1212" s="121"/>
      <c r="AE1212" s="121"/>
      <c r="AF1212" s="121"/>
      <c r="AG1212" s="121"/>
      <c r="AH1212" s="121"/>
      <c r="AI1212" s="121"/>
    </row>
    <row r="1213" spans="1:35" s="115" customFormat="1" ht="14.4">
      <c r="A1213" s="187"/>
      <c r="B1213" s="190"/>
      <c r="C1213" s="190"/>
      <c r="D1213" s="69"/>
      <c r="E1213" s="69"/>
      <c r="F1213" s="149"/>
      <c r="G1213" s="146"/>
      <c r="H1213" s="98"/>
      <c r="I1213" s="99"/>
      <c r="J1213" s="99"/>
      <c r="K1213" s="99"/>
      <c r="L1213" s="99"/>
      <c r="M1213" s="99"/>
      <c r="N1213" s="99"/>
      <c r="O1213" s="99"/>
      <c r="P1213" s="99"/>
      <c r="Q1213" s="99"/>
      <c r="R1213" s="99"/>
      <c r="S1213" s="99"/>
      <c r="T1213" s="99"/>
      <c r="U1213" s="105"/>
      <c r="V1213" s="262"/>
      <c r="W1213" s="121"/>
      <c r="X1213" s="121"/>
      <c r="Y1213" s="121"/>
      <c r="Z1213" s="121"/>
      <c r="AA1213" s="121"/>
      <c r="AB1213" s="121"/>
      <c r="AC1213" s="121"/>
      <c r="AD1213" s="121"/>
      <c r="AE1213" s="121"/>
      <c r="AF1213" s="121"/>
      <c r="AG1213" s="121"/>
      <c r="AH1213" s="121"/>
      <c r="AI1213" s="121"/>
    </row>
    <row r="1214" spans="1:35" s="115" customFormat="1" ht="14.4">
      <c r="A1214" s="187"/>
      <c r="B1214" s="190"/>
      <c r="C1214" s="190"/>
      <c r="D1214" s="69"/>
      <c r="E1214" s="69"/>
      <c r="F1214" s="149"/>
      <c r="G1214" s="146"/>
      <c r="H1214" s="98"/>
      <c r="I1214" s="99"/>
      <c r="J1214" s="99"/>
      <c r="K1214" s="99"/>
      <c r="L1214" s="99"/>
      <c r="M1214" s="99"/>
      <c r="N1214" s="99"/>
      <c r="O1214" s="99"/>
      <c r="P1214" s="99"/>
      <c r="Q1214" s="99"/>
      <c r="R1214" s="99"/>
      <c r="S1214" s="99"/>
      <c r="T1214" s="99"/>
      <c r="U1214" s="105"/>
      <c r="V1214" s="262"/>
      <c r="W1214" s="121"/>
      <c r="X1214" s="121"/>
      <c r="Y1214" s="121"/>
      <c r="Z1214" s="121"/>
      <c r="AA1214" s="121"/>
      <c r="AB1214" s="121"/>
      <c r="AC1214" s="121"/>
      <c r="AD1214" s="121"/>
      <c r="AE1214" s="121"/>
      <c r="AF1214" s="121"/>
      <c r="AG1214" s="121"/>
      <c r="AH1214" s="121"/>
      <c r="AI1214" s="121"/>
    </row>
    <row r="1215" spans="1:35" s="115" customFormat="1" ht="14.4">
      <c r="A1215" s="187"/>
      <c r="B1215" s="190"/>
      <c r="C1215" s="190"/>
      <c r="D1215" s="69"/>
      <c r="E1215" s="69"/>
      <c r="F1215" s="149"/>
      <c r="G1215" s="146"/>
      <c r="H1215" s="98"/>
      <c r="I1215" s="99"/>
      <c r="J1215" s="99"/>
      <c r="K1215" s="99"/>
      <c r="L1215" s="99"/>
      <c r="M1215" s="99"/>
      <c r="N1215" s="99"/>
      <c r="O1215" s="99"/>
      <c r="P1215" s="99"/>
      <c r="Q1215" s="99"/>
      <c r="R1215" s="99"/>
      <c r="S1215" s="99"/>
      <c r="T1215" s="99"/>
      <c r="U1215" s="105"/>
      <c r="V1215" s="262"/>
      <c r="W1215" s="121"/>
      <c r="X1215" s="121"/>
      <c r="Y1215" s="121"/>
      <c r="Z1215" s="121"/>
      <c r="AA1215" s="121"/>
      <c r="AB1215" s="121"/>
      <c r="AC1215" s="121"/>
      <c r="AD1215" s="121"/>
      <c r="AE1215" s="121"/>
      <c r="AF1215" s="121"/>
      <c r="AG1215" s="121"/>
      <c r="AH1215" s="121"/>
      <c r="AI1215" s="121"/>
    </row>
    <row r="1216" spans="1:35" s="115" customFormat="1" ht="14.4">
      <c r="A1216" s="187"/>
      <c r="B1216" s="190"/>
      <c r="C1216" s="190"/>
      <c r="D1216" s="69"/>
      <c r="E1216" s="69"/>
      <c r="F1216" s="149"/>
      <c r="G1216" s="146"/>
      <c r="H1216" s="98"/>
      <c r="I1216" s="99"/>
      <c r="J1216" s="99"/>
      <c r="K1216" s="99"/>
      <c r="L1216" s="99"/>
      <c r="M1216" s="99"/>
      <c r="N1216" s="99"/>
      <c r="O1216" s="99"/>
      <c r="P1216" s="99"/>
      <c r="Q1216" s="99"/>
      <c r="R1216" s="99"/>
      <c r="S1216" s="99"/>
      <c r="T1216" s="99"/>
      <c r="U1216" s="105"/>
      <c r="V1216" s="262"/>
      <c r="W1216" s="121"/>
      <c r="X1216" s="121"/>
      <c r="Y1216" s="121"/>
      <c r="Z1216" s="121"/>
      <c r="AA1216" s="121"/>
      <c r="AB1216" s="121"/>
      <c r="AC1216" s="121"/>
      <c r="AD1216" s="121"/>
      <c r="AE1216" s="121"/>
      <c r="AF1216" s="121"/>
      <c r="AG1216" s="121"/>
      <c r="AH1216" s="121"/>
      <c r="AI1216" s="121"/>
    </row>
    <row r="1217" spans="1:35" s="115" customFormat="1" ht="14.4">
      <c r="A1217" s="187"/>
      <c r="B1217" s="190"/>
      <c r="C1217" s="190"/>
      <c r="D1217" s="69"/>
      <c r="E1217" s="69"/>
      <c r="F1217" s="149"/>
      <c r="G1217" s="146"/>
      <c r="H1217" s="98"/>
      <c r="I1217" s="99"/>
      <c r="J1217" s="99"/>
      <c r="K1217" s="99"/>
      <c r="L1217" s="99"/>
      <c r="M1217" s="99"/>
      <c r="N1217" s="99"/>
      <c r="O1217" s="99"/>
      <c r="P1217" s="99"/>
      <c r="Q1217" s="99"/>
      <c r="R1217" s="99"/>
      <c r="S1217" s="99"/>
      <c r="T1217" s="99"/>
      <c r="U1217" s="105"/>
      <c r="V1217" s="262"/>
      <c r="W1217" s="121"/>
      <c r="X1217" s="121"/>
      <c r="Y1217" s="121"/>
      <c r="Z1217" s="121"/>
      <c r="AA1217" s="121"/>
      <c r="AB1217" s="121"/>
      <c r="AC1217" s="121"/>
      <c r="AD1217" s="121"/>
      <c r="AE1217" s="121"/>
      <c r="AF1217" s="121"/>
      <c r="AG1217" s="121"/>
      <c r="AH1217" s="121"/>
      <c r="AI1217" s="121"/>
    </row>
    <row r="1218" spans="1:35" s="115" customFormat="1" ht="14.4">
      <c r="A1218" s="187"/>
      <c r="B1218" s="190"/>
      <c r="C1218" s="190"/>
      <c r="D1218" s="69"/>
      <c r="E1218" s="69"/>
      <c r="F1218" s="149"/>
      <c r="G1218" s="146"/>
      <c r="H1218" s="107"/>
      <c r="I1218" s="108"/>
      <c r="J1218" s="108"/>
      <c r="K1218" s="108"/>
      <c r="L1218" s="108"/>
      <c r="M1218" s="108"/>
      <c r="N1218" s="109"/>
      <c r="O1218" s="109"/>
      <c r="P1218" s="109"/>
      <c r="Q1218" s="109"/>
      <c r="R1218" s="109"/>
      <c r="S1218" s="109"/>
      <c r="T1218" s="109"/>
      <c r="U1218" s="105"/>
      <c r="V1218" s="262"/>
      <c r="W1218" s="121"/>
      <c r="X1218" s="121"/>
      <c r="Y1218" s="121"/>
      <c r="Z1218" s="121"/>
      <c r="AA1218" s="121"/>
      <c r="AB1218" s="121"/>
      <c r="AC1218" s="121"/>
      <c r="AD1218" s="121"/>
      <c r="AE1218" s="121"/>
      <c r="AF1218" s="121"/>
      <c r="AG1218" s="121"/>
      <c r="AH1218" s="121"/>
      <c r="AI1218" s="121"/>
    </row>
    <row r="1219" spans="1:35" s="115" customFormat="1" ht="14.4">
      <c r="A1219" s="187"/>
      <c r="B1219" s="190"/>
      <c r="C1219" s="190"/>
      <c r="D1219" s="69"/>
      <c r="E1219" s="69"/>
      <c r="F1219" s="149"/>
      <c r="G1219" s="146"/>
      <c r="H1219" s="98"/>
      <c r="I1219" s="106"/>
      <c r="J1219" s="106"/>
      <c r="K1219" s="106"/>
      <c r="L1219" s="106"/>
      <c r="M1219" s="106"/>
      <c r="N1219" s="112"/>
      <c r="O1219" s="112"/>
      <c r="P1219" s="112"/>
      <c r="Q1219" s="113"/>
      <c r="R1219" s="113"/>
      <c r="S1219" s="113"/>
      <c r="T1219" s="113"/>
      <c r="U1219" s="105"/>
      <c r="V1219" s="262"/>
      <c r="W1219" s="121"/>
      <c r="X1219" s="121"/>
      <c r="Y1219" s="121"/>
      <c r="Z1219" s="121"/>
      <c r="AA1219" s="121"/>
      <c r="AB1219" s="121"/>
      <c r="AC1219" s="121"/>
      <c r="AD1219" s="121"/>
      <c r="AE1219" s="121"/>
      <c r="AF1219" s="121"/>
      <c r="AG1219" s="121"/>
      <c r="AH1219" s="121"/>
      <c r="AI1219" s="121"/>
    </row>
    <row r="1220" spans="1:35" s="115" customFormat="1" ht="14.4">
      <c r="A1220" s="187"/>
      <c r="B1220" s="190"/>
      <c r="C1220" s="190"/>
      <c r="D1220" s="69"/>
      <c r="E1220" s="69"/>
      <c r="F1220" s="149"/>
      <c r="G1220" s="146"/>
      <c r="H1220" s="114"/>
      <c r="I1220" s="108"/>
      <c r="J1220" s="108"/>
      <c r="K1220" s="108"/>
      <c r="L1220" s="108"/>
      <c r="M1220" s="108"/>
      <c r="N1220" s="108"/>
      <c r="O1220" s="108"/>
      <c r="P1220" s="108"/>
      <c r="Q1220" s="108"/>
      <c r="R1220" s="108"/>
      <c r="S1220" s="108"/>
      <c r="T1220" s="108"/>
      <c r="U1220" s="105"/>
      <c r="V1220" s="262"/>
      <c r="W1220" s="121"/>
      <c r="X1220" s="121"/>
      <c r="Y1220" s="121"/>
      <c r="Z1220" s="121"/>
      <c r="AA1220" s="121"/>
      <c r="AB1220" s="121"/>
      <c r="AC1220" s="121"/>
      <c r="AD1220" s="121"/>
      <c r="AE1220" s="121"/>
      <c r="AF1220" s="121"/>
      <c r="AG1220" s="121"/>
      <c r="AH1220" s="121"/>
      <c r="AI1220" s="121"/>
    </row>
    <row r="1221" spans="1:35" s="115" customFormat="1" ht="15" thickBot="1">
      <c r="A1221" s="187"/>
      <c r="B1221" s="190"/>
      <c r="C1221" s="190"/>
      <c r="D1221" s="69"/>
      <c r="E1221" s="69"/>
      <c r="F1221" s="149"/>
      <c r="G1221" s="146"/>
      <c r="H1221" s="98"/>
      <c r="I1221" s="218"/>
      <c r="J1221" s="218"/>
      <c r="K1221" s="218"/>
      <c r="L1221" s="218"/>
      <c r="M1221" s="218"/>
      <c r="N1221" s="96"/>
      <c r="O1221" s="96"/>
      <c r="P1221" s="96"/>
      <c r="Q1221" s="212"/>
      <c r="R1221" s="212"/>
      <c r="S1221" s="212"/>
      <c r="T1221" s="212"/>
      <c r="U1221" s="105"/>
      <c r="V1221" s="262"/>
      <c r="W1221" s="121"/>
      <c r="X1221" s="121"/>
      <c r="Y1221" s="121"/>
      <c r="Z1221" s="121"/>
      <c r="AA1221" s="121"/>
      <c r="AB1221" s="121"/>
      <c r="AC1221" s="121"/>
      <c r="AD1221" s="121"/>
      <c r="AE1221" s="121"/>
      <c r="AF1221" s="121"/>
      <c r="AG1221" s="121"/>
      <c r="AH1221" s="121"/>
      <c r="AI1221" s="121"/>
    </row>
    <row r="1222" spans="1:35" s="115" customFormat="1" ht="23.4" thickBot="1">
      <c r="A1222" s="187"/>
      <c r="B1222" s="190"/>
      <c r="C1222" s="190"/>
      <c r="D1222" s="69"/>
      <c r="E1222" s="69"/>
      <c r="F1222" s="149"/>
      <c r="G1222" s="146"/>
      <c r="H1222" s="686"/>
      <c r="I1222" s="687"/>
      <c r="J1222" s="687"/>
      <c r="K1222" s="687"/>
      <c r="L1222" s="687"/>
      <c r="M1222" s="687"/>
      <c r="N1222" s="687"/>
      <c r="O1222" s="687"/>
      <c r="P1222" s="687"/>
      <c r="Q1222" s="687"/>
      <c r="R1222" s="687"/>
      <c r="S1222" s="687"/>
      <c r="T1222" s="688"/>
      <c r="U1222" s="105"/>
      <c r="V1222" s="262"/>
      <c r="W1222" s="121"/>
      <c r="X1222" s="121"/>
      <c r="Y1222" s="121"/>
      <c r="Z1222" s="121"/>
      <c r="AA1222" s="121"/>
      <c r="AB1222" s="121"/>
      <c r="AC1222" s="121"/>
      <c r="AD1222" s="121"/>
      <c r="AE1222" s="121"/>
      <c r="AF1222" s="121"/>
      <c r="AG1222" s="121"/>
      <c r="AH1222" s="121"/>
      <c r="AI1222" s="121"/>
    </row>
    <row r="1223" spans="1:35" s="115" customFormat="1" ht="22.8">
      <c r="A1223" s="187"/>
      <c r="B1223" s="190"/>
      <c r="C1223" s="190"/>
      <c r="D1223" s="69"/>
      <c r="E1223" s="69"/>
      <c r="F1223" s="149"/>
      <c r="G1223" s="146"/>
      <c r="H1223" s="225"/>
      <c r="I1223" s="225"/>
      <c r="J1223" s="225"/>
      <c r="K1223" s="225"/>
      <c r="L1223" s="225"/>
      <c r="M1223" s="225"/>
      <c r="N1223" s="225"/>
      <c r="O1223" s="225"/>
      <c r="P1223" s="225"/>
      <c r="Q1223" s="225"/>
      <c r="R1223" s="225"/>
      <c r="S1223" s="225"/>
      <c r="T1223" s="225"/>
      <c r="U1223" s="105"/>
      <c r="V1223" s="262"/>
      <c r="W1223" s="121"/>
      <c r="X1223" s="121"/>
      <c r="Y1223" s="121"/>
      <c r="Z1223" s="121"/>
      <c r="AA1223" s="121"/>
      <c r="AB1223" s="121"/>
      <c r="AC1223" s="121"/>
      <c r="AD1223" s="121"/>
      <c r="AE1223" s="121"/>
      <c r="AF1223" s="121"/>
      <c r="AG1223" s="121"/>
      <c r="AH1223" s="121"/>
      <c r="AI1223" s="121"/>
    </row>
    <row r="1224" spans="1:35" s="115" customFormat="1" ht="14.4">
      <c r="A1224" s="187"/>
      <c r="B1224" s="190"/>
      <c r="C1224" s="190"/>
      <c r="D1224" s="69"/>
      <c r="E1224" s="69"/>
      <c r="F1224" s="149"/>
      <c r="G1224" s="146"/>
      <c r="H1224" s="98"/>
      <c r="I1224" s="99"/>
      <c r="J1224" s="99"/>
      <c r="K1224" s="99"/>
      <c r="L1224" s="99"/>
      <c r="M1224" s="99"/>
      <c r="N1224" s="99"/>
      <c r="O1224" s="99"/>
      <c r="P1224" s="99"/>
      <c r="Q1224" s="99"/>
      <c r="R1224" s="99"/>
      <c r="S1224" s="99"/>
      <c r="T1224" s="99"/>
      <c r="U1224" s="105"/>
      <c r="V1224" s="262"/>
      <c r="W1224" s="121"/>
      <c r="X1224" s="121"/>
      <c r="Y1224" s="121"/>
      <c r="Z1224" s="121"/>
      <c r="AA1224" s="121"/>
      <c r="AB1224" s="121"/>
      <c r="AC1224" s="121"/>
      <c r="AD1224" s="121"/>
      <c r="AE1224" s="121"/>
      <c r="AF1224" s="121"/>
      <c r="AG1224" s="121"/>
      <c r="AH1224" s="121"/>
      <c r="AI1224" s="121"/>
    </row>
    <row r="1225" spans="1:35" s="115" customFormat="1" ht="14.4">
      <c r="A1225" s="187"/>
      <c r="B1225" s="190"/>
      <c r="C1225" s="190"/>
      <c r="D1225" s="69"/>
      <c r="E1225" s="69"/>
      <c r="F1225" s="149"/>
      <c r="G1225" s="146"/>
      <c r="H1225" s="98"/>
      <c r="I1225" s="99"/>
      <c r="J1225" s="99"/>
      <c r="K1225" s="99"/>
      <c r="L1225" s="99"/>
      <c r="M1225" s="99"/>
      <c r="N1225" s="99"/>
      <c r="O1225" s="99"/>
      <c r="P1225" s="99"/>
      <c r="Q1225" s="99"/>
      <c r="R1225" s="99"/>
      <c r="S1225" s="99"/>
      <c r="T1225" s="99"/>
      <c r="U1225" s="105"/>
      <c r="V1225" s="262"/>
      <c r="W1225" s="121"/>
      <c r="X1225" s="121"/>
      <c r="Y1225" s="121"/>
      <c r="Z1225" s="121"/>
      <c r="AA1225" s="121"/>
      <c r="AB1225" s="121"/>
      <c r="AC1225" s="121"/>
      <c r="AD1225" s="121"/>
      <c r="AE1225" s="121"/>
      <c r="AF1225" s="121"/>
      <c r="AG1225" s="121"/>
      <c r="AH1225" s="121"/>
      <c r="AI1225" s="121"/>
    </row>
    <row r="1226" spans="1:35" s="115" customFormat="1" ht="14.4">
      <c r="A1226" s="187"/>
      <c r="B1226" s="190"/>
      <c r="C1226" s="190"/>
      <c r="D1226" s="69"/>
      <c r="E1226" s="69"/>
      <c r="F1226" s="149"/>
      <c r="G1226" s="146"/>
      <c r="H1226" s="98"/>
      <c r="I1226" s="99"/>
      <c r="J1226" s="99"/>
      <c r="K1226" s="99"/>
      <c r="L1226" s="99"/>
      <c r="M1226" s="99"/>
      <c r="N1226" s="99"/>
      <c r="O1226" s="99"/>
      <c r="P1226" s="99"/>
      <c r="Q1226" s="99"/>
      <c r="R1226" s="99"/>
      <c r="S1226" s="99"/>
      <c r="T1226" s="99"/>
      <c r="U1226" s="105"/>
      <c r="V1226" s="262"/>
      <c r="W1226" s="121"/>
      <c r="X1226" s="121"/>
      <c r="Y1226" s="121"/>
      <c r="Z1226" s="121"/>
      <c r="AA1226" s="121"/>
      <c r="AB1226" s="121"/>
      <c r="AC1226" s="121"/>
      <c r="AD1226" s="121"/>
      <c r="AE1226" s="121"/>
      <c r="AF1226" s="121"/>
      <c r="AG1226" s="121"/>
      <c r="AH1226" s="121"/>
      <c r="AI1226" s="121"/>
    </row>
    <row r="1227" spans="1:35" s="115" customFormat="1" ht="14.4">
      <c r="A1227" s="187"/>
      <c r="B1227" s="190"/>
      <c r="C1227" s="190"/>
      <c r="D1227" s="69"/>
      <c r="E1227" s="69"/>
      <c r="F1227" s="149"/>
      <c r="G1227" s="146"/>
      <c r="H1227" s="98"/>
      <c r="I1227" s="99"/>
      <c r="J1227" s="99"/>
      <c r="K1227" s="99"/>
      <c r="L1227" s="99"/>
      <c r="M1227" s="99"/>
      <c r="N1227" s="99"/>
      <c r="O1227" s="99"/>
      <c r="P1227" s="99"/>
      <c r="Q1227" s="99"/>
      <c r="R1227" s="99"/>
      <c r="S1227" s="99"/>
      <c r="T1227" s="99"/>
      <c r="U1227" s="105"/>
      <c r="V1227" s="262"/>
      <c r="W1227" s="121"/>
      <c r="X1227" s="121"/>
      <c r="Y1227" s="121"/>
      <c r="Z1227" s="121"/>
      <c r="AA1227" s="121"/>
      <c r="AB1227" s="121"/>
      <c r="AC1227" s="121"/>
      <c r="AD1227" s="121"/>
      <c r="AE1227" s="121"/>
      <c r="AF1227" s="121"/>
      <c r="AG1227" s="121"/>
      <c r="AH1227" s="121"/>
      <c r="AI1227" s="121"/>
    </row>
    <row r="1228" spans="1:35" s="115" customFormat="1" ht="14.4">
      <c r="A1228" s="187"/>
      <c r="B1228" s="190"/>
      <c r="C1228" s="190"/>
      <c r="D1228" s="69"/>
      <c r="E1228" s="69"/>
      <c r="F1228" s="149"/>
      <c r="G1228" s="146"/>
      <c r="H1228" s="98"/>
      <c r="I1228" s="99"/>
      <c r="J1228" s="99"/>
      <c r="K1228" s="99"/>
      <c r="L1228" s="99"/>
      <c r="M1228" s="99"/>
      <c r="N1228" s="99"/>
      <c r="O1228" s="99"/>
      <c r="P1228" s="99"/>
      <c r="Q1228" s="99"/>
      <c r="R1228" s="99"/>
      <c r="S1228" s="99"/>
      <c r="T1228" s="99"/>
      <c r="U1228" s="105"/>
      <c r="V1228" s="262"/>
      <c r="W1228" s="121"/>
      <c r="X1228" s="121"/>
      <c r="Y1228" s="121"/>
      <c r="Z1228" s="121"/>
      <c r="AA1228" s="121"/>
      <c r="AB1228" s="121"/>
      <c r="AC1228" s="121"/>
      <c r="AD1228" s="121"/>
      <c r="AE1228" s="121"/>
      <c r="AF1228" s="121"/>
      <c r="AG1228" s="121"/>
      <c r="AH1228" s="121"/>
      <c r="AI1228" s="121"/>
    </row>
    <row r="1229" spans="1:35" s="115" customFormat="1" ht="14.4">
      <c r="A1229" s="187"/>
      <c r="B1229" s="190"/>
      <c r="C1229" s="190"/>
      <c r="D1229" s="69"/>
      <c r="E1229" s="69"/>
      <c r="F1229" s="149"/>
      <c r="G1229" s="146"/>
      <c r="H1229" s="98"/>
      <c r="I1229" s="99"/>
      <c r="J1229" s="99"/>
      <c r="K1229" s="99"/>
      <c r="L1229" s="99"/>
      <c r="M1229" s="99"/>
      <c r="N1229" s="99"/>
      <c r="O1229" s="99"/>
      <c r="P1229" s="99"/>
      <c r="Q1229" s="99"/>
      <c r="R1229" s="99"/>
      <c r="S1229" s="99"/>
      <c r="T1229" s="99"/>
      <c r="U1229" s="105"/>
      <c r="V1229" s="262"/>
      <c r="W1229" s="121"/>
      <c r="X1229" s="121"/>
      <c r="Y1229" s="121"/>
      <c r="Z1229" s="121"/>
      <c r="AA1229" s="121"/>
      <c r="AB1229" s="121"/>
      <c r="AC1229" s="121"/>
      <c r="AD1229" s="121"/>
      <c r="AE1229" s="121"/>
      <c r="AF1229" s="121"/>
      <c r="AG1229" s="121"/>
      <c r="AH1229" s="121"/>
      <c r="AI1229" s="121"/>
    </row>
    <row r="1230" spans="1:35" s="115" customFormat="1" ht="14.4">
      <c r="A1230" s="187"/>
      <c r="B1230" s="190"/>
      <c r="C1230" s="190"/>
      <c r="D1230" s="69"/>
      <c r="E1230" s="69"/>
      <c r="F1230" s="149"/>
      <c r="G1230" s="146"/>
      <c r="H1230" s="98"/>
      <c r="I1230" s="99"/>
      <c r="J1230" s="99"/>
      <c r="K1230" s="99"/>
      <c r="L1230" s="99"/>
      <c r="M1230" s="99"/>
      <c r="N1230" s="99"/>
      <c r="O1230" s="99"/>
      <c r="P1230" s="99"/>
      <c r="Q1230" s="99"/>
      <c r="R1230" s="99"/>
      <c r="S1230" s="99"/>
      <c r="T1230" s="99"/>
      <c r="U1230" s="105"/>
      <c r="V1230" s="262"/>
      <c r="W1230" s="121"/>
      <c r="X1230" s="121"/>
      <c r="Y1230" s="121"/>
      <c r="Z1230" s="121"/>
      <c r="AA1230" s="121"/>
      <c r="AB1230" s="121"/>
      <c r="AC1230" s="121"/>
      <c r="AD1230" s="121"/>
      <c r="AE1230" s="121"/>
      <c r="AF1230" s="121"/>
      <c r="AG1230" s="121"/>
      <c r="AH1230" s="121"/>
      <c r="AI1230" s="121"/>
    </row>
    <row r="1231" spans="1:35" s="115" customFormat="1" ht="14.4">
      <c r="A1231" s="187"/>
      <c r="B1231" s="190"/>
      <c r="C1231" s="190"/>
      <c r="D1231" s="69"/>
      <c r="E1231" s="69"/>
      <c r="F1231" s="149"/>
      <c r="G1231" s="146"/>
      <c r="H1231" s="98"/>
      <c r="I1231" s="99"/>
      <c r="J1231" s="99"/>
      <c r="K1231" s="99"/>
      <c r="L1231" s="99"/>
      <c r="M1231" s="99"/>
      <c r="N1231" s="99"/>
      <c r="O1231" s="99"/>
      <c r="P1231" s="99"/>
      <c r="Q1231" s="99"/>
      <c r="R1231" s="99"/>
      <c r="S1231" s="99"/>
      <c r="T1231" s="99"/>
      <c r="U1231" s="105"/>
      <c r="V1231" s="262"/>
      <c r="W1231" s="121"/>
      <c r="X1231" s="121"/>
      <c r="Y1231" s="121"/>
      <c r="Z1231" s="121"/>
      <c r="AA1231" s="121"/>
      <c r="AB1231" s="121"/>
      <c r="AC1231" s="121"/>
      <c r="AD1231" s="121"/>
      <c r="AE1231" s="121"/>
      <c r="AF1231" s="121"/>
      <c r="AG1231" s="121"/>
      <c r="AH1231" s="121"/>
      <c r="AI1231" s="121"/>
    </row>
    <row r="1232" spans="1:35" s="115" customFormat="1" ht="14.4">
      <c r="A1232" s="187"/>
      <c r="B1232" s="190"/>
      <c r="C1232" s="190"/>
      <c r="D1232" s="69"/>
      <c r="E1232" s="69"/>
      <c r="F1232" s="149"/>
      <c r="G1232" s="146"/>
      <c r="H1232" s="98"/>
      <c r="I1232" s="99"/>
      <c r="J1232" s="99"/>
      <c r="K1232" s="99"/>
      <c r="L1232" s="99"/>
      <c r="M1232" s="99"/>
      <c r="N1232" s="99"/>
      <c r="O1232" s="99"/>
      <c r="P1232" s="99"/>
      <c r="Q1232" s="99"/>
      <c r="R1232" s="99"/>
      <c r="S1232" s="99"/>
      <c r="T1232" s="99"/>
      <c r="U1232" s="105"/>
      <c r="V1232" s="262"/>
      <c r="W1232" s="121"/>
      <c r="X1232" s="121"/>
      <c r="Y1232" s="121"/>
      <c r="Z1232" s="121"/>
      <c r="AA1232" s="121"/>
      <c r="AB1232" s="121"/>
      <c r="AC1232" s="121"/>
      <c r="AD1232" s="121"/>
      <c r="AE1232" s="121"/>
      <c r="AF1232" s="121"/>
      <c r="AG1232" s="121"/>
      <c r="AH1232" s="121"/>
      <c r="AI1232" s="121"/>
    </row>
    <row r="1233" spans="1:35" s="115" customFormat="1" ht="24.75" customHeight="1">
      <c r="A1233" s="187"/>
      <c r="B1233" s="190"/>
      <c r="C1233" s="190"/>
      <c r="D1233" s="69"/>
      <c r="E1233" s="69"/>
      <c r="F1233" s="149"/>
      <c r="G1233" s="146"/>
      <c r="H1233" s="98"/>
      <c r="I1233" s="99"/>
      <c r="J1233" s="99"/>
      <c r="K1233" s="99"/>
      <c r="L1233" s="99"/>
      <c r="M1233" s="99"/>
      <c r="N1233" s="99"/>
      <c r="O1233" s="99"/>
      <c r="P1233" s="99"/>
      <c r="Q1233" s="99"/>
      <c r="R1233" s="99"/>
      <c r="S1233" s="99"/>
      <c r="T1233" s="99"/>
      <c r="U1233" s="105"/>
      <c r="V1233" s="262"/>
      <c r="W1233" s="121"/>
      <c r="X1233" s="121"/>
      <c r="Y1233" s="121"/>
      <c r="Z1233" s="121"/>
      <c r="AA1233" s="121"/>
      <c r="AB1233" s="121"/>
      <c r="AC1233" s="121"/>
      <c r="AD1233" s="121"/>
      <c r="AE1233" s="121"/>
      <c r="AF1233" s="121"/>
      <c r="AG1233" s="121"/>
      <c r="AH1233" s="121"/>
      <c r="AI1233" s="121"/>
    </row>
    <row r="1234" spans="1:35" s="115" customFormat="1" ht="14.4">
      <c r="A1234" s="187"/>
      <c r="B1234" s="190"/>
      <c r="C1234" s="190"/>
      <c r="D1234" s="69"/>
      <c r="E1234" s="69"/>
      <c r="F1234" s="149"/>
      <c r="G1234" s="146"/>
      <c r="H1234" s="98"/>
      <c r="I1234" s="99"/>
      <c r="J1234" s="99"/>
      <c r="K1234" s="99"/>
      <c r="L1234" s="99"/>
      <c r="M1234" s="99"/>
      <c r="N1234" s="99"/>
      <c r="O1234" s="99"/>
      <c r="P1234" s="99"/>
      <c r="Q1234" s="99"/>
      <c r="R1234" s="99"/>
      <c r="S1234" s="99"/>
      <c r="T1234" s="99"/>
      <c r="U1234" s="105"/>
      <c r="V1234" s="262"/>
      <c r="W1234" s="121"/>
      <c r="X1234" s="121"/>
      <c r="Y1234" s="121"/>
      <c r="Z1234" s="121"/>
      <c r="AA1234" s="121"/>
      <c r="AB1234" s="121"/>
      <c r="AC1234" s="121"/>
      <c r="AD1234" s="121"/>
      <c r="AE1234" s="121"/>
      <c r="AF1234" s="121"/>
      <c r="AG1234" s="121"/>
      <c r="AH1234" s="121"/>
      <c r="AI1234" s="121"/>
    </row>
    <row r="1235" spans="1:35" s="115" customFormat="1" ht="14.4">
      <c r="A1235" s="187"/>
      <c r="B1235" s="190"/>
      <c r="C1235" s="190"/>
      <c r="D1235" s="69"/>
      <c r="E1235" s="69"/>
      <c r="F1235" s="149"/>
      <c r="G1235" s="146"/>
      <c r="H1235" s="98"/>
      <c r="I1235" s="99"/>
      <c r="J1235" s="99"/>
      <c r="K1235" s="99"/>
      <c r="L1235" s="99"/>
      <c r="M1235" s="99"/>
      <c r="N1235" s="99"/>
      <c r="O1235" s="99"/>
      <c r="P1235" s="99"/>
      <c r="Q1235" s="99"/>
      <c r="R1235" s="99"/>
      <c r="S1235" s="99"/>
      <c r="T1235" s="99"/>
      <c r="U1235" s="105"/>
      <c r="V1235" s="262"/>
      <c r="W1235" s="121"/>
      <c r="X1235" s="121"/>
      <c r="Y1235" s="121"/>
      <c r="Z1235" s="121"/>
      <c r="AA1235" s="121"/>
      <c r="AB1235" s="121"/>
      <c r="AC1235" s="121"/>
      <c r="AD1235" s="121"/>
      <c r="AE1235" s="121"/>
      <c r="AF1235" s="121"/>
      <c r="AG1235" s="121"/>
      <c r="AH1235" s="121"/>
      <c r="AI1235" s="121"/>
    </row>
    <row r="1236" spans="1:35" s="115" customFormat="1" ht="14.4">
      <c r="A1236" s="187"/>
      <c r="B1236" s="190"/>
      <c r="C1236" s="190"/>
      <c r="D1236" s="69"/>
      <c r="E1236" s="69"/>
      <c r="F1236" s="149"/>
      <c r="G1236" s="146"/>
      <c r="H1236" s="98"/>
      <c r="I1236" s="99"/>
      <c r="J1236" s="99"/>
      <c r="K1236" s="99"/>
      <c r="L1236" s="99"/>
      <c r="M1236" s="99"/>
      <c r="N1236" s="99"/>
      <c r="O1236" s="99"/>
      <c r="P1236" s="99"/>
      <c r="Q1236" s="99"/>
      <c r="R1236" s="99"/>
      <c r="S1236" s="99"/>
      <c r="T1236" s="99"/>
      <c r="U1236" s="105"/>
      <c r="V1236" s="262"/>
      <c r="W1236" s="121"/>
      <c r="X1236" s="121"/>
      <c r="Y1236" s="121"/>
      <c r="Z1236" s="121"/>
      <c r="AA1236" s="121"/>
      <c r="AB1236" s="121"/>
      <c r="AC1236" s="121"/>
      <c r="AD1236" s="121"/>
      <c r="AE1236" s="121"/>
      <c r="AF1236" s="121"/>
      <c r="AG1236" s="121"/>
      <c r="AH1236" s="121"/>
      <c r="AI1236" s="121"/>
    </row>
    <row r="1237" spans="1:35" s="115" customFormat="1" ht="14.4">
      <c r="A1237" s="187"/>
      <c r="B1237" s="190"/>
      <c r="C1237" s="190"/>
      <c r="D1237" s="69"/>
      <c r="E1237" s="69"/>
      <c r="F1237" s="149"/>
      <c r="G1237" s="146"/>
      <c r="H1237" s="98"/>
      <c r="I1237" s="99"/>
      <c r="J1237" s="99"/>
      <c r="K1237" s="99"/>
      <c r="L1237" s="99"/>
      <c r="M1237" s="99"/>
      <c r="N1237" s="99"/>
      <c r="O1237" s="99"/>
      <c r="P1237" s="99"/>
      <c r="Q1237" s="99"/>
      <c r="R1237" s="99"/>
      <c r="S1237" s="99"/>
      <c r="T1237" s="99"/>
      <c r="U1237" s="105"/>
      <c r="V1237" s="262"/>
      <c r="W1237" s="121"/>
      <c r="X1237" s="121"/>
      <c r="Y1237" s="121"/>
      <c r="Z1237" s="121"/>
      <c r="AA1237" s="121"/>
      <c r="AB1237" s="121"/>
      <c r="AC1237" s="121"/>
      <c r="AD1237" s="121"/>
      <c r="AE1237" s="121"/>
      <c r="AF1237" s="121"/>
      <c r="AG1237" s="121"/>
      <c r="AH1237" s="121"/>
      <c r="AI1237" s="121"/>
    </row>
    <row r="1238" spans="1:35" s="115" customFormat="1" ht="14.4">
      <c r="A1238" s="187"/>
      <c r="B1238" s="190"/>
      <c r="C1238" s="190"/>
      <c r="D1238" s="69"/>
      <c r="E1238" s="69"/>
      <c r="F1238" s="149"/>
      <c r="G1238" s="146"/>
      <c r="H1238" s="107"/>
      <c r="I1238" s="108"/>
      <c r="J1238" s="108"/>
      <c r="K1238" s="108"/>
      <c r="L1238" s="108"/>
      <c r="M1238" s="108"/>
      <c r="N1238" s="109"/>
      <c r="O1238" s="109"/>
      <c r="P1238" s="109"/>
      <c r="Q1238" s="109"/>
      <c r="R1238" s="109"/>
      <c r="S1238" s="109"/>
      <c r="T1238" s="109"/>
      <c r="U1238" s="105"/>
      <c r="V1238" s="262"/>
      <c r="W1238" s="121"/>
      <c r="X1238" s="121"/>
      <c r="Y1238" s="121"/>
      <c r="Z1238" s="121"/>
      <c r="AA1238" s="121"/>
      <c r="AB1238" s="121"/>
      <c r="AC1238" s="121"/>
      <c r="AD1238" s="121"/>
      <c r="AE1238" s="121"/>
      <c r="AF1238" s="121"/>
      <c r="AG1238" s="121"/>
      <c r="AH1238" s="121"/>
      <c r="AI1238" s="121"/>
    </row>
    <row r="1239" spans="1:35" s="115" customFormat="1" ht="14.4">
      <c r="A1239" s="187"/>
      <c r="B1239" s="190"/>
      <c r="C1239" s="190"/>
      <c r="D1239" s="69"/>
      <c r="E1239" s="69"/>
      <c r="F1239" s="149"/>
      <c r="G1239" s="146"/>
      <c r="H1239" s="98"/>
      <c r="I1239" s="106"/>
      <c r="J1239" s="106"/>
      <c r="K1239" s="106"/>
      <c r="L1239" s="106"/>
      <c r="M1239" s="106"/>
      <c r="N1239" s="112"/>
      <c r="O1239" s="112"/>
      <c r="P1239" s="112"/>
      <c r="Q1239" s="113"/>
      <c r="R1239" s="212"/>
      <c r="S1239" s="212"/>
      <c r="T1239" s="113"/>
      <c r="U1239" s="105"/>
      <c r="V1239" s="262"/>
      <c r="W1239" s="121"/>
      <c r="X1239" s="121"/>
      <c r="Y1239" s="121"/>
      <c r="Z1239" s="121"/>
      <c r="AA1239" s="121"/>
      <c r="AB1239" s="121"/>
      <c r="AC1239" s="121"/>
      <c r="AD1239" s="121"/>
      <c r="AE1239" s="121"/>
      <c r="AF1239" s="121"/>
      <c r="AG1239" s="121"/>
      <c r="AH1239" s="121"/>
      <c r="AI1239" s="121"/>
    </row>
    <row r="1240" spans="1:35" s="115" customFormat="1" ht="14.4">
      <c r="A1240" s="187"/>
      <c r="B1240" s="190"/>
      <c r="C1240" s="190"/>
      <c r="D1240" s="69"/>
      <c r="E1240" s="69"/>
      <c r="F1240" s="149"/>
      <c r="G1240" s="146"/>
      <c r="H1240" s="98"/>
      <c r="I1240" s="99"/>
      <c r="J1240" s="99"/>
      <c r="K1240" s="99"/>
      <c r="L1240" s="99"/>
      <c r="M1240" s="99"/>
      <c r="N1240" s="99"/>
      <c r="O1240" s="99"/>
      <c r="P1240" s="99"/>
      <c r="Q1240" s="99"/>
      <c r="R1240" s="99"/>
      <c r="S1240" s="99"/>
      <c r="T1240" s="99"/>
      <c r="U1240" s="105"/>
      <c r="V1240" s="262"/>
      <c r="W1240" s="121"/>
      <c r="X1240" s="121"/>
      <c r="Y1240" s="121"/>
      <c r="Z1240" s="121"/>
      <c r="AA1240" s="121"/>
      <c r="AB1240" s="121"/>
      <c r="AC1240" s="121"/>
      <c r="AD1240" s="121"/>
      <c r="AE1240" s="121"/>
      <c r="AF1240" s="121"/>
      <c r="AG1240" s="121"/>
      <c r="AH1240" s="121"/>
      <c r="AI1240" s="121"/>
    </row>
    <row r="1241" spans="1:35" s="115" customFormat="1" ht="14.4">
      <c r="A1241" s="187"/>
      <c r="B1241" s="190"/>
      <c r="C1241" s="190"/>
      <c r="D1241" s="69"/>
      <c r="E1241" s="69"/>
      <c r="F1241" s="149"/>
      <c r="G1241" s="146"/>
      <c r="H1241" s="98"/>
      <c r="I1241" s="99"/>
      <c r="J1241" s="99"/>
      <c r="K1241" s="99"/>
      <c r="L1241" s="99"/>
      <c r="M1241" s="99"/>
      <c r="N1241" s="99"/>
      <c r="O1241" s="99"/>
      <c r="P1241" s="99"/>
      <c r="Q1241" s="99"/>
      <c r="R1241" s="99"/>
      <c r="S1241" s="99"/>
      <c r="T1241" s="99"/>
      <c r="U1241" s="105"/>
      <c r="V1241" s="262"/>
      <c r="W1241" s="121"/>
      <c r="X1241" s="121"/>
      <c r="Y1241" s="121"/>
      <c r="Z1241" s="121"/>
      <c r="AA1241" s="121"/>
      <c r="AB1241" s="121"/>
      <c r="AC1241" s="121"/>
      <c r="AD1241" s="121"/>
      <c r="AE1241" s="121"/>
      <c r="AF1241" s="121"/>
      <c r="AG1241" s="121"/>
      <c r="AH1241" s="121"/>
      <c r="AI1241" s="121"/>
    </row>
    <row r="1242" spans="1:35" s="115" customFormat="1" ht="14.4">
      <c r="A1242" s="187"/>
      <c r="B1242" s="190"/>
      <c r="C1242" s="190"/>
      <c r="D1242" s="69"/>
      <c r="E1242" s="69"/>
      <c r="F1242" s="149"/>
      <c r="G1242" s="146"/>
      <c r="H1242" s="98"/>
      <c r="I1242" s="99"/>
      <c r="J1242" s="99"/>
      <c r="K1242" s="99"/>
      <c r="L1242" s="99"/>
      <c r="M1242" s="99"/>
      <c r="N1242" s="99"/>
      <c r="O1242" s="99"/>
      <c r="P1242" s="99"/>
      <c r="Q1242" s="99"/>
      <c r="R1242" s="99"/>
      <c r="S1242" s="99"/>
      <c r="T1242" s="99"/>
      <c r="U1242" s="105"/>
      <c r="V1242" s="262"/>
      <c r="W1242" s="121"/>
      <c r="X1242" s="121"/>
      <c r="Y1242" s="121"/>
      <c r="Z1242" s="121"/>
      <c r="AA1242" s="121"/>
      <c r="AB1242" s="121"/>
      <c r="AC1242" s="121"/>
      <c r="AD1242" s="121"/>
      <c r="AE1242" s="121"/>
      <c r="AF1242" s="121"/>
      <c r="AG1242" s="121"/>
      <c r="AH1242" s="121"/>
      <c r="AI1242" s="121"/>
    </row>
    <row r="1243" spans="1:35" s="115" customFormat="1" ht="14.4">
      <c r="A1243" s="187"/>
      <c r="B1243" s="190"/>
      <c r="C1243" s="190"/>
      <c r="D1243" s="69"/>
      <c r="E1243" s="69"/>
      <c r="F1243" s="149"/>
      <c r="G1243" s="146"/>
      <c r="H1243" s="98"/>
      <c r="I1243" s="99"/>
      <c r="J1243" s="99"/>
      <c r="K1243" s="99"/>
      <c r="L1243" s="99"/>
      <c r="M1243" s="99"/>
      <c r="N1243" s="99"/>
      <c r="O1243" s="99"/>
      <c r="P1243" s="99"/>
      <c r="Q1243" s="99"/>
      <c r="R1243" s="99"/>
      <c r="S1243" s="99"/>
      <c r="T1243" s="99"/>
      <c r="U1243" s="105"/>
      <c r="V1243" s="262"/>
      <c r="W1243" s="121"/>
      <c r="X1243" s="121"/>
      <c r="Y1243" s="121"/>
      <c r="Z1243" s="121"/>
      <c r="AA1243" s="121"/>
      <c r="AB1243" s="121"/>
      <c r="AC1243" s="121"/>
      <c r="AD1243" s="121"/>
      <c r="AE1243" s="121"/>
      <c r="AF1243" s="121"/>
      <c r="AG1243" s="121"/>
      <c r="AH1243" s="121"/>
      <c r="AI1243" s="121"/>
    </row>
    <row r="1244" spans="1:35" s="115" customFormat="1" ht="14.4">
      <c r="A1244" s="187"/>
      <c r="B1244" s="190"/>
      <c r="C1244" s="190"/>
      <c r="D1244" s="69"/>
      <c r="E1244" s="69"/>
      <c r="F1244" s="149"/>
      <c r="G1244" s="146"/>
      <c r="H1244" s="98"/>
      <c r="I1244" s="99"/>
      <c r="J1244" s="99"/>
      <c r="K1244" s="99"/>
      <c r="L1244" s="99"/>
      <c r="M1244" s="99"/>
      <c r="N1244" s="99"/>
      <c r="O1244" s="99"/>
      <c r="P1244" s="99"/>
      <c r="Q1244" s="99"/>
      <c r="R1244" s="99"/>
      <c r="S1244" s="99"/>
      <c r="T1244" s="99"/>
      <c r="U1244" s="105"/>
      <c r="V1244" s="262"/>
      <c r="W1244" s="121"/>
      <c r="X1244" s="121"/>
      <c r="Y1244" s="121"/>
      <c r="Z1244" s="121"/>
      <c r="AA1244" s="121"/>
      <c r="AB1244" s="121"/>
      <c r="AC1244" s="121"/>
      <c r="AD1244" s="121"/>
      <c r="AE1244" s="121"/>
      <c r="AF1244" s="121"/>
      <c r="AG1244" s="121"/>
      <c r="AH1244" s="121"/>
      <c r="AI1244" s="121"/>
    </row>
    <row r="1245" spans="1:35" s="115" customFormat="1" ht="14.4">
      <c r="A1245" s="187"/>
      <c r="B1245" s="190"/>
      <c r="C1245" s="190"/>
      <c r="D1245" s="69"/>
      <c r="E1245" s="69"/>
      <c r="F1245" s="149"/>
      <c r="G1245" s="146"/>
      <c r="H1245" s="98"/>
      <c r="I1245" s="99"/>
      <c r="J1245" s="99"/>
      <c r="K1245" s="99"/>
      <c r="L1245" s="99"/>
      <c r="M1245" s="99"/>
      <c r="N1245" s="99"/>
      <c r="O1245" s="99"/>
      <c r="P1245" s="99"/>
      <c r="Q1245" s="99"/>
      <c r="R1245" s="99"/>
      <c r="S1245" s="99"/>
      <c r="T1245" s="99"/>
      <c r="U1245" s="105"/>
      <c r="V1245" s="262"/>
      <c r="W1245" s="121"/>
      <c r="X1245" s="121"/>
      <c r="Y1245" s="121"/>
      <c r="Z1245" s="121"/>
      <c r="AA1245" s="121"/>
      <c r="AB1245" s="121"/>
      <c r="AC1245" s="121"/>
      <c r="AD1245" s="121"/>
      <c r="AE1245" s="121"/>
      <c r="AF1245" s="121"/>
      <c r="AG1245" s="121"/>
      <c r="AH1245" s="121"/>
      <c r="AI1245" s="121"/>
    </row>
    <row r="1246" spans="1:35" s="115" customFormat="1" ht="14.4">
      <c r="A1246" s="187"/>
      <c r="B1246" s="190"/>
      <c r="C1246" s="190"/>
      <c r="D1246" s="69"/>
      <c r="E1246" s="69"/>
      <c r="F1246" s="149"/>
      <c r="G1246" s="146"/>
      <c r="H1246" s="98"/>
      <c r="I1246" s="99"/>
      <c r="J1246" s="99"/>
      <c r="K1246" s="99"/>
      <c r="L1246" s="99"/>
      <c r="M1246" s="99"/>
      <c r="N1246" s="99"/>
      <c r="O1246" s="99"/>
      <c r="P1246" s="99"/>
      <c r="Q1246" s="99"/>
      <c r="R1246" s="99"/>
      <c r="S1246" s="99"/>
      <c r="T1246" s="99"/>
      <c r="U1246" s="105"/>
      <c r="V1246" s="262"/>
      <c r="W1246" s="121"/>
      <c r="X1246" s="121"/>
      <c r="Y1246" s="121"/>
      <c r="Z1246" s="121"/>
      <c r="AA1246" s="121"/>
      <c r="AB1246" s="121"/>
      <c r="AC1246" s="121"/>
      <c r="AD1246" s="121"/>
      <c r="AE1246" s="121"/>
      <c r="AF1246" s="121"/>
      <c r="AG1246" s="121"/>
      <c r="AH1246" s="121"/>
      <c r="AI1246" s="121"/>
    </row>
    <row r="1247" spans="1:35" s="115" customFormat="1" ht="14.4">
      <c r="A1247" s="187"/>
      <c r="B1247" s="190"/>
      <c r="C1247" s="190"/>
      <c r="D1247" s="69"/>
      <c r="E1247" s="69"/>
      <c r="F1247" s="149"/>
      <c r="G1247" s="146"/>
      <c r="H1247" s="98"/>
      <c r="I1247" s="99"/>
      <c r="J1247" s="99"/>
      <c r="K1247" s="99"/>
      <c r="L1247" s="99"/>
      <c r="M1247" s="99"/>
      <c r="N1247" s="99"/>
      <c r="O1247" s="99"/>
      <c r="P1247" s="99"/>
      <c r="Q1247" s="99"/>
      <c r="R1247" s="99"/>
      <c r="S1247" s="99"/>
      <c r="T1247" s="99"/>
      <c r="U1247" s="105"/>
      <c r="V1247" s="262"/>
      <c r="W1247" s="121"/>
      <c r="X1247" s="121"/>
      <c r="Y1247" s="121"/>
      <c r="Z1247" s="121"/>
      <c r="AA1247" s="121"/>
      <c r="AB1247" s="121"/>
      <c r="AC1247" s="121"/>
      <c r="AD1247" s="121"/>
      <c r="AE1247" s="121"/>
      <c r="AF1247" s="121"/>
      <c r="AG1247" s="121"/>
      <c r="AH1247" s="121"/>
      <c r="AI1247" s="121"/>
    </row>
    <row r="1248" spans="1:35" s="115" customFormat="1" ht="14.4">
      <c r="A1248" s="187"/>
      <c r="B1248" s="190"/>
      <c r="C1248" s="190"/>
      <c r="D1248" s="69"/>
      <c r="E1248" s="69"/>
      <c r="F1248" s="149"/>
      <c r="G1248" s="146"/>
      <c r="H1248" s="98"/>
      <c r="I1248" s="99"/>
      <c r="J1248" s="99"/>
      <c r="K1248" s="99"/>
      <c r="L1248" s="99"/>
      <c r="M1248" s="99"/>
      <c r="N1248" s="99"/>
      <c r="O1248" s="99"/>
      <c r="P1248" s="99"/>
      <c r="Q1248" s="99"/>
      <c r="R1248" s="99"/>
      <c r="S1248" s="99"/>
      <c r="T1248" s="99"/>
      <c r="U1248" s="105"/>
      <c r="V1248" s="262"/>
      <c r="W1248" s="121"/>
      <c r="X1248" s="121"/>
      <c r="Y1248" s="121"/>
      <c r="Z1248" s="121"/>
      <c r="AA1248" s="121"/>
      <c r="AB1248" s="121"/>
      <c r="AC1248" s="121"/>
      <c r="AD1248" s="121"/>
      <c r="AE1248" s="121"/>
      <c r="AF1248" s="121"/>
      <c r="AG1248" s="121"/>
      <c r="AH1248" s="121"/>
      <c r="AI1248" s="121"/>
    </row>
    <row r="1249" spans="1:35" s="115" customFormat="1" ht="14.4">
      <c r="A1249" s="187"/>
      <c r="B1249" s="190"/>
      <c r="C1249" s="190"/>
      <c r="D1249" s="69"/>
      <c r="E1249" s="69"/>
      <c r="F1249" s="149"/>
      <c r="G1249" s="146"/>
      <c r="H1249" s="98"/>
      <c r="I1249" s="99"/>
      <c r="J1249" s="99"/>
      <c r="K1249" s="99"/>
      <c r="L1249" s="99"/>
      <c r="M1249" s="99"/>
      <c r="N1249" s="99"/>
      <c r="O1249" s="99"/>
      <c r="P1249" s="99"/>
      <c r="Q1249" s="99"/>
      <c r="R1249" s="99"/>
      <c r="S1249" s="99"/>
      <c r="T1249" s="99"/>
      <c r="U1249" s="105"/>
      <c r="V1249" s="262"/>
      <c r="W1249" s="121"/>
      <c r="X1249" s="121"/>
      <c r="Y1249" s="121"/>
      <c r="Z1249" s="121"/>
      <c r="AA1249" s="121"/>
      <c r="AB1249" s="121"/>
      <c r="AC1249" s="121"/>
      <c r="AD1249" s="121"/>
      <c r="AE1249" s="121"/>
      <c r="AF1249" s="121"/>
      <c r="AG1249" s="121"/>
      <c r="AH1249" s="121"/>
      <c r="AI1249" s="121"/>
    </row>
    <row r="1250" spans="1:35" s="115" customFormat="1" ht="14.4">
      <c r="A1250" s="187"/>
      <c r="B1250" s="190"/>
      <c r="C1250" s="190"/>
      <c r="D1250" s="69"/>
      <c r="E1250" s="69"/>
      <c r="F1250" s="149"/>
      <c r="G1250" s="146"/>
      <c r="H1250" s="98"/>
      <c r="I1250" s="99"/>
      <c r="J1250" s="99"/>
      <c r="K1250" s="99"/>
      <c r="L1250" s="99"/>
      <c r="M1250" s="99"/>
      <c r="N1250" s="99"/>
      <c r="O1250" s="99"/>
      <c r="P1250" s="99"/>
      <c r="Q1250" s="99"/>
      <c r="R1250" s="99"/>
      <c r="S1250" s="99"/>
      <c r="T1250" s="99"/>
      <c r="U1250" s="105"/>
      <c r="V1250" s="262"/>
      <c r="W1250" s="121"/>
      <c r="X1250" s="121"/>
      <c r="Y1250" s="121"/>
      <c r="Z1250" s="121"/>
      <c r="AA1250" s="121"/>
      <c r="AB1250" s="121"/>
      <c r="AC1250" s="121"/>
      <c r="AD1250" s="121"/>
      <c r="AE1250" s="121"/>
      <c r="AF1250" s="121"/>
      <c r="AG1250" s="121"/>
      <c r="AH1250" s="121"/>
      <c r="AI1250" s="121"/>
    </row>
    <row r="1251" spans="1:35" s="115" customFormat="1" ht="14.4">
      <c r="A1251" s="187"/>
      <c r="B1251" s="190"/>
      <c r="C1251" s="190"/>
      <c r="D1251" s="69"/>
      <c r="E1251" s="69"/>
      <c r="F1251" s="149"/>
      <c r="G1251" s="146"/>
      <c r="H1251" s="98"/>
      <c r="I1251" s="99"/>
      <c r="J1251" s="99"/>
      <c r="K1251" s="99"/>
      <c r="L1251" s="99"/>
      <c r="M1251" s="99"/>
      <c r="N1251" s="99"/>
      <c r="O1251" s="99"/>
      <c r="P1251" s="99"/>
      <c r="Q1251" s="99"/>
      <c r="R1251" s="99"/>
      <c r="S1251" s="99"/>
      <c r="T1251" s="99"/>
      <c r="U1251" s="105"/>
      <c r="V1251" s="262"/>
      <c r="W1251" s="121"/>
      <c r="X1251" s="121"/>
      <c r="Y1251" s="121"/>
      <c r="Z1251" s="121"/>
      <c r="AA1251" s="121"/>
      <c r="AB1251" s="121"/>
      <c r="AC1251" s="121"/>
      <c r="AD1251" s="121"/>
      <c r="AE1251" s="121"/>
      <c r="AF1251" s="121"/>
      <c r="AG1251" s="121"/>
      <c r="AH1251" s="121"/>
      <c r="AI1251" s="121"/>
    </row>
    <row r="1252" spans="1:35" s="115" customFormat="1" ht="14.4">
      <c r="A1252" s="187"/>
      <c r="B1252" s="190"/>
      <c r="C1252" s="190"/>
      <c r="D1252" s="69"/>
      <c r="E1252" s="69"/>
      <c r="F1252" s="149"/>
      <c r="G1252" s="146"/>
      <c r="H1252" s="98"/>
      <c r="I1252" s="99"/>
      <c r="J1252" s="99"/>
      <c r="K1252" s="99"/>
      <c r="L1252" s="99"/>
      <c r="M1252" s="99"/>
      <c r="N1252" s="99"/>
      <c r="O1252" s="99"/>
      <c r="P1252" s="99"/>
      <c r="Q1252" s="99"/>
      <c r="R1252" s="99"/>
      <c r="S1252" s="99"/>
      <c r="T1252" s="99"/>
      <c r="U1252" s="105"/>
      <c r="V1252" s="262"/>
      <c r="W1252" s="121"/>
      <c r="X1252" s="121"/>
      <c r="Y1252" s="121"/>
      <c r="Z1252" s="121"/>
      <c r="AA1252" s="121"/>
      <c r="AB1252" s="121"/>
      <c r="AC1252" s="121"/>
      <c r="AD1252" s="121"/>
      <c r="AE1252" s="121"/>
      <c r="AF1252" s="121"/>
      <c r="AG1252" s="121"/>
      <c r="AH1252" s="121"/>
      <c r="AI1252" s="121"/>
    </row>
    <row r="1253" spans="1:35" s="115" customFormat="1" ht="14.4">
      <c r="A1253" s="187"/>
      <c r="B1253" s="190"/>
      <c r="C1253" s="190"/>
      <c r="D1253" s="69"/>
      <c r="E1253" s="69"/>
      <c r="F1253" s="149"/>
      <c r="G1253" s="146"/>
      <c r="H1253" s="98"/>
      <c r="I1253" s="99"/>
      <c r="J1253" s="99"/>
      <c r="K1253" s="99"/>
      <c r="L1253" s="99"/>
      <c r="M1253" s="99"/>
      <c r="N1253" s="99"/>
      <c r="O1253" s="99"/>
      <c r="P1253" s="99"/>
      <c r="Q1253" s="99"/>
      <c r="R1253" s="99"/>
      <c r="S1253" s="99"/>
      <c r="T1253" s="99"/>
      <c r="U1253" s="105"/>
      <c r="V1253" s="262"/>
      <c r="W1253" s="121"/>
      <c r="X1253" s="121"/>
      <c r="Y1253" s="121"/>
      <c r="Z1253" s="121"/>
      <c r="AA1253" s="121"/>
      <c r="AB1253" s="121"/>
      <c r="AC1253" s="121"/>
      <c r="AD1253" s="121"/>
      <c r="AE1253" s="121"/>
      <c r="AF1253" s="121"/>
      <c r="AG1253" s="121"/>
      <c r="AH1253" s="121"/>
      <c r="AI1253" s="121"/>
    </row>
    <row r="1254" spans="1:35" s="115" customFormat="1" ht="14.4">
      <c r="A1254" s="187"/>
      <c r="B1254" s="190"/>
      <c r="C1254" s="190"/>
      <c r="D1254" s="69"/>
      <c r="E1254" s="69"/>
      <c r="F1254" s="149"/>
      <c r="G1254" s="146"/>
      <c r="H1254" s="98"/>
      <c r="I1254" s="99"/>
      <c r="J1254" s="99"/>
      <c r="K1254" s="99"/>
      <c r="L1254" s="99"/>
      <c r="M1254" s="99"/>
      <c r="N1254" s="99"/>
      <c r="O1254" s="99"/>
      <c r="P1254" s="99"/>
      <c r="Q1254" s="99"/>
      <c r="R1254" s="99"/>
      <c r="S1254" s="99"/>
      <c r="T1254" s="99"/>
      <c r="U1254" s="105"/>
      <c r="V1254" s="262"/>
      <c r="W1254" s="121"/>
      <c r="X1254" s="121"/>
      <c r="Y1254" s="121"/>
      <c r="Z1254" s="121"/>
      <c r="AA1254" s="121"/>
      <c r="AB1254" s="121"/>
      <c r="AC1254" s="121"/>
      <c r="AD1254" s="121"/>
      <c r="AE1254" s="121"/>
      <c r="AF1254" s="121"/>
      <c r="AG1254" s="121"/>
      <c r="AH1254" s="121"/>
      <c r="AI1254" s="121"/>
    </row>
    <row r="1255" spans="1:35" s="115" customFormat="1" ht="14.4">
      <c r="A1255" s="187"/>
      <c r="B1255" s="190"/>
      <c r="C1255" s="190"/>
      <c r="D1255" s="69"/>
      <c r="E1255" s="69"/>
      <c r="F1255" s="149"/>
      <c r="G1255" s="146"/>
      <c r="H1255" s="98"/>
      <c r="I1255" s="99"/>
      <c r="J1255" s="99"/>
      <c r="K1255" s="99"/>
      <c r="L1255" s="99"/>
      <c r="M1255" s="99"/>
      <c r="N1255" s="99"/>
      <c r="O1255" s="99"/>
      <c r="P1255" s="99"/>
      <c r="Q1255" s="99"/>
      <c r="R1255" s="99"/>
      <c r="S1255" s="99"/>
      <c r="T1255" s="99"/>
      <c r="U1255" s="105"/>
      <c r="V1255" s="262"/>
      <c r="W1255" s="121"/>
      <c r="X1255" s="121"/>
      <c r="Y1255" s="121"/>
      <c r="Z1255" s="121"/>
      <c r="AA1255" s="121"/>
      <c r="AB1255" s="121"/>
      <c r="AC1255" s="121"/>
      <c r="AD1255" s="121"/>
      <c r="AE1255" s="121"/>
      <c r="AF1255" s="121"/>
      <c r="AG1255" s="121"/>
      <c r="AH1255" s="121"/>
      <c r="AI1255" s="121"/>
    </row>
    <row r="1256" spans="1:35" s="115" customFormat="1" ht="14.4">
      <c r="A1256" s="187"/>
      <c r="B1256" s="190"/>
      <c r="C1256" s="190"/>
      <c r="D1256" s="69"/>
      <c r="E1256" s="69"/>
      <c r="F1256" s="149"/>
      <c r="G1256" s="146"/>
      <c r="H1256" s="98"/>
      <c r="I1256" s="99"/>
      <c r="J1256" s="99"/>
      <c r="K1256" s="99"/>
      <c r="L1256" s="99"/>
      <c r="M1256" s="99"/>
      <c r="N1256" s="99"/>
      <c r="O1256" s="99"/>
      <c r="P1256" s="99"/>
      <c r="Q1256" s="99"/>
      <c r="R1256" s="99"/>
      <c r="S1256" s="99"/>
      <c r="T1256" s="99"/>
      <c r="U1256" s="105"/>
      <c r="V1256" s="262"/>
      <c r="W1256" s="121"/>
      <c r="X1256" s="121"/>
      <c r="Y1256" s="121"/>
      <c r="Z1256" s="121"/>
      <c r="AA1256" s="121"/>
      <c r="AB1256" s="121"/>
      <c r="AC1256" s="121"/>
      <c r="AD1256" s="121"/>
      <c r="AE1256" s="121"/>
      <c r="AF1256" s="121"/>
      <c r="AG1256" s="121"/>
      <c r="AH1256" s="121"/>
      <c r="AI1256" s="121"/>
    </row>
    <row r="1257" spans="1:35" s="115" customFormat="1" ht="14.4">
      <c r="A1257" s="187"/>
      <c r="B1257" s="190"/>
      <c r="C1257" s="190"/>
      <c r="D1257" s="69"/>
      <c r="E1257" s="69"/>
      <c r="F1257" s="149"/>
      <c r="G1257" s="146"/>
      <c r="H1257" s="98"/>
      <c r="I1257" s="99"/>
      <c r="J1257" s="99"/>
      <c r="K1257" s="99"/>
      <c r="L1257" s="99"/>
      <c r="M1257" s="99"/>
      <c r="N1257" s="99"/>
      <c r="O1257" s="99"/>
      <c r="P1257" s="99"/>
      <c r="Q1257" s="99"/>
      <c r="R1257" s="99"/>
      <c r="S1257" s="99"/>
      <c r="T1257" s="99"/>
      <c r="U1257" s="105"/>
      <c r="V1257" s="262"/>
      <c r="W1257" s="121"/>
      <c r="X1257" s="121"/>
      <c r="Y1257" s="121"/>
      <c r="Z1257" s="121"/>
      <c r="AA1257" s="121"/>
      <c r="AB1257" s="121"/>
      <c r="AC1257" s="121"/>
      <c r="AD1257" s="121"/>
      <c r="AE1257" s="121"/>
      <c r="AF1257" s="121"/>
      <c r="AG1257" s="121"/>
      <c r="AH1257" s="121"/>
      <c r="AI1257" s="121"/>
    </row>
    <row r="1258" spans="1:35" s="115" customFormat="1" ht="14.4">
      <c r="A1258" s="187"/>
      <c r="B1258" s="190"/>
      <c r="C1258" s="190"/>
      <c r="D1258" s="69"/>
      <c r="E1258" s="69"/>
      <c r="F1258" s="149"/>
      <c r="G1258" s="146"/>
      <c r="H1258" s="98"/>
      <c r="I1258" s="99"/>
      <c r="J1258" s="99"/>
      <c r="K1258" s="99"/>
      <c r="L1258" s="99"/>
      <c r="M1258" s="99"/>
      <c r="N1258" s="99"/>
      <c r="O1258" s="99"/>
      <c r="P1258" s="99"/>
      <c r="Q1258" s="99"/>
      <c r="R1258" s="99"/>
      <c r="S1258" s="99"/>
      <c r="T1258" s="99"/>
      <c r="U1258" s="105"/>
      <c r="V1258" s="262"/>
      <c r="W1258" s="121"/>
      <c r="X1258" s="121"/>
      <c r="Y1258" s="121"/>
      <c r="Z1258" s="121"/>
      <c r="AA1258" s="121"/>
      <c r="AB1258" s="121"/>
      <c r="AC1258" s="121"/>
      <c r="AD1258" s="121"/>
      <c r="AE1258" s="121"/>
      <c r="AF1258" s="121"/>
      <c r="AG1258" s="121"/>
      <c r="AH1258" s="121"/>
      <c r="AI1258" s="121"/>
    </row>
    <row r="1259" spans="1:35" s="115" customFormat="1" ht="14.4">
      <c r="A1259" s="187"/>
      <c r="B1259" s="190"/>
      <c r="C1259" s="190"/>
      <c r="D1259" s="69"/>
      <c r="E1259" s="69"/>
      <c r="F1259" s="149"/>
      <c r="G1259" s="146"/>
      <c r="H1259" s="107"/>
      <c r="I1259" s="108"/>
      <c r="J1259" s="108"/>
      <c r="K1259" s="108"/>
      <c r="L1259" s="108"/>
      <c r="M1259" s="108"/>
      <c r="N1259" s="108"/>
      <c r="O1259" s="108"/>
      <c r="P1259" s="108"/>
      <c r="Q1259" s="108"/>
      <c r="R1259" s="108"/>
      <c r="S1259" s="108"/>
      <c r="T1259" s="108"/>
      <c r="U1259" s="105"/>
      <c r="V1259" s="262"/>
      <c r="W1259" s="121"/>
      <c r="X1259" s="121"/>
      <c r="Y1259" s="121"/>
      <c r="Z1259" s="121"/>
      <c r="AA1259" s="121"/>
      <c r="AB1259" s="121"/>
      <c r="AC1259" s="121"/>
      <c r="AD1259" s="121"/>
      <c r="AE1259" s="121"/>
      <c r="AF1259" s="121"/>
      <c r="AG1259" s="121"/>
      <c r="AH1259" s="121"/>
      <c r="AI1259" s="121"/>
    </row>
    <row r="1260" spans="1:35" s="115" customFormat="1" ht="14.4">
      <c r="A1260" s="187"/>
      <c r="B1260" s="190"/>
      <c r="C1260" s="190"/>
      <c r="D1260" s="69"/>
      <c r="E1260" s="69"/>
      <c r="F1260" s="149"/>
      <c r="G1260" s="146"/>
      <c r="H1260" s="98"/>
      <c r="I1260" s="106"/>
      <c r="J1260" s="106"/>
      <c r="K1260" s="106"/>
      <c r="L1260" s="106"/>
      <c r="M1260" s="106"/>
      <c r="N1260" s="112"/>
      <c r="O1260" s="112"/>
      <c r="P1260" s="112"/>
      <c r="Q1260" s="113"/>
      <c r="R1260" s="212"/>
      <c r="S1260" s="212"/>
      <c r="T1260" s="113"/>
      <c r="U1260" s="105"/>
      <c r="V1260" s="262"/>
      <c r="W1260" s="121"/>
      <c r="X1260" s="121"/>
      <c r="Y1260" s="121"/>
      <c r="Z1260" s="121"/>
      <c r="AA1260" s="121"/>
      <c r="AB1260" s="121"/>
      <c r="AC1260" s="121"/>
      <c r="AD1260" s="121"/>
      <c r="AE1260" s="121"/>
      <c r="AF1260" s="121"/>
      <c r="AG1260" s="121"/>
      <c r="AH1260" s="121"/>
      <c r="AI1260" s="121"/>
    </row>
    <row r="1261" spans="1:35" s="115" customFormat="1" ht="14.4">
      <c r="A1261" s="187"/>
      <c r="B1261" s="190"/>
      <c r="C1261" s="190"/>
      <c r="D1261" s="69"/>
      <c r="E1261" s="69"/>
      <c r="F1261" s="149"/>
      <c r="G1261" s="146"/>
      <c r="H1261" s="98"/>
      <c r="I1261" s="99"/>
      <c r="J1261" s="99"/>
      <c r="K1261" s="99"/>
      <c r="L1261" s="99"/>
      <c r="M1261" s="99"/>
      <c r="N1261" s="99"/>
      <c r="O1261" s="99"/>
      <c r="P1261" s="99"/>
      <c r="Q1261" s="99"/>
      <c r="R1261" s="99"/>
      <c r="S1261" s="99"/>
      <c r="T1261" s="99"/>
      <c r="U1261" s="105"/>
      <c r="V1261" s="262"/>
      <c r="W1261" s="121"/>
      <c r="X1261" s="121"/>
      <c r="Y1261" s="121"/>
      <c r="Z1261" s="121"/>
      <c r="AA1261" s="121"/>
      <c r="AB1261" s="121"/>
      <c r="AC1261" s="121"/>
      <c r="AD1261" s="121"/>
      <c r="AE1261" s="121"/>
      <c r="AF1261" s="121"/>
      <c r="AG1261" s="121"/>
      <c r="AH1261" s="121"/>
      <c r="AI1261" s="121"/>
    </row>
    <row r="1262" spans="1:35" s="115" customFormat="1" ht="14.4">
      <c r="A1262" s="187"/>
      <c r="B1262" s="190"/>
      <c r="C1262" s="190"/>
      <c r="D1262" s="69"/>
      <c r="E1262" s="69"/>
      <c r="F1262" s="149"/>
      <c r="G1262" s="146"/>
      <c r="H1262" s="98"/>
      <c r="I1262" s="99"/>
      <c r="J1262" s="99"/>
      <c r="K1262" s="99"/>
      <c r="L1262" s="99"/>
      <c r="M1262" s="99"/>
      <c r="N1262" s="99"/>
      <c r="O1262" s="99"/>
      <c r="P1262" s="99"/>
      <c r="Q1262" s="99"/>
      <c r="R1262" s="99"/>
      <c r="S1262" s="99"/>
      <c r="T1262" s="99"/>
      <c r="U1262" s="105"/>
      <c r="V1262" s="262"/>
      <c r="W1262" s="121"/>
      <c r="X1262" s="121"/>
      <c r="Y1262" s="121"/>
      <c r="Z1262" s="121"/>
      <c r="AA1262" s="121"/>
      <c r="AB1262" s="121"/>
      <c r="AC1262" s="121"/>
      <c r="AD1262" s="121"/>
      <c r="AE1262" s="121"/>
      <c r="AF1262" s="121"/>
      <c r="AG1262" s="121"/>
      <c r="AH1262" s="121"/>
      <c r="AI1262" s="121"/>
    </row>
    <row r="1263" spans="1:35" s="115" customFormat="1" ht="14.4">
      <c r="A1263" s="187"/>
      <c r="B1263" s="190"/>
      <c r="C1263" s="190"/>
      <c r="D1263" s="69"/>
      <c r="E1263" s="69"/>
      <c r="F1263" s="149"/>
      <c r="G1263" s="146"/>
      <c r="H1263" s="98"/>
      <c r="I1263" s="99"/>
      <c r="J1263" s="99"/>
      <c r="K1263" s="99"/>
      <c r="L1263" s="99"/>
      <c r="M1263" s="99"/>
      <c r="N1263" s="99"/>
      <c r="O1263" s="99"/>
      <c r="P1263" s="99"/>
      <c r="Q1263" s="99"/>
      <c r="R1263" s="99"/>
      <c r="S1263" s="99"/>
      <c r="T1263" s="99"/>
      <c r="U1263" s="105"/>
      <c r="V1263" s="262"/>
      <c r="W1263" s="121"/>
      <c r="X1263" s="121"/>
      <c r="Y1263" s="121"/>
      <c r="Z1263" s="121"/>
      <c r="AA1263" s="121"/>
      <c r="AB1263" s="121"/>
      <c r="AC1263" s="121"/>
      <c r="AD1263" s="121"/>
      <c r="AE1263" s="121"/>
      <c r="AF1263" s="121"/>
      <c r="AG1263" s="121"/>
      <c r="AH1263" s="121"/>
      <c r="AI1263" s="121"/>
    </row>
    <row r="1264" spans="1:35" s="115" customFormat="1" ht="14.4">
      <c r="A1264" s="187"/>
      <c r="B1264" s="190"/>
      <c r="C1264" s="190"/>
      <c r="D1264" s="69"/>
      <c r="E1264" s="69"/>
      <c r="F1264" s="149"/>
      <c r="G1264" s="146"/>
      <c r="H1264" s="98"/>
      <c r="I1264" s="99"/>
      <c r="J1264" s="99"/>
      <c r="K1264" s="99"/>
      <c r="L1264" s="99"/>
      <c r="M1264" s="99"/>
      <c r="N1264" s="99"/>
      <c r="O1264" s="99"/>
      <c r="P1264" s="99"/>
      <c r="Q1264" s="99"/>
      <c r="R1264" s="99"/>
      <c r="S1264" s="99"/>
      <c r="T1264" s="99"/>
      <c r="U1264" s="105"/>
      <c r="V1264" s="262"/>
      <c r="W1264" s="121"/>
      <c r="X1264" s="121"/>
      <c r="Y1264" s="121"/>
      <c r="Z1264" s="121"/>
      <c r="AA1264" s="121"/>
      <c r="AB1264" s="121"/>
      <c r="AC1264" s="121"/>
      <c r="AD1264" s="121"/>
      <c r="AE1264" s="121"/>
      <c r="AF1264" s="121"/>
      <c r="AG1264" s="121"/>
      <c r="AH1264" s="121"/>
      <c r="AI1264" s="121"/>
    </row>
    <row r="1265" spans="1:35" s="115" customFormat="1" ht="14.4">
      <c r="A1265" s="187"/>
      <c r="B1265" s="190"/>
      <c r="C1265" s="190"/>
      <c r="D1265" s="69"/>
      <c r="E1265" s="69"/>
      <c r="F1265" s="149"/>
      <c r="G1265" s="146"/>
      <c r="H1265" s="98"/>
      <c r="I1265" s="99"/>
      <c r="J1265" s="99"/>
      <c r="K1265" s="99"/>
      <c r="L1265" s="99"/>
      <c r="M1265" s="99"/>
      <c r="N1265" s="99"/>
      <c r="O1265" s="99"/>
      <c r="P1265" s="99"/>
      <c r="Q1265" s="99"/>
      <c r="R1265" s="99"/>
      <c r="S1265" s="99"/>
      <c r="T1265" s="99"/>
      <c r="U1265" s="105"/>
      <c r="V1265" s="262"/>
      <c r="W1265" s="121"/>
      <c r="X1265" s="121"/>
      <c r="Y1265" s="121"/>
      <c r="Z1265" s="121"/>
      <c r="AA1265" s="121"/>
      <c r="AB1265" s="121"/>
      <c r="AC1265" s="121"/>
      <c r="AD1265" s="121"/>
      <c r="AE1265" s="121"/>
      <c r="AF1265" s="121"/>
      <c r="AG1265" s="121"/>
      <c r="AH1265" s="121"/>
      <c r="AI1265" s="121"/>
    </row>
    <row r="1266" spans="1:35" s="115" customFormat="1" ht="14.4">
      <c r="A1266" s="187"/>
      <c r="B1266" s="190"/>
      <c r="C1266" s="190"/>
      <c r="D1266" s="69"/>
      <c r="E1266" s="69"/>
      <c r="F1266" s="149"/>
      <c r="G1266" s="146"/>
      <c r="H1266" s="98"/>
      <c r="I1266" s="99"/>
      <c r="J1266" s="99"/>
      <c r="K1266" s="99"/>
      <c r="L1266" s="99"/>
      <c r="M1266" s="99"/>
      <c r="N1266" s="99"/>
      <c r="O1266" s="99"/>
      <c r="P1266" s="99"/>
      <c r="Q1266" s="99"/>
      <c r="R1266" s="99"/>
      <c r="S1266" s="99"/>
      <c r="T1266" s="99"/>
      <c r="U1266" s="105"/>
      <c r="V1266" s="262"/>
      <c r="W1266" s="121"/>
      <c r="X1266" s="121"/>
      <c r="Y1266" s="121"/>
      <c r="Z1266" s="121"/>
      <c r="AA1266" s="121"/>
      <c r="AB1266" s="121"/>
      <c r="AC1266" s="121"/>
      <c r="AD1266" s="121"/>
      <c r="AE1266" s="121"/>
      <c r="AF1266" s="121"/>
      <c r="AG1266" s="121"/>
      <c r="AH1266" s="121"/>
      <c r="AI1266" s="121"/>
    </row>
    <row r="1267" spans="1:35" s="115" customFormat="1" ht="14.4">
      <c r="A1267" s="187"/>
      <c r="B1267" s="190"/>
      <c r="C1267" s="190"/>
      <c r="D1267" s="69"/>
      <c r="E1267" s="69"/>
      <c r="F1267" s="149"/>
      <c r="G1267" s="146"/>
      <c r="H1267" s="98"/>
      <c r="I1267" s="99"/>
      <c r="J1267" s="99"/>
      <c r="K1267" s="99"/>
      <c r="L1267" s="99"/>
      <c r="M1267" s="99"/>
      <c r="N1267" s="99"/>
      <c r="O1267" s="99"/>
      <c r="P1267" s="99"/>
      <c r="Q1267" s="99"/>
      <c r="R1267" s="99"/>
      <c r="S1267" s="99"/>
      <c r="T1267" s="99"/>
      <c r="U1267" s="105"/>
      <c r="V1267" s="262"/>
      <c r="W1267" s="121"/>
      <c r="X1267" s="121"/>
      <c r="Y1267" s="121"/>
      <c r="Z1267" s="121"/>
      <c r="AA1267" s="121"/>
      <c r="AB1267" s="121"/>
      <c r="AC1267" s="121"/>
      <c r="AD1267" s="121"/>
      <c r="AE1267" s="121"/>
      <c r="AF1267" s="121"/>
      <c r="AG1267" s="121"/>
      <c r="AH1267" s="121"/>
      <c r="AI1267" s="121"/>
    </row>
    <row r="1268" spans="1:35" s="115" customFormat="1" ht="14.4">
      <c r="A1268" s="187"/>
      <c r="B1268" s="190"/>
      <c r="C1268" s="190"/>
      <c r="D1268" s="69"/>
      <c r="E1268" s="69"/>
      <c r="F1268" s="149"/>
      <c r="G1268" s="146"/>
      <c r="H1268" s="98"/>
      <c r="I1268" s="99"/>
      <c r="J1268" s="99"/>
      <c r="K1268" s="99"/>
      <c r="L1268" s="99"/>
      <c r="M1268" s="99"/>
      <c r="N1268" s="99"/>
      <c r="O1268" s="99"/>
      <c r="P1268" s="99"/>
      <c r="Q1268" s="99"/>
      <c r="R1268" s="99"/>
      <c r="S1268" s="99"/>
      <c r="T1268" s="99"/>
      <c r="U1268" s="105"/>
      <c r="V1268" s="262"/>
      <c r="W1268" s="121"/>
      <c r="X1268" s="121"/>
      <c r="Y1268" s="121"/>
      <c r="Z1268" s="121"/>
      <c r="AA1268" s="121"/>
      <c r="AB1268" s="121"/>
      <c r="AC1268" s="121"/>
      <c r="AD1268" s="121"/>
      <c r="AE1268" s="121"/>
      <c r="AF1268" s="121"/>
      <c r="AG1268" s="121"/>
      <c r="AH1268" s="121"/>
      <c r="AI1268" s="121"/>
    </row>
    <row r="1269" spans="1:35" s="115" customFormat="1" ht="14.4">
      <c r="A1269" s="187"/>
      <c r="B1269" s="190"/>
      <c r="C1269" s="190"/>
      <c r="D1269" s="69"/>
      <c r="E1269" s="69"/>
      <c r="F1269" s="149"/>
      <c r="G1269" s="146"/>
      <c r="H1269" s="98"/>
      <c r="I1269" s="99"/>
      <c r="J1269" s="99"/>
      <c r="K1269" s="99"/>
      <c r="L1269" s="99"/>
      <c r="M1269" s="99"/>
      <c r="N1269" s="99"/>
      <c r="O1269" s="99"/>
      <c r="P1269" s="99"/>
      <c r="Q1269" s="99"/>
      <c r="R1269" s="99"/>
      <c r="S1269" s="99"/>
      <c r="T1269" s="99"/>
      <c r="U1269" s="105"/>
      <c r="V1269" s="262"/>
      <c r="W1269" s="121"/>
      <c r="X1269" s="121"/>
      <c r="Y1269" s="121"/>
      <c r="Z1269" s="121"/>
      <c r="AA1269" s="121"/>
      <c r="AB1269" s="121"/>
      <c r="AC1269" s="121"/>
      <c r="AD1269" s="121"/>
      <c r="AE1269" s="121"/>
      <c r="AF1269" s="121"/>
      <c r="AG1269" s="121"/>
      <c r="AH1269" s="121"/>
      <c r="AI1269" s="121"/>
    </row>
    <row r="1270" spans="1:35" s="115" customFormat="1" ht="14.4">
      <c r="A1270" s="187"/>
      <c r="B1270" s="190"/>
      <c r="C1270" s="190"/>
      <c r="D1270" s="69"/>
      <c r="E1270" s="69"/>
      <c r="F1270" s="149"/>
      <c r="G1270" s="146"/>
      <c r="H1270" s="98"/>
      <c r="I1270" s="99"/>
      <c r="J1270" s="99"/>
      <c r="K1270" s="99"/>
      <c r="L1270" s="99"/>
      <c r="M1270" s="99"/>
      <c r="N1270" s="99"/>
      <c r="O1270" s="99"/>
      <c r="P1270" s="99"/>
      <c r="Q1270" s="99"/>
      <c r="R1270" s="99"/>
      <c r="S1270" s="99"/>
      <c r="T1270" s="99"/>
      <c r="U1270" s="105"/>
      <c r="V1270" s="262"/>
      <c r="W1270" s="121"/>
      <c r="X1270" s="121"/>
      <c r="Y1270" s="121"/>
      <c r="Z1270" s="121"/>
      <c r="AA1270" s="121"/>
      <c r="AB1270" s="121"/>
      <c r="AC1270" s="121"/>
      <c r="AD1270" s="121"/>
      <c r="AE1270" s="121"/>
      <c r="AF1270" s="121"/>
      <c r="AG1270" s="121"/>
      <c r="AH1270" s="121"/>
      <c r="AI1270" s="121"/>
    </row>
    <row r="1271" spans="1:35" s="115" customFormat="1" ht="14.4">
      <c r="A1271" s="187"/>
      <c r="B1271" s="190"/>
      <c r="C1271" s="190"/>
      <c r="D1271" s="69"/>
      <c r="E1271" s="69"/>
      <c r="F1271" s="149"/>
      <c r="G1271" s="146"/>
      <c r="H1271" s="98"/>
      <c r="I1271" s="99"/>
      <c r="J1271" s="99"/>
      <c r="K1271" s="99"/>
      <c r="L1271" s="99"/>
      <c r="M1271" s="99"/>
      <c r="N1271" s="99"/>
      <c r="O1271" s="99"/>
      <c r="P1271" s="99"/>
      <c r="Q1271" s="99"/>
      <c r="R1271" s="99"/>
      <c r="S1271" s="99"/>
      <c r="T1271" s="99"/>
      <c r="U1271" s="105"/>
      <c r="V1271" s="262"/>
      <c r="W1271" s="121"/>
      <c r="X1271" s="121"/>
      <c r="Y1271" s="121"/>
      <c r="Z1271" s="121"/>
      <c r="AA1271" s="121"/>
      <c r="AB1271" s="121"/>
      <c r="AC1271" s="121"/>
      <c r="AD1271" s="121"/>
      <c r="AE1271" s="121"/>
      <c r="AF1271" s="121"/>
      <c r="AG1271" s="121"/>
      <c r="AH1271" s="121"/>
      <c r="AI1271" s="121"/>
    </row>
    <row r="1272" spans="1:35" s="115" customFormat="1" ht="14.4">
      <c r="A1272" s="187"/>
      <c r="B1272" s="190"/>
      <c r="C1272" s="190"/>
      <c r="D1272" s="69"/>
      <c r="E1272" s="69"/>
      <c r="F1272" s="149"/>
      <c r="G1272" s="146"/>
      <c r="H1272" s="98"/>
      <c r="I1272" s="99"/>
      <c r="J1272" s="99"/>
      <c r="K1272" s="99"/>
      <c r="L1272" s="99"/>
      <c r="M1272" s="99"/>
      <c r="N1272" s="99"/>
      <c r="O1272" s="99"/>
      <c r="P1272" s="99"/>
      <c r="Q1272" s="99"/>
      <c r="R1272" s="99"/>
      <c r="S1272" s="99"/>
      <c r="T1272" s="99"/>
      <c r="U1272" s="105"/>
      <c r="V1272" s="262"/>
      <c r="W1272" s="121"/>
      <c r="X1272" s="121"/>
      <c r="Y1272" s="121"/>
      <c r="Z1272" s="121"/>
      <c r="AA1272" s="121"/>
      <c r="AB1272" s="121"/>
      <c r="AC1272" s="121"/>
      <c r="AD1272" s="121"/>
      <c r="AE1272" s="121"/>
      <c r="AF1272" s="121"/>
      <c r="AG1272" s="121"/>
      <c r="AH1272" s="121"/>
      <c r="AI1272" s="121"/>
    </row>
    <row r="1273" spans="1:35" s="115" customFormat="1" ht="14.4">
      <c r="A1273" s="187"/>
      <c r="B1273" s="190"/>
      <c r="C1273" s="190"/>
      <c r="D1273" s="69"/>
      <c r="E1273" s="69"/>
      <c r="F1273" s="149"/>
      <c r="G1273" s="146"/>
      <c r="H1273" s="98"/>
      <c r="I1273" s="99"/>
      <c r="J1273" s="99"/>
      <c r="K1273" s="99"/>
      <c r="L1273" s="99"/>
      <c r="M1273" s="99"/>
      <c r="N1273" s="99"/>
      <c r="O1273" s="99"/>
      <c r="P1273" s="99"/>
      <c r="Q1273" s="99"/>
      <c r="R1273" s="99"/>
      <c r="S1273" s="99"/>
      <c r="T1273" s="99"/>
      <c r="U1273" s="105"/>
      <c r="V1273" s="262"/>
      <c r="W1273" s="121"/>
      <c r="X1273" s="121"/>
      <c r="Y1273" s="121"/>
      <c r="Z1273" s="121"/>
      <c r="AA1273" s="121"/>
      <c r="AB1273" s="121"/>
      <c r="AC1273" s="121"/>
      <c r="AD1273" s="121"/>
      <c r="AE1273" s="121"/>
      <c r="AF1273" s="121"/>
      <c r="AG1273" s="121"/>
      <c r="AH1273" s="121"/>
      <c r="AI1273" s="121"/>
    </row>
    <row r="1274" spans="1:35" s="115" customFormat="1" ht="14.4">
      <c r="A1274" s="187"/>
      <c r="B1274" s="190"/>
      <c r="C1274" s="190"/>
      <c r="D1274" s="69"/>
      <c r="E1274" s="69"/>
      <c r="F1274" s="149"/>
      <c r="G1274" s="146"/>
      <c r="H1274" s="98"/>
      <c r="I1274" s="99"/>
      <c r="J1274" s="99"/>
      <c r="K1274" s="99"/>
      <c r="L1274" s="99"/>
      <c r="M1274" s="99"/>
      <c r="N1274" s="99"/>
      <c r="O1274" s="99"/>
      <c r="P1274" s="99"/>
      <c r="Q1274" s="99"/>
      <c r="R1274" s="99"/>
      <c r="S1274" s="99"/>
      <c r="T1274" s="99"/>
      <c r="U1274" s="105"/>
      <c r="V1274" s="262"/>
      <c r="W1274" s="121"/>
      <c r="X1274" s="121"/>
      <c r="Y1274" s="121"/>
      <c r="Z1274" s="121"/>
      <c r="AA1274" s="121"/>
      <c r="AB1274" s="121"/>
      <c r="AC1274" s="121"/>
      <c r="AD1274" s="121"/>
      <c r="AE1274" s="121"/>
      <c r="AF1274" s="121"/>
      <c r="AG1274" s="121"/>
      <c r="AH1274" s="121"/>
      <c r="AI1274" s="121"/>
    </row>
    <row r="1275" spans="1:35" s="115" customFormat="1" ht="14.4">
      <c r="A1275" s="187"/>
      <c r="B1275" s="190"/>
      <c r="C1275" s="190"/>
      <c r="D1275" s="69"/>
      <c r="E1275" s="69"/>
      <c r="F1275" s="149"/>
      <c r="G1275" s="146"/>
      <c r="H1275" s="98"/>
      <c r="I1275" s="99"/>
      <c r="J1275" s="99"/>
      <c r="K1275" s="99"/>
      <c r="L1275" s="99"/>
      <c r="M1275" s="99"/>
      <c r="N1275" s="99"/>
      <c r="O1275" s="99"/>
      <c r="P1275" s="99"/>
      <c r="Q1275" s="99"/>
      <c r="R1275" s="99"/>
      <c r="S1275" s="99"/>
      <c r="T1275" s="99"/>
      <c r="U1275" s="105"/>
      <c r="V1275" s="262"/>
      <c r="W1275" s="121"/>
      <c r="X1275" s="121"/>
      <c r="Y1275" s="121"/>
      <c r="Z1275" s="121"/>
      <c r="AA1275" s="121"/>
      <c r="AB1275" s="121"/>
      <c r="AC1275" s="121"/>
      <c r="AD1275" s="121"/>
      <c r="AE1275" s="121"/>
      <c r="AF1275" s="121"/>
      <c r="AG1275" s="121"/>
      <c r="AH1275" s="121"/>
      <c r="AI1275" s="121"/>
    </row>
    <row r="1276" spans="1:35" s="115" customFormat="1" ht="14.4">
      <c r="A1276" s="187"/>
      <c r="B1276" s="190"/>
      <c r="C1276" s="190"/>
      <c r="D1276" s="69"/>
      <c r="E1276" s="69"/>
      <c r="F1276" s="149"/>
      <c r="G1276" s="146"/>
      <c r="H1276" s="98"/>
      <c r="I1276" s="99"/>
      <c r="J1276" s="99"/>
      <c r="K1276" s="99"/>
      <c r="L1276" s="99"/>
      <c r="M1276" s="99"/>
      <c r="N1276" s="99"/>
      <c r="O1276" s="99"/>
      <c r="P1276" s="99"/>
      <c r="Q1276" s="99"/>
      <c r="R1276" s="99"/>
      <c r="S1276" s="99"/>
      <c r="T1276" s="99"/>
      <c r="U1276" s="105"/>
      <c r="V1276" s="262"/>
      <c r="W1276" s="121"/>
      <c r="X1276" s="121"/>
      <c r="Y1276" s="121"/>
      <c r="Z1276" s="121"/>
      <c r="AA1276" s="121"/>
      <c r="AB1276" s="121"/>
      <c r="AC1276" s="121"/>
      <c r="AD1276" s="121"/>
      <c r="AE1276" s="121"/>
      <c r="AF1276" s="121"/>
      <c r="AG1276" s="121"/>
      <c r="AH1276" s="121"/>
      <c r="AI1276" s="121"/>
    </row>
    <row r="1277" spans="1:35" s="115" customFormat="1" ht="14.4">
      <c r="A1277" s="187"/>
      <c r="B1277" s="190"/>
      <c r="C1277" s="190"/>
      <c r="D1277" s="69"/>
      <c r="E1277" s="69"/>
      <c r="F1277" s="149"/>
      <c r="G1277" s="146"/>
      <c r="H1277" s="98"/>
      <c r="I1277" s="99"/>
      <c r="J1277" s="99"/>
      <c r="K1277" s="99"/>
      <c r="L1277" s="99"/>
      <c r="M1277" s="99"/>
      <c r="N1277" s="99"/>
      <c r="O1277" s="99"/>
      <c r="P1277" s="99"/>
      <c r="Q1277" s="99"/>
      <c r="R1277" s="99"/>
      <c r="S1277" s="99"/>
      <c r="T1277" s="99"/>
      <c r="U1277" s="105"/>
      <c r="V1277" s="262"/>
      <c r="W1277" s="121"/>
      <c r="X1277" s="121"/>
      <c r="Y1277" s="121"/>
      <c r="Z1277" s="121"/>
      <c r="AA1277" s="121"/>
      <c r="AB1277" s="121"/>
      <c r="AC1277" s="121"/>
      <c r="AD1277" s="121"/>
      <c r="AE1277" s="121"/>
      <c r="AF1277" s="121"/>
      <c r="AG1277" s="121"/>
      <c r="AH1277" s="121"/>
      <c r="AI1277" s="121"/>
    </row>
    <row r="1278" spans="1:35" s="115" customFormat="1" ht="14.4">
      <c r="A1278" s="187"/>
      <c r="B1278" s="190"/>
      <c r="C1278" s="190"/>
      <c r="D1278" s="69"/>
      <c r="E1278" s="69"/>
      <c r="F1278" s="149"/>
      <c r="G1278" s="146"/>
      <c r="H1278" s="98"/>
      <c r="I1278" s="99"/>
      <c r="J1278" s="99"/>
      <c r="K1278" s="99"/>
      <c r="L1278" s="99"/>
      <c r="M1278" s="99"/>
      <c r="N1278" s="99"/>
      <c r="O1278" s="99"/>
      <c r="P1278" s="99"/>
      <c r="Q1278" s="99"/>
      <c r="R1278" s="99"/>
      <c r="S1278" s="99"/>
      <c r="T1278" s="99"/>
      <c r="U1278" s="105"/>
      <c r="V1278" s="262"/>
      <c r="W1278" s="121"/>
      <c r="X1278" s="121"/>
      <c r="Y1278" s="121"/>
      <c r="Z1278" s="121"/>
      <c r="AA1278" s="121"/>
      <c r="AB1278" s="121"/>
      <c r="AC1278" s="121"/>
      <c r="AD1278" s="121"/>
      <c r="AE1278" s="121"/>
      <c r="AF1278" s="121"/>
      <c r="AG1278" s="121"/>
      <c r="AH1278" s="121"/>
      <c r="AI1278" s="121"/>
    </row>
    <row r="1279" spans="1:35" s="115" customFormat="1" ht="14.4">
      <c r="A1279" s="187"/>
      <c r="B1279" s="190"/>
      <c r="C1279" s="190"/>
      <c r="D1279" s="69"/>
      <c r="E1279" s="69"/>
      <c r="F1279" s="149"/>
      <c r="G1279" s="146"/>
      <c r="H1279" s="98"/>
      <c r="I1279" s="99"/>
      <c r="J1279" s="99"/>
      <c r="K1279" s="99"/>
      <c r="L1279" s="99"/>
      <c r="M1279" s="99"/>
      <c r="N1279" s="99"/>
      <c r="O1279" s="99"/>
      <c r="P1279" s="99"/>
      <c r="Q1279" s="99"/>
      <c r="R1279" s="99"/>
      <c r="S1279" s="99"/>
      <c r="T1279" s="99"/>
      <c r="U1279" s="105"/>
      <c r="V1279" s="262"/>
      <c r="W1279" s="121"/>
      <c r="X1279" s="121"/>
      <c r="Y1279" s="121"/>
      <c r="Z1279" s="121"/>
      <c r="AA1279" s="121"/>
      <c r="AB1279" s="121"/>
      <c r="AC1279" s="121"/>
      <c r="AD1279" s="121"/>
      <c r="AE1279" s="121"/>
      <c r="AF1279" s="121"/>
      <c r="AG1279" s="121"/>
      <c r="AH1279" s="121"/>
      <c r="AI1279" s="121"/>
    </row>
    <row r="1280" spans="1:35" s="115" customFormat="1" ht="14.4">
      <c r="A1280" s="187"/>
      <c r="B1280" s="190"/>
      <c r="C1280" s="190"/>
      <c r="D1280" s="69"/>
      <c r="E1280" s="69"/>
      <c r="F1280" s="149"/>
      <c r="G1280" s="146"/>
      <c r="H1280" s="98"/>
      <c r="I1280" s="99"/>
      <c r="J1280" s="99"/>
      <c r="K1280" s="99"/>
      <c r="L1280" s="99"/>
      <c r="M1280" s="99"/>
      <c r="N1280" s="99"/>
      <c r="O1280" s="99"/>
      <c r="P1280" s="99"/>
      <c r="Q1280" s="99"/>
      <c r="R1280" s="99"/>
      <c r="S1280" s="99"/>
      <c r="T1280" s="99"/>
      <c r="U1280" s="105"/>
      <c r="V1280" s="262"/>
      <c r="W1280" s="121"/>
      <c r="X1280" s="121"/>
      <c r="Y1280" s="121"/>
      <c r="Z1280" s="121"/>
      <c r="AA1280" s="121"/>
      <c r="AB1280" s="121"/>
      <c r="AC1280" s="121"/>
      <c r="AD1280" s="121"/>
      <c r="AE1280" s="121"/>
      <c r="AF1280" s="121"/>
      <c r="AG1280" s="121"/>
      <c r="AH1280" s="121"/>
      <c r="AI1280" s="121"/>
    </row>
    <row r="1281" spans="1:35" s="115" customFormat="1" ht="14.4">
      <c r="A1281" s="187"/>
      <c r="B1281" s="190"/>
      <c r="C1281" s="190"/>
      <c r="D1281" s="69"/>
      <c r="E1281" s="69"/>
      <c r="F1281" s="149"/>
      <c r="G1281" s="146"/>
      <c r="H1281" s="98"/>
      <c r="I1281" s="99"/>
      <c r="J1281" s="99"/>
      <c r="K1281" s="99"/>
      <c r="L1281" s="99"/>
      <c r="M1281" s="99"/>
      <c r="N1281" s="99"/>
      <c r="O1281" s="99"/>
      <c r="P1281" s="99"/>
      <c r="Q1281" s="99"/>
      <c r="R1281" s="99"/>
      <c r="S1281" s="99"/>
      <c r="T1281" s="99"/>
      <c r="U1281" s="105"/>
      <c r="V1281" s="262"/>
      <c r="W1281" s="121"/>
      <c r="X1281" s="121"/>
      <c r="Y1281" s="121"/>
      <c r="Z1281" s="121"/>
      <c r="AA1281" s="121"/>
      <c r="AB1281" s="121"/>
      <c r="AC1281" s="121"/>
      <c r="AD1281" s="121"/>
      <c r="AE1281" s="121"/>
      <c r="AF1281" s="121"/>
      <c r="AG1281" s="121"/>
      <c r="AH1281" s="121"/>
      <c r="AI1281" s="121"/>
    </row>
    <row r="1282" spans="1:35" s="115" customFormat="1" ht="14.4">
      <c r="A1282" s="187"/>
      <c r="B1282" s="190"/>
      <c r="C1282" s="190"/>
      <c r="D1282" s="69"/>
      <c r="E1282" s="69"/>
      <c r="F1282" s="149"/>
      <c r="G1282" s="146"/>
      <c r="H1282" s="98"/>
      <c r="I1282" s="99"/>
      <c r="J1282" s="99"/>
      <c r="K1282" s="99"/>
      <c r="L1282" s="99"/>
      <c r="M1282" s="99"/>
      <c r="N1282" s="99"/>
      <c r="O1282" s="99"/>
      <c r="P1282" s="99"/>
      <c r="Q1282" s="99"/>
      <c r="R1282" s="99"/>
      <c r="S1282" s="99"/>
      <c r="T1282" s="99"/>
      <c r="U1282" s="105"/>
      <c r="V1282" s="262"/>
      <c r="W1282" s="121"/>
      <c r="X1282" s="121"/>
      <c r="Y1282" s="121"/>
      <c r="Z1282" s="121"/>
      <c r="AA1282" s="121"/>
      <c r="AB1282" s="121"/>
      <c r="AC1282" s="121"/>
      <c r="AD1282" s="121"/>
      <c r="AE1282" s="121"/>
      <c r="AF1282" s="121"/>
      <c r="AG1282" s="121"/>
      <c r="AH1282" s="121"/>
      <c r="AI1282" s="121"/>
    </row>
    <row r="1283" spans="1:35" s="115" customFormat="1" ht="14.4">
      <c r="A1283" s="187"/>
      <c r="B1283" s="190"/>
      <c r="C1283" s="190"/>
      <c r="D1283" s="69"/>
      <c r="E1283" s="69"/>
      <c r="F1283" s="149"/>
      <c r="G1283" s="146"/>
      <c r="H1283" s="98"/>
      <c r="I1283" s="99"/>
      <c r="J1283" s="99"/>
      <c r="K1283" s="99"/>
      <c r="L1283" s="99"/>
      <c r="M1283" s="99"/>
      <c r="N1283" s="99"/>
      <c r="O1283" s="99"/>
      <c r="P1283" s="99"/>
      <c r="Q1283" s="99"/>
      <c r="R1283" s="99"/>
      <c r="S1283" s="99"/>
      <c r="T1283" s="99"/>
      <c r="U1283" s="105"/>
      <c r="V1283" s="262"/>
      <c r="W1283" s="121"/>
      <c r="X1283" s="121"/>
      <c r="Y1283" s="121"/>
      <c r="Z1283" s="121"/>
      <c r="AA1283" s="121"/>
      <c r="AB1283" s="121"/>
      <c r="AC1283" s="121"/>
      <c r="AD1283" s="121"/>
      <c r="AE1283" s="121"/>
      <c r="AF1283" s="121"/>
      <c r="AG1283" s="121"/>
      <c r="AH1283" s="121"/>
      <c r="AI1283" s="121"/>
    </row>
    <row r="1284" spans="1:35" s="115" customFormat="1" ht="14.4">
      <c r="A1284" s="187"/>
      <c r="B1284" s="190"/>
      <c r="C1284" s="190"/>
      <c r="D1284" s="69"/>
      <c r="E1284" s="69"/>
      <c r="F1284" s="149"/>
      <c r="G1284" s="146"/>
      <c r="H1284" s="98"/>
      <c r="I1284" s="99"/>
      <c r="J1284" s="99"/>
      <c r="K1284" s="99"/>
      <c r="L1284" s="99"/>
      <c r="M1284" s="99"/>
      <c r="N1284" s="99"/>
      <c r="O1284" s="99"/>
      <c r="P1284" s="99"/>
      <c r="Q1284" s="99"/>
      <c r="R1284" s="99"/>
      <c r="S1284" s="99"/>
      <c r="T1284" s="99"/>
      <c r="U1284" s="105"/>
      <c r="V1284" s="262"/>
      <c r="W1284" s="121"/>
      <c r="X1284" s="121"/>
      <c r="Y1284" s="121"/>
      <c r="Z1284" s="121"/>
      <c r="AA1284" s="121"/>
      <c r="AB1284" s="121"/>
      <c r="AC1284" s="121"/>
      <c r="AD1284" s="121"/>
      <c r="AE1284" s="121"/>
      <c r="AF1284" s="121"/>
      <c r="AG1284" s="121"/>
      <c r="AH1284" s="121"/>
      <c r="AI1284" s="121"/>
    </row>
    <row r="1285" spans="1:35" s="115" customFormat="1" ht="14.4">
      <c r="A1285" s="187"/>
      <c r="B1285" s="190"/>
      <c r="C1285" s="190"/>
      <c r="D1285" s="69"/>
      <c r="E1285" s="69"/>
      <c r="F1285" s="149"/>
      <c r="G1285" s="146"/>
      <c r="H1285" s="98"/>
      <c r="I1285" s="99"/>
      <c r="J1285" s="99"/>
      <c r="K1285" s="99"/>
      <c r="L1285" s="99"/>
      <c r="M1285" s="99"/>
      <c r="N1285" s="99"/>
      <c r="O1285" s="99"/>
      <c r="P1285" s="99"/>
      <c r="Q1285" s="99"/>
      <c r="R1285" s="99"/>
      <c r="S1285" s="99"/>
      <c r="T1285" s="99"/>
      <c r="U1285" s="105"/>
      <c r="V1285" s="262"/>
      <c r="W1285" s="121"/>
      <c r="X1285" s="121"/>
      <c r="Y1285" s="121"/>
      <c r="Z1285" s="121"/>
      <c r="AA1285" s="121"/>
      <c r="AB1285" s="121"/>
      <c r="AC1285" s="121"/>
      <c r="AD1285" s="121"/>
      <c r="AE1285" s="121"/>
      <c r="AF1285" s="121"/>
      <c r="AG1285" s="121"/>
      <c r="AH1285" s="121"/>
      <c r="AI1285" s="121"/>
    </row>
    <row r="1286" spans="1:35" s="115" customFormat="1" ht="14.4">
      <c r="A1286" s="187"/>
      <c r="B1286" s="190"/>
      <c r="C1286" s="190"/>
      <c r="D1286" s="69"/>
      <c r="E1286" s="69"/>
      <c r="F1286" s="149"/>
      <c r="G1286" s="146"/>
      <c r="H1286" s="98"/>
      <c r="I1286" s="99"/>
      <c r="J1286" s="99"/>
      <c r="K1286" s="99"/>
      <c r="L1286" s="99"/>
      <c r="M1286" s="99"/>
      <c r="N1286" s="99"/>
      <c r="O1286" s="99"/>
      <c r="P1286" s="99"/>
      <c r="Q1286" s="99"/>
      <c r="R1286" s="99"/>
      <c r="S1286" s="99"/>
      <c r="T1286" s="99"/>
      <c r="U1286" s="105"/>
      <c r="V1286" s="262"/>
      <c r="W1286" s="121"/>
      <c r="X1286" s="121"/>
      <c r="Y1286" s="121"/>
      <c r="Z1286" s="121"/>
      <c r="AA1286" s="121"/>
      <c r="AB1286" s="121"/>
      <c r="AC1286" s="121"/>
      <c r="AD1286" s="121"/>
      <c r="AE1286" s="121"/>
      <c r="AF1286" s="121"/>
      <c r="AG1286" s="121"/>
      <c r="AH1286" s="121"/>
      <c r="AI1286" s="121"/>
    </row>
    <row r="1287" spans="1:35" s="115" customFormat="1" ht="14.4">
      <c r="A1287" s="187"/>
      <c r="B1287" s="190"/>
      <c r="C1287" s="190"/>
      <c r="D1287" s="69"/>
      <c r="E1287" s="69"/>
      <c r="F1287" s="149"/>
      <c r="G1287" s="146"/>
      <c r="H1287" s="98"/>
      <c r="I1287" s="99"/>
      <c r="J1287" s="99"/>
      <c r="K1287" s="99"/>
      <c r="L1287" s="99"/>
      <c r="M1287" s="99"/>
      <c r="N1287" s="99"/>
      <c r="O1287" s="99"/>
      <c r="P1287" s="99"/>
      <c r="Q1287" s="99"/>
      <c r="R1287" s="99"/>
      <c r="S1287" s="99"/>
      <c r="T1287" s="99"/>
      <c r="U1287" s="105"/>
      <c r="V1287" s="262"/>
      <c r="W1287" s="121"/>
      <c r="X1287" s="121"/>
      <c r="Y1287" s="121"/>
      <c r="Z1287" s="121"/>
      <c r="AA1287" s="121"/>
      <c r="AB1287" s="121"/>
      <c r="AC1287" s="121"/>
      <c r="AD1287" s="121"/>
      <c r="AE1287" s="121"/>
      <c r="AF1287" s="121"/>
      <c r="AG1287" s="121"/>
      <c r="AH1287" s="121"/>
      <c r="AI1287" s="121"/>
    </row>
    <row r="1288" spans="1:35" s="115" customFormat="1" ht="14.4">
      <c r="A1288" s="187"/>
      <c r="B1288" s="190"/>
      <c r="C1288" s="190"/>
      <c r="D1288" s="69"/>
      <c r="E1288" s="69"/>
      <c r="F1288" s="149"/>
      <c r="G1288" s="146"/>
      <c r="H1288" s="107"/>
      <c r="I1288" s="108"/>
      <c r="J1288" s="108"/>
      <c r="K1288" s="108"/>
      <c r="L1288" s="108"/>
      <c r="M1288" s="108"/>
      <c r="N1288" s="108"/>
      <c r="O1288" s="108"/>
      <c r="P1288" s="108"/>
      <c r="Q1288" s="108"/>
      <c r="R1288" s="108"/>
      <c r="S1288" s="108"/>
      <c r="T1288" s="108"/>
      <c r="U1288" s="105"/>
      <c r="V1288" s="262"/>
      <c r="W1288" s="121"/>
      <c r="X1288" s="121"/>
      <c r="Y1288" s="121"/>
      <c r="Z1288" s="121"/>
      <c r="AA1288" s="121"/>
      <c r="AB1288" s="121"/>
      <c r="AC1288" s="121"/>
      <c r="AD1288" s="121"/>
      <c r="AE1288" s="121"/>
      <c r="AF1288" s="121"/>
      <c r="AG1288" s="121"/>
      <c r="AH1288" s="121"/>
      <c r="AI1288" s="121"/>
    </row>
    <row r="1289" spans="1:35" s="115" customFormat="1" ht="14.4">
      <c r="A1289" s="187"/>
      <c r="B1289" s="190"/>
      <c r="C1289" s="190"/>
      <c r="D1289" s="69"/>
      <c r="E1289" s="69"/>
      <c r="F1289" s="149"/>
      <c r="G1289" s="146"/>
      <c r="H1289" s="98"/>
      <c r="I1289" s="106"/>
      <c r="J1289" s="106"/>
      <c r="K1289" s="106"/>
      <c r="L1289" s="106"/>
      <c r="M1289" s="106"/>
      <c r="N1289" s="112"/>
      <c r="O1289" s="112"/>
      <c r="P1289" s="112"/>
      <c r="Q1289" s="113"/>
      <c r="R1289" s="212"/>
      <c r="S1289" s="212"/>
      <c r="T1289" s="113"/>
      <c r="U1289" s="105"/>
      <c r="V1289" s="262"/>
      <c r="W1289" s="121"/>
      <c r="X1289" s="121"/>
      <c r="Y1289" s="121"/>
      <c r="Z1289" s="121"/>
      <c r="AA1289" s="121"/>
      <c r="AB1289" s="121"/>
      <c r="AC1289" s="121"/>
      <c r="AD1289" s="121"/>
      <c r="AE1289" s="121"/>
      <c r="AF1289" s="121"/>
      <c r="AG1289" s="121"/>
      <c r="AH1289" s="121"/>
      <c r="AI1289" s="121"/>
    </row>
    <row r="1290" spans="1:35" s="115" customFormat="1" ht="14.4">
      <c r="A1290" s="187"/>
      <c r="B1290" s="190"/>
      <c r="C1290" s="190"/>
      <c r="D1290" s="69"/>
      <c r="E1290" s="69"/>
      <c r="F1290" s="149"/>
      <c r="G1290" s="146"/>
      <c r="H1290" s="98"/>
      <c r="I1290" s="99"/>
      <c r="J1290" s="99"/>
      <c r="K1290" s="99"/>
      <c r="L1290" s="99"/>
      <c r="M1290" s="99"/>
      <c r="N1290" s="99"/>
      <c r="O1290" s="99"/>
      <c r="P1290" s="99"/>
      <c r="Q1290" s="99"/>
      <c r="R1290" s="99"/>
      <c r="S1290" s="99"/>
      <c r="T1290" s="99"/>
      <c r="U1290" s="105"/>
      <c r="V1290" s="262"/>
      <c r="W1290" s="121"/>
      <c r="X1290" s="121"/>
      <c r="Y1290" s="121"/>
      <c r="Z1290" s="121"/>
      <c r="AA1290" s="121"/>
      <c r="AB1290" s="121"/>
      <c r="AC1290" s="121"/>
      <c r="AD1290" s="121"/>
      <c r="AE1290" s="121"/>
      <c r="AF1290" s="121"/>
      <c r="AG1290" s="121"/>
      <c r="AH1290" s="121"/>
      <c r="AI1290" s="121"/>
    </row>
    <row r="1291" spans="1:35" s="115" customFormat="1" ht="14.4">
      <c r="A1291" s="187"/>
      <c r="B1291" s="190"/>
      <c r="C1291" s="190"/>
      <c r="D1291" s="69"/>
      <c r="E1291" s="69"/>
      <c r="F1291" s="149"/>
      <c r="G1291" s="146"/>
      <c r="H1291" s="98"/>
      <c r="I1291" s="99"/>
      <c r="J1291" s="99"/>
      <c r="K1291" s="99"/>
      <c r="L1291" s="99"/>
      <c r="M1291" s="99"/>
      <c r="N1291" s="99"/>
      <c r="O1291" s="99"/>
      <c r="P1291" s="99"/>
      <c r="Q1291" s="99"/>
      <c r="R1291" s="99"/>
      <c r="S1291" s="99"/>
      <c r="T1291" s="99"/>
      <c r="U1291" s="105"/>
      <c r="V1291" s="262"/>
      <c r="W1291" s="121"/>
      <c r="X1291" s="121"/>
      <c r="Y1291" s="121"/>
      <c r="Z1291" s="121"/>
      <c r="AA1291" s="121"/>
      <c r="AB1291" s="121"/>
      <c r="AC1291" s="121"/>
      <c r="AD1291" s="121"/>
      <c r="AE1291" s="121"/>
      <c r="AF1291" s="121"/>
      <c r="AG1291" s="121"/>
      <c r="AH1291" s="121"/>
      <c r="AI1291" s="121"/>
    </row>
    <row r="1292" spans="1:35" s="115" customFormat="1" ht="14.4">
      <c r="A1292" s="187"/>
      <c r="B1292" s="190"/>
      <c r="C1292" s="190"/>
      <c r="D1292" s="69"/>
      <c r="E1292" s="69"/>
      <c r="F1292" s="149"/>
      <c r="G1292" s="146"/>
      <c r="H1292" s="98"/>
      <c r="I1292" s="99"/>
      <c r="J1292" s="99"/>
      <c r="K1292" s="99"/>
      <c r="L1292" s="99"/>
      <c r="M1292" s="99"/>
      <c r="N1292" s="99"/>
      <c r="O1292" s="99"/>
      <c r="P1292" s="99"/>
      <c r="Q1292" s="99"/>
      <c r="R1292" s="99"/>
      <c r="S1292" s="99"/>
      <c r="T1292" s="99"/>
      <c r="U1292" s="105"/>
      <c r="V1292" s="262"/>
      <c r="W1292" s="121"/>
      <c r="X1292" s="121"/>
      <c r="Y1292" s="121"/>
      <c r="Z1292" s="121"/>
      <c r="AA1292" s="121"/>
      <c r="AB1292" s="121"/>
      <c r="AC1292" s="121"/>
      <c r="AD1292" s="121"/>
      <c r="AE1292" s="121"/>
      <c r="AF1292" s="121"/>
      <c r="AG1292" s="121"/>
      <c r="AH1292" s="121"/>
      <c r="AI1292" s="121"/>
    </row>
    <row r="1293" spans="1:35" s="115" customFormat="1" ht="14.4">
      <c r="A1293" s="187"/>
      <c r="B1293" s="190"/>
      <c r="C1293" s="190"/>
      <c r="D1293" s="69"/>
      <c r="E1293" s="69"/>
      <c r="F1293" s="149"/>
      <c r="G1293" s="146"/>
      <c r="H1293" s="98"/>
      <c r="I1293" s="99"/>
      <c r="J1293" s="99"/>
      <c r="K1293" s="99"/>
      <c r="L1293" s="99"/>
      <c r="M1293" s="99"/>
      <c r="N1293" s="99"/>
      <c r="O1293" s="99"/>
      <c r="P1293" s="99"/>
      <c r="Q1293" s="99"/>
      <c r="R1293" s="99"/>
      <c r="S1293" s="99"/>
      <c r="T1293" s="99"/>
      <c r="U1293" s="105"/>
      <c r="V1293" s="262"/>
      <c r="W1293" s="121"/>
      <c r="X1293" s="121"/>
      <c r="Y1293" s="121"/>
      <c r="Z1293" s="121"/>
      <c r="AA1293" s="121"/>
      <c r="AB1293" s="121"/>
      <c r="AC1293" s="121"/>
      <c r="AD1293" s="121"/>
      <c r="AE1293" s="121"/>
      <c r="AF1293" s="121"/>
      <c r="AG1293" s="121"/>
      <c r="AH1293" s="121"/>
      <c r="AI1293" s="121"/>
    </row>
    <row r="1294" spans="1:35" s="115" customFormat="1" ht="24" customHeight="1">
      <c r="A1294" s="187"/>
      <c r="B1294" s="190"/>
      <c r="C1294" s="190"/>
      <c r="D1294" s="69"/>
      <c r="E1294" s="69"/>
      <c r="F1294" s="149"/>
      <c r="G1294" s="146"/>
      <c r="H1294" s="98"/>
      <c r="I1294" s="99"/>
      <c r="J1294" s="99"/>
      <c r="K1294" s="99"/>
      <c r="L1294" s="99"/>
      <c r="M1294" s="99"/>
      <c r="N1294" s="99"/>
      <c r="O1294" s="99"/>
      <c r="P1294" s="99"/>
      <c r="Q1294" s="99"/>
      <c r="R1294" s="99"/>
      <c r="S1294" s="99"/>
      <c r="T1294" s="99"/>
      <c r="U1294" s="105"/>
      <c r="V1294" s="262"/>
      <c r="W1294" s="121"/>
      <c r="X1294" s="121"/>
      <c r="Y1294" s="121"/>
      <c r="Z1294" s="121"/>
      <c r="AA1294" s="121"/>
      <c r="AB1294" s="121"/>
      <c r="AC1294" s="121"/>
      <c r="AD1294" s="121"/>
      <c r="AE1294" s="121"/>
      <c r="AF1294" s="121"/>
      <c r="AG1294" s="121"/>
      <c r="AH1294" s="121"/>
      <c r="AI1294" s="121"/>
    </row>
    <row r="1295" spans="1:35" s="115" customFormat="1" ht="14.4">
      <c r="A1295" s="187"/>
      <c r="B1295" s="190"/>
      <c r="C1295" s="190"/>
      <c r="D1295" s="69"/>
      <c r="E1295" s="69"/>
      <c r="F1295" s="149"/>
      <c r="G1295" s="146"/>
      <c r="H1295" s="98"/>
      <c r="I1295" s="99"/>
      <c r="J1295" s="99"/>
      <c r="K1295" s="99"/>
      <c r="L1295" s="99"/>
      <c r="M1295" s="99"/>
      <c r="N1295" s="99"/>
      <c r="O1295" s="99"/>
      <c r="P1295" s="99"/>
      <c r="Q1295" s="99"/>
      <c r="R1295" s="99"/>
      <c r="S1295" s="99"/>
      <c r="T1295" s="99"/>
      <c r="U1295" s="105"/>
      <c r="V1295" s="262"/>
      <c r="W1295" s="121"/>
      <c r="X1295" s="121"/>
      <c r="Y1295" s="121"/>
      <c r="Z1295" s="121"/>
      <c r="AA1295" s="121"/>
      <c r="AB1295" s="121"/>
      <c r="AC1295" s="121"/>
      <c r="AD1295" s="121"/>
      <c r="AE1295" s="121"/>
      <c r="AF1295" s="121"/>
      <c r="AG1295" s="121"/>
      <c r="AH1295" s="121"/>
      <c r="AI1295" s="121"/>
    </row>
    <row r="1296" spans="1:35" s="115" customFormat="1" ht="14.4">
      <c r="A1296" s="187"/>
      <c r="B1296" s="190"/>
      <c r="C1296" s="190"/>
      <c r="D1296" s="69"/>
      <c r="E1296" s="69"/>
      <c r="F1296" s="149"/>
      <c r="G1296" s="146"/>
      <c r="H1296" s="98"/>
      <c r="I1296" s="99"/>
      <c r="J1296" s="99"/>
      <c r="K1296" s="99"/>
      <c r="L1296" s="99"/>
      <c r="M1296" s="99"/>
      <c r="N1296" s="99"/>
      <c r="O1296" s="99"/>
      <c r="P1296" s="99"/>
      <c r="Q1296" s="99"/>
      <c r="R1296" s="99"/>
      <c r="S1296" s="99"/>
      <c r="T1296" s="99"/>
      <c r="U1296" s="105"/>
      <c r="V1296" s="262"/>
      <c r="W1296" s="121"/>
      <c r="X1296" s="121"/>
      <c r="Y1296" s="121"/>
      <c r="Z1296" s="121"/>
      <c r="AA1296" s="121"/>
      <c r="AB1296" s="121"/>
      <c r="AC1296" s="121"/>
      <c r="AD1296" s="121"/>
      <c r="AE1296" s="121"/>
      <c r="AF1296" s="121"/>
      <c r="AG1296" s="121"/>
      <c r="AH1296" s="121"/>
      <c r="AI1296" s="121"/>
    </row>
    <row r="1297" spans="1:35" s="115" customFormat="1" ht="14.4">
      <c r="A1297" s="187"/>
      <c r="B1297" s="190"/>
      <c r="C1297" s="190"/>
      <c r="D1297" s="69"/>
      <c r="E1297" s="69"/>
      <c r="F1297" s="149"/>
      <c r="G1297" s="146"/>
      <c r="H1297" s="107"/>
      <c r="I1297" s="108"/>
      <c r="J1297" s="108"/>
      <c r="K1297" s="108"/>
      <c r="L1297" s="108"/>
      <c r="M1297" s="108"/>
      <c r="N1297" s="109"/>
      <c r="O1297" s="109"/>
      <c r="P1297" s="109"/>
      <c r="Q1297" s="109"/>
      <c r="R1297" s="109"/>
      <c r="S1297" s="109"/>
      <c r="T1297" s="109"/>
      <c r="U1297" s="105"/>
      <c r="V1297" s="262"/>
      <c r="W1297" s="121"/>
      <c r="X1297" s="121"/>
      <c r="Y1297" s="121"/>
      <c r="Z1297" s="121"/>
      <c r="AA1297" s="121"/>
      <c r="AB1297" s="121"/>
      <c r="AC1297" s="121"/>
      <c r="AD1297" s="121"/>
      <c r="AE1297" s="121"/>
      <c r="AF1297" s="121"/>
      <c r="AG1297" s="121"/>
      <c r="AH1297" s="121"/>
      <c r="AI1297" s="121"/>
    </row>
    <row r="1298" spans="1:35" s="115" customFormat="1" ht="14.4">
      <c r="A1298" s="187"/>
      <c r="B1298" s="190"/>
      <c r="C1298" s="190"/>
      <c r="D1298" s="69"/>
      <c r="E1298" s="69"/>
      <c r="F1298" s="149"/>
      <c r="G1298" s="146"/>
      <c r="H1298" s="98"/>
      <c r="I1298" s="106"/>
      <c r="J1298" s="106"/>
      <c r="K1298" s="106"/>
      <c r="L1298" s="106"/>
      <c r="M1298" s="106"/>
      <c r="N1298" s="112"/>
      <c r="O1298" s="112"/>
      <c r="P1298" s="112"/>
      <c r="Q1298" s="113"/>
      <c r="R1298" s="113"/>
      <c r="S1298" s="113"/>
      <c r="T1298" s="113"/>
      <c r="U1298" s="105"/>
      <c r="V1298" s="262"/>
      <c r="W1298" s="121"/>
      <c r="X1298" s="121"/>
      <c r="Y1298" s="121"/>
      <c r="Z1298" s="121"/>
      <c r="AA1298" s="121"/>
      <c r="AB1298" s="121"/>
      <c r="AC1298" s="121"/>
      <c r="AD1298" s="121"/>
      <c r="AE1298" s="121"/>
      <c r="AF1298" s="121"/>
      <c r="AG1298" s="121"/>
      <c r="AH1298" s="121"/>
      <c r="AI1298" s="121"/>
    </row>
    <row r="1299" spans="1:35" s="115" customFormat="1" ht="14.4">
      <c r="A1299" s="187"/>
      <c r="B1299" s="190"/>
      <c r="C1299" s="190"/>
      <c r="D1299" s="69"/>
      <c r="E1299" s="69"/>
      <c r="F1299" s="149"/>
      <c r="G1299" s="146"/>
      <c r="H1299" s="114"/>
      <c r="I1299" s="108"/>
      <c r="J1299" s="108"/>
      <c r="K1299" s="108"/>
      <c r="L1299" s="108"/>
      <c r="M1299" s="108"/>
      <c r="N1299" s="108"/>
      <c r="O1299" s="108"/>
      <c r="P1299" s="108"/>
      <c r="Q1299" s="108"/>
      <c r="R1299" s="108"/>
      <c r="S1299" s="108"/>
      <c r="T1299" s="108"/>
      <c r="U1299" s="105"/>
      <c r="V1299" s="262"/>
      <c r="W1299" s="121"/>
      <c r="X1299" s="121"/>
      <c r="Y1299" s="121"/>
      <c r="Z1299" s="121"/>
      <c r="AA1299" s="121"/>
      <c r="AB1299" s="121"/>
      <c r="AC1299" s="121"/>
      <c r="AD1299" s="121"/>
      <c r="AE1299" s="121"/>
      <c r="AF1299" s="121"/>
      <c r="AG1299" s="121"/>
      <c r="AH1299" s="121"/>
      <c r="AI1299" s="121"/>
    </row>
    <row r="1300" spans="1:35" s="115" customFormat="1" ht="14.4">
      <c r="A1300" s="187"/>
      <c r="B1300" s="190"/>
      <c r="C1300" s="190"/>
      <c r="D1300" s="69"/>
      <c r="E1300" s="69"/>
      <c r="F1300" s="149"/>
      <c r="G1300" s="146"/>
      <c r="H1300" s="98"/>
      <c r="I1300" s="218"/>
      <c r="J1300" s="218"/>
      <c r="K1300" s="218"/>
      <c r="L1300" s="218"/>
      <c r="M1300" s="218"/>
      <c r="N1300" s="96"/>
      <c r="O1300" s="96"/>
      <c r="P1300" s="96"/>
      <c r="Q1300" s="212"/>
      <c r="R1300" s="212"/>
      <c r="S1300" s="212"/>
      <c r="T1300" s="212"/>
      <c r="U1300" s="105"/>
      <c r="V1300" s="262"/>
      <c r="W1300" s="121"/>
      <c r="X1300" s="121"/>
      <c r="Y1300" s="121"/>
      <c r="Z1300" s="121"/>
      <c r="AA1300" s="121"/>
      <c r="AB1300" s="121"/>
      <c r="AC1300" s="121"/>
      <c r="AD1300" s="121"/>
      <c r="AE1300" s="121"/>
      <c r="AF1300" s="121"/>
      <c r="AG1300" s="121"/>
      <c r="AH1300" s="121"/>
      <c r="AI1300" s="121"/>
    </row>
    <row r="1301" spans="1:35" s="115" customFormat="1" ht="15" thickBot="1">
      <c r="A1301" s="187"/>
      <c r="B1301" s="190"/>
      <c r="C1301" s="190"/>
      <c r="D1301" s="69"/>
      <c r="E1301" s="69"/>
      <c r="F1301" s="149"/>
      <c r="G1301" s="146"/>
      <c r="H1301" s="98"/>
      <c r="I1301" s="218"/>
      <c r="J1301" s="218"/>
      <c r="K1301" s="218"/>
      <c r="L1301" s="218"/>
      <c r="M1301" s="218"/>
      <c r="N1301" s="96"/>
      <c r="O1301" s="96"/>
      <c r="P1301" s="96"/>
      <c r="Q1301" s="212"/>
      <c r="R1301" s="212"/>
      <c r="S1301" s="212"/>
      <c r="T1301" s="212"/>
      <c r="U1301" s="105"/>
      <c r="V1301" s="262"/>
      <c r="W1301" s="121"/>
      <c r="X1301" s="121"/>
      <c r="Y1301" s="121"/>
      <c r="Z1301" s="121"/>
      <c r="AA1301" s="121"/>
      <c r="AB1301" s="121"/>
      <c r="AC1301" s="121"/>
      <c r="AD1301" s="121"/>
      <c r="AE1301" s="121"/>
      <c r="AF1301" s="121"/>
      <c r="AG1301" s="121"/>
      <c r="AH1301" s="121"/>
      <c r="AI1301" s="121"/>
    </row>
    <row r="1302" spans="1:35" s="115" customFormat="1" ht="23.4" thickBot="1">
      <c r="A1302" s="187"/>
      <c r="B1302" s="190"/>
      <c r="C1302" s="190"/>
      <c r="D1302" s="69"/>
      <c r="E1302" s="69"/>
      <c r="F1302" s="149"/>
      <c r="G1302" s="146"/>
      <c r="H1302" s="686"/>
      <c r="I1302" s="687"/>
      <c r="J1302" s="687"/>
      <c r="K1302" s="687"/>
      <c r="L1302" s="687"/>
      <c r="M1302" s="687"/>
      <c r="N1302" s="687"/>
      <c r="O1302" s="687"/>
      <c r="P1302" s="687"/>
      <c r="Q1302" s="687"/>
      <c r="R1302" s="687"/>
      <c r="S1302" s="687"/>
      <c r="T1302" s="688"/>
      <c r="U1302" s="105"/>
      <c r="V1302" s="262"/>
      <c r="W1302" s="121"/>
      <c r="X1302" s="121"/>
      <c r="Y1302" s="121"/>
      <c r="Z1302" s="121"/>
      <c r="AA1302" s="121"/>
      <c r="AB1302" s="121"/>
      <c r="AC1302" s="121"/>
      <c r="AD1302" s="121"/>
      <c r="AE1302" s="121"/>
      <c r="AF1302" s="121"/>
      <c r="AG1302" s="121"/>
      <c r="AH1302" s="121"/>
      <c r="AI1302" s="121"/>
    </row>
    <row r="1303" spans="1:35" s="115" customFormat="1" ht="22.8">
      <c r="A1303" s="187"/>
      <c r="B1303" s="190"/>
      <c r="C1303" s="190"/>
      <c r="D1303" s="69"/>
      <c r="E1303" s="69"/>
      <c r="F1303" s="149"/>
      <c r="G1303" s="146"/>
      <c r="H1303" s="225"/>
      <c r="I1303" s="225"/>
      <c r="J1303" s="225"/>
      <c r="K1303" s="225"/>
      <c r="L1303" s="225"/>
      <c r="M1303" s="225"/>
      <c r="N1303" s="225"/>
      <c r="O1303" s="225"/>
      <c r="P1303" s="225"/>
      <c r="Q1303" s="225"/>
      <c r="R1303" s="225"/>
      <c r="S1303" s="225"/>
      <c r="T1303" s="225"/>
      <c r="U1303" s="105"/>
      <c r="V1303" s="262"/>
      <c r="W1303" s="121"/>
      <c r="X1303" s="121"/>
      <c r="Y1303" s="121"/>
      <c r="Z1303" s="121"/>
      <c r="AA1303" s="121"/>
      <c r="AB1303" s="121"/>
      <c r="AC1303" s="121"/>
      <c r="AD1303" s="121"/>
      <c r="AE1303" s="121"/>
      <c r="AF1303" s="121"/>
      <c r="AG1303" s="121"/>
      <c r="AH1303" s="121"/>
      <c r="AI1303" s="121"/>
    </row>
    <row r="1304" spans="1:35" s="115" customFormat="1" ht="14.4">
      <c r="A1304" s="187"/>
      <c r="B1304" s="190"/>
      <c r="C1304" s="190"/>
      <c r="D1304" s="69"/>
      <c r="E1304" s="69"/>
      <c r="F1304" s="149"/>
      <c r="G1304" s="146"/>
      <c r="H1304" s="98"/>
      <c r="I1304" s="99"/>
      <c r="J1304" s="99"/>
      <c r="K1304" s="99"/>
      <c r="L1304" s="99"/>
      <c r="M1304" s="99"/>
      <c r="N1304" s="99"/>
      <c r="O1304" s="99"/>
      <c r="P1304" s="99"/>
      <c r="Q1304" s="99"/>
      <c r="R1304" s="99"/>
      <c r="S1304" s="99"/>
      <c r="T1304" s="99"/>
      <c r="U1304" s="105"/>
      <c r="V1304" s="262"/>
      <c r="W1304" s="121"/>
      <c r="X1304" s="121"/>
      <c r="Y1304" s="121"/>
      <c r="Z1304" s="121"/>
      <c r="AA1304" s="121"/>
      <c r="AB1304" s="121"/>
      <c r="AC1304" s="121"/>
      <c r="AD1304" s="121"/>
      <c r="AE1304" s="121"/>
      <c r="AF1304" s="121"/>
      <c r="AG1304" s="121"/>
      <c r="AH1304" s="121"/>
      <c r="AI1304" s="121"/>
    </row>
    <row r="1305" spans="1:35" s="115" customFormat="1" ht="14.4">
      <c r="A1305" s="187"/>
      <c r="B1305" s="190"/>
      <c r="C1305" s="190"/>
      <c r="D1305" s="69"/>
      <c r="E1305" s="69"/>
      <c r="F1305" s="149"/>
      <c r="G1305" s="146"/>
      <c r="H1305" s="98"/>
      <c r="I1305" s="99"/>
      <c r="J1305" s="99"/>
      <c r="K1305" s="99"/>
      <c r="L1305" s="99"/>
      <c r="M1305" s="99"/>
      <c r="N1305" s="99"/>
      <c r="O1305" s="99"/>
      <c r="P1305" s="99"/>
      <c r="Q1305" s="99"/>
      <c r="R1305" s="99"/>
      <c r="S1305" s="99"/>
      <c r="T1305" s="99"/>
      <c r="U1305" s="105"/>
      <c r="V1305" s="262"/>
      <c r="W1305" s="121"/>
      <c r="X1305" s="121"/>
      <c r="Y1305" s="121"/>
      <c r="Z1305" s="121"/>
      <c r="AA1305" s="121"/>
      <c r="AB1305" s="121"/>
      <c r="AC1305" s="121"/>
      <c r="AD1305" s="121"/>
      <c r="AE1305" s="121"/>
      <c r="AF1305" s="121"/>
      <c r="AG1305" s="121"/>
      <c r="AH1305" s="121"/>
      <c r="AI1305" s="121"/>
    </row>
    <row r="1306" spans="1:35" s="115" customFormat="1" ht="14.4">
      <c r="A1306" s="187"/>
      <c r="B1306" s="190"/>
      <c r="C1306" s="190"/>
      <c r="D1306" s="69"/>
      <c r="E1306" s="69"/>
      <c r="F1306" s="149"/>
      <c r="G1306" s="146"/>
      <c r="H1306" s="98"/>
      <c r="I1306" s="99"/>
      <c r="J1306" s="99"/>
      <c r="K1306" s="99"/>
      <c r="L1306" s="99"/>
      <c r="M1306" s="99"/>
      <c r="N1306" s="99"/>
      <c r="O1306" s="99"/>
      <c r="P1306" s="99"/>
      <c r="Q1306" s="99"/>
      <c r="R1306" s="99"/>
      <c r="S1306" s="99"/>
      <c r="T1306" s="99"/>
      <c r="U1306" s="105"/>
      <c r="V1306" s="262"/>
      <c r="W1306" s="121"/>
      <c r="X1306" s="121"/>
      <c r="Y1306" s="121"/>
      <c r="Z1306" s="121"/>
      <c r="AA1306" s="121"/>
      <c r="AB1306" s="121"/>
      <c r="AC1306" s="121"/>
      <c r="AD1306" s="121"/>
      <c r="AE1306" s="121"/>
      <c r="AF1306" s="121"/>
      <c r="AG1306" s="121"/>
      <c r="AH1306" s="121"/>
      <c r="AI1306" s="121"/>
    </row>
    <row r="1307" spans="1:35" s="115" customFormat="1" ht="14.4">
      <c r="A1307" s="187"/>
      <c r="B1307" s="190"/>
      <c r="C1307" s="190"/>
      <c r="D1307" s="69"/>
      <c r="E1307" s="69"/>
      <c r="F1307" s="149"/>
      <c r="G1307" s="146"/>
      <c r="H1307" s="98"/>
      <c r="I1307" s="99"/>
      <c r="J1307" s="99"/>
      <c r="K1307" s="99"/>
      <c r="L1307" s="99"/>
      <c r="M1307" s="99"/>
      <c r="N1307" s="99"/>
      <c r="O1307" s="99"/>
      <c r="P1307" s="99"/>
      <c r="Q1307" s="99"/>
      <c r="R1307" s="99"/>
      <c r="S1307" s="99"/>
      <c r="T1307" s="99"/>
      <c r="U1307" s="105"/>
      <c r="V1307" s="262"/>
      <c r="W1307" s="121"/>
      <c r="X1307" s="121"/>
      <c r="Y1307" s="121"/>
      <c r="Z1307" s="121"/>
      <c r="AA1307" s="121"/>
      <c r="AB1307" s="121"/>
      <c r="AC1307" s="121"/>
      <c r="AD1307" s="121"/>
      <c r="AE1307" s="121"/>
      <c r="AF1307" s="121"/>
      <c r="AG1307" s="121"/>
      <c r="AH1307" s="121"/>
      <c r="AI1307" s="121"/>
    </row>
    <row r="1308" spans="1:35" s="115" customFormat="1" ht="14.4">
      <c r="A1308" s="187"/>
      <c r="B1308" s="190"/>
      <c r="C1308" s="190"/>
      <c r="D1308" s="69"/>
      <c r="E1308" s="69"/>
      <c r="F1308" s="149"/>
      <c r="G1308" s="146"/>
      <c r="H1308" s="98"/>
      <c r="I1308" s="99"/>
      <c r="J1308" s="99"/>
      <c r="K1308" s="99"/>
      <c r="L1308" s="99"/>
      <c r="M1308" s="99"/>
      <c r="N1308" s="99"/>
      <c r="O1308" s="99"/>
      <c r="P1308" s="99"/>
      <c r="Q1308" s="99"/>
      <c r="R1308" s="99"/>
      <c r="S1308" s="99"/>
      <c r="T1308" s="99"/>
      <c r="U1308" s="105"/>
      <c r="V1308" s="262"/>
      <c r="W1308" s="121"/>
      <c r="X1308" s="121"/>
      <c r="Y1308" s="121"/>
      <c r="Z1308" s="121"/>
      <c r="AA1308" s="121"/>
      <c r="AB1308" s="121"/>
      <c r="AC1308" s="121"/>
      <c r="AD1308" s="121"/>
      <c r="AE1308" s="121"/>
      <c r="AF1308" s="121"/>
      <c r="AG1308" s="121"/>
      <c r="AH1308" s="121"/>
      <c r="AI1308" s="121"/>
    </row>
    <row r="1309" spans="1:35" s="115" customFormat="1" ht="14.4">
      <c r="A1309" s="187"/>
      <c r="B1309" s="190"/>
      <c r="C1309" s="190"/>
      <c r="D1309" s="69"/>
      <c r="E1309" s="69"/>
      <c r="F1309" s="149"/>
      <c r="G1309" s="146"/>
      <c r="H1309" s="98"/>
      <c r="I1309" s="99"/>
      <c r="J1309" s="99"/>
      <c r="K1309" s="99"/>
      <c r="L1309" s="99"/>
      <c r="M1309" s="99"/>
      <c r="N1309" s="99"/>
      <c r="O1309" s="99"/>
      <c r="P1309" s="99"/>
      <c r="Q1309" s="99"/>
      <c r="R1309" s="99"/>
      <c r="S1309" s="99"/>
      <c r="T1309" s="99"/>
      <c r="U1309" s="105"/>
      <c r="V1309" s="262"/>
      <c r="W1309" s="121"/>
      <c r="X1309" s="121"/>
      <c r="Y1309" s="121"/>
      <c r="Z1309" s="121"/>
      <c r="AA1309" s="121"/>
      <c r="AB1309" s="121"/>
      <c r="AC1309" s="121"/>
      <c r="AD1309" s="121"/>
      <c r="AE1309" s="121"/>
      <c r="AF1309" s="121"/>
      <c r="AG1309" s="121"/>
      <c r="AH1309" s="121"/>
      <c r="AI1309" s="121"/>
    </row>
    <row r="1310" spans="1:35" s="115" customFormat="1" ht="14.4">
      <c r="A1310" s="187"/>
      <c r="B1310" s="190"/>
      <c r="C1310" s="190"/>
      <c r="D1310" s="69"/>
      <c r="E1310" s="69"/>
      <c r="F1310" s="149"/>
      <c r="G1310" s="146"/>
      <c r="H1310" s="98"/>
      <c r="I1310" s="99"/>
      <c r="J1310" s="99"/>
      <c r="K1310" s="99"/>
      <c r="L1310" s="99"/>
      <c r="M1310" s="99"/>
      <c r="N1310" s="99"/>
      <c r="O1310" s="99"/>
      <c r="P1310" s="99"/>
      <c r="Q1310" s="99"/>
      <c r="R1310" s="99"/>
      <c r="S1310" s="99"/>
      <c r="T1310" s="99"/>
      <c r="U1310" s="105"/>
      <c r="V1310" s="262"/>
      <c r="W1310" s="121"/>
      <c r="X1310" s="121"/>
      <c r="Y1310" s="121"/>
      <c r="Z1310" s="121"/>
      <c r="AA1310" s="121"/>
      <c r="AB1310" s="121"/>
      <c r="AC1310" s="121"/>
      <c r="AD1310" s="121"/>
      <c r="AE1310" s="121"/>
      <c r="AF1310" s="121"/>
      <c r="AG1310" s="121"/>
      <c r="AH1310" s="121"/>
      <c r="AI1310" s="121"/>
    </row>
    <row r="1311" spans="1:35" s="115" customFormat="1" ht="14.4">
      <c r="A1311" s="187"/>
      <c r="B1311" s="190"/>
      <c r="C1311" s="190"/>
      <c r="D1311" s="69"/>
      <c r="E1311" s="69"/>
      <c r="F1311" s="149"/>
      <c r="G1311" s="146"/>
      <c r="H1311" s="98"/>
      <c r="I1311" s="99"/>
      <c r="J1311" s="99"/>
      <c r="K1311" s="99"/>
      <c r="L1311" s="99"/>
      <c r="M1311" s="99"/>
      <c r="N1311" s="99"/>
      <c r="O1311" s="99"/>
      <c r="P1311" s="99"/>
      <c r="Q1311" s="99"/>
      <c r="R1311" s="99"/>
      <c r="S1311" s="99"/>
      <c r="T1311" s="99"/>
      <c r="U1311" s="105"/>
      <c r="V1311" s="262"/>
      <c r="W1311" s="121"/>
      <c r="X1311" s="121"/>
      <c r="Y1311" s="121"/>
      <c r="Z1311" s="121"/>
      <c r="AA1311" s="121"/>
      <c r="AB1311" s="121"/>
      <c r="AC1311" s="121"/>
      <c r="AD1311" s="121"/>
      <c r="AE1311" s="121"/>
      <c r="AF1311" s="121"/>
      <c r="AG1311" s="121"/>
      <c r="AH1311" s="121"/>
      <c r="AI1311" s="121"/>
    </row>
    <row r="1312" spans="1:35" s="115" customFormat="1" ht="14.4">
      <c r="A1312" s="187"/>
      <c r="B1312" s="190"/>
      <c r="C1312" s="190"/>
      <c r="D1312" s="69"/>
      <c r="E1312" s="69"/>
      <c r="F1312" s="149"/>
      <c r="G1312" s="146"/>
      <c r="H1312" s="98"/>
      <c r="I1312" s="99"/>
      <c r="J1312" s="99"/>
      <c r="K1312" s="99"/>
      <c r="L1312" s="99"/>
      <c r="M1312" s="99"/>
      <c r="N1312" s="99"/>
      <c r="O1312" s="99"/>
      <c r="P1312" s="99"/>
      <c r="Q1312" s="99"/>
      <c r="R1312" s="99"/>
      <c r="S1312" s="99"/>
      <c r="T1312" s="99"/>
      <c r="U1312" s="105"/>
      <c r="V1312" s="262"/>
      <c r="W1312" s="121"/>
      <c r="X1312" s="121"/>
      <c r="Y1312" s="121"/>
      <c r="Z1312" s="121"/>
      <c r="AA1312" s="121"/>
      <c r="AB1312" s="121"/>
      <c r="AC1312" s="121"/>
      <c r="AD1312" s="121"/>
      <c r="AE1312" s="121"/>
      <c r="AF1312" s="121"/>
      <c r="AG1312" s="121"/>
      <c r="AH1312" s="121"/>
      <c r="AI1312" s="121"/>
    </row>
    <row r="1313" spans="1:35" s="115" customFormat="1" ht="14.4">
      <c r="A1313" s="187"/>
      <c r="B1313" s="190"/>
      <c r="C1313" s="190"/>
      <c r="D1313" s="69"/>
      <c r="E1313" s="69"/>
      <c r="F1313" s="149"/>
      <c r="G1313" s="146"/>
      <c r="H1313" s="98"/>
      <c r="I1313" s="99"/>
      <c r="J1313" s="99"/>
      <c r="K1313" s="99"/>
      <c r="L1313" s="99"/>
      <c r="M1313" s="99"/>
      <c r="N1313" s="99"/>
      <c r="O1313" s="99"/>
      <c r="P1313" s="99"/>
      <c r="Q1313" s="99"/>
      <c r="R1313" s="99"/>
      <c r="S1313" s="99"/>
      <c r="T1313" s="99"/>
      <c r="U1313" s="105"/>
      <c r="V1313" s="262"/>
      <c r="W1313" s="121"/>
      <c r="X1313" s="121"/>
      <c r="Y1313" s="121"/>
      <c r="Z1313" s="121"/>
      <c r="AA1313" s="121"/>
      <c r="AB1313" s="121"/>
      <c r="AC1313" s="121"/>
      <c r="AD1313" s="121"/>
      <c r="AE1313" s="121"/>
      <c r="AF1313" s="121"/>
      <c r="AG1313" s="121"/>
      <c r="AH1313" s="121"/>
      <c r="AI1313" s="121"/>
    </row>
    <row r="1314" spans="1:35" s="115" customFormat="1" ht="14.4">
      <c r="A1314" s="187"/>
      <c r="B1314" s="190"/>
      <c r="C1314" s="190"/>
      <c r="D1314" s="69"/>
      <c r="E1314" s="69"/>
      <c r="F1314" s="149"/>
      <c r="G1314" s="146"/>
      <c r="H1314" s="98"/>
      <c r="I1314" s="99"/>
      <c r="J1314" s="99"/>
      <c r="K1314" s="99"/>
      <c r="L1314" s="99"/>
      <c r="M1314" s="99"/>
      <c r="N1314" s="99"/>
      <c r="O1314" s="99"/>
      <c r="P1314" s="99"/>
      <c r="Q1314" s="99"/>
      <c r="R1314" s="99"/>
      <c r="S1314" s="99"/>
      <c r="T1314" s="99"/>
      <c r="U1314" s="105"/>
      <c r="V1314" s="262"/>
      <c r="W1314" s="121"/>
      <c r="X1314" s="121"/>
      <c r="Y1314" s="121"/>
      <c r="Z1314" s="121"/>
      <c r="AA1314" s="121"/>
      <c r="AB1314" s="121"/>
      <c r="AC1314" s="121"/>
      <c r="AD1314" s="121"/>
      <c r="AE1314" s="121"/>
      <c r="AF1314" s="121"/>
      <c r="AG1314" s="121"/>
      <c r="AH1314" s="121"/>
      <c r="AI1314" s="121"/>
    </row>
    <row r="1315" spans="1:35" s="115" customFormat="1" ht="14.4">
      <c r="A1315" s="187"/>
      <c r="B1315" s="190"/>
      <c r="C1315" s="190"/>
      <c r="D1315" s="69"/>
      <c r="E1315" s="69"/>
      <c r="F1315" s="149"/>
      <c r="G1315" s="146"/>
      <c r="H1315" s="98"/>
      <c r="I1315" s="99"/>
      <c r="J1315" s="99"/>
      <c r="K1315" s="99"/>
      <c r="L1315" s="99"/>
      <c r="M1315" s="99"/>
      <c r="N1315" s="99"/>
      <c r="O1315" s="99"/>
      <c r="P1315" s="99"/>
      <c r="Q1315" s="99"/>
      <c r="R1315" s="99"/>
      <c r="S1315" s="99"/>
      <c r="T1315" s="99"/>
      <c r="U1315" s="105"/>
      <c r="V1315" s="262"/>
      <c r="W1315" s="121"/>
      <c r="X1315" s="121"/>
      <c r="Y1315" s="121"/>
      <c r="Z1315" s="121"/>
      <c r="AA1315" s="121"/>
      <c r="AB1315" s="121"/>
      <c r="AC1315" s="121"/>
      <c r="AD1315" s="121"/>
      <c r="AE1315" s="121"/>
      <c r="AF1315" s="121"/>
      <c r="AG1315" s="121"/>
      <c r="AH1315" s="121"/>
      <c r="AI1315" s="121"/>
    </row>
    <row r="1316" spans="1:35" s="115" customFormat="1" ht="14.4">
      <c r="A1316" s="187"/>
      <c r="B1316" s="190"/>
      <c r="C1316" s="190"/>
      <c r="D1316" s="69"/>
      <c r="E1316" s="69"/>
      <c r="F1316" s="149"/>
      <c r="G1316" s="146"/>
      <c r="H1316" s="98"/>
      <c r="I1316" s="99"/>
      <c r="J1316" s="99"/>
      <c r="K1316" s="99"/>
      <c r="L1316" s="99"/>
      <c r="M1316" s="99"/>
      <c r="N1316" s="99"/>
      <c r="O1316" s="99"/>
      <c r="P1316" s="99"/>
      <c r="Q1316" s="99"/>
      <c r="R1316" s="99"/>
      <c r="S1316" s="99"/>
      <c r="T1316" s="99"/>
      <c r="U1316" s="105"/>
      <c r="V1316" s="262"/>
      <c r="W1316" s="121"/>
      <c r="X1316" s="121"/>
      <c r="Y1316" s="121"/>
      <c r="Z1316" s="121"/>
      <c r="AA1316" s="121"/>
      <c r="AB1316" s="121"/>
      <c r="AC1316" s="121"/>
      <c r="AD1316" s="121"/>
      <c r="AE1316" s="121"/>
      <c r="AF1316" s="121"/>
      <c r="AG1316" s="121"/>
      <c r="AH1316" s="121"/>
      <c r="AI1316" s="121"/>
    </row>
    <row r="1317" spans="1:35" s="115" customFormat="1" ht="14.4">
      <c r="A1317" s="187"/>
      <c r="B1317" s="190"/>
      <c r="C1317" s="190"/>
      <c r="D1317" s="69"/>
      <c r="E1317" s="69"/>
      <c r="F1317" s="149"/>
      <c r="G1317" s="146"/>
      <c r="H1317" s="98"/>
      <c r="I1317" s="99"/>
      <c r="J1317" s="99"/>
      <c r="K1317" s="99"/>
      <c r="L1317" s="99"/>
      <c r="M1317" s="99"/>
      <c r="N1317" s="99"/>
      <c r="O1317" s="99"/>
      <c r="P1317" s="99"/>
      <c r="Q1317" s="99"/>
      <c r="R1317" s="99"/>
      <c r="S1317" s="99"/>
      <c r="T1317" s="99"/>
      <c r="U1317" s="105"/>
      <c r="V1317" s="262"/>
      <c r="W1317" s="121"/>
      <c r="X1317" s="121"/>
      <c r="Y1317" s="121"/>
      <c r="Z1317" s="121"/>
      <c r="AA1317" s="121"/>
      <c r="AB1317" s="121"/>
      <c r="AC1317" s="121"/>
      <c r="AD1317" s="121"/>
      <c r="AE1317" s="121"/>
      <c r="AF1317" s="121"/>
      <c r="AG1317" s="121"/>
      <c r="AH1317" s="121"/>
      <c r="AI1317" s="121"/>
    </row>
    <row r="1318" spans="1:35" s="115" customFormat="1" ht="14.4">
      <c r="A1318" s="187"/>
      <c r="B1318" s="190"/>
      <c r="C1318" s="190"/>
      <c r="D1318" s="69"/>
      <c r="E1318" s="69"/>
      <c r="F1318" s="149"/>
      <c r="G1318" s="146"/>
      <c r="H1318" s="107"/>
      <c r="I1318" s="108"/>
      <c r="J1318" s="108"/>
      <c r="K1318" s="108"/>
      <c r="L1318" s="108"/>
      <c r="M1318" s="108"/>
      <c r="N1318" s="109"/>
      <c r="O1318" s="109"/>
      <c r="P1318" s="109"/>
      <c r="Q1318" s="109"/>
      <c r="R1318" s="109"/>
      <c r="S1318" s="109"/>
      <c r="T1318" s="109"/>
      <c r="U1318" s="105"/>
      <c r="V1318" s="262"/>
      <c r="W1318" s="121"/>
      <c r="X1318" s="121"/>
      <c r="Y1318" s="121"/>
      <c r="Z1318" s="121"/>
      <c r="AA1318" s="121"/>
      <c r="AB1318" s="121"/>
      <c r="AC1318" s="121"/>
      <c r="AD1318" s="121"/>
      <c r="AE1318" s="121"/>
      <c r="AF1318" s="121"/>
      <c r="AG1318" s="121"/>
      <c r="AH1318" s="121"/>
      <c r="AI1318" s="121"/>
    </row>
    <row r="1319" spans="1:35" s="115" customFormat="1" ht="14.4">
      <c r="A1319" s="187"/>
      <c r="B1319" s="190"/>
      <c r="C1319" s="190"/>
      <c r="D1319" s="69"/>
      <c r="E1319" s="69"/>
      <c r="F1319" s="149"/>
      <c r="G1319" s="146"/>
      <c r="H1319" s="98"/>
      <c r="I1319" s="106"/>
      <c r="J1319" s="106"/>
      <c r="K1319" s="106"/>
      <c r="L1319" s="106"/>
      <c r="M1319" s="106"/>
      <c r="N1319" s="112"/>
      <c r="O1319" s="112"/>
      <c r="P1319" s="112"/>
      <c r="Q1319" s="113"/>
      <c r="R1319" s="212"/>
      <c r="S1319" s="212"/>
      <c r="T1319" s="113"/>
      <c r="U1319" s="105"/>
      <c r="V1319" s="262"/>
      <c r="W1319" s="121"/>
      <c r="X1319" s="121"/>
      <c r="Y1319" s="121"/>
      <c r="Z1319" s="121"/>
      <c r="AA1319" s="121"/>
      <c r="AB1319" s="121"/>
      <c r="AC1319" s="121"/>
      <c r="AD1319" s="121"/>
      <c r="AE1319" s="121"/>
      <c r="AF1319" s="121"/>
      <c r="AG1319" s="121"/>
      <c r="AH1319" s="121"/>
      <c r="AI1319" s="121"/>
    </row>
    <row r="1320" spans="1:35" s="115" customFormat="1" ht="14.4">
      <c r="A1320" s="187"/>
      <c r="B1320" s="190"/>
      <c r="C1320" s="190"/>
      <c r="D1320" s="69"/>
      <c r="E1320" s="69"/>
      <c r="F1320" s="149"/>
      <c r="G1320" s="146"/>
      <c r="H1320" s="98"/>
      <c r="I1320" s="99"/>
      <c r="J1320" s="99"/>
      <c r="K1320" s="99"/>
      <c r="L1320" s="99"/>
      <c r="M1320" s="99"/>
      <c r="N1320" s="99"/>
      <c r="O1320" s="99"/>
      <c r="P1320" s="99"/>
      <c r="Q1320" s="99"/>
      <c r="R1320" s="99"/>
      <c r="S1320" s="99"/>
      <c r="T1320" s="99"/>
      <c r="U1320" s="105"/>
      <c r="V1320" s="262"/>
      <c r="W1320" s="121"/>
      <c r="X1320" s="121"/>
      <c r="Y1320" s="121"/>
      <c r="Z1320" s="121"/>
      <c r="AA1320" s="121"/>
      <c r="AB1320" s="121"/>
      <c r="AC1320" s="121"/>
      <c r="AD1320" s="121"/>
      <c r="AE1320" s="121"/>
      <c r="AF1320" s="121"/>
      <c r="AG1320" s="121"/>
      <c r="AH1320" s="121"/>
      <c r="AI1320" s="121"/>
    </row>
    <row r="1321" spans="1:35" s="115" customFormat="1" ht="14.4">
      <c r="A1321" s="187"/>
      <c r="B1321" s="190"/>
      <c r="C1321" s="190"/>
      <c r="D1321" s="69"/>
      <c r="E1321" s="69"/>
      <c r="F1321" s="149"/>
      <c r="G1321" s="146"/>
      <c r="H1321" s="98"/>
      <c r="I1321" s="99"/>
      <c r="J1321" s="99"/>
      <c r="K1321" s="99"/>
      <c r="L1321" s="99"/>
      <c r="M1321" s="99"/>
      <c r="N1321" s="99"/>
      <c r="O1321" s="99"/>
      <c r="P1321" s="99"/>
      <c r="Q1321" s="99"/>
      <c r="R1321" s="99"/>
      <c r="S1321" s="99"/>
      <c r="T1321" s="99"/>
      <c r="U1321" s="105"/>
      <c r="V1321" s="262"/>
      <c r="W1321" s="121"/>
      <c r="X1321" s="121"/>
      <c r="Y1321" s="121"/>
      <c r="Z1321" s="121"/>
      <c r="AA1321" s="121"/>
      <c r="AB1321" s="121"/>
      <c r="AC1321" s="121"/>
      <c r="AD1321" s="121"/>
      <c r="AE1321" s="121"/>
      <c r="AF1321" s="121"/>
      <c r="AG1321" s="121"/>
      <c r="AH1321" s="121"/>
      <c r="AI1321" s="121"/>
    </row>
    <row r="1322" spans="1:35" s="115" customFormat="1" ht="14.4">
      <c r="A1322" s="187"/>
      <c r="B1322" s="190"/>
      <c r="C1322" s="190"/>
      <c r="D1322" s="69"/>
      <c r="E1322" s="69"/>
      <c r="F1322" s="149"/>
      <c r="G1322" s="146"/>
      <c r="H1322" s="98"/>
      <c r="I1322" s="99"/>
      <c r="J1322" s="99"/>
      <c r="K1322" s="99"/>
      <c r="L1322" s="99"/>
      <c r="M1322" s="99"/>
      <c r="N1322" s="99"/>
      <c r="O1322" s="99"/>
      <c r="P1322" s="99"/>
      <c r="Q1322" s="99"/>
      <c r="R1322" s="99"/>
      <c r="S1322" s="99"/>
      <c r="T1322" s="99"/>
      <c r="U1322" s="105"/>
      <c r="V1322" s="262"/>
      <c r="W1322" s="121"/>
      <c r="X1322" s="121"/>
      <c r="Y1322" s="121"/>
      <c r="Z1322" s="121"/>
      <c r="AA1322" s="121"/>
      <c r="AB1322" s="121"/>
      <c r="AC1322" s="121"/>
      <c r="AD1322" s="121"/>
      <c r="AE1322" s="121"/>
      <c r="AF1322" s="121"/>
      <c r="AG1322" s="121"/>
      <c r="AH1322" s="121"/>
      <c r="AI1322" s="121"/>
    </row>
    <row r="1323" spans="1:35" s="115" customFormat="1" ht="14.4">
      <c r="A1323" s="187"/>
      <c r="B1323" s="190"/>
      <c r="C1323" s="190"/>
      <c r="D1323" s="69"/>
      <c r="E1323" s="69"/>
      <c r="F1323" s="149"/>
      <c r="G1323" s="146"/>
      <c r="H1323" s="98"/>
      <c r="I1323" s="99"/>
      <c r="J1323" s="99"/>
      <c r="K1323" s="99"/>
      <c r="L1323" s="99"/>
      <c r="M1323" s="99"/>
      <c r="N1323" s="99"/>
      <c r="O1323" s="99"/>
      <c r="P1323" s="99"/>
      <c r="Q1323" s="99"/>
      <c r="R1323" s="99"/>
      <c r="S1323" s="99"/>
      <c r="T1323" s="99"/>
      <c r="U1323" s="105"/>
      <c r="V1323" s="262"/>
      <c r="W1323" s="121"/>
      <c r="X1323" s="121"/>
      <c r="Y1323" s="121"/>
      <c r="Z1323" s="121"/>
      <c r="AA1323" s="121"/>
      <c r="AB1323" s="121"/>
      <c r="AC1323" s="121"/>
      <c r="AD1323" s="121"/>
      <c r="AE1323" s="121"/>
      <c r="AF1323" s="121"/>
      <c r="AG1323" s="121"/>
      <c r="AH1323" s="121"/>
      <c r="AI1323" s="121"/>
    </row>
    <row r="1324" spans="1:35" s="115" customFormat="1" ht="14.4">
      <c r="A1324" s="187"/>
      <c r="B1324" s="190"/>
      <c r="C1324" s="190"/>
      <c r="D1324" s="69"/>
      <c r="E1324" s="69"/>
      <c r="F1324" s="149"/>
      <c r="G1324" s="146"/>
      <c r="H1324" s="98"/>
      <c r="I1324" s="99"/>
      <c r="J1324" s="99"/>
      <c r="K1324" s="99"/>
      <c r="L1324" s="99"/>
      <c r="M1324" s="99"/>
      <c r="N1324" s="99"/>
      <c r="O1324" s="99"/>
      <c r="P1324" s="99"/>
      <c r="Q1324" s="99"/>
      <c r="R1324" s="99"/>
      <c r="S1324" s="99"/>
      <c r="T1324" s="99"/>
      <c r="U1324" s="105"/>
      <c r="V1324" s="262"/>
      <c r="W1324" s="121"/>
      <c r="X1324" s="121"/>
      <c r="Y1324" s="121"/>
      <c r="Z1324" s="121"/>
      <c r="AA1324" s="121"/>
      <c r="AB1324" s="121"/>
      <c r="AC1324" s="121"/>
      <c r="AD1324" s="121"/>
      <c r="AE1324" s="121"/>
      <c r="AF1324" s="121"/>
      <c r="AG1324" s="121"/>
      <c r="AH1324" s="121"/>
      <c r="AI1324" s="121"/>
    </row>
    <row r="1325" spans="1:35" s="115" customFormat="1" ht="24" customHeight="1">
      <c r="A1325" s="187"/>
      <c r="B1325" s="190"/>
      <c r="C1325" s="190"/>
      <c r="D1325" s="69"/>
      <c r="E1325" s="69"/>
      <c r="F1325" s="149"/>
      <c r="G1325" s="146"/>
      <c r="H1325" s="98"/>
      <c r="I1325" s="99"/>
      <c r="J1325" s="99"/>
      <c r="K1325" s="99"/>
      <c r="L1325" s="99"/>
      <c r="M1325" s="99"/>
      <c r="N1325" s="99"/>
      <c r="O1325" s="99"/>
      <c r="P1325" s="99"/>
      <c r="Q1325" s="99"/>
      <c r="R1325" s="99"/>
      <c r="S1325" s="99"/>
      <c r="T1325" s="99"/>
      <c r="U1325" s="105"/>
      <c r="V1325" s="262"/>
      <c r="W1325" s="121"/>
      <c r="X1325" s="121"/>
      <c r="Y1325" s="121"/>
      <c r="Z1325" s="121"/>
      <c r="AA1325" s="121"/>
      <c r="AB1325" s="121"/>
      <c r="AC1325" s="121"/>
      <c r="AD1325" s="121"/>
      <c r="AE1325" s="121"/>
      <c r="AF1325" s="121"/>
      <c r="AG1325" s="121"/>
      <c r="AH1325" s="121"/>
      <c r="AI1325" s="121"/>
    </row>
    <row r="1326" spans="1:35" s="115" customFormat="1" ht="14.4">
      <c r="A1326" s="187"/>
      <c r="B1326" s="190"/>
      <c r="C1326" s="190"/>
      <c r="D1326" s="69"/>
      <c r="E1326" s="69"/>
      <c r="F1326" s="149"/>
      <c r="G1326" s="146"/>
      <c r="H1326" s="98"/>
      <c r="I1326" s="99"/>
      <c r="J1326" s="99"/>
      <c r="K1326" s="99"/>
      <c r="L1326" s="99"/>
      <c r="M1326" s="99"/>
      <c r="N1326" s="99"/>
      <c r="O1326" s="99"/>
      <c r="P1326" s="99"/>
      <c r="Q1326" s="99"/>
      <c r="R1326" s="99"/>
      <c r="S1326" s="99"/>
      <c r="T1326" s="99"/>
      <c r="U1326" s="105"/>
      <c r="V1326" s="262"/>
      <c r="W1326" s="121"/>
      <c r="X1326" s="121"/>
      <c r="Y1326" s="121"/>
      <c r="Z1326" s="121"/>
      <c r="AA1326" s="121"/>
      <c r="AB1326" s="121"/>
      <c r="AC1326" s="121"/>
      <c r="AD1326" s="121"/>
      <c r="AE1326" s="121"/>
      <c r="AF1326" s="121"/>
      <c r="AG1326" s="121"/>
      <c r="AH1326" s="121"/>
      <c r="AI1326" s="121"/>
    </row>
    <row r="1327" spans="1:35" s="115" customFormat="1" ht="14.4">
      <c r="A1327" s="187"/>
      <c r="B1327" s="190"/>
      <c r="C1327" s="190"/>
      <c r="D1327" s="69"/>
      <c r="E1327" s="69"/>
      <c r="F1327" s="149"/>
      <c r="G1327" s="146"/>
      <c r="H1327" s="98"/>
      <c r="I1327" s="99"/>
      <c r="J1327" s="99"/>
      <c r="K1327" s="99"/>
      <c r="L1327" s="99"/>
      <c r="M1327" s="99"/>
      <c r="N1327" s="99"/>
      <c r="O1327" s="99"/>
      <c r="P1327" s="99"/>
      <c r="Q1327" s="99"/>
      <c r="R1327" s="99"/>
      <c r="S1327" s="99"/>
      <c r="T1327" s="99"/>
      <c r="U1327" s="105"/>
      <c r="V1327" s="262"/>
      <c r="W1327" s="121"/>
      <c r="X1327" s="121"/>
      <c r="Y1327" s="121"/>
      <c r="Z1327" s="121"/>
      <c r="AA1327" s="121"/>
      <c r="AB1327" s="121"/>
      <c r="AC1327" s="121"/>
      <c r="AD1327" s="121"/>
      <c r="AE1327" s="121"/>
      <c r="AF1327" s="121"/>
      <c r="AG1327" s="121"/>
      <c r="AH1327" s="121"/>
      <c r="AI1327" s="121"/>
    </row>
    <row r="1328" spans="1:35" s="115" customFormat="1" ht="14.4">
      <c r="A1328" s="187"/>
      <c r="B1328" s="190"/>
      <c r="C1328" s="190"/>
      <c r="D1328" s="69"/>
      <c r="E1328" s="69"/>
      <c r="F1328" s="149"/>
      <c r="G1328" s="146"/>
      <c r="H1328" s="98"/>
      <c r="I1328" s="99"/>
      <c r="J1328" s="99"/>
      <c r="K1328" s="99"/>
      <c r="L1328" s="99"/>
      <c r="M1328" s="99"/>
      <c r="N1328" s="99"/>
      <c r="O1328" s="99"/>
      <c r="P1328" s="99"/>
      <c r="Q1328" s="99"/>
      <c r="R1328" s="99"/>
      <c r="S1328" s="99"/>
      <c r="T1328" s="99"/>
      <c r="U1328" s="105"/>
      <c r="V1328" s="262"/>
      <c r="W1328" s="121"/>
      <c r="X1328" s="121"/>
      <c r="Y1328" s="121"/>
      <c r="Z1328" s="121"/>
      <c r="AA1328" s="121"/>
      <c r="AB1328" s="121"/>
      <c r="AC1328" s="121"/>
      <c r="AD1328" s="121"/>
      <c r="AE1328" s="121"/>
      <c r="AF1328" s="121"/>
      <c r="AG1328" s="121"/>
      <c r="AH1328" s="121"/>
      <c r="AI1328" s="121"/>
    </row>
    <row r="1329" spans="1:35" s="115" customFormat="1" ht="14.4">
      <c r="A1329" s="187"/>
      <c r="B1329" s="190"/>
      <c r="C1329" s="190"/>
      <c r="D1329" s="69"/>
      <c r="E1329" s="69"/>
      <c r="F1329" s="149"/>
      <c r="G1329" s="146"/>
      <c r="H1329" s="98"/>
      <c r="I1329" s="99"/>
      <c r="J1329" s="99"/>
      <c r="K1329" s="99"/>
      <c r="L1329" s="99"/>
      <c r="M1329" s="99"/>
      <c r="N1329" s="99"/>
      <c r="O1329" s="99"/>
      <c r="P1329" s="99"/>
      <c r="Q1329" s="99"/>
      <c r="R1329" s="99"/>
      <c r="S1329" s="99"/>
      <c r="T1329" s="99"/>
      <c r="U1329" s="105"/>
      <c r="V1329" s="262"/>
      <c r="W1329" s="121"/>
      <c r="X1329" s="121"/>
      <c r="Y1329" s="121"/>
      <c r="Z1329" s="121"/>
      <c r="AA1329" s="121"/>
      <c r="AB1329" s="121"/>
      <c r="AC1329" s="121"/>
      <c r="AD1329" s="121"/>
      <c r="AE1329" s="121"/>
      <c r="AF1329" s="121"/>
      <c r="AG1329" s="121"/>
      <c r="AH1329" s="121"/>
      <c r="AI1329" s="121"/>
    </row>
    <row r="1330" spans="1:35" s="115" customFormat="1" ht="14.4">
      <c r="A1330" s="187"/>
      <c r="B1330" s="190"/>
      <c r="C1330" s="190"/>
      <c r="D1330" s="69"/>
      <c r="E1330" s="69"/>
      <c r="F1330" s="149"/>
      <c r="G1330" s="146"/>
      <c r="H1330" s="98"/>
      <c r="I1330" s="99"/>
      <c r="J1330" s="99"/>
      <c r="K1330" s="99"/>
      <c r="L1330" s="99"/>
      <c r="M1330" s="99"/>
      <c r="N1330" s="99"/>
      <c r="O1330" s="99"/>
      <c r="P1330" s="99"/>
      <c r="Q1330" s="99"/>
      <c r="R1330" s="99"/>
      <c r="S1330" s="99"/>
      <c r="T1330" s="99"/>
      <c r="U1330" s="105"/>
      <c r="V1330" s="262"/>
      <c r="W1330" s="121"/>
      <c r="X1330" s="121"/>
      <c r="Y1330" s="121"/>
      <c r="Z1330" s="121"/>
      <c r="AA1330" s="121"/>
      <c r="AB1330" s="121"/>
      <c r="AC1330" s="121"/>
      <c r="AD1330" s="121"/>
      <c r="AE1330" s="121"/>
      <c r="AF1330" s="121"/>
      <c r="AG1330" s="121"/>
      <c r="AH1330" s="121"/>
      <c r="AI1330" s="121"/>
    </row>
    <row r="1331" spans="1:35" s="115" customFormat="1" ht="14.4">
      <c r="A1331" s="187"/>
      <c r="B1331" s="190"/>
      <c r="C1331" s="190"/>
      <c r="D1331" s="69"/>
      <c r="E1331" s="69"/>
      <c r="F1331" s="149"/>
      <c r="G1331" s="146"/>
      <c r="H1331" s="98"/>
      <c r="I1331" s="99"/>
      <c r="J1331" s="99"/>
      <c r="K1331" s="99"/>
      <c r="L1331" s="99"/>
      <c r="M1331" s="99"/>
      <c r="N1331" s="99"/>
      <c r="O1331" s="99"/>
      <c r="P1331" s="99"/>
      <c r="Q1331" s="99"/>
      <c r="R1331" s="99"/>
      <c r="S1331" s="99"/>
      <c r="T1331" s="99"/>
      <c r="U1331" s="105"/>
      <c r="V1331" s="262"/>
      <c r="W1331" s="121"/>
      <c r="X1331" s="121"/>
      <c r="Y1331" s="121"/>
      <c r="Z1331" s="121"/>
      <c r="AA1331" s="121"/>
      <c r="AB1331" s="121"/>
      <c r="AC1331" s="121"/>
      <c r="AD1331" s="121"/>
      <c r="AE1331" s="121"/>
      <c r="AF1331" s="121"/>
      <c r="AG1331" s="121"/>
      <c r="AH1331" s="121"/>
      <c r="AI1331" s="121"/>
    </row>
    <row r="1332" spans="1:35" s="115" customFormat="1" ht="14.4">
      <c r="A1332" s="187"/>
      <c r="B1332" s="190"/>
      <c r="C1332" s="190"/>
      <c r="D1332" s="69"/>
      <c r="E1332" s="69"/>
      <c r="F1332" s="149"/>
      <c r="G1332" s="146"/>
      <c r="H1332" s="107"/>
      <c r="I1332" s="108"/>
      <c r="J1332" s="108"/>
      <c r="K1332" s="108"/>
      <c r="L1332" s="108"/>
      <c r="M1332" s="108"/>
      <c r="N1332" s="108"/>
      <c r="O1332" s="108"/>
      <c r="P1332" s="108"/>
      <c r="Q1332" s="108"/>
      <c r="R1332" s="108"/>
      <c r="S1332" s="108"/>
      <c r="T1332" s="108"/>
      <c r="U1332" s="105"/>
      <c r="V1332" s="262"/>
      <c r="W1332" s="121"/>
      <c r="X1332" s="121"/>
      <c r="Y1332" s="121"/>
      <c r="Z1332" s="121"/>
      <c r="AA1332" s="121"/>
      <c r="AB1332" s="121"/>
      <c r="AC1332" s="121"/>
      <c r="AD1332" s="121"/>
      <c r="AE1332" s="121"/>
      <c r="AF1332" s="121"/>
      <c r="AG1332" s="121"/>
      <c r="AH1332" s="121"/>
      <c r="AI1332" s="121"/>
    </row>
    <row r="1333" spans="1:35" s="115" customFormat="1" ht="14.4">
      <c r="A1333" s="187"/>
      <c r="B1333" s="190"/>
      <c r="C1333" s="190"/>
      <c r="D1333" s="69"/>
      <c r="E1333" s="69"/>
      <c r="F1333" s="149"/>
      <c r="G1333" s="146"/>
      <c r="H1333" s="98"/>
      <c r="I1333" s="106"/>
      <c r="J1333" s="106"/>
      <c r="K1333" s="106"/>
      <c r="L1333" s="106"/>
      <c r="M1333" s="106"/>
      <c r="N1333" s="112"/>
      <c r="O1333" s="112"/>
      <c r="P1333" s="112"/>
      <c r="Q1333" s="113"/>
      <c r="R1333" s="212"/>
      <c r="S1333" s="212"/>
      <c r="T1333" s="113"/>
      <c r="U1333" s="105"/>
      <c r="V1333" s="262"/>
      <c r="W1333" s="121"/>
      <c r="X1333" s="121"/>
      <c r="Y1333" s="121"/>
      <c r="Z1333" s="121"/>
      <c r="AA1333" s="121"/>
      <c r="AB1333" s="121"/>
      <c r="AC1333" s="121"/>
      <c r="AD1333" s="121"/>
      <c r="AE1333" s="121"/>
      <c r="AF1333" s="121"/>
      <c r="AG1333" s="121"/>
      <c r="AH1333" s="121"/>
      <c r="AI1333" s="121"/>
    </row>
    <row r="1334" spans="1:35" s="115" customFormat="1" ht="14.4">
      <c r="A1334" s="187"/>
      <c r="B1334" s="190"/>
      <c r="C1334" s="190"/>
      <c r="D1334" s="69"/>
      <c r="E1334" s="69"/>
      <c r="F1334" s="149"/>
      <c r="G1334" s="146"/>
      <c r="H1334" s="98"/>
      <c r="I1334" s="99"/>
      <c r="J1334" s="99"/>
      <c r="K1334" s="99"/>
      <c r="L1334" s="99"/>
      <c r="M1334" s="99"/>
      <c r="N1334" s="99"/>
      <c r="O1334" s="99"/>
      <c r="P1334" s="99"/>
      <c r="Q1334" s="99"/>
      <c r="R1334" s="99"/>
      <c r="S1334" s="99"/>
      <c r="T1334" s="99"/>
      <c r="U1334" s="105"/>
      <c r="V1334" s="262"/>
      <c r="W1334" s="121"/>
      <c r="X1334" s="121"/>
      <c r="Y1334" s="121"/>
      <c r="Z1334" s="121"/>
      <c r="AA1334" s="121"/>
      <c r="AB1334" s="121"/>
      <c r="AC1334" s="121"/>
      <c r="AD1334" s="121"/>
      <c r="AE1334" s="121"/>
      <c r="AF1334" s="121"/>
      <c r="AG1334" s="121"/>
      <c r="AH1334" s="121"/>
      <c r="AI1334" s="121"/>
    </row>
    <row r="1335" spans="1:35" s="115" customFormat="1" ht="14.4">
      <c r="A1335" s="187"/>
      <c r="B1335" s="190"/>
      <c r="C1335" s="190"/>
      <c r="D1335" s="69"/>
      <c r="E1335" s="69"/>
      <c r="F1335" s="149"/>
      <c r="G1335" s="146"/>
      <c r="H1335" s="98"/>
      <c r="I1335" s="99"/>
      <c r="J1335" s="99"/>
      <c r="K1335" s="99"/>
      <c r="L1335" s="99"/>
      <c r="M1335" s="99"/>
      <c r="N1335" s="99"/>
      <c r="O1335" s="99"/>
      <c r="P1335" s="99"/>
      <c r="Q1335" s="99"/>
      <c r="R1335" s="99"/>
      <c r="S1335" s="99"/>
      <c r="T1335" s="99"/>
      <c r="U1335" s="105"/>
      <c r="V1335" s="262"/>
      <c r="W1335" s="121"/>
      <c r="X1335" s="121"/>
      <c r="Y1335" s="121"/>
      <c r="Z1335" s="121"/>
      <c r="AA1335" s="121"/>
      <c r="AB1335" s="121"/>
      <c r="AC1335" s="121"/>
      <c r="AD1335" s="121"/>
      <c r="AE1335" s="121"/>
      <c r="AF1335" s="121"/>
      <c r="AG1335" s="121"/>
      <c r="AH1335" s="121"/>
      <c r="AI1335" s="121"/>
    </row>
    <row r="1336" spans="1:35" s="115" customFormat="1" ht="14.4">
      <c r="A1336" s="187"/>
      <c r="B1336" s="190"/>
      <c r="C1336" s="190"/>
      <c r="D1336" s="69"/>
      <c r="E1336" s="69"/>
      <c r="F1336" s="149"/>
      <c r="G1336" s="146"/>
      <c r="H1336" s="98"/>
      <c r="I1336" s="99"/>
      <c r="J1336" s="99"/>
      <c r="K1336" s="99"/>
      <c r="L1336" s="99"/>
      <c r="M1336" s="99"/>
      <c r="N1336" s="99"/>
      <c r="O1336" s="99"/>
      <c r="P1336" s="99"/>
      <c r="Q1336" s="99"/>
      <c r="R1336" s="99"/>
      <c r="S1336" s="99"/>
      <c r="T1336" s="99"/>
      <c r="U1336" s="105"/>
      <c r="V1336" s="262"/>
      <c r="W1336" s="121"/>
      <c r="X1336" s="121"/>
      <c r="Y1336" s="121"/>
      <c r="Z1336" s="121"/>
      <c r="AA1336" s="121"/>
      <c r="AB1336" s="121"/>
      <c r="AC1336" s="121"/>
      <c r="AD1336" s="121"/>
      <c r="AE1336" s="121"/>
      <c r="AF1336" s="121"/>
      <c r="AG1336" s="121"/>
      <c r="AH1336" s="121"/>
      <c r="AI1336" s="121"/>
    </row>
    <row r="1337" spans="1:35" s="115" customFormat="1" ht="14.4">
      <c r="A1337" s="187"/>
      <c r="B1337" s="190"/>
      <c r="C1337" s="190"/>
      <c r="D1337" s="69"/>
      <c r="E1337" s="69"/>
      <c r="F1337" s="149"/>
      <c r="G1337" s="146"/>
      <c r="H1337" s="98"/>
      <c r="I1337" s="99"/>
      <c r="J1337" s="99"/>
      <c r="K1337" s="99"/>
      <c r="L1337" s="99"/>
      <c r="M1337" s="99"/>
      <c r="N1337" s="99"/>
      <c r="O1337" s="99"/>
      <c r="P1337" s="99"/>
      <c r="Q1337" s="99"/>
      <c r="R1337" s="99"/>
      <c r="S1337" s="99"/>
      <c r="T1337" s="99"/>
      <c r="U1337" s="105"/>
      <c r="V1337" s="262"/>
      <c r="W1337" s="121"/>
      <c r="X1337" s="121"/>
      <c r="Y1337" s="121"/>
      <c r="Z1337" s="121"/>
      <c r="AA1337" s="121"/>
      <c r="AB1337" s="121"/>
      <c r="AC1337" s="121"/>
      <c r="AD1337" s="121"/>
      <c r="AE1337" s="121"/>
      <c r="AF1337" s="121"/>
      <c r="AG1337" s="121"/>
      <c r="AH1337" s="121"/>
      <c r="AI1337" s="121"/>
    </row>
    <row r="1338" spans="1:35" s="115" customFormat="1" ht="14.4">
      <c r="A1338" s="187"/>
      <c r="B1338" s="190"/>
      <c r="C1338" s="190"/>
      <c r="D1338" s="69"/>
      <c r="E1338" s="69"/>
      <c r="F1338" s="149"/>
      <c r="G1338" s="146"/>
      <c r="H1338" s="98"/>
      <c r="I1338" s="99"/>
      <c r="J1338" s="99"/>
      <c r="K1338" s="99"/>
      <c r="L1338" s="99"/>
      <c r="M1338" s="99"/>
      <c r="N1338" s="99"/>
      <c r="O1338" s="99"/>
      <c r="P1338" s="99"/>
      <c r="Q1338" s="99"/>
      <c r="R1338" s="99"/>
      <c r="S1338" s="99"/>
      <c r="T1338" s="99"/>
      <c r="U1338" s="105"/>
      <c r="V1338" s="262"/>
      <c r="W1338" s="121"/>
      <c r="X1338" s="121"/>
      <c r="Y1338" s="121"/>
      <c r="Z1338" s="121"/>
      <c r="AA1338" s="121"/>
      <c r="AB1338" s="121"/>
      <c r="AC1338" s="121"/>
      <c r="AD1338" s="121"/>
      <c r="AE1338" s="121"/>
      <c r="AF1338" s="121"/>
      <c r="AG1338" s="121"/>
      <c r="AH1338" s="121"/>
      <c r="AI1338" s="121"/>
    </row>
    <row r="1339" spans="1:35" s="115" customFormat="1" ht="14.4">
      <c r="A1339" s="187"/>
      <c r="B1339" s="190"/>
      <c r="C1339" s="190"/>
      <c r="D1339" s="69"/>
      <c r="E1339" s="69"/>
      <c r="F1339" s="149"/>
      <c r="G1339" s="146"/>
      <c r="H1339" s="98"/>
      <c r="I1339" s="99"/>
      <c r="J1339" s="99"/>
      <c r="K1339" s="99"/>
      <c r="L1339" s="99"/>
      <c r="M1339" s="99"/>
      <c r="N1339" s="99"/>
      <c r="O1339" s="99"/>
      <c r="P1339" s="99"/>
      <c r="Q1339" s="99"/>
      <c r="R1339" s="99"/>
      <c r="S1339" s="99"/>
      <c r="T1339" s="99"/>
      <c r="U1339" s="105"/>
      <c r="V1339" s="262"/>
      <c r="W1339" s="121"/>
      <c r="X1339" s="121"/>
      <c r="Y1339" s="121"/>
      <c r="Z1339" s="121"/>
      <c r="AA1339" s="121"/>
      <c r="AB1339" s="121"/>
      <c r="AC1339" s="121"/>
      <c r="AD1339" s="121"/>
      <c r="AE1339" s="121"/>
      <c r="AF1339" s="121"/>
      <c r="AG1339" s="121"/>
      <c r="AH1339" s="121"/>
      <c r="AI1339" s="121"/>
    </row>
    <row r="1340" spans="1:35" s="115" customFormat="1" ht="14.4">
      <c r="A1340" s="187"/>
      <c r="B1340" s="190"/>
      <c r="C1340" s="190"/>
      <c r="D1340" s="69"/>
      <c r="E1340" s="69"/>
      <c r="F1340" s="149"/>
      <c r="G1340" s="146"/>
      <c r="H1340" s="98"/>
      <c r="I1340" s="99"/>
      <c r="J1340" s="99"/>
      <c r="K1340" s="99"/>
      <c r="L1340" s="99"/>
      <c r="M1340" s="99"/>
      <c r="N1340" s="99"/>
      <c r="O1340" s="99"/>
      <c r="P1340" s="99"/>
      <c r="Q1340" s="99"/>
      <c r="R1340" s="99"/>
      <c r="S1340" s="99"/>
      <c r="T1340" s="99"/>
      <c r="U1340" s="105"/>
      <c r="V1340" s="262"/>
      <c r="W1340" s="121"/>
      <c r="X1340" s="121"/>
      <c r="Y1340" s="121"/>
      <c r="Z1340" s="121"/>
      <c r="AA1340" s="121"/>
      <c r="AB1340" s="121"/>
      <c r="AC1340" s="121"/>
      <c r="AD1340" s="121"/>
      <c r="AE1340" s="121"/>
      <c r="AF1340" s="121"/>
      <c r="AG1340" s="121"/>
      <c r="AH1340" s="121"/>
      <c r="AI1340" s="121"/>
    </row>
    <row r="1341" spans="1:35" s="115" customFormat="1" ht="14.4">
      <c r="A1341" s="187"/>
      <c r="B1341" s="190"/>
      <c r="C1341" s="190"/>
      <c r="D1341" s="69"/>
      <c r="E1341" s="69"/>
      <c r="F1341" s="149"/>
      <c r="G1341" s="146"/>
      <c r="H1341" s="98"/>
      <c r="I1341" s="99"/>
      <c r="J1341" s="99"/>
      <c r="K1341" s="99"/>
      <c r="L1341" s="99"/>
      <c r="M1341" s="99"/>
      <c r="N1341" s="99"/>
      <c r="O1341" s="99"/>
      <c r="P1341" s="99"/>
      <c r="Q1341" s="99"/>
      <c r="R1341" s="99"/>
      <c r="S1341" s="99"/>
      <c r="T1341" s="99"/>
      <c r="U1341" s="105"/>
      <c r="V1341" s="262"/>
      <c r="W1341" s="121"/>
      <c r="X1341" s="121"/>
      <c r="Y1341" s="121"/>
      <c r="Z1341" s="121"/>
      <c r="AA1341" s="121"/>
      <c r="AB1341" s="121"/>
      <c r="AC1341" s="121"/>
      <c r="AD1341" s="121"/>
      <c r="AE1341" s="121"/>
      <c r="AF1341" s="121"/>
      <c r="AG1341" s="121"/>
      <c r="AH1341" s="121"/>
      <c r="AI1341" s="121"/>
    </row>
    <row r="1342" spans="1:35" s="115" customFormat="1" ht="14.4">
      <c r="A1342" s="187"/>
      <c r="B1342" s="190"/>
      <c r="C1342" s="190"/>
      <c r="D1342" s="69"/>
      <c r="E1342" s="69"/>
      <c r="F1342" s="149"/>
      <c r="G1342" s="146"/>
      <c r="H1342" s="98"/>
      <c r="I1342" s="99"/>
      <c r="J1342" s="99"/>
      <c r="K1342" s="99"/>
      <c r="L1342" s="99"/>
      <c r="M1342" s="99"/>
      <c r="N1342" s="99"/>
      <c r="O1342" s="99"/>
      <c r="P1342" s="99"/>
      <c r="Q1342" s="99"/>
      <c r="R1342" s="99"/>
      <c r="S1342" s="99"/>
      <c r="T1342" s="99"/>
      <c r="U1342" s="105"/>
      <c r="V1342" s="262"/>
      <c r="W1342" s="121"/>
      <c r="X1342" s="121"/>
      <c r="Y1342" s="121"/>
      <c r="Z1342" s="121"/>
      <c r="AA1342" s="121"/>
      <c r="AB1342" s="121"/>
      <c r="AC1342" s="121"/>
      <c r="AD1342" s="121"/>
      <c r="AE1342" s="121"/>
      <c r="AF1342" s="121"/>
      <c r="AG1342" s="121"/>
      <c r="AH1342" s="121"/>
      <c r="AI1342" s="121"/>
    </row>
    <row r="1343" spans="1:35" s="115" customFormat="1" ht="14.4">
      <c r="A1343" s="187"/>
      <c r="B1343" s="190"/>
      <c r="C1343" s="190"/>
      <c r="D1343" s="69"/>
      <c r="E1343" s="69"/>
      <c r="F1343" s="149"/>
      <c r="G1343" s="146"/>
      <c r="H1343" s="98"/>
      <c r="I1343" s="99"/>
      <c r="J1343" s="99"/>
      <c r="K1343" s="99"/>
      <c r="L1343" s="99"/>
      <c r="M1343" s="99"/>
      <c r="N1343" s="99"/>
      <c r="O1343" s="99"/>
      <c r="P1343" s="99"/>
      <c r="Q1343" s="99"/>
      <c r="R1343" s="99"/>
      <c r="S1343" s="99"/>
      <c r="T1343" s="99"/>
      <c r="U1343" s="105"/>
      <c r="V1343" s="262"/>
      <c r="W1343" s="121"/>
      <c r="X1343" s="121"/>
      <c r="Y1343" s="121"/>
      <c r="Z1343" s="121"/>
      <c r="AA1343" s="121"/>
      <c r="AB1343" s="121"/>
      <c r="AC1343" s="121"/>
      <c r="AD1343" s="121"/>
      <c r="AE1343" s="121"/>
      <c r="AF1343" s="121"/>
      <c r="AG1343" s="121"/>
      <c r="AH1343" s="121"/>
      <c r="AI1343" s="121"/>
    </row>
    <row r="1344" spans="1:35" s="115" customFormat="1" ht="14.4">
      <c r="A1344" s="187"/>
      <c r="B1344" s="190"/>
      <c r="C1344" s="190"/>
      <c r="D1344" s="69"/>
      <c r="E1344" s="69"/>
      <c r="F1344" s="149"/>
      <c r="G1344" s="146"/>
      <c r="H1344" s="98"/>
      <c r="I1344" s="99"/>
      <c r="J1344" s="99"/>
      <c r="K1344" s="99"/>
      <c r="L1344" s="99"/>
      <c r="M1344" s="99"/>
      <c r="N1344" s="99"/>
      <c r="O1344" s="99"/>
      <c r="P1344" s="99"/>
      <c r="Q1344" s="99"/>
      <c r="R1344" s="99"/>
      <c r="S1344" s="99"/>
      <c r="T1344" s="99"/>
      <c r="U1344" s="105"/>
      <c r="V1344" s="262"/>
      <c r="W1344" s="121"/>
      <c r="X1344" s="121"/>
      <c r="Y1344" s="121"/>
      <c r="Z1344" s="121"/>
      <c r="AA1344" s="121"/>
      <c r="AB1344" s="121"/>
      <c r="AC1344" s="121"/>
      <c r="AD1344" s="121"/>
      <c r="AE1344" s="121"/>
      <c r="AF1344" s="121"/>
      <c r="AG1344" s="121"/>
      <c r="AH1344" s="121"/>
      <c r="AI1344" s="121"/>
    </row>
    <row r="1345" spans="1:35" s="115" customFormat="1" ht="14.4">
      <c r="A1345" s="187"/>
      <c r="B1345" s="190"/>
      <c r="C1345" s="190"/>
      <c r="D1345" s="69"/>
      <c r="E1345" s="69"/>
      <c r="F1345" s="149"/>
      <c r="G1345" s="146"/>
      <c r="H1345" s="98"/>
      <c r="I1345" s="99"/>
      <c r="J1345" s="99"/>
      <c r="K1345" s="99"/>
      <c r="L1345" s="99"/>
      <c r="M1345" s="99"/>
      <c r="N1345" s="99"/>
      <c r="O1345" s="99"/>
      <c r="P1345" s="99"/>
      <c r="Q1345" s="99"/>
      <c r="R1345" s="99"/>
      <c r="S1345" s="99"/>
      <c r="T1345" s="99"/>
      <c r="U1345" s="105"/>
      <c r="V1345" s="262"/>
      <c r="W1345" s="121"/>
      <c r="X1345" s="121"/>
      <c r="Y1345" s="121"/>
      <c r="Z1345" s="121"/>
      <c r="AA1345" s="121"/>
      <c r="AB1345" s="121"/>
      <c r="AC1345" s="121"/>
      <c r="AD1345" s="121"/>
      <c r="AE1345" s="121"/>
      <c r="AF1345" s="121"/>
      <c r="AG1345" s="121"/>
      <c r="AH1345" s="121"/>
      <c r="AI1345" s="121"/>
    </row>
    <row r="1346" spans="1:35" s="115" customFormat="1" ht="14.4">
      <c r="A1346" s="187"/>
      <c r="B1346" s="190"/>
      <c r="C1346" s="190"/>
      <c r="D1346" s="69"/>
      <c r="E1346" s="69"/>
      <c r="F1346" s="149"/>
      <c r="G1346" s="146"/>
      <c r="H1346" s="98"/>
      <c r="I1346" s="99"/>
      <c r="J1346" s="99"/>
      <c r="K1346" s="99"/>
      <c r="L1346" s="99"/>
      <c r="M1346" s="99"/>
      <c r="N1346" s="99"/>
      <c r="O1346" s="99"/>
      <c r="P1346" s="99"/>
      <c r="Q1346" s="99"/>
      <c r="R1346" s="99"/>
      <c r="S1346" s="99"/>
      <c r="T1346" s="99"/>
      <c r="U1346" s="105"/>
      <c r="V1346" s="262"/>
      <c r="W1346" s="121"/>
      <c r="X1346" s="121"/>
      <c r="Y1346" s="121"/>
      <c r="Z1346" s="121"/>
      <c r="AA1346" s="121"/>
      <c r="AB1346" s="121"/>
      <c r="AC1346" s="121"/>
      <c r="AD1346" s="121"/>
      <c r="AE1346" s="121"/>
      <c r="AF1346" s="121"/>
      <c r="AG1346" s="121"/>
      <c r="AH1346" s="121"/>
      <c r="AI1346" s="121"/>
    </row>
    <row r="1347" spans="1:35" s="115" customFormat="1" ht="14.4">
      <c r="A1347" s="187"/>
      <c r="B1347" s="190"/>
      <c r="C1347" s="190"/>
      <c r="D1347" s="69"/>
      <c r="E1347" s="69"/>
      <c r="F1347" s="149"/>
      <c r="G1347" s="146"/>
      <c r="H1347" s="98"/>
      <c r="I1347" s="99"/>
      <c r="J1347" s="99"/>
      <c r="K1347" s="99"/>
      <c r="L1347" s="99"/>
      <c r="M1347" s="99"/>
      <c r="N1347" s="99"/>
      <c r="O1347" s="99"/>
      <c r="P1347" s="99"/>
      <c r="Q1347" s="99"/>
      <c r="R1347" s="99"/>
      <c r="S1347" s="99"/>
      <c r="T1347" s="99"/>
      <c r="U1347" s="105"/>
      <c r="V1347" s="262"/>
      <c r="W1347" s="121"/>
      <c r="X1347" s="121"/>
      <c r="Y1347" s="121"/>
      <c r="Z1347" s="121"/>
      <c r="AA1347" s="121"/>
      <c r="AB1347" s="121"/>
      <c r="AC1347" s="121"/>
      <c r="AD1347" s="121"/>
      <c r="AE1347" s="121"/>
      <c r="AF1347" s="121"/>
      <c r="AG1347" s="121"/>
      <c r="AH1347" s="121"/>
      <c r="AI1347" s="121"/>
    </row>
    <row r="1348" spans="1:35" s="115" customFormat="1" ht="14.4">
      <c r="A1348" s="187"/>
      <c r="B1348" s="190"/>
      <c r="C1348" s="190"/>
      <c r="D1348" s="69"/>
      <c r="E1348" s="69"/>
      <c r="F1348" s="149"/>
      <c r="G1348" s="146"/>
      <c r="H1348" s="98"/>
      <c r="I1348" s="99"/>
      <c r="J1348" s="99"/>
      <c r="K1348" s="99"/>
      <c r="L1348" s="99"/>
      <c r="M1348" s="99"/>
      <c r="N1348" s="99"/>
      <c r="O1348" s="99"/>
      <c r="P1348" s="99"/>
      <c r="Q1348" s="99"/>
      <c r="R1348" s="99"/>
      <c r="S1348" s="99"/>
      <c r="T1348" s="99"/>
      <c r="U1348" s="105"/>
      <c r="V1348" s="262"/>
      <c r="W1348" s="121"/>
      <c r="X1348" s="121"/>
      <c r="Y1348" s="121"/>
      <c r="Z1348" s="121"/>
      <c r="AA1348" s="121"/>
      <c r="AB1348" s="121"/>
      <c r="AC1348" s="121"/>
      <c r="AD1348" s="121"/>
      <c r="AE1348" s="121"/>
      <c r="AF1348" s="121"/>
      <c r="AG1348" s="121"/>
      <c r="AH1348" s="121"/>
      <c r="AI1348" s="121"/>
    </row>
    <row r="1349" spans="1:35" s="115" customFormat="1" ht="14.4">
      <c r="A1349" s="187"/>
      <c r="B1349" s="190"/>
      <c r="C1349" s="190"/>
      <c r="D1349" s="69"/>
      <c r="E1349" s="69"/>
      <c r="F1349" s="149"/>
      <c r="G1349" s="146"/>
      <c r="H1349" s="98"/>
      <c r="I1349" s="99"/>
      <c r="J1349" s="99"/>
      <c r="K1349" s="99"/>
      <c r="L1349" s="99"/>
      <c r="M1349" s="99"/>
      <c r="N1349" s="99"/>
      <c r="O1349" s="99"/>
      <c r="P1349" s="99"/>
      <c r="Q1349" s="99"/>
      <c r="R1349" s="99"/>
      <c r="S1349" s="99"/>
      <c r="T1349" s="99"/>
      <c r="U1349" s="105"/>
      <c r="V1349" s="262"/>
      <c r="W1349" s="121"/>
      <c r="X1349" s="121"/>
      <c r="Y1349" s="121"/>
      <c r="Z1349" s="121"/>
      <c r="AA1349" s="121"/>
      <c r="AB1349" s="121"/>
      <c r="AC1349" s="121"/>
      <c r="AD1349" s="121"/>
      <c r="AE1349" s="121"/>
      <c r="AF1349" s="121"/>
      <c r="AG1349" s="121"/>
      <c r="AH1349" s="121"/>
      <c r="AI1349" s="121"/>
    </row>
    <row r="1350" spans="1:35" s="115" customFormat="1" ht="14.4">
      <c r="A1350" s="187"/>
      <c r="B1350" s="190"/>
      <c r="C1350" s="190"/>
      <c r="D1350" s="69"/>
      <c r="E1350" s="69"/>
      <c r="F1350" s="149"/>
      <c r="G1350" s="146"/>
      <c r="H1350" s="98"/>
      <c r="I1350" s="99"/>
      <c r="J1350" s="99"/>
      <c r="K1350" s="99"/>
      <c r="L1350" s="99"/>
      <c r="M1350" s="99"/>
      <c r="N1350" s="99"/>
      <c r="O1350" s="99"/>
      <c r="P1350" s="99"/>
      <c r="Q1350" s="99"/>
      <c r="R1350" s="99"/>
      <c r="S1350" s="99"/>
      <c r="T1350" s="99"/>
      <c r="U1350" s="105"/>
      <c r="V1350" s="262"/>
      <c r="W1350" s="121"/>
      <c r="X1350" s="121"/>
      <c r="Y1350" s="121"/>
      <c r="Z1350" s="121"/>
      <c r="AA1350" s="121"/>
      <c r="AB1350" s="121"/>
      <c r="AC1350" s="121"/>
      <c r="AD1350" s="121"/>
      <c r="AE1350" s="121"/>
      <c r="AF1350" s="121"/>
      <c r="AG1350" s="121"/>
      <c r="AH1350" s="121"/>
      <c r="AI1350" s="121"/>
    </row>
    <row r="1351" spans="1:35" s="115" customFormat="1" ht="14.4">
      <c r="A1351" s="187"/>
      <c r="B1351" s="190"/>
      <c r="C1351" s="190"/>
      <c r="D1351" s="69"/>
      <c r="E1351" s="69"/>
      <c r="F1351" s="149"/>
      <c r="G1351" s="146"/>
      <c r="H1351" s="98"/>
      <c r="I1351" s="99"/>
      <c r="J1351" s="99"/>
      <c r="K1351" s="99"/>
      <c r="L1351" s="99"/>
      <c r="M1351" s="99"/>
      <c r="N1351" s="99"/>
      <c r="O1351" s="99"/>
      <c r="P1351" s="99"/>
      <c r="Q1351" s="99"/>
      <c r="R1351" s="99"/>
      <c r="S1351" s="99"/>
      <c r="T1351" s="99"/>
      <c r="U1351" s="105"/>
      <c r="V1351" s="262"/>
      <c r="W1351" s="121"/>
      <c r="X1351" s="121"/>
      <c r="Y1351" s="121"/>
      <c r="Z1351" s="121"/>
      <c r="AA1351" s="121"/>
      <c r="AB1351" s="121"/>
      <c r="AC1351" s="121"/>
      <c r="AD1351" s="121"/>
      <c r="AE1351" s="121"/>
      <c r="AF1351" s="121"/>
      <c r="AG1351" s="121"/>
      <c r="AH1351" s="121"/>
      <c r="AI1351" s="121"/>
    </row>
    <row r="1352" spans="1:35" s="115" customFormat="1" ht="14.4">
      <c r="A1352" s="187"/>
      <c r="B1352" s="190"/>
      <c r="C1352" s="190"/>
      <c r="D1352" s="69"/>
      <c r="E1352" s="69"/>
      <c r="F1352" s="149"/>
      <c r="G1352" s="146"/>
      <c r="H1352" s="98"/>
      <c r="I1352" s="99"/>
      <c r="J1352" s="99"/>
      <c r="K1352" s="99"/>
      <c r="L1352" s="99"/>
      <c r="M1352" s="99"/>
      <c r="N1352" s="99"/>
      <c r="O1352" s="99"/>
      <c r="P1352" s="99"/>
      <c r="Q1352" s="99"/>
      <c r="R1352" s="99"/>
      <c r="S1352" s="99"/>
      <c r="T1352" s="99"/>
      <c r="U1352" s="105"/>
      <c r="V1352" s="262"/>
      <c r="W1352" s="121"/>
      <c r="X1352" s="121"/>
      <c r="Y1352" s="121"/>
      <c r="Z1352" s="121"/>
      <c r="AA1352" s="121"/>
      <c r="AB1352" s="121"/>
      <c r="AC1352" s="121"/>
      <c r="AD1352" s="121"/>
      <c r="AE1352" s="121"/>
      <c r="AF1352" s="121"/>
      <c r="AG1352" s="121"/>
      <c r="AH1352" s="121"/>
      <c r="AI1352" s="121"/>
    </row>
    <row r="1353" spans="1:35" s="115" customFormat="1" ht="14.4">
      <c r="A1353" s="187"/>
      <c r="B1353" s="190"/>
      <c r="C1353" s="190"/>
      <c r="D1353" s="69"/>
      <c r="E1353" s="69"/>
      <c r="F1353" s="149"/>
      <c r="G1353" s="146"/>
      <c r="H1353" s="107"/>
      <c r="I1353" s="108"/>
      <c r="J1353" s="108"/>
      <c r="K1353" s="108"/>
      <c r="L1353" s="108"/>
      <c r="M1353" s="108"/>
      <c r="N1353" s="108"/>
      <c r="O1353" s="108"/>
      <c r="P1353" s="108"/>
      <c r="Q1353" s="108"/>
      <c r="R1353" s="108"/>
      <c r="S1353" s="108"/>
      <c r="T1353" s="108"/>
      <c r="U1353" s="105"/>
      <c r="V1353" s="262"/>
      <c r="W1353" s="121"/>
      <c r="X1353" s="121"/>
      <c r="Y1353" s="121"/>
      <c r="Z1353" s="121"/>
      <c r="AA1353" s="121"/>
      <c r="AB1353" s="121"/>
      <c r="AC1353" s="121"/>
      <c r="AD1353" s="121"/>
      <c r="AE1353" s="121"/>
      <c r="AF1353" s="121"/>
      <c r="AG1353" s="121"/>
      <c r="AH1353" s="121"/>
      <c r="AI1353" s="121"/>
    </row>
    <row r="1354" spans="1:35" s="115" customFormat="1" ht="14.4">
      <c r="A1354" s="187"/>
      <c r="B1354" s="190"/>
      <c r="C1354" s="190"/>
      <c r="D1354" s="69"/>
      <c r="E1354" s="69"/>
      <c r="F1354" s="149"/>
      <c r="G1354" s="146"/>
      <c r="H1354" s="98"/>
      <c r="I1354" s="106"/>
      <c r="J1354" s="106"/>
      <c r="K1354" s="106"/>
      <c r="L1354" s="106"/>
      <c r="M1354" s="106"/>
      <c r="N1354" s="112"/>
      <c r="O1354" s="112"/>
      <c r="P1354" s="112"/>
      <c r="Q1354" s="113"/>
      <c r="R1354" s="212"/>
      <c r="S1354" s="212"/>
      <c r="T1354" s="113"/>
      <c r="U1354" s="105"/>
      <c r="V1354" s="262"/>
      <c r="W1354" s="121"/>
      <c r="X1354" s="121"/>
      <c r="Y1354" s="121"/>
      <c r="Z1354" s="121"/>
      <c r="AA1354" s="121"/>
      <c r="AB1354" s="121"/>
      <c r="AC1354" s="121"/>
      <c r="AD1354" s="121"/>
      <c r="AE1354" s="121"/>
      <c r="AF1354" s="121"/>
      <c r="AG1354" s="121"/>
      <c r="AH1354" s="121"/>
      <c r="AI1354" s="121"/>
    </row>
    <row r="1355" spans="1:35" s="115" customFormat="1" ht="14.4">
      <c r="A1355" s="187"/>
      <c r="B1355" s="190"/>
      <c r="C1355" s="190"/>
      <c r="D1355" s="69"/>
      <c r="E1355" s="69"/>
      <c r="F1355" s="149"/>
      <c r="G1355" s="146"/>
      <c r="H1355" s="98"/>
      <c r="I1355" s="99"/>
      <c r="J1355" s="99"/>
      <c r="K1355" s="99"/>
      <c r="L1355" s="99"/>
      <c r="M1355" s="99"/>
      <c r="N1355" s="99"/>
      <c r="O1355" s="99"/>
      <c r="P1355" s="99"/>
      <c r="Q1355" s="99"/>
      <c r="R1355" s="99"/>
      <c r="S1355" s="99"/>
      <c r="T1355" s="99"/>
      <c r="U1355" s="105"/>
      <c r="V1355" s="262"/>
      <c r="W1355" s="121"/>
      <c r="X1355" s="121"/>
      <c r="Y1355" s="121"/>
      <c r="Z1355" s="121"/>
      <c r="AA1355" s="121"/>
      <c r="AB1355" s="121"/>
      <c r="AC1355" s="121"/>
      <c r="AD1355" s="121"/>
      <c r="AE1355" s="121"/>
      <c r="AF1355" s="121"/>
      <c r="AG1355" s="121"/>
      <c r="AH1355" s="121"/>
      <c r="AI1355" s="121"/>
    </row>
    <row r="1356" spans="1:35" s="115" customFormat="1" ht="14.4">
      <c r="A1356" s="187"/>
      <c r="B1356" s="190"/>
      <c r="C1356" s="190"/>
      <c r="D1356" s="69"/>
      <c r="E1356" s="69"/>
      <c r="F1356" s="149"/>
      <c r="G1356" s="146"/>
      <c r="H1356" s="98"/>
      <c r="I1356" s="99"/>
      <c r="J1356" s="99"/>
      <c r="K1356" s="99"/>
      <c r="L1356" s="99"/>
      <c r="M1356" s="99"/>
      <c r="N1356" s="99"/>
      <c r="O1356" s="99"/>
      <c r="P1356" s="99"/>
      <c r="Q1356" s="99"/>
      <c r="R1356" s="99"/>
      <c r="S1356" s="99"/>
      <c r="T1356" s="99"/>
      <c r="U1356" s="105"/>
      <c r="V1356" s="262"/>
      <c r="W1356" s="121"/>
      <c r="X1356" s="121"/>
      <c r="Y1356" s="121"/>
      <c r="Z1356" s="121"/>
      <c r="AA1356" s="121"/>
      <c r="AB1356" s="121"/>
      <c r="AC1356" s="121"/>
      <c r="AD1356" s="121"/>
      <c r="AE1356" s="121"/>
      <c r="AF1356" s="121"/>
      <c r="AG1356" s="121"/>
      <c r="AH1356" s="121"/>
      <c r="AI1356" s="121"/>
    </row>
    <row r="1357" spans="1:35" s="115" customFormat="1" ht="14.4">
      <c r="A1357" s="187"/>
      <c r="B1357" s="190"/>
      <c r="C1357" s="190"/>
      <c r="D1357" s="69"/>
      <c r="E1357" s="69"/>
      <c r="F1357" s="149"/>
      <c r="G1357" s="146"/>
      <c r="H1357" s="98"/>
      <c r="I1357" s="99"/>
      <c r="J1357" s="99"/>
      <c r="K1357" s="99"/>
      <c r="L1357" s="99"/>
      <c r="M1357" s="99"/>
      <c r="N1357" s="99"/>
      <c r="O1357" s="99"/>
      <c r="P1357" s="99"/>
      <c r="Q1357" s="99"/>
      <c r="R1357" s="99"/>
      <c r="S1357" s="99"/>
      <c r="T1357" s="99"/>
      <c r="U1357" s="105"/>
      <c r="V1357" s="262"/>
      <c r="W1357" s="121"/>
      <c r="X1357" s="121"/>
      <c r="Y1357" s="121"/>
      <c r="Z1357" s="121"/>
      <c r="AA1357" s="121"/>
      <c r="AB1357" s="121"/>
      <c r="AC1357" s="121"/>
      <c r="AD1357" s="121"/>
      <c r="AE1357" s="121"/>
      <c r="AF1357" s="121"/>
      <c r="AG1357" s="121"/>
      <c r="AH1357" s="121"/>
      <c r="AI1357" s="121"/>
    </row>
    <row r="1358" spans="1:35" s="115" customFormat="1" ht="14.4">
      <c r="A1358" s="187"/>
      <c r="B1358" s="190"/>
      <c r="C1358" s="190"/>
      <c r="D1358" s="69"/>
      <c r="E1358" s="69"/>
      <c r="F1358" s="149"/>
      <c r="G1358" s="146"/>
      <c r="H1358" s="107"/>
      <c r="I1358" s="108"/>
      <c r="J1358" s="108"/>
      <c r="K1358" s="108"/>
      <c r="L1358" s="108"/>
      <c r="M1358" s="108"/>
      <c r="N1358" s="109"/>
      <c r="O1358" s="109"/>
      <c r="P1358" s="109"/>
      <c r="Q1358" s="109"/>
      <c r="R1358" s="109"/>
      <c r="S1358" s="109"/>
      <c r="T1358" s="109"/>
      <c r="U1358" s="105"/>
      <c r="V1358" s="262"/>
      <c r="W1358" s="121"/>
      <c r="X1358" s="121"/>
      <c r="Y1358" s="121"/>
      <c r="Z1358" s="121"/>
      <c r="AA1358" s="121"/>
      <c r="AB1358" s="121"/>
      <c r="AC1358" s="121"/>
      <c r="AD1358" s="121"/>
      <c r="AE1358" s="121"/>
      <c r="AF1358" s="121"/>
      <c r="AG1358" s="121"/>
      <c r="AH1358" s="121"/>
      <c r="AI1358" s="121"/>
    </row>
    <row r="1359" spans="1:35" s="115" customFormat="1" ht="14.4">
      <c r="A1359" s="187"/>
      <c r="B1359" s="190"/>
      <c r="C1359" s="190"/>
      <c r="D1359" s="69"/>
      <c r="E1359" s="69"/>
      <c r="F1359" s="149"/>
      <c r="G1359" s="146"/>
      <c r="H1359" s="98"/>
      <c r="I1359" s="106"/>
      <c r="J1359" s="106"/>
      <c r="K1359" s="106"/>
      <c r="L1359" s="106"/>
      <c r="M1359" s="106"/>
      <c r="N1359" s="112"/>
      <c r="O1359" s="112"/>
      <c r="P1359" s="112"/>
      <c r="Q1359" s="113"/>
      <c r="R1359" s="113"/>
      <c r="S1359" s="113"/>
      <c r="T1359" s="113"/>
      <c r="U1359" s="105"/>
      <c r="V1359" s="262"/>
      <c r="W1359" s="121"/>
      <c r="X1359" s="121"/>
      <c r="Y1359" s="121"/>
      <c r="Z1359" s="121"/>
      <c r="AA1359" s="121"/>
      <c r="AB1359" s="121"/>
      <c r="AC1359" s="121"/>
      <c r="AD1359" s="121"/>
      <c r="AE1359" s="121"/>
      <c r="AF1359" s="121"/>
      <c r="AG1359" s="121"/>
      <c r="AH1359" s="121"/>
      <c r="AI1359" s="121"/>
    </row>
    <row r="1360" spans="1:35" s="115" customFormat="1" ht="24" customHeight="1">
      <c r="A1360" s="187"/>
      <c r="B1360" s="190"/>
      <c r="C1360" s="190"/>
      <c r="D1360" s="69"/>
      <c r="E1360" s="69"/>
      <c r="F1360" s="149"/>
      <c r="G1360" s="146"/>
      <c r="H1360" s="114"/>
      <c r="I1360" s="108"/>
      <c r="J1360" s="108"/>
      <c r="K1360" s="108"/>
      <c r="L1360" s="108"/>
      <c r="M1360" s="108"/>
      <c r="N1360" s="108"/>
      <c r="O1360" s="108"/>
      <c r="P1360" s="108"/>
      <c r="Q1360" s="108"/>
      <c r="R1360" s="108"/>
      <c r="S1360" s="108"/>
      <c r="T1360" s="108"/>
      <c r="U1360" s="105"/>
      <c r="V1360" s="262"/>
      <c r="W1360" s="121"/>
      <c r="X1360" s="121"/>
      <c r="Y1360" s="121"/>
      <c r="Z1360" s="121"/>
      <c r="AA1360" s="121"/>
      <c r="AB1360" s="121"/>
      <c r="AC1360" s="121"/>
      <c r="AD1360" s="121"/>
      <c r="AE1360" s="121"/>
      <c r="AF1360" s="121"/>
      <c r="AG1360" s="121"/>
      <c r="AH1360" s="121"/>
      <c r="AI1360" s="121"/>
    </row>
    <row r="1361" spans="1:35" s="115" customFormat="1" ht="14.4">
      <c r="A1361" s="187"/>
      <c r="B1361" s="190"/>
      <c r="C1361" s="190"/>
      <c r="D1361" s="69"/>
      <c r="E1361" s="69"/>
      <c r="F1361" s="149"/>
      <c r="G1361" s="146"/>
      <c r="H1361" s="98"/>
      <c r="I1361" s="218"/>
      <c r="J1361" s="218"/>
      <c r="K1361" s="218"/>
      <c r="L1361" s="218"/>
      <c r="M1361" s="218"/>
      <c r="N1361" s="96"/>
      <c r="O1361" s="96"/>
      <c r="P1361" s="96"/>
      <c r="Q1361" s="212"/>
      <c r="R1361" s="212"/>
      <c r="S1361" s="212"/>
      <c r="T1361" s="212"/>
      <c r="U1361" s="105"/>
      <c r="V1361" s="262"/>
      <c r="W1361" s="121"/>
      <c r="X1361" s="121"/>
      <c r="Y1361" s="121"/>
      <c r="Z1361" s="121"/>
      <c r="AA1361" s="121"/>
      <c r="AB1361" s="121"/>
      <c r="AC1361" s="121"/>
      <c r="AD1361" s="121"/>
      <c r="AE1361" s="121"/>
      <c r="AF1361" s="121"/>
      <c r="AG1361" s="121"/>
      <c r="AH1361" s="121"/>
      <c r="AI1361" s="121"/>
    </row>
    <row r="1362" spans="1:35" s="115" customFormat="1" ht="15" thickBot="1">
      <c r="A1362" s="187"/>
      <c r="B1362" s="190"/>
      <c r="C1362" s="190"/>
      <c r="D1362" s="69"/>
      <c r="E1362" s="69"/>
      <c r="F1362" s="149"/>
      <c r="G1362" s="146"/>
      <c r="H1362" s="98"/>
      <c r="I1362" s="218"/>
      <c r="J1362" s="218"/>
      <c r="K1362" s="218"/>
      <c r="L1362" s="218"/>
      <c r="M1362" s="218"/>
      <c r="N1362" s="96"/>
      <c r="O1362" s="96"/>
      <c r="P1362" s="96"/>
      <c r="Q1362" s="212"/>
      <c r="R1362" s="212"/>
      <c r="S1362" s="212"/>
      <c r="T1362" s="212"/>
      <c r="U1362" s="105"/>
      <c r="V1362" s="262"/>
      <c r="W1362" s="121"/>
      <c r="X1362" s="121"/>
      <c r="Y1362" s="121"/>
      <c r="Z1362" s="121"/>
      <c r="AA1362" s="121"/>
      <c r="AB1362" s="121"/>
      <c r="AC1362" s="121"/>
      <c r="AD1362" s="121"/>
      <c r="AE1362" s="121"/>
      <c r="AF1362" s="121"/>
      <c r="AG1362" s="121"/>
      <c r="AH1362" s="121"/>
      <c r="AI1362" s="121"/>
    </row>
    <row r="1363" spans="1:35" s="115" customFormat="1" ht="23.4" thickBot="1">
      <c r="A1363" s="187"/>
      <c r="B1363" s="190"/>
      <c r="C1363" s="190"/>
      <c r="D1363" s="69"/>
      <c r="E1363" s="69"/>
      <c r="F1363" s="149"/>
      <c r="G1363" s="146"/>
      <c r="H1363" s="686"/>
      <c r="I1363" s="687"/>
      <c r="J1363" s="687"/>
      <c r="K1363" s="687"/>
      <c r="L1363" s="687"/>
      <c r="M1363" s="687"/>
      <c r="N1363" s="687"/>
      <c r="O1363" s="687"/>
      <c r="P1363" s="687"/>
      <c r="Q1363" s="687"/>
      <c r="R1363" s="687"/>
      <c r="S1363" s="687"/>
      <c r="T1363" s="688"/>
      <c r="U1363" s="105"/>
      <c r="V1363" s="262"/>
      <c r="W1363" s="121"/>
      <c r="X1363" s="121"/>
      <c r="Y1363" s="121"/>
      <c r="Z1363" s="121"/>
      <c r="AA1363" s="121"/>
      <c r="AB1363" s="121"/>
      <c r="AC1363" s="121"/>
      <c r="AD1363" s="121"/>
      <c r="AE1363" s="121"/>
      <c r="AF1363" s="121"/>
      <c r="AG1363" s="121"/>
      <c r="AH1363" s="121"/>
      <c r="AI1363" s="121"/>
    </row>
    <row r="1364" spans="1:35" s="115" customFormat="1" ht="22.8">
      <c r="A1364" s="187"/>
      <c r="B1364" s="190"/>
      <c r="C1364" s="190"/>
      <c r="D1364" s="69"/>
      <c r="E1364" s="69"/>
      <c r="F1364" s="149"/>
      <c r="G1364" s="146"/>
      <c r="H1364" s="225"/>
      <c r="I1364" s="225"/>
      <c r="J1364" s="225"/>
      <c r="K1364" s="225"/>
      <c r="L1364" s="225"/>
      <c r="M1364" s="225"/>
      <c r="N1364" s="225"/>
      <c r="O1364" s="225"/>
      <c r="P1364" s="225"/>
      <c r="Q1364" s="225"/>
      <c r="R1364" s="225"/>
      <c r="S1364" s="225"/>
      <c r="T1364" s="225"/>
      <c r="U1364" s="105"/>
      <c r="V1364" s="262"/>
      <c r="W1364" s="121"/>
      <c r="X1364" s="121"/>
      <c r="Y1364" s="121"/>
      <c r="Z1364" s="121"/>
      <c r="AA1364" s="121"/>
      <c r="AB1364" s="121"/>
      <c r="AC1364" s="121"/>
      <c r="AD1364" s="121"/>
      <c r="AE1364" s="121"/>
      <c r="AF1364" s="121"/>
      <c r="AG1364" s="121"/>
      <c r="AH1364" s="121"/>
      <c r="AI1364" s="121"/>
    </row>
    <row r="1365" spans="1:35" s="115" customFormat="1" ht="14.4">
      <c r="A1365" s="187"/>
      <c r="B1365" s="190"/>
      <c r="C1365" s="190"/>
      <c r="D1365" s="69"/>
      <c r="E1365" s="69"/>
      <c r="F1365" s="149"/>
      <c r="G1365" s="146"/>
      <c r="H1365" s="98"/>
      <c r="I1365" s="99"/>
      <c r="J1365" s="99"/>
      <c r="K1365" s="99"/>
      <c r="L1365" s="99"/>
      <c r="M1365" s="99"/>
      <c r="N1365" s="99"/>
      <c r="O1365" s="99"/>
      <c r="P1365" s="99"/>
      <c r="Q1365" s="99"/>
      <c r="R1365" s="99"/>
      <c r="S1365" s="99"/>
      <c r="T1365" s="99"/>
      <c r="U1365" s="105"/>
      <c r="V1365" s="262"/>
      <c r="W1365" s="121"/>
      <c r="X1365" s="121"/>
      <c r="Y1365" s="121"/>
      <c r="Z1365" s="121"/>
      <c r="AA1365" s="121"/>
      <c r="AB1365" s="121"/>
      <c r="AC1365" s="121"/>
      <c r="AD1365" s="121"/>
      <c r="AE1365" s="121"/>
      <c r="AF1365" s="121"/>
      <c r="AG1365" s="121"/>
      <c r="AH1365" s="121"/>
      <c r="AI1365" s="121"/>
    </row>
    <row r="1366" spans="1:35" s="115" customFormat="1" ht="14.4">
      <c r="A1366" s="187"/>
      <c r="B1366" s="190"/>
      <c r="C1366" s="190"/>
      <c r="D1366" s="69"/>
      <c r="E1366" s="69"/>
      <c r="F1366" s="149"/>
      <c r="G1366" s="146"/>
      <c r="H1366" s="98"/>
      <c r="I1366" s="99"/>
      <c r="J1366" s="99"/>
      <c r="K1366" s="99"/>
      <c r="L1366" s="99"/>
      <c r="M1366" s="99"/>
      <c r="N1366" s="99"/>
      <c r="O1366" s="99"/>
      <c r="P1366" s="99"/>
      <c r="Q1366" s="99"/>
      <c r="R1366" s="99"/>
      <c r="S1366" s="99"/>
      <c r="T1366" s="99"/>
      <c r="U1366" s="105"/>
      <c r="V1366" s="262"/>
      <c r="W1366" s="121"/>
      <c r="X1366" s="121"/>
      <c r="Y1366" s="121"/>
      <c r="Z1366" s="121"/>
      <c r="AA1366" s="121"/>
      <c r="AB1366" s="121"/>
      <c r="AC1366" s="121"/>
      <c r="AD1366" s="121"/>
      <c r="AE1366" s="121"/>
      <c r="AF1366" s="121"/>
      <c r="AG1366" s="121"/>
      <c r="AH1366" s="121"/>
      <c r="AI1366" s="121"/>
    </row>
    <row r="1367" spans="1:35" s="115" customFormat="1" ht="14.4">
      <c r="A1367" s="187"/>
      <c r="B1367" s="190"/>
      <c r="C1367" s="190"/>
      <c r="D1367" s="69"/>
      <c r="E1367" s="69"/>
      <c r="F1367" s="149"/>
      <c r="G1367" s="146"/>
      <c r="H1367" s="98"/>
      <c r="I1367" s="99"/>
      <c r="J1367" s="99"/>
      <c r="K1367" s="99"/>
      <c r="L1367" s="99"/>
      <c r="M1367" s="99"/>
      <c r="N1367" s="99"/>
      <c r="O1367" s="99"/>
      <c r="P1367" s="99"/>
      <c r="Q1367" s="99"/>
      <c r="R1367" s="99"/>
      <c r="S1367" s="99"/>
      <c r="T1367" s="99"/>
      <c r="U1367" s="105"/>
      <c r="V1367" s="262"/>
      <c r="W1367" s="121"/>
      <c r="X1367" s="121"/>
      <c r="Y1367" s="121"/>
      <c r="Z1367" s="121"/>
      <c r="AA1367" s="121"/>
      <c r="AB1367" s="121"/>
      <c r="AC1367" s="121"/>
      <c r="AD1367" s="121"/>
      <c r="AE1367" s="121"/>
      <c r="AF1367" s="121"/>
      <c r="AG1367" s="121"/>
      <c r="AH1367" s="121"/>
      <c r="AI1367" s="121"/>
    </row>
    <row r="1368" spans="1:35" s="115" customFormat="1" ht="14.4">
      <c r="A1368" s="187"/>
      <c r="B1368" s="190"/>
      <c r="C1368" s="190"/>
      <c r="D1368" s="69"/>
      <c r="E1368" s="69"/>
      <c r="F1368" s="149"/>
      <c r="G1368" s="146"/>
      <c r="H1368" s="98"/>
      <c r="I1368" s="99"/>
      <c r="J1368" s="99"/>
      <c r="K1368" s="99"/>
      <c r="L1368" s="99"/>
      <c r="M1368" s="99"/>
      <c r="N1368" s="99"/>
      <c r="O1368" s="99"/>
      <c r="P1368" s="99"/>
      <c r="Q1368" s="99"/>
      <c r="R1368" s="99"/>
      <c r="S1368" s="99"/>
      <c r="T1368" s="99"/>
      <c r="U1368" s="105"/>
      <c r="V1368" s="262"/>
      <c r="W1368" s="121"/>
      <c r="X1368" s="121"/>
      <c r="Y1368" s="121"/>
      <c r="Z1368" s="121"/>
      <c r="AA1368" s="121"/>
      <c r="AB1368" s="121"/>
      <c r="AC1368" s="121"/>
      <c r="AD1368" s="121"/>
      <c r="AE1368" s="121"/>
      <c r="AF1368" s="121"/>
      <c r="AG1368" s="121"/>
      <c r="AH1368" s="121"/>
      <c r="AI1368" s="121"/>
    </row>
    <row r="1369" spans="1:35" s="115" customFormat="1" ht="14.4">
      <c r="A1369" s="187"/>
      <c r="B1369" s="190"/>
      <c r="C1369" s="190"/>
      <c r="D1369" s="69"/>
      <c r="E1369" s="69"/>
      <c r="F1369" s="149"/>
      <c r="G1369" s="146"/>
      <c r="H1369" s="98"/>
      <c r="I1369" s="99"/>
      <c r="J1369" s="99"/>
      <c r="K1369" s="99"/>
      <c r="L1369" s="99"/>
      <c r="M1369" s="99"/>
      <c r="N1369" s="99"/>
      <c r="O1369" s="99"/>
      <c r="P1369" s="99"/>
      <c r="Q1369" s="99"/>
      <c r="R1369" s="99"/>
      <c r="S1369" s="99"/>
      <c r="T1369" s="99"/>
      <c r="U1369" s="105"/>
      <c r="V1369" s="262"/>
      <c r="W1369" s="121"/>
      <c r="X1369" s="121"/>
      <c r="Y1369" s="121"/>
      <c r="Z1369" s="121"/>
      <c r="AA1369" s="121"/>
      <c r="AB1369" s="121"/>
      <c r="AC1369" s="121"/>
      <c r="AD1369" s="121"/>
      <c r="AE1369" s="121"/>
      <c r="AF1369" s="121"/>
      <c r="AG1369" s="121"/>
      <c r="AH1369" s="121"/>
      <c r="AI1369" s="121"/>
    </row>
    <row r="1370" spans="1:35" s="115" customFormat="1" ht="14.4">
      <c r="A1370" s="187"/>
      <c r="B1370" s="190"/>
      <c r="C1370" s="190"/>
      <c r="D1370" s="69"/>
      <c r="E1370" s="69"/>
      <c r="F1370" s="149"/>
      <c r="G1370" s="146"/>
      <c r="H1370" s="107"/>
      <c r="I1370" s="108"/>
      <c r="J1370" s="108"/>
      <c r="K1370" s="108"/>
      <c r="L1370" s="108"/>
      <c r="M1370" s="108"/>
      <c r="N1370" s="109"/>
      <c r="O1370" s="109"/>
      <c r="P1370" s="109"/>
      <c r="Q1370" s="109"/>
      <c r="R1370" s="109"/>
      <c r="S1370" s="109"/>
      <c r="T1370" s="109"/>
      <c r="U1370" s="105"/>
      <c r="V1370" s="262"/>
      <c r="W1370" s="121"/>
      <c r="X1370" s="121"/>
      <c r="Y1370" s="121"/>
      <c r="Z1370" s="121"/>
      <c r="AA1370" s="121"/>
      <c r="AB1370" s="121"/>
      <c r="AC1370" s="121"/>
      <c r="AD1370" s="121"/>
      <c r="AE1370" s="121"/>
      <c r="AF1370" s="121"/>
      <c r="AG1370" s="121"/>
      <c r="AH1370" s="121"/>
      <c r="AI1370" s="121"/>
    </row>
    <row r="1371" spans="1:35" s="115" customFormat="1" ht="14.4">
      <c r="A1371" s="187"/>
      <c r="B1371" s="190"/>
      <c r="C1371" s="190"/>
      <c r="D1371" s="69"/>
      <c r="E1371" s="69"/>
      <c r="F1371" s="149"/>
      <c r="G1371" s="146"/>
      <c r="H1371" s="98"/>
      <c r="I1371" s="106"/>
      <c r="J1371" s="106"/>
      <c r="K1371" s="106"/>
      <c r="L1371" s="106"/>
      <c r="M1371" s="106"/>
      <c r="N1371" s="112"/>
      <c r="O1371" s="112"/>
      <c r="P1371" s="112"/>
      <c r="Q1371" s="113"/>
      <c r="R1371" s="212"/>
      <c r="S1371" s="212"/>
      <c r="T1371" s="113"/>
      <c r="U1371" s="105"/>
      <c r="V1371" s="262"/>
      <c r="W1371" s="121"/>
      <c r="X1371" s="121"/>
      <c r="Y1371" s="121"/>
      <c r="Z1371" s="121"/>
      <c r="AA1371" s="121"/>
      <c r="AB1371" s="121"/>
      <c r="AC1371" s="121"/>
      <c r="AD1371" s="121"/>
      <c r="AE1371" s="121"/>
      <c r="AF1371" s="121"/>
      <c r="AG1371" s="121"/>
      <c r="AH1371" s="121"/>
      <c r="AI1371" s="121"/>
    </row>
    <row r="1372" spans="1:35" s="115" customFormat="1" ht="14.4">
      <c r="A1372" s="187"/>
      <c r="B1372" s="190"/>
      <c r="C1372" s="190"/>
      <c r="D1372" s="69"/>
      <c r="E1372" s="69"/>
      <c r="F1372" s="149"/>
      <c r="G1372" s="146"/>
      <c r="H1372" s="98"/>
      <c r="I1372" s="99"/>
      <c r="J1372" s="99"/>
      <c r="K1372" s="99"/>
      <c r="L1372" s="99"/>
      <c r="M1372" s="99"/>
      <c r="N1372" s="99"/>
      <c r="O1372" s="99"/>
      <c r="P1372" s="99"/>
      <c r="Q1372" s="99"/>
      <c r="R1372" s="99"/>
      <c r="S1372" s="99"/>
      <c r="T1372" s="99"/>
      <c r="U1372" s="105"/>
      <c r="V1372" s="262"/>
      <c r="W1372" s="121"/>
      <c r="X1372" s="121"/>
      <c r="Y1372" s="121"/>
      <c r="Z1372" s="121"/>
      <c r="AA1372" s="121"/>
      <c r="AB1372" s="121"/>
      <c r="AC1372" s="121"/>
      <c r="AD1372" s="121"/>
      <c r="AE1372" s="121"/>
      <c r="AF1372" s="121"/>
      <c r="AG1372" s="121"/>
      <c r="AH1372" s="121"/>
      <c r="AI1372" s="121"/>
    </row>
    <row r="1373" spans="1:35" s="115" customFormat="1" ht="14.4">
      <c r="A1373" s="187"/>
      <c r="B1373" s="190"/>
      <c r="C1373" s="190"/>
      <c r="D1373" s="69"/>
      <c r="E1373" s="69"/>
      <c r="F1373" s="149"/>
      <c r="G1373" s="146"/>
      <c r="H1373" s="98"/>
      <c r="I1373" s="99"/>
      <c r="J1373" s="99"/>
      <c r="K1373" s="99"/>
      <c r="L1373" s="99"/>
      <c r="M1373" s="99"/>
      <c r="N1373" s="99"/>
      <c r="O1373" s="99"/>
      <c r="P1373" s="99"/>
      <c r="Q1373" s="99"/>
      <c r="R1373" s="99"/>
      <c r="S1373" s="99"/>
      <c r="T1373" s="99"/>
      <c r="U1373" s="105"/>
      <c r="V1373" s="262"/>
      <c r="W1373" s="121"/>
      <c r="X1373" s="121"/>
      <c r="Y1373" s="121"/>
      <c r="Z1373" s="121"/>
      <c r="AA1373" s="121"/>
      <c r="AB1373" s="121"/>
      <c r="AC1373" s="121"/>
      <c r="AD1373" s="121"/>
      <c r="AE1373" s="121"/>
      <c r="AF1373" s="121"/>
      <c r="AG1373" s="121"/>
      <c r="AH1373" s="121"/>
      <c r="AI1373" s="121"/>
    </row>
    <row r="1374" spans="1:35" s="115" customFormat="1" ht="14.4">
      <c r="A1374" s="187"/>
      <c r="B1374" s="190"/>
      <c r="C1374" s="190"/>
      <c r="D1374" s="69"/>
      <c r="E1374" s="69"/>
      <c r="F1374" s="149"/>
      <c r="G1374" s="146"/>
      <c r="H1374" s="98"/>
      <c r="I1374" s="99"/>
      <c r="J1374" s="99"/>
      <c r="K1374" s="99"/>
      <c r="L1374" s="99"/>
      <c r="M1374" s="99"/>
      <c r="N1374" s="99"/>
      <c r="O1374" s="99"/>
      <c r="P1374" s="99"/>
      <c r="Q1374" s="99"/>
      <c r="R1374" s="99"/>
      <c r="S1374" s="99"/>
      <c r="T1374" s="99"/>
      <c r="U1374" s="105"/>
      <c r="V1374" s="262"/>
      <c r="W1374" s="121"/>
      <c r="X1374" s="121"/>
      <c r="Y1374" s="121"/>
      <c r="Z1374" s="121"/>
      <c r="AA1374" s="121"/>
      <c r="AB1374" s="121"/>
      <c r="AC1374" s="121"/>
      <c r="AD1374" s="121"/>
      <c r="AE1374" s="121"/>
      <c r="AF1374" s="121"/>
      <c r="AG1374" s="121"/>
      <c r="AH1374" s="121"/>
      <c r="AI1374" s="121"/>
    </row>
    <row r="1375" spans="1:35" s="115" customFormat="1" ht="14.4">
      <c r="A1375" s="187"/>
      <c r="B1375" s="190"/>
      <c r="C1375" s="190"/>
      <c r="D1375" s="69"/>
      <c r="E1375" s="69"/>
      <c r="F1375" s="149"/>
      <c r="G1375" s="146"/>
      <c r="H1375" s="98"/>
      <c r="I1375" s="99"/>
      <c r="J1375" s="99"/>
      <c r="K1375" s="99"/>
      <c r="L1375" s="99"/>
      <c r="M1375" s="99"/>
      <c r="N1375" s="99"/>
      <c r="O1375" s="99"/>
      <c r="P1375" s="99"/>
      <c r="Q1375" s="99"/>
      <c r="R1375" s="99"/>
      <c r="S1375" s="99"/>
      <c r="T1375" s="99"/>
      <c r="U1375" s="105"/>
      <c r="V1375" s="262"/>
      <c r="W1375" s="121"/>
      <c r="X1375" s="121"/>
      <c r="Y1375" s="121"/>
      <c r="Z1375" s="121"/>
      <c r="AA1375" s="121"/>
      <c r="AB1375" s="121"/>
      <c r="AC1375" s="121"/>
      <c r="AD1375" s="121"/>
      <c r="AE1375" s="121"/>
      <c r="AF1375" s="121"/>
      <c r="AG1375" s="121"/>
      <c r="AH1375" s="121"/>
      <c r="AI1375" s="121"/>
    </row>
    <row r="1376" spans="1:35" s="115" customFormat="1" ht="14.4">
      <c r="A1376" s="187"/>
      <c r="B1376" s="190"/>
      <c r="C1376" s="190"/>
      <c r="D1376" s="69"/>
      <c r="E1376" s="69"/>
      <c r="F1376" s="149"/>
      <c r="G1376" s="146"/>
      <c r="H1376" s="107"/>
      <c r="I1376" s="108"/>
      <c r="J1376" s="108"/>
      <c r="K1376" s="108"/>
      <c r="L1376" s="108"/>
      <c r="M1376" s="108"/>
      <c r="N1376" s="109"/>
      <c r="O1376" s="109"/>
      <c r="P1376" s="109"/>
      <c r="Q1376" s="109"/>
      <c r="R1376" s="109"/>
      <c r="S1376" s="109"/>
      <c r="T1376" s="109"/>
      <c r="U1376" s="105"/>
      <c r="V1376" s="262"/>
      <c r="W1376" s="121"/>
      <c r="X1376" s="121"/>
      <c r="Y1376" s="121"/>
      <c r="Z1376" s="121"/>
      <c r="AA1376" s="121"/>
      <c r="AB1376" s="121"/>
      <c r="AC1376" s="121"/>
      <c r="AD1376" s="121"/>
      <c r="AE1376" s="121"/>
      <c r="AF1376" s="121"/>
      <c r="AG1376" s="121"/>
      <c r="AH1376" s="121"/>
      <c r="AI1376" s="121"/>
    </row>
    <row r="1377" spans="1:35" s="115" customFormat="1" ht="14.4">
      <c r="A1377" s="187"/>
      <c r="B1377" s="190"/>
      <c r="C1377" s="190"/>
      <c r="D1377" s="69"/>
      <c r="E1377" s="69"/>
      <c r="F1377" s="149"/>
      <c r="G1377" s="146"/>
      <c r="H1377" s="98"/>
      <c r="I1377" s="106"/>
      <c r="J1377" s="106"/>
      <c r="K1377" s="106"/>
      <c r="L1377" s="106"/>
      <c r="M1377" s="106"/>
      <c r="N1377" s="112"/>
      <c r="O1377" s="112"/>
      <c r="P1377" s="112"/>
      <c r="Q1377" s="113"/>
      <c r="R1377" s="99"/>
      <c r="S1377" s="99"/>
      <c r="T1377" s="113"/>
      <c r="U1377" s="105"/>
      <c r="V1377" s="262"/>
      <c r="W1377" s="121"/>
      <c r="X1377" s="121"/>
      <c r="Y1377" s="121"/>
      <c r="Z1377" s="121"/>
      <c r="AA1377" s="121"/>
      <c r="AB1377" s="121"/>
      <c r="AC1377" s="121"/>
      <c r="AD1377" s="121"/>
      <c r="AE1377" s="121"/>
      <c r="AF1377" s="121"/>
      <c r="AG1377" s="121"/>
      <c r="AH1377" s="121"/>
      <c r="AI1377" s="121"/>
    </row>
    <row r="1378" spans="1:35" s="115" customFormat="1" ht="14.4">
      <c r="A1378" s="187"/>
      <c r="B1378" s="190"/>
      <c r="C1378" s="190"/>
      <c r="D1378" s="69"/>
      <c r="E1378" s="69"/>
      <c r="F1378" s="149"/>
      <c r="G1378" s="146"/>
      <c r="H1378" s="98"/>
      <c r="I1378" s="99"/>
      <c r="J1378" s="99"/>
      <c r="K1378" s="99"/>
      <c r="L1378" s="99"/>
      <c r="M1378" s="99"/>
      <c r="N1378" s="99"/>
      <c r="O1378" s="99"/>
      <c r="P1378" s="99"/>
      <c r="Q1378" s="99"/>
      <c r="R1378" s="99"/>
      <c r="S1378" s="99"/>
      <c r="T1378" s="99"/>
      <c r="U1378" s="105"/>
      <c r="V1378" s="262"/>
      <c r="W1378" s="121"/>
      <c r="X1378" s="121"/>
      <c r="Y1378" s="121"/>
      <c r="Z1378" s="121"/>
      <c r="AA1378" s="121"/>
      <c r="AB1378" s="121"/>
      <c r="AC1378" s="121"/>
      <c r="AD1378" s="121"/>
      <c r="AE1378" s="121"/>
      <c r="AF1378" s="121"/>
      <c r="AG1378" s="121"/>
      <c r="AH1378" s="121"/>
      <c r="AI1378" s="121"/>
    </row>
    <row r="1379" spans="1:35" s="115" customFormat="1" ht="14.4">
      <c r="A1379" s="187"/>
      <c r="B1379" s="190"/>
      <c r="C1379" s="190"/>
      <c r="D1379" s="69"/>
      <c r="E1379" s="69"/>
      <c r="F1379" s="149"/>
      <c r="G1379" s="146"/>
      <c r="H1379" s="98"/>
      <c r="I1379" s="99"/>
      <c r="J1379" s="99"/>
      <c r="K1379" s="99"/>
      <c r="L1379" s="99"/>
      <c r="M1379" s="99"/>
      <c r="N1379" s="99"/>
      <c r="O1379" s="99"/>
      <c r="P1379" s="99"/>
      <c r="Q1379" s="99"/>
      <c r="R1379" s="99"/>
      <c r="S1379" s="99"/>
      <c r="T1379" s="99"/>
      <c r="U1379" s="105"/>
      <c r="V1379" s="262"/>
      <c r="W1379" s="121"/>
      <c r="X1379" s="121"/>
      <c r="Y1379" s="121"/>
      <c r="Z1379" s="121"/>
      <c r="AA1379" s="121"/>
      <c r="AB1379" s="121"/>
      <c r="AC1379" s="121"/>
      <c r="AD1379" s="121"/>
      <c r="AE1379" s="121"/>
      <c r="AF1379" s="121"/>
      <c r="AG1379" s="121"/>
      <c r="AH1379" s="121"/>
      <c r="AI1379" s="121"/>
    </row>
    <row r="1380" spans="1:35" s="115" customFormat="1" ht="14.4">
      <c r="A1380" s="187"/>
      <c r="B1380" s="190"/>
      <c r="C1380" s="190"/>
      <c r="D1380" s="69"/>
      <c r="E1380" s="69"/>
      <c r="F1380" s="149"/>
      <c r="G1380" s="146"/>
      <c r="H1380" s="98"/>
      <c r="I1380" s="99"/>
      <c r="J1380" s="99"/>
      <c r="K1380" s="99"/>
      <c r="L1380" s="99"/>
      <c r="M1380" s="99"/>
      <c r="N1380" s="99"/>
      <c r="O1380" s="99"/>
      <c r="P1380" s="99"/>
      <c r="Q1380" s="99"/>
      <c r="R1380" s="99"/>
      <c r="S1380" s="99"/>
      <c r="T1380" s="99"/>
      <c r="U1380" s="105"/>
      <c r="V1380" s="262"/>
      <c r="W1380" s="121"/>
      <c r="X1380" s="121"/>
      <c r="Y1380" s="121"/>
      <c r="Z1380" s="121"/>
      <c r="AA1380" s="121"/>
      <c r="AB1380" s="121"/>
      <c r="AC1380" s="121"/>
      <c r="AD1380" s="121"/>
      <c r="AE1380" s="121"/>
      <c r="AF1380" s="121"/>
      <c r="AG1380" s="121"/>
      <c r="AH1380" s="121"/>
      <c r="AI1380" s="121"/>
    </row>
    <row r="1381" spans="1:35" s="115" customFormat="1" ht="14.4">
      <c r="A1381" s="187"/>
      <c r="B1381" s="190"/>
      <c r="C1381" s="190"/>
      <c r="D1381" s="69"/>
      <c r="E1381" s="69"/>
      <c r="F1381" s="149"/>
      <c r="G1381" s="146"/>
      <c r="H1381" s="98"/>
      <c r="I1381" s="99"/>
      <c r="J1381" s="99"/>
      <c r="K1381" s="99"/>
      <c r="L1381" s="99"/>
      <c r="M1381" s="99"/>
      <c r="N1381" s="99"/>
      <c r="O1381" s="99"/>
      <c r="P1381" s="99"/>
      <c r="Q1381" s="99"/>
      <c r="R1381" s="99"/>
      <c r="S1381" s="99"/>
      <c r="T1381" s="99"/>
      <c r="U1381" s="105"/>
      <c r="V1381" s="262"/>
      <c r="W1381" s="121"/>
      <c r="X1381" s="121"/>
      <c r="Y1381" s="121"/>
      <c r="Z1381" s="121"/>
      <c r="AA1381" s="121"/>
      <c r="AB1381" s="121"/>
      <c r="AC1381" s="121"/>
      <c r="AD1381" s="121"/>
      <c r="AE1381" s="121"/>
      <c r="AF1381" s="121"/>
      <c r="AG1381" s="121"/>
      <c r="AH1381" s="121"/>
      <c r="AI1381" s="121"/>
    </row>
    <row r="1382" spans="1:35" s="115" customFormat="1" ht="14.4">
      <c r="A1382" s="187"/>
      <c r="B1382" s="190"/>
      <c r="C1382" s="190"/>
      <c r="D1382" s="69"/>
      <c r="E1382" s="69"/>
      <c r="F1382" s="149"/>
      <c r="G1382" s="146"/>
      <c r="H1382" s="98"/>
      <c r="I1382" s="99"/>
      <c r="J1382" s="99"/>
      <c r="K1382" s="99"/>
      <c r="L1382" s="99"/>
      <c r="M1382" s="99"/>
      <c r="N1382" s="99"/>
      <c r="O1382" s="99"/>
      <c r="P1382" s="99"/>
      <c r="Q1382" s="99"/>
      <c r="R1382" s="99"/>
      <c r="S1382" s="99"/>
      <c r="T1382" s="99"/>
      <c r="U1382" s="105"/>
      <c r="V1382" s="262"/>
      <c r="W1382" s="121"/>
      <c r="X1382" s="121"/>
      <c r="Y1382" s="121"/>
      <c r="Z1382" s="121"/>
      <c r="AA1382" s="121"/>
      <c r="AB1382" s="121"/>
      <c r="AC1382" s="121"/>
      <c r="AD1382" s="121"/>
      <c r="AE1382" s="121"/>
      <c r="AF1382" s="121"/>
      <c r="AG1382" s="121"/>
      <c r="AH1382" s="121"/>
      <c r="AI1382" s="121"/>
    </row>
    <row r="1383" spans="1:35" s="115" customFormat="1" ht="14.4">
      <c r="A1383" s="187"/>
      <c r="B1383" s="190"/>
      <c r="C1383" s="190"/>
      <c r="D1383" s="69"/>
      <c r="E1383" s="69"/>
      <c r="F1383" s="149"/>
      <c r="G1383" s="146"/>
      <c r="H1383" s="98"/>
      <c r="I1383" s="99"/>
      <c r="J1383" s="99"/>
      <c r="K1383" s="99"/>
      <c r="L1383" s="99"/>
      <c r="M1383" s="99"/>
      <c r="N1383" s="99"/>
      <c r="O1383" s="99"/>
      <c r="P1383" s="99"/>
      <c r="Q1383" s="99"/>
      <c r="R1383" s="99"/>
      <c r="S1383" s="99"/>
      <c r="T1383" s="99"/>
      <c r="U1383" s="105"/>
      <c r="V1383" s="262"/>
      <c r="W1383" s="121"/>
      <c r="X1383" s="121"/>
      <c r="Y1383" s="121"/>
      <c r="Z1383" s="121"/>
      <c r="AA1383" s="121"/>
      <c r="AB1383" s="121"/>
      <c r="AC1383" s="121"/>
      <c r="AD1383" s="121"/>
      <c r="AE1383" s="121"/>
      <c r="AF1383" s="121"/>
      <c r="AG1383" s="121"/>
      <c r="AH1383" s="121"/>
      <c r="AI1383" s="121"/>
    </row>
    <row r="1384" spans="1:35" s="115" customFormat="1" ht="14.4">
      <c r="A1384" s="187"/>
      <c r="B1384" s="190"/>
      <c r="C1384" s="190"/>
      <c r="D1384" s="69"/>
      <c r="E1384" s="69"/>
      <c r="F1384" s="149"/>
      <c r="G1384" s="146"/>
      <c r="H1384" s="98"/>
      <c r="I1384" s="99"/>
      <c r="J1384" s="99"/>
      <c r="K1384" s="99"/>
      <c r="L1384" s="99"/>
      <c r="M1384" s="99"/>
      <c r="N1384" s="99"/>
      <c r="O1384" s="99"/>
      <c r="P1384" s="99"/>
      <c r="Q1384" s="99"/>
      <c r="R1384" s="99"/>
      <c r="S1384" s="99"/>
      <c r="T1384" s="99"/>
      <c r="U1384" s="105"/>
      <c r="V1384" s="262"/>
      <c r="W1384" s="121"/>
      <c r="X1384" s="121"/>
      <c r="Y1384" s="121"/>
      <c r="Z1384" s="121"/>
      <c r="AA1384" s="121"/>
      <c r="AB1384" s="121"/>
      <c r="AC1384" s="121"/>
      <c r="AD1384" s="121"/>
      <c r="AE1384" s="121"/>
      <c r="AF1384" s="121"/>
      <c r="AG1384" s="121"/>
      <c r="AH1384" s="121"/>
      <c r="AI1384" s="121"/>
    </row>
    <row r="1385" spans="1:35" s="115" customFormat="1" ht="14.4">
      <c r="A1385" s="187"/>
      <c r="B1385" s="190"/>
      <c r="C1385" s="190"/>
      <c r="D1385" s="69"/>
      <c r="E1385" s="69"/>
      <c r="F1385" s="149"/>
      <c r="G1385" s="146"/>
      <c r="H1385" s="98"/>
      <c r="I1385" s="99"/>
      <c r="J1385" s="99"/>
      <c r="K1385" s="99"/>
      <c r="L1385" s="99"/>
      <c r="M1385" s="99"/>
      <c r="N1385" s="99"/>
      <c r="O1385" s="99"/>
      <c r="P1385" s="99"/>
      <c r="Q1385" s="99"/>
      <c r="R1385" s="99"/>
      <c r="S1385" s="99"/>
      <c r="T1385" s="99"/>
      <c r="U1385" s="105"/>
      <c r="V1385" s="262"/>
      <c r="W1385" s="121"/>
      <c r="X1385" s="121"/>
      <c r="Y1385" s="121"/>
      <c r="Z1385" s="121"/>
      <c r="AA1385" s="121"/>
      <c r="AB1385" s="121"/>
      <c r="AC1385" s="121"/>
      <c r="AD1385" s="121"/>
      <c r="AE1385" s="121"/>
      <c r="AF1385" s="121"/>
      <c r="AG1385" s="121"/>
      <c r="AH1385" s="121"/>
      <c r="AI1385" s="121"/>
    </row>
    <row r="1386" spans="1:35" s="115" customFormat="1" ht="14.4">
      <c r="A1386" s="187"/>
      <c r="B1386" s="190"/>
      <c r="C1386" s="190"/>
      <c r="D1386" s="69"/>
      <c r="E1386" s="69"/>
      <c r="F1386" s="149"/>
      <c r="G1386" s="146"/>
      <c r="H1386" s="98"/>
      <c r="I1386" s="99"/>
      <c r="J1386" s="99"/>
      <c r="K1386" s="99"/>
      <c r="L1386" s="99"/>
      <c r="M1386" s="99"/>
      <c r="N1386" s="99"/>
      <c r="O1386" s="99"/>
      <c r="P1386" s="99"/>
      <c r="Q1386" s="99"/>
      <c r="R1386" s="99"/>
      <c r="S1386" s="99"/>
      <c r="T1386" s="99"/>
      <c r="U1386" s="105"/>
      <c r="V1386" s="262"/>
      <c r="W1386" s="121"/>
      <c r="X1386" s="121"/>
      <c r="Y1386" s="121"/>
      <c r="Z1386" s="121"/>
      <c r="AA1386" s="121"/>
      <c r="AB1386" s="121"/>
      <c r="AC1386" s="121"/>
      <c r="AD1386" s="121"/>
      <c r="AE1386" s="121"/>
      <c r="AF1386" s="121"/>
      <c r="AG1386" s="121"/>
      <c r="AH1386" s="121"/>
      <c r="AI1386" s="121"/>
    </row>
    <row r="1387" spans="1:35" s="115" customFormat="1" ht="14.4">
      <c r="A1387" s="187"/>
      <c r="B1387" s="190"/>
      <c r="C1387" s="190"/>
      <c r="D1387" s="69"/>
      <c r="E1387" s="69"/>
      <c r="F1387" s="149"/>
      <c r="G1387" s="146"/>
      <c r="H1387" s="98"/>
      <c r="I1387" s="99"/>
      <c r="J1387" s="99"/>
      <c r="K1387" s="99"/>
      <c r="L1387" s="99"/>
      <c r="M1387" s="99"/>
      <c r="N1387" s="99"/>
      <c r="O1387" s="99"/>
      <c r="P1387" s="99"/>
      <c r="Q1387" s="99"/>
      <c r="R1387" s="99"/>
      <c r="S1387" s="99"/>
      <c r="T1387" s="99"/>
      <c r="U1387" s="105"/>
      <c r="V1387" s="262"/>
      <c r="W1387" s="121"/>
      <c r="X1387" s="121"/>
      <c r="Y1387" s="121"/>
      <c r="Z1387" s="121"/>
      <c r="AA1387" s="121"/>
      <c r="AB1387" s="121"/>
      <c r="AC1387" s="121"/>
      <c r="AD1387" s="121"/>
      <c r="AE1387" s="121"/>
      <c r="AF1387" s="121"/>
      <c r="AG1387" s="121"/>
      <c r="AH1387" s="121"/>
      <c r="AI1387" s="121"/>
    </row>
    <row r="1388" spans="1:35" s="115" customFormat="1" ht="14.4">
      <c r="A1388" s="187"/>
      <c r="B1388" s="190"/>
      <c r="C1388" s="190"/>
      <c r="D1388" s="69"/>
      <c r="E1388" s="69"/>
      <c r="F1388" s="149"/>
      <c r="G1388" s="146"/>
      <c r="H1388" s="98"/>
      <c r="I1388" s="99"/>
      <c r="J1388" s="99"/>
      <c r="K1388" s="99"/>
      <c r="L1388" s="99"/>
      <c r="M1388" s="99"/>
      <c r="N1388" s="99"/>
      <c r="O1388" s="99"/>
      <c r="P1388" s="99"/>
      <c r="Q1388" s="99"/>
      <c r="R1388" s="99"/>
      <c r="S1388" s="99"/>
      <c r="T1388" s="99"/>
      <c r="U1388" s="105"/>
      <c r="V1388" s="262"/>
      <c r="W1388" s="121"/>
      <c r="X1388" s="121"/>
      <c r="Y1388" s="121"/>
      <c r="Z1388" s="121"/>
      <c r="AA1388" s="121"/>
      <c r="AB1388" s="121"/>
      <c r="AC1388" s="121"/>
      <c r="AD1388" s="121"/>
      <c r="AE1388" s="121"/>
      <c r="AF1388" s="121"/>
      <c r="AG1388" s="121"/>
      <c r="AH1388" s="121"/>
      <c r="AI1388" s="121"/>
    </row>
    <row r="1389" spans="1:35" s="115" customFormat="1" ht="14.4">
      <c r="A1389" s="187"/>
      <c r="B1389" s="190"/>
      <c r="C1389" s="190"/>
      <c r="D1389" s="69"/>
      <c r="E1389" s="69"/>
      <c r="F1389" s="149"/>
      <c r="G1389" s="146"/>
      <c r="H1389" s="98"/>
      <c r="I1389" s="99"/>
      <c r="J1389" s="99"/>
      <c r="K1389" s="99"/>
      <c r="L1389" s="99"/>
      <c r="M1389" s="99"/>
      <c r="N1389" s="99"/>
      <c r="O1389" s="99"/>
      <c r="P1389" s="99"/>
      <c r="Q1389" s="99"/>
      <c r="R1389" s="99"/>
      <c r="S1389" s="99"/>
      <c r="T1389" s="99"/>
      <c r="U1389" s="105"/>
      <c r="V1389" s="262"/>
      <c r="W1389" s="121"/>
      <c r="X1389" s="121"/>
      <c r="Y1389" s="121"/>
      <c r="Z1389" s="121"/>
      <c r="AA1389" s="121"/>
      <c r="AB1389" s="121"/>
      <c r="AC1389" s="121"/>
      <c r="AD1389" s="121"/>
      <c r="AE1389" s="121"/>
      <c r="AF1389" s="121"/>
      <c r="AG1389" s="121"/>
      <c r="AH1389" s="121"/>
      <c r="AI1389" s="121"/>
    </row>
    <row r="1390" spans="1:35" s="115" customFormat="1" ht="14.4">
      <c r="A1390" s="187"/>
      <c r="B1390" s="190"/>
      <c r="C1390" s="190"/>
      <c r="D1390" s="69"/>
      <c r="E1390" s="69"/>
      <c r="F1390" s="149"/>
      <c r="G1390" s="146"/>
      <c r="H1390" s="107"/>
      <c r="I1390" s="108"/>
      <c r="J1390" s="108"/>
      <c r="K1390" s="108"/>
      <c r="L1390" s="108"/>
      <c r="M1390" s="108"/>
      <c r="N1390" s="108"/>
      <c r="O1390" s="108"/>
      <c r="P1390" s="108"/>
      <c r="Q1390" s="108"/>
      <c r="R1390" s="108"/>
      <c r="S1390" s="108"/>
      <c r="T1390" s="108"/>
      <c r="U1390" s="105"/>
      <c r="V1390" s="262"/>
      <c r="W1390" s="121"/>
      <c r="X1390" s="121"/>
      <c r="Y1390" s="121"/>
      <c r="Z1390" s="121"/>
      <c r="AA1390" s="121"/>
      <c r="AB1390" s="121"/>
      <c r="AC1390" s="121"/>
      <c r="AD1390" s="121"/>
      <c r="AE1390" s="121"/>
      <c r="AF1390" s="121"/>
      <c r="AG1390" s="121"/>
      <c r="AH1390" s="121"/>
      <c r="AI1390" s="121"/>
    </row>
    <row r="1391" spans="1:35" s="115" customFormat="1" ht="14.4">
      <c r="A1391" s="187"/>
      <c r="B1391" s="190"/>
      <c r="C1391" s="190"/>
      <c r="D1391" s="69"/>
      <c r="E1391" s="69"/>
      <c r="F1391" s="149"/>
      <c r="G1391" s="146"/>
      <c r="H1391" s="98"/>
      <c r="I1391" s="106"/>
      <c r="J1391" s="106"/>
      <c r="K1391" s="106"/>
      <c r="L1391" s="106"/>
      <c r="M1391" s="106"/>
      <c r="N1391" s="112"/>
      <c r="O1391" s="112"/>
      <c r="P1391" s="112"/>
      <c r="Q1391" s="113"/>
      <c r="R1391" s="212"/>
      <c r="S1391" s="212"/>
      <c r="T1391" s="113"/>
      <c r="U1391" s="105"/>
      <c r="V1391" s="262"/>
      <c r="W1391" s="121"/>
      <c r="X1391" s="121"/>
      <c r="Y1391" s="121"/>
      <c r="Z1391" s="121"/>
      <c r="AA1391" s="121"/>
      <c r="AB1391" s="121"/>
      <c r="AC1391" s="121"/>
      <c r="AD1391" s="121"/>
      <c r="AE1391" s="121"/>
      <c r="AF1391" s="121"/>
      <c r="AG1391" s="121"/>
      <c r="AH1391" s="121"/>
      <c r="AI1391" s="121"/>
    </row>
    <row r="1392" spans="1:35" s="115" customFormat="1" ht="14.4">
      <c r="A1392" s="187"/>
      <c r="B1392" s="190"/>
      <c r="C1392" s="190"/>
      <c r="D1392" s="69"/>
      <c r="E1392" s="69"/>
      <c r="F1392" s="149"/>
      <c r="G1392" s="146"/>
      <c r="H1392" s="114"/>
      <c r="I1392" s="108"/>
      <c r="J1392" s="108"/>
      <c r="K1392" s="108"/>
      <c r="L1392" s="108"/>
      <c r="M1392" s="108"/>
      <c r="N1392" s="108"/>
      <c r="O1392" s="108"/>
      <c r="P1392" s="108"/>
      <c r="Q1392" s="108"/>
      <c r="R1392" s="108"/>
      <c r="S1392" s="108"/>
      <c r="T1392" s="108"/>
      <c r="U1392" s="105"/>
      <c r="V1392" s="262"/>
      <c r="W1392" s="121"/>
      <c r="X1392" s="121"/>
      <c r="Y1392" s="121"/>
      <c r="Z1392" s="121"/>
      <c r="AA1392" s="121"/>
      <c r="AB1392" s="121"/>
      <c r="AC1392" s="121"/>
      <c r="AD1392" s="121"/>
      <c r="AE1392" s="121"/>
      <c r="AF1392" s="121"/>
      <c r="AG1392" s="121"/>
      <c r="AH1392" s="121"/>
      <c r="AI1392" s="121"/>
    </row>
    <row r="1393" spans="1:35" s="115" customFormat="1" ht="15" thickBot="1">
      <c r="A1393" s="187"/>
      <c r="B1393" s="190"/>
      <c r="C1393" s="190"/>
      <c r="D1393" s="69"/>
      <c r="E1393" s="69"/>
      <c r="F1393" s="149"/>
      <c r="G1393" s="146"/>
      <c r="H1393" s="98"/>
      <c r="I1393" s="218"/>
      <c r="J1393" s="218"/>
      <c r="K1393" s="218"/>
      <c r="L1393" s="218"/>
      <c r="M1393" s="218"/>
      <c r="N1393" s="96"/>
      <c r="O1393" s="96"/>
      <c r="P1393" s="96"/>
      <c r="Q1393" s="212"/>
      <c r="R1393" s="212"/>
      <c r="S1393" s="212"/>
      <c r="T1393" s="212"/>
      <c r="U1393" s="105"/>
      <c r="V1393" s="262"/>
      <c r="W1393" s="121"/>
      <c r="X1393" s="121"/>
      <c r="Y1393" s="121"/>
      <c r="Z1393" s="121"/>
      <c r="AA1393" s="121"/>
      <c r="AB1393" s="121"/>
      <c r="AC1393" s="121"/>
      <c r="AD1393" s="121"/>
      <c r="AE1393" s="121"/>
      <c r="AF1393" s="121"/>
      <c r="AG1393" s="121"/>
      <c r="AH1393" s="121"/>
      <c r="AI1393" s="121"/>
    </row>
    <row r="1394" spans="1:35" s="115" customFormat="1" ht="23.4" thickBot="1">
      <c r="A1394" s="187"/>
      <c r="B1394" s="190"/>
      <c r="C1394" s="190"/>
      <c r="D1394" s="69"/>
      <c r="E1394" s="69"/>
      <c r="F1394" s="149"/>
      <c r="G1394" s="146"/>
      <c r="H1394" s="686"/>
      <c r="I1394" s="687"/>
      <c r="J1394" s="687"/>
      <c r="K1394" s="687"/>
      <c r="L1394" s="687"/>
      <c r="M1394" s="687"/>
      <c r="N1394" s="687"/>
      <c r="O1394" s="687"/>
      <c r="P1394" s="687"/>
      <c r="Q1394" s="687"/>
      <c r="R1394" s="687"/>
      <c r="S1394" s="687"/>
      <c r="T1394" s="688"/>
      <c r="U1394" s="105"/>
      <c r="V1394" s="262"/>
      <c r="W1394" s="121"/>
      <c r="X1394" s="121"/>
      <c r="Y1394" s="121"/>
      <c r="Z1394" s="121"/>
      <c r="AA1394" s="121"/>
      <c r="AB1394" s="121"/>
      <c r="AC1394" s="121"/>
      <c r="AD1394" s="121"/>
      <c r="AE1394" s="121"/>
      <c r="AF1394" s="121"/>
      <c r="AG1394" s="121"/>
      <c r="AH1394" s="121"/>
      <c r="AI1394" s="121"/>
    </row>
    <row r="1395" spans="1:35" s="115" customFormat="1" ht="22.8">
      <c r="A1395" s="187"/>
      <c r="B1395" s="190"/>
      <c r="C1395" s="190"/>
      <c r="D1395" s="69"/>
      <c r="E1395" s="69"/>
      <c r="F1395" s="149"/>
      <c r="G1395" s="146"/>
      <c r="H1395" s="225"/>
      <c r="I1395" s="225"/>
      <c r="J1395" s="225"/>
      <c r="K1395" s="225"/>
      <c r="L1395" s="225"/>
      <c r="M1395" s="225"/>
      <c r="N1395" s="225"/>
      <c r="O1395" s="225"/>
      <c r="P1395" s="225"/>
      <c r="Q1395" s="225"/>
      <c r="R1395" s="225"/>
      <c r="S1395" s="225"/>
      <c r="T1395" s="225"/>
      <c r="U1395" s="105"/>
      <c r="V1395" s="262"/>
      <c r="W1395" s="121"/>
      <c r="X1395" s="121"/>
      <c r="Y1395" s="121"/>
      <c r="Z1395" s="121"/>
      <c r="AA1395" s="121"/>
      <c r="AB1395" s="121"/>
      <c r="AC1395" s="121"/>
      <c r="AD1395" s="121"/>
      <c r="AE1395" s="121"/>
      <c r="AF1395" s="121"/>
      <c r="AG1395" s="121"/>
      <c r="AH1395" s="121"/>
      <c r="AI1395" s="121"/>
    </row>
    <row r="1396" spans="1:35" s="115" customFormat="1" ht="24" customHeight="1">
      <c r="A1396" s="187"/>
      <c r="B1396" s="190"/>
      <c r="C1396" s="190"/>
      <c r="D1396" s="69"/>
      <c r="E1396" s="69"/>
      <c r="F1396" s="149"/>
      <c r="G1396" s="146"/>
      <c r="H1396" s="98"/>
      <c r="I1396" s="99"/>
      <c r="J1396" s="99"/>
      <c r="K1396" s="99"/>
      <c r="L1396" s="99"/>
      <c r="M1396" s="99"/>
      <c r="N1396" s="99"/>
      <c r="O1396" s="99"/>
      <c r="P1396" s="99"/>
      <c r="Q1396" s="99"/>
      <c r="R1396" s="99"/>
      <c r="S1396" s="99"/>
      <c r="T1396" s="99"/>
      <c r="U1396" s="105"/>
      <c r="V1396" s="262"/>
      <c r="W1396" s="121"/>
      <c r="X1396" s="121"/>
      <c r="Y1396" s="121"/>
      <c r="Z1396" s="121"/>
      <c r="AA1396" s="121"/>
      <c r="AB1396" s="121"/>
      <c r="AC1396" s="121"/>
      <c r="AD1396" s="121"/>
      <c r="AE1396" s="121"/>
      <c r="AF1396" s="121"/>
      <c r="AG1396" s="121"/>
      <c r="AH1396" s="121"/>
      <c r="AI1396" s="121"/>
    </row>
    <row r="1397" spans="1:35" s="115" customFormat="1" ht="14.4">
      <c r="A1397" s="187"/>
      <c r="B1397" s="190"/>
      <c r="C1397" s="190"/>
      <c r="D1397" s="69"/>
      <c r="E1397" s="69"/>
      <c r="F1397" s="149"/>
      <c r="G1397" s="146"/>
      <c r="H1397" s="98"/>
      <c r="I1397" s="99"/>
      <c r="J1397" s="99"/>
      <c r="K1397" s="99"/>
      <c r="L1397" s="99"/>
      <c r="M1397" s="99"/>
      <c r="N1397" s="99"/>
      <c r="O1397" s="99"/>
      <c r="P1397" s="99"/>
      <c r="Q1397" s="99"/>
      <c r="R1397" s="99"/>
      <c r="S1397" s="99"/>
      <c r="T1397" s="99"/>
      <c r="U1397" s="105"/>
      <c r="V1397" s="262"/>
      <c r="W1397" s="121"/>
      <c r="X1397" s="121"/>
      <c r="Y1397" s="121"/>
      <c r="Z1397" s="121"/>
      <c r="AA1397" s="121"/>
      <c r="AB1397" s="121"/>
      <c r="AC1397" s="121"/>
      <c r="AD1397" s="121"/>
      <c r="AE1397" s="121"/>
      <c r="AF1397" s="121"/>
      <c r="AG1397" s="121"/>
      <c r="AH1397" s="121"/>
      <c r="AI1397" s="121"/>
    </row>
    <row r="1398" spans="1:35" s="115" customFormat="1" ht="14.4">
      <c r="A1398" s="187"/>
      <c r="B1398" s="190"/>
      <c r="C1398" s="190"/>
      <c r="D1398" s="69"/>
      <c r="E1398" s="69"/>
      <c r="F1398" s="149"/>
      <c r="G1398" s="146"/>
      <c r="H1398" s="98"/>
      <c r="I1398" s="99"/>
      <c r="J1398" s="99"/>
      <c r="K1398" s="99"/>
      <c r="L1398" s="99"/>
      <c r="M1398" s="99"/>
      <c r="N1398" s="99"/>
      <c r="O1398" s="99"/>
      <c r="P1398" s="99"/>
      <c r="Q1398" s="99"/>
      <c r="R1398" s="99"/>
      <c r="S1398" s="99"/>
      <c r="T1398" s="99"/>
      <c r="U1398" s="105"/>
      <c r="V1398" s="262"/>
      <c r="W1398" s="121"/>
      <c r="X1398" s="121"/>
      <c r="Y1398" s="121"/>
      <c r="Z1398" s="121"/>
      <c r="AA1398" s="121"/>
      <c r="AB1398" s="121"/>
      <c r="AC1398" s="121"/>
      <c r="AD1398" s="121"/>
      <c r="AE1398" s="121"/>
      <c r="AF1398" s="121"/>
      <c r="AG1398" s="121"/>
      <c r="AH1398" s="121"/>
      <c r="AI1398" s="121"/>
    </row>
    <row r="1399" spans="1:35" s="115" customFormat="1" ht="14.4">
      <c r="A1399" s="187"/>
      <c r="B1399" s="190"/>
      <c r="C1399" s="190"/>
      <c r="D1399" s="69"/>
      <c r="E1399" s="69"/>
      <c r="F1399" s="149"/>
      <c r="G1399" s="146"/>
      <c r="H1399" s="98"/>
      <c r="I1399" s="99"/>
      <c r="J1399" s="99"/>
      <c r="K1399" s="99"/>
      <c r="L1399" s="99"/>
      <c r="M1399" s="99"/>
      <c r="N1399" s="99"/>
      <c r="O1399" s="99"/>
      <c r="P1399" s="99"/>
      <c r="Q1399" s="99"/>
      <c r="R1399" s="99"/>
      <c r="S1399" s="99"/>
      <c r="T1399" s="99"/>
      <c r="U1399" s="105"/>
      <c r="V1399" s="262"/>
      <c r="W1399" s="121"/>
      <c r="X1399" s="121"/>
      <c r="Y1399" s="121"/>
      <c r="Z1399" s="121"/>
      <c r="AA1399" s="121"/>
      <c r="AB1399" s="121"/>
      <c r="AC1399" s="121"/>
      <c r="AD1399" s="121"/>
      <c r="AE1399" s="121"/>
      <c r="AF1399" s="121"/>
      <c r="AG1399" s="121"/>
      <c r="AH1399" s="121"/>
      <c r="AI1399" s="121"/>
    </row>
    <row r="1400" spans="1:35" s="115" customFormat="1" ht="14.4">
      <c r="A1400" s="187"/>
      <c r="B1400" s="190"/>
      <c r="C1400" s="190"/>
      <c r="D1400" s="69"/>
      <c r="E1400" s="69"/>
      <c r="F1400" s="149"/>
      <c r="G1400" s="146"/>
      <c r="H1400" s="98"/>
      <c r="I1400" s="99"/>
      <c r="J1400" s="99"/>
      <c r="K1400" s="99"/>
      <c r="L1400" s="99"/>
      <c r="M1400" s="99"/>
      <c r="N1400" s="99"/>
      <c r="O1400" s="99"/>
      <c r="P1400" s="99"/>
      <c r="Q1400" s="99"/>
      <c r="R1400" s="99"/>
      <c r="S1400" s="99"/>
      <c r="T1400" s="99"/>
      <c r="U1400" s="105"/>
      <c r="V1400" s="262"/>
      <c r="W1400" s="121"/>
      <c r="X1400" s="121"/>
      <c r="Y1400" s="121"/>
      <c r="Z1400" s="121"/>
      <c r="AA1400" s="121"/>
      <c r="AB1400" s="121"/>
      <c r="AC1400" s="121"/>
      <c r="AD1400" s="121"/>
      <c r="AE1400" s="121"/>
      <c r="AF1400" s="121"/>
      <c r="AG1400" s="121"/>
      <c r="AH1400" s="121"/>
      <c r="AI1400" s="121"/>
    </row>
    <row r="1401" spans="1:35" s="115" customFormat="1" ht="14.4">
      <c r="A1401" s="187"/>
      <c r="B1401" s="190"/>
      <c r="C1401" s="190"/>
      <c r="D1401" s="69"/>
      <c r="E1401" s="69"/>
      <c r="F1401" s="149"/>
      <c r="G1401" s="146"/>
      <c r="H1401" s="98"/>
      <c r="I1401" s="99"/>
      <c r="J1401" s="99"/>
      <c r="K1401" s="99"/>
      <c r="L1401" s="99"/>
      <c r="M1401" s="99"/>
      <c r="N1401" s="99"/>
      <c r="O1401" s="99"/>
      <c r="P1401" s="99"/>
      <c r="Q1401" s="99"/>
      <c r="R1401" s="99"/>
      <c r="S1401" s="99"/>
      <c r="T1401" s="99"/>
      <c r="U1401" s="105"/>
      <c r="V1401" s="262"/>
      <c r="W1401" s="121"/>
      <c r="X1401" s="121"/>
      <c r="Y1401" s="121"/>
      <c r="Z1401" s="121"/>
      <c r="AA1401" s="121"/>
      <c r="AB1401" s="121"/>
      <c r="AC1401" s="121"/>
      <c r="AD1401" s="121"/>
      <c r="AE1401" s="121"/>
      <c r="AF1401" s="121"/>
      <c r="AG1401" s="121"/>
      <c r="AH1401" s="121"/>
      <c r="AI1401" s="121"/>
    </row>
    <row r="1402" spans="1:35" s="115" customFormat="1" ht="14.4">
      <c r="A1402" s="187"/>
      <c r="B1402" s="190"/>
      <c r="C1402" s="190"/>
      <c r="D1402" s="69"/>
      <c r="E1402" s="69"/>
      <c r="F1402" s="149"/>
      <c r="G1402" s="146"/>
      <c r="H1402" s="98"/>
      <c r="I1402" s="99"/>
      <c r="J1402" s="99"/>
      <c r="K1402" s="99"/>
      <c r="L1402" s="99"/>
      <c r="M1402" s="99"/>
      <c r="N1402" s="99"/>
      <c r="O1402" s="99"/>
      <c r="P1402" s="99"/>
      <c r="Q1402" s="99"/>
      <c r="R1402" s="99"/>
      <c r="S1402" s="99"/>
      <c r="T1402" s="99"/>
      <c r="U1402" s="105"/>
      <c r="V1402" s="262"/>
      <c r="W1402" s="121"/>
      <c r="X1402" s="121"/>
      <c r="Y1402" s="121"/>
      <c r="Z1402" s="121"/>
      <c r="AA1402" s="121"/>
      <c r="AB1402" s="121"/>
      <c r="AC1402" s="121"/>
      <c r="AD1402" s="121"/>
      <c r="AE1402" s="121"/>
      <c r="AF1402" s="121"/>
      <c r="AG1402" s="121"/>
      <c r="AH1402" s="121"/>
      <c r="AI1402" s="121"/>
    </row>
    <row r="1403" spans="1:35" s="115" customFormat="1" ht="14.4">
      <c r="A1403" s="187"/>
      <c r="B1403" s="190"/>
      <c r="C1403" s="190"/>
      <c r="D1403" s="69"/>
      <c r="E1403" s="69"/>
      <c r="F1403" s="149"/>
      <c r="G1403" s="146"/>
      <c r="H1403" s="107"/>
      <c r="I1403" s="108"/>
      <c r="J1403" s="108"/>
      <c r="K1403" s="108"/>
      <c r="L1403" s="108"/>
      <c r="M1403" s="108"/>
      <c r="N1403" s="109"/>
      <c r="O1403" s="109"/>
      <c r="P1403" s="109"/>
      <c r="Q1403" s="109"/>
      <c r="R1403" s="109"/>
      <c r="S1403" s="109"/>
      <c r="T1403" s="109"/>
      <c r="U1403" s="105"/>
      <c r="V1403" s="262"/>
      <c r="W1403" s="121"/>
      <c r="X1403" s="121"/>
      <c r="Y1403" s="121"/>
      <c r="Z1403" s="121"/>
      <c r="AA1403" s="121"/>
      <c r="AB1403" s="121"/>
      <c r="AC1403" s="121"/>
      <c r="AD1403" s="121"/>
      <c r="AE1403" s="121"/>
      <c r="AF1403" s="121"/>
      <c r="AG1403" s="121"/>
      <c r="AH1403" s="121"/>
      <c r="AI1403" s="121"/>
    </row>
    <row r="1404" spans="1:35" s="115" customFormat="1" ht="14.4">
      <c r="A1404" s="187"/>
      <c r="B1404" s="190"/>
      <c r="C1404" s="190"/>
      <c r="D1404" s="69"/>
      <c r="E1404" s="69"/>
      <c r="F1404" s="149"/>
      <c r="G1404" s="146"/>
      <c r="H1404" s="98"/>
      <c r="I1404" s="106"/>
      <c r="J1404" s="106"/>
      <c r="K1404" s="106"/>
      <c r="L1404" s="106"/>
      <c r="M1404" s="106"/>
      <c r="N1404" s="112"/>
      <c r="O1404" s="112"/>
      <c r="P1404" s="112"/>
      <c r="Q1404" s="113"/>
      <c r="R1404" s="113"/>
      <c r="S1404" s="113"/>
      <c r="T1404" s="113"/>
      <c r="U1404" s="105"/>
      <c r="V1404" s="262"/>
      <c r="W1404" s="121"/>
      <c r="X1404" s="121"/>
      <c r="Y1404" s="121"/>
      <c r="Z1404" s="121"/>
      <c r="AA1404" s="121"/>
      <c r="AB1404" s="121"/>
      <c r="AC1404" s="121"/>
      <c r="AD1404" s="121"/>
      <c r="AE1404" s="121"/>
      <c r="AF1404" s="121"/>
      <c r="AG1404" s="121"/>
      <c r="AH1404" s="121"/>
      <c r="AI1404" s="121"/>
    </row>
    <row r="1405" spans="1:35" s="115" customFormat="1" ht="14.4">
      <c r="A1405" s="187"/>
      <c r="B1405" s="190"/>
      <c r="C1405" s="190"/>
      <c r="D1405" s="69"/>
      <c r="E1405" s="69"/>
      <c r="F1405" s="149"/>
      <c r="G1405" s="146"/>
      <c r="H1405" s="98"/>
      <c r="I1405" s="99"/>
      <c r="J1405" s="99"/>
      <c r="K1405" s="99"/>
      <c r="L1405" s="99"/>
      <c r="M1405" s="99"/>
      <c r="N1405" s="99"/>
      <c r="O1405" s="99"/>
      <c r="P1405" s="99"/>
      <c r="Q1405" s="99"/>
      <c r="R1405" s="99"/>
      <c r="S1405" s="99"/>
      <c r="T1405" s="99"/>
      <c r="U1405" s="105"/>
      <c r="V1405" s="262"/>
      <c r="W1405" s="121"/>
      <c r="X1405" s="121"/>
      <c r="Y1405" s="121"/>
      <c r="Z1405" s="121"/>
      <c r="AA1405" s="121"/>
      <c r="AB1405" s="121"/>
      <c r="AC1405" s="121"/>
      <c r="AD1405" s="121"/>
      <c r="AE1405" s="121"/>
      <c r="AF1405" s="121"/>
      <c r="AG1405" s="121"/>
      <c r="AH1405" s="121"/>
      <c r="AI1405" s="121"/>
    </row>
    <row r="1406" spans="1:35" s="115" customFormat="1" ht="14.4">
      <c r="A1406" s="187"/>
      <c r="B1406" s="190"/>
      <c r="C1406" s="190"/>
      <c r="D1406" s="69"/>
      <c r="E1406" s="69"/>
      <c r="F1406" s="149"/>
      <c r="G1406" s="146"/>
      <c r="H1406" s="98"/>
      <c r="I1406" s="99"/>
      <c r="J1406" s="99"/>
      <c r="K1406" s="99"/>
      <c r="L1406" s="99"/>
      <c r="M1406" s="99"/>
      <c r="N1406" s="99"/>
      <c r="O1406" s="99"/>
      <c r="P1406" s="99"/>
      <c r="Q1406" s="99"/>
      <c r="R1406" s="99"/>
      <c r="S1406" s="99"/>
      <c r="T1406" s="99"/>
      <c r="U1406" s="105"/>
      <c r="V1406" s="262"/>
      <c r="W1406" s="121"/>
      <c r="X1406" s="121"/>
      <c r="Y1406" s="121"/>
      <c r="Z1406" s="121"/>
      <c r="AA1406" s="121"/>
      <c r="AB1406" s="121"/>
      <c r="AC1406" s="121"/>
      <c r="AD1406" s="121"/>
      <c r="AE1406" s="121"/>
      <c r="AF1406" s="121"/>
      <c r="AG1406" s="121"/>
      <c r="AH1406" s="121"/>
      <c r="AI1406" s="121"/>
    </row>
    <row r="1407" spans="1:35" s="115" customFormat="1" ht="14.4">
      <c r="A1407" s="187"/>
      <c r="B1407" s="190"/>
      <c r="C1407" s="190"/>
      <c r="D1407" s="69"/>
      <c r="E1407" s="69"/>
      <c r="F1407" s="149"/>
      <c r="G1407" s="146"/>
      <c r="H1407" s="98"/>
      <c r="I1407" s="99"/>
      <c r="J1407" s="99"/>
      <c r="K1407" s="99"/>
      <c r="L1407" s="99"/>
      <c r="M1407" s="99"/>
      <c r="N1407" s="99"/>
      <c r="O1407" s="99"/>
      <c r="P1407" s="99"/>
      <c r="Q1407" s="99"/>
      <c r="R1407" s="99"/>
      <c r="S1407" s="99"/>
      <c r="T1407" s="99"/>
      <c r="U1407" s="105"/>
      <c r="V1407" s="262"/>
      <c r="W1407" s="121"/>
      <c r="X1407" s="121"/>
      <c r="Y1407" s="121"/>
      <c r="Z1407" s="121"/>
      <c r="AA1407" s="121"/>
      <c r="AB1407" s="121"/>
      <c r="AC1407" s="121"/>
      <c r="AD1407" s="121"/>
      <c r="AE1407" s="121"/>
      <c r="AF1407" s="121"/>
      <c r="AG1407" s="121"/>
      <c r="AH1407" s="121"/>
      <c r="AI1407" s="121"/>
    </row>
    <row r="1408" spans="1:35" s="115" customFormat="1" ht="14.4">
      <c r="A1408" s="187"/>
      <c r="B1408" s="190"/>
      <c r="C1408" s="190"/>
      <c r="D1408" s="69"/>
      <c r="E1408" s="69"/>
      <c r="F1408" s="149"/>
      <c r="G1408" s="146"/>
      <c r="H1408" s="98"/>
      <c r="I1408" s="99"/>
      <c r="J1408" s="99"/>
      <c r="K1408" s="99"/>
      <c r="L1408" s="99"/>
      <c r="M1408" s="99"/>
      <c r="N1408" s="99"/>
      <c r="O1408" s="99"/>
      <c r="P1408" s="99"/>
      <c r="Q1408" s="99"/>
      <c r="R1408" s="99"/>
      <c r="S1408" s="99"/>
      <c r="T1408" s="99"/>
      <c r="U1408" s="105"/>
      <c r="V1408" s="262"/>
      <c r="W1408" s="121"/>
      <c r="X1408" s="121"/>
      <c r="Y1408" s="121"/>
      <c r="Z1408" s="121"/>
      <c r="AA1408" s="121"/>
      <c r="AB1408" s="121"/>
      <c r="AC1408" s="121"/>
      <c r="AD1408" s="121"/>
      <c r="AE1408" s="121"/>
      <c r="AF1408" s="121"/>
      <c r="AG1408" s="121"/>
      <c r="AH1408" s="121"/>
      <c r="AI1408" s="121"/>
    </row>
    <row r="1409" spans="1:35" s="115" customFormat="1" ht="14.4">
      <c r="A1409" s="187"/>
      <c r="B1409" s="190"/>
      <c r="C1409" s="190"/>
      <c r="D1409" s="69"/>
      <c r="E1409" s="69"/>
      <c r="F1409" s="149"/>
      <c r="G1409" s="146"/>
      <c r="H1409" s="98"/>
      <c r="I1409" s="99"/>
      <c r="J1409" s="99"/>
      <c r="K1409" s="99"/>
      <c r="L1409" s="99"/>
      <c r="M1409" s="99"/>
      <c r="N1409" s="99"/>
      <c r="O1409" s="99"/>
      <c r="P1409" s="99"/>
      <c r="Q1409" s="99"/>
      <c r="R1409" s="99"/>
      <c r="S1409" s="99"/>
      <c r="T1409" s="99"/>
      <c r="U1409" s="105"/>
      <c r="V1409" s="262"/>
      <c r="W1409" s="121"/>
      <c r="X1409" s="121"/>
      <c r="Y1409" s="121"/>
      <c r="Z1409" s="121"/>
      <c r="AA1409" s="121"/>
      <c r="AB1409" s="121"/>
      <c r="AC1409" s="121"/>
      <c r="AD1409" s="121"/>
      <c r="AE1409" s="121"/>
      <c r="AF1409" s="121"/>
      <c r="AG1409" s="121"/>
      <c r="AH1409" s="121"/>
      <c r="AI1409" s="121"/>
    </row>
    <row r="1410" spans="1:35" s="115" customFormat="1" ht="14.4">
      <c r="A1410" s="187"/>
      <c r="B1410" s="190"/>
      <c r="C1410" s="190"/>
      <c r="D1410" s="69"/>
      <c r="E1410" s="69"/>
      <c r="F1410" s="149"/>
      <c r="G1410" s="146"/>
      <c r="H1410" s="98"/>
      <c r="I1410" s="99"/>
      <c r="J1410" s="99"/>
      <c r="K1410" s="99"/>
      <c r="L1410" s="99"/>
      <c r="M1410" s="99"/>
      <c r="N1410" s="99"/>
      <c r="O1410" s="99"/>
      <c r="P1410" s="99"/>
      <c r="Q1410" s="99"/>
      <c r="R1410" s="99"/>
      <c r="S1410" s="99"/>
      <c r="T1410" s="99"/>
      <c r="U1410" s="105"/>
      <c r="V1410" s="262"/>
      <c r="W1410" s="121"/>
      <c r="X1410" s="121"/>
      <c r="Y1410" s="121"/>
      <c r="Z1410" s="121"/>
      <c r="AA1410" s="121"/>
      <c r="AB1410" s="121"/>
      <c r="AC1410" s="121"/>
      <c r="AD1410" s="121"/>
      <c r="AE1410" s="121"/>
      <c r="AF1410" s="121"/>
      <c r="AG1410" s="121"/>
      <c r="AH1410" s="121"/>
      <c r="AI1410" s="121"/>
    </row>
    <row r="1411" spans="1:35" s="115" customFormat="1" ht="14.4">
      <c r="A1411" s="187"/>
      <c r="B1411" s="190"/>
      <c r="C1411" s="190"/>
      <c r="D1411" s="69"/>
      <c r="E1411" s="69"/>
      <c r="F1411" s="149"/>
      <c r="G1411" s="146"/>
      <c r="H1411" s="98"/>
      <c r="I1411" s="99"/>
      <c r="J1411" s="99"/>
      <c r="K1411" s="99"/>
      <c r="L1411" s="99"/>
      <c r="M1411" s="99"/>
      <c r="N1411" s="99"/>
      <c r="O1411" s="99"/>
      <c r="P1411" s="99"/>
      <c r="Q1411" s="99"/>
      <c r="R1411" s="99"/>
      <c r="S1411" s="99"/>
      <c r="T1411" s="99"/>
      <c r="U1411" s="105"/>
      <c r="V1411" s="262"/>
      <c r="W1411" s="121"/>
      <c r="X1411" s="121"/>
      <c r="Y1411" s="121"/>
      <c r="Z1411" s="121"/>
      <c r="AA1411" s="121"/>
      <c r="AB1411" s="121"/>
      <c r="AC1411" s="121"/>
      <c r="AD1411" s="121"/>
      <c r="AE1411" s="121"/>
      <c r="AF1411" s="121"/>
      <c r="AG1411" s="121"/>
      <c r="AH1411" s="121"/>
      <c r="AI1411" s="121"/>
    </row>
    <row r="1412" spans="1:35" s="115" customFormat="1" ht="14.4">
      <c r="A1412" s="187"/>
      <c r="B1412" s="190"/>
      <c r="C1412" s="190"/>
      <c r="D1412" s="69"/>
      <c r="E1412" s="69"/>
      <c r="F1412" s="149"/>
      <c r="G1412" s="146"/>
      <c r="H1412" s="98"/>
      <c r="I1412" s="99"/>
      <c r="J1412" s="99"/>
      <c r="K1412" s="99"/>
      <c r="L1412" s="99"/>
      <c r="M1412" s="99"/>
      <c r="N1412" s="99"/>
      <c r="O1412" s="99"/>
      <c r="P1412" s="99"/>
      <c r="Q1412" s="99"/>
      <c r="R1412" s="99"/>
      <c r="S1412" s="99"/>
      <c r="T1412" s="99"/>
      <c r="U1412" s="105"/>
      <c r="V1412" s="262"/>
      <c r="W1412" s="121"/>
      <c r="X1412" s="121"/>
      <c r="Y1412" s="121"/>
      <c r="Z1412" s="121"/>
      <c r="AA1412" s="121"/>
      <c r="AB1412" s="121"/>
      <c r="AC1412" s="121"/>
      <c r="AD1412" s="121"/>
      <c r="AE1412" s="121"/>
      <c r="AF1412" s="121"/>
      <c r="AG1412" s="121"/>
      <c r="AH1412" s="121"/>
      <c r="AI1412" s="121"/>
    </row>
    <row r="1413" spans="1:35" s="115" customFormat="1" ht="14.4">
      <c r="A1413" s="187"/>
      <c r="B1413" s="190"/>
      <c r="C1413" s="190"/>
      <c r="D1413" s="69"/>
      <c r="E1413" s="69"/>
      <c r="F1413" s="149"/>
      <c r="G1413" s="146"/>
      <c r="H1413" s="98"/>
      <c r="I1413" s="99"/>
      <c r="J1413" s="99"/>
      <c r="K1413" s="99"/>
      <c r="L1413" s="99"/>
      <c r="M1413" s="99"/>
      <c r="N1413" s="99"/>
      <c r="O1413" s="99"/>
      <c r="P1413" s="99"/>
      <c r="Q1413" s="99"/>
      <c r="R1413" s="99"/>
      <c r="S1413" s="99"/>
      <c r="T1413" s="99"/>
      <c r="U1413" s="105"/>
      <c r="V1413" s="262"/>
      <c r="W1413" s="121"/>
      <c r="X1413" s="121"/>
      <c r="Y1413" s="121"/>
      <c r="Z1413" s="121"/>
      <c r="AA1413" s="121"/>
      <c r="AB1413" s="121"/>
      <c r="AC1413" s="121"/>
      <c r="AD1413" s="121"/>
      <c r="AE1413" s="121"/>
      <c r="AF1413" s="121"/>
      <c r="AG1413" s="121"/>
      <c r="AH1413" s="121"/>
      <c r="AI1413" s="121"/>
    </row>
    <row r="1414" spans="1:35" s="115" customFormat="1" ht="14.4">
      <c r="A1414" s="187"/>
      <c r="B1414" s="190"/>
      <c r="C1414" s="190"/>
      <c r="D1414" s="69"/>
      <c r="E1414" s="69"/>
      <c r="F1414" s="149"/>
      <c r="G1414" s="146"/>
      <c r="H1414" s="107"/>
      <c r="I1414" s="108"/>
      <c r="J1414" s="108"/>
      <c r="K1414" s="108"/>
      <c r="L1414" s="108"/>
      <c r="M1414" s="108"/>
      <c r="N1414" s="108"/>
      <c r="O1414" s="108"/>
      <c r="P1414" s="108"/>
      <c r="Q1414" s="108"/>
      <c r="R1414" s="108"/>
      <c r="S1414" s="108"/>
      <c r="T1414" s="108"/>
      <c r="U1414" s="105"/>
      <c r="V1414" s="262"/>
      <c r="W1414" s="121"/>
      <c r="X1414" s="121"/>
      <c r="Y1414" s="121"/>
      <c r="Z1414" s="121"/>
      <c r="AA1414" s="121"/>
      <c r="AB1414" s="121"/>
      <c r="AC1414" s="121"/>
      <c r="AD1414" s="121"/>
      <c r="AE1414" s="121"/>
      <c r="AF1414" s="121"/>
      <c r="AG1414" s="121"/>
      <c r="AH1414" s="121"/>
      <c r="AI1414" s="121"/>
    </row>
    <row r="1415" spans="1:35" s="115" customFormat="1" ht="14.4">
      <c r="A1415" s="187"/>
      <c r="B1415" s="190"/>
      <c r="C1415" s="190"/>
      <c r="D1415" s="69"/>
      <c r="E1415" s="69"/>
      <c r="F1415" s="149"/>
      <c r="G1415" s="146"/>
      <c r="H1415" s="98"/>
      <c r="I1415" s="106"/>
      <c r="J1415" s="106"/>
      <c r="K1415" s="106"/>
      <c r="L1415" s="106"/>
      <c r="M1415" s="106"/>
      <c r="N1415" s="112"/>
      <c r="O1415" s="112"/>
      <c r="P1415" s="112"/>
      <c r="Q1415" s="113"/>
      <c r="R1415" s="113"/>
      <c r="S1415" s="113"/>
      <c r="T1415" s="113"/>
      <c r="U1415" s="105"/>
      <c r="V1415" s="262"/>
      <c r="W1415" s="121"/>
      <c r="X1415" s="121"/>
      <c r="Y1415" s="121"/>
      <c r="Z1415" s="121"/>
      <c r="AA1415" s="121"/>
      <c r="AB1415" s="121"/>
      <c r="AC1415" s="121"/>
      <c r="AD1415" s="121"/>
      <c r="AE1415" s="121"/>
      <c r="AF1415" s="121"/>
      <c r="AG1415" s="121"/>
      <c r="AH1415" s="121"/>
      <c r="AI1415" s="121"/>
    </row>
    <row r="1416" spans="1:35" s="115" customFormat="1" ht="14.4">
      <c r="A1416" s="187"/>
      <c r="B1416" s="190"/>
      <c r="C1416" s="190"/>
      <c r="D1416" s="69"/>
      <c r="E1416" s="69"/>
      <c r="F1416" s="149"/>
      <c r="G1416" s="146"/>
      <c r="H1416" s="98"/>
      <c r="I1416" s="99"/>
      <c r="J1416" s="99"/>
      <c r="K1416" s="99"/>
      <c r="L1416" s="99"/>
      <c r="M1416" s="99"/>
      <c r="N1416" s="99"/>
      <c r="O1416" s="99"/>
      <c r="P1416" s="99"/>
      <c r="Q1416" s="99"/>
      <c r="R1416" s="99"/>
      <c r="S1416" s="99"/>
      <c r="T1416" s="99"/>
      <c r="U1416" s="105"/>
      <c r="V1416" s="262"/>
      <c r="W1416" s="121"/>
      <c r="X1416" s="121"/>
      <c r="Y1416" s="121"/>
      <c r="Z1416" s="121"/>
      <c r="AA1416" s="121"/>
      <c r="AB1416" s="121"/>
      <c r="AC1416" s="121"/>
      <c r="AD1416" s="121"/>
      <c r="AE1416" s="121"/>
      <c r="AF1416" s="121"/>
      <c r="AG1416" s="121"/>
      <c r="AH1416" s="121"/>
      <c r="AI1416" s="121"/>
    </row>
    <row r="1417" spans="1:35" s="115" customFormat="1" ht="14.4">
      <c r="A1417" s="187"/>
      <c r="B1417" s="190"/>
      <c r="C1417" s="190"/>
      <c r="D1417" s="69"/>
      <c r="E1417" s="69"/>
      <c r="F1417" s="149"/>
      <c r="G1417" s="146"/>
      <c r="H1417" s="98"/>
      <c r="I1417" s="99"/>
      <c r="J1417" s="99"/>
      <c r="K1417" s="99"/>
      <c r="L1417" s="99"/>
      <c r="M1417" s="99"/>
      <c r="N1417" s="99"/>
      <c r="O1417" s="99"/>
      <c r="P1417" s="99"/>
      <c r="Q1417" s="99"/>
      <c r="R1417" s="99"/>
      <c r="S1417" s="99"/>
      <c r="T1417" s="99"/>
      <c r="U1417" s="105"/>
      <c r="V1417" s="262"/>
      <c r="W1417" s="121"/>
      <c r="X1417" s="121"/>
      <c r="Y1417" s="121"/>
      <c r="Z1417" s="121"/>
      <c r="AA1417" s="121"/>
      <c r="AB1417" s="121"/>
      <c r="AC1417" s="121"/>
      <c r="AD1417" s="121"/>
      <c r="AE1417" s="121"/>
      <c r="AF1417" s="121"/>
      <c r="AG1417" s="121"/>
      <c r="AH1417" s="121"/>
      <c r="AI1417" s="121"/>
    </row>
    <row r="1418" spans="1:35" s="115" customFormat="1" ht="14.4">
      <c r="A1418" s="187"/>
      <c r="B1418" s="190"/>
      <c r="C1418" s="190"/>
      <c r="D1418" s="69"/>
      <c r="E1418" s="69"/>
      <c r="F1418" s="149"/>
      <c r="G1418" s="146"/>
      <c r="H1418" s="98"/>
      <c r="I1418" s="99"/>
      <c r="J1418" s="99"/>
      <c r="K1418" s="99"/>
      <c r="L1418" s="99"/>
      <c r="M1418" s="99"/>
      <c r="N1418" s="99"/>
      <c r="O1418" s="99"/>
      <c r="P1418" s="99"/>
      <c r="Q1418" s="99"/>
      <c r="R1418" s="99"/>
      <c r="S1418" s="99"/>
      <c r="T1418" s="99"/>
      <c r="U1418" s="105"/>
      <c r="V1418" s="262"/>
      <c r="W1418" s="121"/>
      <c r="X1418" s="121"/>
      <c r="Y1418" s="121"/>
      <c r="Z1418" s="121"/>
      <c r="AA1418" s="121"/>
      <c r="AB1418" s="121"/>
      <c r="AC1418" s="121"/>
      <c r="AD1418" s="121"/>
      <c r="AE1418" s="121"/>
      <c r="AF1418" s="121"/>
      <c r="AG1418" s="121"/>
      <c r="AH1418" s="121"/>
      <c r="AI1418" s="121"/>
    </row>
    <row r="1419" spans="1:35" s="115" customFormat="1" ht="14.4">
      <c r="A1419" s="187"/>
      <c r="B1419" s="190"/>
      <c r="C1419" s="190"/>
      <c r="D1419" s="69"/>
      <c r="E1419" s="69"/>
      <c r="F1419" s="149"/>
      <c r="G1419" s="146"/>
      <c r="H1419" s="98"/>
      <c r="I1419" s="99"/>
      <c r="J1419" s="99"/>
      <c r="K1419" s="99"/>
      <c r="L1419" s="99"/>
      <c r="M1419" s="99"/>
      <c r="N1419" s="99"/>
      <c r="O1419" s="99"/>
      <c r="P1419" s="99"/>
      <c r="Q1419" s="99"/>
      <c r="R1419" s="99"/>
      <c r="S1419" s="99"/>
      <c r="T1419" s="99"/>
      <c r="U1419" s="105"/>
      <c r="V1419" s="262"/>
      <c r="W1419" s="121"/>
      <c r="X1419" s="121"/>
      <c r="Y1419" s="121"/>
      <c r="Z1419" s="121"/>
      <c r="AA1419" s="121"/>
      <c r="AB1419" s="121"/>
      <c r="AC1419" s="121"/>
      <c r="AD1419" s="121"/>
      <c r="AE1419" s="121"/>
      <c r="AF1419" s="121"/>
      <c r="AG1419" s="121"/>
      <c r="AH1419" s="121"/>
      <c r="AI1419" s="121"/>
    </row>
    <row r="1420" spans="1:35" s="115" customFormat="1" ht="14.4">
      <c r="A1420" s="187"/>
      <c r="B1420" s="190"/>
      <c r="C1420" s="190"/>
      <c r="D1420" s="69"/>
      <c r="E1420" s="69"/>
      <c r="F1420" s="149"/>
      <c r="G1420" s="146"/>
      <c r="H1420" s="98"/>
      <c r="I1420" s="99"/>
      <c r="J1420" s="99"/>
      <c r="K1420" s="99"/>
      <c r="L1420" s="99"/>
      <c r="M1420" s="99"/>
      <c r="N1420" s="99"/>
      <c r="O1420" s="99"/>
      <c r="P1420" s="99"/>
      <c r="Q1420" s="99"/>
      <c r="R1420" s="99"/>
      <c r="S1420" s="99"/>
      <c r="T1420" s="99"/>
      <c r="U1420" s="105"/>
      <c r="V1420" s="262"/>
      <c r="W1420" s="121"/>
      <c r="X1420" s="121"/>
      <c r="Y1420" s="121"/>
      <c r="Z1420" s="121"/>
      <c r="AA1420" s="121"/>
      <c r="AB1420" s="121"/>
      <c r="AC1420" s="121"/>
      <c r="AD1420" s="121"/>
      <c r="AE1420" s="121"/>
      <c r="AF1420" s="121"/>
      <c r="AG1420" s="121"/>
      <c r="AH1420" s="121"/>
      <c r="AI1420" s="121"/>
    </row>
    <row r="1421" spans="1:35" s="115" customFormat="1" ht="14.4">
      <c r="A1421" s="187"/>
      <c r="B1421" s="190"/>
      <c r="C1421" s="190"/>
      <c r="D1421" s="69"/>
      <c r="E1421" s="69"/>
      <c r="F1421" s="149"/>
      <c r="G1421" s="146"/>
      <c r="H1421" s="98"/>
      <c r="I1421" s="99"/>
      <c r="J1421" s="99"/>
      <c r="K1421" s="99"/>
      <c r="L1421" s="99"/>
      <c r="M1421" s="99"/>
      <c r="N1421" s="99"/>
      <c r="O1421" s="99"/>
      <c r="P1421" s="99"/>
      <c r="Q1421" s="99"/>
      <c r="R1421" s="99"/>
      <c r="S1421" s="99"/>
      <c r="T1421" s="99"/>
      <c r="U1421" s="105"/>
      <c r="V1421" s="262"/>
      <c r="W1421" s="121"/>
      <c r="X1421" s="121"/>
      <c r="Y1421" s="121"/>
      <c r="Z1421" s="121"/>
      <c r="AA1421" s="121"/>
      <c r="AB1421" s="121"/>
      <c r="AC1421" s="121"/>
      <c r="AD1421" s="121"/>
      <c r="AE1421" s="121"/>
      <c r="AF1421" s="121"/>
      <c r="AG1421" s="121"/>
      <c r="AH1421" s="121"/>
      <c r="AI1421" s="121"/>
    </row>
    <row r="1422" spans="1:35" s="115" customFormat="1" ht="14.4">
      <c r="A1422" s="187"/>
      <c r="B1422" s="190"/>
      <c r="C1422" s="190"/>
      <c r="D1422" s="69"/>
      <c r="E1422" s="69"/>
      <c r="F1422" s="149"/>
      <c r="G1422" s="146"/>
      <c r="H1422" s="98"/>
      <c r="I1422" s="99"/>
      <c r="J1422" s="99"/>
      <c r="K1422" s="99"/>
      <c r="L1422" s="99"/>
      <c r="M1422" s="99"/>
      <c r="N1422" s="99"/>
      <c r="O1422" s="99"/>
      <c r="P1422" s="99"/>
      <c r="Q1422" s="99"/>
      <c r="R1422" s="99"/>
      <c r="S1422" s="99"/>
      <c r="T1422" s="99"/>
      <c r="U1422" s="105"/>
      <c r="V1422" s="262"/>
      <c r="W1422" s="121"/>
      <c r="X1422" s="121"/>
      <c r="Y1422" s="121"/>
      <c r="Z1422" s="121"/>
      <c r="AA1422" s="121"/>
      <c r="AB1422" s="121"/>
      <c r="AC1422" s="121"/>
      <c r="AD1422" s="121"/>
      <c r="AE1422" s="121"/>
      <c r="AF1422" s="121"/>
      <c r="AG1422" s="121"/>
      <c r="AH1422" s="121"/>
      <c r="AI1422" s="121"/>
    </row>
    <row r="1423" spans="1:35" s="115" customFormat="1" ht="14.4">
      <c r="A1423" s="187"/>
      <c r="B1423" s="190"/>
      <c r="C1423" s="190"/>
      <c r="D1423" s="69"/>
      <c r="E1423" s="69"/>
      <c r="F1423" s="149"/>
      <c r="G1423" s="146"/>
      <c r="H1423" s="98"/>
      <c r="I1423" s="99"/>
      <c r="J1423" s="99"/>
      <c r="K1423" s="99"/>
      <c r="L1423" s="99"/>
      <c r="M1423" s="99"/>
      <c r="N1423" s="99"/>
      <c r="O1423" s="99"/>
      <c r="P1423" s="99"/>
      <c r="Q1423" s="99"/>
      <c r="R1423" s="99"/>
      <c r="S1423" s="99"/>
      <c r="T1423" s="99"/>
      <c r="U1423" s="105"/>
      <c r="V1423" s="262"/>
      <c r="W1423" s="121"/>
      <c r="X1423" s="121"/>
      <c r="Y1423" s="121"/>
      <c r="Z1423" s="121"/>
      <c r="AA1423" s="121"/>
      <c r="AB1423" s="121"/>
      <c r="AC1423" s="121"/>
      <c r="AD1423" s="121"/>
      <c r="AE1423" s="121"/>
      <c r="AF1423" s="121"/>
      <c r="AG1423" s="121"/>
      <c r="AH1423" s="121"/>
      <c r="AI1423" s="121"/>
    </row>
    <row r="1424" spans="1:35" s="115" customFormat="1" ht="14.4">
      <c r="A1424" s="187"/>
      <c r="B1424" s="190"/>
      <c r="C1424" s="190"/>
      <c r="D1424" s="69"/>
      <c r="E1424" s="69"/>
      <c r="F1424" s="149"/>
      <c r="G1424" s="146"/>
      <c r="H1424" s="98"/>
      <c r="I1424" s="99"/>
      <c r="J1424" s="99"/>
      <c r="K1424" s="99"/>
      <c r="L1424" s="99"/>
      <c r="M1424" s="99"/>
      <c r="N1424" s="99"/>
      <c r="O1424" s="99"/>
      <c r="P1424" s="99"/>
      <c r="Q1424" s="99"/>
      <c r="R1424" s="99"/>
      <c r="S1424" s="99"/>
      <c r="T1424" s="99"/>
      <c r="U1424" s="105"/>
      <c r="V1424" s="262"/>
      <c r="W1424" s="121"/>
      <c r="X1424" s="121"/>
      <c r="Y1424" s="121"/>
      <c r="Z1424" s="121"/>
      <c r="AA1424" s="121"/>
      <c r="AB1424" s="121"/>
      <c r="AC1424" s="121"/>
      <c r="AD1424" s="121"/>
      <c r="AE1424" s="121"/>
      <c r="AF1424" s="121"/>
      <c r="AG1424" s="121"/>
      <c r="AH1424" s="121"/>
      <c r="AI1424" s="121"/>
    </row>
    <row r="1425" spans="1:35" s="115" customFormat="1" ht="14.4">
      <c r="A1425" s="187"/>
      <c r="B1425" s="190"/>
      <c r="C1425" s="190"/>
      <c r="D1425" s="69"/>
      <c r="E1425" s="69"/>
      <c r="F1425" s="149"/>
      <c r="G1425" s="146"/>
      <c r="H1425" s="107"/>
      <c r="I1425" s="108"/>
      <c r="J1425" s="108"/>
      <c r="K1425" s="108"/>
      <c r="L1425" s="108"/>
      <c r="M1425" s="108"/>
      <c r="N1425" s="108"/>
      <c r="O1425" s="108"/>
      <c r="P1425" s="108"/>
      <c r="Q1425" s="108"/>
      <c r="R1425" s="108"/>
      <c r="S1425" s="108"/>
      <c r="T1425" s="108"/>
      <c r="U1425" s="105"/>
      <c r="V1425" s="262"/>
      <c r="W1425" s="121"/>
      <c r="X1425" s="121"/>
      <c r="Y1425" s="121"/>
      <c r="Z1425" s="121"/>
      <c r="AA1425" s="121"/>
      <c r="AB1425" s="121"/>
      <c r="AC1425" s="121"/>
      <c r="AD1425" s="121"/>
      <c r="AE1425" s="121"/>
      <c r="AF1425" s="121"/>
      <c r="AG1425" s="121"/>
      <c r="AH1425" s="121"/>
      <c r="AI1425" s="121"/>
    </row>
    <row r="1426" spans="1:35" s="115" customFormat="1" ht="14.4">
      <c r="A1426" s="187"/>
      <c r="B1426" s="190"/>
      <c r="C1426" s="190"/>
      <c r="D1426" s="69"/>
      <c r="E1426" s="69"/>
      <c r="F1426" s="149"/>
      <c r="G1426" s="146"/>
      <c r="H1426" s="98"/>
      <c r="I1426" s="106"/>
      <c r="J1426" s="106"/>
      <c r="K1426" s="106"/>
      <c r="L1426" s="106"/>
      <c r="M1426" s="106"/>
      <c r="N1426" s="112"/>
      <c r="O1426" s="112"/>
      <c r="P1426" s="112"/>
      <c r="Q1426" s="235"/>
      <c r="R1426" s="235"/>
      <c r="S1426" s="235"/>
      <c r="T1426" s="113"/>
      <c r="U1426" s="105"/>
      <c r="V1426" s="262"/>
      <c r="W1426" s="121"/>
      <c r="X1426" s="121"/>
      <c r="Y1426" s="121"/>
      <c r="Z1426" s="121"/>
      <c r="AA1426" s="121"/>
      <c r="AB1426" s="121"/>
      <c r="AC1426" s="121"/>
      <c r="AD1426" s="121"/>
      <c r="AE1426" s="121"/>
      <c r="AF1426" s="121"/>
      <c r="AG1426" s="121"/>
      <c r="AH1426" s="121"/>
      <c r="AI1426" s="121"/>
    </row>
    <row r="1427" spans="1:35" s="115" customFormat="1" ht="14.4">
      <c r="A1427" s="187"/>
      <c r="B1427" s="190"/>
      <c r="C1427" s="190"/>
      <c r="D1427" s="69"/>
      <c r="E1427" s="69"/>
      <c r="F1427" s="149"/>
      <c r="G1427" s="146"/>
      <c r="H1427" s="114"/>
      <c r="I1427" s="108"/>
      <c r="J1427" s="108"/>
      <c r="K1427" s="108"/>
      <c r="L1427" s="108"/>
      <c r="M1427" s="108"/>
      <c r="N1427" s="108"/>
      <c r="O1427" s="108"/>
      <c r="P1427" s="233"/>
      <c r="Q1427" s="108"/>
      <c r="R1427" s="108"/>
      <c r="S1427" s="108"/>
      <c r="T1427" s="108"/>
      <c r="U1427" s="105"/>
      <c r="V1427" s="262"/>
      <c r="W1427" s="121"/>
      <c r="X1427" s="121"/>
      <c r="Y1427" s="121"/>
      <c r="Z1427" s="121"/>
      <c r="AA1427" s="121"/>
      <c r="AB1427" s="121"/>
      <c r="AC1427" s="121"/>
      <c r="AD1427" s="121"/>
      <c r="AE1427" s="121"/>
      <c r="AF1427" s="121"/>
      <c r="AG1427" s="121"/>
      <c r="AH1427" s="121"/>
      <c r="AI1427" s="121"/>
    </row>
    <row r="1428" spans="1:35" s="115" customFormat="1" ht="15" thickBot="1">
      <c r="A1428" s="187"/>
      <c r="B1428" s="190"/>
      <c r="C1428" s="190"/>
      <c r="D1428" s="69"/>
      <c r="E1428" s="69"/>
      <c r="F1428" s="149"/>
      <c r="G1428" s="146"/>
      <c r="H1428" s="98"/>
      <c r="I1428" s="218"/>
      <c r="J1428" s="218"/>
      <c r="K1428" s="218"/>
      <c r="L1428" s="218"/>
      <c r="M1428" s="218"/>
      <c r="N1428" s="96"/>
      <c r="O1428" s="96"/>
      <c r="P1428" s="96"/>
      <c r="Q1428" s="212"/>
      <c r="R1428" s="212"/>
      <c r="S1428" s="212"/>
      <c r="T1428" s="212"/>
      <c r="U1428" s="105"/>
      <c r="V1428" s="262"/>
      <c r="W1428" s="121"/>
      <c r="X1428" s="121"/>
      <c r="Y1428" s="121"/>
      <c r="Z1428" s="121"/>
      <c r="AA1428" s="121"/>
      <c r="AB1428" s="121"/>
      <c r="AC1428" s="121"/>
      <c r="AD1428" s="121"/>
      <c r="AE1428" s="121"/>
      <c r="AF1428" s="121"/>
      <c r="AG1428" s="121"/>
      <c r="AH1428" s="121"/>
      <c r="AI1428" s="121"/>
    </row>
    <row r="1429" spans="1:35" s="115" customFormat="1" ht="23.4" thickBot="1">
      <c r="A1429" s="187"/>
      <c r="B1429" s="190"/>
      <c r="C1429" s="190"/>
      <c r="D1429" s="69"/>
      <c r="E1429" s="69"/>
      <c r="F1429" s="149"/>
      <c r="G1429" s="146"/>
      <c r="H1429" s="686"/>
      <c r="I1429" s="687"/>
      <c r="J1429" s="687"/>
      <c r="K1429" s="687"/>
      <c r="L1429" s="687"/>
      <c r="M1429" s="687"/>
      <c r="N1429" s="687"/>
      <c r="O1429" s="687"/>
      <c r="P1429" s="687"/>
      <c r="Q1429" s="687"/>
      <c r="R1429" s="687"/>
      <c r="S1429" s="687"/>
      <c r="T1429" s="688"/>
      <c r="U1429" s="105"/>
      <c r="V1429" s="262"/>
      <c r="W1429" s="121"/>
      <c r="X1429" s="121"/>
      <c r="Y1429" s="121"/>
      <c r="Z1429" s="121"/>
      <c r="AA1429" s="121"/>
      <c r="AB1429" s="121"/>
      <c r="AC1429" s="121"/>
      <c r="AD1429" s="121"/>
      <c r="AE1429" s="121"/>
      <c r="AF1429" s="121"/>
      <c r="AG1429" s="121"/>
      <c r="AH1429" s="121"/>
      <c r="AI1429" s="121"/>
    </row>
    <row r="1430" spans="1:35" s="115" customFormat="1" ht="22.8">
      <c r="A1430" s="187"/>
      <c r="B1430" s="190"/>
      <c r="C1430" s="190"/>
      <c r="D1430" s="69"/>
      <c r="E1430" s="69"/>
      <c r="F1430" s="149"/>
      <c r="G1430" s="146"/>
      <c r="H1430" s="225"/>
      <c r="I1430" s="225"/>
      <c r="J1430" s="225"/>
      <c r="K1430" s="225"/>
      <c r="L1430" s="225"/>
      <c r="M1430" s="225"/>
      <c r="N1430" s="225"/>
      <c r="O1430" s="225"/>
      <c r="P1430" s="225"/>
      <c r="Q1430" s="225"/>
      <c r="R1430" s="225"/>
      <c r="S1430" s="225"/>
      <c r="T1430" s="225"/>
      <c r="U1430" s="105"/>
      <c r="V1430" s="262"/>
      <c r="W1430" s="121"/>
      <c r="X1430" s="121"/>
      <c r="Y1430" s="121"/>
      <c r="Z1430" s="121"/>
      <c r="AA1430" s="121"/>
      <c r="AB1430" s="121"/>
      <c r="AC1430" s="121"/>
      <c r="AD1430" s="121"/>
      <c r="AE1430" s="121"/>
      <c r="AF1430" s="121"/>
      <c r="AG1430" s="121"/>
      <c r="AH1430" s="121"/>
      <c r="AI1430" s="121"/>
    </row>
    <row r="1431" spans="1:35" s="115" customFormat="1" ht="14.4">
      <c r="A1431" s="187"/>
      <c r="B1431" s="190"/>
      <c r="C1431" s="190"/>
      <c r="D1431" s="69"/>
      <c r="E1431" s="69"/>
      <c r="F1431" s="149"/>
      <c r="G1431" s="146"/>
      <c r="H1431" s="98"/>
      <c r="I1431" s="99"/>
      <c r="J1431" s="99"/>
      <c r="K1431" s="99"/>
      <c r="L1431" s="99"/>
      <c r="M1431" s="99"/>
      <c r="N1431" s="99"/>
      <c r="O1431" s="99"/>
      <c r="P1431" s="99"/>
      <c r="Q1431" s="99"/>
      <c r="R1431" s="99"/>
      <c r="S1431" s="99"/>
      <c r="T1431" s="99"/>
      <c r="U1431" s="105"/>
      <c r="V1431" s="262"/>
      <c r="W1431" s="121"/>
      <c r="X1431" s="121"/>
      <c r="Y1431" s="121"/>
      <c r="Z1431" s="121"/>
      <c r="AA1431" s="121"/>
      <c r="AB1431" s="121"/>
      <c r="AC1431" s="121"/>
      <c r="AD1431" s="121"/>
      <c r="AE1431" s="121"/>
      <c r="AF1431" s="121"/>
      <c r="AG1431" s="121"/>
      <c r="AH1431" s="121"/>
      <c r="AI1431" s="121"/>
    </row>
    <row r="1432" spans="1:35" s="115" customFormat="1" ht="14.4">
      <c r="A1432" s="187"/>
      <c r="B1432" s="190"/>
      <c r="C1432" s="190"/>
      <c r="D1432" s="69"/>
      <c r="E1432" s="69"/>
      <c r="F1432" s="149"/>
      <c r="G1432" s="146"/>
      <c r="H1432" s="98"/>
      <c r="I1432" s="99"/>
      <c r="J1432" s="99"/>
      <c r="K1432" s="99"/>
      <c r="L1432" s="99"/>
      <c r="M1432" s="99"/>
      <c r="N1432" s="99"/>
      <c r="O1432" s="99"/>
      <c r="P1432" s="99"/>
      <c r="Q1432" s="99"/>
      <c r="R1432" s="99"/>
      <c r="S1432" s="99"/>
      <c r="T1432" s="99"/>
      <c r="U1432" s="105"/>
      <c r="V1432" s="262"/>
      <c r="W1432" s="121"/>
      <c r="X1432" s="121"/>
      <c r="Y1432" s="121"/>
      <c r="Z1432" s="121"/>
      <c r="AA1432" s="121"/>
      <c r="AB1432" s="121"/>
      <c r="AC1432" s="121"/>
      <c r="AD1432" s="121"/>
      <c r="AE1432" s="121"/>
      <c r="AF1432" s="121"/>
      <c r="AG1432" s="121"/>
      <c r="AH1432" s="121"/>
      <c r="AI1432" s="121"/>
    </row>
    <row r="1433" spans="1:35" s="115" customFormat="1" ht="14.4">
      <c r="A1433" s="187"/>
      <c r="B1433" s="190"/>
      <c r="C1433" s="190"/>
      <c r="D1433" s="69"/>
      <c r="E1433" s="69"/>
      <c r="F1433" s="149"/>
      <c r="G1433" s="146"/>
      <c r="H1433" s="98"/>
      <c r="I1433" s="99"/>
      <c r="J1433" s="99"/>
      <c r="K1433" s="99"/>
      <c r="L1433" s="99"/>
      <c r="M1433" s="99"/>
      <c r="N1433" s="99"/>
      <c r="O1433" s="99"/>
      <c r="P1433" s="99"/>
      <c r="Q1433" s="99"/>
      <c r="R1433" s="99"/>
      <c r="S1433" s="99"/>
      <c r="T1433" s="99"/>
      <c r="U1433" s="105"/>
      <c r="V1433" s="262"/>
      <c r="W1433" s="121"/>
      <c r="X1433" s="121"/>
      <c r="Y1433" s="121"/>
      <c r="Z1433" s="121"/>
      <c r="AA1433" s="121"/>
      <c r="AB1433" s="121"/>
      <c r="AC1433" s="121"/>
      <c r="AD1433" s="121"/>
      <c r="AE1433" s="121"/>
      <c r="AF1433" s="121"/>
      <c r="AG1433" s="121"/>
      <c r="AH1433" s="121"/>
      <c r="AI1433" s="121"/>
    </row>
    <row r="1434" spans="1:35" s="115" customFormat="1" ht="14.4">
      <c r="A1434" s="187"/>
      <c r="B1434" s="190"/>
      <c r="C1434" s="190"/>
      <c r="D1434" s="69"/>
      <c r="E1434" s="69"/>
      <c r="F1434" s="149"/>
      <c r="G1434" s="146"/>
      <c r="H1434" s="98"/>
      <c r="I1434" s="99"/>
      <c r="J1434" s="99"/>
      <c r="K1434" s="99"/>
      <c r="L1434" s="99"/>
      <c r="M1434" s="99"/>
      <c r="N1434" s="99"/>
      <c r="O1434" s="99"/>
      <c r="P1434" s="99"/>
      <c r="Q1434" s="99"/>
      <c r="R1434" s="99"/>
      <c r="S1434" s="99"/>
      <c r="T1434" s="99"/>
      <c r="U1434" s="105"/>
      <c r="V1434" s="262"/>
      <c r="W1434" s="121"/>
      <c r="X1434" s="121"/>
      <c r="Y1434" s="121"/>
      <c r="Z1434" s="121"/>
      <c r="AA1434" s="121"/>
      <c r="AB1434" s="121"/>
      <c r="AC1434" s="121"/>
      <c r="AD1434" s="121"/>
      <c r="AE1434" s="121"/>
      <c r="AF1434" s="121"/>
      <c r="AG1434" s="121"/>
      <c r="AH1434" s="121"/>
      <c r="AI1434" s="121"/>
    </row>
    <row r="1435" spans="1:35" s="115" customFormat="1" ht="14.4">
      <c r="A1435" s="187"/>
      <c r="B1435" s="190"/>
      <c r="C1435" s="190"/>
      <c r="D1435" s="69"/>
      <c r="E1435" s="69"/>
      <c r="F1435" s="149"/>
      <c r="G1435" s="146"/>
      <c r="H1435" s="98"/>
      <c r="I1435" s="99"/>
      <c r="J1435" s="99"/>
      <c r="K1435" s="99"/>
      <c r="L1435" s="99"/>
      <c r="M1435" s="99"/>
      <c r="N1435" s="99"/>
      <c r="O1435" s="99"/>
      <c r="P1435" s="99"/>
      <c r="Q1435" s="99"/>
      <c r="R1435" s="99"/>
      <c r="S1435" s="99"/>
      <c r="T1435" s="99"/>
      <c r="U1435" s="105"/>
      <c r="V1435" s="262"/>
      <c r="W1435" s="121"/>
      <c r="X1435" s="121"/>
      <c r="Y1435" s="121"/>
      <c r="Z1435" s="121"/>
      <c r="AA1435" s="121"/>
      <c r="AB1435" s="121"/>
      <c r="AC1435" s="121"/>
      <c r="AD1435" s="121"/>
      <c r="AE1435" s="121"/>
      <c r="AF1435" s="121"/>
      <c r="AG1435" s="121"/>
      <c r="AH1435" s="121"/>
      <c r="AI1435" s="121"/>
    </row>
    <row r="1436" spans="1:35" s="115" customFormat="1" ht="14.4">
      <c r="A1436" s="187"/>
      <c r="B1436" s="190"/>
      <c r="C1436" s="190"/>
      <c r="D1436" s="69"/>
      <c r="E1436" s="69"/>
      <c r="F1436" s="149"/>
      <c r="G1436" s="146"/>
      <c r="H1436" s="98"/>
      <c r="I1436" s="99"/>
      <c r="J1436" s="99"/>
      <c r="K1436" s="99"/>
      <c r="L1436" s="99"/>
      <c r="M1436" s="99"/>
      <c r="N1436" s="99"/>
      <c r="O1436" s="99"/>
      <c r="P1436" s="99"/>
      <c r="Q1436" s="99"/>
      <c r="R1436" s="99"/>
      <c r="S1436" s="99"/>
      <c r="T1436" s="99"/>
      <c r="U1436" s="105"/>
      <c r="V1436" s="262"/>
      <c r="W1436" s="121"/>
      <c r="X1436" s="121"/>
      <c r="Y1436" s="121"/>
      <c r="Z1436" s="121"/>
      <c r="AA1436" s="121"/>
      <c r="AB1436" s="121"/>
      <c r="AC1436" s="121"/>
      <c r="AD1436" s="121"/>
      <c r="AE1436" s="121"/>
      <c r="AF1436" s="121"/>
      <c r="AG1436" s="121"/>
      <c r="AH1436" s="121"/>
      <c r="AI1436" s="121"/>
    </row>
    <row r="1437" spans="1:35" s="115" customFormat="1" ht="14.4">
      <c r="A1437" s="187"/>
      <c r="B1437" s="190"/>
      <c r="C1437" s="190"/>
      <c r="D1437" s="69"/>
      <c r="E1437" s="69"/>
      <c r="F1437" s="149"/>
      <c r="G1437" s="146"/>
      <c r="H1437" s="107"/>
      <c r="I1437" s="108"/>
      <c r="J1437" s="108"/>
      <c r="K1437" s="108"/>
      <c r="L1437" s="108"/>
      <c r="M1437" s="108"/>
      <c r="N1437" s="109"/>
      <c r="O1437" s="109"/>
      <c r="P1437" s="109"/>
      <c r="Q1437" s="109"/>
      <c r="R1437" s="109"/>
      <c r="S1437" s="109"/>
      <c r="T1437" s="109"/>
      <c r="U1437" s="105"/>
      <c r="V1437" s="262"/>
      <c r="W1437" s="121"/>
      <c r="X1437" s="121"/>
      <c r="Y1437" s="121"/>
      <c r="Z1437" s="121"/>
      <c r="AA1437" s="121"/>
      <c r="AB1437" s="121"/>
      <c r="AC1437" s="121"/>
      <c r="AD1437" s="121"/>
      <c r="AE1437" s="121"/>
      <c r="AF1437" s="121"/>
      <c r="AG1437" s="121"/>
      <c r="AH1437" s="121"/>
      <c r="AI1437" s="121"/>
    </row>
    <row r="1438" spans="1:35" s="115" customFormat="1" ht="14.4">
      <c r="A1438" s="187"/>
      <c r="B1438" s="190"/>
      <c r="C1438" s="190"/>
      <c r="D1438" s="69"/>
      <c r="E1438" s="69"/>
      <c r="F1438" s="149"/>
      <c r="G1438" s="146"/>
      <c r="H1438" s="98"/>
      <c r="I1438" s="106"/>
      <c r="J1438" s="106"/>
      <c r="K1438" s="106"/>
      <c r="L1438" s="106"/>
      <c r="M1438" s="106"/>
      <c r="N1438" s="112"/>
      <c r="O1438" s="112"/>
      <c r="P1438" s="112"/>
      <c r="Q1438" s="113"/>
      <c r="R1438" s="113"/>
      <c r="S1438" s="113"/>
      <c r="T1438" s="113"/>
      <c r="U1438" s="105"/>
      <c r="V1438" s="262"/>
      <c r="W1438" s="121"/>
      <c r="X1438" s="121"/>
      <c r="Y1438" s="121"/>
      <c r="Z1438" s="121"/>
      <c r="AA1438" s="121"/>
      <c r="AB1438" s="121"/>
      <c r="AC1438" s="121"/>
      <c r="AD1438" s="121"/>
      <c r="AE1438" s="121"/>
      <c r="AF1438" s="121"/>
      <c r="AG1438" s="121"/>
      <c r="AH1438" s="121"/>
      <c r="AI1438" s="121"/>
    </row>
    <row r="1439" spans="1:35" s="115" customFormat="1" ht="14.4">
      <c r="A1439" s="187"/>
      <c r="B1439" s="190"/>
      <c r="C1439" s="190"/>
      <c r="D1439" s="69"/>
      <c r="E1439" s="69"/>
      <c r="F1439" s="149"/>
      <c r="G1439" s="146"/>
      <c r="H1439" s="98"/>
      <c r="I1439" s="99"/>
      <c r="J1439" s="99"/>
      <c r="K1439" s="99"/>
      <c r="L1439" s="99"/>
      <c r="M1439" s="99"/>
      <c r="N1439" s="99"/>
      <c r="O1439" s="99"/>
      <c r="P1439" s="99"/>
      <c r="Q1439" s="99"/>
      <c r="R1439" s="99"/>
      <c r="S1439" s="99"/>
      <c r="T1439" s="99"/>
      <c r="U1439" s="105"/>
      <c r="V1439" s="262"/>
      <c r="W1439" s="121"/>
      <c r="X1439" s="121"/>
      <c r="Y1439" s="121"/>
      <c r="Z1439" s="121"/>
      <c r="AA1439" s="121"/>
      <c r="AB1439" s="121"/>
      <c r="AC1439" s="121"/>
      <c r="AD1439" s="121"/>
      <c r="AE1439" s="121"/>
      <c r="AF1439" s="121"/>
      <c r="AG1439" s="121"/>
      <c r="AH1439" s="121"/>
      <c r="AI1439" s="121"/>
    </row>
    <row r="1440" spans="1:35" s="115" customFormat="1" ht="14.4">
      <c r="A1440" s="187"/>
      <c r="B1440" s="190"/>
      <c r="C1440" s="190"/>
      <c r="D1440" s="69"/>
      <c r="E1440" s="69"/>
      <c r="F1440" s="149"/>
      <c r="G1440" s="146"/>
      <c r="H1440" s="98"/>
      <c r="I1440" s="99"/>
      <c r="J1440" s="99"/>
      <c r="K1440" s="99"/>
      <c r="L1440" s="99"/>
      <c r="M1440" s="99"/>
      <c r="N1440" s="99"/>
      <c r="O1440" s="99"/>
      <c r="P1440" s="99"/>
      <c r="Q1440" s="99"/>
      <c r="R1440" s="99"/>
      <c r="S1440" s="99"/>
      <c r="T1440" s="99"/>
      <c r="U1440" s="105"/>
      <c r="V1440" s="262"/>
      <c r="W1440" s="121"/>
      <c r="X1440" s="121"/>
      <c r="Y1440" s="121"/>
      <c r="Z1440" s="121"/>
      <c r="AA1440" s="121"/>
      <c r="AB1440" s="121"/>
      <c r="AC1440" s="121"/>
      <c r="AD1440" s="121"/>
      <c r="AE1440" s="121"/>
      <c r="AF1440" s="121"/>
      <c r="AG1440" s="121"/>
      <c r="AH1440" s="121"/>
      <c r="AI1440" s="121"/>
    </row>
    <row r="1441" spans="1:35" s="115" customFormat="1" ht="14.4">
      <c r="A1441" s="187"/>
      <c r="B1441" s="190"/>
      <c r="C1441" s="190"/>
      <c r="D1441" s="69"/>
      <c r="E1441" s="69"/>
      <c r="F1441" s="149"/>
      <c r="G1441" s="146"/>
      <c r="H1441" s="98"/>
      <c r="I1441" s="99"/>
      <c r="J1441" s="99"/>
      <c r="K1441" s="99"/>
      <c r="L1441" s="99"/>
      <c r="M1441" s="99"/>
      <c r="N1441" s="99"/>
      <c r="O1441" s="99"/>
      <c r="P1441" s="99"/>
      <c r="Q1441" s="99"/>
      <c r="R1441" s="99"/>
      <c r="S1441" s="99"/>
      <c r="T1441" s="99"/>
      <c r="U1441" s="105"/>
      <c r="V1441" s="262"/>
      <c r="W1441" s="121"/>
      <c r="X1441" s="121"/>
      <c r="Y1441" s="121"/>
      <c r="Z1441" s="121"/>
      <c r="AA1441" s="121"/>
      <c r="AB1441" s="121"/>
      <c r="AC1441" s="121"/>
      <c r="AD1441" s="121"/>
      <c r="AE1441" s="121"/>
      <c r="AF1441" s="121"/>
      <c r="AG1441" s="121"/>
      <c r="AH1441" s="121"/>
      <c r="AI1441" s="121"/>
    </row>
    <row r="1442" spans="1:35" s="115" customFormat="1" ht="14.4">
      <c r="A1442" s="187"/>
      <c r="B1442" s="190"/>
      <c r="C1442" s="190"/>
      <c r="D1442" s="69"/>
      <c r="E1442" s="69"/>
      <c r="F1442" s="149"/>
      <c r="G1442" s="146"/>
      <c r="H1442" s="98"/>
      <c r="I1442" s="99"/>
      <c r="J1442" s="99"/>
      <c r="K1442" s="99"/>
      <c r="L1442" s="99"/>
      <c r="M1442" s="99"/>
      <c r="N1442" s="99"/>
      <c r="O1442" s="99"/>
      <c r="P1442" s="99"/>
      <c r="Q1442" s="99"/>
      <c r="R1442" s="99"/>
      <c r="S1442" s="99"/>
      <c r="T1442" s="99"/>
      <c r="U1442" s="105"/>
      <c r="V1442" s="262"/>
      <c r="W1442" s="121"/>
      <c r="X1442" s="121"/>
      <c r="Y1442" s="121"/>
      <c r="Z1442" s="121"/>
      <c r="AA1442" s="121"/>
      <c r="AB1442" s="121"/>
      <c r="AC1442" s="121"/>
      <c r="AD1442" s="121"/>
      <c r="AE1442" s="121"/>
      <c r="AF1442" s="121"/>
      <c r="AG1442" s="121"/>
      <c r="AH1442" s="121"/>
      <c r="AI1442" s="121"/>
    </row>
    <row r="1443" spans="1:35" s="115" customFormat="1" ht="14.4">
      <c r="A1443" s="187"/>
      <c r="B1443" s="190"/>
      <c r="C1443" s="190"/>
      <c r="D1443" s="69"/>
      <c r="E1443" s="69"/>
      <c r="F1443" s="149"/>
      <c r="G1443" s="146"/>
      <c r="H1443" s="98"/>
      <c r="I1443" s="99"/>
      <c r="J1443" s="99"/>
      <c r="K1443" s="99"/>
      <c r="L1443" s="99"/>
      <c r="M1443" s="99"/>
      <c r="N1443" s="99"/>
      <c r="O1443" s="99"/>
      <c r="P1443" s="99"/>
      <c r="Q1443" s="99"/>
      <c r="R1443" s="99"/>
      <c r="S1443" s="99"/>
      <c r="T1443" s="99"/>
      <c r="U1443" s="105"/>
      <c r="V1443" s="262"/>
      <c r="W1443" s="121"/>
      <c r="X1443" s="121"/>
      <c r="Y1443" s="121"/>
      <c r="Z1443" s="121"/>
      <c r="AA1443" s="121"/>
      <c r="AB1443" s="121"/>
      <c r="AC1443" s="121"/>
      <c r="AD1443" s="121"/>
      <c r="AE1443" s="121"/>
      <c r="AF1443" s="121"/>
      <c r="AG1443" s="121"/>
      <c r="AH1443" s="121"/>
      <c r="AI1443" s="121"/>
    </row>
    <row r="1444" spans="1:35" s="115" customFormat="1" ht="14.4">
      <c r="A1444" s="187"/>
      <c r="B1444" s="190"/>
      <c r="C1444" s="190"/>
      <c r="D1444" s="69"/>
      <c r="E1444" s="69"/>
      <c r="F1444" s="149"/>
      <c r="G1444" s="146"/>
      <c r="H1444" s="98"/>
      <c r="I1444" s="99"/>
      <c r="J1444" s="99"/>
      <c r="K1444" s="99"/>
      <c r="L1444" s="99"/>
      <c r="M1444" s="99"/>
      <c r="N1444" s="99"/>
      <c r="O1444" s="99"/>
      <c r="P1444" s="99"/>
      <c r="Q1444" s="99"/>
      <c r="R1444" s="99"/>
      <c r="S1444" s="99"/>
      <c r="T1444" s="99"/>
      <c r="U1444" s="105"/>
      <c r="V1444" s="262"/>
      <c r="W1444" s="121"/>
      <c r="X1444" s="121"/>
      <c r="Y1444" s="121"/>
      <c r="Z1444" s="121"/>
      <c r="AA1444" s="121"/>
      <c r="AB1444" s="121"/>
      <c r="AC1444" s="121"/>
      <c r="AD1444" s="121"/>
      <c r="AE1444" s="121"/>
      <c r="AF1444" s="121"/>
      <c r="AG1444" s="121"/>
      <c r="AH1444" s="121"/>
      <c r="AI1444" s="121"/>
    </row>
    <row r="1445" spans="1:35" s="115" customFormat="1" ht="14.4">
      <c r="A1445" s="187"/>
      <c r="B1445" s="190"/>
      <c r="C1445" s="190"/>
      <c r="D1445" s="69"/>
      <c r="E1445" s="69"/>
      <c r="F1445" s="149"/>
      <c r="G1445" s="146"/>
      <c r="H1445" s="98"/>
      <c r="I1445" s="99"/>
      <c r="J1445" s="99"/>
      <c r="K1445" s="99"/>
      <c r="L1445" s="99"/>
      <c r="M1445" s="99"/>
      <c r="N1445" s="99"/>
      <c r="O1445" s="99"/>
      <c r="P1445" s="99"/>
      <c r="Q1445" s="99"/>
      <c r="R1445" s="99"/>
      <c r="S1445" s="99"/>
      <c r="T1445" s="99"/>
      <c r="U1445" s="105"/>
      <c r="V1445" s="262"/>
      <c r="W1445" s="121"/>
      <c r="X1445" s="121"/>
      <c r="Y1445" s="121"/>
      <c r="Z1445" s="121"/>
      <c r="AA1445" s="121"/>
      <c r="AB1445" s="121"/>
      <c r="AC1445" s="121"/>
      <c r="AD1445" s="121"/>
      <c r="AE1445" s="121"/>
      <c r="AF1445" s="121"/>
      <c r="AG1445" s="121"/>
      <c r="AH1445" s="121"/>
      <c r="AI1445" s="121"/>
    </row>
    <row r="1446" spans="1:35" s="115" customFormat="1" ht="14.4">
      <c r="A1446" s="187"/>
      <c r="B1446" s="190"/>
      <c r="C1446" s="190"/>
      <c r="D1446" s="69"/>
      <c r="E1446" s="69"/>
      <c r="F1446" s="149"/>
      <c r="G1446" s="146"/>
      <c r="H1446" s="107"/>
      <c r="I1446" s="108"/>
      <c r="J1446" s="108"/>
      <c r="K1446" s="108"/>
      <c r="L1446" s="108"/>
      <c r="M1446" s="108"/>
      <c r="N1446" s="108"/>
      <c r="O1446" s="108"/>
      <c r="P1446" s="108"/>
      <c r="Q1446" s="108"/>
      <c r="R1446" s="108"/>
      <c r="S1446" s="108"/>
      <c r="T1446" s="108"/>
      <c r="U1446" s="105"/>
      <c r="V1446" s="262"/>
      <c r="W1446" s="121"/>
      <c r="X1446" s="121"/>
      <c r="Y1446" s="121"/>
      <c r="Z1446" s="121"/>
      <c r="AA1446" s="121"/>
      <c r="AB1446" s="121"/>
      <c r="AC1446" s="121"/>
      <c r="AD1446" s="121"/>
      <c r="AE1446" s="121"/>
      <c r="AF1446" s="121"/>
      <c r="AG1446" s="121"/>
      <c r="AH1446" s="121"/>
      <c r="AI1446" s="121"/>
    </row>
    <row r="1447" spans="1:35" s="115" customFormat="1" ht="14.4">
      <c r="A1447" s="187"/>
      <c r="B1447" s="190"/>
      <c r="C1447" s="190"/>
      <c r="D1447" s="69"/>
      <c r="E1447" s="69"/>
      <c r="F1447" s="149"/>
      <c r="G1447" s="146"/>
      <c r="H1447" s="98"/>
      <c r="I1447" s="106"/>
      <c r="J1447" s="106"/>
      <c r="K1447" s="106"/>
      <c r="L1447" s="106"/>
      <c r="M1447" s="106"/>
      <c r="N1447" s="112"/>
      <c r="O1447" s="112"/>
      <c r="P1447" s="112"/>
      <c r="Q1447" s="113"/>
      <c r="R1447" s="113"/>
      <c r="S1447" s="113"/>
      <c r="T1447" s="113"/>
      <c r="U1447" s="105"/>
      <c r="V1447" s="262"/>
      <c r="W1447" s="121"/>
      <c r="X1447" s="121"/>
      <c r="Y1447" s="121"/>
      <c r="Z1447" s="121"/>
      <c r="AA1447" s="121"/>
      <c r="AB1447" s="121"/>
      <c r="AC1447" s="121"/>
      <c r="AD1447" s="121"/>
      <c r="AE1447" s="121"/>
      <c r="AF1447" s="121"/>
      <c r="AG1447" s="121"/>
      <c r="AH1447" s="121"/>
      <c r="AI1447" s="121"/>
    </row>
    <row r="1448" spans="1:35" s="115" customFormat="1" ht="14.4">
      <c r="A1448" s="187"/>
      <c r="B1448" s="190"/>
      <c r="C1448" s="190"/>
      <c r="D1448" s="69"/>
      <c r="E1448" s="69"/>
      <c r="F1448" s="149"/>
      <c r="G1448" s="146"/>
      <c r="H1448" s="98"/>
      <c r="I1448" s="99"/>
      <c r="J1448" s="99"/>
      <c r="K1448" s="99"/>
      <c r="L1448" s="99"/>
      <c r="M1448" s="99"/>
      <c r="N1448" s="99"/>
      <c r="O1448" s="99"/>
      <c r="P1448" s="99"/>
      <c r="Q1448" s="99"/>
      <c r="R1448" s="99"/>
      <c r="S1448" s="99"/>
      <c r="T1448" s="99"/>
      <c r="U1448" s="105"/>
      <c r="V1448" s="262"/>
      <c r="W1448" s="121"/>
      <c r="X1448" s="121"/>
      <c r="Y1448" s="121"/>
      <c r="Z1448" s="121"/>
      <c r="AA1448" s="121"/>
      <c r="AB1448" s="121"/>
      <c r="AC1448" s="121"/>
      <c r="AD1448" s="121"/>
      <c r="AE1448" s="121"/>
      <c r="AF1448" s="121"/>
      <c r="AG1448" s="121"/>
      <c r="AH1448" s="121"/>
      <c r="AI1448" s="121"/>
    </row>
    <row r="1449" spans="1:35" s="115" customFormat="1" ht="14.4">
      <c r="A1449" s="187"/>
      <c r="B1449" s="190"/>
      <c r="C1449" s="190"/>
      <c r="D1449" s="69"/>
      <c r="E1449" s="69"/>
      <c r="F1449" s="149"/>
      <c r="G1449" s="146"/>
      <c r="H1449" s="98"/>
      <c r="I1449" s="99"/>
      <c r="J1449" s="99"/>
      <c r="K1449" s="99"/>
      <c r="L1449" s="99"/>
      <c r="M1449" s="99"/>
      <c r="N1449" s="99"/>
      <c r="O1449" s="99"/>
      <c r="P1449" s="99"/>
      <c r="Q1449" s="99"/>
      <c r="R1449" s="99"/>
      <c r="S1449" s="99"/>
      <c r="T1449" s="99"/>
      <c r="U1449" s="105"/>
      <c r="V1449" s="262"/>
      <c r="W1449" s="121"/>
      <c r="X1449" s="121"/>
      <c r="Y1449" s="121"/>
      <c r="Z1449" s="121"/>
      <c r="AA1449" s="121"/>
      <c r="AB1449" s="121"/>
      <c r="AC1449" s="121"/>
      <c r="AD1449" s="121"/>
      <c r="AE1449" s="121"/>
      <c r="AF1449" s="121"/>
      <c r="AG1449" s="121"/>
      <c r="AH1449" s="121"/>
      <c r="AI1449" s="121"/>
    </row>
    <row r="1450" spans="1:35" s="115" customFormat="1" ht="14.4">
      <c r="A1450" s="187"/>
      <c r="B1450" s="190"/>
      <c r="C1450" s="190"/>
      <c r="D1450" s="69"/>
      <c r="E1450" s="69"/>
      <c r="F1450" s="149"/>
      <c r="G1450" s="146"/>
      <c r="H1450" s="98"/>
      <c r="I1450" s="99"/>
      <c r="J1450" s="99"/>
      <c r="K1450" s="99"/>
      <c r="L1450" s="99"/>
      <c r="M1450" s="99"/>
      <c r="N1450" s="99"/>
      <c r="O1450" s="99"/>
      <c r="P1450" s="99"/>
      <c r="Q1450" s="99"/>
      <c r="R1450" s="99"/>
      <c r="S1450" s="99"/>
      <c r="T1450" s="99"/>
      <c r="U1450" s="105"/>
      <c r="V1450" s="262"/>
      <c r="W1450" s="121"/>
      <c r="X1450" s="121"/>
      <c r="Y1450" s="121"/>
      <c r="Z1450" s="121"/>
      <c r="AA1450" s="121"/>
      <c r="AB1450" s="121"/>
      <c r="AC1450" s="121"/>
      <c r="AD1450" s="121"/>
      <c r="AE1450" s="121"/>
      <c r="AF1450" s="121"/>
      <c r="AG1450" s="121"/>
      <c r="AH1450" s="121"/>
      <c r="AI1450" s="121"/>
    </row>
    <row r="1451" spans="1:35" s="115" customFormat="1" ht="14.4">
      <c r="A1451" s="187"/>
      <c r="B1451" s="190"/>
      <c r="C1451" s="190"/>
      <c r="D1451" s="69"/>
      <c r="E1451" s="69"/>
      <c r="F1451" s="149"/>
      <c r="G1451" s="146"/>
      <c r="H1451" s="98"/>
      <c r="I1451" s="99"/>
      <c r="J1451" s="99"/>
      <c r="K1451" s="99"/>
      <c r="L1451" s="99"/>
      <c r="M1451" s="99"/>
      <c r="N1451" s="99"/>
      <c r="O1451" s="99"/>
      <c r="P1451" s="99"/>
      <c r="Q1451" s="99"/>
      <c r="R1451" s="99"/>
      <c r="S1451" s="99"/>
      <c r="T1451" s="99"/>
      <c r="U1451" s="105"/>
      <c r="V1451" s="262"/>
      <c r="W1451" s="121"/>
      <c r="X1451" s="121"/>
      <c r="Y1451" s="121"/>
      <c r="Z1451" s="121"/>
      <c r="AA1451" s="121"/>
      <c r="AB1451" s="121"/>
      <c r="AC1451" s="121"/>
      <c r="AD1451" s="121"/>
      <c r="AE1451" s="121"/>
      <c r="AF1451" s="121"/>
      <c r="AG1451" s="121"/>
      <c r="AH1451" s="121"/>
      <c r="AI1451" s="121"/>
    </row>
    <row r="1452" spans="1:35" s="115" customFormat="1" ht="14.4">
      <c r="A1452" s="187"/>
      <c r="B1452" s="190"/>
      <c r="C1452" s="190"/>
      <c r="D1452" s="69"/>
      <c r="E1452" s="69"/>
      <c r="F1452" s="149"/>
      <c r="G1452" s="146"/>
      <c r="H1452" s="98"/>
      <c r="I1452" s="99"/>
      <c r="J1452" s="99"/>
      <c r="K1452" s="99"/>
      <c r="L1452" s="99"/>
      <c r="M1452" s="99"/>
      <c r="N1452" s="99"/>
      <c r="O1452" s="99"/>
      <c r="P1452" s="99"/>
      <c r="Q1452" s="99"/>
      <c r="R1452" s="99"/>
      <c r="S1452" s="99"/>
      <c r="T1452" s="99"/>
      <c r="U1452" s="105"/>
      <c r="V1452" s="262"/>
      <c r="W1452" s="121"/>
      <c r="X1452" s="121"/>
      <c r="Y1452" s="121"/>
      <c r="Z1452" s="121"/>
      <c r="AA1452" s="121"/>
      <c r="AB1452" s="121"/>
      <c r="AC1452" s="121"/>
      <c r="AD1452" s="121"/>
      <c r="AE1452" s="121"/>
      <c r="AF1452" s="121"/>
      <c r="AG1452" s="121"/>
      <c r="AH1452" s="121"/>
      <c r="AI1452" s="121"/>
    </row>
    <row r="1453" spans="1:35" s="115" customFormat="1" ht="14.4">
      <c r="A1453" s="187"/>
      <c r="B1453" s="190"/>
      <c r="C1453" s="190"/>
      <c r="D1453" s="69"/>
      <c r="E1453" s="69"/>
      <c r="F1453" s="149"/>
      <c r="G1453" s="146"/>
      <c r="H1453" s="98"/>
      <c r="I1453" s="99"/>
      <c r="J1453" s="99"/>
      <c r="K1453" s="99"/>
      <c r="L1453" s="99"/>
      <c r="M1453" s="99"/>
      <c r="N1453" s="99"/>
      <c r="O1453" s="99"/>
      <c r="P1453" s="99"/>
      <c r="Q1453" s="99"/>
      <c r="R1453" s="99"/>
      <c r="S1453" s="99"/>
      <c r="T1453" s="99"/>
      <c r="U1453" s="105"/>
      <c r="V1453" s="262"/>
      <c r="W1453" s="121"/>
      <c r="X1453" s="121"/>
      <c r="Y1453" s="121"/>
      <c r="Z1453" s="121"/>
      <c r="AA1453" s="121"/>
      <c r="AB1453" s="121"/>
      <c r="AC1453" s="121"/>
      <c r="AD1453" s="121"/>
      <c r="AE1453" s="121"/>
      <c r="AF1453" s="121"/>
      <c r="AG1453" s="121"/>
      <c r="AH1453" s="121"/>
      <c r="AI1453" s="121"/>
    </row>
    <row r="1454" spans="1:35" s="115" customFormat="1" ht="14.4">
      <c r="A1454" s="187"/>
      <c r="B1454" s="190"/>
      <c r="C1454" s="190"/>
      <c r="D1454" s="69"/>
      <c r="E1454" s="69"/>
      <c r="F1454" s="149"/>
      <c r="G1454" s="146"/>
      <c r="H1454" s="98"/>
      <c r="I1454" s="99"/>
      <c r="J1454" s="99"/>
      <c r="K1454" s="99"/>
      <c r="L1454" s="99"/>
      <c r="M1454" s="99"/>
      <c r="N1454" s="99"/>
      <c r="O1454" s="99"/>
      <c r="P1454" s="99"/>
      <c r="Q1454" s="99"/>
      <c r="R1454" s="99"/>
      <c r="S1454" s="99"/>
      <c r="T1454" s="99"/>
      <c r="U1454" s="105"/>
      <c r="V1454" s="262"/>
      <c r="W1454" s="121"/>
      <c r="X1454" s="121"/>
      <c r="Y1454" s="121"/>
      <c r="Z1454" s="121"/>
      <c r="AA1454" s="121"/>
      <c r="AB1454" s="121"/>
      <c r="AC1454" s="121"/>
      <c r="AD1454" s="121"/>
      <c r="AE1454" s="121"/>
      <c r="AF1454" s="121"/>
      <c r="AG1454" s="121"/>
      <c r="AH1454" s="121"/>
      <c r="AI1454" s="121"/>
    </row>
    <row r="1455" spans="1:35" s="115" customFormat="1" ht="14.4">
      <c r="A1455" s="187"/>
      <c r="B1455" s="190"/>
      <c r="C1455" s="190"/>
      <c r="D1455" s="69"/>
      <c r="E1455" s="69"/>
      <c r="F1455" s="149"/>
      <c r="G1455" s="146"/>
      <c r="H1455" s="98"/>
      <c r="I1455" s="99"/>
      <c r="J1455" s="99"/>
      <c r="K1455" s="99"/>
      <c r="L1455" s="99"/>
      <c r="M1455" s="99"/>
      <c r="N1455" s="99"/>
      <c r="O1455" s="99"/>
      <c r="P1455" s="99"/>
      <c r="Q1455" s="99"/>
      <c r="R1455" s="99"/>
      <c r="S1455" s="99"/>
      <c r="T1455" s="99"/>
      <c r="U1455" s="105"/>
      <c r="V1455" s="262"/>
      <c r="W1455" s="121"/>
      <c r="X1455" s="121"/>
      <c r="Y1455" s="121"/>
      <c r="Z1455" s="121"/>
      <c r="AA1455" s="121"/>
      <c r="AB1455" s="121"/>
      <c r="AC1455" s="121"/>
      <c r="AD1455" s="121"/>
      <c r="AE1455" s="121"/>
      <c r="AF1455" s="121"/>
      <c r="AG1455" s="121"/>
      <c r="AH1455" s="121"/>
      <c r="AI1455" s="121"/>
    </row>
    <row r="1456" spans="1:35" s="115" customFormat="1" ht="14.4">
      <c r="A1456" s="187"/>
      <c r="B1456" s="190"/>
      <c r="C1456" s="190"/>
      <c r="D1456" s="69"/>
      <c r="E1456" s="69"/>
      <c r="F1456" s="149"/>
      <c r="G1456" s="146"/>
      <c r="H1456" s="107"/>
      <c r="I1456" s="108"/>
      <c r="J1456" s="108"/>
      <c r="K1456" s="108"/>
      <c r="L1456" s="108"/>
      <c r="M1456" s="108"/>
      <c r="N1456" s="108"/>
      <c r="O1456" s="108"/>
      <c r="P1456" s="108"/>
      <c r="Q1456" s="108"/>
      <c r="R1456" s="108"/>
      <c r="S1456" s="108"/>
      <c r="T1456" s="108"/>
      <c r="U1456" s="105"/>
      <c r="V1456" s="262"/>
      <c r="W1456" s="121"/>
      <c r="X1456" s="121"/>
      <c r="Y1456" s="121"/>
      <c r="Z1456" s="121"/>
      <c r="AA1456" s="121"/>
      <c r="AB1456" s="121"/>
      <c r="AC1456" s="121"/>
      <c r="AD1456" s="121"/>
      <c r="AE1456" s="121"/>
      <c r="AF1456" s="121"/>
      <c r="AG1456" s="121"/>
      <c r="AH1456" s="121"/>
      <c r="AI1456" s="121"/>
    </row>
    <row r="1457" spans="1:35" s="115" customFormat="1" ht="14.4">
      <c r="A1457" s="187"/>
      <c r="B1457" s="190"/>
      <c r="C1457" s="190"/>
      <c r="D1457" s="69"/>
      <c r="E1457" s="69"/>
      <c r="F1457" s="149"/>
      <c r="G1457" s="146"/>
      <c r="H1457" s="98"/>
      <c r="I1457" s="106"/>
      <c r="J1457" s="106"/>
      <c r="K1457" s="106"/>
      <c r="L1457" s="106"/>
      <c r="M1457" s="106"/>
      <c r="N1457" s="112"/>
      <c r="O1457" s="112"/>
      <c r="P1457" s="112"/>
      <c r="Q1457" s="113"/>
      <c r="R1457" s="113"/>
      <c r="S1457" s="113"/>
      <c r="T1457" s="113"/>
      <c r="U1457" s="105"/>
      <c r="V1457" s="262"/>
      <c r="W1457" s="121"/>
      <c r="X1457" s="121"/>
      <c r="Y1457" s="121"/>
      <c r="Z1457" s="121"/>
      <c r="AA1457" s="121"/>
      <c r="AB1457" s="121"/>
      <c r="AC1457" s="121"/>
      <c r="AD1457" s="121"/>
      <c r="AE1457" s="121"/>
      <c r="AF1457" s="121"/>
      <c r="AG1457" s="121"/>
      <c r="AH1457" s="121"/>
      <c r="AI1457" s="121"/>
    </row>
    <row r="1458" spans="1:35" s="115" customFormat="1" ht="14.4">
      <c r="A1458" s="187"/>
      <c r="B1458" s="190"/>
      <c r="C1458" s="190"/>
      <c r="D1458" s="69"/>
      <c r="E1458" s="69"/>
      <c r="F1458" s="149"/>
      <c r="G1458" s="146"/>
      <c r="H1458" s="98"/>
      <c r="I1458" s="99"/>
      <c r="J1458" s="99"/>
      <c r="K1458" s="99"/>
      <c r="L1458" s="99"/>
      <c r="M1458" s="99"/>
      <c r="N1458" s="99"/>
      <c r="O1458" s="99"/>
      <c r="P1458" s="99"/>
      <c r="Q1458" s="99"/>
      <c r="R1458" s="99"/>
      <c r="S1458" s="99"/>
      <c r="T1458" s="99"/>
      <c r="U1458" s="105"/>
      <c r="V1458" s="262"/>
      <c r="W1458" s="121"/>
      <c r="X1458" s="121"/>
      <c r="Y1458" s="121"/>
      <c r="Z1458" s="121"/>
      <c r="AA1458" s="121"/>
      <c r="AB1458" s="121"/>
      <c r="AC1458" s="121"/>
      <c r="AD1458" s="121"/>
      <c r="AE1458" s="121"/>
      <c r="AF1458" s="121"/>
      <c r="AG1458" s="121"/>
      <c r="AH1458" s="121"/>
      <c r="AI1458" s="121"/>
    </row>
    <row r="1459" spans="1:35" s="115" customFormat="1" ht="14.4">
      <c r="A1459" s="187"/>
      <c r="B1459" s="190"/>
      <c r="C1459" s="190"/>
      <c r="D1459" s="69"/>
      <c r="E1459" s="69"/>
      <c r="F1459" s="149"/>
      <c r="G1459" s="146"/>
      <c r="H1459" s="98"/>
      <c r="I1459" s="99"/>
      <c r="J1459" s="99"/>
      <c r="K1459" s="99"/>
      <c r="L1459" s="99"/>
      <c r="M1459" s="99"/>
      <c r="N1459" s="99"/>
      <c r="O1459" s="99"/>
      <c r="P1459" s="99"/>
      <c r="Q1459" s="99"/>
      <c r="R1459" s="99"/>
      <c r="S1459" s="99"/>
      <c r="T1459" s="99"/>
      <c r="U1459" s="105"/>
      <c r="V1459" s="262"/>
      <c r="W1459" s="121"/>
      <c r="X1459" s="121"/>
      <c r="Y1459" s="121"/>
      <c r="Z1459" s="121"/>
      <c r="AA1459" s="121"/>
      <c r="AB1459" s="121"/>
      <c r="AC1459" s="121"/>
      <c r="AD1459" s="121"/>
      <c r="AE1459" s="121"/>
      <c r="AF1459" s="121"/>
      <c r="AG1459" s="121"/>
      <c r="AH1459" s="121"/>
      <c r="AI1459" s="121"/>
    </row>
    <row r="1460" spans="1:35" s="115" customFormat="1" ht="14.4">
      <c r="A1460" s="187"/>
      <c r="B1460" s="190"/>
      <c r="C1460" s="190"/>
      <c r="D1460" s="69"/>
      <c r="E1460" s="69"/>
      <c r="F1460" s="149"/>
      <c r="G1460" s="146"/>
      <c r="H1460" s="107"/>
      <c r="I1460" s="108"/>
      <c r="J1460" s="108"/>
      <c r="K1460" s="108"/>
      <c r="L1460" s="108"/>
      <c r="M1460" s="108"/>
      <c r="N1460" s="108"/>
      <c r="O1460" s="108"/>
      <c r="P1460" s="108"/>
      <c r="Q1460" s="108"/>
      <c r="R1460" s="108"/>
      <c r="S1460" s="108"/>
      <c r="T1460" s="108"/>
      <c r="U1460" s="105"/>
      <c r="V1460" s="262"/>
      <c r="W1460" s="121"/>
      <c r="X1460" s="121"/>
      <c r="Y1460" s="121"/>
      <c r="Z1460" s="121"/>
      <c r="AA1460" s="121"/>
      <c r="AB1460" s="121"/>
      <c r="AC1460" s="121"/>
      <c r="AD1460" s="121"/>
      <c r="AE1460" s="121"/>
      <c r="AF1460" s="121"/>
      <c r="AG1460" s="121"/>
      <c r="AH1460" s="121"/>
      <c r="AI1460" s="121"/>
    </row>
    <row r="1461" spans="1:35" s="115" customFormat="1" ht="14.4">
      <c r="A1461" s="187"/>
      <c r="B1461" s="190"/>
      <c r="C1461" s="190"/>
      <c r="D1461" s="69"/>
      <c r="E1461" s="69"/>
      <c r="F1461" s="149"/>
      <c r="G1461" s="146"/>
      <c r="H1461" s="98"/>
      <c r="I1461" s="106"/>
      <c r="J1461" s="106"/>
      <c r="K1461" s="106"/>
      <c r="L1461" s="106"/>
      <c r="M1461" s="106"/>
      <c r="N1461" s="112"/>
      <c r="O1461" s="112"/>
      <c r="P1461" s="112"/>
      <c r="Q1461" s="113"/>
      <c r="R1461" s="113"/>
      <c r="S1461" s="113"/>
      <c r="T1461" s="113"/>
      <c r="U1461" s="105"/>
      <c r="V1461" s="262"/>
      <c r="W1461" s="121"/>
      <c r="X1461" s="121"/>
      <c r="Y1461" s="121"/>
      <c r="Z1461" s="121"/>
      <c r="AA1461" s="121"/>
      <c r="AB1461" s="121"/>
      <c r="AC1461" s="121"/>
      <c r="AD1461" s="121"/>
      <c r="AE1461" s="121"/>
      <c r="AF1461" s="121"/>
      <c r="AG1461" s="121"/>
      <c r="AH1461" s="121"/>
      <c r="AI1461" s="121"/>
    </row>
    <row r="1462" spans="1:35" s="115" customFormat="1" ht="14.4">
      <c r="A1462" s="187"/>
      <c r="B1462" s="190"/>
      <c r="C1462" s="190"/>
      <c r="D1462" s="69"/>
      <c r="E1462" s="69"/>
      <c r="F1462" s="149"/>
      <c r="G1462" s="146"/>
      <c r="H1462" s="114"/>
      <c r="I1462" s="108"/>
      <c r="J1462" s="108"/>
      <c r="K1462" s="108"/>
      <c r="L1462" s="108"/>
      <c r="M1462" s="108"/>
      <c r="N1462" s="108"/>
      <c r="O1462" s="108"/>
      <c r="P1462" s="108"/>
      <c r="Q1462" s="108"/>
      <c r="R1462" s="108"/>
      <c r="S1462" s="108"/>
      <c r="T1462" s="108"/>
      <c r="U1462" s="105"/>
      <c r="V1462" s="262"/>
      <c r="W1462" s="121"/>
      <c r="X1462" s="121"/>
      <c r="Y1462" s="121"/>
      <c r="Z1462" s="121"/>
      <c r="AA1462" s="121"/>
      <c r="AB1462" s="121"/>
      <c r="AC1462" s="121"/>
      <c r="AD1462" s="121"/>
      <c r="AE1462" s="121"/>
      <c r="AF1462" s="121"/>
      <c r="AG1462" s="121"/>
      <c r="AH1462" s="121"/>
      <c r="AI1462" s="121"/>
    </row>
    <row r="1463" spans="1:35" s="115" customFormat="1" ht="14.4">
      <c r="A1463" s="187"/>
      <c r="B1463" s="190"/>
      <c r="C1463" s="190"/>
      <c r="D1463" s="69"/>
      <c r="E1463" s="69"/>
      <c r="F1463" s="149"/>
      <c r="G1463" s="146"/>
      <c r="H1463" s="98"/>
      <c r="I1463" s="218"/>
      <c r="J1463" s="218"/>
      <c r="K1463" s="218"/>
      <c r="L1463" s="218"/>
      <c r="M1463" s="218"/>
      <c r="N1463" s="96"/>
      <c r="O1463" s="96"/>
      <c r="P1463" s="96"/>
      <c r="Q1463" s="212"/>
      <c r="R1463" s="212"/>
      <c r="S1463" s="212"/>
      <c r="T1463" s="212"/>
      <c r="U1463" s="105"/>
      <c r="V1463" s="262"/>
      <c r="W1463" s="121"/>
      <c r="X1463" s="121"/>
      <c r="Y1463" s="121"/>
      <c r="Z1463" s="121"/>
      <c r="AA1463" s="121"/>
      <c r="AB1463" s="121"/>
      <c r="AC1463" s="121"/>
      <c r="AD1463" s="121"/>
      <c r="AE1463" s="121"/>
      <c r="AF1463" s="121"/>
      <c r="AG1463" s="121"/>
      <c r="AH1463" s="121"/>
      <c r="AI1463" s="121"/>
    </row>
    <row r="1464" spans="1:35" s="115" customFormat="1" ht="15" thickBot="1">
      <c r="A1464" s="187"/>
      <c r="B1464" s="190"/>
      <c r="C1464" s="190"/>
      <c r="D1464" s="69"/>
      <c r="E1464" s="69"/>
      <c r="F1464" s="149"/>
      <c r="G1464" s="146"/>
      <c r="H1464" s="98"/>
      <c r="I1464" s="218"/>
      <c r="J1464" s="218"/>
      <c r="K1464" s="218"/>
      <c r="L1464" s="218"/>
      <c r="M1464" s="218"/>
      <c r="N1464" s="96"/>
      <c r="O1464" s="96"/>
      <c r="P1464" s="96"/>
      <c r="Q1464" s="212"/>
      <c r="R1464" s="212"/>
      <c r="S1464" s="212"/>
      <c r="T1464" s="212"/>
      <c r="U1464" s="105"/>
      <c r="V1464" s="262"/>
      <c r="W1464" s="121"/>
      <c r="X1464" s="121"/>
      <c r="Y1464" s="121"/>
      <c r="Z1464" s="121"/>
      <c r="AA1464" s="121"/>
      <c r="AB1464" s="121"/>
      <c r="AC1464" s="121"/>
      <c r="AD1464" s="121"/>
      <c r="AE1464" s="121"/>
      <c r="AF1464" s="121"/>
      <c r="AG1464" s="121"/>
      <c r="AH1464" s="121"/>
      <c r="AI1464" s="121"/>
    </row>
    <row r="1465" spans="1:35" s="115" customFormat="1" ht="23.4" thickBot="1">
      <c r="A1465" s="187"/>
      <c r="B1465" s="190"/>
      <c r="C1465" s="190"/>
      <c r="D1465" s="69"/>
      <c r="E1465" s="69"/>
      <c r="F1465" s="149"/>
      <c r="G1465" s="146"/>
      <c r="H1465" s="686"/>
      <c r="I1465" s="687"/>
      <c r="J1465" s="687"/>
      <c r="K1465" s="687"/>
      <c r="L1465" s="687"/>
      <c r="M1465" s="687"/>
      <c r="N1465" s="687"/>
      <c r="O1465" s="687"/>
      <c r="P1465" s="687"/>
      <c r="Q1465" s="687"/>
      <c r="R1465" s="687"/>
      <c r="S1465" s="687"/>
      <c r="T1465" s="688"/>
      <c r="U1465" s="105"/>
      <c r="V1465" s="262"/>
      <c r="W1465" s="121"/>
      <c r="X1465" s="121"/>
      <c r="Y1465" s="121"/>
      <c r="Z1465" s="121"/>
      <c r="AA1465" s="121"/>
      <c r="AB1465" s="121"/>
      <c r="AC1465" s="121"/>
      <c r="AD1465" s="121"/>
      <c r="AE1465" s="121"/>
      <c r="AF1465" s="121"/>
      <c r="AG1465" s="121"/>
      <c r="AH1465" s="121"/>
      <c r="AI1465" s="121"/>
    </row>
    <row r="1466" spans="1:35" s="115" customFormat="1" ht="22.8">
      <c r="A1466" s="187"/>
      <c r="B1466" s="190"/>
      <c r="C1466" s="190"/>
      <c r="D1466" s="69"/>
      <c r="E1466" s="69"/>
      <c r="F1466" s="149"/>
      <c r="G1466" s="146"/>
      <c r="H1466" s="225"/>
      <c r="I1466" s="225"/>
      <c r="J1466" s="225"/>
      <c r="K1466" s="225"/>
      <c r="L1466" s="225"/>
      <c r="M1466" s="225"/>
      <c r="N1466" s="225"/>
      <c r="O1466" s="225"/>
      <c r="P1466" s="225"/>
      <c r="Q1466" s="225"/>
      <c r="R1466" s="225"/>
      <c r="S1466" s="225"/>
      <c r="T1466" s="225"/>
      <c r="U1466" s="105"/>
      <c r="V1466" s="262"/>
      <c r="W1466" s="121"/>
      <c r="X1466" s="121"/>
      <c r="Y1466" s="121"/>
      <c r="Z1466" s="121"/>
      <c r="AA1466" s="121"/>
      <c r="AB1466" s="121"/>
      <c r="AC1466" s="121"/>
      <c r="AD1466" s="121"/>
      <c r="AE1466" s="121"/>
      <c r="AF1466" s="121"/>
      <c r="AG1466" s="121"/>
      <c r="AH1466" s="121"/>
      <c r="AI1466" s="121"/>
    </row>
    <row r="1467" spans="1:35" s="115" customFormat="1" ht="14.4">
      <c r="A1467" s="187"/>
      <c r="B1467" s="190"/>
      <c r="C1467" s="190"/>
      <c r="D1467" s="69"/>
      <c r="E1467" s="69"/>
      <c r="F1467" s="149"/>
      <c r="G1467" s="146"/>
      <c r="H1467" s="98"/>
      <c r="I1467" s="99"/>
      <c r="J1467" s="99"/>
      <c r="K1467" s="99"/>
      <c r="L1467" s="99"/>
      <c r="M1467" s="99"/>
      <c r="N1467" s="99"/>
      <c r="O1467" s="99"/>
      <c r="P1467" s="99"/>
      <c r="Q1467" s="99"/>
      <c r="R1467" s="99"/>
      <c r="S1467" s="99"/>
      <c r="T1467" s="99"/>
      <c r="U1467" s="105"/>
      <c r="V1467" s="262"/>
      <c r="W1467" s="121"/>
      <c r="X1467" s="121"/>
      <c r="Y1467" s="121"/>
      <c r="Z1467" s="121"/>
      <c r="AA1467" s="121"/>
      <c r="AB1467" s="121"/>
      <c r="AC1467" s="121"/>
      <c r="AD1467" s="121"/>
      <c r="AE1467" s="121"/>
      <c r="AF1467" s="121"/>
      <c r="AG1467" s="121"/>
      <c r="AH1467" s="121"/>
      <c r="AI1467" s="121"/>
    </row>
    <row r="1468" spans="1:35" s="115" customFormat="1" ht="14.4">
      <c r="A1468" s="187"/>
      <c r="B1468" s="190"/>
      <c r="C1468" s="190"/>
      <c r="D1468" s="69"/>
      <c r="E1468" s="69"/>
      <c r="F1468" s="149"/>
      <c r="G1468" s="146"/>
      <c r="H1468" s="98"/>
      <c r="I1468" s="99"/>
      <c r="J1468" s="99"/>
      <c r="K1468" s="99"/>
      <c r="L1468" s="99"/>
      <c r="M1468" s="99"/>
      <c r="N1468" s="99"/>
      <c r="O1468" s="99"/>
      <c r="P1468" s="99"/>
      <c r="Q1468" s="99"/>
      <c r="R1468" s="99"/>
      <c r="S1468" s="99"/>
      <c r="T1468" s="99"/>
      <c r="U1468" s="105"/>
      <c r="V1468" s="262"/>
      <c r="W1468" s="121"/>
      <c r="X1468" s="121"/>
      <c r="Y1468" s="121"/>
      <c r="Z1468" s="121"/>
      <c r="AA1468" s="121"/>
      <c r="AB1468" s="121"/>
      <c r="AC1468" s="121"/>
      <c r="AD1468" s="121"/>
      <c r="AE1468" s="121"/>
      <c r="AF1468" s="121"/>
      <c r="AG1468" s="121"/>
      <c r="AH1468" s="121"/>
      <c r="AI1468" s="121"/>
    </row>
    <row r="1469" spans="1:35" s="115" customFormat="1" ht="14.4">
      <c r="A1469" s="187"/>
      <c r="B1469" s="190"/>
      <c r="C1469" s="190"/>
      <c r="D1469" s="69"/>
      <c r="E1469" s="69"/>
      <c r="F1469" s="149"/>
      <c r="G1469" s="146"/>
      <c r="H1469" s="98"/>
      <c r="I1469" s="99"/>
      <c r="J1469" s="99"/>
      <c r="K1469" s="99"/>
      <c r="L1469" s="99"/>
      <c r="M1469" s="99"/>
      <c r="N1469" s="99"/>
      <c r="O1469" s="99"/>
      <c r="P1469" s="99"/>
      <c r="Q1469" s="99"/>
      <c r="R1469" s="99"/>
      <c r="S1469" s="99"/>
      <c r="T1469" s="99"/>
      <c r="U1469" s="105"/>
      <c r="V1469" s="262"/>
      <c r="W1469" s="121"/>
      <c r="X1469" s="121"/>
      <c r="Y1469" s="121"/>
      <c r="Z1469" s="121"/>
      <c r="AA1469" s="121"/>
      <c r="AB1469" s="121"/>
      <c r="AC1469" s="121"/>
      <c r="AD1469" s="121"/>
      <c r="AE1469" s="121"/>
      <c r="AF1469" s="121"/>
      <c r="AG1469" s="121"/>
      <c r="AH1469" s="121"/>
      <c r="AI1469" s="121"/>
    </row>
    <row r="1470" spans="1:35" s="115" customFormat="1" ht="14.4">
      <c r="A1470" s="187"/>
      <c r="B1470" s="190"/>
      <c r="C1470" s="190"/>
      <c r="D1470" s="69"/>
      <c r="E1470" s="69"/>
      <c r="F1470" s="149"/>
      <c r="G1470" s="146"/>
      <c r="H1470" s="98"/>
      <c r="I1470" s="99"/>
      <c r="J1470" s="99"/>
      <c r="K1470" s="99"/>
      <c r="L1470" s="99"/>
      <c r="M1470" s="99"/>
      <c r="N1470" s="99"/>
      <c r="O1470" s="99"/>
      <c r="P1470" s="99"/>
      <c r="Q1470" s="99"/>
      <c r="R1470" s="99"/>
      <c r="S1470" s="99"/>
      <c r="T1470" s="99"/>
      <c r="U1470" s="105"/>
      <c r="V1470" s="262"/>
      <c r="W1470" s="121"/>
      <c r="X1470" s="121"/>
      <c r="Y1470" s="121"/>
      <c r="Z1470" s="121"/>
      <c r="AA1470" s="121"/>
      <c r="AB1470" s="121"/>
      <c r="AC1470" s="121"/>
      <c r="AD1470" s="121"/>
      <c r="AE1470" s="121"/>
      <c r="AF1470" s="121"/>
      <c r="AG1470" s="121"/>
      <c r="AH1470" s="121"/>
      <c r="AI1470" s="121"/>
    </row>
    <row r="1471" spans="1:35" s="115" customFormat="1" ht="14.4">
      <c r="A1471" s="187"/>
      <c r="B1471" s="190"/>
      <c r="C1471" s="190"/>
      <c r="D1471" s="69"/>
      <c r="E1471" s="69"/>
      <c r="F1471" s="149"/>
      <c r="G1471" s="146"/>
      <c r="H1471" s="98"/>
      <c r="I1471" s="99"/>
      <c r="J1471" s="99"/>
      <c r="K1471" s="99"/>
      <c r="L1471" s="99"/>
      <c r="M1471" s="99"/>
      <c r="N1471" s="99"/>
      <c r="O1471" s="99"/>
      <c r="P1471" s="99"/>
      <c r="Q1471" s="99"/>
      <c r="R1471" s="99"/>
      <c r="S1471" s="99"/>
      <c r="T1471" s="99"/>
      <c r="U1471" s="105"/>
      <c r="V1471" s="262"/>
      <c r="W1471" s="121"/>
      <c r="X1471" s="121"/>
      <c r="Y1471" s="121"/>
      <c r="Z1471" s="121"/>
      <c r="AA1471" s="121"/>
      <c r="AB1471" s="121"/>
      <c r="AC1471" s="121"/>
      <c r="AD1471" s="121"/>
      <c r="AE1471" s="121"/>
      <c r="AF1471" s="121"/>
      <c r="AG1471" s="121"/>
      <c r="AH1471" s="121"/>
      <c r="AI1471" s="121"/>
    </row>
    <row r="1472" spans="1:35" s="115" customFormat="1" ht="14.4">
      <c r="A1472" s="187"/>
      <c r="B1472" s="190"/>
      <c r="C1472" s="190"/>
      <c r="D1472" s="69"/>
      <c r="E1472" s="69"/>
      <c r="F1472" s="149"/>
      <c r="G1472" s="146"/>
      <c r="H1472" s="98"/>
      <c r="I1472" s="99"/>
      <c r="J1472" s="99"/>
      <c r="K1472" s="99"/>
      <c r="L1472" s="99"/>
      <c r="M1472" s="99"/>
      <c r="N1472" s="99"/>
      <c r="O1472" s="99"/>
      <c r="P1472" s="99"/>
      <c r="Q1472" s="99"/>
      <c r="R1472" s="99"/>
      <c r="S1472" s="99"/>
      <c r="T1472" s="99"/>
      <c r="U1472" s="105"/>
      <c r="V1472" s="262"/>
      <c r="W1472" s="121"/>
      <c r="X1472" s="121"/>
      <c r="Y1472" s="121"/>
      <c r="Z1472" s="121"/>
      <c r="AA1472" s="121"/>
      <c r="AB1472" s="121"/>
      <c r="AC1472" s="121"/>
      <c r="AD1472" s="121"/>
      <c r="AE1472" s="121"/>
      <c r="AF1472" s="121"/>
      <c r="AG1472" s="121"/>
      <c r="AH1472" s="121"/>
      <c r="AI1472" s="121"/>
    </row>
    <row r="1473" spans="1:35" s="115" customFormat="1" ht="14.4">
      <c r="A1473" s="187"/>
      <c r="B1473" s="190"/>
      <c r="C1473" s="190"/>
      <c r="D1473" s="69"/>
      <c r="E1473" s="69"/>
      <c r="F1473" s="149"/>
      <c r="G1473" s="146"/>
      <c r="H1473" s="98"/>
      <c r="I1473" s="99"/>
      <c r="J1473" s="99"/>
      <c r="K1473" s="99"/>
      <c r="L1473" s="99"/>
      <c r="M1473" s="99"/>
      <c r="N1473" s="99"/>
      <c r="O1473" s="99"/>
      <c r="P1473" s="99"/>
      <c r="Q1473" s="99"/>
      <c r="R1473" s="99"/>
      <c r="S1473" s="99"/>
      <c r="T1473" s="99"/>
      <c r="U1473" s="105"/>
      <c r="V1473" s="262"/>
      <c r="W1473" s="121"/>
      <c r="X1473" s="121"/>
      <c r="Y1473" s="121"/>
      <c r="Z1473" s="121"/>
      <c r="AA1473" s="121"/>
      <c r="AB1473" s="121"/>
      <c r="AC1473" s="121"/>
      <c r="AD1473" s="121"/>
      <c r="AE1473" s="121"/>
      <c r="AF1473" s="121"/>
      <c r="AG1473" s="121"/>
      <c r="AH1473" s="121"/>
      <c r="AI1473" s="121"/>
    </row>
    <row r="1474" spans="1:35" s="115" customFormat="1" ht="14.4">
      <c r="A1474" s="187"/>
      <c r="B1474" s="190"/>
      <c r="C1474" s="190"/>
      <c r="D1474" s="69"/>
      <c r="E1474" s="69"/>
      <c r="F1474" s="149"/>
      <c r="G1474" s="146"/>
      <c r="H1474" s="98"/>
      <c r="I1474" s="99"/>
      <c r="J1474" s="99"/>
      <c r="K1474" s="99"/>
      <c r="L1474" s="99"/>
      <c r="M1474" s="99"/>
      <c r="N1474" s="99"/>
      <c r="O1474" s="99"/>
      <c r="P1474" s="99"/>
      <c r="Q1474" s="99"/>
      <c r="R1474" s="99"/>
      <c r="S1474" s="99"/>
      <c r="T1474" s="99"/>
      <c r="U1474" s="105"/>
      <c r="V1474" s="262"/>
      <c r="W1474" s="121"/>
      <c r="X1474" s="121"/>
      <c r="Y1474" s="121"/>
      <c r="Z1474" s="121"/>
      <c r="AA1474" s="121"/>
      <c r="AB1474" s="121"/>
      <c r="AC1474" s="121"/>
      <c r="AD1474" s="121"/>
      <c r="AE1474" s="121"/>
      <c r="AF1474" s="121"/>
      <c r="AG1474" s="121"/>
      <c r="AH1474" s="121"/>
      <c r="AI1474" s="121"/>
    </row>
    <row r="1475" spans="1:35" s="115" customFormat="1" ht="14.4">
      <c r="A1475" s="187"/>
      <c r="B1475" s="190"/>
      <c r="C1475" s="190"/>
      <c r="D1475" s="69"/>
      <c r="E1475" s="69"/>
      <c r="F1475" s="149"/>
      <c r="G1475" s="146"/>
      <c r="H1475" s="98"/>
      <c r="I1475" s="99"/>
      <c r="J1475" s="99"/>
      <c r="K1475" s="99"/>
      <c r="L1475" s="99"/>
      <c r="M1475" s="99"/>
      <c r="N1475" s="99"/>
      <c r="O1475" s="99"/>
      <c r="P1475" s="99"/>
      <c r="Q1475" s="99"/>
      <c r="R1475" s="99"/>
      <c r="S1475" s="99"/>
      <c r="T1475" s="99"/>
      <c r="U1475" s="105"/>
      <c r="V1475" s="262"/>
      <c r="W1475" s="121"/>
      <c r="X1475" s="121"/>
      <c r="Y1475" s="121"/>
      <c r="Z1475" s="121"/>
      <c r="AA1475" s="121"/>
      <c r="AB1475" s="121"/>
      <c r="AC1475" s="121"/>
      <c r="AD1475" s="121"/>
      <c r="AE1475" s="121"/>
      <c r="AF1475" s="121"/>
      <c r="AG1475" s="121"/>
      <c r="AH1475" s="121"/>
      <c r="AI1475" s="121"/>
    </row>
    <row r="1476" spans="1:35" s="115" customFormat="1" ht="14.4">
      <c r="A1476" s="187"/>
      <c r="B1476" s="190"/>
      <c r="C1476" s="190"/>
      <c r="D1476" s="69"/>
      <c r="E1476" s="69"/>
      <c r="F1476" s="149"/>
      <c r="G1476" s="146"/>
      <c r="H1476" s="98"/>
      <c r="I1476" s="99"/>
      <c r="J1476" s="99"/>
      <c r="K1476" s="99"/>
      <c r="L1476" s="99"/>
      <c r="M1476" s="99"/>
      <c r="N1476" s="99"/>
      <c r="O1476" s="99"/>
      <c r="P1476" s="99"/>
      <c r="Q1476" s="99"/>
      <c r="R1476" s="99"/>
      <c r="S1476" s="99"/>
      <c r="T1476" s="99"/>
      <c r="U1476" s="105"/>
      <c r="V1476" s="262"/>
      <c r="W1476" s="121"/>
      <c r="X1476" s="121"/>
      <c r="Y1476" s="121"/>
      <c r="Z1476" s="121"/>
      <c r="AA1476" s="121"/>
      <c r="AB1476" s="121"/>
      <c r="AC1476" s="121"/>
      <c r="AD1476" s="121"/>
      <c r="AE1476" s="121"/>
      <c r="AF1476" s="121"/>
      <c r="AG1476" s="121"/>
      <c r="AH1476" s="121"/>
      <c r="AI1476" s="121"/>
    </row>
    <row r="1477" spans="1:35" s="115" customFormat="1" ht="14.4">
      <c r="A1477" s="187"/>
      <c r="B1477" s="190"/>
      <c r="C1477" s="190"/>
      <c r="D1477" s="69"/>
      <c r="E1477" s="69"/>
      <c r="F1477" s="149"/>
      <c r="G1477" s="146"/>
      <c r="H1477" s="98"/>
      <c r="I1477" s="99"/>
      <c r="J1477" s="99"/>
      <c r="K1477" s="99"/>
      <c r="L1477" s="99"/>
      <c r="M1477" s="99"/>
      <c r="N1477" s="99"/>
      <c r="O1477" s="99"/>
      <c r="P1477" s="99"/>
      <c r="Q1477" s="99"/>
      <c r="R1477" s="99"/>
      <c r="S1477" s="99"/>
      <c r="T1477" s="99"/>
      <c r="U1477" s="105"/>
      <c r="V1477" s="262"/>
      <c r="W1477" s="121"/>
      <c r="X1477" s="121"/>
      <c r="Y1477" s="121"/>
      <c r="Z1477" s="121"/>
      <c r="AA1477" s="121"/>
      <c r="AB1477" s="121"/>
      <c r="AC1477" s="121"/>
      <c r="AD1477" s="121"/>
      <c r="AE1477" s="121"/>
      <c r="AF1477" s="121"/>
      <c r="AG1477" s="121"/>
      <c r="AH1477" s="121"/>
      <c r="AI1477" s="121"/>
    </row>
    <row r="1478" spans="1:35" s="115" customFormat="1" ht="14.4">
      <c r="A1478" s="187"/>
      <c r="B1478" s="190"/>
      <c r="C1478" s="190"/>
      <c r="D1478" s="69"/>
      <c r="E1478" s="69"/>
      <c r="F1478" s="149"/>
      <c r="G1478" s="146"/>
      <c r="H1478" s="98"/>
      <c r="I1478" s="99"/>
      <c r="J1478" s="99"/>
      <c r="K1478" s="99"/>
      <c r="L1478" s="99"/>
      <c r="M1478" s="99"/>
      <c r="N1478" s="99"/>
      <c r="O1478" s="99"/>
      <c r="P1478" s="99"/>
      <c r="Q1478" s="99"/>
      <c r="R1478" s="99"/>
      <c r="S1478" s="99"/>
      <c r="T1478" s="99"/>
      <c r="U1478" s="105"/>
      <c r="V1478" s="262"/>
      <c r="W1478" s="121"/>
      <c r="X1478" s="121"/>
      <c r="Y1478" s="121"/>
      <c r="Z1478" s="121"/>
      <c r="AA1478" s="121"/>
      <c r="AB1478" s="121"/>
      <c r="AC1478" s="121"/>
      <c r="AD1478" s="121"/>
      <c r="AE1478" s="121"/>
      <c r="AF1478" s="121"/>
      <c r="AG1478" s="121"/>
      <c r="AH1478" s="121"/>
      <c r="AI1478" s="121"/>
    </row>
    <row r="1479" spans="1:35" s="115" customFormat="1" ht="14.4">
      <c r="A1479" s="187"/>
      <c r="B1479" s="190"/>
      <c r="C1479" s="190"/>
      <c r="D1479" s="69"/>
      <c r="E1479" s="69"/>
      <c r="F1479" s="149"/>
      <c r="G1479" s="146"/>
      <c r="H1479" s="98"/>
      <c r="I1479" s="99"/>
      <c r="J1479" s="99"/>
      <c r="K1479" s="99"/>
      <c r="L1479" s="99"/>
      <c r="M1479" s="99"/>
      <c r="N1479" s="99"/>
      <c r="O1479" s="99"/>
      <c r="P1479" s="99"/>
      <c r="Q1479" s="99"/>
      <c r="R1479" s="99"/>
      <c r="S1479" s="99"/>
      <c r="T1479" s="99"/>
      <c r="U1479" s="105"/>
      <c r="V1479" s="262"/>
      <c r="W1479" s="121"/>
      <c r="X1479" s="121"/>
      <c r="Y1479" s="121"/>
      <c r="Z1479" s="121"/>
      <c r="AA1479" s="121"/>
      <c r="AB1479" s="121"/>
      <c r="AC1479" s="121"/>
      <c r="AD1479" s="121"/>
      <c r="AE1479" s="121"/>
      <c r="AF1479" s="121"/>
      <c r="AG1479" s="121"/>
      <c r="AH1479" s="121"/>
      <c r="AI1479" s="121"/>
    </row>
    <row r="1480" spans="1:35" s="115" customFormat="1" ht="14.4">
      <c r="A1480" s="187"/>
      <c r="B1480" s="190"/>
      <c r="C1480" s="190"/>
      <c r="D1480" s="69"/>
      <c r="E1480" s="69"/>
      <c r="F1480" s="149"/>
      <c r="G1480" s="146"/>
      <c r="H1480" s="98"/>
      <c r="I1480" s="99"/>
      <c r="J1480" s="99"/>
      <c r="K1480" s="99"/>
      <c r="L1480" s="99"/>
      <c r="M1480" s="99"/>
      <c r="N1480" s="99"/>
      <c r="O1480" s="99"/>
      <c r="P1480" s="99"/>
      <c r="Q1480" s="99"/>
      <c r="R1480" s="99"/>
      <c r="S1480" s="99"/>
      <c r="T1480" s="99"/>
      <c r="U1480" s="105"/>
      <c r="V1480" s="262"/>
      <c r="W1480" s="121"/>
      <c r="X1480" s="121"/>
      <c r="Y1480" s="121"/>
      <c r="Z1480" s="121"/>
      <c r="AA1480" s="121"/>
      <c r="AB1480" s="121"/>
      <c r="AC1480" s="121"/>
      <c r="AD1480" s="121"/>
      <c r="AE1480" s="121"/>
      <c r="AF1480" s="121"/>
      <c r="AG1480" s="121"/>
      <c r="AH1480" s="121"/>
      <c r="AI1480" s="121"/>
    </row>
    <row r="1481" spans="1:35" s="115" customFormat="1" ht="14.4">
      <c r="A1481" s="187"/>
      <c r="B1481" s="190"/>
      <c r="C1481" s="190"/>
      <c r="D1481" s="69"/>
      <c r="E1481" s="69"/>
      <c r="F1481" s="149"/>
      <c r="G1481" s="146"/>
      <c r="H1481" s="107"/>
      <c r="I1481" s="108"/>
      <c r="J1481" s="108"/>
      <c r="K1481" s="108"/>
      <c r="L1481" s="108"/>
      <c r="M1481" s="108"/>
      <c r="N1481" s="109"/>
      <c r="O1481" s="109"/>
      <c r="P1481" s="109"/>
      <c r="Q1481" s="109"/>
      <c r="R1481" s="109"/>
      <c r="S1481" s="109"/>
      <c r="T1481" s="109"/>
      <c r="U1481" s="105"/>
      <c r="V1481" s="262"/>
      <c r="W1481" s="121"/>
      <c r="X1481" s="121"/>
      <c r="Y1481" s="121"/>
      <c r="Z1481" s="121"/>
      <c r="AA1481" s="121"/>
      <c r="AB1481" s="121"/>
      <c r="AC1481" s="121"/>
      <c r="AD1481" s="121"/>
      <c r="AE1481" s="121"/>
      <c r="AF1481" s="121"/>
      <c r="AG1481" s="121"/>
      <c r="AH1481" s="121"/>
      <c r="AI1481" s="121"/>
    </row>
    <row r="1482" spans="1:35" s="115" customFormat="1" ht="14.4">
      <c r="A1482" s="187"/>
      <c r="B1482" s="190"/>
      <c r="C1482" s="190"/>
      <c r="D1482" s="69"/>
      <c r="E1482" s="69"/>
      <c r="F1482" s="149"/>
      <c r="G1482" s="146"/>
      <c r="H1482" s="98"/>
      <c r="I1482" s="106"/>
      <c r="J1482" s="106"/>
      <c r="K1482" s="106"/>
      <c r="L1482" s="106"/>
      <c r="M1482" s="106"/>
      <c r="N1482" s="112"/>
      <c r="O1482" s="112"/>
      <c r="P1482" s="112"/>
      <c r="Q1482" s="113"/>
      <c r="R1482" s="99"/>
      <c r="S1482" s="99"/>
      <c r="T1482" s="113"/>
      <c r="U1482" s="105"/>
      <c r="V1482" s="262"/>
      <c r="W1482" s="121"/>
      <c r="X1482" s="121"/>
      <c r="Y1482" s="121"/>
      <c r="Z1482" s="121"/>
      <c r="AA1482" s="121"/>
      <c r="AB1482" s="121"/>
      <c r="AC1482" s="121"/>
      <c r="AD1482" s="121"/>
      <c r="AE1482" s="121"/>
      <c r="AF1482" s="121"/>
      <c r="AG1482" s="121"/>
      <c r="AH1482" s="121"/>
      <c r="AI1482" s="121"/>
    </row>
    <row r="1483" spans="1:35" s="115" customFormat="1" ht="14.4">
      <c r="A1483" s="187"/>
      <c r="B1483" s="190"/>
      <c r="C1483" s="190"/>
      <c r="D1483" s="69"/>
      <c r="E1483" s="69"/>
      <c r="F1483" s="149"/>
      <c r="G1483" s="146"/>
      <c r="H1483" s="98"/>
      <c r="I1483" s="99"/>
      <c r="J1483" s="99"/>
      <c r="K1483" s="99"/>
      <c r="L1483" s="99"/>
      <c r="M1483" s="99"/>
      <c r="N1483" s="99"/>
      <c r="O1483" s="99"/>
      <c r="P1483" s="99"/>
      <c r="Q1483" s="99"/>
      <c r="R1483" s="99"/>
      <c r="S1483" s="99"/>
      <c r="T1483" s="99"/>
      <c r="U1483" s="105"/>
      <c r="V1483" s="262"/>
      <c r="W1483" s="121"/>
      <c r="X1483" s="121"/>
      <c r="Y1483" s="121"/>
      <c r="Z1483" s="121"/>
      <c r="AA1483" s="121"/>
      <c r="AB1483" s="121"/>
      <c r="AC1483" s="121"/>
      <c r="AD1483" s="121"/>
      <c r="AE1483" s="121"/>
      <c r="AF1483" s="121"/>
      <c r="AG1483" s="121"/>
      <c r="AH1483" s="121"/>
      <c r="AI1483" s="121"/>
    </row>
    <row r="1484" spans="1:35" s="115" customFormat="1" ht="14.4">
      <c r="A1484" s="187"/>
      <c r="B1484" s="190"/>
      <c r="C1484" s="190"/>
      <c r="D1484" s="69"/>
      <c r="E1484" s="69"/>
      <c r="F1484" s="149"/>
      <c r="G1484" s="146"/>
      <c r="H1484" s="98"/>
      <c r="I1484" s="99"/>
      <c r="J1484" s="99"/>
      <c r="K1484" s="99"/>
      <c r="L1484" s="99"/>
      <c r="M1484" s="99"/>
      <c r="N1484" s="99"/>
      <c r="O1484" s="99"/>
      <c r="P1484" s="99"/>
      <c r="Q1484" s="99"/>
      <c r="R1484" s="99"/>
      <c r="S1484" s="99"/>
      <c r="T1484" s="99"/>
      <c r="U1484" s="105"/>
      <c r="V1484" s="262"/>
      <c r="W1484" s="121"/>
      <c r="X1484" s="121"/>
      <c r="Y1484" s="121"/>
      <c r="Z1484" s="121"/>
      <c r="AA1484" s="121"/>
      <c r="AB1484" s="121"/>
      <c r="AC1484" s="121"/>
      <c r="AD1484" s="121"/>
      <c r="AE1484" s="121"/>
      <c r="AF1484" s="121"/>
      <c r="AG1484" s="121"/>
      <c r="AH1484" s="121"/>
      <c r="AI1484" s="121"/>
    </row>
    <row r="1485" spans="1:35" s="115" customFormat="1" ht="14.4">
      <c r="A1485" s="187"/>
      <c r="B1485" s="190"/>
      <c r="C1485" s="190"/>
      <c r="D1485" s="69"/>
      <c r="E1485" s="69"/>
      <c r="F1485" s="149"/>
      <c r="G1485" s="146"/>
      <c r="H1485" s="98"/>
      <c r="I1485" s="99"/>
      <c r="J1485" s="99"/>
      <c r="K1485" s="99"/>
      <c r="L1485" s="99"/>
      <c r="M1485" s="99"/>
      <c r="N1485" s="99"/>
      <c r="O1485" s="99"/>
      <c r="P1485" s="99"/>
      <c r="Q1485" s="99"/>
      <c r="R1485" s="99"/>
      <c r="S1485" s="99"/>
      <c r="T1485" s="99"/>
      <c r="U1485" s="105"/>
      <c r="V1485" s="262"/>
      <c r="W1485" s="121"/>
      <c r="X1485" s="121"/>
      <c r="Y1485" s="121"/>
      <c r="Z1485" s="121"/>
      <c r="AA1485" s="121"/>
      <c r="AB1485" s="121"/>
      <c r="AC1485" s="121"/>
      <c r="AD1485" s="121"/>
      <c r="AE1485" s="121"/>
      <c r="AF1485" s="121"/>
      <c r="AG1485" s="121"/>
      <c r="AH1485" s="121"/>
      <c r="AI1485" s="121"/>
    </row>
    <row r="1486" spans="1:35" s="115" customFormat="1" ht="14.4">
      <c r="A1486" s="187"/>
      <c r="B1486" s="190"/>
      <c r="C1486" s="190"/>
      <c r="D1486" s="69"/>
      <c r="E1486" s="69"/>
      <c r="F1486" s="149"/>
      <c r="G1486" s="146"/>
      <c r="H1486" s="98"/>
      <c r="I1486" s="99"/>
      <c r="J1486" s="99"/>
      <c r="K1486" s="99"/>
      <c r="L1486" s="99"/>
      <c r="M1486" s="99"/>
      <c r="N1486" s="99"/>
      <c r="O1486" s="99"/>
      <c r="P1486" s="99"/>
      <c r="Q1486" s="99"/>
      <c r="R1486" s="99"/>
      <c r="S1486" s="99"/>
      <c r="T1486" s="99"/>
      <c r="U1486" s="105"/>
      <c r="V1486" s="262"/>
      <c r="W1486" s="121"/>
      <c r="X1486" s="121"/>
      <c r="Y1486" s="121"/>
      <c r="Z1486" s="121"/>
      <c r="AA1486" s="121"/>
      <c r="AB1486" s="121"/>
      <c r="AC1486" s="121"/>
      <c r="AD1486" s="121"/>
      <c r="AE1486" s="121"/>
      <c r="AF1486" s="121"/>
      <c r="AG1486" s="121"/>
      <c r="AH1486" s="121"/>
      <c r="AI1486" s="121"/>
    </row>
    <row r="1487" spans="1:35" s="115" customFormat="1" ht="14.4">
      <c r="A1487" s="187"/>
      <c r="B1487" s="190"/>
      <c r="C1487" s="190"/>
      <c r="D1487" s="69"/>
      <c r="E1487" s="69"/>
      <c r="F1487" s="149"/>
      <c r="G1487" s="146"/>
      <c r="H1487" s="98"/>
      <c r="I1487" s="99"/>
      <c r="J1487" s="99"/>
      <c r="K1487" s="99"/>
      <c r="L1487" s="99"/>
      <c r="M1487" s="99"/>
      <c r="N1487" s="99"/>
      <c r="O1487" s="99"/>
      <c r="P1487" s="99"/>
      <c r="Q1487" s="99"/>
      <c r="R1487" s="99"/>
      <c r="S1487" s="99"/>
      <c r="T1487" s="99"/>
      <c r="U1487" s="105"/>
      <c r="V1487" s="262"/>
      <c r="W1487" s="121"/>
      <c r="X1487" s="121"/>
      <c r="Y1487" s="121"/>
      <c r="Z1487" s="121"/>
      <c r="AA1487" s="121"/>
      <c r="AB1487" s="121"/>
      <c r="AC1487" s="121"/>
      <c r="AD1487" s="121"/>
      <c r="AE1487" s="121"/>
      <c r="AF1487" s="121"/>
      <c r="AG1487" s="121"/>
      <c r="AH1487" s="121"/>
      <c r="AI1487" s="121"/>
    </row>
    <row r="1488" spans="1:35" s="115" customFormat="1" ht="14.4">
      <c r="A1488" s="187"/>
      <c r="B1488" s="190"/>
      <c r="C1488" s="190"/>
      <c r="D1488" s="69"/>
      <c r="E1488" s="69"/>
      <c r="F1488" s="149"/>
      <c r="G1488" s="146"/>
      <c r="H1488" s="98"/>
      <c r="I1488" s="99"/>
      <c r="J1488" s="99"/>
      <c r="K1488" s="99"/>
      <c r="L1488" s="99"/>
      <c r="M1488" s="99"/>
      <c r="N1488" s="99"/>
      <c r="O1488" s="99"/>
      <c r="P1488" s="99"/>
      <c r="Q1488" s="99"/>
      <c r="R1488" s="99"/>
      <c r="S1488" s="99"/>
      <c r="T1488" s="99"/>
      <c r="U1488" s="105"/>
      <c r="V1488" s="262"/>
      <c r="W1488" s="121"/>
      <c r="X1488" s="121"/>
      <c r="Y1488" s="121"/>
      <c r="Z1488" s="121"/>
      <c r="AA1488" s="121"/>
      <c r="AB1488" s="121"/>
      <c r="AC1488" s="121"/>
      <c r="AD1488" s="121"/>
      <c r="AE1488" s="121"/>
      <c r="AF1488" s="121"/>
      <c r="AG1488" s="121"/>
      <c r="AH1488" s="121"/>
      <c r="AI1488" s="121"/>
    </row>
    <row r="1489" spans="1:35" s="115" customFormat="1" ht="14.4">
      <c r="A1489" s="187"/>
      <c r="B1489" s="190"/>
      <c r="C1489" s="190"/>
      <c r="D1489" s="69"/>
      <c r="E1489" s="69"/>
      <c r="F1489" s="149"/>
      <c r="G1489" s="146"/>
      <c r="H1489" s="98"/>
      <c r="I1489" s="99"/>
      <c r="J1489" s="99"/>
      <c r="K1489" s="99"/>
      <c r="L1489" s="99"/>
      <c r="M1489" s="99"/>
      <c r="N1489" s="99"/>
      <c r="O1489" s="99"/>
      <c r="P1489" s="99"/>
      <c r="Q1489" s="99"/>
      <c r="R1489" s="99"/>
      <c r="S1489" s="99"/>
      <c r="T1489" s="99"/>
      <c r="U1489" s="105"/>
      <c r="V1489" s="262"/>
      <c r="W1489" s="121"/>
      <c r="X1489" s="121"/>
      <c r="Y1489" s="121"/>
      <c r="Z1489" s="121"/>
      <c r="AA1489" s="121"/>
      <c r="AB1489" s="121"/>
      <c r="AC1489" s="121"/>
      <c r="AD1489" s="121"/>
      <c r="AE1489" s="121"/>
      <c r="AF1489" s="121"/>
      <c r="AG1489" s="121"/>
      <c r="AH1489" s="121"/>
      <c r="AI1489" s="121"/>
    </row>
    <row r="1490" spans="1:35" s="115" customFormat="1" ht="14.4">
      <c r="A1490" s="187"/>
      <c r="B1490" s="190"/>
      <c r="C1490" s="190"/>
      <c r="D1490" s="69"/>
      <c r="E1490" s="69"/>
      <c r="F1490" s="149"/>
      <c r="G1490" s="146"/>
      <c r="H1490" s="98"/>
      <c r="I1490" s="99"/>
      <c r="J1490" s="99"/>
      <c r="K1490" s="99"/>
      <c r="L1490" s="99"/>
      <c r="M1490" s="99"/>
      <c r="N1490" s="99"/>
      <c r="O1490" s="99"/>
      <c r="P1490" s="99"/>
      <c r="Q1490" s="99"/>
      <c r="R1490" s="99"/>
      <c r="S1490" s="99"/>
      <c r="T1490" s="99"/>
      <c r="U1490" s="105"/>
      <c r="V1490" s="262"/>
      <c r="W1490" s="121"/>
      <c r="X1490" s="121"/>
      <c r="Y1490" s="121"/>
      <c r="Z1490" s="121"/>
      <c r="AA1490" s="121"/>
      <c r="AB1490" s="121"/>
      <c r="AC1490" s="121"/>
      <c r="AD1490" s="121"/>
      <c r="AE1490" s="121"/>
      <c r="AF1490" s="121"/>
      <c r="AG1490" s="121"/>
      <c r="AH1490" s="121"/>
      <c r="AI1490" s="121"/>
    </row>
    <row r="1491" spans="1:35" s="115" customFormat="1" ht="14.4">
      <c r="A1491" s="187"/>
      <c r="B1491" s="190"/>
      <c r="C1491" s="190"/>
      <c r="D1491" s="69"/>
      <c r="E1491" s="69"/>
      <c r="F1491" s="149"/>
      <c r="G1491" s="146"/>
      <c r="H1491" s="98"/>
      <c r="I1491" s="99"/>
      <c r="J1491" s="99"/>
      <c r="K1491" s="99"/>
      <c r="L1491" s="99"/>
      <c r="M1491" s="99"/>
      <c r="N1491" s="99"/>
      <c r="O1491" s="99"/>
      <c r="P1491" s="99"/>
      <c r="Q1491" s="99"/>
      <c r="R1491" s="99"/>
      <c r="S1491" s="99"/>
      <c r="T1491" s="99"/>
      <c r="U1491" s="105"/>
      <c r="V1491" s="262"/>
      <c r="W1491" s="121"/>
      <c r="X1491" s="121"/>
      <c r="Y1491" s="121"/>
      <c r="Z1491" s="121"/>
      <c r="AA1491" s="121"/>
      <c r="AB1491" s="121"/>
      <c r="AC1491" s="121"/>
      <c r="AD1491" s="121"/>
      <c r="AE1491" s="121"/>
      <c r="AF1491" s="121"/>
      <c r="AG1491" s="121"/>
      <c r="AH1491" s="121"/>
      <c r="AI1491" s="121"/>
    </row>
    <row r="1492" spans="1:35" s="115" customFormat="1" ht="14.4">
      <c r="A1492" s="187"/>
      <c r="B1492" s="190"/>
      <c r="C1492" s="190"/>
      <c r="D1492" s="69"/>
      <c r="E1492" s="69"/>
      <c r="F1492" s="149"/>
      <c r="G1492" s="146"/>
      <c r="H1492" s="98"/>
      <c r="I1492" s="99"/>
      <c r="J1492" s="99"/>
      <c r="K1492" s="99"/>
      <c r="L1492" s="99"/>
      <c r="M1492" s="99"/>
      <c r="N1492" s="99"/>
      <c r="O1492" s="99"/>
      <c r="P1492" s="99"/>
      <c r="Q1492" s="99"/>
      <c r="R1492" s="99"/>
      <c r="S1492" s="99"/>
      <c r="T1492" s="99"/>
      <c r="U1492" s="105"/>
      <c r="V1492" s="262"/>
      <c r="W1492" s="121"/>
      <c r="X1492" s="121"/>
      <c r="Y1492" s="121"/>
      <c r="Z1492" s="121"/>
      <c r="AA1492" s="121"/>
      <c r="AB1492" s="121"/>
      <c r="AC1492" s="121"/>
      <c r="AD1492" s="121"/>
      <c r="AE1492" s="121"/>
      <c r="AF1492" s="121"/>
      <c r="AG1492" s="121"/>
      <c r="AH1492" s="121"/>
      <c r="AI1492" s="121"/>
    </row>
    <row r="1493" spans="1:35" s="115" customFormat="1" ht="14.4">
      <c r="A1493" s="187"/>
      <c r="B1493" s="190"/>
      <c r="C1493" s="190"/>
      <c r="D1493" s="69"/>
      <c r="E1493" s="69"/>
      <c r="F1493" s="149"/>
      <c r="G1493" s="146"/>
      <c r="H1493" s="98"/>
      <c r="I1493" s="99"/>
      <c r="J1493" s="99"/>
      <c r="K1493" s="99"/>
      <c r="L1493" s="99"/>
      <c r="M1493" s="99"/>
      <c r="N1493" s="99"/>
      <c r="O1493" s="99"/>
      <c r="P1493" s="99"/>
      <c r="Q1493" s="99"/>
      <c r="R1493" s="99"/>
      <c r="S1493" s="99"/>
      <c r="T1493" s="99"/>
      <c r="U1493" s="105"/>
      <c r="V1493" s="262"/>
      <c r="W1493" s="121"/>
      <c r="X1493" s="121"/>
      <c r="Y1493" s="121"/>
      <c r="Z1493" s="121"/>
      <c r="AA1493" s="121"/>
      <c r="AB1493" s="121"/>
      <c r="AC1493" s="121"/>
      <c r="AD1493" s="121"/>
      <c r="AE1493" s="121"/>
      <c r="AF1493" s="121"/>
      <c r="AG1493" s="121"/>
      <c r="AH1493" s="121"/>
      <c r="AI1493" s="121"/>
    </row>
    <row r="1494" spans="1:35" s="115" customFormat="1" ht="14.4">
      <c r="A1494" s="187"/>
      <c r="B1494" s="190"/>
      <c r="C1494" s="190"/>
      <c r="D1494" s="69"/>
      <c r="E1494" s="69"/>
      <c r="F1494" s="149"/>
      <c r="G1494" s="146"/>
      <c r="H1494" s="107"/>
      <c r="I1494" s="108"/>
      <c r="J1494" s="108"/>
      <c r="K1494" s="108"/>
      <c r="L1494" s="108"/>
      <c r="M1494" s="108"/>
      <c r="N1494" s="108"/>
      <c r="O1494" s="108"/>
      <c r="P1494" s="108"/>
      <c r="Q1494" s="108"/>
      <c r="R1494" s="108"/>
      <c r="S1494" s="108"/>
      <c r="T1494" s="108"/>
      <c r="U1494" s="105"/>
      <c r="V1494" s="262"/>
      <c r="W1494" s="121"/>
      <c r="X1494" s="121"/>
      <c r="Y1494" s="121"/>
      <c r="Z1494" s="121"/>
      <c r="AA1494" s="121"/>
      <c r="AB1494" s="121"/>
      <c r="AC1494" s="121"/>
      <c r="AD1494" s="121"/>
      <c r="AE1494" s="121"/>
      <c r="AF1494" s="121"/>
      <c r="AG1494" s="121"/>
      <c r="AH1494" s="121"/>
      <c r="AI1494" s="121"/>
    </row>
    <row r="1495" spans="1:35" s="115" customFormat="1" ht="14.4">
      <c r="A1495" s="187"/>
      <c r="B1495" s="190"/>
      <c r="C1495" s="190"/>
      <c r="D1495" s="69"/>
      <c r="E1495" s="69"/>
      <c r="F1495" s="149"/>
      <c r="G1495" s="146"/>
      <c r="H1495" s="98"/>
      <c r="I1495" s="106"/>
      <c r="J1495" s="106"/>
      <c r="K1495" s="106"/>
      <c r="L1495" s="106"/>
      <c r="M1495" s="106"/>
      <c r="N1495" s="112"/>
      <c r="O1495" s="112"/>
      <c r="P1495" s="112"/>
      <c r="Q1495" s="113"/>
      <c r="R1495" s="99"/>
      <c r="S1495" s="99"/>
      <c r="T1495" s="113"/>
      <c r="U1495" s="105"/>
      <c r="V1495" s="262"/>
      <c r="W1495" s="121"/>
      <c r="X1495" s="121"/>
      <c r="Y1495" s="121"/>
      <c r="Z1495" s="121"/>
      <c r="AA1495" s="121"/>
      <c r="AB1495" s="121"/>
      <c r="AC1495" s="121"/>
      <c r="AD1495" s="121"/>
      <c r="AE1495" s="121"/>
      <c r="AF1495" s="121"/>
      <c r="AG1495" s="121"/>
      <c r="AH1495" s="121"/>
      <c r="AI1495" s="121"/>
    </row>
    <row r="1496" spans="1:35" s="115" customFormat="1" ht="14.4">
      <c r="A1496" s="187"/>
      <c r="B1496" s="190"/>
      <c r="C1496" s="190"/>
      <c r="D1496" s="69"/>
      <c r="E1496" s="69"/>
      <c r="F1496" s="149"/>
      <c r="G1496" s="146"/>
      <c r="H1496" s="98"/>
      <c r="I1496" s="99"/>
      <c r="J1496" s="99"/>
      <c r="K1496" s="99"/>
      <c r="L1496" s="99"/>
      <c r="M1496" s="99"/>
      <c r="N1496" s="99"/>
      <c r="O1496" s="99"/>
      <c r="P1496" s="99"/>
      <c r="Q1496" s="99"/>
      <c r="R1496" s="99"/>
      <c r="S1496" s="99"/>
      <c r="T1496" s="99"/>
      <c r="U1496" s="105"/>
      <c r="V1496" s="262"/>
      <c r="W1496" s="121"/>
      <c r="X1496" s="121"/>
      <c r="Y1496" s="121"/>
      <c r="Z1496" s="121"/>
      <c r="AA1496" s="121"/>
      <c r="AB1496" s="121"/>
      <c r="AC1496" s="121"/>
      <c r="AD1496" s="121"/>
      <c r="AE1496" s="121"/>
      <c r="AF1496" s="121"/>
      <c r="AG1496" s="121"/>
      <c r="AH1496" s="121"/>
      <c r="AI1496" s="121"/>
    </row>
    <row r="1497" spans="1:35" s="115" customFormat="1" ht="14.4">
      <c r="A1497" s="187"/>
      <c r="B1497" s="190"/>
      <c r="C1497" s="190"/>
      <c r="D1497" s="69"/>
      <c r="E1497" s="69"/>
      <c r="F1497" s="149"/>
      <c r="G1497" s="146"/>
      <c r="H1497" s="98"/>
      <c r="I1497" s="99"/>
      <c r="J1497" s="99"/>
      <c r="K1497" s="99"/>
      <c r="L1497" s="99"/>
      <c r="M1497" s="99"/>
      <c r="N1497" s="99"/>
      <c r="O1497" s="99"/>
      <c r="P1497" s="99"/>
      <c r="Q1497" s="99"/>
      <c r="R1497" s="99"/>
      <c r="S1497" s="99"/>
      <c r="T1497" s="99"/>
      <c r="U1497" s="105"/>
      <c r="V1497" s="262"/>
      <c r="W1497" s="121"/>
      <c r="X1497" s="121"/>
      <c r="Y1497" s="121"/>
      <c r="Z1497" s="121"/>
      <c r="AA1497" s="121"/>
      <c r="AB1497" s="121"/>
      <c r="AC1497" s="121"/>
      <c r="AD1497" s="121"/>
      <c r="AE1497" s="121"/>
      <c r="AF1497" s="121"/>
      <c r="AG1497" s="121"/>
      <c r="AH1497" s="121"/>
      <c r="AI1497" s="121"/>
    </row>
    <row r="1498" spans="1:35" s="115" customFormat="1" ht="14.4">
      <c r="A1498" s="187"/>
      <c r="B1498" s="190"/>
      <c r="C1498" s="190"/>
      <c r="D1498" s="69"/>
      <c r="E1498" s="69"/>
      <c r="F1498" s="149"/>
      <c r="G1498" s="146"/>
      <c r="H1498" s="98"/>
      <c r="I1498" s="99"/>
      <c r="J1498" s="99"/>
      <c r="K1498" s="99"/>
      <c r="L1498" s="99"/>
      <c r="M1498" s="99"/>
      <c r="N1498" s="99"/>
      <c r="O1498" s="99"/>
      <c r="P1498" s="99"/>
      <c r="Q1498" s="99"/>
      <c r="R1498" s="99"/>
      <c r="S1498" s="99"/>
      <c r="T1498" s="99"/>
      <c r="U1498" s="105"/>
      <c r="V1498" s="262"/>
      <c r="W1498" s="121"/>
      <c r="X1498" s="121"/>
      <c r="Y1498" s="121"/>
      <c r="Z1498" s="121"/>
      <c r="AA1498" s="121"/>
      <c r="AB1498" s="121"/>
      <c r="AC1498" s="121"/>
      <c r="AD1498" s="121"/>
      <c r="AE1498" s="121"/>
      <c r="AF1498" s="121"/>
      <c r="AG1498" s="121"/>
      <c r="AH1498" s="121"/>
      <c r="AI1498" s="121"/>
    </row>
    <row r="1499" spans="1:35" s="115" customFormat="1" ht="14.4">
      <c r="A1499" s="187"/>
      <c r="B1499" s="190"/>
      <c r="C1499" s="190"/>
      <c r="D1499" s="69"/>
      <c r="E1499" s="69"/>
      <c r="F1499" s="149"/>
      <c r="G1499" s="146"/>
      <c r="H1499" s="98"/>
      <c r="I1499" s="99"/>
      <c r="J1499" s="99"/>
      <c r="K1499" s="99"/>
      <c r="L1499" s="99"/>
      <c r="M1499" s="99"/>
      <c r="N1499" s="99"/>
      <c r="O1499" s="99"/>
      <c r="P1499" s="99"/>
      <c r="Q1499" s="99"/>
      <c r="R1499" s="99"/>
      <c r="S1499" s="99"/>
      <c r="T1499" s="99"/>
      <c r="U1499" s="105"/>
      <c r="V1499" s="262"/>
      <c r="W1499" s="121"/>
      <c r="X1499" s="121"/>
      <c r="Y1499" s="121"/>
      <c r="Z1499" s="121"/>
      <c r="AA1499" s="121"/>
      <c r="AB1499" s="121"/>
      <c r="AC1499" s="121"/>
      <c r="AD1499" s="121"/>
      <c r="AE1499" s="121"/>
      <c r="AF1499" s="121"/>
      <c r="AG1499" s="121"/>
      <c r="AH1499" s="121"/>
      <c r="AI1499" s="121"/>
    </row>
    <row r="1500" spans="1:35" s="115" customFormat="1" ht="24" customHeight="1">
      <c r="A1500" s="187"/>
      <c r="B1500" s="190"/>
      <c r="C1500" s="190"/>
      <c r="D1500" s="69"/>
      <c r="E1500" s="69"/>
      <c r="F1500" s="149"/>
      <c r="G1500" s="146"/>
      <c r="H1500" s="98"/>
      <c r="I1500" s="99"/>
      <c r="J1500" s="99"/>
      <c r="K1500" s="99"/>
      <c r="L1500" s="99"/>
      <c r="M1500" s="99"/>
      <c r="N1500" s="99"/>
      <c r="O1500" s="99"/>
      <c r="P1500" s="99"/>
      <c r="Q1500" s="99"/>
      <c r="R1500" s="99"/>
      <c r="S1500" s="99"/>
      <c r="T1500" s="99"/>
      <c r="U1500" s="105"/>
      <c r="V1500" s="262"/>
      <c r="W1500" s="121"/>
      <c r="X1500" s="121"/>
      <c r="Y1500" s="121"/>
      <c r="Z1500" s="121"/>
      <c r="AA1500" s="121"/>
      <c r="AB1500" s="121"/>
      <c r="AC1500" s="121"/>
      <c r="AD1500" s="121"/>
      <c r="AE1500" s="121"/>
      <c r="AF1500" s="121"/>
      <c r="AG1500" s="121"/>
      <c r="AH1500" s="121"/>
      <c r="AI1500" s="121"/>
    </row>
    <row r="1501" spans="1:35" s="115" customFormat="1" ht="14.4">
      <c r="A1501" s="187"/>
      <c r="B1501" s="190"/>
      <c r="C1501" s="190"/>
      <c r="D1501" s="69"/>
      <c r="E1501" s="69"/>
      <c r="F1501" s="149"/>
      <c r="G1501" s="146"/>
      <c r="H1501" s="98"/>
      <c r="I1501" s="99"/>
      <c r="J1501" s="99"/>
      <c r="K1501" s="99"/>
      <c r="L1501" s="99"/>
      <c r="M1501" s="99"/>
      <c r="N1501" s="99"/>
      <c r="O1501" s="99"/>
      <c r="P1501" s="99"/>
      <c r="Q1501" s="99"/>
      <c r="R1501" s="99"/>
      <c r="S1501" s="99"/>
      <c r="T1501" s="99"/>
      <c r="U1501" s="105"/>
      <c r="V1501" s="262"/>
      <c r="W1501" s="121"/>
      <c r="X1501" s="121"/>
      <c r="Y1501" s="121"/>
      <c r="Z1501" s="121"/>
      <c r="AA1501" s="121"/>
      <c r="AB1501" s="121"/>
      <c r="AC1501" s="121"/>
      <c r="AD1501" s="121"/>
      <c r="AE1501" s="121"/>
      <c r="AF1501" s="121"/>
      <c r="AG1501" s="121"/>
      <c r="AH1501" s="121"/>
      <c r="AI1501" s="121"/>
    </row>
    <row r="1502" spans="1:35" s="115" customFormat="1" ht="14.4">
      <c r="A1502" s="187"/>
      <c r="B1502" s="190"/>
      <c r="C1502" s="190"/>
      <c r="D1502" s="69"/>
      <c r="E1502" s="69"/>
      <c r="F1502" s="149"/>
      <c r="G1502" s="146"/>
      <c r="H1502" s="98"/>
      <c r="I1502" s="99"/>
      <c r="J1502" s="99"/>
      <c r="K1502" s="99"/>
      <c r="L1502" s="99"/>
      <c r="M1502" s="99"/>
      <c r="N1502" s="99"/>
      <c r="O1502" s="99"/>
      <c r="P1502" s="99"/>
      <c r="Q1502" s="99"/>
      <c r="R1502" s="99"/>
      <c r="S1502" s="99"/>
      <c r="T1502" s="99"/>
      <c r="U1502" s="105"/>
      <c r="V1502" s="262"/>
      <c r="W1502" s="121"/>
      <c r="X1502" s="121"/>
      <c r="Y1502" s="121"/>
      <c r="Z1502" s="121"/>
      <c r="AA1502" s="121"/>
      <c r="AB1502" s="121"/>
      <c r="AC1502" s="121"/>
      <c r="AD1502" s="121"/>
      <c r="AE1502" s="121"/>
      <c r="AF1502" s="121"/>
      <c r="AG1502" s="121"/>
      <c r="AH1502" s="121"/>
      <c r="AI1502" s="121"/>
    </row>
    <row r="1503" spans="1:35" s="115" customFormat="1" ht="14.4">
      <c r="A1503" s="187"/>
      <c r="B1503" s="190"/>
      <c r="C1503" s="190"/>
      <c r="D1503" s="69"/>
      <c r="E1503" s="69"/>
      <c r="F1503" s="149"/>
      <c r="G1503" s="146"/>
      <c r="H1503" s="98"/>
      <c r="I1503" s="99"/>
      <c r="J1503" s="99"/>
      <c r="K1503" s="99"/>
      <c r="L1503" s="99"/>
      <c r="M1503" s="99"/>
      <c r="N1503" s="99"/>
      <c r="O1503" s="99"/>
      <c r="P1503" s="99"/>
      <c r="Q1503" s="99"/>
      <c r="R1503" s="99"/>
      <c r="S1503" s="99"/>
      <c r="T1503" s="99"/>
      <c r="U1503" s="105"/>
      <c r="V1503" s="262"/>
      <c r="W1503" s="121"/>
      <c r="X1503" s="121"/>
      <c r="Y1503" s="121"/>
      <c r="Z1503" s="121"/>
      <c r="AA1503" s="121"/>
      <c r="AB1503" s="121"/>
      <c r="AC1503" s="121"/>
      <c r="AD1503" s="121"/>
      <c r="AE1503" s="121"/>
      <c r="AF1503" s="121"/>
      <c r="AG1503" s="121"/>
      <c r="AH1503" s="121"/>
      <c r="AI1503" s="121"/>
    </row>
    <row r="1504" spans="1:35" s="115" customFormat="1" ht="14.4">
      <c r="A1504" s="187"/>
      <c r="B1504" s="190"/>
      <c r="C1504" s="190"/>
      <c r="D1504" s="69"/>
      <c r="E1504" s="69"/>
      <c r="F1504" s="149"/>
      <c r="G1504" s="146"/>
      <c r="H1504" s="98"/>
      <c r="I1504" s="99"/>
      <c r="J1504" s="99"/>
      <c r="K1504" s="99"/>
      <c r="L1504" s="99"/>
      <c r="M1504" s="99"/>
      <c r="N1504" s="99"/>
      <c r="O1504" s="99"/>
      <c r="P1504" s="99"/>
      <c r="Q1504" s="99"/>
      <c r="R1504" s="99"/>
      <c r="S1504" s="99"/>
      <c r="T1504" s="99"/>
      <c r="U1504" s="105"/>
      <c r="V1504" s="262"/>
      <c r="W1504" s="121"/>
      <c r="X1504" s="121"/>
      <c r="Y1504" s="121"/>
      <c r="Z1504" s="121"/>
      <c r="AA1504" s="121"/>
      <c r="AB1504" s="121"/>
      <c r="AC1504" s="121"/>
      <c r="AD1504" s="121"/>
      <c r="AE1504" s="121"/>
      <c r="AF1504" s="121"/>
      <c r="AG1504" s="121"/>
      <c r="AH1504" s="121"/>
      <c r="AI1504" s="121"/>
    </row>
    <row r="1505" spans="1:35" s="115" customFormat="1" ht="14.4">
      <c r="A1505" s="187"/>
      <c r="B1505" s="190"/>
      <c r="C1505" s="190"/>
      <c r="D1505" s="69"/>
      <c r="E1505" s="69"/>
      <c r="F1505" s="149"/>
      <c r="G1505" s="146"/>
      <c r="H1505" s="98"/>
      <c r="I1505" s="99"/>
      <c r="J1505" s="99"/>
      <c r="K1505" s="99"/>
      <c r="L1505" s="99"/>
      <c r="M1505" s="99"/>
      <c r="N1505" s="99"/>
      <c r="O1505" s="99"/>
      <c r="P1505" s="99"/>
      <c r="Q1505" s="99"/>
      <c r="R1505" s="99"/>
      <c r="S1505" s="99"/>
      <c r="T1505" s="99"/>
      <c r="U1505" s="105"/>
      <c r="V1505" s="262"/>
      <c r="W1505" s="121"/>
      <c r="X1505" s="121"/>
      <c r="Y1505" s="121"/>
      <c r="Z1505" s="121"/>
      <c r="AA1505" s="121"/>
      <c r="AB1505" s="121"/>
      <c r="AC1505" s="121"/>
      <c r="AD1505" s="121"/>
      <c r="AE1505" s="121"/>
      <c r="AF1505" s="121"/>
      <c r="AG1505" s="121"/>
      <c r="AH1505" s="121"/>
      <c r="AI1505" s="121"/>
    </row>
    <row r="1506" spans="1:35" s="115" customFormat="1" ht="14.4">
      <c r="A1506" s="187"/>
      <c r="B1506" s="190"/>
      <c r="C1506" s="190"/>
      <c r="D1506" s="69"/>
      <c r="E1506" s="69"/>
      <c r="F1506" s="149"/>
      <c r="G1506" s="146"/>
      <c r="H1506" s="98"/>
      <c r="I1506" s="99"/>
      <c r="J1506" s="99"/>
      <c r="K1506" s="99"/>
      <c r="L1506" s="99"/>
      <c r="M1506" s="99"/>
      <c r="N1506" s="99"/>
      <c r="O1506" s="99"/>
      <c r="P1506" s="99"/>
      <c r="Q1506" s="99"/>
      <c r="R1506" s="99"/>
      <c r="S1506" s="99"/>
      <c r="T1506" s="99"/>
      <c r="U1506" s="105"/>
      <c r="V1506" s="262"/>
      <c r="W1506" s="121"/>
      <c r="X1506" s="121"/>
      <c r="Y1506" s="121"/>
      <c r="Z1506" s="121"/>
      <c r="AA1506" s="121"/>
      <c r="AB1506" s="121"/>
      <c r="AC1506" s="121"/>
      <c r="AD1506" s="121"/>
      <c r="AE1506" s="121"/>
      <c r="AF1506" s="121"/>
      <c r="AG1506" s="121"/>
      <c r="AH1506" s="121"/>
      <c r="AI1506" s="121"/>
    </row>
    <row r="1507" spans="1:35" s="115" customFormat="1" ht="14.4">
      <c r="A1507" s="187"/>
      <c r="B1507" s="190"/>
      <c r="C1507" s="190"/>
      <c r="D1507" s="69"/>
      <c r="E1507" s="69"/>
      <c r="F1507" s="149"/>
      <c r="G1507" s="146"/>
      <c r="H1507" s="98"/>
      <c r="I1507" s="99"/>
      <c r="J1507" s="99"/>
      <c r="K1507" s="99"/>
      <c r="L1507" s="99"/>
      <c r="M1507" s="99"/>
      <c r="N1507" s="99"/>
      <c r="O1507" s="99"/>
      <c r="P1507" s="99"/>
      <c r="Q1507" s="99"/>
      <c r="R1507" s="99"/>
      <c r="S1507" s="99"/>
      <c r="T1507" s="99"/>
      <c r="U1507" s="105"/>
      <c r="V1507" s="262"/>
      <c r="W1507" s="121"/>
      <c r="X1507" s="121"/>
      <c r="Y1507" s="121"/>
      <c r="Z1507" s="121"/>
      <c r="AA1507" s="121"/>
      <c r="AB1507" s="121"/>
      <c r="AC1507" s="121"/>
      <c r="AD1507" s="121"/>
      <c r="AE1507" s="121"/>
      <c r="AF1507" s="121"/>
      <c r="AG1507" s="121"/>
      <c r="AH1507" s="121"/>
      <c r="AI1507" s="121"/>
    </row>
    <row r="1508" spans="1:35" s="115" customFormat="1" ht="14.4">
      <c r="A1508" s="187"/>
      <c r="B1508" s="190"/>
      <c r="C1508" s="190"/>
      <c r="D1508" s="69"/>
      <c r="E1508" s="69"/>
      <c r="F1508" s="149"/>
      <c r="G1508" s="146"/>
      <c r="H1508" s="98"/>
      <c r="I1508" s="99"/>
      <c r="J1508" s="99"/>
      <c r="K1508" s="99"/>
      <c r="L1508" s="99"/>
      <c r="M1508" s="99"/>
      <c r="N1508" s="99"/>
      <c r="O1508" s="99"/>
      <c r="P1508" s="99"/>
      <c r="Q1508" s="99"/>
      <c r="R1508" s="99"/>
      <c r="S1508" s="99"/>
      <c r="T1508" s="99"/>
      <c r="U1508" s="105"/>
      <c r="V1508" s="262"/>
      <c r="W1508" s="121"/>
      <c r="X1508" s="121"/>
      <c r="Y1508" s="121"/>
      <c r="Z1508" s="121"/>
      <c r="AA1508" s="121"/>
      <c r="AB1508" s="121"/>
      <c r="AC1508" s="121"/>
      <c r="AD1508" s="121"/>
      <c r="AE1508" s="121"/>
      <c r="AF1508" s="121"/>
      <c r="AG1508" s="121"/>
      <c r="AH1508" s="121"/>
      <c r="AI1508" s="121"/>
    </row>
    <row r="1509" spans="1:35" s="115" customFormat="1" ht="14.4">
      <c r="A1509" s="187"/>
      <c r="B1509" s="190"/>
      <c r="C1509" s="190"/>
      <c r="D1509" s="69"/>
      <c r="E1509" s="69"/>
      <c r="F1509" s="149"/>
      <c r="G1509" s="146"/>
      <c r="H1509" s="98"/>
      <c r="I1509" s="99"/>
      <c r="J1509" s="99"/>
      <c r="K1509" s="99"/>
      <c r="L1509" s="99"/>
      <c r="M1509" s="99"/>
      <c r="N1509" s="99"/>
      <c r="O1509" s="99"/>
      <c r="P1509" s="99"/>
      <c r="Q1509" s="99"/>
      <c r="R1509" s="99"/>
      <c r="S1509" s="99"/>
      <c r="T1509" s="99"/>
      <c r="U1509" s="105"/>
      <c r="V1509" s="262"/>
      <c r="W1509" s="121"/>
      <c r="X1509" s="121"/>
      <c r="Y1509" s="121"/>
      <c r="Z1509" s="121"/>
      <c r="AA1509" s="121"/>
      <c r="AB1509" s="121"/>
      <c r="AC1509" s="121"/>
      <c r="AD1509" s="121"/>
      <c r="AE1509" s="121"/>
      <c r="AF1509" s="121"/>
      <c r="AG1509" s="121"/>
      <c r="AH1509" s="121"/>
      <c r="AI1509" s="121"/>
    </row>
    <row r="1510" spans="1:35" s="115" customFormat="1" ht="14.4">
      <c r="A1510" s="187"/>
      <c r="B1510" s="190"/>
      <c r="C1510" s="190"/>
      <c r="D1510" s="69"/>
      <c r="E1510" s="69"/>
      <c r="F1510" s="149"/>
      <c r="G1510" s="146"/>
      <c r="H1510" s="98"/>
      <c r="I1510" s="99"/>
      <c r="J1510" s="99"/>
      <c r="K1510" s="99"/>
      <c r="L1510" s="99"/>
      <c r="M1510" s="99"/>
      <c r="N1510" s="99"/>
      <c r="O1510" s="99"/>
      <c r="P1510" s="99"/>
      <c r="Q1510" s="99"/>
      <c r="R1510" s="99"/>
      <c r="S1510" s="99"/>
      <c r="T1510" s="99"/>
      <c r="U1510" s="105"/>
      <c r="V1510" s="262"/>
      <c r="W1510" s="121"/>
      <c r="X1510" s="121"/>
      <c r="Y1510" s="121"/>
      <c r="Z1510" s="121"/>
      <c r="AA1510" s="121"/>
      <c r="AB1510" s="121"/>
      <c r="AC1510" s="121"/>
      <c r="AD1510" s="121"/>
      <c r="AE1510" s="121"/>
      <c r="AF1510" s="121"/>
      <c r="AG1510" s="121"/>
      <c r="AH1510" s="121"/>
      <c r="AI1510" s="121"/>
    </row>
    <row r="1511" spans="1:35" s="115" customFormat="1" ht="14.4">
      <c r="A1511" s="187"/>
      <c r="B1511" s="190"/>
      <c r="C1511" s="190"/>
      <c r="D1511" s="69"/>
      <c r="E1511" s="69"/>
      <c r="F1511" s="149"/>
      <c r="G1511" s="146"/>
      <c r="H1511" s="98"/>
      <c r="I1511" s="99"/>
      <c r="J1511" s="99"/>
      <c r="K1511" s="99"/>
      <c r="L1511" s="99"/>
      <c r="M1511" s="99"/>
      <c r="N1511" s="99"/>
      <c r="O1511" s="99"/>
      <c r="P1511" s="99"/>
      <c r="Q1511" s="99"/>
      <c r="R1511" s="99"/>
      <c r="S1511" s="99"/>
      <c r="T1511" s="99"/>
      <c r="U1511" s="105"/>
      <c r="V1511" s="262"/>
      <c r="W1511" s="121"/>
      <c r="X1511" s="121"/>
      <c r="Y1511" s="121"/>
      <c r="Z1511" s="121"/>
      <c r="AA1511" s="121"/>
      <c r="AB1511" s="121"/>
      <c r="AC1511" s="121"/>
      <c r="AD1511" s="121"/>
      <c r="AE1511" s="121"/>
      <c r="AF1511" s="121"/>
      <c r="AG1511" s="121"/>
      <c r="AH1511" s="121"/>
      <c r="AI1511" s="121"/>
    </row>
    <row r="1512" spans="1:35" s="115" customFormat="1" ht="14.4">
      <c r="A1512" s="187"/>
      <c r="B1512" s="190"/>
      <c r="C1512" s="190"/>
      <c r="D1512" s="69"/>
      <c r="E1512" s="69"/>
      <c r="F1512" s="149"/>
      <c r="G1512" s="146"/>
      <c r="H1512" s="107"/>
      <c r="I1512" s="108"/>
      <c r="J1512" s="108"/>
      <c r="K1512" s="108"/>
      <c r="L1512" s="108"/>
      <c r="M1512" s="108"/>
      <c r="N1512" s="108"/>
      <c r="O1512" s="108"/>
      <c r="P1512" s="108"/>
      <c r="Q1512" s="108"/>
      <c r="R1512" s="108"/>
      <c r="S1512" s="108"/>
      <c r="T1512" s="108"/>
      <c r="U1512" s="105"/>
      <c r="V1512" s="262"/>
      <c r="W1512" s="121"/>
      <c r="X1512" s="121"/>
      <c r="Y1512" s="121"/>
      <c r="Z1512" s="121"/>
      <c r="AA1512" s="121"/>
      <c r="AB1512" s="121"/>
      <c r="AC1512" s="121"/>
      <c r="AD1512" s="121"/>
      <c r="AE1512" s="121"/>
      <c r="AF1512" s="121"/>
      <c r="AG1512" s="121"/>
      <c r="AH1512" s="121"/>
      <c r="AI1512" s="121"/>
    </row>
    <row r="1513" spans="1:35" s="115" customFormat="1" ht="14.4">
      <c r="A1513" s="187"/>
      <c r="B1513" s="190"/>
      <c r="C1513" s="190"/>
      <c r="D1513" s="69"/>
      <c r="E1513" s="69"/>
      <c r="F1513" s="149"/>
      <c r="G1513" s="146"/>
      <c r="H1513" s="98"/>
      <c r="I1513" s="106"/>
      <c r="J1513" s="106"/>
      <c r="K1513" s="106"/>
      <c r="L1513" s="106"/>
      <c r="M1513" s="106"/>
      <c r="N1513" s="112"/>
      <c r="O1513" s="112"/>
      <c r="P1513" s="112"/>
      <c r="Q1513" s="113"/>
      <c r="R1513" s="99"/>
      <c r="S1513" s="99"/>
      <c r="T1513" s="113"/>
      <c r="U1513" s="105"/>
      <c r="V1513" s="262"/>
      <c r="W1513" s="121"/>
      <c r="X1513" s="121"/>
      <c r="Y1513" s="121"/>
      <c r="Z1513" s="121"/>
      <c r="AA1513" s="121"/>
      <c r="AB1513" s="121"/>
      <c r="AC1513" s="121"/>
      <c r="AD1513" s="121"/>
      <c r="AE1513" s="121"/>
      <c r="AF1513" s="121"/>
      <c r="AG1513" s="121"/>
      <c r="AH1513" s="121"/>
      <c r="AI1513" s="121"/>
    </row>
    <row r="1514" spans="1:35" s="115" customFormat="1" ht="14.4">
      <c r="A1514" s="187"/>
      <c r="B1514" s="190"/>
      <c r="C1514" s="190"/>
      <c r="D1514" s="69"/>
      <c r="E1514" s="69"/>
      <c r="F1514" s="149"/>
      <c r="G1514" s="146"/>
      <c r="H1514" s="98"/>
      <c r="I1514" s="99"/>
      <c r="J1514" s="99"/>
      <c r="K1514" s="99"/>
      <c r="L1514" s="99"/>
      <c r="M1514" s="99"/>
      <c r="N1514" s="99"/>
      <c r="O1514" s="99"/>
      <c r="P1514" s="99"/>
      <c r="Q1514" s="99"/>
      <c r="R1514" s="99"/>
      <c r="S1514" s="99"/>
      <c r="T1514" s="99"/>
      <c r="U1514" s="105"/>
      <c r="V1514" s="262"/>
      <c r="W1514" s="121"/>
      <c r="X1514" s="121"/>
      <c r="Y1514" s="121"/>
      <c r="Z1514" s="121"/>
      <c r="AA1514" s="121"/>
      <c r="AB1514" s="121"/>
      <c r="AC1514" s="121"/>
      <c r="AD1514" s="121"/>
      <c r="AE1514" s="121"/>
      <c r="AF1514" s="121"/>
      <c r="AG1514" s="121"/>
      <c r="AH1514" s="121"/>
      <c r="AI1514" s="121"/>
    </row>
    <row r="1515" spans="1:35" s="115" customFormat="1" ht="14.4">
      <c r="A1515" s="187"/>
      <c r="B1515" s="190"/>
      <c r="C1515" s="190"/>
      <c r="D1515" s="69"/>
      <c r="E1515" s="69"/>
      <c r="F1515" s="149"/>
      <c r="G1515" s="146"/>
      <c r="H1515" s="98"/>
      <c r="I1515" s="99"/>
      <c r="J1515" s="99"/>
      <c r="K1515" s="99"/>
      <c r="L1515" s="99"/>
      <c r="M1515" s="99"/>
      <c r="N1515" s="99"/>
      <c r="O1515" s="99"/>
      <c r="P1515" s="99"/>
      <c r="Q1515" s="99"/>
      <c r="R1515" s="99"/>
      <c r="S1515" s="99"/>
      <c r="T1515" s="99"/>
      <c r="U1515" s="105"/>
      <c r="V1515" s="262"/>
      <c r="W1515" s="121"/>
      <c r="X1515" s="121"/>
      <c r="Y1515" s="121"/>
      <c r="Z1515" s="121"/>
      <c r="AA1515" s="121"/>
      <c r="AB1515" s="121"/>
      <c r="AC1515" s="121"/>
      <c r="AD1515" s="121"/>
      <c r="AE1515" s="121"/>
      <c r="AF1515" s="121"/>
      <c r="AG1515" s="121"/>
      <c r="AH1515" s="121"/>
      <c r="AI1515" s="121"/>
    </row>
    <row r="1516" spans="1:35" s="115" customFormat="1" ht="14.4">
      <c r="A1516" s="187"/>
      <c r="B1516" s="190"/>
      <c r="C1516" s="190"/>
      <c r="D1516" s="69"/>
      <c r="E1516" s="69"/>
      <c r="F1516" s="149"/>
      <c r="G1516" s="146"/>
      <c r="H1516" s="107"/>
      <c r="I1516" s="108"/>
      <c r="J1516" s="108"/>
      <c r="K1516" s="108"/>
      <c r="L1516" s="108"/>
      <c r="M1516" s="108"/>
      <c r="N1516" s="109"/>
      <c r="O1516" s="109"/>
      <c r="P1516" s="109"/>
      <c r="Q1516" s="109"/>
      <c r="R1516" s="109"/>
      <c r="S1516" s="109"/>
      <c r="T1516" s="109"/>
      <c r="U1516" s="105"/>
      <c r="V1516" s="262"/>
      <c r="W1516" s="121"/>
      <c r="X1516" s="121"/>
      <c r="Y1516" s="121"/>
      <c r="Z1516" s="121"/>
      <c r="AA1516" s="121"/>
      <c r="AB1516" s="121"/>
      <c r="AC1516" s="121"/>
      <c r="AD1516" s="121"/>
      <c r="AE1516" s="121"/>
      <c r="AF1516" s="121"/>
      <c r="AG1516" s="121"/>
      <c r="AH1516" s="121"/>
      <c r="AI1516" s="121"/>
    </row>
    <row r="1517" spans="1:35" s="115" customFormat="1" ht="14.4">
      <c r="A1517" s="187"/>
      <c r="B1517" s="190"/>
      <c r="C1517" s="190"/>
      <c r="D1517" s="69"/>
      <c r="E1517" s="69"/>
      <c r="F1517" s="149"/>
      <c r="G1517" s="146"/>
      <c r="H1517" s="98"/>
      <c r="I1517" s="106"/>
      <c r="J1517" s="106"/>
      <c r="K1517" s="106"/>
      <c r="L1517" s="106"/>
      <c r="M1517" s="106"/>
      <c r="N1517" s="112"/>
      <c r="O1517" s="112"/>
      <c r="P1517" s="112"/>
      <c r="Q1517" s="113"/>
      <c r="R1517" s="99"/>
      <c r="S1517" s="99"/>
      <c r="T1517" s="113"/>
      <c r="U1517" s="105"/>
      <c r="V1517" s="262"/>
      <c r="W1517" s="121"/>
      <c r="X1517" s="121"/>
      <c r="Y1517" s="121"/>
      <c r="Z1517" s="121"/>
      <c r="AA1517" s="121"/>
      <c r="AB1517" s="121"/>
      <c r="AC1517" s="121"/>
      <c r="AD1517" s="121"/>
      <c r="AE1517" s="121"/>
      <c r="AF1517" s="121"/>
      <c r="AG1517" s="121"/>
      <c r="AH1517" s="121"/>
      <c r="AI1517" s="121"/>
    </row>
    <row r="1518" spans="1:35" s="115" customFormat="1" ht="14.4">
      <c r="A1518" s="187"/>
      <c r="B1518" s="190"/>
      <c r="C1518" s="190"/>
      <c r="D1518" s="69"/>
      <c r="E1518" s="69"/>
      <c r="F1518" s="149"/>
      <c r="G1518" s="146"/>
      <c r="H1518" s="114"/>
      <c r="I1518" s="108"/>
      <c r="J1518" s="108"/>
      <c r="K1518" s="108"/>
      <c r="L1518" s="108"/>
      <c r="M1518" s="108"/>
      <c r="N1518" s="108"/>
      <c r="O1518" s="108"/>
      <c r="P1518" s="108"/>
      <c r="Q1518" s="108"/>
      <c r="R1518" s="108"/>
      <c r="S1518" s="108"/>
      <c r="T1518" s="108"/>
      <c r="U1518" s="105"/>
      <c r="V1518" s="262"/>
      <c r="W1518" s="121"/>
      <c r="X1518" s="121"/>
      <c r="Y1518" s="121"/>
      <c r="Z1518" s="121"/>
      <c r="AA1518" s="121"/>
      <c r="AB1518" s="121"/>
      <c r="AC1518" s="121"/>
      <c r="AD1518" s="121"/>
      <c r="AE1518" s="121"/>
      <c r="AF1518" s="121"/>
      <c r="AG1518" s="121"/>
      <c r="AH1518" s="121"/>
      <c r="AI1518" s="121"/>
    </row>
    <row r="1519" spans="1:35" s="115" customFormat="1" ht="15" thickBot="1">
      <c r="A1519" s="187"/>
      <c r="B1519" s="190"/>
      <c r="C1519" s="190"/>
      <c r="D1519" s="69"/>
      <c r="E1519" s="69"/>
      <c r="F1519" s="149"/>
      <c r="G1519" s="146"/>
      <c r="H1519" s="98"/>
      <c r="I1519" s="218"/>
      <c r="J1519" s="218"/>
      <c r="K1519" s="218"/>
      <c r="L1519" s="218"/>
      <c r="M1519" s="218"/>
      <c r="N1519" s="96"/>
      <c r="O1519" s="96"/>
      <c r="P1519" s="96"/>
      <c r="Q1519" s="212"/>
      <c r="R1519" s="212"/>
      <c r="S1519" s="212"/>
      <c r="T1519" s="212"/>
      <c r="U1519" s="105"/>
      <c r="V1519" s="262"/>
      <c r="W1519" s="121"/>
      <c r="X1519" s="121"/>
      <c r="Y1519" s="121"/>
      <c r="Z1519" s="121"/>
      <c r="AA1519" s="121"/>
      <c r="AB1519" s="121"/>
      <c r="AC1519" s="121"/>
      <c r="AD1519" s="121"/>
      <c r="AE1519" s="121"/>
      <c r="AF1519" s="121"/>
      <c r="AG1519" s="121"/>
      <c r="AH1519" s="121"/>
      <c r="AI1519" s="121"/>
    </row>
    <row r="1520" spans="1:35" s="115" customFormat="1" ht="23.4" thickBot="1">
      <c r="A1520" s="187"/>
      <c r="B1520" s="190"/>
      <c r="C1520" s="190"/>
      <c r="D1520" s="69"/>
      <c r="E1520" s="69"/>
      <c r="F1520" s="149"/>
      <c r="G1520" s="146"/>
      <c r="H1520" s="686"/>
      <c r="I1520" s="687"/>
      <c r="J1520" s="687"/>
      <c r="K1520" s="687"/>
      <c r="L1520" s="687"/>
      <c r="M1520" s="687"/>
      <c r="N1520" s="687"/>
      <c r="O1520" s="687"/>
      <c r="P1520" s="687"/>
      <c r="Q1520" s="687"/>
      <c r="R1520" s="687"/>
      <c r="S1520" s="687"/>
      <c r="T1520" s="688"/>
      <c r="U1520" s="105"/>
      <c r="V1520" s="262"/>
      <c r="W1520" s="121"/>
      <c r="X1520" s="121"/>
      <c r="Y1520" s="121"/>
      <c r="Z1520" s="121"/>
      <c r="AA1520" s="121"/>
      <c r="AB1520" s="121"/>
      <c r="AC1520" s="121"/>
      <c r="AD1520" s="121"/>
      <c r="AE1520" s="121"/>
      <c r="AF1520" s="121"/>
      <c r="AG1520" s="121"/>
      <c r="AH1520" s="121"/>
      <c r="AI1520" s="121"/>
    </row>
    <row r="1521" spans="1:35" s="115" customFormat="1" ht="22.8">
      <c r="A1521" s="187"/>
      <c r="B1521" s="190"/>
      <c r="C1521" s="190"/>
      <c r="D1521" s="69"/>
      <c r="E1521" s="69"/>
      <c r="F1521" s="149"/>
      <c r="G1521" s="146"/>
      <c r="H1521" s="225"/>
      <c r="I1521" s="225"/>
      <c r="J1521" s="225"/>
      <c r="K1521" s="225"/>
      <c r="L1521" s="225"/>
      <c r="M1521" s="225"/>
      <c r="N1521" s="225"/>
      <c r="O1521" s="225"/>
      <c r="P1521" s="225"/>
      <c r="Q1521" s="225"/>
      <c r="R1521" s="225"/>
      <c r="S1521" s="225"/>
      <c r="T1521" s="225"/>
      <c r="U1521" s="105"/>
      <c r="V1521" s="262"/>
      <c r="W1521" s="121"/>
      <c r="X1521" s="121"/>
      <c r="Y1521" s="121"/>
      <c r="Z1521" s="121"/>
      <c r="AA1521" s="121"/>
      <c r="AB1521" s="121"/>
      <c r="AC1521" s="121"/>
      <c r="AD1521" s="121"/>
      <c r="AE1521" s="121"/>
      <c r="AF1521" s="121"/>
      <c r="AG1521" s="121"/>
      <c r="AH1521" s="121"/>
      <c r="AI1521" s="121"/>
    </row>
    <row r="1522" spans="1:35" s="115" customFormat="1" ht="14.4">
      <c r="A1522" s="187"/>
      <c r="B1522" s="190"/>
      <c r="C1522" s="190"/>
      <c r="D1522" s="69"/>
      <c r="E1522" s="69"/>
      <c r="F1522" s="149"/>
      <c r="G1522" s="146"/>
      <c r="H1522" s="98"/>
      <c r="I1522" s="99"/>
      <c r="J1522" s="99"/>
      <c r="K1522" s="99"/>
      <c r="L1522" s="99"/>
      <c r="M1522" s="99"/>
      <c r="N1522" s="99"/>
      <c r="O1522" s="99"/>
      <c r="P1522" s="99"/>
      <c r="Q1522" s="99"/>
      <c r="R1522" s="99"/>
      <c r="S1522" s="99"/>
      <c r="T1522" s="99"/>
      <c r="U1522" s="105"/>
      <c r="V1522" s="262"/>
      <c r="W1522" s="121"/>
      <c r="X1522" s="121"/>
      <c r="Y1522" s="121"/>
      <c r="Z1522" s="121"/>
      <c r="AA1522" s="121"/>
      <c r="AB1522" s="121"/>
      <c r="AC1522" s="121"/>
      <c r="AD1522" s="121"/>
      <c r="AE1522" s="121"/>
      <c r="AF1522" s="121"/>
      <c r="AG1522" s="121"/>
      <c r="AH1522" s="121"/>
      <c r="AI1522" s="121"/>
    </row>
    <row r="1523" spans="1:35" s="115" customFormat="1" ht="14.4">
      <c r="A1523" s="187"/>
      <c r="B1523" s="190"/>
      <c r="C1523" s="190"/>
      <c r="D1523" s="69"/>
      <c r="E1523" s="69"/>
      <c r="F1523" s="149"/>
      <c r="G1523" s="146"/>
      <c r="H1523" s="98"/>
      <c r="I1523" s="99"/>
      <c r="J1523" s="99"/>
      <c r="K1523" s="99"/>
      <c r="L1523" s="99"/>
      <c r="M1523" s="99"/>
      <c r="N1523" s="99"/>
      <c r="O1523" s="99"/>
      <c r="P1523" s="99"/>
      <c r="Q1523" s="99"/>
      <c r="R1523" s="99"/>
      <c r="S1523" s="99"/>
      <c r="T1523" s="99"/>
      <c r="U1523" s="105"/>
      <c r="V1523" s="262"/>
      <c r="W1523" s="121"/>
      <c r="X1523" s="121"/>
      <c r="Y1523" s="121"/>
      <c r="Z1523" s="121"/>
      <c r="AA1523" s="121"/>
      <c r="AB1523" s="121"/>
      <c r="AC1523" s="121"/>
      <c r="AD1523" s="121"/>
      <c r="AE1523" s="121"/>
      <c r="AF1523" s="121"/>
      <c r="AG1523" s="121"/>
      <c r="AH1523" s="121"/>
      <c r="AI1523" s="121"/>
    </row>
    <row r="1524" spans="1:35" s="115" customFormat="1" ht="14.4">
      <c r="A1524" s="187"/>
      <c r="B1524" s="190"/>
      <c r="C1524" s="190"/>
      <c r="D1524" s="69"/>
      <c r="E1524" s="69"/>
      <c r="F1524" s="149"/>
      <c r="G1524" s="146"/>
      <c r="H1524" s="98"/>
      <c r="I1524" s="99"/>
      <c r="J1524" s="99"/>
      <c r="K1524" s="99"/>
      <c r="L1524" s="99"/>
      <c r="M1524" s="99"/>
      <c r="N1524" s="99"/>
      <c r="O1524" s="99"/>
      <c r="P1524" s="99"/>
      <c r="Q1524" s="99"/>
      <c r="R1524" s="99"/>
      <c r="S1524" s="99"/>
      <c r="T1524" s="99"/>
      <c r="U1524" s="105"/>
      <c r="V1524" s="262"/>
      <c r="W1524" s="121"/>
      <c r="X1524" s="121"/>
      <c r="Y1524" s="121"/>
      <c r="Z1524" s="121"/>
      <c r="AA1524" s="121"/>
      <c r="AB1524" s="121"/>
      <c r="AC1524" s="121"/>
      <c r="AD1524" s="121"/>
      <c r="AE1524" s="121"/>
      <c r="AF1524" s="121"/>
      <c r="AG1524" s="121"/>
      <c r="AH1524" s="121"/>
      <c r="AI1524" s="121"/>
    </row>
    <row r="1525" spans="1:35" s="115" customFormat="1" ht="14.4">
      <c r="A1525" s="187"/>
      <c r="B1525" s="190"/>
      <c r="C1525" s="190"/>
      <c r="D1525" s="69"/>
      <c r="E1525" s="69"/>
      <c r="F1525" s="149"/>
      <c r="G1525" s="146"/>
      <c r="H1525" s="98"/>
      <c r="I1525" s="99"/>
      <c r="J1525" s="99"/>
      <c r="K1525" s="99"/>
      <c r="L1525" s="99"/>
      <c r="M1525" s="99"/>
      <c r="N1525" s="99"/>
      <c r="O1525" s="99"/>
      <c r="P1525" s="99"/>
      <c r="Q1525" s="99"/>
      <c r="R1525" s="99"/>
      <c r="S1525" s="99"/>
      <c r="T1525" s="99"/>
      <c r="U1525" s="105"/>
      <c r="V1525" s="262"/>
      <c r="W1525" s="121"/>
      <c r="X1525" s="121"/>
      <c r="Y1525" s="121"/>
      <c r="Z1525" s="121"/>
      <c r="AA1525" s="121"/>
      <c r="AB1525" s="121"/>
      <c r="AC1525" s="121"/>
      <c r="AD1525" s="121"/>
      <c r="AE1525" s="121"/>
      <c r="AF1525" s="121"/>
      <c r="AG1525" s="121"/>
      <c r="AH1525" s="121"/>
      <c r="AI1525" s="121"/>
    </row>
    <row r="1526" spans="1:35" s="115" customFormat="1" ht="14.4">
      <c r="A1526" s="187"/>
      <c r="B1526" s="190"/>
      <c r="C1526" s="190"/>
      <c r="D1526" s="69"/>
      <c r="E1526" s="69"/>
      <c r="F1526" s="149"/>
      <c r="G1526" s="146"/>
      <c r="H1526" s="98"/>
      <c r="I1526" s="99"/>
      <c r="J1526" s="99"/>
      <c r="K1526" s="99"/>
      <c r="L1526" s="99"/>
      <c r="M1526" s="99"/>
      <c r="N1526" s="99"/>
      <c r="O1526" s="99"/>
      <c r="P1526" s="99"/>
      <c r="Q1526" s="99"/>
      <c r="R1526" s="99"/>
      <c r="S1526" s="99"/>
      <c r="T1526" s="99"/>
      <c r="U1526" s="105"/>
      <c r="V1526" s="262"/>
      <c r="W1526" s="121"/>
      <c r="X1526" s="121"/>
      <c r="Y1526" s="121"/>
      <c r="Z1526" s="121"/>
      <c r="AA1526" s="121"/>
      <c r="AB1526" s="121"/>
      <c r="AC1526" s="121"/>
      <c r="AD1526" s="121"/>
      <c r="AE1526" s="121"/>
      <c r="AF1526" s="121"/>
      <c r="AG1526" s="121"/>
      <c r="AH1526" s="121"/>
      <c r="AI1526" s="121"/>
    </row>
    <row r="1527" spans="1:35" s="115" customFormat="1" ht="14.4">
      <c r="A1527" s="187"/>
      <c r="B1527" s="190"/>
      <c r="C1527" s="190"/>
      <c r="D1527" s="69"/>
      <c r="E1527" s="69"/>
      <c r="F1527" s="149"/>
      <c r="G1527" s="146"/>
      <c r="H1527" s="98"/>
      <c r="I1527" s="99"/>
      <c r="J1527" s="99"/>
      <c r="K1527" s="99"/>
      <c r="L1527" s="99"/>
      <c r="M1527" s="99"/>
      <c r="N1527" s="99"/>
      <c r="O1527" s="99"/>
      <c r="P1527" s="99"/>
      <c r="Q1527" s="99"/>
      <c r="R1527" s="99"/>
      <c r="S1527" s="99"/>
      <c r="T1527" s="99"/>
      <c r="U1527" s="105"/>
      <c r="V1527" s="262"/>
      <c r="W1527" s="121"/>
      <c r="X1527" s="121"/>
      <c r="Y1527" s="121"/>
      <c r="Z1527" s="121"/>
      <c r="AA1527" s="121"/>
      <c r="AB1527" s="121"/>
      <c r="AC1527" s="121"/>
      <c r="AD1527" s="121"/>
      <c r="AE1527" s="121"/>
      <c r="AF1527" s="121"/>
      <c r="AG1527" s="121"/>
      <c r="AH1527" s="121"/>
      <c r="AI1527" s="121"/>
    </row>
    <row r="1528" spans="1:35" s="115" customFormat="1" ht="14.4">
      <c r="A1528" s="187"/>
      <c r="B1528" s="190"/>
      <c r="C1528" s="190"/>
      <c r="D1528" s="69"/>
      <c r="E1528" s="69"/>
      <c r="F1528" s="149"/>
      <c r="G1528" s="146"/>
      <c r="H1528" s="107"/>
      <c r="I1528" s="108"/>
      <c r="J1528" s="108"/>
      <c r="K1528" s="108"/>
      <c r="L1528" s="108"/>
      <c r="M1528" s="108"/>
      <c r="N1528" s="109"/>
      <c r="O1528" s="109"/>
      <c r="P1528" s="109"/>
      <c r="Q1528" s="109"/>
      <c r="R1528" s="109"/>
      <c r="S1528" s="109"/>
      <c r="T1528" s="109"/>
      <c r="U1528" s="105"/>
      <c r="V1528" s="262"/>
      <c r="W1528" s="121"/>
      <c r="X1528" s="121"/>
      <c r="Y1528" s="121"/>
      <c r="Z1528" s="121"/>
      <c r="AA1528" s="121"/>
      <c r="AB1528" s="121"/>
      <c r="AC1528" s="121"/>
      <c r="AD1528" s="121"/>
      <c r="AE1528" s="121"/>
      <c r="AF1528" s="121"/>
      <c r="AG1528" s="121"/>
      <c r="AH1528" s="121"/>
      <c r="AI1528" s="121"/>
    </row>
    <row r="1529" spans="1:35" s="115" customFormat="1" ht="14.4">
      <c r="A1529" s="187"/>
      <c r="B1529" s="190"/>
      <c r="C1529" s="190"/>
      <c r="D1529" s="69"/>
      <c r="E1529" s="69"/>
      <c r="F1529" s="149"/>
      <c r="G1529" s="146"/>
      <c r="H1529" s="98"/>
      <c r="I1529" s="106"/>
      <c r="J1529" s="106"/>
      <c r="K1529" s="106"/>
      <c r="L1529" s="106"/>
      <c r="M1529" s="106"/>
      <c r="N1529" s="112"/>
      <c r="O1529" s="112"/>
      <c r="P1529" s="112"/>
      <c r="Q1529" s="113"/>
      <c r="R1529" s="113"/>
      <c r="S1529" s="113"/>
      <c r="T1529" s="113"/>
      <c r="U1529" s="105"/>
      <c r="V1529" s="262"/>
      <c r="W1529" s="121"/>
      <c r="X1529" s="121"/>
      <c r="Y1529" s="121"/>
      <c r="Z1529" s="121"/>
      <c r="AA1529" s="121"/>
      <c r="AB1529" s="121"/>
      <c r="AC1529" s="121"/>
      <c r="AD1529" s="121"/>
      <c r="AE1529" s="121"/>
      <c r="AF1529" s="121"/>
      <c r="AG1529" s="121"/>
      <c r="AH1529" s="121"/>
      <c r="AI1529" s="121"/>
    </row>
    <row r="1530" spans="1:35" s="115" customFormat="1" ht="14.4">
      <c r="A1530" s="187"/>
      <c r="B1530" s="190"/>
      <c r="C1530" s="190"/>
      <c r="D1530" s="69"/>
      <c r="E1530" s="69"/>
      <c r="F1530" s="149"/>
      <c r="G1530" s="146"/>
      <c r="H1530" s="98"/>
      <c r="I1530" s="99"/>
      <c r="J1530" s="99"/>
      <c r="K1530" s="99"/>
      <c r="L1530" s="99"/>
      <c r="M1530" s="99"/>
      <c r="N1530" s="99"/>
      <c r="O1530" s="99"/>
      <c r="P1530" s="99"/>
      <c r="Q1530" s="99"/>
      <c r="R1530" s="99"/>
      <c r="S1530" s="99"/>
      <c r="T1530" s="99"/>
      <c r="U1530" s="105"/>
      <c r="V1530" s="262"/>
      <c r="W1530" s="121"/>
      <c r="X1530" s="121"/>
      <c r="Y1530" s="121"/>
      <c r="Z1530" s="121"/>
      <c r="AA1530" s="121"/>
      <c r="AB1530" s="121"/>
      <c r="AC1530" s="121"/>
      <c r="AD1530" s="121"/>
      <c r="AE1530" s="121"/>
      <c r="AF1530" s="121"/>
      <c r="AG1530" s="121"/>
      <c r="AH1530" s="121"/>
      <c r="AI1530" s="121"/>
    </row>
    <row r="1531" spans="1:35" s="115" customFormat="1" ht="14.4">
      <c r="A1531" s="187"/>
      <c r="B1531" s="190"/>
      <c r="C1531" s="190"/>
      <c r="D1531" s="69"/>
      <c r="E1531" s="69"/>
      <c r="F1531" s="149"/>
      <c r="G1531" s="146"/>
      <c r="H1531" s="98"/>
      <c r="I1531" s="99"/>
      <c r="J1531" s="99"/>
      <c r="K1531" s="99"/>
      <c r="L1531" s="99"/>
      <c r="M1531" s="99"/>
      <c r="N1531" s="99"/>
      <c r="O1531" s="99"/>
      <c r="P1531" s="99"/>
      <c r="Q1531" s="99"/>
      <c r="R1531" s="99"/>
      <c r="S1531" s="99"/>
      <c r="T1531" s="99"/>
      <c r="U1531" s="105"/>
      <c r="V1531" s="262"/>
      <c r="W1531" s="121"/>
      <c r="X1531" s="121"/>
      <c r="Y1531" s="121"/>
      <c r="Z1531" s="121"/>
      <c r="AA1531" s="121"/>
      <c r="AB1531" s="121"/>
      <c r="AC1531" s="121"/>
      <c r="AD1531" s="121"/>
      <c r="AE1531" s="121"/>
      <c r="AF1531" s="121"/>
      <c r="AG1531" s="121"/>
      <c r="AH1531" s="121"/>
      <c r="AI1531" s="121"/>
    </row>
    <row r="1532" spans="1:35" s="115" customFormat="1" ht="14.4">
      <c r="A1532" s="187"/>
      <c r="B1532" s="190"/>
      <c r="C1532" s="190"/>
      <c r="D1532" s="69"/>
      <c r="E1532" s="69"/>
      <c r="F1532" s="149"/>
      <c r="G1532" s="146"/>
      <c r="H1532" s="98"/>
      <c r="I1532" s="99"/>
      <c r="J1532" s="99"/>
      <c r="K1532" s="99"/>
      <c r="L1532" s="99"/>
      <c r="M1532" s="99"/>
      <c r="N1532" s="99"/>
      <c r="O1532" s="99"/>
      <c r="P1532" s="99"/>
      <c r="Q1532" s="99"/>
      <c r="R1532" s="99"/>
      <c r="S1532" s="99"/>
      <c r="T1532" s="99"/>
      <c r="U1532" s="105"/>
      <c r="V1532" s="262"/>
      <c r="W1532" s="121"/>
      <c r="X1532" s="121"/>
      <c r="Y1532" s="121"/>
      <c r="Z1532" s="121"/>
      <c r="AA1532" s="121"/>
      <c r="AB1532" s="121"/>
      <c r="AC1532" s="121"/>
      <c r="AD1532" s="121"/>
      <c r="AE1532" s="121"/>
      <c r="AF1532" s="121"/>
      <c r="AG1532" s="121"/>
      <c r="AH1532" s="121"/>
      <c r="AI1532" s="121"/>
    </row>
    <row r="1533" spans="1:35" s="115" customFormat="1" ht="14.4">
      <c r="A1533" s="187"/>
      <c r="B1533" s="190"/>
      <c r="C1533" s="190"/>
      <c r="D1533" s="69"/>
      <c r="E1533" s="69"/>
      <c r="F1533" s="149"/>
      <c r="G1533" s="146"/>
      <c r="H1533" s="98"/>
      <c r="I1533" s="99"/>
      <c r="J1533" s="99"/>
      <c r="K1533" s="99"/>
      <c r="L1533" s="99"/>
      <c r="M1533" s="99"/>
      <c r="N1533" s="99"/>
      <c r="O1533" s="99"/>
      <c r="P1533" s="99"/>
      <c r="Q1533" s="99"/>
      <c r="R1533" s="99"/>
      <c r="S1533" s="99"/>
      <c r="T1533" s="99"/>
      <c r="U1533" s="105"/>
      <c r="V1533" s="262"/>
      <c r="W1533" s="121"/>
      <c r="X1533" s="121"/>
      <c r="Y1533" s="121"/>
      <c r="Z1533" s="121"/>
      <c r="AA1533" s="121"/>
      <c r="AB1533" s="121"/>
      <c r="AC1533" s="121"/>
      <c r="AD1533" s="121"/>
      <c r="AE1533" s="121"/>
      <c r="AF1533" s="121"/>
      <c r="AG1533" s="121"/>
      <c r="AH1533" s="121"/>
      <c r="AI1533" s="121"/>
    </row>
    <row r="1534" spans="1:35" s="115" customFormat="1" ht="14.4">
      <c r="A1534" s="187"/>
      <c r="B1534" s="190"/>
      <c r="C1534" s="190"/>
      <c r="D1534" s="69"/>
      <c r="E1534" s="69"/>
      <c r="F1534" s="149"/>
      <c r="G1534" s="146"/>
      <c r="H1534" s="98"/>
      <c r="I1534" s="99"/>
      <c r="J1534" s="99"/>
      <c r="K1534" s="99"/>
      <c r="L1534" s="99"/>
      <c r="M1534" s="99"/>
      <c r="N1534" s="99"/>
      <c r="O1534" s="99"/>
      <c r="P1534" s="99"/>
      <c r="Q1534" s="99"/>
      <c r="R1534" s="99"/>
      <c r="S1534" s="99"/>
      <c r="T1534" s="99"/>
      <c r="U1534" s="105"/>
      <c r="V1534" s="262"/>
      <c r="W1534" s="121"/>
      <c r="X1534" s="121"/>
      <c r="Y1534" s="121"/>
      <c r="Z1534" s="121"/>
      <c r="AA1534" s="121"/>
      <c r="AB1534" s="121"/>
      <c r="AC1534" s="121"/>
      <c r="AD1534" s="121"/>
      <c r="AE1534" s="121"/>
      <c r="AF1534" s="121"/>
      <c r="AG1534" s="121"/>
      <c r="AH1534" s="121"/>
      <c r="AI1534" s="121"/>
    </row>
    <row r="1535" spans="1:35" s="115" customFormat="1" ht="14.4">
      <c r="A1535" s="187"/>
      <c r="B1535" s="190"/>
      <c r="C1535" s="190"/>
      <c r="D1535" s="69"/>
      <c r="E1535" s="69"/>
      <c r="F1535" s="149"/>
      <c r="G1535" s="146"/>
      <c r="H1535" s="107"/>
      <c r="I1535" s="108"/>
      <c r="J1535" s="108"/>
      <c r="K1535" s="108"/>
      <c r="L1535" s="108"/>
      <c r="M1535" s="108"/>
      <c r="N1535" s="108"/>
      <c r="O1535" s="108"/>
      <c r="P1535" s="108"/>
      <c r="Q1535" s="108"/>
      <c r="R1535" s="108"/>
      <c r="S1535" s="108"/>
      <c r="T1535" s="108"/>
      <c r="U1535" s="105"/>
      <c r="V1535" s="262"/>
      <c r="W1535" s="121"/>
      <c r="X1535" s="121"/>
      <c r="Y1535" s="121"/>
      <c r="Z1535" s="121"/>
      <c r="AA1535" s="121"/>
      <c r="AB1535" s="121"/>
      <c r="AC1535" s="121"/>
      <c r="AD1535" s="121"/>
      <c r="AE1535" s="121"/>
      <c r="AF1535" s="121"/>
      <c r="AG1535" s="121"/>
      <c r="AH1535" s="121"/>
      <c r="AI1535" s="121"/>
    </row>
    <row r="1536" spans="1:35" s="115" customFormat="1" ht="14.4">
      <c r="A1536" s="187"/>
      <c r="B1536" s="190"/>
      <c r="C1536" s="190"/>
      <c r="D1536" s="69"/>
      <c r="E1536" s="69"/>
      <c r="F1536" s="149"/>
      <c r="G1536" s="146"/>
      <c r="H1536" s="98"/>
      <c r="I1536" s="106"/>
      <c r="J1536" s="106"/>
      <c r="K1536" s="106"/>
      <c r="L1536" s="106"/>
      <c r="M1536" s="106"/>
      <c r="N1536" s="112"/>
      <c r="O1536" s="112"/>
      <c r="P1536" s="112"/>
      <c r="Q1536" s="113"/>
      <c r="R1536" s="113"/>
      <c r="S1536" s="113"/>
      <c r="T1536" s="113"/>
      <c r="U1536" s="105"/>
      <c r="V1536" s="262"/>
      <c r="W1536" s="121"/>
      <c r="X1536" s="121"/>
      <c r="Y1536" s="121"/>
      <c r="Z1536" s="121"/>
      <c r="AA1536" s="121"/>
      <c r="AB1536" s="121"/>
      <c r="AC1536" s="121"/>
      <c r="AD1536" s="121"/>
      <c r="AE1536" s="121"/>
      <c r="AF1536" s="121"/>
      <c r="AG1536" s="121"/>
      <c r="AH1536" s="121"/>
      <c r="AI1536" s="121"/>
    </row>
    <row r="1537" spans="1:35" s="115" customFormat="1" ht="14.4">
      <c r="A1537" s="187"/>
      <c r="B1537" s="190"/>
      <c r="C1537" s="190"/>
      <c r="D1537" s="69"/>
      <c r="E1537" s="69"/>
      <c r="F1537" s="149"/>
      <c r="G1537" s="146"/>
      <c r="H1537" s="98"/>
      <c r="I1537" s="99"/>
      <c r="J1537" s="99"/>
      <c r="K1537" s="99"/>
      <c r="L1537" s="99"/>
      <c r="M1537" s="99"/>
      <c r="N1537" s="99"/>
      <c r="O1537" s="99"/>
      <c r="P1537" s="99"/>
      <c r="Q1537" s="99"/>
      <c r="R1537" s="99"/>
      <c r="S1537" s="99"/>
      <c r="T1537" s="99"/>
      <c r="U1537" s="105"/>
      <c r="V1537" s="262"/>
      <c r="W1537" s="121"/>
      <c r="X1537" s="121"/>
      <c r="Y1537" s="121"/>
      <c r="Z1537" s="121"/>
      <c r="AA1537" s="121"/>
      <c r="AB1537" s="121"/>
      <c r="AC1537" s="121"/>
      <c r="AD1537" s="121"/>
      <c r="AE1537" s="121"/>
      <c r="AF1537" s="121"/>
      <c r="AG1537" s="121"/>
      <c r="AH1537" s="121"/>
      <c r="AI1537" s="121"/>
    </row>
    <row r="1538" spans="1:35" s="115" customFormat="1" ht="14.4">
      <c r="A1538" s="187"/>
      <c r="B1538" s="190"/>
      <c r="C1538" s="190"/>
      <c r="D1538" s="69"/>
      <c r="E1538" s="69"/>
      <c r="F1538" s="149"/>
      <c r="G1538" s="146"/>
      <c r="H1538" s="98"/>
      <c r="I1538" s="99"/>
      <c r="J1538" s="99"/>
      <c r="K1538" s="99"/>
      <c r="L1538" s="99"/>
      <c r="M1538" s="99"/>
      <c r="N1538" s="99"/>
      <c r="O1538" s="99"/>
      <c r="P1538" s="99"/>
      <c r="Q1538" s="99"/>
      <c r="R1538" s="99"/>
      <c r="S1538" s="99"/>
      <c r="T1538" s="99"/>
      <c r="U1538" s="105"/>
      <c r="V1538" s="262"/>
      <c r="W1538" s="121"/>
      <c r="X1538" s="121"/>
      <c r="Y1538" s="121"/>
      <c r="Z1538" s="121"/>
      <c r="AA1538" s="121"/>
      <c r="AB1538" s="121"/>
      <c r="AC1538" s="121"/>
      <c r="AD1538" s="121"/>
      <c r="AE1538" s="121"/>
      <c r="AF1538" s="121"/>
      <c r="AG1538" s="121"/>
      <c r="AH1538" s="121"/>
      <c r="AI1538" s="121"/>
    </row>
    <row r="1539" spans="1:35" s="115" customFormat="1" ht="14.4">
      <c r="A1539" s="187"/>
      <c r="B1539" s="190"/>
      <c r="C1539" s="190"/>
      <c r="D1539" s="69"/>
      <c r="E1539" s="69"/>
      <c r="F1539" s="149"/>
      <c r="G1539" s="146"/>
      <c r="H1539" s="98"/>
      <c r="I1539" s="99"/>
      <c r="J1539" s="99"/>
      <c r="K1539" s="99"/>
      <c r="L1539" s="99"/>
      <c r="M1539" s="99"/>
      <c r="N1539" s="99"/>
      <c r="O1539" s="99"/>
      <c r="P1539" s="99"/>
      <c r="Q1539" s="99"/>
      <c r="R1539" s="99"/>
      <c r="S1539" s="99"/>
      <c r="T1539" s="99"/>
      <c r="U1539" s="105"/>
      <c r="V1539" s="262"/>
      <c r="W1539" s="121"/>
      <c r="X1539" s="121"/>
      <c r="Y1539" s="121"/>
      <c r="Z1539" s="121"/>
      <c r="AA1539" s="121"/>
      <c r="AB1539" s="121"/>
      <c r="AC1539" s="121"/>
      <c r="AD1539" s="121"/>
      <c r="AE1539" s="121"/>
      <c r="AF1539" s="121"/>
      <c r="AG1539" s="121"/>
      <c r="AH1539" s="121"/>
      <c r="AI1539" s="121"/>
    </row>
    <row r="1540" spans="1:35" s="115" customFormat="1" ht="14.4">
      <c r="A1540" s="187"/>
      <c r="B1540" s="190"/>
      <c r="C1540" s="190"/>
      <c r="D1540" s="69"/>
      <c r="E1540" s="69"/>
      <c r="F1540" s="149"/>
      <c r="G1540" s="146"/>
      <c r="H1540" s="98"/>
      <c r="I1540" s="99"/>
      <c r="J1540" s="99"/>
      <c r="K1540" s="99"/>
      <c r="L1540" s="99"/>
      <c r="M1540" s="99"/>
      <c r="N1540" s="99"/>
      <c r="O1540" s="99"/>
      <c r="P1540" s="99"/>
      <c r="Q1540" s="99"/>
      <c r="R1540" s="99"/>
      <c r="S1540" s="99"/>
      <c r="T1540" s="99"/>
      <c r="U1540" s="105"/>
      <c r="V1540" s="262"/>
      <c r="W1540" s="121"/>
      <c r="X1540" s="121"/>
      <c r="Y1540" s="121"/>
      <c r="Z1540" s="121"/>
      <c r="AA1540" s="121"/>
      <c r="AB1540" s="121"/>
      <c r="AC1540" s="121"/>
      <c r="AD1540" s="121"/>
      <c r="AE1540" s="121"/>
      <c r="AF1540" s="121"/>
      <c r="AG1540" s="121"/>
      <c r="AH1540" s="121"/>
      <c r="AI1540" s="121"/>
    </row>
    <row r="1541" spans="1:35" s="115" customFormat="1" ht="14.4">
      <c r="A1541" s="187"/>
      <c r="B1541" s="190"/>
      <c r="C1541" s="190"/>
      <c r="D1541" s="69"/>
      <c r="E1541" s="69"/>
      <c r="F1541" s="149"/>
      <c r="G1541" s="146"/>
      <c r="H1541" s="98"/>
      <c r="I1541" s="99"/>
      <c r="J1541" s="99"/>
      <c r="K1541" s="99"/>
      <c r="L1541" s="99"/>
      <c r="M1541" s="99"/>
      <c r="N1541" s="99"/>
      <c r="O1541" s="99"/>
      <c r="P1541" s="99"/>
      <c r="Q1541" s="99"/>
      <c r="R1541" s="99"/>
      <c r="S1541" s="99"/>
      <c r="T1541" s="99"/>
      <c r="U1541" s="105"/>
      <c r="V1541" s="262"/>
      <c r="W1541" s="121"/>
      <c r="X1541" s="121"/>
      <c r="Y1541" s="121"/>
      <c r="Z1541" s="121"/>
      <c r="AA1541" s="121"/>
      <c r="AB1541" s="121"/>
      <c r="AC1541" s="121"/>
      <c r="AD1541" s="121"/>
      <c r="AE1541" s="121"/>
      <c r="AF1541" s="121"/>
      <c r="AG1541" s="121"/>
      <c r="AH1541" s="121"/>
      <c r="AI1541" s="121"/>
    </row>
    <row r="1542" spans="1:35" s="115" customFormat="1" ht="14.4">
      <c r="A1542" s="187"/>
      <c r="B1542" s="190"/>
      <c r="C1542" s="190"/>
      <c r="D1542" s="69"/>
      <c r="E1542" s="69"/>
      <c r="F1542" s="149"/>
      <c r="G1542" s="146"/>
      <c r="H1542" s="98"/>
      <c r="I1542" s="99"/>
      <c r="J1542" s="99"/>
      <c r="K1542" s="99"/>
      <c r="L1542" s="99"/>
      <c r="M1542" s="99"/>
      <c r="N1542" s="99"/>
      <c r="O1542" s="99"/>
      <c r="P1542" s="99"/>
      <c r="Q1542" s="99"/>
      <c r="R1542" s="99"/>
      <c r="S1542" s="99"/>
      <c r="T1542" s="99"/>
      <c r="U1542" s="105"/>
      <c r="V1542" s="262"/>
      <c r="W1542" s="121"/>
      <c r="X1542" s="121"/>
      <c r="Y1542" s="121"/>
      <c r="Z1542" s="121"/>
      <c r="AA1542" s="121"/>
      <c r="AB1542" s="121"/>
      <c r="AC1542" s="121"/>
      <c r="AD1542" s="121"/>
      <c r="AE1542" s="121"/>
      <c r="AF1542" s="121"/>
      <c r="AG1542" s="121"/>
      <c r="AH1542" s="121"/>
      <c r="AI1542" s="121"/>
    </row>
    <row r="1543" spans="1:35" s="115" customFormat="1" ht="14.4">
      <c r="A1543" s="187"/>
      <c r="B1543" s="190"/>
      <c r="C1543" s="190"/>
      <c r="D1543" s="69"/>
      <c r="E1543" s="69"/>
      <c r="F1543" s="149"/>
      <c r="G1543" s="146"/>
      <c r="H1543" s="98"/>
      <c r="I1543" s="99"/>
      <c r="J1543" s="99"/>
      <c r="K1543" s="99"/>
      <c r="L1543" s="99"/>
      <c r="M1543" s="99"/>
      <c r="N1543" s="99"/>
      <c r="O1543" s="99"/>
      <c r="P1543" s="99"/>
      <c r="Q1543" s="99"/>
      <c r="R1543" s="99"/>
      <c r="S1543" s="99"/>
      <c r="T1543" s="99"/>
      <c r="U1543" s="105"/>
      <c r="V1543" s="262"/>
      <c r="W1543" s="121"/>
      <c r="X1543" s="121"/>
      <c r="Y1543" s="121"/>
      <c r="Z1543" s="121"/>
      <c r="AA1543" s="121"/>
      <c r="AB1543" s="121"/>
      <c r="AC1543" s="121"/>
      <c r="AD1543" s="121"/>
      <c r="AE1543" s="121"/>
      <c r="AF1543" s="121"/>
      <c r="AG1543" s="121"/>
      <c r="AH1543" s="121"/>
      <c r="AI1543" s="121"/>
    </row>
    <row r="1544" spans="1:35" s="115" customFormat="1" ht="14.4">
      <c r="A1544" s="187"/>
      <c r="B1544" s="190"/>
      <c r="C1544" s="190"/>
      <c r="D1544" s="69"/>
      <c r="E1544" s="69"/>
      <c r="F1544" s="149"/>
      <c r="G1544" s="146"/>
      <c r="H1544" s="98"/>
      <c r="I1544" s="99"/>
      <c r="J1544" s="99"/>
      <c r="K1544" s="99"/>
      <c r="L1544" s="99"/>
      <c r="M1544" s="99"/>
      <c r="N1544" s="99"/>
      <c r="O1544" s="99"/>
      <c r="P1544" s="99"/>
      <c r="Q1544" s="99"/>
      <c r="R1544" s="99"/>
      <c r="S1544" s="99"/>
      <c r="T1544" s="99"/>
      <c r="U1544" s="105"/>
      <c r="V1544" s="262"/>
      <c r="W1544" s="121"/>
      <c r="X1544" s="121"/>
      <c r="Y1544" s="121"/>
      <c r="Z1544" s="121"/>
      <c r="AA1544" s="121"/>
      <c r="AB1544" s="121"/>
      <c r="AC1544" s="121"/>
      <c r="AD1544" s="121"/>
      <c r="AE1544" s="121"/>
      <c r="AF1544" s="121"/>
      <c r="AG1544" s="121"/>
      <c r="AH1544" s="121"/>
      <c r="AI1544" s="121"/>
    </row>
    <row r="1545" spans="1:35" s="115" customFormat="1" ht="14.4">
      <c r="A1545" s="187"/>
      <c r="B1545" s="190"/>
      <c r="C1545" s="190"/>
      <c r="D1545" s="69"/>
      <c r="E1545" s="69"/>
      <c r="F1545" s="149"/>
      <c r="G1545" s="146"/>
      <c r="H1545" s="107"/>
      <c r="I1545" s="109"/>
      <c r="J1545" s="109"/>
      <c r="K1545" s="109"/>
      <c r="L1545" s="109"/>
      <c r="M1545" s="109"/>
      <c r="N1545" s="109"/>
      <c r="O1545" s="109"/>
      <c r="P1545" s="109"/>
      <c r="Q1545" s="109"/>
      <c r="R1545" s="109"/>
      <c r="S1545" s="109"/>
      <c r="T1545" s="109"/>
      <c r="U1545" s="105"/>
      <c r="V1545" s="262"/>
      <c r="W1545" s="121"/>
      <c r="X1545" s="121"/>
      <c r="Y1545" s="121"/>
      <c r="Z1545" s="121"/>
      <c r="AA1545" s="121"/>
      <c r="AB1545" s="121"/>
      <c r="AC1545" s="121"/>
      <c r="AD1545" s="121"/>
      <c r="AE1545" s="121"/>
      <c r="AF1545" s="121"/>
      <c r="AG1545" s="121"/>
      <c r="AH1545" s="121"/>
      <c r="AI1545" s="121"/>
    </row>
    <row r="1546" spans="1:35" s="115" customFormat="1" ht="14.4">
      <c r="A1546" s="187"/>
      <c r="B1546" s="190"/>
      <c r="C1546" s="190"/>
      <c r="D1546" s="69"/>
      <c r="E1546" s="69"/>
      <c r="F1546" s="149"/>
      <c r="G1546" s="146"/>
      <c r="H1546" s="98"/>
      <c r="I1546" s="106"/>
      <c r="J1546" s="106"/>
      <c r="K1546" s="106"/>
      <c r="L1546" s="106"/>
      <c r="M1546" s="106"/>
      <c r="N1546" s="112"/>
      <c r="O1546" s="112"/>
      <c r="P1546" s="112"/>
      <c r="Q1546" s="113"/>
      <c r="R1546" s="113"/>
      <c r="S1546" s="113"/>
      <c r="T1546" s="113"/>
      <c r="U1546" s="105"/>
      <c r="V1546" s="262"/>
      <c r="W1546" s="121"/>
      <c r="X1546" s="121"/>
      <c r="Y1546" s="121"/>
      <c r="Z1546" s="121"/>
      <c r="AA1546" s="121"/>
      <c r="AB1546" s="121"/>
      <c r="AC1546" s="121"/>
      <c r="AD1546" s="121"/>
      <c r="AE1546" s="121"/>
      <c r="AF1546" s="121"/>
      <c r="AG1546" s="121"/>
      <c r="AH1546" s="121"/>
      <c r="AI1546" s="121"/>
    </row>
    <row r="1547" spans="1:35" s="115" customFormat="1" ht="14.4">
      <c r="A1547" s="187"/>
      <c r="B1547" s="190"/>
      <c r="C1547" s="190"/>
      <c r="D1547" s="69"/>
      <c r="E1547" s="69"/>
      <c r="F1547" s="149"/>
      <c r="G1547" s="146"/>
      <c r="H1547" s="98"/>
      <c r="I1547" s="99"/>
      <c r="J1547" s="99"/>
      <c r="K1547" s="99"/>
      <c r="L1547" s="99"/>
      <c r="M1547" s="99"/>
      <c r="N1547" s="99"/>
      <c r="O1547" s="99"/>
      <c r="P1547" s="99"/>
      <c r="Q1547" s="99"/>
      <c r="R1547" s="99"/>
      <c r="S1547" s="99"/>
      <c r="T1547" s="99"/>
      <c r="U1547" s="105"/>
      <c r="V1547" s="262"/>
      <c r="W1547" s="121"/>
      <c r="X1547" s="121"/>
      <c r="Y1547" s="121"/>
      <c r="Z1547" s="121"/>
      <c r="AA1547" s="121"/>
      <c r="AB1547" s="121"/>
      <c r="AC1547" s="121"/>
      <c r="AD1547" s="121"/>
      <c r="AE1547" s="121"/>
      <c r="AF1547" s="121"/>
      <c r="AG1547" s="121"/>
      <c r="AH1547" s="121"/>
      <c r="AI1547" s="121"/>
    </row>
    <row r="1548" spans="1:35" s="115" customFormat="1" ht="14.4">
      <c r="A1548" s="187"/>
      <c r="B1548" s="190"/>
      <c r="C1548" s="190"/>
      <c r="D1548" s="69"/>
      <c r="E1548" s="69"/>
      <c r="F1548" s="149"/>
      <c r="G1548" s="146"/>
      <c r="H1548" s="98"/>
      <c r="I1548" s="99"/>
      <c r="J1548" s="99"/>
      <c r="K1548" s="99"/>
      <c r="L1548" s="99"/>
      <c r="M1548" s="99"/>
      <c r="N1548" s="99"/>
      <c r="O1548" s="99"/>
      <c r="P1548" s="99"/>
      <c r="Q1548" s="99"/>
      <c r="R1548" s="99"/>
      <c r="S1548" s="99"/>
      <c r="T1548" s="99"/>
      <c r="U1548" s="105"/>
      <c r="V1548" s="262"/>
      <c r="W1548" s="121"/>
      <c r="X1548" s="121"/>
      <c r="Y1548" s="121"/>
      <c r="Z1548" s="121"/>
      <c r="AA1548" s="121"/>
      <c r="AB1548" s="121"/>
      <c r="AC1548" s="121"/>
      <c r="AD1548" s="121"/>
      <c r="AE1548" s="121"/>
      <c r="AF1548" s="121"/>
      <c r="AG1548" s="121"/>
      <c r="AH1548" s="121"/>
      <c r="AI1548" s="121"/>
    </row>
    <row r="1549" spans="1:35" s="115" customFormat="1" ht="14.4">
      <c r="A1549" s="187"/>
      <c r="B1549" s="190"/>
      <c r="C1549" s="190"/>
      <c r="D1549" s="69"/>
      <c r="E1549" s="69"/>
      <c r="F1549" s="149"/>
      <c r="G1549" s="146"/>
      <c r="H1549" s="107"/>
      <c r="I1549" s="108"/>
      <c r="J1549" s="108"/>
      <c r="K1549" s="108"/>
      <c r="L1549" s="108"/>
      <c r="M1549" s="108"/>
      <c r="N1549" s="109"/>
      <c r="O1549" s="109"/>
      <c r="P1549" s="109"/>
      <c r="Q1549" s="109"/>
      <c r="R1549" s="109"/>
      <c r="S1549" s="109"/>
      <c r="T1549" s="109"/>
      <c r="U1549" s="105"/>
      <c r="V1549" s="262"/>
      <c r="W1549" s="121"/>
      <c r="X1549" s="121"/>
      <c r="Y1549" s="121"/>
      <c r="Z1549" s="121"/>
      <c r="AA1549" s="121"/>
      <c r="AB1549" s="121"/>
      <c r="AC1549" s="121"/>
      <c r="AD1549" s="121"/>
      <c r="AE1549" s="121"/>
      <c r="AF1549" s="121"/>
      <c r="AG1549" s="121"/>
      <c r="AH1549" s="121"/>
      <c r="AI1549" s="121"/>
    </row>
    <row r="1550" spans="1:35" s="115" customFormat="1" ht="14.4">
      <c r="A1550" s="187"/>
      <c r="B1550" s="190"/>
      <c r="C1550" s="190"/>
      <c r="D1550" s="69"/>
      <c r="E1550" s="69"/>
      <c r="F1550" s="149"/>
      <c r="G1550" s="146"/>
      <c r="H1550" s="98"/>
      <c r="I1550" s="106"/>
      <c r="J1550" s="106"/>
      <c r="K1550" s="106"/>
      <c r="L1550" s="106"/>
      <c r="M1550" s="106"/>
      <c r="N1550" s="112"/>
      <c r="O1550" s="112"/>
      <c r="P1550" s="112"/>
      <c r="Q1550" s="113"/>
      <c r="R1550" s="113"/>
      <c r="S1550" s="113"/>
      <c r="T1550" s="113"/>
      <c r="U1550" s="105"/>
      <c r="V1550" s="262"/>
      <c r="W1550" s="121"/>
      <c r="X1550" s="121"/>
      <c r="Y1550" s="121"/>
      <c r="Z1550" s="121"/>
      <c r="AA1550" s="121"/>
      <c r="AB1550" s="121"/>
      <c r="AC1550" s="121"/>
      <c r="AD1550" s="121"/>
      <c r="AE1550" s="121"/>
      <c r="AF1550" s="121"/>
      <c r="AG1550" s="121"/>
      <c r="AH1550" s="121"/>
      <c r="AI1550" s="121"/>
    </row>
    <row r="1551" spans="1:35" s="115" customFormat="1" ht="14.4">
      <c r="A1551" s="187"/>
      <c r="B1551" s="190"/>
      <c r="C1551" s="190"/>
      <c r="D1551" s="69"/>
      <c r="E1551" s="69"/>
      <c r="F1551" s="149"/>
      <c r="G1551" s="146"/>
      <c r="H1551" s="98"/>
      <c r="I1551" s="99"/>
      <c r="J1551" s="99"/>
      <c r="K1551" s="99"/>
      <c r="L1551" s="99"/>
      <c r="M1551" s="99"/>
      <c r="N1551" s="99"/>
      <c r="O1551" s="99"/>
      <c r="P1551" s="99"/>
      <c r="Q1551" s="99"/>
      <c r="R1551" s="99"/>
      <c r="S1551" s="99"/>
      <c r="T1551" s="99"/>
      <c r="U1551" s="105"/>
      <c r="V1551" s="262"/>
      <c r="W1551" s="121"/>
      <c r="X1551" s="121"/>
      <c r="Y1551" s="121"/>
      <c r="Z1551" s="121"/>
      <c r="AA1551" s="121"/>
      <c r="AB1551" s="121"/>
      <c r="AC1551" s="121"/>
      <c r="AD1551" s="121"/>
      <c r="AE1551" s="121"/>
      <c r="AF1551" s="121"/>
      <c r="AG1551" s="121"/>
      <c r="AH1551" s="121"/>
      <c r="AI1551" s="121"/>
    </row>
    <row r="1552" spans="1:35" s="115" customFormat="1" ht="14.4">
      <c r="A1552" s="187"/>
      <c r="B1552" s="190"/>
      <c r="C1552" s="190"/>
      <c r="D1552" s="69"/>
      <c r="E1552" s="69"/>
      <c r="F1552" s="149"/>
      <c r="G1552" s="146"/>
      <c r="H1552" s="107"/>
      <c r="I1552" s="108"/>
      <c r="J1552" s="108"/>
      <c r="K1552" s="108"/>
      <c r="L1552" s="108"/>
      <c r="M1552" s="108"/>
      <c r="N1552" s="109"/>
      <c r="O1552" s="109"/>
      <c r="P1552" s="109"/>
      <c r="Q1552" s="109"/>
      <c r="R1552" s="109"/>
      <c r="S1552" s="109"/>
      <c r="T1552" s="109"/>
      <c r="U1552" s="105"/>
      <c r="V1552" s="262"/>
      <c r="W1552" s="121"/>
      <c r="X1552" s="121"/>
      <c r="Y1552" s="121"/>
      <c r="Z1552" s="121"/>
      <c r="AA1552" s="121"/>
      <c r="AB1552" s="121"/>
      <c r="AC1552" s="121"/>
      <c r="AD1552" s="121"/>
      <c r="AE1552" s="121"/>
      <c r="AF1552" s="121"/>
      <c r="AG1552" s="121"/>
      <c r="AH1552" s="121"/>
      <c r="AI1552" s="121"/>
    </row>
    <row r="1553" spans="1:35" s="115" customFormat="1" ht="14.4">
      <c r="A1553" s="187"/>
      <c r="B1553" s="190"/>
      <c r="C1553" s="190"/>
      <c r="D1553" s="69"/>
      <c r="E1553" s="69"/>
      <c r="F1553" s="149"/>
      <c r="G1553" s="146"/>
      <c r="H1553" s="98"/>
      <c r="I1553" s="106"/>
      <c r="J1553" s="106"/>
      <c r="K1553" s="106"/>
      <c r="L1553" s="106"/>
      <c r="M1553" s="106"/>
      <c r="N1553" s="112"/>
      <c r="O1553" s="112"/>
      <c r="P1553" s="112"/>
      <c r="Q1553" s="113"/>
      <c r="R1553" s="113"/>
      <c r="S1553" s="113"/>
      <c r="T1553" s="113"/>
      <c r="U1553" s="105"/>
      <c r="V1553" s="262"/>
      <c r="W1553" s="121"/>
      <c r="X1553" s="121"/>
      <c r="Y1553" s="121"/>
      <c r="Z1553" s="121"/>
      <c r="AA1553" s="121"/>
      <c r="AB1553" s="121"/>
      <c r="AC1553" s="121"/>
      <c r="AD1553" s="121"/>
      <c r="AE1553" s="121"/>
      <c r="AF1553" s="121"/>
      <c r="AG1553" s="121"/>
      <c r="AH1553" s="121"/>
      <c r="AI1553" s="121"/>
    </row>
    <row r="1554" spans="1:35" s="115" customFormat="1" ht="14.4">
      <c r="A1554" s="187"/>
      <c r="B1554" s="190"/>
      <c r="C1554" s="190"/>
      <c r="D1554" s="69"/>
      <c r="E1554" s="69"/>
      <c r="F1554" s="149"/>
      <c r="G1554" s="146"/>
      <c r="H1554" s="114"/>
      <c r="I1554" s="108"/>
      <c r="J1554" s="108"/>
      <c r="K1554" s="108"/>
      <c r="L1554" s="108"/>
      <c r="M1554" s="108"/>
      <c r="N1554" s="108"/>
      <c r="O1554" s="108"/>
      <c r="P1554" s="108"/>
      <c r="Q1554" s="108"/>
      <c r="R1554" s="108"/>
      <c r="S1554" s="108"/>
      <c r="T1554" s="108"/>
      <c r="U1554" s="105"/>
      <c r="V1554" s="262"/>
      <c r="W1554" s="121"/>
      <c r="X1554" s="121"/>
      <c r="Y1554" s="121"/>
      <c r="Z1554" s="121"/>
      <c r="AA1554" s="121"/>
      <c r="AB1554" s="121"/>
      <c r="AC1554" s="121"/>
      <c r="AD1554" s="121"/>
      <c r="AE1554" s="121"/>
      <c r="AF1554" s="121"/>
      <c r="AG1554" s="121"/>
      <c r="AH1554" s="121"/>
      <c r="AI1554" s="121"/>
    </row>
    <row r="1555" spans="1:35" s="115" customFormat="1" ht="15" thickBot="1">
      <c r="A1555" s="187"/>
      <c r="B1555" s="190"/>
      <c r="C1555" s="190"/>
      <c r="D1555" s="69"/>
      <c r="E1555" s="69"/>
      <c r="F1555" s="149"/>
      <c r="G1555" s="146"/>
      <c r="H1555" s="98"/>
      <c r="I1555" s="218"/>
      <c r="J1555" s="218"/>
      <c r="K1555" s="218"/>
      <c r="L1555" s="218"/>
      <c r="M1555" s="218"/>
      <c r="N1555" s="96"/>
      <c r="O1555" s="96"/>
      <c r="P1555" s="96"/>
      <c r="Q1555" s="212"/>
      <c r="R1555" s="212"/>
      <c r="S1555" s="212"/>
      <c r="T1555" s="212"/>
      <c r="U1555" s="105"/>
      <c r="V1555" s="262"/>
      <c r="W1555" s="121"/>
      <c r="X1555" s="121"/>
      <c r="Y1555" s="121"/>
      <c r="Z1555" s="121"/>
      <c r="AA1555" s="121"/>
      <c r="AB1555" s="121"/>
      <c r="AC1555" s="121"/>
      <c r="AD1555" s="121"/>
      <c r="AE1555" s="121"/>
      <c r="AF1555" s="121"/>
      <c r="AG1555" s="121"/>
      <c r="AH1555" s="121"/>
      <c r="AI1555" s="121"/>
    </row>
    <row r="1556" spans="1:35" s="115" customFormat="1" ht="23.4" thickBot="1">
      <c r="A1556" s="187"/>
      <c r="B1556" s="190"/>
      <c r="C1556" s="190"/>
      <c r="D1556" s="69"/>
      <c r="E1556" s="69"/>
      <c r="F1556" s="149"/>
      <c r="G1556" s="146"/>
      <c r="H1556" s="686"/>
      <c r="I1556" s="687"/>
      <c r="J1556" s="687"/>
      <c r="K1556" s="687"/>
      <c r="L1556" s="687"/>
      <c r="M1556" s="687"/>
      <c r="N1556" s="687"/>
      <c r="O1556" s="687"/>
      <c r="P1556" s="687"/>
      <c r="Q1556" s="687"/>
      <c r="R1556" s="687"/>
      <c r="S1556" s="687"/>
      <c r="T1556" s="688"/>
      <c r="U1556" s="105"/>
      <c r="V1556" s="262"/>
      <c r="W1556" s="121"/>
      <c r="X1556" s="121"/>
      <c r="Y1556" s="121"/>
      <c r="Z1556" s="121"/>
      <c r="AA1556" s="121"/>
      <c r="AB1556" s="121"/>
      <c r="AC1556" s="121"/>
      <c r="AD1556" s="121"/>
      <c r="AE1556" s="121"/>
      <c r="AF1556" s="121"/>
      <c r="AG1556" s="121"/>
      <c r="AH1556" s="121"/>
      <c r="AI1556" s="121"/>
    </row>
    <row r="1557" spans="1:35" s="115" customFormat="1" ht="22.8">
      <c r="A1557" s="187"/>
      <c r="B1557" s="190"/>
      <c r="C1557" s="190"/>
      <c r="D1557" s="69"/>
      <c r="E1557" s="69"/>
      <c r="F1557" s="149"/>
      <c r="G1557" s="146"/>
      <c r="H1557" s="225"/>
      <c r="I1557" s="225"/>
      <c r="J1557" s="225"/>
      <c r="K1557" s="225"/>
      <c r="L1557" s="225"/>
      <c r="M1557" s="225"/>
      <c r="N1557" s="225"/>
      <c r="O1557" s="225"/>
      <c r="P1557" s="225"/>
      <c r="Q1557" s="225"/>
      <c r="R1557" s="225"/>
      <c r="S1557" s="225"/>
      <c r="T1557" s="225"/>
      <c r="U1557" s="105"/>
      <c r="V1557" s="262"/>
      <c r="W1557" s="121"/>
      <c r="X1557" s="121"/>
      <c r="Y1557" s="121"/>
      <c r="Z1557" s="121"/>
      <c r="AA1557" s="121"/>
      <c r="AB1557" s="121"/>
      <c r="AC1557" s="121"/>
      <c r="AD1557" s="121"/>
      <c r="AE1557" s="121"/>
      <c r="AF1557" s="121"/>
      <c r="AG1557" s="121"/>
      <c r="AH1557" s="121"/>
      <c r="AI1557" s="121"/>
    </row>
    <row r="1558" spans="1:35" s="115" customFormat="1" ht="14.4">
      <c r="A1558" s="187"/>
      <c r="B1558" s="190"/>
      <c r="C1558" s="190"/>
      <c r="D1558" s="69"/>
      <c r="E1558" s="69"/>
      <c r="F1558" s="149"/>
      <c r="G1558" s="146"/>
      <c r="H1558" s="98"/>
      <c r="I1558" s="99"/>
      <c r="J1558" s="99"/>
      <c r="K1558" s="99"/>
      <c r="L1558" s="99"/>
      <c r="M1558" s="99"/>
      <c r="N1558" s="99"/>
      <c r="O1558" s="99"/>
      <c r="P1558" s="99"/>
      <c r="Q1558" s="99"/>
      <c r="R1558" s="99"/>
      <c r="S1558" s="99"/>
      <c r="T1558" s="99"/>
      <c r="U1558" s="105"/>
      <c r="V1558" s="262"/>
      <c r="W1558" s="121"/>
      <c r="X1558" s="121"/>
      <c r="Y1558" s="121"/>
      <c r="Z1558" s="121"/>
      <c r="AA1558" s="121"/>
      <c r="AB1558" s="121"/>
      <c r="AC1558" s="121"/>
      <c r="AD1558" s="121"/>
      <c r="AE1558" s="121"/>
      <c r="AF1558" s="121"/>
      <c r="AG1558" s="121"/>
      <c r="AH1558" s="121"/>
      <c r="AI1558" s="121"/>
    </row>
    <row r="1559" spans="1:35" s="115" customFormat="1" ht="24" customHeight="1">
      <c r="A1559" s="187"/>
      <c r="B1559" s="190"/>
      <c r="C1559" s="190"/>
      <c r="D1559" s="69"/>
      <c r="E1559" s="69"/>
      <c r="F1559" s="149"/>
      <c r="G1559" s="146"/>
      <c r="H1559" s="107"/>
      <c r="I1559" s="108"/>
      <c r="J1559" s="108"/>
      <c r="K1559" s="108"/>
      <c r="L1559" s="108"/>
      <c r="M1559" s="108"/>
      <c r="N1559" s="109"/>
      <c r="O1559" s="109"/>
      <c r="P1559" s="109"/>
      <c r="Q1559" s="109"/>
      <c r="R1559" s="109"/>
      <c r="S1559" s="109"/>
      <c r="T1559" s="109"/>
      <c r="U1559" s="105"/>
      <c r="V1559" s="262"/>
      <c r="W1559" s="121"/>
      <c r="X1559" s="121"/>
      <c r="Y1559" s="121"/>
      <c r="Z1559" s="121"/>
      <c r="AA1559" s="121"/>
      <c r="AB1559" s="121"/>
      <c r="AC1559" s="121"/>
      <c r="AD1559" s="121"/>
      <c r="AE1559" s="121"/>
      <c r="AF1559" s="121"/>
      <c r="AG1559" s="121"/>
      <c r="AH1559" s="121"/>
      <c r="AI1559" s="121"/>
    </row>
    <row r="1560" spans="1:35" s="115" customFormat="1" ht="14.4">
      <c r="A1560" s="187"/>
      <c r="B1560" s="190"/>
      <c r="C1560" s="190"/>
      <c r="D1560" s="69"/>
      <c r="E1560" s="69"/>
      <c r="F1560" s="149"/>
      <c r="G1560" s="146"/>
      <c r="H1560" s="98"/>
      <c r="I1560" s="111"/>
      <c r="J1560" s="111"/>
      <c r="K1560" s="111"/>
      <c r="L1560" s="111"/>
      <c r="M1560" s="111"/>
      <c r="N1560" s="112"/>
      <c r="O1560" s="112"/>
      <c r="P1560" s="112"/>
      <c r="Q1560" s="113"/>
      <c r="R1560" s="113"/>
      <c r="S1560" s="113"/>
      <c r="T1560" s="113"/>
      <c r="U1560" s="105"/>
      <c r="V1560" s="262"/>
      <c r="W1560" s="121"/>
      <c r="X1560" s="121"/>
      <c r="Y1560" s="121"/>
      <c r="Z1560" s="121"/>
      <c r="AA1560" s="121"/>
      <c r="AB1560" s="121"/>
      <c r="AC1560" s="121"/>
      <c r="AD1560" s="121"/>
      <c r="AE1560" s="121"/>
      <c r="AF1560" s="121"/>
      <c r="AG1560" s="121"/>
      <c r="AH1560" s="121"/>
      <c r="AI1560" s="121"/>
    </row>
    <row r="1561" spans="1:35" s="115" customFormat="1" ht="14.4">
      <c r="A1561" s="187"/>
      <c r="B1561" s="190"/>
      <c r="C1561" s="190"/>
      <c r="D1561" s="69"/>
      <c r="E1561" s="69"/>
      <c r="F1561" s="149"/>
      <c r="G1561" s="146"/>
      <c r="H1561" s="98"/>
      <c r="I1561" s="99"/>
      <c r="J1561" s="99"/>
      <c r="K1561" s="99"/>
      <c r="L1561" s="99"/>
      <c r="M1561" s="99"/>
      <c r="N1561" s="99"/>
      <c r="O1561" s="99"/>
      <c r="P1561" s="99"/>
      <c r="Q1561" s="99"/>
      <c r="R1561" s="99"/>
      <c r="S1561" s="99"/>
      <c r="T1561" s="99"/>
      <c r="U1561" s="105"/>
      <c r="V1561" s="262"/>
      <c r="W1561" s="121"/>
      <c r="X1561" s="121"/>
      <c r="Y1561" s="121"/>
      <c r="Z1561" s="121"/>
      <c r="AA1561" s="121"/>
      <c r="AB1561" s="121"/>
      <c r="AC1561" s="121"/>
      <c r="AD1561" s="121"/>
      <c r="AE1561" s="121"/>
      <c r="AF1561" s="121"/>
      <c r="AG1561" s="121"/>
      <c r="AH1561" s="121"/>
      <c r="AI1561" s="121"/>
    </row>
    <row r="1562" spans="1:35" s="115" customFormat="1" ht="14.4">
      <c r="A1562" s="187"/>
      <c r="B1562" s="190"/>
      <c r="C1562" s="190"/>
      <c r="D1562" s="69"/>
      <c r="E1562" s="69"/>
      <c r="F1562" s="149"/>
      <c r="G1562" s="146"/>
      <c r="H1562" s="98"/>
      <c r="I1562" s="99"/>
      <c r="J1562" s="99"/>
      <c r="K1562" s="99"/>
      <c r="L1562" s="99"/>
      <c r="M1562" s="99"/>
      <c r="N1562" s="99"/>
      <c r="O1562" s="99"/>
      <c r="P1562" s="99"/>
      <c r="Q1562" s="99"/>
      <c r="R1562" s="99"/>
      <c r="S1562" s="99"/>
      <c r="T1562" s="99"/>
      <c r="U1562" s="105"/>
      <c r="V1562" s="262"/>
      <c r="W1562" s="121"/>
      <c r="X1562" s="121"/>
      <c r="Y1562" s="121"/>
      <c r="Z1562" s="121"/>
      <c r="AA1562" s="121"/>
      <c r="AB1562" s="121"/>
      <c r="AC1562" s="121"/>
      <c r="AD1562" s="121"/>
      <c r="AE1562" s="121"/>
      <c r="AF1562" s="121"/>
      <c r="AG1562" s="121"/>
      <c r="AH1562" s="121"/>
      <c r="AI1562" s="121"/>
    </row>
    <row r="1563" spans="1:35" s="115" customFormat="1" ht="14.4">
      <c r="A1563" s="187"/>
      <c r="B1563" s="190"/>
      <c r="C1563" s="190"/>
      <c r="D1563" s="69"/>
      <c r="E1563" s="69"/>
      <c r="F1563" s="149"/>
      <c r="G1563" s="146"/>
      <c r="H1563" s="98"/>
      <c r="I1563" s="99"/>
      <c r="J1563" s="99"/>
      <c r="K1563" s="99"/>
      <c r="L1563" s="99"/>
      <c r="M1563" s="99"/>
      <c r="N1563" s="99"/>
      <c r="O1563" s="99"/>
      <c r="P1563" s="99"/>
      <c r="Q1563" s="99"/>
      <c r="R1563" s="99"/>
      <c r="S1563" s="99"/>
      <c r="T1563" s="99"/>
      <c r="U1563" s="105"/>
      <c r="V1563" s="262"/>
      <c r="W1563" s="121"/>
      <c r="X1563" s="121"/>
      <c r="Y1563" s="121"/>
      <c r="Z1563" s="121"/>
      <c r="AA1563" s="121"/>
      <c r="AB1563" s="121"/>
      <c r="AC1563" s="121"/>
      <c r="AD1563" s="121"/>
      <c r="AE1563" s="121"/>
      <c r="AF1563" s="121"/>
      <c r="AG1563" s="121"/>
      <c r="AH1563" s="121"/>
      <c r="AI1563" s="121"/>
    </row>
    <row r="1564" spans="1:35" s="115" customFormat="1" ht="14.4">
      <c r="A1564" s="187"/>
      <c r="B1564" s="190"/>
      <c r="C1564" s="190"/>
      <c r="D1564" s="69"/>
      <c r="E1564" s="69"/>
      <c r="F1564" s="149"/>
      <c r="G1564" s="146"/>
      <c r="H1564" s="107"/>
      <c r="I1564" s="108"/>
      <c r="J1564" s="108"/>
      <c r="K1564" s="108"/>
      <c r="L1564" s="108"/>
      <c r="M1564" s="108"/>
      <c r="N1564" s="108"/>
      <c r="O1564" s="108"/>
      <c r="P1564" s="108"/>
      <c r="Q1564" s="108"/>
      <c r="R1564" s="108"/>
      <c r="S1564" s="108"/>
      <c r="T1564" s="108"/>
      <c r="U1564" s="105"/>
      <c r="V1564" s="262"/>
      <c r="W1564" s="121"/>
      <c r="X1564" s="121"/>
      <c r="Y1564" s="121"/>
      <c r="Z1564" s="121"/>
      <c r="AA1564" s="121"/>
      <c r="AB1564" s="121"/>
      <c r="AC1564" s="121"/>
      <c r="AD1564" s="121"/>
      <c r="AE1564" s="121"/>
      <c r="AF1564" s="121"/>
      <c r="AG1564" s="121"/>
      <c r="AH1564" s="121"/>
      <c r="AI1564" s="121"/>
    </row>
    <row r="1565" spans="1:35" s="115" customFormat="1" ht="14.4">
      <c r="A1565" s="187"/>
      <c r="B1565" s="190"/>
      <c r="C1565" s="190"/>
      <c r="D1565" s="69"/>
      <c r="E1565" s="69"/>
      <c r="F1565" s="149"/>
      <c r="G1565" s="146"/>
      <c r="H1565" s="98"/>
      <c r="I1565" s="111"/>
      <c r="J1565" s="111"/>
      <c r="K1565" s="111"/>
      <c r="L1565" s="111"/>
      <c r="M1565" s="111"/>
      <c r="N1565" s="112"/>
      <c r="O1565" s="112"/>
      <c r="P1565" s="112"/>
      <c r="Q1565" s="113"/>
      <c r="R1565" s="113"/>
      <c r="S1565" s="113"/>
      <c r="T1565" s="113"/>
      <c r="U1565" s="105"/>
      <c r="V1565" s="262"/>
      <c r="W1565" s="121"/>
      <c r="X1565" s="121"/>
      <c r="Y1565" s="121"/>
      <c r="Z1565" s="121"/>
      <c r="AA1565" s="121"/>
      <c r="AB1565" s="121"/>
      <c r="AC1565" s="121"/>
      <c r="AD1565" s="121"/>
      <c r="AE1565" s="121"/>
      <c r="AF1565" s="121"/>
      <c r="AG1565" s="121"/>
      <c r="AH1565" s="121"/>
      <c r="AI1565" s="121"/>
    </row>
    <row r="1566" spans="1:35" s="115" customFormat="1" ht="14.4">
      <c r="A1566" s="187"/>
      <c r="B1566" s="190"/>
      <c r="C1566" s="190"/>
      <c r="D1566" s="69"/>
      <c r="E1566" s="69"/>
      <c r="F1566" s="149"/>
      <c r="G1566" s="146"/>
      <c r="H1566" s="114"/>
      <c r="I1566" s="108"/>
      <c r="J1566" s="108"/>
      <c r="K1566" s="108"/>
      <c r="L1566" s="108"/>
      <c r="M1566" s="108"/>
      <c r="N1566" s="108"/>
      <c r="O1566" s="108"/>
      <c r="P1566" s="108"/>
      <c r="Q1566" s="108"/>
      <c r="R1566" s="108"/>
      <c r="S1566" s="108"/>
      <c r="T1566" s="108"/>
      <c r="U1566" s="105"/>
      <c r="V1566" s="262"/>
      <c r="W1566" s="121"/>
      <c r="X1566" s="121"/>
      <c r="Y1566" s="121"/>
      <c r="Z1566" s="121"/>
      <c r="AA1566" s="121"/>
      <c r="AB1566" s="121"/>
      <c r="AC1566" s="121"/>
      <c r="AD1566" s="121"/>
      <c r="AE1566" s="121"/>
      <c r="AF1566" s="121"/>
      <c r="AG1566" s="121"/>
      <c r="AH1566" s="121"/>
      <c r="AI1566" s="121"/>
    </row>
    <row r="1567" spans="1:35" s="115" customFormat="1" ht="14.4">
      <c r="A1567" s="187"/>
      <c r="B1567" s="190"/>
      <c r="C1567" s="190"/>
      <c r="D1567" s="69"/>
      <c r="E1567" s="69"/>
      <c r="F1567" s="149"/>
      <c r="G1567" s="146"/>
      <c r="H1567" s="98"/>
      <c r="I1567" s="218"/>
      <c r="J1567" s="218"/>
      <c r="K1567" s="218"/>
      <c r="L1567" s="218"/>
      <c r="M1567" s="218"/>
      <c r="N1567" s="96"/>
      <c r="O1567" s="96"/>
      <c r="P1567" s="96"/>
      <c r="Q1567" s="212"/>
      <c r="R1567" s="212"/>
      <c r="S1567" s="212"/>
      <c r="T1567" s="212"/>
      <c r="U1567" s="105"/>
      <c r="V1567" s="262"/>
      <c r="W1567" s="121"/>
      <c r="X1567" s="121"/>
      <c r="Y1567" s="121"/>
      <c r="Z1567" s="121"/>
      <c r="AA1567" s="121"/>
      <c r="AB1567" s="121"/>
      <c r="AC1567" s="121"/>
      <c r="AD1567" s="121"/>
      <c r="AE1567" s="121"/>
      <c r="AF1567" s="121"/>
      <c r="AG1567" s="121"/>
      <c r="AH1567" s="121"/>
      <c r="AI1567" s="121"/>
    </row>
    <row r="1568" spans="1:35" s="115" customFormat="1" ht="15" thickBot="1">
      <c r="A1568" s="187"/>
      <c r="B1568" s="190"/>
      <c r="C1568" s="190"/>
      <c r="D1568" s="69"/>
      <c r="E1568" s="69"/>
      <c r="F1568" s="149"/>
      <c r="G1568" s="146"/>
      <c r="H1568" s="98"/>
      <c r="I1568" s="218"/>
      <c r="J1568" s="218"/>
      <c r="K1568" s="218"/>
      <c r="L1568" s="218"/>
      <c r="M1568" s="218"/>
      <c r="N1568" s="96"/>
      <c r="O1568" s="96"/>
      <c r="P1568" s="96"/>
      <c r="Q1568" s="212"/>
      <c r="R1568" s="212"/>
      <c r="S1568" s="212"/>
      <c r="T1568" s="212"/>
      <c r="U1568" s="105"/>
      <c r="V1568" s="262"/>
      <c r="W1568" s="121"/>
      <c r="X1568" s="121"/>
      <c r="Y1568" s="121"/>
      <c r="Z1568" s="121"/>
      <c r="AA1568" s="121"/>
      <c r="AB1568" s="121"/>
      <c r="AC1568" s="121"/>
      <c r="AD1568" s="121"/>
      <c r="AE1568" s="121"/>
      <c r="AF1568" s="121"/>
      <c r="AG1568" s="121"/>
      <c r="AH1568" s="121"/>
      <c r="AI1568" s="121"/>
    </row>
    <row r="1569" spans="1:35" s="115" customFormat="1" ht="23.4" thickBot="1">
      <c r="A1569" s="187"/>
      <c r="B1569" s="190"/>
      <c r="C1569" s="190"/>
      <c r="D1569" s="69"/>
      <c r="E1569" s="69"/>
      <c r="F1569" s="149"/>
      <c r="G1569" s="146"/>
      <c r="H1569" s="686"/>
      <c r="I1569" s="687"/>
      <c r="J1569" s="687"/>
      <c r="K1569" s="687"/>
      <c r="L1569" s="687"/>
      <c r="M1569" s="687"/>
      <c r="N1569" s="687"/>
      <c r="O1569" s="687"/>
      <c r="P1569" s="687"/>
      <c r="Q1569" s="687"/>
      <c r="R1569" s="687"/>
      <c r="S1569" s="687"/>
      <c r="T1569" s="688"/>
      <c r="U1569" s="105"/>
      <c r="V1569" s="262"/>
      <c r="W1569" s="121"/>
      <c r="X1569" s="121"/>
      <c r="Y1569" s="121"/>
      <c r="Z1569" s="121"/>
      <c r="AA1569" s="121"/>
      <c r="AB1569" s="121"/>
      <c r="AC1569" s="121"/>
      <c r="AD1569" s="121"/>
      <c r="AE1569" s="121"/>
      <c r="AF1569" s="121"/>
      <c r="AG1569" s="121"/>
      <c r="AH1569" s="121"/>
      <c r="AI1569" s="121"/>
    </row>
    <row r="1570" spans="1:35" s="115" customFormat="1" ht="22.8">
      <c r="A1570" s="187"/>
      <c r="B1570" s="190"/>
      <c r="C1570" s="190"/>
      <c r="D1570" s="69"/>
      <c r="E1570" s="69"/>
      <c r="F1570" s="149"/>
      <c r="G1570" s="146"/>
      <c r="H1570" s="225"/>
      <c r="I1570" s="225"/>
      <c r="J1570" s="225"/>
      <c r="K1570" s="225"/>
      <c r="L1570" s="225"/>
      <c r="M1570" s="225"/>
      <c r="N1570" s="225"/>
      <c r="O1570" s="225"/>
      <c r="P1570" s="225"/>
      <c r="Q1570" s="225"/>
      <c r="R1570" s="225"/>
      <c r="S1570" s="225"/>
      <c r="T1570" s="225"/>
      <c r="U1570" s="105"/>
      <c r="V1570" s="262"/>
      <c r="W1570" s="121"/>
      <c r="X1570" s="121"/>
      <c r="Y1570" s="121"/>
      <c r="Z1570" s="121"/>
      <c r="AA1570" s="121"/>
      <c r="AB1570" s="121"/>
      <c r="AC1570" s="121"/>
      <c r="AD1570" s="121"/>
      <c r="AE1570" s="121"/>
      <c r="AF1570" s="121"/>
      <c r="AG1570" s="121"/>
      <c r="AH1570" s="121"/>
      <c r="AI1570" s="121"/>
    </row>
    <row r="1571" spans="1:35" s="115" customFormat="1" ht="14.4">
      <c r="A1571" s="187"/>
      <c r="B1571" s="190"/>
      <c r="C1571" s="190"/>
      <c r="D1571" s="69"/>
      <c r="E1571" s="69"/>
      <c r="F1571" s="149"/>
      <c r="G1571" s="146"/>
      <c r="H1571" s="98"/>
      <c r="I1571" s="99"/>
      <c r="J1571" s="99"/>
      <c r="K1571" s="99"/>
      <c r="L1571" s="99"/>
      <c r="M1571" s="99"/>
      <c r="N1571" s="99"/>
      <c r="O1571" s="99"/>
      <c r="P1571" s="99"/>
      <c r="Q1571" s="99"/>
      <c r="R1571" s="99"/>
      <c r="S1571" s="99"/>
      <c r="T1571" s="99"/>
      <c r="U1571" s="105"/>
      <c r="V1571" s="262"/>
      <c r="W1571" s="121"/>
      <c r="X1571" s="121"/>
      <c r="Y1571" s="121"/>
      <c r="Z1571" s="121"/>
      <c r="AA1571" s="121"/>
      <c r="AB1571" s="121"/>
      <c r="AC1571" s="121"/>
      <c r="AD1571" s="121"/>
      <c r="AE1571" s="121"/>
      <c r="AF1571" s="121"/>
      <c r="AG1571" s="121"/>
      <c r="AH1571" s="121"/>
      <c r="AI1571" s="121"/>
    </row>
    <row r="1572" spans="1:35" s="115" customFormat="1" ht="14.4">
      <c r="A1572" s="187"/>
      <c r="B1572" s="190"/>
      <c r="C1572" s="190"/>
      <c r="D1572" s="69"/>
      <c r="E1572" s="69"/>
      <c r="F1572" s="149"/>
      <c r="G1572" s="146"/>
      <c r="H1572" s="98"/>
      <c r="I1572" s="99"/>
      <c r="J1572" s="99"/>
      <c r="K1572" s="99"/>
      <c r="L1572" s="99"/>
      <c r="M1572" s="99"/>
      <c r="N1572" s="99"/>
      <c r="O1572" s="99"/>
      <c r="P1572" s="99"/>
      <c r="Q1572" s="99"/>
      <c r="R1572" s="99"/>
      <c r="S1572" s="99"/>
      <c r="T1572" s="99"/>
      <c r="U1572" s="105"/>
      <c r="V1572" s="262"/>
      <c r="W1572" s="121"/>
      <c r="X1572" s="121"/>
      <c r="Y1572" s="121"/>
      <c r="Z1572" s="121"/>
      <c r="AA1572" s="121"/>
      <c r="AB1572" s="121"/>
      <c r="AC1572" s="121"/>
      <c r="AD1572" s="121"/>
      <c r="AE1572" s="121"/>
      <c r="AF1572" s="121"/>
      <c r="AG1572" s="121"/>
      <c r="AH1572" s="121"/>
      <c r="AI1572" s="121"/>
    </row>
    <row r="1573" spans="1:35" s="115" customFormat="1" ht="14.4">
      <c r="A1573" s="187"/>
      <c r="B1573" s="190"/>
      <c r="C1573" s="190"/>
      <c r="D1573" s="69"/>
      <c r="E1573" s="69"/>
      <c r="F1573" s="149"/>
      <c r="G1573" s="146"/>
      <c r="H1573" s="98"/>
      <c r="I1573" s="99"/>
      <c r="J1573" s="99"/>
      <c r="K1573" s="99"/>
      <c r="L1573" s="99"/>
      <c r="M1573" s="99"/>
      <c r="N1573" s="99"/>
      <c r="O1573" s="99"/>
      <c r="P1573" s="99"/>
      <c r="Q1573" s="99"/>
      <c r="R1573" s="99"/>
      <c r="S1573" s="99"/>
      <c r="T1573" s="99"/>
      <c r="U1573" s="105"/>
      <c r="V1573" s="262"/>
      <c r="W1573" s="121"/>
      <c r="X1573" s="121"/>
      <c r="Y1573" s="121"/>
      <c r="Z1573" s="121"/>
      <c r="AA1573" s="121"/>
      <c r="AB1573" s="121"/>
      <c r="AC1573" s="121"/>
      <c r="AD1573" s="121"/>
      <c r="AE1573" s="121"/>
      <c r="AF1573" s="121"/>
      <c r="AG1573" s="121"/>
      <c r="AH1573" s="121"/>
      <c r="AI1573" s="121"/>
    </row>
    <row r="1574" spans="1:35" s="115" customFormat="1" ht="14.4">
      <c r="A1574" s="187"/>
      <c r="B1574" s="190"/>
      <c r="C1574" s="190"/>
      <c r="D1574" s="69"/>
      <c r="E1574" s="69"/>
      <c r="F1574" s="149"/>
      <c r="G1574" s="146"/>
      <c r="H1574" s="98"/>
      <c r="I1574" s="99"/>
      <c r="J1574" s="99"/>
      <c r="K1574" s="99"/>
      <c r="L1574" s="99"/>
      <c r="M1574" s="99"/>
      <c r="N1574" s="99"/>
      <c r="O1574" s="99"/>
      <c r="P1574" s="99"/>
      <c r="Q1574" s="99"/>
      <c r="R1574" s="99"/>
      <c r="S1574" s="99"/>
      <c r="T1574" s="99"/>
      <c r="U1574" s="105"/>
      <c r="V1574" s="262"/>
      <c r="W1574" s="121"/>
      <c r="X1574" s="121"/>
      <c r="Y1574" s="121"/>
      <c r="Z1574" s="121"/>
      <c r="AA1574" s="121"/>
      <c r="AB1574" s="121"/>
      <c r="AC1574" s="121"/>
      <c r="AD1574" s="121"/>
      <c r="AE1574" s="121"/>
      <c r="AF1574" s="121"/>
      <c r="AG1574" s="121"/>
      <c r="AH1574" s="121"/>
      <c r="AI1574" s="121"/>
    </row>
    <row r="1575" spans="1:35" s="115" customFormat="1" ht="14.4">
      <c r="A1575" s="187"/>
      <c r="B1575" s="190"/>
      <c r="C1575" s="190"/>
      <c r="D1575" s="69"/>
      <c r="E1575" s="69"/>
      <c r="F1575" s="149"/>
      <c r="G1575" s="146"/>
      <c r="H1575" s="98"/>
      <c r="I1575" s="99"/>
      <c r="J1575" s="99"/>
      <c r="K1575" s="99"/>
      <c r="L1575" s="99"/>
      <c r="M1575" s="99"/>
      <c r="N1575" s="99"/>
      <c r="O1575" s="99"/>
      <c r="P1575" s="99"/>
      <c r="Q1575" s="99"/>
      <c r="R1575" s="99"/>
      <c r="S1575" s="99"/>
      <c r="T1575" s="99"/>
      <c r="U1575" s="105"/>
      <c r="V1575" s="262"/>
      <c r="W1575" s="121"/>
      <c r="X1575" s="121"/>
      <c r="Y1575" s="121"/>
      <c r="Z1575" s="121"/>
      <c r="AA1575" s="121"/>
      <c r="AB1575" s="121"/>
      <c r="AC1575" s="121"/>
      <c r="AD1575" s="121"/>
      <c r="AE1575" s="121"/>
      <c r="AF1575" s="121"/>
      <c r="AG1575" s="121"/>
      <c r="AH1575" s="121"/>
      <c r="AI1575" s="121"/>
    </row>
    <row r="1576" spans="1:35" s="115" customFormat="1" ht="14.4">
      <c r="A1576" s="187"/>
      <c r="B1576" s="190"/>
      <c r="C1576" s="190"/>
      <c r="D1576" s="69"/>
      <c r="E1576" s="69"/>
      <c r="F1576" s="149"/>
      <c r="G1576" s="146"/>
      <c r="H1576" s="98"/>
      <c r="I1576" s="99"/>
      <c r="J1576" s="99"/>
      <c r="K1576" s="99"/>
      <c r="L1576" s="99"/>
      <c r="M1576" s="99"/>
      <c r="N1576" s="99"/>
      <c r="O1576" s="99"/>
      <c r="P1576" s="99"/>
      <c r="Q1576" s="99"/>
      <c r="R1576" s="99"/>
      <c r="S1576" s="99"/>
      <c r="T1576" s="99"/>
      <c r="U1576" s="105"/>
      <c r="V1576" s="262"/>
      <c r="W1576" s="121"/>
      <c r="X1576" s="121"/>
      <c r="Y1576" s="121"/>
      <c r="Z1576" s="121"/>
      <c r="AA1576" s="121"/>
      <c r="AB1576" s="121"/>
      <c r="AC1576" s="121"/>
      <c r="AD1576" s="121"/>
      <c r="AE1576" s="121"/>
      <c r="AF1576" s="121"/>
      <c r="AG1576" s="121"/>
      <c r="AH1576" s="121"/>
      <c r="AI1576" s="121"/>
    </row>
    <row r="1577" spans="1:35" s="115" customFormat="1" ht="14.4">
      <c r="A1577" s="187"/>
      <c r="B1577" s="190"/>
      <c r="C1577" s="190"/>
      <c r="D1577" s="69"/>
      <c r="E1577" s="69"/>
      <c r="F1577" s="149"/>
      <c r="G1577" s="146"/>
      <c r="H1577" s="98"/>
      <c r="I1577" s="99"/>
      <c r="J1577" s="99"/>
      <c r="K1577" s="99"/>
      <c r="L1577" s="99"/>
      <c r="M1577" s="99"/>
      <c r="N1577" s="99"/>
      <c r="O1577" s="99"/>
      <c r="P1577" s="99"/>
      <c r="Q1577" s="99"/>
      <c r="R1577" s="99"/>
      <c r="S1577" s="99"/>
      <c r="T1577" s="99"/>
      <c r="U1577" s="105"/>
      <c r="V1577" s="262"/>
      <c r="W1577" s="121"/>
      <c r="X1577" s="121"/>
      <c r="Y1577" s="121"/>
      <c r="Z1577" s="121"/>
      <c r="AA1577" s="121"/>
      <c r="AB1577" s="121"/>
      <c r="AC1577" s="121"/>
      <c r="AD1577" s="121"/>
      <c r="AE1577" s="121"/>
      <c r="AF1577" s="121"/>
      <c r="AG1577" s="121"/>
      <c r="AH1577" s="121"/>
      <c r="AI1577" s="121"/>
    </row>
    <row r="1578" spans="1:35" s="115" customFormat="1" ht="14.4">
      <c r="A1578" s="187"/>
      <c r="B1578" s="190"/>
      <c r="C1578" s="190"/>
      <c r="D1578" s="69"/>
      <c r="E1578" s="69"/>
      <c r="F1578" s="149"/>
      <c r="G1578" s="146"/>
      <c r="H1578" s="98"/>
      <c r="I1578" s="99"/>
      <c r="J1578" s="99"/>
      <c r="K1578" s="99"/>
      <c r="L1578" s="99"/>
      <c r="M1578" s="99"/>
      <c r="N1578" s="99"/>
      <c r="O1578" s="99"/>
      <c r="P1578" s="99"/>
      <c r="Q1578" s="99"/>
      <c r="R1578" s="99"/>
      <c r="S1578" s="99"/>
      <c r="T1578" s="99"/>
      <c r="U1578" s="105"/>
      <c r="V1578" s="262"/>
      <c r="W1578" s="121"/>
      <c r="X1578" s="121"/>
      <c r="Y1578" s="121"/>
      <c r="Z1578" s="121"/>
      <c r="AA1578" s="121"/>
      <c r="AB1578" s="121"/>
      <c r="AC1578" s="121"/>
      <c r="AD1578" s="121"/>
      <c r="AE1578" s="121"/>
      <c r="AF1578" s="121"/>
      <c r="AG1578" s="121"/>
      <c r="AH1578" s="121"/>
      <c r="AI1578" s="121"/>
    </row>
    <row r="1579" spans="1:35" s="115" customFormat="1" ht="14.4">
      <c r="A1579" s="187"/>
      <c r="B1579" s="190"/>
      <c r="C1579" s="190"/>
      <c r="D1579" s="69"/>
      <c r="E1579" s="69"/>
      <c r="F1579" s="149"/>
      <c r="G1579" s="146"/>
      <c r="H1579" s="98"/>
      <c r="I1579" s="99"/>
      <c r="J1579" s="99"/>
      <c r="K1579" s="99"/>
      <c r="L1579" s="99"/>
      <c r="M1579" s="99"/>
      <c r="N1579" s="99"/>
      <c r="O1579" s="99"/>
      <c r="P1579" s="99"/>
      <c r="Q1579" s="99"/>
      <c r="R1579" s="99"/>
      <c r="S1579" s="99"/>
      <c r="T1579" s="99"/>
      <c r="U1579" s="105"/>
      <c r="V1579" s="262"/>
      <c r="W1579" s="121"/>
      <c r="X1579" s="121"/>
      <c r="Y1579" s="121"/>
      <c r="Z1579" s="121"/>
      <c r="AA1579" s="121"/>
      <c r="AB1579" s="121"/>
      <c r="AC1579" s="121"/>
      <c r="AD1579" s="121"/>
      <c r="AE1579" s="121"/>
      <c r="AF1579" s="121"/>
      <c r="AG1579" s="121"/>
      <c r="AH1579" s="121"/>
      <c r="AI1579" s="121"/>
    </row>
    <row r="1580" spans="1:35" s="115" customFormat="1" ht="14.4">
      <c r="A1580" s="187"/>
      <c r="B1580" s="190"/>
      <c r="C1580" s="190"/>
      <c r="D1580" s="69"/>
      <c r="E1580" s="69"/>
      <c r="F1580" s="149"/>
      <c r="G1580" s="146"/>
      <c r="H1580" s="98"/>
      <c r="I1580" s="99"/>
      <c r="J1580" s="99"/>
      <c r="K1580" s="99"/>
      <c r="L1580" s="99"/>
      <c r="M1580" s="99"/>
      <c r="N1580" s="99"/>
      <c r="O1580" s="99"/>
      <c r="P1580" s="99"/>
      <c r="Q1580" s="99"/>
      <c r="R1580" s="99"/>
      <c r="S1580" s="99"/>
      <c r="T1580" s="99"/>
      <c r="U1580" s="105"/>
      <c r="V1580" s="262"/>
      <c r="W1580" s="121"/>
      <c r="X1580" s="121"/>
      <c r="Y1580" s="121"/>
      <c r="Z1580" s="121"/>
      <c r="AA1580" s="121"/>
      <c r="AB1580" s="121"/>
      <c r="AC1580" s="121"/>
      <c r="AD1580" s="121"/>
      <c r="AE1580" s="121"/>
      <c r="AF1580" s="121"/>
      <c r="AG1580" s="121"/>
      <c r="AH1580" s="121"/>
      <c r="AI1580" s="121"/>
    </row>
    <row r="1581" spans="1:35" s="115" customFormat="1" ht="14.4">
      <c r="A1581" s="187"/>
      <c r="B1581" s="190"/>
      <c r="C1581" s="190"/>
      <c r="D1581" s="69"/>
      <c r="E1581" s="69"/>
      <c r="F1581" s="149"/>
      <c r="G1581" s="146"/>
      <c r="H1581" s="98"/>
      <c r="I1581" s="99"/>
      <c r="J1581" s="99"/>
      <c r="K1581" s="99"/>
      <c r="L1581" s="99"/>
      <c r="M1581" s="99"/>
      <c r="N1581" s="99"/>
      <c r="O1581" s="99"/>
      <c r="P1581" s="99"/>
      <c r="Q1581" s="99"/>
      <c r="R1581" s="99"/>
      <c r="S1581" s="99"/>
      <c r="T1581" s="99"/>
      <c r="U1581" s="105"/>
      <c r="V1581" s="262"/>
      <c r="W1581" s="121"/>
      <c r="X1581" s="121"/>
      <c r="Y1581" s="121"/>
      <c r="Z1581" s="121"/>
      <c r="AA1581" s="121"/>
      <c r="AB1581" s="121"/>
      <c r="AC1581" s="121"/>
      <c r="AD1581" s="121"/>
      <c r="AE1581" s="121"/>
      <c r="AF1581" s="121"/>
      <c r="AG1581" s="121"/>
      <c r="AH1581" s="121"/>
      <c r="AI1581" s="121"/>
    </row>
    <row r="1582" spans="1:35" s="115" customFormat="1" ht="14.4">
      <c r="A1582" s="187"/>
      <c r="B1582" s="190"/>
      <c r="C1582" s="190"/>
      <c r="D1582" s="69"/>
      <c r="E1582" s="69"/>
      <c r="F1582" s="149"/>
      <c r="G1582" s="146"/>
      <c r="H1582" s="98"/>
      <c r="I1582" s="99"/>
      <c r="J1582" s="99"/>
      <c r="K1582" s="99"/>
      <c r="L1582" s="99"/>
      <c r="M1582" s="99"/>
      <c r="N1582" s="99"/>
      <c r="O1582" s="99"/>
      <c r="P1582" s="99"/>
      <c r="Q1582" s="99"/>
      <c r="R1582" s="99"/>
      <c r="S1582" s="99"/>
      <c r="T1582" s="99"/>
      <c r="U1582" s="105"/>
      <c r="V1582" s="262"/>
      <c r="W1582" s="121"/>
      <c r="X1582" s="121"/>
      <c r="Y1582" s="121"/>
      <c r="Z1582" s="121"/>
      <c r="AA1582" s="121"/>
      <c r="AB1582" s="121"/>
      <c r="AC1582" s="121"/>
      <c r="AD1582" s="121"/>
      <c r="AE1582" s="121"/>
      <c r="AF1582" s="121"/>
      <c r="AG1582" s="121"/>
      <c r="AH1582" s="121"/>
      <c r="AI1582" s="121"/>
    </row>
    <row r="1583" spans="1:35" s="115" customFormat="1" ht="14.4">
      <c r="A1583" s="187"/>
      <c r="B1583" s="190"/>
      <c r="C1583" s="190"/>
      <c r="D1583" s="69"/>
      <c r="E1583" s="69"/>
      <c r="F1583" s="149"/>
      <c r="G1583" s="146"/>
      <c r="H1583" s="98"/>
      <c r="I1583" s="99"/>
      <c r="J1583" s="99"/>
      <c r="K1583" s="99"/>
      <c r="L1583" s="99"/>
      <c r="M1583" s="99"/>
      <c r="N1583" s="99"/>
      <c r="O1583" s="99"/>
      <c r="P1583" s="99"/>
      <c r="Q1583" s="99"/>
      <c r="R1583" s="99"/>
      <c r="S1583" s="99"/>
      <c r="T1583" s="99"/>
      <c r="U1583" s="105"/>
      <c r="V1583" s="262"/>
      <c r="W1583" s="121"/>
      <c r="X1583" s="121"/>
      <c r="Y1583" s="121"/>
      <c r="Z1583" s="121"/>
      <c r="AA1583" s="121"/>
      <c r="AB1583" s="121"/>
      <c r="AC1583" s="121"/>
      <c r="AD1583" s="121"/>
      <c r="AE1583" s="121"/>
      <c r="AF1583" s="121"/>
      <c r="AG1583" s="121"/>
      <c r="AH1583" s="121"/>
      <c r="AI1583" s="121"/>
    </row>
    <row r="1584" spans="1:35" s="115" customFormat="1" ht="14.4">
      <c r="A1584" s="187"/>
      <c r="B1584" s="190"/>
      <c r="C1584" s="190"/>
      <c r="D1584" s="69"/>
      <c r="E1584" s="69"/>
      <c r="F1584" s="149"/>
      <c r="G1584" s="146"/>
      <c r="H1584" s="98"/>
      <c r="I1584" s="99"/>
      <c r="J1584" s="99"/>
      <c r="K1584" s="99"/>
      <c r="L1584" s="99"/>
      <c r="M1584" s="99"/>
      <c r="N1584" s="99"/>
      <c r="O1584" s="99"/>
      <c r="P1584" s="99"/>
      <c r="Q1584" s="99"/>
      <c r="R1584" s="99"/>
      <c r="S1584" s="99"/>
      <c r="T1584" s="99"/>
      <c r="U1584" s="105"/>
      <c r="V1584" s="262"/>
      <c r="W1584" s="121"/>
      <c r="X1584" s="121"/>
      <c r="Y1584" s="121"/>
      <c r="Z1584" s="121"/>
      <c r="AA1584" s="121"/>
      <c r="AB1584" s="121"/>
      <c r="AC1584" s="121"/>
      <c r="AD1584" s="121"/>
      <c r="AE1584" s="121"/>
      <c r="AF1584" s="121"/>
      <c r="AG1584" s="121"/>
      <c r="AH1584" s="121"/>
      <c r="AI1584" s="121"/>
    </row>
    <row r="1585" spans="1:35" s="115" customFormat="1" ht="14.4">
      <c r="A1585" s="187"/>
      <c r="B1585" s="190"/>
      <c r="C1585" s="190"/>
      <c r="D1585" s="69"/>
      <c r="E1585" s="69"/>
      <c r="F1585" s="149"/>
      <c r="G1585" s="146"/>
      <c r="H1585" s="98"/>
      <c r="I1585" s="99"/>
      <c r="J1585" s="99"/>
      <c r="K1585" s="99"/>
      <c r="L1585" s="99"/>
      <c r="M1585" s="99"/>
      <c r="N1585" s="99"/>
      <c r="O1585" s="99"/>
      <c r="P1585" s="99"/>
      <c r="Q1585" s="99"/>
      <c r="R1585" s="99"/>
      <c r="S1585" s="99"/>
      <c r="T1585" s="99"/>
      <c r="U1585" s="105"/>
      <c r="V1585" s="262"/>
      <c r="W1585" s="121"/>
      <c r="X1585" s="121"/>
      <c r="Y1585" s="121"/>
      <c r="Z1585" s="121"/>
      <c r="AA1585" s="121"/>
      <c r="AB1585" s="121"/>
      <c r="AC1585" s="121"/>
      <c r="AD1585" s="121"/>
      <c r="AE1585" s="121"/>
      <c r="AF1585" s="121"/>
      <c r="AG1585" s="121"/>
      <c r="AH1585" s="121"/>
      <c r="AI1585" s="121"/>
    </row>
    <row r="1586" spans="1:35" s="115" customFormat="1" ht="14.4">
      <c r="A1586" s="187"/>
      <c r="B1586" s="190"/>
      <c r="C1586" s="190"/>
      <c r="D1586" s="69"/>
      <c r="E1586" s="69"/>
      <c r="F1586" s="149"/>
      <c r="G1586" s="146"/>
      <c r="H1586" s="107"/>
      <c r="I1586" s="108"/>
      <c r="J1586" s="108"/>
      <c r="K1586" s="108"/>
      <c r="L1586" s="108"/>
      <c r="M1586" s="108"/>
      <c r="N1586" s="109"/>
      <c r="O1586" s="109"/>
      <c r="P1586" s="109"/>
      <c r="Q1586" s="109"/>
      <c r="R1586" s="109"/>
      <c r="S1586" s="109"/>
      <c r="T1586" s="109"/>
      <c r="U1586" s="105"/>
      <c r="V1586" s="262"/>
      <c r="W1586" s="121"/>
      <c r="X1586" s="121"/>
      <c r="Y1586" s="121"/>
      <c r="Z1586" s="121"/>
      <c r="AA1586" s="121"/>
      <c r="AB1586" s="121"/>
      <c r="AC1586" s="121"/>
      <c r="AD1586" s="121"/>
      <c r="AE1586" s="121"/>
      <c r="AF1586" s="121"/>
      <c r="AG1586" s="121"/>
      <c r="AH1586" s="121"/>
      <c r="AI1586" s="121"/>
    </row>
    <row r="1587" spans="1:35" s="115" customFormat="1" ht="14.4">
      <c r="A1587" s="187"/>
      <c r="B1587" s="190"/>
      <c r="C1587" s="190"/>
      <c r="D1587" s="69"/>
      <c r="E1587" s="69"/>
      <c r="F1587" s="149"/>
      <c r="G1587" s="146"/>
      <c r="H1587" s="98"/>
      <c r="I1587" s="106"/>
      <c r="J1587" s="106"/>
      <c r="K1587" s="106"/>
      <c r="L1587" s="106"/>
      <c r="M1587" s="106"/>
      <c r="N1587" s="112"/>
      <c r="O1587" s="112"/>
      <c r="P1587" s="112"/>
      <c r="Q1587" s="113"/>
      <c r="R1587" s="113"/>
      <c r="S1587" s="113"/>
      <c r="T1587" s="113"/>
      <c r="U1587" s="105"/>
      <c r="V1587" s="262"/>
      <c r="W1587" s="121"/>
      <c r="X1587" s="121"/>
      <c r="Y1587" s="121"/>
      <c r="Z1587" s="121"/>
      <c r="AA1587" s="121"/>
      <c r="AB1587" s="121"/>
      <c r="AC1587" s="121"/>
      <c r="AD1587" s="121"/>
      <c r="AE1587" s="121"/>
      <c r="AF1587" s="121"/>
      <c r="AG1587" s="121"/>
      <c r="AH1587" s="121"/>
      <c r="AI1587" s="121"/>
    </row>
    <row r="1588" spans="1:35" s="115" customFormat="1" ht="14.4">
      <c r="A1588" s="187"/>
      <c r="B1588" s="190"/>
      <c r="C1588" s="190"/>
      <c r="D1588" s="69"/>
      <c r="E1588" s="69"/>
      <c r="F1588" s="149"/>
      <c r="G1588" s="146"/>
      <c r="H1588" s="98"/>
      <c r="I1588" s="99"/>
      <c r="J1588" s="99"/>
      <c r="K1588" s="99"/>
      <c r="L1588" s="99"/>
      <c r="M1588" s="99"/>
      <c r="N1588" s="99"/>
      <c r="O1588" s="99"/>
      <c r="P1588" s="99"/>
      <c r="Q1588" s="99"/>
      <c r="R1588" s="99"/>
      <c r="S1588" s="99"/>
      <c r="T1588" s="99"/>
      <c r="U1588" s="105"/>
      <c r="V1588" s="262"/>
      <c r="W1588" s="121"/>
      <c r="X1588" s="121"/>
      <c r="Y1588" s="121"/>
      <c r="Z1588" s="121"/>
      <c r="AA1588" s="121"/>
      <c r="AB1588" s="121"/>
      <c r="AC1588" s="121"/>
      <c r="AD1588" s="121"/>
      <c r="AE1588" s="121"/>
      <c r="AF1588" s="121"/>
      <c r="AG1588" s="121"/>
      <c r="AH1588" s="121"/>
      <c r="AI1588" s="121"/>
    </row>
    <row r="1589" spans="1:35" s="115" customFormat="1" ht="14.4">
      <c r="A1589" s="187"/>
      <c r="B1589" s="190"/>
      <c r="C1589" s="190"/>
      <c r="D1589" s="69"/>
      <c r="E1589" s="69"/>
      <c r="F1589" s="149"/>
      <c r="G1589" s="146"/>
      <c r="H1589" s="98"/>
      <c r="I1589" s="99"/>
      <c r="J1589" s="99"/>
      <c r="K1589" s="99"/>
      <c r="L1589" s="99"/>
      <c r="M1589" s="99"/>
      <c r="N1589" s="99"/>
      <c r="O1589" s="99"/>
      <c r="P1589" s="99"/>
      <c r="Q1589" s="99"/>
      <c r="R1589" s="99"/>
      <c r="S1589" s="99"/>
      <c r="T1589" s="99"/>
      <c r="U1589" s="105"/>
      <c r="V1589" s="262"/>
      <c r="W1589" s="121"/>
      <c r="X1589" s="121"/>
      <c r="Y1589" s="121"/>
      <c r="Z1589" s="121"/>
      <c r="AA1589" s="121"/>
      <c r="AB1589" s="121"/>
      <c r="AC1589" s="121"/>
      <c r="AD1589" s="121"/>
      <c r="AE1589" s="121"/>
      <c r="AF1589" s="121"/>
      <c r="AG1589" s="121"/>
      <c r="AH1589" s="121"/>
      <c r="AI1589" s="121"/>
    </row>
    <row r="1590" spans="1:35" s="115" customFormat="1" ht="14.4">
      <c r="A1590" s="187"/>
      <c r="B1590" s="190"/>
      <c r="C1590" s="190"/>
      <c r="D1590" s="69"/>
      <c r="E1590" s="69"/>
      <c r="F1590" s="149"/>
      <c r="G1590" s="146"/>
      <c r="H1590" s="98"/>
      <c r="I1590" s="99"/>
      <c r="J1590" s="99"/>
      <c r="K1590" s="99"/>
      <c r="L1590" s="99"/>
      <c r="M1590" s="99"/>
      <c r="N1590" s="99"/>
      <c r="O1590" s="99"/>
      <c r="P1590" s="99"/>
      <c r="Q1590" s="99"/>
      <c r="R1590" s="99"/>
      <c r="S1590" s="99"/>
      <c r="T1590" s="99"/>
      <c r="U1590" s="105"/>
      <c r="V1590" s="262"/>
      <c r="W1590" s="121"/>
      <c r="X1590" s="121"/>
      <c r="Y1590" s="121"/>
      <c r="Z1590" s="121"/>
      <c r="AA1590" s="121"/>
      <c r="AB1590" s="121"/>
      <c r="AC1590" s="121"/>
      <c r="AD1590" s="121"/>
      <c r="AE1590" s="121"/>
      <c r="AF1590" s="121"/>
      <c r="AG1590" s="121"/>
      <c r="AH1590" s="121"/>
      <c r="AI1590" s="121"/>
    </row>
    <row r="1591" spans="1:35" s="115" customFormat="1" ht="14.4">
      <c r="A1591" s="187"/>
      <c r="B1591" s="190"/>
      <c r="C1591" s="190"/>
      <c r="D1591" s="69"/>
      <c r="E1591" s="69"/>
      <c r="F1591" s="149"/>
      <c r="G1591" s="146"/>
      <c r="H1591" s="98"/>
      <c r="I1591" s="99"/>
      <c r="J1591" s="99"/>
      <c r="K1591" s="99"/>
      <c r="L1591" s="99"/>
      <c r="M1591" s="99"/>
      <c r="N1591" s="99"/>
      <c r="O1591" s="99"/>
      <c r="P1591" s="99"/>
      <c r="Q1591" s="99"/>
      <c r="R1591" s="99"/>
      <c r="S1591" s="99"/>
      <c r="T1591" s="99"/>
      <c r="U1591" s="105"/>
      <c r="V1591" s="262"/>
      <c r="W1591" s="121"/>
      <c r="X1591" s="121"/>
      <c r="Y1591" s="121"/>
      <c r="Z1591" s="121"/>
      <c r="AA1591" s="121"/>
      <c r="AB1591" s="121"/>
      <c r="AC1591" s="121"/>
      <c r="AD1591" s="121"/>
      <c r="AE1591" s="121"/>
      <c r="AF1591" s="121"/>
      <c r="AG1591" s="121"/>
      <c r="AH1591" s="121"/>
      <c r="AI1591" s="121"/>
    </row>
    <row r="1592" spans="1:35" s="115" customFormat="1" ht="14.4">
      <c r="A1592" s="187"/>
      <c r="B1592" s="190"/>
      <c r="C1592" s="190"/>
      <c r="D1592" s="69"/>
      <c r="E1592" s="69"/>
      <c r="F1592" s="149"/>
      <c r="G1592" s="146"/>
      <c r="H1592" s="98"/>
      <c r="I1592" s="99"/>
      <c r="J1592" s="99"/>
      <c r="K1592" s="99"/>
      <c r="L1592" s="99"/>
      <c r="M1592" s="99"/>
      <c r="N1592" s="99"/>
      <c r="O1592" s="99"/>
      <c r="P1592" s="99"/>
      <c r="Q1592" s="99"/>
      <c r="R1592" s="99"/>
      <c r="S1592" s="99"/>
      <c r="T1592" s="99"/>
      <c r="U1592" s="105"/>
      <c r="V1592" s="262"/>
      <c r="W1592" s="121"/>
      <c r="X1592" s="121"/>
      <c r="Y1592" s="121"/>
      <c r="Z1592" s="121"/>
      <c r="AA1592" s="121"/>
      <c r="AB1592" s="121"/>
      <c r="AC1592" s="121"/>
      <c r="AD1592" s="121"/>
      <c r="AE1592" s="121"/>
      <c r="AF1592" s="121"/>
      <c r="AG1592" s="121"/>
      <c r="AH1592" s="121"/>
      <c r="AI1592" s="121"/>
    </row>
    <row r="1593" spans="1:35" s="115" customFormat="1" ht="14.4">
      <c r="A1593" s="187"/>
      <c r="B1593" s="190"/>
      <c r="C1593" s="190"/>
      <c r="D1593" s="69"/>
      <c r="E1593" s="69"/>
      <c r="F1593" s="149"/>
      <c r="G1593" s="146"/>
      <c r="H1593" s="98"/>
      <c r="I1593" s="99"/>
      <c r="J1593" s="99"/>
      <c r="K1593" s="99"/>
      <c r="L1593" s="99"/>
      <c r="M1593" s="99"/>
      <c r="N1593" s="99"/>
      <c r="O1593" s="99"/>
      <c r="P1593" s="99"/>
      <c r="Q1593" s="99"/>
      <c r="R1593" s="99"/>
      <c r="S1593" s="99"/>
      <c r="T1593" s="99"/>
      <c r="U1593" s="105"/>
      <c r="V1593" s="262"/>
      <c r="W1593" s="121"/>
      <c r="X1593" s="121"/>
      <c r="Y1593" s="121"/>
      <c r="Z1593" s="121"/>
      <c r="AA1593" s="121"/>
      <c r="AB1593" s="121"/>
      <c r="AC1593" s="121"/>
      <c r="AD1593" s="121"/>
      <c r="AE1593" s="121"/>
      <c r="AF1593" s="121"/>
      <c r="AG1593" s="121"/>
      <c r="AH1593" s="121"/>
      <c r="AI1593" s="121"/>
    </row>
    <row r="1594" spans="1:35" s="115" customFormat="1" ht="14.4">
      <c r="A1594" s="187"/>
      <c r="B1594" s="190"/>
      <c r="C1594" s="190"/>
      <c r="D1594" s="69"/>
      <c r="E1594" s="69"/>
      <c r="F1594" s="149"/>
      <c r="G1594" s="146"/>
      <c r="H1594" s="98"/>
      <c r="I1594" s="99"/>
      <c r="J1594" s="99"/>
      <c r="K1594" s="99"/>
      <c r="L1594" s="99"/>
      <c r="M1594" s="99"/>
      <c r="N1594" s="99"/>
      <c r="O1594" s="99"/>
      <c r="P1594" s="99"/>
      <c r="Q1594" s="99"/>
      <c r="R1594" s="99"/>
      <c r="S1594" s="99"/>
      <c r="T1594" s="99"/>
      <c r="U1594" s="105"/>
      <c r="V1594" s="262"/>
      <c r="W1594" s="121"/>
      <c r="X1594" s="121"/>
      <c r="Y1594" s="121"/>
      <c r="Z1594" s="121"/>
      <c r="AA1594" s="121"/>
      <c r="AB1594" s="121"/>
      <c r="AC1594" s="121"/>
      <c r="AD1594" s="121"/>
      <c r="AE1594" s="121"/>
      <c r="AF1594" s="121"/>
      <c r="AG1594" s="121"/>
      <c r="AH1594" s="121"/>
      <c r="AI1594" s="121"/>
    </row>
    <row r="1595" spans="1:35" s="115" customFormat="1" ht="14.4">
      <c r="A1595" s="187"/>
      <c r="B1595" s="190"/>
      <c r="C1595" s="190"/>
      <c r="D1595" s="69"/>
      <c r="E1595" s="69"/>
      <c r="F1595" s="149"/>
      <c r="G1595" s="146"/>
      <c r="H1595" s="98"/>
      <c r="I1595" s="99"/>
      <c r="J1595" s="99"/>
      <c r="K1595" s="99"/>
      <c r="L1595" s="99"/>
      <c r="M1595" s="99"/>
      <c r="N1595" s="99"/>
      <c r="O1595" s="99"/>
      <c r="P1595" s="99"/>
      <c r="Q1595" s="99"/>
      <c r="R1595" s="99"/>
      <c r="S1595" s="99"/>
      <c r="T1595" s="99"/>
      <c r="U1595" s="105"/>
      <c r="V1595" s="262"/>
      <c r="W1595" s="121"/>
      <c r="X1595" s="121"/>
      <c r="Y1595" s="121"/>
      <c r="Z1595" s="121"/>
      <c r="AA1595" s="121"/>
      <c r="AB1595" s="121"/>
      <c r="AC1595" s="121"/>
      <c r="AD1595" s="121"/>
      <c r="AE1595" s="121"/>
      <c r="AF1595" s="121"/>
      <c r="AG1595" s="121"/>
      <c r="AH1595" s="121"/>
      <c r="AI1595" s="121"/>
    </row>
    <row r="1596" spans="1:35" s="115" customFormat="1" ht="14.4">
      <c r="A1596" s="187"/>
      <c r="B1596" s="190"/>
      <c r="C1596" s="190"/>
      <c r="D1596" s="69"/>
      <c r="E1596" s="69"/>
      <c r="F1596" s="149"/>
      <c r="G1596" s="146"/>
      <c r="H1596" s="98"/>
      <c r="I1596" s="99"/>
      <c r="J1596" s="99"/>
      <c r="K1596" s="99"/>
      <c r="L1596" s="99"/>
      <c r="M1596" s="99"/>
      <c r="N1596" s="99"/>
      <c r="O1596" s="99"/>
      <c r="P1596" s="99"/>
      <c r="Q1596" s="99"/>
      <c r="R1596" s="99"/>
      <c r="S1596" s="99"/>
      <c r="T1596" s="99"/>
      <c r="U1596" s="105"/>
      <c r="V1596" s="262"/>
      <c r="W1596" s="121"/>
      <c r="X1596" s="121"/>
      <c r="Y1596" s="121"/>
      <c r="Z1596" s="121"/>
      <c r="AA1596" s="121"/>
      <c r="AB1596" s="121"/>
      <c r="AC1596" s="121"/>
      <c r="AD1596" s="121"/>
      <c r="AE1596" s="121"/>
      <c r="AF1596" s="121"/>
      <c r="AG1596" s="121"/>
      <c r="AH1596" s="121"/>
      <c r="AI1596" s="121"/>
    </row>
    <row r="1597" spans="1:35" s="115" customFormat="1" ht="14.4">
      <c r="A1597" s="187"/>
      <c r="B1597" s="190"/>
      <c r="C1597" s="190"/>
      <c r="D1597" s="69"/>
      <c r="E1597" s="69"/>
      <c r="F1597" s="149"/>
      <c r="G1597" s="146"/>
      <c r="H1597" s="98"/>
      <c r="I1597" s="99"/>
      <c r="J1597" s="99"/>
      <c r="K1597" s="99"/>
      <c r="L1597" s="99"/>
      <c r="M1597" s="99"/>
      <c r="N1597" s="99"/>
      <c r="O1597" s="99"/>
      <c r="P1597" s="99"/>
      <c r="Q1597" s="99"/>
      <c r="R1597" s="99"/>
      <c r="S1597" s="99"/>
      <c r="T1597" s="99"/>
      <c r="U1597" s="105"/>
      <c r="V1597" s="262"/>
      <c r="W1597" s="121"/>
      <c r="X1597" s="121"/>
      <c r="Y1597" s="121"/>
      <c r="Z1597" s="121"/>
      <c r="AA1597" s="121"/>
      <c r="AB1597" s="121"/>
      <c r="AC1597" s="121"/>
      <c r="AD1597" s="121"/>
      <c r="AE1597" s="121"/>
      <c r="AF1597" s="121"/>
      <c r="AG1597" s="121"/>
      <c r="AH1597" s="121"/>
      <c r="AI1597" s="121"/>
    </row>
    <row r="1598" spans="1:35" s="115" customFormat="1" ht="14.4">
      <c r="A1598" s="187"/>
      <c r="B1598" s="190"/>
      <c r="C1598" s="190"/>
      <c r="D1598" s="69"/>
      <c r="E1598" s="69"/>
      <c r="F1598" s="149"/>
      <c r="G1598" s="146"/>
      <c r="H1598" s="98"/>
      <c r="I1598" s="99"/>
      <c r="J1598" s="99"/>
      <c r="K1598" s="99"/>
      <c r="L1598" s="99"/>
      <c r="M1598" s="99"/>
      <c r="N1598" s="99"/>
      <c r="O1598" s="99"/>
      <c r="P1598" s="99"/>
      <c r="Q1598" s="99"/>
      <c r="R1598" s="99"/>
      <c r="S1598" s="99"/>
      <c r="T1598" s="99"/>
      <c r="U1598" s="105"/>
      <c r="V1598" s="262"/>
      <c r="W1598" s="121"/>
      <c r="X1598" s="121"/>
      <c r="Y1598" s="121"/>
      <c r="Z1598" s="121"/>
      <c r="AA1598" s="121"/>
      <c r="AB1598" s="121"/>
      <c r="AC1598" s="121"/>
      <c r="AD1598" s="121"/>
      <c r="AE1598" s="121"/>
      <c r="AF1598" s="121"/>
      <c r="AG1598" s="121"/>
      <c r="AH1598" s="121"/>
      <c r="AI1598" s="121"/>
    </row>
    <row r="1599" spans="1:35" s="115" customFormat="1" ht="14.4">
      <c r="A1599" s="187"/>
      <c r="B1599" s="190"/>
      <c r="C1599" s="190"/>
      <c r="D1599" s="69"/>
      <c r="E1599" s="69"/>
      <c r="F1599" s="149"/>
      <c r="G1599" s="146"/>
      <c r="H1599" s="98"/>
      <c r="I1599" s="99"/>
      <c r="J1599" s="99"/>
      <c r="K1599" s="99"/>
      <c r="L1599" s="99"/>
      <c r="M1599" s="99"/>
      <c r="N1599" s="99"/>
      <c r="O1599" s="99"/>
      <c r="P1599" s="99"/>
      <c r="Q1599" s="99"/>
      <c r="R1599" s="99"/>
      <c r="S1599" s="99"/>
      <c r="T1599" s="99"/>
      <c r="U1599" s="105"/>
      <c r="V1599" s="262"/>
      <c r="W1599" s="121"/>
      <c r="X1599" s="121"/>
      <c r="Y1599" s="121"/>
      <c r="Z1599" s="121"/>
      <c r="AA1599" s="121"/>
      <c r="AB1599" s="121"/>
      <c r="AC1599" s="121"/>
      <c r="AD1599" s="121"/>
      <c r="AE1599" s="121"/>
      <c r="AF1599" s="121"/>
      <c r="AG1599" s="121"/>
      <c r="AH1599" s="121"/>
      <c r="AI1599" s="121"/>
    </row>
    <row r="1600" spans="1:35" s="115" customFormat="1" ht="14.4">
      <c r="A1600" s="187"/>
      <c r="B1600" s="190"/>
      <c r="C1600" s="190"/>
      <c r="D1600" s="69"/>
      <c r="E1600" s="69"/>
      <c r="F1600" s="149"/>
      <c r="G1600" s="146"/>
      <c r="H1600" s="107"/>
      <c r="I1600" s="109"/>
      <c r="J1600" s="109"/>
      <c r="K1600" s="109"/>
      <c r="L1600" s="109"/>
      <c r="M1600" s="109"/>
      <c r="N1600" s="109"/>
      <c r="O1600" s="109"/>
      <c r="P1600" s="109"/>
      <c r="Q1600" s="109"/>
      <c r="R1600" s="109"/>
      <c r="S1600" s="109"/>
      <c r="T1600" s="109"/>
      <c r="U1600" s="105"/>
      <c r="V1600" s="262"/>
      <c r="W1600" s="121"/>
      <c r="X1600" s="121"/>
      <c r="Y1600" s="121"/>
      <c r="Z1600" s="121"/>
      <c r="AA1600" s="121"/>
      <c r="AB1600" s="121"/>
      <c r="AC1600" s="121"/>
      <c r="AD1600" s="121"/>
      <c r="AE1600" s="121"/>
      <c r="AF1600" s="121"/>
      <c r="AG1600" s="121"/>
      <c r="AH1600" s="121"/>
      <c r="AI1600" s="121"/>
    </row>
    <row r="1601" spans="1:35" s="115" customFormat="1" ht="14.4">
      <c r="A1601" s="187"/>
      <c r="B1601" s="190"/>
      <c r="C1601" s="190"/>
      <c r="D1601" s="69"/>
      <c r="E1601" s="69"/>
      <c r="F1601" s="149"/>
      <c r="G1601" s="146"/>
      <c r="H1601" s="98"/>
      <c r="I1601" s="106"/>
      <c r="J1601" s="106"/>
      <c r="K1601" s="106"/>
      <c r="L1601" s="106"/>
      <c r="M1601" s="106"/>
      <c r="N1601" s="112"/>
      <c r="O1601" s="112"/>
      <c r="P1601" s="112"/>
      <c r="Q1601" s="113"/>
      <c r="R1601" s="113"/>
      <c r="S1601" s="113"/>
      <c r="T1601" s="113"/>
      <c r="U1601" s="105"/>
      <c r="V1601" s="262"/>
      <c r="W1601" s="121"/>
      <c r="X1601" s="121"/>
      <c r="Y1601" s="121"/>
      <c r="Z1601" s="121"/>
      <c r="AA1601" s="121"/>
      <c r="AB1601" s="121"/>
      <c r="AC1601" s="121"/>
      <c r="AD1601" s="121"/>
      <c r="AE1601" s="121"/>
      <c r="AF1601" s="121"/>
      <c r="AG1601" s="121"/>
      <c r="AH1601" s="121"/>
      <c r="AI1601" s="121"/>
    </row>
    <row r="1602" spans="1:35" s="115" customFormat="1" ht="14.4">
      <c r="A1602" s="187"/>
      <c r="B1602" s="190"/>
      <c r="C1602" s="190"/>
      <c r="D1602" s="69"/>
      <c r="E1602" s="69"/>
      <c r="F1602" s="149"/>
      <c r="G1602" s="146"/>
      <c r="H1602" s="98"/>
      <c r="I1602" s="99"/>
      <c r="J1602" s="99"/>
      <c r="K1602" s="99"/>
      <c r="L1602" s="99"/>
      <c r="M1602" s="99"/>
      <c r="N1602" s="99"/>
      <c r="O1602" s="99"/>
      <c r="P1602" s="99"/>
      <c r="Q1602" s="99"/>
      <c r="R1602" s="99"/>
      <c r="S1602" s="99"/>
      <c r="T1602" s="99"/>
      <c r="U1602" s="105"/>
      <c r="V1602" s="262"/>
      <c r="W1602" s="121"/>
      <c r="X1602" s="121"/>
      <c r="Y1602" s="121"/>
      <c r="Z1602" s="121"/>
      <c r="AA1602" s="121"/>
      <c r="AB1602" s="121"/>
      <c r="AC1602" s="121"/>
      <c r="AD1602" s="121"/>
      <c r="AE1602" s="121"/>
      <c r="AF1602" s="121"/>
      <c r="AG1602" s="121"/>
      <c r="AH1602" s="121"/>
      <c r="AI1602" s="121"/>
    </row>
    <row r="1603" spans="1:35" s="115" customFormat="1" ht="14.4">
      <c r="A1603" s="187"/>
      <c r="B1603" s="190"/>
      <c r="C1603" s="190"/>
      <c r="D1603" s="69"/>
      <c r="E1603" s="69"/>
      <c r="F1603" s="149"/>
      <c r="G1603" s="146"/>
      <c r="H1603" s="98"/>
      <c r="I1603" s="99"/>
      <c r="J1603" s="99"/>
      <c r="K1603" s="99"/>
      <c r="L1603" s="99"/>
      <c r="M1603" s="99"/>
      <c r="N1603" s="99"/>
      <c r="O1603" s="99"/>
      <c r="P1603" s="99"/>
      <c r="Q1603" s="99"/>
      <c r="R1603" s="99"/>
      <c r="S1603" s="99"/>
      <c r="T1603" s="99"/>
      <c r="U1603" s="105"/>
      <c r="V1603" s="262"/>
      <c r="W1603" s="121"/>
      <c r="X1603" s="121"/>
      <c r="Y1603" s="121"/>
      <c r="Z1603" s="121"/>
      <c r="AA1603" s="121"/>
      <c r="AB1603" s="121"/>
      <c r="AC1603" s="121"/>
      <c r="AD1603" s="121"/>
      <c r="AE1603" s="121"/>
      <c r="AF1603" s="121"/>
      <c r="AG1603" s="121"/>
      <c r="AH1603" s="121"/>
      <c r="AI1603" s="121"/>
    </row>
    <row r="1604" spans="1:35" s="115" customFormat="1" ht="14.4">
      <c r="A1604" s="187"/>
      <c r="B1604" s="190"/>
      <c r="C1604" s="190"/>
      <c r="D1604" s="69"/>
      <c r="E1604" s="69"/>
      <c r="F1604" s="149"/>
      <c r="G1604" s="146"/>
      <c r="H1604" s="98"/>
      <c r="I1604" s="99"/>
      <c r="J1604" s="99"/>
      <c r="K1604" s="99"/>
      <c r="L1604" s="99"/>
      <c r="M1604" s="99"/>
      <c r="N1604" s="99"/>
      <c r="O1604" s="99"/>
      <c r="P1604" s="99"/>
      <c r="Q1604" s="99"/>
      <c r="R1604" s="99"/>
      <c r="S1604" s="99"/>
      <c r="T1604" s="99"/>
      <c r="U1604" s="105"/>
      <c r="V1604" s="262"/>
      <c r="W1604" s="121"/>
      <c r="X1604" s="121"/>
      <c r="Y1604" s="121"/>
      <c r="Z1604" s="121"/>
      <c r="AA1604" s="121"/>
      <c r="AB1604" s="121"/>
      <c r="AC1604" s="121"/>
      <c r="AD1604" s="121"/>
      <c r="AE1604" s="121"/>
      <c r="AF1604" s="121"/>
      <c r="AG1604" s="121"/>
      <c r="AH1604" s="121"/>
      <c r="AI1604" s="121"/>
    </row>
    <row r="1605" spans="1:35" s="115" customFormat="1" ht="14.4">
      <c r="A1605" s="187"/>
      <c r="B1605" s="190"/>
      <c r="C1605" s="190"/>
      <c r="D1605" s="69"/>
      <c r="E1605" s="69"/>
      <c r="F1605" s="149"/>
      <c r="G1605" s="146"/>
      <c r="H1605" s="98"/>
      <c r="I1605" s="99"/>
      <c r="J1605" s="99"/>
      <c r="K1605" s="99"/>
      <c r="L1605" s="99"/>
      <c r="M1605" s="99"/>
      <c r="N1605" s="99"/>
      <c r="O1605" s="99"/>
      <c r="P1605" s="99"/>
      <c r="Q1605" s="99"/>
      <c r="R1605" s="99"/>
      <c r="S1605" s="99"/>
      <c r="T1605" s="99"/>
      <c r="U1605" s="105"/>
      <c r="V1605" s="262"/>
      <c r="W1605" s="121"/>
      <c r="X1605" s="121"/>
      <c r="Y1605" s="121"/>
      <c r="Z1605" s="121"/>
      <c r="AA1605" s="121"/>
      <c r="AB1605" s="121"/>
      <c r="AC1605" s="121"/>
      <c r="AD1605" s="121"/>
      <c r="AE1605" s="121"/>
      <c r="AF1605" s="121"/>
      <c r="AG1605" s="121"/>
      <c r="AH1605" s="121"/>
      <c r="AI1605" s="121"/>
    </row>
    <row r="1606" spans="1:35" s="115" customFormat="1" ht="14.4">
      <c r="A1606" s="187"/>
      <c r="B1606" s="190"/>
      <c r="C1606" s="190"/>
      <c r="D1606" s="69"/>
      <c r="E1606" s="69"/>
      <c r="F1606" s="149"/>
      <c r="G1606" s="146"/>
      <c r="H1606" s="98"/>
      <c r="I1606" s="99"/>
      <c r="J1606" s="99"/>
      <c r="K1606" s="99"/>
      <c r="L1606" s="99"/>
      <c r="M1606" s="99"/>
      <c r="N1606" s="99"/>
      <c r="O1606" s="99"/>
      <c r="P1606" s="99"/>
      <c r="Q1606" s="99"/>
      <c r="R1606" s="99"/>
      <c r="S1606" s="99"/>
      <c r="T1606" s="99"/>
      <c r="U1606" s="105"/>
      <c r="V1606" s="262"/>
      <c r="W1606" s="121"/>
      <c r="X1606" s="121"/>
      <c r="Y1606" s="121"/>
      <c r="Z1606" s="121"/>
      <c r="AA1606" s="121"/>
      <c r="AB1606" s="121"/>
      <c r="AC1606" s="121"/>
      <c r="AD1606" s="121"/>
      <c r="AE1606" s="121"/>
      <c r="AF1606" s="121"/>
      <c r="AG1606" s="121"/>
      <c r="AH1606" s="121"/>
      <c r="AI1606" s="121"/>
    </row>
    <row r="1607" spans="1:35" s="115" customFormat="1" ht="14.4">
      <c r="A1607" s="187"/>
      <c r="B1607" s="190"/>
      <c r="C1607" s="190"/>
      <c r="D1607" s="69"/>
      <c r="E1607" s="69"/>
      <c r="F1607" s="149"/>
      <c r="G1607" s="146"/>
      <c r="H1607" s="98"/>
      <c r="I1607" s="99"/>
      <c r="J1607" s="99"/>
      <c r="K1607" s="99"/>
      <c r="L1607" s="99"/>
      <c r="M1607" s="99"/>
      <c r="N1607" s="99"/>
      <c r="O1607" s="99"/>
      <c r="P1607" s="99"/>
      <c r="Q1607" s="99"/>
      <c r="R1607" s="99"/>
      <c r="S1607" s="99"/>
      <c r="T1607" s="99"/>
      <c r="U1607" s="105"/>
      <c r="V1607" s="262"/>
      <c r="W1607" s="121"/>
      <c r="X1607" s="121"/>
      <c r="Y1607" s="121"/>
      <c r="Z1607" s="121"/>
      <c r="AA1607" s="121"/>
      <c r="AB1607" s="121"/>
      <c r="AC1607" s="121"/>
      <c r="AD1607" s="121"/>
      <c r="AE1607" s="121"/>
      <c r="AF1607" s="121"/>
      <c r="AG1607" s="121"/>
      <c r="AH1607" s="121"/>
      <c r="AI1607" s="121"/>
    </row>
    <row r="1608" spans="1:35" s="115" customFormat="1" ht="14.4">
      <c r="A1608" s="187"/>
      <c r="B1608" s="190"/>
      <c r="C1608" s="190"/>
      <c r="D1608" s="69"/>
      <c r="E1608" s="69"/>
      <c r="F1608" s="149"/>
      <c r="G1608" s="146"/>
      <c r="H1608" s="98"/>
      <c r="I1608" s="99"/>
      <c r="J1608" s="99"/>
      <c r="K1608" s="99"/>
      <c r="L1608" s="99"/>
      <c r="M1608" s="99"/>
      <c r="N1608" s="99"/>
      <c r="O1608" s="99"/>
      <c r="P1608" s="99"/>
      <c r="Q1608" s="99"/>
      <c r="R1608" s="99"/>
      <c r="S1608" s="99"/>
      <c r="T1608" s="99"/>
      <c r="U1608" s="105"/>
      <c r="V1608" s="262"/>
      <c r="W1608" s="121"/>
      <c r="X1608" s="121"/>
      <c r="Y1608" s="121"/>
      <c r="Z1608" s="121"/>
      <c r="AA1608" s="121"/>
      <c r="AB1608" s="121"/>
      <c r="AC1608" s="121"/>
      <c r="AD1608" s="121"/>
      <c r="AE1608" s="121"/>
      <c r="AF1608" s="121"/>
      <c r="AG1608" s="121"/>
      <c r="AH1608" s="121"/>
      <c r="AI1608" s="121"/>
    </row>
    <row r="1609" spans="1:35" s="115" customFormat="1" ht="14.4">
      <c r="A1609" s="187"/>
      <c r="B1609" s="190"/>
      <c r="C1609" s="190"/>
      <c r="D1609" s="69"/>
      <c r="E1609" s="69"/>
      <c r="F1609" s="149"/>
      <c r="G1609" s="146"/>
      <c r="H1609" s="98"/>
      <c r="I1609" s="99"/>
      <c r="J1609" s="99"/>
      <c r="K1609" s="99"/>
      <c r="L1609" s="99"/>
      <c r="M1609" s="99"/>
      <c r="N1609" s="99"/>
      <c r="O1609" s="99"/>
      <c r="P1609" s="99"/>
      <c r="Q1609" s="99"/>
      <c r="R1609" s="99"/>
      <c r="S1609" s="99"/>
      <c r="T1609" s="99"/>
      <c r="U1609" s="105"/>
      <c r="V1609" s="262"/>
      <c r="W1609" s="121"/>
      <c r="X1609" s="121"/>
      <c r="Y1609" s="121"/>
      <c r="Z1609" s="121"/>
      <c r="AA1609" s="121"/>
      <c r="AB1609" s="121"/>
      <c r="AC1609" s="121"/>
      <c r="AD1609" s="121"/>
      <c r="AE1609" s="121"/>
      <c r="AF1609" s="121"/>
      <c r="AG1609" s="121"/>
      <c r="AH1609" s="121"/>
      <c r="AI1609" s="121"/>
    </row>
    <row r="1610" spans="1:35" s="115" customFormat="1" ht="14.4">
      <c r="A1610" s="187"/>
      <c r="B1610" s="190"/>
      <c r="C1610" s="190"/>
      <c r="D1610" s="69"/>
      <c r="E1610" s="69"/>
      <c r="F1610" s="149"/>
      <c r="G1610" s="146"/>
      <c r="H1610" s="98"/>
      <c r="I1610" s="99"/>
      <c r="J1610" s="99"/>
      <c r="K1610" s="99"/>
      <c r="L1610" s="99"/>
      <c r="M1610" s="99"/>
      <c r="N1610" s="99"/>
      <c r="O1610" s="99"/>
      <c r="P1610" s="99"/>
      <c r="Q1610" s="99"/>
      <c r="R1610" s="99"/>
      <c r="S1610" s="99"/>
      <c r="T1610" s="99"/>
      <c r="U1610" s="105"/>
      <c r="V1610" s="262"/>
      <c r="W1610" s="121"/>
      <c r="X1610" s="121"/>
      <c r="Y1610" s="121"/>
      <c r="Z1610" s="121"/>
      <c r="AA1610" s="121"/>
      <c r="AB1610" s="121"/>
      <c r="AC1610" s="121"/>
      <c r="AD1610" s="121"/>
      <c r="AE1610" s="121"/>
      <c r="AF1610" s="121"/>
      <c r="AG1610" s="121"/>
      <c r="AH1610" s="121"/>
      <c r="AI1610" s="121"/>
    </row>
    <row r="1611" spans="1:35" s="115" customFormat="1" ht="14.4">
      <c r="A1611" s="187"/>
      <c r="B1611" s="190"/>
      <c r="C1611" s="190"/>
      <c r="D1611" s="69"/>
      <c r="E1611" s="69"/>
      <c r="F1611" s="149"/>
      <c r="G1611" s="146"/>
      <c r="H1611" s="98"/>
      <c r="I1611" s="99"/>
      <c r="J1611" s="99"/>
      <c r="K1611" s="99"/>
      <c r="L1611" s="99"/>
      <c r="M1611" s="99"/>
      <c r="N1611" s="99"/>
      <c r="O1611" s="99"/>
      <c r="P1611" s="99"/>
      <c r="Q1611" s="99"/>
      <c r="R1611" s="99"/>
      <c r="S1611" s="99"/>
      <c r="T1611" s="99"/>
      <c r="U1611" s="105"/>
      <c r="V1611" s="262"/>
      <c r="W1611" s="121"/>
      <c r="X1611" s="121"/>
      <c r="Y1611" s="121"/>
      <c r="Z1611" s="121"/>
      <c r="AA1611" s="121"/>
      <c r="AB1611" s="121"/>
      <c r="AC1611" s="121"/>
      <c r="AD1611" s="121"/>
      <c r="AE1611" s="121"/>
      <c r="AF1611" s="121"/>
      <c r="AG1611" s="121"/>
      <c r="AH1611" s="121"/>
      <c r="AI1611" s="121"/>
    </row>
    <row r="1612" spans="1:35" s="115" customFormat="1" ht="14.4">
      <c r="A1612" s="187"/>
      <c r="B1612" s="190"/>
      <c r="C1612" s="190"/>
      <c r="D1612" s="69"/>
      <c r="E1612" s="69"/>
      <c r="F1612" s="149"/>
      <c r="G1612" s="146"/>
      <c r="H1612" s="98"/>
      <c r="I1612" s="99"/>
      <c r="J1612" s="99"/>
      <c r="K1612" s="99"/>
      <c r="L1612" s="99"/>
      <c r="M1612" s="99"/>
      <c r="N1612" s="99"/>
      <c r="O1612" s="99"/>
      <c r="P1612" s="99"/>
      <c r="Q1612" s="99"/>
      <c r="R1612" s="99"/>
      <c r="S1612" s="99"/>
      <c r="T1612" s="99"/>
      <c r="U1612" s="105"/>
      <c r="V1612" s="262"/>
      <c r="W1612" s="121"/>
      <c r="X1612" s="121"/>
      <c r="Y1612" s="121"/>
      <c r="Z1612" s="121"/>
      <c r="AA1612" s="121"/>
      <c r="AB1612" s="121"/>
      <c r="AC1612" s="121"/>
      <c r="AD1612" s="121"/>
      <c r="AE1612" s="121"/>
      <c r="AF1612" s="121"/>
      <c r="AG1612" s="121"/>
      <c r="AH1612" s="121"/>
      <c r="AI1612" s="121"/>
    </row>
    <row r="1613" spans="1:35" s="115" customFormat="1" ht="14.4">
      <c r="A1613" s="187"/>
      <c r="B1613" s="190"/>
      <c r="C1613" s="190"/>
      <c r="D1613" s="69"/>
      <c r="E1613" s="69"/>
      <c r="F1613" s="149"/>
      <c r="G1613" s="146"/>
      <c r="H1613" s="98"/>
      <c r="I1613" s="99"/>
      <c r="J1613" s="99"/>
      <c r="K1613" s="99"/>
      <c r="L1613" s="99"/>
      <c r="M1613" s="99"/>
      <c r="N1613" s="99"/>
      <c r="O1613" s="99"/>
      <c r="P1613" s="99"/>
      <c r="Q1613" s="99"/>
      <c r="R1613" s="99"/>
      <c r="S1613" s="99"/>
      <c r="T1613" s="99"/>
      <c r="U1613" s="105"/>
      <c r="V1613" s="262"/>
      <c r="W1613" s="121"/>
      <c r="X1613" s="121"/>
      <c r="Y1613" s="121"/>
      <c r="Z1613" s="121"/>
      <c r="AA1613" s="121"/>
      <c r="AB1613" s="121"/>
      <c r="AC1613" s="121"/>
      <c r="AD1613" s="121"/>
      <c r="AE1613" s="121"/>
      <c r="AF1613" s="121"/>
      <c r="AG1613" s="121"/>
      <c r="AH1613" s="121"/>
      <c r="AI1613" s="121"/>
    </row>
    <row r="1614" spans="1:35" s="115" customFormat="1" ht="14.4">
      <c r="A1614" s="187"/>
      <c r="B1614" s="190"/>
      <c r="C1614" s="190"/>
      <c r="D1614" s="69"/>
      <c r="E1614" s="69"/>
      <c r="F1614" s="149"/>
      <c r="G1614" s="146"/>
      <c r="H1614" s="98"/>
      <c r="I1614" s="99"/>
      <c r="J1614" s="99"/>
      <c r="K1614" s="99"/>
      <c r="L1614" s="99"/>
      <c r="M1614" s="99"/>
      <c r="N1614" s="99"/>
      <c r="O1614" s="99"/>
      <c r="P1614" s="99"/>
      <c r="Q1614" s="99"/>
      <c r="R1614" s="99"/>
      <c r="S1614" s="99"/>
      <c r="T1614" s="99"/>
      <c r="U1614" s="105"/>
      <c r="V1614" s="262"/>
      <c r="W1614" s="121"/>
      <c r="X1614" s="121"/>
      <c r="Y1614" s="121"/>
      <c r="Z1614" s="121"/>
      <c r="AA1614" s="121"/>
      <c r="AB1614" s="121"/>
      <c r="AC1614" s="121"/>
      <c r="AD1614" s="121"/>
      <c r="AE1614" s="121"/>
      <c r="AF1614" s="121"/>
      <c r="AG1614" s="121"/>
      <c r="AH1614" s="121"/>
      <c r="AI1614" s="121"/>
    </row>
    <row r="1615" spans="1:35" s="115" customFormat="1" ht="14.4">
      <c r="A1615" s="187"/>
      <c r="B1615" s="190"/>
      <c r="C1615" s="190"/>
      <c r="D1615" s="69"/>
      <c r="E1615" s="69"/>
      <c r="F1615" s="149"/>
      <c r="G1615" s="146"/>
      <c r="H1615" s="98"/>
      <c r="I1615" s="99"/>
      <c r="J1615" s="99"/>
      <c r="K1615" s="99"/>
      <c r="L1615" s="99"/>
      <c r="M1615" s="99"/>
      <c r="N1615" s="99"/>
      <c r="O1615" s="99"/>
      <c r="P1615" s="99"/>
      <c r="Q1615" s="99"/>
      <c r="R1615" s="99"/>
      <c r="S1615" s="99"/>
      <c r="T1615" s="99"/>
      <c r="U1615" s="105"/>
      <c r="V1615" s="262"/>
      <c r="W1615" s="121"/>
      <c r="X1615" s="121"/>
      <c r="Y1615" s="121"/>
      <c r="Z1615" s="121"/>
      <c r="AA1615" s="121"/>
      <c r="AB1615" s="121"/>
      <c r="AC1615" s="121"/>
      <c r="AD1615" s="121"/>
      <c r="AE1615" s="121"/>
      <c r="AF1615" s="121"/>
      <c r="AG1615" s="121"/>
      <c r="AH1615" s="121"/>
      <c r="AI1615" s="121"/>
    </row>
    <row r="1616" spans="1:35" s="115" customFormat="1" ht="14.4">
      <c r="A1616" s="187"/>
      <c r="B1616" s="190"/>
      <c r="C1616" s="190"/>
      <c r="D1616" s="69"/>
      <c r="E1616" s="69"/>
      <c r="F1616" s="149"/>
      <c r="G1616" s="146"/>
      <c r="H1616" s="98"/>
      <c r="I1616" s="99"/>
      <c r="J1616" s="99"/>
      <c r="K1616" s="99"/>
      <c r="L1616" s="99"/>
      <c r="M1616" s="99"/>
      <c r="N1616" s="99"/>
      <c r="O1616" s="99"/>
      <c r="P1616" s="99"/>
      <c r="Q1616" s="99"/>
      <c r="R1616" s="99"/>
      <c r="S1616" s="99"/>
      <c r="T1616" s="99"/>
      <c r="U1616" s="105"/>
      <c r="V1616" s="262"/>
      <c r="W1616" s="121"/>
      <c r="X1616" s="121"/>
      <c r="Y1616" s="121"/>
      <c r="Z1616" s="121"/>
      <c r="AA1616" s="121"/>
      <c r="AB1616" s="121"/>
      <c r="AC1616" s="121"/>
      <c r="AD1616" s="121"/>
      <c r="AE1616" s="121"/>
      <c r="AF1616" s="121"/>
      <c r="AG1616" s="121"/>
      <c r="AH1616" s="121"/>
      <c r="AI1616" s="121"/>
    </row>
    <row r="1617" spans="1:35" s="115" customFormat="1" ht="14.4">
      <c r="A1617" s="187"/>
      <c r="B1617" s="190"/>
      <c r="C1617" s="190"/>
      <c r="D1617" s="69"/>
      <c r="E1617" s="69"/>
      <c r="F1617" s="149"/>
      <c r="G1617" s="146"/>
      <c r="H1617" s="98"/>
      <c r="I1617" s="99"/>
      <c r="J1617" s="99"/>
      <c r="K1617" s="99"/>
      <c r="L1617" s="99"/>
      <c r="M1617" s="99"/>
      <c r="N1617" s="99"/>
      <c r="O1617" s="99"/>
      <c r="P1617" s="99"/>
      <c r="Q1617" s="99"/>
      <c r="R1617" s="99"/>
      <c r="S1617" s="99"/>
      <c r="T1617" s="99"/>
      <c r="U1617" s="105"/>
      <c r="V1617" s="262"/>
      <c r="W1617" s="121"/>
      <c r="X1617" s="121"/>
      <c r="Y1617" s="121"/>
      <c r="Z1617" s="121"/>
      <c r="AA1617" s="121"/>
      <c r="AB1617" s="121"/>
      <c r="AC1617" s="121"/>
      <c r="AD1617" s="121"/>
      <c r="AE1617" s="121"/>
      <c r="AF1617" s="121"/>
      <c r="AG1617" s="121"/>
      <c r="AH1617" s="121"/>
      <c r="AI1617" s="121"/>
    </row>
    <row r="1618" spans="1:35" s="115" customFormat="1" ht="14.4">
      <c r="A1618" s="187"/>
      <c r="B1618" s="190"/>
      <c r="C1618" s="190"/>
      <c r="D1618" s="69"/>
      <c r="E1618" s="69"/>
      <c r="F1618" s="149"/>
      <c r="G1618" s="146"/>
      <c r="H1618" s="98"/>
      <c r="I1618" s="99"/>
      <c r="J1618" s="99"/>
      <c r="K1618" s="99"/>
      <c r="L1618" s="99"/>
      <c r="M1618" s="99"/>
      <c r="N1618" s="99"/>
      <c r="O1618" s="99"/>
      <c r="P1618" s="99"/>
      <c r="Q1618" s="99"/>
      <c r="R1618" s="99"/>
      <c r="S1618" s="99"/>
      <c r="T1618" s="99"/>
      <c r="U1618" s="105"/>
      <c r="V1618" s="262"/>
      <c r="W1618" s="121"/>
      <c r="X1618" s="121"/>
      <c r="Y1618" s="121"/>
      <c r="Z1618" s="121"/>
      <c r="AA1618" s="121"/>
      <c r="AB1618" s="121"/>
      <c r="AC1618" s="121"/>
      <c r="AD1618" s="121"/>
      <c r="AE1618" s="121"/>
      <c r="AF1618" s="121"/>
      <c r="AG1618" s="121"/>
      <c r="AH1618" s="121"/>
      <c r="AI1618" s="121"/>
    </row>
    <row r="1619" spans="1:35" s="115" customFormat="1" ht="14.4">
      <c r="A1619" s="187"/>
      <c r="B1619" s="190"/>
      <c r="C1619" s="190"/>
      <c r="D1619" s="69"/>
      <c r="E1619" s="69"/>
      <c r="F1619" s="149"/>
      <c r="G1619" s="146"/>
      <c r="H1619" s="98"/>
      <c r="I1619" s="99"/>
      <c r="J1619" s="99"/>
      <c r="K1619" s="99"/>
      <c r="L1619" s="99"/>
      <c r="M1619" s="99"/>
      <c r="N1619" s="99"/>
      <c r="O1619" s="99"/>
      <c r="P1619" s="99"/>
      <c r="Q1619" s="99"/>
      <c r="R1619" s="99"/>
      <c r="S1619" s="99"/>
      <c r="T1619" s="99"/>
      <c r="U1619" s="105"/>
      <c r="V1619" s="262"/>
      <c r="W1619" s="121"/>
      <c r="X1619" s="121"/>
      <c r="Y1619" s="121"/>
      <c r="Z1619" s="121"/>
      <c r="AA1619" s="121"/>
      <c r="AB1619" s="121"/>
      <c r="AC1619" s="121"/>
      <c r="AD1619" s="121"/>
      <c r="AE1619" s="121"/>
      <c r="AF1619" s="121"/>
      <c r="AG1619" s="121"/>
      <c r="AH1619" s="121"/>
      <c r="AI1619" s="121"/>
    </row>
    <row r="1620" spans="1:35" s="115" customFormat="1" ht="14.4">
      <c r="A1620" s="187"/>
      <c r="B1620" s="190"/>
      <c r="C1620" s="190"/>
      <c r="D1620" s="69"/>
      <c r="E1620" s="69"/>
      <c r="F1620" s="149"/>
      <c r="G1620" s="146"/>
      <c r="H1620" s="107"/>
      <c r="I1620" s="109"/>
      <c r="J1620" s="109"/>
      <c r="K1620" s="109"/>
      <c r="L1620" s="109"/>
      <c r="M1620" s="109"/>
      <c r="N1620" s="109"/>
      <c r="O1620" s="109"/>
      <c r="P1620" s="109"/>
      <c r="Q1620" s="109"/>
      <c r="R1620" s="109"/>
      <c r="S1620" s="109"/>
      <c r="T1620" s="109"/>
      <c r="U1620" s="105"/>
      <c r="V1620" s="262"/>
      <c r="W1620" s="121"/>
      <c r="X1620" s="121"/>
      <c r="Y1620" s="121"/>
      <c r="Z1620" s="121"/>
      <c r="AA1620" s="121"/>
      <c r="AB1620" s="121"/>
      <c r="AC1620" s="121"/>
      <c r="AD1620" s="121"/>
      <c r="AE1620" s="121"/>
      <c r="AF1620" s="121"/>
      <c r="AG1620" s="121"/>
      <c r="AH1620" s="121"/>
      <c r="AI1620" s="121"/>
    </row>
    <row r="1621" spans="1:35" s="115" customFormat="1" ht="14.4">
      <c r="A1621" s="187"/>
      <c r="B1621" s="190"/>
      <c r="C1621" s="190"/>
      <c r="D1621" s="69"/>
      <c r="E1621" s="69"/>
      <c r="F1621" s="149"/>
      <c r="G1621" s="146"/>
      <c r="H1621" s="98"/>
      <c r="I1621" s="106"/>
      <c r="J1621" s="106"/>
      <c r="K1621" s="106"/>
      <c r="L1621" s="106"/>
      <c r="M1621" s="106"/>
      <c r="N1621" s="112"/>
      <c r="O1621" s="112"/>
      <c r="P1621" s="112"/>
      <c r="Q1621" s="113"/>
      <c r="R1621" s="99"/>
      <c r="S1621" s="99"/>
      <c r="T1621" s="113"/>
      <c r="U1621" s="105"/>
      <c r="V1621" s="262"/>
      <c r="W1621" s="121"/>
      <c r="X1621" s="121"/>
      <c r="Y1621" s="121"/>
      <c r="Z1621" s="121"/>
      <c r="AA1621" s="121"/>
      <c r="AB1621" s="121"/>
      <c r="AC1621" s="121"/>
      <c r="AD1621" s="121"/>
      <c r="AE1621" s="121"/>
      <c r="AF1621" s="121"/>
      <c r="AG1621" s="121"/>
      <c r="AH1621" s="121"/>
      <c r="AI1621" s="121"/>
    </row>
    <row r="1622" spans="1:35" s="115" customFormat="1" ht="14.4">
      <c r="A1622" s="187"/>
      <c r="B1622" s="190"/>
      <c r="C1622" s="190"/>
      <c r="D1622" s="69"/>
      <c r="E1622" s="69"/>
      <c r="F1622" s="149"/>
      <c r="G1622" s="146"/>
      <c r="H1622" s="98"/>
      <c r="I1622" s="99"/>
      <c r="J1622" s="99"/>
      <c r="K1622" s="99"/>
      <c r="L1622" s="99"/>
      <c r="M1622" s="99"/>
      <c r="N1622" s="99"/>
      <c r="O1622" s="99"/>
      <c r="P1622" s="99"/>
      <c r="Q1622" s="99"/>
      <c r="R1622" s="99"/>
      <c r="S1622" s="99"/>
      <c r="T1622" s="99"/>
      <c r="U1622" s="105"/>
      <c r="V1622" s="262"/>
      <c r="W1622" s="121"/>
      <c r="X1622" s="121"/>
      <c r="Y1622" s="121"/>
      <c r="Z1622" s="121"/>
      <c r="AA1622" s="121"/>
      <c r="AB1622" s="121"/>
      <c r="AC1622" s="121"/>
      <c r="AD1622" s="121"/>
      <c r="AE1622" s="121"/>
      <c r="AF1622" s="121"/>
      <c r="AG1622" s="121"/>
      <c r="AH1622" s="121"/>
      <c r="AI1622" s="121"/>
    </row>
    <row r="1623" spans="1:35" s="115" customFormat="1" ht="14.4">
      <c r="A1623" s="187"/>
      <c r="B1623" s="190"/>
      <c r="C1623" s="190"/>
      <c r="D1623" s="69"/>
      <c r="E1623" s="69"/>
      <c r="F1623" s="149"/>
      <c r="G1623" s="146"/>
      <c r="H1623" s="98"/>
      <c r="I1623" s="99"/>
      <c r="J1623" s="99"/>
      <c r="K1623" s="99"/>
      <c r="L1623" s="99"/>
      <c r="M1623" s="99"/>
      <c r="N1623" s="99"/>
      <c r="O1623" s="99"/>
      <c r="P1623" s="99"/>
      <c r="Q1623" s="99"/>
      <c r="R1623" s="99"/>
      <c r="S1623" s="99"/>
      <c r="T1623" s="99"/>
      <c r="U1623" s="105"/>
      <c r="V1623" s="262"/>
      <c r="W1623" s="121"/>
      <c r="X1623" s="121"/>
      <c r="Y1623" s="121"/>
      <c r="Z1623" s="121"/>
      <c r="AA1623" s="121"/>
      <c r="AB1623" s="121"/>
      <c r="AC1623" s="121"/>
      <c r="AD1623" s="121"/>
      <c r="AE1623" s="121"/>
      <c r="AF1623" s="121"/>
      <c r="AG1623" s="121"/>
      <c r="AH1623" s="121"/>
      <c r="AI1623" s="121"/>
    </row>
    <row r="1624" spans="1:35" s="115" customFormat="1" ht="14.4">
      <c r="A1624" s="187"/>
      <c r="B1624" s="190"/>
      <c r="C1624" s="190"/>
      <c r="D1624" s="69"/>
      <c r="E1624" s="69"/>
      <c r="F1624" s="149"/>
      <c r="G1624" s="146"/>
      <c r="H1624" s="107"/>
      <c r="I1624" s="108"/>
      <c r="J1624" s="108"/>
      <c r="K1624" s="108"/>
      <c r="L1624" s="108"/>
      <c r="M1624" s="108"/>
      <c r="N1624" s="109"/>
      <c r="O1624" s="109"/>
      <c r="P1624" s="109"/>
      <c r="Q1624" s="109"/>
      <c r="R1624" s="109"/>
      <c r="S1624" s="109"/>
      <c r="T1624" s="109"/>
      <c r="U1624" s="105"/>
      <c r="V1624" s="262"/>
      <c r="W1624" s="121"/>
      <c r="X1624" s="121"/>
      <c r="Y1624" s="121"/>
      <c r="Z1624" s="121"/>
      <c r="AA1624" s="121"/>
      <c r="AB1624" s="121"/>
      <c r="AC1624" s="121"/>
      <c r="AD1624" s="121"/>
      <c r="AE1624" s="121"/>
      <c r="AF1624" s="121"/>
      <c r="AG1624" s="121"/>
      <c r="AH1624" s="121"/>
      <c r="AI1624" s="121"/>
    </row>
    <row r="1625" spans="1:35" s="115" customFormat="1">
      <c r="A1625" s="68"/>
      <c r="B1625" s="68"/>
      <c r="C1625" s="68"/>
      <c r="D1625" s="68"/>
      <c r="E1625" s="68"/>
      <c r="F1625" s="148"/>
      <c r="G1625" s="148"/>
      <c r="H1625" s="98"/>
      <c r="I1625" s="106"/>
      <c r="J1625" s="106"/>
      <c r="K1625" s="106"/>
      <c r="L1625" s="106"/>
      <c r="M1625" s="106"/>
      <c r="N1625" s="112"/>
      <c r="O1625" s="112"/>
      <c r="P1625" s="112"/>
      <c r="Q1625" s="113"/>
      <c r="R1625" s="113"/>
      <c r="S1625" s="113"/>
      <c r="T1625" s="113"/>
      <c r="U1625" s="105"/>
      <c r="V1625" s="262"/>
      <c r="W1625" s="121"/>
      <c r="X1625" s="121"/>
      <c r="Y1625" s="121"/>
      <c r="Z1625" s="121"/>
      <c r="AA1625" s="121"/>
      <c r="AB1625" s="121"/>
      <c r="AC1625" s="121"/>
      <c r="AD1625" s="121"/>
      <c r="AE1625" s="121"/>
      <c r="AF1625" s="121"/>
      <c r="AG1625" s="121"/>
      <c r="AH1625" s="121"/>
      <c r="AI1625" s="121"/>
    </row>
    <row r="1626" spans="1:35" s="115" customFormat="1" ht="13.2">
      <c r="A1626" s="68"/>
      <c r="B1626" s="68"/>
      <c r="C1626" s="68"/>
      <c r="D1626" s="68"/>
      <c r="E1626" s="68"/>
      <c r="F1626" s="148"/>
      <c r="G1626" s="148"/>
      <c r="H1626" s="114"/>
      <c r="I1626" s="108"/>
      <c r="J1626" s="108"/>
      <c r="K1626" s="108"/>
      <c r="L1626" s="108"/>
      <c r="M1626" s="108"/>
      <c r="N1626" s="108"/>
      <c r="O1626" s="108"/>
      <c r="P1626" s="108"/>
      <c r="Q1626" s="108"/>
      <c r="R1626" s="108"/>
      <c r="S1626" s="108"/>
      <c r="T1626" s="108"/>
      <c r="U1626" s="105"/>
      <c r="V1626" s="262"/>
      <c r="W1626" s="121"/>
      <c r="X1626" s="121"/>
      <c r="Y1626" s="121"/>
      <c r="Z1626" s="121"/>
      <c r="AA1626" s="121"/>
      <c r="AB1626" s="121"/>
      <c r="AC1626" s="121"/>
      <c r="AD1626" s="121"/>
      <c r="AE1626" s="121"/>
      <c r="AF1626" s="121"/>
      <c r="AG1626" s="121"/>
      <c r="AH1626" s="121"/>
      <c r="AI1626" s="121"/>
    </row>
    <row r="1627" spans="1:35" s="115" customFormat="1" thickBot="1">
      <c r="A1627" s="68"/>
      <c r="B1627" s="68"/>
      <c r="C1627" s="68"/>
      <c r="D1627" s="68"/>
      <c r="E1627" s="68"/>
      <c r="F1627" s="148"/>
      <c r="G1627" s="148"/>
      <c r="H1627" s="89"/>
      <c r="I1627" s="233"/>
      <c r="J1627" s="233"/>
      <c r="K1627" s="233"/>
      <c r="L1627" s="233"/>
      <c r="M1627" s="233"/>
      <c r="N1627" s="233"/>
      <c r="O1627" s="233"/>
      <c r="P1627" s="233"/>
      <c r="Q1627" s="233"/>
      <c r="R1627" s="233"/>
      <c r="S1627" s="233"/>
      <c r="T1627" s="233"/>
      <c r="U1627" s="105"/>
      <c r="V1627" s="262"/>
      <c r="W1627" s="121"/>
      <c r="X1627" s="121"/>
      <c r="Y1627" s="121"/>
      <c r="Z1627" s="121"/>
      <c r="AA1627" s="121"/>
      <c r="AB1627" s="121"/>
      <c r="AC1627" s="121"/>
      <c r="AD1627" s="121"/>
      <c r="AE1627" s="121"/>
      <c r="AF1627" s="121"/>
      <c r="AG1627" s="121"/>
      <c r="AH1627" s="121"/>
      <c r="AI1627" s="121"/>
    </row>
    <row r="1628" spans="1:35" s="115" customFormat="1" ht="24" customHeight="1" thickBot="1">
      <c r="A1628" s="68"/>
      <c r="B1628" s="68"/>
      <c r="C1628" s="68"/>
      <c r="D1628" s="68"/>
      <c r="E1628" s="68"/>
      <c r="F1628" s="148"/>
      <c r="G1628" s="148"/>
      <c r="H1628" s="686"/>
      <c r="I1628" s="687"/>
      <c r="J1628" s="687"/>
      <c r="K1628" s="687"/>
      <c r="L1628" s="687"/>
      <c r="M1628" s="687"/>
      <c r="N1628" s="687"/>
      <c r="O1628" s="687"/>
      <c r="P1628" s="687"/>
      <c r="Q1628" s="687"/>
      <c r="R1628" s="687"/>
      <c r="S1628" s="687"/>
      <c r="T1628" s="688"/>
      <c r="U1628" s="105"/>
      <c r="V1628" s="262"/>
      <c r="W1628" s="121"/>
      <c r="X1628" s="121"/>
      <c r="Y1628" s="121"/>
      <c r="Z1628" s="121"/>
      <c r="AA1628" s="121"/>
      <c r="AB1628" s="121"/>
      <c r="AC1628" s="121"/>
      <c r="AD1628" s="121"/>
      <c r="AE1628" s="121"/>
      <c r="AF1628" s="121"/>
      <c r="AG1628" s="121"/>
      <c r="AH1628" s="121"/>
      <c r="AI1628" s="121"/>
    </row>
    <row r="1629" spans="1:35" s="115" customFormat="1" ht="22.8">
      <c r="A1629" s="68"/>
      <c r="B1629" s="68"/>
      <c r="C1629" s="68"/>
      <c r="D1629" s="68"/>
      <c r="E1629" s="68"/>
      <c r="F1629" s="148"/>
      <c r="G1629" s="148"/>
      <c r="H1629" s="225"/>
      <c r="I1629" s="225"/>
      <c r="J1629" s="225"/>
      <c r="K1629" s="225"/>
      <c r="L1629" s="225"/>
      <c r="M1629" s="225"/>
      <c r="N1629" s="225"/>
      <c r="O1629" s="225"/>
      <c r="P1629" s="225"/>
      <c r="Q1629" s="225"/>
      <c r="R1629" s="225"/>
      <c r="S1629" s="225"/>
      <c r="T1629" s="225"/>
      <c r="U1629" s="105"/>
      <c r="V1629" s="262"/>
      <c r="W1629" s="121"/>
      <c r="X1629" s="121"/>
      <c r="Y1629" s="121"/>
      <c r="Z1629" s="121"/>
      <c r="AA1629" s="121"/>
      <c r="AB1629" s="121"/>
      <c r="AC1629" s="121"/>
      <c r="AD1629" s="121"/>
      <c r="AE1629" s="121"/>
      <c r="AF1629" s="121"/>
      <c r="AG1629" s="121"/>
      <c r="AH1629" s="121"/>
      <c r="AI1629" s="121"/>
    </row>
    <row r="1630" spans="1:35" s="115" customFormat="1" ht="14.4">
      <c r="A1630" s="187"/>
      <c r="B1630" s="190"/>
      <c r="C1630" s="190"/>
      <c r="D1630" s="69"/>
      <c r="E1630" s="69"/>
      <c r="F1630" s="149"/>
      <c r="G1630" s="146"/>
      <c r="H1630" s="98"/>
      <c r="I1630" s="99"/>
      <c r="J1630" s="99"/>
      <c r="K1630" s="99"/>
      <c r="L1630" s="99"/>
      <c r="M1630" s="99"/>
      <c r="N1630" s="99"/>
      <c r="O1630" s="99"/>
      <c r="P1630" s="99"/>
      <c r="Q1630" s="99"/>
      <c r="R1630" s="99"/>
      <c r="S1630" s="99"/>
      <c r="T1630" s="99"/>
      <c r="U1630" s="105"/>
      <c r="V1630" s="262"/>
      <c r="W1630" s="121"/>
      <c r="X1630" s="121"/>
      <c r="Y1630" s="121"/>
      <c r="Z1630" s="121"/>
      <c r="AA1630" s="121"/>
      <c r="AB1630" s="121"/>
      <c r="AC1630" s="121"/>
      <c r="AD1630" s="121"/>
      <c r="AE1630" s="121"/>
      <c r="AF1630" s="121"/>
      <c r="AG1630" s="121"/>
      <c r="AH1630" s="121"/>
      <c r="AI1630" s="121"/>
    </row>
    <row r="1631" spans="1:35" s="115" customFormat="1" ht="14.4">
      <c r="A1631" s="187"/>
      <c r="B1631" s="190"/>
      <c r="C1631" s="190"/>
      <c r="D1631" s="69"/>
      <c r="E1631" s="69"/>
      <c r="F1631" s="149"/>
      <c r="G1631" s="146"/>
      <c r="H1631" s="98"/>
      <c r="I1631" s="99"/>
      <c r="J1631" s="99"/>
      <c r="K1631" s="99"/>
      <c r="L1631" s="99"/>
      <c r="M1631" s="99"/>
      <c r="N1631" s="99"/>
      <c r="O1631" s="99"/>
      <c r="P1631" s="99"/>
      <c r="Q1631" s="99"/>
      <c r="R1631" s="99"/>
      <c r="S1631" s="99"/>
      <c r="T1631" s="99"/>
      <c r="U1631" s="105"/>
      <c r="V1631" s="262"/>
      <c r="W1631" s="121"/>
      <c r="X1631" s="121"/>
      <c r="Y1631" s="121"/>
      <c r="Z1631" s="121"/>
      <c r="AA1631" s="121"/>
      <c r="AB1631" s="121"/>
      <c r="AC1631" s="121"/>
      <c r="AD1631" s="121"/>
      <c r="AE1631" s="121"/>
      <c r="AF1631" s="121"/>
      <c r="AG1631" s="121"/>
      <c r="AH1631" s="121"/>
      <c r="AI1631" s="121"/>
    </row>
    <row r="1632" spans="1:35" s="115" customFormat="1" ht="14.4">
      <c r="A1632" s="187"/>
      <c r="B1632" s="190"/>
      <c r="C1632" s="190"/>
      <c r="D1632" s="69"/>
      <c r="E1632" s="69"/>
      <c r="F1632" s="149"/>
      <c r="G1632" s="146"/>
      <c r="H1632" s="98"/>
      <c r="I1632" s="99"/>
      <c r="J1632" s="99"/>
      <c r="K1632" s="99"/>
      <c r="L1632" s="99"/>
      <c r="M1632" s="99"/>
      <c r="N1632" s="99"/>
      <c r="O1632" s="99"/>
      <c r="P1632" s="99"/>
      <c r="Q1632" s="99"/>
      <c r="R1632" s="99"/>
      <c r="S1632" s="99"/>
      <c r="T1632" s="99"/>
      <c r="U1632" s="105"/>
      <c r="V1632" s="262"/>
      <c r="W1632" s="121"/>
      <c r="X1632" s="121"/>
      <c r="Y1632" s="121"/>
      <c r="Z1632" s="121"/>
      <c r="AA1632" s="121"/>
      <c r="AB1632" s="121"/>
      <c r="AC1632" s="121"/>
      <c r="AD1632" s="121"/>
      <c r="AE1632" s="121"/>
      <c r="AF1632" s="121"/>
      <c r="AG1632" s="121"/>
      <c r="AH1632" s="121"/>
      <c r="AI1632" s="121"/>
    </row>
    <row r="1633" spans="1:35" s="115" customFormat="1" ht="14.4">
      <c r="A1633" s="187"/>
      <c r="B1633" s="190"/>
      <c r="C1633" s="190"/>
      <c r="D1633" s="69"/>
      <c r="E1633" s="69"/>
      <c r="F1633" s="149"/>
      <c r="G1633" s="146"/>
      <c r="H1633" s="98"/>
      <c r="I1633" s="99"/>
      <c r="J1633" s="99"/>
      <c r="K1633" s="99"/>
      <c r="L1633" s="99"/>
      <c r="M1633" s="99"/>
      <c r="N1633" s="99"/>
      <c r="O1633" s="99"/>
      <c r="P1633" s="99"/>
      <c r="Q1633" s="99"/>
      <c r="R1633" s="99"/>
      <c r="S1633" s="99"/>
      <c r="T1633" s="99"/>
      <c r="U1633" s="105"/>
      <c r="V1633" s="262"/>
      <c r="W1633" s="121"/>
      <c r="X1633" s="121"/>
      <c r="Y1633" s="121"/>
      <c r="Z1633" s="121"/>
      <c r="AA1633" s="121"/>
      <c r="AB1633" s="121"/>
      <c r="AC1633" s="121"/>
      <c r="AD1633" s="121"/>
      <c r="AE1633" s="121"/>
      <c r="AF1633" s="121"/>
      <c r="AG1633" s="121"/>
      <c r="AH1633" s="121"/>
      <c r="AI1633" s="121"/>
    </row>
    <row r="1634" spans="1:35" s="115" customFormat="1" ht="14.4">
      <c r="A1634" s="187"/>
      <c r="B1634" s="190"/>
      <c r="C1634" s="190"/>
      <c r="D1634" s="69"/>
      <c r="E1634" s="69"/>
      <c r="F1634" s="149"/>
      <c r="G1634" s="146"/>
      <c r="H1634" s="98"/>
      <c r="I1634" s="99"/>
      <c r="J1634" s="99"/>
      <c r="K1634" s="99"/>
      <c r="L1634" s="99"/>
      <c r="M1634" s="99"/>
      <c r="N1634" s="99"/>
      <c r="O1634" s="99"/>
      <c r="P1634" s="99"/>
      <c r="Q1634" s="99"/>
      <c r="R1634" s="99"/>
      <c r="S1634" s="99"/>
      <c r="T1634" s="99"/>
      <c r="U1634" s="105"/>
      <c r="V1634" s="262"/>
      <c r="W1634" s="121"/>
      <c r="X1634" s="121"/>
      <c r="Y1634" s="121"/>
      <c r="Z1634" s="121"/>
      <c r="AA1634" s="121"/>
      <c r="AB1634" s="121"/>
      <c r="AC1634" s="121"/>
      <c r="AD1634" s="121"/>
      <c r="AE1634" s="121"/>
      <c r="AF1634" s="121"/>
      <c r="AG1634" s="121"/>
      <c r="AH1634" s="121"/>
      <c r="AI1634" s="121"/>
    </row>
    <row r="1635" spans="1:35" s="115" customFormat="1" ht="14.4">
      <c r="A1635" s="187"/>
      <c r="B1635" s="190"/>
      <c r="C1635" s="190"/>
      <c r="D1635" s="69"/>
      <c r="E1635" s="69"/>
      <c r="F1635" s="149"/>
      <c r="G1635" s="146"/>
      <c r="H1635" s="98"/>
      <c r="I1635" s="99"/>
      <c r="J1635" s="99"/>
      <c r="K1635" s="99"/>
      <c r="L1635" s="99"/>
      <c r="M1635" s="99"/>
      <c r="N1635" s="99"/>
      <c r="O1635" s="99"/>
      <c r="P1635" s="99"/>
      <c r="Q1635" s="99"/>
      <c r="R1635" s="99"/>
      <c r="S1635" s="99"/>
      <c r="T1635" s="99"/>
      <c r="U1635" s="105"/>
      <c r="V1635" s="262"/>
      <c r="W1635" s="121"/>
      <c r="X1635" s="121"/>
      <c r="Y1635" s="121"/>
      <c r="Z1635" s="121"/>
      <c r="AA1635" s="121"/>
      <c r="AB1635" s="121"/>
      <c r="AC1635" s="121"/>
      <c r="AD1635" s="121"/>
      <c r="AE1635" s="121"/>
      <c r="AF1635" s="121"/>
      <c r="AG1635" s="121"/>
      <c r="AH1635" s="121"/>
      <c r="AI1635" s="121"/>
    </row>
    <row r="1636" spans="1:35" s="115" customFormat="1" ht="14.4">
      <c r="A1636" s="187"/>
      <c r="B1636" s="190"/>
      <c r="C1636" s="190"/>
      <c r="D1636" s="69"/>
      <c r="E1636" s="69"/>
      <c r="F1636" s="149"/>
      <c r="G1636" s="146"/>
      <c r="H1636" s="98"/>
      <c r="I1636" s="99"/>
      <c r="J1636" s="99"/>
      <c r="K1636" s="99"/>
      <c r="L1636" s="99"/>
      <c r="M1636" s="99"/>
      <c r="N1636" s="99"/>
      <c r="O1636" s="99"/>
      <c r="P1636" s="99"/>
      <c r="Q1636" s="99"/>
      <c r="R1636" s="99"/>
      <c r="S1636" s="99"/>
      <c r="T1636" s="99"/>
      <c r="U1636" s="105"/>
      <c r="V1636" s="262"/>
      <c r="W1636" s="121"/>
      <c r="X1636" s="121"/>
      <c r="Y1636" s="121"/>
      <c r="Z1636" s="121"/>
      <c r="AA1636" s="121"/>
      <c r="AB1636" s="121"/>
      <c r="AC1636" s="121"/>
      <c r="AD1636" s="121"/>
      <c r="AE1636" s="121"/>
      <c r="AF1636" s="121"/>
      <c r="AG1636" s="121"/>
      <c r="AH1636" s="121"/>
      <c r="AI1636" s="121"/>
    </row>
    <row r="1637" spans="1:35" s="115" customFormat="1" ht="14.4">
      <c r="A1637" s="187"/>
      <c r="B1637" s="190"/>
      <c r="C1637" s="190"/>
      <c r="D1637" s="69"/>
      <c r="E1637" s="69"/>
      <c r="F1637" s="149"/>
      <c r="G1637" s="146"/>
      <c r="H1637" s="98"/>
      <c r="I1637" s="99"/>
      <c r="J1637" s="99"/>
      <c r="K1637" s="99"/>
      <c r="L1637" s="99"/>
      <c r="M1637" s="99"/>
      <c r="N1637" s="99"/>
      <c r="O1637" s="99"/>
      <c r="P1637" s="99"/>
      <c r="Q1637" s="99"/>
      <c r="R1637" s="99"/>
      <c r="S1637" s="99"/>
      <c r="T1637" s="99"/>
      <c r="U1637" s="105"/>
      <c r="V1637" s="262"/>
      <c r="W1637" s="121"/>
      <c r="X1637" s="121"/>
      <c r="Y1637" s="121"/>
      <c r="Z1637" s="121"/>
      <c r="AA1637" s="121"/>
      <c r="AB1637" s="121"/>
      <c r="AC1637" s="121"/>
      <c r="AD1637" s="121"/>
      <c r="AE1637" s="121"/>
      <c r="AF1637" s="121"/>
      <c r="AG1637" s="121"/>
      <c r="AH1637" s="121"/>
      <c r="AI1637" s="121"/>
    </row>
    <row r="1638" spans="1:35" s="115" customFormat="1" ht="14.4">
      <c r="A1638" s="187"/>
      <c r="B1638" s="190"/>
      <c r="C1638" s="190"/>
      <c r="D1638" s="69"/>
      <c r="E1638" s="69"/>
      <c r="F1638" s="149"/>
      <c r="G1638" s="146"/>
      <c r="H1638" s="98"/>
      <c r="I1638" s="99"/>
      <c r="J1638" s="99"/>
      <c r="K1638" s="99"/>
      <c r="L1638" s="99"/>
      <c r="M1638" s="99"/>
      <c r="N1638" s="99"/>
      <c r="O1638" s="99"/>
      <c r="P1638" s="99"/>
      <c r="Q1638" s="99"/>
      <c r="R1638" s="99"/>
      <c r="S1638" s="99"/>
      <c r="T1638" s="99"/>
      <c r="U1638" s="105"/>
      <c r="V1638" s="262"/>
      <c r="W1638" s="121"/>
      <c r="X1638" s="121"/>
      <c r="Y1638" s="121"/>
      <c r="Z1638" s="121"/>
      <c r="AA1638" s="121"/>
      <c r="AB1638" s="121"/>
      <c r="AC1638" s="121"/>
      <c r="AD1638" s="121"/>
      <c r="AE1638" s="121"/>
      <c r="AF1638" s="121"/>
      <c r="AG1638" s="121"/>
      <c r="AH1638" s="121"/>
      <c r="AI1638" s="121"/>
    </row>
    <row r="1639" spans="1:35" s="115" customFormat="1" ht="14.4">
      <c r="A1639" s="187"/>
      <c r="B1639" s="190"/>
      <c r="C1639" s="190"/>
      <c r="D1639" s="69"/>
      <c r="E1639" s="69"/>
      <c r="F1639" s="149"/>
      <c r="G1639" s="146"/>
      <c r="H1639" s="98"/>
      <c r="I1639" s="99"/>
      <c r="J1639" s="99"/>
      <c r="K1639" s="99"/>
      <c r="L1639" s="99"/>
      <c r="M1639" s="99"/>
      <c r="N1639" s="99"/>
      <c r="O1639" s="99"/>
      <c r="P1639" s="99"/>
      <c r="Q1639" s="99"/>
      <c r="R1639" s="99"/>
      <c r="S1639" s="99"/>
      <c r="T1639" s="99"/>
      <c r="U1639" s="105"/>
      <c r="V1639" s="262"/>
      <c r="W1639" s="121"/>
      <c r="X1639" s="121"/>
      <c r="Y1639" s="121"/>
      <c r="Z1639" s="121"/>
      <c r="AA1639" s="121"/>
      <c r="AB1639" s="121"/>
      <c r="AC1639" s="121"/>
      <c r="AD1639" s="121"/>
      <c r="AE1639" s="121"/>
      <c r="AF1639" s="121"/>
      <c r="AG1639" s="121"/>
      <c r="AH1639" s="121"/>
      <c r="AI1639" s="121"/>
    </row>
    <row r="1640" spans="1:35" s="115" customFormat="1" ht="14.4">
      <c r="A1640" s="187"/>
      <c r="B1640" s="190"/>
      <c r="C1640" s="190"/>
      <c r="D1640" s="69"/>
      <c r="E1640" s="69"/>
      <c r="F1640" s="149"/>
      <c r="G1640" s="146"/>
      <c r="H1640" s="98"/>
      <c r="I1640" s="99"/>
      <c r="J1640" s="99"/>
      <c r="K1640" s="99"/>
      <c r="L1640" s="99"/>
      <c r="M1640" s="99"/>
      <c r="N1640" s="99"/>
      <c r="O1640" s="99"/>
      <c r="P1640" s="99"/>
      <c r="Q1640" s="99"/>
      <c r="R1640" s="99"/>
      <c r="S1640" s="99"/>
      <c r="T1640" s="99"/>
      <c r="U1640" s="105"/>
      <c r="V1640" s="262"/>
      <c r="W1640" s="121"/>
      <c r="X1640" s="121"/>
      <c r="Y1640" s="121"/>
      <c r="Z1640" s="121"/>
      <c r="AA1640" s="121"/>
      <c r="AB1640" s="121"/>
      <c r="AC1640" s="121"/>
      <c r="AD1640" s="121"/>
      <c r="AE1640" s="121"/>
      <c r="AF1640" s="121"/>
      <c r="AG1640" s="121"/>
      <c r="AH1640" s="121"/>
      <c r="AI1640" s="121"/>
    </row>
    <row r="1641" spans="1:35" s="115" customFormat="1" ht="14.4">
      <c r="A1641" s="187"/>
      <c r="B1641" s="190"/>
      <c r="C1641" s="190"/>
      <c r="D1641" s="69"/>
      <c r="E1641" s="69"/>
      <c r="F1641" s="149"/>
      <c r="G1641" s="146"/>
      <c r="H1641" s="98"/>
      <c r="I1641" s="99"/>
      <c r="J1641" s="99"/>
      <c r="K1641" s="99"/>
      <c r="L1641" s="99"/>
      <c r="M1641" s="99"/>
      <c r="N1641" s="99"/>
      <c r="O1641" s="99"/>
      <c r="P1641" s="99"/>
      <c r="Q1641" s="99"/>
      <c r="R1641" s="99"/>
      <c r="S1641" s="99"/>
      <c r="T1641" s="99"/>
      <c r="U1641" s="105"/>
      <c r="V1641" s="262"/>
      <c r="W1641" s="121"/>
      <c r="X1641" s="121"/>
      <c r="Y1641" s="121"/>
      <c r="Z1641" s="121"/>
      <c r="AA1641" s="121"/>
      <c r="AB1641" s="121"/>
      <c r="AC1641" s="121"/>
      <c r="AD1641" s="121"/>
      <c r="AE1641" s="121"/>
      <c r="AF1641" s="121"/>
      <c r="AG1641" s="121"/>
      <c r="AH1641" s="121"/>
      <c r="AI1641" s="121"/>
    </row>
    <row r="1642" spans="1:35" s="115" customFormat="1" ht="14.4">
      <c r="A1642" s="187"/>
      <c r="B1642" s="190"/>
      <c r="C1642" s="190"/>
      <c r="D1642" s="69"/>
      <c r="E1642" s="69"/>
      <c r="F1642" s="149"/>
      <c r="G1642" s="146"/>
      <c r="H1642" s="98"/>
      <c r="I1642" s="99"/>
      <c r="J1642" s="99"/>
      <c r="K1642" s="99"/>
      <c r="L1642" s="99"/>
      <c r="M1642" s="99"/>
      <c r="N1642" s="99"/>
      <c r="O1642" s="99"/>
      <c r="P1642" s="99"/>
      <c r="Q1642" s="99"/>
      <c r="R1642" s="99"/>
      <c r="S1642" s="99"/>
      <c r="T1642" s="99"/>
      <c r="U1642" s="105"/>
      <c r="V1642" s="262"/>
      <c r="W1642" s="121"/>
      <c r="X1642" s="121"/>
      <c r="Y1642" s="121"/>
      <c r="Z1642" s="121"/>
      <c r="AA1642" s="121"/>
      <c r="AB1642" s="121"/>
      <c r="AC1642" s="121"/>
      <c r="AD1642" s="121"/>
      <c r="AE1642" s="121"/>
      <c r="AF1642" s="121"/>
      <c r="AG1642" s="121"/>
      <c r="AH1642" s="121"/>
      <c r="AI1642" s="121"/>
    </row>
    <row r="1643" spans="1:35" s="115" customFormat="1" ht="14.4">
      <c r="A1643" s="187"/>
      <c r="B1643" s="190"/>
      <c r="C1643" s="190"/>
      <c r="D1643" s="69"/>
      <c r="E1643" s="69"/>
      <c r="F1643" s="149"/>
      <c r="G1643" s="146"/>
      <c r="H1643" s="98"/>
      <c r="I1643" s="99"/>
      <c r="J1643" s="99"/>
      <c r="K1643" s="99"/>
      <c r="L1643" s="99"/>
      <c r="M1643" s="99"/>
      <c r="N1643" s="99"/>
      <c r="O1643" s="99"/>
      <c r="P1643" s="99"/>
      <c r="Q1643" s="99"/>
      <c r="R1643" s="99"/>
      <c r="S1643" s="99"/>
      <c r="T1643" s="99"/>
      <c r="U1643" s="105"/>
      <c r="V1643" s="262"/>
      <c r="W1643" s="121"/>
      <c r="X1643" s="121"/>
      <c r="Y1643" s="121"/>
      <c r="Z1643" s="121"/>
      <c r="AA1643" s="121"/>
      <c r="AB1643" s="121"/>
      <c r="AC1643" s="121"/>
      <c r="AD1643" s="121"/>
      <c r="AE1643" s="121"/>
      <c r="AF1643" s="121"/>
      <c r="AG1643" s="121"/>
      <c r="AH1643" s="121"/>
      <c r="AI1643" s="121"/>
    </row>
    <row r="1644" spans="1:35" s="115" customFormat="1" ht="14.4">
      <c r="A1644" s="187"/>
      <c r="B1644" s="190"/>
      <c r="C1644" s="190"/>
      <c r="D1644" s="69"/>
      <c r="E1644" s="69"/>
      <c r="F1644" s="149"/>
      <c r="G1644" s="146"/>
      <c r="H1644" s="107"/>
      <c r="I1644" s="108"/>
      <c r="J1644" s="108"/>
      <c r="K1644" s="108"/>
      <c r="L1644" s="108"/>
      <c r="M1644" s="108"/>
      <c r="N1644" s="109"/>
      <c r="O1644" s="109"/>
      <c r="P1644" s="109"/>
      <c r="Q1644" s="109"/>
      <c r="R1644" s="109"/>
      <c r="S1644" s="109"/>
      <c r="T1644" s="109"/>
      <c r="U1644" s="105"/>
      <c r="V1644" s="262"/>
      <c r="W1644" s="121"/>
      <c r="X1644" s="121"/>
      <c r="Y1644" s="121"/>
      <c r="Z1644" s="121"/>
      <c r="AA1644" s="121"/>
      <c r="AB1644" s="121"/>
      <c r="AC1644" s="121"/>
      <c r="AD1644" s="121"/>
      <c r="AE1644" s="121"/>
      <c r="AF1644" s="121"/>
      <c r="AG1644" s="121"/>
      <c r="AH1644" s="121"/>
      <c r="AI1644" s="121"/>
    </row>
    <row r="1645" spans="1:35" s="115" customFormat="1" ht="14.4">
      <c r="A1645" s="187"/>
      <c r="B1645" s="190"/>
      <c r="C1645" s="190"/>
      <c r="D1645" s="69"/>
      <c r="E1645" s="69"/>
      <c r="F1645" s="149"/>
      <c r="G1645" s="146"/>
      <c r="H1645" s="98"/>
      <c r="I1645" s="106"/>
      <c r="J1645" s="106"/>
      <c r="K1645" s="106"/>
      <c r="L1645" s="106"/>
      <c r="M1645" s="106"/>
      <c r="N1645" s="112"/>
      <c r="O1645" s="112"/>
      <c r="P1645" s="112"/>
      <c r="Q1645" s="113"/>
      <c r="R1645" s="113"/>
      <c r="S1645" s="113"/>
      <c r="T1645" s="113"/>
      <c r="U1645" s="105"/>
      <c r="V1645" s="262"/>
      <c r="W1645" s="121"/>
      <c r="X1645" s="121"/>
      <c r="Y1645" s="121"/>
      <c r="Z1645" s="121"/>
      <c r="AA1645" s="121"/>
      <c r="AB1645" s="121"/>
      <c r="AC1645" s="121"/>
      <c r="AD1645" s="121"/>
      <c r="AE1645" s="121"/>
      <c r="AF1645" s="121"/>
      <c r="AG1645" s="121"/>
      <c r="AH1645" s="121"/>
      <c r="AI1645" s="121"/>
    </row>
    <row r="1646" spans="1:35" s="115" customFormat="1" ht="14.4">
      <c r="A1646" s="187"/>
      <c r="B1646" s="190"/>
      <c r="C1646" s="190"/>
      <c r="D1646" s="69"/>
      <c r="E1646" s="69"/>
      <c r="F1646" s="149"/>
      <c r="G1646" s="146"/>
      <c r="H1646" s="98"/>
      <c r="I1646" s="99"/>
      <c r="J1646" s="99"/>
      <c r="K1646" s="99"/>
      <c r="L1646" s="99"/>
      <c r="M1646" s="99"/>
      <c r="N1646" s="99"/>
      <c r="O1646" s="99"/>
      <c r="P1646" s="99"/>
      <c r="Q1646" s="99"/>
      <c r="R1646" s="99"/>
      <c r="S1646" s="99"/>
      <c r="T1646" s="99"/>
      <c r="U1646" s="105"/>
      <c r="V1646" s="262"/>
      <c r="W1646" s="121"/>
      <c r="X1646" s="121"/>
      <c r="Y1646" s="121"/>
      <c r="Z1646" s="121"/>
      <c r="AA1646" s="121"/>
      <c r="AB1646" s="121"/>
      <c r="AC1646" s="121"/>
      <c r="AD1646" s="121"/>
      <c r="AE1646" s="121"/>
      <c r="AF1646" s="121"/>
      <c r="AG1646" s="121"/>
      <c r="AH1646" s="121"/>
      <c r="AI1646" s="121"/>
    </row>
    <row r="1647" spans="1:35" s="115" customFormat="1" ht="14.4">
      <c r="A1647" s="187"/>
      <c r="B1647" s="190"/>
      <c r="C1647" s="190"/>
      <c r="D1647" s="69"/>
      <c r="E1647" s="69"/>
      <c r="F1647" s="149"/>
      <c r="G1647" s="146"/>
      <c r="H1647" s="98"/>
      <c r="I1647" s="99"/>
      <c r="J1647" s="99"/>
      <c r="K1647" s="99"/>
      <c r="L1647" s="99"/>
      <c r="M1647" s="99"/>
      <c r="N1647" s="99"/>
      <c r="O1647" s="99"/>
      <c r="P1647" s="99"/>
      <c r="Q1647" s="99"/>
      <c r="R1647" s="99"/>
      <c r="S1647" s="99"/>
      <c r="T1647" s="99"/>
      <c r="U1647" s="105"/>
      <c r="V1647" s="262"/>
      <c r="W1647" s="121"/>
      <c r="X1647" s="121"/>
      <c r="Y1647" s="121"/>
      <c r="Z1647" s="121"/>
      <c r="AA1647" s="121"/>
      <c r="AB1647" s="121"/>
      <c r="AC1647" s="121"/>
      <c r="AD1647" s="121"/>
      <c r="AE1647" s="121"/>
      <c r="AF1647" s="121"/>
      <c r="AG1647" s="121"/>
      <c r="AH1647" s="121"/>
      <c r="AI1647" s="121"/>
    </row>
    <row r="1648" spans="1:35" s="115" customFormat="1" ht="14.4">
      <c r="A1648" s="187"/>
      <c r="B1648" s="190"/>
      <c r="C1648" s="190"/>
      <c r="D1648" s="69"/>
      <c r="E1648" s="69"/>
      <c r="F1648" s="149"/>
      <c r="G1648" s="146"/>
      <c r="H1648" s="98"/>
      <c r="I1648" s="99"/>
      <c r="J1648" s="99"/>
      <c r="K1648" s="99"/>
      <c r="L1648" s="99"/>
      <c r="M1648" s="99"/>
      <c r="N1648" s="99"/>
      <c r="O1648" s="99"/>
      <c r="P1648" s="99"/>
      <c r="Q1648" s="99"/>
      <c r="R1648" s="99"/>
      <c r="S1648" s="99"/>
      <c r="T1648" s="99"/>
      <c r="U1648" s="105"/>
      <c r="V1648" s="262"/>
      <c r="W1648" s="121"/>
      <c r="X1648" s="121"/>
      <c r="Y1648" s="121"/>
      <c r="Z1648" s="121"/>
      <c r="AA1648" s="121"/>
      <c r="AB1648" s="121"/>
      <c r="AC1648" s="121"/>
      <c r="AD1648" s="121"/>
      <c r="AE1648" s="121"/>
      <c r="AF1648" s="121"/>
      <c r="AG1648" s="121"/>
      <c r="AH1648" s="121"/>
      <c r="AI1648" s="121"/>
    </row>
    <row r="1649" spans="1:35" s="115" customFormat="1" ht="14.4">
      <c r="A1649" s="187"/>
      <c r="B1649" s="190"/>
      <c r="C1649" s="190"/>
      <c r="D1649" s="69"/>
      <c r="E1649" s="69"/>
      <c r="F1649" s="149"/>
      <c r="G1649" s="146"/>
      <c r="H1649" s="98"/>
      <c r="I1649" s="99"/>
      <c r="J1649" s="99"/>
      <c r="K1649" s="99"/>
      <c r="L1649" s="99"/>
      <c r="M1649" s="99"/>
      <c r="N1649" s="99"/>
      <c r="O1649" s="99"/>
      <c r="P1649" s="99"/>
      <c r="Q1649" s="99"/>
      <c r="R1649" s="99"/>
      <c r="S1649" s="99"/>
      <c r="T1649" s="99"/>
      <c r="U1649" s="105"/>
      <c r="V1649" s="262"/>
      <c r="W1649" s="121"/>
      <c r="X1649" s="121"/>
      <c r="Y1649" s="121"/>
      <c r="Z1649" s="121"/>
      <c r="AA1649" s="121"/>
      <c r="AB1649" s="121"/>
      <c r="AC1649" s="121"/>
      <c r="AD1649" s="121"/>
      <c r="AE1649" s="121"/>
      <c r="AF1649" s="121"/>
      <c r="AG1649" s="121"/>
      <c r="AH1649" s="121"/>
      <c r="AI1649" s="121"/>
    </row>
    <row r="1650" spans="1:35" s="115" customFormat="1" ht="14.4">
      <c r="A1650" s="187"/>
      <c r="B1650" s="190"/>
      <c r="C1650" s="190"/>
      <c r="D1650" s="69"/>
      <c r="E1650" s="69"/>
      <c r="F1650" s="149"/>
      <c r="G1650" s="146"/>
      <c r="H1650" s="98"/>
      <c r="I1650" s="99"/>
      <c r="J1650" s="99"/>
      <c r="K1650" s="99"/>
      <c r="L1650" s="99"/>
      <c r="M1650" s="99"/>
      <c r="N1650" s="99"/>
      <c r="O1650" s="99"/>
      <c r="P1650" s="99"/>
      <c r="Q1650" s="99"/>
      <c r="R1650" s="99"/>
      <c r="S1650" s="99"/>
      <c r="T1650" s="99"/>
      <c r="U1650" s="105"/>
      <c r="V1650" s="262"/>
      <c r="W1650" s="121"/>
      <c r="X1650" s="121"/>
      <c r="Y1650" s="121"/>
      <c r="Z1650" s="121"/>
      <c r="AA1650" s="121"/>
      <c r="AB1650" s="121"/>
      <c r="AC1650" s="121"/>
      <c r="AD1650" s="121"/>
      <c r="AE1650" s="121"/>
      <c r="AF1650" s="121"/>
      <c r="AG1650" s="121"/>
      <c r="AH1650" s="121"/>
      <c r="AI1650" s="121"/>
    </row>
    <row r="1651" spans="1:35" s="115" customFormat="1" ht="14.4">
      <c r="A1651" s="187"/>
      <c r="B1651" s="190"/>
      <c r="C1651" s="190"/>
      <c r="D1651" s="69"/>
      <c r="E1651" s="69"/>
      <c r="F1651" s="149"/>
      <c r="G1651" s="146"/>
      <c r="H1651" s="98"/>
      <c r="I1651" s="99"/>
      <c r="J1651" s="99"/>
      <c r="K1651" s="99"/>
      <c r="L1651" s="99"/>
      <c r="M1651" s="99"/>
      <c r="N1651" s="99"/>
      <c r="O1651" s="99"/>
      <c r="P1651" s="99"/>
      <c r="Q1651" s="99"/>
      <c r="R1651" s="99"/>
      <c r="S1651" s="99"/>
      <c r="T1651" s="99"/>
      <c r="U1651" s="105"/>
      <c r="V1651" s="262"/>
      <c r="W1651" s="121"/>
      <c r="X1651" s="121"/>
      <c r="Y1651" s="121"/>
      <c r="Z1651" s="121"/>
      <c r="AA1651" s="121"/>
      <c r="AB1651" s="121"/>
      <c r="AC1651" s="121"/>
      <c r="AD1651" s="121"/>
      <c r="AE1651" s="121"/>
      <c r="AF1651" s="121"/>
      <c r="AG1651" s="121"/>
      <c r="AH1651" s="121"/>
      <c r="AI1651" s="121"/>
    </row>
    <row r="1652" spans="1:35" s="115" customFormat="1" ht="14.4">
      <c r="A1652" s="187"/>
      <c r="B1652" s="190"/>
      <c r="C1652" s="190"/>
      <c r="D1652" s="69"/>
      <c r="E1652" s="69"/>
      <c r="F1652" s="149"/>
      <c r="G1652" s="146"/>
      <c r="H1652" s="98"/>
      <c r="I1652" s="99"/>
      <c r="J1652" s="99"/>
      <c r="K1652" s="99"/>
      <c r="L1652" s="99"/>
      <c r="M1652" s="99"/>
      <c r="N1652" s="99"/>
      <c r="O1652" s="99"/>
      <c r="P1652" s="99"/>
      <c r="Q1652" s="99"/>
      <c r="R1652" s="99"/>
      <c r="S1652" s="99"/>
      <c r="T1652" s="99"/>
      <c r="U1652" s="105"/>
      <c r="V1652" s="262"/>
      <c r="W1652" s="121"/>
      <c r="X1652" s="121"/>
      <c r="Y1652" s="121"/>
      <c r="Z1652" s="121"/>
      <c r="AA1652" s="121"/>
      <c r="AB1652" s="121"/>
      <c r="AC1652" s="121"/>
      <c r="AD1652" s="121"/>
      <c r="AE1652" s="121"/>
      <c r="AF1652" s="121"/>
      <c r="AG1652" s="121"/>
      <c r="AH1652" s="121"/>
      <c r="AI1652" s="121"/>
    </row>
    <row r="1653" spans="1:35" s="115" customFormat="1" ht="14.4">
      <c r="A1653" s="187"/>
      <c r="B1653" s="190"/>
      <c r="C1653" s="190"/>
      <c r="D1653" s="69"/>
      <c r="E1653" s="69"/>
      <c r="F1653" s="149"/>
      <c r="G1653" s="146"/>
      <c r="H1653" s="98"/>
      <c r="I1653" s="99"/>
      <c r="J1653" s="99"/>
      <c r="K1653" s="99"/>
      <c r="L1653" s="99"/>
      <c r="M1653" s="99"/>
      <c r="N1653" s="99"/>
      <c r="O1653" s="99"/>
      <c r="P1653" s="99"/>
      <c r="Q1653" s="99"/>
      <c r="R1653" s="99"/>
      <c r="S1653" s="99"/>
      <c r="T1653" s="99"/>
      <c r="U1653" s="105"/>
      <c r="V1653" s="262"/>
      <c r="W1653" s="121"/>
      <c r="X1653" s="121"/>
      <c r="Y1653" s="121"/>
      <c r="Z1653" s="121"/>
      <c r="AA1653" s="121"/>
      <c r="AB1653" s="121"/>
      <c r="AC1653" s="121"/>
      <c r="AD1653" s="121"/>
      <c r="AE1653" s="121"/>
      <c r="AF1653" s="121"/>
      <c r="AG1653" s="121"/>
      <c r="AH1653" s="121"/>
      <c r="AI1653" s="121"/>
    </row>
    <row r="1654" spans="1:35" s="115" customFormat="1" ht="14.4">
      <c r="A1654" s="187"/>
      <c r="B1654" s="190"/>
      <c r="C1654" s="190"/>
      <c r="D1654" s="69"/>
      <c r="E1654" s="69"/>
      <c r="F1654" s="149"/>
      <c r="G1654" s="146"/>
      <c r="H1654" s="98"/>
      <c r="I1654" s="99"/>
      <c r="J1654" s="99"/>
      <c r="K1654" s="99"/>
      <c r="L1654" s="99"/>
      <c r="M1654" s="99"/>
      <c r="N1654" s="99"/>
      <c r="O1654" s="99"/>
      <c r="P1654" s="99"/>
      <c r="Q1654" s="99"/>
      <c r="R1654" s="99"/>
      <c r="S1654" s="99"/>
      <c r="T1654" s="99"/>
      <c r="U1654" s="105"/>
      <c r="V1654" s="262"/>
      <c r="W1654" s="121"/>
      <c r="X1654" s="121"/>
      <c r="Y1654" s="121"/>
      <c r="Z1654" s="121"/>
      <c r="AA1654" s="121"/>
      <c r="AB1654" s="121"/>
      <c r="AC1654" s="121"/>
      <c r="AD1654" s="121"/>
      <c r="AE1654" s="121"/>
      <c r="AF1654" s="121"/>
      <c r="AG1654" s="121"/>
      <c r="AH1654" s="121"/>
      <c r="AI1654" s="121"/>
    </row>
    <row r="1655" spans="1:35" s="115" customFormat="1" ht="14.4">
      <c r="A1655" s="187"/>
      <c r="B1655" s="190"/>
      <c r="C1655" s="190"/>
      <c r="D1655" s="69"/>
      <c r="E1655" s="69"/>
      <c r="F1655" s="149"/>
      <c r="G1655" s="146"/>
      <c r="H1655" s="98"/>
      <c r="I1655" s="99"/>
      <c r="J1655" s="99"/>
      <c r="K1655" s="99"/>
      <c r="L1655" s="99"/>
      <c r="M1655" s="99"/>
      <c r="N1655" s="99"/>
      <c r="O1655" s="99"/>
      <c r="P1655" s="99"/>
      <c r="Q1655" s="99"/>
      <c r="R1655" s="99"/>
      <c r="S1655" s="99"/>
      <c r="T1655" s="99"/>
      <c r="U1655" s="105"/>
      <c r="V1655" s="262"/>
      <c r="W1655" s="121"/>
      <c r="X1655" s="121"/>
      <c r="Y1655" s="121"/>
      <c r="Z1655" s="121"/>
      <c r="AA1655" s="121"/>
      <c r="AB1655" s="121"/>
      <c r="AC1655" s="121"/>
      <c r="AD1655" s="121"/>
      <c r="AE1655" s="121"/>
      <c r="AF1655" s="121"/>
      <c r="AG1655" s="121"/>
      <c r="AH1655" s="121"/>
      <c r="AI1655" s="121"/>
    </row>
    <row r="1656" spans="1:35" s="115" customFormat="1" ht="14.4">
      <c r="A1656" s="187"/>
      <c r="B1656" s="190"/>
      <c r="C1656" s="190"/>
      <c r="D1656" s="69"/>
      <c r="E1656" s="69"/>
      <c r="F1656" s="149"/>
      <c r="G1656" s="146"/>
      <c r="H1656" s="98"/>
      <c r="I1656" s="99"/>
      <c r="J1656" s="99"/>
      <c r="K1656" s="99"/>
      <c r="L1656" s="99"/>
      <c r="M1656" s="99"/>
      <c r="N1656" s="99"/>
      <c r="O1656" s="99"/>
      <c r="P1656" s="99"/>
      <c r="Q1656" s="99"/>
      <c r="R1656" s="99"/>
      <c r="S1656" s="99"/>
      <c r="T1656" s="99"/>
      <c r="U1656" s="105"/>
      <c r="V1656" s="262"/>
      <c r="W1656" s="121"/>
      <c r="X1656" s="121"/>
      <c r="Y1656" s="121"/>
      <c r="Z1656" s="121"/>
      <c r="AA1656" s="121"/>
      <c r="AB1656" s="121"/>
      <c r="AC1656" s="121"/>
      <c r="AD1656" s="121"/>
      <c r="AE1656" s="121"/>
      <c r="AF1656" s="121"/>
      <c r="AG1656" s="121"/>
      <c r="AH1656" s="121"/>
      <c r="AI1656" s="121"/>
    </row>
    <row r="1657" spans="1:35" s="115" customFormat="1" ht="14.4">
      <c r="A1657" s="187"/>
      <c r="B1657" s="190"/>
      <c r="C1657" s="190"/>
      <c r="D1657" s="69"/>
      <c r="E1657" s="69"/>
      <c r="F1657" s="149"/>
      <c r="G1657" s="146"/>
      <c r="H1657" s="98"/>
      <c r="I1657" s="99"/>
      <c r="J1657" s="99"/>
      <c r="K1657" s="99"/>
      <c r="L1657" s="99"/>
      <c r="M1657" s="99"/>
      <c r="N1657" s="99"/>
      <c r="O1657" s="99"/>
      <c r="P1657" s="99"/>
      <c r="Q1657" s="99"/>
      <c r="R1657" s="99"/>
      <c r="S1657" s="99"/>
      <c r="T1657" s="99"/>
      <c r="U1657" s="105"/>
      <c r="V1657" s="262"/>
      <c r="W1657" s="121"/>
      <c r="X1657" s="121"/>
      <c r="Y1657" s="121"/>
      <c r="Z1657" s="121"/>
      <c r="AA1657" s="121"/>
      <c r="AB1657" s="121"/>
      <c r="AC1657" s="121"/>
      <c r="AD1657" s="121"/>
      <c r="AE1657" s="121"/>
      <c r="AF1657" s="121"/>
      <c r="AG1657" s="121"/>
      <c r="AH1657" s="121"/>
      <c r="AI1657" s="121"/>
    </row>
    <row r="1658" spans="1:35" s="115" customFormat="1" ht="14.4">
      <c r="A1658" s="187"/>
      <c r="B1658" s="190"/>
      <c r="C1658" s="190"/>
      <c r="D1658" s="69"/>
      <c r="E1658" s="69"/>
      <c r="F1658" s="149"/>
      <c r="G1658" s="146"/>
      <c r="H1658" s="98"/>
      <c r="I1658" s="99"/>
      <c r="J1658" s="99"/>
      <c r="K1658" s="99"/>
      <c r="L1658" s="99"/>
      <c r="M1658" s="99"/>
      <c r="N1658" s="99"/>
      <c r="O1658" s="99"/>
      <c r="P1658" s="99"/>
      <c r="Q1658" s="99"/>
      <c r="R1658" s="99"/>
      <c r="S1658" s="99"/>
      <c r="T1658" s="99"/>
      <c r="U1658" s="105"/>
      <c r="V1658" s="262"/>
      <c r="W1658" s="121"/>
      <c r="X1658" s="121"/>
      <c r="Y1658" s="121"/>
      <c r="Z1658" s="121"/>
      <c r="AA1658" s="121"/>
      <c r="AB1658" s="121"/>
      <c r="AC1658" s="121"/>
      <c r="AD1658" s="121"/>
      <c r="AE1658" s="121"/>
      <c r="AF1658" s="121"/>
      <c r="AG1658" s="121"/>
      <c r="AH1658" s="121"/>
      <c r="AI1658" s="121"/>
    </row>
    <row r="1659" spans="1:35" s="115" customFormat="1" ht="14.4">
      <c r="A1659" s="187"/>
      <c r="B1659" s="190"/>
      <c r="C1659" s="190"/>
      <c r="D1659" s="69"/>
      <c r="E1659" s="69"/>
      <c r="F1659" s="149"/>
      <c r="G1659" s="146"/>
      <c r="H1659" s="98"/>
      <c r="I1659" s="99"/>
      <c r="J1659" s="99"/>
      <c r="K1659" s="99"/>
      <c r="L1659" s="99"/>
      <c r="M1659" s="99"/>
      <c r="N1659" s="99"/>
      <c r="O1659" s="99"/>
      <c r="P1659" s="99"/>
      <c r="Q1659" s="99"/>
      <c r="R1659" s="99"/>
      <c r="S1659" s="99"/>
      <c r="T1659" s="99"/>
      <c r="U1659" s="105"/>
      <c r="V1659" s="262"/>
      <c r="W1659" s="121"/>
      <c r="X1659" s="121"/>
      <c r="Y1659" s="121"/>
      <c r="Z1659" s="121"/>
      <c r="AA1659" s="121"/>
      <c r="AB1659" s="121"/>
      <c r="AC1659" s="121"/>
      <c r="AD1659" s="121"/>
      <c r="AE1659" s="121"/>
      <c r="AF1659" s="121"/>
      <c r="AG1659" s="121"/>
      <c r="AH1659" s="121"/>
      <c r="AI1659" s="121"/>
    </row>
    <row r="1660" spans="1:35" s="115" customFormat="1" ht="14.4">
      <c r="A1660" s="187"/>
      <c r="B1660" s="190"/>
      <c r="C1660" s="190"/>
      <c r="D1660" s="69"/>
      <c r="E1660" s="69"/>
      <c r="F1660" s="149"/>
      <c r="G1660" s="146"/>
      <c r="H1660" s="98"/>
      <c r="I1660" s="99"/>
      <c r="J1660" s="99"/>
      <c r="K1660" s="99"/>
      <c r="L1660" s="99"/>
      <c r="M1660" s="99"/>
      <c r="N1660" s="99"/>
      <c r="O1660" s="99"/>
      <c r="P1660" s="99"/>
      <c r="Q1660" s="99"/>
      <c r="R1660" s="99"/>
      <c r="S1660" s="99"/>
      <c r="T1660" s="99"/>
      <c r="U1660" s="105"/>
      <c r="V1660" s="262"/>
      <c r="W1660" s="121"/>
      <c r="X1660" s="121"/>
      <c r="Y1660" s="121"/>
      <c r="Z1660" s="121"/>
      <c r="AA1660" s="121"/>
      <c r="AB1660" s="121"/>
      <c r="AC1660" s="121"/>
      <c r="AD1660" s="121"/>
      <c r="AE1660" s="121"/>
      <c r="AF1660" s="121"/>
      <c r="AG1660" s="121"/>
      <c r="AH1660" s="121"/>
      <c r="AI1660" s="121"/>
    </row>
    <row r="1661" spans="1:35" s="115" customFormat="1" ht="14.4">
      <c r="A1661" s="187"/>
      <c r="B1661" s="190"/>
      <c r="C1661" s="190"/>
      <c r="D1661" s="69"/>
      <c r="E1661" s="69"/>
      <c r="F1661" s="149"/>
      <c r="G1661" s="146"/>
      <c r="H1661" s="98"/>
      <c r="I1661" s="99"/>
      <c r="J1661" s="99"/>
      <c r="K1661" s="99"/>
      <c r="L1661" s="99"/>
      <c r="M1661" s="99"/>
      <c r="N1661" s="99"/>
      <c r="O1661" s="99"/>
      <c r="P1661" s="99"/>
      <c r="Q1661" s="99"/>
      <c r="R1661" s="99"/>
      <c r="S1661" s="99"/>
      <c r="T1661" s="99"/>
      <c r="U1661" s="105"/>
      <c r="V1661" s="262"/>
      <c r="W1661" s="121"/>
      <c r="X1661" s="121"/>
      <c r="Y1661" s="121"/>
      <c r="Z1661" s="121"/>
      <c r="AA1661" s="121"/>
      <c r="AB1661" s="121"/>
      <c r="AC1661" s="121"/>
      <c r="AD1661" s="121"/>
      <c r="AE1661" s="121"/>
      <c r="AF1661" s="121"/>
      <c r="AG1661" s="121"/>
      <c r="AH1661" s="121"/>
      <c r="AI1661" s="121"/>
    </row>
    <row r="1662" spans="1:35" s="115" customFormat="1" ht="14.4">
      <c r="A1662" s="187"/>
      <c r="B1662" s="190"/>
      <c r="C1662" s="190"/>
      <c r="D1662" s="69"/>
      <c r="E1662" s="69"/>
      <c r="F1662" s="149"/>
      <c r="G1662" s="146"/>
      <c r="H1662" s="98"/>
      <c r="I1662" s="99"/>
      <c r="J1662" s="99"/>
      <c r="K1662" s="99"/>
      <c r="L1662" s="99"/>
      <c r="M1662" s="99"/>
      <c r="N1662" s="99"/>
      <c r="O1662" s="99"/>
      <c r="P1662" s="99"/>
      <c r="Q1662" s="99"/>
      <c r="R1662" s="99"/>
      <c r="S1662" s="99"/>
      <c r="T1662" s="99"/>
      <c r="U1662" s="105"/>
      <c r="V1662" s="262"/>
      <c r="W1662" s="121"/>
      <c r="X1662" s="121"/>
      <c r="Y1662" s="121"/>
      <c r="Z1662" s="121"/>
      <c r="AA1662" s="121"/>
      <c r="AB1662" s="121"/>
      <c r="AC1662" s="121"/>
      <c r="AD1662" s="121"/>
      <c r="AE1662" s="121"/>
      <c r="AF1662" s="121"/>
      <c r="AG1662" s="121"/>
      <c r="AH1662" s="121"/>
      <c r="AI1662" s="121"/>
    </row>
    <row r="1663" spans="1:35" s="115" customFormat="1" ht="14.4">
      <c r="A1663" s="187"/>
      <c r="B1663" s="190"/>
      <c r="C1663" s="190"/>
      <c r="D1663" s="69"/>
      <c r="E1663" s="69"/>
      <c r="F1663" s="149"/>
      <c r="G1663" s="146"/>
      <c r="H1663" s="98"/>
      <c r="I1663" s="99"/>
      <c r="J1663" s="99"/>
      <c r="K1663" s="99"/>
      <c r="L1663" s="99"/>
      <c r="M1663" s="99"/>
      <c r="N1663" s="99"/>
      <c r="O1663" s="99"/>
      <c r="P1663" s="99"/>
      <c r="Q1663" s="99"/>
      <c r="R1663" s="99"/>
      <c r="S1663" s="99"/>
      <c r="T1663" s="99"/>
      <c r="U1663" s="105"/>
      <c r="V1663" s="262"/>
      <c r="W1663" s="121"/>
      <c r="X1663" s="121"/>
      <c r="Y1663" s="121"/>
      <c r="Z1663" s="121"/>
      <c r="AA1663" s="121"/>
      <c r="AB1663" s="121"/>
      <c r="AC1663" s="121"/>
      <c r="AD1663" s="121"/>
      <c r="AE1663" s="121"/>
      <c r="AF1663" s="121"/>
      <c r="AG1663" s="121"/>
      <c r="AH1663" s="121"/>
      <c r="AI1663" s="121"/>
    </row>
    <row r="1664" spans="1:35" s="115" customFormat="1" ht="14.4">
      <c r="A1664" s="187"/>
      <c r="B1664" s="190"/>
      <c r="C1664" s="190"/>
      <c r="D1664" s="69"/>
      <c r="E1664" s="69"/>
      <c r="F1664" s="149"/>
      <c r="G1664" s="146"/>
      <c r="H1664" s="98"/>
      <c r="I1664" s="99"/>
      <c r="J1664" s="99"/>
      <c r="K1664" s="99"/>
      <c r="L1664" s="99"/>
      <c r="M1664" s="99"/>
      <c r="N1664" s="99"/>
      <c r="O1664" s="99"/>
      <c r="P1664" s="99"/>
      <c r="Q1664" s="99"/>
      <c r="R1664" s="99"/>
      <c r="S1664" s="99"/>
      <c r="T1664" s="99"/>
      <c r="U1664" s="105"/>
      <c r="V1664" s="262"/>
      <c r="W1664" s="121"/>
      <c r="X1664" s="121"/>
      <c r="Y1664" s="121"/>
      <c r="Z1664" s="121"/>
      <c r="AA1664" s="121"/>
      <c r="AB1664" s="121"/>
      <c r="AC1664" s="121"/>
      <c r="AD1664" s="121"/>
      <c r="AE1664" s="121"/>
      <c r="AF1664" s="121"/>
      <c r="AG1664" s="121"/>
      <c r="AH1664" s="121"/>
      <c r="AI1664" s="121"/>
    </row>
    <row r="1665" spans="1:35" s="115" customFormat="1" ht="14.4">
      <c r="A1665" s="187"/>
      <c r="B1665" s="190"/>
      <c r="C1665" s="190"/>
      <c r="D1665" s="69"/>
      <c r="E1665" s="69"/>
      <c r="F1665" s="149"/>
      <c r="G1665" s="146"/>
      <c r="H1665" s="107"/>
      <c r="I1665" s="109"/>
      <c r="J1665" s="109"/>
      <c r="K1665" s="109"/>
      <c r="L1665" s="109"/>
      <c r="M1665" s="109"/>
      <c r="N1665" s="109"/>
      <c r="O1665" s="109"/>
      <c r="P1665" s="109"/>
      <c r="Q1665" s="109"/>
      <c r="R1665" s="109"/>
      <c r="S1665" s="109"/>
      <c r="T1665" s="109"/>
      <c r="U1665" s="105"/>
      <c r="V1665" s="262"/>
      <c r="W1665" s="121"/>
      <c r="X1665" s="121"/>
      <c r="Y1665" s="121"/>
      <c r="Z1665" s="121"/>
      <c r="AA1665" s="121"/>
      <c r="AB1665" s="121"/>
      <c r="AC1665" s="121"/>
      <c r="AD1665" s="121"/>
      <c r="AE1665" s="121"/>
      <c r="AF1665" s="121"/>
      <c r="AG1665" s="121"/>
      <c r="AH1665" s="121"/>
      <c r="AI1665" s="121"/>
    </row>
    <row r="1666" spans="1:35" s="115" customFormat="1" ht="14.4">
      <c r="A1666" s="187"/>
      <c r="B1666" s="190"/>
      <c r="C1666" s="190"/>
      <c r="D1666" s="69"/>
      <c r="E1666" s="69"/>
      <c r="F1666" s="149"/>
      <c r="G1666" s="146"/>
      <c r="H1666" s="98"/>
      <c r="I1666" s="106"/>
      <c r="J1666" s="106"/>
      <c r="K1666" s="106"/>
      <c r="L1666" s="106"/>
      <c r="M1666" s="106"/>
      <c r="N1666" s="112"/>
      <c r="O1666" s="112"/>
      <c r="P1666" s="112"/>
      <c r="Q1666" s="113"/>
      <c r="R1666" s="113"/>
      <c r="S1666" s="113"/>
      <c r="T1666" s="113"/>
      <c r="U1666" s="105"/>
      <c r="V1666" s="262"/>
      <c r="W1666" s="121"/>
      <c r="X1666" s="121"/>
      <c r="Y1666" s="121"/>
      <c r="Z1666" s="121"/>
      <c r="AA1666" s="121"/>
      <c r="AB1666" s="121"/>
      <c r="AC1666" s="121"/>
      <c r="AD1666" s="121"/>
      <c r="AE1666" s="121"/>
      <c r="AF1666" s="121"/>
      <c r="AG1666" s="121"/>
      <c r="AH1666" s="121"/>
      <c r="AI1666" s="121"/>
    </row>
    <row r="1667" spans="1:35" s="115" customFormat="1" ht="14.4">
      <c r="A1667" s="187"/>
      <c r="B1667" s="190"/>
      <c r="C1667" s="190"/>
      <c r="D1667" s="69"/>
      <c r="E1667" s="69"/>
      <c r="F1667" s="149"/>
      <c r="G1667" s="146"/>
      <c r="H1667" s="98"/>
      <c r="I1667" s="99"/>
      <c r="J1667" s="99"/>
      <c r="K1667" s="99"/>
      <c r="L1667" s="99"/>
      <c r="M1667" s="99"/>
      <c r="N1667" s="99"/>
      <c r="O1667" s="99"/>
      <c r="P1667" s="99"/>
      <c r="Q1667" s="99"/>
      <c r="R1667" s="99"/>
      <c r="S1667" s="99"/>
      <c r="T1667" s="99"/>
      <c r="U1667" s="105"/>
      <c r="V1667" s="262"/>
      <c r="W1667" s="121"/>
      <c r="X1667" s="121"/>
      <c r="Y1667" s="121"/>
      <c r="Z1667" s="121"/>
      <c r="AA1667" s="121"/>
      <c r="AB1667" s="121"/>
      <c r="AC1667" s="121"/>
      <c r="AD1667" s="121"/>
      <c r="AE1667" s="121"/>
      <c r="AF1667" s="121"/>
      <c r="AG1667" s="121"/>
      <c r="AH1667" s="121"/>
      <c r="AI1667" s="121"/>
    </row>
    <row r="1668" spans="1:35" s="115" customFormat="1" ht="14.4">
      <c r="A1668" s="187"/>
      <c r="B1668" s="190"/>
      <c r="C1668" s="190"/>
      <c r="D1668" s="69"/>
      <c r="E1668" s="69"/>
      <c r="F1668" s="149"/>
      <c r="G1668" s="146"/>
      <c r="H1668" s="98"/>
      <c r="I1668" s="99"/>
      <c r="J1668" s="99"/>
      <c r="K1668" s="99"/>
      <c r="L1668" s="99"/>
      <c r="M1668" s="99"/>
      <c r="N1668" s="99"/>
      <c r="O1668" s="99"/>
      <c r="P1668" s="99"/>
      <c r="Q1668" s="99"/>
      <c r="R1668" s="99"/>
      <c r="S1668" s="99"/>
      <c r="T1668" s="99"/>
      <c r="U1668" s="105"/>
      <c r="V1668" s="262"/>
      <c r="W1668" s="121"/>
      <c r="X1668" s="121"/>
      <c r="Y1668" s="121"/>
      <c r="Z1668" s="121"/>
      <c r="AA1668" s="121"/>
      <c r="AB1668" s="121"/>
      <c r="AC1668" s="121"/>
      <c r="AD1668" s="121"/>
      <c r="AE1668" s="121"/>
      <c r="AF1668" s="121"/>
      <c r="AG1668" s="121"/>
      <c r="AH1668" s="121"/>
      <c r="AI1668" s="121"/>
    </row>
    <row r="1669" spans="1:35" s="115" customFormat="1" ht="14.4">
      <c r="A1669" s="187"/>
      <c r="B1669" s="190"/>
      <c r="C1669" s="190"/>
      <c r="D1669" s="69"/>
      <c r="E1669" s="69"/>
      <c r="F1669" s="149"/>
      <c r="G1669" s="146"/>
      <c r="H1669" s="98"/>
      <c r="I1669" s="99"/>
      <c r="J1669" s="99"/>
      <c r="K1669" s="99"/>
      <c r="L1669" s="99"/>
      <c r="M1669" s="99"/>
      <c r="N1669" s="99"/>
      <c r="O1669" s="99"/>
      <c r="P1669" s="99"/>
      <c r="Q1669" s="99"/>
      <c r="R1669" s="99"/>
      <c r="S1669" s="99"/>
      <c r="T1669" s="99"/>
      <c r="U1669" s="105"/>
      <c r="V1669" s="262"/>
      <c r="W1669" s="121"/>
      <c r="X1669" s="121"/>
      <c r="Y1669" s="121"/>
      <c r="Z1669" s="121"/>
      <c r="AA1669" s="121"/>
      <c r="AB1669" s="121"/>
      <c r="AC1669" s="121"/>
      <c r="AD1669" s="121"/>
      <c r="AE1669" s="121"/>
      <c r="AF1669" s="121"/>
      <c r="AG1669" s="121"/>
      <c r="AH1669" s="121"/>
      <c r="AI1669" s="121"/>
    </row>
    <row r="1670" spans="1:35" s="115" customFormat="1" ht="14.4">
      <c r="A1670" s="187"/>
      <c r="B1670" s="190"/>
      <c r="C1670" s="190"/>
      <c r="D1670" s="69"/>
      <c r="E1670" s="69"/>
      <c r="F1670" s="149"/>
      <c r="G1670" s="146"/>
      <c r="H1670" s="98"/>
      <c r="I1670" s="99"/>
      <c r="J1670" s="99"/>
      <c r="K1670" s="99"/>
      <c r="L1670" s="99"/>
      <c r="M1670" s="99"/>
      <c r="N1670" s="99"/>
      <c r="O1670" s="99"/>
      <c r="P1670" s="99"/>
      <c r="Q1670" s="99"/>
      <c r="R1670" s="99"/>
      <c r="S1670" s="99"/>
      <c r="T1670" s="99"/>
      <c r="U1670" s="105"/>
      <c r="V1670" s="262"/>
      <c r="W1670" s="121"/>
      <c r="X1670" s="121"/>
      <c r="Y1670" s="121"/>
      <c r="Z1670" s="121"/>
      <c r="AA1670" s="121"/>
      <c r="AB1670" s="121"/>
      <c r="AC1670" s="121"/>
      <c r="AD1670" s="121"/>
      <c r="AE1670" s="121"/>
      <c r="AF1670" s="121"/>
      <c r="AG1670" s="121"/>
      <c r="AH1670" s="121"/>
      <c r="AI1670" s="121"/>
    </row>
    <row r="1671" spans="1:35" s="115" customFormat="1" ht="14.4">
      <c r="A1671" s="187"/>
      <c r="B1671" s="190"/>
      <c r="C1671" s="190"/>
      <c r="D1671" s="69"/>
      <c r="E1671" s="69"/>
      <c r="F1671" s="149"/>
      <c r="G1671" s="146"/>
      <c r="H1671" s="98"/>
      <c r="I1671" s="99"/>
      <c r="J1671" s="99"/>
      <c r="K1671" s="99"/>
      <c r="L1671" s="99"/>
      <c r="M1671" s="99"/>
      <c r="N1671" s="99"/>
      <c r="O1671" s="99"/>
      <c r="P1671" s="99"/>
      <c r="Q1671" s="99"/>
      <c r="R1671" s="99"/>
      <c r="S1671" s="99"/>
      <c r="T1671" s="99"/>
      <c r="U1671" s="105"/>
      <c r="V1671" s="262"/>
      <c r="W1671" s="121"/>
      <c r="X1671" s="121"/>
      <c r="Y1671" s="121"/>
      <c r="Z1671" s="121"/>
      <c r="AA1671" s="121"/>
      <c r="AB1671" s="121"/>
      <c r="AC1671" s="121"/>
      <c r="AD1671" s="121"/>
      <c r="AE1671" s="121"/>
      <c r="AF1671" s="121"/>
      <c r="AG1671" s="121"/>
      <c r="AH1671" s="121"/>
      <c r="AI1671" s="121"/>
    </row>
    <row r="1672" spans="1:35" s="115" customFormat="1" ht="14.4">
      <c r="A1672" s="187"/>
      <c r="B1672" s="190"/>
      <c r="C1672" s="190"/>
      <c r="D1672" s="69"/>
      <c r="E1672" s="69"/>
      <c r="F1672" s="149"/>
      <c r="G1672" s="146"/>
      <c r="H1672" s="98"/>
      <c r="I1672" s="99"/>
      <c r="J1672" s="99"/>
      <c r="K1672" s="99"/>
      <c r="L1672" s="99"/>
      <c r="M1672" s="99"/>
      <c r="N1672" s="99"/>
      <c r="O1672" s="99"/>
      <c r="P1672" s="99"/>
      <c r="Q1672" s="99"/>
      <c r="R1672" s="99"/>
      <c r="S1672" s="99"/>
      <c r="T1672" s="99"/>
      <c r="U1672" s="105"/>
      <c r="V1672" s="262"/>
      <c r="W1672" s="121"/>
      <c r="X1672" s="121"/>
      <c r="Y1672" s="121"/>
      <c r="Z1672" s="121"/>
      <c r="AA1672" s="121"/>
      <c r="AB1672" s="121"/>
      <c r="AC1672" s="121"/>
      <c r="AD1672" s="121"/>
      <c r="AE1672" s="121"/>
      <c r="AF1672" s="121"/>
      <c r="AG1672" s="121"/>
      <c r="AH1672" s="121"/>
      <c r="AI1672" s="121"/>
    </row>
    <row r="1673" spans="1:35" s="115" customFormat="1" ht="14.4">
      <c r="A1673" s="187"/>
      <c r="B1673" s="190"/>
      <c r="C1673" s="190"/>
      <c r="D1673" s="69"/>
      <c r="E1673" s="69"/>
      <c r="F1673" s="149"/>
      <c r="G1673" s="146"/>
      <c r="H1673" s="98"/>
      <c r="I1673" s="99"/>
      <c r="J1673" s="99"/>
      <c r="K1673" s="99"/>
      <c r="L1673" s="99"/>
      <c r="M1673" s="99"/>
      <c r="N1673" s="99"/>
      <c r="O1673" s="99"/>
      <c r="P1673" s="99"/>
      <c r="Q1673" s="99"/>
      <c r="R1673" s="99"/>
      <c r="S1673" s="99"/>
      <c r="T1673" s="99"/>
      <c r="U1673" s="105"/>
      <c r="V1673" s="262"/>
      <c r="W1673" s="121"/>
      <c r="X1673" s="121"/>
      <c r="Y1673" s="121"/>
      <c r="Z1673" s="121"/>
      <c r="AA1673" s="121"/>
      <c r="AB1673" s="121"/>
      <c r="AC1673" s="121"/>
      <c r="AD1673" s="121"/>
      <c r="AE1673" s="121"/>
      <c r="AF1673" s="121"/>
      <c r="AG1673" s="121"/>
      <c r="AH1673" s="121"/>
      <c r="AI1673" s="121"/>
    </row>
    <row r="1674" spans="1:35" s="115" customFormat="1" ht="14.4">
      <c r="A1674" s="187"/>
      <c r="B1674" s="190"/>
      <c r="C1674" s="190"/>
      <c r="D1674" s="69"/>
      <c r="E1674" s="69"/>
      <c r="F1674" s="149"/>
      <c r="G1674" s="146"/>
      <c r="H1674" s="98"/>
      <c r="I1674" s="99"/>
      <c r="J1674" s="99"/>
      <c r="K1674" s="99"/>
      <c r="L1674" s="99"/>
      <c r="M1674" s="99"/>
      <c r="N1674" s="99"/>
      <c r="O1674" s="99"/>
      <c r="P1674" s="99"/>
      <c r="Q1674" s="99"/>
      <c r="R1674" s="99"/>
      <c r="S1674" s="99"/>
      <c r="T1674" s="99"/>
      <c r="U1674" s="105"/>
      <c r="V1674" s="262"/>
      <c r="W1674" s="121"/>
      <c r="X1674" s="121"/>
      <c r="Y1674" s="121"/>
      <c r="Z1674" s="121"/>
      <c r="AA1674" s="121"/>
      <c r="AB1674" s="121"/>
      <c r="AC1674" s="121"/>
      <c r="AD1674" s="121"/>
      <c r="AE1674" s="121"/>
      <c r="AF1674" s="121"/>
      <c r="AG1674" s="121"/>
      <c r="AH1674" s="121"/>
      <c r="AI1674" s="121"/>
    </row>
    <row r="1675" spans="1:35" s="115" customFormat="1" ht="14.4">
      <c r="A1675" s="187"/>
      <c r="B1675" s="190"/>
      <c r="C1675" s="190"/>
      <c r="D1675" s="69"/>
      <c r="E1675" s="69"/>
      <c r="F1675" s="149"/>
      <c r="G1675" s="146"/>
      <c r="H1675" s="98"/>
      <c r="I1675" s="99"/>
      <c r="J1675" s="99"/>
      <c r="K1675" s="99"/>
      <c r="L1675" s="99"/>
      <c r="M1675" s="99"/>
      <c r="N1675" s="99"/>
      <c r="O1675" s="99"/>
      <c r="P1675" s="99"/>
      <c r="Q1675" s="99"/>
      <c r="R1675" s="99"/>
      <c r="S1675" s="99"/>
      <c r="T1675" s="99"/>
      <c r="U1675" s="105"/>
      <c r="V1675" s="262"/>
      <c r="W1675" s="121"/>
      <c r="X1675" s="121"/>
      <c r="Y1675" s="121"/>
      <c r="Z1675" s="121"/>
      <c r="AA1675" s="121"/>
      <c r="AB1675" s="121"/>
      <c r="AC1675" s="121"/>
      <c r="AD1675" s="121"/>
      <c r="AE1675" s="121"/>
      <c r="AF1675" s="121"/>
      <c r="AG1675" s="121"/>
      <c r="AH1675" s="121"/>
      <c r="AI1675" s="121"/>
    </row>
    <row r="1676" spans="1:35" s="115" customFormat="1" ht="14.4">
      <c r="A1676" s="187"/>
      <c r="B1676" s="190"/>
      <c r="C1676" s="190"/>
      <c r="D1676" s="69"/>
      <c r="E1676" s="69"/>
      <c r="F1676" s="149"/>
      <c r="G1676" s="146"/>
      <c r="H1676" s="98"/>
      <c r="I1676" s="99"/>
      <c r="J1676" s="99"/>
      <c r="K1676" s="99"/>
      <c r="L1676" s="99"/>
      <c r="M1676" s="99"/>
      <c r="N1676" s="99"/>
      <c r="O1676" s="99"/>
      <c r="P1676" s="99"/>
      <c r="Q1676" s="99"/>
      <c r="R1676" s="99"/>
      <c r="S1676" s="99"/>
      <c r="T1676" s="99"/>
      <c r="U1676" s="105"/>
      <c r="V1676" s="262"/>
      <c r="W1676" s="121"/>
      <c r="X1676" s="121"/>
      <c r="Y1676" s="121"/>
      <c r="Z1676" s="121"/>
      <c r="AA1676" s="121"/>
      <c r="AB1676" s="121"/>
      <c r="AC1676" s="121"/>
      <c r="AD1676" s="121"/>
      <c r="AE1676" s="121"/>
      <c r="AF1676" s="121"/>
      <c r="AG1676" s="121"/>
      <c r="AH1676" s="121"/>
      <c r="AI1676" s="121"/>
    </row>
    <row r="1677" spans="1:35" s="115" customFormat="1" ht="14.4">
      <c r="A1677" s="187"/>
      <c r="B1677" s="190"/>
      <c r="C1677" s="190"/>
      <c r="D1677" s="69"/>
      <c r="E1677" s="69"/>
      <c r="F1677" s="149"/>
      <c r="G1677" s="146"/>
      <c r="H1677" s="98"/>
      <c r="I1677" s="99"/>
      <c r="J1677" s="99"/>
      <c r="K1677" s="99"/>
      <c r="L1677" s="99"/>
      <c r="M1677" s="99"/>
      <c r="N1677" s="99"/>
      <c r="O1677" s="99"/>
      <c r="P1677" s="99"/>
      <c r="Q1677" s="99"/>
      <c r="R1677" s="99"/>
      <c r="S1677" s="99"/>
      <c r="T1677" s="99"/>
      <c r="U1677" s="105"/>
      <c r="V1677" s="262"/>
      <c r="W1677" s="121"/>
      <c r="X1677" s="121"/>
      <c r="Y1677" s="121"/>
      <c r="Z1677" s="121"/>
      <c r="AA1677" s="121"/>
      <c r="AB1677" s="121"/>
      <c r="AC1677" s="121"/>
      <c r="AD1677" s="121"/>
      <c r="AE1677" s="121"/>
      <c r="AF1677" s="121"/>
      <c r="AG1677" s="121"/>
      <c r="AH1677" s="121"/>
      <c r="AI1677" s="121"/>
    </row>
    <row r="1678" spans="1:35" s="115" customFormat="1" ht="14.4">
      <c r="A1678" s="187"/>
      <c r="B1678" s="190"/>
      <c r="C1678" s="190"/>
      <c r="D1678" s="69"/>
      <c r="E1678" s="69"/>
      <c r="F1678" s="149"/>
      <c r="G1678" s="146"/>
      <c r="H1678" s="98"/>
      <c r="I1678" s="99"/>
      <c r="J1678" s="99"/>
      <c r="K1678" s="99"/>
      <c r="L1678" s="99"/>
      <c r="M1678" s="99"/>
      <c r="N1678" s="99"/>
      <c r="O1678" s="99"/>
      <c r="P1678" s="99"/>
      <c r="Q1678" s="99"/>
      <c r="R1678" s="99"/>
      <c r="S1678" s="99"/>
      <c r="T1678" s="99"/>
      <c r="U1678" s="105"/>
      <c r="V1678" s="262"/>
      <c r="W1678" s="121"/>
      <c r="X1678" s="121"/>
      <c r="Y1678" s="121"/>
      <c r="Z1678" s="121"/>
      <c r="AA1678" s="121"/>
      <c r="AB1678" s="121"/>
      <c r="AC1678" s="121"/>
      <c r="AD1678" s="121"/>
      <c r="AE1678" s="121"/>
      <c r="AF1678" s="121"/>
      <c r="AG1678" s="121"/>
      <c r="AH1678" s="121"/>
      <c r="AI1678" s="121"/>
    </row>
    <row r="1679" spans="1:35" s="115" customFormat="1" ht="14.4">
      <c r="A1679" s="187"/>
      <c r="B1679" s="190"/>
      <c r="C1679" s="190"/>
      <c r="D1679" s="69"/>
      <c r="E1679" s="69"/>
      <c r="F1679" s="149"/>
      <c r="G1679" s="146"/>
      <c r="H1679" s="98"/>
      <c r="I1679" s="99"/>
      <c r="J1679" s="99"/>
      <c r="K1679" s="99"/>
      <c r="L1679" s="99"/>
      <c r="M1679" s="99"/>
      <c r="N1679" s="99"/>
      <c r="O1679" s="99"/>
      <c r="P1679" s="99"/>
      <c r="Q1679" s="99"/>
      <c r="R1679" s="99"/>
      <c r="S1679" s="99"/>
      <c r="T1679" s="99"/>
      <c r="U1679" s="105"/>
      <c r="V1679" s="262"/>
      <c r="W1679" s="121"/>
      <c r="X1679" s="121"/>
      <c r="Y1679" s="121"/>
      <c r="Z1679" s="121"/>
      <c r="AA1679" s="121"/>
      <c r="AB1679" s="121"/>
      <c r="AC1679" s="121"/>
      <c r="AD1679" s="121"/>
      <c r="AE1679" s="121"/>
      <c r="AF1679" s="121"/>
      <c r="AG1679" s="121"/>
      <c r="AH1679" s="121"/>
      <c r="AI1679" s="121"/>
    </row>
    <row r="1680" spans="1:35" s="115" customFormat="1" ht="14.4">
      <c r="A1680" s="187"/>
      <c r="B1680" s="190"/>
      <c r="C1680" s="190"/>
      <c r="D1680" s="69"/>
      <c r="E1680" s="69"/>
      <c r="F1680" s="149"/>
      <c r="G1680" s="146"/>
      <c r="H1680" s="98"/>
      <c r="I1680" s="99"/>
      <c r="J1680" s="99"/>
      <c r="K1680" s="99"/>
      <c r="L1680" s="99"/>
      <c r="M1680" s="99"/>
      <c r="N1680" s="99"/>
      <c r="O1680" s="99"/>
      <c r="P1680" s="99"/>
      <c r="Q1680" s="99"/>
      <c r="R1680" s="99"/>
      <c r="S1680" s="99"/>
      <c r="T1680" s="99"/>
      <c r="U1680" s="105"/>
      <c r="V1680" s="262"/>
      <c r="W1680" s="121"/>
      <c r="X1680" s="121"/>
      <c r="Y1680" s="121"/>
      <c r="Z1680" s="121"/>
      <c r="AA1680" s="121"/>
      <c r="AB1680" s="121"/>
      <c r="AC1680" s="121"/>
      <c r="AD1680" s="121"/>
      <c r="AE1680" s="121"/>
      <c r="AF1680" s="121"/>
      <c r="AG1680" s="121"/>
      <c r="AH1680" s="121"/>
      <c r="AI1680" s="121"/>
    </row>
    <row r="1681" spans="1:35" s="115" customFormat="1" ht="14.4">
      <c r="A1681" s="187"/>
      <c r="B1681" s="190"/>
      <c r="C1681" s="190"/>
      <c r="D1681" s="69"/>
      <c r="E1681" s="69"/>
      <c r="F1681" s="149"/>
      <c r="G1681" s="146"/>
      <c r="H1681" s="98"/>
      <c r="I1681" s="99"/>
      <c r="J1681" s="99"/>
      <c r="K1681" s="99"/>
      <c r="L1681" s="99"/>
      <c r="M1681" s="99"/>
      <c r="N1681" s="99"/>
      <c r="O1681" s="99"/>
      <c r="P1681" s="99"/>
      <c r="Q1681" s="99"/>
      <c r="R1681" s="99"/>
      <c r="S1681" s="99"/>
      <c r="T1681" s="99"/>
      <c r="U1681" s="105"/>
      <c r="V1681" s="262"/>
      <c r="W1681" s="121"/>
      <c r="X1681" s="121"/>
      <c r="Y1681" s="121"/>
      <c r="Z1681" s="121"/>
      <c r="AA1681" s="121"/>
      <c r="AB1681" s="121"/>
      <c r="AC1681" s="121"/>
      <c r="AD1681" s="121"/>
      <c r="AE1681" s="121"/>
      <c r="AF1681" s="121"/>
      <c r="AG1681" s="121"/>
      <c r="AH1681" s="121"/>
      <c r="AI1681" s="121"/>
    </row>
    <row r="1682" spans="1:35" s="115" customFormat="1" ht="14.4">
      <c r="A1682" s="187"/>
      <c r="B1682" s="190"/>
      <c r="C1682" s="190"/>
      <c r="D1682" s="69"/>
      <c r="E1682" s="69"/>
      <c r="F1682" s="149"/>
      <c r="G1682" s="146"/>
      <c r="H1682" s="98"/>
      <c r="I1682" s="99"/>
      <c r="J1682" s="99"/>
      <c r="K1682" s="99"/>
      <c r="L1682" s="99"/>
      <c r="M1682" s="99"/>
      <c r="N1682" s="99"/>
      <c r="O1682" s="99"/>
      <c r="P1682" s="99"/>
      <c r="Q1682" s="99"/>
      <c r="R1682" s="99"/>
      <c r="S1682" s="99"/>
      <c r="T1682" s="99"/>
      <c r="U1682" s="105"/>
      <c r="V1682" s="262"/>
      <c r="W1682" s="121"/>
      <c r="X1682" s="121"/>
      <c r="Y1682" s="121"/>
      <c r="Z1682" s="121"/>
      <c r="AA1682" s="121"/>
      <c r="AB1682" s="121"/>
      <c r="AC1682" s="121"/>
      <c r="AD1682" s="121"/>
      <c r="AE1682" s="121"/>
      <c r="AF1682" s="121"/>
      <c r="AG1682" s="121"/>
      <c r="AH1682" s="121"/>
      <c r="AI1682" s="121"/>
    </row>
    <row r="1683" spans="1:35" s="115" customFormat="1" ht="14.4">
      <c r="A1683" s="187"/>
      <c r="B1683" s="190"/>
      <c r="C1683" s="190"/>
      <c r="D1683" s="69"/>
      <c r="E1683" s="69"/>
      <c r="F1683" s="149"/>
      <c r="G1683" s="146"/>
      <c r="H1683" s="98"/>
      <c r="I1683" s="99"/>
      <c r="J1683" s="99"/>
      <c r="K1683" s="99"/>
      <c r="L1683" s="99"/>
      <c r="M1683" s="99"/>
      <c r="N1683" s="99"/>
      <c r="O1683" s="99"/>
      <c r="P1683" s="99"/>
      <c r="Q1683" s="99"/>
      <c r="R1683" s="99"/>
      <c r="S1683" s="99"/>
      <c r="T1683" s="99"/>
      <c r="U1683" s="105"/>
      <c r="V1683" s="262"/>
      <c r="W1683" s="121"/>
      <c r="X1683" s="121"/>
      <c r="Y1683" s="121"/>
      <c r="Z1683" s="121"/>
      <c r="AA1683" s="121"/>
      <c r="AB1683" s="121"/>
      <c r="AC1683" s="121"/>
      <c r="AD1683" s="121"/>
      <c r="AE1683" s="121"/>
      <c r="AF1683" s="121"/>
      <c r="AG1683" s="121"/>
      <c r="AH1683" s="121"/>
      <c r="AI1683" s="121"/>
    </row>
    <row r="1684" spans="1:35" s="115" customFormat="1" ht="14.4">
      <c r="A1684" s="187"/>
      <c r="B1684" s="190"/>
      <c r="C1684" s="190"/>
      <c r="D1684" s="69"/>
      <c r="E1684" s="69"/>
      <c r="F1684" s="149"/>
      <c r="G1684" s="146"/>
      <c r="H1684" s="98"/>
      <c r="I1684" s="99"/>
      <c r="J1684" s="99"/>
      <c r="K1684" s="99"/>
      <c r="L1684" s="99"/>
      <c r="M1684" s="99"/>
      <c r="N1684" s="99"/>
      <c r="O1684" s="99"/>
      <c r="P1684" s="99"/>
      <c r="Q1684" s="99"/>
      <c r="R1684" s="99"/>
      <c r="S1684" s="99"/>
      <c r="T1684" s="99"/>
      <c r="U1684" s="105"/>
      <c r="V1684" s="262"/>
      <c r="W1684" s="121"/>
      <c r="X1684" s="121"/>
      <c r="Y1684" s="121"/>
      <c r="Z1684" s="121"/>
      <c r="AA1684" s="121"/>
      <c r="AB1684" s="121"/>
      <c r="AC1684" s="121"/>
      <c r="AD1684" s="121"/>
      <c r="AE1684" s="121"/>
      <c r="AF1684" s="121"/>
      <c r="AG1684" s="121"/>
      <c r="AH1684" s="121"/>
      <c r="AI1684" s="121"/>
    </row>
    <row r="1685" spans="1:35" s="115" customFormat="1" ht="14.4">
      <c r="A1685" s="187"/>
      <c r="B1685" s="190"/>
      <c r="C1685" s="190"/>
      <c r="D1685" s="69"/>
      <c r="E1685" s="69"/>
      <c r="F1685" s="149"/>
      <c r="G1685" s="146"/>
      <c r="H1685" s="98"/>
      <c r="I1685" s="99"/>
      <c r="J1685" s="99"/>
      <c r="K1685" s="99"/>
      <c r="L1685" s="99"/>
      <c r="M1685" s="99"/>
      <c r="N1685" s="99"/>
      <c r="O1685" s="99"/>
      <c r="P1685" s="99"/>
      <c r="Q1685" s="99"/>
      <c r="R1685" s="99"/>
      <c r="S1685" s="99"/>
      <c r="T1685" s="99"/>
      <c r="U1685" s="105"/>
      <c r="V1685" s="262"/>
      <c r="W1685" s="121"/>
      <c r="X1685" s="121"/>
      <c r="Y1685" s="121"/>
      <c r="Z1685" s="121"/>
      <c r="AA1685" s="121"/>
      <c r="AB1685" s="121"/>
      <c r="AC1685" s="121"/>
      <c r="AD1685" s="121"/>
      <c r="AE1685" s="121"/>
      <c r="AF1685" s="121"/>
      <c r="AG1685" s="121"/>
      <c r="AH1685" s="121"/>
      <c r="AI1685" s="121"/>
    </row>
    <row r="1686" spans="1:35" s="115" customFormat="1" ht="14.4">
      <c r="A1686" s="187"/>
      <c r="B1686" s="190"/>
      <c r="C1686" s="190"/>
      <c r="D1686" s="69"/>
      <c r="E1686" s="69"/>
      <c r="F1686" s="149"/>
      <c r="G1686" s="146"/>
      <c r="H1686" s="98"/>
      <c r="I1686" s="99"/>
      <c r="J1686" s="99"/>
      <c r="K1686" s="99"/>
      <c r="L1686" s="99"/>
      <c r="M1686" s="99"/>
      <c r="N1686" s="99"/>
      <c r="O1686" s="99"/>
      <c r="P1686" s="99"/>
      <c r="Q1686" s="99"/>
      <c r="R1686" s="99"/>
      <c r="S1686" s="99"/>
      <c r="T1686" s="99"/>
      <c r="U1686" s="105"/>
      <c r="V1686" s="262"/>
      <c r="W1686" s="121"/>
      <c r="X1686" s="121"/>
      <c r="Y1686" s="121"/>
      <c r="Z1686" s="121"/>
      <c r="AA1686" s="121"/>
      <c r="AB1686" s="121"/>
      <c r="AC1686" s="121"/>
      <c r="AD1686" s="121"/>
      <c r="AE1686" s="121"/>
      <c r="AF1686" s="121"/>
      <c r="AG1686" s="121"/>
      <c r="AH1686" s="121"/>
      <c r="AI1686" s="121"/>
    </row>
    <row r="1687" spans="1:35" s="115" customFormat="1" ht="14.4">
      <c r="A1687" s="187"/>
      <c r="B1687" s="190"/>
      <c r="C1687" s="190"/>
      <c r="D1687" s="69"/>
      <c r="E1687" s="69"/>
      <c r="F1687" s="149"/>
      <c r="G1687" s="146"/>
      <c r="H1687" s="107"/>
      <c r="I1687" s="109"/>
      <c r="J1687" s="109"/>
      <c r="K1687" s="109"/>
      <c r="L1687" s="109"/>
      <c r="M1687" s="109"/>
      <c r="N1687" s="109"/>
      <c r="O1687" s="109"/>
      <c r="P1687" s="109"/>
      <c r="Q1687" s="109"/>
      <c r="R1687" s="109"/>
      <c r="S1687" s="109"/>
      <c r="T1687" s="109"/>
      <c r="U1687" s="105"/>
      <c r="V1687" s="262"/>
      <c r="W1687" s="121"/>
      <c r="X1687" s="121"/>
      <c r="Y1687" s="121"/>
      <c r="Z1687" s="121"/>
      <c r="AA1687" s="121"/>
      <c r="AB1687" s="121"/>
      <c r="AC1687" s="121"/>
      <c r="AD1687" s="121"/>
      <c r="AE1687" s="121"/>
      <c r="AF1687" s="121"/>
      <c r="AG1687" s="121"/>
      <c r="AH1687" s="121"/>
      <c r="AI1687" s="121"/>
    </row>
    <row r="1688" spans="1:35" s="115" customFormat="1" ht="14.4">
      <c r="A1688" s="187"/>
      <c r="B1688" s="190"/>
      <c r="C1688" s="190"/>
      <c r="D1688" s="69"/>
      <c r="E1688" s="69"/>
      <c r="F1688" s="149"/>
      <c r="G1688" s="146"/>
      <c r="H1688" s="232"/>
      <c r="I1688" s="233"/>
      <c r="J1688" s="233"/>
      <c r="K1688" s="233"/>
      <c r="L1688" s="233"/>
      <c r="M1688" s="233"/>
      <c r="N1688" s="202"/>
      <c r="O1688" s="202"/>
      <c r="P1688" s="202"/>
      <c r="Q1688" s="202"/>
      <c r="R1688" s="202"/>
      <c r="S1688" s="202"/>
      <c r="T1688" s="202"/>
      <c r="U1688" s="105"/>
      <c r="V1688" s="262"/>
      <c r="W1688" s="121"/>
      <c r="X1688" s="121"/>
      <c r="Y1688" s="121"/>
      <c r="Z1688" s="121"/>
      <c r="AA1688" s="121"/>
      <c r="AB1688" s="121"/>
      <c r="AC1688" s="121"/>
      <c r="AD1688" s="121"/>
      <c r="AE1688" s="121"/>
      <c r="AF1688" s="121"/>
      <c r="AG1688" s="121"/>
      <c r="AH1688" s="121"/>
      <c r="AI1688" s="121"/>
    </row>
    <row r="1689" spans="1:35" s="115" customFormat="1" ht="14.4">
      <c r="A1689" s="187"/>
      <c r="B1689" s="190"/>
      <c r="C1689" s="190"/>
      <c r="D1689" s="69"/>
      <c r="E1689" s="69"/>
      <c r="F1689" s="149"/>
      <c r="G1689" s="146"/>
      <c r="H1689" s="98"/>
      <c r="I1689" s="99"/>
      <c r="J1689" s="99"/>
      <c r="K1689" s="99"/>
      <c r="L1689" s="99"/>
      <c r="M1689" s="99"/>
      <c r="N1689" s="99"/>
      <c r="O1689" s="99"/>
      <c r="P1689" s="99"/>
      <c r="Q1689" s="99"/>
      <c r="R1689" s="99"/>
      <c r="S1689" s="99"/>
      <c r="T1689" s="99"/>
      <c r="U1689" s="105"/>
      <c r="V1689" s="262"/>
      <c r="W1689" s="121"/>
      <c r="X1689" s="121"/>
      <c r="Y1689" s="121"/>
      <c r="Z1689" s="121"/>
      <c r="AA1689" s="121"/>
      <c r="AB1689" s="121"/>
      <c r="AC1689" s="121"/>
      <c r="AD1689" s="121"/>
      <c r="AE1689" s="121"/>
      <c r="AF1689" s="121"/>
      <c r="AG1689" s="121"/>
      <c r="AH1689" s="121"/>
      <c r="AI1689" s="121"/>
    </row>
    <row r="1690" spans="1:35" s="115" customFormat="1" ht="14.4">
      <c r="A1690" s="187"/>
      <c r="B1690" s="190"/>
      <c r="C1690" s="190"/>
      <c r="D1690" s="69"/>
      <c r="E1690" s="69"/>
      <c r="F1690" s="149"/>
      <c r="G1690" s="146"/>
      <c r="H1690" s="98"/>
      <c r="I1690" s="99"/>
      <c r="J1690" s="99"/>
      <c r="K1690" s="99"/>
      <c r="L1690" s="99"/>
      <c r="M1690" s="99"/>
      <c r="N1690" s="99"/>
      <c r="O1690" s="99"/>
      <c r="P1690" s="99"/>
      <c r="Q1690" s="99"/>
      <c r="R1690" s="99"/>
      <c r="S1690" s="99"/>
      <c r="T1690" s="99"/>
      <c r="U1690" s="105"/>
      <c r="V1690" s="262"/>
      <c r="W1690" s="121"/>
      <c r="X1690" s="121"/>
      <c r="Y1690" s="121"/>
      <c r="Z1690" s="121"/>
      <c r="AA1690" s="121"/>
      <c r="AB1690" s="121"/>
      <c r="AC1690" s="121"/>
      <c r="AD1690" s="121"/>
      <c r="AE1690" s="121"/>
      <c r="AF1690" s="121"/>
      <c r="AG1690" s="121"/>
      <c r="AH1690" s="121"/>
      <c r="AI1690" s="121"/>
    </row>
    <row r="1691" spans="1:35" s="115" customFormat="1" ht="14.4">
      <c r="A1691" s="187"/>
      <c r="B1691" s="190"/>
      <c r="C1691" s="190"/>
      <c r="D1691" s="69"/>
      <c r="E1691" s="69"/>
      <c r="F1691" s="149"/>
      <c r="G1691" s="146"/>
      <c r="H1691" s="98"/>
      <c r="I1691" s="99"/>
      <c r="J1691" s="99"/>
      <c r="K1691" s="99"/>
      <c r="L1691" s="99"/>
      <c r="M1691" s="99"/>
      <c r="N1691" s="99"/>
      <c r="O1691" s="99"/>
      <c r="P1691" s="99"/>
      <c r="Q1691" s="99"/>
      <c r="R1691" s="99"/>
      <c r="S1691" s="99"/>
      <c r="T1691" s="99"/>
      <c r="U1691" s="105"/>
      <c r="V1691" s="262"/>
      <c r="W1691" s="121"/>
      <c r="X1691" s="121"/>
      <c r="Y1691" s="121"/>
      <c r="Z1691" s="121"/>
      <c r="AA1691" s="121"/>
      <c r="AB1691" s="121"/>
      <c r="AC1691" s="121"/>
      <c r="AD1691" s="121"/>
      <c r="AE1691" s="121"/>
      <c r="AF1691" s="121"/>
      <c r="AG1691" s="121"/>
      <c r="AH1691" s="121"/>
      <c r="AI1691" s="121"/>
    </row>
    <row r="1692" spans="1:35" s="115" customFormat="1" ht="14.4">
      <c r="A1692" s="187"/>
      <c r="B1692" s="190"/>
      <c r="C1692" s="190"/>
      <c r="D1692" s="69"/>
      <c r="E1692" s="69"/>
      <c r="F1692" s="149"/>
      <c r="G1692" s="146"/>
      <c r="H1692" s="98"/>
      <c r="I1692" s="99"/>
      <c r="J1692" s="99"/>
      <c r="K1692" s="99"/>
      <c r="L1692" s="99"/>
      <c r="M1692" s="99"/>
      <c r="N1692" s="99"/>
      <c r="O1692" s="99"/>
      <c r="P1692" s="99"/>
      <c r="Q1692" s="99"/>
      <c r="R1692" s="99"/>
      <c r="S1692" s="99"/>
      <c r="T1692" s="99"/>
      <c r="U1692" s="105"/>
      <c r="V1692" s="262"/>
      <c r="W1692" s="121"/>
      <c r="X1692" s="121"/>
      <c r="Y1692" s="121"/>
      <c r="Z1692" s="121"/>
      <c r="AA1692" s="121"/>
      <c r="AB1692" s="121"/>
      <c r="AC1692" s="121"/>
      <c r="AD1692" s="121"/>
      <c r="AE1692" s="121"/>
      <c r="AF1692" s="121"/>
      <c r="AG1692" s="121"/>
      <c r="AH1692" s="121"/>
      <c r="AI1692" s="121"/>
    </row>
    <row r="1693" spans="1:35" s="115" customFormat="1" ht="14.4">
      <c r="A1693" s="187"/>
      <c r="B1693" s="190"/>
      <c r="C1693" s="190"/>
      <c r="D1693" s="69"/>
      <c r="E1693" s="69"/>
      <c r="F1693" s="149"/>
      <c r="G1693" s="146"/>
      <c r="H1693" s="107"/>
      <c r="I1693" s="109"/>
      <c r="J1693" s="109"/>
      <c r="K1693" s="109"/>
      <c r="L1693" s="109"/>
      <c r="M1693" s="109"/>
      <c r="N1693" s="109"/>
      <c r="O1693" s="109"/>
      <c r="P1693" s="109"/>
      <c r="Q1693" s="109"/>
      <c r="R1693" s="109"/>
      <c r="S1693" s="109"/>
      <c r="T1693" s="109"/>
      <c r="U1693" s="105"/>
      <c r="V1693" s="262"/>
      <c r="W1693" s="121"/>
      <c r="X1693" s="121"/>
      <c r="Y1693" s="121"/>
      <c r="Z1693" s="121"/>
      <c r="AA1693" s="121"/>
      <c r="AB1693" s="121"/>
      <c r="AC1693" s="121"/>
      <c r="AD1693" s="121"/>
      <c r="AE1693" s="121"/>
      <c r="AF1693" s="121"/>
      <c r="AG1693" s="121"/>
      <c r="AH1693" s="121"/>
      <c r="AI1693" s="121"/>
    </row>
    <row r="1694" spans="1:35" s="115" customFormat="1" ht="14.4">
      <c r="A1694" s="187"/>
      <c r="B1694" s="190"/>
      <c r="C1694" s="190"/>
      <c r="D1694" s="69"/>
      <c r="E1694" s="69"/>
      <c r="F1694" s="149"/>
      <c r="G1694" s="146"/>
      <c r="H1694" s="98"/>
      <c r="I1694" s="106"/>
      <c r="J1694" s="106"/>
      <c r="K1694" s="106"/>
      <c r="L1694" s="106"/>
      <c r="M1694" s="106"/>
      <c r="N1694" s="112"/>
      <c r="O1694" s="112"/>
      <c r="P1694" s="112"/>
      <c r="Q1694" s="113"/>
      <c r="R1694" s="113"/>
      <c r="S1694" s="113"/>
      <c r="T1694" s="113"/>
      <c r="U1694" s="105"/>
      <c r="V1694" s="262"/>
      <c r="W1694" s="121"/>
      <c r="X1694" s="121"/>
      <c r="Y1694" s="121"/>
      <c r="Z1694" s="121"/>
      <c r="AA1694" s="121"/>
      <c r="AB1694" s="121"/>
      <c r="AC1694" s="121"/>
      <c r="AD1694" s="121"/>
      <c r="AE1694" s="121"/>
      <c r="AF1694" s="121"/>
      <c r="AG1694" s="121"/>
      <c r="AH1694" s="121"/>
      <c r="AI1694" s="121"/>
    </row>
    <row r="1695" spans="1:35" s="115" customFormat="1" ht="14.4">
      <c r="A1695" s="187"/>
      <c r="B1695" s="190"/>
      <c r="C1695" s="190"/>
      <c r="D1695" s="69"/>
      <c r="E1695" s="69"/>
      <c r="F1695" s="149"/>
      <c r="G1695" s="146"/>
      <c r="H1695" s="114"/>
      <c r="I1695" s="108"/>
      <c r="J1695" s="108"/>
      <c r="K1695" s="108"/>
      <c r="L1695" s="108"/>
      <c r="M1695" s="108"/>
      <c r="N1695" s="108"/>
      <c r="O1695" s="108"/>
      <c r="P1695" s="108"/>
      <c r="Q1695" s="108"/>
      <c r="R1695" s="108"/>
      <c r="S1695" s="108"/>
      <c r="T1695" s="108"/>
      <c r="U1695" s="105"/>
      <c r="V1695" s="262"/>
      <c r="W1695" s="121"/>
      <c r="X1695" s="121"/>
      <c r="Y1695" s="121"/>
      <c r="Z1695" s="121"/>
      <c r="AA1695" s="121"/>
      <c r="AB1695" s="121"/>
      <c r="AC1695" s="121"/>
      <c r="AD1695" s="121"/>
      <c r="AE1695" s="121"/>
      <c r="AF1695" s="121"/>
      <c r="AG1695" s="121"/>
      <c r="AH1695" s="121"/>
      <c r="AI1695" s="121"/>
    </row>
    <row r="1696" spans="1:35" s="115" customFormat="1" ht="15" thickBot="1">
      <c r="A1696" s="187"/>
      <c r="B1696" s="190"/>
      <c r="C1696" s="190"/>
      <c r="D1696" s="69"/>
      <c r="E1696" s="69"/>
      <c r="F1696" s="149"/>
      <c r="G1696" s="146"/>
      <c r="H1696" s="98"/>
      <c r="I1696" s="218"/>
      <c r="J1696" s="218"/>
      <c r="K1696" s="218"/>
      <c r="L1696" s="218"/>
      <c r="M1696" s="218"/>
      <c r="N1696" s="96"/>
      <c r="O1696" s="96"/>
      <c r="P1696" s="96"/>
      <c r="Q1696" s="212"/>
      <c r="R1696" s="212"/>
      <c r="S1696" s="212"/>
      <c r="T1696" s="212"/>
      <c r="U1696" s="105"/>
      <c r="V1696" s="262"/>
      <c r="W1696" s="121"/>
      <c r="X1696" s="121"/>
      <c r="Y1696" s="121"/>
      <c r="Z1696" s="121"/>
      <c r="AA1696" s="121"/>
      <c r="AB1696" s="121"/>
      <c r="AC1696" s="121"/>
      <c r="AD1696" s="121"/>
      <c r="AE1696" s="121"/>
      <c r="AF1696" s="121"/>
      <c r="AG1696" s="121"/>
      <c r="AH1696" s="121"/>
      <c r="AI1696" s="121"/>
    </row>
    <row r="1697" spans="1:35" s="115" customFormat="1" ht="23.4" thickBot="1">
      <c r="A1697" s="187"/>
      <c r="B1697" s="190"/>
      <c r="C1697" s="190"/>
      <c r="D1697" s="69"/>
      <c r="E1697" s="69"/>
      <c r="F1697" s="149"/>
      <c r="G1697" s="146"/>
      <c r="H1697" s="686"/>
      <c r="I1697" s="687"/>
      <c r="J1697" s="687"/>
      <c r="K1697" s="687"/>
      <c r="L1697" s="687"/>
      <c r="M1697" s="687"/>
      <c r="N1697" s="687"/>
      <c r="O1697" s="687"/>
      <c r="P1697" s="687"/>
      <c r="Q1697" s="687"/>
      <c r="R1697" s="687"/>
      <c r="S1697" s="687"/>
      <c r="T1697" s="688"/>
      <c r="U1697" s="105"/>
      <c r="V1697" s="262"/>
      <c r="W1697" s="121"/>
      <c r="X1697" s="121"/>
      <c r="Y1697" s="121"/>
      <c r="Z1697" s="121"/>
      <c r="AA1697" s="121"/>
      <c r="AB1697" s="121"/>
      <c r="AC1697" s="121"/>
      <c r="AD1697" s="121"/>
      <c r="AE1697" s="121"/>
      <c r="AF1697" s="121"/>
      <c r="AG1697" s="121"/>
      <c r="AH1697" s="121"/>
      <c r="AI1697" s="121"/>
    </row>
    <row r="1698" spans="1:35" s="115" customFormat="1" ht="22.8">
      <c r="A1698" s="187"/>
      <c r="B1698" s="190"/>
      <c r="C1698" s="190"/>
      <c r="D1698" s="69"/>
      <c r="E1698" s="69"/>
      <c r="F1698" s="149"/>
      <c r="G1698" s="146"/>
      <c r="H1698" s="225"/>
      <c r="I1698" s="225"/>
      <c r="J1698" s="225"/>
      <c r="K1698" s="225"/>
      <c r="L1698" s="225"/>
      <c r="M1698" s="225"/>
      <c r="N1698" s="225"/>
      <c r="O1698" s="225"/>
      <c r="P1698" s="225"/>
      <c r="Q1698" s="225"/>
      <c r="R1698" s="225"/>
      <c r="S1698" s="225"/>
      <c r="T1698" s="225"/>
      <c r="U1698" s="105"/>
      <c r="V1698" s="262"/>
      <c r="W1698" s="121"/>
      <c r="X1698" s="121"/>
      <c r="Y1698" s="121"/>
      <c r="Z1698" s="121"/>
      <c r="AA1698" s="121"/>
      <c r="AB1698" s="121"/>
      <c r="AC1698" s="121"/>
      <c r="AD1698" s="121"/>
      <c r="AE1698" s="121"/>
      <c r="AF1698" s="121"/>
      <c r="AG1698" s="121"/>
      <c r="AH1698" s="121"/>
      <c r="AI1698" s="121"/>
    </row>
    <row r="1699" spans="1:35" s="115" customFormat="1" ht="14.4">
      <c r="A1699" s="187"/>
      <c r="B1699" s="190"/>
      <c r="C1699" s="190"/>
      <c r="D1699" s="69"/>
      <c r="E1699" s="69"/>
      <c r="F1699" s="149"/>
      <c r="G1699" s="146"/>
      <c r="H1699" s="98"/>
      <c r="I1699" s="99"/>
      <c r="J1699" s="99"/>
      <c r="K1699" s="99"/>
      <c r="L1699" s="99"/>
      <c r="M1699" s="99"/>
      <c r="N1699" s="99"/>
      <c r="O1699" s="99"/>
      <c r="P1699" s="99"/>
      <c r="Q1699" s="99"/>
      <c r="R1699" s="99"/>
      <c r="S1699" s="99"/>
      <c r="T1699" s="99"/>
      <c r="U1699" s="105"/>
      <c r="V1699" s="262"/>
      <c r="W1699" s="121"/>
      <c r="X1699" s="121"/>
      <c r="Y1699" s="121"/>
      <c r="Z1699" s="121"/>
      <c r="AA1699" s="121"/>
      <c r="AB1699" s="121"/>
      <c r="AC1699" s="121"/>
      <c r="AD1699" s="121"/>
      <c r="AE1699" s="121"/>
      <c r="AF1699" s="121"/>
      <c r="AG1699" s="121"/>
      <c r="AH1699" s="121"/>
      <c r="AI1699" s="121"/>
    </row>
    <row r="1700" spans="1:35" s="115" customFormat="1" ht="14.4">
      <c r="A1700" s="187"/>
      <c r="B1700" s="190"/>
      <c r="C1700" s="190"/>
      <c r="D1700" s="69"/>
      <c r="E1700" s="69"/>
      <c r="F1700" s="149"/>
      <c r="G1700" s="146"/>
      <c r="H1700" s="98"/>
      <c r="I1700" s="99"/>
      <c r="J1700" s="99"/>
      <c r="K1700" s="99"/>
      <c r="L1700" s="99"/>
      <c r="M1700" s="99"/>
      <c r="N1700" s="99"/>
      <c r="O1700" s="99"/>
      <c r="P1700" s="99"/>
      <c r="Q1700" s="99"/>
      <c r="R1700" s="99"/>
      <c r="S1700" s="99"/>
      <c r="T1700" s="99"/>
      <c r="U1700" s="105"/>
      <c r="V1700" s="262"/>
      <c r="W1700" s="121"/>
      <c r="X1700" s="121"/>
      <c r="Y1700" s="121"/>
      <c r="Z1700" s="121"/>
      <c r="AA1700" s="121"/>
      <c r="AB1700" s="121"/>
      <c r="AC1700" s="121"/>
      <c r="AD1700" s="121"/>
      <c r="AE1700" s="121"/>
      <c r="AF1700" s="121"/>
      <c r="AG1700" s="121"/>
      <c r="AH1700" s="121"/>
      <c r="AI1700" s="121"/>
    </row>
    <row r="1701" spans="1:35" s="115" customFormat="1" ht="14.4">
      <c r="A1701" s="187"/>
      <c r="B1701" s="190"/>
      <c r="C1701" s="190"/>
      <c r="D1701" s="69"/>
      <c r="E1701" s="69"/>
      <c r="F1701" s="149"/>
      <c r="G1701" s="146"/>
      <c r="H1701" s="98"/>
      <c r="I1701" s="99"/>
      <c r="J1701" s="99"/>
      <c r="K1701" s="99"/>
      <c r="L1701" s="99"/>
      <c r="M1701" s="99"/>
      <c r="N1701" s="99"/>
      <c r="O1701" s="99"/>
      <c r="P1701" s="99"/>
      <c r="Q1701" s="99"/>
      <c r="R1701" s="99"/>
      <c r="S1701" s="99"/>
      <c r="T1701" s="99"/>
      <c r="U1701" s="105"/>
      <c r="V1701" s="262"/>
      <c r="W1701" s="121"/>
      <c r="X1701" s="121"/>
      <c r="Y1701" s="121"/>
      <c r="Z1701" s="121"/>
      <c r="AA1701" s="121"/>
      <c r="AB1701" s="121"/>
      <c r="AC1701" s="121"/>
      <c r="AD1701" s="121"/>
      <c r="AE1701" s="121"/>
      <c r="AF1701" s="121"/>
      <c r="AG1701" s="121"/>
      <c r="AH1701" s="121"/>
      <c r="AI1701" s="121"/>
    </row>
    <row r="1702" spans="1:35" s="115" customFormat="1" ht="14.4">
      <c r="A1702" s="187"/>
      <c r="B1702" s="190"/>
      <c r="C1702" s="190"/>
      <c r="D1702" s="69"/>
      <c r="E1702" s="69"/>
      <c r="F1702" s="149"/>
      <c r="G1702" s="146"/>
      <c r="H1702" s="98"/>
      <c r="I1702" s="99"/>
      <c r="J1702" s="99"/>
      <c r="K1702" s="99"/>
      <c r="L1702" s="99"/>
      <c r="M1702" s="99"/>
      <c r="N1702" s="99"/>
      <c r="O1702" s="99"/>
      <c r="P1702" s="99"/>
      <c r="Q1702" s="99"/>
      <c r="R1702" s="99"/>
      <c r="S1702" s="99"/>
      <c r="T1702" s="99"/>
      <c r="U1702" s="105"/>
      <c r="V1702" s="262"/>
      <c r="W1702" s="121"/>
      <c r="X1702" s="121"/>
      <c r="Y1702" s="121"/>
      <c r="Z1702" s="121"/>
      <c r="AA1702" s="121"/>
      <c r="AB1702" s="121"/>
      <c r="AC1702" s="121"/>
      <c r="AD1702" s="121"/>
      <c r="AE1702" s="121"/>
      <c r="AF1702" s="121"/>
      <c r="AG1702" s="121"/>
      <c r="AH1702" s="121"/>
      <c r="AI1702" s="121"/>
    </row>
    <row r="1703" spans="1:35" s="115" customFormat="1" ht="14.4">
      <c r="A1703" s="187"/>
      <c r="B1703" s="190"/>
      <c r="C1703" s="190"/>
      <c r="D1703" s="69"/>
      <c r="E1703" s="69"/>
      <c r="F1703" s="149"/>
      <c r="G1703" s="146"/>
      <c r="H1703" s="98"/>
      <c r="I1703" s="99"/>
      <c r="J1703" s="99"/>
      <c r="K1703" s="99"/>
      <c r="L1703" s="99"/>
      <c r="M1703" s="99"/>
      <c r="N1703" s="99"/>
      <c r="O1703" s="99"/>
      <c r="P1703" s="99"/>
      <c r="Q1703" s="99"/>
      <c r="R1703" s="99"/>
      <c r="S1703" s="99"/>
      <c r="T1703" s="99"/>
      <c r="U1703" s="105"/>
      <c r="V1703" s="262"/>
      <c r="W1703" s="121"/>
      <c r="X1703" s="121"/>
      <c r="Y1703" s="121"/>
      <c r="Z1703" s="121"/>
      <c r="AA1703" s="121"/>
      <c r="AB1703" s="121"/>
      <c r="AC1703" s="121"/>
      <c r="AD1703" s="121"/>
      <c r="AE1703" s="121"/>
      <c r="AF1703" s="121"/>
      <c r="AG1703" s="121"/>
      <c r="AH1703" s="121"/>
      <c r="AI1703" s="121"/>
    </row>
    <row r="1704" spans="1:35" s="115" customFormat="1" ht="14.4">
      <c r="A1704" s="187"/>
      <c r="B1704" s="190"/>
      <c r="C1704" s="190"/>
      <c r="D1704" s="69"/>
      <c r="E1704" s="69"/>
      <c r="F1704" s="149"/>
      <c r="G1704" s="146"/>
      <c r="H1704" s="98"/>
      <c r="I1704" s="99"/>
      <c r="J1704" s="99"/>
      <c r="K1704" s="99"/>
      <c r="L1704" s="99"/>
      <c r="M1704" s="99"/>
      <c r="N1704" s="99"/>
      <c r="O1704" s="99"/>
      <c r="P1704" s="99"/>
      <c r="Q1704" s="99"/>
      <c r="R1704" s="99"/>
      <c r="S1704" s="99"/>
      <c r="T1704" s="99"/>
      <c r="U1704" s="105"/>
      <c r="V1704" s="262"/>
      <c r="W1704" s="121"/>
      <c r="X1704" s="121"/>
      <c r="Y1704" s="121"/>
      <c r="Z1704" s="121"/>
      <c r="AA1704" s="121"/>
      <c r="AB1704" s="121"/>
      <c r="AC1704" s="121"/>
      <c r="AD1704" s="121"/>
      <c r="AE1704" s="121"/>
      <c r="AF1704" s="121"/>
      <c r="AG1704" s="121"/>
      <c r="AH1704" s="121"/>
      <c r="AI1704" s="121"/>
    </row>
    <row r="1705" spans="1:35" s="115" customFormat="1" ht="24" customHeight="1">
      <c r="A1705" s="187"/>
      <c r="B1705" s="190"/>
      <c r="C1705" s="190"/>
      <c r="D1705" s="69"/>
      <c r="E1705" s="69"/>
      <c r="F1705" s="149"/>
      <c r="G1705" s="146"/>
      <c r="H1705" s="98"/>
      <c r="I1705" s="99"/>
      <c r="J1705" s="99"/>
      <c r="K1705" s="99"/>
      <c r="L1705" s="99"/>
      <c r="M1705" s="99"/>
      <c r="N1705" s="99"/>
      <c r="O1705" s="99"/>
      <c r="P1705" s="99"/>
      <c r="Q1705" s="99"/>
      <c r="R1705" s="99"/>
      <c r="S1705" s="99"/>
      <c r="T1705" s="99"/>
      <c r="U1705" s="105"/>
      <c r="V1705" s="262"/>
      <c r="W1705" s="121"/>
      <c r="X1705" s="121"/>
      <c r="Y1705" s="121"/>
      <c r="Z1705" s="121"/>
      <c r="AA1705" s="121"/>
      <c r="AB1705" s="121"/>
      <c r="AC1705" s="121"/>
      <c r="AD1705" s="121"/>
      <c r="AE1705" s="121"/>
      <c r="AF1705" s="121"/>
      <c r="AG1705" s="121"/>
      <c r="AH1705" s="121"/>
      <c r="AI1705" s="121"/>
    </row>
    <row r="1706" spans="1:35" s="115" customFormat="1" ht="14.4">
      <c r="A1706" s="187"/>
      <c r="B1706" s="190"/>
      <c r="C1706" s="190"/>
      <c r="D1706" s="69"/>
      <c r="E1706" s="69"/>
      <c r="F1706" s="149"/>
      <c r="G1706" s="146"/>
      <c r="H1706" s="98"/>
      <c r="I1706" s="99"/>
      <c r="J1706" s="99"/>
      <c r="K1706" s="99"/>
      <c r="L1706" s="99"/>
      <c r="M1706" s="99"/>
      <c r="N1706" s="99"/>
      <c r="O1706" s="99"/>
      <c r="P1706" s="99"/>
      <c r="Q1706" s="99"/>
      <c r="R1706" s="99"/>
      <c r="S1706" s="99"/>
      <c r="T1706" s="99"/>
      <c r="U1706" s="105"/>
      <c r="V1706" s="262"/>
      <c r="W1706" s="121"/>
      <c r="X1706" s="121"/>
      <c r="Y1706" s="121"/>
      <c r="Z1706" s="121"/>
      <c r="AA1706" s="121"/>
      <c r="AB1706" s="121"/>
      <c r="AC1706" s="121"/>
      <c r="AD1706" s="121"/>
      <c r="AE1706" s="121"/>
      <c r="AF1706" s="121"/>
      <c r="AG1706" s="121"/>
      <c r="AH1706" s="121"/>
      <c r="AI1706" s="121"/>
    </row>
    <row r="1707" spans="1:35" s="115" customFormat="1" ht="14.4">
      <c r="A1707" s="187"/>
      <c r="B1707" s="190"/>
      <c r="C1707" s="190"/>
      <c r="D1707" s="69"/>
      <c r="E1707" s="69"/>
      <c r="F1707" s="149"/>
      <c r="G1707" s="146"/>
      <c r="H1707" s="98"/>
      <c r="I1707" s="99"/>
      <c r="J1707" s="99"/>
      <c r="K1707" s="99"/>
      <c r="L1707" s="99"/>
      <c r="M1707" s="99"/>
      <c r="N1707" s="99"/>
      <c r="O1707" s="99"/>
      <c r="P1707" s="99"/>
      <c r="Q1707" s="99"/>
      <c r="R1707" s="99"/>
      <c r="S1707" s="99"/>
      <c r="T1707" s="99"/>
      <c r="U1707" s="105"/>
      <c r="V1707" s="262"/>
      <c r="W1707" s="121"/>
      <c r="X1707" s="121"/>
      <c r="Y1707" s="121"/>
      <c r="Z1707" s="121"/>
      <c r="AA1707" s="121"/>
      <c r="AB1707" s="121"/>
      <c r="AC1707" s="121"/>
      <c r="AD1707" s="121"/>
      <c r="AE1707" s="121"/>
      <c r="AF1707" s="121"/>
      <c r="AG1707" s="121"/>
      <c r="AH1707" s="121"/>
      <c r="AI1707" s="121"/>
    </row>
    <row r="1708" spans="1:35" s="115" customFormat="1" ht="14.4">
      <c r="A1708" s="187"/>
      <c r="B1708" s="190"/>
      <c r="C1708" s="190"/>
      <c r="D1708" s="69"/>
      <c r="E1708" s="69"/>
      <c r="F1708" s="149"/>
      <c r="G1708" s="146"/>
      <c r="H1708" s="98"/>
      <c r="I1708" s="99"/>
      <c r="J1708" s="99"/>
      <c r="K1708" s="99"/>
      <c r="L1708" s="99"/>
      <c r="M1708" s="99"/>
      <c r="N1708" s="99"/>
      <c r="O1708" s="99"/>
      <c r="P1708" s="99"/>
      <c r="Q1708" s="99"/>
      <c r="R1708" s="99"/>
      <c r="S1708" s="99"/>
      <c r="T1708" s="99"/>
      <c r="U1708" s="105"/>
      <c r="V1708" s="262"/>
      <c r="W1708" s="121"/>
      <c r="X1708" s="121"/>
      <c r="Y1708" s="121"/>
      <c r="Z1708" s="121"/>
      <c r="AA1708" s="121"/>
      <c r="AB1708" s="121"/>
      <c r="AC1708" s="121"/>
      <c r="AD1708" s="121"/>
      <c r="AE1708" s="121"/>
      <c r="AF1708" s="121"/>
      <c r="AG1708" s="121"/>
      <c r="AH1708" s="121"/>
      <c r="AI1708" s="121"/>
    </row>
    <row r="1709" spans="1:35" s="115" customFormat="1" ht="14.4">
      <c r="A1709" s="187"/>
      <c r="B1709" s="190"/>
      <c r="C1709" s="190"/>
      <c r="D1709" s="69"/>
      <c r="E1709" s="69"/>
      <c r="F1709" s="149"/>
      <c r="G1709" s="146"/>
      <c r="H1709" s="98"/>
      <c r="I1709" s="99"/>
      <c r="J1709" s="99"/>
      <c r="K1709" s="99"/>
      <c r="L1709" s="99"/>
      <c r="M1709" s="99"/>
      <c r="N1709" s="99"/>
      <c r="O1709" s="99"/>
      <c r="P1709" s="99"/>
      <c r="Q1709" s="99"/>
      <c r="R1709" s="99"/>
      <c r="S1709" s="99"/>
      <c r="T1709" s="99"/>
      <c r="U1709" s="105"/>
      <c r="V1709" s="262"/>
      <c r="W1709" s="121"/>
      <c r="X1709" s="121"/>
      <c r="Y1709" s="121"/>
      <c r="Z1709" s="121"/>
      <c r="AA1709" s="121"/>
      <c r="AB1709" s="121"/>
      <c r="AC1709" s="121"/>
      <c r="AD1709" s="121"/>
      <c r="AE1709" s="121"/>
      <c r="AF1709" s="121"/>
      <c r="AG1709" s="121"/>
      <c r="AH1709" s="121"/>
      <c r="AI1709" s="121"/>
    </row>
    <row r="1710" spans="1:35" s="115" customFormat="1" ht="14.4">
      <c r="A1710" s="187"/>
      <c r="B1710" s="190"/>
      <c r="C1710" s="190"/>
      <c r="D1710" s="69"/>
      <c r="E1710" s="69"/>
      <c r="F1710" s="149"/>
      <c r="G1710" s="146"/>
      <c r="H1710" s="98"/>
      <c r="I1710" s="99"/>
      <c r="J1710" s="99"/>
      <c r="K1710" s="99"/>
      <c r="L1710" s="99"/>
      <c r="M1710" s="99"/>
      <c r="N1710" s="99"/>
      <c r="O1710" s="99"/>
      <c r="P1710" s="99"/>
      <c r="Q1710" s="99"/>
      <c r="R1710" s="99"/>
      <c r="S1710" s="99"/>
      <c r="T1710" s="99"/>
      <c r="U1710" s="105"/>
      <c r="V1710" s="262"/>
      <c r="W1710" s="121"/>
      <c r="X1710" s="121"/>
      <c r="Y1710" s="121"/>
      <c r="Z1710" s="121"/>
      <c r="AA1710" s="121"/>
      <c r="AB1710" s="121"/>
      <c r="AC1710" s="121"/>
      <c r="AD1710" s="121"/>
      <c r="AE1710" s="121"/>
      <c r="AF1710" s="121"/>
      <c r="AG1710" s="121"/>
      <c r="AH1710" s="121"/>
      <c r="AI1710" s="121"/>
    </row>
    <row r="1711" spans="1:35" s="115" customFormat="1" ht="14.4">
      <c r="A1711" s="187"/>
      <c r="B1711" s="190"/>
      <c r="C1711" s="190"/>
      <c r="D1711" s="69"/>
      <c r="E1711" s="69"/>
      <c r="F1711" s="149"/>
      <c r="G1711" s="146"/>
      <c r="H1711" s="107"/>
      <c r="I1711" s="108"/>
      <c r="J1711" s="108"/>
      <c r="K1711" s="108"/>
      <c r="L1711" s="108"/>
      <c r="M1711" s="108"/>
      <c r="N1711" s="109"/>
      <c r="O1711" s="109"/>
      <c r="P1711" s="109"/>
      <c r="Q1711" s="109"/>
      <c r="R1711" s="109"/>
      <c r="S1711" s="109"/>
      <c r="T1711" s="109"/>
      <c r="U1711" s="105"/>
      <c r="V1711" s="262"/>
      <c r="W1711" s="121"/>
      <c r="X1711" s="121"/>
      <c r="Y1711" s="121"/>
      <c r="Z1711" s="121"/>
      <c r="AA1711" s="121"/>
      <c r="AB1711" s="121"/>
      <c r="AC1711" s="121"/>
      <c r="AD1711" s="121"/>
      <c r="AE1711" s="121"/>
      <c r="AF1711" s="121"/>
      <c r="AG1711" s="121"/>
      <c r="AH1711" s="121"/>
      <c r="AI1711" s="121"/>
    </row>
    <row r="1712" spans="1:35" s="115" customFormat="1" ht="14.4">
      <c r="A1712" s="187"/>
      <c r="B1712" s="190"/>
      <c r="C1712" s="190"/>
      <c r="D1712" s="69"/>
      <c r="E1712" s="69"/>
      <c r="F1712" s="149"/>
      <c r="G1712" s="146"/>
      <c r="H1712" s="98"/>
      <c r="I1712" s="106"/>
      <c r="J1712" s="106"/>
      <c r="K1712" s="106"/>
      <c r="L1712" s="106"/>
      <c r="M1712" s="106"/>
      <c r="N1712" s="112"/>
      <c r="O1712" s="112"/>
      <c r="P1712" s="112"/>
      <c r="Q1712" s="113"/>
      <c r="R1712" s="113"/>
      <c r="S1712" s="113"/>
      <c r="T1712" s="113"/>
      <c r="U1712" s="105"/>
      <c r="V1712" s="262"/>
      <c r="W1712" s="121"/>
      <c r="X1712" s="121"/>
      <c r="Y1712" s="121"/>
      <c r="Z1712" s="121"/>
      <c r="AA1712" s="121"/>
      <c r="AB1712" s="121"/>
      <c r="AC1712" s="121"/>
      <c r="AD1712" s="121"/>
      <c r="AE1712" s="121"/>
      <c r="AF1712" s="121"/>
      <c r="AG1712" s="121"/>
      <c r="AH1712" s="121"/>
      <c r="AI1712" s="121"/>
    </row>
    <row r="1713" spans="1:35" s="115" customFormat="1" ht="14.4">
      <c r="A1713" s="187"/>
      <c r="B1713" s="190"/>
      <c r="C1713" s="190"/>
      <c r="D1713" s="69"/>
      <c r="E1713" s="69"/>
      <c r="F1713" s="149"/>
      <c r="G1713" s="146"/>
      <c r="H1713" s="98"/>
      <c r="I1713" s="99"/>
      <c r="J1713" s="99"/>
      <c r="K1713" s="99"/>
      <c r="L1713" s="99"/>
      <c r="M1713" s="99"/>
      <c r="N1713" s="99"/>
      <c r="O1713" s="99"/>
      <c r="P1713" s="99"/>
      <c r="Q1713" s="99"/>
      <c r="R1713" s="99"/>
      <c r="S1713" s="99"/>
      <c r="T1713" s="99"/>
      <c r="U1713" s="105"/>
      <c r="V1713" s="262"/>
      <c r="W1713" s="121"/>
      <c r="X1713" s="121"/>
      <c r="Y1713" s="121"/>
      <c r="Z1713" s="121"/>
      <c r="AA1713" s="121"/>
      <c r="AB1713" s="121"/>
      <c r="AC1713" s="121"/>
      <c r="AD1713" s="121"/>
      <c r="AE1713" s="121"/>
      <c r="AF1713" s="121"/>
      <c r="AG1713" s="121"/>
      <c r="AH1713" s="121"/>
      <c r="AI1713" s="121"/>
    </row>
    <row r="1714" spans="1:35" s="115" customFormat="1" ht="14.4">
      <c r="A1714" s="187"/>
      <c r="B1714" s="190"/>
      <c r="C1714" s="190"/>
      <c r="D1714" s="69"/>
      <c r="E1714" s="69"/>
      <c r="F1714" s="149"/>
      <c r="G1714" s="146"/>
      <c r="H1714" s="98"/>
      <c r="I1714" s="99"/>
      <c r="J1714" s="99"/>
      <c r="K1714" s="99"/>
      <c r="L1714" s="99"/>
      <c r="M1714" s="99"/>
      <c r="N1714" s="99"/>
      <c r="O1714" s="99"/>
      <c r="P1714" s="99"/>
      <c r="Q1714" s="99"/>
      <c r="R1714" s="99"/>
      <c r="S1714" s="99"/>
      <c r="T1714" s="99"/>
      <c r="U1714" s="105"/>
      <c r="V1714" s="262"/>
      <c r="W1714" s="121"/>
      <c r="X1714" s="121"/>
      <c r="Y1714" s="121"/>
      <c r="Z1714" s="121"/>
      <c r="AA1714" s="121"/>
      <c r="AB1714" s="121"/>
      <c r="AC1714" s="121"/>
      <c r="AD1714" s="121"/>
      <c r="AE1714" s="121"/>
      <c r="AF1714" s="121"/>
      <c r="AG1714" s="121"/>
      <c r="AH1714" s="121"/>
      <c r="AI1714" s="121"/>
    </row>
    <row r="1715" spans="1:35" s="115" customFormat="1" ht="14.4">
      <c r="A1715" s="187"/>
      <c r="B1715" s="190"/>
      <c r="C1715" s="190"/>
      <c r="D1715" s="69"/>
      <c r="E1715" s="69"/>
      <c r="F1715" s="149"/>
      <c r="G1715" s="146"/>
      <c r="H1715" s="98"/>
      <c r="I1715" s="99"/>
      <c r="J1715" s="99"/>
      <c r="K1715" s="99"/>
      <c r="L1715" s="99"/>
      <c r="M1715" s="99"/>
      <c r="N1715" s="99"/>
      <c r="O1715" s="99"/>
      <c r="P1715" s="99"/>
      <c r="Q1715" s="99"/>
      <c r="R1715" s="99"/>
      <c r="S1715" s="99"/>
      <c r="T1715" s="99"/>
      <c r="U1715" s="105"/>
      <c r="V1715" s="262"/>
      <c r="W1715" s="121"/>
      <c r="X1715" s="121"/>
      <c r="Y1715" s="121"/>
      <c r="Z1715" s="121"/>
      <c r="AA1715" s="121"/>
      <c r="AB1715" s="121"/>
      <c r="AC1715" s="121"/>
      <c r="AD1715" s="121"/>
      <c r="AE1715" s="121"/>
      <c r="AF1715" s="121"/>
      <c r="AG1715" s="121"/>
      <c r="AH1715" s="121"/>
      <c r="AI1715" s="121"/>
    </row>
    <row r="1716" spans="1:35" s="115" customFormat="1" ht="14.4">
      <c r="A1716" s="187"/>
      <c r="B1716" s="190"/>
      <c r="C1716" s="190"/>
      <c r="D1716" s="69"/>
      <c r="E1716" s="69"/>
      <c r="F1716" s="149"/>
      <c r="G1716" s="146"/>
      <c r="H1716" s="98"/>
      <c r="I1716" s="99"/>
      <c r="J1716" s="99"/>
      <c r="K1716" s="99"/>
      <c r="L1716" s="99"/>
      <c r="M1716" s="99"/>
      <c r="N1716" s="99"/>
      <c r="O1716" s="99"/>
      <c r="P1716" s="99"/>
      <c r="Q1716" s="99"/>
      <c r="R1716" s="99"/>
      <c r="S1716" s="99"/>
      <c r="T1716" s="99"/>
      <c r="U1716" s="105"/>
      <c r="V1716" s="262"/>
      <c r="W1716" s="121"/>
      <c r="X1716" s="121"/>
      <c r="Y1716" s="121"/>
      <c r="Z1716" s="121"/>
      <c r="AA1716" s="121"/>
      <c r="AB1716" s="121"/>
      <c r="AC1716" s="121"/>
      <c r="AD1716" s="121"/>
      <c r="AE1716" s="121"/>
      <c r="AF1716" s="121"/>
      <c r="AG1716" s="121"/>
      <c r="AH1716" s="121"/>
      <c r="AI1716" s="121"/>
    </row>
    <row r="1717" spans="1:35" s="115" customFormat="1" ht="14.4">
      <c r="A1717" s="187"/>
      <c r="B1717" s="190"/>
      <c r="C1717" s="190"/>
      <c r="D1717" s="69"/>
      <c r="E1717" s="69"/>
      <c r="F1717" s="149"/>
      <c r="G1717" s="146"/>
      <c r="H1717" s="98"/>
      <c r="I1717" s="99"/>
      <c r="J1717" s="99"/>
      <c r="K1717" s="99"/>
      <c r="L1717" s="99"/>
      <c r="M1717" s="99"/>
      <c r="N1717" s="99"/>
      <c r="O1717" s="99"/>
      <c r="P1717" s="99"/>
      <c r="Q1717" s="99"/>
      <c r="R1717" s="99"/>
      <c r="S1717" s="99"/>
      <c r="T1717" s="99"/>
      <c r="U1717" s="105"/>
      <c r="V1717" s="262"/>
      <c r="W1717" s="121"/>
      <c r="X1717" s="121"/>
      <c r="Y1717" s="121"/>
      <c r="Z1717" s="121"/>
      <c r="AA1717" s="121"/>
      <c r="AB1717" s="121"/>
      <c r="AC1717" s="121"/>
      <c r="AD1717" s="121"/>
      <c r="AE1717" s="121"/>
      <c r="AF1717" s="121"/>
      <c r="AG1717" s="121"/>
      <c r="AH1717" s="121"/>
      <c r="AI1717" s="121"/>
    </row>
    <row r="1718" spans="1:35" s="115" customFormat="1" ht="14.4">
      <c r="A1718" s="187"/>
      <c r="B1718" s="190"/>
      <c r="C1718" s="190"/>
      <c r="D1718" s="69"/>
      <c r="E1718" s="69"/>
      <c r="F1718" s="149"/>
      <c r="G1718" s="146"/>
      <c r="H1718" s="98"/>
      <c r="I1718" s="99"/>
      <c r="J1718" s="99"/>
      <c r="K1718" s="99"/>
      <c r="L1718" s="99"/>
      <c r="M1718" s="99"/>
      <c r="N1718" s="99"/>
      <c r="O1718" s="99"/>
      <c r="P1718" s="99"/>
      <c r="Q1718" s="99"/>
      <c r="R1718" s="99"/>
      <c r="S1718" s="99"/>
      <c r="T1718" s="99"/>
      <c r="U1718" s="105"/>
      <c r="V1718" s="262"/>
      <c r="W1718" s="121"/>
      <c r="X1718" s="121"/>
      <c r="Y1718" s="121"/>
      <c r="Z1718" s="121"/>
      <c r="AA1718" s="121"/>
      <c r="AB1718" s="121"/>
      <c r="AC1718" s="121"/>
      <c r="AD1718" s="121"/>
      <c r="AE1718" s="121"/>
      <c r="AF1718" s="121"/>
      <c r="AG1718" s="121"/>
      <c r="AH1718" s="121"/>
      <c r="AI1718" s="121"/>
    </row>
    <row r="1719" spans="1:35" s="115" customFormat="1" ht="14.4">
      <c r="A1719" s="187"/>
      <c r="B1719" s="190"/>
      <c r="C1719" s="190"/>
      <c r="D1719" s="69"/>
      <c r="E1719" s="69"/>
      <c r="F1719" s="149"/>
      <c r="G1719" s="146"/>
      <c r="H1719" s="98"/>
      <c r="I1719" s="99"/>
      <c r="J1719" s="99"/>
      <c r="K1719" s="99"/>
      <c r="L1719" s="99"/>
      <c r="M1719" s="99"/>
      <c r="N1719" s="99"/>
      <c r="O1719" s="99"/>
      <c r="P1719" s="99"/>
      <c r="Q1719" s="99"/>
      <c r="R1719" s="99"/>
      <c r="S1719" s="99"/>
      <c r="T1719" s="99"/>
      <c r="U1719" s="105"/>
      <c r="V1719" s="262"/>
      <c r="W1719" s="121"/>
      <c r="X1719" s="121"/>
      <c r="Y1719" s="121"/>
      <c r="Z1719" s="121"/>
      <c r="AA1719" s="121"/>
      <c r="AB1719" s="121"/>
      <c r="AC1719" s="121"/>
      <c r="AD1719" s="121"/>
      <c r="AE1719" s="121"/>
      <c r="AF1719" s="121"/>
      <c r="AG1719" s="121"/>
      <c r="AH1719" s="121"/>
      <c r="AI1719" s="121"/>
    </row>
    <row r="1720" spans="1:35" s="115" customFormat="1" ht="14.4">
      <c r="A1720" s="187"/>
      <c r="B1720" s="190"/>
      <c r="C1720" s="190"/>
      <c r="D1720" s="69"/>
      <c r="E1720" s="69"/>
      <c r="F1720" s="149"/>
      <c r="G1720" s="146"/>
      <c r="H1720" s="98"/>
      <c r="I1720" s="99"/>
      <c r="J1720" s="99"/>
      <c r="K1720" s="99"/>
      <c r="L1720" s="99"/>
      <c r="M1720" s="99"/>
      <c r="N1720" s="99"/>
      <c r="O1720" s="99"/>
      <c r="P1720" s="99"/>
      <c r="Q1720" s="99"/>
      <c r="R1720" s="99"/>
      <c r="S1720" s="99"/>
      <c r="T1720" s="99"/>
      <c r="U1720" s="105"/>
      <c r="V1720" s="262"/>
      <c r="W1720" s="121"/>
      <c r="X1720" s="121"/>
      <c r="Y1720" s="121"/>
      <c r="Z1720" s="121"/>
      <c r="AA1720" s="121"/>
      <c r="AB1720" s="121"/>
      <c r="AC1720" s="121"/>
      <c r="AD1720" s="121"/>
      <c r="AE1720" s="121"/>
      <c r="AF1720" s="121"/>
      <c r="AG1720" s="121"/>
      <c r="AH1720" s="121"/>
      <c r="AI1720" s="121"/>
    </row>
    <row r="1721" spans="1:35" s="115" customFormat="1" ht="14.4">
      <c r="A1721" s="187"/>
      <c r="B1721" s="190"/>
      <c r="C1721" s="190"/>
      <c r="D1721" s="69"/>
      <c r="E1721" s="69"/>
      <c r="F1721" s="149"/>
      <c r="G1721" s="146"/>
      <c r="H1721" s="98"/>
      <c r="I1721" s="99"/>
      <c r="J1721" s="99"/>
      <c r="K1721" s="99"/>
      <c r="L1721" s="99"/>
      <c r="M1721" s="99"/>
      <c r="N1721" s="99"/>
      <c r="O1721" s="99"/>
      <c r="P1721" s="99"/>
      <c r="Q1721" s="99"/>
      <c r="R1721" s="99"/>
      <c r="S1721" s="99"/>
      <c r="T1721" s="99"/>
      <c r="U1721" s="105"/>
      <c r="V1721" s="262"/>
      <c r="W1721" s="121"/>
      <c r="X1721" s="121"/>
      <c r="Y1721" s="121"/>
      <c r="Z1721" s="121"/>
      <c r="AA1721" s="121"/>
      <c r="AB1721" s="121"/>
      <c r="AC1721" s="121"/>
      <c r="AD1721" s="121"/>
      <c r="AE1721" s="121"/>
      <c r="AF1721" s="121"/>
      <c r="AG1721" s="121"/>
      <c r="AH1721" s="121"/>
      <c r="AI1721" s="121"/>
    </row>
    <row r="1722" spans="1:35" s="115" customFormat="1" ht="14.4">
      <c r="A1722" s="187"/>
      <c r="B1722" s="190"/>
      <c r="C1722" s="190"/>
      <c r="D1722" s="69"/>
      <c r="E1722" s="69"/>
      <c r="F1722" s="149"/>
      <c r="G1722" s="146"/>
      <c r="H1722" s="98"/>
      <c r="I1722" s="99"/>
      <c r="J1722" s="99"/>
      <c r="K1722" s="99"/>
      <c r="L1722" s="99"/>
      <c r="M1722" s="99"/>
      <c r="N1722" s="99"/>
      <c r="O1722" s="99"/>
      <c r="P1722" s="99"/>
      <c r="Q1722" s="99"/>
      <c r="R1722" s="99"/>
      <c r="S1722" s="99"/>
      <c r="T1722" s="99"/>
      <c r="U1722" s="105"/>
      <c r="V1722" s="262"/>
      <c r="W1722" s="121"/>
      <c r="X1722" s="121"/>
      <c r="Y1722" s="121"/>
      <c r="Z1722" s="121"/>
      <c r="AA1722" s="121"/>
      <c r="AB1722" s="121"/>
      <c r="AC1722" s="121"/>
      <c r="AD1722" s="121"/>
      <c r="AE1722" s="121"/>
      <c r="AF1722" s="121"/>
      <c r="AG1722" s="121"/>
      <c r="AH1722" s="121"/>
      <c r="AI1722" s="121"/>
    </row>
    <row r="1723" spans="1:35" s="115" customFormat="1" ht="14.4">
      <c r="A1723" s="187"/>
      <c r="B1723" s="190"/>
      <c r="C1723" s="190"/>
      <c r="D1723" s="69"/>
      <c r="E1723" s="69"/>
      <c r="F1723" s="149"/>
      <c r="G1723" s="146"/>
      <c r="H1723" s="98"/>
      <c r="I1723" s="99"/>
      <c r="J1723" s="99"/>
      <c r="K1723" s="99"/>
      <c r="L1723" s="99"/>
      <c r="M1723" s="99"/>
      <c r="N1723" s="99"/>
      <c r="O1723" s="99"/>
      <c r="P1723" s="99"/>
      <c r="Q1723" s="99"/>
      <c r="R1723" s="99"/>
      <c r="S1723" s="99"/>
      <c r="T1723" s="99"/>
      <c r="U1723" s="105"/>
      <c r="V1723" s="262"/>
      <c r="W1723" s="121"/>
      <c r="X1723" s="121"/>
      <c r="Y1723" s="121"/>
      <c r="Z1723" s="121"/>
      <c r="AA1723" s="121"/>
      <c r="AB1723" s="121"/>
      <c r="AC1723" s="121"/>
      <c r="AD1723" s="121"/>
      <c r="AE1723" s="121"/>
      <c r="AF1723" s="121"/>
      <c r="AG1723" s="121"/>
      <c r="AH1723" s="121"/>
      <c r="AI1723" s="121"/>
    </row>
    <row r="1724" spans="1:35" s="115" customFormat="1" ht="14.4">
      <c r="A1724" s="187"/>
      <c r="B1724" s="190"/>
      <c r="C1724" s="190"/>
      <c r="D1724" s="69"/>
      <c r="E1724" s="69"/>
      <c r="F1724" s="149"/>
      <c r="G1724" s="146"/>
      <c r="H1724" s="98"/>
      <c r="I1724" s="99"/>
      <c r="J1724" s="99"/>
      <c r="K1724" s="99"/>
      <c r="L1724" s="99"/>
      <c r="M1724" s="99"/>
      <c r="N1724" s="99"/>
      <c r="O1724" s="99"/>
      <c r="P1724" s="99"/>
      <c r="Q1724" s="99"/>
      <c r="R1724" s="99"/>
      <c r="S1724" s="99"/>
      <c r="T1724" s="99"/>
      <c r="U1724" s="105"/>
      <c r="V1724" s="262"/>
      <c r="W1724" s="121"/>
      <c r="X1724" s="121"/>
      <c r="Y1724" s="121"/>
      <c r="Z1724" s="121"/>
      <c r="AA1724" s="121"/>
      <c r="AB1724" s="121"/>
      <c r="AC1724" s="121"/>
      <c r="AD1724" s="121"/>
      <c r="AE1724" s="121"/>
      <c r="AF1724" s="121"/>
      <c r="AG1724" s="121"/>
      <c r="AH1724" s="121"/>
      <c r="AI1724" s="121"/>
    </row>
    <row r="1725" spans="1:35" s="115" customFormat="1" ht="14.4">
      <c r="A1725" s="187"/>
      <c r="B1725" s="190"/>
      <c r="C1725" s="190"/>
      <c r="D1725" s="69"/>
      <c r="E1725" s="69"/>
      <c r="F1725" s="149"/>
      <c r="G1725" s="146"/>
      <c r="H1725" s="98"/>
      <c r="I1725" s="99"/>
      <c r="J1725" s="99"/>
      <c r="K1725" s="99"/>
      <c r="L1725" s="99"/>
      <c r="M1725" s="99"/>
      <c r="N1725" s="99"/>
      <c r="O1725" s="99"/>
      <c r="P1725" s="99"/>
      <c r="Q1725" s="99"/>
      <c r="R1725" s="99"/>
      <c r="S1725" s="99"/>
      <c r="T1725" s="99"/>
      <c r="U1725" s="105"/>
      <c r="V1725" s="262"/>
      <c r="W1725" s="121"/>
      <c r="X1725" s="121"/>
      <c r="Y1725" s="121"/>
      <c r="Z1725" s="121"/>
      <c r="AA1725" s="121"/>
      <c r="AB1725" s="121"/>
      <c r="AC1725" s="121"/>
      <c r="AD1725" s="121"/>
      <c r="AE1725" s="121"/>
      <c r="AF1725" s="121"/>
      <c r="AG1725" s="121"/>
      <c r="AH1725" s="121"/>
      <c r="AI1725" s="121"/>
    </row>
    <row r="1726" spans="1:35" s="115" customFormat="1" ht="14.4">
      <c r="A1726" s="187"/>
      <c r="B1726" s="190"/>
      <c r="C1726" s="190"/>
      <c r="D1726" s="69"/>
      <c r="E1726" s="69"/>
      <c r="F1726" s="149"/>
      <c r="G1726" s="146"/>
      <c r="H1726" s="98"/>
      <c r="I1726" s="99"/>
      <c r="J1726" s="99"/>
      <c r="K1726" s="99"/>
      <c r="L1726" s="99"/>
      <c r="M1726" s="99"/>
      <c r="N1726" s="99"/>
      <c r="O1726" s="99"/>
      <c r="P1726" s="99"/>
      <c r="Q1726" s="99"/>
      <c r="R1726" s="99"/>
      <c r="S1726" s="99"/>
      <c r="T1726" s="99"/>
      <c r="U1726" s="105"/>
      <c r="V1726" s="262"/>
      <c r="W1726" s="121"/>
      <c r="X1726" s="121"/>
      <c r="Y1726" s="121"/>
      <c r="Z1726" s="121"/>
      <c r="AA1726" s="121"/>
      <c r="AB1726" s="121"/>
      <c r="AC1726" s="121"/>
      <c r="AD1726" s="121"/>
      <c r="AE1726" s="121"/>
      <c r="AF1726" s="121"/>
      <c r="AG1726" s="121"/>
      <c r="AH1726" s="121"/>
      <c r="AI1726" s="121"/>
    </row>
    <row r="1727" spans="1:35" s="115" customFormat="1" ht="14.4">
      <c r="A1727" s="187"/>
      <c r="B1727" s="190"/>
      <c r="C1727" s="190"/>
      <c r="D1727" s="69"/>
      <c r="E1727" s="69"/>
      <c r="F1727" s="149"/>
      <c r="G1727" s="146"/>
      <c r="H1727" s="98"/>
      <c r="I1727" s="99"/>
      <c r="J1727" s="99"/>
      <c r="K1727" s="99"/>
      <c r="L1727" s="99"/>
      <c r="M1727" s="99"/>
      <c r="N1727" s="99"/>
      <c r="O1727" s="99"/>
      <c r="P1727" s="99"/>
      <c r="Q1727" s="99"/>
      <c r="R1727" s="99"/>
      <c r="S1727" s="99"/>
      <c r="T1727" s="99"/>
      <c r="U1727" s="105"/>
      <c r="V1727" s="262"/>
      <c r="W1727" s="121"/>
      <c r="X1727" s="121"/>
      <c r="Y1727" s="121"/>
      <c r="Z1727" s="121"/>
      <c r="AA1727" s="121"/>
      <c r="AB1727" s="121"/>
      <c r="AC1727" s="121"/>
      <c r="AD1727" s="121"/>
      <c r="AE1727" s="121"/>
      <c r="AF1727" s="121"/>
      <c r="AG1727" s="121"/>
      <c r="AH1727" s="121"/>
      <c r="AI1727" s="121"/>
    </row>
    <row r="1728" spans="1:35" s="115" customFormat="1" ht="14.4">
      <c r="A1728" s="187"/>
      <c r="B1728" s="190"/>
      <c r="C1728" s="190"/>
      <c r="D1728" s="69"/>
      <c r="E1728" s="69"/>
      <c r="F1728" s="149"/>
      <c r="G1728" s="146"/>
      <c r="H1728" s="98"/>
      <c r="I1728" s="99"/>
      <c r="J1728" s="99"/>
      <c r="K1728" s="99"/>
      <c r="L1728" s="99"/>
      <c r="M1728" s="99"/>
      <c r="N1728" s="99"/>
      <c r="O1728" s="99"/>
      <c r="P1728" s="99"/>
      <c r="Q1728" s="99"/>
      <c r="R1728" s="99"/>
      <c r="S1728" s="99"/>
      <c r="T1728" s="99"/>
      <c r="U1728" s="105"/>
      <c r="V1728" s="262"/>
      <c r="W1728" s="121"/>
      <c r="X1728" s="121"/>
      <c r="Y1728" s="121"/>
      <c r="Z1728" s="121"/>
      <c r="AA1728" s="121"/>
      <c r="AB1728" s="121"/>
      <c r="AC1728" s="121"/>
      <c r="AD1728" s="121"/>
      <c r="AE1728" s="121"/>
      <c r="AF1728" s="121"/>
      <c r="AG1728" s="121"/>
      <c r="AH1728" s="121"/>
      <c r="AI1728" s="121"/>
    </row>
    <row r="1729" spans="1:35" s="115" customFormat="1" ht="14.4">
      <c r="A1729" s="187"/>
      <c r="B1729" s="190"/>
      <c r="C1729" s="190"/>
      <c r="D1729" s="69"/>
      <c r="E1729" s="69"/>
      <c r="F1729" s="149"/>
      <c r="G1729" s="146"/>
      <c r="H1729" s="98"/>
      <c r="I1729" s="99"/>
      <c r="J1729" s="99"/>
      <c r="K1729" s="99"/>
      <c r="L1729" s="99"/>
      <c r="M1729" s="99"/>
      <c r="N1729" s="99"/>
      <c r="O1729" s="99"/>
      <c r="P1729" s="99"/>
      <c r="Q1729" s="99"/>
      <c r="R1729" s="99"/>
      <c r="S1729" s="99"/>
      <c r="T1729" s="99"/>
      <c r="U1729" s="105"/>
      <c r="V1729" s="262"/>
      <c r="W1729" s="121"/>
      <c r="X1729" s="121"/>
      <c r="Y1729" s="121"/>
      <c r="Z1729" s="121"/>
      <c r="AA1729" s="121"/>
      <c r="AB1729" s="121"/>
      <c r="AC1729" s="121"/>
      <c r="AD1729" s="121"/>
      <c r="AE1729" s="121"/>
      <c r="AF1729" s="121"/>
      <c r="AG1729" s="121"/>
      <c r="AH1729" s="121"/>
      <c r="AI1729" s="121"/>
    </row>
    <row r="1730" spans="1:35" s="115" customFormat="1" ht="14.4">
      <c r="A1730" s="187"/>
      <c r="B1730" s="190"/>
      <c r="C1730" s="190"/>
      <c r="D1730" s="69"/>
      <c r="E1730" s="69"/>
      <c r="F1730" s="149"/>
      <c r="G1730" s="146"/>
      <c r="H1730" s="98"/>
      <c r="I1730" s="99"/>
      <c r="J1730" s="99"/>
      <c r="K1730" s="99"/>
      <c r="L1730" s="99"/>
      <c r="M1730" s="99"/>
      <c r="N1730" s="99"/>
      <c r="O1730" s="99"/>
      <c r="P1730" s="99"/>
      <c r="Q1730" s="99"/>
      <c r="R1730" s="99"/>
      <c r="S1730" s="99"/>
      <c r="T1730" s="99"/>
      <c r="U1730" s="105"/>
      <c r="V1730" s="262"/>
      <c r="W1730" s="121"/>
      <c r="X1730" s="121"/>
      <c r="Y1730" s="121"/>
      <c r="Z1730" s="121"/>
      <c r="AA1730" s="121"/>
      <c r="AB1730" s="121"/>
      <c r="AC1730" s="121"/>
      <c r="AD1730" s="121"/>
      <c r="AE1730" s="121"/>
      <c r="AF1730" s="121"/>
      <c r="AG1730" s="121"/>
      <c r="AH1730" s="121"/>
      <c r="AI1730" s="121"/>
    </row>
    <row r="1731" spans="1:35" s="115" customFormat="1" ht="14.4">
      <c r="A1731" s="187"/>
      <c r="B1731" s="190"/>
      <c r="C1731" s="190"/>
      <c r="D1731" s="69"/>
      <c r="E1731" s="69"/>
      <c r="F1731" s="149"/>
      <c r="G1731" s="146"/>
      <c r="H1731" s="98"/>
      <c r="I1731" s="99"/>
      <c r="J1731" s="99"/>
      <c r="K1731" s="99"/>
      <c r="L1731" s="99"/>
      <c r="M1731" s="99"/>
      <c r="N1731" s="99"/>
      <c r="O1731" s="99"/>
      <c r="P1731" s="99"/>
      <c r="Q1731" s="99"/>
      <c r="R1731" s="99"/>
      <c r="S1731" s="99"/>
      <c r="T1731" s="99"/>
      <c r="U1731" s="105"/>
      <c r="V1731" s="262"/>
      <c r="W1731" s="121"/>
      <c r="X1731" s="121"/>
      <c r="Y1731" s="121"/>
      <c r="Z1731" s="121"/>
      <c r="AA1731" s="121"/>
      <c r="AB1731" s="121"/>
      <c r="AC1731" s="121"/>
      <c r="AD1731" s="121"/>
      <c r="AE1731" s="121"/>
      <c r="AF1731" s="121"/>
      <c r="AG1731" s="121"/>
      <c r="AH1731" s="121"/>
      <c r="AI1731" s="121"/>
    </row>
    <row r="1732" spans="1:35" s="115" customFormat="1" ht="14.4">
      <c r="A1732" s="187"/>
      <c r="B1732" s="190"/>
      <c r="C1732" s="190"/>
      <c r="D1732" s="69"/>
      <c r="E1732" s="69"/>
      <c r="F1732" s="149"/>
      <c r="G1732" s="146"/>
      <c r="H1732" s="98"/>
      <c r="I1732" s="99"/>
      <c r="J1732" s="99"/>
      <c r="K1732" s="99"/>
      <c r="L1732" s="99"/>
      <c r="M1732" s="99"/>
      <c r="N1732" s="99"/>
      <c r="O1732" s="99"/>
      <c r="P1732" s="99"/>
      <c r="Q1732" s="99"/>
      <c r="R1732" s="99"/>
      <c r="S1732" s="99"/>
      <c r="T1732" s="99"/>
      <c r="U1732" s="105"/>
      <c r="V1732" s="262"/>
      <c r="W1732" s="121"/>
      <c r="X1732" s="121"/>
      <c r="Y1732" s="121"/>
      <c r="Z1732" s="121"/>
      <c r="AA1732" s="121"/>
      <c r="AB1732" s="121"/>
      <c r="AC1732" s="121"/>
      <c r="AD1732" s="121"/>
      <c r="AE1732" s="121"/>
      <c r="AF1732" s="121"/>
      <c r="AG1732" s="121"/>
      <c r="AH1732" s="121"/>
      <c r="AI1732" s="121"/>
    </row>
    <row r="1733" spans="1:35" s="115" customFormat="1" ht="14.4">
      <c r="A1733" s="187"/>
      <c r="B1733" s="190"/>
      <c r="C1733" s="190"/>
      <c r="D1733" s="69"/>
      <c r="E1733" s="69"/>
      <c r="F1733" s="149"/>
      <c r="G1733" s="146"/>
      <c r="H1733" s="98"/>
      <c r="I1733" s="99"/>
      <c r="J1733" s="99"/>
      <c r="K1733" s="99"/>
      <c r="L1733" s="99"/>
      <c r="M1733" s="99"/>
      <c r="N1733" s="99"/>
      <c r="O1733" s="99"/>
      <c r="P1733" s="99"/>
      <c r="Q1733" s="99"/>
      <c r="R1733" s="99"/>
      <c r="S1733" s="99"/>
      <c r="T1733" s="99"/>
      <c r="U1733" s="105"/>
      <c r="V1733" s="262"/>
      <c r="W1733" s="121"/>
      <c r="X1733" s="121"/>
      <c r="Y1733" s="121"/>
      <c r="Z1733" s="121"/>
      <c r="AA1733" s="121"/>
      <c r="AB1733" s="121"/>
      <c r="AC1733" s="121"/>
      <c r="AD1733" s="121"/>
      <c r="AE1733" s="121"/>
      <c r="AF1733" s="121"/>
      <c r="AG1733" s="121"/>
      <c r="AH1733" s="121"/>
      <c r="AI1733" s="121"/>
    </row>
    <row r="1734" spans="1:35" s="115" customFormat="1" ht="14.4">
      <c r="A1734" s="187"/>
      <c r="B1734" s="190"/>
      <c r="C1734" s="190"/>
      <c r="D1734" s="69"/>
      <c r="E1734" s="69"/>
      <c r="F1734" s="149"/>
      <c r="G1734" s="146"/>
      <c r="H1734" s="107"/>
      <c r="I1734" s="109"/>
      <c r="J1734" s="109"/>
      <c r="K1734" s="109"/>
      <c r="L1734" s="109"/>
      <c r="M1734" s="109"/>
      <c r="N1734" s="109"/>
      <c r="O1734" s="109"/>
      <c r="P1734" s="109"/>
      <c r="Q1734" s="109"/>
      <c r="R1734" s="109"/>
      <c r="S1734" s="109"/>
      <c r="T1734" s="109"/>
      <c r="U1734" s="105"/>
      <c r="V1734" s="262"/>
      <c r="W1734" s="121"/>
      <c r="X1734" s="121"/>
      <c r="Y1734" s="121"/>
      <c r="Z1734" s="121"/>
      <c r="AA1734" s="121"/>
      <c r="AB1734" s="121"/>
      <c r="AC1734" s="121"/>
      <c r="AD1734" s="121"/>
      <c r="AE1734" s="121"/>
      <c r="AF1734" s="121"/>
      <c r="AG1734" s="121"/>
      <c r="AH1734" s="121"/>
      <c r="AI1734" s="121"/>
    </row>
    <row r="1735" spans="1:35" s="115" customFormat="1" ht="14.4">
      <c r="A1735" s="187"/>
      <c r="B1735" s="190"/>
      <c r="C1735" s="190"/>
      <c r="D1735" s="69"/>
      <c r="E1735" s="69"/>
      <c r="F1735" s="149"/>
      <c r="G1735" s="146"/>
      <c r="H1735" s="98"/>
      <c r="I1735" s="106"/>
      <c r="J1735" s="106"/>
      <c r="K1735" s="106"/>
      <c r="L1735" s="106"/>
      <c r="M1735" s="106"/>
      <c r="N1735" s="112"/>
      <c r="O1735" s="112"/>
      <c r="P1735" s="112"/>
      <c r="Q1735" s="113"/>
      <c r="R1735" s="113"/>
      <c r="S1735" s="113"/>
      <c r="T1735" s="113"/>
      <c r="U1735" s="105"/>
      <c r="V1735" s="262"/>
      <c r="W1735" s="121"/>
      <c r="X1735" s="121"/>
      <c r="Y1735" s="121"/>
      <c r="Z1735" s="121"/>
      <c r="AA1735" s="121"/>
      <c r="AB1735" s="121"/>
      <c r="AC1735" s="121"/>
      <c r="AD1735" s="121"/>
      <c r="AE1735" s="121"/>
      <c r="AF1735" s="121"/>
      <c r="AG1735" s="121"/>
      <c r="AH1735" s="121"/>
      <c r="AI1735" s="121"/>
    </row>
    <row r="1736" spans="1:35" s="115" customFormat="1" ht="14.4">
      <c r="A1736" s="187"/>
      <c r="B1736" s="190"/>
      <c r="C1736" s="190"/>
      <c r="D1736" s="69"/>
      <c r="E1736" s="69"/>
      <c r="F1736" s="149"/>
      <c r="G1736" s="146"/>
      <c r="H1736" s="98"/>
      <c r="I1736" s="99"/>
      <c r="J1736" s="99"/>
      <c r="K1736" s="99"/>
      <c r="L1736" s="99"/>
      <c r="M1736" s="99"/>
      <c r="N1736" s="99"/>
      <c r="O1736" s="99"/>
      <c r="P1736" s="99"/>
      <c r="Q1736" s="99"/>
      <c r="R1736" s="99"/>
      <c r="S1736" s="99"/>
      <c r="T1736" s="99"/>
      <c r="U1736" s="105"/>
      <c r="V1736" s="262"/>
      <c r="W1736" s="121"/>
      <c r="X1736" s="121"/>
      <c r="Y1736" s="121"/>
      <c r="Z1736" s="121"/>
      <c r="AA1736" s="121"/>
      <c r="AB1736" s="121"/>
      <c r="AC1736" s="121"/>
      <c r="AD1736" s="121"/>
      <c r="AE1736" s="121"/>
      <c r="AF1736" s="121"/>
      <c r="AG1736" s="121"/>
      <c r="AH1736" s="121"/>
      <c r="AI1736" s="121"/>
    </row>
    <row r="1737" spans="1:35" s="115" customFormat="1" ht="14.4">
      <c r="A1737" s="187"/>
      <c r="B1737" s="190"/>
      <c r="C1737" s="190"/>
      <c r="D1737" s="69"/>
      <c r="E1737" s="69"/>
      <c r="F1737" s="149"/>
      <c r="G1737" s="146"/>
      <c r="H1737" s="98"/>
      <c r="I1737" s="99"/>
      <c r="J1737" s="99"/>
      <c r="K1737" s="99"/>
      <c r="L1737" s="99"/>
      <c r="M1737" s="99"/>
      <c r="N1737" s="99"/>
      <c r="O1737" s="99"/>
      <c r="P1737" s="99"/>
      <c r="Q1737" s="99"/>
      <c r="R1737" s="99"/>
      <c r="S1737" s="99"/>
      <c r="T1737" s="99"/>
      <c r="U1737" s="105"/>
      <c r="V1737" s="262"/>
      <c r="W1737" s="121"/>
      <c r="X1737" s="121"/>
      <c r="Y1737" s="121"/>
      <c r="Z1737" s="121"/>
      <c r="AA1737" s="121"/>
      <c r="AB1737" s="121"/>
      <c r="AC1737" s="121"/>
      <c r="AD1737" s="121"/>
      <c r="AE1737" s="121"/>
      <c r="AF1737" s="121"/>
      <c r="AG1737" s="121"/>
      <c r="AH1737" s="121"/>
      <c r="AI1737" s="121"/>
    </row>
    <row r="1738" spans="1:35" s="115" customFormat="1" ht="14.4">
      <c r="A1738" s="187"/>
      <c r="B1738" s="190"/>
      <c r="C1738" s="190"/>
      <c r="D1738" s="69"/>
      <c r="E1738" s="69"/>
      <c r="F1738" s="149"/>
      <c r="G1738" s="146"/>
      <c r="H1738" s="98"/>
      <c r="I1738" s="99"/>
      <c r="J1738" s="99"/>
      <c r="K1738" s="99"/>
      <c r="L1738" s="99"/>
      <c r="M1738" s="99"/>
      <c r="N1738" s="99"/>
      <c r="O1738" s="99"/>
      <c r="P1738" s="99"/>
      <c r="Q1738" s="99"/>
      <c r="R1738" s="99"/>
      <c r="S1738" s="99"/>
      <c r="T1738" s="99"/>
      <c r="U1738" s="105"/>
      <c r="V1738" s="262"/>
      <c r="W1738" s="121"/>
      <c r="X1738" s="121"/>
      <c r="Y1738" s="121"/>
      <c r="Z1738" s="121"/>
      <c r="AA1738" s="121"/>
      <c r="AB1738" s="121"/>
      <c r="AC1738" s="121"/>
      <c r="AD1738" s="121"/>
      <c r="AE1738" s="121"/>
      <c r="AF1738" s="121"/>
      <c r="AG1738" s="121"/>
      <c r="AH1738" s="121"/>
      <c r="AI1738" s="121"/>
    </row>
    <row r="1739" spans="1:35" s="115" customFormat="1" ht="14.4">
      <c r="A1739" s="187"/>
      <c r="B1739" s="190"/>
      <c r="C1739" s="190"/>
      <c r="D1739" s="69"/>
      <c r="E1739" s="69"/>
      <c r="F1739" s="149"/>
      <c r="G1739" s="146"/>
      <c r="H1739" s="98"/>
      <c r="I1739" s="99"/>
      <c r="J1739" s="99"/>
      <c r="K1739" s="99"/>
      <c r="L1739" s="99"/>
      <c r="M1739" s="99"/>
      <c r="N1739" s="99"/>
      <c r="O1739" s="99"/>
      <c r="P1739" s="99"/>
      <c r="Q1739" s="99"/>
      <c r="R1739" s="99"/>
      <c r="S1739" s="99"/>
      <c r="T1739" s="99"/>
      <c r="U1739" s="105"/>
      <c r="V1739" s="262"/>
      <c r="W1739" s="121"/>
      <c r="X1739" s="121"/>
      <c r="Y1739" s="121"/>
      <c r="Z1739" s="121"/>
      <c r="AA1739" s="121"/>
      <c r="AB1739" s="121"/>
      <c r="AC1739" s="121"/>
      <c r="AD1739" s="121"/>
      <c r="AE1739" s="121"/>
      <c r="AF1739" s="121"/>
      <c r="AG1739" s="121"/>
      <c r="AH1739" s="121"/>
      <c r="AI1739" s="121"/>
    </row>
    <row r="1740" spans="1:35" s="115" customFormat="1" ht="14.4">
      <c r="A1740" s="187"/>
      <c r="B1740" s="190"/>
      <c r="C1740" s="190"/>
      <c r="D1740" s="69"/>
      <c r="E1740" s="69"/>
      <c r="F1740" s="149"/>
      <c r="G1740" s="146"/>
      <c r="H1740" s="98"/>
      <c r="I1740" s="99"/>
      <c r="J1740" s="99"/>
      <c r="K1740" s="99"/>
      <c r="L1740" s="99"/>
      <c r="M1740" s="99"/>
      <c r="N1740" s="99"/>
      <c r="O1740" s="99"/>
      <c r="P1740" s="99"/>
      <c r="Q1740" s="99"/>
      <c r="R1740" s="99"/>
      <c r="S1740" s="99"/>
      <c r="T1740" s="99"/>
      <c r="U1740" s="105"/>
      <c r="V1740" s="262"/>
      <c r="W1740" s="121"/>
      <c r="X1740" s="121"/>
      <c r="Y1740" s="121"/>
      <c r="Z1740" s="121"/>
      <c r="AA1740" s="121"/>
      <c r="AB1740" s="121"/>
      <c r="AC1740" s="121"/>
      <c r="AD1740" s="121"/>
      <c r="AE1740" s="121"/>
      <c r="AF1740" s="121"/>
      <c r="AG1740" s="121"/>
      <c r="AH1740" s="121"/>
      <c r="AI1740" s="121"/>
    </row>
    <row r="1741" spans="1:35" s="115" customFormat="1" ht="14.4">
      <c r="A1741" s="187"/>
      <c r="B1741" s="190"/>
      <c r="C1741" s="190"/>
      <c r="D1741" s="69"/>
      <c r="E1741" s="69"/>
      <c r="F1741" s="149"/>
      <c r="G1741" s="146"/>
      <c r="H1741" s="98"/>
      <c r="I1741" s="99"/>
      <c r="J1741" s="99"/>
      <c r="K1741" s="99"/>
      <c r="L1741" s="99"/>
      <c r="M1741" s="99"/>
      <c r="N1741" s="99"/>
      <c r="O1741" s="99"/>
      <c r="P1741" s="99"/>
      <c r="Q1741" s="99"/>
      <c r="R1741" s="99"/>
      <c r="S1741" s="99"/>
      <c r="T1741" s="99"/>
      <c r="U1741" s="105"/>
      <c r="V1741" s="262"/>
      <c r="W1741" s="121"/>
      <c r="X1741" s="121"/>
      <c r="Y1741" s="121"/>
      <c r="Z1741" s="121"/>
      <c r="AA1741" s="121"/>
      <c r="AB1741" s="121"/>
      <c r="AC1741" s="121"/>
      <c r="AD1741" s="121"/>
      <c r="AE1741" s="121"/>
      <c r="AF1741" s="121"/>
      <c r="AG1741" s="121"/>
      <c r="AH1741" s="121"/>
      <c r="AI1741" s="121"/>
    </row>
    <row r="1742" spans="1:35" s="115" customFormat="1" ht="14.4">
      <c r="A1742" s="187"/>
      <c r="B1742" s="190"/>
      <c r="C1742" s="190"/>
      <c r="D1742" s="69"/>
      <c r="E1742" s="69"/>
      <c r="F1742" s="149"/>
      <c r="G1742" s="146"/>
      <c r="H1742" s="98"/>
      <c r="I1742" s="99"/>
      <c r="J1742" s="99"/>
      <c r="K1742" s="99"/>
      <c r="L1742" s="99"/>
      <c r="M1742" s="99"/>
      <c r="N1742" s="99"/>
      <c r="O1742" s="99"/>
      <c r="P1742" s="99"/>
      <c r="Q1742" s="99"/>
      <c r="R1742" s="99"/>
      <c r="S1742" s="99"/>
      <c r="T1742" s="99"/>
      <c r="U1742" s="105"/>
      <c r="V1742" s="262"/>
      <c r="W1742" s="121"/>
      <c r="X1742" s="121"/>
      <c r="Y1742" s="121"/>
      <c r="Z1742" s="121"/>
      <c r="AA1742" s="121"/>
      <c r="AB1742" s="121"/>
      <c r="AC1742" s="121"/>
      <c r="AD1742" s="121"/>
      <c r="AE1742" s="121"/>
      <c r="AF1742" s="121"/>
      <c r="AG1742" s="121"/>
      <c r="AH1742" s="121"/>
      <c r="AI1742" s="121"/>
    </row>
    <row r="1743" spans="1:35" s="115" customFormat="1" ht="14.4">
      <c r="A1743" s="187"/>
      <c r="B1743" s="190"/>
      <c r="C1743" s="190"/>
      <c r="D1743" s="69"/>
      <c r="E1743" s="69"/>
      <c r="F1743" s="149"/>
      <c r="G1743" s="146"/>
      <c r="H1743" s="98"/>
      <c r="I1743" s="99"/>
      <c r="J1743" s="99"/>
      <c r="K1743" s="99"/>
      <c r="L1743" s="99"/>
      <c r="M1743" s="99"/>
      <c r="N1743" s="99"/>
      <c r="O1743" s="99"/>
      <c r="P1743" s="99"/>
      <c r="Q1743" s="99"/>
      <c r="R1743" s="99"/>
      <c r="S1743" s="99"/>
      <c r="T1743" s="99"/>
      <c r="U1743" s="105"/>
      <c r="V1743" s="262"/>
      <c r="W1743" s="121"/>
      <c r="X1743" s="121"/>
      <c r="Y1743" s="121"/>
      <c r="Z1743" s="121"/>
      <c r="AA1743" s="121"/>
      <c r="AB1743" s="121"/>
      <c r="AC1743" s="121"/>
      <c r="AD1743" s="121"/>
      <c r="AE1743" s="121"/>
      <c r="AF1743" s="121"/>
      <c r="AG1743" s="121"/>
      <c r="AH1743" s="121"/>
      <c r="AI1743" s="121"/>
    </row>
    <row r="1744" spans="1:35" s="115" customFormat="1" ht="14.4">
      <c r="A1744" s="187"/>
      <c r="B1744" s="190"/>
      <c r="C1744" s="190"/>
      <c r="D1744" s="69"/>
      <c r="E1744" s="69"/>
      <c r="F1744" s="149"/>
      <c r="G1744" s="146"/>
      <c r="H1744" s="98"/>
      <c r="I1744" s="99"/>
      <c r="J1744" s="99"/>
      <c r="K1744" s="99"/>
      <c r="L1744" s="99"/>
      <c r="M1744" s="99"/>
      <c r="N1744" s="99"/>
      <c r="O1744" s="99"/>
      <c r="P1744" s="99"/>
      <c r="Q1744" s="99"/>
      <c r="R1744" s="99"/>
      <c r="S1744" s="99"/>
      <c r="T1744" s="99"/>
      <c r="U1744" s="105"/>
      <c r="V1744" s="262"/>
      <c r="W1744" s="121"/>
      <c r="X1744" s="121"/>
      <c r="Y1744" s="121"/>
      <c r="Z1744" s="121"/>
      <c r="AA1744" s="121"/>
      <c r="AB1744" s="121"/>
      <c r="AC1744" s="121"/>
      <c r="AD1744" s="121"/>
      <c r="AE1744" s="121"/>
      <c r="AF1744" s="121"/>
      <c r="AG1744" s="121"/>
      <c r="AH1744" s="121"/>
      <c r="AI1744" s="121"/>
    </row>
    <row r="1745" spans="1:35" s="115" customFormat="1" ht="14.4">
      <c r="A1745" s="187"/>
      <c r="B1745" s="190"/>
      <c r="C1745" s="190"/>
      <c r="D1745" s="69"/>
      <c r="E1745" s="69"/>
      <c r="F1745" s="149"/>
      <c r="G1745" s="146"/>
      <c r="H1745" s="98"/>
      <c r="I1745" s="99"/>
      <c r="J1745" s="99"/>
      <c r="K1745" s="99"/>
      <c r="L1745" s="99"/>
      <c r="M1745" s="99"/>
      <c r="N1745" s="99"/>
      <c r="O1745" s="99"/>
      <c r="P1745" s="99"/>
      <c r="Q1745" s="99"/>
      <c r="R1745" s="99"/>
      <c r="S1745" s="99"/>
      <c r="T1745" s="99"/>
      <c r="U1745" s="105"/>
      <c r="V1745" s="262"/>
      <c r="W1745" s="121"/>
      <c r="X1745" s="121"/>
      <c r="Y1745" s="121"/>
      <c r="Z1745" s="121"/>
      <c r="AA1745" s="121"/>
      <c r="AB1745" s="121"/>
      <c r="AC1745" s="121"/>
      <c r="AD1745" s="121"/>
      <c r="AE1745" s="121"/>
      <c r="AF1745" s="121"/>
      <c r="AG1745" s="121"/>
      <c r="AH1745" s="121"/>
      <c r="AI1745" s="121"/>
    </row>
    <row r="1746" spans="1:35" s="115" customFormat="1" ht="14.4">
      <c r="A1746" s="187"/>
      <c r="B1746" s="190"/>
      <c r="C1746" s="190"/>
      <c r="D1746" s="69"/>
      <c r="E1746" s="69"/>
      <c r="F1746" s="149"/>
      <c r="G1746" s="146"/>
      <c r="H1746" s="98"/>
      <c r="I1746" s="99"/>
      <c r="J1746" s="99"/>
      <c r="K1746" s="99"/>
      <c r="L1746" s="99"/>
      <c r="M1746" s="99"/>
      <c r="N1746" s="99"/>
      <c r="O1746" s="99"/>
      <c r="P1746" s="99"/>
      <c r="Q1746" s="99"/>
      <c r="R1746" s="99"/>
      <c r="S1746" s="99"/>
      <c r="T1746" s="99"/>
      <c r="U1746" s="105"/>
      <c r="V1746" s="262"/>
      <c r="W1746" s="121"/>
      <c r="X1746" s="121"/>
      <c r="Y1746" s="121"/>
      <c r="Z1746" s="121"/>
      <c r="AA1746" s="121"/>
      <c r="AB1746" s="121"/>
      <c r="AC1746" s="121"/>
      <c r="AD1746" s="121"/>
      <c r="AE1746" s="121"/>
      <c r="AF1746" s="121"/>
      <c r="AG1746" s="121"/>
      <c r="AH1746" s="121"/>
      <c r="AI1746" s="121"/>
    </row>
    <row r="1747" spans="1:35" s="115" customFormat="1" ht="14.4">
      <c r="A1747" s="187"/>
      <c r="B1747" s="190"/>
      <c r="C1747" s="190"/>
      <c r="D1747" s="69"/>
      <c r="E1747" s="69"/>
      <c r="F1747" s="149"/>
      <c r="G1747" s="146"/>
      <c r="H1747" s="98"/>
      <c r="I1747" s="99"/>
      <c r="J1747" s="99"/>
      <c r="K1747" s="99"/>
      <c r="L1747" s="99"/>
      <c r="M1747" s="99"/>
      <c r="N1747" s="99"/>
      <c r="O1747" s="99"/>
      <c r="P1747" s="99"/>
      <c r="Q1747" s="99"/>
      <c r="R1747" s="99"/>
      <c r="S1747" s="99"/>
      <c r="T1747" s="99"/>
      <c r="U1747" s="105"/>
      <c r="V1747" s="262"/>
      <c r="W1747" s="121"/>
      <c r="X1747" s="121"/>
      <c r="Y1747" s="121"/>
      <c r="Z1747" s="121"/>
      <c r="AA1747" s="121"/>
      <c r="AB1747" s="121"/>
      <c r="AC1747" s="121"/>
      <c r="AD1747" s="121"/>
      <c r="AE1747" s="121"/>
      <c r="AF1747" s="121"/>
      <c r="AG1747" s="121"/>
      <c r="AH1747" s="121"/>
      <c r="AI1747" s="121"/>
    </row>
    <row r="1748" spans="1:35" s="115" customFormat="1" ht="14.4">
      <c r="A1748" s="187"/>
      <c r="B1748" s="190"/>
      <c r="C1748" s="190"/>
      <c r="D1748" s="69"/>
      <c r="E1748" s="69"/>
      <c r="F1748" s="149"/>
      <c r="G1748" s="146"/>
      <c r="H1748" s="98"/>
      <c r="I1748" s="99"/>
      <c r="J1748" s="99"/>
      <c r="K1748" s="99"/>
      <c r="L1748" s="99"/>
      <c r="M1748" s="99"/>
      <c r="N1748" s="99"/>
      <c r="O1748" s="99"/>
      <c r="P1748" s="99"/>
      <c r="Q1748" s="99"/>
      <c r="R1748" s="99"/>
      <c r="S1748" s="99"/>
      <c r="T1748" s="99"/>
      <c r="U1748" s="105"/>
      <c r="V1748" s="262"/>
      <c r="W1748" s="121"/>
      <c r="X1748" s="121"/>
      <c r="Y1748" s="121"/>
      <c r="Z1748" s="121"/>
      <c r="AA1748" s="121"/>
      <c r="AB1748" s="121"/>
      <c r="AC1748" s="121"/>
      <c r="AD1748" s="121"/>
      <c r="AE1748" s="121"/>
      <c r="AF1748" s="121"/>
      <c r="AG1748" s="121"/>
      <c r="AH1748" s="121"/>
      <c r="AI1748" s="121"/>
    </row>
    <row r="1749" spans="1:35" s="115" customFormat="1" ht="14.4">
      <c r="A1749" s="187"/>
      <c r="B1749" s="190"/>
      <c r="C1749" s="190"/>
      <c r="D1749" s="69"/>
      <c r="E1749" s="69"/>
      <c r="F1749" s="149"/>
      <c r="G1749" s="146"/>
      <c r="H1749" s="98"/>
      <c r="I1749" s="99"/>
      <c r="J1749" s="99"/>
      <c r="K1749" s="99"/>
      <c r="L1749" s="99"/>
      <c r="M1749" s="99"/>
      <c r="N1749" s="99"/>
      <c r="O1749" s="99"/>
      <c r="P1749" s="99"/>
      <c r="Q1749" s="99"/>
      <c r="R1749" s="99"/>
      <c r="S1749" s="99"/>
      <c r="T1749" s="99"/>
      <c r="U1749" s="105"/>
      <c r="V1749" s="262"/>
      <c r="W1749" s="121"/>
      <c r="X1749" s="121"/>
      <c r="Y1749" s="121"/>
      <c r="Z1749" s="121"/>
      <c r="AA1749" s="121"/>
      <c r="AB1749" s="121"/>
      <c r="AC1749" s="121"/>
      <c r="AD1749" s="121"/>
      <c r="AE1749" s="121"/>
      <c r="AF1749" s="121"/>
      <c r="AG1749" s="121"/>
      <c r="AH1749" s="121"/>
      <c r="AI1749" s="121"/>
    </row>
    <row r="1750" spans="1:35" s="115" customFormat="1" ht="14.4">
      <c r="A1750" s="187"/>
      <c r="B1750" s="190"/>
      <c r="C1750" s="190"/>
      <c r="D1750" s="69"/>
      <c r="E1750" s="69"/>
      <c r="F1750" s="149"/>
      <c r="G1750" s="146"/>
      <c r="H1750" s="98"/>
      <c r="I1750" s="99"/>
      <c r="J1750" s="99"/>
      <c r="K1750" s="99"/>
      <c r="L1750" s="99"/>
      <c r="M1750" s="99"/>
      <c r="N1750" s="99"/>
      <c r="O1750" s="99"/>
      <c r="P1750" s="99"/>
      <c r="Q1750" s="99"/>
      <c r="R1750" s="99"/>
      <c r="S1750" s="99"/>
      <c r="T1750" s="99"/>
      <c r="U1750" s="105"/>
      <c r="V1750" s="262"/>
      <c r="W1750" s="121"/>
      <c r="X1750" s="121"/>
      <c r="Y1750" s="121"/>
      <c r="Z1750" s="121"/>
      <c r="AA1750" s="121"/>
      <c r="AB1750" s="121"/>
      <c r="AC1750" s="121"/>
      <c r="AD1750" s="121"/>
      <c r="AE1750" s="121"/>
      <c r="AF1750" s="121"/>
      <c r="AG1750" s="121"/>
      <c r="AH1750" s="121"/>
      <c r="AI1750" s="121"/>
    </row>
    <row r="1751" spans="1:35" s="115" customFormat="1" ht="14.4">
      <c r="A1751" s="187"/>
      <c r="B1751" s="190"/>
      <c r="C1751" s="190"/>
      <c r="D1751" s="69"/>
      <c r="E1751" s="69"/>
      <c r="F1751" s="149"/>
      <c r="G1751" s="146"/>
      <c r="H1751" s="98"/>
      <c r="I1751" s="99"/>
      <c r="J1751" s="99"/>
      <c r="K1751" s="99"/>
      <c r="L1751" s="99"/>
      <c r="M1751" s="99"/>
      <c r="N1751" s="99"/>
      <c r="O1751" s="99"/>
      <c r="P1751" s="99"/>
      <c r="Q1751" s="99"/>
      <c r="R1751" s="99"/>
      <c r="S1751" s="99"/>
      <c r="T1751" s="99"/>
      <c r="U1751" s="105"/>
      <c r="V1751" s="262"/>
      <c r="W1751" s="121"/>
      <c r="X1751" s="121"/>
      <c r="Y1751" s="121"/>
      <c r="Z1751" s="121"/>
      <c r="AA1751" s="121"/>
      <c r="AB1751" s="121"/>
      <c r="AC1751" s="121"/>
      <c r="AD1751" s="121"/>
      <c r="AE1751" s="121"/>
      <c r="AF1751" s="121"/>
      <c r="AG1751" s="121"/>
      <c r="AH1751" s="121"/>
      <c r="AI1751" s="121"/>
    </row>
    <row r="1752" spans="1:35" s="115" customFormat="1" ht="14.4">
      <c r="A1752" s="187"/>
      <c r="B1752" s="190"/>
      <c r="C1752" s="190"/>
      <c r="D1752" s="69"/>
      <c r="E1752" s="69"/>
      <c r="F1752" s="149"/>
      <c r="G1752" s="146"/>
      <c r="H1752" s="98"/>
      <c r="I1752" s="99"/>
      <c r="J1752" s="99"/>
      <c r="K1752" s="99"/>
      <c r="L1752" s="99"/>
      <c r="M1752" s="99"/>
      <c r="N1752" s="99"/>
      <c r="O1752" s="99"/>
      <c r="P1752" s="99"/>
      <c r="Q1752" s="99"/>
      <c r="R1752" s="99"/>
      <c r="S1752" s="99"/>
      <c r="T1752" s="99"/>
      <c r="U1752" s="105"/>
      <c r="V1752" s="262"/>
      <c r="W1752" s="121"/>
      <c r="X1752" s="121"/>
      <c r="Y1752" s="121"/>
      <c r="Z1752" s="121"/>
      <c r="AA1752" s="121"/>
      <c r="AB1752" s="121"/>
      <c r="AC1752" s="121"/>
      <c r="AD1752" s="121"/>
      <c r="AE1752" s="121"/>
      <c r="AF1752" s="121"/>
      <c r="AG1752" s="121"/>
      <c r="AH1752" s="121"/>
      <c r="AI1752" s="121"/>
    </row>
    <row r="1753" spans="1:35" s="115" customFormat="1" ht="14.4">
      <c r="A1753" s="187"/>
      <c r="B1753" s="190"/>
      <c r="C1753" s="190"/>
      <c r="D1753" s="69"/>
      <c r="E1753" s="69"/>
      <c r="F1753" s="149"/>
      <c r="G1753" s="146"/>
      <c r="H1753" s="98"/>
      <c r="I1753" s="99"/>
      <c r="J1753" s="99"/>
      <c r="K1753" s="99"/>
      <c r="L1753" s="99"/>
      <c r="M1753" s="99"/>
      <c r="N1753" s="99"/>
      <c r="O1753" s="99"/>
      <c r="P1753" s="99"/>
      <c r="Q1753" s="99"/>
      <c r="R1753" s="99"/>
      <c r="S1753" s="99"/>
      <c r="T1753" s="99"/>
      <c r="U1753" s="105"/>
      <c r="V1753" s="262"/>
      <c r="W1753" s="121"/>
      <c r="X1753" s="121"/>
      <c r="Y1753" s="121"/>
      <c r="Z1753" s="121"/>
      <c r="AA1753" s="121"/>
      <c r="AB1753" s="121"/>
      <c r="AC1753" s="121"/>
      <c r="AD1753" s="121"/>
      <c r="AE1753" s="121"/>
      <c r="AF1753" s="121"/>
      <c r="AG1753" s="121"/>
      <c r="AH1753" s="121"/>
      <c r="AI1753" s="121"/>
    </row>
    <row r="1754" spans="1:35" s="115" customFormat="1" ht="14.4">
      <c r="A1754" s="187"/>
      <c r="B1754" s="190"/>
      <c r="C1754" s="190"/>
      <c r="D1754" s="69"/>
      <c r="E1754" s="69"/>
      <c r="F1754" s="149"/>
      <c r="G1754" s="146"/>
      <c r="H1754" s="98"/>
      <c r="I1754" s="99"/>
      <c r="J1754" s="99"/>
      <c r="K1754" s="99"/>
      <c r="L1754" s="99"/>
      <c r="M1754" s="99"/>
      <c r="N1754" s="99"/>
      <c r="O1754" s="99"/>
      <c r="P1754" s="99"/>
      <c r="Q1754" s="99"/>
      <c r="R1754" s="99"/>
      <c r="S1754" s="99"/>
      <c r="T1754" s="99"/>
      <c r="U1754" s="105"/>
      <c r="V1754" s="262"/>
      <c r="W1754" s="121"/>
      <c r="X1754" s="121"/>
      <c r="Y1754" s="121"/>
      <c r="Z1754" s="121"/>
      <c r="AA1754" s="121"/>
      <c r="AB1754" s="121"/>
      <c r="AC1754" s="121"/>
      <c r="AD1754" s="121"/>
      <c r="AE1754" s="121"/>
      <c r="AF1754" s="121"/>
      <c r="AG1754" s="121"/>
      <c r="AH1754" s="121"/>
      <c r="AI1754" s="121"/>
    </row>
    <row r="1755" spans="1:35" s="115" customFormat="1" ht="14.4">
      <c r="A1755" s="187"/>
      <c r="B1755" s="190"/>
      <c r="C1755" s="190"/>
      <c r="D1755" s="69"/>
      <c r="E1755" s="69"/>
      <c r="F1755" s="149"/>
      <c r="G1755" s="146"/>
      <c r="H1755" s="98"/>
      <c r="I1755" s="99"/>
      <c r="J1755" s="99"/>
      <c r="K1755" s="99"/>
      <c r="L1755" s="99"/>
      <c r="M1755" s="99"/>
      <c r="N1755" s="99"/>
      <c r="O1755" s="99"/>
      <c r="P1755" s="99"/>
      <c r="Q1755" s="99"/>
      <c r="R1755" s="99"/>
      <c r="S1755" s="99"/>
      <c r="T1755" s="99"/>
      <c r="U1755" s="105"/>
      <c r="V1755" s="262"/>
      <c r="W1755" s="121"/>
      <c r="X1755" s="121"/>
      <c r="Y1755" s="121"/>
      <c r="Z1755" s="121"/>
      <c r="AA1755" s="121"/>
      <c r="AB1755" s="121"/>
      <c r="AC1755" s="121"/>
      <c r="AD1755" s="121"/>
      <c r="AE1755" s="121"/>
      <c r="AF1755" s="121"/>
      <c r="AG1755" s="121"/>
      <c r="AH1755" s="121"/>
      <c r="AI1755" s="121"/>
    </row>
    <row r="1756" spans="1:35" s="115" customFormat="1" ht="14.4">
      <c r="A1756" s="187"/>
      <c r="B1756" s="190"/>
      <c r="C1756" s="190"/>
      <c r="D1756" s="69"/>
      <c r="E1756" s="69"/>
      <c r="F1756" s="149"/>
      <c r="G1756" s="146"/>
      <c r="H1756" s="98"/>
      <c r="I1756" s="99"/>
      <c r="J1756" s="99"/>
      <c r="K1756" s="99"/>
      <c r="L1756" s="99"/>
      <c r="M1756" s="99"/>
      <c r="N1756" s="99"/>
      <c r="O1756" s="99"/>
      <c r="P1756" s="99"/>
      <c r="Q1756" s="99"/>
      <c r="R1756" s="99"/>
      <c r="S1756" s="99"/>
      <c r="T1756" s="99"/>
      <c r="U1756" s="105"/>
      <c r="V1756" s="262"/>
      <c r="W1756" s="121"/>
      <c r="X1756" s="121"/>
      <c r="Y1756" s="121"/>
      <c r="Z1756" s="121"/>
      <c r="AA1756" s="121"/>
      <c r="AB1756" s="121"/>
      <c r="AC1756" s="121"/>
      <c r="AD1756" s="121"/>
      <c r="AE1756" s="121"/>
      <c r="AF1756" s="121"/>
      <c r="AG1756" s="121"/>
      <c r="AH1756" s="121"/>
      <c r="AI1756" s="121"/>
    </row>
    <row r="1757" spans="1:35" s="115" customFormat="1" ht="14.4">
      <c r="A1757" s="187"/>
      <c r="B1757" s="190"/>
      <c r="C1757" s="190"/>
      <c r="D1757" s="69"/>
      <c r="E1757" s="69"/>
      <c r="F1757" s="149"/>
      <c r="G1757" s="146"/>
      <c r="H1757" s="98"/>
      <c r="I1757" s="99"/>
      <c r="J1757" s="99"/>
      <c r="K1757" s="99"/>
      <c r="L1757" s="99"/>
      <c r="M1757" s="99"/>
      <c r="N1757" s="99"/>
      <c r="O1757" s="99"/>
      <c r="P1757" s="99"/>
      <c r="Q1757" s="99"/>
      <c r="R1757" s="99"/>
      <c r="S1757" s="99"/>
      <c r="T1757" s="99"/>
      <c r="U1757" s="105"/>
      <c r="V1757" s="262"/>
      <c r="W1757" s="121"/>
      <c r="X1757" s="121"/>
      <c r="Y1757" s="121"/>
      <c r="Z1757" s="121"/>
      <c r="AA1757" s="121"/>
      <c r="AB1757" s="121"/>
      <c r="AC1757" s="121"/>
      <c r="AD1757" s="121"/>
      <c r="AE1757" s="121"/>
      <c r="AF1757" s="121"/>
      <c r="AG1757" s="121"/>
      <c r="AH1757" s="121"/>
      <c r="AI1757" s="121"/>
    </row>
    <row r="1758" spans="1:35" s="115" customFormat="1" ht="14.4">
      <c r="A1758" s="187"/>
      <c r="B1758" s="190"/>
      <c r="C1758" s="190"/>
      <c r="D1758" s="69"/>
      <c r="E1758" s="69"/>
      <c r="F1758" s="149"/>
      <c r="G1758" s="146"/>
      <c r="H1758" s="98"/>
      <c r="I1758" s="99"/>
      <c r="J1758" s="99"/>
      <c r="K1758" s="99"/>
      <c r="L1758" s="99"/>
      <c r="M1758" s="99"/>
      <c r="N1758" s="99"/>
      <c r="O1758" s="99"/>
      <c r="P1758" s="99"/>
      <c r="Q1758" s="99"/>
      <c r="R1758" s="99"/>
      <c r="S1758" s="99"/>
      <c r="T1758" s="99"/>
      <c r="U1758" s="105"/>
      <c r="V1758" s="262"/>
      <c r="W1758" s="121"/>
      <c r="X1758" s="121"/>
      <c r="Y1758" s="121"/>
      <c r="Z1758" s="121"/>
      <c r="AA1758" s="121"/>
      <c r="AB1758" s="121"/>
      <c r="AC1758" s="121"/>
      <c r="AD1758" s="121"/>
      <c r="AE1758" s="121"/>
      <c r="AF1758" s="121"/>
      <c r="AG1758" s="121"/>
      <c r="AH1758" s="121"/>
      <c r="AI1758" s="121"/>
    </row>
    <row r="1759" spans="1:35" s="115" customFormat="1" ht="14.4">
      <c r="A1759" s="187"/>
      <c r="B1759" s="190"/>
      <c r="C1759" s="190"/>
      <c r="D1759" s="69"/>
      <c r="E1759" s="69"/>
      <c r="F1759" s="149"/>
      <c r="G1759" s="146"/>
      <c r="H1759" s="98"/>
      <c r="I1759" s="99"/>
      <c r="J1759" s="99"/>
      <c r="K1759" s="99"/>
      <c r="L1759" s="99"/>
      <c r="M1759" s="99"/>
      <c r="N1759" s="99"/>
      <c r="O1759" s="99"/>
      <c r="P1759" s="99"/>
      <c r="Q1759" s="99"/>
      <c r="R1759" s="99"/>
      <c r="S1759" s="99"/>
      <c r="T1759" s="99"/>
      <c r="U1759" s="105"/>
      <c r="V1759" s="262"/>
      <c r="W1759" s="121"/>
      <c r="X1759" s="121"/>
      <c r="Y1759" s="121"/>
      <c r="Z1759" s="121"/>
      <c r="AA1759" s="121"/>
      <c r="AB1759" s="121"/>
      <c r="AC1759" s="121"/>
      <c r="AD1759" s="121"/>
      <c r="AE1759" s="121"/>
      <c r="AF1759" s="121"/>
      <c r="AG1759" s="121"/>
      <c r="AH1759" s="121"/>
      <c r="AI1759" s="121"/>
    </row>
    <row r="1760" spans="1:35" s="115" customFormat="1" ht="14.4">
      <c r="A1760" s="187"/>
      <c r="B1760" s="190"/>
      <c r="C1760" s="190"/>
      <c r="D1760" s="69"/>
      <c r="E1760" s="69"/>
      <c r="F1760" s="149"/>
      <c r="G1760" s="146"/>
      <c r="H1760" s="98"/>
      <c r="I1760" s="99"/>
      <c r="J1760" s="99"/>
      <c r="K1760" s="99"/>
      <c r="L1760" s="99"/>
      <c r="M1760" s="99"/>
      <c r="N1760" s="99"/>
      <c r="O1760" s="99"/>
      <c r="P1760" s="99"/>
      <c r="Q1760" s="99"/>
      <c r="R1760" s="99"/>
      <c r="S1760" s="99"/>
      <c r="T1760" s="99"/>
      <c r="U1760" s="105"/>
      <c r="V1760" s="262"/>
      <c r="W1760" s="121"/>
      <c r="X1760" s="121"/>
      <c r="Y1760" s="121"/>
      <c r="Z1760" s="121"/>
      <c r="AA1760" s="121"/>
      <c r="AB1760" s="121"/>
      <c r="AC1760" s="121"/>
      <c r="AD1760" s="121"/>
      <c r="AE1760" s="121"/>
      <c r="AF1760" s="121"/>
      <c r="AG1760" s="121"/>
      <c r="AH1760" s="121"/>
      <c r="AI1760" s="121"/>
    </row>
    <row r="1761" spans="1:35" s="115" customFormat="1" ht="14.4">
      <c r="A1761" s="187"/>
      <c r="B1761" s="190"/>
      <c r="C1761" s="190"/>
      <c r="D1761" s="69"/>
      <c r="E1761" s="69"/>
      <c r="F1761" s="149"/>
      <c r="G1761" s="146"/>
      <c r="H1761" s="107"/>
      <c r="I1761" s="109"/>
      <c r="J1761" s="109"/>
      <c r="K1761" s="109"/>
      <c r="L1761" s="109"/>
      <c r="M1761" s="109"/>
      <c r="N1761" s="109"/>
      <c r="O1761" s="109"/>
      <c r="P1761" s="109"/>
      <c r="Q1761" s="109"/>
      <c r="R1761" s="109"/>
      <c r="S1761" s="109"/>
      <c r="T1761" s="109"/>
      <c r="U1761" s="105"/>
      <c r="V1761" s="262"/>
      <c r="W1761" s="121"/>
      <c r="X1761" s="121"/>
      <c r="Y1761" s="121"/>
      <c r="Z1761" s="121"/>
      <c r="AA1761" s="121"/>
      <c r="AB1761" s="121"/>
      <c r="AC1761" s="121"/>
      <c r="AD1761" s="121"/>
      <c r="AE1761" s="121"/>
      <c r="AF1761" s="121"/>
      <c r="AG1761" s="121"/>
      <c r="AH1761" s="121"/>
      <c r="AI1761" s="121"/>
    </row>
    <row r="1762" spans="1:35" s="115" customFormat="1" ht="14.4">
      <c r="A1762" s="187"/>
      <c r="B1762" s="190"/>
      <c r="C1762" s="190"/>
      <c r="D1762" s="69"/>
      <c r="E1762" s="69"/>
      <c r="F1762" s="149"/>
      <c r="G1762" s="146"/>
      <c r="H1762" s="98"/>
      <c r="I1762" s="106"/>
      <c r="J1762" s="106"/>
      <c r="K1762" s="106"/>
      <c r="L1762" s="106"/>
      <c r="M1762" s="106"/>
      <c r="N1762" s="112"/>
      <c r="O1762" s="112"/>
      <c r="P1762" s="112"/>
      <c r="Q1762" s="113"/>
      <c r="R1762" s="113"/>
      <c r="S1762" s="113"/>
      <c r="T1762" s="113"/>
      <c r="U1762" s="105"/>
      <c r="V1762" s="262"/>
      <c r="W1762" s="121"/>
      <c r="X1762" s="121"/>
      <c r="Y1762" s="121"/>
      <c r="Z1762" s="121"/>
      <c r="AA1762" s="121"/>
      <c r="AB1762" s="121"/>
      <c r="AC1762" s="121"/>
      <c r="AD1762" s="121"/>
      <c r="AE1762" s="121"/>
      <c r="AF1762" s="121"/>
      <c r="AG1762" s="121"/>
      <c r="AH1762" s="121"/>
      <c r="AI1762" s="121"/>
    </row>
    <row r="1763" spans="1:35" s="115" customFormat="1" ht="14.4">
      <c r="A1763" s="187"/>
      <c r="B1763" s="190"/>
      <c r="C1763" s="190"/>
      <c r="D1763" s="69"/>
      <c r="E1763" s="69"/>
      <c r="F1763" s="149"/>
      <c r="G1763" s="146"/>
      <c r="H1763" s="98"/>
      <c r="I1763" s="99"/>
      <c r="J1763" s="99"/>
      <c r="K1763" s="99"/>
      <c r="L1763" s="99"/>
      <c r="M1763" s="99"/>
      <c r="N1763" s="99"/>
      <c r="O1763" s="99"/>
      <c r="P1763" s="99"/>
      <c r="Q1763" s="99"/>
      <c r="R1763" s="99"/>
      <c r="S1763" s="99"/>
      <c r="T1763" s="99"/>
      <c r="U1763" s="105"/>
      <c r="V1763" s="262"/>
      <c r="W1763" s="121"/>
      <c r="X1763" s="121"/>
      <c r="Y1763" s="121"/>
      <c r="Z1763" s="121"/>
      <c r="AA1763" s="121"/>
      <c r="AB1763" s="121"/>
      <c r="AC1763" s="121"/>
      <c r="AD1763" s="121"/>
      <c r="AE1763" s="121"/>
      <c r="AF1763" s="121"/>
      <c r="AG1763" s="121"/>
      <c r="AH1763" s="121"/>
      <c r="AI1763" s="121"/>
    </row>
    <row r="1764" spans="1:35" s="115" customFormat="1" ht="14.4">
      <c r="A1764" s="187"/>
      <c r="B1764" s="190"/>
      <c r="C1764" s="190"/>
      <c r="D1764" s="69"/>
      <c r="E1764" s="69"/>
      <c r="F1764" s="149"/>
      <c r="G1764" s="146"/>
      <c r="H1764" s="98"/>
      <c r="I1764" s="99"/>
      <c r="J1764" s="99"/>
      <c r="K1764" s="99"/>
      <c r="L1764" s="99"/>
      <c r="M1764" s="99"/>
      <c r="N1764" s="99"/>
      <c r="O1764" s="99"/>
      <c r="P1764" s="99"/>
      <c r="Q1764" s="99"/>
      <c r="R1764" s="99"/>
      <c r="S1764" s="99"/>
      <c r="T1764" s="99"/>
      <c r="U1764" s="105"/>
      <c r="V1764" s="262"/>
      <c r="W1764" s="121"/>
      <c r="X1764" s="121"/>
      <c r="Y1764" s="121"/>
      <c r="Z1764" s="121"/>
      <c r="AA1764" s="121"/>
      <c r="AB1764" s="121"/>
      <c r="AC1764" s="121"/>
      <c r="AD1764" s="121"/>
      <c r="AE1764" s="121"/>
      <c r="AF1764" s="121"/>
      <c r="AG1764" s="121"/>
      <c r="AH1764" s="121"/>
      <c r="AI1764" s="121"/>
    </row>
    <row r="1765" spans="1:35" s="115" customFormat="1" ht="14.4">
      <c r="A1765" s="187"/>
      <c r="B1765" s="190"/>
      <c r="C1765" s="190"/>
      <c r="D1765" s="69"/>
      <c r="E1765" s="69"/>
      <c r="F1765" s="149"/>
      <c r="G1765" s="146"/>
      <c r="H1765" s="98"/>
      <c r="I1765" s="99"/>
      <c r="J1765" s="99"/>
      <c r="K1765" s="99"/>
      <c r="L1765" s="99"/>
      <c r="M1765" s="99"/>
      <c r="N1765" s="99"/>
      <c r="O1765" s="99"/>
      <c r="P1765" s="99"/>
      <c r="Q1765" s="99"/>
      <c r="R1765" s="99"/>
      <c r="S1765" s="99"/>
      <c r="T1765" s="99"/>
      <c r="U1765" s="105"/>
      <c r="V1765" s="262"/>
      <c r="W1765" s="121"/>
      <c r="X1765" s="121"/>
      <c r="Y1765" s="121"/>
      <c r="Z1765" s="121"/>
      <c r="AA1765" s="121"/>
      <c r="AB1765" s="121"/>
      <c r="AC1765" s="121"/>
      <c r="AD1765" s="121"/>
      <c r="AE1765" s="121"/>
      <c r="AF1765" s="121"/>
      <c r="AG1765" s="121"/>
      <c r="AH1765" s="121"/>
      <c r="AI1765" s="121"/>
    </row>
    <row r="1766" spans="1:35" s="115" customFormat="1" ht="14.4">
      <c r="A1766" s="187"/>
      <c r="B1766" s="190"/>
      <c r="C1766" s="190"/>
      <c r="D1766" s="69"/>
      <c r="E1766" s="69"/>
      <c r="F1766" s="149"/>
      <c r="G1766" s="146"/>
      <c r="H1766" s="98"/>
      <c r="I1766" s="99"/>
      <c r="J1766" s="99"/>
      <c r="K1766" s="99"/>
      <c r="L1766" s="99"/>
      <c r="M1766" s="99"/>
      <c r="N1766" s="99"/>
      <c r="O1766" s="99"/>
      <c r="P1766" s="99"/>
      <c r="Q1766" s="99"/>
      <c r="R1766" s="99"/>
      <c r="S1766" s="99"/>
      <c r="T1766" s="99"/>
      <c r="U1766" s="105"/>
      <c r="V1766" s="262"/>
      <c r="W1766" s="121"/>
      <c r="X1766" s="121"/>
      <c r="Y1766" s="121"/>
      <c r="Z1766" s="121"/>
      <c r="AA1766" s="121"/>
      <c r="AB1766" s="121"/>
      <c r="AC1766" s="121"/>
      <c r="AD1766" s="121"/>
      <c r="AE1766" s="121"/>
      <c r="AF1766" s="121"/>
      <c r="AG1766" s="121"/>
      <c r="AH1766" s="121"/>
      <c r="AI1766" s="121"/>
    </row>
    <row r="1767" spans="1:35" s="115" customFormat="1" ht="14.4">
      <c r="A1767" s="187"/>
      <c r="B1767" s="190"/>
      <c r="C1767" s="190"/>
      <c r="D1767" s="69"/>
      <c r="E1767" s="69"/>
      <c r="F1767" s="149"/>
      <c r="G1767" s="146"/>
      <c r="H1767" s="98"/>
      <c r="I1767" s="99"/>
      <c r="J1767" s="99"/>
      <c r="K1767" s="99"/>
      <c r="L1767" s="99"/>
      <c r="M1767" s="99"/>
      <c r="N1767" s="99"/>
      <c r="O1767" s="99"/>
      <c r="P1767" s="99"/>
      <c r="Q1767" s="99"/>
      <c r="R1767" s="99"/>
      <c r="S1767" s="99"/>
      <c r="T1767" s="99"/>
      <c r="U1767" s="105"/>
      <c r="V1767" s="262"/>
      <c r="W1767" s="121"/>
      <c r="X1767" s="121"/>
      <c r="Y1767" s="121"/>
      <c r="Z1767" s="121"/>
      <c r="AA1767" s="121"/>
      <c r="AB1767" s="121"/>
      <c r="AC1767" s="121"/>
      <c r="AD1767" s="121"/>
      <c r="AE1767" s="121"/>
      <c r="AF1767" s="121"/>
      <c r="AG1767" s="121"/>
      <c r="AH1767" s="121"/>
      <c r="AI1767" s="121"/>
    </row>
    <row r="1768" spans="1:35" s="115" customFormat="1" ht="14.4">
      <c r="A1768" s="187"/>
      <c r="B1768" s="190"/>
      <c r="C1768" s="190"/>
      <c r="D1768" s="69"/>
      <c r="E1768" s="69"/>
      <c r="F1768" s="149"/>
      <c r="G1768" s="146"/>
      <c r="H1768" s="98"/>
      <c r="I1768" s="99"/>
      <c r="J1768" s="99"/>
      <c r="K1768" s="99"/>
      <c r="L1768" s="99"/>
      <c r="M1768" s="99"/>
      <c r="N1768" s="99"/>
      <c r="O1768" s="99"/>
      <c r="P1768" s="99"/>
      <c r="Q1768" s="99"/>
      <c r="R1768" s="99"/>
      <c r="S1768" s="99"/>
      <c r="T1768" s="99"/>
      <c r="U1768" s="105"/>
      <c r="V1768" s="262"/>
      <c r="W1768" s="121"/>
      <c r="X1768" s="121"/>
      <c r="Y1768" s="121"/>
      <c r="Z1768" s="121"/>
      <c r="AA1768" s="121"/>
      <c r="AB1768" s="121"/>
      <c r="AC1768" s="121"/>
      <c r="AD1768" s="121"/>
      <c r="AE1768" s="121"/>
      <c r="AF1768" s="121"/>
      <c r="AG1768" s="121"/>
      <c r="AH1768" s="121"/>
      <c r="AI1768" s="121"/>
    </row>
    <row r="1769" spans="1:35" s="115" customFormat="1" ht="14.4">
      <c r="A1769" s="187"/>
      <c r="B1769" s="190"/>
      <c r="C1769" s="190"/>
      <c r="D1769" s="69"/>
      <c r="E1769" s="69"/>
      <c r="F1769" s="149"/>
      <c r="G1769" s="146"/>
      <c r="H1769" s="98"/>
      <c r="I1769" s="99"/>
      <c r="J1769" s="99"/>
      <c r="K1769" s="99"/>
      <c r="L1769" s="99"/>
      <c r="M1769" s="99"/>
      <c r="N1769" s="99"/>
      <c r="O1769" s="99"/>
      <c r="P1769" s="99"/>
      <c r="Q1769" s="99"/>
      <c r="R1769" s="99"/>
      <c r="S1769" s="99"/>
      <c r="T1769" s="99"/>
      <c r="U1769" s="105"/>
      <c r="V1769" s="262"/>
      <c r="W1769" s="121"/>
      <c r="X1769" s="121"/>
      <c r="Y1769" s="121"/>
      <c r="Z1769" s="121"/>
      <c r="AA1769" s="121"/>
      <c r="AB1769" s="121"/>
      <c r="AC1769" s="121"/>
      <c r="AD1769" s="121"/>
      <c r="AE1769" s="121"/>
      <c r="AF1769" s="121"/>
      <c r="AG1769" s="121"/>
      <c r="AH1769" s="121"/>
      <c r="AI1769" s="121"/>
    </row>
    <row r="1770" spans="1:35" s="115" customFormat="1" ht="14.4">
      <c r="A1770" s="187"/>
      <c r="B1770" s="190"/>
      <c r="C1770" s="190"/>
      <c r="D1770" s="69"/>
      <c r="E1770" s="69"/>
      <c r="F1770" s="149"/>
      <c r="G1770" s="146"/>
      <c r="H1770" s="107"/>
      <c r="I1770" s="108"/>
      <c r="J1770" s="108"/>
      <c r="K1770" s="108"/>
      <c r="L1770" s="108"/>
      <c r="M1770" s="108"/>
      <c r="N1770" s="109"/>
      <c r="O1770" s="109"/>
      <c r="P1770" s="109"/>
      <c r="Q1770" s="109"/>
      <c r="R1770" s="109"/>
      <c r="S1770" s="109"/>
      <c r="T1770" s="109"/>
      <c r="U1770" s="105"/>
      <c r="V1770" s="262"/>
      <c r="W1770" s="121"/>
      <c r="X1770" s="121"/>
      <c r="Y1770" s="121"/>
      <c r="Z1770" s="121"/>
      <c r="AA1770" s="121"/>
      <c r="AB1770" s="121"/>
      <c r="AC1770" s="121"/>
      <c r="AD1770" s="121"/>
      <c r="AE1770" s="121"/>
      <c r="AF1770" s="121"/>
      <c r="AG1770" s="121"/>
      <c r="AH1770" s="121"/>
      <c r="AI1770" s="121"/>
    </row>
    <row r="1771" spans="1:35" s="115" customFormat="1" ht="14.4">
      <c r="A1771" s="187"/>
      <c r="B1771" s="190"/>
      <c r="C1771" s="190"/>
      <c r="D1771" s="69"/>
      <c r="E1771" s="69"/>
      <c r="F1771" s="149"/>
      <c r="G1771" s="146"/>
      <c r="H1771" s="98"/>
      <c r="I1771" s="106"/>
      <c r="J1771" s="106"/>
      <c r="K1771" s="106"/>
      <c r="L1771" s="106"/>
      <c r="M1771" s="106"/>
      <c r="N1771" s="112"/>
      <c r="O1771" s="112"/>
      <c r="P1771" s="112"/>
      <c r="Q1771" s="113"/>
      <c r="R1771" s="113"/>
      <c r="S1771" s="113"/>
      <c r="T1771" s="113"/>
      <c r="U1771" s="105"/>
      <c r="V1771" s="262"/>
      <c r="W1771" s="121"/>
      <c r="X1771" s="121"/>
      <c r="Y1771" s="121"/>
      <c r="Z1771" s="121"/>
      <c r="AA1771" s="121"/>
      <c r="AB1771" s="121"/>
      <c r="AC1771" s="121"/>
      <c r="AD1771" s="121"/>
      <c r="AE1771" s="121"/>
      <c r="AF1771" s="121"/>
      <c r="AG1771" s="121"/>
      <c r="AH1771" s="121"/>
      <c r="AI1771" s="121"/>
    </row>
    <row r="1772" spans="1:35" s="115" customFormat="1" ht="14.4">
      <c r="A1772" s="187"/>
      <c r="B1772" s="190"/>
      <c r="C1772" s="190"/>
      <c r="D1772" s="69"/>
      <c r="E1772" s="69"/>
      <c r="F1772" s="149"/>
      <c r="G1772" s="146"/>
      <c r="H1772" s="114"/>
      <c r="I1772" s="108"/>
      <c r="J1772" s="108"/>
      <c r="K1772" s="108"/>
      <c r="L1772" s="108"/>
      <c r="M1772" s="108"/>
      <c r="N1772" s="108"/>
      <c r="O1772" s="108"/>
      <c r="P1772" s="108"/>
      <c r="Q1772" s="108"/>
      <c r="R1772" s="108"/>
      <c r="S1772" s="108"/>
      <c r="T1772" s="108"/>
      <c r="U1772" s="105"/>
      <c r="V1772" s="262"/>
      <c r="W1772" s="121"/>
      <c r="X1772" s="121"/>
      <c r="Y1772" s="121"/>
      <c r="Z1772" s="121"/>
      <c r="AA1772" s="121"/>
      <c r="AB1772" s="121"/>
      <c r="AC1772" s="121"/>
      <c r="AD1772" s="121"/>
      <c r="AE1772" s="121"/>
      <c r="AF1772" s="121"/>
      <c r="AG1772" s="121"/>
      <c r="AH1772" s="121"/>
      <c r="AI1772" s="121"/>
    </row>
    <row r="1773" spans="1:35" s="115" customFormat="1" ht="15" thickBot="1">
      <c r="A1773" s="187"/>
      <c r="B1773" s="190"/>
      <c r="C1773" s="190"/>
      <c r="D1773" s="69"/>
      <c r="E1773" s="69"/>
      <c r="F1773" s="149"/>
      <c r="G1773" s="146"/>
      <c r="H1773" s="98"/>
      <c r="I1773" s="218"/>
      <c r="J1773" s="218"/>
      <c r="K1773" s="218"/>
      <c r="L1773" s="218"/>
      <c r="M1773" s="218"/>
      <c r="N1773" s="96"/>
      <c r="O1773" s="96"/>
      <c r="P1773" s="96"/>
      <c r="Q1773" s="212"/>
      <c r="R1773" s="212"/>
      <c r="S1773" s="212"/>
      <c r="T1773" s="212"/>
      <c r="U1773" s="105"/>
      <c r="V1773" s="262"/>
      <c r="W1773" s="121"/>
      <c r="X1773" s="121"/>
      <c r="Y1773" s="121"/>
      <c r="Z1773" s="121"/>
      <c r="AA1773" s="121"/>
      <c r="AB1773" s="121"/>
      <c r="AC1773" s="121"/>
      <c r="AD1773" s="121"/>
      <c r="AE1773" s="121"/>
      <c r="AF1773" s="121"/>
      <c r="AG1773" s="121"/>
      <c r="AH1773" s="121"/>
      <c r="AI1773" s="121"/>
    </row>
    <row r="1774" spans="1:35" s="115" customFormat="1" ht="23.4" thickBot="1">
      <c r="A1774" s="187"/>
      <c r="B1774" s="190"/>
      <c r="C1774" s="190"/>
      <c r="D1774" s="69"/>
      <c r="E1774" s="69"/>
      <c r="F1774" s="149"/>
      <c r="G1774" s="146"/>
      <c r="H1774" s="686"/>
      <c r="I1774" s="687"/>
      <c r="J1774" s="687"/>
      <c r="K1774" s="687"/>
      <c r="L1774" s="687"/>
      <c r="M1774" s="687"/>
      <c r="N1774" s="687"/>
      <c r="O1774" s="687"/>
      <c r="P1774" s="687"/>
      <c r="Q1774" s="687"/>
      <c r="R1774" s="687"/>
      <c r="S1774" s="687"/>
      <c r="T1774" s="688"/>
      <c r="U1774" s="105"/>
      <c r="V1774" s="262"/>
      <c r="W1774" s="121"/>
      <c r="X1774" s="121"/>
      <c r="Y1774" s="121"/>
      <c r="Z1774" s="121"/>
      <c r="AA1774" s="121"/>
      <c r="AB1774" s="121"/>
      <c r="AC1774" s="121"/>
      <c r="AD1774" s="121"/>
      <c r="AE1774" s="121"/>
      <c r="AF1774" s="121"/>
      <c r="AG1774" s="121"/>
      <c r="AH1774" s="121"/>
      <c r="AI1774" s="121"/>
    </row>
    <row r="1775" spans="1:35" s="115" customFormat="1" ht="22.8">
      <c r="A1775" s="187"/>
      <c r="B1775" s="190"/>
      <c r="C1775" s="190"/>
      <c r="D1775" s="69"/>
      <c r="E1775" s="69"/>
      <c r="F1775" s="149"/>
      <c r="G1775" s="146"/>
      <c r="H1775" s="225"/>
      <c r="I1775" s="225"/>
      <c r="J1775" s="225"/>
      <c r="K1775" s="225"/>
      <c r="L1775" s="225"/>
      <c r="M1775" s="225"/>
      <c r="N1775" s="225"/>
      <c r="O1775" s="225"/>
      <c r="P1775" s="225"/>
      <c r="Q1775" s="225"/>
      <c r="R1775" s="225"/>
      <c r="S1775" s="225"/>
      <c r="T1775" s="225"/>
      <c r="U1775" s="105"/>
      <c r="V1775" s="262"/>
      <c r="W1775" s="121"/>
      <c r="X1775" s="121"/>
      <c r="Y1775" s="121"/>
      <c r="Z1775" s="121"/>
      <c r="AA1775" s="121"/>
      <c r="AB1775" s="121"/>
      <c r="AC1775" s="121"/>
      <c r="AD1775" s="121"/>
      <c r="AE1775" s="121"/>
      <c r="AF1775" s="121"/>
      <c r="AG1775" s="121"/>
      <c r="AH1775" s="121"/>
      <c r="AI1775" s="121"/>
    </row>
    <row r="1776" spans="1:35" s="115" customFormat="1" ht="14.4">
      <c r="A1776" s="187"/>
      <c r="B1776" s="190"/>
      <c r="C1776" s="190"/>
      <c r="D1776" s="69"/>
      <c r="E1776" s="69"/>
      <c r="F1776" s="149"/>
      <c r="G1776" s="146"/>
      <c r="H1776" s="98"/>
      <c r="I1776" s="99"/>
      <c r="J1776" s="99"/>
      <c r="K1776" s="99"/>
      <c r="L1776" s="99"/>
      <c r="M1776" s="99"/>
      <c r="N1776" s="99"/>
      <c r="O1776" s="99"/>
      <c r="P1776" s="99"/>
      <c r="Q1776" s="99"/>
      <c r="R1776" s="99"/>
      <c r="S1776" s="99"/>
      <c r="T1776" s="99"/>
      <c r="U1776" s="105"/>
      <c r="V1776" s="262"/>
      <c r="W1776" s="121"/>
      <c r="X1776" s="121"/>
      <c r="Y1776" s="121"/>
      <c r="Z1776" s="121"/>
      <c r="AA1776" s="121"/>
      <c r="AB1776" s="121"/>
      <c r="AC1776" s="121"/>
      <c r="AD1776" s="121"/>
      <c r="AE1776" s="121"/>
      <c r="AF1776" s="121"/>
      <c r="AG1776" s="121"/>
      <c r="AH1776" s="121"/>
      <c r="AI1776" s="121"/>
    </row>
    <row r="1777" spans="1:35" s="115" customFormat="1" ht="14.4">
      <c r="A1777" s="187"/>
      <c r="B1777" s="190"/>
      <c r="C1777" s="190"/>
      <c r="D1777" s="69"/>
      <c r="E1777" s="69"/>
      <c r="F1777" s="149"/>
      <c r="G1777" s="146"/>
      <c r="H1777" s="98"/>
      <c r="I1777" s="99"/>
      <c r="J1777" s="99"/>
      <c r="K1777" s="99"/>
      <c r="L1777" s="99"/>
      <c r="M1777" s="99"/>
      <c r="N1777" s="99"/>
      <c r="O1777" s="99"/>
      <c r="P1777" s="99"/>
      <c r="Q1777" s="99"/>
      <c r="R1777" s="99"/>
      <c r="S1777" s="99"/>
      <c r="T1777" s="99"/>
      <c r="U1777" s="105"/>
      <c r="V1777" s="262"/>
      <c r="W1777" s="121"/>
      <c r="X1777" s="121"/>
      <c r="Y1777" s="121"/>
      <c r="Z1777" s="121"/>
      <c r="AA1777" s="121"/>
      <c r="AB1777" s="121"/>
      <c r="AC1777" s="121"/>
      <c r="AD1777" s="121"/>
      <c r="AE1777" s="121"/>
      <c r="AF1777" s="121"/>
      <c r="AG1777" s="121"/>
      <c r="AH1777" s="121"/>
      <c r="AI1777" s="121"/>
    </row>
    <row r="1778" spans="1:35" s="115" customFormat="1" ht="14.4">
      <c r="A1778" s="187"/>
      <c r="B1778" s="190"/>
      <c r="C1778" s="190"/>
      <c r="D1778" s="69"/>
      <c r="E1778" s="69"/>
      <c r="F1778" s="149"/>
      <c r="G1778" s="146"/>
      <c r="H1778" s="98"/>
      <c r="I1778" s="99"/>
      <c r="J1778" s="99"/>
      <c r="K1778" s="99"/>
      <c r="L1778" s="99"/>
      <c r="M1778" s="99"/>
      <c r="N1778" s="99"/>
      <c r="O1778" s="99"/>
      <c r="P1778" s="99"/>
      <c r="Q1778" s="99"/>
      <c r="R1778" s="99"/>
      <c r="S1778" s="99"/>
      <c r="T1778" s="99"/>
      <c r="U1778" s="105"/>
      <c r="V1778" s="262"/>
      <c r="W1778" s="121"/>
      <c r="X1778" s="121"/>
      <c r="Y1778" s="121"/>
      <c r="Z1778" s="121"/>
      <c r="AA1778" s="121"/>
      <c r="AB1778" s="121"/>
      <c r="AC1778" s="121"/>
      <c r="AD1778" s="121"/>
      <c r="AE1778" s="121"/>
      <c r="AF1778" s="121"/>
      <c r="AG1778" s="121"/>
      <c r="AH1778" s="121"/>
      <c r="AI1778" s="121"/>
    </row>
    <row r="1779" spans="1:35" s="115" customFormat="1" ht="14.4">
      <c r="A1779" s="187"/>
      <c r="B1779" s="190"/>
      <c r="C1779" s="190"/>
      <c r="D1779" s="69"/>
      <c r="E1779" s="69"/>
      <c r="F1779" s="149"/>
      <c r="G1779" s="146"/>
      <c r="H1779" s="98"/>
      <c r="I1779" s="99"/>
      <c r="J1779" s="99"/>
      <c r="K1779" s="99"/>
      <c r="L1779" s="99"/>
      <c r="M1779" s="99"/>
      <c r="N1779" s="99"/>
      <c r="O1779" s="99"/>
      <c r="P1779" s="99"/>
      <c r="Q1779" s="99"/>
      <c r="R1779" s="99"/>
      <c r="S1779" s="99"/>
      <c r="T1779" s="99"/>
      <c r="U1779" s="105"/>
      <c r="V1779" s="262"/>
      <c r="W1779" s="121"/>
      <c r="X1779" s="121"/>
      <c r="Y1779" s="121"/>
      <c r="Z1779" s="121"/>
      <c r="AA1779" s="121"/>
      <c r="AB1779" s="121"/>
      <c r="AC1779" s="121"/>
      <c r="AD1779" s="121"/>
      <c r="AE1779" s="121"/>
      <c r="AF1779" s="121"/>
      <c r="AG1779" s="121"/>
      <c r="AH1779" s="121"/>
      <c r="AI1779" s="121"/>
    </row>
    <row r="1780" spans="1:35" s="115" customFormat="1" ht="14.4">
      <c r="A1780" s="187"/>
      <c r="B1780" s="190"/>
      <c r="C1780" s="190"/>
      <c r="D1780" s="69"/>
      <c r="E1780" s="69"/>
      <c r="F1780" s="149"/>
      <c r="G1780" s="146"/>
      <c r="H1780" s="98"/>
      <c r="I1780" s="99"/>
      <c r="J1780" s="99"/>
      <c r="K1780" s="99"/>
      <c r="L1780" s="99"/>
      <c r="M1780" s="99"/>
      <c r="N1780" s="99"/>
      <c r="O1780" s="99"/>
      <c r="P1780" s="99"/>
      <c r="Q1780" s="99"/>
      <c r="R1780" s="99"/>
      <c r="S1780" s="99"/>
      <c r="T1780" s="99"/>
      <c r="U1780" s="105"/>
      <c r="V1780" s="262"/>
      <c r="W1780" s="121"/>
      <c r="X1780" s="121"/>
      <c r="Y1780" s="121"/>
      <c r="Z1780" s="121"/>
      <c r="AA1780" s="121"/>
      <c r="AB1780" s="121"/>
      <c r="AC1780" s="121"/>
      <c r="AD1780" s="121"/>
      <c r="AE1780" s="121"/>
      <c r="AF1780" s="121"/>
      <c r="AG1780" s="121"/>
      <c r="AH1780" s="121"/>
      <c r="AI1780" s="121"/>
    </row>
    <row r="1781" spans="1:35" s="115" customFormat="1" ht="14.4">
      <c r="A1781" s="187"/>
      <c r="B1781" s="190"/>
      <c r="C1781" s="190"/>
      <c r="D1781" s="69"/>
      <c r="E1781" s="69"/>
      <c r="F1781" s="149"/>
      <c r="G1781" s="146"/>
      <c r="H1781" s="98"/>
      <c r="I1781" s="99"/>
      <c r="J1781" s="99"/>
      <c r="K1781" s="99"/>
      <c r="L1781" s="99"/>
      <c r="M1781" s="99"/>
      <c r="N1781" s="99"/>
      <c r="O1781" s="99"/>
      <c r="P1781" s="99"/>
      <c r="Q1781" s="99"/>
      <c r="R1781" s="99"/>
      <c r="S1781" s="99"/>
      <c r="T1781" s="99"/>
      <c r="U1781" s="105"/>
      <c r="V1781" s="262"/>
      <c r="W1781" s="121"/>
      <c r="X1781" s="121"/>
      <c r="Y1781" s="121"/>
      <c r="Z1781" s="121"/>
      <c r="AA1781" s="121"/>
      <c r="AB1781" s="121"/>
      <c r="AC1781" s="121"/>
      <c r="AD1781" s="121"/>
      <c r="AE1781" s="121"/>
      <c r="AF1781" s="121"/>
      <c r="AG1781" s="121"/>
      <c r="AH1781" s="121"/>
      <c r="AI1781" s="121"/>
    </row>
    <row r="1782" spans="1:35" s="115" customFormat="1" ht="24.75" customHeight="1">
      <c r="A1782" s="187"/>
      <c r="B1782" s="190"/>
      <c r="C1782" s="190"/>
      <c r="D1782" s="69"/>
      <c r="E1782" s="69"/>
      <c r="F1782" s="149"/>
      <c r="G1782" s="146"/>
      <c r="H1782" s="98"/>
      <c r="I1782" s="99"/>
      <c r="J1782" s="99"/>
      <c r="K1782" s="99"/>
      <c r="L1782" s="99"/>
      <c r="M1782" s="99"/>
      <c r="N1782" s="99"/>
      <c r="O1782" s="99"/>
      <c r="P1782" s="99"/>
      <c r="Q1782" s="99"/>
      <c r="R1782" s="99"/>
      <c r="S1782" s="99"/>
      <c r="T1782" s="99"/>
      <c r="U1782" s="105"/>
      <c r="V1782" s="262"/>
      <c r="W1782" s="121"/>
      <c r="X1782" s="121"/>
      <c r="Y1782" s="121"/>
      <c r="Z1782" s="121"/>
      <c r="AA1782" s="121"/>
      <c r="AB1782" s="121"/>
      <c r="AC1782" s="121"/>
      <c r="AD1782" s="121"/>
      <c r="AE1782" s="121"/>
      <c r="AF1782" s="121"/>
      <c r="AG1782" s="121"/>
      <c r="AH1782" s="121"/>
      <c r="AI1782" s="121"/>
    </row>
    <row r="1783" spans="1:35" s="115" customFormat="1" ht="14.4">
      <c r="A1783" s="187"/>
      <c r="B1783" s="190"/>
      <c r="C1783" s="190"/>
      <c r="D1783" s="69"/>
      <c r="E1783" s="69"/>
      <c r="F1783" s="149"/>
      <c r="G1783" s="146"/>
      <c r="H1783" s="98"/>
      <c r="I1783" s="99"/>
      <c r="J1783" s="99"/>
      <c r="K1783" s="99"/>
      <c r="L1783" s="99"/>
      <c r="M1783" s="99"/>
      <c r="N1783" s="99"/>
      <c r="O1783" s="99"/>
      <c r="P1783" s="99"/>
      <c r="Q1783" s="99"/>
      <c r="R1783" s="99"/>
      <c r="S1783" s="99"/>
      <c r="T1783" s="99"/>
      <c r="U1783" s="105"/>
      <c r="V1783" s="262"/>
      <c r="W1783" s="121"/>
      <c r="X1783" s="121"/>
      <c r="Y1783" s="121"/>
      <c r="Z1783" s="121"/>
      <c r="AA1783" s="121"/>
      <c r="AB1783" s="121"/>
      <c r="AC1783" s="121"/>
      <c r="AD1783" s="121"/>
      <c r="AE1783" s="121"/>
      <c r="AF1783" s="121"/>
      <c r="AG1783" s="121"/>
      <c r="AH1783" s="121"/>
      <c r="AI1783" s="121"/>
    </row>
    <row r="1784" spans="1:35" s="115" customFormat="1" ht="14.4">
      <c r="A1784" s="187"/>
      <c r="B1784" s="190"/>
      <c r="C1784" s="190"/>
      <c r="D1784" s="69"/>
      <c r="E1784" s="69"/>
      <c r="F1784" s="149"/>
      <c r="G1784" s="146"/>
      <c r="H1784" s="98"/>
      <c r="I1784" s="99"/>
      <c r="J1784" s="99"/>
      <c r="K1784" s="99"/>
      <c r="L1784" s="99"/>
      <c r="M1784" s="99"/>
      <c r="N1784" s="99"/>
      <c r="O1784" s="99"/>
      <c r="P1784" s="99"/>
      <c r="Q1784" s="99"/>
      <c r="R1784" s="99"/>
      <c r="S1784" s="99"/>
      <c r="T1784" s="99"/>
      <c r="U1784" s="105"/>
      <c r="V1784" s="262"/>
      <c r="W1784" s="121"/>
      <c r="X1784" s="121"/>
      <c r="Y1784" s="121"/>
      <c r="Z1784" s="121"/>
      <c r="AA1784" s="121"/>
      <c r="AB1784" s="121"/>
      <c r="AC1784" s="121"/>
      <c r="AD1784" s="121"/>
      <c r="AE1784" s="121"/>
      <c r="AF1784" s="121"/>
      <c r="AG1784" s="121"/>
      <c r="AH1784" s="121"/>
      <c r="AI1784" s="121"/>
    </row>
    <row r="1785" spans="1:35" s="115" customFormat="1" ht="14.4">
      <c r="A1785" s="187"/>
      <c r="B1785" s="190"/>
      <c r="C1785" s="190"/>
      <c r="D1785" s="69"/>
      <c r="E1785" s="69"/>
      <c r="F1785" s="149"/>
      <c r="G1785" s="146"/>
      <c r="H1785" s="98"/>
      <c r="I1785" s="99"/>
      <c r="J1785" s="99"/>
      <c r="K1785" s="99"/>
      <c r="L1785" s="99"/>
      <c r="M1785" s="99"/>
      <c r="N1785" s="99"/>
      <c r="O1785" s="99"/>
      <c r="P1785" s="99"/>
      <c r="Q1785" s="99"/>
      <c r="R1785" s="99"/>
      <c r="S1785" s="99"/>
      <c r="T1785" s="99"/>
      <c r="U1785" s="105"/>
      <c r="V1785" s="262"/>
      <c r="W1785" s="121"/>
      <c r="X1785" s="121"/>
      <c r="Y1785" s="121"/>
      <c r="Z1785" s="121"/>
      <c r="AA1785" s="121"/>
      <c r="AB1785" s="121"/>
      <c r="AC1785" s="121"/>
      <c r="AD1785" s="121"/>
      <c r="AE1785" s="121"/>
      <c r="AF1785" s="121"/>
      <c r="AG1785" s="121"/>
      <c r="AH1785" s="121"/>
      <c r="AI1785" s="121"/>
    </row>
    <row r="1786" spans="1:35" s="115" customFormat="1" ht="14.4">
      <c r="A1786" s="187"/>
      <c r="B1786" s="190"/>
      <c r="C1786" s="190"/>
      <c r="D1786" s="69"/>
      <c r="E1786" s="69"/>
      <c r="F1786" s="149"/>
      <c r="G1786" s="146"/>
      <c r="H1786" s="98"/>
      <c r="I1786" s="99"/>
      <c r="J1786" s="99"/>
      <c r="K1786" s="99"/>
      <c r="L1786" s="99"/>
      <c r="M1786" s="99"/>
      <c r="N1786" s="99"/>
      <c r="O1786" s="99"/>
      <c r="P1786" s="99"/>
      <c r="Q1786" s="99"/>
      <c r="R1786" s="99"/>
      <c r="S1786" s="99"/>
      <c r="T1786" s="99"/>
      <c r="U1786" s="105"/>
      <c r="V1786" s="262"/>
      <c r="W1786" s="121"/>
      <c r="X1786" s="121"/>
      <c r="Y1786" s="121"/>
      <c r="Z1786" s="121"/>
      <c r="AA1786" s="121"/>
      <c r="AB1786" s="121"/>
      <c r="AC1786" s="121"/>
      <c r="AD1786" s="121"/>
      <c r="AE1786" s="121"/>
      <c r="AF1786" s="121"/>
      <c r="AG1786" s="121"/>
      <c r="AH1786" s="121"/>
      <c r="AI1786" s="121"/>
    </row>
    <row r="1787" spans="1:35" s="115" customFormat="1" ht="14.4">
      <c r="A1787" s="187"/>
      <c r="B1787" s="190"/>
      <c r="C1787" s="190"/>
      <c r="D1787" s="69"/>
      <c r="E1787" s="69"/>
      <c r="F1787" s="149"/>
      <c r="G1787" s="146"/>
      <c r="H1787" s="98"/>
      <c r="I1787" s="99"/>
      <c r="J1787" s="99"/>
      <c r="K1787" s="99"/>
      <c r="L1787" s="99"/>
      <c r="M1787" s="99"/>
      <c r="N1787" s="99"/>
      <c r="O1787" s="99"/>
      <c r="P1787" s="99"/>
      <c r="Q1787" s="99"/>
      <c r="R1787" s="99"/>
      <c r="S1787" s="99"/>
      <c r="T1787" s="99"/>
      <c r="U1787" s="105"/>
      <c r="V1787" s="262"/>
      <c r="W1787" s="121"/>
      <c r="X1787" s="121"/>
      <c r="Y1787" s="121"/>
      <c r="Z1787" s="121"/>
      <c r="AA1787" s="121"/>
      <c r="AB1787" s="121"/>
      <c r="AC1787" s="121"/>
      <c r="AD1787" s="121"/>
      <c r="AE1787" s="121"/>
      <c r="AF1787" s="121"/>
      <c r="AG1787" s="121"/>
      <c r="AH1787" s="121"/>
      <c r="AI1787" s="121"/>
    </row>
    <row r="1788" spans="1:35" s="115" customFormat="1" ht="14.4">
      <c r="A1788" s="187"/>
      <c r="B1788" s="190"/>
      <c r="C1788" s="190"/>
      <c r="D1788" s="69"/>
      <c r="E1788" s="69"/>
      <c r="F1788" s="149"/>
      <c r="G1788" s="146"/>
      <c r="H1788" s="98"/>
      <c r="I1788" s="99"/>
      <c r="J1788" s="99"/>
      <c r="K1788" s="99"/>
      <c r="L1788" s="99"/>
      <c r="M1788" s="99"/>
      <c r="N1788" s="99"/>
      <c r="O1788" s="99"/>
      <c r="P1788" s="99"/>
      <c r="Q1788" s="99"/>
      <c r="R1788" s="99"/>
      <c r="S1788" s="99"/>
      <c r="T1788" s="99"/>
      <c r="U1788" s="105"/>
      <c r="V1788" s="262"/>
      <c r="W1788" s="121"/>
      <c r="X1788" s="121"/>
      <c r="Y1788" s="121"/>
      <c r="Z1788" s="121"/>
      <c r="AA1788" s="121"/>
      <c r="AB1788" s="121"/>
      <c r="AC1788" s="121"/>
      <c r="AD1788" s="121"/>
      <c r="AE1788" s="121"/>
      <c r="AF1788" s="121"/>
      <c r="AG1788" s="121"/>
      <c r="AH1788" s="121"/>
      <c r="AI1788" s="121"/>
    </row>
    <row r="1789" spans="1:35" s="115" customFormat="1" ht="14.4">
      <c r="A1789" s="187"/>
      <c r="B1789" s="190"/>
      <c r="C1789" s="190"/>
      <c r="D1789" s="69"/>
      <c r="E1789" s="69"/>
      <c r="F1789" s="149"/>
      <c r="G1789" s="146"/>
      <c r="H1789" s="98"/>
      <c r="I1789" s="99"/>
      <c r="J1789" s="99"/>
      <c r="K1789" s="99"/>
      <c r="L1789" s="99"/>
      <c r="M1789" s="99"/>
      <c r="N1789" s="99"/>
      <c r="O1789" s="99"/>
      <c r="P1789" s="99"/>
      <c r="Q1789" s="99"/>
      <c r="R1789" s="99"/>
      <c r="S1789" s="99"/>
      <c r="T1789" s="99"/>
      <c r="U1789" s="105"/>
      <c r="V1789" s="262"/>
      <c r="W1789" s="121"/>
      <c r="X1789" s="121"/>
      <c r="Y1789" s="121"/>
      <c r="Z1789" s="121"/>
      <c r="AA1789" s="121"/>
      <c r="AB1789" s="121"/>
      <c r="AC1789" s="121"/>
      <c r="AD1789" s="121"/>
      <c r="AE1789" s="121"/>
      <c r="AF1789" s="121"/>
      <c r="AG1789" s="121"/>
      <c r="AH1789" s="121"/>
      <c r="AI1789" s="121"/>
    </row>
    <row r="1790" spans="1:35" s="115" customFormat="1" ht="14.4">
      <c r="A1790" s="187"/>
      <c r="B1790" s="190"/>
      <c r="C1790" s="190"/>
      <c r="D1790" s="69"/>
      <c r="E1790" s="69"/>
      <c r="F1790" s="149"/>
      <c r="G1790" s="146"/>
      <c r="H1790" s="98"/>
      <c r="I1790" s="99"/>
      <c r="J1790" s="99"/>
      <c r="K1790" s="99"/>
      <c r="L1790" s="99"/>
      <c r="M1790" s="99"/>
      <c r="N1790" s="99"/>
      <c r="O1790" s="99"/>
      <c r="P1790" s="99"/>
      <c r="Q1790" s="99"/>
      <c r="R1790" s="99"/>
      <c r="S1790" s="99"/>
      <c r="T1790" s="99"/>
      <c r="U1790" s="105"/>
      <c r="V1790" s="262"/>
      <c r="W1790" s="121"/>
      <c r="X1790" s="121"/>
      <c r="Y1790" s="121"/>
      <c r="Z1790" s="121"/>
      <c r="AA1790" s="121"/>
      <c r="AB1790" s="121"/>
      <c r="AC1790" s="121"/>
      <c r="AD1790" s="121"/>
      <c r="AE1790" s="121"/>
      <c r="AF1790" s="121"/>
      <c r="AG1790" s="121"/>
      <c r="AH1790" s="121"/>
      <c r="AI1790" s="121"/>
    </row>
    <row r="1791" spans="1:35" s="115" customFormat="1" ht="14.4">
      <c r="A1791" s="187"/>
      <c r="B1791" s="190"/>
      <c r="C1791" s="190"/>
      <c r="D1791" s="69"/>
      <c r="E1791" s="69"/>
      <c r="F1791" s="149"/>
      <c r="G1791" s="146"/>
      <c r="H1791" s="107"/>
      <c r="I1791" s="108"/>
      <c r="J1791" s="108"/>
      <c r="K1791" s="108"/>
      <c r="L1791" s="108"/>
      <c r="M1791" s="108"/>
      <c r="N1791" s="109"/>
      <c r="O1791" s="109"/>
      <c r="P1791" s="109"/>
      <c r="Q1791" s="109"/>
      <c r="R1791" s="109"/>
      <c r="S1791" s="109"/>
      <c r="T1791" s="109"/>
      <c r="U1791" s="105"/>
      <c r="V1791" s="262"/>
      <c r="W1791" s="121"/>
      <c r="X1791" s="121"/>
      <c r="Y1791" s="121"/>
      <c r="Z1791" s="121"/>
      <c r="AA1791" s="121"/>
      <c r="AB1791" s="121"/>
      <c r="AC1791" s="121"/>
      <c r="AD1791" s="121"/>
      <c r="AE1791" s="121"/>
      <c r="AF1791" s="121"/>
      <c r="AG1791" s="121"/>
      <c r="AH1791" s="121"/>
      <c r="AI1791" s="121"/>
    </row>
    <row r="1792" spans="1:35" s="115" customFormat="1" ht="14.4">
      <c r="A1792" s="187"/>
      <c r="B1792" s="190"/>
      <c r="C1792" s="190"/>
      <c r="D1792" s="69"/>
      <c r="E1792" s="69"/>
      <c r="F1792" s="149"/>
      <c r="G1792" s="146"/>
      <c r="H1792" s="98"/>
      <c r="I1792" s="106"/>
      <c r="J1792" s="106"/>
      <c r="K1792" s="106"/>
      <c r="L1792" s="106"/>
      <c r="M1792" s="106"/>
      <c r="N1792" s="112"/>
      <c r="O1792" s="112"/>
      <c r="P1792" s="112"/>
      <c r="Q1792" s="113"/>
      <c r="R1792" s="113"/>
      <c r="S1792" s="113"/>
      <c r="T1792" s="113"/>
      <c r="U1792" s="105"/>
      <c r="V1792" s="262"/>
      <c r="W1792" s="121"/>
      <c r="X1792" s="121"/>
      <c r="Y1792" s="121"/>
      <c r="Z1792" s="121"/>
      <c r="AA1792" s="121"/>
      <c r="AB1792" s="121"/>
      <c r="AC1792" s="121"/>
      <c r="AD1792" s="121"/>
      <c r="AE1792" s="121"/>
      <c r="AF1792" s="121"/>
      <c r="AG1792" s="121"/>
      <c r="AH1792" s="121"/>
      <c r="AI1792" s="121"/>
    </row>
    <row r="1793" spans="1:35" s="115" customFormat="1" ht="14.4">
      <c r="A1793" s="187"/>
      <c r="B1793" s="190"/>
      <c r="C1793" s="190"/>
      <c r="D1793" s="69"/>
      <c r="E1793" s="69"/>
      <c r="F1793" s="149"/>
      <c r="G1793" s="146"/>
      <c r="H1793" s="98"/>
      <c r="I1793" s="99"/>
      <c r="J1793" s="99"/>
      <c r="K1793" s="99"/>
      <c r="L1793" s="99"/>
      <c r="M1793" s="99"/>
      <c r="N1793" s="99"/>
      <c r="O1793" s="99"/>
      <c r="P1793" s="99"/>
      <c r="Q1793" s="99"/>
      <c r="R1793" s="99"/>
      <c r="S1793" s="99"/>
      <c r="T1793" s="99"/>
      <c r="U1793" s="105"/>
      <c r="V1793" s="262"/>
      <c r="W1793" s="121"/>
      <c r="X1793" s="121"/>
      <c r="Y1793" s="121"/>
      <c r="Z1793" s="121"/>
      <c r="AA1793" s="121"/>
      <c r="AB1793" s="121"/>
      <c r="AC1793" s="121"/>
      <c r="AD1793" s="121"/>
      <c r="AE1793" s="121"/>
      <c r="AF1793" s="121"/>
      <c r="AG1793" s="121"/>
      <c r="AH1793" s="121"/>
      <c r="AI1793" s="121"/>
    </row>
    <row r="1794" spans="1:35" s="115" customFormat="1" ht="14.4">
      <c r="A1794" s="187"/>
      <c r="B1794" s="190"/>
      <c r="C1794" s="190"/>
      <c r="D1794" s="69"/>
      <c r="E1794" s="69"/>
      <c r="F1794" s="149"/>
      <c r="G1794" s="146"/>
      <c r="H1794" s="98"/>
      <c r="I1794" s="99"/>
      <c r="J1794" s="99"/>
      <c r="K1794" s="99"/>
      <c r="L1794" s="99"/>
      <c r="M1794" s="99"/>
      <c r="N1794" s="99"/>
      <c r="O1794" s="99"/>
      <c r="P1794" s="99"/>
      <c r="Q1794" s="99"/>
      <c r="R1794" s="99"/>
      <c r="S1794" s="99"/>
      <c r="T1794" s="99"/>
      <c r="U1794" s="105"/>
      <c r="V1794" s="262"/>
      <c r="W1794" s="121"/>
      <c r="X1794" s="121"/>
      <c r="Y1794" s="121"/>
      <c r="Z1794" s="121"/>
      <c r="AA1794" s="121"/>
      <c r="AB1794" s="121"/>
      <c r="AC1794" s="121"/>
      <c r="AD1794" s="121"/>
      <c r="AE1794" s="121"/>
      <c r="AF1794" s="121"/>
      <c r="AG1794" s="121"/>
      <c r="AH1794" s="121"/>
      <c r="AI1794" s="121"/>
    </row>
    <row r="1795" spans="1:35" s="115" customFormat="1" ht="14.4">
      <c r="A1795" s="187"/>
      <c r="B1795" s="190"/>
      <c r="C1795" s="190"/>
      <c r="D1795" s="69"/>
      <c r="E1795" s="69"/>
      <c r="F1795" s="149"/>
      <c r="G1795" s="146"/>
      <c r="H1795" s="98"/>
      <c r="I1795" s="99"/>
      <c r="J1795" s="99"/>
      <c r="K1795" s="99"/>
      <c r="L1795" s="99"/>
      <c r="M1795" s="99"/>
      <c r="N1795" s="99"/>
      <c r="O1795" s="99"/>
      <c r="P1795" s="99"/>
      <c r="Q1795" s="99"/>
      <c r="R1795" s="99"/>
      <c r="S1795" s="99"/>
      <c r="T1795" s="99"/>
      <c r="U1795" s="105"/>
      <c r="V1795" s="262"/>
      <c r="W1795" s="121"/>
      <c r="X1795" s="121"/>
      <c r="Y1795" s="121"/>
      <c r="Z1795" s="121"/>
      <c r="AA1795" s="121"/>
      <c r="AB1795" s="121"/>
      <c r="AC1795" s="121"/>
      <c r="AD1795" s="121"/>
      <c r="AE1795" s="121"/>
      <c r="AF1795" s="121"/>
      <c r="AG1795" s="121"/>
      <c r="AH1795" s="121"/>
      <c r="AI1795" s="121"/>
    </row>
    <row r="1796" spans="1:35" s="115" customFormat="1" ht="14.4">
      <c r="A1796" s="187"/>
      <c r="B1796" s="190"/>
      <c r="C1796" s="190"/>
      <c r="D1796" s="69"/>
      <c r="E1796" s="69"/>
      <c r="F1796" s="149"/>
      <c r="G1796" s="146"/>
      <c r="H1796" s="98"/>
      <c r="I1796" s="99"/>
      <c r="J1796" s="99"/>
      <c r="K1796" s="99"/>
      <c r="L1796" s="99"/>
      <c r="M1796" s="99"/>
      <c r="N1796" s="99"/>
      <c r="O1796" s="99"/>
      <c r="P1796" s="99"/>
      <c r="Q1796" s="99"/>
      <c r="R1796" s="99"/>
      <c r="S1796" s="99"/>
      <c r="T1796" s="99"/>
      <c r="U1796" s="105"/>
      <c r="V1796" s="262"/>
      <c r="W1796" s="121"/>
      <c r="X1796" s="121"/>
      <c r="Y1796" s="121"/>
      <c r="Z1796" s="121"/>
      <c r="AA1796" s="121"/>
      <c r="AB1796" s="121"/>
      <c r="AC1796" s="121"/>
      <c r="AD1796" s="121"/>
      <c r="AE1796" s="121"/>
      <c r="AF1796" s="121"/>
      <c r="AG1796" s="121"/>
      <c r="AH1796" s="121"/>
      <c r="AI1796" s="121"/>
    </row>
    <row r="1797" spans="1:35" s="115" customFormat="1" ht="14.4">
      <c r="A1797" s="187"/>
      <c r="B1797" s="190"/>
      <c r="C1797" s="190"/>
      <c r="D1797" s="69"/>
      <c r="E1797" s="69"/>
      <c r="F1797" s="149"/>
      <c r="G1797" s="146"/>
      <c r="H1797" s="98"/>
      <c r="I1797" s="99"/>
      <c r="J1797" s="99"/>
      <c r="K1797" s="99"/>
      <c r="L1797" s="99"/>
      <c r="M1797" s="99"/>
      <c r="N1797" s="99"/>
      <c r="O1797" s="99"/>
      <c r="P1797" s="99"/>
      <c r="Q1797" s="99"/>
      <c r="R1797" s="99"/>
      <c r="S1797" s="99"/>
      <c r="T1797" s="99"/>
      <c r="U1797" s="105"/>
      <c r="V1797" s="262"/>
      <c r="W1797" s="121"/>
      <c r="X1797" s="121"/>
      <c r="Y1797" s="121"/>
      <c r="Z1797" s="121"/>
      <c r="AA1797" s="121"/>
      <c r="AB1797" s="121"/>
      <c r="AC1797" s="121"/>
      <c r="AD1797" s="121"/>
      <c r="AE1797" s="121"/>
      <c r="AF1797" s="121"/>
      <c r="AG1797" s="121"/>
      <c r="AH1797" s="121"/>
      <c r="AI1797" s="121"/>
    </row>
    <row r="1798" spans="1:35" s="115" customFormat="1" ht="14.4">
      <c r="A1798" s="187"/>
      <c r="B1798" s="190"/>
      <c r="C1798" s="190"/>
      <c r="D1798" s="69"/>
      <c r="E1798" s="69"/>
      <c r="F1798" s="149"/>
      <c r="G1798" s="146"/>
      <c r="H1798" s="98"/>
      <c r="I1798" s="99"/>
      <c r="J1798" s="99"/>
      <c r="K1798" s="99"/>
      <c r="L1798" s="99"/>
      <c r="M1798" s="99"/>
      <c r="N1798" s="99"/>
      <c r="O1798" s="99"/>
      <c r="P1798" s="99"/>
      <c r="Q1798" s="99"/>
      <c r="R1798" s="99"/>
      <c r="S1798" s="99"/>
      <c r="T1798" s="99"/>
      <c r="U1798" s="105"/>
      <c r="V1798" s="262"/>
      <c r="W1798" s="121"/>
      <c r="X1798" s="121"/>
      <c r="Y1798" s="121"/>
      <c r="Z1798" s="121"/>
      <c r="AA1798" s="121"/>
      <c r="AB1798" s="121"/>
      <c r="AC1798" s="121"/>
      <c r="AD1798" s="121"/>
      <c r="AE1798" s="121"/>
      <c r="AF1798" s="121"/>
      <c r="AG1798" s="121"/>
      <c r="AH1798" s="121"/>
      <c r="AI1798" s="121"/>
    </row>
    <row r="1799" spans="1:35" s="115" customFormat="1" ht="14.4">
      <c r="A1799" s="187"/>
      <c r="B1799" s="190"/>
      <c r="C1799" s="190"/>
      <c r="D1799" s="69"/>
      <c r="E1799" s="69"/>
      <c r="F1799" s="149"/>
      <c r="G1799" s="146"/>
      <c r="H1799" s="98"/>
      <c r="I1799" s="99"/>
      <c r="J1799" s="99"/>
      <c r="K1799" s="99"/>
      <c r="L1799" s="99"/>
      <c r="M1799" s="99"/>
      <c r="N1799" s="99"/>
      <c r="O1799" s="99"/>
      <c r="P1799" s="99"/>
      <c r="Q1799" s="99"/>
      <c r="R1799" s="99"/>
      <c r="S1799" s="99"/>
      <c r="T1799" s="99"/>
      <c r="U1799" s="105"/>
      <c r="V1799" s="262"/>
      <c r="W1799" s="121"/>
      <c r="X1799" s="121"/>
      <c r="Y1799" s="121"/>
      <c r="Z1799" s="121"/>
      <c r="AA1799" s="121"/>
      <c r="AB1799" s="121"/>
      <c r="AC1799" s="121"/>
      <c r="AD1799" s="121"/>
      <c r="AE1799" s="121"/>
      <c r="AF1799" s="121"/>
      <c r="AG1799" s="121"/>
      <c r="AH1799" s="121"/>
      <c r="AI1799" s="121"/>
    </row>
    <row r="1800" spans="1:35" s="115" customFormat="1" ht="14.4">
      <c r="A1800" s="187"/>
      <c r="B1800" s="190"/>
      <c r="C1800" s="190"/>
      <c r="D1800" s="69"/>
      <c r="E1800" s="69"/>
      <c r="F1800" s="149"/>
      <c r="G1800" s="146"/>
      <c r="H1800" s="98"/>
      <c r="I1800" s="99"/>
      <c r="J1800" s="99"/>
      <c r="K1800" s="99"/>
      <c r="L1800" s="99"/>
      <c r="M1800" s="99"/>
      <c r="N1800" s="99"/>
      <c r="O1800" s="99"/>
      <c r="P1800" s="99"/>
      <c r="Q1800" s="99"/>
      <c r="R1800" s="99"/>
      <c r="S1800" s="99"/>
      <c r="T1800" s="99"/>
      <c r="U1800" s="105"/>
      <c r="V1800" s="262"/>
      <c r="W1800" s="121"/>
      <c r="X1800" s="121"/>
      <c r="Y1800" s="121"/>
      <c r="Z1800" s="121"/>
      <c r="AA1800" s="121"/>
      <c r="AB1800" s="121"/>
      <c r="AC1800" s="121"/>
      <c r="AD1800" s="121"/>
      <c r="AE1800" s="121"/>
      <c r="AF1800" s="121"/>
      <c r="AG1800" s="121"/>
      <c r="AH1800" s="121"/>
      <c r="AI1800" s="121"/>
    </row>
    <row r="1801" spans="1:35" s="115" customFormat="1" ht="14.4">
      <c r="A1801" s="187"/>
      <c r="B1801" s="190"/>
      <c r="C1801" s="190"/>
      <c r="D1801" s="69"/>
      <c r="E1801" s="69"/>
      <c r="F1801" s="149"/>
      <c r="G1801" s="146"/>
      <c r="H1801" s="98"/>
      <c r="I1801" s="99"/>
      <c r="J1801" s="99"/>
      <c r="K1801" s="99"/>
      <c r="L1801" s="99"/>
      <c r="M1801" s="99"/>
      <c r="N1801" s="99"/>
      <c r="O1801" s="99"/>
      <c r="P1801" s="99"/>
      <c r="Q1801" s="99"/>
      <c r="R1801" s="99"/>
      <c r="S1801" s="99"/>
      <c r="T1801" s="99"/>
      <c r="U1801" s="105"/>
      <c r="V1801" s="262"/>
      <c r="W1801" s="121"/>
      <c r="X1801" s="121"/>
      <c r="Y1801" s="121"/>
      <c r="Z1801" s="121"/>
      <c r="AA1801" s="121"/>
      <c r="AB1801" s="121"/>
      <c r="AC1801" s="121"/>
      <c r="AD1801" s="121"/>
      <c r="AE1801" s="121"/>
      <c r="AF1801" s="121"/>
      <c r="AG1801" s="121"/>
      <c r="AH1801" s="121"/>
      <c r="AI1801" s="121"/>
    </row>
    <row r="1802" spans="1:35" s="115" customFormat="1" ht="14.4">
      <c r="A1802" s="187"/>
      <c r="B1802" s="190"/>
      <c r="C1802" s="190"/>
      <c r="D1802" s="69"/>
      <c r="E1802" s="69"/>
      <c r="F1802" s="149"/>
      <c r="G1802" s="146"/>
      <c r="H1802" s="98"/>
      <c r="I1802" s="99"/>
      <c r="J1802" s="99"/>
      <c r="K1802" s="99"/>
      <c r="L1802" s="99"/>
      <c r="M1802" s="99"/>
      <c r="N1802" s="99"/>
      <c r="O1802" s="99"/>
      <c r="P1802" s="99"/>
      <c r="Q1802" s="99"/>
      <c r="R1802" s="99"/>
      <c r="S1802" s="99"/>
      <c r="T1802" s="99"/>
      <c r="U1802" s="105"/>
      <c r="V1802" s="262"/>
      <c r="W1802" s="121"/>
      <c r="X1802" s="121"/>
      <c r="Y1802" s="121"/>
      <c r="Z1802" s="121"/>
      <c r="AA1802" s="121"/>
      <c r="AB1802" s="121"/>
      <c r="AC1802" s="121"/>
      <c r="AD1802" s="121"/>
      <c r="AE1802" s="121"/>
      <c r="AF1802" s="121"/>
      <c r="AG1802" s="121"/>
      <c r="AH1802" s="121"/>
      <c r="AI1802" s="121"/>
    </row>
    <row r="1803" spans="1:35" s="115" customFormat="1" ht="14.4">
      <c r="A1803" s="187"/>
      <c r="B1803" s="190"/>
      <c r="C1803" s="190"/>
      <c r="D1803" s="69"/>
      <c r="E1803" s="69"/>
      <c r="F1803" s="149"/>
      <c r="G1803" s="146"/>
      <c r="H1803" s="98"/>
      <c r="I1803" s="99"/>
      <c r="J1803" s="99"/>
      <c r="K1803" s="99"/>
      <c r="L1803" s="99"/>
      <c r="M1803" s="99"/>
      <c r="N1803" s="99"/>
      <c r="O1803" s="99"/>
      <c r="P1803" s="99"/>
      <c r="Q1803" s="99"/>
      <c r="R1803" s="99"/>
      <c r="S1803" s="99"/>
      <c r="T1803" s="99"/>
      <c r="U1803" s="105"/>
      <c r="V1803" s="262"/>
      <c r="W1803" s="121"/>
      <c r="X1803" s="121"/>
      <c r="Y1803" s="121"/>
      <c r="Z1803" s="121"/>
      <c r="AA1803" s="121"/>
      <c r="AB1803" s="121"/>
      <c r="AC1803" s="121"/>
      <c r="AD1803" s="121"/>
      <c r="AE1803" s="121"/>
      <c r="AF1803" s="121"/>
      <c r="AG1803" s="121"/>
      <c r="AH1803" s="121"/>
      <c r="AI1803" s="121"/>
    </row>
    <row r="1804" spans="1:35" s="115" customFormat="1" ht="14.4">
      <c r="A1804" s="187"/>
      <c r="B1804" s="190"/>
      <c r="C1804" s="190"/>
      <c r="D1804" s="69"/>
      <c r="E1804" s="69"/>
      <c r="F1804" s="149"/>
      <c r="G1804" s="146"/>
      <c r="H1804" s="98"/>
      <c r="I1804" s="99"/>
      <c r="J1804" s="99"/>
      <c r="K1804" s="99"/>
      <c r="L1804" s="99"/>
      <c r="M1804" s="99"/>
      <c r="N1804" s="99"/>
      <c r="O1804" s="99"/>
      <c r="P1804" s="99"/>
      <c r="Q1804" s="99"/>
      <c r="R1804" s="99"/>
      <c r="S1804" s="99"/>
      <c r="T1804" s="99"/>
      <c r="U1804" s="105"/>
      <c r="V1804" s="262"/>
      <c r="W1804" s="121"/>
      <c r="X1804" s="121"/>
      <c r="Y1804" s="121"/>
      <c r="Z1804" s="121"/>
      <c r="AA1804" s="121"/>
      <c r="AB1804" s="121"/>
      <c r="AC1804" s="121"/>
      <c r="AD1804" s="121"/>
      <c r="AE1804" s="121"/>
      <c r="AF1804" s="121"/>
      <c r="AG1804" s="121"/>
      <c r="AH1804" s="121"/>
      <c r="AI1804" s="121"/>
    </row>
    <row r="1805" spans="1:35" s="115" customFormat="1" ht="14.4">
      <c r="A1805" s="187"/>
      <c r="B1805" s="190"/>
      <c r="C1805" s="190"/>
      <c r="D1805" s="69"/>
      <c r="E1805" s="69"/>
      <c r="F1805" s="149"/>
      <c r="G1805" s="146"/>
      <c r="H1805" s="98"/>
      <c r="I1805" s="99"/>
      <c r="J1805" s="99"/>
      <c r="K1805" s="99"/>
      <c r="L1805" s="99"/>
      <c r="M1805" s="99"/>
      <c r="N1805" s="99"/>
      <c r="O1805" s="99"/>
      <c r="P1805" s="99"/>
      <c r="Q1805" s="99"/>
      <c r="R1805" s="99"/>
      <c r="S1805" s="99"/>
      <c r="T1805" s="99"/>
      <c r="U1805" s="105"/>
      <c r="V1805" s="262"/>
      <c r="W1805" s="121"/>
      <c r="X1805" s="121"/>
      <c r="Y1805" s="121"/>
      <c r="Z1805" s="121"/>
      <c r="AA1805" s="121"/>
      <c r="AB1805" s="121"/>
      <c r="AC1805" s="121"/>
      <c r="AD1805" s="121"/>
      <c r="AE1805" s="121"/>
      <c r="AF1805" s="121"/>
      <c r="AG1805" s="121"/>
      <c r="AH1805" s="121"/>
      <c r="AI1805" s="121"/>
    </row>
    <row r="1806" spans="1:35" s="115" customFormat="1" ht="14.4">
      <c r="A1806" s="187"/>
      <c r="B1806" s="190"/>
      <c r="C1806" s="190"/>
      <c r="D1806" s="69"/>
      <c r="E1806" s="69"/>
      <c r="F1806" s="149"/>
      <c r="G1806" s="146"/>
      <c r="H1806" s="98"/>
      <c r="I1806" s="99"/>
      <c r="J1806" s="99"/>
      <c r="K1806" s="99"/>
      <c r="L1806" s="99"/>
      <c r="M1806" s="99"/>
      <c r="N1806" s="99"/>
      <c r="O1806" s="99"/>
      <c r="P1806" s="99"/>
      <c r="Q1806" s="99"/>
      <c r="R1806" s="99"/>
      <c r="S1806" s="99"/>
      <c r="T1806" s="99"/>
      <c r="U1806" s="105"/>
      <c r="V1806" s="262"/>
      <c r="W1806" s="121"/>
      <c r="X1806" s="121"/>
      <c r="Y1806" s="121"/>
      <c r="Z1806" s="121"/>
      <c r="AA1806" s="121"/>
      <c r="AB1806" s="121"/>
      <c r="AC1806" s="121"/>
      <c r="AD1806" s="121"/>
      <c r="AE1806" s="121"/>
      <c r="AF1806" s="121"/>
      <c r="AG1806" s="121"/>
      <c r="AH1806" s="121"/>
      <c r="AI1806" s="121"/>
    </row>
    <row r="1807" spans="1:35" s="115" customFormat="1" ht="14.4">
      <c r="A1807" s="187"/>
      <c r="B1807" s="190"/>
      <c r="C1807" s="190"/>
      <c r="D1807" s="69"/>
      <c r="E1807" s="69"/>
      <c r="F1807" s="149"/>
      <c r="G1807" s="146"/>
      <c r="H1807" s="98"/>
      <c r="I1807" s="99"/>
      <c r="J1807" s="99"/>
      <c r="K1807" s="99"/>
      <c r="L1807" s="99"/>
      <c r="M1807" s="99"/>
      <c r="N1807" s="99"/>
      <c r="O1807" s="99"/>
      <c r="P1807" s="99"/>
      <c r="Q1807" s="99"/>
      <c r="R1807" s="99"/>
      <c r="S1807" s="99"/>
      <c r="T1807" s="99"/>
      <c r="U1807" s="105"/>
      <c r="V1807" s="262"/>
      <c r="W1807" s="121"/>
      <c r="X1807" s="121"/>
      <c r="Y1807" s="121"/>
      <c r="Z1807" s="121"/>
      <c r="AA1807" s="121"/>
      <c r="AB1807" s="121"/>
      <c r="AC1807" s="121"/>
      <c r="AD1807" s="121"/>
      <c r="AE1807" s="121"/>
      <c r="AF1807" s="121"/>
      <c r="AG1807" s="121"/>
      <c r="AH1807" s="121"/>
      <c r="AI1807" s="121"/>
    </row>
    <row r="1808" spans="1:35" s="115" customFormat="1" ht="14.4">
      <c r="A1808" s="187"/>
      <c r="B1808" s="190"/>
      <c r="C1808" s="190"/>
      <c r="D1808" s="69"/>
      <c r="E1808" s="69"/>
      <c r="F1808" s="149"/>
      <c r="G1808" s="146"/>
      <c r="H1808" s="98"/>
      <c r="I1808" s="99"/>
      <c r="J1808" s="99"/>
      <c r="K1808" s="99"/>
      <c r="L1808" s="99"/>
      <c r="M1808" s="99"/>
      <c r="N1808" s="99"/>
      <c r="O1808" s="99"/>
      <c r="P1808" s="99"/>
      <c r="Q1808" s="99"/>
      <c r="R1808" s="99"/>
      <c r="S1808" s="99"/>
      <c r="T1808" s="99"/>
      <c r="U1808" s="105"/>
      <c r="V1808" s="262"/>
      <c r="W1808" s="121"/>
      <c r="X1808" s="121"/>
      <c r="Y1808" s="121"/>
      <c r="Z1808" s="121"/>
      <c r="AA1808" s="121"/>
      <c r="AB1808" s="121"/>
      <c r="AC1808" s="121"/>
      <c r="AD1808" s="121"/>
      <c r="AE1808" s="121"/>
      <c r="AF1808" s="121"/>
      <c r="AG1808" s="121"/>
      <c r="AH1808" s="121"/>
      <c r="AI1808" s="121"/>
    </row>
    <row r="1809" spans="1:35" s="115" customFormat="1" ht="14.4">
      <c r="A1809" s="187"/>
      <c r="B1809" s="190"/>
      <c r="C1809" s="190"/>
      <c r="D1809" s="69"/>
      <c r="E1809" s="69"/>
      <c r="F1809" s="149"/>
      <c r="G1809" s="146"/>
      <c r="H1809" s="98"/>
      <c r="I1809" s="99"/>
      <c r="J1809" s="99"/>
      <c r="K1809" s="99"/>
      <c r="L1809" s="99"/>
      <c r="M1809" s="99"/>
      <c r="N1809" s="99"/>
      <c r="O1809" s="99"/>
      <c r="P1809" s="99"/>
      <c r="Q1809" s="99"/>
      <c r="R1809" s="99"/>
      <c r="S1809" s="99"/>
      <c r="T1809" s="99"/>
      <c r="U1809" s="105"/>
      <c r="V1809" s="262"/>
      <c r="W1809" s="121"/>
      <c r="X1809" s="121"/>
      <c r="Y1809" s="121"/>
      <c r="Z1809" s="121"/>
      <c r="AA1809" s="121"/>
      <c r="AB1809" s="121"/>
      <c r="AC1809" s="121"/>
      <c r="AD1809" s="121"/>
      <c r="AE1809" s="121"/>
      <c r="AF1809" s="121"/>
      <c r="AG1809" s="121"/>
      <c r="AH1809" s="121"/>
      <c r="AI1809" s="121"/>
    </row>
    <row r="1810" spans="1:35" s="115" customFormat="1" ht="14.4">
      <c r="A1810" s="187"/>
      <c r="B1810" s="190"/>
      <c r="C1810" s="190"/>
      <c r="D1810" s="69"/>
      <c r="E1810" s="69"/>
      <c r="F1810" s="149"/>
      <c r="G1810" s="146"/>
      <c r="H1810" s="98"/>
      <c r="I1810" s="99"/>
      <c r="J1810" s="99"/>
      <c r="K1810" s="99"/>
      <c r="L1810" s="99"/>
      <c r="M1810" s="99"/>
      <c r="N1810" s="99"/>
      <c r="O1810" s="99"/>
      <c r="P1810" s="99"/>
      <c r="Q1810" s="99"/>
      <c r="R1810" s="99"/>
      <c r="S1810" s="99"/>
      <c r="T1810" s="99"/>
      <c r="U1810" s="105"/>
      <c r="V1810" s="262"/>
      <c r="W1810" s="121"/>
      <c r="X1810" s="121"/>
      <c r="Y1810" s="121"/>
      <c r="Z1810" s="121"/>
      <c r="AA1810" s="121"/>
      <c r="AB1810" s="121"/>
      <c r="AC1810" s="121"/>
      <c r="AD1810" s="121"/>
      <c r="AE1810" s="121"/>
      <c r="AF1810" s="121"/>
      <c r="AG1810" s="121"/>
      <c r="AH1810" s="121"/>
      <c r="AI1810" s="121"/>
    </row>
    <row r="1811" spans="1:35" s="115" customFormat="1" ht="14.4">
      <c r="A1811" s="187"/>
      <c r="B1811" s="190"/>
      <c r="C1811" s="190"/>
      <c r="D1811" s="69"/>
      <c r="E1811" s="69"/>
      <c r="F1811" s="149"/>
      <c r="G1811" s="146"/>
      <c r="H1811" s="98"/>
      <c r="I1811" s="99"/>
      <c r="J1811" s="99"/>
      <c r="K1811" s="99"/>
      <c r="L1811" s="99"/>
      <c r="M1811" s="99"/>
      <c r="N1811" s="99"/>
      <c r="O1811" s="99"/>
      <c r="P1811" s="99"/>
      <c r="Q1811" s="99"/>
      <c r="R1811" s="99"/>
      <c r="S1811" s="99"/>
      <c r="T1811" s="99"/>
      <c r="U1811" s="105"/>
      <c r="V1811" s="262"/>
      <c r="W1811" s="121"/>
      <c r="X1811" s="121"/>
      <c r="Y1811" s="121"/>
      <c r="Z1811" s="121"/>
      <c r="AA1811" s="121"/>
      <c r="AB1811" s="121"/>
      <c r="AC1811" s="121"/>
      <c r="AD1811" s="121"/>
      <c r="AE1811" s="121"/>
      <c r="AF1811" s="121"/>
      <c r="AG1811" s="121"/>
      <c r="AH1811" s="121"/>
      <c r="AI1811" s="121"/>
    </row>
    <row r="1812" spans="1:35" s="115" customFormat="1" ht="14.4">
      <c r="A1812" s="187"/>
      <c r="B1812" s="190"/>
      <c r="C1812" s="190"/>
      <c r="D1812" s="69"/>
      <c r="E1812" s="69"/>
      <c r="F1812" s="149"/>
      <c r="G1812" s="146"/>
      <c r="H1812" s="98"/>
      <c r="I1812" s="99"/>
      <c r="J1812" s="99"/>
      <c r="K1812" s="99"/>
      <c r="L1812" s="99"/>
      <c r="M1812" s="99"/>
      <c r="N1812" s="99"/>
      <c r="O1812" s="99"/>
      <c r="P1812" s="99"/>
      <c r="Q1812" s="99"/>
      <c r="R1812" s="99"/>
      <c r="S1812" s="99"/>
      <c r="T1812" s="99"/>
      <c r="U1812" s="105"/>
      <c r="V1812" s="262"/>
      <c r="W1812" s="121"/>
      <c r="X1812" s="121"/>
      <c r="Y1812" s="121"/>
      <c r="Z1812" s="121"/>
      <c r="AA1812" s="121"/>
      <c r="AB1812" s="121"/>
      <c r="AC1812" s="121"/>
      <c r="AD1812" s="121"/>
      <c r="AE1812" s="121"/>
      <c r="AF1812" s="121"/>
      <c r="AG1812" s="121"/>
      <c r="AH1812" s="121"/>
      <c r="AI1812" s="121"/>
    </row>
    <row r="1813" spans="1:35" s="115" customFormat="1" ht="14.4">
      <c r="A1813" s="187"/>
      <c r="B1813" s="190"/>
      <c r="C1813" s="190"/>
      <c r="D1813" s="69"/>
      <c r="E1813" s="69"/>
      <c r="F1813" s="149"/>
      <c r="G1813" s="146"/>
      <c r="H1813" s="107"/>
      <c r="I1813" s="109"/>
      <c r="J1813" s="109"/>
      <c r="K1813" s="109"/>
      <c r="L1813" s="109"/>
      <c r="M1813" s="109"/>
      <c r="N1813" s="109"/>
      <c r="O1813" s="109"/>
      <c r="P1813" s="109"/>
      <c r="Q1813" s="109"/>
      <c r="R1813" s="109"/>
      <c r="S1813" s="109"/>
      <c r="T1813" s="109"/>
      <c r="U1813" s="105"/>
      <c r="V1813" s="262"/>
      <c r="W1813" s="121"/>
      <c r="X1813" s="121"/>
      <c r="Y1813" s="121"/>
      <c r="Z1813" s="121"/>
      <c r="AA1813" s="121"/>
      <c r="AB1813" s="121"/>
      <c r="AC1813" s="121"/>
      <c r="AD1813" s="121"/>
      <c r="AE1813" s="121"/>
      <c r="AF1813" s="121"/>
      <c r="AG1813" s="121"/>
      <c r="AH1813" s="121"/>
      <c r="AI1813" s="121"/>
    </row>
    <row r="1814" spans="1:35" s="115" customFormat="1" ht="14.4">
      <c r="A1814" s="187"/>
      <c r="B1814" s="190"/>
      <c r="C1814" s="190"/>
      <c r="D1814" s="69"/>
      <c r="E1814" s="69"/>
      <c r="F1814" s="149"/>
      <c r="G1814" s="146"/>
      <c r="H1814" s="98"/>
      <c r="I1814" s="106"/>
      <c r="J1814" s="106"/>
      <c r="K1814" s="106"/>
      <c r="L1814" s="106"/>
      <c r="M1814" s="106"/>
      <c r="N1814" s="112"/>
      <c r="O1814" s="112"/>
      <c r="P1814" s="112"/>
      <c r="Q1814" s="113"/>
      <c r="R1814" s="113"/>
      <c r="S1814" s="113"/>
      <c r="T1814" s="113"/>
      <c r="U1814" s="105"/>
      <c r="V1814" s="262"/>
      <c r="W1814" s="121"/>
      <c r="X1814" s="121"/>
      <c r="Y1814" s="121"/>
      <c r="Z1814" s="121"/>
      <c r="AA1814" s="121"/>
      <c r="AB1814" s="121"/>
      <c r="AC1814" s="121"/>
      <c r="AD1814" s="121"/>
      <c r="AE1814" s="121"/>
      <c r="AF1814" s="121"/>
      <c r="AG1814" s="121"/>
      <c r="AH1814" s="121"/>
      <c r="AI1814" s="121"/>
    </row>
    <row r="1815" spans="1:35" s="115" customFormat="1" ht="14.4">
      <c r="A1815" s="187"/>
      <c r="B1815" s="190"/>
      <c r="C1815" s="190"/>
      <c r="D1815" s="69"/>
      <c r="E1815" s="69"/>
      <c r="F1815" s="149"/>
      <c r="G1815" s="146"/>
      <c r="H1815" s="98"/>
      <c r="I1815" s="99"/>
      <c r="J1815" s="99"/>
      <c r="K1815" s="99"/>
      <c r="L1815" s="99"/>
      <c r="M1815" s="99"/>
      <c r="N1815" s="99"/>
      <c r="O1815" s="99"/>
      <c r="P1815" s="99"/>
      <c r="Q1815" s="99"/>
      <c r="R1815" s="99"/>
      <c r="S1815" s="99"/>
      <c r="T1815" s="99"/>
      <c r="U1815" s="105"/>
      <c r="V1815" s="262"/>
      <c r="W1815" s="121"/>
      <c r="X1815" s="121"/>
      <c r="Y1815" s="121"/>
      <c r="Z1815" s="121"/>
      <c r="AA1815" s="121"/>
      <c r="AB1815" s="121"/>
      <c r="AC1815" s="121"/>
      <c r="AD1815" s="121"/>
      <c r="AE1815" s="121"/>
      <c r="AF1815" s="121"/>
      <c r="AG1815" s="121"/>
      <c r="AH1815" s="121"/>
      <c r="AI1815" s="121"/>
    </row>
    <row r="1816" spans="1:35" s="115" customFormat="1" ht="14.4">
      <c r="A1816" s="187"/>
      <c r="B1816" s="190"/>
      <c r="C1816" s="190"/>
      <c r="D1816" s="69"/>
      <c r="E1816" s="69"/>
      <c r="F1816" s="149"/>
      <c r="G1816" s="146"/>
      <c r="H1816" s="98"/>
      <c r="I1816" s="99"/>
      <c r="J1816" s="99"/>
      <c r="K1816" s="99"/>
      <c r="L1816" s="99"/>
      <c r="M1816" s="99"/>
      <c r="N1816" s="99"/>
      <c r="O1816" s="99"/>
      <c r="P1816" s="99"/>
      <c r="Q1816" s="99"/>
      <c r="R1816" s="99"/>
      <c r="S1816" s="99"/>
      <c r="T1816" s="99"/>
      <c r="U1816" s="105"/>
      <c r="V1816" s="262"/>
      <c r="W1816" s="121"/>
      <c r="X1816" s="121"/>
      <c r="Y1816" s="121"/>
      <c r="Z1816" s="121"/>
      <c r="AA1816" s="121"/>
      <c r="AB1816" s="121"/>
      <c r="AC1816" s="121"/>
      <c r="AD1816" s="121"/>
      <c r="AE1816" s="121"/>
      <c r="AF1816" s="121"/>
      <c r="AG1816" s="121"/>
      <c r="AH1816" s="121"/>
      <c r="AI1816" s="121"/>
    </row>
    <row r="1817" spans="1:35" s="115" customFormat="1" ht="14.4">
      <c r="A1817" s="187"/>
      <c r="B1817" s="190"/>
      <c r="C1817" s="190"/>
      <c r="D1817" s="69"/>
      <c r="E1817" s="69"/>
      <c r="F1817" s="149"/>
      <c r="G1817" s="146"/>
      <c r="H1817" s="98"/>
      <c r="I1817" s="99"/>
      <c r="J1817" s="99"/>
      <c r="K1817" s="99"/>
      <c r="L1817" s="99"/>
      <c r="M1817" s="99"/>
      <c r="N1817" s="99"/>
      <c r="O1817" s="99"/>
      <c r="P1817" s="99"/>
      <c r="Q1817" s="99"/>
      <c r="R1817" s="99"/>
      <c r="S1817" s="99"/>
      <c r="T1817" s="99"/>
      <c r="U1817" s="105"/>
      <c r="V1817" s="262"/>
      <c r="W1817" s="121"/>
      <c r="X1817" s="121"/>
      <c r="Y1817" s="121"/>
      <c r="Z1817" s="121"/>
      <c r="AA1817" s="121"/>
      <c r="AB1817" s="121"/>
      <c r="AC1817" s="121"/>
      <c r="AD1817" s="121"/>
      <c r="AE1817" s="121"/>
      <c r="AF1817" s="121"/>
      <c r="AG1817" s="121"/>
      <c r="AH1817" s="121"/>
      <c r="AI1817" s="121"/>
    </row>
    <row r="1818" spans="1:35" s="115" customFormat="1" ht="14.4">
      <c r="A1818" s="187"/>
      <c r="B1818" s="190"/>
      <c r="C1818" s="190"/>
      <c r="D1818" s="69"/>
      <c r="E1818" s="69"/>
      <c r="F1818" s="149"/>
      <c r="G1818" s="146"/>
      <c r="H1818" s="98"/>
      <c r="I1818" s="99"/>
      <c r="J1818" s="99"/>
      <c r="K1818" s="99"/>
      <c r="L1818" s="99"/>
      <c r="M1818" s="99"/>
      <c r="N1818" s="99"/>
      <c r="O1818" s="99"/>
      <c r="P1818" s="99"/>
      <c r="Q1818" s="99"/>
      <c r="R1818" s="99"/>
      <c r="S1818" s="99"/>
      <c r="T1818" s="99"/>
      <c r="U1818" s="105"/>
      <c r="V1818" s="262"/>
      <c r="W1818" s="121"/>
      <c r="X1818" s="121"/>
      <c r="Y1818" s="121"/>
      <c r="Z1818" s="121"/>
      <c r="AA1818" s="121"/>
      <c r="AB1818" s="121"/>
      <c r="AC1818" s="121"/>
      <c r="AD1818" s="121"/>
      <c r="AE1818" s="121"/>
      <c r="AF1818" s="121"/>
      <c r="AG1818" s="121"/>
      <c r="AH1818" s="121"/>
      <c r="AI1818" s="121"/>
    </row>
    <row r="1819" spans="1:35" s="115" customFormat="1" ht="14.4">
      <c r="A1819" s="187"/>
      <c r="B1819" s="190"/>
      <c r="C1819" s="190"/>
      <c r="D1819" s="69"/>
      <c r="E1819" s="69"/>
      <c r="F1819" s="149"/>
      <c r="G1819" s="146"/>
      <c r="H1819" s="98"/>
      <c r="I1819" s="99"/>
      <c r="J1819" s="99"/>
      <c r="K1819" s="99"/>
      <c r="L1819" s="99"/>
      <c r="M1819" s="99"/>
      <c r="N1819" s="99"/>
      <c r="O1819" s="99"/>
      <c r="P1819" s="99"/>
      <c r="Q1819" s="99"/>
      <c r="R1819" s="99"/>
      <c r="S1819" s="99"/>
      <c r="T1819" s="99"/>
      <c r="U1819" s="105"/>
      <c r="V1819" s="262"/>
      <c r="W1819" s="121"/>
      <c r="X1819" s="121"/>
      <c r="Y1819" s="121"/>
      <c r="Z1819" s="121"/>
      <c r="AA1819" s="121"/>
      <c r="AB1819" s="121"/>
      <c r="AC1819" s="121"/>
      <c r="AD1819" s="121"/>
      <c r="AE1819" s="121"/>
      <c r="AF1819" s="121"/>
      <c r="AG1819" s="121"/>
      <c r="AH1819" s="121"/>
      <c r="AI1819" s="121"/>
    </row>
    <row r="1820" spans="1:35" s="115" customFormat="1" ht="14.4">
      <c r="A1820" s="187"/>
      <c r="B1820" s="190"/>
      <c r="C1820" s="190"/>
      <c r="D1820" s="69"/>
      <c r="E1820" s="69"/>
      <c r="F1820" s="149"/>
      <c r="G1820" s="146"/>
      <c r="H1820" s="98"/>
      <c r="I1820" s="99"/>
      <c r="J1820" s="99"/>
      <c r="K1820" s="99"/>
      <c r="L1820" s="99"/>
      <c r="M1820" s="99"/>
      <c r="N1820" s="99"/>
      <c r="O1820" s="99"/>
      <c r="P1820" s="99"/>
      <c r="Q1820" s="99"/>
      <c r="R1820" s="99"/>
      <c r="S1820" s="99"/>
      <c r="T1820" s="99"/>
      <c r="U1820" s="105"/>
      <c r="V1820" s="262"/>
      <c r="W1820" s="121"/>
      <c r="X1820" s="121"/>
      <c r="Y1820" s="121"/>
      <c r="Z1820" s="121"/>
      <c r="AA1820" s="121"/>
      <c r="AB1820" s="121"/>
      <c r="AC1820" s="121"/>
      <c r="AD1820" s="121"/>
      <c r="AE1820" s="121"/>
      <c r="AF1820" s="121"/>
      <c r="AG1820" s="121"/>
      <c r="AH1820" s="121"/>
      <c r="AI1820" s="121"/>
    </row>
    <row r="1821" spans="1:35" s="115" customFormat="1" ht="14.4">
      <c r="A1821" s="187"/>
      <c r="B1821" s="190"/>
      <c r="C1821" s="190"/>
      <c r="D1821" s="69"/>
      <c r="E1821" s="69"/>
      <c r="F1821" s="149"/>
      <c r="G1821" s="146"/>
      <c r="H1821" s="98"/>
      <c r="I1821" s="99"/>
      <c r="J1821" s="99"/>
      <c r="K1821" s="99"/>
      <c r="L1821" s="99"/>
      <c r="M1821" s="99"/>
      <c r="N1821" s="99"/>
      <c r="O1821" s="99"/>
      <c r="P1821" s="99"/>
      <c r="Q1821" s="99"/>
      <c r="R1821" s="99"/>
      <c r="S1821" s="99"/>
      <c r="T1821" s="99"/>
      <c r="U1821" s="105"/>
      <c r="V1821" s="262"/>
      <c r="W1821" s="121"/>
      <c r="X1821" s="121"/>
      <c r="Y1821" s="121"/>
      <c r="Z1821" s="121"/>
      <c r="AA1821" s="121"/>
      <c r="AB1821" s="121"/>
      <c r="AC1821" s="121"/>
      <c r="AD1821" s="121"/>
      <c r="AE1821" s="121"/>
      <c r="AF1821" s="121"/>
      <c r="AG1821" s="121"/>
      <c r="AH1821" s="121"/>
      <c r="AI1821" s="121"/>
    </row>
    <row r="1822" spans="1:35" s="115" customFormat="1" ht="14.4">
      <c r="A1822" s="187"/>
      <c r="B1822" s="190"/>
      <c r="C1822" s="190"/>
      <c r="D1822" s="69"/>
      <c r="E1822" s="69"/>
      <c r="F1822" s="149"/>
      <c r="G1822" s="146"/>
      <c r="H1822" s="98"/>
      <c r="I1822" s="99"/>
      <c r="J1822" s="99"/>
      <c r="K1822" s="99"/>
      <c r="L1822" s="99"/>
      <c r="M1822" s="99"/>
      <c r="N1822" s="99"/>
      <c r="O1822" s="99"/>
      <c r="P1822" s="99"/>
      <c r="Q1822" s="99"/>
      <c r="R1822" s="99"/>
      <c r="S1822" s="99"/>
      <c r="T1822" s="99"/>
      <c r="U1822" s="105"/>
      <c r="V1822" s="262"/>
      <c r="W1822" s="121"/>
      <c r="X1822" s="121"/>
      <c r="Y1822" s="121"/>
      <c r="Z1822" s="121"/>
      <c r="AA1822" s="121"/>
      <c r="AB1822" s="121"/>
      <c r="AC1822" s="121"/>
      <c r="AD1822" s="121"/>
      <c r="AE1822" s="121"/>
      <c r="AF1822" s="121"/>
      <c r="AG1822" s="121"/>
      <c r="AH1822" s="121"/>
      <c r="AI1822" s="121"/>
    </row>
    <row r="1823" spans="1:35" s="115" customFormat="1" ht="14.4">
      <c r="A1823" s="187"/>
      <c r="B1823" s="190"/>
      <c r="C1823" s="190"/>
      <c r="D1823" s="69"/>
      <c r="E1823" s="69"/>
      <c r="F1823" s="149"/>
      <c r="G1823" s="146"/>
      <c r="H1823" s="98"/>
      <c r="I1823" s="99"/>
      <c r="J1823" s="99"/>
      <c r="K1823" s="99"/>
      <c r="L1823" s="99"/>
      <c r="M1823" s="99"/>
      <c r="N1823" s="99"/>
      <c r="O1823" s="99"/>
      <c r="P1823" s="99"/>
      <c r="Q1823" s="99"/>
      <c r="R1823" s="99"/>
      <c r="S1823" s="99"/>
      <c r="T1823" s="99"/>
      <c r="U1823" s="105"/>
      <c r="V1823" s="262"/>
      <c r="W1823" s="121"/>
      <c r="X1823" s="121"/>
      <c r="Y1823" s="121"/>
      <c r="Z1823" s="121"/>
      <c r="AA1823" s="121"/>
      <c r="AB1823" s="121"/>
      <c r="AC1823" s="121"/>
      <c r="AD1823" s="121"/>
      <c r="AE1823" s="121"/>
      <c r="AF1823" s="121"/>
      <c r="AG1823" s="121"/>
      <c r="AH1823" s="121"/>
      <c r="AI1823" s="121"/>
    </row>
    <row r="1824" spans="1:35" s="115" customFormat="1" ht="14.4">
      <c r="A1824" s="187"/>
      <c r="B1824" s="190"/>
      <c r="C1824" s="190"/>
      <c r="D1824" s="69"/>
      <c r="E1824" s="69"/>
      <c r="F1824" s="149"/>
      <c r="G1824" s="146"/>
      <c r="H1824" s="98"/>
      <c r="I1824" s="99"/>
      <c r="J1824" s="99"/>
      <c r="K1824" s="99"/>
      <c r="L1824" s="99"/>
      <c r="M1824" s="99"/>
      <c r="N1824" s="99"/>
      <c r="O1824" s="99"/>
      <c r="P1824" s="99"/>
      <c r="Q1824" s="99"/>
      <c r="R1824" s="99"/>
      <c r="S1824" s="99"/>
      <c r="T1824" s="99"/>
      <c r="U1824" s="105"/>
      <c r="V1824" s="262"/>
      <c r="W1824" s="121"/>
      <c r="X1824" s="121"/>
      <c r="Y1824" s="121"/>
      <c r="Z1824" s="121"/>
      <c r="AA1824" s="121"/>
      <c r="AB1824" s="121"/>
      <c r="AC1824" s="121"/>
      <c r="AD1824" s="121"/>
      <c r="AE1824" s="121"/>
      <c r="AF1824" s="121"/>
      <c r="AG1824" s="121"/>
      <c r="AH1824" s="121"/>
      <c r="AI1824" s="121"/>
    </row>
    <row r="1825" spans="1:35" s="115" customFormat="1" ht="14.4">
      <c r="A1825" s="187"/>
      <c r="B1825" s="190"/>
      <c r="C1825" s="190"/>
      <c r="D1825" s="69"/>
      <c r="E1825" s="69"/>
      <c r="F1825" s="149"/>
      <c r="G1825" s="146"/>
      <c r="H1825" s="98"/>
      <c r="I1825" s="99"/>
      <c r="J1825" s="99"/>
      <c r="K1825" s="99"/>
      <c r="L1825" s="99"/>
      <c r="M1825" s="99"/>
      <c r="N1825" s="99"/>
      <c r="O1825" s="99"/>
      <c r="P1825" s="99"/>
      <c r="Q1825" s="99"/>
      <c r="R1825" s="99"/>
      <c r="S1825" s="99"/>
      <c r="T1825" s="99"/>
      <c r="U1825" s="105"/>
      <c r="V1825" s="262"/>
      <c r="W1825" s="121"/>
      <c r="X1825" s="121"/>
      <c r="Y1825" s="121"/>
      <c r="Z1825" s="121"/>
      <c r="AA1825" s="121"/>
      <c r="AB1825" s="121"/>
      <c r="AC1825" s="121"/>
      <c r="AD1825" s="121"/>
      <c r="AE1825" s="121"/>
      <c r="AF1825" s="121"/>
      <c r="AG1825" s="121"/>
      <c r="AH1825" s="121"/>
      <c r="AI1825" s="121"/>
    </row>
    <row r="1826" spans="1:35" s="115" customFormat="1" ht="14.4">
      <c r="A1826" s="187"/>
      <c r="B1826" s="190"/>
      <c r="C1826" s="190"/>
      <c r="D1826" s="69"/>
      <c r="E1826" s="69"/>
      <c r="F1826" s="149"/>
      <c r="G1826" s="146"/>
      <c r="H1826" s="98"/>
      <c r="I1826" s="99"/>
      <c r="J1826" s="99"/>
      <c r="K1826" s="99"/>
      <c r="L1826" s="99"/>
      <c r="M1826" s="99"/>
      <c r="N1826" s="99"/>
      <c r="O1826" s="99"/>
      <c r="P1826" s="99"/>
      <c r="Q1826" s="99"/>
      <c r="R1826" s="99"/>
      <c r="S1826" s="99"/>
      <c r="T1826" s="99"/>
      <c r="U1826" s="105"/>
      <c r="V1826" s="262"/>
      <c r="W1826" s="121"/>
      <c r="X1826" s="121"/>
      <c r="Y1826" s="121"/>
      <c r="Z1826" s="121"/>
      <c r="AA1826" s="121"/>
      <c r="AB1826" s="121"/>
      <c r="AC1826" s="121"/>
      <c r="AD1826" s="121"/>
      <c r="AE1826" s="121"/>
      <c r="AF1826" s="121"/>
      <c r="AG1826" s="121"/>
      <c r="AH1826" s="121"/>
      <c r="AI1826" s="121"/>
    </row>
    <row r="1827" spans="1:35" s="115" customFormat="1" ht="14.4">
      <c r="A1827" s="187"/>
      <c r="B1827" s="190"/>
      <c r="C1827" s="190"/>
      <c r="D1827" s="69"/>
      <c r="E1827" s="69"/>
      <c r="F1827" s="149"/>
      <c r="G1827" s="146"/>
      <c r="H1827" s="98"/>
      <c r="I1827" s="99"/>
      <c r="J1827" s="99"/>
      <c r="K1827" s="99"/>
      <c r="L1827" s="99"/>
      <c r="M1827" s="99"/>
      <c r="N1827" s="99"/>
      <c r="O1827" s="99"/>
      <c r="P1827" s="99"/>
      <c r="Q1827" s="99"/>
      <c r="R1827" s="99"/>
      <c r="S1827" s="99"/>
      <c r="T1827" s="99"/>
      <c r="U1827" s="105"/>
      <c r="V1827" s="262"/>
      <c r="W1827" s="121"/>
      <c r="X1827" s="121"/>
      <c r="Y1827" s="121"/>
      <c r="Z1827" s="121"/>
      <c r="AA1827" s="121"/>
      <c r="AB1827" s="121"/>
      <c r="AC1827" s="121"/>
      <c r="AD1827" s="121"/>
      <c r="AE1827" s="121"/>
      <c r="AF1827" s="121"/>
      <c r="AG1827" s="121"/>
      <c r="AH1827" s="121"/>
      <c r="AI1827" s="121"/>
    </row>
    <row r="1828" spans="1:35" s="115" customFormat="1" ht="14.4">
      <c r="A1828" s="187"/>
      <c r="B1828" s="190"/>
      <c r="C1828" s="190"/>
      <c r="D1828" s="69"/>
      <c r="E1828" s="69"/>
      <c r="F1828" s="149"/>
      <c r="G1828" s="146"/>
      <c r="H1828" s="98"/>
      <c r="I1828" s="99"/>
      <c r="J1828" s="99"/>
      <c r="K1828" s="99"/>
      <c r="L1828" s="99"/>
      <c r="M1828" s="99"/>
      <c r="N1828" s="99"/>
      <c r="O1828" s="99"/>
      <c r="P1828" s="99"/>
      <c r="Q1828" s="99"/>
      <c r="R1828" s="99"/>
      <c r="S1828" s="99"/>
      <c r="T1828" s="99"/>
      <c r="U1828" s="105"/>
      <c r="V1828" s="262"/>
      <c r="W1828" s="121"/>
      <c r="X1828" s="121"/>
      <c r="Y1828" s="121"/>
      <c r="Z1828" s="121"/>
      <c r="AA1828" s="121"/>
      <c r="AB1828" s="121"/>
      <c r="AC1828" s="121"/>
      <c r="AD1828" s="121"/>
      <c r="AE1828" s="121"/>
      <c r="AF1828" s="121"/>
      <c r="AG1828" s="121"/>
      <c r="AH1828" s="121"/>
      <c r="AI1828" s="121"/>
    </row>
    <row r="1829" spans="1:35" s="115" customFormat="1" ht="14.4">
      <c r="A1829" s="187"/>
      <c r="B1829" s="190"/>
      <c r="C1829" s="190"/>
      <c r="D1829" s="69"/>
      <c r="E1829" s="69"/>
      <c r="F1829" s="149"/>
      <c r="G1829" s="146"/>
      <c r="H1829" s="98"/>
      <c r="I1829" s="99"/>
      <c r="J1829" s="99"/>
      <c r="K1829" s="99"/>
      <c r="L1829" s="99"/>
      <c r="M1829" s="99"/>
      <c r="N1829" s="99"/>
      <c r="O1829" s="99"/>
      <c r="P1829" s="99"/>
      <c r="Q1829" s="99"/>
      <c r="R1829" s="99"/>
      <c r="S1829" s="99"/>
      <c r="T1829" s="99"/>
      <c r="U1829" s="105"/>
      <c r="V1829" s="262"/>
      <c r="W1829" s="121"/>
      <c r="X1829" s="121"/>
      <c r="Y1829" s="121"/>
      <c r="Z1829" s="121"/>
      <c r="AA1829" s="121"/>
      <c r="AB1829" s="121"/>
      <c r="AC1829" s="121"/>
      <c r="AD1829" s="121"/>
      <c r="AE1829" s="121"/>
      <c r="AF1829" s="121"/>
      <c r="AG1829" s="121"/>
      <c r="AH1829" s="121"/>
      <c r="AI1829" s="121"/>
    </row>
    <row r="1830" spans="1:35" s="115" customFormat="1" ht="14.4">
      <c r="A1830" s="187"/>
      <c r="B1830" s="190"/>
      <c r="C1830" s="190"/>
      <c r="D1830" s="69"/>
      <c r="E1830" s="69"/>
      <c r="F1830" s="149"/>
      <c r="G1830" s="146"/>
      <c r="H1830" s="98"/>
      <c r="I1830" s="99"/>
      <c r="J1830" s="99"/>
      <c r="K1830" s="99"/>
      <c r="L1830" s="99"/>
      <c r="M1830" s="99"/>
      <c r="N1830" s="99"/>
      <c r="O1830" s="99"/>
      <c r="P1830" s="99"/>
      <c r="Q1830" s="99"/>
      <c r="R1830" s="99"/>
      <c r="S1830" s="99"/>
      <c r="T1830" s="99"/>
      <c r="U1830" s="105"/>
      <c r="V1830" s="262"/>
      <c r="W1830" s="121"/>
      <c r="X1830" s="121"/>
      <c r="Y1830" s="121"/>
      <c r="Z1830" s="121"/>
      <c r="AA1830" s="121"/>
      <c r="AB1830" s="121"/>
      <c r="AC1830" s="121"/>
      <c r="AD1830" s="121"/>
      <c r="AE1830" s="121"/>
      <c r="AF1830" s="121"/>
      <c r="AG1830" s="121"/>
      <c r="AH1830" s="121"/>
      <c r="AI1830" s="121"/>
    </row>
    <row r="1831" spans="1:35" s="115" customFormat="1" ht="14.4">
      <c r="A1831" s="187"/>
      <c r="B1831" s="190"/>
      <c r="C1831" s="190"/>
      <c r="D1831" s="69"/>
      <c r="E1831" s="69"/>
      <c r="F1831" s="149"/>
      <c r="G1831" s="146"/>
      <c r="H1831" s="98"/>
      <c r="I1831" s="99"/>
      <c r="J1831" s="99"/>
      <c r="K1831" s="99"/>
      <c r="L1831" s="99"/>
      <c r="M1831" s="99"/>
      <c r="N1831" s="99"/>
      <c r="O1831" s="99"/>
      <c r="P1831" s="99"/>
      <c r="Q1831" s="99"/>
      <c r="R1831" s="99"/>
      <c r="S1831" s="99"/>
      <c r="T1831" s="99"/>
      <c r="U1831" s="105"/>
      <c r="V1831" s="262"/>
      <c r="W1831" s="121"/>
      <c r="X1831" s="121"/>
      <c r="Y1831" s="121"/>
      <c r="Z1831" s="121"/>
      <c r="AA1831" s="121"/>
      <c r="AB1831" s="121"/>
      <c r="AC1831" s="121"/>
      <c r="AD1831" s="121"/>
      <c r="AE1831" s="121"/>
      <c r="AF1831" s="121"/>
      <c r="AG1831" s="121"/>
      <c r="AH1831" s="121"/>
      <c r="AI1831" s="121"/>
    </row>
    <row r="1832" spans="1:35" s="115" customFormat="1" ht="14.4">
      <c r="A1832" s="187"/>
      <c r="B1832" s="190"/>
      <c r="C1832" s="190"/>
      <c r="D1832" s="69"/>
      <c r="E1832" s="69"/>
      <c r="F1832" s="149"/>
      <c r="G1832" s="146"/>
      <c r="H1832" s="98"/>
      <c r="I1832" s="99"/>
      <c r="J1832" s="99"/>
      <c r="K1832" s="99"/>
      <c r="L1832" s="99"/>
      <c r="M1832" s="99"/>
      <c r="N1832" s="99"/>
      <c r="O1832" s="99"/>
      <c r="P1832" s="99"/>
      <c r="Q1832" s="99"/>
      <c r="R1832" s="99"/>
      <c r="S1832" s="99"/>
      <c r="T1832" s="99"/>
      <c r="U1832" s="105"/>
      <c r="V1832" s="262"/>
      <c r="W1832" s="121"/>
      <c r="X1832" s="121"/>
      <c r="Y1832" s="121"/>
      <c r="Z1832" s="121"/>
      <c r="AA1832" s="121"/>
      <c r="AB1832" s="121"/>
      <c r="AC1832" s="121"/>
      <c r="AD1832" s="121"/>
      <c r="AE1832" s="121"/>
      <c r="AF1832" s="121"/>
      <c r="AG1832" s="121"/>
      <c r="AH1832" s="121"/>
      <c r="AI1832" s="121"/>
    </row>
    <row r="1833" spans="1:35" s="115" customFormat="1" ht="14.4">
      <c r="A1833" s="187"/>
      <c r="B1833" s="190"/>
      <c r="C1833" s="190"/>
      <c r="D1833" s="69"/>
      <c r="E1833" s="69"/>
      <c r="F1833" s="149"/>
      <c r="G1833" s="146"/>
      <c r="H1833" s="98"/>
      <c r="I1833" s="99"/>
      <c r="J1833" s="99"/>
      <c r="K1833" s="99"/>
      <c r="L1833" s="99"/>
      <c r="M1833" s="99"/>
      <c r="N1833" s="99"/>
      <c r="O1833" s="99"/>
      <c r="P1833" s="99"/>
      <c r="Q1833" s="99"/>
      <c r="R1833" s="99"/>
      <c r="S1833" s="99"/>
      <c r="T1833" s="99"/>
      <c r="U1833" s="105"/>
      <c r="V1833" s="262"/>
      <c r="W1833" s="121"/>
      <c r="X1833" s="121"/>
      <c r="Y1833" s="121"/>
      <c r="Z1833" s="121"/>
      <c r="AA1833" s="121"/>
      <c r="AB1833" s="121"/>
      <c r="AC1833" s="121"/>
      <c r="AD1833" s="121"/>
      <c r="AE1833" s="121"/>
      <c r="AF1833" s="121"/>
      <c r="AG1833" s="121"/>
      <c r="AH1833" s="121"/>
      <c r="AI1833" s="121"/>
    </row>
    <row r="1834" spans="1:35" s="115" customFormat="1" ht="14.4">
      <c r="A1834" s="187"/>
      <c r="B1834" s="190"/>
      <c r="C1834" s="190"/>
      <c r="D1834" s="69"/>
      <c r="E1834" s="69"/>
      <c r="F1834" s="149"/>
      <c r="G1834" s="146"/>
      <c r="H1834" s="98"/>
      <c r="I1834" s="99"/>
      <c r="J1834" s="99"/>
      <c r="K1834" s="99"/>
      <c r="L1834" s="99"/>
      <c r="M1834" s="99"/>
      <c r="N1834" s="99"/>
      <c r="O1834" s="99"/>
      <c r="P1834" s="99"/>
      <c r="Q1834" s="99"/>
      <c r="R1834" s="99"/>
      <c r="S1834" s="99"/>
      <c r="T1834" s="99"/>
      <c r="U1834" s="105"/>
      <c r="V1834" s="262"/>
      <c r="W1834" s="121"/>
      <c r="X1834" s="121"/>
      <c r="Y1834" s="121"/>
      <c r="Z1834" s="121"/>
      <c r="AA1834" s="121"/>
      <c r="AB1834" s="121"/>
      <c r="AC1834" s="121"/>
      <c r="AD1834" s="121"/>
      <c r="AE1834" s="121"/>
      <c r="AF1834" s="121"/>
      <c r="AG1834" s="121"/>
      <c r="AH1834" s="121"/>
      <c r="AI1834" s="121"/>
    </row>
    <row r="1835" spans="1:35" s="115" customFormat="1" ht="14.4">
      <c r="A1835" s="187"/>
      <c r="B1835" s="190"/>
      <c r="C1835" s="190"/>
      <c r="D1835" s="69"/>
      <c r="E1835" s="69"/>
      <c r="F1835" s="149"/>
      <c r="G1835" s="146"/>
      <c r="H1835" s="98"/>
      <c r="I1835" s="99"/>
      <c r="J1835" s="99"/>
      <c r="K1835" s="99"/>
      <c r="L1835" s="99"/>
      <c r="M1835" s="99"/>
      <c r="N1835" s="99"/>
      <c r="O1835" s="99"/>
      <c r="P1835" s="99"/>
      <c r="Q1835" s="99"/>
      <c r="R1835" s="99"/>
      <c r="S1835" s="99"/>
      <c r="T1835" s="99"/>
      <c r="U1835" s="105"/>
      <c r="V1835" s="262"/>
      <c r="W1835" s="121"/>
      <c r="X1835" s="121"/>
      <c r="Y1835" s="121"/>
      <c r="Z1835" s="121"/>
      <c r="AA1835" s="121"/>
      <c r="AB1835" s="121"/>
      <c r="AC1835" s="121"/>
      <c r="AD1835" s="121"/>
      <c r="AE1835" s="121"/>
      <c r="AF1835" s="121"/>
      <c r="AG1835" s="121"/>
      <c r="AH1835" s="121"/>
      <c r="AI1835" s="121"/>
    </row>
    <row r="1836" spans="1:35" s="115" customFormat="1" ht="14.4">
      <c r="A1836" s="187"/>
      <c r="B1836" s="190"/>
      <c r="C1836" s="190"/>
      <c r="D1836" s="69"/>
      <c r="E1836" s="69"/>
      <c r="F1836" s="149"/>
      <c r="G1836" s="146"/>
      <c r="H1836" s="98"/>
      <c r="I1836" s="99"/>
      <c r="J1836" s="99"/>
      <c r="K1836" s="99"/>
      <c r="L1836" s="99"/>
      <c r="M1836" s="99"/>
      <c r="N1836" s="99"/>
      <c r="O1836" s="99"/>
      <c r="P1836" s="99"/>
      <c r="Q1836" s="99"/>
      <c r="R1836" s="99"/>
      <c r="S1836" s="99"/>
      <c r="T1836" s="99"/>
      <c r="U1836" s="105"/>
      <c r="V1836" s="262"/>
      <c r="W1836" s="121"/>
      <c r="X1836" s="121"/>
      <c r="Y1836" s="121"/>
      <c r="Z1836" s="121"/>
      <c r="AA1836" s="121"/>
      <c r="AB1836" s="121"/>
      <c r="AC1836" s="121"/>
      <c r="AD1836" s="121"/>
      <c r="AE1836" s="121"/>
      <c r="AF1836" s="121"/>
      <c r="AG1836" s="121"/>
      <c r="AH1836" s="121"/>
      <c r="AI1836" s="121"/>
    </row>
    <row r="1837" spans="1:35" s="115" customFormat="1" ht="14.4">
      <c r="A1837" s="187"/>
      <c r="B1837" s="190"/>
      <c r="C1837" s="190"/>
      <c r="D1837" s="69"/>
      <c r="E1837" s="69"/>
      <c r="F1837" s="149"/>
      <c r="G1837" s="146"/>
      <c r="H1837" s="98"/>
      <c r="I1837" s="99"/>
      <c r="J1837" s="99"/>
      <c r="K1837" s="99"/>
      <c r="L1837" s="99"/>
      <c r="M1837" s="99"/>
      <c r="N1837" s="99"/>
      <c r="O1837" s="99"/>
      <c r="P1837" s="99"/>
      <c r="Q1837" s="99"/>
      <c r="R1837" s="99"/>
      <c r="S1837" s="99"/>
      <c r="T1837" s="99"/>
      <c r="U1837" s="105"/>
      <c r="V1837" s="262"/>
      <c r="W1837" s="121"/>
      <c r="X1837" s="121"/>
      <c r="Y1837" s="121"/>
      <c r="Z1837" s="121"/>
      <c r="AA1837" s="121"/>
      <c r="AB1837" s="121"/>
      <c r="AC1837" s="121"/>
      <c r="AD1837" s="121"/>
      <c r="AE1837" s="121"/>
      <c r="AF1837" s="121"/>
      <c r="AG1837" s="121"/>
      <c r="AH1837" s="121"/>
      <c r="AI1837" s="121"/>
    </row>
    <row r="1838" spans="1:35" s="115" customFormat="1" ht="24" customHeight="1">
      <c r="A1838" s="187"/>
      <c r="B1838" s="190"/>
      <c r="C1838" s="190"/>
      <c r="D1838" s="69"/>
      <c r="E1838" s="69"/>
      <c r="F1838" s="149"/>
      <c r="G1838" s="146"/>
      <c r="H1838" s="107"/>
      <c r="I1838" s="109"/>
      <c r="J1838" s="109"/>
      <c r="K1838" s="109"/>
      <c r="L1838" s="109"/>
      <c r="M1838" s="109"/>
      <c r="N1838" s="109"/>
      <c r="O1838" s="109"/>
      <c r="P1838" s="109"/>
      <c r="Q1838" s="109"/>
      <c r="R1838" s="109"/>
      <c r="S1838" s="109"/>
      <c r="T1838" s="109"/>
      <c r="U1838" s="105"/>
      <c r="V1838" s="262"/>
      <c r="W1838" s="121"/>
      <c r="X1838" s="121"/>
      <c r="Y1838" s="121"/>
      <c r="Z1838" s="121"/>
      <c r="AA1838" s="121"/>
      <c r="AB1838" s="121"/>
      <c r="AC1838" s="121"/>
      <c r="AD1838" s="121"/>
      <c r="AE1838" s="121"/>
      <c r="AF1838" s="121"/>
      <c r="AG1838" s="121"/>
      <c r="AH1838" s="121"/>
      <c r="AI1838" s="121"/>
    </row>
    <row r="1839" spans="1:35" s="115" customFormat="1" ht="14.4">
      <c r="A1839" s="187"/>
      <c r="B1839" s="190"/>
      <c r="C1839" s="190"/>
      <c r="D1839" s="69"/>
      <c r="E1839" s="69"/>
      <c r="F1839" s="149"/>
      <c r="G1839" s="146"/>
      <c r="H1839" s="98"/>
      <c r="I1839" s="106"/>
      <c r="J1839" s="106"/>
      <c r="K1839" s="106"/>
      <c r="L1839" s="106"/>
      <c r="M1839" s="106"/>
      <c r="N1839" s="112"/>
      <c r="O1839" s="112"/>
      <c r="P1839" s="112"/>
      <c r="Q1839" s="113"/>
      <c r="R1839" s="113"/>
      <c r="S1839" s="113"/>
      <c r="T1839" s="113"/>
      <c r="U1839" s="105"/>
      <c r="V1839" s="262"/>
      <c r="W1839" s="121"/>
      <c r="X1839" s="121"/>
      <c r="Y1839" s="121"/>
      <c r="Z1839" s="121"/>
      <c r="AA1839" s="121"/>
      <c r="AB1839" s="121"/>
      <c r="AC1839" s="121"/>
      <c r="AD1839" s="121"/>
      <c r="AE1839" s="121"/>
      <c r="AF1839" s="121"/>
      <c r="AG1839" s="121"/>
      <c r="AH1839" s="121"/>
      <c r="AI1839" s="121"/>
    </row>
    <row r="1840" spans="1:35" s="115" customFormat="1" ht="14.4">
      <c r="A1840" s="187"/>
      <c r="B1840" s="190"/>
      <c r="C1840" s="190"/>
      <c r="D1840" s="69"/>
      <c r="E1840" s="69"/>
      <c r="F1840" s="149"/>
      <c r="G1840" s="146"/>
      <c r="H1840" s="98"/>
      <c r="I1840" s="99"/>
      <c r="J1840" s="99"/>
      <c r="K1840" s="99"/>
      <c r="L1840" s="99"/>
      <c r="M1840" s="99"/>
      <c r="N1840" s="99"/>
      <c r="O1840" s="99"/>
      <c r="P1840" s="99"/>
      <c r="Q1840" s="99"/>
      <c r="R1840" s="99"/>
      <c r="S1840" s="99"/>
      <c r="T1840" s="99"/>
      <c r="U1840" s="105"/>
      <c r="V1840" s="262"/>
      <c r="W1840" s="121"/>
      <c r="X1840" s="121"/>
      <c r="Y1840" s="121"/>
      <c r="Z1840" s="121"/>
      <c r="AA1840" s="121"/>
      <c r="AB1840" s="121"/>
      <c r="AC1840" s="121"/>
      <c r="AD1840" s="121"/>
      <c r="AE1840" s="121"/>
      <c r="AF1840" s="121"/>
      <c r="AG1840" s="121"/>
      <c r="AH1840" s="121"/>
      <c r="AI1840" s="121"/>
    </row>
    <row r="1841" spans="1:35" s="115" customFormat="1" ht="14.4">
      <c r="A1841" s="187"/>
      <c r="B1841" s="190"/>
      <c r="C1841" s="190"/>
      <c r="D1841" s="69"/>
      <c r="E1841" s="69"/>
      <c r="F1841" s="149"/>
      <c r="G1841" s="146"/>
      <c r="H1841" s="98"/>
      <c r="I1841" s="99"/>
      <c r="J1841" s="99"/>
      <c r="K1841" s="99"/>
      <c r="L1841" s="99"/>
      <c r="M1841" s="99"/>
      <c r="N1841" s="99"/>
      <c r="O1841" s="99"/>
      <c r="P1841" s="99"/>
      <c r="Q1841" s="99"/>
      <c r="R1841" s="99"/>
      <c r="S1841" s="99"/>
      <c r="T1841" s="99"/>
      <c r="U1841" s="105"/>
      <c r="V1841" s="262"/>
      <c r="W1841" s="121"/>
      <c r="X1841" s="121"/>
      <c r="Y1841" s="121"/>
      <c r="Z1841" s="121"/>
      <c r="AA1841" s="121"/>
      <c r="AB1841" s="121"/>
      <c r="AC1841" s="121"/>
      <c r="AD1841" s="121"/>
      <c r="AE1841" s="121"/>
      <c r="AF1841" s="121"/>
      <c r="AG1841" s="121"/>
      <c r="AH1841" s="121"/>
      <c r="AI1841" s="121"/>
    </row>
    <row r="1842" spans="1:35" s="115" customFormat="1" ht="14.4">
      <c r="A1842" s="187"/>
      <c r="B1842" s="190"/>
      <c r="C1842" s="190"/>
      <c r="D1842" s="69"/>
      <c r="E1842" s="69"/>
      <c r="F1842" s="149"/>
      <c r="G1842" s="146"/>
      <c r="H1842" s="98"/>
      <c r="I1842" s="99"/>
      <c r="J1842" s="99"/>
      <c r="K1842" s="99"/>
      <c r="L1842" s="99"/>
      <c r="M1842" s="99"/>
      <c r="N1842" s="99"/>
      <c r="O1842" s="99"/>
      <c r="P1842" s="99"/>
      <c r="Q1842" s="99"/>
      <c r="R1842" s="99"/>
      <c r="S1842" s="99"/>
      <c r="T1842" s="99"/>
      <c r="U1842" s="105"/>
      <c r="V1842" s="262"/>
      <c r="W1842" s="121"/>
      <c r="X1842" s="121"/>
      <c r="Y1842" s="121"/>
      <c r="Z1842" s="121"/>
      <c r="AA1842" s="121"/>
      <c r="AB1842" s="121"/>
      <c r="AC1842" s="121"/>
      <c r="AD1842" s="121"/>
      <c r="AE1842" s="121"/>
      <c r="AF1842" s="121"/>
      <c r="AG1842" s="121"/>
      <c r="AH1842" s="121"/>
      <c r="AI1842" s="121"/>
    </row>
    <row r="1843" spans="1:35" s="115" customFormat="1" ht="14.4">
      <c r="A1843" s="187"/>
      <c r="B1843" s="190"/>
      <c r="C1843" s="190"/>
      <c r="D1843" s="69"/>
      <c r="E1843" s="69"/>
      <c r="F1843" s="149"/>
      <c r="G1843" s="146"/>
      <c r="H1843" s="98"/>
      <c r="I1843" s="99"/>
      <c r="J1843" s="99"/>
      <c r="K1843" s="99"/>
      <c r="L1843" s="99"/>
      <c r="M1843" s="99"/>
      <c r="N1843" s="99"/>
      <c r="O1843" s="99"/>
      <c r="P1843" s="99"/>
      <c r="Q1843" s="99"/>
      <c r="R1843" s="99"/>
      <c r="S1843" s="99"/>
      <c r="T1843" s="99"/>
      <c r="U1843" s="105"/>
      <c r="V1843" s="262"/>
      <c r="W1843" s="121"/>
      <c r="X1843" s="121"/>
      <c r="Y1843" s="121"/>
      <c r="Z1843" s="121"/>
      <c r="AA1843" s="121"/>
      <c r="AB1843" s="121"/>
      <c r="AC1843" s="121"/>
      <c r="AD1843" s="121"/>
      <c r="AE1843" s="121"/>
      <c r="AF1843" s="121"/>
      <c r="AG1843" s="121"/>
      <c r="AH1843" s="121"/>
      <c r="AI1843" s="121"/>
    </row>
    <row r="1844" spans="1:35" s="115" customFormat="1" ht="14.4">
      <c r="A1844" s="187"/>
      <c r="B1844" s="190"/>
      <c r="C1844" s="190"/>
      <c r="D1844" s="69"/>
      <c r="E1844" s="69"/>
      <c r="F1844" s="149"/>
      <c r="G1844" s="146"/>
      <c r="H1844" s="98"/>
      <c r="I1844" s="99"/>
      <c r="J1844" s="99"/>
      <c r="K1844" s="99"/>
      <c r="L1844" s="99"/>
      <c r="M1844" s="99"/>
      <c r="N1844" s="99"/>
      <c r="O1844" s="99"/>
      <c r="P1844" s="99"/>
      <c r="Q1844" s="99"/>
      <c r="R1844" s="99"/>
      <c r="S1844" s="99"/>
      <c r="T1844" s="99"/>
      <c r="U1844" s="105"/>
      <c r="V1844" s="262"/>
      <c r="W1844" s="121"/>
      <c r="X1844" s="121"/>
      <c r="Y1844" s="121"/>
      <c r="Z1844" s="121"/>
      <c r="AA1844" s="121"/>
      <c r="AB1844" s="121"/>
      <c r="AC1844" s="121"/>
      <c r="AD1844" s="121"/>
      <c r="AE1844" s="121"/>
      <c r="AF1844" s="121"/>
      <c r="AG1844" s="121"/>
      <c r="AH1844" s="121"/>
      <c r="AI1844" s="121"/>
    </row>
    <row r="1845" spans="1:35" s="115" customFormat="1" ht="14.4">
      <c r="A1845" s="187"/>
      <c r="B1845" s="190"/>
      <c r="C1845" s="190"/>
      <c r="D1845" s="69"/>
      <c r="E1845" s="69"/>
      <c r="F1845" s="149"/>
      <c r="G1845" s="146"/>
      <c r="H1845" s="98"/>
      <c r="I1845" s="99"/>
      <c r="J1845" s="99"/>
      <c r="K1845" s="99"/>
      <c r="L1845" s="99"/>
      <c r="M1845" s="99"/>
      <c r="N1845" s="99"/>
      <c r="O1845" s="99"/>
      <c r="P1845" s="99"/>
      <c r="Q1845" s="99"/>
      <c r="R1845" s="99"/>
      <c r="S1845" s="99"/>
      <c r="T1845" s="99"/>
      <c r="U1845" s="105"/>
      <c r="V1845" s="262"/>
      <c r="W1845" s="121"/>
      <c r="X1845" s="121"/>
      <c r="Y1845" s="121"/>
      <c r="Z1845" s="121"/>
      <c r="AA1845" s="121"/>
      <c r="AB1845" s="121"/>
      <c r="AC1845" s="121"/>
      <c r="AD1845" s="121"/>
      <c r="AE1845" s="121"/>
      <c r="AF1845" s="121"/>
      <c r="AG1845" s="121"/>
      <c r="AH1845" s="121"/>
      <c r="AI1845" s="121"/>
    </row>
    <row r="1846" spans="1:35" s="115" customFormat="1" ht="14.4">
      <c r="A1846" s="187"/>
      <c r="B1846" s="190"/>
      <c r="C1846" s="190"/>
      <c r="D1846" s="69"/>
      <c r="E1846" s="69"/>
      <c r="F1846" s="149"/>
      <c r="G1846" s="146"/>
      <c r="H1846" s="98"/>
      <c r="I1846" s="99"/>
      <c r="J1846" s="99"/>
      <c r="K1846" s="99"/>
      <c r="L1846" s="99"/>
      <c r="M1846" s="99"/>
      <c r="N1846" s="99"/>
      <c r="O1846" s="99"/>
      <c r="P1846" s="99"/>
      <c r="Q1846" s="99"/>
      <c r="R1846" s="99"/>
      <c r="S1846" s="99"/>
      <c r="T1846" s="99"/>
      <c r="U1846" s="105"/>
      <c r="V1846" s="262"/>
      <c r="W1846" s="121"/>
      <c r="X1846" s="121"/>
      <c r="Y1846" s="121"/>
      <c r="Z1846" s="121"/>
      <c r="AA1846" s="121"/>
      <c r="AB1846" s="121"/>
      <c r="AC1846" s="121"/>
      <c r="AD1846" s="121"/>
      <c r="AE1846" s="121"/>
      <c r="AF1846" s="121"/>
      <c r="AG1846" s="121"/>
      <c r="AH1846" s="121"/>
      <c r="AI1846" s="121"/>
    </row>
    <row r="1847" spans="1:35" s="115" customFormat="1" ht="14.4">
      <c r="A1847" s="187"/>
      <c r="B1847" s="190"/>
      <c r="C1847" s="190"/>
      <c r="D1847" s="69"/>
      <c r="E1847" s="69"/>
      <c r="F1847" s="149"/>
      <c r="G1847" s="146"/>
      <c r="H1847" s="107"/>
      <c r="I1847" s="108"/>
      <c r="J1847" s="108"/>
      <c r="K1847" s="108"/>
      <c r="L1847" s="108"/>
      <c r="M1847" s="108"/>
      <c r="N1847" s="109"/>
      <c r="O1847" s="109"/>
      <c r="P1847" s="109"/>
      <c r="Q1847" s="109"/>
      <c r="R1847" s="109"/>
      <c r="S1847" s="109"/>
      <c r="T1847" s="109"/>
      <c r="U1847" s="105"/>
      <c r="V1847" s="262"/>
      <c r="W1847" s="121"/>
      <c r="X1847" s="121"/>
      <c r="Y1847" s="121"/>
      <c r="Z1847" s="121"/>
      <c r="AA1847" s="121"/>
      <c r="AB1847" s="121"/>
      <c r="AC1847" s="121"/>
      <c r="AD1847" s="121"/>
      <c r="AE1847" s="121"/>
      <c r="AF1847" s="121"/>
      <c r="AG1847" s="121"/>
      <c r="AH1847" s="121"/>
      <c r="AI1847" s="121"/>
    </row>
    <row r="1848" spans="1:35" s="115" customFormat="1" ht="14.4">
      <c r="A1848" s="187"/>
      <c r="B1848" s="190"/>
      <c r="C1848" s="190"/>
      <c r="D1848" s="69"/>
      <c r="E1848" s="69"/>
      <c r="F1848" s="149"/>
      <c r="G1848" s="146"/>
      <c r="H1848" s="98"/>
      <c r="I1848" s="106"/>
      <c r="J1848" s="106"/>
      <c r="K1848" s="106"/>
      <c r="L1848" s="106"/>
      <c r="M1848" s="106"/>
      <c r="N1848" s="112"/>
      <c r="O1848" s="112"/>
      <c r="P1848" s="112"/>
      <c r="Q1848" s="113"/>
      <c r="R1848" s="113"/>
      <c r="S1848" s="113"/>
      <c r="T1848" s="113"/>
      <c r="U1848" s="105"/>
      <c r="V1848" s="262"/>
      <c r="W1848" s="121"/>
      <c r="X1848" s="121"/>
      <c r="Y1848" s="121"/>
      <c r="Z1848" s="121"/>
      <c r="AA1848" s="121"/>
      <c r="AB1848" s="121"/>
      <c r="AC1848" s="121"/>
      <c r="AD1848" s="121"/>
      <c r="AE1848" s="121"/>
      <c r="AF1848" s="121"/>
      <c r="AG1848" s="121"/>
      <c r="AH1848" s="121"/>
      <c r="AI1848" s="121"/>
    </row>
    <row r="1849" spans="1:35" s="115" customFormat="1" ht="14.4">
      <c r="A1849" s="187"/>
      <c r="B1849" s="190"/>
      <c r="C1849" s="190"/>
      <c r="D1849" s="69"/>
      <c r="E1849" s="69"/>
      <c r="F1849" s="149"/>
      <c r="G1849" s="146"/>
      <c r="H1849" s="114"/>
      <c r="I1849" s="108"/>
      <c r="J1849" s="108"/>
      <c r="K1849" s="108"/>
      <c r="L1849" s="108"/>
      <c r="M1849" s="108"/>
      <c r="N1849" s="108"/>
      <c r="O1849" s="108"/>
      <c r="P1849" s="108"/>
      <c r="Q1849" s="108"/>
      <c r="R1849" s="108"/>
      <c r="S1849" s="108"/>
      <c r="T1849" s="108"/>
      <c r="U1849" s="105"/>
      <c r="V1849" s="262"/>
      <c r="W1849" s="121"/>
      <c r="X1849" s="121"/>
      <c r="Y1849" s="121"/>
      <c r="Z1849" s="121"/>
      <c r="AA1849" s="121"/>
      <c r="AB1849" s="121"/>
      <c r="AC1849" s="121"/>
      <c r="AD1849" s="121"/>
      <c r="AE1849" s="121"/>
      <c r="AF1849" s="121"/>
      <c r="AG1849" s="121"/>
      <c r="AH1849" s="121"/>
      <c r="AI1849" s="121"/>
    </row>
    <row r="1850" spans="1:35" s="115" customFormat="1" ht="15" thickBot="1">
      <c r="A1850" s="187"/>
      <c r="B1850" s="190"/>
      <c r="C1850" s="190"/>
      <c r="D1850" s="69"/>
      <c r="E1850" s="69"/>
      <c r="F1850" s="149"/>
      <c r="G1850" s="146"/>
      <c r="H1850" s="89"/>
      <c r="I1850" s="233"/>
      <c r="J1850" s="233"/>
      <c r="K1850" s="233"/>
      <c r="L1850" s="233"/>
      <c r="M1850" s="233"/>
      <c r="N1850" s="233"/>
      <c r="O1850" s="233"/>
      <c r="P1850" s="233"/>
      <c r="Q1850" s="233"/>
      <c r="R1850" s="233"/>
      <c r="S1850" s="233"/>
      <c r="T1850" s="233"/>
      <c r="U1850" s="105"/>
      <c r="V1850" s="262"/>
      <c r="W1850" s="121"/>
      <c r="X1850" s="121"/>
      <c r="Y1850" s="121"/>
      <c r="Z1850" s="121"/>
      <c r="AA1850" s="121"/>
      <c r="AB1850" s="121"/>
      <c r="AC1850" s="121"/>
      <c r="AD1850" s="121"/>
      <c r="AE1850" s="121"/>
      <c r="AF1850" s="121"/>
      <c r="AG1850" s="121"/>
      <c r="AH1850" s="121"/>
      <c r="AI1850" s="121"/>
    </row>
    <row r="1851" spans="1:35" s="115" customFormat="1" ht="23.4" thickBot="1">
      <c r="A1851" s="187"/>
      <c r="B1851" s="190"/>
      <c r="C1851" s="190"/>
      <c r="D1851" s="69"/>
      <c r="E1851" s="69"/>
      <c r="F1851" s="149"/>
      <c r="G1851" s="146"/>
      <c r="H1851" s="686"/>
      <c r="I1851" s="687"/>
      <c r="J1851" s="687"/>
      <c r="K1851" s="687"/>
      <c r="L1851" s="687"/>
      <c r="M1851" s="687"/>
      <c r="N1851" s="687"/>
      <c r="O1851" s="687"/>
      <c r="P1851" s="687"/>
      <c r="Q1851" s="687"/>
      <c r="R1851" s="687"/>
      <c r="S1851" s="687"/>
      <c r="T1851" s="688"/>
      <c r="U1851" s="105"/>
      <c r="V1851" s="262"/>
      <c r="W1851" s="121"/>
      <c r="X1851" s="121"/>
      <c r="Y1851" s="121"/>
      <c r="Z1851" s="121"/>
      <c r="AA1851" s="121"/>
      <c r="AB1851" s="121"/>
      <c r="AC1851" s="121"/>
      <c r="AD1851" s="121"/>
      <c r="AE1851" s="121"/>
      <c r="AF1851" s="121"/>
      <c r="AG1851" s="121"/>
      <c r="AH1851" s="121"/>
      <c r="AI1851" s="121"/>
    </row>
    <row r="1852" spans="1:35" s="115" customFormat="1" ht="22.8">
      <c r="A1852" s="187"/>
      <c r="B1852" s="190"/>
      <c r="C1852" s="190"/>
      <c r="D1852" s="69"/>
      <c r="E1852" s="69"/>
      <c r="F1852" s="149"/>
      <c r="G1852" s="146"/>
      <c r="H1852" s="225"/>
      <c r="I1852" s="225"/>
      <c r="J1852" s="225"/>
      <c r="K1852" s="225"/>
      <c r="L1852" s="225"/>
      <c r="M1852" s="225"/>
      <c r="N1852" s="225"/>
      <c r="O1852" s="225"/>
      <c r="P1852" s="225"/>
      <c r="Q1852" s="225"/>
      <c r="R1852" s="225"/>
      <c r="S1852" s="225"/>
      <c r="T1852" s="225"/>
      <c r="U1852" s="105"/>
      <c r="V1852" s="262"/>
      <c r="W1852" s="121"/>
      <c r="X1852" s="121"/>
      <c r="Y1852" s="121"/>
      <c r="Z1852" s="121"/>
      <c r="AA1852" s="121"/>
      <c r="AB1852" s="121"/>
      <c r="AC1852" s="121"/>
      <c r="AD1852" s="121"/>
      <c r="AE1852" s="121"/>
      <c r="AF1852" s="121"/>
      <c r="AG1852" s="121"/>
      <c r="AH1852" s="121"/>
      <c r="AI1852" s="121"/>
    </row>
    <row r="1853" spans="1:35" s="115" customFormat="1" ht="14.4">
      <c r="A1853" s="187"/>
      <c r="B1853" s="190"/>
      <c r="C1853" s="190"/>
      <c r="D1853" s="69"/>
      <c r="E1853" s="69"/>
      <c r="F1853" s="149"/>
      <c r="G1853" s="146"/>
      <c r="H1853" s="98"/>
      <c r="I1853" s="99"/>
      <c r="J1853" s="99"/>
      <c r="K1853" s="99"/>
      <c r="L1853" s="99"/>
      <c r="M1853" s="99"/>
      <c r="N1853" s="99"/>
      <c r="O1853" s="99"/>
      <c r="P1853" s="99"/>
      <c r="Q1853" s="99"/>
      <c r="R1853" s="99"/>
      <c r="S1853" s="99"/>
      <c r="T1853" s="99"/>
      <c r="U1853" s="105"/>
      <c r="V1853" s="262"/>
      <c r="W1853" s="121"/>
      <c r="X1853" s="121"/>
      <c r="Y1853" s="121"/>
      <c r="Z1853" s="121"/>
      <c r="AA1853" s="121"/>
      <c r="AB1853" s="121"/>
      <c r="AC1853" s="121"/>
      <c r="AD1853" s="121"/>
      <c r="AE1853" s="121"/>
      <c r="AF1853" s="121"/>
      <c r="AG1853" s="121"/>
      <c r="AH1853" s="121"/>
      <c r="AI1853" s="121"/>
    </row>
    <row r="1854" spans="1:35" s="115" customFormat="1" ht="14.4">
      <c r="A1854" s="187"/>
      <c r="B1854" s="190"/>
      <c r="C1854" s="190"/>
      <c r="D1854" s="69"/>
      <c r="E1854" s="69"/>
      <c r="F1854" s="149"/>
      <c r="G1854" s="146"/>
      <c r="H1854" s="98"/>
      <c r="I1854" s="99"/>
      <c r="J1854" s="99"/>
      <c r="K1854" s="99"/>
      <c r="L1854" s="99"/>
      <c r="M1854" s="99"/>
      <c r="N1854" s="99"/>
      <c r="O1854" s="99"/>
      <c r="P1854" s="99"/>
      <c r="Q1854" s="99"/>
      <c r="R1854" s="99"/>
      <c r="S1854" s="99"/>
      <c r="T1854" s="99"/>
      <c r="U1854" s="105"/>
      <c r="V1854" s="262"/>
      <c r="W1854" s="121"/>
      <c r="X1854" s="121"/>
      <c r="Y1854" s="121"/>
      <c r="Z1854" s="121"/>
      <c r="AA1854" s="121"/>
      <c r="AB1854" s="121"/>
      <c r="AC1854" s="121"/>
      <c r="AD1854" s="121"/>
      <c r="AE1854" s="121"/>
      <c r="AF1854" s="121"/>
      <c r="AG1854" s="121"/>
      <c r="AH1854" s="121"/>
      <c r="AI1854" s="121"/>
    </row>
    <row r="1855" spans="1:35" s="115" customFormat="1" ht="14.4">
      <c r="A1855" s="187"/>
      <c r="B1855" s="190"/>
      <c r="C1855" s="190"/>
      <c r="D1855" s="69"/>
      <c r="E1855" s="69"/>
      <c r="F1855" s="149"/>
      <c r="G1855" s="146"/>
      <c r="H1855" s="98"/>
      <c r="I1855" s="99"/>
      <c r="J1855" s="99"/>
      <c r="K1855" s="99"/>
      <c r="L1855" s="99"/>
      <c r="M1855" s="99"/>
      <c r="N1855" s="99"/>
      <c r="O1855" s="99"/>
      <c r="P1855" s="99"/>
      <c r="Q1855" s="99"/>
      <c r="R1855" s="99"/>
      <c r="S1855" s="99"/>
      <c r="T1855" s="99"/>
      <c r="U1855" s="105"/>
      <c r="V1855" s="262"/>
      <c r="W1855" s="121"/>
      <c r="X1855" s="121"/>
      <c r="Y1855" s="121"/>
      <c r="Z1855" s="121"/>
      <c r="AA1855" s="121"/>
      <c r="AB1855" s="121"/>
      <c r="AC1855" s="121"/>
      <c r="AD1855" s="121"/>
      <c r="AE1855" s="121"/>
      <c r="AF1855" s="121"/>
      <c r="AG1855" s="121"/>
      <c r="AH1855" s="121"/>
      <c r="AI1855" s="121"/>
    </row>
    <row r="1856" spans="1:35" s="115" customFormat="1" ht="14.4">
      <c r="A1856" s="187"/>
      <c r="B1856" s="190"/>
      <c r="C1856" s="190"/>
      <c r="D1856" s="69"/>
      <c r="E1856" s="69"/>
      <c r="F1856" s="149"/>
      <c r="G1856" s="146"/>
      <c r="H1856" s="98"/>
      <c r="I1856" s="99"/>
      <c r="J1856" s="99"/>
      <c r="K1856" s="99"/>
      <c r="L1856" s="99"/>
      <c r="M1856" s="99"/>
      <c r="N1856" s="99"/>
      <c r="O1856" s="99"/>
      <c r="P1856" s="99"/>
      <c r="Q1856" s="99"/>
      <c r="R1856" s="99"/>
      <c r="S1856" s="99"/>
      <c r="T1856" s="99"/>
      <c r="U1856" s="105"/>
      <c r="V1856" s="262"/>
      <c r="W1856" s="121"/>
      <c r="X1856" s="121"/>
      <c r="Y1856" s="121"/>
      <c r="Z1856" s="121"/>
      <c r="AA1856" s="121"/>
      <c r="AB1856" s="121"/>
      <c r="AC1856" s="121"/>
      <c r="AD1856" s="121"/>
      <c r="AE1856" s="121"/>
      <c r="AF1856" s="121"/>
      <c r="AG1856" s="121"/>
      <c r="AH1856" s="121"/>
      <c r="AI1856" s="121"/>
    </row>
    <row r="1857" spans="1:35" s="115" customFormat="1" ht="14.4">
      <c r="A1857" s="187"/>
      <c r="B1857" s="190"/>
      <c r="C1857" s="190"/>
      <c r="D1857" s="69"/>
      <c r="E1857" s="69"/>
      <c r="F1857" s="149"/>
      <c r="G1857" s="146"/>
      <c r="H1857" s="98"/>
      <c r="I1857" s="99"/>
      <c r="J1857" s="99"/>
      <c r="K1857" s="99"/>
      <c r="L1857" s="99"/>
      <c r="M1857" s="99"/>
      <c r="N1857" s="99"/>
      <c r="O1857" s="99"/>
      <c r="P1857" s="99"/>
      <c r="Q1857" s="99"/>
      <c r="R1857" s="99"/>
      <c r="S1857" s="99"/>
      <c r="T1857" s="99"/>
      <c r="U1857" s="105"/>
      <c r="V1857" s="262"/>
      <c r="W1857" s="121"/>
      <c r="X1857" s="121"/>
      <c r="Y1857" s="121"/>
      <c r="Z1857" s="121"/>
      <c r="AA1857" s="121"/>
      <c r="AB1857" s="121"/>
      <c r="AC1857" s="121"/>
      <c r="AD1857" s="121"/>
      <c r="AE1857" s="121"/>
      <c r="AF1857" s="121"/>
      <c r="AG1857" s="121"/>
      <c r="AH1857" s="121"/>
      <c r="AI1857" s="121"/>
    </row>
    <row r="1858" spans="1:35" s="115" customFormat="1" ht="14.4">
      <c r="A1858" s="187"/>
      <c r="B1858" s="190"/>
      <c r="C1858" s="190"/>
      <c r="D1858" s="69"/>
      <c r="E1858" s="69"/>
      <c r="F1858" s="149"/>
      <c r="G1858" s="146"/>
      <c r="H1858" s="98"/>
      <c r="I1858" s="99"/>
      <c r="J1858" s="99"/>
      <c r="K1858" s="99"/>
      <c r="L1858" s="99"/>
      <c r="M1858" s="99"/>
      <c r="N1858" s="99"/>
      <c r="O1858" s="99"/>
      <c r="P1858" s="99"/>
      <c r="Q1858" s="99"/>
      <c r="R1858" s="99"/>
      <c r="S1858" s="99"/>
      <c r="T1858" s="99"/>
      <c r="U1858" s="105"/>
      <c r="V1858" s="262"/>
      <c r="W1858" s="121"/>
      <c r="X1858" s="121"/>
      <c r="Y1858" s="121"/>
      <c r="Z1858" s="121"/>
      <c r="AA1858" s="121"/>
      <c r="AB1858" s="121"/>
      <c r="AC1858" s="121"/>
      <c r="AD1858" s="121"/>
      <c r="AE1858" s="121"/>
      <c r="AF1858" s="121"/>
      <c r="AG1858" s="121"/>
      <c r="AH1858" s="121"/>
      <c r="AI1858" s="121"/>
    </row>
    <row r="1859" spans="1:35" s="115" customFormat="1" ht="14.4">
      <c r="A1859" s="187"/>
      <c r="B1859" s="190"/>
      <c r="C1859" s="190"/>
      <c r="D1859" s="69"/>
      <c r="E1859" s="69"/>
      <c r="F1859" s="149"/>
      <c r="G1859" s="146"/>
      <c r="H1859" s="98"/>
      <c r="I1859" s="99"/>
      <c r="J1859" s="99"/>
      <c r="K1859" s="99"/>
      <c r="L1859" s="99"/>
      <c r="M1859" s="99"/>
      <c r="N1859" s="99"/>
      <c r="O1859" s="99"/>
      <c r="P1859" s="99"/>
      <c r="Q1859" s="99"/>
      <c r="R1859" s="99"/>
      <c r="S1859" s="99"/>
      <c r="T1859" s="99"/>
      <c r="U1859" s="105"/>
      <c r="V1859" s="262"/>
      <c r="W1859" s="121"/>
      <c r="X1859" s="121"/>
      <c r="Y1859" s="121"/>
      <c r="Z1859" s="121"/>
      <c r="AA1859" s="121"/>
      <c r="AB1859" s="121"/>
      <c r="AC1859" s="121"/>
      <c r="AD1859" s="121"/>
      <c r="AE1859" s="121"/>
      <c r="AF1859" s="121"/>
      <c r="AG1859" s="121"/>
      <c r="AH1859" s="121"/>
      <c r="AI1859" s="121"/>
    </row>
    <row r="1860" spans="1:35" s="115" customFormat="1" ht="14.4">
      <c r="A1860" s="187"/>
      <c r="B1860" s="190"/>
      <c r="C1860" s="190"/>
      <c r="D1860" s="69"/>
      <c r="E1860" s="69"/>
      <c r="F1860" s="149"/>
      <c r="G1860" s="146"/>
      <c r="H1860" s="98"/>
      <c r="I1860" s="99"/>
      <c r="J1860" s="99"/>
      <c r="K1860" s="99"/>
      <c r="L1860" s="99"/>
      <c r="M1860" s="99"/>
      <c r="N1860" s="99"/>
      <c r="O1860" s="99"/>
      <c r="P1860" s="99"/>
      <c r="Q1860" s="99"/>
      <c r="R1860" s="99"/>
      <c r="S1860" s="99"/>
      <c r="T1860" s="99"/>
      <c r="U1860" s="105"/>
      <c r="V1860" s="262"/>
      <c r="W1860" s="121"/>
      <c r="X1860" s="121"/>
      <c r="Y1860" s="121"/>
      <c r="Z1860" s="121"/>
      <c r="AA1860" s="121"/>
      <c r="AB1860" s="121"/>
      <c r="AC1860" s="121"/>
      <c r="AD1860" s="121"/>
      <c r="AE1860" s="121"/>
      <c r="AF1860" s="121"/>
      <c r="AG1860" s="121"/>
      <c r="AH1860" s="121"/>
      <c r="AI1860" s="121"/>
    </row>
    <row r="1861" spans="1:35" s="115" customFormat="1" ht="14.4">
      <c r="A1861" s="187"/>
      <c r="B1861" s="190"/>
      <c r="C1861" s="190"/>
      <c r="D1861" s="69"/>
      <c r="E1861" s="69"/>
      <c r="F1861" s="149"/>
      <c r="G1861" s="146"/>
      <c r="H1861" s="98"/>
      <c r="I1861" s="99"/>
      <c r="J1861" s="99"/>
      <c r="K1861" s="99"/>
      <c r="L1861" s="99"/>
      <c r="M1861" s="99"/>
      <c r="N1861" s="99"/>
      <c r="O1861" s="99"/>
      <c r="P1861" s="99"/>
      <c r="Q1861" s="99"/>
      <c r="R1861" s="99"/>
      <c r="S1861" s="99"/>
      <c r="T1861" s="99"/>
      <c r="U1861" s="105"/>
      <c r="V1861" s="262"/>
      <c r="W1861" s="121"/>
      <c r="X1861" s="121"/>
      <c r="Y1861" s="121"/>
      <c r="Z1861" s="121"/>
      <c r="AA1861" s="121"/>
      <c r="AB1861" s="121"/>
      <c r="AC1861" s="121"/>
      <c r="AD1861" s="121"/>
      <c r="AE1861" s="121"/>
      <c r="AF1861" s="121"/>
      <c r="AG1861" s="121"/>
      <c r="AH1861" s="121"/>
      <c r="AI1861" s="121"/>
    </row>
    <row r="1862" spans="1:35" s="115" customFormat="1" ht="14.4">
      <c r="A1862" s="187"/>
      <c r="B1862" s="190"/>
      <c r="C1862" s="190"/>
      <c r="D1862" s="69"/>
      <c r="E1862" s="69"/>
      <c r="F1862" s="149"/>
      <c r="G1862" s="146"/>
      <c r="H1862" s="98"/>
      <c r="I1862" s="99"/>
      <c r="J1862" s="99"/>
      <c r="K1862" s="99"/>
      <c r="L1862" s="99"/>
      <c r="M1862" s="99"/>
      <c r="N1862" s="99"/>
      <c r="O1862" s="99"/>
      <c r="P1862" s="99"/>
      <c r="Q1862" s="99"/>
      <c r="R1862" s="99"/>
      <c r="S1862" s="99"/>
      <c r="T1862" s="99"/>
      <c r="U1862" s="105"/>
      <c r="V1862" s="262"/>
      <c r="W1862" s="121"/>
      <c r="X1862" s="121"/>
      <c r="Y1862" s="121"/>
      <c r="Z1862" s="121"/>
      <c r="AA1862" s="121"/>
      <c r="AB1862" s="121"/>
      <c r="AC1862" s="121"/>
      <c r="AD1862" s="121"/>
      <c r="AE1862" s="121"/>
      <c r="AF1862" s="121"/>
      <c r="AG1862" s="121"/>
      <c r="AH1862" s="121"/>
      <c r="AI1862" s="121"/>
    </row>
    <row r="1863" spans="1:35" s="115" customFormat="1" ht="14.4">
      <c r="A1863" s="187"/>
      <c r="B1863" s="190"/>
      <c r="C1863" s="190"/>
      <c r="D1863" s="69"/>
      <c r="E1863" s="69"/>
      <c r="F1863" s="149"/>
      <c r="G1863" s="146"/>
      <c r="H1863" s="98"/>
      <c r="I1863" s="99"/>
      <c r="J1863" s="99"/>
      <c r="K1863" s="99"/>
      <c r="L1863" s="99"/>
      <c r="M1863" s="99"/>
      <c r="N1863" s="99"/>
      <c r="O1863" s="99"/>
      <c r="P1863" s="99"/>
      <c r="Q1863" s="99"/>
      <c r="R1863" s="99"/>
      <c r="S1863" s="99"/>
      <c r="T1863" s="99"/>
      <c r="U1863" s="105"/>
      <c r="V1863" s="262"/>
      <c r="W1863" s="121"/>
      <c r="X1863" s="121"/>
      <c r="Y1863" s="121"/>
      <c r="Z1863" s="121"/>
      <c r="AA1863" s="121"/>
      <c r="AB1863" s="121"/>
      <c r="AC1863" s="121"/>
      <c r="AD1863" s="121"/>
      <c r="AE1863" s="121"/>
      <c r="AF1863" s="121"/>
      <c r="AG1863" s="121"/>
      <c r="AH1863" s="121"/>
      <c r="AI1863" s="121"/>
    </row>
    <row r="1864" spans="1:35" s="115" customFormat="1" ht="14.4">
      <c r="A1864" s="187"/>
      <c r="B1864" s="190"/>
      <c r="C1864" s="190"/>
      <c r="D1864" s="69"/>
      <c r="E1864" s="69"/>
      <c r="F1864" s="149"/>
      <c r="G1864" s="146"/>
      <c r="H1864" s="98"/>
      <c r="I1864" s="99"/>
      <c r="J1864" s="99"/>
      <c r="K1864" s="99"/>
      <c r="L1864" s="99"/>
      <c r="M1864" s="99"/>
      <c r="N1864" s="99"/>
      <c r="O1864" s="99"/>
      <c r="P1864" s="99"/>
      <c r="Q1864" s="99"/>
      <c r="R1864" s="99"/>
      <c r="S1864" s="99"/>
      <c r="T1864" s="99"/>
      <c r="U1864" s="105"/>
      <c r="V1864" s="262"/>
      <c r="W1864" s="121"/>
      <c r="X1864" s="121"/>
      <c r="Y1864" s="121"/>
      <c r="Z1864" s="121"/>
      <c r="AA1864" s="121"/>
      <c r="AB1864" s="121"/>
      <c r="AC1864" s="121"/>
      <c r="AD1864" s="121"/>
      <c r="AE1864" s="121"/>
      <c r="AF1864" s="121"/>
      <c r="AG1864" s="121"/>
      <c r="AH1864" s="121"/>
      <c r="AI1864" s="121"/>
    </row>
    <row r="1865" spans="1:35" s="115" customFormat="1" ht="14.4">
      <c r="A1865" s="187"/>
      <c r="B1865" s="190"/>
      <c r="C1865" s="190"/>
      <c r="D1865" s="69"/>
      <c r="E1865" s="69"/>
      <c r="F1865" s="149"/>
      <c r="G1865" s="146"/>
      <c r="H1865" s="107"/>
      <c r="I1865" s="108"/>
      <c r="J1865" s="108"/>
      <c r="K1865" s="108"/>
      <c r="L1865" s="108"/>
      <c r="M1865" s="108"/>
      <c r="N1865" s="109"/>
      <c r="O1865" s="109"/>
      <c r="P1865" s="109"/>
      <c r="Q1865" s="109"/>
      <c r="R1865" s="109"/>
      <c r="S1865" s="109"/>
      <c r="T1865" s="109"/>
      <c r="U1865" s="105"/>
      <c r="V1865" s="262"/>
      <c r="W1865" s="121"/>
      <c r="X1865" s="121"/>
      <c r="Y1865" s="121"/>
      <c r="Z1865" s="121"/>
      <c r="AA1865" s="121"/>
      <c r="AB1865" s="121"/>
      <c r="AC1865" s="121"/>
      <c r="AD1865" s="121"/>
      <c r="AE1865" s="121"/>
      <c r="AF1865" s="121"/>
      <c r="AG1865" s="121"/>
      <c r="AH1865" s="121"/>
      <c r="AI1865" s="121"/>
    </row>
    <row r="1866" spans="1:35" s="115" customFormat="1" ht="14.4">
      <c r="A1866" s="187"/>
      <c r="B1866" s="190"/>
      <c r="C1866" s="190"/>
      <c r="D1866" s="69"/>
      <c r="E1866" s="69"/>
      <c r="F1866" s="149"/>
      <c r="G1866" s="146"/>
      <c r="H1866" s="98"/>
      <c r="I1866" s="106"/>
      <c r="J1866" s="106"/>
      <c r="K1866" s="106"/>
      <c r="L1866" s="106"/>
      <c r="M1866" s="106"/>
      <c r="N1866" s="112"/>
      <c r="O1866" s="112"/>
      <c r="P1866" s="112"/>
      <c r="Q1866" s="113"/>
      <c r="R1866" s="113"/>
      <c r="S1866" s="113"/>
      <c r="T1866" s="113"/>
      <c r="U1866" s="105"/>
      <c r="V1866" s="262"/>
      <c r="W1866" s="121"/>
      <c r="X1866" s="121"/>
      <c r="Y1866" s="121"/>
      <c r="Z1866" s="121"/>
      <c r="AA1866" s="121"/>
      <c r="AB1866" s="121"/>
      <c r="AC1866" s="121"/>
      <c r="AD1866" s="121"/>
      <c r="AE1866" s="121"/>
      <c r="AF1866" s="121"/>
      <c r="AG1866" s="121"/>
      <c r="AH1866" s="121"/>
      <c r="AI1866" s="121"/>
    </row>
    <row r="1867" spans="1:35" s="115" customFormat="1" ht="14.4">
      <c r="A1867" s="187"/>
      <c r="B1867" s="190"/>
      <c r="C1867" s="190"/>
      <c r="D1867" s="69"/>
      <c r="E1867" s="69"/>
      <c r="F1867" s="149"/>
      <c r="G1867" s="146"/>
      <c r="H1867" s="98"/>
      <c r="I1867" s="99"/>
      <c r="J1867" s="99"/>
      <c r="K1867" s="99"/>
      <c r="L1867" s="99"/>
      <c r="M1867" s="99"/>
      <c r="N1867" s="99"/>
      <c r="O1867" s="99"/>
      <c r="P1867" s="99"/>
      <c r="Q1867" s="99"/>
      <c r="R1867" s="99"/>
      <c r="S1867" s="99"/>
      <c r="T1867" s="99"/>
      <c r="U1867" s="105"/>
      <c r="V1867" s="262"/>
      <c r="W1867" s="121"/>
      <c r="X1867" s="121"/>
      <c r="Y1867" s="121"/>
      <c r="Z1867" s="121"/>
      <c r="AA1867" s="121"/>
      <c r="AB1867" s="121"/>
      <c r="AC1867" s="121"/>
      <c r="AD1867" s="121"/>
      <c r="AE1867" s="121"/>
      <c r="AF1867" s="121"/>
      <c r="AG1867" s="121"/>
      <c r="AH1867" s="121"/>
      <c r="AI1867" s="121"/>
    </row>
    <row r="1868" spans="1:35" s="115" customFormat="1" ht="24" customHeight="1">
      <c r="A1868" s="187"/>
      <c r="B1868" s="190"/>
      <c r="C1868" s="190"/>
      <c r="D1868" s="69"/>
      <c r="E1868" s="69"/>
      <c r="F1868" s="149"/>
      <c r="G1868" s="146"/>
      <c r="H1868" s="98"/>
      <c r="I1868" s="99"/>
      <c r="J1868" s="99"/>
      <c r="K1868" s="99"/>
      <c r="L1868" s="99"/>
      <c r="M1868" s="99"/>
      <c r="N1868" s="99"/>
      <c r="O1868" s="99"/>
      <c r="P1868" s="99"/>
      <c r="Q1868" s="99"/>
      <c r="R1868" s="99"/>
      <c r="S1868" s="99"/>
      <c r="T1868" s="99"/>
      <c r="U1868" s="105"/>
      <c r="V1868" s="262"/>
      <c r="W1868" s="121"/>
      <c r="X1868" s="121"/>
      <c r="Y1868" s="121"/>
      <c r="Z1868" s="121"/>
      <c r="AA1868" s="121"/>
      <c r="AB1868" s="121"/>
      <c r="AC1868" s="121"/>
      <c r="AD1868" s="121"/>
      <c r="AE1868" s="121"/>
      <c r="AF1868" s="121"/>
      <c r="AG1868" s="121"/>
      <c r="AH1868" s="121"/>
      <c r="AI1868" s="121"/>
    </row>
    <row r="1869" spans="1:35" s="115" customFormat="1" ht="14.4">
      <c r="A1869" s="187"/>
      <c r="B1869" s="190"/>
      <c r="C1869" s="190"/>
      <c r="D1869" s="69"/>
      <c r="E1869" s="69"/>
      <c r="F1869" s="149"/>
      <c r="G1869" s="146"/>
      <c r="H1869" s="98"/>
      <c r="I1869" s="99"/>
      <c r="J1869" s="99"/>
      <c r="K1869" s="99"/>
      <c r="L1869" s="99"/>
      <c r="M1869" s="99"/>
      <c r="N1869" s="99"/>
      <c r="O1869" s="99"/>
      <c r="P1869" s="99"/>
      <c r="Q1869" s="99"/>
      <c r="R1869" s="99"/>
      <c r="S1869" s="99"/>
      <c r="T1869" s="99"/>
      <c r="U1869" s="105"/>
      <c r="V1869" s="262"/>
      <c r="W1869" s="121"/>
      <c r="X1869" s="121"/>
      <c r="Y1869" s="121"/>
      <c r="Z1869" s="121"/>
      <c r="AA1869" s="121"/>
      <c r="AB1869" s="121"/>
      <c r="AC1869" s="121"/>
      <c r="AD1869" s="121"/>
      <c r="AE1869" s="121"/>
      <c r="AF1869" s="121"/>
      <c r="AG1869" s="121"/>
      <c r="AH1869" s="121"/>
      <c r="AI1869" s="121"/>
    </row>
    <row r="1870" spans="1:35" s="115" customFormat="1" ht="14.4">
      <c r="A1870" s="187"/>
      <c r="B1870" s="190"/>
      <c r="C1870" s="190"/>
      <c r="D1870" s="69"/>
      <c r="E1870" s="69"/>
      <c r="F1870" s="149"/>
      <c r="G1870" s="146"/>
      <c r="H1870" s="98"/>
      <c r="I1870" s="99"/>
      <c r="J1870" s="99"/>
      <c r="K1870" s="99"/>
      <c r="L1870" s="99"/>
      <c r="M1870" s="99"/>
      <c r="N1870" s="99"/>
      <c r="O1870" s="99"/>
      <c r="P1870" s="99"/>
      <c r="Q1870" s="99"/>
      <c r="R1870" s="99"/>
      <c r="S1870" s="99"/>
      <c r="T1870" s="99"/>
      <c r="U1870" s="105"/>
      <c r="V1870" s="262"/>
      <c r="W1870" s="121"/>
      <c r="X1870" s="121"/>
      <c r="Y1870" s="121"/>
      <c r="Z1870" s="121"/>
      <c r="AA1870" s="121"/>
      <c r="AB1870" s="121"/>
      <c r="AC1870" s="121"/>
      <c r="AD1870" s="121"/>
      <c r="AE1870" s="121"/>
      <c r="AF1870" s="121"/>
      <c r="AG1870" s="121"/>
      <c r="AH1870" s="121"/>
      <c r="AI1870" s="121"/>
    </row>
    <row r="1871" spans="1:35" s="115" customFormat="1" ht="14.4">
      <c r="A1871" s="187"/>
      <c r="B1871" s="190"/>
      <c r="C1871" s="190"/>
      <c r="D1871" s="69"/>
      <c r="E1871" s="69"/>
      <c r="F1871" s="149"/>
      <c r="G1871" s="146"/>
      <c r="H1871" s="98"/>
      <c r="I1871" s="99"/>
      <c r="J1871" s="99"/>
      <c r="K1871" s="99"/>
      <c r="L1871" s="99"/>
      <c r="M1871" s="99"/>
      <c r="N1871" s="99"/>
      <c r="O1871" s="99"/>
      <c r="P1871" s="99"/>
      <c r="Q1871" s="99"/>
      <c r="R1871" s="99"/>
      <c r="S1871" s="99"/>
      <c r="T1871" s="99"/>
      <c r="U1871" s="105"/>
      <c r="V1871" s="262"/>
      <c r="W1871" s="121"/>
      <c r="X1871" s="121"/>
      <c r="Y1871" s="121"/>
      <c r="Z1871" s="121"/>
      <c r="AA1871" s="121"/>
      <c r="AB1871" s="121"/>
      <c r="AC1871" s="121"/>
      <c r="AD1871" s="121"/>
      <c r="AE1871" s="121"/>
      <c r="AF1871" s="121"/>
      <c r="AG1871" s="121"/>
      <c r="AH1871" s="121"/>
      <c r="AI1871" s="121"/>
    </row>
    <row r="1872" spans="1:35" s="115" customFormat="1" ht="14.4">
      <c r="A1872" s="187"/>
      <c r="B1872" s="190"/>
      <c r="C1872" s="190"/>
      <c r="D1872" s="69"/>
      <c r="E1872" s="69"/>
      <c r="F1872" s="149"/>
      <c r="G1872" s="146"/>
      <c r="H1872" s="98"/>
      <c r="I1872" s="99"/>
      <c r="J1872" s="99"/>
      <c r="K1872" s="99"/>
      <c r="L1872" s="99"/>
      <c r="M1872" s="99"/>
      <c r="N1872" s="99"/>
      <c r="O1872" s="99"/>
      <c r="P1872" s="99"/>
      <c r="Q1872" s="99"/>
      <c r="R1872" s="99"/>
      <c r="S1872" s="99"/>
      <c r="T1872" s="99"/>
      <c r="U1872" s="105"/>
      <c r="V1872" s="262"/>
      <c r="W1872" s="121"/>
      <c r="X1872" s="121"/>
      <c r="Y1872" s="121"/>
      <c r="Z1872" s="121"/>
      <c r="AA1872" s="121"/>
      <c r="AB1872" s="121"/>
      <c r="AC1872" s="121"/>
      <c r="AD1872" s="121"/>
      <c r="AE1872" s="121"/>
      <c r="AF1872" s="121"/>
      <c r="AG1872" s="121"/>
      <c r="AH1872" s="121"/>
      <c r="AI1872" s="121"/>
    </row>
    <row r="1873" spans="1:35" s="115" customFormat="1" ht="14.4">
      <c r="A1873" s="187"/>
      <c r="B1873" s="190"/>
      <c r="C1873" s="190"/>
      <c r="D1873" s="69"/>
      <c r="E1873" s="69"/>
      <c r="F1873" s="149"/>
      <c r="G1873" s="146"/>
      <c r="H1873" s="98"/>
      <c r="I1873" s="99"/>
      <c r="J1873" s="99"/>
      <c r="K1873" s="99"/>
      <c r="L1873" s="99"/>
      <c r="M1873" s="99"/>
      <c r="N1873" s="99"/>
      <c r="O1873" s="99"/>
      <c r="P1873" s="99"/>
      <c r="Q1873" s="99"/>
      <c r="R1873" s="99"/>
      <c r="S1873" s="99"/>
      <c r="T1873" s="99"/>
      <c r="U1873" s="105"/>
      <c r="V1873" s="262"/>
      <c r="W1873" s="121"/>
      <c r="X1873" s="121"/>
      <c r="Y1873" s="121"/>
      <c r="Z1873" s="121"/>
      <c r="AA1873" s="121"/>
      <c r="AB1873" s="121"/>
      <c r="AC1873" s="121"/>
      <c r="AD1873" s="121"/>
      <c r="AE1873" s="121"/>
      <c r="AF1873" s="121"/>
      <c r="AG1873" s="121"/>
      <c r="AH1873" s="121"/>
      <c r="AI1873" s="121"/>
    </row>
    <row r="1874" spans="1:35" s="115" customFormat="1" ht="14.4">
      <c r="A1874" s="187"/>
      <c r="B1874" s="190"/>
      <c r="C1874" s="190"/>
      <c r="D1874" s="69"/>
      <c r="E1874" s="69"/>
      <c r="F1874" s="149"/>
      <c r="G1874" s="146"/>
      <c r="H1874" s="98"/>
      <c r="I1874" s="99"/>
      <c r="J1874" s="99"/>
      <c r="K1874" s="99"/>
      <c r="L1874" s="99"/>
      <c r="M1874" s="99"/>
      <c r="N1874" s="99"/>
      <c r="O1874" s="99"/>
      <c r="P1874" s="99"/>
      <c r="Q1874" s="99"/>
      <c r="R1874" s="99"/>
      <c r="S1874" s="99"/>
      <c r="T1874" s="99"/>
      <c r="U1874" s="105"/>
      <c r="V1874" s="262"/>
      <c r="W1874" s="121"/>
      <c r="X1874" s="121"/>
      <c r="Y1874" s="121"/>
      <c r="Z1874" s="121"/>
      <c r="AA1874" s="121"/>
      <c r="AB1874" s="121"/>
      <c r="AC1874" s="121"/>
      <c r="AD1874" s="121"/>
      <c r="AE1874" s="121"/>
      <c r="AF1874" s="121"/>
      <c r="AG1874" s="121"/>
      <c r="AH1874" s="121"/>
      <c r="AI1874" s="121"/>
    </row>
    <row r="1875" spans="1:35" s="115" customFormat="1" ht="14.4">
      <c r="A1875" s="187"/>
      <c r="B1875" s="190"/>
      <c r="C1875" s="190"/>
      <c r="D1875" s="69"/>
      <c r="E1875" s="69"/>
      <c r="F1875" s="149"/>
      <c r="G1875" s="146"/>
      <c r="H1875" s="98"/>
      <c r="I1875" s="99"/>
      <c r="J1875" s="99"/>
      <c r="K1875" s="99"/>
      <c r="L1875" s="99"/>
      <c r="M1875" s="99"/>
      <c r="N1875" s="99"/>
      <c r="O1875" s="99"/>
      <c r="P1875" s="99"/>
      <c r="Q1875" s="99"/>
      <c r="R1875" s="99"/>
      <c r="S1875" s="99"/>
      <c r="T1875" s="99"/>
      <c r="U1875" s="105"/>
      <c r="V1875" s="262"/>
      <c r="W1875" s="121"/>
      <c r="X1875" s="121"/>
      <c r="Y1875" s="121"/>
      <c r="Z1875" s="121"/>
      <c r="AA1875" s="121"/>
      <c r="AB1875" s="121"/>
      <c r="AC1875" s="121"/>
      <c r="AD1875" s="121"/>
      <c r="AE1875" s="121"/>
      <c r="AF1875" s="121"/>
      <c r="AG1875" s="121"/>
      <c r="AH1875" s="121"/>
      <c r="AI1875" s="121"/>
    </row>
    <row r="1876" spans="1:35" s="115" customFormat="1" ht="14.4">
      <c r="A1876" s="187"/>
      <c r="B1876" s="190"/>
      <c r="C1876" s="190"/>
      <c r="D1876" s="69"/>
      <c r="E1876" s="69"/>
      <c r="F1876" s="149"/>
      <c r="G1876" s="146"/>
      <c r="H1876" s="98"/>
      <c r="I1876" s="99"/>
      <c r="J1876" s="99"/>
      <c r="K1876" s="99"/>
      <c r="L1876" s="99"/>
      <c r="M1876" s="99"/>
      <c r="N1876" s="99"/>
      <c r="O1876" s="99"/>
      <c r="P1876" s="99"/>
      <c r="Q1876" s="99"/>
      <c r="R1876" s="99"/>
      <c r="S1876" s="99"/>
      <c r="T1876" s="99"/>
      <c r="U1876" s="105"/>
      <c r="V1876" s="262"/>
      <c r="W1876" s="121"/>
      <c r="X1876" s="121"/>
      <c r="Y1876" s="121"/>
      <c r="Z1876" s="121"/>
      <c r="AA1876" s="121"/>
      <c r="AB1876" s="121"/>
      <c r="AC1876" s="121"/>
      <c r="AD1876" s="121"/>
      <c r="AE1876" s="121"/>
      <c r="AF1876" s="121"/>
      <c r="AG1876" s="121"/>
      <c r="AH1876" s="121"/>
      <c r="AI1876" s="121"/>
    </row>
    <row r="1877" spans="1:35" s="115" customFormat="1" ht="14.4">
      <c r="A1877" s="187"/>
      <c r="B1877" s="190"/>
      <c r="C1877" s="190"/>
      <c r="D1877" s="69"/>
      <c r="E1877" s="69"/>
      <c r="F1877" s="149"/>
      <c r="G1877" s="146"/>
      <c r="H1877" s="98"/>
      <c r="I1877" s="99"/>
      <c r="J1877" s="99"/>
      <c r="K1877" s="99"/>
      <c r="L1877" s="99"/>
      <c r="M1877" s="99"/>
      <c r="N1877" s="99"/>
      <c r="O1877" s="99"/>
      <c r="P1877" s="99"/>
      <c r="Q1877" s="99"/>
      <c r="R1877" s="99"/>
      <c r="S1877" s="99"/>
      <c r="T1877" s="99"/>
      <c r="U1877" s="105"/>
      <c r="V1877" s="262"/>
      <c r="W1877" s="121"/>
      <c r="X1877" s="121"/>
      <c r="Y1877" s="121"/>
      <c r="Z1877" s="121"/>
      <c r="AA1877" s="121"/>
      <c r="AB1877" s="121"/>
      <c r="AC1877" s="121"/>
      <c r="AD1877" s="121"/>
      <c r="AE1877" s="121"/>
      <c r="AF1877" s="121"/>
      <c r="AG1877" s="121"/>
      <c r="AH1877" s="121"/>
      <c r="AI1877" s="121"/>
    </row>
    <row r="1878" spans="1:35" s="115" customFormat="1" ht="14.4">
      <c r="A1878" s="187"/>
      <c r="B1878" s="190"/>
      <c r="C1878" s="190"/>
      <c r="D1878" s="69"/>
      <c r="E1878" s="69"/>
      <c r="F1878" s="149"/>
      <c r="G1878" s="146"/>
      <c r="H1878" s="98"/>
      <c r="I1878" s="99"/>
      <c r="J1878" s="99"/>
      <c r="K1878" s="99"/>
      <c r="L1878" s="99"/>
      <c r="M1878" s="99"/>
      <c r="N1878" s="99"/>
      <c r="O1878" s="99"/>
      <c r="P1878" s="99"/>
      <c r="Q1878" s="99"/>
      <c r="R1878" s="99"/>
      <c r="S1878" s="99"/>
      <c r="T1878" s="99"/>
      <c r="U1878" s="105"/>
      <c r="V1878" s="262"/>
      <c r="W1878" s="121"/>
      <c r="X1878" s="121"/>
      <c r="Y1878" s="121"/>
      <c r="Z1878" s="121"/>
      <c r="AA1878" s="121"/>
      <c r="AB1878" s="121"/>
      <c r="AC1878" s="121"/>
      <c r="AD1878" s="121"/>
      <c r="AE1878" s="121"/>
      <c r="AF1878" s="121"/>
      <c r="AG1878" s="121"/>
      <c r="AH1878" s="121"/>
      <c r="AI1878" s="121"/>
    </row>
    <row r="1879" spans="1:35" s="115" customFormat="1" ht="14.4">
      <c r="A1879" s="187"/>
      <c r="B1879" s="190"/>
      <c r="C1879" s="190"/>
      <c r="D1879" s="69"/>
      <c r="E1879" s="69"/>
      <c r="F1879" s="149"/>
      <c r="G1879" s="146"/>
      <c r="H1879" s="98"/>
      <c r="I1879" s="99"/>
      <c r="J1879" s="99"/>
      <c r="K1879" s="99"/>
      <c r="L1879" s="99"/>
      <c r="M1879" s="99"/>
      <c r="N1879" s="99"/>
      <c r="O1879" s="99"/>
      <c r="P1879" s="99"/>
      <c r="Q1879" s="99"/>
      <c r="R1879" s="99"/>
      <c r="S1879" s="99"/>
      <c r="T1879" s="99"/>
      <c r="U1879" s="105"/>
      <c r="V1879" s="262"/>
      <c r="W1879" s="121"/>
      <c r="X1879" s="121"/>
      <c r="Y1879" s="121"/>
      <c r="Z1879" s="121"/>
      <c r="AA1879" s="121"/>
      <c r="AB1879" s="121"/>
      <c r="AC1879" s="121"/>
      <c r="AD1879" s="121"/>
      <c r="AE1879" s="121"/>
      <c r="AF1879" s="121"/>
      <c r="AG1879" s="121"/>
      <c r="AH1879" s="121"/>
      <c r="AI1879" s="121"/>
    </row>
    <row r="1880" spans="1:35" s="115" customFormat="1" ht="14.4">
      <c r="A1880" s="187"/>
      <c r="B1880" s="190"/>
      <c r="C1880" s="190"/>
      <c r="D1880" s="69"/>
      <c r="E1880" s="69"/>
      <c r="F1880" s="149"/>
      <c r="G1880" s="146"/>
      <c r="H1880" s="107"/>
      <c r="I1880" s="109"/>
      <c r="J1880" s="109"/>
      <c r="K1880" s="109"/>
      <c r="L1880" s="109"/>
      <c r="M1880" s="109"/>
      <c r="N1880" s="109"/>
      <c r="O1880" s="109"/>
      <c r="P1880" s="109"/>
      <c r="Q1880" s="109"/>
      <c r="R1880" s="109"/>
      <c r="S1880" s="109"/>
      <c r="T1880" s="109"/>
      <c r="U1880" s="105"/>
      <c r="V1880" s="262"/>
      <c r="W1880" s="121"/>
      <c r="X1880" s="121"/>
      <c r="Y1880" s="121"/>
      <c r="Z1880" s="121"/>
      <c r="AA1880" s="121"/>
      <c r="AB1880" s="121"/>
      <c r="AC1880" s="121"/>
      <c r="AD1880" s="121"/>
      <c r="AE1880" s="121"/>
      <c r="AF1880" s="121"/>
      <c r="AG1880" s="121"/>
      <c r="AH1880" s="121"/>
      <c r="AI1880" s="121"/>
    </row>
    <row r="1881" spans="1:35" s="115" customFormat="1" ht="14.4">
      <c r="A1881" s="187"/>
      <c r="B1881" s="190"/>
      <c r="C1881" s="190"/>
      <c r="D1881" s="69"/>
      <c r="E1881" s="69"/>
      <c r="F1881" s="149"/>
      <c r="G1881" s="146"/>
      <c r="H1881" s="98"/>
      <c r="I1881" s="106"/>
      <c r="J1881" s="106"/>
      <c r="K1881" s="106"/>
      <c r="L1881" s="106"/>
      <c r="M1881" s="106"/>
      <c r="N1881" s="112"/>
      <c r="O1881" s="112"/>
      <c r="P1881" s="112"/>
      <c r="Q1881" s="113"/>
      <c r="R1881" s="113"/>
      <c r="S1881" s="113"/>
      <c r="T1881" s="113"/>
      <c r="U1881" s="105"/>
      <c r="V1881" s="262"/>
      <c r="W1881" s="121"/>
      <c r="X1881" s="121"/>
      <c r="Y1881" s="121"/>
      <c r="Z1881" s="121"/>
      <c r="AA1881" s="121"/>
      <c r="AB1881" s="121"/>
      <c r="AC1881" s="121"/>
      <c r="AD1881" s="121"/>
      <c r="AE1881" s="121"/>
      <c r="AF1881" s="121"/>
      <c r="AG1881" s="121"/>
      <c r="AH1881" s="121"/>
      <c r="AI1881" s="121"/>
    </row>
    <row r="1882" spans="1:35" s="115" customFormat="1" ht="14.4">
      <c r="A1882" s="187"/>
      <c r="B1882" s="190"/>
      <c r="C1882" s="190"/>
      <c r="D1882" s="69"/>
      <c r="E1882" s="69"/>
      <c r="F1882" s="149"/>
      <c r="G1882" s="146"/>
      <c r="H1882" s="98"/>
      <c r="I1882" s="99"/>
      <c r="J1882" s="99"/>
      <c r="K1882" s="99"/>
      <c r="L1882" s="99"/>
      <c r="M1882" s="99"/>
      <c r="N1882" s="99"/>
      <c r="O1882" s="99"/>
      <c r="P1882" s="99"/>
      <c r="Q1882" s="99"/>
      <c r="R1882" s="99"/>
      <c r="S1882" s="99"/>
      <c r="T1882" s="99"/>
      <c r="U1882" s="105"/>
      <c r="V1882" s="262"/>
      <c r="W1882" s="121"/>
      <c r="X1882" s="121"/>
      <c r="Y1882" s="121"/>
      <c r="Z1882" s="121"/>
      <c r="AA1882" s="121"/>
      <c r="AB1882" s="121"/>
      <c r="AC1882" s="121"/>
      <c r="AD1882" s="121"/>
      <c r="AE1882" s="121"/>
      <c r="AF1882" s="121"/>
      <c r="AG1882" s="121"/>
      <c r="AH1882" s="121"/>
      <c r="AI1882" s="121"/>
    </row>
    <row r="1883" spans="1:35" s="115" customFormat="1" ht="14.4">
      <c r="A1883" s="187"/>
      <c r="B1883" s="190"/>
      <c r="C1883" s="190"/>
      <c r="D1883" s="69"/>
      <c r="E1883" s="69"/>
      <c r="F1883" s="149"/>
      <c r="G1883" s="146"/>
      <c r="H1883" s="98"/>
      <c r="I1883" s="99"/>
      <c r="J1883" s="99"/>
      <c r="K1883" s="99"/>
      <c r="L1883" s="99"/>
      <c r="M1883" s="99"/>
      <c r="N1883" s="99"/>
      <c r="O1883" s="99"/>
      <c r="P1883" s="99"/>
      <c r="Q1883" s="99"/>
      <c r="R1883" s="99"/>
      <c r="S1883" s="99"/>
      <c r="T1883" s="99"/>
      <c r="U1883" s="105"/>
      <c r="V1883" s="262"/>
      <c r="W1883" s="121"/>
      <c r="X1883" s="121"/>
      <c r="Y1883" s="121"/>
      <c r="Z1883" s="121"/>
      <c r="AA1883" s="121"/>
      <c r="AB1883" s="121"/>
      <c r="AC1883" s="121"/>
      <c r="AD1883" s="121"/>
      <c r="AE1883" s="121"/>
      <c r="AF1883" s="121"/>
      <c r="AG1883" s="121"/>
      <c r="AH1883" s="121"/>
      <c r="AI1883" s="121"/>
    </row>
    <row r="1884" spans="1:35" s="115" customFormat="1" ht="14.4">
      <c r="A1884" s="187"/>
      <c r="B1884" s="190"/>
      <c r="C1884" s="190"/>
      <c r="D1884" s="69"/>
      <c r="E1884" s="69"/>
      <c r="F1884" s="149"/>
      <c r="G1884" s="146"/>
      <c r="H1884" s="98"/>
      <c r="I1884" s="99"/>
      <c r="J1884" s="99"/>
      <c r="K1884" s="99"/>
      <c r="L1884" s="99"/>
      <c r="M1884" s="99"/>
      <c r="N1884" s="99"/>
      <c r="O1884" s="99"/>
      <c r="P1884" s="99"/>
      <c r="Q1884" s="99"/>
      <c r="R1884" s="99"/>
      <c r="S1884" s="99"/>
      <c r="T1884" s="99"/>
      <c r="U1884" s="105"/>
      <c r="V1884" s="262"/>
      <c r="W1884" s="121"/>
      <c r="X1884" s="121"/>
      <c r="Y1884" s="121"/>
      <c r="Z1884" s="121"/>
      <c r="AA1884" s="121"/>
      <c r="AB1884" s="121"/>
      <c r="AC1884" s="121"/>
      <c r="AD1884" s="121"/>
      <c r="AE1884" s="121"/>
      <c r="AF1884" s="121"/>
      <c r="AG1884" s="121"/>
      <c r="AH1884" s="121"/>
      <c r="AI1884" s="121"/>
    </row>
    <row r="1885" spans="1:35" s="115" customFormat="1" ht="14.4">
      <c r="A1885" s="187"/>
      <c r="B1885" s="190"/>
      <c r="C1885" s="190"/>
      <c r="D1885" s="69"/>
      <c r="E1885" s="69"/>
      <c r="F1885" s="149"/>
      <c r="G1885" s="146"/>
      <c r="H1885" s="98"/>
      <c r="I1885" s="99"/>
      <c r="J1885" s="99"/>
      <c r="K1885" s="99"/>
      <c r="L1885" s="99"/>
      <c r="M1885" s="99"/>
      <c r="N1885" s="99"/>
      <c r="O1885" s="99"/>
      <c r="P1885" s="99"/>
      <c r="Q1885" s="99"/>
      <c r="R1885" s="99"/>
      <c r="S1885" s="99"/>
      <c r="T1885" s="99"/>
      <c r="U1885" s="105"/>
      <c r="V1885" s="262"/>
      <c r="W1885" s="121"/>
      <c r="X1885" s="121"/>
      <c r="Y1885" s="121"/>
      <c r="Z1885" s="121"/>
      <c r="AA1885" s="121"/>
      <c r="AB1885" s="121"/>
      <c r="AC1885" s="121"/>
      <c r="AD1885" s="121"/>
      <c r="AE1885" s="121"/>
      <c r="AF1885" s="121"/>
      <c r="AG1885" s="121"/>
      <c r="AH1885" s="121"/>
      <c r="AI1885" s="121"/>
    </row>
    <row r="1886" spans="1:35" s="115" customFormat="1" ht="14.4">
      <c r="A1886" s="187"/>
      <c r="B1886" s="190"/>
      <c r="C1886" s="190"/>
      <c r="D1886" s="69"/>
      <c r="E1886" s="69"/>
      <c r="F1886" s="149"/>
      <c r="G1886" s="146"/>
      <c r="H1886" s="98"/>
      <c r="I1886" s="99"/>
      <c r="J1886" s="99"/>
      <c r="K1886" s="99"/>
      <c r="L1886" s="99"/>
      <c r="M1886" s="99"/>
      <c r="N1886" s="99"/>
      <c r="O1886" s="99"/>
      <c r="P1886" s="99"/>
      <c r="Q1886" s="99"/>
      <c r="R1886" s="99"/>
      <c r="S1886" s="99"/>
      <c r="T1886" s="99"/>
      <c r="U1886" s="105"/>
      <c r="V1886" s="262"/>
      <c r="W1886" s="121"/>
      <c r="X1886" s="121"/>
      <c r="Y1886" s="121"/>
      <c r="Z1886" s="121"/>
      <c r="AA1886" s="121"/>
      <c r="AB1886" s="121"/>
      <c r="AC1886" s="121"/>
      <c r="AD1886" s="121"/>
      <c r="AE1886" s="121"/>
      <c r="AF1886" s="121"/>
      <c r="AG1886" s="121"/>
      <c r="AH1886" s="121"/>
      <c r="AI1886" s="121"/>
    </row>
    <row r="1887" spans="1:35" s="115" customFormat="1" ht="14.4">
      <c r="A1887" s="187"/>
      <c r="B1887" s="190"/>
      <c r="C1887" s="190"/>
      <c r="D1887" s="69"/>
      <c r="E1887" s="69"/>
      <c r="F1887" s="149"/>
      <c r="G1887" s="146"/>
      <c r="H1887" s="98"/>
      <c r="I1887" s="99"/>
      <c r="J1887" s="99"/>
      <c r="K1887" s="99"/>
      <c r="L1887" s="99"/>
      <c r="M1887" s="99"/>
      <c r="N1887" s="99"/>
      <c r="O1887" s="99"/>
      <c r="P1887" s="99"/>
      <c r="Q1887" s="99"/>
      <c r="R1887" s="99"/>
      <c r="S1887" s="99"/>
      <c r="T1887" s="99"/>
      <c r="U1887" s="105"/>
      <c r="V1887" s="262"/>
      <c r="W1887" s="121"/>
      <c r="X1887" s="121"/>
      <c r="Y1887" s="121"/>
      <c r="Z1887" s="121"/>
      <c r="AA1887" s="121"/>
      <c r="AB1887" s="121"/>
      <c r="AC1887" s="121"/>
      <c r="AD1887" s="121"/>
      <c r="AE1887" s="121"/>
      <c r="AF1887" s="121"/>
      <c r="AG1887" s="121"/>
      <c r="AH1887" s="121"/>
      <c r="AI1887" s="121"/>
    </row>
    <row r="1888" spans="1:35" s="115" customFormat="1" ht="14.4">
      <c r="A1888" s="187"/>
      <c r="B1888" s="190"/>
      <c r="C1888" s="190"/>
      <c r="D1888" s="69"/>
      <c r="E1888" s="69"/>
      <c r="F1888" s="149"/>
      <c r="G1888" s="146"/>
      <c r="H1888" s="98"/>
      <c r="I1888" s="99"/>
      <c r="J1888" s="99"/>
      <c r="K1888" s="99"/>
      <c r="L1888" s="99"/>
      <c r="M1888" s="99"/>
      <c r="N1888" s="99"/>
      <c r="O1888" s="99"/>
      <c r="P1888" s="99"/>
      <c r="Q1888" s="99"/>
      <c r="R1888" s="99"/>
      <c r="S1888" s="99"/>
      <c r="T1888" s="99"/>
      <c r="U1888" s="105"/>
      <c r="V1888" s="262"/>
      <c r="W1888" s="121"/>
      <c r="X1888" s="121"/>
      <c r="Y1888" s="121"/>
      <c r="Z1888" s="121"/>
      <c r="AA1888" s="121"/>
      <c r="AB1888" s="121"/>
      <c r="AC1888" s="121"/>
      <c r="AD1888" s="121"/>
      <c r="AE1888" s="121"/>
      <c r="AF1888" s="121"/>
      <c r="AG1888" s="121"/>
      <c r="AH1888" s="121"/>
      <c r="AI1888" s="121"/>
    </row>
    <row r="1889" spans="1:35" s="115" customFormat="1" ht="14.4">
      <c r="A1889" s="187"/>
      <c r="B1889" s="190"/>
      <c r="C1889" s="190"/>
      <c r="D1889" s="69"/>
      <c r="E1889" s="69"/>
      <c r="F1889" s="149"/>
      <c r="G1889" s="146"/>
      <c r="H1889" s="98"/>
      <c r="I1889" s="99"/>
      <c r="J1889" s="99"/>
      <c r="K1889" s="99"/>
      <c r="L1889" s="99"/>
      <c r="M1889" s="99"/>
      <c r="N1889" s="99"/>
      <c r="O1889" s="99"/>
      <c r="P1889" s="99"/>
      <c r="Q1889" s="99"/>
      <c r="R1889" s="99"/>
      <c r="S1889" s="99"/>
      <c r="T1889" s="99"/>
      <c r="U1889" s="105"/>
      <c r="V1889" s="262"/>
      <c r="W1889" s="121"/>
      <c r="X1889" s="121"/>
      <c r="Y1889" s="121"/>
      <c r="Z1889" s="121"/>
      <c r="AA1889" s="121"/>
      <c r="AB1889" s="121"/>
      <c r="AC1889" s="121"/>
      <c r="AD1889" s="121"/>
      <c r="AE1889" s="121"/>
      <c r="AF1889" s="121"/>
      <c r="AG1889" s="121"/>
      <c r="AH1889" s="121"/>
      <c r="AI1889" s="121"/>
    </row>
    <row r="1890" spans="1:35" s="115" customFormat="1" ht="14.4">
      <c r="A1890" s="187"/>
      <c r="B1890" s="190"/>
      <c r="C1890" s="190"/>
      <c r="D1890" s="69"/>
      <c r="E1890" s="69"/>
      <c r="F1890" s="149"/>
      <c r="G1890" s="146"/>
      <c r="H1890" s="98"/>
      <c r="I1890" s="99"/>
      <c r="J1890" s="99"/>
      <c r="K1890" s="99"/>
      <c r="L1890" s="99"/>
      <c r="M1890" s="99"/>
      <c r="N1890" s="99"/>
      <c r="O1890" s="99"/>
      <c r="P1890" s="99"/>
      <c r="Q1890" s="99"/>
      <c r="R1890" s="99"/>
      <c r="S1890" s="99"/>
      <c r="T1890" s="99"/>
      <c r="U1890" s="105"/>
      <c r="V1890" s="262"/>
      <c r="W1890" s="121"/>
      <c r="X1890" s="121"/>
      <c r="Y1890" s="121"/>
      <c r="Z1890" s="121"/>
      <c r="AA1890" s="121"/>
      <c r="AB1890" s="121"/>
      <c r="AC1890" s="121"/>
      <c r="AD1890" s="121"/>
      <c r="AE1890" s="121"/>
      <c r="AF1890" s="121"/>
      <c r="AG1890" s="121"/>
      <c r="AH1890" s="121"/>
      <c r="AI1890" s="121"/>
    </row>
    <row r="1891" spans="1:35" s="115" customFormat="1" ht="14.4">
      <c r="A1891" s="187"/>
      <c r="B1891" s="190"/>
      <c r="C1891" s="190"/>
      <c r="D1891" s="69"/>
      <c r="E1891" s="69"/>
      <c r="F1891" s="149"/>
      <c r="G1891" s="146"/>
      <c r="H1891" s="98"/>
      <c r="I1891" s="99"/>
      <c r="J1891" s="99"/>
      <c r="K1891" s="99"/>
      <c r="L1891" s="99"/>
      <c r="M1891" s="99"/>
      <c r="N1891" s="99"/>
      <c r="O1891" s="99"/>
      <c r="P1891" s="99"/>
      <c r="Q1891" s="99"/>
      <c r="R1891" s="99"/>
      <c r="S1891" s="99"/>
      <c r="T1891" s="99"/>
      <c r="U1891" s="105"/>
      <c r="V1891" s="262"/>
      <c r="W1891" s="121"/>
      <c r="X1891" s="121"/>
      <c r="Y1891" s="121"/>
      <c r="Z1891" s="121"/>
      <c r="AA1891" s="121"/>
      <c r="AB1891" s="121"/>
      <c r="AC1891" s="121"/>
      <c r="AD1891" s="121"/>
      <c r="AE1891" s="121"/>
      <c r="AF1891" s="121"/>
      <c r="AG1891" s="121"/>
      <c r="AH1891" s="121"/>
      <c r="AI1891" s="121"/>
    </row>
    <row r="1892" spans="1:35" s="115" customFormat="1" ht="14.4">
      <c r="A1892" s="187"/>
      <c r="B1892" s="190"/>
      <c r="C1892" s="190"/>
      <c r="D1892" s="69"/>
      <c r="E1892" s="69"/>
      <c r="F1892" s="149"/>
      <c r="G1892" s="146"/>
      <c r="H1892" s="98"/>
      <c r="I1892" s="99"/>
      <c r="J1892" s="99"/>
      <c r="K1892" s="99"/>
      <c r="L1892" s="99"/>
      <c r="M1892" s="99"/>
      <c r="N1892" s="99"/>
      <c r="O1892" s="99"/>
      <c r="P1892" s="99"/>
      <c r="Q1892" s="99"/>
      <c r="R1892" s="99"/>
      <c r="S1892" s="99"/>
      <c r="T1892" s="99"/>
      <c r="U1892" s="105"/>
      <c r="V1892" s="262"/>
      <c r="W1892" s="121"/>
      <c r="X1892" s="121"/>
      <c r="Y1892" s="121"/>
      <c r="Z1892" s="121"/>
      <c r="AA1892" s="121"/>
      <c r="AB1892" s="121"/>
      <c r="AC1892" s="121"/>
      <c r="AD1892" s="121"/>
      <c r="AE1892" s="121"/>
      <c r="AF1892" s="121"/>
      <c r="AG1892" s="121"/>
      <c r="AH1892" s="121"/>
      <c r="AI1892" s="121"/>
    </row>
    <row r="1893" spans="1:35" s="115" customFormat="1" ht="14.4">
      <c r="A1893" s="187"/>
      <c r="B1893" s="190"/>
      <c r="C1893" s="190"/>
      <c r="D1893" s="69"/>
      <c r="E1893" s="69"/>
      <c r="F1893" s="149"/>
      <c r="G1893" s="146"/>
      <c r="H1893" s="98"/>
      <c r="I1893" s="99"/>
      <c r="J1893" s="99"/>
      <c r="K1893" s="99"/>
      <c r="L1893" s="99"/>
      <c r="M1893" s="99"/>
      <c r="N1893" s="99"/>
      <c r="O1893" s="99"/>
      <c r="P1893" s="99"/>
      <c r="Q1893" s="99"/>
      <c r="R1893" s="99"/>
      <c r="S1893" s="99"/>
      <c r="T1893" s="99"/>
      <c r="U1893" s="105"/>
      <c r="V1893" s="262"/>
      <c r="W1893" s="121"/>
      <c r="X1893" s="121"/>
      <c r="Y1893" s="121"/>
      <c r="Z1893" s="121"/>
      <c r="AA1893" s="121"/>
      <c r="AB1893" s="121"/>
      <c r="AC1893" s="121"/>
      <c r="AD1893" s="121"/>
      <c r="AE1893" s="121"/>
      <c r="AF1893" s="121"/>
      <c r="AG1893" s="121"/>
      <c r="AH1893" s="121"/>
      <c r="AI1893" s="121"/>
    </row>
    <row r="1894" spans="1:35" s="115" customFormat="1" ht="14.4">
      <c r="A1894" s="187"/>
      <c r="B1894" s="190"/>
      <c r="C1894" s="190"/>
      <c r="D1894" s="69"/>
      <c r="E1894" s="69"/>
      <c r="F1894" s="149"/>
      <c r="G1894" s="146"/>
      <c r="H1894" s="98"/>
      <c r="I1894" s="99"/>
      <c r="J1894" s="99"/>
      <c r="K1894" s="99"/>
      <c r="L1894" s="99"/>
      <c r="M1894" s="99"/>
      <c r="N1894" s="99"/>
      <c r="O1894" s="99"/>
      <c r="P1894" s="99"/>
      <c r="Q1894" s="99"/>
      <c r="R1894" s="99"/>
      <c r="S1894" s="99"/>
      <c r="T1894" s="99"/>
      <c r="U1894" s="105"/>
      <c r="V1894" s="262"/>
      <c r="W1894" s="121"/>
      <c r="X1894" s="121"/>
      <c r="Y1894" s="121"/>
      <c r="Z1894" s="121"/>
      <c r="AA1894" s="121"/>
      <c r="AB1894" s="121"/>
      <c r="AC1894" s="121"/>
      <c r="AD1894" s="121"/>
      <c r="AE1894" s="121"/>
      <c r="AF1894" s="121"/>
      <c r="AG1894" s="121"/>
      <c r="AH1894" s="121"/>
      <c r="AI1894" s="121"/>
    </row>
    <row r="1895" spans="1:35" s="115" customFormat="1" ht="14.4">
      <c r="A1895" s="187"/>
      <c r="B1895" s="190"/>
      <c r="C1895" s="190"/>
      <c r="D1895" s="69"/>
      <c r="E1895" s="69"/>
      <c r="F1895" s="149"/>
      <c r="G1895" s="146"/>
      <c r="H1895" s="98"/>
      <c r="I1895" s="99"/>
      <c r="J1895" s="99"/>
      <c r="K1895" s="99"/>
      <c r="L1895" s="99"/>
      <c r="M1895" s="99"/>
      <c r="N1895" s="99"/>
      <c r="O1895" s="99"/>
      <c r="P1895" s="99"/>
      <c r="Q1895" s="99"/>
      <c r="R1895" s="99"/>
      <c r="S1895" s="99"/>
      <c r="T1895" s="99"/>
      <c r="U1895" s="105"/>
      <c r="V1895" s="262"/>
      <c r="W1895" s="121"/>
      <c r="X1895" s="121"/>
      <c r="Y1895" s="121"/>
      <c r="Z1895" s="121"/>
      <c r="AA1895" s="121"/>
      <c r="AB1895" s="121"/>
      <c r="AC1895" s="121"/>
      <c r="AD1895" s="121"/>
      <c r="AE1895" s="121"/>
      <c r="AF1895" s="121"/>
      <c r="AG1895" s="121"/>
      <c r="AH1895" s="121"/>
      <c r="AI1895" s="121"/>
    </row>
    <row r="1896" spans="1:35" s="115" customFormat="1" ht="14.4">
      <c r="A1896" s="187"/>
      <c r="B1896" s="190"/>
      <c r="C1896" s="190"/>
      <c r="D1896" s="69"/>
      <c r="E1896" s="69"/>
      <c r="F1896" s="149"/>
      <c r="G1896" s="146"/>
      <c r="H1896" s="98"/>
      <c r="I1896" s="99"/>
      <c r="J1896" s="99"/>
      <c r="K1896" s="99"/>
      <c r="L1896" s="99"/>
      <c r="M1896" s="99"/>
      <c r="N1896" s="99"/>
      <c r="O1896" s="99"/>
      <c r="P1896" s="99"/>
      <c r="Q1896" s="99"/>
      <c r="R1896" s="99"/>
      <c r="S1896" s="99"/>
      <c r="T1896" s="99"/>
      <c r="U1896" s="105"/>
      <c r="V1896" s="262"/>
      <c r="W1896" s="121"/>
      <c r="X1896" s="121"/>
      <c r="Y1896" s="121"/>
      <c r="Z1896" s="121"/>
      <c r="AA1896" s="121"/>
      <c r="AB1896" s="121"/>
      <c r="AC1896" s="121"/>
      <c r="AD1896" s="121"/>
      <c r="AE1896" s="121"/>
      <c r="AF1896" s="121"/>
      <c r="AG1896" s="121"/>
      <c r="AH1896" s="121"/>
      <c r="AI1896" s="121"/>
    </row>
    <row r="1897" spans="1:35" s="115" customFormat="1" ht="14.4">
      <c r="A1897" s="187"/>
      <c r="B1897" s="190"/>
      <c r="C1897" s="190"/>
      <c r="D1897" s="69"/>
      <c r="E1897" s="69"/>
      <c r="F1897" s="149"/>
      <c r="G1897" s="146"/>
      <c r="H1897" s="98"/>
      <c r="I1897" s="99"/>
      <c r="J1897" s="99"/>
      <c r="K1897" s="99"/>
      <c r="L1897" s="99"/>
      <c r="M1897" s="99"/>
      <c r="N1897" s="99"/>
      <c r="O1897" s="99"/>
      <c r="P1897" s="99"/>
      <c r="Q1897" s="99"/>
      <c r="R1897" s="99"/>
      <c r="S1897" s="99"/>
      <c r="T1897" s="99"/>
      <c r="U1897" s="105"/>
      <c r="V1897" s="262"/>
      <c r="W1897" s="121"/>
      <c r="X1897" s="121"/>
      <c r="Y1897" s="121"/>
      <c r="Z1897" s="121"/>
      <c r="AA1897" s="121"/>
      <c r="AB1897" s="121"/>
      <c r="AC1897" s="121"/>
      <c r="AD1897" s="121"/>
      <c r="AE1897" s="121"/>
      <c r="AF1897" s="121"/>
      <c r="AG1897" s="121"/>
      <c r="AH1897" s="121"/>
      <c r="AI1897" s="121"/>
    </row>
    <row r="1898" spans="1:35" s="115" customFormat="1" ht="14.4">
      <c r="A1898" s="187"/>
      <c r="B1898" s="190"/>
      <c r="C1898" s="190"/>
      <c r="D1898" s="69"/>
      <c r="E1898" s="69"/>
      <c r="F1898" s="149"/>
      <c r="G1898" s="146"/>
      <c r="H1898" s="107"/>
      <c r="I1898" s="109"/>
      <c r="J1898" s="109"/>
      <c r="K1898" s="109"/>
      <c r="L1898" s="109"/>
      <c r="M1898" s="109"/>
      <c r="N1898" s="109"/>
      <c r="O1898" s="109"/>
      <c r="P1898" s="109"/>
      <c r="Q1898" s="109"/>
      <c r="R1898" s="109"/>
      <c r="S1898" s="109"/>
      <c r="T1898" s="109"/>
      <c r="U1898" s="105"/>
      <c r="V1898" s="262"/>
      <c r="W1898" s="121"/>
      <c r="X1898" s="121"/>
      <c r="Y1898" s="121"/>
      <c r="Z1898" s="121"/>
      <c r="AA1898" s="121"/>
      <c r="AB1898" s="121"/>
      <c r="AC1898" s="121"/>
      <c r="AD1898" s="121"/>
      <c r="AE1898" s="121"/>
      <c r="AF1898" s="121"/>
      <c r="AG1898" s="121"/>
      <c r="AH1898" s="121"/>
      <c r="AI1898" s="121"/>
    </row>
    <row r="1899" spans="1:35" s="115" customFormat="1" ht="14.4">
      <c r="A1899" s="187"/>
      <c r="B1899" s="190"/>
      <c r="C1899" s="190"/>
      <c r="D1899" s="69"/>
      <c r="E1899" s="69"/>
      <c r="F1899" s="149"/>
      <c r="G1899" s="146"/>
      <c r="H1899" s="98"/>
      <c r="I1899" s="106"/>
      <c r="J1899" s="106"/>
      <c r="K1899" s="106"/>
      <c r="L1899" s="106"/>
      <c r="M1899" s="106"/>
      <c r="N1899" s="112"/>
      <c r="O1899" s="112"/>
      <c r="P1899" s="112"/>
      <c r="Q1899" s="113"/>
      <c r="R1899" s="113"/>
      <c r="S1899" s="113"/>
      <c r="T1899" s="113"/>
      <c r="U1899" s="105"/>
      <c r="V1899" s="262"/>
      <c r="W1899" s="121"/>
      <c r="X1899" s="121"/>
      <c r="Y1899" s="121"/>
      <c r="Z1899" s="121"/>
      <c r="AA1899" s="121"/>
      <c r="AB1899" s="121"/>
      <c r="AC1899" s="121"/>
      <c r="AD1899" s="121"/>
      <c r="AE1899" s="121"/>
      <c r="AF1899" s="121"/>
      <c r="AG1899" s="121"/>
      <c r="AH1899" s="121"/>
      <c r="AI1899" s="121"/>
    </row>
    <row r="1900" spans="1:35" s="115" customFormat="1" ht="14.4">
      <c r="A1900" s="187"/>
      <c r="B1900" s="190"/>
      <c r="C1900" s="190"/>
      <c r="D1900" s="69"/>
      <c r="E1900" s="69"/>
      <c r="F1900" s="149"/>
      <c r="G1900" s="146"/>
      <c r="H1900" s="98"/>
      <c r="I1900" s="99"/>
      <c r="J1900" s="99"/>
      <c r="K1900" s="99"/>
      <c r="L1900" s="99"/>
      <c r="M1900" s="99"/>
      <c r="N1900" s="99"/>
      <c r="O1900" s="99"/>
      <c r="P1900" s="99"/>
      <c r="Q1900" s="99"/>
      <c r="R1900" s="99"/>
      <c r="S1900" s="99"/>
      <c r="T1900" s="99"/>
      <c r="U1900" s="105"/>
      <c r="V1900" s="262"/>
      <c r="W1900" s="121"/>
      <c r="X1900" s="121"/>
      <c r="Y1900" s="121"/>
      <c r="Z1900" s="121"/>
      <c r="AA1900" s="121"/>
      <c r="AB1900" s="121"/>
      <c r="AC1900" s="121"/>
      <c r="AD1900" s="121"/>
      <c r="AE1900" s="121"/>
      <c r="AF1900" s="121"/>
      <c r="AG1900" s="121"/>
      <c r="AH1900" s="121"/>
      <c r="AI1900" s="121"/>
    </row>
    <row r="1901" spans="1:35" s="115" customFormat="1" ht="14.4">
      <c r="A1901" s="187"/>
      <c r="B1901" s="190"/>
      <c r="C1901" s="190"/>
      <c r="D1901" s="69"/>
      <c r="E1901" s="69"/>
      <c r="F1901" s="149"/>
      <c r="G1901" s="146"/>
      <c r="H1901" s="98"/>
      <c r="I1901" s="99"/>
      <c r="J1901" s="99"/>
      <c r="K1901" s="99"/>
      <c r="L1901" s="99"/>
      <c r="M1901" s="99"/>
      <c r="N1901" s="99"/>
      <c r="O1901" s="99"/>
      <c r="P1901" s="99"/>
      <c r="Q1901" s="99"/>
      <c r="R1901" s="99"/>
      <c r="S1901" s="99"/>
      <c r="T1901" s="99"/>
      <c r="U1901" s="105"/>
      <c r="V1901" s="262"/>
      <c r="W1901" s="121"/>
      <c r="X1901" s="121"/>
      <c r="Y1901" s="121"/>
      <c r="Z1901" s="121"/>
      <c r="AA1901" s="121"/>
      <c r="AB1901" s="121"/>
      <c r="AC1901" s="121"/>
      <c r="AD1901" s="121"/>
      <c r="AE1901" s="121"/>
      <c r="AF1901" s="121"/>
      <c r="AG1901" s="121"/>
      <c r="AH1901" s="121"/>
      <c r="AI1901" s="121"/>
    </row>
    <row r="1902" spans="1:35" s="115" customFormat="1" ht="14.4">
      <c r="A1902" s="187"/>
      <c r="B1902" s="190"/>
      <c r="C1902" s="190"/>
      <c r="D1902" s="69"/>
      <c r="E1902" s="69"/>
      <c r="F1902" s="149"/>
      <c r="G1902" s="146"/>
      <c r="H1902" s="98"/>
      <c r="I1902" s="99"/>
      <c r="J1902" s="99"/>
      <c r="K1902" s="99"/>
      <c r="L1902" s="99"/>
      <c r="M1902" s="99"/>
      <c r="N1902" s="99"/>
      <c r="O1902" s="99"/>
      <c r="P1902" s="99"/>
      <c r="Q1902" s="99"/>
      <c r="R1902" s="99"/>
      <c r="S1902" s="99"/>
      <c r="T1902" s="99"/>
      <c r="U1902" s="105"/>
      <c r="V1902" s="262"/>
      <c r="W1902" s="121"/>
      <c r="X1902" s="121"/>
      <c r="Y1902" s="121"/>
      <c r="Z1902" s="121"/>
      <c r="AA1902" s="121"/>
      <c r="AB1902" s="121"/>
      <c r="AC1902" s="121"/>
      <c r="AD1902" s="121"/>
      <c r="AE1902" s="121"/>
      <c r="AF1902" s="121"/>
      <c r="AG1902" s="121"/>
      <c r="AH1902" s="121"/>
      <c r="AI1902" s="121"/>
    </row>
    <row r="1903" spans="1:35" s="115" customFormat="1" ht="14.4">
      <c r="A1903" s="187"/>
      <c r="B1903" s="190"/>
      <c r="C1903" s="190"/>
      <c r="D1903" s="69"/>
      <c r="E1903" s="69"/>
      <c r="F1903" s="149"/>
      <c r="G1903" s="146"/>
      <c r="H1903" s="107"/>
      <c r="I1903" s="108"/>
      <c r="J1903" s="108"/>
      <c r="K1903" s="108"/>
      <c r="L1903" s="108"/>
      <c r="M1903" s="108"/>
      <c r="N1903" s="109"/>
      <c r="O1903" s="109"/>
      <c r="P1903" s="109"/>
      <c r="Q1903" s="109"/>
      <c r="R1903" s="109"/>
      <c r="S1903" s="109"/>
      <c r="T1903" s="109"/>
      <c r="U1903" s="105"/>
      <c r="V1903" s="262"/>
      <c r="W1903" s="121"/>
      <c r="X1903" s="121"/>
      <c r="Y1903" s="121"/>
      <c r="Z1903" s="121"/>
      <c r="AA1903" s="121"/>
      <c r="AB1903" s="121"/>
      <c r="AC1903" s="121"/>
      <c r="AD1903" s="121"/>
      <c r="AE1903" s="121"/>
      <c r="AF1903" s="121"/>
      <c r="AG1903" s="121"/>
      <c r="AH1903" s="121"/>
      <c r="AI1903" s="121"/>
    </row>
    <row r="1904" spans="1:35" s="115" customFormat="1" ht="14.4">
      <c r="A1904" s="187"/>
      <c r="B1904" s="190"/>
      <c r="C1904" s="190"/>
      <c r="D1904" s="69"/>
      <c r="E1904" s="69"/>
      <c r="F1904" s="149"/>
      <c r="G1904" s="146"/>
      <c r="H1904" s="98"/>
      <c r="I1904" s="106"/>
      <c r="J1904" s="106"/>
      <c r="K1904" s="106"/>
      <c r="L1904" s="106"/>
      <c r="M1904" s="106"/>
      <c r="N1904" s="112"/>
      <c r="O1904" s="112"/>
      <c r="P1904" s="112"/>
      <c r="Q1904" s="113"/>
      <c r="R1904" s="113"/>
      <c r="S1904" s="113"/>
      <c r="T1904" s="113"/>
      <c r="U1904" s="105"/>
      <c r="V1904" s="262"/>
      <c r="W1904" s="121"/>
      <c r="X1904" s="121"/>
      <c r="Y1904" s="121"/>
      <c r="Z1904" s="121"/>
      <c r="AA1904" s="121"/>
      <c r="AB1904" s="121"/>
      <c r="AC1904" s="121"/>
      <c r="AD1904" s="121"/>
      <c r="AE1904" s="121"/>
      <c r="AF1904" s="121"/>
      <c r="AG1904" s="121"/>
      <c r="AH1904" s="121"/>
      <c r="AI1904" s="121"/>
    </row>
    <row r="1905" spans="1:35" s="115" customFormat="1" ht="14.4">
      <c r="A1905" s="187"/>
      <c r="B1905" s="190"/>
      <c r="C1905" s="190"/>
      <c r="D1905" s="69"/>
      <c r="E1905" s="69"/>
      <c r="F1905" s="149"/>
      <c r="G1905" s="146"/>
      <c r="H1905" s="114"/>
      <c r="I1905" s="108"/>
      <c r="J1905" s="108"/>
      <c r="K1905" s="108"/>
      <c r="L1905" s="108"/>
      <c r="M1905" s="108"/>
      <c r="N1905" s="108"/>
      <c r="O1905" s="108"/>
      <c r="P1905" s="108"/>
      <c r="Q1905" s="108"/>
      <c r="R1905" s="108"/>
      <c r="S1905" s="108"/>
      <c r="T1905" s="108"/>
      <c r="U1905" s="105"/>
      <c r="V1905" s="262"/>
      <c r="W1905" s="121"/>
      <c r="X1905" s="121"/>
      <c r="Y1905" s="121"/>
      <c r="Z1905" s="121"/>
      <c r="AA1905" s="121"/>
      <c r="AB1905" s="121"/>
      <c r="AC1905" s="121"/>
      <c r="AD1905" s="121"/>
      <c r="AE1905" s="121"/>
      <c r="AF1905" s="121"/>
      <c r="AG1905" s="121"/>
      <c r="AH1905" s="121"/>
      <c r="AI1905" s="121"/>
    </row>
    <row r="1906" spans="1:35" s="115" customFormat="1" ht="15" thickBot="1">
      <c r="A1906" s="187"/>
      <c r="B1906" s="190"/>
      <c r="C1906" s="190"/>
      <c r="D1906" s="69"/>
      <c r="E1906" s="69"/>
      <c r="F1906" s="149"/>
      <c r="G1906" s="146"/>
      <c r="H1906" s="98"/>
      <c r="I1906" s="218"/>
      <c r="J1906" s="218"/>
      <c r="K1906" s="218"/>
      <c r="L1906" s="218"/>
      <c r="M1906" s="218"/>
      <c r="N1906" s="96"/>
      <c r="O1906" s="96"/>
      <c r="P1906" s="96"/>
      <c r="Q1906" s="212"/>
      <c r="R1906" s="212"/>
      <c r="S1906" s="212"/>
      <c r="T1906" s="212"/>
      <c r="U1906" s="105"/>
      <c r="V1906" s="262"/>
      <c r="W1906" s="121"/>
      <c r="X1906" s="121"/>
      <c r="Y1906" s="121"/>
      <c r="Z1906" s="121"/>
      <c r="AA1906" s="121"/>
      <c r="AB1906" s="121"/>
      <c r="AC1906" s="121"/>
      <c r="AD1906" s="121"/>
      <c r="AE1906" s="121"/>
      <c r="AF1906" s="121"/>
      <c r="AG1906" s="121"/>
      <c r="AH1906" s="121"/>
      <c r="AI1906" s="121"/>
    </row>
    <row r="1907" spans="1:35" s="115" customFormat="1" ht="23.4" thickBot="1">
      <c r="A1907" s="187"/>
      <c r="B1907" s="190"/>
      <c r="C1907" s="190"/>
      <c r="D1907" s="69"/>
      <c r="E1907" s="69"/>
      <c r="F1907" s="149"/>
      <c r="G1907" s="146"/>
      <c r="H1907" s="686"/>
      <c r="I1907" s="687"/>
      <c r="J1907" s="687"/>
      <c r="K1907" s="687"/>
      <c r="L1907" s="687"/>
      <c r="M1907" s="687"/>
      <c r="N1907" s="687"/>
      <c r="O1907" s="687"/>
      <c r="P1907" s="687"/>
      <c r="Q1907" s="687"/>
      <c r="R1907" s="687"/>
      <c r="S1907" s="687"/>
      <c r="T1907" s="688"/>
      <c r="U1907" s="105"/>
      <c r="V1907" s="262"/>
      <c r="W1907" s="121"/>
      <c r="X1907" s="121"/>
      <c r="Y1907" s="121"/>
      <c r="Z1907" s="121"/>
      <c r="AA1907" s="121"/>
      <c r="AB1907" s="121"/>
      <c r="AC1907" s="121"/>
      <c r="AD1907" s="121"/>
      <c r="AE1907" s="121"/>
      <c r="AF1907" s="121"/>
      <c r="AG1907" s="121"/>
      <c r="AH1907" s="121"/>
      <c r="AI1907" s="121"/>
    </row>
    <row r="1908" spans="1:35" s="115" customFormat="1" ht="22.8">
      <c r="A1908" s="187"/>
      <c r="B1908" s="190"/>
      <c r="C1908" s="190"/>
      <c r="D1908" s="69"/>
      <c r="E1908" s="69"/>
      <c r="F1908" s="149"/>
      <c r="G1908" s="146"/>
      <c r="H1908" s="225"/>
      <c r="I1908" s="225"/>
      <c r="J1908" s="225"/>
      <c r="K1908" s="225"/>
      <c r="L1908" s="225"/>
      <c r="M1908" s="225"/>
      <c r="N1908" s="225"/>
      <c r="O1908" s="225"/>
      <c r="P1908" s="225"/>
      <c r="Q1908" s="225"/>
      <c r="R1908" s="225"/>
      <c r="S1908" s="225"/>
      <c r="T1908" s="225"/>
      <c r="U1908" s="105"/>
      <c r="V1908" s="262"/>
      <c r="W1908" s="121"/>
      <c r="X1908" s="121"/>
      <c r="Y1908" s="121"/>
      <c r="Z1908" s="121"/>
      <c r="AA1908" s="121"/>
      <c r="AB1908" s="121"/>
      <c r="AC1908" s="121"/>
      <c r="AD1908" s="121"/>
      <c r="AE1908" s="121"/>
      <c r="AF1908" s="121"/>
      <c r="AG1908" s="121"/>
      <c r="AH1908" s="121"/>
      <c r="AI1908" s="121"/>
    </row>
    <row r="1909" spans="1:35" s="115" customFormat="1" ht="14.4">
      <c r="A1909" s="187"/>
      <c r="B1909" s="190"/>
      <c r="C1909" s="190"/>
      <c r="D1909" s="69"/>
      <c r="E1909" s="69"/>
      <c r="F1909" s="149"/>
      <c r="G1909" s="146"/>
      <c r="H1909" s="98"/>
      <c r="I1909" s="99"/>
      <c r="J1909" s="99"/>
      <c r="K1909" s="99"/>
      <c r="L1909" s="99"/>
      <c r="M1909" s="99"/>
      <c r="N1909" s="99"/>
      <c r="O1909" s="99"/>
      <c r="P1909" s="99"/>
      <c r="Q1909" s="99"/>
      <c r="R1909" s="99"/>
      <c r="S1909" s="99"/>
      <c r="T1909" s="99"/>
      <c r="U1909" s="105"/>
      <c r="V1909" s="262"/>
      <c r="W1909" s="121"/>
      <c r="X1909" s="121"/>
      <c r="Y1909" s="121"/>
      <c r="Z1909" s="121"/>
      <c r="AA1909" s="121"/>
      <c r="AB1909" s="121"/>
      <c r="AC1909" s="121"/>
      <c r="AD1909" s="121"/>
      <c r="AE1909" s="121"/>
      <c r="AF1909" s="121"/>
      <c r="AG1909" s="121"/>
      <c r="AH1909" s="121"/>
      <c r="AI1909" s="121"/>
    </row>
    <row r="1910" spans="1:35" s="115" customFormat="1" ht="14.4">
      <c r="A1910" s="187"/>
      <c r="B1910" s="190"/>
      <c r="C1910" s="190"/>
      <c r="D1910" s="69"/>
      <c r="E1910" s="69"/>
      <c r="F1910" s="149"/>
      <c r="G1910" s="146"/>
      <c r="H1910" s="98"/>
      <c r="I1910" s="99"/>
      <c r="J1910" s="99"/>
      <c r="K1910" s="99"/>
      <c r="L1910" s="99"/>
      <c r="M1910" s="99"/>
      <c r="N1910" s="99"/>
      <c r="O1910" s="99"/>
      <c r="P1910" s="99"/>
      <c r="Q1910" s="99"/>
      <c r="R1910" s="99"/>
      <c r="S1910" s="99"/>
      <c r="T1910" s="99"/>
      <c r="U1910" s="105"/>
      <c r="V1910" s="262"/>
      <c r="W1910" s="121"/>
      <c r="X1910" s="121"/>
      <c r="Y1910" s="121"/>
      <c r="Z1910" s="121"/>
      <c r="AA1910" s="121"/>
      <c r="AB1910" s="121"/>
      <c r="AC1910" s="121"/>
      <c r="AD1910" s="121"/>
      <c r="AE1910" s="121"/>
      <c r="AF1910" s="121"/>
      <c r="AG1910" s="121"/>
      <c r="AH1910" s="121"/>
      <c r="AI1910" s="121"/>
    </row>
    <row r="1911" spans="1:35" s="115" customFormat="1" ht="14.4">
      <c r="A1911" s="187"/>
      <c r="B1911" s="190"/>
      <c r="C1911" s="190"/>
      <c r="D1911" s="69"/>
      <c r="E1911" s="69"/>
      <c r="F1911" s="149"/>
      <c r="G1911" s="146"/>
      <c r="H1911" s="98"/>
      <c r="I1911" s="99"/>
      <c r="J1911" s="99"/>
      <c r="K1911" s="99"/>
      <c r="L1911" s="99"/>
      <c r="M1911" s="99"/>
      <c r="N1911" s="99"/>
      <c r="O1911" s="99"/>
      <c r="P1911" s="99"/>
      <c r="Q1911" s="99"/>
      <c r="R1911" s="99"/>
      <c r="S1911" s="99"/>
      <c r="T1911" s="99"/>
      <c r="U1911" s="105"/>
      <c r="V1911" s="262"/>
      <c r="W1911" s="121"/>
      <c r="X1911" s="121"/>
      <c r="Y1911" s="121"/>
      <c r="Z1911" s="121"/>
      <c r="AA1911" s="121"/>
      <c r="AB1911" s="121"/>
      <c r="AC1911" s="121"/>
      <c r="AD1911" s="121"/>
      <c r="AE1911" s="121"/>
      <c r="AF1911" s="121"/>
      <c r="AG1911" s="121"/>
      <c r="AH1911" s="121"/>
      <c r="AI1911" s="121"/>
    </row>
    <row r="1912" spans="1:35" s="115" customFormat="1" ht="14.4">
      <c r="A1912" s="187"/>
      <c r="B1912" s="190"/>
      <c r="C1912" s="190"/>
      <c r="D1912" s="69"/>
      <c r="E1912" s="69"/>
      <c r="F1912" s="149"/>
      <c r="G1912" s="146"/>
      <c r="H1912" s="98"/>
      <c r="I1912" s="99"/>
      <c r="J1912" s="99"/>
      <c r="K1912" s="99"/>
      <c r="L1912" s="99"/>
      <c r="M1912" s="99"/>
      <c r="N1912" s="99"/>
      <c r="O1912" s="99"/>
      <c r="P1912" s="99"/>
      <c r="Q1912" s="99"/>
      <c r="R1912" s="99"/>
      <c r="S1912" s="99"/>
      <c r="T1912" s="99"/>
      <c r="U1912" s="105"/>
      <c r="V1912" s="262"/>
      <c r="W1912" s="121"/>
      <c r="X1912" s="121"/>
      <c r="Y1912" s="121"/>
      <c r="Z1912" s="121"/>
      <c r="AA1912" s="121"/>
      <c r="AB1912" s="121"/>
      <c r="AC1912" s="121"/>
      <c r="AD1912" s="121"/>
      <c r="AE1912" s="121"/>
      <c r="AF1912" s="121"/>
      <c r="AG1912" s="121"/>
      <c r="AH1912" s="121"/>
      <c r="AI1912" s="121"/>
    </row>
    <row r="1913" spans="1:35" s="115" customFormat="1" ht="14.4">
      <c r="A1913" s="187"/>
      <c r="B1913" s="190"/>
      <c r="C1913" s="190"/>
      <c r="D1913" s="69"/>
      <c r="E1913" s="69"/>
      <c r="F1913" s="149"/>
      <c r="G1913" s="146"/>
      <c r="H1913" s="98"/>
      <c r="I1913" s="99"/>
      <c r="J1913" s="99"/>
      <c r="K1913" s="99"/>
      <c r="L1913" s="99"/>
      <c r="M1913" s="99"/>
      <c r="N1913" s="99"/>
      <c r="O1913" s="99"/>
      <c r="P1913" s="99"/>
      <c r="Q1913" s="99"/>
      <c r="R1913" s="99"/>
      <c r="S1913" s="99"/>
      <c r="T1913" s="99"/>
      <c r="U1913" s="105"/>
      <c r="V1913" s="262"/>
      <c r="W1913" s="121"/>
      <c r="X1913" s="121"/>
      <c r="Y1913" s="121"/>
      <c r="Z1913" s="121"/>
      <c r="AA1913" s="121"/>
      <c r="AB1913" s="121"/>
      <c r="AC1913" s="121"/>
      <c r="AD1913" s="121"/>
      <c r="AE1913" s="121"/>
      <c r="AF1913" s="121"/>
      <c r="AG1913" s="121"/>
      <c r="AH1913" s="121"/>
      <c r="AI1913" s="121"/>
    </row>
    <row r="1914" spans="1:35" s="115" customFormat="1" ht="14.4">
      <c r="A1914" s="187"/>
      <c r="B1914" s="190"/>
      <c r="C1914" s="190"/>
      <c r="D1914" s="69"/>
      <c r="E1914" s="69"/>
      <c r="F1914" s="149"/>
      <c r="G1914" s="146"/>
      <c r="H1914" s="98"/>
      <c r="I1914" s="99"/>
      <c r="J1914" s="99"/>
      <c r="K1914" s="99"/>
      <c r="L1914" s="99"/>
      <c r="M1914" s="99"/>
      <c r="N1914" s="99"/>
      <c r="O1914" s="99"/>
      <c r="P1914" s="99"/>
      <c r="Q1914" s="99"/>
      <c r="R1914" s="99"/>
      <c r="S1914" s="99"/>
      <c r="T1914" s="99"/>
      <c r="U1914" s="105"/>
      <c r="V1914" s="262"/>
      <c r="W1914" s="121"/>
      <c r="X1914" s="121"/>
      <c r="Y1914" s="121"/>
      <c r="Z1914" s="121"/>
      <c r="AA1914" s="121"/>
      <c r="AB1914" s="121"/>
      <c r="AC1914" s="121"/>
      <c r="AD1914" s="121"/>
      <c r="AE1914" s="121"/>
      <c r="AF1914" s="121"/>
      <c r="AG1914" s="121"/>
      <c r="AH1914" s="121"/>
      <c r="AI1914" s="121"/>
    </row>
    <row r="1915" spans="1:35" s="115" customFormat="1" ht="14.4">
      <c r="A1915" s="187"/>
      <c r="B1915" s="190"/>
      <c r="C1915" s="190"/>
      <c r="D1915" s="69"/>
      <c r="E1915" s="69"/>
      <c r="F1915" s="149"/>
      <c r="G1915" s="146"/>
      <c r="H1915" s="98"/>
      <c r="I1915" s="99"/>
      <c r="J1915" s="99"/>
      <c r="K1915" s="99"/>
      <c r="L1915" s="99"/>
      <c r="M1915" s="99"/>
      <c r="N1915" s="99"/>
      <c r="O1915" s="99"/>
      <c r="P1915" s="99"/>
      <c r="Q1915" s="99"/>
      <c r="R1915" s="99"/>
      <c r="S1915" s="99"/>
      <c r="T1915" s="99"/>
      <c r="U1915" s="105"/>
      <c r="V1915" s="262"/>
      <c r="W1915" s="121"/>
      <c r="X1915" s="121"/>
      <c r="Y1915" s="121"/>
      <c r="Z1915" s="121"/>
      <c r="AA1915" s="121"/>
      <c r="AB1915" s="121"/>
      <c r="AC1915" s="121"/>
      <c r="AD1915" s="121"/>
      <c r="AE1915" s="121"/>
      <c r="AF1915" s="121"/>
      <c r="AG1915" s="121"/>
      <c r="AH1915" s="121"/>
      <c r="AI1915" s="121"/>
    </row>
    <row r="1916" spans="1:35" s="115" customFormat="1" ht="14.4">
      <c r="A1916" s="187"/>
      <c r="B1916" s="190"/>
      <c r="C1916" s="190"/>
      <c r="D1916" s="69"/>
      <c r="E1916" s="69"/>
      <c r="F1916" s="149"/>
      <c r="G1916" s="146"/>
      <c r="H1916" s="107"/>
      <c r="I1916" s="108"/>
      <c r="J1916" s="108"/>
      <c r="K1916" s="108"/>
      <c r="L1916" s="108"/>
      <c r="M1916" s="108"/>
      <c r="N1916" s="109"/>
      <c r="O1916" s="109"/>
      <c r="P1916" s="109"/>
      <c r="Q1916" s="109"/>
      <c r="R1916" s="109"/>
      <c r="S1916" s="109"/>
      <c r="T1916" s="109"/>
      <c r="U1916" s="105"/>
      <c r="V1916" s="262"/>
      <c r="W1916" s="121"/>
      <c r="X1916" s="121"/>
      <c r="Y1916" s="121"/>
      <c r="Z1916" s="121"/>
      <c r="AA1916" s="121"/>
      <c r="AB1916" s="121"/>
      <c r="AC1916" s="121"/>
      <c r="AD1916" s="121"/>
      <c r="AE1916" s="121"/>
      <c r="AF1916" s="121"/>
      <c r="AG1916" s="121"/>
      <c r="AH1916" s="121"/>
      <c r="AI1916" s="121"/>
    </row>
    <row r="1917" spans="1:35" s="115" customFormat="1" ht="14.4">
      <c r="A1917" s="187"/>
      <c r="B1917" s="190"/>
      <c r="C1917" s="190"/>
      <c r="D1917" s="69"/>
      <c r="E1917" s="69"/>
      <c r="F1917" s="149"/>
      <c r="G1917" s="146"/>
      <c r="H1917" s="98"/>
      <c r="I1917" s="106"/>
      <c r="J1917" s="106"/>
      <c r="K1917" s="106"/>
      <c r="L1917" s="106"/>
      <c r="M1917" s="106"/>
      <c r="N1917" s="112"/>
      <c r="O1917" s="112"/>
      <c r="P1917" s="112"/>
      <c r="Q1917" s="113"/>
      <c r="R1917" s="113"/>
      <c r="S1917" s="113"/>
      <c r="T1917" s="113"/>
      <c r="U1917" s="105"/>
      <c r="V1917" s="262"/>
      <c r="W1917" s="121"/>
      <c r="X1917" s="121"/>
      <c r="Y1917" s="121"/>
      <c r="Z1917" s="121"/>
      <c r="AA1917" s="121"/>
      <c r="AB1917" s="121"/>
      <c r="AC1917" s="121"/>
      <c r="AD1917" s="121"/>
      <c r="AE1917" s="121"/>
      <c r="AF1917" s="121"/>
      <c r="AG1917" s="121"/>
      <c r="AH1917" s="121"/>
      <c r="AI1917" s="121"/>
    </row>
    <row r="1918" spans="1:35" s="115" customFormat="1" ht="14.4">
      <c r="A1918" s="187"/>
      <c r="B1918" s="190"/>
      <c r="C1918" s="190"/>
      <c r="D1918" s="69"/>
      <c r="E1918" s="69"/>
      <c r="F1918" s="149"/>
      <c r="G1918" s="146"/>
      <c r="H1918" s="98"/>
      <c r="I1918" s="99"/>
      <c r="J1918" s="99"/>
      <c r="K1918" s="99"/>
      <c r="L1918" s="99"/>
      <c r="M1918" s="99"/>
      <c r="N1918" s="99"/>
      <c r="O1918" s="99"/>
      <c r="P1918" s="99"/>
      <c r="Q1918" s="99"/>
      <c r="R1918" s="99"/>
      <c r="S1918" s="99"/>
      <c r="T1918" s="99"/>
      <c r="U1918" s="105"/>
      <c r="V1918" s="262"/>
      <c r="W1918" s="121"/>
      <c r="X1918" s="121"/>
      <c r="Y1918" s="121"/>
      <c r="Z1918" s="121"/>
      <c r="AA1918" s="121"/>
      <c r="AB1918" s="121"/>
      <c r="AC1918" s="121"/>
      <c r="AD1918" s="121"/>
      <c r="AE1918" s="121"/>
      <c r="AF1918" s="121"/>
      <c r="AG1918" s="121"/>
      <c r="AH1918" s="121"/>
      <c r="AI1918" s="121"/>
    </row>
    <row r="1919" spans="1:35" s="115" customFormat="1" ht="14.4">
      <c r="A1919" s="187"/>
      <c r="B1919" s="190"/>
      <c r="C1919" s="190"/>
      <c r="D1919" s="69"/>
      <c r="E1919" s="69"/>
      <c r="F1919" s="149"/>
      <c r="G1919" s="146"/>
      <c r="H1919" s="98"/>
      <c r="I1919" s="99"/>
      <c r="J1919" s="99"/>
      <c r="K1919" s="99"/>
      <c r="L1919" s="99"/>
      <c r="M1919" s="99"/>
      <c r="N1919" s="99"/>
      <c r="O1919" s="99"/>
      <c r="P1919" s="99"/>
      <c r="Q1919" s="99"/>
      <c r="R1919" s="99"/>
      <c r="S1919" s="99"/>
      <c r="T1919" s="99"/>
      <c r="U1919" s="105"/>
      <c r="V1919" s="262"/>
      <c r="W1919" s="121"/>
      <c r="X1919" s="121"/>
      <c r="Y1919" s="121"/>
      <c r="Z1919" s="121"/>
      <c r="AA1919" s="121"/>
      <c r="AB1919" s="121"/>
      <c r="AC1919" s="121"/>
      <c r="AD1919" s="121"/>
      <c r="AE1919" s="121"/>
      <c r="AF1919" s="121"/>
      <c r="AG1919" s="121"/>
      <c r="AH1919" s="121"/>
      <c r="AI1919" s="121"/>
    </row>
    <row r="1920" spans="1:35" s="115" customFormat="1" ht="14.4">
      <c r="A1920" s="187"/>
      <c r="B1920" s="190"/>
      <c r="C1920" s="190"/>
      <c r="D1920" s="69"/>
      <c r="E1920" s="69"/>
      <c r="F1920" s="149"/>
      <c r="G1920" s="146"/>
      <c r="H1920" s="98"/>
      <c r="I1920" s="99"/>
      <c r="J1920" s="99"/>
      <c r="K1920" s="99"/>
      <c r="L1920" s="99"/>
      <c r="M1920" s="99"/>
      <c r="N1920" s="99"/>
      <c r="O1920" s="99"/>
      <c r="P1920" s="99"/>
      <c r="Q1920" s="99"/>
      <c r="R1920" s="99"/>
      <c r="S1920" s="99"/>
      <c r="T1920" s="99"/>
      <c r="U1920" s="105"/>
      <c r="V1920" s="262"/>
      <c r="W1920" s="121"/>
      <c r="X1920" s="121"/>
      <c r="Y1920" s="121"/>
      <c r="Z1920" s="121"/>
      <c r="AA1920" s="121"/>
      <c r="AB1920" s="121"/>
      <c r="AC1920" s="121"/>
      <c r="AD1920" s="121"/>
      <c r="AE1920" s="121"/>
      <c r="AF1920" s="121"/>
      <c r="AG1920" s="121"/>
      <c r="AH1920" s="121"/>
      <c r="AI1920" s="121"/>
    </row>
    <row r="1921" spans="1:35" s="115" customFormat="1" ht="14.4">
      <c r="A1921" s="187"/>
      <c r="B1921" s="190"/>
      <c r="C1921" s="190"/>
      <c r="D1921" s="69"/>
      <c r="E1921" s="69"/>
      <c r="F1921" s="149"/>
      <c r="G1921" s="146"/>
      <c r="H1921" s="98"/>
      <c r="I1921" s="99"/>
      <c r="J1921" s="99"/>
      <c r="K1921" s="99"/>
      <c r="L1921" s="99"/>
      <c r="M1921" s="99"/>
      <c r="N1921" s="99"/>
      <c r="O1921" s="99"/>
      <c r="P1921" s="99"/>
      <c r="Q1921" s="99"/>
      <c r="R1921" s="99"/>
      <c r="S1921" s="99"/>
      <c r="T1921" s="99"/>
      <c r="U1921" s="105"/>
      <c r="V1921" s="262"/>
      <c r="W1921" s="121"/>
      <c r="X1921" s="121"/>
      <c r="Y1921" s="121"/>
      <c r="Z1921" s="121"/>
      <c r="AA1921" s="121"/>
      <c r="AB1921" s="121"/>
      <c r="AC1921" s="121"/>
      <c r="AD1921" s="121"/>
      <c r="AE1921" s="121"/>
      <c r="AF1921" s="121"/>
      <c r="AG1921" s="121"/>
      <c r="AH1921" s="121"/>
      <c r="AI1921" s="121"/>
    </row>
    <row r="1922" spans="1:35" s="115" customFormat="1" ht="14.4">
      <c r="A1922" s="187"/>
      <c r="B1922" s="190"/>
      <c r="C1922" s="190"/>
      <c r="D1922" s="69"/>
      <c r="E1922" s="69"/>
      <c r="F1922" s="149"/>
      <c r="G1922" s="146"/>
      <c r="H1922" s="98"/>
      <c r="I1922" s="99"/>
      <c r="J1922" s="99"/>
      <c r="K1922" s="99"/>
      <c r="L1922" s="99"/>
      <c r="M1922" s="99"/>
      <c r="N1922" s="99"/>
      <c r="O1922" s="99"/>
      <c r="P1922" s="99"/>
      <c r="Q1922" s="99"/>
      <c r="R1922" s="99"/>
      <c r="S1922" s="99"/>
      <c r="T1922" s="99"/>
      <c r="U1922" s="105"/>
      <c r="V1922" s="262"/>
      <c r="W1922" s="121"/>
      <c r="X1922" s="121"/>
      <c r="Y1922" s="121"/>
      <c r="Z1922" s="121"/>
      <c r="AA1922" s="121"/>
      <c r="AB1922" s="121"/>
      <c r="AC1922" s="121"/>
      <c r="AD1922" s="121"/>
      <c r="AE1922" s="121"/>
      <c r="AF1922" s="121"/>
      <c r="AG1922" s="121"/>
      <c r="AH1922" s="121"/>
      <c r="AI1922" s="121"/>
    </row>
    <row r="1923" spans="1:35" s="115" customFormat="1" ht="14.4">
      <c r="A1923" s="187"/>
      <c r="B1923" s="190"/>
      <c r="C1923" s="190"/>
      <c r="D1923" s="69"/>
      <c r="E1923" s="69"/>
      <c r="F1923" s="149"/>
      <c r="G1923" s="146"/>
      <c r="H1923" s="98"/>
      <c r="I1923" s="99"/>
      <c r="J1923" s="99"/>
      <c r="K1923" s="99"/>
      <c r="L1923" s="99"/>
      <c r="M1923" s="99"/>
      <c r="N1923" s="99"/>
      <c r="O1923" s="99"/>
      <c r="P1923" s="99"/>
      <c r="Q1923" s="99"/>
      <c r="R1923" s="99"/>
      <c r="S1923" s="99"/>
      <c r="T1923" s="99"/>
      <c r="U1923" s="105"/>
      <c r="V1923" s="262"/>
      <c r="W1923" s="121"/>
      <c r="X1923" s="121"/>
      <c r="Y1923" s="121"/>
      <c r="Z1923" s="121"/>
      <c r="AA1923" s="121"/>
      <c r="AB1923" s="121"/>
      <c r="AC1923" s="121"/>
      <c r="AD1923" s="121"/>
      <c r="AE1923" s="121"/>
      <c r="AF1923" s="121"/>
      <c r="AG1923" s="121"/>
      <c r="AH1923" s="121"/>
      <c r="AI1923" s="121"/>
    </row>
    <row r="1924" spans="1:35" s="115" customFormat="1" ht="14.4">
      <c r="A1924" s="187"/>
      <c r="B1924" s="190"/>
      <c r="C1924" s="190"/>
      <c r="D1924" s="69"/>
      <c r="E1924" s="69"/>
      <c r="F1924" s="149"/>
      <c r="G1924" s="146"/>
      <c r="H1924" s="107"/>
      <c r="I1924" s="108"/>
      <c r="J1924" s="108"/>
      <c r="K1924" s="108"/>
      <c r="L1924" s="108"/>
      <c r="M1924" s="108"/>
      <c r="N1924" s="109"/>
      <c r="O1924" s="109"/>
      <c r="P1924" s="109"/>
      <c r="Q1924" s="109"/>
      <c r="R1924" s="109"/>
      <c r="S1924" s="109"/>
      <c r="T1924" s="109"/>
      <c r="U1924" s="105"/>
      <c r="V1924" s="262"/>
      <c r="W1924" s="121"/>
      <c r="X1924" s="121"/>
      <c r="Y1924" s="121"/>
      <c r="Z1924" s="121"/>
      <c r="AA1924" s="121"/>
      <c r="AB1924" s="121"/>
      <c r="AC1924" s="121"/>
      <c r="AD1924" s="121"/>
      <c r="AE1924" s="121"/>
      <c r="AF1924" s="121"/>
      <c r="AG1924" s="121"/>
      <c r="AH1924" s="121"/>
      <c r="AI1924" s="121"/>
    </row>
    <row r="1925" spans="1:35" s="115" customFormat="1" ht="14.4">
      <c r="A1925" s="187"/>
      <c r="B1925" s="190"/>
      <c r="C1925" s="190"/>
      <c r="D1925" s="69"/>
      <c r="E1925" s="69"/>
      <c r="F1925" s="149"/>
      <c r="G1925" s="146"/>
      <c r="H1925" s="98"/>
      <c r="I1925" s="106"/>
      <c r="J1925" s="106"/>
      <c r="K1925" s="106"/>
      <c r="L1925" s="106"/>
      <c r="M1925" s="106"/>
      <c r="N1925" s="112"/>
      <c r="O1925" s="112"/>
      <c r="P1925" s="112"/>
      <c r="Q1925" s="113"/>
      <c r="R1925" s="113"/>
      <c r="S1925" s="113"/>
      <c r="T1925" s="113"/>
      <c r="U1925" s="105"/>
      <c r="V1925" s="262"/>
      <c r="W1925" s="121"/>
      <c r="X1925" s="121"/>
      <c r="Y1925" s="121"/>
      <c r="Z1925" s="121"/>
      <c r="AA1925" s="121"/>
      <c r="AB1925" s="121"/>
      <c r="AC1925" s="121"/>
      <c r="AD1925" s="121"/>
      <c r="AE1925" s="121"/>
      <c r="AF1925" s="121"/>
      <c r="AG1925" s="121"/>
      <c r="AH1925" s="121"/>
      <c r="AI1925" s="121"/>
    </row>
    <row r="1926" spans="1:35" s="115" customFormat="1" ht="24" customHeight="1">
      <c r="A1926" s="187"/>
      <c r="B1926" s="190"/>
      <c r="C1926" s="190"/>
      <c r="D1926" s="69"/>
      <c r="E1926" s="69"/>
      <c r="F1926" s="149"/>
      <c r="G1926" s="146"/>
      <c r="H1926" s="98"/>
      <c r="I1926" s="99"/>
      <c r="J1926" s="99"/>
      <c r="K1926" s="99"/>
      <c r="L1926" s="99"/>
      <c r="M1926" s="99"/>
      <c r="N1926" s="99"/>
      <c r="O1926" s="99"/>
      <c r="P1926" s="99"/>
      <c r="Q1926" s="99"/>
      <c r="R1926" s="99"/>
      <c r="S1926" s="99"/>
      <c r="T1926" s="99"/>
      <c r="U1926" s="105"/>
      <c r="V1926" s="262"/>
      <c r="W1926" s="121"/>
      <c r="X1926" s="121"/>
      <c r="Y1926" s="121"/>
      <c r="Z1926" s="121"/>
      <c r="AA1926" s="121"/>
      <c r="AB1926" s="121"/>
      <c r="AC1926" s="121"/>
      <c r="AD1926" s="121"/>
      <c r="AE1926" s="121"/>
      <c r="AF1926" s="121"/>
      <c r="AG1926" s="121"/>
      <c r="AH1926" s="121"/>
      <c r="AI1926" s="121"/>
    </row>
    <row r="1927" spans="1:35" s="115" customFormat="1" ht="14.4">
      <c r="A1927" s="187"/>
      <c r="B1927" s="190"/>
      <c r="C1927" s="190"/>
      <c r="D1927" s="69"/>
      <c r="E1927" s="69"/>
      <c r="F1927" s="149"/>
      <c r="G1927" s="146"/>
      <c r="H1927" s="98"/>
      <c r="I1927" s="99"/>
      <c r="J1927" s="99"/>
      <c r="K1927" s="99"/>
      <c r="L1927" s="99"/>
      <c r="M1927" s="99"/>
      <c r="N1927" s="99"/>
      <c r="O1927" s="99"/>
      <c r="P1927" s="99"/>
      <c r="Q1927" s="99"/>
      <c r="R1927" s="99"/>
      <c r="S1927" s="99"/>
      <c r="T1927" s="99"/>
      <c r="U1927" s="105"/>
      <c r="V1927" s="262"/>
      <c r="W1927" s="121"/>
      <c r="X1927" s="121"/>
      <c r="Y1927" s="121"/>
      <c r="Z1927" s="121"/>
      <c r="AA1927" s="121"/>
      <c r="AB1927" s="121"/>
      <c r="AC1927" s="121"/>
      <c r="AD1927" s="121"/>
      <c r="AE1927" s="121"/>
      <c r="AF1927" s="121"/>
      <c r="AG1927" s="121"/>
      <c r="AH1927" s="121"/>
      <c r="AI1927" s="121"/>
    </row>
    <row r="1928" spans="1:35" s="115" customFormat="1" ht="14.4">
      <c r="A1928" s="187"/>
      <c r="B1928" s="190"/>
      <c r="C1928" s="190"/>
      <c r="D1928" s="69"/>
      <c r="E1928" s="69"/>
      <c r="F1928" s="149"/>
      <c r="G1928" s="146"/>
      <c r="H1928" s="98"/>
      <c r="I1928" s="99"/>
      <c r="J1928" s="99"/>
      <c r="K1928" s="99"/>
      <c r="L1928" s="99"/>
      <c r="M1928" s="99"/>
      <c r="N1928" s="99"/>
      <c r="O1928" s="99"/>
      <c r="P1928" s="99"/>
      <c r="Q1928" s="99"/>
      <c r="R1928" s="99"/>
      <c r="S1928" s="99"/>
      <c r="T1928" s="99"/>
      <c r="U1928" s="105"/>
      <c r="V1928" s="262"/>
      <c r="W1928" s="121"/>
      <c r="X1928" s="121"/>
      <c r="Y1928" s="121"/>
      <c r="Z1928" s="121"/>
      <c r="AA1928" s="121"/>
      <c r="AB1928" s="121"/>
      <c r="AC1928" s="121"/>
      <c r="AD1928" s="121"/>
      <c r="AE1928" s="121"/>
      <c r="AF1928" s="121"/>
      <c r="AG1928" s="121"/>
      <c r="AH1928" s="121"/>
      <c r="AI1928" s="121"/>
    </row>
    <row r="1929" spans="1:35" s="115" customFormat="1" ht="14.4">
      <c r="A1929" s="187"/>
      <c r="B1929" s="190"/>
      <c r="C1929" s="190"/>
      <c r="D1929" s="69"/>
      <c r="E1929" s="69"/>
      <c r="F1929" s="149"/>
      <c r="G1929" s="146"/>
      <c r="H1929" s="98"/>
      <c r="I1929" s="99"/>
      <c r="J1929" s="99"/>
      <c r="K1929" s="99"/>
      <c r="L1929" s="99"/>
      <c r="M1929" s="99"/>
      <c r="N1929" s="99"/>
      <c r="O1929" s="99"/>
      <c r="P1929" s="99"/>
      <c r="Q1929" s="99"/>
      <c r="R1929" s="99"/>
      <c r="S1929" s="99"/>
      <c r="T1929" s="99"/>
      <c r="U1929" s="105"/>
      <c r="V1929" s="262"/>
      <c r="W1929" s="121"/>
      <c r="X1929" s="121"/>
      <c r="Y1929" s="121"/>
      <c r="Z1929" s="121"/>
      <c r="AA1929" s="121"/>
      <c r="AB1929" s="121"/>
      <c r="AC1929" s="121"/>
      <c r="AD1929" s="121"/>
      <c r="AE1929" s="121"/>
      <c r="AF1929" s="121"/>
      <c r="AG1929" s="121"/>
      <c r="AH1929" s="121"/>
      <c r="AI1929" s="121"/>
    </row>
    <row r="1930" spans="1:35" s="115" customFormat="1" ht="14.4">
      <c r="A1930" s="187"/>
      <c r="B1930" s="190"/>
      <c r="C1930" s="190"/>
      <c r="D1930" s="69"/>
      <c r="E1930" s="69"/>
      <c r="F1930" s="149"/>
      <c r="G1930" s="146"/>
      <c r="H1930" s="98"/>
      <c r="I1930" s="99"/>
      <c r="J1930" s="99"/>
      <c r="K1930" s="99"/>
      <c r="L1930" s="99"/>
      <c r="M1930" s="99"/>
      <c r="N1930" s="99"/>
      <c r="O1930" s="99"/>
      <c r="P1930" s="99"/>
      <c r="Q1930" s="99"/>
      <c r="R1930" s="99"/>
      <c r="S1930" s="99"/>
      <c r="T1930" s="99"/>
      <c r="U1930" s="105"/>
      <c r="V1930" s="262"/>
      <c r="W1930" s="121"/>
      <c r="X1930" s="121"/>
      <c r="Y1930" s="121"/>
      <c r="Z1930" s="121"/>
      <c r="AA1930" s="121"/>
      <c r="AB1930" s="121"/>
      <c r="AC1930" s="121"/>
      <c r="AD1930" s="121"/>
      <c r="AE1930" s="121"/>
      <c r="AF1930" s="121"/>
      <c r="AG1930" s="121"/>
      <c r="AH1930" s="121"/>
      <c r="AI1930" s="121"/>
    </row>
    <row r="1931" spans="1:35" s="115" customFormat="1" ht="14.4">
      <c r="A1931" s="187"/>
      <c r="B1931" s="190"/>
      <c r="C1931" s="190"/>
      <c r="D1931" s="69"/>
      <c r="E1931" s="69"/>
      <c r="F1931" s="149"/>
      <c r="G1931" s="146"/>
      <c r="H1931" s="98"/>
      <c r="I1931" s="99"/>
      <c r="J1931" s="99"/>
      <c r="K1931" s="99"/>
      <c r="L1931" s="99"/>
      <c r="M1931" s="99"/>
      <c r="N1931" s="99"/>
      <c r="O1931" s="99"/>
      <c r="P1931" s="99"/>
      <c r="Q1931" s="99"/>
      <c r="R1931" s="99"/>
      <c r="S1931" s="99"/>
      <c r="T1931" s="99"/>
      <c r="U1931" s="105"/>
      <c r="V1931" s="262"/>
      <c r="W1931" s="121"/>
      <c r="X1931" s="121"/>
      <c r="Y1931" s="121"/>
      <c r="Z1931" s="121"/>
      <c r="AA1931" s="121"/>
      <c r="AB1931" s="121"/>
      <c r="AC1931" s="121"/>
      <c r="AD1931" s="121"/>
      <c r="AE1931" s="121"/>
      <c r="AF1931" s="121"/>
      <c r="AG1931" s="121"/>
      <c r="AH1931" s="121"/>
      <c r="AI1931" s="121"/>
    </row>
    <row r="1932" spans="1:35" s="115" customFormat="1" ht="14.4">
      <c r="A1932" s="187"/>
      <c r="B1932" s="190"/>
      <c r="C1932" s="190"/>
      <c r="D1932" s="69"/>
      <c r="E1932" s="69"/>
      <c r="F1932" s="149"/>
      <c r="G1932" s="146"/>
      <c r="H1932" s="98"/>
      <c r="I1932" s="99"/>
      <c r="J1932" s="99"/>
      <c r="K1932" s="99"/>
      <c r="L1932" s="99"/>
      <c r="M1932" s="99"/>
      <c r="N1932" s="99"/>
      <c r="O1932" s="99"/>
      <c r="P1932" s="99"/>
      <c r="Q1932" s="99"/>
      <c r="R1932" s="99"/>
      <c r="S1932" s="99"/>
      <c r="T1932" s="99"/>
      <c r="U1932" s="105"/>
      <c r="V1932" s="262"/>
      <c r="W1932" s="121"/>
      <c r="X1932" s="121"/>
      <c r="Y1932" s="121"/>
      <c r="Z1932" s="121"/>
      <c r="AA1932" s="121"/>
      <c r="AB1932" s="121"/>
      <c r="AC1932" s="121"/>
      <c r="AD1932" s="121"/>
      <c r="AE1932" s="121"/>
      <c r="AF1932" s="121"/>
      <c r="AG1932" s="121"/>
      <c r="AH1932" s="121"/>
      <c r="AI1932" s="121"/>
    </row>
    <row r="1933" spans="1:35" s="115" customFormat="1" ht="14.4">
      <c r="A1933" s="187"/>
      <c r="B1933" s="190"/>
      <c r="C1933" s="190"/>
      <c r="D1933" s="69"/>
      <c r="E1933" s="69"/>
      <c r="F1933" s="149"/>
      <c r="G1933" s="146"/>
      <c r="H1933" s="107"/>
      <c r="I1933" s="109"/>
      <c r="J1933" s="109"/>
      <c r="K1933" s="109"/>
      <c r="L1933" s="109"/>
      <c r="M1933" s="109"/>
      <c r="N1933" s="109"/>
      <c r="O1933" s="109"/>
      <c r="P1933" s="109"/>
      <c r="Q1933" s="109"/>
      <c r="R1933" s="109"/>
      <c r="S1933" s="109"/>
      <c r="T1933" s="109"/>
      <c r="U1933" s="105"/>
      <c r="V1933" s="262"/>
      <c r="W1933" s="121"/>
      <c r="X1933" s="121"/>
      <c r="Y1933" s="121"/>
      <c r="Z1933" s="121"/>
      <c r="AA1933" s="121"/>
      <c r="AB1933" s="121"/>
      <c r="AC1933" s="121"/>
      <c r="AD1933" s="121"/>
      <c r="AE1933" s="121"/>
      <c r="AF1933" s="121"/>
      <c r="AG1933" s="121"/>
      <c r="AH1933" s="121"/>
      <c r="AI1933" s="121"/>
    </row>
    <row r="1934" spans="1:35" s="115" customFormat="1" ht="14.4">
      <c r="A1934" s="187"/>
      <c r="B1934" s="190"/>
      <c r="C1934" s="190"/>
      <c r="D1934" s="69"/>
      <c r="E1934" s="69"/>
      <c r="F1934" s="149"/>
      <c r="G1934" s="146"/>
      <c r="H1934" s="98"/>
      <c r="I1934" s="106"/>
      <c r="J1934" s="106"/>
      <c r="K1934" s="106"/>
      <c r="L1934" s="106"/>
      <c r="M1934" s="106"/>
      <c r="N1934" s="112"/>
      <c r="O1934" s="112"/>
      <c r="P1934" s="112"/>
      <c r="Q1934" s="113"/>
      <c r="R1934" s="113"/>
      <c r="S1934" s="113"/>
      <c r="T1934" s="113"/>
      <c r="U1934" s="105"/>
      <c r="V1934" s="262"/>
      <c r="W1934" s="121"/>
      <c r="X1934" s="121"/>
      <c r="Y1934" s="121"/>
      <c r="Z1934" s="121"/>
      <c r="AA1934" s="121"/>
      <c r="AB1934" s="121"/>
      <c r="AC1934" s="121"/>
      <c r="AD1934" s="121"/>
      <c r="AE1934" s="121"/>
      <c r="AF1934" s="121"/>
      <c r="AG1934" s="121"/>
      <c r="AH1934" s="121"/>
      <c r="AI1934" s="121"/>
    </row>
    <row r="1935" spans="1:35" s="115" customFormat="1" ht="14.4">
      <c r="A1935" s="187"/>
      <c r="B1935" s="190"/>
      <c r="C1935" s="190"/>
      <c r="D1935" s="69"/>
      <c r="E1935" s="69"/>
      <c r="F1935" s="149"/>
      <c r="G1935" s="146"/>
      <c r="H1935" s="114"/>
      <c r="I1935" s="108"/>
      <c r="J1935" s="108"/>
      <c r="K1935" s="108"/>
      <c r="L1935" s="108"/>
      <c r="M1935" s="108"/>
      <c r="N1935" s="108"/>
      <c r="O1935" s="108"/>
      <c r="P1935" s="108"/>
      <c r="Q1935" s="108"/>
      <c r="R1935" s="108"/>
      <c r="S1935" s="108"/>
      <c r="T1935" s="108"/>
      <c r="U1935" s="105"/>
      <c r="V1935" s="262"/>
      <c r="W1935" s="121"/>
      <c r="X1935" s="121"/>
      <c r="Y1935" s="121"/>
      <c r="Z1935" s="121"/>
      <c r="AA1935" s="121"/>
      <c r="AB1935" s="121"/>
      <c r="AC1935" s="121"/>
      <c r="AD1935" s="121"/>
      <c r="AE1935" s="121"/>
      <c r="AF1935" s="121"/>
      <c r="AG1935" s="121"/>
      <c r="AH1935" s="121"/>
      <c r="AI1935" s="121"/>
    </row>
    <row r="1936" spans="1:35" s="115" customFormat="1" ht="15" thickBot="1">
      <c r="A1936" s="187"/>
      <c r="B1936" s="190"/>
      <c r="C1936" s="190"/>
      <c r="D1936" s="69"/>
      <c r="E1936" s="69"/>
      <c r="F1936" s="149"/>
      <c r="G1936" s="146"/>
      <c r="H1936" s="98"/>
      <c r="I1936" s="218"/>
      <c r="J1936" s="218"/>
      <c r="K1936" s="218"/>
      <c r="L1936" s="218"/>
      <c r="M1936" s="218"/>
      <c r="N1936" s="96"/>
      <c r="O1936" s="96"/>
      <c r="P1936" s="96"/>
      <c r="Q1936" s="212"/>
      <c r="R1936" s="212"/>
      <c r="S1936" s="212"/>
      <c r="T1936" s="212"/>
      <c r="U1936" s="105"/>
      <c r="V1936" s="262"/>
      <c r="W1936" s="121"/>
      <c r="X1936" s="121"/>
      <c r="Y1936" s="121"/>
      <c r="Z1936" s="121"/>
      <c r="AA1936" s="121"/>
      <c r="AB1936" s="121"/>
      <c r="AC1936" s="121"/>
      <c r="AD1936" s="121"/>
      <c r="AE1936" s="121"/>
      <c r="AF1936" s="121"/>
      <c r="AG1936" s="121"/>
      <c r="AH1936" s="121"/>
      <c r="AI1936" s="121"/>
    </row>
    <row r="1937" spans="1:35" s="115" customFormat="1" ht="23.4" thickBot="1">
      <c r="A1937" s="187"/>
      <c r="B1937" s="190"/>
      <c r="C1937" s="190"/>
      <c r="D1937" s="69"/>
      <c r="E1937" s="69"/>
      <c r="F1937" s="149"/>
      <c r="G1937" s="146"/>
      <c r="H1937" s="686"/>
      <c r="I1937" s="687"/>
      <c r="J1937" s="687"/>
      <c r="K1937" s="687"/>
      <c r="L1937" s="687"/>
      <c r="M1937" s="687"/>
      <c r="N1937" s="687"/>
      <c r="O1937" s="687"/>
      <c r="P1937" s="687"/>
      <c r="Q1937" s="687"/>
      <c r="R1937" s="687"/>
      <c r="S1937" s="687"/>
      <c r="T1937" s="688"/>
      <c r="U1937" s="105"/>
      <c r="V1937" s="262"/>
      <c r="W1937" s="121"/>
      <c r="X1937" s="121"/>
      <c r="Y1937" s="121"/>
      <c r="Z1937" s="121"/>
      <c r="AA1937" s="121"/>
      <c r="AB1937" s="121"/>
      <c r="AC1937" s="121"/>
      <c r="AD1937" s="121"/>
      <c r="AE1937" s="121"/>
      <c r="AF1937" s="121"/>
      <c r="AG1937" s="121"/>
      <c r="AH1937" s="121"/>
      <c r="AI1937" s="121"/>
    </row>
    <row r="1938" spans="1:35" s="115" customFormat="1" ht="22.8">
      <c r="A1938" s="187"/>
      <c r="B1938" s="190"/>
      <c r="C1938" s="190"/>
      <c r="D1938" s="69"/>
      <c r="E1938" s="69"/>
      <c r="F1938" s="149"/>
      <c r="G1938" s="146"/>
      <c r="H1938" s="225"/>
      <c r="I1938" s="225"/>
      <c r="J1938" s="225"/>
      <c r="K1938" s="225"/>
      <c r="L1938" s="225"/>
      <c r="M1938" s="225"/>
      <c r="N1938" s="225"/>
      <c r="O1938" s="225"/>
      <c r="P1938" s="225"/>
      <c r="Q1938" s="225"/>
      <c r="R1938" s="225"/>
      <c r="S1938" s="225"/>
      <c r="T1938" s="225"/>
      <c r="U1938" s="105"/>
      <c r="V1938" s="262"/>
      <c r="W1938" s="121"/>
      <c r="X1938" s="121"/>
      <c r="Y1938" s="121"/>
      <c r="Z1938" s="121"/>
      <c r="AA1938" s="121"/>
      <c r="AB1938" s="121"/>
      <c r="AC1938" s="121"/>
      <c r="AD1938" s="121"/>
      <c r="AE1938" s="121"/>
      <c r="AF1938" s="121"/>
      <c r="AG1938" s="121"/>
      <c r="AH1938" s="121"/>
      <c r="AI1938" s="121"/>
    </row>
    <row r="1939" spans="1:35" s="115" customFormat="1" ht="14.4">
      <c r="A1939" s="187"/>
      <c r="B1939" s="190"/>
      <c r="C1939" s="190"/>
      <c r="D1939" s="69"/>
      <c r="E1939" s="69"/>
      <c r="F1939" s="149"/>
      <c r="G1939" s="146"/>
      <c r="H1939" s="98"/>
      <c r="I1939" s="99"/>
      <c r="J1939" s="99"/>
      <c r="K1939" s="99"/>
      <c r="L1939" s="99"/>
      <c r="M1939" s="99"/>
      <c r="N1939" s="99"/>
      <c r="O1939" s="99"/>
      <c r="P1939" s="99"/>
      <c r="Q1939" s="99"/>
      <c r="R1939" s="99"/>
      <c r="S1939" s="99"/>
      <c r="T1939" s="99"/>
      <c r="U1939" s="105"/>
      <c r="V1939" s="262"/>
      <c r="W1939" s="121"/>
      <c r="X1939" s="121"/>
      <c r="Y1939" s="121"/>
      <c r="Z1939" s="121"/>
      <c r="AA1939" s="121"/>
      <c r="AB1939" s="121"/>
      <c r="AC1939" s="121"/>
      <c r="AD1939" s="121"/>
      <c r="AE1939" s="121"/>
      <c r="AF1939" s="121"/>
      <c r="AG1939" s="121"/>
      <c r="AH1939" s="121"/>
      <c r="AI1939" s="121"/>
    </row>
    <row r="1940" spans="1:35" s="115" customFormat="1" ht="14.4">
      <c r="A1940" s="187"/>
      <c r="B1940" s="190"/>
      <c r="C1940" s="190"/>
      <c r="D1940" s="69"/>
      <c r="E1940" s="69"/>
      <c r="F1940" s="149"/>
      <c r="G1940" s="146"/>
      <c r="H1940" s="98"/>
      <c r="I1940" s="99"/>
      <c r="J1940" s="99"/>
      <c r="K1940" s="99"/>
      <c r="L1940" s="99"/>
      <c r="M1940" s="99"/>
      <c r="N1940" s="99"/>
      <c r="O1940" s="99"/>
      <c r="P1940" s="99"/>
      <c r="Q1940" s="99"/>
      <c r="R1940" s="99"/>
      <c r="S1940" s="99"/>
      <c r="T1940" s="99"/>
      <c r="U1940" s="105"/>
      <c r="V1940" s="262"/>
      <c r="W1940" s="121"/>
      <c r="X1940" s="121"/>
      <c r="Y1940" s="121"/>
      <c r="Z1940" s="121"/>
      <c r="AA1940" s="121"/>
      <c r="AB1940" s="121"/>
      <c r="AC1940" s="121"/>
      <c r="AD1940" s="121"/>
      <c r="AE1940" s="121"/>
      <c r="AF1940" s="121"/>
      <c r="AG1940" s="121"/>
      <c r="AH1940" s="121"/>
      <c r="AI1940" s="121"/>
    </row>
    <row r="1941" spans="1:35" s="115" customFormat="1" ht="14.4">
      <c r="A1941" s="187"/>
      <c r="B1941" s="190"/>
      <c r="C1941" s="190"/>
      <c r="D1941" s="69"/>
      <c r="E1941" s="69"/>
      <c r="F1941" s="149"/>
      <c r="G1941" s="146"/>
      <c r="H1941" s="98"/>
      <c r="I1941" s="99"/>
      <c r="J1941" s="99"/>
      <c r="K1941" s="99"/>
      <c r="L1941" s="99"/>
      <c r="M1941" s="99"/>
      <c r="N1941" s="99"/>
      <c r="O1941" s="99"/>
      <c r="P1941" s="99"/>
      <c r="Q1941" s="99"/>
      <c r="R1941" s="99"/>
      <c r="S1941" s="99"/>
      <c r="T1941" s="99"/>
      <c r="U1941" s="105"/>
      <c r="V1941" s="262"/>
      <c r="W1941" s="121"/>
      <c r="X1941" s="121"/>
      <c r="Y1941" s="121"/>
      <c r="Z1941" s="121"/>
      <c r="AA1941" s="121"/>
      <c r="AB1941" s="121"/>
      <c r="AC1941" s="121"/>
      <c r="AD1941" s="121"/>
      <c r="AE1941" s="121"/>
      <c r="AF1941" s="121"/>
      <c r="AG1941" s="121"/>
      <c r="AH1941" s="121"/>
      <c r="AI1941" s="121"/>
    </row>
    <row r="1942" spans="1:35" s="115" customFormat="1" ht="14.4">
      <c r="A1942" s="187"/>
      <c r="B1942" s="190"/>
      <c r="C1942" s="190"/>
      <c r="D1942" s="69"/>
      <c r="E1942" s="69"/>
      <c r="F1942" s="149"/>
      <c r="G1942" s="146"/>
      <c r="H1942" s="98"/>
      <c r="I1942" s="99"/>
      <c r="J1942" s="99"/>
      <c r="K1942" s="99"/>
      <c r="L1942" s="99"/>
      <c r="M1942" s="99"/>
      <c r="N1942" s="99"/>
      <c r="O1942" s="99"/>
      <c r="P1942" s="99"/>
      <c r="Q1942" s="99"/>
      <c r="R1942" s="99"/>
      <c r="S1942" s="99"/>
      <c r="T1942" s="99"/>
      <c r="U1942" s="105"/>
      <c r="V1942" s="262"/>
      <c r="W1942" s="121"/>
      <c r="X1942" s="121"/>
      <c r="Y1942" s="121"/>
      <c r="Z1942" s="121"/>
      <c r="AA1942" s="121"/>
      <c r="AB1942" s="121"/>
      <c r="AC1942" s="121"/>
      <c r="AD1942" s="121"/>
      <c r="AE1942" s="121"/>
      <c r="AF1942" s="121"/>
      <c r="AG1942" s="121"/>
      <c r="AH1942" s="121"/>
      <c r="AI1942" s="121"/>
    </row>
    <row r="1943" spans="1:35" s="115" customFormat="1" ht="14.4">
      <c r="A1943" s="187"/>
      <c r="B1943" s="190"/>
      <c r="C1943" s="190"/>
      <c r="D1943" s="69"/>
      <c r="E1943" s="69"/>
      <c r="F1943" s="149"/>
      <c r="G1943" s="146"/>
      <c r="H1943" s="98"/>
      <c r="I1943" s="99"/>
      <c r="J1943" s="99"/>
      <c r="K1943" s="99"/>
      <c r="L1943" s="99"/>
      <c r="M1943" s="99"/>
      <c r="N1943" s="99"/>
      <c r="O1943" s="99"/>
      <c r="P1943" s="99"/>
      <c r="Q1943" s="99"/>
      <c r="R1943" s="99"/>
      <c r="S1943" s="99"/>
      <c r="T1943" s="99"/>
      <c r="U1943" s="105"/>
      <c r="V1943" s="262"/>
      <c r="W1943" s="121"/>
      <c r="X1943" s="121"/>
      <c r="Y1943" s="121"/>
      <c r="Z1943" s="121"/>
      <c r="AA1943" s="121"/>
      <c r="AB1943" s="121"/>
      <c r="AC1943" s="121"/>
      <c r="AD1943" s="121"/>
      <c r="AE1943" s="121"/>
      <c r="AF1943" s="121"/>
      <c r="AG1943" s="121"/>
      <c r="AH1943" s="121"/>
      <c r="AI1943" s="121"/>
    </row>
    <row r="1944" spans="1:35" s="115" customFormat="1" ht="14.4">
      <c r="A1944" s="187"/>
      <c r="B1944" s="190"/>
      <c r="C1944" s="190"/>
      <c r="D1944" s="69"/>
      <c r="E1944" s="69"/>
      <c r="F1944" s="149"/>
      <c r="G1944" s="146"/>
      <c r="H1944" s="98"/>
      <c r="I1944" s="99"/>
      <c r="J1944" s="99"/>
      <c r="K1944" s="99"/>
      <c r="L1944" s="99"/>
      <c r="M1944" s="99"/>
      <c r="N1944" s="99"/>
      <c r="O1944" s="99"/>
      <c r="P1944" s="99"/>
      <c r="Q1944" s="99"/>
      <c r="R1944" s="99"/>
      <c r="S1944" s="99"/>
      <c r="T1944" s="99"/>
      <c r="U1944" s="105"/>
      <c r="V1944" s="262"/>
      <c r="W1944" s="121"/>
      <c r="X1944" s="121"/>
      <c r="Y1944" s="121"/>
      <c r="Z1944" s="121"/>
      <c r="AA1944" s="121"/>
      <c r="AB1944" s="121"/>
      <c r="AC1944" s="121"/>
      <c r="AD1944" s="121"/>
      <c r="AE1944" s="121"/>
      <c r="AF1944" s="121"/>
      <c r="AG1944" s="121"/>
      <c r="AH1944" s="121"/>
      <c r="AI1944" s="121"/>
    </row>
    <row r="1945" spans="1:35" s="115" customFormat="1" ht="14.4">
      <c r="A1945" s="187"/>
      <c r="B1945" s="190"/>
      <c r="C1945" s="190"/>
      <c r="D1945" s="69"/>
      <c r="E1945" s="69"/>
      <c r="F1945" s="149"/>
      <c r="G1945" s="146"/>
      <c r="H1945" s="98"/>
      <c r="I1945" s="99"/>
      <c r="J1945" s="99"/>
      <c r="K1945" s="99"/>
      <c r="L1945" s="99"/>
      <c r="M1945" s="99"/>
      <c r="N1945" s="99"/>
      <c r="O1945" s="99"/>
      <c r="P1945" s="99"/>
      <c r="Q1945" s="99"/>
      <c r="R1945" s="99"/>
      <c r="S1945" s="99"/>
      <c r="T1945" s="99"/>
      <c r="U1945" s="105"/>
      <c r="V1945" s="262"/>
      <c r="W1945" s="121"/>
      <c r="X1945" s="121"/>
      <c r="Y1945" s="121"/>
      <c r="Z1945" s="121"/>
      <c r="AA1945" s="121"/>
      <c r="AB1945" s="121"/>
      <c r="AC1945" s="121"/>
      <c r="AD1945" s="121"/>
      <c r="AE1945" s="121"/>
      <c r="AF1945" s="121"/>
      <c r="AG1945" s="121"/>
      <c r="AH1945" s="121"/>
      <c r="AI1945" s="121"/>
    </row>
    <row r="1946" spans="1:35" s="115" customFormat="1" ht="14.4">
      <c r="A1946" s="187"/>
      <c r="B1946" s="190"/>
      <c r="C1946" s="190"/>
      <c r="D1946" s="69"/>
      <c r="E1946" s="69"/>
      <c r="F1946" s="149"/>
      <c r="G1946" s="146"/>
      <c r="H1946" s="98"/>
      <c r="I1946" s="99"/>
      <c r="J1946" s="99"/>
      <c r="K1946" s="99"/>
      <c r="L1946" s="99"/>
      <c r="M1946" s="99"/>
      <c r="N1946" s="99"/>
      <c r="O1946" s="99"/>
      <c r="P1946" s="99"/>
      <c r="Q1946" s="99"/>
      <c r="R1946" s="99"/>
      <c r="S1946" s="99"/>
      <c r="T1946" s="99"/>
      <c r="U1946" s="105"/>
      <c r="V1946" s="262"/>
      <c r="W1946" s="121"/>
      <c r="X1946" s="121"/>
      <c r="Y1946" s="121"/>
      <c r="Z1946" s="121"/>
      <c r="AA1946" s="121"/>
      <c r="AB1946" s="121"/>
      <c r="AC1946" s="121"/>
      <c r="AD1946" s="121"/>
      <c r="AE1946" s="121"/>
      <c r="AF1946" s="121"/>
      <c r="AG1946" s="121"/>
      <c r="AH1946" s="121"/>
      <c r="AI1946" s="121"/>
    </row>
    <row r="1947" spans="1:35" s="115" customFormat="1" ht="14.4">
      <c r="A1947" s="187"/>
      <c r="B1947" s="190"/>
      <c r="C1947" s="190"/>
      <c r="D1947" s="69"/>
      <c r="E1947" s="69"/>
      <c r="F1947" s="149"/>
      <c r="G1947" s="146"/>
      <c r="H1947" s="98"/>
      <c r="I1947" s="99"/>
      <c r="J1947" s="99"/>
      <c r="K1947" s="99"/>
      <c r="L1947" s="99"/>
      <c r="M1947" s="99"/>
      <c r="N1947" s="99"/>
      <c r="O1947" s="99"/>
      <c r="P1947" s="99"/>
      <c r="Q1947" s="99"/>
      <c r="R1947" s="99"/>
      <c r="S1947" s="99"/>
      <c r="T1947" s="99"/>
      <c r="U1947" s="105"/>
      <c r="V1947" s="262"/>
      <c r="W1947" s="121"/>
      <c r="X1947" s="121"/>
      <c r="Y1947" s="121"/>
      <c r="Z1947" s="121"/>
      <c r="AA1947" s="121"/>
      <c r="AB1947" s="121"/>
      <c r="AC1947" s="121"/>
      <c r="AD1947" s="121"/>
      <c r="AE1947" s="121"/>
      <c r="AF1947" s="121"/>
      <c r="AG1947" s="121"/>
      <c r="AH1947" s="121"/>
      <c r="AI1947" s="121"/>
    </row>
    <row r="1948" spans="1:35" s="115" customFormat="1" ht="14.4">
      <c r="A1948" s="187"/>
      <c r="B1948" s="190"/>
      <c r="C1948" s="190"/>
      <c r="D1948" s="69"/>
      <c r="E1948" s="69"/>
      <c r="F1948" s="149"/>
      <c r="G1948" s="146"/>
      <c r="H1948" s="98"/>
      <c r="I1948" s="99"/>
      <c r="J1948" s="99"/>
      <c r="K1948" s="99"/>
      <c r="L1948" s="99"/>
      <c r="M1948" s="99"/>
      <c r="N1948" s="99"/>
      <c r="O1948" s="99"/>
      <c r="P1948" s="99"/>
      <c r="Q1948" s="99"/>
      <c r="R1948" s="99"/>
      <c r="S1948" s="99"/>
      <c r="T1948" s="99"/>
      <c r="U1948" s="105"/>
      <c r="V1948" s="262"/>
      <c r="W1948" s="121"/>
      <c r="X1948" s="121"/>
      <c r="Y1948" s="121"/>
      <c r="Z1948" s="121"/>
      <c r="AA1948" s="121"/>
      <c r="AB1948" s="121"/>
      <c r="AC1948" s="121"/>
      <c r="AD1948" s="121"/>
      <c r="AE1948" s="121"/>
      <c r="AF1948" s="121"/>
      <c r="AG1948" s="121"/>
      <c r="AH1948" s="121"/>
      <c r="AI1948" s="121"/>
    </row>
    <row r="1949" spans="1:35" s="115" customFormat="1" ht="14.4">
      <c r="A1949" s="187"/>
      <c r="B1949" s="190"/>
      <c r="C1949" s="190"/>
      <c r="D1949" s="69"/>
      <c r="E1949" s="69"/>
      <c r="F1949" s="149"/>
      <c r="G1949" s="146"/>
      <c r="H1949" s="98"/>
      <c r="I1949" s="99"/>
      <c r="J1949" s="99"/>
      <c r="K1949" s="99"/>
      <c r="L1949" s="99"/>
      <c r="M1949" s="99"/>
      <c r="N1949" s="99"/>
      <c r="O1949" s="99"/>
      <c r="P1949" s="99"/>
      <c r="Q1949" s="99"/>
      <c r="R1949" s="99"/>
      <c r="S1949" s="99"/>
      <c r="T1949" s="99"/>
      <c r="U1949" s="105"/>
      <c r="V1949" s="262"/>
      <c r="W1949" s="121"/>
      <c r="X1949" s="121"/>
      <c r="Y1949" s="121"/>
      <c r="Z1949" s="121"/>
      <c r="AA1949" s="121"/>
      <c r="AB1949" s="121"/>
      <c r="AC1949" s="121"/>
      <c r="AD1949" s="121"/>
      <c r="AE1949" s="121"/>
      <c r="AF1949" s="121"/>
      <c r="AG1949" s="121"/>
      <c r="AH1949" s="121"/>
      <c r="AI1949" s="121"/>
    </row>
    <row r="1950" spans="1:35" s="115" customFormat="1" ht="14.4">
      <c r="A1950" s="187"/>
      <c r="B1950" s="190"/>
      <c r="C1950" s="190"/>
      <c r="D1950" s="69"/>
      <c r="E1950" s="69"/>
      <c r="F1950" s="149"/>
      <c r="G1950" s="146"/>
      <c r="H1950" s="107"/>
      <c r="I1950" s="108"/>
      <c r="J1950" s="108"/>
      <c r="K1950" s="108"/>
      <c r="L1950" s="108"/>
      <c r="M1950" s="108"/>
      <c r="N1950" s="108"/>
      <c r="O1950" s="108"/>
      <c r="P1950" s="108"/>
      <c r="Q1950" s="108"/>
      <c r="R1950" s="108"/>
      <c r="S1950" s="108"/>
      <c r="T1950" s="108"/>
      <c r="U1950" s="105"/>
      <c r="V1950" s="262"/>
      <c r="W1950" s="121"/>
      <c r="X1950" s="121"/>
      <c r="Y1950" s="121"/>
      <c r="Z1950" s="121"/>
      <c r="AA1950" s="121"/>
      <c r="AB1950" s="121"/>
      <c r="AC1950" s="121"/>
      <c r="AD1950" s="121"/>
      <c r="AE1950" s="121"/>
      <c r="AF1950" s="121"/>
      <c r="AG1950" s="121"/>
      <c r="AH1950" s="121"/>
      <c r="AI1950" s="121"/>
    </row>
    <row r="1951" spans="1:35" s="115" customFormat="1" ht="14.4">
      <c r="A1951" s="187"/>
      <c r="B1951" s="190"/>
      <c r="C1951" s="190"/>
      <c r="D1951" s="69"/>
      <c r="E1951" s="69"/>
      <c r="F1951" s="149"/>
      <c r="G1951" s="146"/>
      <c r="H1951" s="98"/>
      <c r="I1951" s="106"/>
      <c r="J1951" s="106"/>
      <c r="K1951" s="106"/>
      <c r="L1951" s="106"/>
      <c r="M1951" s="106"/>
      <c r="N1951" s="112"/>
      <c r="O1951" s="112"/>
      <c r="P1951" s="112"/>
      <c r="Q1951" s="113"/>
      <c r="R1951" s="113"/>
      <c r="S1951" s="113"/>
      <c r="T1951" s="113"/>
      <c r="U1951" s="105"/>
      <c r="V1951" s="262"/>
      <c r="W1951" s="121"/>
      <c r="X1951" s="121"/>
      <c r="Y1951" s="121"/>
      <c r="Z1951" s="121"/>
      <c r="AA1951" s="121"/>
      <c r="AB1951" s="121"/>
      <c r="AC1951" s="121"/>
      <c r="AD1951" s="121"/>
      <c r="AE1951" s="121"/>
      <c r="AF1951" s="121"/>
      <c r="AG1951" s="121"/>
      <c r="AH1951" s="121"/>
      <c r="AI1951" s="121"/>
    </row>
    <row r="1952" spans="1:35" s="115" customFormat="1" ht="14.4">
      <c r="A1952" s="187"/>
      <c r="B1952" s="190"/>
      <c r="C1952" s="190"/>
      <c r="D1952" s="69"/>
      <c r="E1952" s="69"/>
      <c r="F1952" s="149"/>
      <c r="G1952" s="146"/>
      <c r="H1952" s="98"/>
      <c r="I1952" s="99"/>
      <c r="J1952" s="99"/>
      <c r="K1952" s="99"/>
      <c r="L1952" s="99"/>
      <c r="M1952" s="99"/>
      <c r="N1952" s="99"/>
      <c r="O1952" s="99"/>
      <c r="P1952" s="99"/>
      <c r="Q1952" s="99"/>
      <c r="R1952" s="99"/>
      <c r="S1952" s="99"/>
      <c r="T1952" s="99"/>
      <c r="U1952" s="105"/>
      <c r="V1952" s="262"/>
      <c r="W1952" s="121"/>
      <c r="X1952" s="121"/>
      <c r="Y1952" s="121"/>
      <c r="Z1952" s="121"/>
      <c r="AA1952" s="121"/>
      <c r="AB1952" s="121"/>
      <c r="AC1952" s="121"/>
      <c r="AD1952" s="121"/>
      <c r="AE1952" s="121"/>
      <c r="AF1952" s="121"/>
      <c r="AG1952" s="121"/>
      <c r="AH1952" s="121"/>
      <c r="AI1952" s="121"/>
    </row>
    <row r="1953" spans="1:35" s="115" customFormat="1" ht="14.4">
      <c r="A1953" s="187"/>
      <c r="B1953" s="190"/>
      <c r="C1953" s="190"/>
      <c r="D1953" s="69"/>
      <c r="E1953" s="69"/>
      <c r="F1953" s="149"/>
      <c r="G1953" s="146"/>
      <c r="H1953" s="98"/>
      <c r="I1953" s="99"/>
      <c r="J1953" s="99"/>
      <c r="K1953" s="99"/>
      <c r="L1953" s="99"/>
      <c r="M1953" s="99"/>
      <c r="N1953" s="99"/>
      <c r="O1953" s="99"/>
      <c r="P1953" s="99"/>
      <c r="Q1953" s="99"/>
      <c r="R1953" s="99"/>
      <c r="S1953" s="99"/>
      <c r="T1953" s="99"/>
      <c r="U1953" s="105"/>
      <c r="V1953" s="262"/>
      <c r="W1953" s="121"/>
      <c r="X1953" s="121"/>
      <c r="Y1953" s="121"/>
      <c r="Z1953" s="121"/>
      <c r="AA1953" s="121"/>
      <c r="AB1953" s="121"/>
      <c r="AC1953" s="121"/>
      <c r="AD1953" s="121"/>
      <c r="AE1953" s="121"/>
      <c r="AF1953" s="121"/>
      <c r="AG1953" s="121"/>
      <c r="AH1953" s="121"/>
      <c r="AI1953" s="121"/>
    </row>
    <row r="1954" spans="1:35" s="115" customFormat="1" ht="14.4">
      <c r="A1954" s="187"/>
      <c r="B1954" s="190"/>
      <c r="C1954" s="190"/>
      <c r="D1954" s="69"/>
      <c r="E1954" s="69"/>
      <c r="F1954" s="149"/>
      <c r="G1954" s="146"/>
      <c r="H1954" s="98"/>
      <c r="I1954" s="99"/>
      <c r="J1954" s="99"/>
      <c r="K1954" s="99"/>
      <c r="L1954" s="99"/>
      <c r="M1954" s="99"/>
      <c r="N1954" s="99"/>
      <c r="O1954" s="99"/>
      <c r="P1954" s="99"/>
      <c r="Q1954" s="99"/>
      <c r="R1954" s="99"/>
      <c r="S1954" s="99"/>
      <c r="T1954" s="99"/>
      <c r="U1954" s="105"/>
      <c r="V1954" s="262"/>
      <c r="W1954" s="121"/>
      <c r="X1954" s="121"/>
      <c r="Y1954" s="121"/>
      <c r="Z1954" s="121"/>
      <c r="AA1954" s="121"/>
      <c r="AB1954" s="121"/>
      <c r="AC1954" s="121"/>
      <c r="AD1954" s="121"/>
      <c r="AE1954" s="121"/>
      <c r="AF1954" s="121"/>
      <c r="AG1954" s="121"/>
      <c r="AH1954" s="121"/>
      <c r="AI1954" s="121"/>
    </row>
    <row r="1955" spans="1:35" s="115" customFormat="1" ht="14.4">
      <c r="A1955" s="187"/>
      <c r="B1955" s="190"/>
      <c r="C1955" s="190"/>
      <c r="D1955" s="69"/>
      <c r="E1955" s="69"/>
      <c r="F1955" s="149"/>
      <c r="G1955" s="146"/>
      <c r="H1955" s="98"/>
      <c r="I1955" s="99"/>
      <c r="J1955" s="99"/>
      <c r="K1955" s="99"/>
      <c r="L1955" s="99"/>
      <c r="M1955" s="99"/>
      <c r="N1955" s="99"/>
      <c r="O1955" s="99"/>
      <c r="P1955" s="99"/>
      <c r="Q1955" s="99"/>
      <c r="R1955" s="99"/>
      <c r="S1955" s="99"/>
      <c r="T1955" s="99"/>
      <c r="U1955" s="105"/>
      <c r="V1955" s="262"/>
      <c r="W1955" s="121"/>
      <c r="X1955" s="121"/>
      <c r="Y1955" s="121"/>
      <c r="Z1955" s="121"/>
      <c r="AA1955" s="121"/>
      <c r="AB1955" s="121"/>
      <c r="AC1955" s="121"/>
      <c r="AD1955" s="121"/>
      <c r="AE1955" s="121"/>
      <c r="AF1955" s="121"/>
      <c r="AG1955" s="121"/>
      <c r="AH1955" s="121"/>
      <c r="AI1955" s="121"/>
    </row>
    <row r="1956" spans="1:35" s="115" customFormat="1" ht="14.4">
      <c r="A1956" s="187"/>
      <c r="B1956" s="190"/>
      <c r="C1956" s="190"/>
      <c r="D1956" s="69"/>
      <c r="E1956" s="69"/>
      <c r="F1956" s="149"/>
      <c r="G1956" s="146"/>
      <c r="H1956" s="98"/>
      <c r="I1956" s="99"/>
      <c r="J1956" s="99"/>
      <c r="K1956" s="99"/>
      <c r="L1956" s="99"/>
      <c r="M1956" s="99"/>
      <c r="N1956" s="99"/>
      <c r="O1956" s="99"/>
      <c r="P1956" s="99"/>
      <c r="Q1956" s="99"/>
      <c r="R1956" s="99"/>
      <c r="S1956" s="99"/>
      <c r="T1956" s="99"/>
      <c r="U1956" s="105"/>
      <c r="V1956" s="262"/>
      <c r="W1956" s="121"/>
      <c r="X1956" s="121"/>
      <c r="Y1956" s="121"/>
      <c r="Z1956" s="121"/>
      <c r="AA1956" s="121"/>
      <c r="AB1956" s="121"/>
      <c r="AC1956" s="121"/>
      <c r="AD1956" s="121"/>
      <c r="AE1956" s="121"/>
      <c r="AF1956" s="121"/>
      <c r="AG1956" s="121"/>
      <c r="AH1956" s="121"/>
      <c r="AI1956" s="121"/>
    </row>
    <row r="1957" spans="1:35" s="115" customFormat="1" ht="14.4">
      <c r="A1957" s="187"/>
      <c r="B1957" s="190"/>
      <c r="C1957" s="190"/>
      <c r="D1957" s="69"/>
      <c r="E1957" s="69"/>
      <c r="F1957" s="149"/>
      <c r="G1957" s="146"/>
      <c r="H1957" s="98"/>
      <c r="I1957" s="99"/>
      <c r="J1957" s="99"/>
      <c r="K1957" s="99"/>
      <c r="L1957" s="99"/>
      <c r="M1957" s="99"/>
      <c r="N1957" s="99"/>
      <c r="O1957" s="99"/>
      <c r="P1957" s="99"/>
      <c r="Q1957" s="99"/>
      <c r="R1957" s="99"/>
      <c r="S1957" s="99"/>
      <c r="T1957" s="99"/>
      <c r="U1957" s="105"/>
      <c r="V1957" s="262"/>
      <c r="W1957" s="121"/>
      <c r="X1957" s="121"/>
      <c r="Y1957" s="121"/>
      <c r="Z1957" s="121"/>
      <c r="AA1957" s="121"/>
      <c r="AB1957" s="121"/>
      <c r="AC1957" s="121"/>
      <c r="AD1957" s="121"/>
      <c r="AE1957" s="121"/>
      <c r="AF1957" s="121"/>
      <c r="AG1957" s="121"/>
      <c r="AH1957" s="121"/>
      <c r="AI1957" s="121"/>
    </row>
    <row r="1958" spans="1:35" s="115" customFormat="1" ht="14.4">
      <c r="A1958" s="187"/>
      <c r="B1958" s="190"/>
      <c r="C1958" s="190"/>
      <c r="D1958" s="69"/>
      <c r="E1958" s="69"/>
      <c r="F1958" s="149"/>
      <c r="G1958" s="146"/>
      <c r="H1958" s="98"/>
      <c r="I1958" s="99"/>
      <c r="J1958" s="99"/>
      <c r="K1958" s="99"/>
      <c r="L1958" s="99"/>
      <c r="M1958" s="99"/>
      <c r="N1958" s="99"/>
      <c r="O1958" s="99"/>
      <c r="P1958" s="99"/>
      <c r="Q1958" s="99"/>
      <c r="R1958" s="99"/>
      <c r="S1958" s="99"/>
      <c r="T1958" s="99"/>
      <c r="U1958" s="105"/>
      <c r="V1958" s="262"/>
      <c r="W1958" s="121"/>
      <c r="X1958" s="121"/>
      <c r="Y1958" s="121"/>
      <c r="Z1958" s="121"/>
      <c r="AA1958" s="121"/>
      <c r="AB1958" s="121"/>
      <c r="AC1958" s="121"/>
      <c r="AD1958" s="121"/>
      <c r="AE1958" s="121"/>
      <c r="AF1958" s="121"/>
      <c r="AG1958" s="121"/>
      <c r="AH1958" s="121"/>
      <c r="AI1958" s="121"/>
    </row>
    <row r="1959" spans="1:35" s="115" customFormat="1" ht="14.4">
      <c r="A1959" s="187"/>
      <c r="B1959" s="190"/>
      <c r="C1959" s="190"/>
      <c r="D1959" s="69"/>
      <c r="E1959" s="69"/>
      <c r="F1959" s="149"/>
      <c r="G1959" s="146"/>
      <c r="H1959" s="98"/>
      <c r="I1959" s="99"/>
      <c r="J1959" s="99"/>
      <c r="K1959" s="99"/>
      <c r="L1959" s="99"/>
      <c r="M1959" s="99"/>
      <c r="N1959" s="99"/>
      <c r="O1959" s="99"/>
      <c r="P1959" s="99"/>
      <c r="Q1959" s="99"/>
      <c r="R1959" s="99"/>
      <c r="S1959" s="99"/>
      <c r="T1959" s="99"/>
      <c r="U1959" s="105"/>
      <c r="V1959" s="262"/>
      <c r="W1959" s="121"/>
      <c r="X1959" s="121"/>
      <c r="Y1959" s="121"/>
      <c r="Z1959" s="121"/>
      <c r="AA1959" s="121"/>
      <c r="AB1959" s="121"/>
      <c r="AC1959" s="121"/>
      <c r="AD1959" s="121"/>
      <c r="AE1959" s="121"/>
      <c r="AF1959" s="121"/>
      <c r="AG1959" s="121"/>
      <c r="AH1959" s="121"/>
      <c r="AI1959" s="121"/>
    </row>
    <row r="1960" spans="1:35" s="115" customFormat="1" ht="14.4">
      <c r="A1960" s="187"/>
      <c r="B1960" s="190"/>
      <c r="C1960" s="190"/>
      <c r="D1960" s="69"/>
      <c r="E1960" s="69"/>
      <c r="F1960" s="149"/>
      <c r="G1960" s="146"/>
      <c r="H1960" s="98"/>
      <c r="I1960" s="99"/>
      <c r="J1960" s="99"/>
      <c r="K1960" s="99"/>
      <c r="L1960" s="99"/>
      <c r="M1960" s="99"/>
      <c r="N1960" s="99"/>
      <c r="O1960" s="99"/>
      <c r="P1960" s="99"/>
      <c r="Q1960" s="99"/>
      <c r="R1960" s="99"/>
      <c r="S1960" s="99"/>
      <c r="T1960" s="99"/>
      <c r="U1960" s="105"/>
      <c r="V1960" s="262"/>
      <c r="W1960" s="121"/>
      <c r="X1960" s="121"/>
      <c r="Y1960" s="121"/>
      <c r="Z1960" s="121"/>
      <c r="AA1960" s="121"/>
      <c r="AB1960" s="121"/>
      <c r="AC1960" s="121"/>
      <c r="AD1960" s="121"/>
      <c r="AE1960" s="121"/>
      <c r="AF1960" s="121"/>
      <c r="AG1960" s="121"/>
      <c r="AH1960" s="121"/>
      <c r="AI1960" s="121"/>
    </row>
    <row r="1961" spans="1:35" s="115" customFormat="1" ht="14.4">
      <c r="A1961" s="187"/>
      <c r="B1961" s="190"/>
      <c r="C1961" s="190"/>
      <c r="D1961" s="69"/>
      <c r="E1961" s="69"/>
      <c r="F1961" s="149"/>
      <c r="G1961" s="146"/>
      <c r="H1961" s="98"/>
      <c r="I1961" s="99"/>
      <c r="J1961" s="99"/>
      <c r="K1961" s="99"/>
      <c r="L1961" s="99"/>
      <c r="M1961" s="99"/>
      <c r="N1961" s="99"/>
      <c r="O1961" s="99"/>
      <c r="P1961" s="99"/>
      <c r="Q1961" s="99"/>
      <c r="R1961" s="99"/>
      <c r="S1961" s="99"/>
      <c r="T1961" s="99"/>
      <c r="U1961" s="105"/>
      <c r="V1961" s="262"/>
      <c r="W1961" s="121"/>
      <c r="X1961" s="121"/>
      <c r="Y1961" s="121"/>
      <c r="Z1961" s="121"/>
      <c r="AA1961" s="121"/>
      <c r="AB1961" s="121"/>
      <c r="AC1961" s="121"/>
      <c r="AD1961" s="121"/>
      <c r="AE1961" s="121"/>
      <c r="AF1961" s="121"/>
      <c r="AG1961" s="121"/>
      <c r="AH1961" s="121"/>
      <c r="AI1961" s="121"/>
    </row>
    <row r="1962" spans="1:35" s="115" customFormat="1" ht="14.4">
      <c r="A1962" s="187"/>
      <c r="B1962" s="190"/>
      <c r="C1962" s="190"/>
      <c r="D1962" s="69"/>
      <c r="E1962" s="69"/>
      <c r="F1962" s="149"/>
      <c r="G1962" s="146"/>
      <c r="H1962" s="98"/>
      <c r="I1962" s="99"/>
      <c r="J1962" s="99"/>
      <c r="K1962" s="99"/>
      <c r="L1962" s="99"/>
      <c r="M1962" s="99"/>
      <c r="N1962" s="99"/>
      <c r="O1962" s="99"/>
      <c r="P1962" s="99"/>
      <c r="Q1962" s="99"/>
      <c r="R1962" s="99"/>
      <c r="S1962" s="99"/>
      <c r="T1962" s="99"/>
      <c r="U1962" s="105"/>
      <c r="V1962" s="262"/>
      <c r="W1962" s="121"/>
      <c r="X1962" s="121"/>
      <c r="Y1962" s="121"/>
      <c r="Z1962" s="121"/>
      <c r="AA1962" s="121"/>
      <c r="AB1962" s="121"/>
      <c r="AC1962" s="121"/>
      <c r="AD1962" s="121"/>
      <c r="AE1962" s="121"/>
      <c r="AF1962" s="121"/>
      <c r="AG1962" s="121"/>
      <c r="AH1962" s="121"/>
      <c r="AI1962" s="121"/>
    </row>
    <row r="1963" spans="1:35" s="115" customFormat="1" ht="14.4">
      <c r="A1963" s="187"/>
      <c r="B1963" s="190"/>
      <c r="C1963" s="190"/>
      <c r="D1963" s="69"/>
      <c r="E1963" s="69"/>
      <c r="F1963" s="149"/>
      <c r="G1963" s="146"/>
      <c r="H1963" s="98"/>
      <c r="I1963" s="99"/>
      <c r="J1963" s="99"/>
      <c r="K1963" s="99"/>
      <c r="L1963" s="99"/>
      <c r="M1963" s="99"/>
      <c r="N1963" s="99"/>
      <c r="O1963" s="99"/>
      <c r="P1963" s="99"/>
      <c r="Q1963" s="99"/>
      <c r="R1963" s="99"/>
      <c r="S1963" s="99"/>
      <c r="T1963" s="99"/>
      <c r="U1963" s="105"/>
      <c r="V1963" s="262"/>
      <c r="W1963" s="121"/>
      <c r="X1963" s="121"/>
      <c r="Y1963" s="121"/>
      <c r="Z1963" s="121"/>
      <c r="AA1963" s="121"/>
      <c r="AB1963" s="121"/>
      <c r="AC1963" s="121"/>
      <c r="AD1963" s="121"/>
      <c r="AE1963" s="121"/>
      <c r="AF1963" s="121"/>
      <c r="AG1963" s="121"/>
      <c r="AH1963" s="121"/>
      <c r="AI1963" s="121"/>
    </row>
    <row r="1964" spans="1:35" s="115" customFormat="1" ht="14.4">
      <c r="A1964" s="187"/>
      <c r="B1964" s="190"/>
      <c r="C1964" s="190"/>
      <c r="D1964" s="69"/>
      <c r="E1964" s="69"/>
      <c r="F1964" s="149"/>
      <c r="G1964" s="146"/>
      <c r="H1964" s="98"/>
      <c r="I1964" s="99"/>
      <c r="J1964" s="99"/>
      <c r="K1964" s="99"/>
      <c r="L1964" s="99"/>
      <c r="M1964" s="99"/>
      <c r="N1964" s="99"/>
      <c r="O1964" s="99"/>
      <c r="P1964" s="99"/>
      <c r="Q1964" s="99"/>
      <c r="R1964" s="99"/>
      <c r="S1964" s="99"/>
      <c r="T1964" s="99"/>
      <c r="U1964" s="105"/>
      <c r="V1964" s="262"/>
      <c r="W1964" s="121"/>
      <c r="X1964" s="121"/>
      <c r="Y1964" s="121"/>
      <c r="Z1964" s="121"/>
      <c r="AA1964" s="121"/>
      <c r="AB1964" s="121"/>
      <c r="AC1964" s="121"/>
      <c r="AD1964" s="121"/>
      <c r="AE1964" s="121"/>
      <c r="AF1964" s="121"/>
      <c r="AG1964" s="121"/>
      <c r="AH1964" s="121"/>
      <c r="AI1964" s="121"/>
    </row>
    <row r="1965" spans="1:35" s="115" customFormat="1" ht="14.4">
      <c r="A1965" s="187"/>
      <c r="B1965" s="190"/>
      <c r="C1965" s="190"/>
      <c r="D1965" s="69"/>
      <c r="E1965" s="69"/>
      <c r="F1965" s="149"/>
      <c r="G1965" s="146"/>
      <c r="H1965" s="98"/>
      <c r="I1965" s="99"/>
      <c r="J1965" s="99"/>
      <c r="K1965" s="99"/>
      <c r="L1965" s="99"/>
      <c r="M1965" s="99"/>
      <c r="N1965" s="99"/>
      <c r="O1965" s="99"/>
      <c r="P1965" s="99"/>
      <c r="Q1965" s="99"/>
      <c r="R1965" s="99"/>
      <c r="S1965" s="99"/>
      <c r="T1965" s="99"/>
      <c r="U1965" s="105"/>
      <c r="V1965" s="262"/>
      <c r="W1965" s="121"/>
      <c r="X1965" s="121"/>
      <c r="Y1965" s="121"/>
      <c r="Z1965" s="121"/>
      <c r="AA1965" s="121"/>
      <c r="AB1965" s="121"/>
      <c r="AC1965" s="121"/>
      <c r="AD1965" s="121"/>
      <c r="AE1965" s="121"/>
      <c r="AF1965" s="121"/>
      <c r="AG1965" s="121"/>
      <c r="AH1965" s="121"/>
      <c r="AI1965" s="121"/>
    </row>
    <row r="1966" spans="1:35" s="115" customFormat="1" ht="14.4">
      <c r="A1966" s="187"/>
      <c r="B1966" s="190"/>
      <c r="C1966" s="190"/>
      <c r="D1966" s="69"/>
      <c r="E1966" s="69"/>
      <c r="F1966" s="149"/>
      <c r="G1966" s="146"/>
      <c r="H1966" s="98"/>
      <c r="I1966" s="99"/>
      <c r="J1966" s="99"/>
      <c r="K1966" s="99"/>
      <c r="L1966" s="99"/>
      <c r="M1966" s="99"/>
      <c r="N1966" s="99"/>
      <c r="O1966" s="99"/>
      <c r="P1966" s="99"/>
      <c r="Q1966" s="99"/>
      <c r="R1966" s="99"/>
      <c r="S1966" s="99"/>
      <c r="T1966" s="99"/>
      <c r="U1966" s="105"/>
      <c r="V1966" s="262"/>
      <c r="W1966" s="121"/>
      <c r="X1966" s="121"/>
      <c r="Y1966" s="121"/>
      <c r="Z1966" s="121"/>
      <c r="AA1966" s="121"/>
      <c r="AB1966" s="121"/>
      <c r="AC1966" s="121"/>
      <c r="AD1966" s="121"/>
      <c r="AE1966" s="121"/>
      <c r="AF1966" s="121"/>
      <c r="AG1966" s="121"/>
      <c r="AH1966" s="121"/>
      <c r="AI1966" s="121"/>
    </row>
    <row r="1967" spans="1:35" s="115" customFormat="1" ht="14.4">
      <c r="A1967" s="187"/>
      <c r="B1967" s="190"/>
      <c r="C1967" s="190"/>
      <c r="D1967" s="69"/>
      <c r="E1967" s="69"/>
      <c r="F1967" s="149"/>
      <c r="G1967" s="146"/>
      <c r="H1967" s="107"/>
      <c r="I1967" s="109"/>
      <c r="J1967" s="109"/>
      <c r="K1967" s="109"/>
      <c r="L1967" s="109"/>
      <c r="M1967" s="109"/>
      <c r="N1967" s="109"/>
      <c r="O1967" s="109"/>
      <c r="P1967" s="109"/>
      <c r="Q1967" s="109"/>
      <c r="R1967" s="109"/>
      <c r="S1967" s="109"/>
      <c r="T1967" s="109"/>
      <c r="U1967" s="105"/>
      <c r="V1967" s="262"/>
      <c r="W1967" s="121"/>
      <c r="X1967" s="121"/>
      <c r="Y1967" s="121"/>
      <c r="Z1967" s="121"/>
      <c r="AA1967" s="121"/>
      <c r="AB1967" s="121"/>
      <c r="AC1967" s="121"/>
      <c r="AD1967" s="121"/>
      <c r="AE1967" s="121"/>
      <c r="AF1967" s="121"/>
      <c r="AG1967" s="121"/>
      <c r="AH1967" s="121"/>
      <c r="AI1967" s="121"/>
    </row>
    <row r="1968" spans="1:35" s="115" customFormat="1" ht="14.4">
      <c r="A1968" s="187"/>
      <c r="B1968" s="190"/>
      <c r="C1968" s="190"/>
      <c r="D1968" s="69"/>
      <c r="E1968" s="69"/>
      <c r="F1968" s="149"/>
      <c r="G1968" s="146"/>
      <c r="H1968" s="98"/>
      <c r="I1968" s="106"/>
      <c r="J1968" s="106"/>
      <c r="K1968" s="106"/>
      <c r="L1968" s="106"/>
      <c r="M1968" s="106"/>
      <c r="N1968" s="112"/>
      <c r="O1968" s="112"/>
      <c r="P1968" s="112"/>
      <c r="Q1968" s="113"/>
      <c r="R1968" s="113"/>
      <c r="S1968" s="113"/>
      <c r="T1968" s="113"/>
      <c r="U1968" s="105"/>
      <c r="V1968" s="262"/>
      <c r="W1968" s="121"/>
      <c r="X1968" s="121"/>
      <c r="Y1968" s="121"/>
      <c r="Z1968" s="121"/>
      <c r="AA1968" s="121"/>
      <c r="AB1968" s="121"/>
      <c r="AC1968" s="121"/>
      <c r="AD1968" s="121"/>
      <c r="AE1968" s="121"/>
      <c r="AF1968" s="121"/>
      <c r="AG1968" s="121"/>
      <c r="AH1968" s="121"/>
      <c r="AI1968" s="121"/>
    </row>
    <row r="1969" spans="1:35" s="115" customFormat="1" ht="14.4">
      <c r="A1969" s="187"/>
      <c r="B1969" s="190"/>
      <c r="C1969" s="190"/>
      <c r="D1969" s="69"/>
      <c r="E1969" s="69"/>
      <c r="F1969" s="149"/>
      <c r="G1969" s="146"/>
      <c r="H1969" s="98"/>
      <c r="I1969" s="99"/>
      <c r="J1969" s="99"/>
      <c r="K1969" s="99"/>
      <c r="L1969" s="99"/>
      <c r="M1969" s="99"/>
      <c r="N1969" s="99"/>
      <c r="O1969" s="99"/>
      <c r="P1969" s="99"/>
      <c r="Q1969" s="99"/>
      <c r="R1969" s="99"/>
      <c r="S1969" s="99"/>
      <c r="T1969" s="99"/>
      <c r="U1969" s="105"/>
      <c r="V1969" s="262"/>
      <c r="W1969" s="121"/>
      <c r="X1969" s="121"/>
      <c r="Y1969" s="121"/>
      <c r="Z1969" s="121"/>
      <c r="AA1969" s="121"/>
      <c r="AB1969" s="121"/>
      <c r="AC1969" s="121"/>
      <c r="AD1969" s="121"/>
      <c r="AE1969" s="121"/>
      <c r="AF1969" s="121"/>
      <c r="AG1969" s="121"/>
      <c r="AH1969" s="121"/>
      <c r="AI1969" s="121"/>
    </row>
    <row r="1970" spans="1:35" s="115" customFormat="1" ht="14.4">
      <c r="A1970" s="187"/>
      <c r="B1970" s="190"/>
      <c r="C1970" s="190"/>
      <c r="D1970" s="69"/>
      <c r="E1970" s="69"/>
      <c r="F1970" s="149"/>
      <c r="G1970" s="146"/>
      <c r="H1970" s="98"/>
      <c r="I1970" s="99"/>
      <c r="J1970" s="99"/>
      <c r="K1970" s="99"/>
      <c r="L1970" s="99"/>
      <c r="M1970" s="99"/>
      <c r="N1970" s="99"/>
      <c r="O1970" s="99"/>
      <c r="P1970" s="99"/>
      <c r="Q1970" s="99"/>
      <c r="R1970" s="99"/>
      <c r="S1970" s="99"/>
      <c r="T1970" s="99"/>
      <c r="U1970" s="105"/>
      <c r="V1970" s="262"/>
      <c r="W1970" s="121"/>
      <c r="X1970" s="121"/>
      <c r="Y1970" s="121"/>
      <c r="Z1970" s="121"/>
      <c r="AA1970" s="121"/>
      <c r="AB1970" s="121"/>
      <c r="AC1970" s="121"/>
      <c r="AD1970" s="121"/>
      <c r="AE1970" s="121"/>
      <c r="AF1970" s="121"/>
      <c r="AG1970" s="121"/>
      <c r="AH1970" s="121"/>
      <c r="AI1970" s="121"/>
    </row>
    <row r="1971" spans="1:35" s="115" customFormat="1" ht="14.4">
      <c r="A1971" s="187"/>
      <c r="B1971" s="190"/>
      <c r="C1971" s="190"/>
      <c r="D1971" s="69"/>
      <c r="E1971" s="69"/>
      <c r="F1971" s="149"/>
      <c r="G1971" s="146"/>
      <c r="H1971" s="98"/>
      <c r="I1971" s="99"/>
      <c r="J1971" s="99"/>
      <c r="K1971" s="99"/>
      <c r="L1971" s="99"/>
      <c r="M1971" s="99"/>
      <c r="N1971" s="99"/>
      <c r="O1971" s="99"/>
      <c r="P1971" s="99"/>
      <c r="Q1971" s="99"/>
      <c r="R1971" s="99"/>
      <c r="S1971" s="99"/>
      <c r="T1971" s="99"/>
      <c r="U1971" s="105"/>
      <c r="V1971" s="262"/>
      <c r="W1971" s="121"/>
      <c r="X1971" s="121"/>
      <c r="Y1971" s="121"/>
      <c r="Z1971" s="121"/>
      <c r="AA1971" s="121"/>
      <c r="AB1971" s="121"/>
      <c r="AC1971" s="121"/>
      <c r="AD1971" s="121"/>
      <c r="AE1971" s="121"/>
      <c r="AF1971" s="121"/>
      <c r="AG1971" s="121"/>
      <c r="AH1971" s="121"/>
      <c r="AI1971" s="121"/>
    </row>
    <row r="1972" spans="1:35" s="115" customFormat="1" ht="24" customHeight="1">
      <c r="A1972" s="187"/>
      <c r="B1972" s="190"/>
      <c r="C1972" s="190"/>
      <c r="D1972" s="69"/>
      <c r="E1972" s="69"/>
      <c r="F1972" s="149"/>
      <c r="G1972" s="146"/>
      <c r="H1972" s="98"/>
      <c r="I1972" s="99"/>
      <c r="J1972" s="99"/>
      <c r="K1972" s="99"/>
      <c r="L1972" s="99"/>
      <c r="M1972" s="99"/>
      <c r="N1972" s="99"/>
      <c r="O1972" s="99"/>
      <c r="P1972" s="99"/>
      <c r="Q1972" s="99"/>
      <c r="R1972" s="99"/>
      <c r="S1972" s="99"/>
      <c r="T1972" s="99"/>
      <c r="U1972" s="105"/>
      <c r="V1972" s="262"/>
      <c r="W1972" s="121"/>
      <c r="X1972" s="121"/>
      <c r="Y1972" s="121"/>
      <c r="Z1972" s="121"/>
      <c r="AA1972" s="121"/>
      <c r="AB1972" s="121"/>
      <c r="AC1972" s="121"/>
      <c r="AD1972" s="121"/>
      <c r="AE1972" s="121"/>
      <c r="AF1972" s="121"/>
      <c r="AG1972" s="121"/>
      <c r="AH1972" s="121"/>
      <c r="AI1972" s="121"/>
    </row>
    <row r="1973" spans="1:35" s="115" customFormat="1" ht="14.4">
      <c r="A1973" s="187"/>
      <c r="B1973" s="190"/>
      <c r="C1973" s="190"/>
      <c r="D1973" s="69"/>
      <c r="E1973" s="69"/>
      <c r="F1973" s="149"/>
      <c r="G1973" s="146"/>
      <c r="H1973" s="98"/>
      <c r="I1973" s="99"/>
      <c r="J1973" s="99"/>
      <c r="K1973" s="99"/>
      <c r="L1973" s="99"/>
      <c r="M1973" s="99"/>
      <c r="N1973" s="99"/>
      <c r="O1973" s="99"/>
      <c r="P1973" s="99"/>
      <c r="Q1973" s="99"/>
      <c r="R1973" s="99"/>
      <c r="S1973" s="99"/>
      <c r="T1973" s="99"/>
      <c r="U1973" s="105"/>
      <c r="V1973" s="262"/>
      <c r="W1973" s="121"/>
      <c r="X1973" s="121"/>
      <c r="Y1973" s="121"/>
      <c r="Z1973" s="121"/>
      <c r="AA1973" s="121"/>
      <c r="AB1973" s="121"/>
      <c r="AC1973" s="121"/>
      <c r="AD1973" s="121"/>
      <c r="AE1973" s="121"/>
      <c r="AF1973" s="121"/>
      <c r="AG1973" s="121"/>
      <c r="AH1973" s="121"/>
      <c r="AI1973" s="121"/>
    </row>
    <row r="1974" spans="1:35" s="115" customFormat="1" ht="14.4">
      <c r="A1974" s="187"/>
      <c r="B1974" s="190"/>
      <c r="C1974" s="190"/>
      <c r="D1974" s="69"/>
      <c r="E1974" s="69"/>
      <c r="F1974" s="149"/>
      <c r="G1974" s="146"/>
      <c r="H1974" s="98"/>
      <c r="I1974" s="99"/>
      <c r="J1974" s="99"/>
      <c r="K1974" s="99"/>
      <c r="L1974" s="99"/>
      <c r="M1974" s="99"/>
      <c r="N1974" s="99"/>
      <c r="O1974" s="99"/>
      <c r="P1974" s="99"/>
      <c r="Q1974" s="99"/>
      <c r="R1974" s="99"/>
      <c r="S1974" s="99"/>
      <c r="T1974" s="99"/>
      <c r="U1974" s="105"/>
      <c r="V1974" s="262"/>
      <c r="W1974" s="121"/>
      <c r="X1974" s="121"/>
      <c r="Y1974" s="121"/>
      <c r="Z1974" s="121"/>
      <c r="AA1974" s="121"/>
      <c r="AB1974" s="121"/>
      <c r="AC1974" s="121"/>
      <c r="AD1974" s="121"/>
      <c r="AE1974" s="121"/>
      <c r="AF1974" s="121"/>
      <c r="AG1974" s="121"/>
      <c r="AH1974" s="121"/>
      <c r="AI1974" s="121"/>
    </row>
    <row r="1975" spans="1:35" s="115" customFormat="1" ht="14.4">
      <c r="A1975" s="187"/>
      <c r="B1975" s="190"/>
      <c r="C1975" s="190"/>
      <c r="D1975" s="69"/>
      <c r="E1975" s="69"/>
      <c r="F1975" s="149"/>
      <c r="G1975" s="146"/>
      <c r="H1975" s="98"/>
      <c r="I1975" s="99"/>
      <c r="J1975" s="99"/>
      <c r="K1975" s="99"/>
      <c r="L1975" s="99"/>
      <c r="M1975" s="99"/>
      <c r="N1975" s="99"/>
      <c r="O1975" s="99"/>
      <c r="P1975" s="99"/>
      <c r="Q1975" s="99"/>
      <c r="R1975" s="99"/>
      <c r="S1975" s="99"/>
      <c r="T1975" s="99"/>
      <c r="U1975" s="105"/>
      <c r="V1975" s="262"/>
      <c r="W1975" s="121"/>
      <c r="X1975" s="121"/>
      <c r="Y1975" s="121"/>
      <c r="Z1975" s="121"/>
      <c r="AA1975" s="121"/>
      <c r="AB1975" s="121"/>
      <c r="AC1975" s="121"/>
      <c r="AD1975" s="121"/>
      <c r="AE1975" s="121"/>
      <c r="AF1975" s="121"/>
      <c r="AG1975" s="121"/>
      <c r="AH1975" s="121"/>
      <c r="AI1975" s="121"/>
    </row>
    <row r="1976" spans="1:35" s="115" customFormat="1" ht="14.4">
      <c r="A1976" s="187"/>
      <c r="B1976" s="190"/>
      <c r="C1976" s="190"/>
      <c r="D1976" s="69"/>
      <c r="E1976" s="69"/>
      <c r="F1976" s="149"/>
      <c r="G1976" s="146"/>
      <c r="H1976" s="98"/>
      <c r="I1976" s="99"/>
      <c r="J1976" s="99"/>
      <c r="K1976" s="99"/>
      <c r="L1976" s="99"/>
      <c r="M1976" s="99"/>
      <c r="N1976" s="99"/>
      <c r="O1976" s="99"/>
      <c r="P1976" s="99"/>
      <c r="Q1976" s="99"/>
      <c r="R1976" s="99"/>
      <c r="S1976" s="99"/>
      <c r="T1976" s="99"/>
      <c r="U1976" s="105"/>
      <c r="V1976" s="262"/>
      <c r="W1976" s="121"/>
      <c r="X1976" s="121"/>
      <c r="Y1976" s="121"/>
      <c r="Z1976" s="121"/>
      <c r="AA1976" s="121"/>
      <c r="AB1976" s="121"/>
      <c r="AC1976" s="121"/>
      <c r="AD1976" s="121"/>
      <c r="AE1976" s="121"/>
      <c r="AF1976" s="121"/>
      <c r="AG1976" s="121"/>
      <c r="AH1976" s="121"/>
      <c r="AI1976" s="121"/>
    </row>
    <row r="1977" spans="1:35" s="115" customFormat="1" ht="14.4">
      <c r="A1977" s="187"/>
      <c r="B1977" s="190"/>
      <c r="C1977" s="190"/>
      <c r="D1977" s="69"/>
      <c r="E1977" s="69"/>
      <c r="F1977" s="149"/>
      <c r="G1977" s="146"/>
      <c r="H1977" s="98"/>
      <c r="I1977" s="99"/>
      <c r="J1977" s="99"/>
      <c r="K1977" s="99"/>
      <c r="L1977" s="99"/>
      <c r="M1977" s="99"/>
      <c r="N1977" s="99"/>
      <c r="O1977" s="99"/>
      <c r="P1977" s="99"/>
      <c r="Q1977" s="99"/>
      <c r="R1977" s="99"/>
      <c r="S1977" s="99"/>
      <c r="T1977" s="99"/>
      <c r="U1977" s="105"/>
      <c r="V1977" s="262"/>
      <c r="W1977" s="121"/>
      <c r="X1977" s="121"/>
      <c r="Y1977" s="121"/>
      <c r="Z1977" s="121"/>
      <c r="AA1977" s="121"/>
      <c r="AB1977" s="121"/>
      <c r="AC1977" s="121"/>
      <c r="AD1977" s="121"/>
      <c r="AE1977" s="121"/>
      <c r="AF1977" s="121"/>
      <c r="AG1977" s="121"/>
      <c r="AH1977" s="121"/>
      <c r="AI1977" s="121"/>
    </row>
    <row r="1978" spans="1:35" s="115" customFormat="1" ht="14.4">
      <c r="A1978" s="187"/>
      <c r="B1978" s="190"/>
      <c r="C1978" s="190"/>
      <c r="D1978" s="69"/>
      <c r="E1978" s="69"/>
      <c r="F1978" s="149"/>
      <c r="G1978" s="146"/>
      <c r="H1978" s="98"/>
      <c r="I1978" s="99"/>
      <c r="J1978" s="99"/>
      <c r="K1978" s="99"/>
      <c r="L1978" s="99"/>
      <c r="M1978" s="99"/>
      <c r="N1978" s="99"/>
      <c r="O1978" s="99"/>
      <c r="P1978" s="99"/>
      <c r="Q1978" s="99"/>
      <c r="R1978" s="99"/>
      <c r="S1978" s="99"/>
      <c r="T1978" s="99"/>
      <c r="U1978" s="105"/>
      <c r="V1978" s="262"/>
      <c r="W1978" s="121"/>
      <c r="X1978" s="121"/>
      <c r="Y1978" s="121"/>
      <c r="Z1978" s="121"/>
      <c r="AA1978" s="121"/>
      <c r="AB1978" s="121"/>
      <c r="AC1978" s="121"/>
      <c r="AD1978" s="121"/>
      <c r="AE1978" s="121"/>
      <c r="AF1978" s="121"/>
      <c r="AG1978" s="121"/>
      <c r="AH1978" s="121"/>
      <c r="AI1978" s="121"/>
    </row>
    <row r="1979" spans="1:35" s="115" customFormat="1" ht="14.4">
      <c r="A1979" s="187"/>
      <c r="B1979" s="190"/>
      <c r="C1979" s="190"/>
      <c r="D1979" s="69"/>
      <c r="E1979" s="69"/>
      <c r="F1979" s="149"/>
      <c r="G1979" s="146"/>
      <c r="H1979" s="98"/>
      <c r="I1979" s="99"/>
      <c r="J1979" s="99"/>
      <c r="K1979" s="99"/>
      <c r="L1979" s="99"/>
      <c r="M1979" s="99"/>
      <c r="N1979" s="99"/>
      <c r="O1979" s="99"/>
      <c r="P1979" s="99"/>
      <c r="Q1979" s="99"/>
      <c r="R1979" s="99"/>
      <c r="S1979" s="99"/>
      <c r="T1979" s="99"/>
      <c r="U1979" s="105"/>
      <c r="V1979" s="262"/>
      <c r="W1979" s="121"/>
      <c r="X1979" s="121"/>
      <c r="Y1979" s="121"/>
      <c r="Z1979" s="121"/>
      <c r="AA1979" s="121"/>
      <c r="AB1979" s="121"/>
      <c r="AC1979" s="121"/>
      <c r="AD1979" s="121"/>
      <c r="AE1979" s="121"/>
      <c r="AF1979" s="121"/>
      <c r="AG1979" s="121"/>
      <c r="AH1979" s="121"/>
      <c r="AI1979" s="121"/>
    </row>
    <row r="1980" spans="1:35" s="115" customFormat="1" ht="14.4">
      <c r="A1980" s="187"/>
      <c r="B1980" s="190"/>
      <c r="C1980" s="190"/>
      <c r="D1980" s="69"/>
      <c r="E1980" s="69"/>
      <c r="F1980" s="149"/>
      <c r="G1980" s="146"/>
      <c r="H1980" s="98"/>
      <c r="I1980" s="99"/>
      <c r="J1980" s="99"/>
      <c r="K1980" s="99"/>
      <c r="L1980" s="99"/>
      <c r="M1980" s="99"/>
      <c r="N1980" s="99"/>
      <c r="O1980" s="99"/>
      <c r="P1980" s="99"/>
      <c r="Q1980" s="99"/>
      <c r="R1980" s="99"/>
      <c r="S1980" s="99"/>
      <c r="T1980" s="99"/>
      <c r="U1980" s="105"/>
      <c r="V1980" s="262"/>
      <c r="W1980" s="121"/>
      <c r="X1980" s="121"/>
      <c r="Y1980" s="121"/>
      <c r="Z1980" s="121"/>
      <c r="AA1980" s="121"/>
      <c r="AB1980" s="121"/>
      <c r="AC1980" s="121"/>
      <c r="AD1980" s="121"/>
      <c r="AE1980" s="121"/>
      <c r="AF1980" s="121"/>
      <c r="AG1980" s="121"/>
      <c r="AH1980" s="121"/>
      <c r="AI1980" s="121"/>
    </row>
    <row r="1981" spans="1:35" s="115" customFormat="1" ht="14.4">
      <c r="A1981" s="187"/>
      <c r="B1981" s="190"/>
      <c r="C1981" s="190"/>
      <c r="D1981" s="69"/>
      <c r="E1981" s="69"/>
      <c r="F1981" s="149"/>
      <c r="G1981" s="146"/>
      <c r="H1981" s="98"/>
      <c r="I1981" s="99"/>
      <c r="J1981" s="99"/>
      <c r="K1981" s="99"/>
      <c r="L1981" s="99"/>
      <c r="M1981" s="99"/>
      <c r="N1981" s="99"/>
      <c r="O1981" s="99"/>
      <c r="P1981" s="99"/>
      <c r="Q1981" s="99"/>
      <c r="R1981" s="99"/>
      <c r="S1981" s="99"/>
      <c r="T1981" s="99"/>
      <c r="U1981" s="105"/>
      <c r="V1981" s="262"/>
      <c r="W1981" s="121"/>
      <c r="X1981" s="121"/>
      <c r="Y1981" s="121"/>
      <c r="Z1981" s="121"/>
      <c r="AA1981" s="121"/>
      <c r="AB1981" s="121"/>
      <c r="AC1981" s="121"/>
      <c r="AD1981" s="121"/>
      <c r="AE1981" s="121"/>
      <c r="AF1981" s="121"/>
      <c r="AG1981" s="121"/>
      <c r="AH1981" s="121"/>
      <c r="AI1981" s="121"/>
    </row>
    <row r="1982" spans="1:35" s="115" customFormat="1" ht="14.4">
      <c r="A1982" s="187"/>
      <c r="B1982" s="190"/>
      <c r="C1982" s="190"/>
      <c r="D1982" s="69"/>
      <c r="E1982" s="69"/>
      <c r="F1982" s="149"/>
      <c r="G1982" s="146"/>
      <c r="H1982" s="98"/>
      <c r="I1982" s="99"/>
      <c r="J1982" s="99"/>
      <c r="K1982" s="99"/>
      <c r="L1982" s="99"/>
      <c r="M1982" s="99"/>
      <c r="N1982" s="99"/>
      <c r="O1982" s="99"/>
      <c r="P1982" s="99"/>
      <c r="Q1982" s="99"/>
      <c r="R1982" s="99"/>
      <c r="S1982" s="99"/>
      <c r="T1982" s="99"/>
      <c r="U1982" s="105"/>
      <c r="V1982" s="262"/>
      <c r="W1982" s="121"/>
      <c r="X1982" s="121"/>
      <c r="Y1982" s="121"/>
      <c r="Z1982" s="121"/>
      <c r="AA1982" s="121"/>
      <c r="AB1982" s="121"/>
      <c r="AC1982" s="121"/>
      <c r="AD1982" s="121"/>
      <c r="AE1982" s="121"/>
      <c r="AF1982" s="121"/>
      <c r="AG1982" s="121"/>
      <c r="AH1982" s="121"/>
      <c r="AI1982" s="121"/>
    </row>
    <row r="1983" spans="1:35" s="115" customFormat="1" ht="14.4">
      <c r="A1983" s="187"/>
      <c r="B1983" s="190"/>
      <c r="C1983" s="190"/>
      <c r="D1983" s="69"/>
      <c r="E1983" s="69"/>
      <c r="F1983" s="149"/>
      <c r="G1983" s="146"/>
      <c r="H1983" s="98"/>
      <c r="I1983" s="99"/>
      <c r="J1983" s="99"/>
      <c r="K1983" s="99"/>
      <c r="L1983" s="99"/>
      <c r="M1983" s="99"/>
      <c r="N1983" s="99"/>
      <c r="O1983" s="99"/>
      <c r="P1983" s="99"/>
      <c r="Q1983" s="99"/>
      <c r="R1983" s="99"/>
      <c r="S1983" s="99"/>
      <c r="T1983" s="99"/>
      <c r="U1983" s="105"/>
      <c r="V1983" s="262"/>
      <c r="W1983" s="121"/>
      <c r="X1983" s="121"/>
      <c r="Y1983" s="121"/>
      <c r="Z1983" s="121"/>
      <c r="AA1983" s="121"/>
      <c r="AB1983" s="121"/>
      <c r="AC1983" s="121"/>
      <c r="AD1983" s="121"/>
      <c r="AE1983" s="121"/>
      <c r="AF1983" s="121"/>
      <c r="AG1983" s="121"/>
      <c r="AH1983" s="121"/>
      <c r="AI1983" s="121"/>
    </row>
    <row r="1984" spans="1:35" s="115" customFormat="1" ht="14.4">
      <c r="A1984" s="187"/>
      <c r="B1984" s="190"/>
      <c r="C1984" s="190"/>
      <c r="D1984" s="69"/>
      <c r="E1984" s="69"/>
      <c r="F1984" s="149"/>
      <c r="G1984" s="146"/>
      <c r="H1984" s="98"/>
      <c r="I1984" s="99"/>
      <c r="J1984" s="99"/>
      <c r="K1984" s="99"/>
      <c r="L1984" s="99"/>
      <c r="M1984" s="99"/>
      <c r="N1984" s="99"/>
      <c r="O1984" s="99"/>
      <c r="P1984" s="99"/>
      <c r="Q1984" s="99"/>
      <c r="R1984" s="99"/>
      <c r="S1984" s="99"/>
      <c r="T1984" s="99"/>
      <c r="U1984" s="105"/>
      <c r="V1984" s="262"/>
      <c r="W1984" s="121"/>
      <c r="X1984" s="121"/>
      <c r="Y1984" s="121"/>
      <c r="Z1984" s="121"/>
      <c r="AA1984" s="121"/>
      <c r="AB1984" s="121"/>
      <c r="AC1984" s="121"/>
      <c r="AD1984" s="121"/>
      <c r="AE1984" s="121"/>
      <c r="AF1984" s="121"/>
      <c r="AG1984" s="121"/>
      <c r="AH1984" s="121"/>
      <c r="AI1984" s="121"/>
    </row>
    <row r="1985" spans="1:35" s="115" customFormat="1" ht="14.4">
      <c r="A1985" s="187"/>
      <c r="B1985" s="190"/>
      <c r="C1985" s="190"/>
      <c r="D1985" s="69"/>
      <c r="E1985" s="69"/>
      <c r="F1985" s="149"/>
      <c r="G1985" s="146"/>
      <c r="H1985" s="107"/>
      <c r="I1985" s="109"/>
      <c r="J1985" s="109"/>
      <c r="K1985" s="109"/>
      <c r="L1985" s="109"/>
      <c r="M1985" s="109"/>
      <c r="N1985" s="109"/>
      <c r="O1985" s="109"/>
      <c r="P1985" s="109"/>
      <c r="Q1985" s="109"/>
      <c r="R1985" s="109"/>
      <c r="S1985" s="109"/>
      <c r="T1985" s="109"/>
      <c r="U1985" s="105"/>
      <c r="V1985" s="262"/>
      <c r="W1985" s="121"/>
      <c r="X1985" s="121"/>
      <c r="Y1985" s="121"/>
      <c r="Z1985" s="121"/>
      <c r="AA1985" s="121"/>
      <c r="AB1985" s="121"/>
      <c r="AC1985" s="121"/>
      <c r="AD1985" s="121"/>
      <c r="AE1985" s="121"/>
      <c r="AF1985" s="121"/>
      <c r="AG1985" s="121"/>
      <c r="AH1985" s="121"/>
      <c r="AI1985" s="121"/>
    </row>
    <row r="1986" spans="1:35" s="115" customFormat="1" ht="14.4">
      <c r="A1986" s="187"/>
      <c r="B1986" s="190"/>
      <c r="C1986" s="190"/>
      <c r="D1986" s="69"/>
      <c r="E1986" s="69"/>
      <c r="F1986" s="149"/>
      <c r="G1986" s="146"/>
      <c r="H1986" s="98"/>
      <c r="I1986" s="106"/>
      <c r="J1986" s="106"/>
      <c r="K1986" s="106"/>
      <c r="L1986" s="106"/>
      <c r="M1986" s="106"/>
      <c r="N1986" s="112"/>
      <c r="O1986" s="112"/>
      <c r="P1986" s="112"/>
      <c r="Q1986" s="113"/>
      <c r="R1986" s="113"/>
      <c r="S1986" s="113"/>
      <c r="T1986" s="113"/>
      <c r="U1986" s="105"/>
      <c r="V1986" s="262"/>
      <c r="W1986" s="121"/>
      <c r="X1986" s="121"/>
      <c r="Y1986" s="121"/>
      <c r="Z1986" s="121"/>
      <c r="AA1986" s="121"/>
      <c r="AB1986" s="121"/>
      <c r="AC1986" s="121"/>
      <c r="AD1986" s="121"/>
      <c r="AE1986" s="121"/>
      <c r="AF1986" s="121"/>
      <c r="AG1986" s="121"/>
      <c r="AH1986" s="121"/>
      <c r="AI1986" s="121"/>
    </row>
    <row r="1987" spans="1:35" s="115" customFormat="1" ht="14.4">
      <c r="A1987" s="187"/>
      <c r="B1987" s="190"/>
      <c r="C1987" s="190"/>
      <c r="D1987" s="69"/>
      <c r="E1987" s="69"/>
      <c r="F1987" s="149"/>
      <c r="G1987" s="146"/>
      <c r="H1987" s="98"/>
      <c r="I1987" s="99"/>
      <c r="J1987" s="99"/>
      <c r="K1987" s="99"/>
      <c r="L1987" s="99"/>
      <c r="M1987" s="99"/>
      <c r="N1987" s="99"/>
      <c r="O1987" s="99"/>
      <c r="P1987" s="99"/>
      <c r="Q1987" s="99"/>
      <c r="R1987" s="99"/>
      <c r="S1987" s="99"/>
      <c r="T1987" s="99"/>
      <c r="U1987" s="105"/>
      <c r="V1987" s="262"/>
      <c r="W1987" s="121"/>
      <c r="X1987" s="121"/>
      <c r="Y1987" s="121"/>
      <c r="Z1987" s="121"/>
      <c r="AA1987" s="121"/>
      <c r="AB1987" s="121"/>
      <c r="AC1987" s="121"/>
      <c r="AD1987" s="121"/>
      <c r="AE1987" s="121"/>
      <c r="AF1987" s="121"/>
      <c r="AG1987" s="121"/>
      <c r="AH1987" s="121"/>
      <c r="AI1987" s="121"/>
    </row>
    <row r="1988" spans="1:35" s="115" customFormat="1" ht="14.4">
      <c r="A1988" s="187"/>
      <c r="B1988" s="190"/>
      <c r="C1988" s="190"/>
      <c r="D1988" s="69"/>
      <c r="E1988" s="69"/>
      <c r="F1988" s="149"/>
      <c r="G1988" s="146"/>
      <c r="H1988" s="98"/>
      <c r="I1988" s="99"/>
      <c r="J1988" s="99"/>
      <c r="K1988" s="99"/>
      <c r="L1988" s="99"/>
      <c r="M1988" s="99"/>
      <c r="N1988" s="99"/>
      <c r="O1988" s="99"/>
      <c r="P1988" s="99"/>
      <c r="Q1988" s="99"/>
      <c r="R1988" s="99"/>
      <c r="S1988" s="99"/>
      <c r="T1988" s="99"/>
      <c r="U1988" s="105"/>
      <c r="V1988" s="262"/>
      <c r="W1988" s="121"/>
      <c r="X1988" s="121"/>
      <c r="Y1988" s="121"/>
      <c r="Z1988" s="121"/>
      <c r="AA1988" s="121"/>
      <c r="AB1988" s="121"/>
      <c r="AC1988" s="121"/>
      <c r="AD1988" s="121"/>
      <c r="AE1988" s="121"/>
      <c r="AF1988" s="121"/>
      <c r="AG1988" s="121"/>
      <c r="AH1988" s="121"/>
      <c r="AI1988" s="121"/>
    </row>
    <row r="1989" spans="1:35" s="115" customFormat="1" ht="14.4">
      <c r="A1989" s="187"/>
      <c r="B1989" s="190"/>
      <c r="C1989" s="190"/>
      <c r="D1989" s="69"/>
      <c r="E1989" s="69"/>
      <c r="F1989" s="149"/>
      <c r="G1989" s="146"/>
      <c r="H1989" s="98"/>
      <c r="I1989" s="99"/>
      <c r="J1989" s="99"/>
      <c r="K1989" s="99"/>
      <c r="L1989" s="99"/>
      <c r="M1989" s="99"/>
      <c r="N1989" s="99"/>
      <c r="O1989" s="99"/>
      <c r="P1989" s="99"/>
      <c r="Q1989" s="99"/>
      <c r="R1989" s="99"/>
      <c r="S1989" s="99"/>
      <c r="T1989" s="99"/>
      <c r="U1989" s="105"/>
      <c r="V1989" s="262"/>
      <c r="W1989" s="121"/>
      <c r="X1989" s="121"/>
      <c r="Y1989" s="121"/>
      <c r="Z1989" s="121"/>
      <c r="AA1989" s="121"/>
      <c r="AB1989" s="121"/>
      <c r="AC1989" s="121"/>
      <c r="AD1989" s="121"/>
      <c r="AE1989" s="121"/>
      <c r="AF1989" s="121"/>
      <c r="AG1989" s="121"/>
      <c r="AH1989" s="121"/>
      <c r="AI1989" s="121"/>
    </row>
    <row r="1990" spans="1:35" s="115" customFormat="1" ht="14.4">
      <c r="A1990" s="187"/>
      <c r="B1990" s="190"/>
      <c r="C1990" s="190"/>
      <c r="D1990" s="69"/>
      <c r="E1990" s="69"/>
      <c r="F1990" s="149"/>
      <c r="G1990" s="146"/>
      <c r="H1990" s="107"/>
      <c r="I1990" s="108"/>
      <c r="J1990" s="108"/>
      <c r="K1990" s="108"/>
      <c r="L1990" s="108"/>
      <c r="M1990" s="108"/>
      <c r="N1990" s="108"/>
      <c r="O1990" s="108"/>
      <c r="P1990" s="108"/>
      <c r="Q1990" s="108"/>
      <c r="R1990" s="108"/>
      <c r="S1990" s="108"/>
      <c r="T1990" s="108"/>
      <c r="U1990" s="105"/>
      <c r="V1990" s="262"/>
      <c r="W1990" s="121"/>
      <c r="X1990" s="121"/>
      <c r="Y1990" s="121"/>
      <c r="Z1990" s="121"/>
      <c r="AA1990" s="121"/>
      <c r="AB1990" s="121"/>
      <c r="AC1990" s="121"/>
      <c r="AD1990" s="121"/>
      <c r="AE1990" s="121"/>
      <c r="AF1990" s="121"/>
      <c r="AG1990" s="121"/>
      <c r="AH1990" s="121"/>
      <c r="AI1990" s="121"/>
    </row>
    <row r="1991" spans="1:35" s="115" customFormat="1" ht="14.4">
      <c r="A1991" s="187"/>
      <c r="B1991" s="190"/>
      <c r="C1991" s="190"/>
      <c r="D1991" s="69"/>
      <c r="E1991" s="69"/>
      <c r="F1991" s="149"/>
      <c r="G1991" s="146"/>
      <c r="H1991" s="98"/>
      <c r="I1991" s="106"/>
      <c r="J1991" s="106"/>
      <c r="K1991" s="106"/>
      <c r="L1991" s="106"/>
      <c r="M1991" s="106"/>
      <c r="N1991" s="112"/>
      <c r="O1991" s="112"/>
      <c r="P1991" s="112"/>
      <c r="Q1991" s="113"/>
      <c r="R1991" s="113"/>
      <c r="S1991" s="113"/>
      <c r="T1991" s="113"/>
      <c r="U1991" s="105"/>
      <c r="V1991" s="262"/>
      <c r="W1991" s="121"/>
      <c r="X1991" s="121"/>
      <c r="Y1991" s="121"/>
      <c r="Z1991" s="121"/>
      <c r="AA1991" s="121"/>
      <c r="AB1991" s="121"/>
      <c r="AC1991" s="121"/>
      <c r="AD1991" s="121"/>
      <c r="AE1991" s="121"/>
      <c r="AF1991" s="121"/>
      <c r="AG1991" s="121"/>
      <c r="AH1991" s="121"/>
      <c r="AI1991" s="121"/>
    </row>
    <row r="1992" spans="1:35" s="115" customFormat="1" ht="14.4">
      <c r="A1992" s="187"/>
      <c r="B1992" s="190"/>
      <c r="C1992" s="190"/>
      <c r="D1992" s="69"/>
      <c r="E1992" s="69"/>
      <c r="F1992" s="149"/>
      <c r="G1992" s="146"/>
      <c r="H1992" s="114"/>
      <c r="I1992" s="108"/>
      <c r="J1992" s="108"/>
      <c r="K1992" s="108"/>
      <c r="L1992" s="108"/>
      <c r="M1992" s="108"/>
      <c r="N1992" s="108"/>
      <c r="O1992" s="108"/>
      <c r="P1992" s="108"/>
      <c r="Q1992" s="108"/>
      <c r="R1992" s="108"/>
      <c r="S1992" s="108"/>
      <c r="T1992" s="108"/>
      <c r="U1992" s="105"/>
      <c r="V1992" s="262"/>
      <c r="W1992" s="121"/>
      <c r="X1992" s="121"/>
      <c r="Y1992" s="121"/>
      <c r="Z1992" s="121"/>
      <c r="AA1992" s="121"/>
      <c r="AB1992" s="121"/>
      <c r="AC1992" s="121"/>
      <c r="AD1992" s="121"/>
      <c r="AE1992" s="121"/>
      <c r="AF1992" s="121"/>
      <c r="AG1992" s="121"/>
      <c r="AH1992" s="121"/>
      <c r="AI1992" s="121"/>
    </row>
    <row r="1993" spans="1:35" s="115" customFormat="1" ht="14.4">
      <c r="A1993" s="187"/>
      <c r="B1993" s="190"/>
      <c r="C1993" s="190"/>
      <c r="D1993" s="69"/>
      <c r="E1993" s="69"/>
      <c r="F1993" s="149"/>
      <c r="G1993" s="146"/>
      <c r="H1993" s="89"/>
      <c r="I1993" s="233"/>
      <c r="J1993" s="233"/>
      <c r="K1993" s="233"/>
      <c r="L1993" s="233"/>
      <c r="M1993" s="233"/>
      <c r="N1993" s="233"/>
      <c r="O1993" s="233"/>
      <c r="P1993" s="233"/>
      <c r="Q1993" s="233"/>
      <c r="R1993" s="233"/>
      <c r="S1993" s="233"/>
      <c r="T1993" s="233"/>
      <c r="U1993" s="105"/>
      <c r="V1993" s="262"/>
      <c r="W1993" s="121"/>
      <c r="X1993" s="121"/>
      <c r="Y1993" s="121"/>
      <c r="Z1993" s="121"/>
      <c r="AA1993" s="121"/>
      <c r="AB1993" s="121"/>
      <c r="AC1993" s="121"/>
      <c r="AD1993" s="121"/>
      <c r="AE1993" s="121"/>
      <c r="AF1993" s="121"/>
      <c r="AG1993" s="121"/>
      <c r="AH1993" s="121"/>
      <c r="AI1993" s="121"/>
    </row>
    <row r="1994" spans="1:35" s="115" customFormat="1" ht="15" thickBot="1">
      <c r="A1994" s="187"/>
      <c r="B1994" s="190"/>
      <c r="C1994" s="190"/>
      <c r="D1994" s="69"/>
      <c r="E1994" s="69"/>
      <c r="F1994" s="149"/>
      <c r="G1994" s="146"/>
      <c r="H1994" s="98"/>
      <c r="I1994" s="218"/>
      <c r="J1994" s="218"/>
      <c r="K1994" s="218"/>
      <c r="L1994" s="218"/>
      <c r="M1994" s="218"/>
      <c r="N1994" s="96"/>
      <c r="O1994" s="96"/>
      <c r="P1994" s="96"/>
      <c r="Q1994" s="212"/>
      <c r="R1994" s="212"/>
      <c r="S1994" s="212"/>
      <c r="T1994" s="212"/>
      <c r="U1994" s="105"/>
      <c r="V1994" s="262"/>
      <c r="W1994" s="121"/>
      <c r="X1994" s="121"/>
      <c r="Y1994" s="121"/>
      <c r="Z1994" s="121"/>
      <c r="AA1994" s="121"/>
      <c r="AB1994" s="121"/>
      <c r="AC1994" s="121"/>
      <c r="AD1994" s="121"/>
      <c r="AE1994" s="121"/>
      <c r="AF1994" s="121"/>
      <c r="AG1994" s="121"/>
      <c r="AH1994" s="121"/>
      <c r="AI1994" s="121"/>
    </row>
    <row r="1995" spans="1:35" s="115" customFormat="1" ht="23.4" thickBot="1">
      <c r="A1995" s="187"/>
      <c r="B1995" s="190"/>
      <c r="C1995" s="190"/>
      <c r="D1995" s="69"/>
      <c r="E1995" s="69"/>
      <c r="F1995" s="149"/>
      <c r="G1995" s="146"/>
      <c r="H1995" s="686"/>
      <c r="I1995" s="687"/>
      <c r="J1995" s="687"/>
      <c r="K1995" s="687"/>
      <c r="L1995" s="687"/>
      <c r="M1995" s="687"/>
      <c r="N1995" s="687"/>
      <c r="O1995" s="687"/>
      <c r="P1995" s="687"/>
      <c r="Q1995" s="687"/>
      <c r="R1995" s="687"/>
      <c r="S1995" s="687"/>
      <c r="T1995" s="688"/>
      <c r="U1995" s="105"/>
      <c r="V1995" s="262"/>
      <c r="W1995" s="121"/>
      <c r="X1995" s="121"/>
      <c r="Y1995" s="121"/>
      <c r="Z1995" s="121"/>
      <c r="AA1995" s="121"/>
      <c r="AB1995" s="121"/>
      <c r="AC1995" s="121"/>
      <c r="AD1995" s="121"/>
      <c r="AE1995" s="121"/>
      <c r="AF1995" s="121"/>
      <c r="AG1995" s="121"/>
      <c r="AH1995" s="121"/>
      <c r="AI1995" s="121"/>
    </row>
    <row r="1996" spans="1:35" s="115" customFormat="1" ht="22.8">
      <c r="A1996" s="187"/>
      <c r="B1996" s="190"/>
      <c r="C1996" s="190"/>
      <c r="D1996" s="69"/>
      <c r="E1996" s="69"/>
      <c r="F1996" s="149"/>
      <c r="G1996" s="146"/>
      <c r="H1996" s="225"/>
      <c r="I1996" s="225"/>
      <c r="J1996" s="225"/>
      <c r="K1996" s="225"/>
      <c r="L1996" s="225"/>
      <c r="M1996" s="225"/>
      <c r="N1996" s="225"/>
      <c r="O1996" s="225"/>
      <c r="P1996" s="225"/>
      <c r="Q1996" s="225"/>
      <c r="R1996" s="225"/>
      <c r="S1996" s="225"/>
      <c r="T1996" s="225"/>
      <c r="U1996" s="105"/>
      <c r="V1996" s="262"/>
      <c r="W1996" s="121"/>
      <c r="X1996" s="121"/>
      <c r="Y1996" s="121"/>
      <c r="Z1996" s="121"/>
      <c r="AA1996" s="121"/>
      <c r="AB1996" s="121"/>
      <c r="AC1996" s="121"/>
      <c r="AD1996" s="121"/>
      <c r="AE1996" s="121"/>
      <c r="AF1996" s="121"/>
      <c r="AG1996" s="121"/>
      <c r="AH1996" s="121"/>
      <c r="AI1996" s="121"/>
    </row>
    <row r="1997" spans="1:35" s="115" customFormat="1" ht="14.4">
      <c r="A1997" s="187"/>
      <c r="B1997" s="190"/>
      <c r="C1997" s="190"/>
      <c r="D1997" s="69"/>
      <c r="E1997" s="69"/>
      <c r="F1997" s="149"/>
      <c r="G1997" s="146"/>
      <c r="H1997" s="98"/>
      <c r="I1997" s="99"/>
      <c r="J1997" s="99"/>
      <c r="K1997" s="99"/>
      <c r="L1997" s="99"/>
      <c r="M1997" s="99"/>
      <c r="N1997" s="99"/>
      <c r="O1997" s="99"/>
      <c r="P1997" s="99"/>
      <c r="Q1997" s="99"/>
      <c r="R1997" s="99"/>
      <c r="S1997" s="99"/>
      <c r="T1997" s="99"/>
      <c r="U1997" s="105"/>
      <c r="V1997" s="262"/>
      <c r="W1997" s="121"/>
      <c r="X1997" s="121"/>
      <c r="Y1997" s="121"/>
      <c r="Z1997" s="121"/>
      <c r="AA1997" s="121"/>
      <c r="AB1997" s="121"/>
      <c r="AC1997" s="121"/>
      <c r="AD1997" s="121"/>
      <c r="AE1997" s="121"/>
      <c r="AF1997" s="121"/>
      <c r="AG1997" s="121"/>
      <c r="AH1997" s="121"/>
      <c r="AI1997" s="121"/>
    </row>
    <row r="1998" spans="1:35" s="115" customFormat="1" ht="14.4">
      <c r="A1998" s="187"/>
      <c r="B1998" s="190"/>
      <c r="C1998" s="190"/>
      <c r="D1998" s="69"/>
      <c r="E1998" s="69"/>
      <c r="F1998" s="149"/>
      <c r="G1998" s="146"/>
      <c r="H1998" s="98"/>
      <c r="I1998" s="99"/>
      <c r="J1998" s="99"/>
      <c r="K1998" s="99"/>
      <c r="L1998" s="99"/>
      <c r="M1998" s="99"/>
      <c r="N1998" s="99"/>
      <c r="O1998" s="99"/>
      <c r="P1998" s="99"/>
      <c r="Q1998" s="99"/>
      <c r="R1998" s="99"/>
      <c r="S1998" s="99"/>
      <c r="T1998" s="99"/>
      <c r="U1998" s="105"/>
      <c r="V1998" s="262"/>
      <c r="W1998" s="121"/>
      <c r="X1998" s="121"/>
      <c r="Y1998" s="121"/>
      <c r="Z1998" s="121"/>
      <c r="AA1998" s="121"/>
      <c r="AB1998" s="121"/>
      <c r="AC1998" s="121"/>
      <c r="AD1998" s="121"/>
      <c r="AE1998" s="121"/>
      <c r="AF1998" s="121"/>
      <c r="AG1998" s="121"/>
      <c r="AH1998" s="121"/>
      <c r="AI1998" s="121"/>
    </row>
    <row r="1999" spans="1:35" s="115" customFormat="1" ht="14.4">
      <c r="A1999" s="187"/>
      <c r="B1999" s="190"/>
      <c r="C1999" s="190"/>
      <c r="D1999" s="69"/>
      <c r="E1999" s="69"/>
      <c r="F1999" s="149"/>
      <c r="G1999" s="146"/>
      <c r="H1999" s="98"/>
      <c r="I1999" s="99"/>
      <c r="J1999" s="99"/>
      <c r="K1999" s="99"/>
      <c r="L1999" s="99"/>
      <c r="M1999" s="99"/>
      <c r="N1999" s="99"/>
      <c r="O1999" s="99"/>
      <c r="P1999" s="99"/>
      <c r="Q1999" s="99"/>
      <c r="R1999" s="99"/>
      <c r="S1999" s="99"/>
      <c r="T1999" s="99"/>
      <c r="U1999" s="105"/>
      <c r="V1999" s="262"/>
      <c r="W1999" s="121"/>
      <c r="X1999" s="121"/>
      <c r="Y1999" s="121"/>
      <c r="Z1999" s="121"/>
      <c r="AA1999" s="121"/>
      <c r="AB1999" s="121"/>
      <c r="AC1999" s="121"/>
      <c r="AD1999" s="121"/>
      <c r="AE1999" s="121"/>
      <c r="AF1999" s="121"/>
      <c r="AG1999" s="121"/>
      <c r="AH1999" s="121"/>
      <c r="AI1999" s="121"/>
    </row>
    <row r="2000" spans="1:35" s="115" customFormat="1" ht="14.4">
      <c r="A2000" s="187"/>
      <c r="B2000" s="190"/>
      <c r="C2000" s="190"/>
      <c r="D2000" s="69"/>
      <c r="E2000" s="69"/>
      <c r="F2000" s="149"/>
      <c r="G2000" s="146"/>
      <c r="H2000" s="98"/>
      <c r="I2000" s="99"/>
      <c r="J2000" s="99"/>
      <c r="K2000" s="99"/>
      <c r="L2000" s="99"/>
      <c r="M2000" s="99"/>
      <c r="N2000" s="99"/>
      <c r="O2000" s="99"/>
      <c r="P2000" s="99"/>
      <c r="Q2000" s="99"/>
      <c r="R2000" s="99"/>
      <c r="S2000" s="99"/>
      <c r="T2000" s="99"/>
      <c r="U2000" s="105"/>
      <c r="V2000" s="262"/>
      <c r="W2000" s="121"/>
      <c r="X2000" s="121"/>
      <c r="Y2000" s="121"/>
      <c r="Z2000" s="121"/>
      <c r="AA2000" s="121"/>
      <c r="AB2000" s="121"/>
      <c r="AC2000" s="121"/>
      <c r="AD2000" s="121"/>
      <c r="AE2000" s="121"/>
      <c r="AF2000" s="121"/>
      <c r="AG2000" s="121"/>
      <c r="AH2000" s="121"/>
      <c r="AI2000" s="121"/>
    </row>
    <row r="2001" spans="1:35" s="115" customFormat="1" ht="14.4">
      <c r="A2001" s="187"/>
      <c r="B2001" s="190"/>
      <c r="C2001" s="190"/>
      <c r="D2001" s="69"/>
      <c r="E2001" s="69"/>
      <c r="F2001" s="149"/>
      <c r="G2001" s="146"/>
      <c r="H2001" s="98"/>
      <c r="I2001" s="99"/>
      <c r="J2001" s="99"/>
      <c r="K2001" s="99"/>
      <c r="L2001" s="99"/>
      <c r="M2001" s="99"/>
      <c r="N2001" s="99"/>
      <c r="O2001" s="99"/>
      <c r="P2001" s="99"/>
      <c r="Q2001" s="99"/>
      <c r="R2001" s="99"/>
      <c r="S2001" s="99"/>
      <c r="T2001" s="99"/>
      <c r="U2001" s="105"/>
      <c r="V2001" s="262"/>
      <c r="W2001" s="121"/>
      <c r="X2001" s="121"/>
      <c r="Y2001" s="121"/>
      <c r="Z2001" s="121"/>
      <c r="AA2001" s="121"/>
      <c r="AB2001" s="121"/>
      <c r="AC2001" s="121"/>
      <c r="AD2001" s="121"/>
      <c r="AE2001" s="121"/>
      <c r="AF2001" s="121"/>
      <c r="AG2001" s="121"/>
      <c r="AH2001" s="121"/>
      <c r="AI2001" s="121"/>
    </row>
    <row r="2002" spans="1:35" s="115" customFormat="1" ht="14.4">
      <c r="A2002" s="187"/>
      <c r="B2002" s="190"/>
      <c r="C2002" s="190"/>
      <c r="D2002" s="69"/>
      <c r="E2002" s="69"/>
      <c r="F2002" s="149"/>
      <c r="G2002" s="146"/>
      <c r="H2002" s="98"/>
      <c r="I2002" s="99"/>
      <c r="J2002" s="99"/>
      <c r="K2002" s="99"/>
      <c r="L2002" s="99"/>
      <c r="M2002" s="99"/>
      <c r="N2002" s="99"/>
      <c r="O2002" s="99"/>
      <c r="P2002" s="99"/>
      <c r="Q2002" s="99"/>
      <c r="R2002" s="99"/>
      <c r="S2002" s="99"/>
      <c r="T2002" s="99"/>
      <c r="U2002" s="105"/>
      <c r="V2002" s="262"/>
      <c r="W2002" s="121"/>
      <c r="X2002" s="121"/>
      <c r="Y2002" s="121"/>
      <c r="Z2002" s="121"/>
      <c r="AA2002" s="121"/>
      <c r="AB2002" s="121"/>
      <c r="AC2002" s="121"/>
      <c r="AD2002" s="121"/>
      <c r="AE2002" s="121"/>
      <c r="AF2002" s="121"/>
      <c r="AG2002" s="121"/>
      <c r="AH2002" s="121"/>
      <c r="AI2002" s="121"/>
    </row>
    <row r="2003" spans="1:35" s="115" customFormat="1" ht="14.4">
      <c r="A2003" s="187"/>
      <c r="B2003" s="190"/>
      <c r="C2003" s="190"/>
      <c r="D2003" s="69"/>
      <c r="E2003" s="69"/>
      <c r="F2003" s="149"/>
      <c r="G2003" s="146"/>
      <c r="H2003" s="98"/>
      <c r="I2003" s="99"/>
      <c r="J2003" s="99"/>
      <c r="K2003" s="99"/>
      <c r="L2003" s="99"/>
      <c r="M2003" s="99"/>
      <c r="N2003" s="99"/>
      <c r="O2003" s="99"/>
      <c r="P2003" s="99"/>
      <c r="Q2003" s="99"/>
      <c r="R2003" s="99"/>
      <c r="S2003" s="99"/>
      <c r="T2003" s="99"/>
      <c r="U2003" s="105"/>
      <c r="V2003" s="262"/>
      <c r="W2003" s="121"/>
      <c r="X2003" s="121"/>
      <c r="Y2003" s="121"/>
      <c r="Z2003" s="121"/>
      <c r="AA2003" s="121"/>
      <c r="AB2003" s="121"/>
      <c r="AC2003" s="121"/>
      <c r="AD2003" s="121"/>
      <c r="AE2003" s="121"/>
      <c r="AF2003" s="121"/>
      <c r="AG2003" s="121"/>
      <c r="AH2003" s="121"/>
      <c r="AI2003" s="121"/>
    </row>
    <row r="2004" spans="1:35" s="115" customFormat="1" ht="14.4">
      <c r="A2004" s="187"/>
      <c r="B2004" s="190"/>
      <c r="C2004" s="190"/>
      <c r="D2004" s="69"/>
      <c r="E2004" s="69"/>
      <c r="F2004" s="149"/>
      <c r="G2004" s="146"/>
      <c r="H2004" s="98"/>
      <c r="I2004" s="99"/>
      <c r="J2004" s="99"/>
      <c r="K2004" s="99"/>
      <c r="L2004" s="99"/>
      <c r="M2004" s="99"/>
      <c r="N2004" s="99"/>
      <c r="O2004" s="99"/>
      <c r="P2004" s="99"/>
      <c r="Q2004" s="99"/>
      <c r="R2004" s="99"/>
      <c r="S2004" s="99"/>
      <c r="T2004" s="99"/>
      <c r="U2004" s="105"/>
      <c r="V2004" s="262"/>
      <c r="W2004" s="121"/>
      <c r="X2004" s="121"/>
      <c r="Y2004" s="121"/>
      <c r="Z2004" s="121"/>
      <c r="AA2004" s="121"/>
      <c r="AB2004" s="121"/>
      <c r="AC2004" s="121"/>
      <c r="AD2004" s="121"/>
      <c r="AE2004" s="121"/>
      <c r="AF2004" s="121"/>
      <c r="AG2004" s="121"/>
      <c r="AH2004" s="121"/>
      <c r="AI2004" s="121"/>
    </row>
    <row r="2005" spans="1:35" s="115" customFormat="1" ht="14.4">
      <c r="A2005" s="187"/>
      <c r="B2005" s="190"/>
      <c r="C2005" s="190"/>
      <c r="D2005" s="69"/>
      <c r="E2005" s="69"/>
      <c r="F2005" s="149"/>
      <c r="G2005" s="146"/>
      <c r="H2005" s="98"/>
      <c r="I2005" s="99"/>
      <c r="J2005" s="99"/>
      <c r="K2005" s="99"/>
      <c r="L2005" s="99"/>
      <c r="M2005" s="99"/>
      <c r="N2005" s="99"/>
      <c r="O2005" s="99"/>
      <c r="P2005" s="99"/>
      <c r="Q2005" s="99"/>
      <c r="R2005" s="99"/>
      <c r="S2005" s="99"/>
      <c r="T2005" s="99"/>
      <c r="U2005" s="105"/>
      <c r="V2005" s="262"/>
      <c r="W2005" s="121"/>
      <c r="X2005" s="121"/>
      <c r="Y2005" s="121"/>
      <c r="Z2005" s="121"/>
      <c r="AA2005" s="121"/>
      <c r="AB2005" s="121"/>
      <c r="AC2005" s="121"/>
      <c r="AD2005" s="121"/>
      <c r="AE2005" s="121"/>
      <c r="AF2005" s="121"/>
      <c r="AG2005" s="121"/>
      <c r="AH2005" s="121"/>
      <c r="AI2005" s="121"/>
    </row>
    <row r="2006" spans="1:35" s="115" customFormat="1" ht="14.4">
      <c r="A2006" s="187"/>
      <c r="B2006" s="190"/>
      <c r="C2006" s="190"/>
      <c r="D2006" s="69"/>
      <c r="E2006" s="69"/>
      <c r="F2006" s="149"/>
      <c r="G2006" s="146"/>
      <c r="H2006" s="98"/>
      <c r="I2006" s="99"/>
      <c r="J2006" s="99"/>
      <c r="K2006" s="99"/>
      <c r="L2006" s="99"/>
      <c r="M2006" s="99"/>
      <c r="N2006" s="99"/>
      <c r="O2006" s="99"/>
      <c r="P2006" s="99"/>
      <c r="Q2006" s="99"/>
      <c r="R2006" s="99"/>
      <c r="S2006" s="99"/>
      <c r="T2006" s="99"/>
      <c r="U2006" s="105"/>
      <c r="V2006" s="262"/>
      <c r="W2006" s="121"/>
      <c r="X2006" s="121"/>
      <c r="Y2006" s="121"/>
      <c r="Z2006" s="121"/>
      <c r="AA2006" s="121"/>
      <c r="AB2006" s="121"/>
      <c r="AC2006" s="121"/>
      <c r="AD2006" s="121"/>
      <c r="AE2006" s="121"/>
      <c r="AF2006" s="121"/>
      <c r="AG2006" s="121"/>
      <c r="AH2006" s="121"/>
      <c r="AI2006" s="121"/>
    </row>
    <row r="2007" spans="1:35" s="115" customFormat="1" ht="14.4">
      <c r="A2007" s="187"/>
      <c r="B2007" s="190"/>
      <c r="C2007" s="190"/>
      <c r="D2007" s="69"/>
      <c r="E2007" s="69"/>
      <c r="F2007" s="149"/>
      <c r="G2007" s="146"/>
      <c r="H2007" s="107"/>
      <c r="I2007" s="108"/>
      <c r="J2007" s="108"/>
      <c r="K2007" s="108"/>
      <c r="L2007" s="108"/>
      <c r="M2007" s="108"/>
      <c r="N2007" s="109"/>
      <c r="O2007" s="109"/>
      <c r="P2007" s="109"/>
      <c r="Q2007" s="109"/>
      <c r="R2007" s="109"/>
      <c r="S2007" s="109"/>
      <c r="T2007" s="109"/>
      <c r="U2007" s="105"/>
      <c r="V2007" s="262"/>
      <c r="W2007" s="121"/>
      <c r="X2007" s="121"/>
      <c r="Y2007" s="121"/>
      <c r="Z2007" s="121"/>
      <c r="AA2007" s="121"/>
      <c r="AB2007" s="121"/>
      <c r="AC2007" s="121"/>
      <c r="AD2007" s="121"/>
      <c r="AE2007" s="121"/>
      <c r="AF2007" s="121"/>
      <c r="AG2007" s="121"/>
      <c r="AH2007" s="121"/>
      <c r="AI2007" s="121"/>
    </row>
    <row r="2008" spans="1:35" s="115" customFormat="1" ht="14.4">
      <c r="A2008" s="187"/>
      <c r="B2008" s="190"/>
      <c r="C2008" s="190"/>
      <c r="D2008" s="69"/>
      <c r="E2008" s="69"/>
      <c r="F2008" s="149"/>
      <c r="G2008" s="146"/>
      <c r="H2008" s="98"/>
      <c r="I2008" s="106"/>
      <c r="J2008" s="106"/>
      <c r="K2008" s="106"/>
      <c r="L2008" s="106"/>
      <c r="M2008" s="106"/>
      <c r="N2008" s="112"/>
      <c r="O2008" s="112"/>
      <c r="P2008" s="112"/>
      <c r="Q2008" s="113"/>
      <c r="R2008" s="113"/>
      <c r="S2008" s="113"/>
      <c r="T2008" s="113"/>
      <c r="U2008" s="105"/>
      <c r="V2008" s="262"/>
      <c r="W2008" s="121"/>
      <c r="X2008" s="121"/>
      <c r="Y2008" s="121"/>
      <c r="Z2008" s="121"/>
      <c r="AA2008" s="121"/>
      <c r="AB2008" s="121"/>
      <c r="AC2008" s="121"/>
      <c r="AD2008" s="121"/>
      <c r="AE2008" s="121"/>
      <c r="AF2008" s="121"/>
      <c r="AG2008" s="121"/>
      <c r="AH2008" s="121"/>
      <c r="AI2008" s="121"/>
    </row>
    <row r="2009" spans="1:35" s="115" customFormat="1" ht="14.4">
      <c r="A2009" s="187"/>
      <c r="B2009" s="190"/>
      <c r="C2009" s="190"/>
      <c r="D2009" s="69"/>
      <c r="E2009" s="69"/>
      <c r="F2009" s="149"/>
      <c r="G2009" s="146"/>
      <c r="H2009" s="98"/>
      <c r="I2009" s="99"/>
      <c r="J2009" s="99"/>
      <c r="K2009" s="99"/>
      <c r="L2009" s="99"/>
      <c r="M2009" s="99"/>
      <c r="N2009" s="99"/>
      <c r="O2009" s="99"/>
      <c r="P2009" s="99"/>
      <c r="Q2009" s="99"/>
      <c r="R2009" s="99"/>
      <c r="S2009" s="99"/>
      <c r="T2009" s="99"/>
      <c r="U2009" s="105"/>
      <c r="V2009" s="262"/>
      <c r="W2009" s="121"/>
      <c r="X2009" s="121"/>
      <c r="Y2009" s="121"/>
      <c r="Z2009" s="121"/>
      <c r="AA2009" s="121"/>
      <c r="AB2009" s="121"/>
      <c r="AC2009" s="121"/>
      <c r="AD2009" s="121"/>
      <c r="AE2009" s="121"/>
      <c r="AF2009" s="121"/>
      <c r="AG2009" s="121"/>
      <c r="AH2009" s="121"/>
      <c r="AI2009" s="121"/>
    </row>
    <row r="2010" spans="1:35" s="115" customFormat="1" ht="14.4">
      <c r="A2010" s="187"/>
      <c r="B2010" s="190"/>
      <c r="C2010" s="190"/>
      <c r="D2010" s="69"/>
      <c r="E2010" s="69"/>
      <c r="F2010" s="149"/>
      <c r="G2010" s="146"/>
      <c r="H2010" s="98"/>
      <c r="I2010" s="99"/>
      <c r="J2010" s="99"/>
      <c r="K2010" s="99"/>
      <c r="L2010" s="99"/>
      <c r="M2010" s="99"/>
      <c r="N2010" s="99"/>
      <c r="O2010" s="99"/>
      <c r="P2010" s="99"/>
      <c r="Q2010" s="99"/>
      <c r="R2010" s="99"/>
      <c r="S2010" s="99"/>
      <c r="T2010" s="99"/>
      <c r="U2010" s="105"/>
      <c r="V2010" s="262"/>
      <c r="W2010" s="121"/>
      <c r="X2010" s="121"/>
      <c r="Y2010" s="121"/>
      <c r="Z2010" s="121"/>
      <c r="AA2010" s="121"/>
      <c r="AB2010" s="121"/>
      <c r="AC2010" s="121"/>
      <c r="AD2010" s="121"/>
      <c r="AE2010" s="121"/>
      <c r="AF2010" s="121"/>
      <c r="AG2010" s="121"/>
      <c r="AH2010" s="121"/>
      <c r="AI2010" s="121"/>
    </row>
    <row r="2011" spans="1:35" s="115" customFormat="1" ht="14.4">
      <c r="A2011" s="187"/>
      <c r="B2011" s="190"/>
      <c r="C2011" s="190"/>
      <c r="D2011" s="69"/>
      <c r="E2011" s="69"/>
      <c r="F2011" s="149"/>
      <c r="G2011" s="146"/>
      <c r="H2011" s="98"/>
      <c r="I2011" s="99"/>
      <c r="J2011" s="99"/>
      <c r="K2011" s="99"/>
      <c r="L2011" s="99"/>
      <c r="M2011" s="99"/>
      <c r="N2011" s="99"/>
      <c r="O2011" s="99"/>
      <c r="P2011" s="99"/>
      <c r="Q2011" s="99"/>
      <c r="R2011" s="99"/>
      <c r="S2011" s="99"/>
      <c r="T2011" s="99"/>
      <c r="U2011" s="105"/>
      <c r="V2011" s="262"/>
      <c r="W2011" s="121"/>
      <c r="X2011" s="121"/>
      <c r="Y2011" s="121"/>
      <c r="Z2011" s="121"/>
      <c r="AA2011" s="121"/>
      <c r="AB2011" s="121"/>
      <c r="AC2011" s="121"/>
      <c r="AD2011" s="121"/>
      <c r="AE2011" s="121"/>
      <c r="AF2011" s="121"/>
      <c r="AG2011" s="121"/>
      <c r="AH2011" s="121"/>
      <c r="AI2011" s="121"/>
    </row>
    <row r="2012" spans="1:35" s="115" customFormat="1" ht="14.4">
      <c r="A2012" s="187"/>
      <c r="B2012" s="190"/>
      <c r="C2012" s="190"/>
      <c r="D2012" s="69"/>
      <c r="E2012" s="69"/>
      <c r="F2012" s="149"/>
      <c r="G2012" s="146"/>
      <c r="H2012" s="98"/>
      <c r="I2012" s="99"/>
      <c r="J2012" s="99"/>
      <c r="K2012" s="99"/>
      <c r="L2012" s="99"/>
      <c r="M2012" s="99"/>
      <c r="N2012" s="99"/>
      <c r="O2012" s="99"/>
      <c r="P2012" s="99"/>
      <c r="Q2012" s="99"/>
      <c r="R2012" s="99"/>
      <c r="S2012" s="99"/>
      <c r="T2012" s="99"/>
      <c r="U2012" s="105"/>
      <c r="V2012" s="262"/>
      <c r="W2012" s="121"/>
      <c r="X2012" s="121"/>
      <c r="Y2012" s="121"/>
      <c r="Z2012" s="121"/>
      <c r="AA2012" s="121"/>
      <c r="AB2012" s="121"/>
      <c r="AC2012" s="121"/>
      <c r="AD2012" s="121"/>
      <c r="AE2012" s="121"/>
      <c r="AF2012" s="121"/>
      <c r="AG2012" s="121"/>
      <c r="AH2012" s="121"/>
      <c r="AI2012" s="121"/>
    </row>
    <row r="2013" spans="1:35" s="115" customFormat="1" ht="14.4">
      <c r="A2013" s="187"/>
      <c r="B2013" s="190"/>
      <c r="C2013" s="190"/>
      <c r="D2013" s="69"/>
      <c r="E2013" s="69"/>
      <c r="F2013" s="149"/>
      <c r="G2013" s="146"/>
      <c r="H2013" s="98"/>
      <c r="I2013" s="99"/>
      <c r="J2013" s="99"/>
      <c r="K2013" s="99"/>
      <c r="L2013" s="99"/>
      <c r="M2013" s="99"/>
      <c r="N2013" s="99"/>
      <c r="O2013" s="99"/>
      <c r="P2013" s="99"/>
      <c r="Q2013" s="99"/>
      <c r="R2013" s="99"/>
      <c r="S2013" s="99"/>
      <c r="T2013" s="99"/>
      <c r="U2013" s="105"/>
      <c r="V2013" s="262"/>
      <c r="W2013" s="121"/>
      <c r="X2013" s="121"/>
      <c r="Y2013" s="121"/>
      <c r="Z2013" s="121"/>
      <c r="AA2013" s="121"/>
      <c r="AB2013" s="121"/>
      <c r="AC2013" s="121"/>
      <c r="AD2013" s="121"/>
      <c r="AE2013" s="121"/>
      <c r="AF2013" s="121"/>
      <c r="AG2013" s="121"/>
      <c r="AH2013" s="121"/>
      <c r="AI2013" s="121"/>
    </row>
    <row r="2014" spans="1:35" s="115" customFormat="1" ht="14.4">
      <c r="A2014" s="187"/>
      <c r="B2014" s="190"/>
      <c r="C2014" s="190"/>
      <c r="D2014" s="69"/>
      <c r="E2014" s="69"/>
      <c r="F2014" s="149"/>
      <c r="G2014" s="146"/>
      <c r="H2014" s="98"/>
      <c r="I2014" s="99"/>
      <c r="J2014" s="99"/>
      <c r="K2014" s="99"/>
      <c r="L2014" s="99"/>
      <c r="M2014" s="99"/>
      <c r="N2014" s="99"/>
      <c r="O2014" s="99"/>
      <c r="P2014" s="99"/>
      <c r="Q2014" s="99"/>
      <c r="R2014" s="99"/>
      <c r="S2014" s="99"/>
      <c r="T2014" s="99"/>
      <c r="U2014" s="105"/>
      <c r="V2014" s="262"/>
      <c r="W2014" s="121"/>
      <c r="X2014" s="121"/>
      <c r="Y2014" s="121"/>
      <c r="Z2014" s="121"/>
      <c r="AA2014" s="121"/>
      <c r="AB2014" s="121"/>
      <c r="AC2014" s="121"/>
      <c r="AD2014" s="121"/>
      <c r="AE2014" s="121"/>
      <c r="AF2014" s="121"/>
      <c r="AG2014" s="121"/>
      <c r="AH2014" s="121"/>
      <c r="AI2014" s="121"/>
    </row>
    <row r="2015" spans="1:35" s="115" customFormat="1" ht="14.4">
      <c r="A2015" s="187"/>
      <c r="B2015" s="190"/>
      <c r="C2015" s="190"/>
      <c r="D2015" s="69"/>
      <c r="E2015" s="69"/>
      <c r="F2015" s="149"/>
      <c r="G2015" s="146"/>
      <c r="H2015" s="98"/>
      <c r="I2015" s="99"/>
      <c r="J2015" s="99"/>
      <c r="K2015" s="99"/>
      <c r="L2015" s="99"/>
      <c r="M2015" s="99"/>
      <c r="N2015" s="99"/>
      <c r="O2015" s="99"/>
      <c r="P2015" s="99"/>
      <c r="Q2015" s="99"/>
      <c r="R2015" s="99"/>
      <c r="S2015" s="99"/>
      <c r="T2015" s="99"/>
      <c r="U2015" s="105"/>
      <c r="V2015" s="262"/>
      <c r="W2015" s="121"/>
      <c r="X2015" s="121"/>
      <c r="Y2015" s="121"/>
      <c r="Z2015" s="121"/>
      <c r="AA2015" s="121"/>
      <c r="AB2015" s="121"/>
      <c r="AC2015" s="121"/>
      <c r="AD2015" s="121"/>
      <c r="AE2015" s="121"/>
      <c r="AF2015" s="121"/>
      <c r="AG2015" s="121"/>
      <c r="AH2015" s="121"/>
      <c r="AI2015" s="121"/>
    </row>
    <row r="2016" spans="1:35" s="115" customFormat="1" ht="14.4">
      <c r="A2016" s="187"/>
      <c r="B2016" s="190"/>
      <c r="C2016" s="190"/>
      <c r="D2016" s="69"/>
      <c r="E2016" s="69"/>
      <c r="F2016" s="149"/>
      <c r="G2016" s="146"/>
      <c r="H2016" s="98"/>
      <c r="I2016" s="99"/>
      <c r="J2016" s="99"/>
      <c r="K2016" s="99"/>
      <c r="L2016" s="99"/>
      <c r="M2016" s="99"/>
      <c r="N2016" s="99"/>
      <c r="O2016" s="99"/>
      <c r="P2016" s="99"/>
      <c r="Q2016" s="99"/>
      <c r="R2016" s="99"/>
      <c r="S2016" s="99"/>
      <c r="T2016" s="99"/>
      <c r="U2016" s="105"/>
      <c r="V2016" s="262"/>
      <c r="W2016" s="121"/>
      <c r="X2016" s="121"/>
      <c r="Y2016" s="121"/>
      <c r="Z2016" s="121"/>
      <c r="AA2016" s="121"/>
      <c r="AB2016" s="121"/>
      <c r="AC2016" s="121"/>
      <c r="AD2016" s="121"/>
      <c r="AE2016" s="121"/>
      <c r="AF2016" s="121"/>
      <c r="AG2016" s="121"/>
      <c r="AH2016" s="121"/>
      <c r="AI2016" s="121"/>
    </row>
    <row r="2017" spans="1:35" s="115" customFormat="1" ht="14.4">
      <c r="A2017" s="187"/>
      <c r="B2017" s="190"/>
      <c r="C2017" s="190"/>
      <c r="D2017" s="69"/>
      <c r="E2017" s="69"/>
      <c r="F2017" s="149"/>
      <c r="G2017" s="146"/>
      <c r="H2017" s="98"/>
      <c r="I2017" s="99"/>
      <c r="J2017" s="99"/>
      <c r="K2017" s="99"/>
      <c r="L2017" s="99"/>
      <c r="M2017" s="99"/>
      <c r="N2017" s="99"/>
      <c r="O2017" s="99"/>
      <c r="P2017" s="99"/>
      <c r="Q2017" s="99"/>
      <c r="R2017" s="99"/>
      <c r="S2017" s="99"/>
      <c r="T2017" s="99"/>
      <c r="U2017" s="105"/>
      <c r="V2017" s="262"/>
      <c r="W2017" s="121"/>
      <c r="X2017" s="121"/>
      <c r="Y2017" s="121"/>
      <c r="Z2017" s="121"/>
      <c r="AA2017" s="121"/>
      <c r="AB2017" s="121"/>
      <c r="AC2017" s="121"/>
      <c r="AD2017" s="121"/>
      <c r="AE2017" s="121"/>
      <c r="AF2017" s="121"/>
      <c r="AG2017" s="121"/>
      <c r="AH2017" s="121"/>
      <c r="AI2017" s="121"/>
    </row>
    <row r="2018" spans="1:35" s="115" customFormat="1" ht="14.4">
      <c r="A2018" s="187"/>
      <c r="B2018" s="190"/>
      <c r="C2018" s="190"/>
      <c r="D2018" s="69"/>
      <c r="E2018" s="69"/>
      <c r="F2018" s="149"/>
      <c r="G2018" s="146"/>
      <c r="H2018" s="98"/>
      <c r="I2018" s="99"/>
      <c r="J2018" s="99"/>
      <c r="K2018" s="99"/>
      <c r="L2018" s="99"/>
      <c r="M2018" s="99"/>
      <c r="N2018" s="99"/>
      <c r="O2018" s="99"/>
      <c r="P2018" s="99"/>
      <c r="Q2018" s="99"/>
      <c r="R2018" s="99"/>
      <c r="S2018" s="99"/>
      <c r="T2018" s="99"/>
      <c r="U2018" s="105"/>
      <c r="V2018" s="262"/>
      <c r="W2018" s="121"/>
      <c r="X2018" s="121"/>
      <c r="Y2018" s="121"/>
      <c r="Z2018" s="121"/>
      <c r="AA2018" s="121"/>
      <c r="AB2018" s="121"/>
      <c r="AC2018" s="121"/>
      <c r="AD2018" s="121"/>
      <c r="AE2018" s="121"/>
      <c r="AF2018" s="121"/>
      <c r="AG2018" s="121"/>
      <c r="AH2018" s="121"/>
      <c r="AI2018" s="121"/>
    </row>
    <row r="2019" spans="1:35" s="115" customFormat="1" ht="14.4">
      <c r="A2019" s="187"/>
      <c r="B2019" s="190"/>
      <c r="C2019" s="190"/>
      <c r="D2019" s="69"/>
      <c r="E2019" s="69"/>
      <c r="F2019" s="149"/>
      <c r="G2019" s="146"/>
      <c r="H2019" s="98"/>
      <c r="I2019" s="99"/>
      <c r="J2019" s="99"/>
      <c r="K2019" s="99"/>
      <c r="L2019" s="99"/>
      <c r="M2019" s="99"/>
      <c r="N2019" s="99"/>
      <c r="O2019" s="99"/>
      <c r="P2019" s="99"/>
      <c r="Q2019" s="99"/>
      <c r="R2019" s="99"/>
      <c r="S2019" s="99"/>
      <c r="T2019" s="99"/>
      <c r="U2019" s="105"/>
      <c r="V2019" s="262"/>
      <c r="W2019" s="121"/>
      <c r="X2019" s="121"/>
      <c r="Y2019" s="121"/>
      <c r="Z2019" s="121"/>
      <c r="AA2019" s="121"/>
      <c r="AB2019" s="121"/>
      <c r="AC2019" s="121"/>
      <c r="AD2019" s="121"/>
      <c r="AE2019" s="121"/>
      <c r="AF2019" s="121"/>
      <c r="AG2019" s="121"/>
      <c r="AH2019" s="121"/>
      <c r="AI2019" s="121"/>
    </row>
    <row r="2020" spans="1:35" s="115" customFormat="1" ht="14.4">
      <c r="A2020" s="187"/>
      <c r="B2020" s="190"/>
      <c r="C2020" s="190"/>
      <c r="D2020" s="69"/>
      <c r="E2020" s="69"/>
      <c r="F2020" s="149"/>
      <c r="G2020" s="146"/>
      <c r="H2020" s="107"/>
      <c r="I2020" s="108"/>
      <c r="J2020" s="108"/>
      <c r="K2020" s="108"/>
      <c r="L2020" s="108"/>
      <c r="M2020" s="108"/>
      <c r="N2020" s="109"/>
      <c r="O2020" s="109"/>
      <c r="P2020" s="109"/>
      <c r="Q2020" s="109"/>
      <c r="R2020" s="109"/>
      <c r="S2020" s="109"/>
      <c r="T2020" s="109"/>
      <c r="U2020" s="105"/>
      <c r="V2020" s="262"/>
      <c r="W2020" s="121"/>
      <c r="X2020" s="121"/>
      <c r="Y2020" s="121"/>
      <c r="Z2020" s="121"/>
      <c r="AA2020" s="121"/>
      <c r="AB2020" s="121"/>
      <c r="AC2020" s="121"/>
      <c r="AD2020" s="121"/>
      <c r="AE2020" s="121"/>
      <c r="AF2020" s="121"/>
      <c r="AG2020" s="121"/>
      <c r="AH2020" s="121"/>
      <c r="AI2020" s="121"/>
    </row>
    <row r="2021" spans="1:35" s="115" customFormat="1" ht="14.4">
      <c r="A2021" s="187"/>
      <c r="B2021" s="190"/>
      <c r="C2021" s="190"/>
      <c r="D2021" s="69"/>
      <c r="E2021" s="69"/>
      <c r="F2021" s="149"/>
      <c r="G2021" s="146"/>
      <c r="H2021" s="98"/>
      <c r="I2021" s="106"/>
      <c r="J2021" s="106"/>
      <c r="K2021" s="106"/>
      <c r="L2021" s="106"/>
      <c r="M2021" s="106"/>
      <c r="N2021" s="112"/>
      <c r="O2021" s="112"/>
      <c r="P2021" s="112"/>
      <c r="Q2021" s="113"/>
      <c r="R2021" s="113"/>
      <c r="S2021" s="113"/>
      <c r="T2021" s="113"/>
      <c r="U2021" s="105"/>
      <c r="V2021" s="262"/>
      <c r="W2021" s="121"/>
      <c r="X2021" s="121"/>
      <c r="Y2021" s="121"/>
      <c r="Z2021" s="121"/>
      <c r="AA2021" s="121"/>
      <c r="AB2021" s="121"/>
      <c r="AC2021" s="121"/>
      <c r="AD2021" s="121"/>
      <c r="AE2021" s="121"/>
      <c r="AF2021" s="121"/>
      <c r="AG2021" s="121"/>
      <c r="AH2021" s="121"/>
      <c r="AI2021" s="121"/>
    </row>
    <row r="2022" spans="1:35" s="115" customFormat="1" ht="14.4">
      <c r="A2022" s="187"/>
      <c r="B2022" s="190"/>
      <c r="C2022" s="190"/>
      <c r="D2022" s="69"/>
      <c r="E2022" s="69"/>
      <c r="F2022" s="149"/>
      <c r="G2022" s="146"/>
      <c r="H2022" s="98"/>
      <c r="I2022" s="99"/>
      <c r="J2022" s="99"/>
      <c r="K2022" s="99"/>
      <c r="L2022" s="99"/>
      <c r="M2022" s="99"/>
      <c r="N2022" s="99"/>
      <c r="O2022" s="99"/>
      <c r="P2022" s="99"/>
      <c r="Q2022" s="99"/>
      <c r="R2022" s="99"/>
      <c r="S2022" s="99"/>
      <c r="T2022" s="99"/>
      <c r="U2022" s="105"/>
      <c r="V2022" s="262"/>
      <c r="W2022" s="121"/>
      <c r="X2022" s="121"/>
      <c r="Y2022" s="121"/>
      <c r="Z2022" s="121"/>
      <c r="AA2022" s="121"/>
      <c r="AB2022" s="121"/>
      <c r="AC2022" s="121"/>
      <c r="AD2022" s="121"/>
      <c r="AE2022" s="121"/>
      <c r="AF2022" s="121"/>
      <c r="AG2022" s="121"/>
      <c r="AH2022" s="121"/>
      <c r="AI2022" s="121"/>
    </row>
    <row r="2023" spans="1:35" s="115" customFormat="1" ht="14.4">
      <c r="A2023" s="187"/>
      <c r="B2023" s="190"/>
      <c r="C2023" s="190"/>
      <c r="D2023" s="69"/>
      <c r="E2023" s="69"/>
      <c r="F2023" s="149"/>
      <c r="G2023" s="146"/>
      <c r="H2023" s="98"/>
      <c r="I2023" s="99"/>
      <c r="J2023" s="99"/>
      <c r="K2023" s="99"/>
      <c r="L2023" s="99"/>
      <c r="M2023" s="99"/>
      <c r="N2023" s="99"/>
      <c r="O2023" s="99"/>
      <c r="P2023" s="99"/>
      <c r="Q2023" s="99"/>
      <c r="R2023" s="99"/>
      <c r="S2023" s="99"/>
      <c r="T2023" s="99"/>
      <c r="U2023" s="105"/>
      <c r="V2023" s="262"/>
      <c r="W2023" s="121"/>
      <c r="X2023" s="121"/>
      <c r="Y2023" s="121"/>
      <c r="Z2023" s="121"/>
      <c r="AA2023" s="121"/>
      <c r="AB2023" s="121"/>
      <c r="AC2023" s="121"/>
      <c r="AD2023" s="121"/>
      <c r="AE2023" s="121"/>
      <c r="AF2023" s="121"/>
      <c r="AG2023" s="121"/>
      <c r="AH2023" s="121"/>
      <c r="AI2023" s="121"/>
    </row>
    <row r="2024" spans="1:35" s="115" customFormat="1" ht="14.4">
      <c r="A2024" s="187"/>
      <c r="B2024" s="190"/>
      <c r="C2024" s="190"/>
      <c r="D2024" s="69"/>
      <c r="E2024" s="69"/>
      <c r="F2024" s="149"/>
      <c r="G2024" s="146"/>
      <c r="H2024" s="98"/>
      <c r="I2024" s="99"/>
      <c r="J2024" s="99"/>
      <c r="K2024" s="99"/>
      <c r="L2024" s="99"/>
      <c r="M2024" s="99"/>
      <c r="N2024" s="99"/>
      <c r="O2024" s="99"/>
      <c r="P2024" s="99"/>
      <c r="Q2024" s="99"/>
      <c r="R2024" s="99"/>
      <c r="S2024" s="99"/>
      <c r="T2024" s="99"/>
      <c r="U2024" s="105"/>
      <c r="V2024" s="262"/>
      <c r="W2024" s="121"/>
      <c r="X2024" s="121"/>
      <c r="Y2024" s="121"/>
      <c r="Z2024" s="121"/>
      <c r="AA2024" s="121"/>
      <c r="AB2024" s="121"/>
      <c r="AC2024" s="121"/>
      <c r="AD2024" s="121"/>
      <c r="AE2024" s="121"/>
      <c r="AF2024" s="121"/>
      <c r="AG2024" s="121"/>
      <c r="AH2024" s="121"/>
      <c r="AI2024" s="121"/>
    </row>
    <row r="2025" spans="1:35" s="115" customFormat="1" ht="14.4">
      <c r="A2025" s="187"/>
      <c r="B2025" s="190"/>
      <c r="C2025" s="190"/>
      <c r="D2025" s="69"/>
      <c r="E2025" s="69"/>
      <c r="F2025" s="149"/>
      <c r="G2025" s="146"/>
      <c r="H2025" s="98"/>
      <c r="I2025" s="99"/>
      <c r="J2025" s="99"/>
      <c r="K2025" s="99"/>
      <c r="L2025" s="99"/>
      <c r="M2025" s="99"/>
      <c r="N2025" s="99"/>
      <c r="O2025" s="99"/>
      <c r="P2025" s="99"/>
      <c r="Q2025" s="99"/>
      <c r="R2025" s="99"/>
      <c r="S2025" s="99"/>
      <c r="T2025" s="99"/>
      <c r="U2025" s="105"/>
      <c r="V2025" s="262"/>
      <c r="W2025" s="121"/>
      <c r="X2025" s="121"/>
      <c r="Y2025" s="121"/>
      <c r="Z2025" s="121"/>
      <c r="AA2025" s="121"/>
      <c r="AB2025" s="121"/>
      <c r="AC2025" s="121"/>
      <c r="AD2025" s="121"/>
      <c r="AE2025" s="121"/>
      <c r="AF2025" s="121"/>
      <c r="AG2025" s="121"/>
      <c r="AH2025" s="121"/>
      <c r="AI2025" s="121"/>
    </row>
    <row r="2026" spans="1:35" s="115" customFormat="1" ht="14.4">
      <c r="A2026" s="187"/>
      <c r="B2026" s="190"/>
      <c r="C2026" s="190"/>
      <c r="D2026" s="69"/>
      <c r="E2026" s="69"/>
      <c r="F2026" s="149"/>
      <c r="G2026" s="146"/>
      <c r="H2026" s="98"/>
      <c r="I2026" s="99"/>
      <c r="J2026" s="99"/>
      <c r="K2026" s="99"/>
      <c r="L2026" s="99"/>
      <c r="M2026" s="99"/>
      <c r="N2026" s="99"/>
      <c r="O2026" s="99"/>
      <c r="P2026" s="99"/>
      <c r="Q2026" s="99"/>
      <c r="R2026" s="99"/>
      <c r="S2026" s="99"/>
      <c r="T2026" s="99"/>
      <c r="U2026" s="105"/>
      <c r="V2026" s="262"/>
      <c r="W2026" s="121"/>
      <c r="X2026" s="121"/>
      <c r="Y2026" s="121"/>
      <c r="Z2026" s="121"/>
      <c r="AA2026" s="121"/>
      <c r="AB2026" s="121"/>
      <c r="AC2026" s="121"/>
      <c r="AD2026" s="121"/>
      <c r="AE2026" s="121"/>
      <c r="AF2026" s="121"/>
      <c r="AG2026" s="121"/>
      <c r="AH2026" s="121"/>
      <c r="AI2026" s="121"/>
    </row>
    <row r="2027" spans="1:35" s="115" customFormat="1" ht="14.4">
      <c r="A2027" s="187"/>
      <c r="B2027" s="190"/>
      <c r="C2027" s="190"/>
      <c r="D2027" s="69"/>
      <c r="E2027" s="69"/>
      <c r="F2027" s="149"/>
      <c r="G2027" s="146"/>
      <c r="H2027" s="98"/>
      <c r="I2027" s="99"/>
      <c r="J2027" s="99"/>
      <c r="K2027" s="99"/>
      <c r="L2027" s="99"/>
      <c r="M2027" s="99"/>
      <c r="N2027" s="99"/>
      <c r="O2027" s="99"/>
      <c r="P2027" s="99"/>
      <c r="Q2027" s="99"/>
      <c r="R2027" s="99"/>
      <c r="S2027" s="99"/>
      <c r="T2027" s="99"/>
      <c r="U2027" s="105"/>
      <c r="V2027" s="262"/>
      <c r="W2027" s="121"/>
      <c r="X2027" s="121"/>
      <c r="Y2027" s="121"/>
      <c r="Z2027" s="121"/>
      <c r="AA2027" s="121"/>
      <c r="AB2027" s="121"/>
      <c r="AC2027" s="121"/>
      <c r="AD2027" s="121"/>
      <c r="AE2027" s="121"/>
      <c r="AF2027" s="121"/>
      <c r="AG2027" s="121"/>
      <c r="AH2027" s="121"/>
      <c r="AI2027" s="121"/>
    </row>
    <row r="2028" spans="1:35" s="115" customFormat="1" ht="14.4">
      <c r="A2028" s="187"/>
      <c r="B2028" s="190"/>
      <c r="C2028" s="190"/>
      <c r="D2028" s="69"/>
      <c r="E2028" s="69"/>
      <c r="F2028" s="149"/>
      <c r="G2028" s="146"/>
      <c r="H2028" s="98"/>
      <c r="I2028" s="99"/>
      <c r="J2028" s="99"/>
      <c r="K2028" s="99"/>
      <c r="L2028" s="99"/>
      <c r="M2028" s="99"/>
      <c r="N2028" s="99"/>
      <c r="O2028" s="99"/>
      <c r="P2028" s="99"/>
      <c r="Q2028" s="99"/>
      <c r="R2028" s="99"/>
      <c r="S2028" s="99"/>
      <c r="T2028" s="99"/>
      <c r="U2028" s="105"/>
      <c r="V2028" s="262"/>
      <c r="W2028" s="121"/>
      <c r="X2028" s="121"/>
      <c r="Y2028" s="121"/>
      <c r="Z2028" s="121"/>
      <c r="AA2028" s="121"/>
      <c r="AB2028" s="121"/>
      <c r="AC2028" s="121"/>
      <c r="AD2028" s="121"/>
      <c r="AE2028" s="121"/>
      <c r="AF2028" s="121"/>
      <c r="AG2028" s="121"/>
      <c r="AH2028" s="121"/>
      <c r="AI2028" s="121"/>
    </row>
    <row r="2029" spans="1:35" s="115" customFormat="1" ht="14.4">
      <c r="A2029" s="187"/>
      <c r="B2029" s="190"/>
      <c r="C2029" s="190"/>
      <c r="D2029" s="69"/>
      <c r="E2029" s="69"/>
      <c r="F2029" s="149"/>
      <c r="G2029" s="146"/>
      <c r="H2029" s="98"/>
      <c r="I2029" s="99"/>
      <c r="J2029" s="99"/>
      <c r="K2029" s="99"/>
      <c r="L2029" s="99"/>
      <c r="M2029" s="99"/>
      <c r="N2029" s="99"/>
      <c r="O2029" s="99"/>
      <c r="P2029" s="99"/>
      <c r="Q2029" s="99"/>
      <c r="R2029" s="99"/>
      <c r="S2029" s="99"/>
      <c r="T2029" s="99"/>
      <c r="U2029" s="105"/>
      <c r="V2029" s="262"/>
      <c r="W2029" s="121"/>
      <c r="X2029" s="121"/>
      <c r="Y2029" s="121"/>
      <c r="Z2029" s="121"/>
      <c r="AA2029" s="121"/>
      <c r="AB2029" s="121"/>
      <c r="AC2029" s="121"/>
      <c r="AD2029" s="121"/>
      <c r="AE2029" s="121"/>
      <c r="AF2029" s="121"/>
      <c r="AG2029" s="121"/>
      <c r="AH2029" s="121"/>
      <c r="AI2029" s="121"/>
    </row>
    <row r="2030" spans="1:35" s="115" customFormat="1" ht="14.4">
      <c r="A2030" s="187"/>
      <c r="B2030" s="190"/>
      <c r="C2030" s="190"/>
      <c r="D2030" s="69"/>
      <c r="E2030" s="69"/>
      <c r="F2030" s="149"/>
      <c r="G2030" s="146"/>
      <c r="H2030" s="98"/>
      <c r="I2030" s="99"/>
      <c r="J2030" s="99"/>
      <c r="K2030" s="99"/>
      <c r="L2030" s="99"/>
      <c r="M2030" s="99"/>
      <c r="N2030" s="99"/>
      <c r="O2030" s="99"/>
      <c r="P2030" s="99"/>
      <c r="Q2030" s="99"/>
      <c r="R2030" s="99"/>
      <c r="S2030" s="99"/>
      <c r="T2030" s="99"/>
      <c r="U2030" s="105"/>
      <c r="V2030" s="262"/>
      <c r="W2030" s="121"/>
      <c r="X2030" s="121"/>
      <c r="Y2030" s="121"/>
      <c r="Z2030" s="121"/>
      <c r="AA2030" s="121"/>
      <c r="AB2030" s="121"/>
      <c r="AC2030" s="121"/>
      <c r="AD2030" s="121"/>
      <c r="AE2030" s="121"/>
      <c r="AF2030" s="121"/>
      <c r="AG2030" s="121"/>
      <c r="AH2030" s="121"/>
      <c r="AI2030" s="121"/>
    </row>
    <row r="2031" spans="1:35" s="115" customFormat="1" ht="14.4">
      <c r="A2031" s="187"/>
      <c r="B2031" s="190"/>
      <c r="C2031" s="190"/>
      <c r="D2031" s="69"/>
      <c r="E2031" s="69"/>
      <c r="F2031" s="149"/>
      <c r="G2031" s="146"/>
      <c r="H2031" s="98"/>
      <c r="I2031" s="99"/>
      <c r="J2031" s="99"/>
      <c r="K2031" s="99"/>
      <c r="L2031" s="99"/>
      <c r="M2031" s="99"/>
      <c r="N2031" s="99"/>
      <c r="O2031" s="99"/>
      <c r="P2031" s="99"/>
      <c r="Q2031" s="99"/>
      <c r="R2031" s="99"/>
      <c r="S2031" s="99"/>
      <c r="T2031" s="99"/>
      <c r="U2031" s="105"/>
      <c r="V2031" s="262"/>
      <c r="W2031" s="121"/>
      <c r="X2031" s="121"/>
      <c r="Y2031" s="121"/>
      <c r="Z2031" s="121"/>
      <c r="AA2031" s="121"/>
      <c r="AB2031" s="121"/>
      <c r="AC2031" s="121"/>
      <c r="AD2031" s="121"/>
      <c r="AE2031" s="121"/>
      <c r="AF2031" s="121"/>
      <c r="AG2031" s="121"/>
      <c r="AH2031" s="121"/>
      <c r="AI2031" s="121"/>
    </row>
    <row r="2032" spans="1:35" s="115" customFormat="1" ht="14.4">
      <c r="A2032" s="187"/>
      <c r="B2032" s="190"/>
      <c r="C2032" s="190"/>
      <c r="D2032" s="69"/>
      <c r="E2032" s="69"/>
      <c r="F2032" s="149"/>
      <c r="G2032" s="146"/>
      <c r="H2032" s="98"/>
      <c r="I2032" s="99"/>
      <c r="J2032" s="99"/>
      <c r="K2032" s="99"/>
      <c r="L2032" s="99"/>
      <c r="M2032" s="99"/>
      <c r="N2032" s="99"/>
      <c r="O2032" s="99"/>
      <c r="P2032" s="99"/>
      <c r="Q2032" s="99"/>
      <c r="R2032" s="99"/>
      <c r="S2032" s="99"/>
      <c r="T2032" s="99"/>
      <c r="U2032" s="105"/>
      <c r="V2032" s="262"/>
      <c r="W2032" s="121"/>
      <c r="X2032" s="121"/>
      <c r="Y2032" s="121"/>
      <c r="Z2032" s="121"/>
      <c r="AA2032" s="121"/>
      <c r="AB2032" s="121"/>
      <c r="AC2032" s="121"/>
      <c r="AD2032" s="121"/>
      <c r="AE2032" s="121"/>
      <c r="AF2032" s="121"/>
      <c r="AG2032" s="121"/>
      <c r="AH2032" s="121"/>
      <c r="AI2032" s="121"/>
    </row>
    <row r="2033" spans="1:35" s="115" customFormat="1" ht="14.4">
      <c r="A2033" s="187"/>
      <c r="B2033" s="190"/>
      <c r="C2033" s="190"/>
      <c r="D2033" s="69"/>
      <c r="E2033" s="69"/>
      <c r="F2033" s="149"/>
      <c r="G2033" s="146"/>
      <c r="H2033" s="98"/>
      <c r="I2033" s="99"/>
      <c r="J2033" s="99"/>
      <c r="K2033" s="99"/>
      <c r="L2033" s="99"/>
      <c r="M2033" s="99"/>
      <c r="N2033" s="99"/>
      <c r="O2033" s="99"/>
      <c r="P2033" s="99"/>
      <c r="Q2033" s="99"/>
      <c r="R2033" s="99"/>
      <c r="S2033" s="99"/>
      <c r="T2033" s="99"/>
      <c r="U2033" s="105"/>
      <c r="V2033" s="262"/>
      <c r="W2033" s="121"/>
      <c r="X2033" s="121"/>
      <c r="Y2033" s="121"/>
      <c r="Z2033" s="121"/>
      <c r="AA2033" s="121"/>
      <c r="AB2033" s="121"/>
      <c r="AC2033" s="121"/>
      <c r="AD2033" s="121"/>
      <c r="AE2033" s="121"/>
      <c r="AF2033" s="121"/>
      <c r="AG2033" s="121"/>
      <c r="AH2033" s="121"/>
      <c r="AI2033" s="121"/>
    </row>
    <row r="2034" spans="1:35" s="115" customFormat="1" ht="14.4">
      <c r="A2034" s="187"/>
      <c r="B2034" s="190"/>
      <c r="C2034" s="190"/>
      <c r="D2034" s="69"/>
      <c r="E2034" s="69"/>
      <c r="F2034" s="149"/>
      <c r="G2034" s="146"/>
      <c r="H2034" s="98"/>
      <c r="I2034" s="99"/>
      <c r="J2034" s="99"/>
      <c r="K2034" s="99"/>
      <c r="L2034" s="99"/>
      <c r="M2034" s="99"/>
      <c r="N2034" s="99"/>
      <c r="O2034" s="99"/>
      <c r="P2034" s="99"/>
      <c r="Q2034" s="99"/>
      <c r="R2034" s="99"/>
      <c r="S2034" s="99"/>
      <c r="T2034" s="99"/>
      <c r="U2034" s="105"/>
      <c r="V2034" s="262"/>
      <c r="W2034" s="121"/>
      <c r="X2034" s="121"/>
      <c r="Y2034" s="121"/>
      <c r="Z2034" s="121"/>
      <c r="AA2034" s="121"/>
      <c r="AB2034" s="121"/>
      <c r="AC2034" s="121"/>
      <c r="AD2034" s="121"/>
      <c r="AE2034" s="121"/>
      <c r="AF2034" s="121"/>
      <c r="AG2034" s="121"/>
      <c r="AH2034" s="121"/>
      <c r="AI2034" s="121"/>
    </row>
    <row r="2035" spans="1:35" s="115" customFormat="1" ht="14.4">
      <c r="A2035" s="187"/>
      <c r="B2035" s="190"/>
      <c r="C2035" s="190"/>
      <c r="D2035" s="69"/>
      <c r="E2035" s="69"/>
      <c r="F2035" s="149"/>
      <c r="G2035" s="146"/>
      <c r="H2035" s="98"/>
      <c r="I2035" s="99"/>
      <c r="J2035" s="99"/>
      <c r="K2035" s="99"/>
      <c r="L2035" s="99"/>
      <c r="M2035" s="99"/>
      <c r="N2035" s="99"/>
      <c r="O2035" s="99"/>
      <c r="P2035" s="99"/>
      <c r="Q2035" s="99"/>
      <c r="R2035" s="99"/>
      <c r="S2035" s="99"/>
      <c r="T2035" s="99"/>
      <c r="U2035" s="105"/>
      <c r="V2035" s="262"/>
      <c r="W2035" s="121"/>
      <c r="X2035" s="121"/>
      <c r="Y2035" s="121"/>
      <c r="Z2035" s="121"/>
      <c r="AA2035" s="121"/>
      <c r="AB2035" s="121"/>
      <c r="AC2035" s="121"/>
      <c r="AD2035" s="121"/>
      <c r="AE2035" s="121"/>
      <c r="AF2035" s="121"/>
      <c r="AG2035" s="121"/>
      <c r="AH2035" s="121"/>
      <c r="AI2035" s="121"/>
    </row>
    <row r="2036" spans="1:35" s="115" customFormat="1" ht="14.4">
      <c r="A2036" s="187"/>
      <c r="B2036" s="190"/>
      <c r="C2036" s="190"/>
      <c r="D2036" s="69"/>
      <c r="E2036" s="69"/>
      <c r="F2036" s="149"/>
      <c r="G2036" s="146"/>
      <c r="H2036" s="98"/>
      <c r="I2036" s="99"/>
      <c r="J2036" s="99"/>
      <c r="K2036" s="99"/>
      <c r="L2036" s="99"/>
      <c r="M2036" s="99"/>
      <c r="N2036" s="99"/>
      <c r="O2036" s="99"/>
      <c r="P2036" s="99"/>
      <c r="Q2036" s="99"/>
      <c r="R2036" s="99"/>
      <c r="S2036" s="99"/>
      <c r="T2036" s="99"/>
      <c r="U2036" s="105"/>
      <c r="V2036" s="262"/>
      <c r="W2036" s="121"/>
      <c r="X2036" s="121"/>
      <c r="Y2036" s="121"/>
      <c r="Z2036" s="121"/>
      <c r="AA2036" s="121"/>
      <c r="AB2036" s="121"/>
      <c r="AC2036" s="121"/>
      <c r="AD2036" s="121"/>
      <c r="AE2036" s="121"/>
      <c r="AF2036" s="121"/>
      <c r="AG2036" s="121"/>
      <c r="AH2036" s="121"/>
      <c r="AI2036" s="121"/>
    </row>
    <row r="2037" spans="1:35" s="115" customFormat="1" ht="14.4">
      <c r="A2037" s="187"/>
      <c r="B2037" s="190"/>
      <c r="C2037" s="190"/>
      <c r="D2037" s="69"/>
      <c r="E2037" s="69"/>
      <c r="F2037" s="149"/>
      <c r="G2037" s="146"/>
      <c r="H2037" s="107"/>
      <c r="I2037" s="109"/>
      <c r="J2037" s="109"/>
      <c r="K2037" s="109"/>
      <c r="L2037" s="109"/>
      <c r="M2037" s="109"/>
      <c r="N2037" s="109"/>
      <c r="O2037" s="109"/>
      <c r="P2037" s="109"/>
      <c r="Q2037" s="109"/>
      <c r="R2037" s="109"/>
      <c r="S2037" s="109"/>
      <c r="T2037" s="109"/>
      <c r="U2037" s="105"/>
      <c r="V2037" s="262"/>
      <c r="W2037" s="121"/>
      <c r="X2037" s="121"/>
      <c r="Y2037" s="121"/>
      <c r="Z2037" s="121"/>
      <c r="AA2037" s="121"/>
      <c r="AB2037" s="121"/>
      <c r="AC2037" s="121"/>
      <c r="AD2037" s="121"/>
      <c r="AE2037" s="121"/>
      <c r="AF2037" s="121"/>
      <c r="AG2037" s="121"/>
      <c r="AH2037" s="121"/>
      <c r="AI2037" s="121"/>
    </row>
    <row r="2038" spans="1:35" s="115" customFormat="1" ht="14.4">
      <c r="A2038" s="187"/>
      <c r="B2038" s="190"/>
      <c r="C2038" s="190"/>
      <c r="D2038" s="69"/>
      <c r="E2038" s="69"/>
      <c r="F2038" s="149"/>
      <c r="G2038" s="146"/>
      <c r="H2038" s="98"/>
      <c r="I2038" s="106"/>
      <c r="J2038" s="106"/>
      <c r="K2038" s="106"/>
      <c r="L2038" s="106"/>
      <c r="M2038" s="106"/>
      <c r="N2038" s="112"/>
      <c r="O2038" s="112"/>
      <c r="P2038" s="112"/>
      <c r="Q2038" s="113"/>
      <c r="R2038" s="113"/>
      <c r="S2038" s="113"/>
      <c r="T2038" s="113"/>
      <c r="U2038" s="105"/>
      <c r="V2038" s="262"/>
      <c r="W2038" s="121"/>
      <c r="X2038" s="121"/>
      <c r="Y2038" s="121"/>
      <c r="Z2038" s="121"/>
      <c r="AA2038" s="121"/>
      <c r="AB2038" s="121"/>
      <c r="AC2038" s="121"/>
      <c r="AD2038" s="121"/>
      <c r="AE2038" s="121"/>
      <c r="AF2038" s="121"/>
      <c r="AG2038" s="121"/>
      <c r="AH2038" s="121"/>
      <c r="AI2038" s="121"/>
    </row>
    <row r="2039" spans="1:35" s="115" customFormat="1" ht="14.4">
      <c r="A2039" s="187"/>
      <c r="B2039" s="190"/>
      <c r="C2039" s="190"/>
      <c r="D2039" s="69"/>
      <c r="E2039" s="69"/>
      <c r="F2039" s="149"/>
      <c r="G2039" s="146"/>
      <c r="H2039" s="114"/>
      <c r="I2039" s="108"/>
      <c r="J2039" s="108"/>
      <c r="K2039" s="108"/>
      <c r="L2039" s="108"/>
      <c r="M2039" s="108"/>
      <c r="N2039" s="108"/>
      <c r="O2039" s="108"/>
      <c r="P2039" s="108"/>
      <c r="Q2039" s="108"/>
      <c r="R2039" s="108"/>
      <c r="S2039" s="108"/>
      <c r="T2039" s="108"/>
      <c r="U2039" s="105"/>
      <c r="V2039" s="262"/>
      <c r="W2039" s="121"/>
      <c r="X2039" s="121"/>
      <c r="Y2039" s="121"/>
      <c r="Z2039" s="121"/>
      <c r="AA2039" s="121"/>
      <c r="AB2039" s="121"/>
      <c r="AC2039" s="121"/>
      <c r="AD2039" s="121"/>
      <c r="AE2039" s="121"/>
      <c r="AF2039" s="121"/>
      <c r="AG2039" s="121"/>
      <c r="AH2039" s="121"/>
      <c r="AI2039" s="121"/>
    </row>
    <row r="2040" spans="1:35" s="115" customFormat="1" ht="15" thickBot="1">
      <c r="A2040" s="187"/>
      <c r="B2040" s="190"/>
      <c r="C2040" s="190"/>
      <c r="D2040" s="69"/>
      <c r="E2040" s="69"/>
      <c r="F2040" s="149"/>
      <c r="G2040" s="146"/>
      <c r="H2040" s="98"/>
      <c r="I2040" s="218"/>
      <c r="J2040" s="218"/>
      <c r="K2040" s="218"/>
      <c r="L2040" s="218"/>
      <c r="M2040" s="218"/>
      <c r="N2040" s="96"/>
      <c r="O2040" s="96"/>
      <c r="P2040" s="96"/>
      <c r="Q2040" s="212"/>
      <c r="R2040" s="212"/>
      <c r="S2040" s="212"/>
      <c r="T2040" s="212"/>
      <c r="U2040" s="105"/>
      <c r="V2040" s="262"/>
      <c r="W2040" s="121"/>
      <c r="X2040" s="121"/>
      <c r="Y2040" s="121"/>
      <c r="Z2040" s="121"/>
      <c r="AA2040" s="121"/>
      <c r="AB2040" s="121"/>
      <c r="AC2040" s="121"/>
      <c r="AD2040" s="121"/>
      <c r="AE2040" s="121"/>
      <c r="AF2040" s="121"/>
      <c r="AG2040" s="121"/>
      <c r="AH2040" s="121"/>
      <c r="AI2040" s="121"/>
    </row>
    <row r="2041" spans="1:35" s="115" customFormat="1" ht="23.4" thickBot="1">
      <c r="A2041" s="187"/>
      <c r="B2041" s="190"/>
      <c r="C2041" s="190"/>
      <c r="D2041" s="69"/>
      <c r="E2041" s="69"/>
      <c r="F2041" s="149"/>
      <c r="G2041" s="146"/>
      <c r="H2041" s="686"/>
      <c r="I2041" s="687"/>
      <c r="J2041" s="687"/>
      <c r="K2041" s="687"/>
      <c r="L2041" s="687"/>
      <c r="M2041" s="687"/>
      <c r="N2041" s="687"/>
      <c r="O2041" s="687"/>
      <c r="P2041" s="687"/>
      <c r="Q2041" s="687"/>
      <c r="R2041" s="687"/>
      <c r="S2041" s="687"/>
      <c r="T2041" s="688"/>
      <c r="U2041" s="105"/>
      <c r="V2041" s="262"/>
      <c r="W2041" s="121"/>
      <c r="X2041" s="121"/>
      <c r="Y2041" s="121"/>
      <c r="Z2041" s="121"/>
      <c r="AA2041" s="121"/>
      <c r="AB2041" s="121"/>
      <c r="AC2041" s="121"/>
      <c r="AD2041" s="121"/>
      <c r="AE2041" s="121"/>
      <c r="AF2041" s="121"/>
      <c r="AG2041" s="121"/>
      <c r="AH2041" s="121"/>
      <c r="AI2041" s="121"/>
    </row>
    <row r="2042" spans="1:35" s="115" customFormat="1" ht="22.8">
      <c r="A2042" s="187"/>
      <c r="B2042" s="190"/>
      <c r="C2042" s="190"/>
      <c r="D2042" s="69"/>
      <c r="E2042" s="69"/>
      <c r="F2042" s="149"/>
      <c r="G2042" s="146"/>
      <c r="H2042" s="225"/>
      <c r="I2042" s="225"/>
      <c r="J2042" s="225"/>
      <c r="K2042" s="225"/>
      <c r="L2042" s="225"/>
      <c r="M2042" s="225"/>
      <c r="N2042" s="225"/>
      <c r="O2042" s="225"/>
      <c r="P2042" s="225"/>
      <c r="Q2042" s="225"/>
      <c r="R2042" s="225"/>
      <c r="S2042" s="225"/>
      <c r="T2042" s="225"/>
      <c r="U2042" s="105"/>
      <c r="V2042" s="262"/>
      <c r="W2042" s="121"/>
      <c r="X2042" s="121"/>
      <c r="Y2042" s="121"/>
      <c r="Z2042" s="121"/>
      <c r="AA2042" s="121"/>
      <c r="AB2042" s="121"/>
      <c r="AC2042" s="121"/>
      <c r="AD2042" s="121"/>
      <c r="AE2042" s="121"/>
      <c r="AF2042" s="121"/>
      <c r="AG2042" s="121"/>
      <c r="AH2042" s="121"/>
      <c r="AI2042" s="121"/>
    </row>
    <row r="2043" spans="1:35" s="115" customFormat="1" ht="14.4">
      <c r="A2043" s="187"/>
      <c r="B2043" s="190"/>
      <c r="C2043" s="190"/>
      <c r="D2043" s="69"/>
      <c r="E2043" s="69"/>
      <c r="F2043" s="149"/>
      <c r="G2043" s="146"/>
      <c r="H2043" s="98"/>
      <c r="I2043" s="99"/>
      <c r="J2043" s="99"/>
      <c r="K2043" s="99"/>
      <c r="L2043" s="99"/>
      <c r="M2043" s="99"/>
      <c r="N2043" s="99"/>
      <c r="O2043" s="99"/>
      <c r="P2043" s="99"/>
      <c r="Q2043" s="99"/>
      <c r="R2043" s="99"/>
      <c r="S2043" s="99"/>
      <c r="T2043" s="99"/>
      <c r="U2043" s="105"/>
      <c r="V2043" s="262"/>
      <c r="W2043" s="121"/>
      <c r="X2043" s="121"/>
      <c r="Y2043" s="121"/>
      <c r="Z2043" s="121"/>
      <c r="AA2043" s="121"/>
      <c r="AB2043" s="121"/>
      <c r="AC2043" s="121"/>
      <c r="AD2043" s="121"/>
      <c r="AE2043" s="121"/>
      <c r="AF2043" s="121"/>
      <c r="AG2043" s="121"/>
      <c r="AH2043" s="121"/>
      <c r="AI2043" s="121"/>
    </row>
    <row r="2044" spans="1:35" s="115" customFormat="1" ht="14.4">
      <c r="A2044" s="187"/>
      <c r="B2044" s="190"/>
      <c r="C2044" s="190"/>
      <c r="D2044" s="69"/>
      <c r="E2044" s="69"/>
      <c r="F2044" s="149"/>
      <c r="G2044" s="146"/>
      <c r="H2044" s="98"/>
      <c r="I2044" s="99"/>
      <c r="J2044" s="99"/>
      <c r="K2044" s="99"/>
      <c r="L2044" s="99"/>
      <c r="M2044" s="99"/>
      <c r="N2044" s="99"/>
      <c r="O2044" s="99"/>
      <c r="P2044" s="99"/>
      <c r="Q2044" s="99"/>
      <c r="R2044" s="99"/>
      <c r="S2044" s="99"/>
      <c r="T2044" s="99"/>
      <c r="U2044" s="105"/>
      <c r="V2044" s="262"/>
      <c r="W2044" s="121"/>
      <c r="X2044" s="121"/>
      <c r="Y2044" s="121"/>
      <c r="Z2044" s="121"/>
      <c r="AA2044" s="121"/>
      <c r="AB2044" s="121"/>
      <c r="AC2044" s="121"/>
      <c r="AD2044" s="121"/>
      <c r="AE2044" s="121"/>
      <c r="AF2044" s="121"/>
      <c r="AG2044" s="121"/>
      <c r="AH2044" s="121"/>
      <c r="AI2044" s="121"/>
    </row>
    <row r="2045" spans="1:35" s="115" customFormat="1" ht="24" customHeight="1">
      <c r="A2045" s="187"/>
      <c r="B2045" s="190"/>
      <c r="C2045" s="190"/>
      <c r="D2045" s="69"/>
      <c r="E2045" s="69"/>
      <c r="F2045" s="149"/>
      <c r="G2045" s="146"/>
      <c r="H2045" s="98"/>
      <c r="I2045" s="99"/>
      <c r="J2045" s="99"/>
      <c r="K2045" s="99"/>
      <c r="L2045" s="99"/>
      <c r="M2045" s="99"/>
      <c r="N2045" s="99"/>
      <c r="O2045" s="99"/>
      <c r="P2045" s="99"/>
      <c r="Q2045" s="99"/>
      <c r="R2045" s="99"/>
      <c r="S2045" s="99"/>
      <c r="T2045" s="99"/>
      <c r="U2045" s="105"/>
      <c r="V2045" s="262"/>
      <c r="W2045" s="121"/>
      <c r="X2045" s="121"/>
      <c r="Y2045" s="121"/>
      <c r="Z2045" s="121"/>
      <c r="AA2045" s="121"/>
      <c r="AB2045" s="121"/>
      <c r="AC2045" s="121"/>
      <c r="AD2045" s="121"/>
      <c r="AE2045" s="121"/>
      <c r="AF2045" s="121"/>
      <c r="AG2045" s="121"/>
      <c r="AH2045" s="121"/>
      <c r="AI2045" s="121"/>
    </row>
    <row r="2046" spans="1:35" s="115" customFormat="1" ht="14.4">
      <c r="A2046" s="187"/>
      <c r="B2046" s="190"/>
      <c r="C2046" s="190"/>
      <c r="D2046" s="69"/>
      <c r="E2046" s="69"/>
      <c r="F2046" s="149"/>
      <c r="G2046" s="146"/>
      <c r="H2046" s="98"/>
      <c r="I2046" s="99"/>
      <c r="J2046" s="99"/>
      <c r="K2046" s="99"/>
      <c r="L2046" s="99"/>
      <c r="M2046" s="99"/>
      <c r="N2046" s="99"/>
      <c r="O2046" s="99"/>
      <c r="P2046" s="99"/>
      <c r="Q2046" s="99"/>
      <c r="R2046" s="99"/>
      <c r="S2046" s="99"/>
      <c r="T2046" s="99"/>
      <c r="U2046" s="105"/>
      <c r="V2046" s="262"/>
      <c r="W2046" s="121"/>
      <c r="X2046" s="121"/>
      <c r="Y2046" s="121"/>
      <c r="Z2046" s="121"/>
      <c r="AA2046" s="121"/>
      <c r="AB2046" s="121"/>
      <c r="AC2046" s="121"/>
      <c r="AD2046" s="121"/>
      <c r="AE2046" s="121"/>
      <c r="AF2046" s="121"/>
      <c r="AG2046" s="121"/>
      <c r="AH2046" s="121"/>
      <c r="AI2046" s="121"/>
    </row>
    <row r="2047" spans="1:35" s="115" customFormat="1" ht="14.4">
      <c r="A2047" s="187"/>
      <c r="B2047" s="190"/>
      <c r="C2047" s="190"/>
      <c r="D2047" s="69"/>
      <c r="E2047" s="69"/>
      <c r="F2047" s="149"/>
      <c r="G2047" s="146"/>
      <c r="H2047" s="98"/>
      <c r="I2047" s="99"/>
      <c r="J2047" s="99"/>
      <c r="K2047" s="99"/>
      <c r="L2047" s="99"/>
      <c r="M2047" s="99"/>
      <c r="N2047" s="99"/>
      <c r="O2047" s="99"/>
      <c r="P2047" s="99"/>
      <c r="Q2047" s="99"/>
      <c r="R2047" s="99"/>
      <c r="S2047" s="99"/>
      <c r="T2047" s="99"/>
      <c r="U2047" s="105"/>
      <c r="V2047" s="262"/>
      <c r="W2047" s="121"/>
      <c r="X2047" s="121"/>
      <c r="Y2047" s="121"/>
      <c r="Z2047" s="121"/>
      <c r="AA2047" s="121"/>
      <c r="AB2047" s="121"/>
      <c r="AC2047" s="121"/>
      <c r="AD2047" s="121"/>
      <c r="AE2047" s="121"/>
      <c r="AF2047" s="121"/>
      <c r="AG2047" s="121"/>
      <c r="AH2047" s="121"/>
      <c r="AI2047" s="121"/>
    </row>
    <row r="2048" spans="1:35" s="115" customFormat="1" ht="14.4">
      <c r="A2048" s="187"/>
      <c r="B2048" s="190"/>
      <c r="C2048" s="190"/>
      <c r="D2048" s="69"/>
      <c r="E2048" s="69"/>
      <c r="F2048" s="149"/>
      <c r="G2048" s="146"/>
      <c r="H2048" s="98"/>
      <c r="I2048" s="99"/>
      <c r="J2048" s="99"/>
      <c r="K2048" s="99"/>
      <c r="L2048" s="99"/>
      <c r="M2048" s="99"/>
      <c r="N2048" s="99"/>
      <c r="O2048" s="99"/>
      <c r="P2048" s="99"/>
      <c r="Q2048" s="99"/>
      <c r="R2048" s="99"/>
      <c r="S2048" s="99"/>
      <c r="T2048" s="99"/>
      <c r="U2048" s="105"/>
      <c r="V2048" s="262"/>
      <c r="W2048" s="121"/>
      <c r="X2048" s="121"/>
      <c r="Y2048" s="121"/>
      <c r="Z2048" s="121"/>
      <c r="AA2048" s="121"/>
      <c r="AB2048" s="121"/>
      <c r="AC2048" s="121"/>
      <c r="AD2048" s="121"/>
      <c r="AE2048" s="121"/>
      <c r="AF2048" s="121"/>
      <c r="AG2048" s="121"/>
      <c r="AH2048" s="121"/>
      <c r="AI2048" s="121"/>
    </row>
    <row r="2049" spans="1:35" s="115" customFormat="1" ht="14.4">
      <c r="A2049" s="187"/>
      <c r="B2049" s="190"/>
      <c r="C2049" s="190"/>
      <c r="D2049" s="69"/>
      <c r="E2049" s="69"/>
      <c r="F2049" s="149"/>
      <c r="G2049" s="146"/>
      <c r="H2049" s="98"/>
      <c r="I2049" s="99"/>
      <c r="J2049" s="99"/>
      <c r="K2049" s="99"/>
      <c r="L2049" s="99"/>
      <c r="M2049" s="99"/>
      <c r="N2049" s="99"/>
      <c r="O2049" s="99"/>
      <c r="P2049" s="99"/>
      <c r="Q2049" s="99"/>
      <c r="R2049" s="99"/>
      <c r="S2049" s="99"/>
      <c r="T2049" s="99"/>
      <c r="U2049" s="105"/>
      <c r="V2049" s="262"/>
      <c r="W2049" s="121"/>
      <c r="X2049" s="121"/>
      <c r="Y2049" s="121"/>
      <c r="Z2049" s="121"/>
      <c r="AA2049" s="121"/>
      <c r="AB2049" s="121"/>
      <c r="AC2049" s="121"/>
      <c r="AD2049" s="121"/>
      <c r="AE2049" s="121"/>
      <c r="AF2049" s="121"/>
      <c r="AG2049" s="121"/>
      <c r="AH2049" s="121"/>
      <c r="AI2049" s="121"/>
    </row>
    <row r="2050" spans="1:35" s="115" customFormat="1" ht="14.4">
      <c r="A2050" s="187"/>
      <c r="B2050" s="190"/>
      <c r="C2050" s="190"/>
      <c r="D2050" s="69"/>
      <c r="E2050" s="69"/>
      <c r="F2050" s="149"/>
      <c r="G2050" s="146"/>
      <c r="H2050" s="98"/>
      <c r="I2050" s="99"/>
      <c r="J2050" s="99"/>
      <c r="K2050" s="99"/>
      <c r="L2050" s="99"/>
      <c r="M2050" s="99"/>
      <c r="N2050" s="99"/>
      <c r="O2050" s="99"/>
      <c r="P2050" s="99"/>
      <c r="Q2050" s="99"/>
      <c r="R2050" s="99"/>
      <c r="S2050" s="99"/>
      <c r="T2050" s="99"/>
      <c r="U2050" s="105"/>
      <c r="V2050" s="262"/>
      <c r="W2050" s="121"/>
      <c r="X2050" s="121"/>
      <c r="Y2050" s="121"/>
      <c r="Z2050" s="121"/>
      <c r="AA2050" s="121"/>
      <c r="AB2050" s="121"/>
      <c r="AC2050" s="121"/>
      <c r="AD2050" s="121"/>
      <c r="AE2050" s="121"/>
      <c r="AF2050" s="121"/>
      <c r="AG2050" s="121"/>
      <c r="AH2050" s="121"/>
      <c r="AI2050" s="121"/>
    </row>
    <row r="2051" spans="1:35" s="115" customFormat="1" ht="14.4">
      <c r="A2051" s="187"/>
      <c r="B2051" s="190"/>
      <c r="C2051" s="190"/>
      <c r="D2051" s="69"/>
      <c r="E2051" s="69"/>
      <c r="F2051" s="149"/>
      <c r="G2051" s="146"/>
      <c r="H2051" s="98"/>
      <c r="I2051" s="99"/>
      <c r="J2051" s="99"/>
      <c r="K2051" s="99"/>
      <c r="L2051" s="99"/>
      <c r="M2051" s="99"/>
      <c r="N2051" s="99"/>
      <c r="O2051" s="99"/>
      <c r="P2051" s="99"/>
      <c r="Q2051" s="99"/>
      <c r="R2051" s="99"/>
      <c r="S2051" s="99"/>
      <c r="T2051" s="99"/>
      <c r="U2051" s="105"/>
      <c r="V2051" s="262"/>
      <c r="W2051" s="121"/>
      <c r="X2051" s="121"/>
      <c r="Y2051" s="121"/>
      <c r="Z2051" s="121"/>
      <c r="AA2051" s="121"/>
      <c r="AB2051" s="121"/>
      <c r="AC2051" s="121"/>
      <c r="AD2051" s="121"/>
      <c r="AE2051" s="121"/>
      <c r="AF2051" s="121"/>
      <c r="AG2051" s="121"/>
      <c r="AH2051" s="121"/>
      <c r="AI2051" s="121"/>
    </row>
    <row r="2052" spans="1:35" s="115" customFormat="1" ht="14.4">
      <c r="A2052" s="187"/>
      <c r="B2052" s="190"/>
      <c r="C2052" s="190"/>
      <c r="D2052" s="69"/>
      <c r="E2052" s="69"/>
      <c r="F2052" s="149"/>
      <c r="G2052" s="146"/>
      <c r="H2052" s="98"/>
      <c r="I2052" s="99"/>
      <c r="J2052" s="99"/>
      <c r="K2052" s="99"/>
      <c r="L2052" s="99"/>
      <c r="M2052" s="99"/>
      <c r="N2052" s="99"/>
      <c r="O2052" s="99"/>
      <c r="P2052" s="99"/>
      <c r="Q2052" s="99"/>
      <c r="R2052" s="99"/>
      <c r="S2052" s="99"/>
      <c r="T2052" s="99"/>
      <c r="U2052" s="105"/>
      <c r="V2052" s="262"/>
      <c r="W2052" s="121"/>
      <c r="X2052" s="121"/>
      <c r="Y2052" s="121"/>
      <c r="Z2052" s="121"/>
      <c r="AA2052" s="121"/>
      <c r="AB2052" s="121"/>
      <c r="AC2052" s="121"/>
      <c r="AD2052" s="121"/>
      <c r="AE2052" s="121"/>
      <c r="AF2052" s="121"/>
      <c r="AG2052" s="121"/>
      <c r="AH2052" s="121"/>
      <c r="AI2052" s="121"/>
    </row>
    <row r="2053" spans="1:35" s="115" customFormat="1" ht="14.4">
      <c r="A2053" s="187"/>
      <c r="B2053" s="190"/>
      <c r="C2053" s="190"/>
      <c r="D2053" s="69"/>
      <c r="E2053" s="69"/>
      <c r="F2053" s="149"/>
      <c r="G2053" s="146"/>
      <c r="H2053" s="98"/>
      <c r="I2053" s="99"/>
      <c r="J2053" s="99"/>
      <c r="K2053" s="99"/>
      <c r="L2053" s="99"/>
      <c r="M2053" s="99"/>
      <c r="N2053" s="99"/>
      <c r="O2053" s="99"/>
      <c r="P2053" s="99"/>
      <c r="Q2053" s="99"/>
      <c r="R2053" s="99"/>
      <c r="S2053" s="99"/>
      <c r="T2053" s="99"/>
      <c r="U2053" s="105"/>
      <c r="V2053" s="262"/>
      <c r="W2053" s="121"/>
      <c r="X2053" s="121"/>
      <c r="Y2053" s="121"/>
      <c r="Z2053" s="121"/>
      <c r="AA2053" s="121"/>
      <c r="AB2053" s="121"/>
      <c r="AC2053" s="121"/>
      <c r="AD2053" s="121"/>
      <c r="AE2053" s="121"/>
      <c r="AF2053" s="121"/>
      <c r="AG2053" s="121"/>
      <c r="AH2053" s="121"/>
      <c r="AI2053" s="121"/>
    </row>
    <row r="2054" spans="1:35" s="115" customFormat="1" ht="14.4">
      <c r="A2054" s="187"/>
      <c r="B2054" s="190"/>
      <c r="C2054" s="190"/>
      <c r="D2054" s="69"/>
      <c r="E2054" s="69"/>
      <c r="F2054" s="149"/>
      <c r="G2054" s="146"/>
      <c r="H2054" s="98"/>
      <c r="I2054" s="99"/>
      <c r="J2054" s="99"/>
      <c r="K2054" s="99"/>
      <c r="L2054" s="99"/>
      <c r="M2054" s="99"/>
      <c r="N2054" s="99"/>
      <c r="O2054" s="99"/>
      <c r="P2054" s="99"/>
      <c r="Q2054" s="99"/>
      <c r="R2054" s="99"/>
      <c r="S2054" s="99"/>
      <c r="T2054" s="99"/>
      <c r="U2054" s="105"/>
      <c r="V2054" s="262"/>
      <c r="W2054" s="121"/>
      <c r="X2054" s="121"/>
      <c r="Y2054" s="121"/>
      <c r="Z2054" s="121"/>
      <c r="AA2054" s="121"/>
      <c r="AB2054" s="121"/>
      <c r="AC2054" s="121"/>
      <c r="AD2054" s="121"/>
      <c r="AE2054" s="121"/>
      <c r="AF2054" s="121"/>
      <c r="AG2054" s="121"/>
      <c r="AH2054" s="121"/>
      <c r="AI2054" s="121"/>
    </row>
    <row r="2055" spans="1:35" s="115" customFormat="1" ht="14.4">
      <c r="A2055" s="187"/>
      <c r="B2055" s="190"/>
      <c r="C2055" s="190"/>
      <c r="D2055" s="69"/>
      <c r="E2055" s="69"/>
      <c r="F2055" s="149"/>
      <c r="G2055" s="146"/>
      <c r="H2055" s="98"/>
      <c r="I2055" s="99"/>
      <c r="J2055" s="99"/>
      <c r="K2055" s="99"/>
      <c r="L2055" s="99"/>
      <c r="M2055" s="99"/>
      <c r="N2055" s="99"/>
      <c r="O2055" s="99"/>
      <c r="P2055" s="99"/>
      <c r="Q2055" s="99"/>
      <c r="R2055" s="99"/>
      <c r="S2055" s="99"/>
      <c r="T2055" s="99"/>
      <c r="U2055" s="105"/>
      <c r="V2055" s="262"/>
      <c r="W2055" s="121"/>
      <c r="X2055" s="121"/>
      <c r="Y2055" s="121"/>
      <c r="Z2055" s="121"/>
      <c r="AA2055" s="121"/>
      <c r="AB2055" s="121"/>
      <c r="AC2055" s="121"/>
      <c r="AD2055" s="121"/>
      <c r="AE2055" s="121"/>
      <c r="AF2055" s="121"/>
      <c r="AG2055" s="121"/>
      <c r="AH2055" s="121"/>
      <c r="AI2055" s="121"/>
    </row>
    <row r="2056" spans="1:35" s="115" customFormat="1" ht="14.4">
      <c r="A2056" s="187"/>
      <c r="B2056" s="190"/>
      <c r="C2056" s="190"/>
      <c r="D2056" s="69"/>
      <c r="E2056" s="69"/>
      <c r="F2056" s="149"/>
      <c r="G2056" s="146"/>
      <c r="H2056" s="107"/>
      <c r="I2056" s="108"/>
      <c r="J2056" s="108"/>
      <c r="K2056" s="108"/>
      <c r="L2056" s="108"/>
      <c r="M2056" s="108"/>
      <c r="N2056" s="109"/>
      <c r="O2056" s="109"/>
      <c r="P2056" s="109"/>
      <c r="Q2056" s="109"/>
      <c r="R2056" s="109"/>
      <c r="S2056" s="109"/>
      <c r="T2056" s="109"/>
      <c r="U2056" s="105"/>
      <c r="V2056" s="262"/>
      <c r="W2056" s="121"/>
      <c r="X2056" s="121"/>
      <c r="Y2056" s="121"/>
      <c r="Z2056" s="121"/>
      <c r="AA2056" s="121"/>
      <c r="AB2056" s="121"/>
      <c r="AC2056" s="121"/>
      <c r="AD2056" s="121"/>
      <c r="AE2056" s="121"/>
      <c r="AF2056" s="121"/>
      <c r="AG2056" s="121"/>
      <c r="AH2056" s="121"/>
      <c r="AI2056" s="121"/>
    </row>
    <row r="2057" spans="1:35" s="115" customFormat="1" ht="14.4">
      <c r="A2057" s="187"/>
      <c r="B2057" s="190"/>
      <c r="C2057" s="190"/>
      <c r="D2057" s="69"/>
      <c r="E2057" s="69"/>
      <c r="F2057" s="149"/>
      <c r="G2057" s="146"/>
      <c r="H2057" s="98"/>
      <c r="I2057" s="106"/>
      <c r="J2057" s="106"/>
      <c r="K2057" s="106"/>
      <c r="L2057" s="106"/>
      <c r="M2057" s="106"/>
      <c r="N2057" s="112"/>
      <c r="O2057" s="112"/>
      <c r="P2057" s="112"/>
      <c r="Q2057" s="113"/>
      <c r="R2057" s="113"/>
      <c r="S2057" s="113"/>
      <c r="T2057" s="113"/>
      <c r="U2057" s="105"/>
      <c r="V2057" s="262"/>
      <c r="W2057" s="121"/>
      <c r="X2057" s="121"/>
      <c r="Y2057" s="121"/>
      <c r="Z2057" s="121"/>
      <c r="AA2057" s="121"/>
      <c r="AB2057" s="121"/>
      <c r="AC2057" s="121"/>
      <c r="AD2057" s="121"/>
      <c r="AE2057" s="121"/>
      <c r="AF2057" s="121"/>
      <c r="AG2057" s="121"/>
      <c r="AH2057" s="121"/>
      <c r="AI2057" s="121"/>
    </row>
    <row r="2058" spans="1:35" s="115" customFormat="1" ht="14.4">
      <c r="A2058" s="187"/>
      <c r="B2058" s="190"/>
      <c r="C2058" s="190"/>
      <c r="D2058" s="69"/>
      <c r="E2058" s="69"/>
      <c r="F2058" s="149"/>
      <c r="G2058" s="146"/>
      <c r="H2058" s="98"/>
      <c r="I2058" s="99"/>
      <c r="J2058" s="99"/>
      <c r="K2058" s="99"/>
      <c r="L2058" s="99"/>
      <c r="M2058" s="99"/>
      <c r="N2058" s="99"/>
      <c r="O2058" s="99"/>
      <c r="P2058" s="99"/>
      <c r="Q2058" s="99"/>
      <c r="R2058" s="99"/>
      <c r="S2058" s="99"/>
      <c r="T2058" s="99"/>
      <c r="U2058" s="105"/>
      <c r="V2058" s="262"/>
      <c r="W2058" s="121"/>
      <c r="X2058" s="121"/>
      <c r="Y2058" s="121"/>
      <c r="Z2058" s="121"/>
      <c r="AA2058" s="121"/>
      <c r="AB2058" s="121"/>
      <c r="AC2058" s="121"/>
      <c r="AD2058" s="121"/>
      <c r="AE2058" s="121"/>
      <c r="AF2058" s="121"/>
      <c r="AG2058" s="121"/>
      <c r="AH2058" s="121"/>
      <c r="AI2058" s="121"/>
    </row>
    <row r="2059" spans="1:35" s="115" customFormat="1" ht="14.4">
      <c r="A2059" s="187"/>
      <c r="B2059" s="190"/>
      <c r="C2059" s="190"/>
      <c r="D2059" s="69"/>
      <c r="E2059" s="69"/>
      <c r="F2059" s="149"/>
      <c r="G2059" s="146"/>
      <c r="H2059" s="98"/>
      <c r="I2059" s="99"/>
      <c r="J2059" s="99"/>
      <c r="K2059" s="99"/>
      <c r="L2059" s="99"/>
      <c r="M2059" s="99"/>
      <c r="N2059" s="99"/>
      <c r="O2059" s="99"/>
      <c r="P2059" s="99"/>
      <c r="Q2059" s="99"/>
      <c r="R2059" s="99"/>
      <c r="S2059" s="99"/>
      <c r="T2059" s="99"/>
      <c r="U2059" s="105"/>
      <c r="V2059" s="262"/>
      <c r="W2059" s="121"/>
      <c r="X2059" s="121"/>
      <c r="Y2059" s="121"/>
      <c r="Z2059" s="121"/>
      <c r="AA2059" s="121"/>
      <c r="AB2059" s="121"/>
      <c r="AC2059" s="121"/>
      <c r="AD2059" s="121"/>
      <c r="AE2059" s="121"/>
      <c r="AF2059" s="121"/>
      <c r="AG2059" s="121"/>
      <c r="AH2059" s="121"/>
      <c r="AI2059" s="121"/>
    </row>
    <row r="2060" spans="1:35" s="115" customFormat="1" ht="14.4">
      <c r="A2060" s="187"/>
      <c r="B2060" s="190"/>
      <c r="C2060" s="190"/>
      <c r="D2060" s="69"/>
      <c r="E2060" s="69"/>
      <c r="F2060" s="149"/>
      <c r="G2060" s="146"/>
      <c r="H2060" s="98"/>
      <c r="I2060" s="99"/>
      <c r="J2060" s="99"/>
      <c r="K2060" s="99"/>
      <c r="L2060" s="99"/>
      <c r="M2060" s="99"/>
      <c r="N2060" s="99"/>
      <c r="O2060" s="99"/>
      <c r="P2060" s="99"/>
      <c r="Q2060" s="99"/>
      <c r="R2060" s="99"/>
      <c r="S2060" s="99"/>
      <c r="T2060" s="99"/>
      <c r="U2060" s="105"/>
      <c r="V2060" s="262"/>
      <c r="W2060" s="121"/>
      <c r="X2060" s="121"/>
      <c r="Y2060" s="121"/>
      <c r="Z2060" s="121"/>
      <c r="AA2060" s="121"/>
      <c r="AB2060" s="121"/>
      <c r="AC2060" s="121"/>
      <c r="AD2060" s="121"/>
      <c r="AE2060" s="121"/>
      <c r="AF2060" s="121"/>
      <c r="AG2060" s="121"/>
      <c r="AH2060" s="121"/>
      <c r="AI2060" s="121"/>
    </row>
    <row r="2061" spans="1:35" s="115" customFormat="1" ht="14.4">
      <c r="A2061" s="187"/>
      <c r="B2061" s="190"/>
      <c r="C2061" s="190"/>
      <c r="D2061" s="69"/>
      <c r="E2061" s="69"/>
      <c r="F2061" s="149"/>
      <c r="G2061" s="146"/>
      <c r="H2061" s="98"/>
      <c r="I2061" s="99"/>
      <c r="J2061" s="99"/>
      <c r="K2061" s="99"/>
      <c r="L2061" s="99"/>
      <c r="M2061" s="99"/>
      <c r="N2061" s="99"/>
      <c r="O2061" s="99"/>
      <c r="P2061" s="99"/>
      <c r="Q2061" s="99"/>
      <c r="R2061" s="99"/>
      <c r="S2061" s="99"/>
      <c r="T2061" s="99"/>
      <c r="U2061" s="105"/>
      <c r="V2061" s="262"/>
      <c r="W2061" s="121"/>
      <c r="X2061" s="121"/>
      <c r="Y2061" s="121"/>
      <c r="Z2061" s="121"/>
      <c r="AA2061" s="121"/>
      <c r="AB2061" s="121"/>
      <c r="AC2061" s="121"/>
      <c r="AD2061" s="121"/>
      <c r="AE2061" s="121"/>
      <c r="AF2061" s="121"/>
      <c r="AG2061" s="121"/>
      <c r="AH2061" s="121"/>
      <c r="AI2061" s="121"/>
    </row>
    <row r="2062" spans="1:35" s="115" customFormat="1" ht="14.4">
      <c r="A2062" s="187"/>
      <c r="B2062" s="190"/>
      <c r="C2062" s="190"/>
      <c r="D2062" s="69"/>
      <c r="E2062" s="69"/>
      <c r="F2062" s="149"/>
      <c r="G2062" s="146"/>
      <c r="H2062" s="98"/>
      <c r="I2062" s="99"/>
      <c r="J2062" s="99"/>
      <c r="K2062" s="99"/>
      <c r="L2062" s="99"/>
      <c r="M2062" s="99"/>
      <c r="N2062" s="99"/>
      <c r="O2062" s="99"/>
      <c r="P2062" s="99"/>
      <c r="Q2062" s="99"/>
      <c r="R2062" s="99"/>
      <c r="S2062" s="99"/>
      <c r="T2062" s="99"/>
      <c r="U2062" s="105"/>
      <c r="V2062" s="262"/>
      <c r="W2062" s="121"/>
      <c r="X2062" s="121"/>
      <c r="Y2062" s="121"/>
      <c r="Z2062" s="121"/>
      <c r="AA2062" s="121"/>
      <c r="AB2062" s="121"/>
      <c r="AC2062" s="121"/>
      <c r="AD2062" s="121"/>
      <c r="AE2062" s="121"/>
      <c r="AF2062" s="121"/>
      <c r="AG2062" s="121"/>
      <c r="AH2062" s="121"/>
      <c r="AI2062" s="121"/>
    </row>
    <row r="2063" spans="1:35" s="115" customFormat="1" ht="14.4">
      <c r="A2063" s="187"/>
      <c r="B2063" s="190"/>
      <c r="C2063" s="190"/>
      <c r="D2063" s="69"/>
      <c r="E2063" s="69"/>
      <c r="F2063" s="149"/>
      <c r="G2063" s="146"/>
      <c r="H2063" s="98"/>
      <c r="I2063" s="99"/>
      <c r="J2063" s="99"/>
      <c r="K2063" s="99"/>
      <c r="L2063" s="99"/>
      <c r="M2063" s="99"/>
      <c r="N2063" s="99"/>
      <c r="O2063" s="99"/>
      <c r="P2063" s="99"/>
      <c r="Q2063" s="99"/>
      <c r="R2063" s="99"/>
      <c r="S2063" s="99"/>
      <c r="T2063" s="99"/>
      <c r="U2063" s="105"/>
      <c r="V2063" s="262"/>
      <c r="W2063" s="121"/>
      <c r="X2063" s="121"/>
      <c r="Y2063" s="121"/>
      <c r="Z2063" s="121"/>
      <c r="AA2063" s="121"/>
      <c r="AB2063" s="121"/>
      <c r="AC2063" s="121"/>
      <c r="AD2063" s="121"/>
      <c r="AE2063" s="121"/>
      <c r="AF2063" s="121"/>
      <c r="AG2063" s="121"/>
      <c r="AH2063" s="121"/>
      <c r="AI2063" s="121"/>
    </row>
    <row r="2064" spans="1:35" s="115" customFormat="1" ht="14.4">
      <c r="A2064" s="187"/>
      <c r="B2064" s="190"/>
      <c r="C2064" s="190"/>
      <c r="D2064" s="69"/>
      <c r="E2064" s="69"/>
      <c r="F2064" s="149"/>
      <c r="G2064" s="146"/>
      <c r="H2064" s="98"/>
      <c r="I2064" s="99"/>
      <c r="J2064" s="99"/>
      <c r="K2064" s="99"/>
      <c r="L2064" s="99"/>
      <c r="M2064" s="99"/>
      <c r="N2064" s="99"/>
      <c r="O2064" s="99"/>
      <c r="P2064" s="99"/>
      <c r="Q2064" s="99"/>
      <c r="R2064" s="99"/>
      <c r="S2064" s="99"/>
      <c r="T2064" s="99"/>
      <c r="U2064" s="105"/>
      <c r="V2064" s="262"/>
      <c r="W2064" s="121"/>
      <c r="X2064" s="121"/>
      <c r="Y2064" s="121"/>
      <c r="Z2064" s="121"/>
      <c r="AA2064" s="121"/>
      <c r="AB2064" s="121"/>
      <c r="AC2064" s="121"/>
      <c r="AD2064" s="121"/>
      <c r="AE2064" s="121"/>
      <c r="AF2064" s="121"/>
      <c r="AG2064" s="121"/>
      <c r="AH2064" s="121"/>
      <c r="AI2064" s="121"/>
    </row>
    <row r="2065" spans="1:35" s="115" customFormat="1" ht="14.4">
      <c r="A2065" s="187"/>
      <c r="B2065" s="190"/>
      <c r="C2065" s="190"/>
      <c r="D2065" s="69"/>
      <c r="E2065" s="69"/>
      <c r="F2065" s="149"/>
      <c r="G2065" s="146"/>
      <c r="H2065" s="98"/>
      <c r="I2065" s="99"/>
      <c r="J2065" s="99"/>
      <c r="K2065" s="99"/>
      <c r="L2065" s="99"/>
      <c r="M2065" s="99"/>
      <c r="N2065" s="99"/>
      <c r="O2065" s="99"/>
      <c r="P2065" s="99"/>
      <c r="Q2065" s="99"/>
      <c r="R2065" s="99"/>
      <c r="S2065" s="99"/>
      <c r="T2065" s="99"/>
      <c r="U2065" s="105"/>
      <c r="V2065" s="262"/>
      <c r="W2065" s="121"/>
      <c r="X2065" s="121"/>
      <c r="Y2065" s="121"/>
      <c r="Z2065" s="121"/>
      <c r="AA2065" s="121"/>
      <c r="AB2065" s="121"/>
      <c r="AC2065" s="121"/>
      <c r="AD2065" s="121"/>
      <c r="AE2065" s="121"/>
      <c r="AF2065" s="121"/>
      <c r="AG2065" s="121"/>
      <c r="AH2065" s="121"/>
      <c r="AI2065" s="121"/>
    </row>
    <row r="2066" spans="1:35" s="115" customFormat="1" ht="14.4">
      <c r="A2066" s="187"/>
      <c r="B2066" s="190"/>
      <c r="C2066" s="190"/>
      <c r="D2066" s="69"/>
      <c r="E2066" s="69"/>
      <c r="F2066" s="149"/>
      <c r="G2066" s="146"/>
      <c r="H2066" s="98"/>
      <c r="I2066" s="99"/>
      <c r="J2066" s="99"/>
      <c r="K2066" s="99"/>
      <c r="L2066" s="99"/>
      <c r="M2066" s="99"/>
      <c r="N2066" s="99"/>
      <c r="O2066" s="99"/>
      <c r="P2066" s="99"/>
      <c r="Q2066" s="99"/>
      <c r="R2066" s="99"/>
      <c r="S2066" s="99"/>
      <c r="T2066" s="99"/>
      <c r="U2066" s="105"/>
      <c r="V2066" s="262"/>
      <c r="W2066" s="121"/>
      <c r="X2066" s="121"/>
      <c r="Y2066" s="121"/>
      <c r="Z2066" s="121"/>
      <c r="AA2066" s="121"/>
      <c r="AB2066" s="121"/>
      <c r="AC2066" s="121"/>
      <c r="AD2066" s="121"/>
      <c r="AE2066" s="121"/>
      <c r="AF2066" s="121"/>
      <c r="AG2066" s="121"/>
      <c r="AH2066" s="121"/>
      <c r="AI2066" s="121"/>
    </row>
    <row r="2067" spans="1:35" s="115" customFormat="1" ht="14.4">
      <c r="A2067" s="187"/>
      <c r="B2067" s="190"/>
      <c r="C2067" s="190"/>
      <c r="D2067" s="69"/>
      <c r="E2067" s="69"/>
      <c r="F2067" s="149"/>
      <c r="G2067" s="146"/>
      <c r="H2067" s="98"/>
      <c r="I2067" s="99"/>
      <c r="J2067" s="99"/>
      <c r="K2067" s="99"/>
      <c r="L2067" s="99"/>
      <c r="M2067" s="99"/>
      <c r="N2067" s="99"/>
      <c r="O2067" s="99"/>
      <c r="P2067" s="99"/>
      <c r="Q2067" s="99"/>
      <c r="R2067" s="99"/>
      <c r="S2067" s="99"/>
      <c r="T2067" s="99"/>
      <c r="U2067" s="105"/>
      <c r="V2067" s="262"/>
      <c r="W2067" s="121"/>
      <c r="X2067" s="121"/>
      <c r="Y2067" s="121"/>
      <c r="Z2067" s="121"/>
      <c r="AA2067" s="121"/>
      <c r="AB2067" s="121"/>
      <c r="AC2067" s="121"/>
      <c r="AD2067" s="121"/>
      <c r="AE2067" s="121"/>
      <c r="AF2067" s="121"/>
      <c r="AG2067" s="121"/>
      <c r="AH2067" s="121"/>
      <c r="AI2067" s="121"/>
    </row>
    <row r="2068" spans="1:35" s="115" customFormat="1" ht="14.4">
      <c r="A2068" s="187"/>
      <c r="B2068" s="190"/>
      <c r="C2068" s="190"/>
      <c r="D2068" s="69"/>
      <c r="E2068" s="69"/>
      <c r="F2068" s="149"/>
      <c r="G2068" s="146"/>
      <c r="H2068" s="98"/>
      <c r="I2068" s="99"/>
      <c r="J2068" s="99"/>
      <c r="K2068" s="99"/>
      <c r="L2068" s="99"/>
      <c r="M2068" s="99"/>
      <c r="N2068" s="99"/>
      <c r="O2068" s="99"/>
      <c r="P2068" s="99"/>
      <c r="Q2068" s="99"/>
      <c r="R2068" s="99"/>
      <c r="S2068" s="99"/>
      <c r="T2068" s="99"/>
      <c r="U2068" s="105"/>
      <c r="V2068" s="262"/>
      <c r="W2068" s="121"/>
      <c r="X2068" s="121"/>
      <c r="Y2068" s="121"/>
      <c r="Z2068" s="121"/>
      <c r="AA2068" s="121"/>
      <c r="AB2068" s="121"/>
      <c r="AC2068" s="121"/>
      <c r="AD2068" s="121"/>
      <c r="AE2068" s="121"/>
      <c r="AF2068" s="121"/>
      <c r="AG2068" s="121"/>
      <c r="AH2068" s="121"/>
      <c r="AI2068" s="121"/>
    </row>
    <row r="2069" spans="1:35" s="115" customFormat="1" ht="14.4">
      <c r="A2069" s="187"/>
      <c r="B2069" s="190"/>
      <c r="C2069" s="190"/>
      <c r="D2069" s="69"/>
      <c r="E2069" s="69"/>
      <c r="F2069" s="149"/>
      <c r="G2069" s="146"/>
      <c r="H2069" s="98"/>
      <c r="I2069" s="99"/>
      <c r="J2069" s="99"/>
      <c r="K2069" s="99"/>
      <c r="L2069" s="99"/>
      <c r="M2069" s="99"/>
      <c r="N2069" s="99"/>
      <c r="O2069" s="99"/>
      <c r="P2069" s="99"/>
      <c r="Q2069" s="99"/>
      <c r="R2069" s="99"/>
      <c r="S2069" s="99"/>
      <c r="T2069" s="99"/>
      <c r="U2069" s="105"/>
      <c r="V2069" s="262"/>
      <c r="W2069" s="121"/>
      <c r="X2069" s="121"/>
      <c r="Y2069" s="121"/>
      <c r="Z2069" s="121"/>
      <c r="AA2069" s="121"/>
      <c r="AB2069" s="121"/>
      <c r="AC2069" s="121"/>
      <c r="AD2069" s="121"/>
      <c r="AE2069" s="121"/>
      <c r="AF2069" s="121"/>
      <c r="AG2069" s="121"/>
      <c r="AH2069" s="121"/>
      <c r="AI2069" s="121"/>
    </row>
    <row r="2070" spans="1:35" s="115" customFormat="1" ht="14.4">
      <c r="A2070" s="187"/>
      <c r="B2070" s="190"/>
      <c r="C2070" s="190"/>
      <c r="D2070" s="69"/>
      <c r="E2070" s="69"/>
      <c r="F2070" s="149"/>
      <c r="G2070" s="146"/>
      <c r="H2070" s="98"/>
      <c r="I2070" s="99"/>
      <c r="J2070" s="99"/>
      <c r="K2070" s="99"/>
      <c r="L2070" s="99"/>
      <c r="M2070" s="99"/>
      <c r="N2070" s="99"/>
      <c r="O2070" s="99"/>
      <c r="P2070" s="99"/>
      <c r="Q2070" s="99"/>
      <c r="R2070" s="99"/>
      <c r="S2070" s="99"/>
      <c r="T2070" s="99"/>
      <c r="U2070" s="105"/>
      <c r="V2070" s="262"/>
      <c r="W2070" s="121"/>
      <c r="X2070" s="121"/>
      <c r="Y2070" s="121"/>
      <c r="Z2070" s="121"/>
      <c r="AA2070" s="121"/>
      <c r="AB2070" s="121"/>
      <c r="AC2070" s="121"/>
      <c r="AD2070" s="121"/>
      <c r="AE2070" s="121"/>
      <c r="AF2070" s="121"/>
      <c r="AG2070" s="121"/>
      <c r="AH2070" s="121"/>
      <c r="AI2070" s="121"/>
    </row>
    <row r="2071" spans="1:35" s="115" customFormat="1" ht="14.4">
      <c r="A2071" s="187"/>
      <c r="B2071" s="190"/>
      <c r="C2071" s="190"/>
      <c r="D2071" s="69"/>
      <c r="E2071" s="69"/>
      <c r="F2071" s="149"/>
      <c r="G2071" s="146"/>
      <c r="H2071" s="98"/>
      <c r="I2071" s="99"/>
      <c r="J2071" s="99"/>
      <c r="K2071" s="99"/>
      <c r="L2071" s="99"/>
      <c r="M2071" s="99"/>
      <c r="N2071" s="99"/>
      <c r="O2071" s="99"/>
      <c r="P2071" s="99"/>
      <c r="Q2071" s="99"/>
      <c r="R2071" s="99"/>
      <c r="S2071" s="99"/>
      <c r="T2071" s="99"/>
      <c r="U2071" s="105"/>
      <c r="V2071" s="262"/>
      <c r="W2071" s="121"/>
      <c r="X2071" s="121"/>
      <c r="Y2071" s="121"/>
      <c r="Z2071" s="121"/>
      <c r="AA2071" s="121"/>
      <c r="AB2071" s="121"/>
      <c r="AC2071" s="121"/>
      <c r="AD2071" s="121"/>
      <c r="AE2071" s="121"/>
      <c r="AF2071" s="121"/>
      <c r="AG2071" s="121"/>
      <c r="AH2071" s="121"/>
      <c r="AI2071" s="121"/>
    </row>
    <row r="2072" spans="1:35" s="115" customFormat="1" ht="14.4">
      <c r="A2072" s="187"/>
      <c r="B2072" s="190"/>
      <c r="C2072" s="190"/>
      <c r="D2072" s="69"/>
      <c r="E2072" s="69"/>
      <c r="F2072" s="149"/>
      <c r="G2072" s="146"/>
      <c r="H2072" s="98"/>
      <c r="I2072" s="99"/>
      <c r="J2072" s="99"/>
      <c r="K2072" s="99"/>
      <c r="L2072" s="99"/>
      <c r="M2072" s="99"/>
      <c r="N2072" s="99"/>
      <c r="O2072" s="99"/>
      <c r="P2072" s="99"/>
      <c r="Q2072" s="99"/>
      <c r="R2072" s="99"/>
      <c r="S2072" s="99"/>
      <c r="T2072" s="99"/>
      <c r="U2072" s="105"/>
      <c r="V2072" s="262"/>
      <c r="W2072" s="121"/>
      <c r="X2072" s="121"/>
      <c r="Y2072" s="121"/>
      <c r="Z2072" s="121"/>
      <c r="AA2072" s="121"/>
      <c r="AB2072" s="121"/>
      <c r="AC2072" s="121"/>
      <c r="AD2072" s="121"/>
      <c r="AE2072" s="121"/>
      <c r="AF2072" s="121"/>
      <c r="AG2072" s="121"/>
      <c r="AH2072" s="121"/>
      <c r="AI2072" s="121"/>
    </row>
    <row r="2073" spans="1:35" s="115" customFormat="1" ht="14.4">
      <c r="A2073" s="187"/>
      <c r="B2073" s="190"/>
      <c r="C2073" s="190"/>
      <c r="D2073" s="69"/>
      <c r="E2073" s="69"/>
      <c r="F2073" s="149"/>
      <c r="G2073" s="146"/>
      <c r="H2073" s="98"/>
      <c r="I2073" s="99"/>
      <c r="J2073" s="99"/>
      <c r="K2073" s="99"/>
      <c r="L2073" s="99"/>
      <c r="M2073" s="99"/>
      <c r="N2073" s="99"/>
      <c r="O2073" s="99"/>
      <c r="P2073" s="99"/>
      <c r="Q2073" s="99"/>
      <c r="R2073" s="99"/>
      <c r="S2073" s="99"/>
      <c r="T2073" s="99"/>
      <c r="U2073" s="105"/>
      <c r="V2073" s="262"/>
      <c r="W2073" s="121"/>
      <c r="X2073" s="121"/>
      <c r="Y2073" s="121"/>
      <c r="Z2073" s="121"/>
      <c r="AA2073" s="121"/>
      <c r="AB2073" s="121"/>
      <c r="AC2073" s="121"/>
      <c r="AD2073" s="121"/>
      <c r="AE2073" s="121"/>
      <c r="AF2073" s="121"/>
      <c r="AG2073" s="121"/>
      <c r="AH2073" s="121"/>
      <c r="AI2073" s="121"/>
    </row>
    <row r="2074" spans="1:35" s="115" customFormat="1" ht="14.4">
      <c r="A2074" s="187"/>
      <c r="B2074" s="190"/>
      <c r="C2074" s="190"/>
      <c r="D2074" s="69"/>
      <c r="E2074" s="69"/>
      <c r="F2074" s="149"/>
      <c r="G2074" s="146"/>
      <c r="H2074" s="98"/>
      <c r="I2074" s="99"/>
      <c r="J2074" s="99"/>
      <c r="K2074" s="99"/>
      <c r="L2074" s="99"/>
      <c r="M2074" s="99"/>
      <c r="N2074" s="99"/>
      <c r="O2074" s="99"/>
      <c r="P2074" s="99"/>
      <c r="Q2074" s="99"/>
      <c r="R2074" s="99"/>
      <c r="S2074" s="99"/>
      <c r="T2074" s="99"/>
      <c r="U2074" s="105"/>
      <c r="V2074" s="262"/>
      <c r="W2074" s="121"/>
      <c r="X2074" s="121"/>
      <c r="Y2074" s="121"/>
      <c r="Z2074" s="121"/>
      <c r="AA2074" s="121"/>
      <c r="AB2074" s="121"/>
      <c r="AC2074" s="121"/>
      <c r="AD2074" s="121"/>
      <c r="AE2074" s="121"/>
      <c r="AF2074" s="121"/>
      <c r="AG2074" s="121"/>
      <c r="AH2074" s="121"/>
      <c r="AI2074" s="121"/>
    </row>
    <row r="2075" spans="1:35" s="115" customFormat="1" ht="14.4">
      <c r="A2075" s="187"/>
      <c r="B2075" s="190"/>
      <c r="C2075" s="190"/>
      <c r="D2075" s="69"/>
      <c r="E2075" s="69"/>
      <c r="F2075" s="149"/>
      <c r="G2075" s="146"/>
      <c r="H2075" s="98"/>
      <c r="I2075" s="99"/>
      <c r="J2075" s="99"/>
      <c r="K2075" s="99"/>
      <c r="L2075" s="99"/>
      <c r="M2075" s="99"/>
      <c r="N2075" s="99"/>
      <c r="O2075" s="99"/>
      <c r="P2075" s="99"/>
      <c r="Q2075" s="99"/>
      <c r="R2075" s="99"/>
      <c r="S2075" s="99"/>
      <c r="T2075" s="99"/>
      <c r="U2075" s="105"/>
      <c r="V2075" s="262"/>
      <c r="W2075" s="121"/>
      <c r="X2075" s="121"/>
      <c r="Y2075" s="121"/>
      <c r="Z2075" s="121"/>
      <c r="AA2075" s="121"/>
      <c r="AB2075" s="121"/>
      <c r="AC2075" s="121"/>
      <c r="AD2075" s="121"/>
      <c r="AE2075" s="121"/>
      <c r="AF2075" s="121"/>
      <c r="AG2075" s="121"/>
      <c r="AH2075" s="121"/>
      <c r="AI2075" s="121"/>
    </row>
    <row r="2076" spans="1:35" s="115" customFormat="1" ht="14.4">
      <c r="A2076" s="187"/>
      <c r="B2076" s="190"/>
      <c r="C2076" s="190"/>
      <c r="D2076" s="69"/>
      <c r="E2076" s="69"/>
      <c r="F2076" s="149"/>
      <c r="G2076" s="146"/>
      <c r="H2076" s="98"/>
      <c r="I2076" s="99"/>
      <c r="J2076" s="99"/>
      <c r="K2076" s="99"/>
      <c r="L2076" s="99"/>
      <c r="M2076" s="99"/>
      <c r="N2076" s="99"/>
      <c r="O2076" s="99"/>
      <c r="P2076" s="99"/>
      <c r="Q2076" s="99"/>
      <c r="R2076" s="99"/>
      <c r="S2076" s="99"/>
      <c r="T2076" s="99"/>
      <c r="U2076" s="105"/>
      <c r="V2076" s="262"/>
      <c r="W2076" s="121"/>
      <c r="X2076" s="121"/>
      <c r="Y2076" s="121"/>
      <c r="Z2076" s="121"/>
      <c r="AA2076" s="121"/>
      <c r="AB2076" s="121"/>
      <c r="AC2076" s="121"/>
      <c r="AD2076" s="121"/>
      <c r="AE2076" s="121"/>
      <c r="AF2076" s="121"/>
      <c r="AG2076" s="121"/>
      <c r="AH2076" s="121"/>
      <c r="AI2076" s="121"/>
    </row>
    <row r="2077" spans="1:35" s="115" customFormat="1" ht="14.4">
      <c r="A2077" s="187"/>
      <c r="B2077" s="190"/>
      <c r="C2077" s="190"/>
      <c r="D2077" s="69"/>
      <c r="E2077" s="69"/>
      <c r="F2077" s="149"/>
      <c r="G2077" s="146"/>
      <c r="H2077" s="98"/>
      <c r="I2077" s="99"/>
      <c r="J2077" s="99"/>
      <c r="K2077" s="99"/>
      <c r="L2077" s="99"/>
      <c r="M2077" s="99"/>
      <c r="N2077" s="99"/>
      <c r="O2077" s="99"/>
      <c r="P2077" s="99"/>
      <c r="Q2077" s="99"/>
      <c r="R2077" s="99"/>
      <c r="S2077" s="99"/>
      <c r="T2077" s="99"/>
      <c r="U2077" s="105"/>
      <c r="V2077" s="262"/>
      <c r="W2077" s="121"/>
      <c r="X2077" s="121"/>
      <c r="Y2077" s="121"/>
      <c r="Z2077" s="121"/>
      <c r="AA2077" s="121"/>
      <c r="AB2077" s="121"/>
      <c r="AC2077" s="121"/>
      <c r="AD2077" s="121"/>
      <c r="AE2077" s="121"/>
      <c r="AF2077" s="121"/>
      <c r="AG2077" s="121"/>
      <c r="AH2077" s="121"/>
      <c r="AI2077" s="121"/>
    </row>
    <row r="2078" spans="1:35" s="115" customFormat="1" ht="14.4">
      <c r="A2078" s="187"/>
      <c r="B2078" s="190"/>
      <c r="C2078" s="190"/>
      <c r="D2078" s="69"/>
      <c r="E2078" s="69"/>
      <c r="F2078" s="149"/>
      <c r="G2078" s="146"/>
      <c r="H2078" s="98"/>
      <c r="I2078" s="99"/>
      <c r="J2078" s="99"/>
      <c r="K2078" s="99"/>
      <c r="L2078" s="99"/>
      <c r="M2078" s="99"/>
      <c r="N2078" s="99"/>
      <c r="O2078" s="99"/>
      <c r="P2078" s="99"/>
      <c r="Q2078" s="99"/>
      <c r="R2078" s="99"/>
      <c r="S2078" s="99"/>
      <c r="T2078" s="99"/>
      <c r="U2078" s="105"/>
      <c r="V2078" s="262"/>
      <c r="W2078" s="121"/>
      <c r="X2078" s="121"/>
      <c r="Y2078" s="121"/>
      <c r="Z2078" s="121"/>
      <c r="AA2078" s="121"/>
      <c r="AB2078" s="121"/>
      <c r="AC2078" s="121"/>
      <c r="AD2078" s="121"/>
      <c r="AE2078" s="121"/>
      <c r="AF2078" s="121"/>
      <c r="AG2078" s="121"/>
      <c r="AH2078" s="121"/>
      <c r="AI2078" s="121"/>
    </row>
    <row r="2079" spans="1:35" s="115" customFormat="1" ht="14.4">
      <c r="A2079" s="187"/>
      <c r="B2079" s="190"/>
      <c r="C2079" s="190"/>
      <c r="D2079" s="69"/>
      <c r="E2079" s="69"/>
      <c r="F2079" s="149"/>
      <c r="G2079" s="146"/>
      <c r="H2079" s="107"/>
      <c r="I2079" s="109"/>
      <c r="J2079" s="109"/>
      <c r="K2079" s="109"/>
      <c r="L2079" s="109"/>
      <c r="M2079" s="109"/>
      <c r="N2079" s="109"/>
      <c r="O2079" s="109"/>
      <c r="P2079" s="109"/>
      <c r="Q2079" s="109"/>
      <c r="R2079" s="109"/>
      <c r="S2079" s="109"/>
      <c r="T2079" s="109"/>
      <c r="U2079" s="105"/>
      <c r="V2079" s="262"/>
      <c r="W2079" s="121"/>
      <c r="X2079" s="121"/>
      <c r="Y2079" s="121"/>
      <c r="Z2079" s="121"/>
      <c r="AA2079" s="121"/>
      <c r="AB2079" s="121"/>
      <c r="AC2079" s="121"/>
      <c r="AD2079" s="121"/>
      <c r="AE2079" s="121"/>
      <c r="AF2079" s="121"/>
      <c r="AG2079" s="121"/>
      <c r="AH2079" s="121"/>
      <c r="AI2079" s="121"/>
    </row>
    <row r="2080" spans="1:35" s="115" customFormat="1" ht="14.4">
      <c r="A2080" s="187"/>
      <c r="B2080" s="190"/>
      <c r="C2080" s="190"/>
      <c r="D2080" s="69"/>
      <c r="E2080" s="69"/>
      <c r="F2080" s="149"/>
      <c r="G2080" s="146"/>
      <c r="H2080" s="98"/>
      <c r="I2080" s="106"/>
      <c r="J2080" s="106"/>
      <c r="K2080" s="106"/>
      <c r="L2080" s="106"/>
      <c r="M2080" s="106"/>
      <c r="N2080" s="112"/>
      <c r="O2080" s="112"/>
      <c r="P2080" s="112"/>
      <c r="Q2080" s="113"/>
      <c r="R2080" s="113"/>
      <c r="S2080" s="113"/>
      <c r="T2080" s="113"/>
      <c r="U2080" s="105"/>
      <c r="V2080" s="262"/>
      <c r="W2080" s="121"/>
      <c r="X2080" s="121"/>
      <c r="Y2080" s="121"/>
      <c r="Z2080" s="121"/>
      <c r="AA2080" s="121"/>
      <c r="AB2080" s="121"/>
      <c r="AC2080" s="121"/>
      <c r="AD2080" s="121"/>
      <c r="AE2080" s="121"/>
      <c r="AF2080" s="121"/>
      <c r="AG2080" s="121"/>
      <c r="AH2080" s="121"/>
      <c r="AI2080" s="121"/>
    </row>
    <row r="2081" spans="1:35" s="115" customFormat="1" ht="14.4">
      <c r="A2081" s="187"/>
      <c r="B2081" s="190"/>
      <c r="C2081" s="190"/>
      <c r="D2081" s="69"/>
      <c r="E2081" s="69"/>
      <c r="F2081" s="149"/>
      <c r="G2081" s="146"/>
      <c r="H2081" s="98"/>
      <c r="I2081" s="99"/>
      <c r="J2081" s="99"/>
      <c r="K2081" s="99"/>
      <c r="L2081" s="99"/>
      <c r="M2081" s="99"/>
      <c r="N2081" s="99"/>
      <c r="O2081" s="99"/>
      <c r="P2081" s="99"/>
      <c r="Q2081" s="99"/>
      <c r="R2081" s="99"/>
      <c r="S2081" s="99"/>
      <c r="T2081" s="99"/>
      <c r="U2081" s="105"/>
      <c r="V2081" s="262"/>
      <c r="W2081" s="121"/>
      <c r="X2081" s="121"/>
      <c r="Y2081" s="121"/>
      <c r="Z2081" s="121"/>
      <c r="AA2081" s="121"/>
      <c r="AB2081" s="121"/>
      <c r="AC2081" s="121"/>
      <c r="AD2081" s="121"/>
      <c r="AE2081" s="121"/>
      <c r="AF2081" s="121"/>
      <c r="AG2081" s="121"/>
      <c r="AH2081" s="121"/>
      <c r="AI2081" s="121"/>
    </row>
    <row r="2082" spans="1:35" s="115" customFormat="1" ht="14.4">
      <c r="A2082" s="187"/>
      <c r="B2082" s="190"/>
      <c r="C2082" s="190"/>
      <c r="D2082" s="69"/>
      <c r="E2082" s="69"/>
      <c r="F2082" s="149"/>
      <c r="G2082" s="146"/>
      <c r="H2082" s="98"/>
      <c r="I2082" s="99"/>
      <c r="J2082" s="99"/>
      <c r="K2082" s="99"/>
      <c r="L2082" s="99"/>
      <c r="M2082" s="99"/>
      <c r="N2082" s="99"/>
      <c r="O2082" s="99"/>
      <c r="P2082" s="99"/>
      <c r="Q2082" s="99"/>
      <c r="R2082" s="99"/>
      <c r="S2082" s="99"/>
      <c r="T2082" s="99"/>
      <c r="U2082" s="105"/>
      <c r="V2082" s="262"/>
      <c r="W2082" s="121"/>
      <c r="X2082" s="121"/>
      <c r="Y2082" s="121"/>
      <c r="Z2082" s="121"/>
      <c r="AA2082" s="121"/>
      <c r="AB2082" s="121"/>
      <c r="AC2082" s="121"/>
      <c r="AD2082" s="121"/>
      <c r="AE2082" s="121"/>
      <c r="AF2082" s="121"/>
      <c r="AG2082" s="121"/>
      <c r="AH2082" s="121"/>
      <c r="AI2082" s="121"/>
    </row>
    <row r="2083" spans="1:35" s="115" customFormat="1" ht="14.4">
      <c r="A2083" s="187"/>
      <c r="B2083" s="190"/>
      <c r="C2083" s="190"/>
      <c r="D2083" s="69"/>
      <c r="E2083" s="69"/>
      <c r="F2083" s="149"/>
      <c r="G2083" s="146"/>
      <c r="H2083" s="98"/>
      <c r="I2083" s="99"/>
      <c r="J2083" s="99"/>
      <c r="K2083" s="99"/>
      <c r="L2083" s="99"/>
      <c r="M2083" s="99"/>
      <c r="N2083" s="99"/>
      <c r="O2083" s="99"/>
      <c r="P2083" s="99"/>
      <c r="Q2083" s="99"/>
      <c r="R2083" s="99"/>
      <c r="S2083" s="99"/>
      <c r="T2083" s="99"/>
      <c r="U2083" s="105"/>
      <c r="V2083" s="262"/>
      <c r="W2083" s="121"/>
      <c r="X2083" s="121"/>
      <c r="Y2083" s="121"/>
      <c r="Z2083" s="121"/>
      <c r="AA2083" s="121"/>
      <c r="AB2083" s="121"/>
      <c r="AC2083" s="121"/>
      <c r="AD2083" s="121"/>
      <c r="AE2083" s="121"/>
      <c r="AF2083" s="121"/>
      <c r="AG2083" s="121"/>
      <c r="AH2083" s="121"/>
      <c r="AI2083" s="121"/>
    </row>
    <row r="2084" spans="1:35" s="115" customFormat="1" ht="14.4">
      <c r="A2084" s="187"/>
      <c r="B2084" s="190"/>
      <c r="C2084" s="190"/>
      <c r="D2084" s="69"/>
      <c r="E2084" s="69"/>
      <c r="F2084" s="149"/>
      <c r="G2084" s="146"/>
      <c r="H2084" s="98"/>
      <c r="I2084" s="99"/>
      <c r="J2084" s="99"/>
      <c r="K2084" s="99"/>
      <c r="L2084" s="99"/>
      <c r="M2084" s="99"/>
      <c r="N2084" s="99"/>
      <c r="O2084" s="99"/>
      <c r="P2084" s="99"/>
      <c r="Q2084" s="99"/>
      <c r="R2084" s="99"/>
      <c r="S2084" s="99"/>
      <c r="T2084" s="99"/>
      <c r="U2084" s="105"/>
      <c r="V2084" s="262"/>
      <c r="W2084" s="121"/>
      <c r="X2084" s="121"/>
      <c r="Y2084" s="121"/>
      <c r="Z2084" s="121"/>
      <c r="AA2084" s="121"/>
      <c r="AB2084" s="121"/>
      <c r="AC2084" s="121"/>
      <c r="AD2084" s="121"/>
      <c r="AE2084" s="121"/>
      <c r="AF2084" s="121"/>
      <c r="AG2084" s="121"/>
      <c r="AH2084" s="121"/>
      <c r="AI2084" s="121"/>
    </row>
    <row r="2085" spans="1:35" s="115" customFormat="1" ht="14.4">
      <c r="A2085" s="187"/>
      <c r="B2085" s="190"/>
      <c r="C2085" s="190"/>
      <c r="D2085" s="69"/>
      <c r="E2085" s="69"/>
      <c r="F2085" s="149"/>
      <c r="G2085" s="146"/>
      <c r="H2085" s="98"/>
      <c r="I2085" s="99"/>
      <c r="J2085" s="99"/>
      <c r="K2085" s="99"/>
      <c r="L2085" s="99"/>
      <c r="M2085" s="99"/>
      <c r="N2085" s="99"/>
      <c r="O2085" s="99"/>
      <c r="P2085" s="99"/>
      <c r="Q2085" s="99"/>
      <c r="R2085" s="99"/>
      <c r="S2085" s="99"/>
      <c r="T2085" s="99"/>
      <c r="U2085" s="105"/>
      <c r="V2085" s="262"/>
      <c r="W2085" s="121"/>
      <c r="X2085" s="121"/>
      <c r="Y2085" s="121"/>
      <c r="Z2085" s="121"/>
      <c r="AA2085" s="121"/>
      <c r="AB2085" s="121"/>
      <c r="AC2085" s="121"/>
      <c r="AD2085" s="121"/>
      <c r="AE2085" s="121"/>
      <c r="AF2085" s="121"/>
      <c r="AG2085" s="121"/>
      <c r="AH2085" s="121"/>
      <c r="AI2085" s="121"/>
    </row>
    <row r="2086" spans="1:35" s="115" customFormat="1" ht="14.4">
      <c r="A2086" s="187"/>
      <c r="B2086" s="190"/>
      <c r="C2086" s="190"/>
      <c r="D2086" s="69"/>
      <c r="E2086" s="69"/>
      <c r="F2086" s="149"/>
      <c r="G2086" s="146"/>
      <c r="H2086" s="98"/>
      <c r="I2086" s="99"/>
      <c r="J2086" s="99"/>
      <c r="K2086" s="99"/>
      <c r="L2086" s="99"/>
      <c r="M2086" s="99"/>
      <c r="N2086" s="99"/>
      <c r="O2086" s="99"/>
      <c r="P2086" s="99"/>
      <c r="Q2086" s="99"/>
      <c r="R2086" s="99"/>
      <c r="S2086" s="99"/>
      <c r="T2086" s="99"/>
      <c r="U2086" s="105"/>
      <c r="V2086" s="262"/>
      <c r="W2086" s="121"/>
      <c r="X2086" s="121"/>
      <c r="Y2086" s="121"/>
      <c r="Z2086" s="121"/>
      <c r="AA2086" s="121"/>
      <c r="AB2086" s="121"/>
      <c r="AC2086" s="121"/>
      <c r="AD2086" s="121"/>
      <c r="AE2086" s="121"/>
      <c r="AF2086" s="121"/>
      <c r="AG2086" s="121"/>
      <c r="AH2086" s="121"/>
      <c r="AI2086" s="121"/>
    </row>
    <row r="2087" spans="1:35" s="115" customFormat="1" ht="14.4">
      <c r="A2087" s="187"/>
      <c r="B2087" s="190"/>
      <c r="C2087" s="190"/>
      <c r="D2087" s="69"/>
      <c r="E2087" s="69"/>
      <c r="F2087" s="149"/>
      <c r="G2087" s="146"/>
      <c r="H2087" s="98"/>
      <c r="I2087" s="99"/>
      <c r="J2087" s="99"/>
      <c r="K2087" s="99"/>
      <c r="L2087" s="99"/>
      <c r="M2087" s="99"/>
      <c r="N2087" s="99"/>
      <c r="O2087" s="99"/>
      <c r="P2087" s="99"/>
      <c r="Q2087" s="99"/>
      <c r="R2087" s="99"/>
      <c r="S2087" s="99"/>
      <c r="T2087" s="99"/>
      <c r="U2087" s="105"/>
      <c r="V2087" s="262"/>
      <c r="W2087" s="121"/>
      <c r="X2087" s="121"/>
      <c r="Y2087" s="121"/>
      <c r="Z2087" s="121"/>
      <c r="AA2087" s="121"/>
      <c r="AB2087" s="121"/>
      <c r="AC2087" s="121"/>
      <c r="AD2087" s="121"/>
      <c r="AE2087" s="121"/>
      <c r="AF2087" s="121"/>
      <c r="AG2087" s="121"/>
      <c r="AH2087" s="121"/>
      <c r="AI2087" s="121"/>
    </row>
    <row r="2088" spans="1:35" s="115" customFormat="1" ht="14.4">
      <c r="A2088" s="187"/>
      <c r="B2088" s="190"/>
      <c r="C2088" s="190"/>
      <c r="D2088" s="69"/>
      <c r="E2088" s="69"/>
      <c r="F2088" s="149"/>
      <c r="G2088" s="146"/>
      <c r="H2088" s="98"/>
      <c r="I2088" s="99"/>
      <c r="J2088" s="99"/>
      <c r="K2088" s="99"/>
      <c r="L2088" s="99"/>
      <c r="M2088" s="99"/>
      <c r="N2088" s="99"/>
      <c r="O2088" s="99"/>
      <c r="P2088" s="99"/>
      <c r="Q2088" s="99"/>
      <c r="R2088" s="99"/>
      <c r="S2088" s="99"/>
      <c r="T2088" s="99"/>
      <c r="U2088" s="105"/>
      <c r="V2088" s="262"/>
      <c r="W2088" s="121"/>
      <c r="X2088" s="121"/>
      <c r="Y2088" s="121"/>
      <c r="Z2088" s="121"/>
      <c r="AA2088" s="121"/>
      <c r="AB2088" s="121"/>
      <c r="AC2088" s="121"/>
      <c r="AD2088" s="121"/>
      <c r="AE2088" s="121"/>
      <c r="AF2088" s="121"/>
      <c r="AG2088" s="121"/>
      <c r="AH2088" s="121"/>
      <c r="AI2088" s="121"/>
    </row>
    <row r="2089" spans="1:35" s="115" customFormat="1" ht="14.4">
      <c r="A2089" s="187"/>
      <c r="B2089" s="190"/>
      <c r="C2089" s="190"/>
      <c r="D2089" s="69"/>
      <c r="E2089" s="69"/>
      <c r="F2089" s="149"/>
      <c r="G2089" s="146"/>
      <c r="H2089" s="98"/>
      <c r="I2089" s="99"/>
      <c r="J2089" s="99"/>
      <c r="K2089" s="99"/>
      <c r="L2089" s="99"/>
      <c r="M2089" s="99"/>
      <c r="N2089" s="99"/>
      <c r="O2089" s="99"/>
      <c r="P2089" s="99"/>
      <c r="Q2089" s="99"/>
      <c r="R2089" s="99"/>
      <c r="S2089" s="99"/>
      <c r="T2089" s="99"/>
      <c r="U2089" s="105"/>
      <c r="V2089" s="262"/>
      <c r="W2089" s="121"/>
      <c r="X2089" s="121"/>
      <c r="Y2089" s="121"/>
      <c r="Z2089" s="121"/>
      <c r="AA2089" s="121"/>
      <c r="AB2089" s="121"/>
      <c r="AC2089" s="121"/>
      <c r="AD2089" s="121"/>
      <c r="AE2089" s="121"/>
      <c r="AF2089" s="121"/>
      <c r="AG2089" s="121"/>
      <c r="AH2089" s="121"/>
      <c r="AI2089" s="121"/>
    </row>
    <row r="2090" spans="1:35" s="115" customFormat="1" ht="14.4">
      <c r="A2090" s="187"/>
      <c r="B2090" s="190"/>
      <c r="C2090" s="190"/>
      <c r="D2090" s="69"/>
      <c r="E2090" s="69"/>
      <c r="F2090" s="149"/>
      <c r="G2090" s="146"/>
      <c r="H2090" s="98"/>
      <c r="I2090" s="99"/>
      <c r="J2090" s="99"/>
      <c r="K2090" s="99"/>
      <c r="L2090" s="99"/>
      <c r="M2090" s="99"/>
      <c r="N2090" s="99"/>
      <c r="O2090" s="99"/>
      <c r="P2090" s="99"/>
      <c r="Q2090" s="99"/>
      <c r="R2090" s="99"/>
      <c r="S2090" s="99"/>
      <c r="T2090" s="99"/>
      <c r="U2090" s="105"/>
      <c r="V2090" s="262"/>
      <c r="W2090" s="121"/>
      <c r="X2090" s="121"/>
      <c r="Y2090" s="121"/>
      <c r="Z2090" s="121"/>
      <c r="AA2090" s="121"/>
      <c r="AB2090" s="121"/>
      <c r="AC2090" s="121"/>
      <c r="AD2090" s="121"/>
      <c r="AE2090" s="121"/>
      <c r="AF2090" s="121"/>
      <c r="AG2090" s="121"/>
      <c r="AH2090" s="121"/>
      <c r="AI2090" s="121"/>
    </row>
    <row r="2091" spans="1:35" s="115" customFormat="1" ht="14.4">
      <c r="A2091" s="187"/>
      <c r="B2091" s="190"/>
      <c r="C2091" s="190"/>
      <c r="D2091" s="69"/>
      <c r="E2091" s="69"/>
      <c r="F2091" s="149"/>
      <c r="G2091" s="146"/>
      <c r="H2091" s="98"/>
      <c r="I2091" s="99"/>
      <c r="J2091" s="99"/>
      <c r="K2091" s="99"/>
      <c r="L2091" s="99"/>
      <c r="M2091" s="99"/>
      <c r="N2091" s="99"/>
      <c r="O2091" s="99"/>
      <c r="P2091" s="99"/>
      <c r="Q2091" s="99"/>
      <c r="R2091" s="99"/>
      <c r="S2091" s="99"/>
      <c r="T2091" s="99"/>
      <c r="U2091" s="105"/>
      <c r="V2091" s="262"/>
      <c r="W2091" s="121"/>
      <c r="X2091" s="121"/>
      <c r="Y2091" s="121"/>
      <c r="Z2091" s="121"/>
      <c r="AA2091" s="121"/>
      <c r="AB2091" s="121"/>
      <c r="AC2091" s="121"/>
      <c r="AD2091" s="121"/>
      <c r="AE2091" s="121"/>
      <c r="AF2091" s="121"/>
      <c r="AG2091" s="121"/>
      <c r="AH2091" s="121"/>
      <c r="AI2091" s="121"/>
    </row>
    <row r="2092" spans="1:35" s="115" customFormat="1" ht="14.4">
      <c r="A2092" s="187"/>
      <c r="B2092" s="190"/>
      <c r="C2092" s="190"/>
      <c r="D2092" s="69"/>
      <c r="E2092" s="69"/>
      <c r="F2092" s="149"/>
      <c r="G2092" s="146"/>
      <c r="H2092" s="98"/>
      <c r="I2092" s="99"/>
      <c r="J2092" s="99"/>
      <c r="K2092" s="99"/>
      <c r="L2092" s="99"/>
      <c r="M2092" s="99"/>
      <c r="N2092" s="99"/>
      <c r="O2092" s="99"/>
      <c r="P2092" s="99"/>
      <c r="Q2092" s="99"/>
      <c r="R2092" s="99"/>
      <c r="S2092" s="99"/>
      <c r="T2092" s="99"/>
      <c r="U2092" s="105"/>
      <c r="V2092" s="262"/>
      <c r="W2092" s="121"/>
      <c r="X2092" s="121"/>
      <c r="Y2092" s="121"/>
      <c r="Z2092" s="121"/>
      <c r="AA2092" s="121"/>
      <c r="AB2092" s="121"/>
      <c r="AC2092" s="121"/>
      <c r="AD2092" s="121"/>
      <c r="AE2092" s="121"/>
      <c r="AF2092" s="121"/>
      <c r="AG2092" s="121"/>
      <c r="AH2092" s="121"/>
      <c r="AI2092" s="121"/>
    </row>
    <row r="2093" spans="1:35" s="115" customFormat="1" ht="14.4">
      <c r="A2093" s="187"/>
      <c r="B2093" s="190"/>
      <c r="C2093" s="190"/>
      <c r="D2093" s="69"/>
      <c r="E2093" s="69"/>
      <c r="F2093" s="149"/>
      <c r="G2093" s="146"/>
      <c r="H2093" s="98"/>
      <c r="I2093" s="99"/>
      <c r="J2093" s="99"/>
      <c r="K2093" s="99"/>
      <c r="L2093" s="99"/>
      <c r="M2093" s="99"/>
      <c r="N2093" s="99"/>
      <c r="O2093" s="99"/>
      <c r="P2093" s="99"/>
      <c r="Q2093" s="99"/>
      <c r="R2093" s="99"/>
      <c r="S2093" s="99"/>
      <c r="T2093" s="99"/>
      <c r="U2093" s="105"/>
      <c r="V2093" s="262"/>
      <c r="W2093" s="121"/>
      <c r="X2093" s="121"/>
      <c r="Y2093" s="121"/>
      <c r="Z2093" s="121"/>
      <c r="AA2093" s="121"/>
      <c r="AB2093" s="121"/>
      <c r="AC2093" s="121"/>
      <c r="AD2093" s="121"/>
      <c r="AE2093" s="121"/>
      <c r="AF2093" s="121"/>
      <c r="AG2093" s="121"/>
      <c r="AH2093" s="121"/>
      <c r="AI2093" s="121"/>
    </row>
    <row r="2094" spans="1:35" s="115" customFormat="1" ht="14.4">
      <c r="A2094" s="187"/>
      <c r="B2094" s="190"/>
      <c r="C2094" s="190"/>
      <c r="D2094" s="69"/>
      <c r="E2094" s="69"/>
      <c r="F2094" s="149"/>
      <c r="G2094" s="146"/>
      <c r="H2094" s="98"/>
      <c r="I2094" s="99"/>
      <c r="J2094" s="99"/>
      <c r="K2094" s="99"/>
      <c r="L2094" s="99"/>
      <c r="M2094" s="99"/>
      <c r="N2094" s="99"/>
      <c r="O2094" s="99"/>
      <c r="P2094" s="99"/>
      <c r="Q2094" s="99"/>
      <c r="R2094" s="99"/>
      <c r="S2094" s="99"/>
      <c r="T2094" s="99"/>
      <c r="U2094" s="105"/>
      <c r="V2094" s="262"/>
      <c r="W2094" s="121"/>
      <c r="X2094" s="121"/>
      <c r="Y2094" s="121"/>
      <c r="Z2094" s="121"/>
      <c r="AA2094" s="121"/>
      <c r="AB2094" s="121"/>
      <c r="AC2094" s="121"/>
      <c r="AD2094" s="121"/>
      <c r="AE2094" s="121"/>
      <c r="AF2094" s="121"/>
      <c r="AG2094" s="121"/>
      <c r="AH2094" s="121"/>
      <c r="AI2094" s="121"/>
    </row>
    <row r="2095" spans="1:35" s="115" customFormat="1" ht="14.4">
      <c r="A2095" s="187"/>
      <c r="B2095" s="190"/>
      <c r="C2095" s="190"/>
      <c r="D2095" s="69"/>
      <c r="E2095" s="69"/>
      <c r="F2095" s="149"/>
      <c r="G2095" s="146"/>
      <c r="H2095" s="98"/>
      <c r="I2095" s="99"/>
      <c r="J2095" s="99"/>
      <c r="K2095" s="99"/>
      <c r="L2095" s="99"/>
      <c r="M2095" s="99"/>
      <c r="N2095" s="99"/>
      <c r="O2095" s="99"/>
      <c r="P2095" s="99"/>
      <c r="Q2095" s="99"/>
      <c r="R2095" s="99"/>
      <c r="S2095" s="99"/>
      <c r="T2095" s="99"/>
      <c r="U2095" s="105"/>
      <c r="V2095" s="262"/>
      <c r="W2095" s="121"/>
      <c r="X2095" s="121"/>
      <c r="Y2095" s="121"/>
      <c r="Z2095" s="121"/>
      <c r="AA2095" s="121"/>
      <c r="AB2095" s="121"/>
      <c r="AC2095" s="121"/>
      <c r="AD2095" s="121"/>
      <c r="AE2095" s="121"/>
      <c r="AF2095" s="121"/>
      <c r="AG2095" s="121"/>
      <c r="AH2095" s="121"/>
      <c r="AI2095" s="121"/>
    </row>
    <row r="2096" spans="1:35" s="115" customFormat="1" ht="14.4">
      <c r="A2096" s="187"/>
      <c r="B2096" s="190"/>
      <c r="C2096" s="190"/>
      <c r="D2096" s="69"/>
      <c r="E2096" s="69"/>
      <c r="F2096" s="149"/>
      <c r="G2096" s="146"/>
      <c r="H2096" s="98"/>
      <c r="I2096" s="99"/>
      <c r="J2096" s="99"/>
      <c r="K2096" s="99"/>
      <c r="L2096" s="99"/>
      <c r="M2096" s="99"/>
      <c r="N2096" s="99"/>
      <c r="O2096" s="99"/>
      <c r="P2096" s="99"/>
      <c r="Q2096" s="99"/>
      <c r="R2096" s="99"/>
      <c r="S2096" s="99"/>
      <c r="T2096" s="99"/>
      <c r="U2096" s="105"/>
      <c r="V2096" s="262"/>
      <c r="W2096" s="121"/>
      <c r="X2096" s="121"/>
      <c r="Y2096" s="121"/>
      <c r="Z2096" s="121"/>
      <c r="AA2096" s="121"/>
      <c r="AB2096" s="121"/>
      <c r="AC2096" s="121"/>
      <c r="AD2096" s="121"/>
      <c r="AE2096" s="121"/>
      <c r="AF2096" s="121"/>
      <c r="AG2096" s="121"/>
      <c r="AH2096" s="121"/>
      <c r="AI2096" s="121"/>
    </row>
    <row r="2097" spans="1:35" s="115" customFormat="1" ht="14.4">
      <c r="A2097" s="187"/>
      <c r="B2097" s="190"/>
      <c r="C2097" s="190"/>
      <c r="D2097" s="69"/>
      <c r="E2097" s="69"/>
      <c r="F2097" s="149"/>
      <c r="G2097" s="146"/>
      <c r="H2097" s="98"/>
      <c r="I2097" s="99"/>
      <c r="J2097" s="99"/>
      <c r="K2097" s="99"/>
      <c r="L2097" s="99"/>
      <c r="M2097" s="99"/>
      <c r="N2097" s="99"/>
      <c r="O2097" s="99"/>
      <c r="P2097" s="99"/>
      <c r="Q2097" s="99"/>
      <c r="R2097" s="99"/>
      <c r="S2097" s="99"/>
      <c r="T2097" s="99"/>
      <c r="U2097" s="105"/>
      <c r="V2097" s="262"/>
      <c r="W2097" s="121"/>
      <c r="X2097" s="121"/>
      <c r="Y2097" s="121"/>
      <c r="Z2097" s="121"/>
      <c r="AA2097" s="121"/>
      <c r="AB2097" s="121"/>
      <c r="AC2097" s="121"/>
      <c r="AD2097" s="121"/>
      <c r="AE2097" s="121"/>
      <c r="AF2097" s="121"/>
      <c r="AG2097" s="121"/>
      <c r="AH2097" s="121"/>
      <c r="AI2097" s="121"/>
    </row>
    <row r="2098" spans="1:35" s="115" customFormat="1" ht="14.4">
      <c r="A2098" s="187"/>
      <c r="B2098" s="190"/>
      <c r="C2098" s="190"/>
      <c r="D2098" s="69"/>
      <c r="E2098" s="69"/>
      <c r="F2098" s="149"/>
      <c r="G2098" s="146"/>
      <c r="H2098" s="98"/>
      <c r="I2098" s="99"/>
      <c r="J2098" s="99"/>
      <c r="K2098" s="99"/>
      <c r="L2098" s="99"/>
      <c r="M2098" s="99"/>
      <c r="N2098" s="99"/>
      <c r="O2098" s="99"/>
      <c r="P2098" s="99"/>
      <c r="Q2098" s="99"/>
      <c r="R2098" s="99"/>
      <c r="S2098" s="99"/>
      <c r="T2098" s="99"/>
      <c r="U2098" s="105"/>
      <c r="V2098" s="262"/>
      <c r="W2098" s="121"/>
      <c r="X2098" s="121"/>
      <c r="Y2098" s="121"/>
      <c r="Z2098" s="121"/>
      <c r="AA2098" s="121"/>
      <c r="AB2098" s="121"/>
      <c r="AC2098" s="121"/>
      <c r="AD2098" s="121"/>
      <c r="AE2098" s="121"/>
      <c r="AF2098" s="121"/>
      <c r="AG2098" s="121"/>
      <c r="AH2098" s="121"/>
      <c r="AI2098" s="121"/>
    </row>
    <row r="2099" spans="1:35" s="115" customFormat="1" ht="14.4">
      <c r="A2099" s="187"/>
      <c r="B2099" s="190"/>
      <c r="C2099" s="190"/>
      <c r="D2099" s="69"/>
      <c r="E2099" s="69"/>
      <c r="F2099" s="149"/>
      <c r="G2099" s="146"/>
      <c r="H2099" s="98"/>
      <c r="I2099" s="99"/>
      <c r="J2099" s="99"/>
      <c r="K2099" s="99"/>
      <c r="L2099" s="99"/>
      <c r="M2099" s="99"/>
      <c r="N2099" s="99"/>
      <c r="O2099" s="99"/>
      <c r="P2099" s="99"/>
      <c r="Q2099" s="99"/>
      <c r="R2099" s="99"/>
      <c r="S2099" s="99"/>
      <c r="T2099" s="99"/>
      <c r="U2099" s="105"/>
      <c r="V2099" s="262"/>
      <c r="W2099" s="121"/>
      <c r="X2099" s="121"/>
      <c r="Y2099" s="121"/>
      <c r="Z2099" s="121"/>
      <c r="AA2099" s="121"/>
      <c r="AB2099" s="121"/>
      <c r="AC2099" s="121"/>
      <c r="AD2099" s="121"/>
      <c r="AE2099" s="121"/>
      <c r="AF2099" s="121"/>
      <c r="AG2099" s="121"/>
      <c r="AH2099" s="121"/>
      <c r="AI2099" s="121"/>
    </row>
    <row r="2100" spans="1:35" s="115" customFormat="1" ht="14.4">
      <c r="A2100" s="187"/>
      <c r="B2100" s="190"/>
      <c r="C2100" s="190"/>
      <c r="D2100" s="69"/>
      <c r="E2100" s="69"/>
      <c r="F2100" s="149"/>
      <c r="G2100" s="146"/>
      <c r="H2100" s="98"/>
      <c r="I2100" s="99"/>
      <c r="J2100" s="99"/>
      <c r="K2100" s="99"/>
      <c r="L2100" s="99"/>
      <c r="M2100" s="99"/>
      <c r="N2100" s="99"/>
      <c r="O2100" s="99"/>
      <c r="P2100" s="99"/>
      <c r="Q2100" s="99"/>
      <c r="R2100" s="99"/>
      <c r="S2100" s="99"/>
      <c r="T2100" s="99"/>
      <c r="U2100" s="105"/>
      <c r="V2100" s="262"/>
      <c r="W2100" s="121"/>
      <c r="X2100" s="121"/>
      <c r="Y2100" s="121"/>
      <c r="Z2100" s="121"/>
      <c r="AA2100" s="121"/>
      <c r="AB2100" s="121"/>
      <c r="AC2100" s="121"/>
      <c r="AD2100" s="121"/>
      <c r="AE2100" s="121"/>
      <c r="AF2100" s="121"/>
      <c r="AG2100" s="121"/>
      <c r="AH2100" s="121"/>
      <c r="AI2100" s="121"/>
    </row>
    <row r="2101" spans="1:35" s="115" customFormat="1" ht="14.4">
      <c r="A2101" s="187"/>
      <c r="B2101" s="190"/>
      <c r="C2101" s="190"/>
      <c r="D2101" s="69"/>
      <c r="E2101" s="69"/>
      <c r="F2101" s="149"/>
      <c r="G2101" s="146"/>
      <c r="H2101" s="98"/>
      <c r="I2101" s="99"/>
      <c r="J2101" s="99"/>
      <c r="K2101" s="99"/>
      <c r="L2101" s="99"/>
      <c r="M2101" s="99"/>
      <c r="N2101" s="99"/>
      <c r="O2101" s="99"/>
      <c r="P2101" s="99"/>
      <c r="Q2101" s="99"/>
      <c r="R2101" s="99"/>
      <c r="S2101" s="99"/>
      <c r="T2101" s="99"/>
      <c r="U2101" s="105"/>
      <c r="V2101" s="262"/>
      <c r="W2101" s="121"/>
      <c r="X2101" s="121"/>
      <c r="Y2101" s="121"/>
      <c r="Z2101" s="121"/>
      <c r="AA2101" s="121"/>
      <c r="AB2101" s="121"/>
      <c r="AC2101" s="121"/>
      <c r="AD2101" s="121"/>
      <c r="AE2101" s="121"/>
      <c r="AF2101" s="121"/>
      <c r="AG2101" s="121"/>
      <c r="AH2101" s="121"/>
      <c r="AI2101" s="121"/>
    </row>
    <row r="2102" spans="1:35" s="115" customFormat="1" ht="14.4">
      <c r="A2102" s="187"/>
      <c r="B2102" s="190"/>
      <c r="C2102" s="190"/>
      <c r="D2102" s="69"/>
      <c r="E2102" s="69"/>
      <c r="F2102" s="149"/>
      <c r="G2102" s="146"/>
      <c r="H2102" s="98"/>
      <c r="I2102" s="99"/>
      <c r="J2102" s="99"/>
      <c r="K2102" s="99"/>
      <c r="L2102" s="99"/>
      <c r="M2102" s="99"/>
      <c r="N2102" s="99"/>
      <c r="O2102" s="99"/>
      <c r="P2102" s="99"/>
      <c r="Q2102" s="99"/>
      <c r="R2102" s="99"/>
      <c r="S2102" s="99"/>
      <c r="T2102" s="99"/>
      <c r="U2102" s="105"/>
      <c r="V2102" s="262"/>
      <c r="W2102" s="121"/>
      <c r="X2102" s="121"/>
      <c r="Y2102" s="121"/>
      <c r="Z2102" s="121"/>
      <c r="AA2102" s="121"/>
      <c r="AB2102" s="121"/>
      <c r="AC2102" s="121"/>
      <c r="AD2102" s="121"/>
      <c r="AE2102" s="121"/>
      <c r="AF2102" s="121"/>
      <c r="AG2102" s="121"/>
      <c r="AH2102" s="121"/>
      <c r="AI2102" s="121"/>
    </row>
    <row r="2103" spans="1:35" s="115" customFormat="1" ht="14.4">
      <c r="A2103" s="187"/>
      <c r="B2103" s="190"/>
      <c r="C2103" s="190"/>
      <c r="D2103" s="69"/>
      <c r="E2103" s="69"/>
      <c r="F2103" s="149"/>
      <c r="G2103" s="146"/>
      <c r="H2103" s="107"/>
      <c r="I2103" s="109"/>
      <c r="J2103" s="109"/>
      <c r="K2103" s="109"/>
      <c r="L2103" s="109"/>
      <c r="M2103" s="109"/>
      <c r="N2103" s="109"/>
      <c r="O2103" s="109"/>
      <c r="P2103" s="109"/>
      <c r="Q2103" s="109"/>
      <c r="R2103" s="109"/>
      <c r="S2103" s="109"/>
      <c r="T2103" s="109"/>
      <c r="U2103" s="105"/>
      <c r="V2103" s="262"/>
      <c r="W2103" s="121"/>
      <c r="X2103" s="121"/>
      <c r="Y2103" s="121"/>
      <c r="Z2103" s="121"/>
      <c r="AA2103" s="121"/>
      <c r="AB2103" s="121"/>
      <c r="AC2103" s="121"/>
      <c r="AD2103" s="121"/>
      <c r="AE2103" s="121"/>
      <c r="AF2103" s="121"/>
      <c r="AG2103" s="121"/>
      <c r="AH2103" s="121"/>
      <c r="AI2103" s="121"/>
    </row>
    <row r="2104" spans="1:35" s="115" customFormat="1" ht="14.4">
      <c r="A2104" s="187"/>
      <c r="B2104" s="190"/>
      <c r="C2104" s="190"/>
      <c r="D2104" s="69"/>
      <c r="E2104" s="69"/>
      <c r="F2104" s="149"/>
      <c r="G2104" s="146"/>
      <c r="H2104" s="98"/>
      <c r="I2104" s="106"/>
      <c r="J2104" s="106"/>
      <c r="K2104" s="106"/>
      <c r="L2104" s="106"/>
      <c r="M2104" s="106"/>
      <c r="N2104" s="112"/>
      <c r="O2104" s="112"/>
      <c r="P2104" s="112"/>
      <c r="Q2104" s="113"/>
      <c r="R2104" s="113"/>
      <c r="S2104" s="113"/>
      <c r="T2104" s="113"/>
      <c r="U2104" s="105"/>
      <c r="V2104" s="262"/>
      <c r="W2104" s="121"/>
      <c r="X2104" s="121"/>
      <c r="Y2104" s="121"/>
      <c r="Z2104" s="121"/>
      <c r="AA2104" s="121"/>
      <c r="AB2104" s="121"/>
      <c r="AC2104" s="121"/>
      <c r="AD2104" s="121"/>
      <c r="AE2104" s="121"/>
      <c r="AF2104" s="121"/>
      <c r="AG2104" s="121"/>
      <c r="AH2104" s="121"/>
      <c r="AI2104" s="121"/>
    </row>
    <row r="2105" spans="1:35" s="115" customFormat="1" ht="14.4">
      <c r="A2105" s="187"/>
      <c r="B2105" s="190"/>
      <c r="C2105" s="190"/>
      <c r="D2105" s="69"/>
      <c r="E2105" s="69"/>
      <c r="F2105" s="149"/>
      <c r="G2105" s="146"/>
      <c r="H2105" s="98"/>
      <c r="I2105" s="99"/>
      <c r="J2105" s="99"/>
      <c r="K2105" s="99"/>
      <c r="L2105" s="99"/>
      <c r="M2105" s="99"/>
      <c r="N2105" s="99"/>
      <c r="O2105" s="99"/>
      <c r="P2105" s="99"/>
      <c r="Q2105" s="99"/>
      <c r="R2105" s="99"/>
      <c r="S2105" s="99"/>
      <c r="T2105" s="99"/>
      <c r="U2105" s="105"/>
      <c r="V2105" s="262"/>
      <c r="W2105" s="121"/>
      <c r="X2105" s="121"/>
      <c r="Y2105" s="121"/>
      <c r="Z2105" s="121"/>
      <c r="AA2105" s="121"/>
      <c r="AB2105" s="121"/>
      <c r="AC2105" s="121"/>
      <c r="AD2105" s="121"/>
      <c r="AE2105" s="121"/>
      <c r="AF2105" s="121"/>
      <c r="AG2105" s="121"/>
      <c r="AH2105" s="121"/>
      <c r="AI2105" s="121"/>
    </row>
    <row r="2106" spans="1:35" s="115" customFormat="1" ht="14.4">
      <c r="A2106" s="187"/>
      <c r="B2106" s="190"/>
      <c r="C2106" s="190"/>
      <c r="D2106" s="69"/>
      <c r="E2106" s="69"/>
      <c r="F2106" s="149"/>
      <c r="G2106" s="146"/>
      <c r="H2106" s="98"/>
      <c r="I2106" s="99"/>
      <c r="J2106" s="99"/>
      <c r="K2106" s="99"/>
      <c r="L2106" s="99"/>
      <c r="M2106" s="99"/>
      <c r="N2106" s="99"/>
      <c r="O2106" s="99"/>
      <c r="P2106" s="99"/>
      <c r="Q2106" s="99"/>
      <c r="R2106" s="99"/>
      <c r="S2106" s="99"/>
      <c r="T2106" s="99"/>
      <c r="U2106" s="105"/>
      <c r="V2106" s="262"/>
      <c r="W2106" s="121"/>
      <c r="X2106" s="121"/>
      <c r="Y2106" s="121"/>
      <c r="Z2106" s="121"/>
      <c r="AA2106" s="121"/>
      <c r="AB2106" s="121"/>
      <c r="AC2106" s="121"/>
      <c r="AD2106" s="121"/>
      <c r="AE2106" s="121"/>
      <c r="AF2106" s="121"/>
      <c r="AG2106" s="121"/>
      <c r="AH2106" s="121"/>
      <c r="AI2106" s="121"/>
    </row>
    <row r="2107" spans="1:35" s="115" customFormat="1" ht="14.4">
      <c r="A2107" s="187"/>
      <c r="B2107" s="190"/>
      <c r="C2107" s="190"/>
      <c r="D2107" s="69"/>
      <c r="E2107" s="69"/>
      <c r="F2107" s="149"/>
      <c r="G2107" s="146"/>
      <c r="H2107" s="98"/>
      <c r="I2107" s="99"/>
      <c r="J2107" s="99"/>
      <c r="K2107" s="99"/>
      <c r="L2107" s="99"/>
      <c r="M2107" s="99"/>
      <c r="N2107" s="99"/>
      <c r="O2107" s="99"/>
      <c r="P2107" s="99"/>
      <c r="Q2107" s="99"/>
      <c r="R2107" s="99"/>
      <c r="S2107" s="99"/>
      <c r="T2107" s="99"/>
      <c r="U2107" s="105"/>
      <c r="V2107" s="262"/>
      <c r="W2107" s="121"/>
      <c r="X2107" s="121"/>
      <c r="Y2107" s="121"/>
      <c r="Z2107" s="121"/>
      <c r="AA2107" s="121"/>
      <c r="AB2107" s="121"/>
      <c r="AC2107" s="121"/>
      <c r="AD2107" s="121"/>
      <c r="AE2107" s="121"/>
      <c r="AF2107" s="121"/>
      <c r="AG2107" s="121"/>
      <c r="AH2107" s="121"/>
      <c r="AI2107" s="121"/>
    </row>
    <row r="2108" spans="1:35" s="115" customFormat="1" ht="14.4">
      <c r="A2108" s="187"/>
      <c r="B2108" s="190"/>
      <c r="C2108" s="190"/>
      <c r="D2108" s="69"/>
      <c r="E2108" s="69"/>
      <c r="F2108" s="149"/>
      <c r="G2108" s="146"/>
      <c r="H2108" s="98"/>
      <c r="I2108" s="99"/>
      <c r="J2108" s="99"/>
      <c r="K2108" s="99"/>
      <c r="L2108" s="99"/>
      <c r="M2108" s="99"/>
      <c r="N2108" s="99"/>
      <c r="O2108" s="99"/>
      <c r="P2108" s="99"/>
      <c r="Q2108" s="99"/>
      <c r="R2108" s="99"/>
      <c r="S2108" s="99"/>
      <c r="T2108" s="99"/>
      <c r="U2108" s="105"/>
      <c r="V2108" s="262"/>
      <c r="W2108" s="121"/>
      <c r="X2108" s="121"/>
      <c r="Y2108" s="121"/>
      <c r="Z2108" s="121"/>
      <c r="AA2108" s="121"/>
      <c r="AB2108" s="121"/>
      <c r="AC2108" s="121"/>
      <c r="AD2108" s="121"/>
      <c r="AE2108" s="121"/>
      <c r="AF2108" s="121"/>
      <c r="AG2108" s="121"/>
      <c r="AH2108" s="121"/>
      <c r="AI2108" s="121"/>
    </row>
    <row r="2109" spans="1:35" s="115" customFormat="1" ht="14.4">
      <c r="A2109" s="187"/>
      <c r="B2109" s="190"/>
      <c r="C2109" s="190"/>
      <c r="D2109" s="69"/>
      <c r="E2109" s="69"/>
      <c r="F2109" s="149"/>
      <c r="G2109" s="146"/>
      <c r="H2109" s="98"/>
      <c r="I2109" s="99"/>
      <c r="J2109" s="99"/>
      <c r="K2109" s="99"/>
      <c r="L2109" s="99"/>
      <c r="M2109" s="99"/>
      <c r="N2109" s="99"/>
      <c r="O2109" s="99"/>
      <c r="P2109" s="99"/>
      <c r="Q2109" s="99"/>
      <c r="R2109" s="99"/>
      <c r="S2109" s="99"/>
      <c r="T2109" s="99"/>
      <c r="U2109" s="105"/>
      <c r="V2109" s="262"/>
      <c r="W2109" s="121"/>
      <c r="X2109" s="121"/>
      <c r="Y2109" s="121"/>
      <c r="Z2109" s="121"/>
      <c r="AA2109" s="121"/>
      <c r="AB2109" s="121"/>
      <c r="AC2109" s="121"/>
      <c r="AD2109" s="121"/>
      <c r="AE2109" s="121"/>
      <c r="AF2109" s="121"/>
      <c r="AG2109" s="121"/>
      <c r="AH2109" s="121"/>
      <c r="AI2109" s="121"/>
    </row>
    <row r="2110" spans="1:35" s="115" customFormat="1" ht="14.4">
      <c r="A2110" s="187"/>
      <c r="B2110" s="190"/>
      <c r="C2110" s="190"/>
      <c r="D2110" s="69"/>
      <c r="E2110" s="69"/>
      <c r="F2110" s="149"/>
      <c r="G2110" s="146"/>
      <c r="H2110" s="107"/>
      <c r="I2110" s="109"/>
      <c r="J2110" s="109"/>
      <c r="K2110" s="109"/>
      <c r="L2110" s="109"/>
      <c r="M2110" s="109"/>
      <c r="N2110" s="109"/>
      <c r="O2110" s="109"/>
      <c r="P2110" s="109"/>
      <c r="Q2110" s="109"/>
      <c r="R2110" s="109"/>
      <c r="S2110" s="109"/>
      <c r="T2110" s="109"/>
      <c r="U2110" s="105"/>
      <c r="V2110" s="262"/>
      <c r="W2110" s="121"/>
      <c r="X2110" s="121"/>
      <c r="Y2110" s="121"/>
      <c r="Z2110" s="121"/>
      <c r="AA2110" s="121"/>
      <c r="AB2110" s="121"/>
      <c r="AC2110" s="121"/>
      <c r="AD2110" s="121"/>
      <c r="AE2110" s="121"/>
      <c r="AF2110" s="121"/>
      <c r="AG2110" s="121"/>
      <c r="AH2110" s="121"/>
      <c r="AI2110" s="121"/>
    </row>
    <row r="2111" spans="1:35" s="115" customFormat="1" ht="14.4">
      <c r="A2111" s="187"/>
      <c r="B2111" s="190"/>
      <c r="C2111" s="190"/>
      <c r="D2111" s="69"/>
      <c r="E2111" s="69"/>
      <c r="F2111" s="149"/>
      <c r="G2111" s="146"/>
      <c r="H2111" s="98"/>
      <c r="I2111" s="106"/>
      <c r="J2111" s="106"/>
      <c r="K2111" s="106"/>
      <c r="L2111" s="106"/>
      <c r="M2111" s="106"/>
      <c r="N2111" s="112"/>
      <c r="O2111" s="112"/>
      <c r="P2111" s="112"/>
      <c r="Q2111" s="113"/>
      <c r="R2111" s="113"/>
      <c r="S2111" s="113"/>
      <c r="T2111" s="113"/>
      <c r="U2111" s="105"/>
      <c r="V2111" s="262"/>
      <c r="W2111" s="121"/>
      <c r="X2111" s="121"/>
      <c r="Y2111" s="121"/>
      <c r="Z2111" s="121"/>
      <c r="AA2111" s="121"/>
      <c r="AB2111" s="121"/>
      <c r="AC2111" s="121"/>
      <c r="AD2111" s="121"/>
      <c r="AE2111" s="121"/>
      <c r="AF2111" s="121"/>
      <c r="AG2111" s="121"/>
      <c r="AH2111" s="121"/>
      <c r="AI2111" s="121"/>
    </row>
    <row r="2112" spans="1:35" s="115" customFormat="1" ht="14.4">
      <c r="A2112" s="187"/>
      <c r="B2112" s="190"/>
      <c r="C2112" s="190"/>
      <c r="D2112" s="69"/>
      <c r="E2112" s="69"/>
      <c r="F2112" s="149"/>
      <c r="G2112" s="146"/>
      <c r="H2112" s="114"/>
      <c r="I2112" s="108"/>
      <c r="J2112" s="108"/>
      <c r="K2112" s="108"/>
      <c r="L2112" s="108"/>
      <c r="M2112" s="108"/>
      <c r="N2112" s="108"/>
      <c r="O2112" s="108"/>
      <c r="P2112" s="108"/>
      <c r="Q2112" s="108"/>
      <c r="R2112" s="108"/>
      <c r="S2112" s="108"/>
      <c r="T2112" s="108"/>
      <c r="U2112" s="105"/>
      <c r="V2112" s="262"/>
      <c r="W2112" s="121"/>
      <c r="X2112" s="121"/>
      <c r="Y2112" s="121"/>
      <c r="Z2112" s="121"/>
      <c r="AA2112" s="121"/>
      <c r="AB2112" s="121"/>
      <c r="AC2112" s="121"/>
      <c r="AD2112" s="121"/>
      <c r="AE2112" s="121"/>
      <c r="AF2112" s="121"/>
      <c r="AG2112" s="121"/>
      <c r="AH2112" s="121"/>
      <c r="AI2112" s="121"/>
    </row>
    <row r="2113" spans="1:35" s="115" customFormat="1" ht="15" thickBot="1">
      <c r="A2113" s="187"/>
      <c r="B2113" s="190"/>
      <c r="C2113" s="190"/>
      <c r="D2113" s="69"/>
      <c r="E2113" s="69"/>
      <c r="F2113" s="149"/>
      <c r="G2113" s="146"/>
      <c r="H2113" s="98"/>
      <c r="I2113" s="218"/>
      <c r="J2113" s="218"/>
      <c r="K2113" s="218"/>
      <c r="L2113" s="218"/>
      <c r="M2113" s="218"/>
      <c r="N2113" s="96"/>
      <c r="O2113" s="96"/>
      <c r="P2113" s="96"/>
      <c r="Q2113" s="212"/>
      <c r="R2113" s="212"/>
      <c r="S2113" s="212"/>
      <c r="T2113" s="212"/>
      <c r="U2113" s="105"/>
      <c r="V2113" s="262"/>
      <c r="W2113" s="121"/>
      <c r="X2113" s="121"/>
      <c r="Y2113" s="121"/>
      <c r="Z2113" s="121"/>
      <c r="AA2113" s="121"/>
      <c r="AB2113" s="121"/>
      <c r="AC2113" s="121"/>
      <c r="AD2113" s="121"/>
      <c r="AE2113" s="121"/>
      <c r="AF2113" s="121"/>
      <c r="AG2113" s="121"/>
      <c r="AH2113" s="121"/>
      <c r="AI2113" s="121"/>
    </row>
    <row r="2114" spans="1:35" s="115" customFormat="1" ht="23.4" thickBot="1">
      <c r="A2114" s="187"/>
      <c r="B2114" s="190"/>
      <c r="C2114" s="190"/>
      <c r="D2114" s="69"/>
      <c r="E2114" s="69"/>
      <c r="F2114" s="149"/>
      <c r="G2114" s="146"/>
      <c r="H2114" s="686"/>
      <c r="I2114" s="687"/>
      <c r="J2114" s="687"/>
      <c r="K2114" s="687"/>
      <c r="L2114" s="687"/>
      <c r="M2114" s="687"/>
      <c r="N2114" s="687"/>
      <c r="O2114" s="687"/>
      <c r="P2114" s="687"/>
      <c r="Q2114" s="687"/>
      <c r="R2114" s="687"/>
      <c r="S2114" s="687"/>
      <c r="T2114" s="688"/>
      <c r="U2114" s="105"/>
      <c r="V2114" s="262"/>
      <c r="W2114" s="121"/>
      <c r="X2114" s="121"/>
      <c r="Y2114" s="121"/>
      <c r="Z2114" s="121"/>
      <c r="AA2114" s="121"/>
      <c r="AB2114" s="121"/>
      <c r="AC2114" s="121"/>
      <c r="AD2114" s="121"/>
      <c r="AE2114" s="121"/>
      <c r="AF2114" s="121"/>
      <c r="AG2114" s="121"/>
      <c r="AH2114" s="121"/>
      <c r="AI2114" s="121"/>
    </row>
    <row r="2115" spans="1:35" s="115" customFormat="1" ht="22.8">
      <c r="A2115" s="187"/>
      <c r="B2115" s="190"/>
      <c r="C2115" s="190"/>
      <c r="D2115" s="69"/>
      <c r="E2115" s="69"/>
      <c r="F2115" s="149"/>
      <c r="G2115" s="146"/>
      <c r="H2115" s="225"/>
      <c r="I2115" s="225"/>
      <c r="J2115" s="225"/>
      <c r="K2115" s="225"/>
      <c r="L2115" s="225"/>
      <c r="M2115" s="225"/>
      <c r="N2115" s="225"/>
      <c r="O2115" s="225"/>
      <c r="P2115" s="225"/>
      <c r="Q2115" s="225"/>
      <c r="R2115" s="225"/>
      <c r="S2115" s="225"/>
      <c r="T2115" s="225"/>
      <c r="U2115" s="105"/>
      <c r="V2115" s="262"/>
      <c r="W2115" s="121"/>
      <c r="X2115" s="121"/>
      <c r="Y2115" s="121"/>
      <c r="Z2115" s="121"/>
      <c r="AA2115" s="121"/>
      <c r="AB2115" s="121"/>
      <c r="AC2115" s="121"/>
      <c r="AD2115" s="121"/>
      <c r="AE2115" s="121"/>
      <c r="AF2115" s="121"/>
      <c r="AG2115" s="121"/>
      <c r="AH2115" s="121"/>
      <c r="AI2115" s="121"/>
    </row>
    <row r="2116" spans="1:35" s="115" customFormat="1" ht="14.4">
      <c r="A2116" s="187"/>
      <c r="B2116" s="190"/>
      <c r="C2116" s="190"/>
      <c r="D2116" s="69"/>
      <c r="E2116" s="69"/>
      <c r="F2116" s="149"/>
      <c r="G2116" s="146"/>
      <c r="H2116" s="98"/>
      <c r="I2116" s="99"/>
      <c r="J2116" s="99"/>
      <c r="K2116" s="99"/>
      <c r="L2116" s="99"/>
      <c r="M2116" s="99"/>
      <c r="N2116" s="99"/>
      <c r="O2116" s="99"/>
      <c r="P2116" s="99"/>
      <c r="Q2116" s="99"/>
      <c r="R2116" s="99"/>
      <c r="S2116" s="99"/>
      <c r="T2116" s="99"/>
      <c r="U2116" s="105"/>
      <c r="V2116" s="262"/>
      <c r="W2116" s="121"/>
      <c r="X2116" s="121"/>
      <c r="Y2116" s="121"/>
      <c r="Z2116" s="121"/>
      <c r="AA2116" s="121"/>
      <c r="AB2116" s="121"/>
      <c r="AC2116" s="121"/>
      <c r="AD2116" s="121"/>
      <c r="AE2116" s="121"/>
      <c r="AF2116" s="121"/>
      <c r="AG2116" s="121"/>
      <c r="AH2116" s="121"/>
      <c r="AI2116" s="121"/>
    </row>
    <row r="2117" spans="1:35" s="115" customFormat="1" ht="14.4">
      <c r="A2117" s="187"/>
      <c r="B2117" s="190"/>
      <c r="C2117" s="190"/>
      <c r="D2117" s="69"/>
      <c r="E2117" s="69"/>
      <c r="F2117" s="149"/>
      <c r="G2117" s="146"/>
      <c r="H2117" s="98"/>
      <c r="I2117" s="99"/>
      <c r="J2117" s="99"/>
      <c r="K2117" s="99"/>
      <c r="L2117" s="99"/>
      <c r="M2117" s="99"/>
      <c r="N2117" s="99"/>
      <c r="O2117" s="99"/>
      <c r="P2117" s="99"/>
      <c r="Q2117" s="99"/>
      <c r="R2117" s="99"/>
      <c r="S2117" s="99"/>
      <c r="T2117" s="99"/>
      <c r="U2117" s="105"/>
      <c r="V2117" s="262"/>
      <c r="W2117" s="121"/>
      <c r="X2117" s="121"/>
      <c r="Y2117" s="121"/>
      <c r="Z2117" s="121"/>
      <c r="AA2117" s="121"/>
      <c r="AB2117" s="121"/>
      <c r="AC2117" s="121"/>
      <c r="AD2117" s="121"/>
      <c r="AE2117" s="121"/>
      <c r="AF2117" s="121"/>
      <c r="AG2117" s="121"/>
      <c r="AH2117" s="121"/>
      <c r="AI2117" s="121"/>
    </row>
    <row r="2118" spans="1:35" s="115" customFormat="1" ht="14.4">
      <c r="A2118" s="187"/>
      <c r="B2118" s="190"/>
      <c r="C2118" s="190"/>
      <c r="D2118" s="69"/>
      <c r="E2118" s="69"/>
      <c r="F2118" s="149"/>
      <c r="G2118" s="146"/>
      <c r="H2118" s="98"/>
      <c r="I2118" s="99"/>
      <c r="J2118" s="99"/>
      <c r="K2118" s="99"/>
      <c r="L2118" s="99"/>
      <c r="M2118" s="99"/>
      <c r="N2118" s="99"/>
      <c r="O2118" s="99"/>
      <c r="P2118" s="99"/>
      <c r="Q2118" s="99"/>
      <c r="R2118" s="99"/>
      <c r="S2118" s="99"/>
      <c r="T2118" s="99"/>
      <c r="U2118" s="105"/>
      <c r="V2118" s="262"/>
      <c r="W2118" s="121"/>
      <c r="X2118" s="121"/>
      <c r="Y2118" s="121"/>
      <c r="Z2118" s="121"/>
      <c r="AA2118" s="121"/>
      <c r="AB2118" s="121"/>
      <c r="AC2118" s="121"/>
      <c r="AD2118" s="121"/>
      <c r="AE2118" s="121"/>
      <c r="AF2118" s="121"/>
      <c r="AG2118" s="121"/>
      <c r="AH2118" s="121"/>
      <c r="AI2118" s="121"/>
    </row>
    <row r="2119" spans="1:35" s="115" customFormat="1" ht="14.4">
      <c r="A2119" s="187"/>
      <c r="B2119" s="190"/>
      <c r="C2119" s="190"/>
      <c r="D2119" s="69"/>
      <c r="E2119" s="69"/>
      <c r="F2119" s="149"/>
      <c r="G2119" s="146"/>
      <c r="H2119" s="98"/>
      <c r="I2119" s="99"/>
      <c r="J2119" s="99"/>
      <c r="K2119" s="99"/>
      <c r="L2119" s="99"/>
      <c r="M2119" s="99"/>
      <c r="N2119" s="99"/>
      <c r="O2119" s="99"/>
      <c r="P2119" s="99"/>
      <c r="Q2119" s="99"/>
      <c r="R2119" s="99"/>
      <c r="S2119" s="99"/>
      <c r="T2119" s="99"/>
      <c r="U2119" s="105"/>
      <c r="V2119" s="262"/>
      <c r="W2119" s="121"/>
      <c r="X2119" s="121"/>
      <c r="Y2119" s="121"/>
      <c r="Z2119" s="121"/>
      <c r="AA2119" s="121"/>
      <c r="AB2119" s="121"/>
      <c r="AC2119" s="121"/>
      <c r="AD2119" s="121"/>
      <c r="AE2119" s="121"/>
      <c r="AF2119" s="121"/>
      <c r="AG2119" s="121"/>
      <c r="AH2119" s="121"/>
      <c r="AI2119" s="121"/>
    </row>
    <row r="2120" spans="1:35" s="115" customFormat="1" ht="14.4">
      <c r="A2120" s="187"/>
      <c r="B2120" s="190"/>
      <c r="C2120" s="190"/>
      <c r="D2120" s="69"/>
      <c r="E2120" s="69"/>
      <c r="F2120" s="149"/>
      <c r="G2120" s="146"/>
      <c r="H2120" s="98"/>
      <c r="I2120" s="99"/>
      <c r="J2120" s="99"/>
      <c r="K2120" s="99"/>
      <c r="L2120" s="99"/>
      <c r="M2120" s="99"/>
      <c r="N2120" s="99"/>
      <c r="O2120" s="99"/>
      <c r="P2120" s="99"/>
      <c r="Q2120" s="99"/>
      <c r="R2120" s="99"/>
      <c r="S2120" s="99"/>
      <c r="T2120" s="99"/>
      <c r="U2120" s="105"/>
      <c r="V2120" s="262"/>
      <c r="W2120" s="121"/>
      <c r="X2120" s="121"/>
      <c r="Y2120" s="121"/>
      <c r="Z2120" s="121"/>
      <c r="AA2120" s="121"/>
      <c r="AB2120" s="121"/>
      <c r="AC2120" s="121"/>
      <c r="AD2120" s="121"/>
      <c r="AE2120" s="121"/>
      <c r="AF2120" s="121"/>
      <c r="AG2120" s="121"/>
      <c r="AH2120" s="121"/>
      <c r="AI2120" s="121"/>
    </row>
    <row r="2121" spans="1:35" s="115" customFormat="1" ht="14.4">
      <c r="A2121" s="187"/>
      <c r="B2121" s="190"/>
      <c r="C2121" s="190"/>
      <c r="D2121" s="69"/>
      <c r="E2121" s="69"/>
      <c r="F2121" s="149"/>
      <c r="G2121" s="146"/>
      <c r="H2121" s="98"/>
      <c r="I2121" s="99"/>
      <c r="J2121" s="99"/>
      <c r="K2121" s="99"/>
      <c r="L2121" s="99"/>
      <c r="M2121" s="99"/>
      <c r="N2121" s="99"/>
      <c r="O2121" s="99"/>
      <c r="P2121" s="99"/>
      <c r="Q2121" s="99"/>
      <c r="R2121" s="99"/>
      <c r="S2121" s="99"/>
      <c r="T2121" s="99"/>
      <c r="U2121" s="105"/>
      <c r="V2121" s="262"/>
      <c r="W2121" s="121"/>
      <c r="X2121" s="121"/>
      <c r="Y2121" s="121"/>
      <c r="Z2121" s="121"/>
      <c r="AA2121" s="121"/>
      <c r="AB2121" s="121"/>
      <c r="AC2121" s="121"/>
      <c r="AD2121" s="121"/>
      <c r="AE2121" s="121"/>
      <c r="AF2121" s="121"/>
      <c r="AG2121" s="121"/>
      <c r="AH2121" s="121"/>
      <c r="AI2121" s="121"/>
    </row>
    <row r="2122" spans="1:35" s="115" customFormat="1" ht="14.4">
      <c r="A2122" s="187"/>
      <c r="B2122" s="190"/>
      <c r="C2122" s="190"/>
      <c r="D2122" s="69"/>
      <c r="E2122" s="69"/>
      <c r="F2122" s="149"/>
      <c r="G2122" s="146"/>
      <c r="H2122" s="98"/>
      <c r="I2122" s="99"/>
      <c r="J2122" s="99"/>
      <c r="K2122" s="99"/>
      <c r="L2122" s="99"/>
      <c r="M2122" s="99"/>
      <c r="N2122" s="99"/>
      <c r="O2122" s="99"/>
      <c r="P2122" s="99"/>
      <c r="Q2122" s="99"/>
      <c r="R2122" s="99"/>
      <c r="S2122" s="99"/>
      <c r="T2122" s="99"/>
      <c r="U2122" s="105"/>
      <c r="V2122" s="262"/>
      <c r="W2122" s="121"/>
      <c r="X2122" s="121"/>
      <c r="Y2122" s="121"/>
      <c r="Z2122" s="121"/>
      <c r="AA2122" s="121"/>
      <c r="AB2122" s="121"/>
      <c r="AC2122" s="121"/>
      <c r="AD2122" s="121"/>
      <c r="AE2122" s="121"/>
      <c r="AF2122" s="121"/>
      <c r="AG2122" s="121"/>
      <c r="AH2122" s="121"/>
      <c r="AI2122" s="121"/>
    </row>
    <row r="2123" spans="1:35" s="115" customFormat="1" ht="14.4">
      <c r="A2123" s="187"/>
      <c r="B2123" s="190"/>
      <c r="C2123" s="190"/>
      <c r="D2123" s="69"/>
      <c r="E2123" s="69"/>
      <c r="F2123" s="149"/>
      <c r="G2123" s="146"/>
      <c r="H2123" s="98"/>
      <c r="I2123" s="99"/>
      <c r="J2123" s="99"/>
      <c r="K2123" s="99"/>
      <c r="L2123" s="99"/>
      <c r="M2123" s="99"/>
      <c r="N2123" s="99"/>
      <c r="O2123" s="99"/>
      <c r="P2123" s="99"/>
      <c r="Q2123" s="99"/>
      <c r="R2123" s="99"/>
      <c r="S2123" s="99"/>
      <c r="T2123" s="99"/>
      <c r="U2123" s="105"/>
      <c r="V2123" s="262"/>
      <c r="W2123" s="121"/>
      <c r="X2123" s="121"/>
      <c r="Y2123" s="121"/>
      <c r="Z2123" s="121"/>
      <c r="AA2123" s="121"/>
      <c r="AB2123" s="121"/>
      <c r="AC2123" s="121"/>
      <c r="AD2123" s="121"/>
      <c r="AE2123" s="121"/>
      <c r="AF2123" s="121"/>
      <c r="AG2123" s="121"/>
      <c r="AH2123" s="121"/>
      <c r="AI2123" s="121"/>
    </row>
    <row r="2124" spans="1:35" s="115" customFormat="1" ht="24" customHeight="1">
      <c r="A2124" s="187"/>
      <c r="B2124" s="190"/>
      <c r="C2124" s="190"/>
      <c r="D2124" s="69"/>
      <c r="E2124" s="69"/>
      <c r="F2124" s="149"/>
      <c r="G2124" s="146"/>
      <c r="H2124" s="98"/>
      <c r="I2124" s="99"/>
      <c r="J2124" s="99"/>
      <c r="K2124" s="99"/>
      <c r="L2124" s="99"/>
      <c r="M2124" s="99"/>
      <c r="N2124" s="99"/>
      <c r="O2124" s="99"/>
      <c r="P2124" s="99"/>
      <c r="Q2124" s="99"/>
      <c r="R2124" s="99"/>
      <c r="S2124" s="99"/>
      <c r="T2124" s="99"/>
      <c r="U2124" s="105"/>
      <c r="V2124" s="262"/>
      <c r="W2124" s="121"/>
      <c r="X2124" s="121"/>
      <c r="Y2124" s="121"/>
      <c r="Z2124" s="121"/>
      <c r="AA2124" s="121"/>
      <c r="AB2124" s="121"/>
      <c r="AC2124" s="121"/>
      <c r="AD2124" s="121"/>
      <c r="AE2124" s="121"/>
      <c r="AF2124" s="121"/>
      <c r="AG2124" s="121"/>
      <c r="AH2124" s="121"/>
      <c r="AI2124" s="121"/>
    </row>
    <row r="2125" spans="1:35" s="115" customFormat="1" ht="14.4">
      <c r="A2125" s="187"/>
      <c r="B2125" s="190"/>
      <c r="C2125" s="190"/>
      <c r="D2125" s="69"/>
      <c r="E2125" s="69"/>
      <c r="F2125" s="149"/>
      <c r="G2125" s="146"/>
      <c r="H2125" s="98"/>
      <c r="I2125" s="99"/>
      <c r="J2125" s="99"/>
      <c r="K2125" s="99"/>
      <c r="L2125" s="99"/>
      <c r="M2125" s="99"/>
      <c r="N2125" s="99"/>
      <c r="O2125" s="99"/>
      <c r="P2125" s="99"/>
      <c r="Q2125" s="99"/>
      <c r="R2125" s="99"/>
      <c r="S2125" s="99"/>
      <c r="T2125" s="99"/>
      <c r="U2125" s="105"/>
      <c r="V2125" s="262"/>
      <c r="W2125" s="121"/>
      <c r="X2125" s="121"/>
      <c r="Y2125" s="121"/>
      <c r="Z2125" s="121"/>
      <c r="AA2125" s="121"/>
      <c r="AB2125" s="121"/>
      <c r="AC2125" s="121"/>
      <c r="AD2125" s="121"/>
      <c r="AE2125" s="121"/>
      <c r="AF2125" s="121"/>
      <c r="AG2125" s="121"/>
      <c r="AH2125" s="121"/>
      <c r="AI2125" s="121"/>
    </row>
    <row r="2126" spans="1:35" s="115" customFormat="1" ht="14.4">
      <c r="A2126" s="187"/>
      <c r="B2126" s="190"/>
      <c r="C2126" s="190"/>
      <c r="D2126" s="69"/>
      <c r="E2126" s="69"/>
      <c r="F2126" s="149"/>
      <c r="G2126" s="146"/>
      <c r="H2126" s="98"/>
      <c r="I2126" s="99"/>
      <c r="J2126" s="99"/>
      <c r="K2126" s="99"/>
      <c r="L2126" s="99"/>
      <c r="M2126" s="99"/>
      <c r="N2126" s="99"/>
      <c r="O2126" s="99"/>
      <c r="P2126" s="99"/>
      <c r="Q2126" s="99"/>
      <c r="R2126" s="99"/>
      <c r="S2126" s="99"/>
      <c r="T2126" s="99"/>
      <c r="U2126" s="105"/>
      <c r="V2126" s="262"/>
      <c r="W2126" s="121"/>
      <c r="X2126" s="121"/>
      <c r="Y2126" s="121"/>
      <c r="Z2126" s="121"/>
      <c r="AA2126" s="121"/>
      <c r="AB2126" s="121"/>
      <c r="AC2126" s="121"/>
      <c r="AD2126" s="121"/>
      <c r="AE2126" s="121"/>
      <c r="AF2126" s="121"/>
      <c r="AG2126" s="121"/>
      <c r="AH2126" s="121"/>
      <c r="AI2126" s="121"/>
    </row>
    <row r="2127" spans="1:35" s="115" customFormat="1" ht="14.4">
      <c r="A2127" s="187"/>
      <c r="B2127" s="190"/>
      <c r="C2127" s="190"/>
      <c r="D2127" s="69"/>
      <c r="E2127" s="69"/>
      <c r="F2127" s="149"/>
      <c r="G2127" s="146"/>
      <c r="H2127" s="98"/>
      <c r="I2127" s="99"/>
      <c r="J2127" s="99"/>
      <c r="K2127" s="99"/>
      <c r="L2127" s="99"/>
      <c r="M2127" s="99"/>
      <c r="N2127" s="99"/>
      <c r="O2127" s="99"/>
      <c r="P2127" s="99"/>
      <c r="Q2127" s="99"/>
      <c r="R2127" s="99"/>
      <c r="S2127" s="99"/>
      <c r="T2127" s="99"/>
      <c r="U2127" s="105"/>
      <c r="V2127" s="262"/>
      <c r="W2127" s="121"/>
      <c r="X2127" s="121"/>
      <c r="Y2127" s="121"/>
      <c r="Z2127" s="121"/>
      <c r="AA2127" s="121"/>
      <c r="AB2127" s="121"/>
      <c r="AC2127" s="121"/>
      <c r="AD2127" s="121"/>
      <c r="AE2127" s="121"/>
      <c r="AF2127" s="121"/>
      <c r="AG2127" s="121"/>
      <c r="AH2127" s="121"/>
      <c r="AI2127" s="121"/>
    </row>
    <row r="2128" spans="1:35" s="115" customFormat="1" ht="14.4">
      <c r="A2128" s="187"/>
      <c r="B2128" s="190"/>
      <c r="C2128" s="190"/>
      <c r="D2128" s="69"/>
      <c r="E2128" s="69"/>
      <c r="F2128" s="149"/>
      <c r="G2128" s="146"/>
      <c r="H2128" s="98"/>
      <c r="I2128" s="99"/>
      <c r="J2128" s="99"/>
      <c r="K2128" s="99"/>
      <c r="L2128" s="99"/>
      <c r="M2128" s="99"/>
      <c r="N2128" s="99"/>
      <c r="O2128" s="99"/>
      <c r="P2128" s="99"/>
      <c r="Q2128" s="99"/>
      <c r="R2128" s="99"/>
      <c r="S2128" s="99"/>
      <c r="T2128" s="99"/>
      <c r="U2128" s="105"/>
      <c r="V2128" s="262"/>
      <c r="W2128" s="121"/>
      <c r="X2128" s="121"/>
      <c r="Y2128" s="121"/>
      <c r="Z2128" s="121"/>
      <c r="AA2128" s="121"/>
      <c r="AB2128" s="121"/>
      <c r="AC2128" s="121"/>
      <c r="AD2128" s="121"/>
      <c r="AE2128" s="121"/>
      <c r="AF2128" s="121"/>
      <c r="AG2128" s="121"/>
      <c r="AH2128" s="121"/>
      <c r="AI2128" s="121"/>
    </row>
    <row r="2129" spans="1:35" s="115" customFormat="1" ht="14.4">
      <c r="A2129" s="187"/>
      <c r="B2129" s="190"/>
      <c r="C2129" s="190"/>
      <c r="D2129" s="69"/>
      <c r="E2129" s="69"/>
      <c r="F2129" s="149"/>
      <c r="G2129" s="146"/>
      <c r="H2129" s="107"/>
      <c r="I2129" s="108"/>
      <c r="J2129" s="108"/>
      <c r="K2129" s="108"/>
      <c r="L2129" s="108"/>
      <c r="M2129" s="108"/>
      <c r="N2129" s="109"/>
      <c r="O2129" s="109"/>
      <c r="P2129" s="109"/>
      <c r="Q2129" s="109"/>
      <c r="R2129" s="109"/>
      <c r="S2129" s="109"/>
      <c r="T2129" s="109"/>
      <c r="U2129" s="105"/>
      <c r="V2129" s="262"/>
      <c r="W2129" s="121"/>
      <c r="X2129" s="121"/>
      <c r="Y2129" s="121"/>
      <c r="Z2129" s="121"/>
      <c r="AA2129" s="121"/>
      <c r="AB2129" s="121"/>
      <c r="AC2129" s="121"/>
      <c r="AD2129" s="121"/>
      <c r="AE2129" s="121"/>
      <c r="AF2129" s="121"/>
      <c r="AG2129" s="121"/>
      <c r="AH2129" s="121"/>
      <c r="AI2129" s="121"/>
    </row>
    <row r="2130" spans="1:35" s="115" customFormat="1" ht="14.4">
      <c r="A2130" s="187"/>
      <c r="B2130" s="190"/>
      <c r="C2130" s="190"/>
      <c r="D2130" s="69"/>
      <c r="E2130" s="69"/>
      <c r="F2130" s="149"/>
      <c r="G2130" s="146"/>
      <c r="H2130" s="98"/>
      <c r="I2130" s="106"/>
      <c r="J2130" s="106"/>
      <c r="K2130" s="106"/>
      <c r="L2130" s="106"/>
      <c r="M2130" s="106"/>
      <c r="N2130" s="112"/>
      <c r="O2130" s="112"/>
      <c r="P2130" s="112"/>
      <c r="Q2130" s="113"/>
      <c r="R2130" s="113"/>
      <c r="S2130" s="113"/>
      <c r="T2130" s="113"/>
      <c r="U2130" s="105"/>
      <c r="V2130" s="262"/>
      <c r="W2130" s="121"/>
      <c r="X2130" s="121"/>
      <c r="Y2130" s="121"/>
      <c r="Z2130" s="121"/>
      <c r="AA2130" s="121"/>
      <c r="AB2130" s="121"/>
      <c r="AC2130" s="121"/>
      <c r="AD2130" s="121"/>
      <c r="AE2130" s="121"/>
      <c r="AF2130" s="121"/>
      <c r="AG2130" s="121"/>
      <c r="AH2130" s="121"/>
      <c r="AI2130" s="121"/>
    </row>
    <row r="2131" spans="1:35" s="115" customFormat="1" ht="14.4">
      <c r="A2131" s="187"/>
      <c r="B2131" s="190"/>
      <c r="C2131" s="190"/>
      <c r="D2131" s="69"/>
      <c r="E2131" s="69"/>
      <c r="F2131" s="149"/>
      <c r="G2131" s="146"/>
      <c r="H2131" s="98"/>
      <c r="I2131" s="99"/>
      <c r="J2131" s="99"/>
      <c r="K2131" s="99"/>
      <c r="L2131" s="99"/>
      <c r="M2131" s="99"/>
      <c r="N2131" s="99"/>
      <c r="O2131" s="99"/>
      <c r="P2131" s="99"/>
      <c r="Q2131" s="99"/>
      <c r="R2131" s="99"/>
      <c r="S2131" s="99"/>
      <c r="T2131" s="99"/>
      <c r="U2131" s="105"/>
      <c r="V2131" s="262"/>
      <c r="W2131" s="121"/>
      <c r="X2131" s="121"/>
      <c r="Y2131" s="121"/>
      <c r="Z2131" s="121"/>
      <c r="AA2131" s="121"/>
      <c r="AB2131" s="121"/>
      <c r="AC2131" s="121"/>
      <c r="AD2131" s="121"/>
      <c r="AE2131" s="121"/>
      <c r="AF2131" s="121"/>
      <c r="AG2131" s="121"/>
      <c r="AH2131" s="121"/>
      <c r="AI2131" s="121"/>
    </row>
    <row r="2132" spans="1:35" s="115" customFormat="1" ht="14.4">
      <c r="A2132" s="187"/>
      <c r="B2132" s="190"/>
      <c r="C2132" s="190"/>
      <c r="D2132" s="69"/>
      <c r="E2132" s="69"/>
      <c r="F2132" s="149"/>
      <c r="G2132" s="146"/>
      <c r="H2132" s="98"/>
      <c r="I2132" s="99"/>
      <c r="J2132" s="99"/>
      <c r="K2132" s="99"/>
      <c r="L2132" s="99"/>
      <c r="M2132" s="99"/>
      <c r="N2132" s="99"/>
      <c r="O2132" s="99"/>
      <c r="P2132" s="99"/>
      <c r="Q2132" s="99"/>
      <c r="R2132" s="99"/>
      <c r="S2132" s="99"/>
      <c r="T2132" s="99"/>
      <c r="U2132" s="105"/>
      <c r="V2132" s="262"/>
      <c r="W2132" s="121"/>
      <c r="X2132" s="121"/>
      <c r="Y2132" s="121"/>
      <c r="Z2132" s="121"/>
      <c r="AA2132" s="121"/>
      <c r="AB2132" s="121"/>
      <c r="AC2132" s="121"/>
      <c r="AD2132" s="121"/>
      <c r="AE2132" s="121"/>
      <c r="AF2132" s="121"/>
      <c r="AG2132" s="121"/>
      <c r="AH2132" s="121"/>
      <c r="AI2132" s="121"/>
    </row>
    <row r="2133" spans="1:35" s="115" customFormat="1" ht="14.4">
      <c r="A2133" s="187"/>
      <c r="B2133" s="190"/>
      <c r="C2133" s="190"/>
      <c r="D2133" s="69"/>
      <c r="E2133" s="69"/>
      <c r="F2133" s="149"/>
      <c r="G2133" s="146"/>
      <c r="H2133" s="98"/>
      <c r="I2133" s="99"/>
      <c r="J2133" s="99"/>
      <c r="K2133" s="99"/>
      <c r="L2133" s="99"/>
      <c r="M2133" s="99"/>
      <c r="N2133" s="99"/>
      <c r="O2133" s="99"/>
      <c r="P2133" s="99"/>
      <c r="Q2133" s="99"/>
      <c r="R2133" s="99"/>
      <c r="S2133" s="99"/>
      <c r="T2133" s="99"/>
      <c r="U2133" s="105"/>
      <c r="V2133" s="262"/>
      <c r="W2133" s="121"/>
      <c r="X2133" s="121"/>
      <c r="Y2133" s="121"/>
      <c r="Z2133" s="121"/>
      <c r="AA2133" s="121"/>
      <c r="AB2133" s="121"/>
      <c r="AC2133" s="121"/>
      <c r="AD2133" s="121"/>
      <c r="AE2133" s="121"/>
      <c r="AF2133" s="121"/>
      <c r="AG2133" s="121"/>
      <c r="AH2133" s="121"/>
      <c r="AI2133" s="121"/>
    </row>
    <row r="2134" spans="1:35" s="115" customFormat="1" ht="14.4">
      <c r="A2134" s="187"/>
      <c r="B2134" s="190"/>
      <c r="C2134" s="190"/>
      <c r="D2134" s="69"/>
      <c r="E2134" s="69"/>
      <c r="F2134" s="149"/>
      <c r="G2134" s="146"/>
      <c r="H2134" s="98"/>
      <c r="I2134" s="99"/>
      <c r="J2134" s="99"/>
      <c r="K2134" s="99"/>
      <c r="L2134" s="99"/>
      <c r="M2134" s="99"/>
      <c r="N2134" s="99"/>
      <c r="O2134" s="99"/>
      <c r="P2134" s="99"/>
      <c r="Q2134" s="99"/>
      <c r="R2134" s="99"/>
      <c r="S2134" s="99"/>
      <c r="T2134" s="99"/>
      <c r="U2134" s="105"/>
      <c r="V2134" s="262"/>
      <c r="W2134" s="121"/>
      <c r="X2134" s="121"/>
      <c r="Y2134" s="121"/>
      <c r="Z2134" s="121"/>
      <c r="AA2134" s="121"/>
      <c r="AB2134" s="121"/>
      <c r="AC2134" s="121"/>
      <c r="AD2134" s="121"/>
      <c r="AE2134" s="121"/>
      <c r="AF2134" s="121"/>
      <c r="AG2134" s="121"/>
      <c r="AH2134" s="121"/>
      <c r="AI2134" s="121"/>
    </row>
    <row r="2135" spans="1:35" s="115" customFormat="1" ht="14.4">
      <c r="A2135" s="187"/>
      <c r="B2135" s="190"/>
      <c r="C2135" s="190"/>
      <c r="D2135" s="69"/>
      <c r="E2135" s="69"/>
      <c r="F2135" s="149"/>
      <c r="G2135" s="146"/>
      <c r="H2135" s="98"/>
      <c r="I2135" s="99"/>
      <c r="J2135" s="99"/>
      <c r="K2135" s="99"/>
      <c r="L2135" s="99"/>
      <c r="M2135" s="99"/>
      <c r="N2135" s="99"/>
      <c r="O2135" s="99"/>
      <c r="P2135" s="99"/>
      <c r="Q2135" s="99"/>
      <c r="R2135" s="99"/>
      <c r="S2135" s="99"/>
      <c r="T2135" s="99"/>
      <c r="U2135" s="105"/>
      <c r="V2135" s="262"/>
      <c r="W2135" s="121"/>
      <c r="X2135" s="121"/>
      <c r="Y2135" s="121"/>
      <c r="Z2135" s="121"/>
      <c r="AA2135" s="121"/>
      <c r="AB2135" s="121"/>
      <c r="AC2135" s="121"/>
      <c r="AD2135" s="121"/>
      <c r="AE2135" s="121"/>
      <c r="AF2135" s="121"/>
      <c r="AG2135" s="121"/>
      <c r="AH2135" s="121"/>
      <c r="AI2135" s="121"/>
    </row>
    <row r="2136" spans="1:35" s="115" customFormat="1" ht="14.4">
      <c r="A2136" s="187"/>
      <c r="B2136" s="190"/>
      <c r="C2136" s="190"/>
      <c r="D2136" s="69"/>
      <c r="E2136" s="69"/>
      <c r="F2136" s="149"/>
      <c r="G2136" s="146"/>
      <c r="H2136" s="98"/>
      <c r="I2136" s="99"/>
      <c r="J2136" s="99"/>
      <c r="K2136" s="99"/>
      <c r="L2136" s="99"/>
      <c r="M2136" s="99"/>
      <c r="N2136" s="99"/>
      <c r="O2136" s="99"/>
      <c r="P2136" s="99"/>
      <c r="Q2136" s="99"/>
      <c r="R2136" s="99"/>
      <c r="S2136" s="99"/>
      <c r="T2136" s="99"/>
      <c r="U2136" s="105"/>
      <c r="V2136" s="262"/>
      <c r="W2136" s="121"/>
      <c r="X2136" s="121"/>
      <c r="Y2136" s="121"/>
      <c r="Z2136" s="121"/>
      <c r="AA2136" s="121"/>
      <c r="AB2136" s="121"/>
      <c r="AC2136" s="121"/>
      <c r="AD2136" s="121"/>
      <c r="AE2136" s="121"/>
      <c r="AF2136" s="121"/>
      <c r="AG2136" s="121"/>
      <c r="AH2136" s="121"/>
      <c r="AI2136" s="121"/>
    </row>
    <row r="2137" spans="1:35" s="115" customFormat="1" ht="14.4">
      <c r="A2137" s="187"/>
      <c r="B2137" s="190"/>
      <c r="C2137" s="190"/>
      <c r="D2137" s="69"/>
      <c r="E2137" s="69"/>
      <c r="F2137" s="149"/>
      <c r="G2137" s="146"/>
      <c r="H2137" s="98"/>
      <c r="I2137" s="99"/>
      <c r="J2137" s="99"/>
      <c r="K2137" s="99"/>
      <c r="L2137" s="99"/>
      <c r="M2137" s="99"/>
      <c r="N2137" s="99"/>
      <c r="O2137" s="99"/>
      <c r="P2137" s="99"/>
      <c r="Q2137" s="99"/>
      <c r="R2137" s="99"/>
      <c r="S2137" s="99"/>
      <c r="T2137" s="99"/>
      <c r="U2137" s="105"/>
      <c r="V2137" s="262"/>
      <c r="W2137" s="121"/>
      <c r="X2137" s="121"/>
      <c r="Y2137" s="121"/>
      <c r="Z2137" s="121"/>
      <c r="AA2137" s="121"/>
      <c r="AB2137" s="121"/>
      <c r="AC2137" s="121"/>
      <c r="AD2137" s="121"/>
      <c r="AE2137" s="121"/>
      <c r="AF2137" s="121"/>
      <c r="AG2137" s="121"/>
      <c r="AH2137" s="121"/>
      <c r="AI2137" s="121"/>
    </row>
    <row r="2138" spans="1:35" s="115" customFormat="1" ht="14.4">
      <c r="A2138" s="187"/>
      <c r="B2138" s="190"/>
      <c r="C2138" s="190"/>
      <c r="D2138" s="69"/>
      <c r="E2138" s="69"/>
      <c r="F2138" s="149"/>
      <c r="G2138" s="146"/>
      <c r="H2138" s="98"/>
      <c r="I2138" s="99"/>
      <c r="J2138" s="99"/>
      <c r="K2138" s="99"/>
      <c r="L2138" s="99"/>
      <c r="M2138" s="99"/>
      <c r="N2138" s="99"/>
      <c r="O2138" s="99"/>
      <c r="P2138" s="99"/>
      <c r="Q2138" s="99"/>
      <c r="R2138" s="99"/>
      <c r="S2138" s="99"/>
      <c r="T2138" s="99"/>
      <c r="U2138" s="105"/>
      <c r="V2138" s="262"/>
      <c r="W2138" s="121"/>
      <c r="X2138" s="121"/>
      <c r="Y2138" s="121"/>
      <c r="Z2138" s="121"/>
      <c r="AA2138" s="121"/>
      <c r="AB2138" s="121"/>
      <c r="AC2138" s="121"/>
      <c r="AD2138" s="121"/>
      <c r="AE2138" s="121"/>
      <c r="AF2138" s="121"/>
      <c r="AG2138" s="121"/>
      <c r="AH2138" s="121"/>
      <c r="AI2138" s="121"/>
    </row>
    <row r="2139" spans="1:35" s="115" customFormat="1" ht="14.4">
      <c r="A2139" s="187"/>
      <c r="B2139" s="190"/>
      <c r="C2139" s="190"/>
      <c r="D2139" s="69"/>
      <c r="E2139" s="69"/>
      <c r="F2139" s="149"/>
      <c r="G2139" s="146"/>
      <c r="H2139" s="98"/>
      <c r="I2139" s="99"/>
      <c r="J2139" s="99"/>
      <c r="K2139" s="99"/>
      <c r="L2139" s="99"/>
      <c r="M2139" s="99"/>
      <c r="N2139" s="99"/>
      <c r="O2139" s="99"/>
      <c r="P2139" s="99"/>
      <c r="Q2139" s="99"/>
      <c r="R2139" s="99"/>
      <c r="S2139" s="99"/>
      <c r="T2139" s="99"/>
      <c r="U2139" s="105"/>
      <c r="V2139" s="262"/>
      <c r="W2139" s="121"/>
      <c r="X2139" s="121"/>
      <c r="Y2139" s="121"/>
      <c r="Z2139" s="121"/>
      <c r="AA2139" s="121"/>
      <c r="AB2139" s="121"/>
      <c r="AC2139" s="121"/>
      <c r="AD2139" s="121"/>
      <c r="AE2139" s="121"/>
      <c r="AF2139" s="121"/>
      <c r="AG2139" s="121"/>
      <c r="AH2139" s="121"/>
      <c r="AI2139" s="121"/>
    </row>
    <row r="2140" spans="1:35" s="115" customFormat="1" ht="14.4">
      <c r="A2140" s="187"/>
      <c r="B2140" s="190"/>
      <c r="C2140" s="190"/>
      <c r="D2140" s="69"/>
      <c r="E2140" s="69"/>
      <c r="F2140" s="149"/>
      <c r="G2140" s="146"/>
      <c r="H2140" s="98"/>
      <c r="I2140" s="99"/>
      <c r="J2140" s="99"/>
      <c r="K2140" s="99"/>
      <c r="L2140" s="99"/>
      <c r="M2140" s="99"/>
      <c r="N2140" s="99"/>
      <c r="O2140" s="99"/>
      <c r="P2140" s="99"/>
      <c r="Q2140" s="99"/>
      <c r="R2140" s="99"/>
      <c r="S2140" s="99"/>
      <c r="T2140" s="99"/>
      <c r="U2140" s="105"/>
      <c r="V2140" s="262"/>
      <c r="W2140" s="121"/>
      <c r="X2140" s="121"/>
      <c r="Y2140" s="121"/>
      <c r="Z2140" s="121"/>
      <c r="AA2140" s="121"/>
      <c r="AB2140" s="121"/>
      <c r="AC2140" s="121"/>
      <c r="AD2140" s="121"/>
      <c r="AE2140" s="121"/>
      <c r="AF2140" s="121"/>
      <c r="AG2140" s="121"/>
      <c r="AH2140" s="121"/>
      <c r="AI2140" s="121"/>
    </row>
    <row r="2141" spans="1:35" s="115" customFormat="1" ht="14.4">
      <c r="A2141" s="187"/>
      <c r="B2141" s="190"/>
      <c r="C2141" s="190"/>
      <c r="D2141" s="69"/>
      <c r="E2141" s="69"/>
      <c r="F2141" s="149"/>
      <c r="G2141" s="146"/>
      <c r="H2141" s="98"/>
      <c r="I2141" s="99"/>
      <c r="J2141" s="99"/>
      <c r="K2141" s="99"/>
      <c r="L2141" s="99"/>
      <c r="M2141" s="99"/>
      <c r="N2141" s="99"/>
      <c r="O2141" s="99"/>
      <c r="P2141" s="99"/>
      <c r="Q2141" s="99"/>
      <c r="R2141" s="99"/>
      <c r="S2141" s="99"/>
      <c r="T2141" s="99"/>
      <c r="U2141" s="105"/>
      <c r="V2141" s="262"/>
      <c r="W2141" s="121"/>
      <c r="X2141" s="121"/>
      <c r="Y2141" s="121"/>
      <c r="Z2141" s="121"/>
      <c r="AA2141" s="121"/>
      <c r="AB2141" s="121"/>
      <c r="AC2141" s="121"/>
      <c r="AD2141" s="121"/>
      <c r="AE2141" s="121"/>
      <c r="AF2141" s="121"/>
      <c r="AG2141" s="121"/>
      <c r="AH2141" s="121"/>
      <c r="AI2141" s="121"/>
    </row>
    <row r="2142" spans="1:35" s="115" customFormat="1" ht="14.4">
      <c r="A2142" s="187"/>
      <c r="B2142" s="190"/>
      <c r="C2142" s="190"/>
      <c r="D2142" s="69"/>
      <c r="E2142" s="69"/>
      <c r="F2142" s="149"/>
      <c r="G2142" s="146"/>
      <c r="H2142" s="98"/>
      <c r="I2142" s="99"/>
      <c r="J2142" s="99"/>
      <c r="K2142" s="99"/>
      <c r="L2142" s="99"/>
      <c r="M2142" s="99"/>
      <c r="N2142" s="99"/>
      <c r="O2142" s="99"/>
      <c r="P2142" s="99"/>
      <c r="Q2142" s="99"/>
      <c r="R2142" s="99"/>
      <c r="S2142" s="99"/>
      <c r="T2142" s="99"/>
      <c r="U2142" s="105"/>
      <c r="V2142" s="262"/>
      <c r="W2142" s="121"/>
      <c r="X2142" s="121"/>
      <c r="Y2142" s="121"/>
      <c r="Z2142" s="121"/>
      <c r="AA2142" s="121"/>
      <c r="AB2142" s="121"/>
      <c r="AC2142" s="121"/>
      <c r="AD2142" s="121"/>
      <c r="AE2142" s="121"/>
      <c r="AF2142" s="121"/>
      <c r="AG2142" s="121"/>
      <c r="AH2142" s="121"/>
      <c r="AI2142" s="121"/>
    </row>
    <row r="2143" spans="1:35" s="115" customFormat="1" ht="14.4">
      <c r="A2143" s="187"/>
      <c r="B2143" s="190"/>
      <c r="C2143" s="190"/>
      <c r="D2143" s="69"/>
      <c r="E2143" s="69"/>
      <c r="F2143" s="149"/>
      <c r="G2143" s="146"/>
      <c r="H2143" s="98"/>
      <c r="I2143" s="99"/>
      <c r="J2143" s="99"/>
      <c r="K2143" s="99"/>
      <c r="L2143" s="99"/>
      <c r="M2143" s="99"/>
      <c r="N2143" s="99"/>
      <c r="O2143" s="99"/>
      <c r="P2143" s="99"/>
      <c r="Q2143" s="99"/>
      <c r="R2143" s="99"/>
      <c r="S2143" s="99"/>
      <c r="T2143" s="99"/>
      <c r="U2143" s="105"/>
      <c r="V2143" s="262"/>
      <c r="W2143" s="121"/>
      <c r="X2143" s="121"/>
      <c r="Y2143" s="121"/>
      <c r="Z2143" s="121"/>
      <c r="AA2143" s="121"/>
      <c r="AB2143" s="121"/>
      <c r="AC2143" s="121"/>
      <c r="AD2143" s="121"/>
      <c r="AE2143" s="121"/>
      <c r="AF2143" s="121"/>
      <c r="AG2143" s="121"/>
      <c r="AH2143" s="121"/>
      <c r="AI2143" s="121"/>
    </row>
    <row r="2144" spans="1:35" s="115" customFormat="1" ht="14.4">
      <c r="A2144" s="187"/>
      <c r="B2144" s="190"/>
      <c r="C2144" s="190"/>
      <c r="D2144" s="69"/>
      <c r="E2144" s="69"/>
      <c r="F2144" s="149"/>
      <c r="G2144" s="146"/>
      <c r="H2144" s="98"/>
      <c r="I2144" s="99"/>
      <c r="J2144" s="99"/>
      <c r="K2144" s="99"/>
      <c r="L2144" s="99"/>
      <c r="M2144" s="99"/>
      <c r="N2144" s="99"/>
      <c r="O2144" s="99"/>
      <c r="P2144" s="99"/>
      <c r="Q2144" s="99"/>
      <c r="R2144" s="99"/>
      <c r="S2144" s="99"/>
      <c r="T2144" s="99"/>
      <c r="U2144" s="105"/>
      <c r="V2144" s="262"/>
      <c r="W2144" s="121"/>
      <c r="X2144" s="121"/>
      <c r="Y2144" s="121"/>
      <c r="Z2144" s="121"/>
      <c r="AA2144" s="121"/>
      <c r="AB2144" s="121"/>
      <c r="AC2144" s="121"/>
      <c r="AD2144" s="121"/>
      <c r="AE2144" s="121"/>
      <c r="AF2144" s="121"/>
      <c r="AG2144" s="121"/>
      <c r="AH2144" s="121"/>
      <c r="AI2144" s="121"/>
    </row>
    <row r="2145" spans="1:35" s="115" customFormat="1" ht="14.4">
      <c r="A2145" s="187"/>
      <c r="B2145" s="190"/>
      <c r="C2145" s="190"/>
      <c r="D2145" s="69"/>
      <c r="E2145" s="69"/>
      <c r="F2145" s="149"/>
      <c r="G2145" s="146"/>
      <c r="H2145" s="98"/>
      <c r="I2145" s="99"/>
      <c r="J2145" s="99"/>
      <c r="K2145" s="99"/>
      <c r="L2145" s="99"/>
      <c r="M2145" s="99"/>
      <c r="N2145" s="99"/>
      <c r="O2145" s="99"/>
      <c r="P2145" s="99"/>
      <c r="Q2145" s="99"/>
      <c r="R2145" s="99"/>
      <c r="S2145" s="99"/>
      <c r="T2145" s="99"/>
      <c r="U2145" s="105"/>
      <c r="V2145" s="262"/>
      <c r="W2145" s="121"/>
      <c r="X2145" s="121"/>
      <c r="Y2145" s="121"/>
      <c r="Z2145" s="121"/>
      <c r="AA2145" s="121"/>
      <c r="AB2145" s="121"/>
      <c r="AC2145" s="121"/>
      <c r="AD2145" s="121"/>
      <c r="AE2145" s="121"/>
      <c r="AF2145" s="121"/>
      <c r="AG2145" s="121"/>
      <c r="AH2145" s="121"/>
      <c r="AI2145" s="121"/>
    </row>
    <row r="2146" spans="1:35" s="115" customFormat="1" ht="14.4">
      <c r="A2146" s="187"/>
      <c r="B2146" s="190"/>
      <c r="C2146" s="190"/>
      <c r="D2146" s="69"/>
      <c r="E2146" s="69"/>
      <c r="F2146" s="149"/>
      <c r="G2146" s="146"/>
      <c r="H2146" s="98"/>
      <c r="I2146" s="99"/>
      <c r="J2146" s="99"/>
      <c r="K2146" s="99"/>
      <c r="L2146" s="99"/>
      <c r="M2146" s="99"/>
      <c r="N2146" s="99"/>
      <c r="O2146" s="99"/>
      <c r="P2146" s="99"/>
      <c r="Q2146" s="99"/>
      <c r="R2146" s="99"/>
      <c r="S2146" s="99"/>
      <c r="T2146" s="99"/>
      <c r="U2146" s="105"/>
      <c r="V2146" s="262"/>
      <c r="W2146" s="121"/>
      <c r="X2146" s="121"/>
      <c r="Y2146" s="121"/>
      <c r="Z2146" s="121"/>
      <c r="AA2146" s="121"/>
      <c r="AB2146" s="121"/>
      <c r="AC2146" s="121"/>
      <c r="AD2146" s="121"/>
      <c r="AE2146" s="121"/>
      <c r="AF2146" s="121"/>
      <c r="AG2146" s="121"/>
      <c r="AH2146" s="121"/>
      <c r="AI2146" s="121"/>
    </row>
    <row r="2147" spans="1:35" s="115" customFormat="1" ht="14.4">
      <c r="A2147" s="187"/>
      <c r="B2147" s="190"/>
      <c r="C2147" s="190"/>
      <c r="D2147" s="69"/>
      <c r="E2147" s="69"/>
      <c r="F2147" s="149"/>
      <c r="G2147" s="146"/>
      <c r="H2147" s="98"/>
      <c r="I2147" s="99"/>
      <c r="J2147" s="99"/>
      <c r="K2147" s="99"/>
      <c r="L2147" s="99"/>
      <c r="M2147" s="99"/>
      <c r="N2147" s="99"/>
      <c r="O2147" s="99"/>
      <c r="P2147" s="99"/>
      <c r="Q2147" s="99"/>
      <c r="R2147" s="99"/>
      <c r="S2147" s="99"/>
      <c r="T2147" s="99"/>
      <c r="U2147" s="105"/>
      <c r="V2147" s="262"/>
      <c r="W2147" s="121"/>
      <c r="X2147" s="121"/>
      <c r="Y2147" s="121"/>
      <c r="Z2147" s="121"/>
      <c r="AA2147" s="121"/>
      <c r="AB2147" s="121"/>
      <c r="AC2147" s="121"/>
      <c r="AD2147" s="121"/>
      <c r="AE2147" s="121"/>
      <c r="AF2147" s="121"/>
      <c r="AG2147" s="121"/>
      <c r="AH2147" s="121"/>
      <c r="AI2147" s="121"/>
    </row>
    <row r="2148" spans="1:35" s="115" customFormat="1" ht="14.4">
      <c r="A2148" s="187"/>
      <c r="B2148" s="190"/>
      <c r="C2148" s="190"/>
      <c r="D2148" s="69"/>
      <c r="E2148" s="69"/>
      <c r="F2148" s="149"/>
      <c r="G2148" s="146"/>
      <c r="H2148" s="98"/>
      <c r="I2148" s="99"/>
      <c r="J2148" s="99"/>
      <c r="K2148" s="99"/>
      <c r="L2148" s="99"/>
      <c r="M2148" s="99"/>
      <c r="N2148" s="99"/>
      <c r="O2148" s="99"/>
      <c r="P2148" s="99"/>
      <c r="Q2148" s="99"/>
      <c r="R2148" s="99"/>
      <c r="S2148" s="99"/>
      <c r="T2148" s="99"/>
      <c r="U2148" s="105"/>
      <c r="V2148" s="262"/>
      <c r="W2148" s="121"/>
      <c r="X2148" s="121"/>
      <c r="Y2148" s="121"/>
      <c r="Z2148" s="121"/>
      <c r="AA2148" s="121"/>
      <c r="AB2148" s="121"/>
      <c r="AC2148" s="121"/>
      <c r="AD2148" s="121"/>
      <c r="AE2148" s="121"/>
      <c r="AF2148" s="121"/>
      <c r="AG2148" s="121"/>
      <c r="AH2148" s="121"/>
      <c r="AI2148" s="121"/>
    </row>
    <row r="2149" spans="1:35" s="115" customFormat="1" ht="14.4">
      <c r="A2149" s="187"/>
      <c r="B2149" s="190"/>
      <c r="C2149" s="190"/>
      <c r="D2149" s="69"/>
      <c r="E2149" s="69"/>
      <c r="F2149" s="149"/>
      <c r="G2149" s="146"/>
      <c r="H2149" s="98"/>
      <c r="I2149" s="99"/>
      <c r="J2149" s="99"/>
      <c r="K2149" s="99"/>
      <c r="L2149" s="99"/>
      <c r="M2149" s="99"/>
      <c r="N2149" s="99"/>
      <c r="O2149" s="99"/>
      <c r="P2149" s="99"/>
      <c r="Q2149" s="99"/>
      <c r="R2149" s="99"/>
      <c r="S2149" s="99"/>
      <c r="T2149" s="99"/>
      <c r="U2149" s="105"/>
      <c r="V2149" s="262"/>
      <c r="W2149" s="121"/>
      <c r="X2149" s="121"/>
      <c r="Y2149" s="121"/>
      <c r="Z2149" s="121"/>
      <c r="AA2149" s="121"/>
      <c r="AB2149" s="121"/>
      <c r="AC2149" s="121"/>
      <c r="AD2149" s="121"/>
      <c r="AE2149" s="121"/>
      <c r="AF2149" s="121"/>
      <c r="AG2149" s="121"/>
      <c r="AH2149" s="121"/>
      <c r="AI2149" s="121"/>
    </row>
    <row r="2150" spans="1:35" s="115" customFormat="1" ht="14.4">
      <c r="A2150" s="187"/>
      <c r="B2150" s="190"/>
      <c r="C2150" s="190"/>
      <c r="D2150" s="69"/>
      <c r="E2150" s="69"/>
      <c r="F2150" s="149"/>
      <c r="G2150" s="146"/>
      <c r="H2150" s="98"/>
      <c r="I2150" s="99"/>
      <c r="J2150" s="99"/>
      <c r="K2150" s="99"/>
      <c r="L2150" s="99"/>
      <c r="M2150" s="99"/>
      <c r="N2150" s="99"/>
      <c r="O2150" s="99"/>
      <c r="P2150" s="99"/>
      <c r="Q2150" s="99"/>
      <c r="R2150" s="99"/>
      <c r="S2150" s="99"/>
      <c r="T2150" s="99"/>
      <c r="U2150" s="105"/>
      <c r="V2150" s="262"/>
      <c r="W2150" s="121"/>
      <c r="X2150" s="121"/>
      <c r="Y2150" s="121"/>
      <c r="Z2150" s="121"/>
      <c r="AA2150" s="121"/>
      <c r="AB2150" s="121"/>
      <c r="AC2150" s="121"/>
      <c r="AD2150" s="121"/>
      <c r="AE2150" s="121"/>
      <c r="AF2150" s="121"/>
      <c r="AG2150" s="121"/>
      <c r="AH2150" s="121"/>
      <c r="AI2150" s="121"/>
    </row>
    <row r="2151" spans="1:35" s="115" customFormat="1" ht="14.4">
      <c r="A2151" s="187"/>
      <c r="B2151" s="190"/>
      <c r="C2151" s="190"/>
      <c r="D2151" s="69"/>
      <c r="E2151" s="69"/>
      <c r="F2151" s="149"/>
      <c r="G2151" s="146"/>
      <c r="H2151" s="98"/>
      <c r="I2151" s="99"/>
      <c r="J2151" s="99"/>
      <c r="K2151" s="99"/>
      <c r="L2151" s="99"/>
      <c r="M2151" s="99"/>
      <c r="N2151" s="99"/>
      <c r="O2151" s="99"/>
      <c r="P2151" s="99"/>
      <c r="Q2151" s="99"/>
      <c r="R2151" s="99"/>
      <c r="S2151" s="99"/>
      <c r="T2151" s="99"/>
      <c r="U2151" s="105"/>
      <c r="V2151" s="262"/>
      <c r="W2151" s="121"/>
      <c r="X2151" s="121"/>
      <c r="Y2151" s="121"/>
      <c r="Z2151" s="121"/>
      <c r="AA2151" s="121"/>
      <c r="AB2151" s="121"/>
      <c r="AC2151" s="121"/>
      <c r="AD2151" s="121"/>
      <c r="AE2151" s="121"/>
      <c r="AF2151" s="121"/>
      <c r="AG2151" s="121"/>
      <c r="AH2151" s="121"/>
      <c r="AI2151" s="121"/>
    </row>
    <row r="2152" spans="1:35" s="115" customFormat="1" ht="14.4">
      <c r="A2152" s="187"/>
      <c r="B2152" s="190"/>
      <c r="C2152" s="190"/>
      <c r="D2152" s="69"/>
      <c r="E2152" s="69"/>
      <c r="F2152" s="149"/>
      <c r="G2152" s="146"/>
      <c r="H2152" s="98"/>
      <c r="I2152" s="99"/>
      <c r="J2152" s="99"/>
      <c r="K2152" s="99"/>
      <c r="L2152" s="99"/>
      <c r="M2152" s="99"/>
      <c r="N2152" s="99"/>
      <c r="O2152" s="99"/>
      <c r="P2152" s="99"/>
      <c r="Q2152" s="99"/>
      <c r="R2152" s="99"/>
      <c r="S2152" s="99"/>
      <c r="T2152" s="99"/>
      <c r="U2152" s="105"/>
      <c r="V2152" s="262"/>
      <c r="W2152" s="121"/>
      <c r="X2152" s="121"/>
      <c r="Y2152" s="121"/>
      <c r="Z2152" s="121"/>
      <c r="AA2152" s="121"/>
      <c r="AB2152" s="121"/>
      <c r="AC2152" s="121"/>
      <c r="AD2152" s="121"/>
      <c r="AE2152" s="121"/>
      <c r="AF2152" s="121"/>
      <c r="AG2152" s="121"/>
      <c r="AH2152" s="121"/>
      <c r="AI2152" s="121"/>
    </row>
    <row r="2153" spans="1:35" s="115" customFormat="1" ht="14.4">
      <c r="A2153" s="187"/>
      <c r="B2153" s="190"/>
      <c r="C2153" s="190"/>
      <c r="D2153" s="69"/>
      <c r="E2153" s="69"/>
      <c r="F2153" s="149"/>
      <c r="G2153" s="146"/>
      <c r="H2153" s="98"/>
      <c r="I2153" s="99"/>
      <c r="J2153" s="99"/>
      <c r="K2153" s="99"/>
      <c r="L2153" s="99"/>
      <c r="M2153" s="99"/>
      <c r="N2153" s="99"/>
      <c r="O2153" s="99"/>
      <c r="P2153" s="99"/>
      <c r="Q2153" s="99"/>
      <c r="R2153" s="99"/>
      <c r="S2153" s="99"/>
      <c r="T2153" s="99"/>
      <c r="U2153" s="105"/>
      <c r="V2153" s="262"/>
      <c r="W2153" s="121"/>
      <c r="X2153" s="121"/>
      <c r="Y2153" s="121"/>
      <c r="Z2153" s="121"/>
      <c r="AA2153" s="121"/>
      <c r="AB2153" s="121"/>
      <c r="AC2153" s="121"/>
      <c r="AD2153" s="121"/>
      <c r="AE2153" s="121"/>
      <c r="AF2153" s="121"/>
      <c r="AG2153" s="121"/>
      <c r="AH2153" s="121"/>
      <c r="AI2153" s="121"/>
    </row>
    <row r="2154" spans="1:35" s="115" customFormat="1" ht="14.4">
      <c r="A2154" s="187"/>
      <c r="B2154" s="190"/>
      <c r="C2154" s="190"/>
      <c r="D2154" s="69"/>
      <c r="E2154" s="69"/>
      <c r="F2154" s="149"/>
      <c r="G2154" s="146"/>
      <c r="H2154" s="98"/>
      <c r="I2154" s="99"/>
      <c r="J2154" s="99"/>
      <c r="K2154" s="99"/>
      <c r="L2154" s="99"/>
      <c r="M2154" s="99"/>
      <c r="N2154" s="99"/>
      <c r="O2154" s="99"/>
      <c r="P2154" s="99"/>
      <c r="Q2154" s="99"/>
      <c r="R2154" s="99"/>
      <c r="S2154" s="99"/>
      <c r="T2154" s="99"/>
      <c r="U2154" s="105"/>
      <c r="V2154" s="262"/>
      <c r="W2154" s="121"/>
      <c r="X2154" s="121"/>
      <c r="Y2154" s="121"/>
      <c r="Z2154" s="121"/>
      <c r="AA2154" s="121"/>
      <c r="AB2154" s="121"/>
      <c r="AC2154" s="121"/>
      <c r="AD2154" s="121"/>
      <c r="AE2154" s="121"/>
      <c r="AF2154" s="121"/>
      <c r="AG2154" s="121"/>
      <c r="AH2154" s="121"/>
      <c r="AI2154" s="121"/>
    </row>
    <row r="2155" spans="1:35" s="115" customFormat="1" ht="14.4">
      <c r="A2155" s="187"/>
      <c r="B2155" s="190"/>
      <c r="C2155" s="190"/>
      <c r="D2155" s="69"/>
      <c r="E2155" s="69"/>
      <c r="F2155" s="149"/>
      <c r="G2155" s="146"/>
      <c r="H2155" s="98"/>
      <c r="I2155" s="99"/>
      <c r="J2155" s="99"/>
      <c r="K2155" s="99"/>
      <c r="L2155" s="99"/>
      <c r="M2155" s="99"/>
      <c r="N2155" s="99"/>
      <c r="O2155" s="99"/>
      <c r="P2155" s="99"/>
      <c r="Q2155" s="99"/>
      <c r="R2155" s="99"/>
      <c r="S2155" s="99"/>
      <c r="T2155" s="99"/>
      <c r="U2155" s="105"/>
      <c r="V2155" s="262"/>
      <c r="W2155" s="121"/>
      <c r="X2155" s="121"/>
      <c r="Y2155" s="121"/>
      <c r="Z2155" s="121"/>
      <c r="AA2155" s="121"/>
      <c r="AB2155" s="121"/>
      <c r="AC2155" s="121"/>
      <c r="AD2155" s="121"/>
      <c r="AE2155" s="121"/>
      <c r="AF2155" s="121"/>
      <c r="AG2155" s="121"/>
      <c r="AH2155" s="121"/>
      <c r="AI2155" s="121"/>
    </row>
    <row r="2156" spans="1:35" s="115" customFormat="1" ht="14.4">
      <c r="A2156" s="187"/>
      <c r="B2156" s="190"/>
      <c r="C2156" s="190"/>
      <c r="D2156" s="69"/>
      <c r="E2156" s="69"/>
      <c r="F2156" s="149"/>
      <c r="G2156" s="146"/>
      <c r="H2156" s="98"/>
      <c r="I2156" s="99"/>
      <c r="J2156" s="99"/>
      <c r="K2156" s="99"/>
      <c r="L2156" s="99"/>
      <c r="M2156" s="99"/>
      <c r="N2156" s="99"/>
      <c r="O2156" s="99"/>
      <c r="P2156" s="99"/>
      <c r="Q2156" s="99"/>
      <c r="R2156" s="99"/>
      <c r="S2156" s="99"/>
      <c r="T2156" s="99"/>
      <c r="U2156" s="105"/>
      <c r="V2156" s="262"/>
      <c r="W2156" s="121"/>
      <c r="X2156" s="121"/>
      <c r="Y2156" s="121"/>
      <c r="Z2156" s="121"/>
      <c r="AA2156" s="121"/>
      <c r="AB2156" s="121"/>
      <c r="AC2156" s="121"/>
      <c r="AD2156" s="121"/>
      <c r="AE2156" s="121"/>
      <c r="AF2156" s="121"/>
      <c r="AG2156" s="121"/>
      <c r="AH2156" s="121"/>
      <c r="AI2156" s="121"/>
    </row>
    <row r="2157" spans="1:35" s="115" customFormat="1" ht="14.4">
      <c r="A2157" s="187"/>
      <c r="B2157" s="190"/>
      <c r="C2157" s="190"/>
      <c r="D2157" s="69"/>
      <c r="E2157" s="69"/>
      <c r="F2157" s="149"/>
      <c r="G2157" s="146"/>
      <c r="H2157" s="107"/>
      <c r="I2157" s="109"/>
      <c r="J2157" s="109"/>
      <c r="K2157" s="109"/>
      <c r="L2157" s="109"/>
      <c r="M2157" s="109"/>
      <c r="N2157" s="109"/>
      <c r="O2157" s="109"/>
      <c r="P2157" s="109"/>
      <c r="Q2157" s="109"/>
      <c r="R2157" s="109"/>
      <c r="S2157" s="109"/>
      <c r="T2157" s="109"/>
      <c r="U2157" s="105"/>
      <c r="V2157" s="262"/>
      <c r="W2157" s="121"/>
      <c r="X2157" s="121"/>
      <c r="Y2157" s="121"/>
      <c r="Z2157" s="121"/>
      <c r="AA2157" s="121"/>
      <c r="AB2157" s="121"/>
      <c r="AC2157" s="121"/>
      <c r="AD2157" s="121"/>
      <c r="AE2157" s="121"/>
      <c r="AF2157" s="121"/>
      <c r="AG2157" s="121"/>
      <c r="AH2157" s="121"/>
      <c r="AI2157" s="121"/>
    </row>
    <row r="2158" spans="1:35" s="115" customFormat="1" ht="14.4">
      <c r="A2158" s="187"/>
      <c r="B2158" s="190"/>
      <c r="C2158" s="190"/>
      <c r="D2158" s="69"/>
      <c r="E2158" s="69"/>
      <c r="F2158" s="149"/>
      <c r="G2158" s="146"/>
      <c r="H2158" s="98"/>
      <c r="I2158" s="106"/>
      <c r="J2158" s="106"/>
      <c r="K2158" s="106"/>
      <c r="L2158" s="106"/>
      <c r="M2158" s="106"/>
      <c r="N2158" s="112"/>
      <c r="O2158" s="112"/>
      <c r="P2158" s="112"/>
      <c r="Q2158" s="113"/>
      <c r="R2158" s="113"/>
      <c r="S2158" s="113"/>
      <c r="T2158" s="113"/>
      <c r="U2158" s="105"/>
      <c r="V2158" s="262"/>
      <c r="W2158" s="121"/>
      <c r="X2158" s="121"/>
      <c r="Y2158" s="121"/>
      <c r="Z2158" s="121"/>
      <c r="AA2158" s="121"/>
      <c r="AB2158" s="121"/>
      <c r="AC2158" s="121"/>
      <c r="AD2158" s="121"/>
      <c r="AE2158" s="121"/>
      <c r="AF2158" s="121"/>
      <c r="AG2158" s="121"/>
      <c r="AH2158" s="121"/>
      <c r="AI2158" s="121"/>
    </row>
    <row r="2159" spans="1:35" s="115" customFormat="1" ht="14.4">
      <c r="A2159" s="187"/>
      <c r="B2159" s="190"/>
      <c r="C2159" s="190"/>
      <c r="D2159" s="69"/>
      <c r="E2159" s="69"/>
      <c r="F2159" s="149"/>
      <c r="G2159" s="146"/>
      <c r="H2159" s="98"/>
      <c r="I2159" s="99"/>
      <c r="J2159" s="99"/>
      <c r="K2159" s="99"/>
      <c r="L2159" s="99"/>
      <c r="M2159" s="99"/>
      <c r="N2159" s="99"/>
      <c r="O2159" s="99"/>
      <c r="P2159" s="99"/>
      <c r="Q2159" s="99"/>
      <c r="R2159" s="99"/>
      <c r="S2159" s="99"/>
      <c r="T2159" s="99"/>
      <c r="U2159" s="105"/>
      <c r="V2159" s="262"/>
      <c r="W2159" s="121"/>
      <c r="X2159" s="121"/>
      <c r="Y2159" s="121"/>
      <c r="Z2159" s="121"/>
      <c r="AA2159" s="121"/>
      <c r="AB2159" s="121"/>
      <c r="AC2159" s="121"/>
      <c r="AD2159" s="121"/>
      <c r="AE2159" s="121"/>
      <c r="AF2159" s="121"/>
      <c r="AG2159" s="121"/>
      <c r="AH2159" s="121"/>
      <c r="AI2159" s="121"/>
    </row>
    <row r="2160" spans="1:35" s="115" customFormat="1" ht="14.4">
      <c r="A2160" s="187"/>
      <c r="B2160" s="190"/>
      <c r="C2160" s="190"/>
      <c r="D2160" s="69"/>
      <c r="E2160" s="69"/>
      <c r="F2160" s="149"/>
      <c r="G2160" s="146"/>
      <c r="H2160" s="98"/>
      <c r="I2160" s="99"/>
      <c r="J2160" s="99"/>
      <c r="K2160" s="99"/>
      <c r="L2160" s="99"/>
      <c r="M2160" s="99"/>
      <c r="N2160" s="99"/>
      <c r="O2160" s="99"/>
      <c r="P2160" s="99"/>
      <c r="Q2160" s="99"/>
      <c r="R2160" s="99"/>
      <c r="S2160" s="99"/>
      <c r="T2160" s="99"/>
      <c r="U2160" s="105"/>
      <c r="V2160" s="262"/>
      <c r="W2160" s="121"/>
      <c r="X2160" s="121"/>
      <c r="Y2160" s="121"/>
      <c r="Z2160" s="121"/>
      <c r="AA2160" s="121"/>
      <c r="AB2160" s="121"/>
      <c r="AC2160" s="121"/>
      <c r="AD2160" s="121"/>
      <c r="AE2160" s="121"/>
      <c r="AF2160" s="121"/>
      <c r="AG2160" s="121"/>
      <c r="AH2160" s="121"/>
      <c r="AI2160" s="121"/>
    </row>
    <row r="2161" spans="1:35" s="115" customFormat="1" ht="14.4">
      <c r="A2161" s="187"/>
      <c r="B2161" s="190"/>
      <c r="C2161" s="190"/>
      <c r="D2161" s="69"/>
      <c r="E2161" s="69"/>
      <c r="F2161" s="149"/>
      <c r="G2161" s="146"/>
      <c r="H2161" s="98"/>
      <c r="I2161" s="99"/>
      <c r="J2161" s="99"/>
      <c r="K2161" s="99"/>
      <c r="L2161" s="99"/>
      <c r="M2161" s="99"/>
      <c r="N2161" s="99"/>
      <c r="O2161" s="99"/>
      <c r="P2161" s="99"/>
      <c r="Q2161" s="99"/>
      <c r="R2161" s="99"/>
      <c r="S2161" s="99"/>
      <c r="T2161" s="99"/>
      <c r="U2161" s="105"/>
      <c r="V2161" s="262"/>
      <c r="W2161" s="121"/>
      <c r="X2161" s="121"/>
      <c r="Y2161" s="121"/>
      <c r="Z2161" s="121"/>
      <c r="AA2161" s="121"/>
      <c r="AB2161" s="121"/>
      <c r="AC2161" s="121"/>
      <c r="AD2161" s="121"/>
      <c r="AE2161" s="121"/>
      <c r="AF2161" s="121"/>
      <c r="AG2161" s="121"/>
      <c r="AH2161" s="121"/>
      <c r="AI2161" s="121"/>
    </row>
    <row r="2162" spans="1:35" s="115" customFormat="1" ht="14.4">
      <c r="A2162" s="187"/>
      <c r="B2162" s="190"/>
      <c r="C2162" s="190"/>
      <c r="D2162" s="69"/>
      <c r="E2162" s="69"/>
      <c r="F2162" s="149"/>
      <c r="G2162" s="146"/>
      <c r="H2162" s="98"/>
      <c r="I2162" s="99"/>
      <c r="J2162" s="99"/>
      <c r="K2162" s="99"/>
      <c r="L2162" s="99"/>
      <c r="M2162" s="99"/>
      <c r="N2162" s="99"/>
      <c r="O2162" s="99"/>
      <c r="P2162" s="99"/>
      <c r="Q2162" s="99"/>
      <c r="R2162" s="99"/>
      <c r="S2162" s="99"/>
      <c r="T2162" s="99"/>
      <c r="U2162" s="105"/>
      <c r="V2162" s="262"/>
      <c r="W2162" s="121"/>
      <c r="X2162" s="121"/>
      <c r="Y2162" s="121"/>
      <c r="Z2162" s="121"/>
      <c r="AA2162" s="121"/>
      <c r="AB2162" s="121"/>
      <c r="AC2162" s="121"/>
      <c r="AD2162" s="121"/>
      <c r="AE2162" s="121"/>
      <c r="AF2162" s="121"/>
      <c r="AG2162" s="121"/>
      <c r="AH2162" s="121"/>
      <c r="AI2162" s="121"/>
    </row>
    <row r="2163" spans="1:35" s="115" customFormat="1" ht="14.4">
      <c r="A2163" s="187"/>
      <c r="B2163" s="190"/>
      <c r="C2163" s="190"/>
      <c r="D2163" s="69"/>
      <c r="E2163" s="69"/>
      <c r="F2163" s="149"/>
      <c r="G2163" s="146"/>
      <c r="H2163" s="98"/>
      <c r="I2163" s="99"/>
      <c r="J2163" s="99"/>
      <c r="K2163" s="99"/>
      <c r="L2163" s="99"/>
      <c r="M2163" s="99"/>
      <c r="N2163" s="99"/>
      <c r="O2163" s="99"/>
      <c r="P2163" s="99"/>
      <c r="Q2163" s="99"/>
      <c r="R2163" s="99"/>
      <c r="S2163" s="99"/>
      <c r="T2163" s="99"/>
      <c r="U2163" s="105"/>
      <c r="V2163" s="262"/>
      <c r="W2163" s="121"/>
      <c r="X2163" s="121"/>
      <c r="Y2163" s="121"/>
      <c r="Z2163" s="121"/>
      <c r="AA2163" s="121"/>
      <c r="AB2163" s="121"/>
      <c r="AC2163" s="121"/>
      <c r="AD2163" s="121"/>
      <c r="AE2163" s="121"/>
      <c r="AF2163" s="121"/>
      <c r="AG2163" s="121"/>
      <c r="AH2163" s="121"/>
      <c r="AI2163" s="121"/>
    </row>
    <row r="2164" spans="1:35" s="115" customFormat="1" ht="14.4">
      <c r="A2164" s="187"/>
      <c r="B2164" s="190"/>
      <c r="C2164" s="190"/>
      <c r="D2164" s="69"/>
      <c r="E2164" s="69"/>
      <c r="F2164" s="149"/>
      <c r="G2164" s="146"/>
      <c r="H2164" s="98"/>
      <c r="I2164" s="99"/>
      <c r="J2164" s="99"/>
      <c r="K2164" s="99"/>
      <c r="L2164" s="99"/>
      <c r="M2164" s="99"/>
      <c r="N2164" s="99"/>
      <c r="O2164" s="99"/>
      <c r="P2164" s="99"/>
      <c r="Q2164" s="99"/>
      <c r="R2164" s="99"/>
      <c r="S2164" s="99"/>
      <c r="T2164" s="99"/>
      <c r="U2164" s="105"/>
      <c r="V2164" s="262"/>
      <c r="W2164" s="121"/>
      <c r="X2164" s="121"/>
      <c r="Y2164" s="121"/>
      <c r="Z2164" s="121"/>
      <c r="AA2164" s="121"/>
      <c r="AB2164" s="121"/>
      <c r="AC2164" s="121"/>
      <c r="AD2164" s="121"/>
      <c r="AE2164" s="121"/>
      <c r="AF2164" s="121"/>
      <c r="AG2164" s="121"/>
      <c r="AH2164" s="121"/>
      <c r="AI2164" s="121"/>
    </row>
    <row r="2165" spans="1:35" s="115" customFormat="1" ht="14.4">
      <c r="A2165" s="187"/>
      <c r="B2165" s="190"/>
      <c r="C2165" s="190"/>
      <c r="D2165" s="69"/>
      <c r="E2165" s="69"/>
      <c r="F2165" s="149"/>
      <c r="G2165" s="146"/>
      <c r="H2165" s="98"/>
      <c r="I2165" s="99"/>
      <c r="J2165" s="99"/>
      <c r="K2165" s="99"/>
      <c r="L2165" s="99"/>
      <c r="M2165" s="99"/>
      <c r="N2165" s="99"/>
      <c r="O2165" s="99"/>
      <c r="P2165" s="99"/>
      <c r="Q2165" s="99"/>
      <c r="R2165" s="99"/>
      <c r="S2165" s="99"/>
      <c r="T2165" s="99"/>
      <c r="U2165" s="105"/>
      <c r="V2165" s="262"/>
      <c r="W2165" s="121"/>
      <c r="X2165" s="121"/>
      <c r="Y2165" s="121"/>
      <c r="Z2165" s="121"/>
      <c r="AA2165" s="121"/>
      <c r="AB2165" s="121"/>
      <c r="AC2165" s="121"/>
      <c r="AD2165" s="121"/>
      <c r="AE2165" s="121"/>
      <c r="AF2165" s="121"/>
      <c r="AG2165" s="121"/>
      <c r="AH2165" s="121"/>
      <c r="AI2165" s="121"/>
    </row>
    <row r="2166" spans="1:35" s="115" customFormat="1" ht="14.4">
      <c r="A2166" s="187"/>
      <c r="B2166" s="190"/>
      <c r="C2166" s="190"/>
      <c r="D2166" s="69"/>
      <c r="E2166" s="69"/>
      <c r="F2166" s="149"/>
      <c r="G2166" s="146"/>
      <c r="H2166" s="98"/>
      <c r="I2166" s="99"/>
      <c r="J2166" s="99"/>
      <c r="K2166" s="99"/>
      <c r="L2166" s="99"/>
      <c r="M2166" s="99"/>
      <c r="N2166" s="99"/>
      <c r="O2166" s="99"/>
      <c r="P2166" s="99"/>
      <c r="Q2166" s="99"/>
      <c r="R2166" s="99"/>
      <c r="S2166" s="99"/>
      <c r="T2166" s="99"/>
      <c r="U2166" s="105"/>
      <c r="V2166" s="262"/>
      <c r="W2166" s="121"/>
      <c r="X2166" s="121"/>
      <c r="Y2166" s="121"/>
      <c r="Z2166" s="121"/>
      <c r="AA2166" s="121"/>
      <c r="AB2166" s="121"/>
      <c r="AC2166" s="121"/>
      <c r="AD2166" s="121"/>
      <c r="AE2166" s="121"/>
      <c r="AF2166" s="121"/>
      <c r="AG2166" s="121"/>
      <c r="AH2166" s="121"/>
      <c r="AI2166" s="121"/>
    </row>
    <row r="2167" spans="1:35" s="115" customFormat="1" ht="24" customHeight="1">
      <c r="A2167" s="187"/>
      <c r="B2167" s="190"/>
      <c r="C2167" s="190"/>
      <c r="D2167" s="69"/>
      <c r="E2167" s="69"/>
      <c r="F2167" s="149"/>
      <c r="G2167" s="146"/>
      <c r="H2167" s="98"/>
      <c r="I2167" s="99"/>
      <c r="J2167" s="99"/>
      <c r="K2167" s="99"/>
      <c r="L2167" s="99"/>
      <c r="M2167" s="99"/>
      <c r="N2167" s="99"/>
      <c r="O2167" s="99"/>
      <c r="P2167" s="99"/>
      <c r="Q2167" s="99"/>
      <c r="R2167" s="99"/>
      <c r="S2167" s="99"/>
      <c r="T2167" s="99"/>
      <c r="U2167" s="105"/>
      <c r="V2167" s="262"/>
      <c r="W2167" s="121"/>
      <c r="X2167" s="121"/>
      <c r="Y2167" s="121"/>
      <c r="Z2167" s="121"/>
      <c r="AA2167" s="121"/>
      <c r="AB2167" s="121"/>
      <c r="AC2167" s="121"/>
      <c r="AD2167" s="121"/>
      <c r="AE2167" s="121"/>
      <c r="AF2167" s="121"/>
      <c r="AG2167" s="121"/>
      <c r="AH2167" s="121"/>
      <c r="AI2167" s="121"/>
    </row>
    <row r="2168" spans="1:35" s="115" customFormat="1" ht="14.4">
      <c r="A2168" s="187"/>
      <c r="B2168" s="190"/>
      <c r="C2168" s="190"/>
      <c r="D2168" s="69"/>
      <c r="E2168" s="69"/>
      <c r="F2168" s="149"/>
      <c r="G2168" s="146"/>
      <c r="H2168" s="98"/>
      <c r="I2168" s="99"/>
      <c r="J2168" s="99"/>
      <c r="K2168" s="99"/>
      <c r="L2168" s="99"/>
      <c r="M2168" s="99"/>
      <c r="N2168" s="99"/>
      <c r="O2168" s="99"/>
      <c r="P2168" s="99"/>
      <c r="Q2168" s="99"/>
      <c r="R2168" s="99"/>
      <c r="S2168" s="99"/>
      <c r="T2168" s="99"/>
      <c r="U2168" s="105"/>
      <c r="V2168" s="262"/>
      <c r="W2168" s="121"/>
      <c r="X2168" s="121"/>
      <c r="Y2168" s="121"/>
      <c r="Z2168" s="121"/>
      <c r="AA2168" s="121"/>
      <c r="AB2168" s="121"/>
      <c r="AC2168" s="121"/>
      <c r="AD2168" s="121"/>
      <c r="AE2168" s="121"/>
      <c r="AF2168" s="121"/>
      <c r="AG2168" s="121"/>
      <c r="AH2168" s="121"/>
      <c r="AI2168" s="121"/>
    </row>
    <row r="2169" spans="1:35" s="115" customFormat="1" ht="14.4">
      <c r="A2169" s="187"/>
      <c r="B2169" s="190"/>
      <c r="C2169" s="190"/>
      <c r="D2169" s="69"/>
      <c r="E2169" s="69"/>
      <c r="F2169" s="149"/>
      <c r="G2169" s="146"/>
      <c r="H2169" s="98"/>
      <c r="I2169" s="99"/>
      <c r="J2169" s="99"/>
      <c r="K2169" s="99"/>
      <c r="L2169" s="99"/>
      <c r="M2169" s="99"/>
      <c r="N2169" s="99"/>
      <c r="O2169" s="99"/>
      <c r="P2169" s="99"/>
      <c r="Q2169" s="99"/>
      <c r="R2169" s="99"/>
      <c r="S2169" s="99"/>
      <c r="T2169" s="99"/>
      <c r="U2169" s="105"/>
      <c r="V2169" s="262"/>
      <c r="W2169" s="121"/>
      <c r="X2169" s="121"/>
      <c r="Y2169" s="121"/>
      <c r="Z2169" s="121"/>
      <c r="AA2169" s="121"/>
      <c r="AB2169" s="121"/>
      <c r="AC2169" s="121"/>
      <c r="AD2169" s="121"/>
      <c r="AE2169" s="121"/>
      <c r="AF2169" s="121"/>
      <c r="AG2169" s="121"/>
      <c r="AH2169" s="121"/>
      <c r="AI2169" s="121"/>
    </row>
    <row r="2170" spans="1:35" s="115" customFormat="1" ht="14.4">
      <c r="A2170" s="187"/>
      <c r="B2170" s="190"/>
      <c r="C2170" s="190"/>
      <c r="D2170" s="69"/>
      <c r="E2170" s="69"/>
      <c r="F2170" s="149"/>
      <c r="G2170" s="146"/>
      <c r="H2170" s="98"/>
      <c r="I2170" s="99"/>
      <c r="J2170" s="99"/>
      <c r="K2170" s="99"/>
      <c r="L2170" s="99"/>
      <c r="M2170" s="99"/>
      <c r="N2170" s="99"/>
      <c r="O2170" s="99"/>
      <c r="P2170" s="99"/>
      <c r="Q2170" s="99"/>
      <c r="R2170" s="99"/>
      <c r="S2170" s="99"/>
      <c r="T2170" s="99"/>
      <c r="U2170" s="105"/>
      <c r="V2170" s="262"/>
      <c r="W2170" s="121"/>
      <c r="X2170" s="121"/>
      <c r="Y2170" s="121"/>
      <c r="Z2170" s="121"/>
      <c r="AA2170" s="121"/>
      <c r="AB2170" s="121"/>
      <c r="AC2170" s="121"/>
      <c r="AD2170" s="121"/>
      <c r="AE2170" s="121"/>
      <c r="AF2170" s="121"/>
      <c r="AG2170" s="121"/>
      <c r="AH2170" s="121"/>
      <c r="AI2170" s="121"/>
    </row>
    <row r="2171" spans="1:35" s="115" customFormat="1" ht="14.4">
      <c r="A2171" s="187"/>
      <c r="B2171" s="190"/>
      <c r="C2171" s="190"/>
      <c r="D2171" s="69"/>
      <c r="E2171" s="69"/>
      <c r="F2171" s="149"/>
      <c r="G2171" s="146"/>
      <c r="H2171" s="98"/>
      <c r="I2171" s="99"/>
      <c r="J2171" s="99"/>
      <c r="K2171" s="99"/>
      <c r="L2171" s="99"/>
      <c r="M2171" s="99"/>
      <c r="N2171" s="99"/>
      <c r="O2171" s="99"/>
      <c r="P2171" s="99"/>
      <c r="Q2171" s="99"/>
      <c r="R2171" s="99"/>
      <c r="S2171" s="99"/>
      <c r="T2171" s="99"/>
      <c r="U2171" s="105"/>
      <c r="V2171" s="262"/>
      <c r="W2171" s="121"/>
      <c r="X2171" s="121"/>
      <c r="Y2171" s="121"/>
      <c r="Z2171" s="121"/>
      <c r="AA2171" s="121"/>
      <c r="AB2171" s="121"/>
      <c r="AC2171" s="121"/>
      <c r="AD2171" s="121"/>
      <c r="AE2171" s="121"/>
      <c r="AF2171" s="121"/>
      <c r="AG2171" s="121"/>
      <c r="AH2171" s="121"/>
      <c r="AI2171" s="121"/>
    </row>
    <row r="2172" spans="1:35" s="115" customFormat="1" ht="14.4">
      <c r="A2172" s="187"/>
      <c r="B2172" s="190"/>
      <c r="C2172" s="190"/>
      <c r="D2172" s="69"/>
      <c r="E2172" s="69"/>
      <c r="F2172" s="149"/>
      <c r="G2172" s="146"/>
      <c r="H2172" s="98"/>
      <c r="I2172" s="99"/>
      <c r="J2172" s="99"/>
      <c r="K2172" s="99"/>
      <c r="L2172" s="99"/>
      <c r="M2172" s="99"/>
      <c r="N2172" s="99"/>
      <c r="O2172" s="99"/>
      <c r="P2172" s="99"/>
      <c r="Q2172" s="99"/>
      <c r="R2172" s="99"/>
      <c r="S2172" s="99"/>
      <c r="T2172" s="99"/>
      <c r="U2172" s="105"/>
      <c r="V2172" s="262"/>
      <c r="W2172" s="121"/>
      <c r="X2172" s="121"/>
      <c r="Y2172" s="121"/>
      <c r="Z2172" s="121"/>
      <c r="AA2172" s="121"/>
      <c r="AB2172" s="121"/>
      <c r="AC2172" s="121"/>
      <c r="AD2172" s="121"/>
      <c r="AE2172" s="121"/>
      <c r="AF2172" s="121"/>
      <c r="AG2172" s="121"/>
      <c r="AH2172" s="121"/>
      <c r="AI2172" s="121"/>
    </row>
    <row r="2173" spans="1:35" s="115" customFormat="1" ht="14.4">
      <c r="A2173" s="187"/>
      <c r="B2173" s="190"/>
      <c r="C2173" s="190"/>
      <c r="D2173" s="69"/>
      <c r="E2173" s="69"/>
      <c r="F2173" s="149"/>
      <c r="G2173" s="146"/>
      <c r="H2173" s="98"/>
      <c r="I2173" s="99"/>
      <c r="J2173" s="99"/>
      <c r="K2173" s="99"/>
      <c r="L2173" s="99"/>
      <c r="M2173" s="99"/>
      <c r="N2173" s="99"/>
      <c r="O2173" s="99"/>
      <c r="P2173" s="99"/>
      <c r="Q2173" s="99"/>
      <c r="R2173" s="99"/>
      <c r="S2173" s="99"/>
      <c r="T2173" s="99"/>
      <c r="U2173" s="105"/>
      <c r="V2173" s="262"/>
      <c r="W2173" s="121"/>
      <c r="X2173" s="121"/>
      <c r="Y2173" s="121"/>
      <c r="Z2173" s="121"/>
      <c r="AA2173" s="121"/>
      <c r="AB2173" s="121"/>
      <c r="AC2173" s="121"/>
      <c r="AD2173" s="121"/>
      <c r="AE2173" s="121"/>
      <c r="AF2173" s="121"/>
      <c r="AG2173" s="121"/>
      <c r="AH2173" s="121"/>
      <c r="AI2173" s="121"/>
    </row>
    <row r="2174" spans="1:35" s="115" customFormat="1" ht="14.4">
      <c r="A2174" s="187"/>
      <c r="B2174" s="190"/>
      <c r="C2174" s="190"/>
      <c r="D2174" s="69"/>
      <c r="E2174" s="69"/>
      <c r="F2174" s="149"/>
      <c r="G2174" s="146"/>
      <c r="H2174" s="98"/>
      <c r="I2174" s="99"/>
      <c r="J2174" s="99"/>
      <c r="K2174" s="99"/>
      <c r="L2174" s="99"/>
      <c r="M2174" s="99"/>
      <c r="N2174" s="99"/>
      <c r="O2174" s="99"/>
      <c r="P2174" s="99"/>
      <c r="Q2174" s="99"/>
      <c r="R2174" s="99"/>
      <c r="S2174" s="99"/>
      <c r="T2174" s="99"/>
      <c r="U2174" s="105"/>
      <c r="V2174" s="262"/>
      <c r="W2174" s="121"/>
      <c r="X2174" s="121"/>
      <c r="Y2174" s="121"/>
      <c r="Z2174" s="121"/>
      <c r="AA2174" s="121"/>
      <c r="AB2174" s="121"/>
      <c r="AC2174" s="121"/>
      <c r="AD2174" s="121"/>
      <c r="AE2174" s="121"/>
      <c r="AF2174" s="121"/>
      <c r="AG2174" s="121"/>
      <c r="AH2174" s="121"/>
      <c r="AI2174" s="121"/>
    </row>
    <row r="2175" spans="1:35" s="115" customFormat="1" ht="14.4">
      <c r="A2175" s="187"/>
      <c r="B2175" s="190"/>
      <c r="C2175" s="190"/>
      <c r="D2175" s="69"/>
      <c r="E2175" s="69"/>
      <c r="F2175" s="149"/>
      <c r="G2175" s="146"/>
      <c r="H2175" s="98"/>
      <c r="I2175" s="99"/>
      <c r="J2175" s="99"/>
      <c r="K2175" s="99"/>
      <c r="L2175" s="99"/>
      <c r="M2175" s="99"/>
      <c r="N2175" s="99"/>
      <c r="O2175" s="99"/>
      <c r="P2175" s="99"/>
      <c r="Q2175" s="99"/>
      <c r="R2175" s="99"/>
      <c r="S2175" s="99"/>
      <c r="T2175" s="99"/>
      <c r="U2175" s="105"/>
      <c r="V2175" s="262"/>
      <c r="W2175" s="121"/>
      <c r="X2175" s="121"/>
      <c r="Y2175" s="121"/>
      <c r="Z2175" s="121"/>
      <c r="AA2175" s="121"/>
      <c r="AB2175" s="121"/>
      <c r="AC2175" s="121"/>
      <c r="AD2175" s="121"/>
      <c r="AE2175" s="121"/>
      <c r="AF2175" s="121"/>
      <c r="AG2175" s="121"/>
      <c r="AH2175" s="121"/>
      <c r="AI2175" s="121"/>
    </row>
    <row r="2176" spans="1:35" s="115" customFormat="1" ht="14.4">
      <c r="A2176" s="187"/>
      <c r="B2176" s="190"/>
      <c r="C2176" s="190"/>
      <c r="D2176" s="69"/>
      <c r="E2176" s="69"/>
      <c r="F2176" s="149"/>
      <c r="G2176" s="146"/>
      <c r="H2176" s="98"/>
      <c r="I2176" s="99"/>
      <c r="J2176" s="99"/>
      <c r="K2176" s="99"/>
      <c r="L2176" s="99"/>
      <c r="M2176" s="99"/>
      <c r="N2176" s="99"/>
      <c r="O2176" s="99"/>
      <c r="P2176" s="99"/>
      <c r="Q2176" s="99"/>
      <c r="R2176" s="99"/>
      <c r="S2176" s="99"/>
      <c r="T2176" s="99"/>
      <c r="U2176" s="105"/>
      <c r="V2176" s="262"/>
      <c r="W2176" s="121"/>
      <c r="X2176" s="121"/>
      <c r="Y2176" s="121"/>
      <c r="Z2176" s="121"/>
      <c r="AA2176" s="121"/>
      <c r="AB2176" s="121"/>
      <c r="AC2176" s="121"/>
      <c r="AD2176" s="121"/>
      <c r="AE2176" s="121"/>
      <c r="AF2176" s="121"/>
      <c r="AG2176" s="121"/>
      <c r="AH2176" s="121"/>
      <c r="AI2176" s="121"/>
    </row>
    <row r="2177" spans="1:35" s="115" customFormat="1" ht="14.4">
      <c r="A2177" s="187"/>
      <c r="B2177" s="190"/>
      <c r="C2177" s="190"/>
      <c r="D2177" s="69"/>
      <c r="E2177" s="69"/>
      <c r="F2177" s="149"/>
      <c r="G2177" s="146"/>
      <c r="H2177" s="98"/>
      <c r="I2177" s="99"/>
      <c r="J2177" s="99"/>
      <c r="K2177" s="99"/>
      <c r="L2177" s="99"/>
      <c r="M2177" s="99"/>
      <c r="N2177" s="99"/>
      <c r="O2177" s="99"/>
      <c r="P2177" s="99"/>
      <c r="Q2177" s="99"/>
      <c r="R2177" s="99"/>
      <c r="S2177" s="99"/>
      <c r="T2177" s="99"/>
      <c r="U2177" s="105"/>
      <c r="V2177" s="262"/>
      <c r="W2177" s="121"/>
      <c r="X2177" s="121"/>
      <c r="Y2177" s="121"/>
      <c r="Z2177" s="121"/>
      <c r="AA2177" s="121"/>
      <c r="AB2177" s="121"/>
      <c r="AC2177" s="121"/>
      <c r="AD2177" s="121"/>
      <c r="AE2177" s="121"/>
      <c r="AF2177" s="121"/>
      <c r="AG2177" s="121"/>
      <c r="AH2177" s="121"/>
      <c r="AI2177" s="121"/>
    </row>
    <row r="2178" spans="1:35" s="115" customFormat="1" ht="14.4">
      <c r="A2178" s="187"/>
      <c r="B2178" s="190"/>
      <c r="C2178" s="190"/>
      <c r="D2178" s="69"/>
      <c r="E2178" s="69"/>
      <c r="F2178" s="149"/>
      <c r="G2178" s="146"/>
      <c r="H2178" s="98"/>
      <c r="I2178" s="99"/>
      <c r="J2178" s="99"/>
      <c r="K2178" s="99"/>
      <c r="L2178" s="99"/>
      <c r="M2178" s="99"/>
      <c r="N2178" s="99"/>
      <c r="O2178" s="99"/>
      <c r="P2178" s="99"/>
      <c r="Q2178" s="99"/>
      <c r="R2178" s="99"/>
      <c r="S2178" s="99"/>
      <c r="T2178" s="99"/>
      <c r="U2178" s="105"/>
      <c r="V2178" s="262"/>
      <c r="W2178" s="121"/>
      <c r="X2178" s="121"/>
      <c r="Y2178" s="121"/>
      <c r="Z2178" s="121"/>
      <c r="AA2178" s="121"/>
      <c r="AB2178" s="121"/>
      <c r="AC2178" s="121"/>
      <c r="AD2178" s="121"/>
      <c r="AE2178" s="121"/>
      <c r="AF2178" s="121"/>
      <c r="AG2178" s="121"/>
      <c r="AH2178" s="121"/>
      <c r="AI2178" s="121"/>
    </row>
    <row r="2179" spans="1:35" s="115" customFormat="1" ht="14.4">
      <c r="A2179" s="187"/>
      <c r="B2179" s="190"/>
      <c r="C2179" s="190"/>
      <c r="D2179" s="69"/>
      <c r="E2179" s="69"/>
      <c r="F2179" s="149"/>
      <c r="G2179" s="146"/>
      <c r="H2179" s="98"/>
      <c r="I2179" s="99"/>
      <c r="J2179" s="99"/>
      <c r="K2179" s="99"/>
      <c r="L2179" s="99"/>
      <c r="M2179" s="99"/>
      <c r="N2179" s="99"/>
      <c r="O2179" s="99"/>
      <c r="P2179" s="99"/>
      <c r="Q2179" s="99"/>
      <c r="R2179" s="99"/>
      <c r="S2179" s="99"/>
      <c r="T2179" s="99"/>
      <c r="U2179" s="105"/>
      <c r="V2179" s="262"/>
      <c r="W2179" s="121"/>
      <c r="X2179" s="121"/>
      <c r="Y2179" s="121"/>
      <c r="Z2179" s="121"/>
      <c r="AA2179" s="121"/>
      <c r="AB2179" s="121"/>
      <c r="AC2179" s="121"/>
      <c r="AD2179" s="121"/>
      <c r="AE2179" s="121"/>
      <c r="AF2179" s="121"/>
      <c r="AG2179" s="121"/>
      <c r="AH2179" s="121"/>
      <c r="AI2179" s="121"/>
    </row>
    <row r="2180" spans="1:35" s="115" customFormat="1" ht="14.4">
      <c r="A2180" s="187"/>
      <c r="B2180" s="190"/>
      <c r="C2180" s="190"/>
      <c r="D2180" s="69"/>
      <c r="E2180" s="69"/>
      <c r="F2180" s="149"/>
      <c r="G2180" s="146"/>
      <c r="H2180" s="98"/>
      <c r="I2180" s="99"/>
      <c r="J2180" s="99"/>
      <c r="K2180" s="99"/>
      <c r="L2180" s="99"/>
      <c r="M2180" s="99"/>
      <c r="N2180" s="99"/>
      <c r="O2180" s="99"/>
      <c r="P2180" s="99"/>
      <c r="Q2180" s="99"/>
      <c r="R2180" s="99"/>
      <c r="S2180" s="99"/>
      <c r="T2180" s="99"/>
      <c r="U2180" s="105"/>
      <c r="V2180" s="262"/>
      <c r="W2180" s="121"/>
      <c r="X2180" s="121"/>
      <c r="Y2180" s="121"/>
      <c r="Z2180" s="121"/>
      <c r="AA2180" s="121"/>
      <c r="AB2180" s="121"/>
      <c r="AC2180" s="121"/>
      <c r="AD2180" s="121"/>
      <c r="AE2180" s="121"/>
      <c r="AF2180" s="121"/>
      <c r="AG2180" s="121"/>
      <c r="AH2180" s="121"/>
      <c r="AI2180" s="121"/>
    </row>
    <row r="2181" spans="1:35" s="115" customFormat="1" ht="14.4">
      <c r="A2181" s="187"/>
      <c r="B2181" s="190"/>
      <c r="C2181" s="190"/>
      <c r="D2181" s="69"/>
      <c r="E2181" s="69"/>
      <c r="F2181" s="149"/>
      <c r="G2181" s="146"/>
      <c r="H2181" s="107"/>
      <c r="I2181" s="109"/>
      <c r="J2181" s="109"/>
      <c r="K2181" s="109"/>
      <c r="L2181" s="109"/>
      <c r="M2181" s="109"/>
      <c r="N2181" s="109"/>
      <c r="O2181" s="109"/>
      <c r="P2181" s="109"/>
      <c r="Q2181" s="109"/>
      <c r="R2181" s="109"/>
      <c r="S2181" s="109"/>
      <c r="T2181" s="109"/>
      <c r="U2181" s="105"/>
      <c r="V2181" s="262"/>
      <c r="W2181" s="121"/>
      <c r="X2181" s="121"/>
      <c r="Y2181" s="121"/>
      <c r="Z2181" s="121"/>
      <c r="AA2181" s="121"/>
      <c r="AB2181" s="121"/>
      <c r="AC2181" s="121"/>
      <c r="AD2181" s="121"/>
      <c r="AE2181" s="121"/>
      <c r="AF2181" s="121"/>
      <c r="AG2181" s="121"/>
      <c r="AH2181" s="121"/>
      <c r="AI2181" s="121"/>
    </row>
    <row r="2182" spans="1:35" s="115" customFormat="1" ht="14.4">
      <c r="A2182" s="187"/>
      <c r="B2182" s="190"/>
      <c r="C2182" s="190"/>
      <c r="D2182" s="69"/>
      <c r="E2182" s="69"/>
      <c r="F2182" s="149"/>
      <c r="G2182" s="146"/>
      <c r="H2182" s="98"/>
      <c r="I2182" s="106"/>
      <c r="J2182" s="106"/>
      <c r="K2182" s="106"/>
      <c r="L2182" s="106"/>
      <c r="M2182" s="106"/>
      <c r="N2182" s="112"/>
      <c r="O2182" s="112"/>
      <c r="P2182" s="112"/>
      <c r="Q2182" s="113"/>
      <c r="R2182" s="113"/>
      <c r="S2182" s="113"/>
      <c r="T2182" s="113"/>
      <c r="U2182" s="105"/>
      <c r="V2182" s="262"/>
      <c r="W2182" s="121"/>
      <c r="X2182" s="121"/>
      <c r="Y2182" s="121"/>
      <c r="Z2182" s="121"/>
      <c r="AA2182" s="121"/>
      <c r="AB2182" s="121"/>
      <c r="AC2182" s="121"/>
      <c r="AD2182" s="121"/>
      <c r="AE2182" s="121"/>
      <c r="AF2182" s="121"/>
      <c r="AG2182" s="121"/>
      <c r="AH2182" s="121"/>
      <c r="AI2182" s="121"/>
    </row>
    <row r="2183" spans="1:35" s="115" customFormat="1" ht="14.4">
      <c r="A2183" s="187"/>
      <c r="B2183" s="190"/>
      <c r="C2183" s="190"/>
      <c r="D2183" s="69"/>
      <c r="E2183" s="69"/>
      <c r="F2183" s="149"/>
      <c r="G2183" s="146"/>
      <c r="H2183" s="98"/>
      <c r="I2183" s="99"/>
      <c r="J2183" s="99"/>
      <c r="K2183" s="99"/>
      <c r="L2183" s="99"/>
      <c r="M2183" s="99"/>
      <c r="N2183" s="99"/>
      <c r="O2183" s="99"/>
      <c r="P2183" s="99"/>
      <c r="Q2183" s="99"/>
      <c r="R2183" s="99"/>
      <c r="S2183" s="99"/>
      <c r="T2183" s="99"/>
      <c r="U2183" s="105"/>
      <c r="V2183" s="262"/>
      <c r="W2183" s="121"/>
      <c r="X2183" s="121"/>
      <c r="Y2183" s="121"/>
      <c r="Z2183" s="121"/>
      <c r="AA2183" s="121"/>
      <c r="AB2183" s="121"/>
      <c r="AC2183" s="121"/>
      <c r="AD2183" s="121"/>
      <c r="AE2183" s="121"/>
      <c r="AF2183" s="121"/>
      <c r="AG2183" s="121"/>
      <c r="AH2183" s="121"/>
      <c r="AI2183" s="121"/>
    </row>
    <row r="2184" spans="1:35" s="115" customFormat="1" ht="14.4">
      <c r="A2184" s="187"/>
      <c r="B2184" s="190"/>
      <c r="C2184" s="190"/>
      <c r="D2184" s="69"/>
      <c r="E2184" s="69"/>
      <c r="F2184" s="149"/>
      <c r="G2184" s="146"/>
      <c r="H2184" s="98"/>
      <c r="I2184" s="99"/>
      <c r="J2184" s="99"/>
      <c r="K2184" s="99"/>
      <c r="L2184" s="99"/>
      <c r="M2184" s="99"/>
      <c r="N2184" s="99"/>
      <c r="O2184" s="99"/>
      <c r="P2184" s="99"/>
      <c r="Q2184" s="99"/>
      <c r="R2184" s="99"/>
      <c r="S2184" s="99"/>
      <c r="T2184" s="99"/>
      <c r="U2184" s="105"/>
      <c r="V2184" s="262"/>
      <c r="W2184" s="121"/>
      <c r="X2184" s="121"/>
      <c r="Y2184" s="121"/>
      <c r="Z2184" s="121"/>
      <c r="AA2184" s="121"/>
      <c r="AB2184" s="121"/>
      <c r="AC2184" s="121"/>
      <c r="AD2184" s="121"/>
      <c r="AE2184" s="121"/>
      <c r="AF2184" s="121"/>
      <c r="AG2184" s="121"/>
      <c r="AH2184" s="121"/>
      <c r="AI2184" s="121"/>
    </row>
    <row r="2185" spans="1:35" s="115" customFormat="1" ht="14.4">
      <c r="A2185" s="187"/>
      <c r="B2185" s="190"/>
      <c r="C2185" s="190"/>
      <c r="D2185" s="69"/>
      <c r="E2185" s="69"/>
      <c r="F2185" s="149"/>
      <c r="G2185" s="146"/>
      <c r="H2185" s="98"/>
      <c r="I2185" s="99"/>
      <c r="J2185" s="99"/>
      <c r="K2185" s="99"/>
      <c r="L2185" s="99"/>
      <c r="M2185" s="99"/>
      <c r="N2185" s="99"/>
      <c r="O2185" s="99"/>
      <c r="P2185" s="99"/>
      <c r="Q2185" s="99"/>
      <c r="R2185" s="99"/>
      <c r="S2185" s="99"/>
      <c r="T2185" s="99"/>
      <c r="U2185" s="105"/>
      <c r="V2185" s="262"/>
      <c r="W2185" s="121"/>
      <c r="X2185" s="121"/>
      <c r="Y2185" s="121"/>
      <c r="Z2185" s="121"/>
      <c r="AA2185" s="121"/>
      <c r="AB2185" s="121"/>
      <c r="AC2185" s="121"/>
      <c r="AD2185" s="121"/>
      <c r="AE2185" s="121"/>
      <c r="AF2185" s="121"/>
      <c r="AG2185" s="121"/>
      <c r="AH2185" s="121"/>
      <c r="AI2185" s="121"/>
    </row>
    <row r="2186" spans="1:35" s="115" customFormat="1" ht="14.4">
      <c r="A2186" s="187"/>
      <c r="B2186" s="190"/>
      <c r="C2186" s="190"/>
      <c r="D2186" s="69"/>
      <c r="E2186" s="69"/>
      <c r="F2186" s="149"/>
      <c r="G2186" s="146"/>
      <c r="H2186" s="98"/>
      <c r="I2186" s="99"/>
      <c r="J2186" s="99"/>
      <c r="K2186" s="99"/>
      <c r="L2186" s="99"/>
      <c r="M2186" s="99"/>
      <c r="N2186" s="99"/>
      <c r="O2186" s="99"/>
      <c r="P2186" s="99"/>
      <c r="Q2186" s="99"/>
      <c r="R2186" s="99"/>
      <c r="S2186" s="99"/>
      <c r="T2186" s="99"/>
      <c r="U2186" s="105"/>
      <c r="V2186" s="262"/>
      <c r="W2186" s="121"/>
      <c r="X2186" s="121"/>
      <c r="Y2186" s="121"/>
      <c r="Z2186" s="121"/>
      <c r="AA2186" s="121"/>
      <c r="AB2186" s="121"/>
      <c r="AC2186" s="121"/>
      <c r="AD2186" s="121"/>
      <c r="AE2186" s="121"/>
      <c r="AF2186" s="121"/>
      <c r="AG2186" s="121"/>
      <c r="AH2186" s="121"/>
      <c r="AI2186" s="121"/>
    </row>
    <row r="2187" spans="1:35" s="115" customFormat="1" ht="14.4">
      <c r="A2187" s="187"/>
      <c r="B2187" s="190"/>
      <c r="C2187" s="190"/>
      <c r="D2187" s="69"/>
      <c r="E2187" s="69"/>
      <c r="F2187" s="149"/>
      <c r="G2187" s="146"/>
      <c r="H2187" s="98"/>
      <c r="I2187" s="99"/>
      <c r="J2187" s="99"/>
      <c r="K2187" s="99"/>
      <c r="L2187" s="99"/>
      <c r="M2187" s="99"/>
      <c r="N2187" s="99"/>
      <c r="O2187" s="99"/>
      <c r="P2187" s="99"/>
      <c r="Q2187" s="99"/>
      <c r="R2187" s="99"/>
      <c r="S2187" s="99"/>
      <c r="T2187" s="99"/>
      <c r="U2187" s="105"/>
      <c r="V2187" s="262"/>
      <c r="W2187" s="121"/>
      <c r="X2187" s="121"/>
      <c r="Y2187" s="121"/>
      <c r="Z2187" s="121"/>
      <c r="AA2187" s="121"/>
      <c r="AB2187" s="121"/>
      <c r="AC2187" s="121"/>
      <c r="AD2187" s="121"/>
      <c r="AE2187" s="121"/>
      <c r="AF2187" s="121"/>
      <c r="AG2187" s="121"/>
      <c r="AH2187" s="121"/>
      <c r="AI2187" s="121"/>
    </row>
    <row r="2188" spans="1:35" s="115" customFormat="1" ht="14.4">
      <c r="A2188" s="187"/>
      <c r="B2188" s="190"/>
      <c r="C2188" s="190"/>
      <c r="D2188" s="69"/>
      <c r="E2188" s="69"/>
      <c r="F2188" s="149"/>
      <c r="G2188" s="146"/>
      <c r="H2188" s="98"/>
      <c r="I2188" s="99"/>
      <c r="J2188" s="99"/>
      <c r="K2188" s="99"/>
      <c r="L2188" s="99"/>
      <c r="M2188" s="99"/>
      <c r="N2188" s="99"/>
      <c r="O2188" s="99"/>
      <c r="P2188" s="99"/>
      <c r="Q2188" s="99"/>
      <c r="R2188" s="99"/>
      <c r="S2188" s="99"/>
      <c r="T2188" s="99"/>
      <c r="U2188" s="105"/>
      <c r="V2188" s="262"/>
      <c r="W2188" s="121"/>
      <c r="X2188" s="121"/>
      <c r="Y2188" s="121"/>
      <c r="Z2188" s="121"/>
      <c r="AA2188" s="121"/>
      <c r="AB2188" s="121"/>
      <c r="AC2188" s="121"/>
      <c r="AD2188" s="121"/>
      <c r="AE2188" s="121"/>
      <c r="AF2188" s="121"/>
      <c r="AG2188" s="121"/>
      <c r="AH2188" s="121"/>
      <c r="AI2188" s="121"/>
    </row>
    <row r="2189" spans="1:35" s="115" customFormat="1" ht="14.4">
      <c r="A2189" s="187"/>
      <c r="B2189" s="190"/>
      <c r="C2189" s="190"/>
      <c r="D2189" s="69"/>
      <c r="E2189" s="69"/>
      <c r="F2189" s="149"/>
      <c r="G2189" s="146"/>
      <c r="H2189" s="107"/>
      <c r="I2189" s="109"/>
      <c r="J2189" s="109"/>
      <c r="K2189" s="109"/>
      <c r="L2189" s="109"/>
      <c r="M2189" s="109"/>
      <c r="N2189" s="109"/>
      <c r="O2189" s="109"/>
      <c r="P2189" s="109"/>
      <c r="Q2189" s="109"/>
      <c r="R2189" s="109"/>
      <c r="S2189" s="109"/>
      <c r="T2189" s="109"/>
      <c r="U2189" s="105"/>
      <c r="V2189" s="262"/>
      <c r="W2189" s="121"/>
      <c r="X2189" s="121"/>
      <c r="Y2189" s="121"/>
      <c r="Z2189" s="121"/>
      <c r="AA2189" s="121"/>
      <c r="AB2189" s="121"/>
      <c r="AC2189" s="121"/>
      <c r="AD2189" s="121"/>
      <c r="AE2189" s="121"/>
      <c r="AF2189" s="121"/>
      <c r="AG2189" s="121"/>
      <c r="AH2189" s="121"/>
      <c r="AI2189" s="121"/>
    </row>
    <row r="2190" spans="1:35" s="115" customFormat="1" ht="14.4">
      <c r="A2190" s="187"/>
      <c r="B2190" s="190"/>
      <c r="C2190" s="190"/>
      <c r="D2190" s="69"/>
      <c r="E2190" s="69"/>
      <c r="F2190" s="149"/>
      <c r="G2190" s="146"/>
      <c r="H2190" s="98"/>
      <c r="I2190" s="106"/>
      <c r="J2190" s="106"/>
      <c r="K2190" s="106"/>
      <c r="L2190" s="106"/>
      <c r="M2190" s="106"/>
      <c r="N2190" s="112"/>
      <c r="O2190" s="112"/>
      <c r="P2190" s="112"/>
      <c r="Q2190" s="113"/>
      <c r="R2190" s="113"/>
      <c r="S2190" s="113"/>
      <c r="T2190" s="113"/>
      <c r="U2190" s="105"/>
      <c r="V2190" s="262"/>
      <c r="W2190" s="121"/>
      <c r="X2190" s="121"/>
      <c r="Y2190" s="121"/>
      <c r="Z2190" s="121"/>
      <c r="AA2190" s="121"/>
      <c r="AB2190" s="121"/>
      <c r="AC2190" s="121"/>
      <c r="AD2190" s="121"/>
      <c r="AE2190" s="121"/>
      <c r="AF2190" s="121"/>
      <c r="AG2190" s="121"/>
      <c r="AH2190" s="121"/>
      <c r="AI2190" s="121"/>
    </row>
    <row r="2191" spans="1:35" s="115" customFormat="1" ht="14.4">
      <c r="A2191" s="187"/>
      <c r="B2191" s="190"/>
      <c r="C2191" s="190"/>
      <c r="D2191" s="69"/>
      <c r="E2191" s="69"/>
      <c r="F2191" s="149"/>
      <c r="G2191" s="146"/>
      <c r="H2191" s="114"/>
      <c r="I2191" s="108"/>
      <c r="J2191" s="108"/>
      <c r="K2191" s="108"/>
      <c r="L2191" s="108"/>
      <c r="M2191" s="108"/>
      <c r="N2191" s="108"/>
      <c r="O2191" s="108"/>
      <c r="P2191" s="108"/>
      <c r="Q2191" s="108"/>
      <c r="R2191" s="108"/>
      <c r="S2191" s="108"/>
      <c r="T2191" s="108"/>
      <c r="U2191" s="105"/>
      <c r="V2191" s="262"/>
      <c r="W2191" s="121"/>
      <c r="X2191" s="121"/>
      <c r="Y2191" s="121"/>
      <c r="Z2191" s="121"/>
      <c r="AA2191" s="121"/>
      <c r="AB2191" s="121"/>
      <c r="AC2191" s="121"/>
      <c r="AD2191" s="121"/>
      <c r="AE2191" s="121"/>
      <c r="AF2191" s="121"/>
      <c r="AG2191" s="121"/>
      <c r="AH2191" s="121"/>
      <c r="AI2191" s="121"/>
    </row>
    <row r="2192" spans="1:35" s="115" customFormat="1" ht="15" thickBot="1">
      <c r="A2192" s="187"/>
      <c r="B2192" s="190"/>
      <c r="C2192" s="190"/>
      <c r="D2192" s="69"/>
      <c r="E2192" s="69"/>
      <c r="F2192" s="149"/>
      <c r="G2192" s="146"/>
      <c r="H2192" s="98"/>
      <c r="I2192" s="218"/>
      <c r="J2192" s="218"/>
      <c r="K2192" s="218"/>
      <c r="L2192" s="218"/>
      <c r="M2192" s="218"/>
      <c r="N2192" s="96"/>
      <c r="O2192" s="96"/>
      <c r="P2192" s="96"/>
      <c r="Q2192" s="212"/>
      <c r="R2192" s="212"/>
      <c r="S2192" s="212"/>
      <c r="T2192" s="212"/>
      <c r="U2192" s="105"/>
      <c r="V2192" s="262"/>
      <c r="W2192" s="121"/>
      <c r="X2192" s="121"/>
      <c r="Y2192" s="121"/>
      <c r="Z2192" s="121"/>
      <c r="AA2192" s="121"/>
      <c r="AB2192" s="121"/>
      <c r="AC2192" s="121"/>
      <c r="AD2192" s="121"/>
      <c r="AE2192" s="121"/>
      <c r="AF2192" s="121"/>
      <c r="AG2192" s="121"/>
      <c r="AH2192" s="121"/>
      <c r="AI2192" s="121"/>
    </row>
    <row r="2193" spans="1:35" s="115" customFormat="1" ht="23.4" thickBot="1">
      <c r="A2193" s="187"/>
      <c r="B2193" s="190"/>
      <c r="C2193" s="190"/>
      <c r="D2193" s="69"/>
      <c r="E2193" s="69"/>
      <c r="F2193" s="149"/>
      <c r="G2193" s="146"/>
      <c r="H2193" s="686"/>
      <c r="I2193" s="687"/>
      <c r="J2193" s="687"/>
      <c r="K2193" s="687"/>
      <c r="L2193" s="687"/>
      <c r="M2193" s="687"/>
      <c r="N2193" s="687"/>
      <c r="O2193" s="687"/>
      <c r="P2193" s="687"/>
      <c r="Q2193" s="687"/>
      <c r="R2193" s="687"/>
      <c r="S2193" s="687"/>
      <c r="T2193" s="688"/>
      <c r="U2193" s="105"/>
      <c r="V2193" s="262"/>
      <c r="W2193" s="121"/>
      <c r="X2193" s="121"/>
      <c r="Y2193" s="121"/>
      <c r="Z2193" s="121"/>
      <c r="AA2193" s="121"/>
      <c r="AB2193" s="121"/>
      <c r="AC2193" s="121"/>
      <c r="AD2193" s="121"/>
      <c r="AE2193" s="121"/>
      <c r="AF2193" s="121"/>
      <c r="AG2193" s="121"/>
      <c r="AH2193" s="121"/>
      <c r="AI2193" s="121"/>
    </row>
    <row r="2194" spans="1:35" s="115" customFormat="1" ht="22.8">
      <c r="A2194" s="187"/>
      <c r="B2194" s="190"/>
      <c r="C2194" s="190"/>
      <c r="D2194" s="69"/>
      <c r="E2194" s="69"/>
      <c r="F2194" s="149"/>
      <c r="G2194" s="146"/>
      <c r="H2194" s="225"/>
      <c r="I2194" s="225"/>
      <c r="J2194" s="225"/>
      <c r="K2194" s="225"/>
      <c r="L2194" s="225"/>
      <c r="M2194" s="225"/>
      <c r="N2194" s="225"/>
      <c r="O2194" s="225"/>
      <c r="P2194" s="225"/>
      <c r="Q2194" s="225"/>
      <c r="R2194" s="225"/>
      <c r="S2194" s="225"/>
      <c r="T2194" s="225"/>
      <c r="U2194" s="105"/>
      <c r="V2194" s="262"/>
      <c r="W2194" s="121"/>
      <c r="X2194" s="121"/>
      <c r="Y2194" s="121"/>
      <c r="Z2194" s="121"/>
      <c r="AA2194" s="121"/>
      <c r="AB2194" s="121"/>
      <c r="AC2194" s="121"/>
      <c r="AD2194" s="121"/>
      <c r="AE2194" s="121"/>
      <c r="AF2194" s="121"/>
      <c r="AG2194" s="121"/>
      <c r="AH2194" s="121"/>
      <c r="AI2194" s="121"/>
    </row>
    <row r="2195" spans="1:35" s="115" customFormat="1" ht="14.4">
      <c r="A2195" s="187"/>
      <c r="B2195" s="190"/>
      <c r="C2195" s="190"/>
      <c r="D2195" s="69"/>
      <c r="E2195" s="69"/>
      <c r="F2195" s="149"/>
      <c r="G2195" s="146"/>
      <c r="H2195" s="98"/>
      <c r="I2195" s="99"/>
      <c r="J2195" s="99"/>
      <c r="K2195" s="99"/>
      <c r="L2195" s="99"/>
      <c r="M2195" s="99"/>
      <c r="N2195" s="99"/>
      <c r="O2195" s="99"/>
      <c r="P2195" s="99"/>
      <c r="Q2195" s="99"/>
      <c r="R2195" s="99"/>
      <c r="S2195" s="99"/>
      <c r="T2195" s="99"/>
      <c r="U2195" s="105"/>
      <c r="V2195" s="262"/>
      <c r="W2195" s="121"/>
      <c r="X2195" s="121"/>
      <c r="Y2195" s="121"/>
      <c r="Z2195" s="121"/>
      <c r="AA2195" s="121"/>
      <c r="AB2195" s="121"/>
      <c r="AC2195" s="121"/>
      <c r="AD2195" s="121"/>
      <c r="AE2195" s="121"/>
      <c r="AF2195" s="121"/>
      <c r="AG2195" s="121"/>
      <c r="AH2195" s="121"/>
      <c r="AI2195" s="121"/>
    </row>
    <row r="2196" spans="1:35" s="115" customFormat="1" ht="14.4">
      <c r="A2196" s="187"/>
      <c r="B2196" s="190"/>
      <c r="C2196" s="190"/>
      <c r="D2196" s="69"/>
      <c r="E2196" s="69"/>
      <c r="F2196" s="149"/>
      <c r="G2196" s="146"/>
      <c r="H2196" s="107"/>
      <c r="I2196" s="108"/>
      <c r="J2196" s="108"/>
      <c r="K2196" s="108"/>
      <c r="L2196" s="108"/>
      <c r="M2196" s="108"/>
      <c r="N2196" s="109"/>
      <c r="O2196" s="109"/>
      <c r="P2196" s="109"/>
      <c r="Q2196" s="109"/>
      <c r="R2196" s="109"/>
      <c r="S2196" s="109"/>
      <c r="T2196" s="109"/>
      <c r="U2196" s="105"/>
      <c r="V2196" s="262"/>
      <c r="W2196" s="121"/>
      <c r="X2196" s="121"/>
      <c r="Y2196" s="121"/>
      <c r="Z2196" s="121"/>
      <c r="AA2196" s="121"/>
      <c r="AB2196" s="121"/>
      <c r="AC2196" s="121"/>
      <c r="AD2196" s="121"/>
      <c r="AE2196" s="121"/>
      <c r="AF2196" s="121"/>
      <c r="AG2196" s="121"/>
      <c r="AH2196" s="121"/>
      <c r="AI2196" s="121"/>
    </row>
    <row r="2197" spans="1:35" s="115" customFormat="1" ht="14.4">
      <c r="A2197" s="187"/>
      <c r="B2197" s="190"/>
      <c r="C2197" s="190"/>
      <c r="D2197" s="69"/>
      <c r="E2197" s="69"/>
      <c r="F2197" s="149"/>
      <c r="G2197" s="146"/>
      <c r="H2197" s="98"/>
      <c r="I2197" s="106"/>
      <c r="J2197" s="106"/>
      <c r="K2197" s="106"/>
      <c r="L2197" s="106"/>
      <c r="M2197" s="106"/>
      <c r="N2197" s="112"/>
      <c r="O2197" s="112"/>
      <c r="P2197" s="112"/>
      <c r="Q2197" s="113"/>
      <c r="R2197" s="113"/>
      <c r="S2197" s="113"/>
      <c r="T2197" s="113"/>
      <c r="U2197" s="105"/>
      <c r="V2197" s="262"/>
      <c r="W2197" s="121"/>
      <c r="X2197" s="121"/>
      <c r="Y2197" s="121"/>
      <c r="Z2197" s="121"/>
      <c r="AA2197" s="121"/>
      <c r="AB2197" s="121"/>
      <c r="AC2197" s="121"/>
      <c r="AD2197" s="121"/>
      <c r="AE2197" s="121"/>
      <c r="AF2197" s="121"/>
      <c r="AG2197" s="121"/>
      <c r="AH2197" s="121"/>
      <c r="AI2197" s="121"/>
    </row>
    <row r="2198" spans="1:35" s="115" customFormat="1" ht="24" customHeight="1">
      <c r="A2198" s="187"/>
      <c r="B2198" s="190"/>
      <c r="C2198" s="190"/>
      <c r="D2198" s="69"/>
      <c r="E2198" s="69"/>
      <c r="F2198" s="149"/>
      <c r="G2198" s="146"/>
      <c r="H2198" s="98"/>
      <c r="I2198" s="99"/>
      <c r="J2198" s="99"/>
      <c r="K2198" s="99"/>
      <c r="L2198" s="99"/>
      <c r="M2198" s="99"/>
      <c r="N2198" s="99"/>
      <c r="O2198" s="99"/>
      <c r="P2198" s="99"/>
      <c r="Q2198" s="99"/>
      <c r="R2198" s="99"/>
      <c r="S2198" s="99"/>
      <c r="T2198" s="99"/>
      <c r="U2198" s="105"/>
      <c r="V2198" s="262"/>
      <c r="W2198" s="121"/>
      <c r="X2198" s="121"/>
      <c r="Y2198" s="121"/>
      <c r="Z2198" s="121"/>
      <c r="AA2198" s="121"/>
      <c r="AB2198" s="121"/>
      <c r="AC2198" s="121"/>
      <c r="AD2198" s="121"/>
      <c r="AE2198" s="121"/>
      <c r="AF2198" s="121"/>
      <c r="AG2198" s="121"/>
      <c r="AH2198" s="121"/>
      <c r="AI2198" s="121"/>
    </row>
    <row r="2199" spans="1:35" s="115" customFormat="1" ht="14.4">
      <c r="A2199" s="187"/>
      <c r="B2199" s="190"/>
      <c r="C2199" s="190"/>
      <c r="D2199" s="69"/>
      <c r="E2199" s="69"/>
      <c r="F2199" s="149"/>
      <c r="G2199" s="146"/>
      <c r="H2199" s="98"/>
      <c r="I2199" s="99"/>
      <c r="J2199" s="99"/>
      <c r="K2199" s="99"/>
      <c r="L2199" s="99"/>
      <c r="M2199" s="99"/>
      <c r="N2199" s="99"/>
      <c r="O2199" s="99"/>
      <c r="P2199" s="99"/>
      <c r="Q2199" s="99"/>
      <c r="R2199" s="99"/>
      <c r="S2199" s="99"/>
      <c r="T2199" s="99"/>
      <c r="U2199" s="105"/>
      <c r="V2199" s="262"/>
      <c r="W2199" s="121"/>
      <c r="X2199" s="121"/>
      <c r="Y2199" s="121"/>
      <c r="Z2199" s="121"/>
      <c r="AA2199" s="121"/>
      <c r="AB2199" s="121"/>
      <c r="AC2199" s="121"/>
      <c r="AD2199" s="121"/>
      <c r="AE2199" s="121"/>
      <c r="AF2199" s="121"/>
      <c r="AG2199" s="121"/>
      <c r="AH2199" s="121"/>
      <c r="AI2199" s="121"/>
    </row>
    <row r="2200" spans="1:35" s="115" customFormat="1" ht="14.4">
      <c r="A2200" s="187"/>
      <c r="B2200" s="190"/>
      <c r="C2200" s="190"/>
      <c r="D2200" s="69"/>
      <c r="E2200" s="69"/>
      <c r="F2200" s="149"/>
      <c r="G2200" s="146"/>
      <c r="H2200" s="98"/>
      <c r="I2200" s="99"/>
      <c r="J2200" s="99"/>
      <c r="K2200" s="99"/>
      <c r="L2200" s="99"/>
      <c r="M2200" s="99"/>
      <c r="N2200" s="99"/>
      <c r="O2200" s="99"/>
      <c r="P2200" s="99"/>
      <c r="Q2200" s="99"/>
      <c r="R2200" s="99"/>
      <c r="S2200" s="99"/>
      <c r="T2200" s="99"/>
      <c r="U2200" s="105"/>
      <c r="V2200" s="262"/>
      <c r="W2200" s="121"/>
      <c r="X2200" s="121"/>
      <c r="Y2200" s="121"/>
      <c r="Z2200" s="121"/>
      <c r="AA2200" s="121"/>
      <c r="AB2200" s="121"/>
      <c r="AC2200" s="121"/>
      <c r="AD2200" s="121"/>
      <c r="AE2200" s="121"/>
      <c r="AF2200" s="121"/>
      <c r="AG2200" s="121"/>
      <c r="AH2200" s="121"/>
      <c r="AI2200" s="121"/>
    </row>
    <row r="2201" spans="1:35" s="115" customFormat="1" ht="14.4">
      <c r="A2201" s="187"/>
      <c r="B2201" s="190"/>
      <c r="C2201" s="190"/>
      <c r="D2201" s="69"/>
      <c r="E2201" s="69"/>
      <c r="F2201" s="149"/>
      <c r="G2201" s="146"/>
      <c r="H2201" s="98"/>
      <c r="I2201" s="99"/>
      <c r="J2201" s="99"/>
      <c r="K2201" s="99"/>
      <c r="L2201" s="99"/>
      <c r="M2201" s="99"/>
      <c r="N2201" s="99"/>
      <c r="O2201" s="99"/>
      <c r="P2201" s="99"/>
      <c r="Q2201" s="99"/>
      <c r="R2201" s="99"/>
      <c r="S2201" s="99"/>
      <c r="T2201" s="99"/>
      <c r="U2201" s="105"/>
      <c r="V2201" s="262"/>
      <c r="W2201" s="121"/>
      <c r="X2201" s="121"/>
      <c r="Y2201" s="121"/>
      <c r="Z2201" s="121"/>
      <c r="AA2201" s="121"/>
      <c r="AB2201" s="121"/>
      <c r="AC2201" s="121"/>
      <c r="AD2201" s="121"/>
      <c r="AE2201" s="121"/>
      <c r="AF2201" s="121"/>
      <c r="AG2201" s="121"/>
      <c r="AH2201" s="121"/>
      <c r="AI2201" s="121"/>
    </row>
    <row r="2202" spans="1:35" s="115" customFormat="1" ht="14.4">
      <c r="A2202" s="187"/>
      <c r="B2202" s="190"/>
      <c r="C2202" s="190"/>
      <c r="D2202" s="69"/>
      <c r="E2202" s="69"/>
      <c r="F2202" s="149"/>
      <c r="G2202" s="146"/>
      <c r="H2202" s="98"/>
      <c r="I2202" s="99"/>
      <c r="J2202" s="99"/>
      <c r="K2202" s="99"/>
      <c r="L2202" s="99"/>
      <c r="M2202" s="99"/>
      <c r="N2202" s="99"/>
      <c r="O2202" s="99"/>
      <c r="P2202" s="99"/>
      <c r="Q2202" s="99"/>
      <c r="R2202" s="99"/>
      <c r="S2202" s="99"/>
      <c r="T2202" s="99"/>
      <c r="U2202" s="105"/>
      <c r="V2202" s="262"/>
      <c r="W2202" s="121"/>
      <c r="X2202" s="121"/>
      <c r="Y2202" s="121"/>
      <c r="Z2202" s="121"/>
      <c r="AA2202" s="121"/>
      <c r="AB2202" s="121"/>
      <c r="AC2202" s="121"/>
      <c r="AD2202" s="121"/>
      <c r="AE2202" s="121"/>
      <c r="AF2202" s="121"/>
      <c r="AG2202" s="121"/>
      <c r="AH2202" s="121"/>
      <c r="AI2202" s="121"/>
    </row>
    <row r="2203" spans="1:35" s="115" customFormat="1" ht="14.4">
      <c r="A2203" s="187"/>
      <c r="B2203" s="190"/>
      <c r="C2203" s="190"/>
      <c r="D2203" s="69"/>
      <c r="E2203" s="69"/>
      <c r="F2203" s="149"/>
      <c r="G2203" s="146"/>
      <c r="H2203" s="98"/>
      <c r="I2203" s="99"/>
      <c r="J2203" s="99"/>
      <c r="K2203" s="99"/>
      <c r="L2203" s="99"/>
      <c r="M2203" s="99"/>
      <c r="N2203" s="99"/>
      <c r="O2203" s="99"/>
      <c r="P2203" s="99"/>
      <c r="Q2203" s="99"/>
      <c r="R2203" s="99"/>
      <c r="S2203" s="99"/>
      <c r="T2203" s="99"/>
      <c r="U2203" s="105"/>
      <c r="V2203" s="262"/>
      <c r="W2203" s="121"/>
      <c r="X2203" s="121"/>
      <c r="Y2203" s="121"/>
      <c r="Z2203" s="121"/>
      <c r="AA2203" s="121"/>
      <c r="AB2203" s="121"/>
      <c r="AC2203" s="121"/>
      <c r="AD2203" s="121"/>
      <c r="AE2203" s="121"/>
      <c r="AF2203" s="121"/>
      <c r="AG2203" s="121"/>
      <c r="AH2203" s="121"/>
      <c r="AI2203" s="121"/>
    </row>
    <row r="2204" spans="1:35" s="115" customFormat="1" ht="14.4">
      <c r="A2204" s="187"/>
      <c r="B2204" s="190"/>
      <c r="C2204" s="190"/>
      <c r="D2204" s="69"/>
      <c r="E2204" s="69"/>
      <c r="F2204" s="149"/>
      <c r="G2204" s="146"/>
      <c r="H2204" s="98"/>
      <c r="I2204" s="99"/>
      <c r="J2204" s="99"/>
      <c r="K2204" s="99"/>
      <c r="L2204" s="99"/>
      <c r="M2204" s="99"/>
      <c r="N2204" s="99"/>
      <c r="O2204" s="99"/>
      <c r="P2204" s="99"/>
      <c r="Q2204" s="99"/>
      <c r="R2204" s="99"/>
      <c r="S2204" s="99"/>
      <c r="T2204" s="99"/>
      <c r="U2204" s="105"/>
      <c r="V2204" s="262"/>
      <c r="W2204" s="121"/>
      <c r="X2204" s="121"/>
      <c r="Y2204" s="121"/>
      <c r="Z2204" s="121"/>
      <c r="AA2204" s="121"/>
      <c r="AB2204" s="121"/>
      <c r="AC2204" s="121"/>
      <c r="AD2204" s="121"/>
      <c r="AE2204" s="121"/>
      <c r="AF2204" s="121"/>
      <c r="AG2204" s="121"/>
      <c r="AH2204" s="121"/>
      <c r="AI2204" s="121"/>
    </row>
    <row r="2205" spans="1:35" s="115" customFormat="1" ht="14.4">
      <c r="A2205" s="187"/>
      <c r="B2205" s="190"/>
      <c r="C2205" s="190"/>
      <c r="D2205" s="69"/>
      <c r="E2205" s="69"/>
      <c r="F2205" s="149"/>
      <c r="G2205" s="146"/>
      <c r="H2205" s="98"/>
      <c r="I2205" s="99"/>
      <c r="J2205" s="99"/>
      <c r="K2205" s="99"/>
      <c r="L2205" s="99"/>
      <c r="M2205" s="99"/>
      <c r="N2205" s="99"/>
      <c r="O2205" s="99"/>
      <c r="P2205" s="99"/>
      <c r="Q2205" s="99"/>
      <c r="R2205" s="99"/>
      <c r="S2205" s="99"/>
      <c r="T2205" s="99"/>
      <c r="U2205" s="105"/>
      <c r="V2205" s="262"/>
      <c r="W2205" s="121"/>
      <c r="X2205" s="121"/>
      <c r="Y2205" s="121"/>
      <c r="Z2205" s="121"/>
      <c r="AA2205" s="121"/>
      <c r="AB2205" s="121"/>
      <c r="AC2205" s="121"/>
      <c r="AD2205" s="121"/>
      <c r="AE2205" s="121"/>
      <c r="AF2205" s="121"/>
      <c r="AG2205" s="121"/>
      <c r="AH2205" s="121"/>
      <c r="AI2205" s="121"/>
    </row>
    <row r="2206" spans="1:35" s="115" customFormat="1" ht="14.4">
      <c r="A2206" s="187"/>
      <c r="B2206" s="190"/>
      <c r="C2206" s="190"/>
      <c r="D2206" s="69"/>
      <c r="E2206" s="69"/>
      <c r="F2206" s="149"/>
      <c r="G2206" s="146"/>
      <c r="H2206" s="98"/>
      <c r="I2206" s="99"/>
      <c r="J2206" s="99"/>
      <c r="K2206" s="99"/>
      <c r="L2206" s="99"/>
      <c r="M2206" s="99"/>
      <c r="N2206" s="99"/>
      <c r="O2206" s="99"/>
      <c r="P2206" s="99"/>
      <c r="Q2206" s="99"/>
      <c r="R2206" s="99"/>
      <c r="S2206" s="99"/>
      <c r="T2206" s="99"/>
      <c r="U2206" s="105"/>
      <c r="V2206" s="262"/>
      <c r="W2206" s="121"/>
      <c r="X2206" s="121"/>
      <c r="Y2206" s="121"/>
      <c r="Z2206" s="121"/>
      <c r="AA2206" s="121"/>
      <c r="AB2206" s="121"/>
      <c r="AC2206" s="121"/>
      <c r="AD2206" s="121"/>
      <c r="AE2206" s="121"/>
      <c r="AF2206" s="121"/>
      <c r="AG2206" s="121"/>
      <c r="AH2206" s="121"/>
      <c r="AI2206" s="121"/>
    </row>
    <row r="2207" spans="1:35" s="115" customFormat="1" ht="14.4">
      <c r="A2207" s="187"/>
      <c r="B2207" s="190"/>
      <c r="C2207" s="190"/>
      <c r="D2207" s="69"/>
      <c r="E2207" s="69"/>
      <c r="F2207" s="149"/>
      <c r="G2207" s="146"/>
      <c r="H2207" s="98"/>
      <c r="I2207" s="99"/>
      <c r="J2207" s="99"/>
      <c r="K2207" s="99"/>
      <c r="L2207" s="99"/>
      <c r="M2207" s="99"/>
      <c r="N2207" s="99"/>
      <c r="O2207" s="99"/>
      <c r="P2207" s="99"/>
      <c r="Q2207" s="99"/>
      <c r="R2207" s="99"/>
      <c r="S2207" s="99"/>
      <c r="T2207" s="99"/>
      <c r="U2207" s="105"/>
      <c r="V2207" s="262"/>
      <c r="W2207" s="121"/>
      <c r="X2207" s="121"/>
      <c r="Y2207" s="121"/>
      <c r="Z2207" s="121"/>
      <c r="AA2207" s="121"/>
      <c r="AB2207" s="121"/>
      <c r="AC2207" s="121"/>
      <c r="AD2207" s="121"/>
      <c r="AE2207" s="121"/>
      <c r="AF2207" s="121"/>
      <c r="AG2207" s="121"/>
      <c r="AH2207" s="121"/>
      <c r="AI2207" s="121"/>
    </row>
    <row r="2208" spans="1:35" s="115" customFormat="1" ht="14.4">
      <c r="A2208" s="187"/>
      <c r="B2208" s="190"/>
      <c r="C2208" s="190"/>
      <c r="D2208" s="69"/>
      <c r="E2208" s="69"/>
      <c r="F2208" s="149"/>
      <c r="G2208" s="146"/>
      <c r="H2208" s="98"/>
      <c r="I2208" s="99"/>
      <c r="J2208" s="99"/>
      <c r="K2208" s="99"/>
      <c r="L2208" s="99"/>
      <c r="M2208" s="99"/>
      <c r="N2208" s="99"/>
      <c r="O2208" s="99"/>
      <c r="P2208" s="99"/>
      <c r="Q2208" s="99"/>
      <c r="R2208" s="99"/>
      <c r="S2208" s="99"/>
      <c r="T2208" s="99"/>
      <c r="U2208" s="105"/>
      <c r="V2208" s="262"/>
      <c r="W2208" s="121"/>
      <c r="X2208" s="121"/>
      <c r="Y2208" s="121"/>
      <c r="Z2208" s="121"/>
      <c r="AA2208" s="121"/>
      <c r="AB2208" s="121"/>
      <c r="AC2208" s="121"/>
      <c r="AD2208" s="121"/>
      <c r="AE2208" s="121"/>
      <c r="AF2208" s="121"/>
      <c r="AG2208" s="121"/>
      <c r="AH2208" s="121"/>
      <c r="AI2208" s="121"/>
    </row>
    <row r="2209" spans="1:35" s="115" customFormat="1" ht="14.4">
      <c r="A2209" s="187"/>
      <c r="B2209" s="190"/>
      <c r="C2209" s="190"/>
      <c r="D2209" s="69"/>
      <c r="E2209" s="69"/>
      <c r="F2209" s="149"/>
      <c r="G2209" s="146"/>
      <c r="H2209" s="98"/>
      <c r="I2209" s="99"/>
      <c r="J2209" s="99"/>
      <c r="K2209" s="99"/>
      <c r="L2209" s="99"/>
      <c r="M2209" s="99"/>
      <c r="N2209" s="99"/>
      <c r="O2209" s="99"/>
      <c r="P2209" s="99"/>
      <c r="Q2209" s="99"/>
      <c r="R2209" s="99"/>
      <c r="S2209" s="99"/>
      <c r="T2209" s="99"/>
      <c r="U2209" s="105"/>
      <c r="V2209" s="262"/>
      <c r="W2209" s="121"/>
      <c r="X2209" s="121"/>
      <c r="Y2209" s="121"/>
      <c r="Z2209" s="121"/>
      <c r="AA2209" s="121"/>
      <c r="AB2209" s="121"/>
      <c r="AC2209" s="121"/>
      <c r="AD2209" s="121"/>
      <c r="AE2209" s="121"/>
      <c r="AF2209" s="121"/>
      <c r="AG2209" s="121"/>
      <c r="AH2209" s="121"/>
      <c r="AI2209" s="121"/>
    </row>
    <row r="2210" spans="1:35" s="115" customFormat="1" ht="14.4">
      <c r="A2210" s="187"/>
      <c r="B2210" s="190"/>
      <c r="C2210" s="190"/>
      <c r="D2210" s="69"/>
      <c r="E2210" s="69"/>
      <c r="F2210" s="149"/>
      <c r="G2210" s="146"/>
      <c r="H2210" s="98"/>
      <c r="I2210" s="99"/>
      <c r="J2210" s="99"/>
      <c r="K2210" s="99"/>
      <c r="L2210" s="99"/>
      <c r="M2210" s="99"/>
      <c r="N2210" s="99"/>
      <c r="O2210" s="99"/>
      <c r="P2210" s="99"/>
      <c r="Q2210" s="99"/>
      <c r="R2210" s="99"/>
      <c r="S2210" s="99"/>
      <c r="T2210" s="99"/>
      <c r="U2210" s="105"/>
      <c r="V2210" s="262"/>
      <c r="W2210" s="121"/>
      <c r="X2210" s="121"/>
      <c r="Y2210" s="121"/>
      <c r="Z2210" s="121"/>
      <c r="AA2210" s="121"/>
      <c r="AB2210" s="121"/>
      <c r="AC2210" s="121"/>
      <c r="AD2210" s="121"/>
      <c r="AE2210" s="121"/>
      <c r="AF2210" s="121"/>
      <c r="AG2210" s="121"/>
      <c r="AH2210" s="121"/>
      <c r="AI2210" s="121"/>
    </row>
    <row r="2211" spans="1:35" s="115" customFormat="1" ht="14.4">
      <c r="A2211" s="187"/>
      <c r="B2211" s="190"/>
      <c r="C2211" s="190"/>
      <c r="D2211" s="69"/>
      <c r="E2211" s="69"/>
      <c r="F2211" s="149"/>
      <c r="G2211" s="146"/>
      <c r="H2211" s="98"/>
      <c r="I2211" s="99"/>
      <c r="J2211" s="99"/>
      <c r="K2211" s="99"/>
      <c r="L2211" s="99"/>
      <c r="M2211" s="99"/>
      <c r="N2211" s="99"/>
      <c r="O2211" s="99"/>
      <c r="P2211" s="99"/>
      <c r="Q2211" s="99"/>
      <c r="R2211" s="99"/>
      <c r="S2211" s="99"/>
      <c r="T2211" s="99"/>
      <c r="U2211" s="105"/>
      <c r="V2211" s="262"/>
      <c r="W2211" s="121"/>
      <c r="X2211" s="121"/>
      <c r="Y2211" s="121"/>
      <c r="Z2211" s="121"/>
      <c r="AA2211" s="121"/>
      <c r="AB2211" s="121"/>
      <c r="AC2211" s="121"/>
      <c r="AD2211" s="121"/>
      <c r="AE2211" s="121"/>
      <c r="AF2211" s="121"/>
      <c r="AG2211" s="121"/>
      <c r="AH2211" s="121"/>
      <c r="AI2211" s="121"/>
    </row>
    <row r="2212" spans="1:35" s="115" customFormat="1" ht="14.4">
      <c r="A2212" s="187"/>
      <c r="B2212" s="190"/>
      <c r="C2212" s="190"/>
      <c r="D2212" s="69"/>
      <c r="E2212" s="69"/>
      <c r="F2212" s="149"/>
      <c r="G2212" s="146"/>
      <c r="H2212" s="98"/>
      <c r="I2212" s="99"/>
      <c r="J2212" s="99"/>
      <c r="K2212" s="99"/>
      <c r="L2212" s="99"/>
      <c r="M2212" s="99"/>
      <c r="N2212" s="99"/>
      <c r="O2212" s="99"/>
      <c r="P2212" s="99"/>
      <c r="Q2212" s="99"/>
      <c r="R2212" s="99"/>
      <c r="S2212" s="99"/>
      <c r="T2212" s="99"/>
      <c r="U2212" s="105"/>
      <c r="V2212" s="262"/>
      <c r="W2212" s="121"/>
      <c r="X2212" s="121"/>
      <c r="Y2212" s="121"/>
      <c r="Z2212" s="121"/>
      <c r="AA2212" s="121"/>
      <c r="AB2212" s="121"/>
      <c r="AC2212" s="121"/>
      <c r="AD2212" s="121"/>
      <c r="AE2212" s="121"/>
      <c r="AF2212" s="121"/>
      <c r="AG2212" s="121"/>
      <c r="AH2212" s="121"/>
      <c r="AI2212" s="121"/>
    </row>
    <row r="2213" spans="1:35" s="115" customFormat="1" ht="14.4">
      <c r="A2213" s="187"/>
      <c r="B2213" s="190"/>
      <c r="C2213" s="190"/>
      <c r="D2213" s="69"/>
      <c r="E2213" s="69"/>
      <c r="F2213" s="149"/>
      <c r="G2213" s="146"/>
      <c r="H2213" s="107"/>
      <c r="I2213" s="109"/>
      <c r="J2213" s="109"/>
      <c r="K2213" s="109"/>
      <c r="L2213" s="109"/>
      <c r="M2213" s="109"/>
      <c r="N2213" s="109"/>
      <c r="O2213" s="109"/>
      <c r="P2213" s="109"/>
      <c r="Q2213" s="109"/>
      <c r="R2213" s="109"/>
      <c r="S2213" s="109"/>
      <c r="T2213" s="109"/>
      <c r="U2213" s="105"/>
      <c r="V2213" s="262"/>
      <c r="W2213" s="121"/>
      <c r="X2213" s="121"/>
      <c r="Y2213" s="121"/>
      <c r="Z2213" s="121"/>
      <c r="AA2213" s="121"/>
      <c r="AB2213" s="121"/>
      <c r="AC2213" s="121"/>
      <c r="AD2213" s="121"/>
      <c r="AE2213" s="121"/>
      <c r="AF2213" s="121"/>
      <c r="AG2213" s="121"/>
      <c r="AH2213" s="121"/>
      <c r="AI2213" s="121"/>
    </row>
    <row r="2214" spans="1:35" s="115" customFormat="1" ht="14.4">
      <c r="A2214" s="187"/>
      <c r="B2214" s="190"/>
      <c r="C2214" s="190"/>
      <c r="D2214" s="69"/>
      <c r="E2214" s="69"/>
      <c r="F2214" s="149"/>
      <c r="G2214" s="146"/>
      <c r="H2214" s="98"/>
      <c r="I2214" s="106"/>
      <c r="J2214" s="106"/>
      <c r="K2214" s="106"/>
      <c r="L2214" s="106"/>
      <c r="M2214" s="106"/>
      <c r="N2214" s="112"/>
      <c r="O2214" s="112"/>
      <c r="P2214" s="112"/>
      <c r="Q2214" s="113"/>
      <c r="R2214" s="113"/>
      <c r="S2214" s="113"/>
      <c r="T2214" s="113"/>
      <c r="U2214" s="105"/>
      <c r="V2214" s="262"/>
      <c r="W2214" s="121"/>
      <c r="X2214" s="121"/>
      <c r="Y2214" s="121"/>
      <c r="Z2214" s="121"/>
      <c r="AA2214" s="121"/>
      <c r="AB2214" s="121"/>
      <c r="AC2214" s="121"/>
      <c r="AD2214" s="121"/>
      <c r="AE2214" s="121"/>
      <c r="AF2214" s="121"/>
      <c r="AG2214" s="121"/>
      <c r="AH2214" s="121"/>
      <c r="AI2214" s="121"/>
    </row>
    <row r="2215" spans="1:35" s="115" customFormat="1" ht="14.4">
      <c r="A2215" s="187"/>
      <c r="B2215" s="190"/>
      <c r="C2215" s="190"/>
      <c r="D2215" s="69"/>
      <c r="E2215" s="69"/>
      <c r="F2215" s="149"/>
      <c r="G2215" s="146"/>
      <c r="H2215" s="98"/>
      <c r="I2215" s="99"/>
      <c r="J2215" s="99"/>
      <c r="K2215" s="99"/>
      <c r="L2215" s="99"/>
      <c r="M2215" s="99"/>
      <c r="N2215" s="99"/>
      <c r="O2215" s="99"/>
      <c r="P2215" s="99"/>
      <c r="Q2215" s="99"/>
      <c r="R2215" s="99"/>
      <c r="S2215" s="99"/>
      <c r="T2215" s="99"/>
      <c r="U2215" s="105"/>
      <c r="V2215" s="262"/>
      <c r="W2215" s="121"/>
      <c r="X2215" s="121"/>
      <c r="Y2215" s="121"/>
      <c r="Z2215" s="121"/>
      <c r="AA2215" s="121"/>
      <c r="AB2215" s="121"/>
      <c r="AC2215" s="121"/>
      <c r="AD2215" s="121"/>
      <c r="AE2215" s="121"/>
      <c r="AF2215" s="121"/>
      <c r="AG2215" s="121"/>
      <c r="AH2215" s="121"/>
      <c r="AI2215" s="121"/>
    </row>
    <row r="2216" spans="1:35" s="115" customFormat="1" ht="14.4">
      <c r="A2216" s="187"/>
      <c r="B2216" s="190"/>
      <c r="C2216" s="190"/>
      <c r="D2216" s="69"/>
      <c r="E2216" s="69"/>
      <c r="F2216" s="149"/>
      <c r="G2216" s="146"/>
      <c r="H2216" s="98"/>
      <c r="I2216" s="99"/>
      <c r="J2216" s="99"/>
      <c r="K2216" s="99"/>
      <c r="L2216" s="99"/>
      <c r="M2216" s="99"/>
      <c r="N2216" s="99"/>
      <c r="O2216" s="99"/>
      <c r="P2216" s="99"/>
      <c r="Q2216" s="99"/>
      <c r="R2216" s="99"/>
      <c r="S2216" s="99"/>
      <c r="T2216" s="99"/>
      <c r="U2216" s="105"/>
      <c r="V2216" s="262"/>
      <c r="W2216" s="121"/>
      <c r="X2216" s="121"/>
      <c r="Y2216" s="121"/>
      <c r="Z2216" s="121"/>
      <c r="AA2216" s="121"/>
      <c r="AB2216" s="121"/>
      <c r="AC2216" s="121"/>
      <c r="AD2216" s="121"/>
      <c r="AE2216" s="121"/>
      <c r="AF2216" s="121"/>
      <c r="AG2216" s="121"/>
      <c r="AH2216" s="121"/>
      <c r="AI2216" s="121"/>
    </row>
    <row r="2217" spans="1:35" s="115" customFormat="1" ht="14.4">
      <c r="A2217" s="187"/>
      <c r="B2217" s="190"/>
      <c r="C2217" s="190"/>
      <c r="D2217" s="69"/>
      <c r="E2217" s="69"/>
      <c r="F2217" s="149"/>
      <c r="G2217" s="146"/>
      <c r="H2217" s="98"/>
      <c r="I2217" s="99"/>
      <c r="J2217" s="99"/>
      <c r="K2217" s="99"/>
      <c r="L2217" s="99"/>
      <c r="M2217" s="99"/>
      <c r="N2217" s="99"/>
      <c r="O2217" s="99"/>
      <c r="P2217" s="99"/>
      <c r="Q2217" s="99"/>
      <c r="R2217" s="99"/>
      <c r="S2217" s="99"/>
      <c r="T2217" s="99"/>
      <c r="U2217" s="105"/>
      <c r="V2217" s="262"/>
      <c r="W2217" s="121"/>
      <c r="X2217" s="121"/>
      <c r="Y2217" s="121"/>
      <c r="Z2217" s="121"/>
      <c r="AA2217" s="121"/>
      <c r="AB2217" s="121"/>
      <c r="AC2217" s="121"/>
      <c r="AD2217" s="121"/>
      <c r="AE2217" s="121"/>
      <c r="AF2217" s="121"/>
      <c r="AG2217" s="121"/>
      <c r="AH2217" s="121"/>
      <c r="AI2217" s="121"/>
    </row>
    <row r="2218" spans="1:35" s="115" customFormat="1" ht="14.4">
      <c r="A2218" s="187"/>
      <c r="B2218" s="190"/>
      <c r="C2218" s="190"/>
      <c r="D2218" s="69"/>
      <c r="E2218" s="69"/>
      <c r="F2218" s="149"/>
      <c r="G2218" s="146"/>
      <c r="H2218" s="98"/>
      <c r="I2218" s="99"/>
      <c r="J2218" s="99"/>
      <c r="K2218" s="99"/>
      <c r="L2218" s="99"/>
      <c r="M2218" s="99"/>
      <c r="N2218" s="99"/>
      <c r="O2218" s="99"/>
      <c r="P2218" s="99"/>
      <c r="Q2218" s="99"/>
      <c r="R2218" s="99"/>
      <c r="S2218" s="99"/>
      <c r="T2218" s="99"/>
      <c r="U2218" s="105"/>
      <c r="V2218" s="262"/>
      <c r="W2218" s="121"/>
      <c r="X2218" s="121"/>
      <c r="Y2218" s="121"/>
      <c r="Z2218" s="121"/>
      <c r="AA2218" s="121"/>
      <c r="AB2218" s="121"/>
      <c r="AC2218" s="121"/>
      <c r="AD2218" s="121"/>
      <c r="AE2218" s="121"/>
      <c r="AF2218" s="121"/>
      <c r="AG2218" s="121"/>
      <c r="AH2218" s="121"/>
      <c r="AI2218" s="121"/>
    </row>
    <row r="2219" spans="1:35" s="115" customFormat="1" ht="14.4">
      <c r="A2219" s="187"/>
      <c r="B2219" s="190"/>
      <c r="C2219" s="190"/>
      <c r="D2219" s="69"/>
      <c r="E2219" s="69"/>
      <c r="F2219" s="149"/>
      <c r="G2219" s="146"/>
      <c r="H2219" s="98"/>
      <c r="I2219" s="99"/>
      <c r="J2219" s="99"/>
      <c r="K2219" s="99"/>
      <c r="L2219" s="99"/>
      <c r="M2219" s="99"/>
      <c r="N2219" s="99"/>
      <c r="O2219" s="99"/>
      <c r="P2219" s="99"/>
      <c r="Q2219" s="99"/>
      <c r="R2219" s="99"/>
      <c r="S2219" s="99"/>
      <c r="T2219" s="99"/>
      <c r="U2219" s="105"/>
      <c r="V2219" s="262"/>
      <c r="W2219" s="121"/>
      <c r="X2219" s="121"/>
      <c r="Y2219" s="121"/>
      <c r="Z2219" s="121"/>
      <c r="AA2219" s="121"/>
      <c r="AB2219" s="121"/>
      <c r="AC2219" s="121"/>
      <c r="AD2219" s="121"/>
      <c r="AE2219" s="121"/>
      <c r="AF2219" s="121"/>
      <c r="AG2219" s="121"/>
      <c r="AH2219" s="121"/>
      <c r="AI2219" s="121"/>
    </row>
    <row r="2220" spans="1:35" s="115" customFormat="1" ht="14.4">
      <c r="A2220" s="187"/>
      <c r="B2220" s="190"/>
      <c r="C2220" s="190"/>
      <c r="D2220" s="69"/>
      <c r="E2220" s="69"/>
      <c r="F2220" s="149"/>
      <c r="G2220" s="146"/>
      <c r="H2220" s="98"/>
      <c r="I2220" s="99"/>
      <c r="J2220" s="99"/>
      <c r="K2220" s="99"/>
      <c r="L2220" s="99"/>
      <c r="M2220" s="99"/>
      <c r="N2220" s="99"/>
      <c r="O2220" s="99"/>
      <c r="P2220" s="99"/>
      <c r="Q2220" s="99"/>
      <c r="R2220" s="99"/>
      <c r="S2220" s="99"/>
      <c r="T2220" s="99"/>
      <c r="U2220" s="105"/>
      <c r="V2220" s="262"/>
      <c r="W2220" s="121"/>
      <c r="X2220" s="121"/>
      <c r="Y2220" s="121"/>
      <c r="Z2220" s="121"/>
      <c r="AA2220" s="121"/>
      <c r="AB2220" s="121"/>
      <c r="AC2220" s="121"/>
      <c r="AD2220" s="121"/>
      <c r="AE2220" s="121"/>
      <c r="AF2220" s="121"/>
      <c r="AG2220" s="121"/>
      <c r="AH2220" s="121"/>
      <c r="AI2220" s="121"/>
    </row>
    <row r="2221" spans="1:35" s="115" customFormat="1" ht="14.4">
      <c r="A2221" s="187"/>
      <c r="B2221" s="190"/>
      <c r="C2221" s="190"/>
      <c r="D2221" s="69"/>
      <c r="E2221" s="69"/>
      <c r="F2221" s="149"/>
      <c r="G2221" s="146"/>
      <c r="H2221" s="98"/>
      <c r="I2221" s="99"/>
      <c r="J2221" s="99"/>
      <c r="K2221" s="99"/>
      <c r="L2221" s="99"/>
      <c r="M2221" s="99"/>
      <c r="N2221" s="99"/>
      <c r="O2221" s="99"/>
      <c r="P2221" s="99"/>
      <c r="Q2221" s="99"/>
      <c r="R2221" s="99"/>
      <c r="S2221" s="99"/>
      <c r="T2221" s="99"/>
      <c r="U2221" s="105"/>
      <c r="V2221" s="262"/>
      <c r="W2221" s="121"/>
      <c r="X2221" s="121"/>
      <c r="Y2221" s="121"/>
      <c r="Z2221" s="121"/>
      <c r="AA2221" s="121"/>
      <c r="AB2221" s="121"/>
      <c r="AC2221" s="121"/>
      <c r="AD2221" s="121"/>
      <c r="AE2221" s="121"/>
      <c r="AF2221" s="121"/>
      <c r="AG2221" s="121"/>
      <c r="AH2221" s="121"/>
      <c r="AI2221" s="121"/>
    </row>
    <row r="2222" spans="1:35" s="115" customFormat="1" ht="14.4">
      <c r="A2222" s="187"/>
      <c r="B2222" s="190"/>
      <c r="C2222" s="190"/>
      <c r="D2222" s="69"/>
      <c r="E2222" s="69"/>
      <c r="F2222" s="149"/>
      <c r="G2222" s="146"/>
      <c r="H2222" s="98"/>
      <c r="I2222" s="99"/>
      <c r="J2222" s="99"/>
      <c r="K2222" s="99"/>
      <c r="L2222" s="99"/>
      <c r="M2222" s="99"/>
      <c r="N2222" s="99"/>
      <c r="O2222" s="99"/>
      <c r="P2222" s="99"/>
      <c r="Q2222" s="99"/>
      <c r="R2222" s="99"/>
      <c r="S2222" s="99"/>
      <c r="T2222" s="99"/>
      <c r="U2222" s="105"/>
      <c r="V2222" s="262"/>
      <c r="W2222" s="121"/>
      <c r="X2222" s="121"/>
      <c r="Y2222" s="121"/>
      <c r="Z2222" s="121"/>
      <c r="AA2222" s="121"/>
      <c r="AB2222" s="121"/>
      <c r="AC2222" s="121"/>
      <c r="AD2222" s="121"/>
      <c r="AE2222" s="121"/>
      <c r="AF2222" s="121"/>
      <c r="AG2222" s="121"/>
      <c r="AH2222" s="121"/>
      <c r="AI2222" s="121"/>
    </row>
    <row r="2223" spans="1:35" s="115" customFormat="1" ht="14.4">
      <c r="A2223" s="187"/>
      <c r="B2223" s="190"/>
      <c r="C2223" s="190"/>
      <c r="D2223" s="69"/>
      <c r="E2223" s="69"/>
      <c r="F2223" s="149"/>
      <c r="G2223" s="146"/>
      <c r="H2223" s="98"/>
      <c r="I2223" s="99"/>
      <c r="J2223" s="99"/>
      <c r="K2223" s="99"/>
      <c r="L2223" s="99"/>
      <c r="M2223" s="99"/>
      <c r="N2223" s="99"/>
      <c r="O2223" s="99"/>
      <c r="P2223" s="99"/>
      <c r="Q2223" s="99"/>
      <c r="R2223" s="99"/>
      <c r="S2223" s="99"/>
      <c r="T2223" s="99"/>
      <c r="U2223" s="105"/>
      <c r="V2223" s="262"/>
      <c r="W2223" s="121"/>
      <c r="X2223" s="121"/>
      <c r="Y2223" s="121"/>
      <c r="Z2223" s="121"/>
      <c r="AA2223" s="121"/>
      <c r="AB2223" s="121"/>
      <c r="AC2223" s="121"/>
      <c r="AD2223" s="121"/>
      <c r="AE2223" s="121"/>
      <c r="AF2223" s="121"/>
      <c r="AG2223" s="121"/>
      <c r="AH2223" s="121"/>
      <c r="AI2223" s="121"/>
    </row>
    <row r="2224" spans="1:35" s="115" customFormat="1" ht="14.4">
      <c r="A2224" s="187"/>
      <c r="B2224" s="190"/>
      <c r="C2224" s="190"/>
      <c r="D2224" s="69"/>
      <c r="E2224" s="69"/>
      <c r="F2224" s="149"/>
      <c r="G2224" s="146"/>
      <c r="H2224" s="98"/>
      <c r="I2224" s="99"/>
      <c r="J2224" s="99"/>
      <c r="K2224" s="99"/>
      <c r="L2224" s="99"/>
      <c r="M2224" s="99"/>
      <c r="N2224" s="99"/>
      <c r="O2224" s="99"/>
      <c r="P2224" s="99"/>
      <c r="Q2224" s="99"/>
      <c r="R2224" s="99"/>
      <c r="S2224" s="99"/>
      <c r="T2224" s="99"/>
      <c r="U2224" s="105"/>
      <c r="V2224" s="262"/>
      <c r="W2224" s="121"/>
      <c r="X2224" s="121"/>
      <c r="Y2224" s="121"/>
      <c r="Z2224" s="121"/>
      <c r="AA2224" s="121"/>
      <c r="AB2224" s="121"/>
      <c r="AC2224" s="121"/>
      <c r="AD2224" s="121"/>
      <c r="AE2224" s="121"/>
      <c r="AF2224" s="121"/>
      <c r="AG2224" s="121"/>
      <c r="AH2224" s="121"/>
      <c r="AI2224" s="121"/>
    </row>
    <row r="2225" spans="1:35" s="115" customFormat="1" ht="14.4">
      <c r="A2225" s="187"/>
      <c r="B2225" s="190"/>
      <c r="C2225" s="190"/>
      <c r="D2225" s="69"/>
      <c r="E2225" s="69"/>
      <c r="F2225" s="149"/>
      <c r="G2225" s="146"/>
      <c r="H2225" s="98"/>
      <c r="I2225" s="99"/>
      <c r="J2225" s="99"/>
      <c r="K2225" s="99"/>
      <c r="L2225" s="99"/>
      <c r="M2225" s="99"/>
      <c r="N2225" s="99"/>
      <c r="O2225" s="99"/>
      <c r="P2225" s="99"/>
      <c r="Q2225" s="99"/>
      <c r="R2225" s="99"/>
      <c r="S2225" s="99"/>
      <c r="T2225" s="99"/>
      <c r="U2225" s="105"/>
      <c r="V2225" s="262"/>
      <c r="W2225" s="121"/>
      <c r="X2225" s="121"/>
      <c r="Y2225" s="121"/>
      <c r="Z2225" s="121"/>
      <c r="AA2225" s="121"/>
      <c r="AB2225" s="121"/>
      <c r="AC2225" s="121"/>
      <c r="AD2225" s="121"/>
      <c r="AE2225" s="121"/>
      <c r="AF2225" s="121"/>
      <c r="AG2225" s="121"/>
      <c r="AH2225" s="121"/>
      <c r="AI2225" s="121"/>
    </row>
    <row r="2226" spans="1:35" s="115" customFormat="1" ht="14.4">
      <c r="A2226" s="187"/>
      <c r="B2226" s="190"/>
      <c r="C2226" s="190"/>
      <c r="D2226" s="69"/>
      <c r="E2226" s="69"/>
      <c r="F2226" s="149"/>
      <c r="G2226" s="146"/>
      <c r="H2226" s="98"/>
      <c r="I2226" s="99"/>
      <c r="J2226" s="99"/>
      <c r="K2226" s="99"/>
      <c r="L2226" s="99"/>
      <c r="M2226" s="99"/>
      <c r="N2226" s="99"/>
      <c r="O2226" s="99"/>
      <c r="P2226" s="99"/>
      <c r="Q2226" s="99"/>
      <c r="R2226" s="99"/>
      <c r="S2226" s="99"/>
      <c r="T2226" s="99"/>
      <c r="U2226" s="105"/>
      <c r="V2226" s="262"/>
      <c r="W2226" s="121"/>
      <c r="X2226" s="121"/>
      <c r="Y2226" s="121"/>
      <c r="Z2226" s="121"/>
      <c r="AA2226" s="121"/>
      <c r="AB2226" s="121"/>
      <c r="AC2226" s="121"/>
      <c r="AD2226" s="121"/>
      <c r="AE2226" s="121"/>
      <c r="AF2226" s="121"/>
      <c r="AG2226" s="121"/>
      <c r="AH2226" s="121"/>
      <c r="AI2226" s="121"/>
    </row>
    <row r="2227" spans="1:35" s="115" customFormat="1" ht="14.4">
      <c r="A2227" s="187"/>
      <c r="B2227" s="190"/>
      <c r="C2227" s="190"/>
      <c r="D2227" s="69"/>
      <c r="E2227" s="69"/>
      <c r="F2227" s="149"/>
      <c r="G2227" s="146"/>
      <c r="H2227" s="107"/>
      <c r="I2227" s="109"/>
      <c r="J2227" s="109"/>
      <c r="K2227" s="109"/>
      <c r="L2227" s="109"/>
      <c r="M2227" s="109"/>
      <c r="N2227" s="109"/>
      <c r="O2227" s="109"/>
      <c r="P2227" s="109"/>
      <c r="Q2227" s="109"/>
      <c r="R2227" s="109"/>
      <c r="S2227" s="109"/>
      <c r="T2227" s="109"/>
      <c r="U2227" s="105"/>
      <c r="V2227" s="262"/>
      <c r="W2227" s="121"/>
      <c r="X2227" s="121"/>
      <c r="Y2227" s="121"/>
      <c r="Z2227" s="121"/>
      <c r="AA2227" s="121"/>
      <c r="AB2227" s="121"/>
      <c r="AC2227" s="121"/>
      <c r="AD2227" s="121"/>
      <c r="AE2227" s="121"/>
      <c r="AF2227" s="121"/>
      <c r="AG2227" s="121"/>
      <c r="AH2227" s="121"/>
      <c r="AI2227" s="121"/>
    </row>
    <row r="2228" spans="1:35" s="115" customFormat="1" ht="14.4">
      <c r="A2228" s="187"/>
      <c r="B2228" s="190"/>
      <c r="C2228" s="190"/>
      <c r="D2228" s="69"/>
      <c r="E2228" s="69"/>
      <c r="F2228" s="149"/>
      <c r="G2228" s="146"/>
      <c r="H2228" s="98"/>
      <c r="I2228" s="106"/>
      <c r="J2228" s="106"/>
      <c r="K2228" s="106"/>
      <c r="L2228" s="106"/>
      <c r="M2228" s="106"/>
      <c r="N2228" s="112"/>
      <c r="O2228" s="112"/>
      <c r="P2228" s="112"/>
      <c r="Q2228" s="113"/>
      <c r="R2228" s="113"/>
      <c r="S2228" s="113"/>
      <c r="T2228" s="113"/>
      <c r="U2228" s="105"/>
      <c r="V2228" s="262"/>
      <c r="W2228" s="121"/>
      <c r="X2228" s="121"/>
      <c r="Y2228" s="121"/>
      <c r="Z2228" s="121"/>
      <c r="AA2228" s="121"/>
      <c r="AB2228" s="121"/>
      <c r="AC2228" s="121"/>
      <c r="AD2228" s="121"/>
      <c r="AE2228" s="121"/>
      <c r="AF2228" s="121"/>
      <c r="AG2228" s="121"/>
      <c r="AH2228" s="121"/>
      <c r="AI2228" s="121"/>
    </row>
    <row r="2229" spans="1:35" s="115" customFormat="1" ht="14.4">
      <c r="A2229" s="187"/>
      <c r="B2229" s="190"/>
      <c r="C2229" s="190"/>
      <c r="D2229" s="69"/>
      <c r="E2229" s="69"/>
      <c r="F2229" s="149"/>
      <c r="G2229" s="146"/>
      <c r="H2229" s="98"/>
      <c r="I2229" s="99"/>
      <c r="J2229" s="99"/>
      <c r="K2229" s="99"/>
      <c r="L2229" s="99"/>
      <c r="M2229" s="99"/>
      <c r="N2229" s="99"/>
      <c r="O2229" s="99"/>
      <c r="P2229" s="99"/>
      <c r="Q2229" s="99"/>
      <c r="R2229" s="99"/>
      <c r="S2229" s="99"/>
      <c r="T2229" s="99"/>
      <c r="U2229" s="105"/>
      <c r="V2229" s="262"/>
      <c r="W2229" s="121"/>
      <c r="X2229" s="121"/>
      <c r="Y2229" s="121"/>
      <c r="Z2229" s="121"/>
      <c r="AA2229" s="121"/>
      <c r="AB2229" s="121"/>
      <c r="AC2229" s="121"/>
      <c r="AD2229" s="121"/>
      <c r="AE2229" s="121"/>
      <c r="AF2229" s="121"/>
      <c r="AG2229" s="121"/>
      <c r="AH2229" s="121"/>
      <c r="AI2229" s="121"/>
    </row>
    <row r="2230" spans="1:35" s="115" customFormat="1" ht="14.4">
      <c r="A2230" s="187"/>
      <c r="B2230" s="190"/>
      <c r="C2230" s="190"/>
      <c r="D2230" s="69"/>
      <c r="E2230" s="69"/>
      <c r="F2230" s="149"/>
      <c r="G2230" s="146"/>
      <c r="H2230" s="98"/>
      <c r="I2230" s="99"/>
      <c r="J2230" s="99"/>
      <c r="K2230" s="99"/>
      <c r="L2230" s="99"/>
      <c r="M2230" s="99"/>
      <c r="N2230" s="99"/>
      <c r="O2230" s="99"/>
      <c r="P2230" s="99"/>
      <c r="Q2230" s="99"/>
      <c r="R2230" s="99"/>
      <c r="S2230" s="99"/>
      <c r="T2230" s="99"/>
      <c r="U2230" s="105"/>
      <c r="V2230" s="262"/>
      <c r="W2230" s="121"/>
      <c r="X2230" s="121"/>
      <c r="Y2230" s="121"/>
      <c r="Z2230" s="121"/>
      <c r="AA2230" s="121"/>
      <c r="AB2230" s="121"/>
      <c r="AC2230" s="121"/>
      <c r="AD2230" s="121"/>
      <c r="AE2230" s="121"/>
      <c r="AF2230" s="121"/>
      <c r="AG2230" s="121"/>
      <c r="AH2230" s="121"/>
      <c r="AI2230" s="121"/>
    </row>
    <row r="2231" spans="1:35" s="115" customFormat="1" ht="14.4">
      <c r="A2231" s="187"/>
      <c r="B2231" s="190"/>
      <c r="C2231" s="190"/>
      <c r="D2231" s="69"/>
      <c r="E2231" s="69"/>
      <c r="F2231" s="149"/>
      <c r="G2231" s="146"/>
      <c r="H2231" s="98"/>
      <c r="I2231" s="99"/>
      <c r="J2231" s="99"/>
      <c r="K2231" s="99"/>
      <c r="L2231" s="99"/>
      <c r="M2231" s="99"/>
      <c r="N2231" s="99"/>
      <c r="O2231" s="99"/>
      <c r="P2231" s="99"/>
      <c r="Q2231" s="99"/>
      <c r="R2231" s="99"/>
      <c r="S2231" s="99"/>
      <c r="T2231" s="99"/>
      <c r="U2231" s="105"/>
      <c r="V2231" s="262"/>
      <c r="W2231" s="121"/>
      <c r="X2231" s="121"/>
      <c r="Y2231" s="121"/>
      <c r="Z2231" s="121"/>
      <c r="AA2231" s="121"/>
      <c r="AB2231" s="121"/>
      <c r="AC2231" s="121"/>
      <c r="AD2231" s="121"/>
      <c r="AE2231" s="121"/>
      <c r="AF2231" s="121"/>
      <c r="AG2231" s="121"/>
      <c r="AH2231" s="121"/>
      <c r="AI2231" s="121"/>
    </row>
    <row r="2232" spans="1:35" s="115" customFormat="1" ht="14.4">
      <c r="A2232" s="187"/>
      <c r="B2232" s="190"/>
      <c r="C2232" s="190"/>
      <c r="D2232" s="69"/>
      <c r="E2232" s="69"/>
      <c r="F2232" s="149"/>
      <c r="G2232" s="146"/>
      <c r="H2232" s="107"/>
      <c r="I2232" s="108"/>
      <c r="J2232" s="108"/>
      <c r="K2232" s="108"/>
      <c r="L2232" s="108"/>
      <c r="M2232" s="108"/>
      <c r="N2232" s="109"/>
      <c r="O2232" s="109"/>
      <c r="P2232" s="109"/>
      <c r="Q2232" s="109"/>
      <c r="R2232" s="109"/>
      <c r="S2232" s="109"/>
      <c r="T2232" s="109"/>
      <c r="U2232" s="105"/>
      <c r="V2232" s="262"/>
      <c r="W2232" s="121"/>
      <c r="X2232" s="121"/>
      <c r="Y2232" s="121"/>
      <c r="Z2232" s="121"/>
      <c r="AA2232" s="121"/>
      <c r="AB2232" s="121"/>
      <c r="AC2232" s="121"/>
      <c r="AD2232" s="121"/>
      <c r="AE2232" s="121"/>
      <c r="AF2232" s="121"/>
      <c r="AG2232" s="121"/>
      <c r="AH2232" s="121"/>
      <c r="AI2232" s="121"/>
    </row>
    <row r="2233" spans="1:35" s="115" customFormat="1" ht="14.4">
      <c r="A2233" s="187"/>
      <c r="B2233" s="190"/>
      <c r="C2233" s="190"/>
      <c r="D2233" s="69"/>
      <c r="E2233" s="69"/>
      <c r="F2233" s="149"/>
      <c r="G2233" s="146"/>
      <c r="H2233" s="98"/>
      <c r="I2233" s="106"/>
      <c r="J2233" s="106"/>
      <c r="K2233" s="106"/>
      <c r="L2233" s="106"/>
      <c r="M2233" s="106"/>
      <c r="N2233" s="112"/>
      <c r="O2233" s="112"/>
      <c r="P2233" s="112"/>
      <c r="Q2233" s="113"/>
      <c r="R2233" s="113"/>
      <c r="S2233" s="113"/>
      <c r="T2233" s="113"/>
      <c r="U2233" s="105"/>
      <c r="V2233" s="262"/>
      <c r="W2233" s="121"/>
      <c r="X2233" s="121"/>
      <c r="Y2233" s="121"/>
      <c r="Z2233" s="121"/>
      <c r="AA2233" s="121"/>
      <c r="AB2233" s="121"/>
      <c r="AC2233" s="121"/>
      <c r="AD2233" s="121"/>
      <c r="AE2233" s="121"/>
      <c r="AF2233" s="121"/>
      <c r="AG2233" s="121"/>
      <c r="AH2233" s="121"/>
      <c r="AI2233" s="121"/>
    </row>
    <row r="2234" spans="1:35" s="115" customFormat="1" ht="14.4">
      <c r="A2234" s="187"/>
      <c r="B2234" s="190"/>
      <c r="C2234" s="190"/>
      <c r="D2234" s="69"/>
      <c r="E2234" s="69"/>
      <c r="F2234" s="149"/>
      <c r="G2234" s="146"/>
      <c r="H2234" s="114"/>
      <c r="I2234" s="108"/>
      <c r="J2234" s="108"/>
      <c r="K2234" s="108"/>
      <c r="L2234" s="108"/>
      <c r="M2234" s="108"/>
      <c r="N2234" s="108"/>
      <c r="O2234" s="108"/>
      <c r="P2234" s="108"/>
      <c r="Q2234" s="108"/>
      <c r="R2234" s="108"/>
      <c r="S2234" s="108"/>
      <c r="T2234" s="108"/>
      <c r="U2234" s="105"/>
      <c r="V2234" s="262"/>
      <c r="W2234" s="121"/>
      <c r="X2234" s="121"/>
      <c r="Y2234" s="121"/>
      <c r="Z2234" s="121"/>
      <c r="AA2234" s="121"/>
      <c r="AB2234" s="121"/>
      <c r="AC2234" s="121"/>
      <c r="AD2234" s="121"/>
      <c r="AE2234" s="121"/>
      <c r="AF2234" s="121"/>
      <c r="AG2234" s="121"/>
      <c r="AH2234" s="121"/>
      <c r="AI2234" s="121"/>
    </row>
    <row r="2235" spans="1:35" s="115" customFormat="1" ht="15" thickBot="1">
      <c r="A2235" s="187"/>
      <c r="B2235" s="190"/>
      <c r="C2235" s="190"/>
      <c r="D2235" s="69"/>
      <c r="E2235" s="69"/>
      <c r="F2235" s="149"/>
      <c r="G2235" s="146"/>
      <c r="H2235" s="98"/>
      <c r="I2235" s="218"/>
      <c r="J2235" s="218"/>
      <c r="K2235" s="218"/>
      <c r="L2235" s="218"/>
      <c r="M2235" s="218"/>
      <c r="N2235" s="96"/>
      <c r="O2235" s="96"/>
      <c r="P2235" s="96"/>
      <c r="Q2235" s="212"/>
      <c r="R2235" s="212"/>
      <c r="S2235" s="212"/>
      <c r="T2235" s="212"/>
      <c r="U2235" s="105"/>
      <c r="V2235" s="262"/>
      <c r="W2235" s="121"/>
      <c r="X2235" s="121"/>
      <c r="Y2235" s="121"/>
      <c r="Z2235" s="121"/>
      <c r="AA2235" s="121"/>
      <c r="AB2235" s="121"/>
      <c r="AC2235" s="121"/>
      <c r="AD2235" s="121"/>
      <c r="AE2235" s="121"/>
      <c r="AF2235" s="121"/>
      <c r="AG2235" s="121"/>
      <c r="AH2235" s="121"/>
      <c r="AI2235" s="121"/>
    </row>
    <row r="2236" spans="1:35" s="115" customFormat="1" ht="23.4" thickBot="1">
      <c r="A2236" s="187"/>
      <c r="B2236" s="190"/>
      <c r="C2236" s="190"/>
      <c r="D2236" s="69"/>
      <c r="E2236" s="69"/>
      <c r="F2236" s="149"/>
      <c r="G2236" s="146"/>
      <c r="H2236" s="686"/>
      <c r="I2236" s="687"/>
      <c r="J2236" s="687"/>
      <c r="K2236" s="687"/>
      <c r="L2236" s="687"/>
      <c r="M2236" s="687"/>
      <c r="N2236" s="687"/>
      <c r="O2236" s="687"/>
      <c r="P2236" s="687"/>
      <c r="Q2236" s="687"/>
      <c r="R2236" s="687"/>
      <c r="S2236" s="687"/>
      <c r="T2236" s="688"/>
      <c r="U2236" s="105"/>
      <c r="V2236" s="262"/>
      <c r="W2236" s="121"/>
      <c r="X2236" s="121"/>
      <c r="Y2236" s="121"/>
      <c r="Z2236" s="121"/>
      <c r="AA2236" s="121"/>
      <c r="AB2236" s="121"/>
      <c r="AC2236" s="121"/>
      <c r="AD2236" s="121"/>
      <c r="AE2236" s="121"/>
      <c r="AF2236" s="121"/>
      <c r="AG2236" s="121"/>
      <c r="AH2236" s="121"/>
      <c r="AI2236" s="121"/>
    </row>
    <row r="2237" spans="1:35" s="115" customFormat="1" ht="22.8">
      <c r="A2237" s="187"/>
      <c r="B2237" s="190"/>
      <c r="C2237" s="190"/>
      <c r="D2237" s="69"/>
      <c r="E2237" s="69"/>
      <c r="F2237" s="149"/>
      <c r="G2237" s="146"/>
      <c r="H2237" s="225"/>
      <c r="I2237" s="225"/>
      <c r="J2237" s="225"/>
      <c r="K2237" s="225"/>
      <c r="L2237" s="225"/>
      <c r="M2237" s="225"/>
      <c r="N2237" s="225"/>
      <c r="O2237" s="225"/>
      <c r="P2237" s="225"/>
      <c r="Q2237" s="225"/>
      <c r="R2237" s="225"/>
      <c r="S2237" s="225"/>
      <c r="T2237" s="225"/>
      <c r="U2237" s="105"/>
      <c r="V2237" s="262"/>
      <c r="W2237" s="121"/>
      <c r="X2237" s="121"/>
      <c r="Y2237" s="121"/>
      <c r="Z2237" s="121"/>
      <c r="AA2237" s="121"/>
      <c r="AB2237" s="121"/>
      <c r="AC2237" s="121"/>
      <c r="AD2237" s="121"/>
      <c r="AE2237" s="121"/>
      <c r="AF2237" s="121"/>
      <c r="AG2237" s="121"/>
      <c r="AH2237" s="121"/>
      <c r="AI2237" s="121"/>
    </row>
    <row r="2238" spans="1:35" s="115" customFormat="1" ht="14.4">
      <c r="A2238" s="187"/>
      <c r="B2238" s="190"/>
      <c r="C2238" s="190"/>
      <c r="D2238" s="69"/>
      <c r="E2238" s="69"/>
      <c r="F2238" s="149"/>
      <c r="G2238" s="146"/>
      <c r="H2238" s="98"/>
      <c r="I2238" s="99"/>
      <c r="J2238" s="99"/>
      <c r="K2238" s="99"/>
      <c r="L2238" s="99"/>
      <c r="M2238" s="99"/>
      <c r="N2238" s="99"/>
      <c r="O2238" s="99"/>
      <c r="P2238" s="99"/>
      <c r="Q2238" s="99"/>
      <c r="R2238" s="99"/>
      <c r="S2238" s="99"/>
      <c r="T2238" s="99"/>
      <c r="U2238" s="105"/>
      <c r="V2238" s="262"/>
      <c r="W2238" s="121"/>
      <c r="X2238" s="121"/>
      <c r="Y2238" s="121"/>
      <c r="Z2238" s="121"/>
      <c r="AA2238" s="121"/>
      <c r="AB2238" s="121"/>
      <c r="AC2238" s="121"/>
      <c r="AD2238" s="121"/>
      <c r="AE2238" s="121"/>
      <c r="AF2238" s="121"/>
      <c r="AG2238" s="121"/>
      <c r="AH2238" s="121"/>
      <c r="AI2238" s="121"/>
    </row>
    <row r="2239" spans="1:35" s="115" customFormat="1" ht="14.4">
      <c r="A2239" s="187"/>
      <c r="B2239" s="190"/>
      <c r="C2239" s="190"/>
      <c r="D2239" s="69"/>
      <c r="E2239" s="69"/>
      <c r="F2239" s="149"/>
      <c r="G2239" s="146"/>
      <c r="H2239" s="98"/>
      <c r="I2239" s="99"/>
      <c r="J2239" s="99"/>
      <c r="K2239" s="99"/>
      <c r="L2239" s="99"/>
      <c r="M2239" s="99"/>
      <c r="N2239" s="99"/>
      <c r="O2239" s="99"/>
      <c r="P2239" s="99"/>
      <c r="Q2239" s="99"/>
      <c r="R2239" s="99"/>
      <c r="S2239" s="99"/>
      <c r="T2239" s="99"/>
      <c r="U2239" s="105"/>
      <c r="V2239" s="262"/>
      <c r="W2239" s="121"/>
      <c r="X2239" s="121"/>
      <c r="Y2239" s="121"/>
      <c r="Z2239" s="121"/>
      <c r="AA2239" s="121"/>
      <c r="AB2239" s="121"/>
      <c r="AC2239" s="121"/>
      <c r="AD2239" s="121"/>
      <c r="AE2239" s="121"/>
      <c r="AF2239" s="121"/>
      <c r="AG2239" s="121"/>
      <c r="AH2239" s="121"/>
      <c r="AI2239" s="121"/>
    </row>
    <row r="2240" spans="1:35" s="115" customFormat="1" ht="14.4">
      <c r="A2240" s="187"/>
      <c r="B2240" s="190"/>
      <c r="C2240" s="190"/>
      <c r="D2240" s="69"/>
      <c r="E2240" s="69"/>
      <c r="F2240" s="149"/>
      <c r="G2240" s="146"/>
      <c r="H2240" s="98"/>
      <c r="I2240" s="99"/>
      <c r="J2240" s="99"/>
      <c r="K2240" s="99"/>
      <c r="L2240" s="99"/>
      <c r="M2240" s="99"/>
      <c r="N2240" s="99"/>
      <c r="O2240" s="99"/>
      <c r="P2240" s="99"/>
      <c r="Q2240" s="99"/>
      <c r="R2240" s="99"/>
      <c r="S2240" s="99"/>
      <c r="T2240" s="99"/>
      <c r="U2240" s="105"/>
      <c r="V2240" s="262"/>
      <c r="W2240" s="121"/>
      <c r="X2240" s="121"/>
      <c r="Y2240" s="121"/>
      <c r="Z2240" s="121"/>
      <c r="AA2240" s="121"/>
      <c r="AB2240" s="121"/>
      <c r="AC2240" s="121"/>
      <c r="AD2240" s="121"/>
      <c r="AE2240" s="121"/>
      <c r="AF2240" s="121"/>
      <c r="AG2240" s="121"/>
      <c r="AH2240" s="121"/>
      <c r="AI2240" s="121"/>
    </row>
    <row r="2241" spans="1:35" s="115" customFormat="1" ht="14.4">
      <c r="A2241" s="187"/>
      <c r="B2241" s="190"/>
      <c r="C2241" s="190"/>
      <c r="D2241" s="69"/>
      <c r="E2241" s="69"/>
      <c r="F2241" s="149"/>
      <c r="G2241" s="146"/>
      <c r="H2241" s="98"/>
      <c r="I2241" s="99"/>
      <c r="J2241" s="99"/>
      <c r="K2241" s="99"/>
      <c r="L2241" s="99"/>
      <c r="M2241" s="99"/>
      <c r="N2241" s="99"/>
      <c r="O2241" s="99"/>
      <c r="P2241" s="99"/>
      <c r="Q2241" s="99"/>
      <c r="R2241" s="99"/>
      <c r="S2241" s="99"/>
      <c r="T2241" s="99"/>
      <c r="U2241" s="105"/>
      <c r="V2241" s="262"/>
      <c r="W2241" s="121"/>
      <c r="X2241" s="121"/>
      <c r="Y2241" s="121"/>
      <c r="Z2241" s="121"/>
      <c r="AA2241" s="121"/>
      <c r="AB2241" s="121"/>
      <c r="AC2241" s="121"/>
      <c r="AD2241" s="121"/>
      <c r="AE2241" s="121"/>
      <c r="AF2241" s="121"/>
      <c r="AG2241" s="121"/>
      <c r="AH2241" s="121"/>
      <c r="AI2241" s="121"/>
    </row>
    <row r="2242" spans="1:35" s="115" customFormat="1" ht="14.4">
      <c r="A2242" s="187"/>
      <c r="B2242" s="190"/>
      <c r="C2242" s="190"/>
      <c r="D2242" s="69"/>
      <c r="E2242" s="69"/>
      <c r="F2242" s="149"/>
      <c r="G2242" s="146"/>
      <c r="H2242" s="98"/>
      <c r="I2242" s="99"/>
      <c r="J2242" s="99"/>
      <c r="K2242" s="99"/>
      <c r="L2242" s="99"/>
      <c r="M2242" s="99"/>
      <c r="N2242" s="99"/>
      <c r="O2242" s="99"/>
      <c r="P2242" s="99"/>
      <c r="Q2242" s="99"/>
      <c r="R2242" s="99"/>
      <c r="S2242" s="99"/>
      <c r="T2242" s="99"/>
      <c r="U2242" s="105"/>
      <c r="V2242" s="262"/>
      <c r="W2242" s="121"/>
      <c r="X2242" s="121"/>
      <c r="Y2242" s="121"/>
      <c r="Z2242" s="121"/>
      <c r="AA2242" s="121"/>
      <c r="AB2242" s="121"/>
      <c r="AC2242" s="121"/>
      <c r="AD2242" s="121"/>
      <c r="AE2242" s="121"/>
      <c r="AF2242" s="121"/>
      <c r="AG2242" s="121"/>
      <c r="AH2242" s="121"/>
      <c r="AI2242" s="121"/>
    </row>
    <row r="2243" spans="1:35" s="115" customFormat="1" ht="14.4">
      <c r="A2243" s="187"/>
      <c r="B2243" s="190"/>
      <c r="C2243" s="190"/>
      <c r="D2243" s="69"/>
      <c r="E2243" s="69"/>
      <c r="F2243" s="149"/>
      <c r="G2243" s="146"/>
      <c r="H2243" s="98"/>
      <c r="I2243" s="99"/>
      <c r="J2243" s="99"/>
      <c r="K2243" s="99"/>
      <c r="L2243" s="99"/>
      <c r="M2243" s="99"/>
      <c r="N2243" s="99"/>
      <c r="O2243" s="99"/>
      <c r="P2243" s="99"/>
      <c r="Q2243" s="99"/>
      <c r="R2243" s="99"/>
      <c r="S2243" s="99"/>
      <c r="T2243" s="99"/>
      <c r="U2243" s="105"/>
      <c r="V2243" s="262"/>
      <c r="W2243" s="121"/>
      <c r="X2243" s="121"/>
      <c r="Y2243" s="121"/>
      <c r="Z2243" s="121"/>
      <c r="AA2243" s="121"/>
      <c r="AB2243" s="121"/>
      <c r="AC2243" s="121"/>
      <c r="AD2243" s="121"/>
      <c r="AE2243" s="121"/>
      <c r="AF2243" s="121"/>
      <c r="AG2243" s="121"/>
      <c r="AH2243" s="121"/>
      <c r="AI2243" s="121"/>
    </row>
    <row r="2244" spans="1:35" s="115" customFormat="1" ht="14.4">
      <c r="A2244" s="187"/>
      <c r="B2244" s="190"/>
      <c r="C2244" s="190"/>
      <c r="D2244" s="69"/>
      <c r="E2244" s="69"/>
      <c r="F2244" s="149"/>
      <c r="G2244" s="146"/>
      <c r="H2244" s="98"/>
      <c r="I2244" s="99"/>
      <c r="J2244" s="99"/>
      <c r="K2244" s="99"/>
      <c r="L2244" s="99"/>
      <c r="M2244" s="99"/>
      <c r="N2244" s="99"/>
      <c r="O2244" s="99"/>
      <c r="P2244" s="99"/>
      <c r="Q2244" s="99"/>
      <c r="R2244" s="99"/>
      <c r="S2244" s="99"/>
      <c r="T2244" s="99"/>
      <c r="U2244" s="105"/>
      <c r="V2244" s="262"/>
      <c r="W2244" s="121"/>
      <c r="X2244" s="121"/>
      <c r="Y2244" s="121"/>
      <c r="Z2244" s="121"/>
      <c r="AA2244" s="121"/>
      <c r="AB2244" s="121"/>
      <c r="AC2244" s="121"/>
      <c r="AD2244" s="121"/>
      <c r="AE2244" s="121"/>
      <c r="AF2244" s="121"/>
      <c r="AG2244" s="121"/>
      <c r="AH2244" s="121"/>
      <c r="AI2244" s="121"/>
    </row>
    <row r="2245" spans="1:35" s="115" customFormat="1" ht="14.4">
      <c r="A2245" s="187"/>
      <c r="B2245" s="190"/>
      <c r="C2245" s="190"/>
      <c r="D2245" s="69"/>
      <c r="E2245" s="69"/>
      <c r="F2245" s="149"/>
      <c r="G2245" s="146"/>
      <c r="H2245" s="98"/>
      <c r="I2245" s="99"/>
      <c r="J2245" s="99"/>
      <c r="K2245" s="99"/>
      <c r="L2245" s="99"/>
      <c r="M2245" s="99"/>
      <c r="N2245" s="99"/>
      <c r="O2245" s="99"/>
      <c r="P2245" s="99"/>
      <c r="Q2245" s="99"/>
      <c r="R2245" s="99"/>
      <c r="S2245" s="99"/>
      <c r="T2245" s="99"/>
      <c r="U2245" s="105"/>
      <c r="V2245" s="262"/>
      <c r="W2245" s="121"/>
      <c r="X2245" s="121"/>
      <c r="Y2245" s="121"/>
      <c r="Z2245" s="121"/>
      <c r="AA2245" s="121"/>
      <c r="AB2245" s="121"/>
      <c r="AC2245" s="121"/>
      <c r="AD2245" s="121"/>
      <c r="AE2245" s="121"/>
      <c r="AF2245" s="121"/>
      <c r="AG2245" s="121"/>
      <c r="AH2245" s="121"/>
      <c r="AI2245" s="121"/>
    </row>
    <row r="2246" spans="1:35" s="115" customFormat="1" ht="14.4">
      <c r="A2246" s="187"/>
      <c r="B2246" s="190"/>
      <c r="C2246" s="190"/>
      <c r="D2246" s="69"/>
      <c r="E2246" s="69"/>
      <c r="F2246" s="149"/>
      <c r="G2246" s="146"/>
      <c r="H2246" s="98"/>
      <c r="I2246" s="99"/>
      <c r="J2246" s="99"/>
      <c r="K2246" s="99"/>
      <c r="L2246" s="99"/>
      <c r="M2246" s="99"/>
      <c r="N2246" s="99"/>
      <c r="O2246" s="99"/>
      <c r="P2246" s="99"/>
      <c r="Q2246" s="99"/>
      <c r="R2246" s="99"/>
      <c r="S2246" s="99"/>
      <c r="T2246" s="99"/>
      <c r="U2246" s="105"/>
      <c r="V2246" s="262"/>
      <c r="W2246" s="121"/>
      <c r="X2246" s="121"/>
      <c r="Y2246" s="121"/>
      <c r="Z2246" s="121"/>
      <c r="AA2246" s="121"/>
      <c r="AB2246" s="121"/>
      <c r="AC2246" s="121"/>
      <c r="AD2246" s="121"/>
      <c r="AE2246" s="121"/>
      <c r="AF2246" s="121"/>
      <c r="AG2246" s="121"/>
      <c r="AH2246" s="121"/>
      <c r="AI2246" s="121"/>
    </row>
    <row r="2247" spans="1:35" s="115" customFormat="1" ht="14.4">
      <c r="A2247" s="187"/>
      <c r="B2247" s="190"/>
      <c r="C2247" s="190"/>
      <c r="D2247" s="69"/>
      <c r="E2247" s="69"/>
      <c r="F2247" s="149"/>
      <c r="G2247" s="146"/>
      <c r="H2247" s="98"/>
      <c r="I2247" s="99"/>
      <c r="J2247" s="99"/>
      <c r="K2247" s="99"/>
      <c r="L2247" s="99"/>
      <c r="M2247" s="99"/>
      <c r="N2247" s="99"/>
      <c r="O2247" s="99"/>
      <c r="P2247" s="99"/>
      <c r="Q2247" s="99"/>
      <c r="R2247" s="99"/>
      <c r="S2247" s="99"/>
      <c r="T2247" s="99"/>
      <c r="U2247" s="105"/>
      <c r="V2247" s="262"/>
      <c r="W2247" s="121"/>
      <c r="X2247" s="121"/>
      <c r="Y2247" s="121"/>
      <c r="Z2247" s="121"/>
      <c r="AA2247" s="121"/>
      <c r="AB2247" s="121"/>
      <c r="AC2247" s="121"/>
      <c r="AD2247" s="121"/>
      <c r="AE2247" s="121"/>
      <c r="AF2247" s="121"/>
      <c r="AG2247" s="121"/>
      <c r="AH2247" s="121"/>
      <c r="AI2247" s="121"/>
    </row>
    <row r="2248" spans="1:35" s="115" customFormat="1" ht="14.4">
      <c r="A2248" s="187"/>
      <c r="B2248" s="190"/>
      <c r="C2248" s="190"/>
      <c r="D2248" s="69"/>
      <c r="E2248" s="69"/>
      <c r="F2248" s="149"/>
      <c r="G2248" s="146"/>
      <c r="H2248" s="107"/>
      <c r="I2248" s="108"/>
      <c r="J2248" s="108"/>
      <c r="K2248" s="108"/>
      <c r="L2248" s="108"/>
      <c r="M2248" s="108"/>
      <c r="N2248" s="109"/>
      <c r="O2248" s="109"/>
      <c r="P2248" s="109"/>
      <c r="Q2248" s="109"/>
      <c r="R2248" s="109"/>
      <c r="S2248" s="109"/>
      <c r="T2248" s="109"/>
      <c r="U2248" s="105"/>
      <c r="V2248" s="262"/>
      <c r="W2248" s="121"/>
      <c r="X2248" s="121"/>
      <c r="Y2248" s="121"/>
      <c r="Z2248" s="121"/>
      <c r="AA2248" s="121"/>
      <c r="AB2248" s="121"/>
      <c r="AC2248" s="121"/>
      <c r="AD2248" s="121"/>
      <c r="AE2248" s="121"/>
      <c r="AF2248" s="121"/>
      <c r="AG2248" s="121"/>
      <c r="AH2248" s="121"/>
      <c r="AI2248" s="121"/>
    </row>
    <row r="2249" spans="1:35" s="115" customFormat="1" ht="14.4">
      <c r="A2249" s="187"/>
      <c r="B2249" s="190"/>
      <c r="C2249" s="190"/>
      <c r="D2249" s="69"/>
      <c r="E2249" s="69"/>
      <c r="F2249" s="149"/>
      <c r="G2249" s="146"/>
      <c r="H2249" s="98"/>
      <c r="I2249" s="106"/>
      <c r="J2249" s="106"/>
      <c r="K2249" s="106"/>
      <c r="L2249" s="106"/>
      <c r="M2249" s="106"/>
      <c r="N2249" s="112"/>
      <c r="O2249" s="112"/>
      <c r="P2249" s="112"/>
      <c r="Q2249" s="113"/>
      <c r="R2249" s="113"/>
      <c r="S2249" s="113"/>
      <c r="T2249" s="113"/>
      <c r="U2249" s="105"/>
      <c r="V2249" s="262"/>
      <c r="W2249" s="121"/>
      <c r="X2249" s="121"/>
      <c r="Y2249" s="121"/>
      <c r="Z2249" s="121"/>
      <c r="AA2249" s="121"/>
      <c r="AB2249" s="121"/>
      <c r="AC2249" s="121"/>
      <c r="AD2249" s="121"/>
      <c r="AE2249" s="121"/>
      <c r="AF2249" s="121"/>
      <c r="AG2249" s="121"/>
      <c r="AH2249" s="121"/>
      <c r="AI2249" s="121"/>
    </row>
    <row r="2250" spans="1:35" s="115" customFormat="1" ht="14.4">
      <c r="A2250" s="187"/>
      <c r="B2250" s="190"/>
      <c r="C2250" s="190"/>
      <c r="D2250" s="69"/>
      <c r="E2250" s="69"/>
      <c r="F2250" s="149"/>
      <c r="G2250" s="146"/>
      <c r="H2250" s="98"/>
      <c r="I2250" s="99"/>
      <c r="J2250" s="99"/>
      <c r="K2250" s="99"/>
      <c r="L2250" s="99"/>
      <c r="M2250" s="99"/>
      <c r="N2250" s="99"/>
      <c r="O2250" s="99"/>
      <c r="P2250" s="99"/>
      <c r="Q2250" s="99"/>
      <c r="R2250" s="99"/>
      <c r="S2250" s="99"/>
      <c r="T2250" s="99"/>
      <c r="U2250" s="105"/>
      <c r="V2250" s="262"/>
      <c r="W2250" s="121"/>
      <c r="X2250" s="121"/>
      <c r="Y2250" s="121"/>
      <c r="Z2250" s="121"/>
      <c r="AA2250" s="121"/>
      <c r="AB2250" s="121"/>
      <c r="AC2250" s="121"/>
      <c r="AD2250" s="121"/>
      <c r="AE2250" s="121"/>
      <c r="AF2250" s="121"/>
      <c r="AG2250" s="121"/>
      <c r="AH2250" s="121"/>
      <c r="AI2250" s="121"/>
    </row>
    <row r="2251" spans="1:35" s="115" customFormat="1" ht="14.4">
      <c r="A2251" s="187"/>
      <c r="B2251" s="190"/>
      <c r="C2251" s="190"/>
      <c r="D2251" s="69"/>
      <c r="E2251" s="69"/>
      <c r="F2251" s="149"/>
      <c r="G2251" s="146"/>
      <c r="H2251" s="98"/>
      <c r="I2251" s="99"/>
      <c r="J2251" s="99"/>
      <c r="K2251" s="99"/>
      <c r="L2251" s="99"/>
      <c r="M2251" s="99"/>
      <c r="N2251" s="99"/>
      <c r="O2251" s="99"/>
      <c r="P2251" s="99"/>
      <c r="Q2251" s="99"/>
      <c r="R2251" s="99"/>
      <c r="S2251" s="99"/>
      <c r="T2251" s="99"/>
      <c r="U2251" s="105"/>
      <c r="V2251" s="262"/>
      <c r="W2251" s="121"/>
      <c r="X2251" s="121"/>
      <c r="Y2251" s="121"/>
      <c r="Z2251" s="121"/>
      <c r="AA2251" s="121"/>
      <c r="AB2251" s="121"/>
      <c r="AC2251" s="121"/>
      <c r="AD2251" s="121"/>
      <c r="AE2251" s="121"/>
      <c r="AF2251" s="121"/>
      <c r="AG2251" s="121"/>
      <c r="AH2251" s="121"/>
      <c r="AI2251" s="121"/>
    </row>
    <row r="2252" spans="1:35" s="115" customFormat="1" ht="14.4">
      <c r="A2252" s="187"/>
      <c r="B2252" s="190"/>
      <c r="C2252" s="190"/>
      <c r="D2252" s="69"/>
      <c r="E2252" s="69"/>
      <c r="F2252" s="149"/>
      <c r="G2252" s="146"/>
      <c r="H2252" s="98"/>
      <c r="I2252" s="99"/>
      <c r="J2252" s="99"/>
      <c r="K2252" s="99"/>
      <c r="L2252" s="99"/>
      <c r="M2252" s="99"/>
      <c r="N2252" s="99"/>
      <c r="O2252" s="99"/>
      <c r="P2252" s="99"/>
      <c r="Q2252" s="99"/>
      <c r="R2252" s="99"/>
      <c r="S2252" s="99"/>
      <c r="T2252" s="99"/>
      <c r="U2252" s="105"/>
      <c r="V2252" s="262"/>
      <c r="W2252" s="121"/>
      <c r="X2252" s="121"/>
      <c r="Y2252" s="121"/>
      <c r="Z2252" s="121"/>
      <c r="AA2252" s="121"/>
      <c r="AB2252" s="121"/>
      <c r="AC2252" s="121"/>
      <c r="AD2252" s="121"/>
      <c r="AE2252" s="121"/>
      <c r="AF2252" s="121"/>
      <c r="AG2252" s="121"/>
      <c r="AH2252" s="121"/>
      <c r="AI2252" s="121"/>
    </row>
    <row r="2253" spans="1:35" s="115" customFormat="1" ht="14.4">
      <c r="A2253" s="187"/>
      <c r="B2253" s="190"/>
      <c r="C2253" s="190"/>
      <c r="D2253" s="69"/>
      <c r="E2253" s="69"/>
      <c r="F2253" s="149"/>
      <c r="G2253" s="146"/>
      <c r="H2253" s="98"/>
      <c r="I2253" s="99"/>
      <c r="J2253" s="99"/>
      <c r="K2253" s="99"/>
      <c r="L2253" s="99"/>
      <c r="M2253" s="99"/>
      <c r="N2253" s="99"/>
      <c r="O2253" s="99"/>
      <c r="P2253" s="99"/>
      <c r="Q2253" s="99"/>
      <c r="R2253" s="99"/>
      <c r="S2253" s="99"/>
      <c r="T2253" s="99"/>
      <c r="U2253" s="105"/>
      <c r="V2253" s="262"/>
      <c r="W2253" s="121"/>
      <c r="X2253" s="121"/>
      <c r="Y2253" s="121"/>
      <c r="Z2253" s="121"/>
      <c r="AA2253" s="121"/>
      <c r="AB2253" s="121"/>
      <c r="AC2253" s="121"/>
      <c r="AD2253" s="121"/>
      <c r="AE2253" s="121"/>
      <c r="AF2253" s="121"/>
      <c r="AG2253" s="121"/>
      <c r="AH2253" s="121"/>
      <c r="AI2253" s="121"/>
    </row>
    <row r="2254" spans="1:35" s="115" customFormat="1" ht="14.4">
      <c r="A2254" s="187"/>
      <c r="B2254" s="190"/>
      <c r="C2254" s="190"/>
      <c r="D2254" s="69"/>
      <c r="E2254" s="69"/>
      <c r="F2254" s="149"/>
      <c r="G2254" s="146"/>
      <c r="H2254" s="98"/>
      <c r="I2254" s="99"/>
      <c r="J2254" s="99"/>
      <c r="K2254" s="99"/>
      <c r="L2254" s="99"/>
      <c r="M2254" s="99"/>
      <c r="N2254" s="99"/>
      <c r="O2254" s="99"/>
      <c r="P2254" s="99"/>
      <c r="Q2254" s="99"/>
      <c r="R2254" s="99"/>
      <c r="S2254" s="99"/>
      <c r="T2254" s="99"/>
      <c r="U2254" s="105"/>
      <c r="V2254" s="262"/>
      <c r="W2254" s="121"/>
      <c r="X2254" s="121"/>
      <c r="Y2254" s="121"/>
      <c r="Z2254" s="121"/>
      <c r="AA2254" s="121"/>
      <c r="AB2254" s="121"/>
      <c r="AC2254" s="121"/>
      <c r="AD2254" s="121"/>
      <c r="AE2254" s="121"/>
      <c r="AF2254" s="121"/>
      <c r="AG2254" s="121"/>
      <c r="AH2254" s="121"/>
      <c r="AI2254" s="121"/>
    </row>
    <row r="2255" spans="1:35" s="115" customFormat="1" ht="14.4">
      <c r="A2255" s="187"/>
      <c r="B2255" s="190"/>
      <c r="C2255" s="190"/>
      <c r="D2255" s="69"/>
      <c r="E2255" s="69"/>
      <c r="F2255" s="149"/>
      <c r="G2255" s="146"/>
      <c r="H2255" s="98"/>
      <c r="I2255" s="99"/>
      <c r="J2255" s="99"/>
      <c r="K2255" s="99"/>
      <c r="L2255" s="99"/>
      <c r="M2255" s="99"/>
      <c r="N2255" s="99"/>
      <c r="O2255" s="99"/>
      <c r="P2255" s="99"/>
      <c r="Q2255" s="99"/>
      <c r="R2255" s="99"/>
      <c r="S2255" s="99"/>
      <c r="T2255" s="99"/>
      <c r="U2255" s="105"/>
      <c r="V2255" s="262"/>
      <c r="W2255" s="121"/>
      <c r="X2255" s="121"/>
      <c r="Y2255" s="121"/>
      <c r="Z2255" s="121"/>
      <c r="AA2255" s="121"/>
      <c r="AB2255" s="121"/>
      <c r="AC2255" s="121"/>
      <c r="AD2255" s="121"/>
      <c r="AE2255" s="121"/>
      <c r="AF2255" s="121"/>
      <c r="AG2255" s="121"/>
      <c r="AH2255" s="121"/>
      <c r="AI2255" s="121"/>
    </row>
    <row r="2256" spans="1:35" s="115" customFormat="1" ht="14.4">
      <c r="A2256" s="187"/>
      <c r="B2256" s="190"/>
      <c r="C2256" s="190"/>
      <c r="D2256" s="69"/>
      <c r="E2256" s="69"/>
      <c r="F2256" s="149"/>
      <c r="G2256" s="146"/>
      <c r="H2256" s="98"/>
      <c r="I2256" s="99"/>
      <c r="J2256" s="99"/>
      <c r="K2256" s="99"/>
      <c r="L2256" s="99"/>
      <c r="M2256" s="99"/>
      <c r="N2256" s="99"/>
      <c r="O2256" s="99"/>
      <c r="P2256" s="99"/>
      <c r="Q2256" s="99"/>
      <c r="R2256" s="99"/>
      <c r="S2256" s="99"/>
      <c r="T2256" s="99"/>
      <c r="U2256" s="105"/>
      <c r="V2256" s="262"/>
      <c r="W2256" s="121"/>
      <c r="X2256" s="121"/>
      <c r="Y2256" s="121"/>
      <c r="Z2256" s="121"/>
      <c r="AA2256" s="121"/>
      <c r="AB2256" s="121"/>
      <c r="AC2256" s="121"/>
      <c r="AD2256" s="121"/>
      <c r="AE2256" s="121"/>
      <c r="AF2256" s="121"/>
      <c r="AG2256" s="121"/>
      <c r="AH2256" s="121"/>
      <c r="AI2256" s="121"/>
    </row>
    <row r="2257" spans="1:35" s="115" customFormat="1" ht="14.4">
      <c r="A2257" s="187"/>
      <c r="B2257" s="190"/>
      <c r="C2257" s="190"/>
      <c r="D2257" s="69"/>
      <c r="E2257" s="69"/>
      <c r="F2257" s="149"/>
      <c r="G2257" s="146"/>
      <c r="H2257" s="98"/>
      <c r="I2257" s="99"/>
      <c r="J2257" s="99"/>
      <c r="K2257" s="99"/>
      <c r="L2257" s="99"/>
      <c r="M2257" s="99"/>
      <c r="N2257" s="99"/>
      <c r="O2257" s="99"/>
      <c r="P2257" s="99"/>
      <c r="Q2257" s="99"/>
      <c r="R2257" s="99"/>
      <c r="S2257" s="99"/>
      <c r="T2257" s="99"/>
      <c r="U2257" s="105"/>
      <c r="V2257" s="262"/>
      <c r="W2257" s="121"/>
      <c r="X2257" s="121"/>
      <c r="Y2257" s="121"/>
      <c r="Z2257" s="121"/>
      <c r="AA2257" s="121"/>
      <c r="AB2257" s="121"/>
      <c r="AC2257" s="121"/>
      <c r="AD2257" s="121"/>
      <c r="AE2257" s="121"/>
      <c r="AF2257" s="121"/>
      <c r="AG2257" s="121"/>
      <c r="AH2257" s="121"/>
      <c r="AI2257" s="121"/>
    </row>
    <row r="2258" spans="1:35" s="115" customFormat="1" ht="14.4">
      <c r="A2258" s="187"/>
      <c r="B2258" s="190"/>
      <c r="C2258" s="190"/>
      <c r="D2258" s="69"/>
      <c r="E2258" s="69"/>
      <c r="F2258" s="149"/>
      <c r="G2258" s="146"/>
      <c r="H2258" s="98"/>
      <c r="I2258" s="99"/>
      <c r="J2258" s="99"/>
      <c r="K2258" s="99"/>
      <c r="L2258" s="99"/>
      <c r="M2258" s="99"/>
      <c r="N2258" s="99"/>
      <c r="O2258" s="99"/>
      <c r="P2258" s="99"/>
      <c r="Q2258" s="99"/>
      <c r="R2258" s="99"/>
      <c r="S2258" s="99"/>
      <c r="T2258" s="99"/>
      <c r="U2258" s="105"/>
      <c r="V2258" s="262"/>
      <c r="W2258" s="121"/>
      <c r="X2258" s="121"/>
      <c r="Y2258" s="121"/>
      <c r="Z2258" s="121"/>
      <c r="AA2258" s="121"/>
      <c r="AB2258" s="121"/>
      <c r="AC2258" s="121"/>
      <c r="AD2258" s="121"/>
      <c r="AE2258" s="121"/>
      <c r="AF2258" s="121"/>
      <c r="AG2258" s="121"/>
      <c r="AH2258" s="121"/>
      <c r="AI2258" s="121"/>
    </row>
    <row r="2259" spans="1:35" s="115" customFormat="1" ht="14.4">
      <c r="A2259" s="187"/>
      <c r="B2259" s="190"/>
      <c r="C2259" s="190"/>
      <c r="D2259" s="69"/>
      <c r="E2259" s="69"/>
      <c r="F2259" s="149"/>
      <c r="G2259" s="146"/>
      <c r="H2259" s="107"/>
      <c r="I2259" s="108"/>
      <c r="J2259" s="108"/>
      <c r="K2259" s="108"/>
      <c r="L2259" s="108"/>
      <c r="M2259" s="108"/>
      <c r="N2259" s="109"/>
      <c r="O2259" s="109"/>
      <c r="P2259" s="109"/>
      <c r="Q2259" s="109"/>
      <c r="R2259" s="109"/>
      <c r="S2259" s="109"/>
      <c r="T2259" s="109"/>
      <c r="U2259" s="105"/>
      <c r="V2259" s="262"/>
      <c r="W2259" s="121"/>
      <c r="X2259" s="121"/>
      <c r="Y2259" s="121"/>
      <c r="Z2259" s="121"/>
      <c r="AA2259" s="121"/>
      <c r="AB2259" s="121"/>
      <c r="AC2259" s="121"/>
      <c r="AD2259" s="121"/>
      <c r="AE2259" s="121"/>
      <c r="AF2259" s="121"/>
      <c r="AG2259" s="121"/>
      <c r="AH2259" s="121"/>
      <c r="AI2259" s="121"/>
    </row>
    <row r="2260" spans="1:35" s="115" customFormat="1" ht="14.4">
      <c r="A2260" s="187"/>
      <c r="B2260" s="190"/>
      <c r="C2260" s="190"/>
      <c r="D2260" s="69"/>
      <c r="E2260" s="69"/>
      <c r="F2260" s="149"/>
      <c r="G2260" s="146"/>
      <c r="H2260" s="98"/>
      <c r="I2260" s="106"/>
      <c r="J2260" s="106"/>
      <c r="K2260" s="106"/>
      <c r="L2260" s="106"/>
      <c r="M2260" s="106"/>
      <c r="N2260" s="112"/>
      <c r="O2260" s="112"/>
      <c r="P2260" s="112"/>
      <c r="Q2260" s="113"/>
      <c r="R2260" s="113"/>
      <c r="S2260" s="113"/>
      <c r="T2260" s="113"/>
      <c r="U2260" s="105"/>
      <c r="V2260" s="262"/>
      <c r="W2260" s="121"/>
      <c r="X2260" s="121"/>
      <c r="Y2260" s="121"/>
      <c r="Z2260" s="121"/>
      <c r="AA2260" s="121"/>
      <c r="AB2260" s="121"/>
      <c r="AC2260" s="121"/>
      <c r="AD2260" s="121"/>
      <c r="AE2260" s="121"/>
      <c r="AF2260" s="121"/>
      <c r="AG2260" s="121"/>
      <c r="AH2260" s="121"/>
      <c r="AI2260" s="121"/>
    </row>
    <row r="2261" spans="1:35" s="115" customFormat="1" ht="14.4">
      <c r="A2261" s="187"/>
      <c r="B2261" s="190"/>
      <c r="C2261" s="190"/>
      <c r="D2261" s="69"/>
      <c r="E2261" s="69"/>
      <c r="F2261" s="149"/>
      <c r="G2261" s="146"/>
      <c r="H2261" s="98"/>
      <c r="I2261" s="99"/>
      <c r="J2261" s="99"/>
      <c r="K2261" s="99"/>
      <c r="L2261" s="99"/>
      <c r="M2261" s="99"/>
      <c r="N2261" s="99"/>
      <c r="O2261" s="99"/>
      <c r="P2261" s="99"/>
      <c r="Q2261" s="99"/>
      <c r="R2261" s="99"/>
      <c r="S2261" s="99"/>
      <c r="T2261" s="99"/>
      <c r="U2261" s="105"/>
      <c r="V2261" s="262"/>
      <c r="W2261" s="121"/>
      <c r="X2261" s="121"/>
      <c r="Y2261" s="121"/>
      <c r="Z2261" s="121"/>
      <c r="AA2261" s="121"/>
      <c r="AB2261" s="121"/>
      <c r="AC2261" s="121"/>
      <c r="AD2261" s="121"/>
      <c r="AE2261" s="121"/>
      <c r="AF2261" s="121"/>
      <c r="AG2261" s="121"/>
      <c r="AH2261" s="121"/>
      <c r="AI2261" s="121"/>
    </row>
    <row r="2262" spans="1:35" s="115" customFormat="1" ht="14.4">
      <c r="A2262" s="187"/>
      <c r="B2262" s="190"/>
      <c r="C2262" s="190"/>
      <c r="D2262" s="69"/>
      <c r="E2262" s="69"/>
      <c r="F2262" s="149"/>
      <c r="G2262" s="146"/>
      <c r="H2262" s="98"/>
      <c r="I2262" s="99"/>
      <c r="J2262" s="99"/>
      <c r="K2262" s="99"/>
      <c r="L2262" s="99"/>
      <c r="M2262" s="99"/>
      <c r="N2262" s="99"/>
      <c r="O2262" s="99"/>
      <c r="P2262" s="99"/>
      <c r="Q2262" s="99"/>
      <c r="R2262" s="99"/>
      <c r="S2262" s="99"/>
      <c r="T2262" s="99"/>
      <c r="U2262" s="105"/>
      <c r="V2262" s="262"/>
      <c r="W2262" s="121"/>
      <c r="X2262" s="121"/>
      <c r="Y2262" s="121"/>
      <c r="Z2262" s="121"/>
      <c r="AA2262" s="121"/>
      <c r="AB2262" s="121"/>
      <c r="AC2262" s="121"/>
      <c r="AD2262" s="121"/>
      <c r="AE2262" s="121"/>
      <c r="AF2262" s="121"/>
      <c r="AG2262" s="121"/>
      <c r="AH2262" s="121"/>
      <c r="AI2262" s="121"/>
    </row>
    <row r="2263" spans="1:35" s="115" customFormat="1" ht="14.4">
      <c r="A2263" s="187"/>
      <c r="B2263" s="190"/>
      <c r="C2263" s="190"/>
      <c r="D2263" s="69"/>
      <c r="E2263" s="69"/>
      <c r="F2263" s="149"/>
      <c r="G2263" s="146"/>
      <c r="H2263" s="107"/>
      <c r="I2263" s="108"/>
      <c r="J2263" s="108"/>
      <c r="K2263" s="108"/>
      <c r="L2263" s="108"/>
      <c r="M2263" s="108"/>
      <c r="N2263" s="109"/>
      <c r="O2263" s="109"/>
      <c r="P2263" s="109"/>
      <c r="Q2263" s="109"/>
      <c r="R2263" s="109"/>
      <c r="S2263" s="109"/>
      <c r="T2263" s="109"/>
      <c r="U2263" s="105"/>
      <c r="V2263" s="262"/>
      <c r="W2263" s="121"/>
      <c r="X2263" s="121"/>
      <c r="Y2263" s="121"/>
      <c r="Z2263" s="121"/>
      <c r="AA2263" s="121"/>
      <c r="AB2263" s="121"/>
      <c r="AC2263" s="121"/>
      <c r="AD2263" s="121"/>
      <c r="AE2263" s="121"/>
      <c r="AF2263" s="121"/>
      <c r="AG2263" s="121"/>
      <c r="AH2263" s="121"/>
      <c r="AI2263" s="121"/>
    </row>
    <row r="2264" spans="1:35" s="115" customFormat="1" ht="14.4">
      <c r="A2264" s="187"/>
      <c r="B2264" s="190"/>
      <c r="C2264" s="190"/>
      <c r="D2264" s="69"/>
      <c r="E2264" s="69"/>
      <c r="F2264" s="149"/>
      <c r="G2264" s="146"/>
      <c r="H2264" s="98"/>
      <c r="I2264" s="106"/>
      <c r="J2264" s="106"/>
      <c r="K2264" s="106"/>
      <c r="L2264" s="106"/>
      <c r="M2264" s="106"/>
      <c r="N2264" s="112"/>
      <c r="O2264" s="112"/>
      <c r="P2264" s="112"/>
      <c r="Q2264" s="113"/>
      <c r="R2264" s="113"/>
      <c r="S2264" s="113"/>
      <c r="T2264" s="113"/>
      <c r="U2264" s="105"/>
      <c r="V2264" s="262"/>
      <c r="W2264" s="121"/>
      <c r="X2264" s="121"/>
      <c r="Y2264" s="121"/>
      <c r="Z2264" s="121"/>
      <c r="AA2264" s="121"/>
      <c r="AB2264" s="121"/>
      <c r="AC2264" s="121"/>
      <c r="AD2264" s="121"/>
      <c r="AE2264" s="121"/>
      <c r="AF2264" s="121"/>
      <c r="AG2264" s="121"/>
      <c r="AH2264" s="121"/>
      <c r="AI2264" s="121"/>
    </row>
    <row r="2265" spans="1:35" s="115" customFormat="1" ht="14.4">
      <c r="A2265" s="187"/>
      <c r="B2265" s="190"/>
      <c r="C2265" s="190"/>
      <c r="D2265" s="69"/>
      <c r="E2265" s="69"/>
      <c r="F2265" s="149"/>
      <c r="G2265" s="146"/>
      <c r="H2265" s="114"/>
      <c r="I2265" s="108"/>
      <c r="J2265" s="108"/>
      <c r="K2265" s="108"/>
      <c r="L2265" s="108"/>
      <c r="M2265" s="108"/>
      <c r="N2265" s="108"/>
      <c r="O2265" s="108"/>
      <c r="P2265" s="108"/>
      <c r="Q2265" s="108"/>
      <c r="R2265" s="108"/>
      <c r="S2265" s="108"/>
      <c r="T2265" s="108"/>
      <c r="U2265" s="105"/>
      <c r="V2265" s="262"/>
      <c r="W2265" s="121"/>
      <c r="X2265" s="121"/>
      <c r="Y2265" s="121"/>
      <c r="Z2265" s="121"/>
      <c r="AA2265" s="121"/>
      <c r="AB2265" s="121"/>
      <c r="AC2265" s="121"/>
      <c r="AD2265" s="121"/>
      <c r="AE2265" s="121"/>
      <c r="AF2265" s="121"/>
      <c r="AG2265" s="121"/>
      <c r="AH2265" s="121"/>
      <c r="AI2265" s="121"/>
    </row>
    <row r="2266" spans="1:35" s="115" customFormat="1" ht="15" thickBot="1">
      <c r="A2266" s="187"/>
      <c r="B2266" s="190"/>
      <c r="C2266" s="190"/>
      <c r="D2266" s="69"/>
      <c r="E2266" s="69"/>
      <c r="F2266" s="149"/>
      <c r="G2266" s="146"/>
      <c r="H2266" s="98"/>
      <c r="I2266" s="218"/>
      <c r="J2266" s="218"/>
      <c r="K2266" s="218"/>
      <c r="L2266" s="218"/>
      <c r="M2266" s="218"/>
      <c r="N2266" s="96"/>
      <c r="O2266" s="96"/>
      <c r="P2266" s="96"/>
      <c r="Q2266" s="212"/>
      <c r="R2266" s="212"/>
      <c r="S2266" s="212"/>
      <c r="T2266" s="212"/>
      <c r="U2266" s="105"/>
      <c r="V2266" s="262"/>
      <c r="W2266" s="121"/>
      <c r="X2266" s="121"/>
      <c r="Y2266" s="121"/>
      <c r="Z2266" s="121"/>
      <c r="AA2266" s="121"/>
      <c r="AB2266" s="121"/>
      <c r="AC2266" s="121"/>
      <c r="AD2266" s="121"/>
      <c r="AE2266" s="121"/>
      <c r="AF2266" s="121"/>
      <c r="AG2266" s="121"/>
      <c r="AH2266" s="121"/>
      <c r="AI2266" s="121"/>
    </row>
    <row r="2267" spans="1:35" s="115" customFormat="1" ht="23.4" thickBot="1">
      <c r="A2267" s="187"/>
      <c r="B2267" s="190"/>
      <c r="C2267" s="190"/>
      <c r="D2267" s="69"/>
      <c r="E2267" s="69"/>
      <c r="F2267" s="149"/>
      <c r="G2267" s="146"/>
      <c r="H2267" s="686"/>
      <c r="I2267" s="687"/>
      <c r="J2267" s="687"/>
      <c r="K2267" s="687"/>
      <c r="L2267" s="687"/>
      <c r="M2267" s="687"/>
      <c r="N2267" s="687"/>
      <c r="O2267" s="687"/>
      <c r="P2267" s="687"/>
      <c r="Q2267" s="687"/>
      <c r="R2267" s="687"/>
      <c r="S2267" s="687"/>
      <c r="T2267" s="688"/>
      <c r="U2267" s="105"/>
      <c r="V2267" s="262"/>
      <c r="W2267" s="121"/>
      <c r="X2267" s="121"/>
      <c r="Y2267" s="121"/>
      <c r="Z2267" s="121"/>
      <c r="AA2267" s="121"/>
      <c r="AB2267" s="121"/>
      <c r="AC2267" s="121"/>
      <c r="AD2267" s="121"/>
      <c r="AE2267" s="121"/>
      <c r="AF2267" s="121"/>
      <c r="AG2267" s="121"/>
      <c r="AH2267" s="121"/>
      <c r="AI2267" s="121"/>
    </row>
    <row r="2268" spans="1:35" s="115" customFormat="1" ht="22.8">
      <c r="A2268" s="187"/>
      <c r="B2268" s="190"/>
      <c r="C2268" s="190"/>
      <c r="D2268" s="69"/>
      <c r="E2268" s="69"/>
      <c r="F2268" s="149"/>
      <c r="G2268" s="146"/>
      <c r="H2268" s="225"/>
      <c r="I2268" s="225"/>
      <c r="J2268" s="225"/>
      <c r="K2268" s="225"/>
      <c r="L2268" s="225"/>
      <c r="M2268" s="225"/>
      <c r="N2268" s="225"/>
      <c r="O2268" s="225"/>
      <c r="P2268" s="225"/>
      <c r="Q2268" s="225"/>
      <c r="R2268" s="225"/>
      <c r="S2268" s="225"/>
      <c r="T2268" s="225"/>
      <c r="U2268" s="105"/>
      <c r="V2268" s="262"/>
      <c r="W2268" s="121"/>
      <c r="X2268" s="121"/>
      <c r="Y2268" s="121"/>
      <c r="Z2268" s="121"/>
      <c r="AA2268" s="121"/>
      <c r="AB2268" s="121"/>
      <c r="AC2268" s="121"/>
      <c r="AD2268" s="121"/>
      <c r="AE2268" s="121"/>
      <c r="AF2268" s="121"/>
      <c r="AG2268" s="121"/>
      <c r="AH2268" s="121"/>
      <c r="AI2268" s="121"/>
    </row>
    <row r="2269" spans="1:35" s="115" customFormat="1" ht="14.4">
      <c r="A2269" s="187"/>
      <c r="B2269" s="190"/>
      <c r="C2269" s="190"/>
      <c r="D2269" s="69"/>
      <c r="E2269" s="69"/>
      <c r="F2269" s="149"/>
      <c r="G2269" s="146"/>
      <c r="H2269" s="98"/>
      <c r="I2269" s="99"/>
      <c r="J2269" s="99"/>
      <c r="K2269" s="99"/>
      <c r="L2269" s="99"/>
      <c r="M2269" s="99"/>
      <c r="N2269" s="99"/>
      <c r="O2269" s="99"/>
      <c r="P2269" s="99"/>
      <c r="Q2269" s="99"/>
      <c r="R2269" s="99"/>
      <c r="S2269" s="99"/>
      <c r="T2269" s="99"/>
      <c r="U2269" s="105"/>
      <c r="V2269" s="262"/>
      <c r="W2269" s="121"/>
      <c r="X2269" s="121"/>
      <c r="Y2269" s="121"/>
      <c r="Z2269" s="121"/>
      <c r="AA2269" s="121"/>
      <c r="AB2269" s="121"/>
      <c r="AC2269" s="121"/>
      <c r="AD2269" s="121"/>
      <c r="AE2269" s="121"/>
      <c r="AF2269" s="121"/>
      <c r="AG2269" s="121"/>
      <c r="AH2269" s="121"/>
      <c r="AI2269" s="121"/>
    </row>
    <row r="2270" spans="1:35" s="115" customFormat="1" ht="14.4">
      <c r="A2270" s="187"/>
      <c r="B2270" s="190"/>
      <c r="C2270" s="190"/>
      <c r="D2270" s="69"/>
      <c r="E2270" s="69"/>
      <c r="F2270" s="149"/>
      <c r="G2270" s="146"/>
      <c r="H2270" s="98"/>
      <c r="I2270" s="99"/>
      <c r="J2270" s="99"/>
      <c r="K2270" s="99"/>
      <c r="L2270" s="99"/>
      <c r="M2270" s="99"/>
      <c r="N2270" s="99"/>
      <c r="O2270" s="99"/>
      <c r="P2270" s="99"/>
      <c r="Q2270" s="99"/>
      <c r="R2270" s="99"/>
      <c r="S2270" s="99"/>
      <c r="T2270" s="99"/>
      <c r="U2270" s="105"/>
      <c r="V2270" s="262"/>
      <c r="W2270" s="121"/>
      <c r="X2270" s="121"/>
      <c r="Y2270" s="121"/>
      <c r="Z2270" s="121"/>
      <c r="AA2270" s="121"/>
      <c r="AB2270" s="121"/>
      <c r="AC2270" s="121"/>
      <c r="AD2270" s="121"/>
      <c r="AE2270" s="121"/>
      <c r="AF2270" s="121"/>
      <c r="AG2270" s="121"/>
      <c r="AH2270" s="121"/>
      <c r="AI2270" s="121"/>
    </row>
    <row r="2271" spans="1:35" s="115" customFormat="1" ht="14.4">
      <c r="A2271" s="187"/>
      <c r="B2271" s="190"/>
      <c r="C2271" s="190"/>
      <c r="D2271" s="69"/>
      <c r="E2271" s="69"/>
      <c r="F2271" s="149"/>
      <c r="G2271" s="146"/>
      <c r="H2271" s="98"/>
      <c r="I2271" s="99"/>
      <c r="J2271" s="99"/>
      <c r="K2271" s="99"/>
      <c r="L2271" s="99"/>
      <c r="M2271" s="99"/>
      <c r="N2271" s="99"/>
      <c r="O2271" s="99"/>
      <c r="P2271" s="99"/>
      <c r="Q2271" s="99"/>
      <c r="R2271" s="99"/>
      <c r="S2271" s="99"/>
      <c r="T2271" s="99"/>
      <c r="U2271" s="105"/>
      <c r="V2271" s="262"/>
      <c r="W2271" s="121"/>
      <c r="X2271" s="121"/>
      <c r="Y2271" s="121"/>
      <c r="Z2271" s="121"/>
      <c r="AA2271" s="121"/>
      <c r="AB2271" s="121"/>
      <c r="AC2271" s="121"/>
      <c r="AD2271" s="121"/>
      <c r="AE2271" s="121"/>
      <c r="AF2271" s="121"/>
      <c r="AG2271" s="121"/>
      <c r="AH2271" s="121"/>
      <c r="AI2271" s="121"/>
    </row>
    <row r="2272" spans="1:35" s="115" customFormat="1" ht="14.4">
      <c r="A2272" s="187"/>
      <c r="B2272" s="190"/>
      <c r="C2272" s="190"/>
      <c r="D2272" s="69"/>
      <c r="E2272" s="69"/>
      <c r="F2272" s="149"/>
      <c r="G2272" s="146"/>
      <c r="H2272" s="98"/>
      <c r="I2272" s="99"/>
      <c r="J2272" s="99"/>
      <c r="K2272" s="99"/>
      <c r="L2272" s="99"/>
      <c r="M2272" s="99"/>
      <c r="N2272" s="99"/>
      <c r="O2272" s="99"/>
      <c r="P2272" s="99"/>
      <c r="Q2272" s="99"/>
      <c r="R2272" s="99"/>
      <c r="S2272" s="99"/>
      <c r="T2272" s="99"/>
      <c r="U2272" s="105"/>
      <c r="V2272" s="262"/>
      <c r="W2272" s="121"/>
      <c r="X2272" s="121"/>
      <c r="Y2272" s="121"/>
      <c r="Z2272" s="121"/>
      <c r="AA2272" s="121"/>
      <c r="AB2272" s="121"/>
      <c r="AC2272" s="121"/>
      <c r="AD2272" s="121"/>
      <c r="AE2272" s="121"/>
      <c r="AF2272" s="121"/>
      <c r="AG2272" s="121"/>
      <c r="AH2272" s="121"/>
      <c r="AI2272" s="121"/>
    </row>
    <row r="2273" spans="1:35" s="115" customFormat="1" ht="14.4">
      <c r="A2273" s="187"/>
      <c r="B2273" s="190"/>
      <c r="C2273" s="190"/>
      <c r="D2273" s="69"/>
      <c r="E2273" s="69"/>
      <c r="F2273" s="149"/>
      <c r="G2273" s="146"/>
      <c r="H2273" s="98"/>
      <c r="I2273" s="99"/>
      <c r="J2273" s="99"/>
      <c r="K2273" s="99"/>
      <c r="L2273" s="99"/>
      <c r="M2273" s="99"/>
      <c r="N2273" s="99"/>
      <c r="O2273" s="99"/>
      <c r="P2273" s="99"/>
      <c r="Q2273" s="99"/>
      <c r="R2273" s="99"/>
      <c r="S2273" s="99"/>
      <c r="T2273" s="99"/>
      <c r="U2273" s="105"/>
      <c r="V2273" s="262"/>
      <c r="W2273" s="121"/>
      <c r="X2273" s="121"/>
      <c r="Y2273" s="121"/>
      <c r="Z2273" s="121"/>
      <c r="AA2273" s="121"/>
      <c r="AB2273" s="121"/>
      <c r="AC2273" s="121"/>
      <c r="AD2273" s="121"/>
      <c r="AE2273" s="121"/>
      <c r="AF2273" s="121"/>
      <c r="AG2273" s="121"/>
      <c r="AH2273" s="121"/>
      <c r="AI2273" s="121"/>
    </row>
    <row r="2274" spans="1:35" s="115" customFormat="1" ht="14.4">
      <c r="A2274" s="187"/>
      <c r="B2274" s="190"/>
      <c r="C2274" s="190"/>
      <c r="D2274" s="69"/>
      <c r="E2274" s="69"/>
      <c r="F2274" s="149"/>
      <c r="G2274" s="146"/>
      <c r="H2274" s="98"/>
      <c r="I2274" s="99"/>
      <c r="J2274" s="99"/>
      <c r="K2274" s="99"/>
      <c r="L2274" s="99"/>
      <c r="M2274" s="99"/>
      <c r="N2274" s="99"/>
      <c r="O2274" s="99"/>
      <c r="P2274" s="99"/>
      <c r="Q2274" s="99"/>
      <c r="R2274" s="99"/>
      <c r="S2274" s="99"/>
      <c r="T2274" s="99"/>
      <c r="U2274" s="105"/>
      <c r="V2274" s="262"/>
      <c r="W2274" s="121"/>
      <c r="X2274" s="121"/>
      <c r="Y2274" s="121"/>
      <c r="Z2274" s="121"/>
      <c r="AA2274" s="121"/>
      <c r="AB2274" s="121"/>
      <c r="AC2274" s="121"/>
      <c r="AD2274" s="121"/>
      <c r="AE2274" s="121"/>
      <c r="AF2274" s="121"/>
      <c r="AG2274" s="121"/>
      <c r="AH2274" s="121"/>
      <c r="AI2274" s="121"/>
    </row>
    <row r="2275" spans="1:35" s="115" customFormat="1" ht="14.4">
      <c r="A2275" s="187"/>
      <c r="B2275" s="190"/>
      <c r="C2275" s="190"/>
      <c r="D2275" s="69"/>
      <c r="E2275" s="69"/>
      <c r="F2275" s="149"/>
      <c r="G2275" s="146"/>
      <c r="H2275" s="98"/>
      <c r="I2275" s="99"/>
      <c r="J2275" s="99"/>
      <c r="K2275" s="99"/>
      <c r="L2275" s="99"/>
      <c r="M2275" s="99"/>
      <c r="N2275" s="99"/>
      <c r="O2275" s="99"/>
      <c r="P2275" s="99"/>
      <c r="Q2275" s="99"/>
      <c r="R2275" s="99"/>
      <c r="S2275" s="99"/>
      <c r="T2275" s="99"/>
      <c r="U2275" s="105"/>
      <c r="V2275" s="262"/>
      <c r="W2275" s="121"/>
      <c r="X2275" s="121"/>
      <c r="Y2275" s="121"/>
      <c r="Z2275" s="121"/>
      <c r="AA2275" s="121"/>
      <c r="AB2275" s="121"/>
      <c r="AC2275" s="121"/>
      <c r="AD2275" s="121"/>
      <c r="AE2275" s="121"/>
      <c r="AF2275" s="121"/>
      <c r="AG2275" s="121"/>
      <c r="AH2275" s="121"/>
      <c r="AI2275" s="121"/>
    </row>
    <row r="2276" spans="1:35" s="115" customFormat="1" ht="14.4">
      <c r="A2276" s="187"/>
      <c r="B2276" s="190"/>
      <c r="C2276" s="190"/>
      <c r="D2276" s="69"/>
      <c r="E2276" s="69"/>
      <c r="F2276" s="149"/>
      <c r="G2276" s="146"/>
      <c r="H2276" s="98"/>
      <c r="I2276" s="99"/>
      <c r="J2276" s="99"/>
      <c r="K2276" s="99"/>
      <c r="L2276" s="99"/>
      <c r="M2276" s="99"/>
      <c r="N2276" s="99"/>
      <c r="O2276" s="99"/>
      <c r="P2276" s="99"/>
      <c r="Q2276" s="99"/>
      <c r="R2276" s="99"/>
      <c r="S2276" s="99"/>
      <c r="T2276" s="99"/>
      <c r="U2276" s="105"/>
      <c r="V2276" s="262"/>
      <c r="W2276" s="121"/>
      <c r="X2276" s="121"/>
      <c r="Y2276" s="121"/>
      <c r="Z2276" s="121"/>
      <c r="AA2276" s="121"/>
      <c r="AB2276" s="121"/>
      <c r="AC2276" s="121"/>
      <c r="AD2276" s="121"/>
      <c r="AE2276" s="121"/>
      <c r="AF2276" s="121"/>
      <c r="AG2276" s="121"/>
      <c r="AH2276" s="121"/>
      <c r="AI2276" s="121"/>
    </row>
    <row r="2277" spans="1:35" s="115" customFormat="1" ht="14.4">
      <c r="A2277" s="187"/>
      <c r="B2277" s="190"/>
      <c r="C2277" s="190"/>
      <c r="D2277" s="69"/>
      <c r="E2277" s="69"/>
      <c r="F2277" s="149"/>
      <c r="G2277" s="146"/>
      <c r="H2277" s="98"/>
      <c r="I2277" s="99"/>
      <c r="J2277" s="99"/>
      <c r="K2277" s="99"/>
      <c r="L2277" s="99"/>
      <c r="M2277" s="99"/>
      <c r="N2277" s="99"/>
      <c r="O2277" s="99"/>
      <c r="P2277" s="99"/>
      <c r="Q2277" s="99"/>
      <c r="R2277" s="99"/>
      <c r="S2277" s="99"/>
      <c r="T2277" s="99"/>
      <c r="U2277" s="105"/>
      <c r="V2277" s="262"/>
      <c r="W2277" s="121"/>
      <c r="X2277" s="121"/>
      <c r="Y2277" s="121"/>
      <c r="Z2277" s="121"/>
      <c r="AA2277" s="121"/>
      <c r="AB2277" s="121"/>
      <c r="AC2277" s="121"/>
      <c r="AD2277" s="121"/>
      <c r="AE2277" s="121"/>
      <c r="AF2277" s="121"/>
      <c r="AG2277" s="121"/>
      <c r="AH2277" s="121"/>
      <c r="AI2277" s="121"/>
    </row>
    <row r="2278" spans="1:35" s="115" customFormat="1" ht="24" customHeight="1">
      <c r="A2278" s="187"/>
      <c r="B2278" s="190"/>
      <c r="C2278" s="190"/>
      <c r="D2278" s="69"/>
      <c r="E2278" s="69"/>
      <c r="F2278" s="149"/>
      <c r="G2278" s="146"/>
      <c r="H2278" s="98"/>
      <c r="I2278" s="99"/>
      <c r="J2278" s="99"/>
      <c r="K2278" s="99"/>
      <c r="L2278" s="99"/>
      <c r="M2278" s="99"/>
      <c r="N2278" s="99"/>
      <c r="O2278" s="99"/>
      <c r="P2278" s="99"/>
      <c r="Q2278" s="99"/>
      <c r="R2278" s="99"/>
      <c r="S2278" s="99"/>
      <c r="T2278" s="99"/>
      <c r="U2278" s="105"/>
      <c r="V2278" s="262"/>
      <c r="W2278" s="121"/>
      <c r="X2278" s="121"/>
      <c r="Y2278" s="121"/>
      <c r="Z2278" s="121"/>
      <c r="AA2278" s="121"/>
      <c r="AB2278" s="121"/>
      <c r="AC2278" s="121"/>
      <c r="AD2278" s="121"/>
      <c r="AE2278" s="121"/>
      <c r="AF2278" s="121"/>
      <c r="AG2278" s="121"/>
      <c r="AH2278" s="121"/>
      <c r="AI2278" s="121"/>
    </row>
    <row r="2279" spans="1:35" s="115" customFormat="1" ht="14.4">
      <c r="A2279" s="187"/>
      <c r="B2279" s="190"/>
      <c r="C2279" s="190"/>
      <c r="D2279" s="69"/>
      <c r="E2279" s="69"/>
      <c r="F2279" s="149"/>
      <c r="G2279" s="146"/>
      <c r="H2279" s="98"/>
      <c r="I2279" s="99"/>
      <c r="J2279" s="99"/>
      <c r="K2279" s="99"/>
      <c r="L2279" s="99"/>
      <c r="M2279" s="99"/>
      <c r="N2279" s="99"/>
      <c r="O2279" s="99"/>
      <c r="P2279" s="99"/>
      <c r="Q2279" s="99"/>
      <c r="R2279" s="99"/>
      <c r="S2279" s="99"/>
      <c r="T2279" s="99"/>
      <c r="U2279" s="105"/>
      <c r="V2279" s="262"/>
      <c r="W2279" s="121"/>
      <c r="X2279" s="121"/>
      <c r="Y2279" s="121"/>
      <c r="Z2279" s="121"/>
      <c r="AA2279" s="121"/>
      <c r="AB2279" s="121"/>
      <c r="AC2279" s="121"/>
      <c r="AD2279" s="121"/>
      <c r="AE2279" s="121"/>
      <c r="AF2279" s="121"/>
      <c r="AG2279" s="121"/>
      <c r="AH2279" s="121"/>
      <c r="AI2279" s="121"/>
    </row>
    <row r="2280" spans="1:35" s="115" customFormat="1" ht="14.4">
      <c r="A2280" s="187"/>
      <c r="B2280" s="190"/>
      <c r="C2280" s="190"/>
      <c r="D2280" s="69"/>
      <c r="E2280" s="69"/>
      <c r="F2280" s="149"/>
      <c r="G2280" s="146"/>
      <c r="H2280" s="98"/>
      <c r="I2280" s="99"/>
      <c r="J2280" s="99"/>
      <c r="K2280" s="99"/>
      <c r="L2280" s="99"/>
      <c r="M2280" s="99"/>
      <c r="N2280" s="99"/>
      <c r="O2280" s="99"/>
      <c r="P2280" s="99"/>
      <c r="Q2280" s="99"/>
      <c r="R2280" s="99"/>
      <c r="S2280" s="99"/>
      <c r="T2280" s="99"/>
      <c r="U2280" s="105"/>
      <c r="V2280" s="262"/>
      <c r="W2280" s="121"/>
      <c r="X2280" s="121"/>
      <c r="Y2280" s="121"/>
      <c r="Z2280" s="121"/>
      <c r="AA2280" s="121"/>
      <c r="AB2280" s="121"/>
      <c r="AC2280" s="121"/>
      <c r="AD2280" s="121"/>
      <c r="AE2280" s="121"/>
      <c r="AF2280" s="121"/>
      <c r="AG2280" s="121"/>
      <c r="AH2280" s="121"/>
      <c r="AI2280" s="121"/>
    </row>
    <row r="2281" spans="1:35" s="115" customFormat="1" ht="14.4">
      <c r="A2281" s="187"/>
      <c r="B2281" s="190"/>
      <c r="C2281" s="190"/>
      <c r="D2281" s="69"/>
      <c r="E2281" s="69"/>
      <c r="F2281" s="149"/>
      <c r="G2281" s="146"/>
      <c r="H2281" s="98"/>
      <c r="I2281" s="99"/>
      <c r="J2281" s="99"/>
      <c r="K2281" s="99"/>
      <c r="L2281" s="99"/>
      <c r="M2281" s="99"/>
      <c r="N2281" s="99"/>
      <c r="O2281" s="99"/>
      <c r="P2281" s="99"/>
      <c r="Q2281" s="99"/>
      <c r="R2281" s="99"/>
      <c r="S2281" s="99"/>
      <c r="T2281" s="99"/>
      <c r="U2281" s="105"/>
      <c r="V2281" s="262"/>
      <c r="W2281" s="121"/>
      <c r="X2281" s="121"/>
      <c r="Y2281" s="121"/>
      <c r="Z2281" s="121"/>
      <c r="AA2281" s="121"/>
      <c r="AB2281" s="121"/>
      <c r="AC2281" s="121"/>
      <c r="AD2281" s="121"/>
      <c r="AE2281" s="121"/>
      <c r="AF2281" s="121"/>
      <c r="AG2281" s="121"/>
      <c r="AH2281" s="121"/>
      <c r="AI2281" s="121"/>
    </row>
    <row r="2282" spans="1:35" s="115" customFormat="1" ht="14.4">
      <c r="A2282" s="187"/>
      <c r="B2282" s="190"/>
      <c r="C2282" s="190"/>
      <c r="D2282" s="69"/>
      <c r="E2282" s="69"/>
      <c r="F2282" s="149"/>
      <c r="G2282" s="146"/>
      <c r="H2282" s="107"/>
      <c r="I2282" s="108"/>
      <c r="J2282" s="108"/>
      <c r="K2282" s="108"/>
      <c r="L2282" s="108"/>
      <c r="M2282" s="108"/>
      <c r="N2282" s="109"/>
      <c r="O2282" s="109"/>
      <c r="P2282" s="109"/>
      <c r="Q2282" s="109"/>
      <c r="R2282" s="109"/>
      <c r="S2282" s="109"/>
      <c r="T2282" s="109"/>
      <c r="U2282" s="105"/>
      <c r="V2282" s="262"/>
      <c r="W2282" s="121"/>
      <c r="X2282" s="121"/>
      <c r="Y2282" s="121"/>
      <c r="Z2282" s="121"/>
      <c r="AA2282" s="121"/>
      <c r="AB2282" s="121"/>
      <c r="AC2282" s="121"/>
      <c r="AD2282" s="121"/>
      <c r="AE2282" s="121"/>
      <c r="AF2282" s="121"/>
      <c r="AG2282" s="121"/>
      <c r="AH2282" s="121"/>
      <c r="AI2282" s="121"/>
    </row>
    <row r="2283" spans="1:35" s="115" customFormat="1" ht="14.4">
      <c r="A2283" s="187"/>
      <c r="B2283" s="190"/>
      <c r="C2283" s="190"/>
      <c r="D2283" s="69"/>
      <c r="E2283" s="69"/>
      <c r="F2283" s="149"/>
      <c r="G2283" s="146"/>
      <c r="H2283" s="98"/>
      <c r="I2283" s="106"/>
      <c r="J2283" s="106"/>
      <c r="K2283" s="106"/>
      <c r="L2283" s="106"/>
      <c r="M2283" s="106"/>
      <c r="N2283" s="112"/>
      <c r="O2283" s="112"/>
      <c r="P2283" s="112"/>
      <c r="Q2283" s="113"/>
      <c r="R2283" s="113"/>
      <c r="S2283" s="113"/>
      <c r="T2283" s="113"/>
      <c r="U2283" s="105"/>
      <c r="V2283" s="262"/>
      <c r="W2283" s="121"/>
      <c r="X2283" s="121"/>
      <c r="Y2283" s="121"/>
      <c r="Z2283" s="121"/>
      <c r="AA2283" s="121"/>
      <c r="AB2283" s="121"/>
      <c r="AC2283" s="121"/>
      <c r="AD2283" s="121"/>
      <c r="AE2283" s="121"/>
      <c r="AF2283" s="121"/>
      <c r="AG2283" s="121"/>
      <c r="AH2283" s="121"/>
      <c r="AI2283" s="121"/>
    </row>
    <row r="2284" spans="1:35" s="115" customFormat="1" ht="14.4">
      <c r="A2284" s="187"/>
      <c r="B2284" s="190"/>
      <c r="C2284" s="190"/>
      <c r="D2284" s="69"/>
      <c r="E2284" s="69"/>
      <c r="F2284" s="149"/>
      <c r="G2284" s="146"/>
      <c r="H2284" s="98"/>
      <c r="I2284" s="99"/>
      <c r="J2284" s="99"/>
      <c r="K2284" s="99"/>
      <c r="L2284" s="99"/>
      <c r="M2284" s="99"/>
      <c r="N2284" s="99"/>
      <c r="O2284" s="99"/>
      <c r="P2284" s="99"/>
      <c r="Q2284" s="99"/>
      <c r="R2284" s="99"/>
      <c r="S2284" s="99"/>
      <c r="T2284" s="99"/>
      <c r="U2284" s="105"/>
      <c r="V2284" s="262"/>
      <c r="W2284" s="121"/>
      <c r="X2284" s="121"/>
      <c r="Y2284" s="121"/>
      <c r="Z2284" s="121"/>
      <c r="AA2284" s="121"/>
      <c r="AB2284" s="121"/>
      <c r="AC2284" s="121"/>
      <c r="AD2284" s="121"/>
      <c r="AE2284" s="121"/>
      <c r="AF2284" s="121"/>
      <c r="AG2284" s="121"/>
      <c r="AH2284" s="121"/>
      <c r="AI2284" s="121"/>
    </row>
    <row r="2285" spans="1:35" s="115" customFormat="1" ht="14.4">
      <c r="A2285" s="187"/>
      <c r="B2285" s="190"/>
      <c r="C2285" s="190"/>
      <c r="D2285" s="69"/>
      <c r="E2285" s="69"/>
      <c r="F2285" s="149"/>
      <c r="G2285" s="146"/>
      <c r="H2285" s="98"/>
      <c r="I2285" s="99"/>
      <c r="J2285" s="99"/>
      <c r="K2285" s="99"/>
      <c r="L2285" s="99"/>
      <c r="M2285" s="99"/>
      <c r="N2285" s="99"/>
      <c r="O2285" s="99"/>
      <c r="P2285" s="99"/>
      <c r="Q2285" s="99"/>
      <c r="R2285" s="99"/>
      <c r="S2285" s="99"/>
      <c r="T2285" s="99"/>
      <c r="U2285" s="105"/>
      <c r="V2285" s="262"/>
      <c r="W2285" s="121"/>
      <c r="X2285" s="121"/>
      <c r="Y2285" s="121"/>
      <c r="Z2285" s="121"/>
      <c r="AA2285" s="121"/>
      <c r="AB2285" s="121"/>
      <c r="AC2285" s="121"/>
      <c r="AD2285" s="121"/>
      <c r="AE2285" s="121"/>
      <c r="AF2285" s="121"/>
      <c r="AG2285" s="121"/>
      <c r="AH2285" s="121"/>
      <c r="AI2285" s="121"/>
    </row>
    <row r="2286" spans="1:35" s="115" customFormat="1" ht="14.4">
      <c r="A2286" s="187"/>
      <c r="B2286" s="190"/>
      <c r="C2286" s="190"/>
      <c r="D2286" s="69"/>
      <c r="E2286" s="69"/>
      <c r="F2286" s="149"/>
      <c r="G2286" s="146"/>
      <c r="H2286" s="98"/>
      <c r="I2286" s="99"/>
      <c r="J2286" s="99"/>
      <c r="K2286" s="99"/>
      <c r="L2286" s="99"/>
      <c r="M2286" s="99"/>
      <c r="N2286" s="99"/>
      <c r="O2286" s="99"/>
      <c r="P2286" s="99"/>
      <c r="Q2286" s="99"/>
      <c r="R2286" s="99"/>
      <c r="S2286" s="99"/>
      <c r="T2286" s="99"/>
      <c r="U2286" s="105"/>
      <c r="V2286" s="262"/>
      <c r="W2286" s="121"/>
      <c r="X2286" s="121"/>
      <c r="Y2286" s="121"/>
      <c r="Z2286" s="121"/>
      <c r="AA2286" s="121"/>
      <c r="AB2286" s="121"/>
      <c r="AC2286" s="121"/>
      <c r="AD2286" s="121"/>
      <c r="AE2286" s="121"/>
      <c r="AF2286" s="121"/>
      <c r="AG2286" s="121"/>
      <c r="AH2286" s="121"/>
      <c r="AI2286" s="121"/>
    </row>
    <row r="2287" spans="1:35" s="115" customFormat="1" ht="14.4">
      <c r="A2287" s="187"/>
      <c r="B2287" s="190"/>
      <c r="C2287" s="190"/>
      <c r="D2287" s="69"/>
      <c r="E2287" s="69"/>
      <c r="F2287" s="149"/>
      <c r="G2287" s="146"/>
      <c r="H2287" s="98"/>
      <c r="I2287" s="99"/>
      <c r="J2287" s="99"/>
      <c r="K2287" s="99"/>
      <c r="L2287" s="99"/>
      <c r="M2287" s="99"/>
      <c r="N2287" s="99"/>
      <c r="O2287" s="99"/>
      <c r="P2287" s="99"/>
      <c r="Q2287" s="99"/>
      <c r="R2287" s="99"/>
      <c r="S2287" s="99"/>
      <c r="T2287" s="99"/>
      <c r="U2287" s="105"/>
      <c r="V2287" s="262"/>
      <c r="W2287" s="121"/>
      <c r="X2287" s="121"/>
      <c r="Y2287" s="121"/>
      <c r="Z2287" s="121"/>
      <c r="AA2287" s="121"/>
      <c r="AB2287" s="121"/>
      <c r="AC2287" s="121"/>
      <c r="AD2287" s="121"/>
      <c r="AE2287" s="121"/>
      <c r="AF2287" s="121"/>
      <c r="AG2287" s="121"/>
      <c r="AH2287" s="121"/>
      <c r="AI2287" s="121"/>
    </row>
    <row r="2288" spans="1:35" s="115" customFormat="1" ht="14.4">
      <c r="A2288" s="187"/>
      <c r="B2288" s="190"/>
      <c r="C2288" s="190"/>
      <c r="D2288" s="69"/>
      <c r="E2288" s="69"/>
      <c r="F2288" s="149"/>
      <c r="G2288" s="146"/>
      <c r="H2288" s="98"/>
      <c r="I2288" s="99"/>
      <c r="J2288" s="99"/>
      <c r="K2288" s="99"/>
      <c r="L2288" s="99"/>
      <c r="M2288" s="99"/>
      <c r="N2288" s="99"/>
      <c r="O2288" s="99"/>
      <c r="P2288" s="99"/>
      <c r="Q2288" s="99"/>
      <c r="R2288" s="99"/>
      <c r="S2288" s="99"/>
      <c r="T2288" s="99"/>
      <c r="U2288" s="105"/>
      <c r="V2288" s="262"/>
      <c r="W2288" s="121"/>
      <c r="X2288" s="121"/>
      <c r="Y2288" s="121"/>
      <c r="Z2288" s="121"/>
      <c r="AA2288" s="121"/>
      <c r="AB2288" s="121"/>
      <c r="AC2288" s="121"/>
      <c r="AD2288" s="121"/>
      <c r="AE2288" s="121"/>
      <c r="AF2288" s="121"/>
      <c r="AG2288" s="121"/>
      <c r="AH2288" s="121"/>
      <c r="AI2288" s="121"/>
    </row>
    <row r="2289" spans="1:35" s="115" customFormat="1" ht="14.4">
      <c r="A2289" s="187"/>
      <c r="B2289" s="190"/>
      <c r="C2289" s="190"/>
      <c r="D2289" s="69"/>
      <c r="E2289" s="69"/>
      <c r="F2289" s="149"/>
      <c r="G2289" s="146"/>
      <c r="H2289" s="98"/>
      <c r="I2289" s="99"/>
      <c r="J2289" s="99"/>
      <c r="K2289" s="99"/>
      <c r="L2289" s="99"/>
      <c r="M2289" s="99"/>
      <c r="N2289" s="99"/>
      <c r="O2289" s="99"/>
      <c r="P2289" s="99"/>
      <c r="Q2289" s="99"/>
      <c r="R2289" s="99"/>
      <c r="S2289" s="99"/>
      <c r="T2289" s="99"/>
      <c r="U2289" s="105"/>
      <c r="V2289" s="262"/>
      <c r="W2289" s="121"/>
      <c r="X2289" s="121"/>
      <c r="Y2289" s="121"/>
      <c r="Z2289" s="121"/>
      <c r="AA2289" s="121"/>
      <c r="AB2289" s="121"/>
      <c r="AC2289" s="121"/>
      <c r="AD2289" s="121"/>
      <c r="AE2289" s="121"/>
      <c r="AF2289" s="121"/>
      <c r="AG2289" s="121"/>
      <c r="AH2289" s="121"/>
      <c r="AI2289" s="121"/>
    </row>
    <row r="2290" spans="1:35" s="115" customFormat="1" ht="14.4">
      <c r="A2290" s="187"/>
      <c r="B2290" s="190"/>
      <c r="C2290" s="190"/>
      <c r="D2290" s="69"/>
      <c r="E2290" s="69"/>
      <c r="F2290" s="149"/>
      <c r="G2290" s="146"/>
      <c r="H2290" s="98"/>
      <c r="I2290" s="99"/>
      <c r="J2290" s="99"/>
      <c r="K2290" s="99"/>
      <c r="L2290" s="99"/>
      <c r="M2290" s="99"/>
      <c r="N2290" s="99"/>
      <c r="O2290" s="99"/>
      <c r="P2290" s="99"/>
      <c r="Q2290" s="99"/>
      <c r="R2290" s="99"/>
      <c r="S2290" s="99"/>
      <c r="T2290" s="99"/>
      <c r="U2290" s="105"/>
      <c r="V2290" s="262"/>
      <c r="W2290" s="121"/>
      <c r="X2290" s="121"/>
      <c r="Y2290" s="121"/>
      <c r="Z2290" s="121"/>
      <c r="AA2290" s="121"/>
      <c r="AB2290" s="121"/>
      <c r="AC2290" s="121"/>
      <c r="AD2290" s="121"/>
      <c r="AE2290" s="121"/>
      <c r="AF2290" s="121"/>
      <c r="AG2290" s="121"/>
      <c r="AH2290" s="121"/>
      <c r="AI2290" s="121"/>
    </row>
    <row r="2291" spans="1:35" s="115" customFormat="1" ht="14.4">
      <c r="A2291" s="187"/>
      <c r="B2291" s="190"/>
      <c r="C2291" s="190"/>
      <c r="D2291" s="69"/>
      <c r="E2291" s="69"/>
      <c r="F2291" s="149"/>
      <c r="G2291" s="146"/>
      <c r="H2291" s="98"/>
      <c r="I2291" s="99"/>
      <c r="J2291" s="99"/>
      <c r="K2291" s="99"/>
      <c r="L2291" s="99"/>
      <c r="M2291" s="99"/>
      <c r="N2291" s="99"/>
      <c r="O2291" s="99"/>
      <c r="P2291" s="99"/>
      <c r="Q2291" s="99"/>
      <c r="R2291" s="99"/>
      <c r="S2291" s="99"/>
      <c r="T2291" s="99"/>
      <c r="U2291" s="105"/>
      <c r="V2291" s="262"/>
      <c r="W2291" s="121"/>
      <c r="X2291" s="121"/>
      <c r="Y2291" s="121"/>
      <c r="Z2291" s="121"/>
      <c r="AA2291" s="121"/>
      <c r="AB2291" s="121"/>
      <c r="AC2291" s="121"/>
      <c r="AD2291" s="121"/>
      <c r="AE2291" s="121"/>
      <c r="AF2291" s="121"/>
      <c r="AG2291" s="121"/>
      <c r="AH2291" s="121"/>
      <c r="AI2291" s="121"/>
    </row>
    <row r="2292" spans="1:35" s="115" customFormat="1" ht="14.4">
      <c r="A2292" s="187"/>
      <c r="B2292" s="190"/>
      <c r="C2292" s="190"/>
      <c r="D2292" s="69"/>
      <c r="E2292" s="69"/>
      <c r="F2292" s="149"/>
      <c r="G2292" s="146"/>
      <c r="H2292" s="98"/>
      <c r="I2292" s="99"/>
      <c r="J2292" s="99"/>
      <c r="K2292" s="99"/>
      <c r="L2292" s="99"/>
      <c r="M2292" s="99"/>
      <c r="N2292" s="99"/>
      <c r="O2292" s="99"/>
      <c r="P2292" s="99"/>
      <c r="Q2292" s="99"/>
      <c r="R2292" s="99"/>
      <c r="S2292" s="99"/>
      <c r="T2292" s="99"/>
      <c r="U2292" s="105"/>
      <c r="V2292" s="262"/>
      <c r="W2292" s="121"/>
      <c r="X2292" s="121"/>
      <c r="Y2292" s="121"/>
      <c r="Z2292" s="121"/>
      <c r="AA2292" s="121"/>
      <c r="AB2292" s="121"/>
      <c r="AC2292" s="121"/>
      <c r="AD2292" s="121"/>
      <c r="AE2292" s="121"/>
      <c r="AF2292" s="121"/>
      <c r="AG2292" s="121"/>
      <c r="AH2292" s="121"/>
      <c r="AI2292" s="121"/>
    </row>
    <row r="2293" spans="1:35" s="115" customFormat="1" ht="14.4">
      <c r="A2293" s="187"/>
      <c r="B2293" s="190"/>
      <c r="C2293" s="190"/>
      <c r="D2293" s="69"/>
      <c r="E2293" s="69"/>
      <c r="F2293" s="149"/>
      <c r="G2293" s="146"/>
      <c r="H2293" s="98"/>
      <c r="I2293" s="99"/>
      <c r="J2293" s="99"/>
      <c r="K2293" s="99"/>
      <c r="L2293" s="99"/>
      <c r="M2293" s="99"/>
      <c r="N2293" s="99"/>
      <c r="O2293" s="99"/>
      <c r="P2293" s="99"/>
      <c r="Q2293" s="99"/>
      <c r="R2293" s="99"/>
      <c r="S2293" s="99"/>
      <c r="T2293" s="99"/>
      <c r="U2293" s="105"/>
      <c r="V2293" s="262"/>
      <c r="W2293" s="121"/>
      <c r="X2293" s="121"/>
      <c r="Y2293" s="121"/>
      <c r="Z2293" s="121"/>
      <c r="AA2293" s="121"/>
      <c r="AB2293" s="121"/>
      <c r="AC2293" s="121"/>
      <c r="AD2293" s="121"/>
      <c r="AE2293" s="121"/>
      <c r="AF2293" s="121"/>
      <c r="AG2293" s="121"/>
      <c r="AH2293" s="121"/>
      <c r="AI2293" s="121"/>
    </row>
    <row r="2294" spans="1:35" s="115" customFormat="1" ht="14.4">
      <c r="A2294" s="187"/>
      <c r="B2294" s="190"/>
      <c r="C2294" s="190"/>
      <c r="D2294" s="69"/>
      <c r="E2294" s="69"/>
      <c r="F2294" s="149"/>
      <c r="G2294" s="146"/>
      <c r="H2294" s="98"/>
      <c r="I2294" s="99"/>
      <c r="J2294" s="99"/>
      <c r="K2294" s="99"/>
      <c r="L2294" s="99"/>
      <c r="M2294" s="99"/>
      <c r="N2294" s="99"/>
      <c r="O2294" s="99"/>
      <c r="P2294" s="99"/>
      <c r="Q2294" s="99"/>
      <c r="R2294" s="99"/>
      <c r="S2294" s="99"/>
      <c r="T2294" s="99"/>
      <c r="U2294" s="105"/>
      <c r="V2294" s="262"/>
      <c r="W2294" s="121"/>
      <c r="X2294" s="121"/>
      <c r="Y2294" s="121"/>
      <c r="Z2294" s="121"/>
      <c r="AA2294" s="121"/>
      <c r="AB2294" s="121"/>
      <c r="AC2294" s="121"/>
      <c r="AD2294" s="121"/>
      <c r="AE2294" s="121"/>
      <c r="AF2294" s="121"/>
      <c r="AG2294" s="121"/>
      <c r="AH2294" s="121"/>
      <c r="AI2294" s="121"/>
    </row>
    <row r="2295" spans="1:35" s="115" customFormat="1" ht="14.4">
      <c r="A2295" s="187"/>
      <c r="B2295" s="190"/>
      <c r="C2295" s="190"/>
      <c r="D2295" s="69"/>
      <c r="E2295" s="69"/>
      <c r="F2295" s="149"/>
      <c r="G2295" s="146"/>
      <c r="H2295" s="98"/>
      <c r="I2295" s="99"/>
      <c r="J2295" s="99"/>
      <c r="K2295" s="99"/>
      <c r="L2295" s="99"/>
      <c r="M2295" s="99"/>
      <c r="N2295" s="99"/>
      <c r="O2295" s="99"/>
      <c r="P2295" s="99"/>
      <c r="Q2295" s="99"/>
      <c r="R2295" s="99"/>
      <c r="S2295" s="99"/>
      <c r="T2295" s="99"/>
      <c r="U2295" s="105"/>
      <c r="V2295" s="262"/>
      <c r="W2295" s="121"/>
      <c r="X2295" s="121"/>
      <c r="Y2295" s="121"/>
      <c r="Z2295" s="121"/>
      <c r="AA2295" s="121"/>
      <c r="AB2295" s="121"/>
      <c r="AC2295" s="121"/>
      <c r="AD2295" s="121"/>
      <c r="AE2295" s="121"/>
      <c r="AF2295" s="121"/>
      <c r="AG2295" s="121"/>
      <c r="AH2295" s="121"/>
      <c r="AI2295" s="121"/>
    </row>
    <row r="2296" spans="1:35" s="115" customFormat="1" ht="14.4">
      <c r="A2296" s="187"/>
      <c r="B2296" s="190"/>
      <c r="C2296" s="190"/>
      <c r="D2296" s="69"/>
      <c r="E2296" s="69"/>
      <c r="F2296" s="149"/>
      <c r="G2296" s="146"/>
      <c r="H2296" s="98"/>
      <c r="I2296" s="99"/>
      <c r="J2296" s="99"/>
      <c r="K2296" s="99"/>
      <c r="L2296" s="99"/>
      <c r="M2296" s="99"/>
      <c r="N2296" s="99"/>
      <c r="O2296" s="99"/>
      <c r="P2296" s="99"/>
      <c r="Q2296" s="99"/>
      <c r="R2296" s="99"/>
      <c r="S2296" s="99"/>
      <c r="T2296" s="99"/>
      <c r="U2296" s="105"/>
      <c r="V2296" s="262"/>
      <c r="W2296" s="121"/>
      <c r="X2296" s="121"/>
      <c r="Y2296" s="121"/>
      <c r="Z2296" s="121"/>
      <c r="AA2296" s="121"/>
      <c r="AB2296" s="121"/>
      <c r="AC2296" s="121"/>
      <c r="AD2296" s="121"/>
      <c r="AE2296" s="121"/>
      <c r="AF2296" s="121"/>
      <c r="AG2296" s="121"/>
      <c r="AH2296" s="121"/>
      <c r="AI2296" s="121"/>
    </row>
    <row r="2297" spans="1:35" s="115" customFormat="1" ht="14.4">
      <c r="A2297" s="187"/>
      <c r="B2297" s="190"/>
      <c r="C2297" s="190"/>
      <c r="D2297" s="69"/>
      <c r="E2297" s="69"/>
      <c r="F2297" s="149"/>
      <c r="G2297" s="146"/>
      <c r="H2297" s="98"/>
      <c r="I2297" s="99"/>
      <c r="J2297" s="99"/>
      <c r="K2297" s="99"/>
      <c r="L2297" s="99"/>
      <c r="M2297" s="99"/>
      <c r="N2297" s="99"/>
      <c r="O2297" s="99"/>
      <c r="P2297" s="99"/>
      <c r="Q2297" s="99"/>
      <c r="R2297" s="99"/>
      <c r="S2297" s="99"/>
      <c r="T2297" s="99"/>
      <c r="U2297" s="105"/>
      <c r="V2297" s="262"/>
      <c r="W2297" s="121"/>
      <c r="X2297" s="121"/>
      <c r="Y2297" s="121"/>
      <c r="Z2297" s="121"/>
      <c r="AA2297" s="121"/>
      <c r="AB2297" s="121"/>
      <c r="AC2297" s="121"/>
      <c r="AD2297" s="121"/>
      <c r="AE2297" s="121"/>
      <c r="AF2297" s="121"/>
      <c r="AG2297" s="121"/>
      <c r="AH2297" s="121"/>
      <c r="AI2297" s="121"/>
    </row>
    <row r="2298" spans="1:35" s="115" customFormat="1" ht="14.4">
      <c r="A2298" s="187"/>
      <c r="B2298" s="190"/>
      <c r="C2298" s="190"/>
      <c r="D2298" s="69"/>
      <c r="E2298" s="69"/>
      <c r="F2298" s="149"/>
      <c r="G2298" s="146"/>
      <c r="H2298" s="98"/>
      <c r="I2298" s="99"/>
      <c r="J2298" s="99"/>
      <c r="K2298" s="99"/>
      <c r="L2298" s="99"/>
      <c r="M2298" s="99"/>
      <c r="N2298" s="99"/>
      <c r="O2298" s="99"/>
      <c r="P2298" s="99"/>
      <c r="Q2298" s="99"/>
      <c r="R2298" s="99"/>
      <c r="S2298" s="99"/>
      <c r="T2298" s="99"/>
      <c r="U2298" s="105"/>
      <c r="V2298" s="262"/>
      <c r="W2298" s="121"/>
      <c r="X2298" s="121"/>
      <c r="Y2298" s="121"/>
      <c r="Z2298" s="121"/>
      <c r="AA2298" s="121"/>
      <c r="AB2298" s="121"/>
      <c r="AC2298" s="121"/>
      <c r="AD2298" s="121"/>
      <c r="AE2298" s="121"/>
      <c r="AF2298" s="121"/>
      <c r="AG2298" s="121"/>
      <c r="AH2298" s="121"/>
      <c r="AI2298" s="121"/>
    </row>
    <row r="2299" spans="1:35" s="115" customFormat="1" ht="14.4">
      <c r="A2299" s="187"/>
      <c r="B2299" s="190"/>
      <c r="C2299" s="190"/>
      <c r="D2299" s="69"/>
      <c r="E2299" s="69"/>
      <c r="F2299" s="149"/>
      <c r="G2299" s="146"/>
      <c r="H2299" s="98"/>
      <c r="I2299" s="99"/>
      <c r="J2299" s="99"/>
      <c r="K2299" s="99"/>
      <c r="L2299" s="99"/>
      <c r="M2299" s="99"/>
      <c r="N2299" s="99"/>
      <c r="O2299" s="99"/>
      <c r="P2299" s="99"/>
      <c r="Q2299" s="99"/>
      <c r="R2299" s="99"/>
      <c r="S2299" s="99"/>
      <c r="T2299" s="99"/>
      <c r="U2299" s="105"/>
      <c r="V2299" s="262"/>
      <c r="W2299" s="121"/>
      <c r="X2299" s="121"/>
      <c r="Y2299" s="121"/>
      <c r="Z2299" s="121"/>
      <c r="AA2299" s="121"/>
      <c r="AB2299" s="121"/>
      <c r="AC2299" s="121"/>
      <c r="AD2299" s="121"/>
      <c r="AE2299" s="121"/>
      <c r="AF2299" s="121"/>
      <c r="AG2299" s="121"/>
      <c r="AH2299" s="121"/>
      <c r="AI2299" s="121"/>
    </row>
    <row r="2300" spans="1:35" s="115" customFormat="1" ht="14.4">
      <c r="A2300" s="187"/>
      <c r="B2300" s="190"/>
      <c r="C2300" s="190"/>
      <c r="D2300" s="69"/>
      <c r="E2300" s="69"/>
      <c r="F2300" s="149"/>
      <c r="G2300" s="146"/>
      <c r="H2300" s="98"/>
      <c r="I2300" s="99"/>
      <c r="J2300" s="99"/>
      <c r="K2300" s="99"/>
      <c r="L2300" s="99"/>
      <c r="M2300" s="99"/>
      <c r="N2300" s="99"/>
      <c r="O2300" s="99"/>
      <c r="P2300" s="99"/>
      <c r="Q2300" s="99"/>
      <c r="R2300" s="99"/>
      <c r="S2300" s="99"/>
      <c r="T2300" s="99"/>
      <c r="U2300" s="105"/>
      <c r="V2300" s="262"/>
      <c r="W2300" s="121"/>
      <c r="X2300" s="121"/>
      <c r="Y2300" s="121"/>
      <c r="Z2300" s="121"/>
      <c r="AA2300" s="121"/>
      <c r="AB2300" s="121"/>
      <c r="AC2300" s="121"/>
      <c r="AD2300" s="121"/>
      <c r="AE2300" s="121"/>
      <c r="AF2300" s="121"/>
      <c r="AG2300" s="121"/>
      <c r="AH2300" s="121"/>
      <c r="AI2300" s="121"/>
    </row>
    <row r="2301" spans="1:35" s="115" customFormat="1" ht="14.4">
      <c r="A2301" s="187"/>
      <c r="B2301" s="190"/>
      <c r="C2301" s="190"/>
      <c r="D2301" s="69"/>
      <c r="E2301" s="69"/>
      <c r="F2301" s="149"/>
      <c r="G2301" s="146"/>
      <c r="H2301" s="98"/>
      <c r="I2301" s="99"/>
      <c r="J2301" s="99"/>
      <c r="K2301" s="99"/>
      <c r="L2301" s="99"/>
      <c r="M2301" s="99"/>
      <c r="N2301" s="99"/>
      <c r="O2301" s="99"/>
      <c r="P2301" s="99"/>
      <c r="Q2301" s="99"/>
      <c r="R2301" s="99"/>
      <c r="S2301" s="99"/>
      <c r="T2301" s="99"/>
      <c r="U2301" s="105"/>
      <c r="V2301" s="262"/>
      <c r="W2301" s="121"/>
      <c r="X2301" s="121"/>
      <c r="Y2301" s="121"/>
      <c r="Z2301" s="121"/>
      <c r="AA2301" s="121"/>
      <c r="AB2301" s="121"/>
      <c r="AC2301" s="121"/>
      <c r="AD2301" s="121"/>
      <c r="AE2301" s="121"/>
      <c r="AF2301" s="121"/>
      <c r="AG2301" s="121"/>
      <c r="AH2301" s="121"/>
      <c r="AI2301" s="121"/>
    </row>
    <row r="2302" spans="1:35" s="115" customFormat="1" ht="14.4">
      <c r="A2302" s="187"/>
      <c r="B2302" s="190"/>
      <c r="C2302" s="190"/>
      <c r="D2302" s="69"/>
      <c r="E2302" s="69"/>
      <c r="F2302" s="149"/>
      <c r="G2302" s="146"/>
      <c r="H2302" s="98"/>
      <c r="I2302" s="99"/>
      <c r="J2302" s="99"/>
      <c r="K2302" s="99"/>
      <c r="L2302" s="99"/>
      <c r="M2302" s="99"/>
      <c r="N2302" s="99"/>
      <c r="O2302" s="99"/>
      <c r="P2302" s="99"/>
      <c r="Q2302" s="99"/>
      <c r="R2302" s="99"/>
      <c r="S2302" s="99"/>
      <c r="T2302" s="99"/>
      <c r="U2302" s="105"/>
      <c r="V2302" s="262"/>
      <c r="W2302" s="121"/>
      <c r="X2302" s="121"/>
      <c r="Y2302" s="121"/>
      <c r="Z2302" s="121"/>
      <c r="AA2302" s="121"/>
      <c r="AB2302" s="121"/>
      <c r="AC2302" s="121"/>
      <c r="AD2302" s="121"/>
      <c r="AE2302" s="121"/>
      <c r="AF2302" s="121"/>
      <c r="AG2302" s="121"/>
      <c r="AH2302" s="121"/>
      <c r="AI2302" s="121"/>
    </row>
    <row r="2303" spans="1:35" s="115" customFormat="1" ht="14.4">
      <c r="A2303" s="187"/>
      <c r="B2303" s="190"/>
      <c r="C2303" s="190"/>
      <c r="D2303" s="69"/>
      <c r="E2303" s="69"/>
      <c r="F2303" s="149"/>
      <c r="G2303" s="146"/>
      <c r="H2303" s="98"/>
      <c r="I2303" s="99"/>
      <c r="J2303" s="99"/>
      <c r="K2303" s="99"/>
      <c r="L2303" s="99"/>
      <c r="M2303" s="99"/>
      <c r="N2303" s="99"/>
      <c r="O2303" s="99"/>
      <c r="P2303" s="99"/>
      <c r="Q2303" s="99"/>
      <c r="R2303" s="99"/>
      <c r="S2303" s="99"/>
      <c r="T2303" s="99"/>
      <c r="U2303" s="105"/>
      <c r="V2303" s="262"/>
      <c r="W2303" s="121"/>
      <c r="X2303" s="121"/>
      <c r="Y2303" s="121"/>
      <c r="Z2303" s="121"/>
      <c r="AA2303" s="121"/>
      <c r="AB2303" s="121"/>
      <c r="AC2303" s="121"/>
      <c r="AD2303" s="121"/>
      <c r="AE2303" s="121"/>
      <c r="AF2303" s="121"/>
      <c r="AG2303" s="121"/>
      <c r="AH2303" s="121"/>
      <c r="AI2303" s="121"/>
    </row>
    <row r="2304" spans="1:35" s="115" customFormat="1" ht="14.4">
      <c r="A2304" s="187"/>
      <c r="B2304" s="190"/>
      <c r="C2304" s="190"/>
      <c r="D2304" s="69"/>
      <c r="E2304" s="69"/>
      <c r="F2304" s="149"/>
      <c r="G2304" s="146"/>
      <c r="H2304" s="98"/>
      <c r="I2304" s="99"/>
      <c r="J2304" s="99"/>
      <c r="K2304" s="99"/>
      <c r="L2304" s="99"/>
      <c r="M2304" s="99"/>
      <c r="N2304" s="99"/>
      <c r="O2304" s="99"/>
      <c r="P2304" s="99"/>
      <c r="Q2304" s="99"/>
      <c r="R2304" s="99"/>
      <c r="S2304" s="99"/>
      <c r="T2304" s="99"/>
      <c r="U2304" s="105"/>
      <c r="V2304" s="262"/>
      <c r="W2304" s="121"/>
      <c r="X2304" s="121"/>
      <c r="Y2304" s="121"/>
      <c r="Z2304" s="121"/>
      <c r="AA2304" s="121"/>
      <c r="AB2304" s="121"/>
      <c r="AC2304" s="121"/>
      <c r="AD2304" s="121"/>
      <c r="AE2304" s="121"/>
      <c r="AF2304" s="121"/>
      <c r="AG2304" s="121"/>
      <c r="AH2304" s="121"/>
      <c r="AI2304" s="121"/>
    </row>
    <row r="2305" spans="1:35" s="115" customFormat="1" ht="14.4">
      <c r="A2305" s="187"/>
      <c r="B2305" s="190"/>
      <c r="C2305" s="190"/>
      <c r="D2305" s="69"/>
      <c r="E2305" s="69"/>
      <c r="F2305" s="149"/>
      <c r="G2305" s="146"/>
      <c r="H2305" s="98"/>
      <c r="I2305" s="99"/>
      <c r="J2305" s="99"/>
      <c r="K2305" s="99"/>
      <c r="L2305" s="99"/>
      <c r="M2305" s="99"/>
      <c r="N2305" s="99"/>
      <c r="O2305" s="99"/>
      <c r="P2305" s="99"/>
      <c r="Q2305" s="99"/>
      <c r="R2305" s="99"/>
      <c r="S2305" s="99"/>
      <c r="T2305" s="99"/>
      <c r="U2305" s="105"/>
      <c r="V2305" s="262"/>
      <c r="W2305" s="121"/>
      <c r="X2305" s="121"/>
      <c r="Y2305" s="121"/>
      <c r="Z2305" s="121"/>
      <c r="AA2305" s="121"/>
      <c r="AB2305" s="121"/>
      <c r="AC2305" s="121"/>
      <c r="AD2305" s="121"/>
      <c r="AE2305" s="121"/>
      <c r="AF2305" s="121"/>
      <c r="AG2305" s="121"/>
      <c r="AH2305" s="121"/>
      <c r="AI2305" s="121"/>
    </row>
    <row r="2306" spans="1:35" s="115" customFormat="1" ht="14.4">
      <c r="A2306" s="187"/>
      <c r="B2306" s="190"/>
      <c r="C2306" s="190"/>
      <c r="D2306" s="69"/>
      <c r="E2306" s="69"/>
      <c r="F2306" s="149"/>
      <c r="G2306" s="146"/>
      <c r="H2306" s="98"/>
      <c r="I2306" s="99"/>
      <c r="J2306" s="99"/>
      <c r="K2306" s="99"/>
      <c r="L2306" s="99"/>
      <c r="M2306" s="99"/>
      <c r="N2306" s="99"/>
      <c r="O2306" s="99"/>
      <c r="P2306" s="99"/>
      <c r="Q2306" s="99"/>
      <c r="R2306" s="99"/>
      <c r="S2306" s="99"/>
      <c r="T2306" s="99"/>
      <c r="U2306" s="105"/>
      <c r="V2306" s="262"/>
      <c r="W2306" s="121"/>
      <c r="X2306" s="121"/>
      <c r="Y2306" s="121"/>
      <c r="Z2306" s="121"/>
      <c r="AA2306" s="121"/>
      <c r="AB2306" s="121"/>
      <c r="AC2306" s="121"/>
      <c r="AD2306" s="121"/>
      <c r="AE2306" s="121"/>
      <c r="AF2306" s="121"/>
      <c r="AG2306" s="121"/>
      <c r="AH2306" s="121"/>
      <c r="AI2306" s="121"/>
    </row>
    <row r="2307" spans="1:35" s="115" customFormat="1" ht="14.4">
      <c r="A2307" s="187"/>
      <c r="B2307" s="190"/>
      <c r="C2307" s="190"/>
      <c r="D2307" s="69"/>
      <c r="E2307" s="69"/>
      <c r="F2307" s="149"/>
      <c r="G2307" s="146"/>
      <c r="H2307" s="98"/>
      <c r="I2307" s="99"/>
      <c r="J2307" s="99"/>
      <c r="K2307" s="99"/>
      <c r="L2307" s="99"/>
      <c r="M2307" s="99"/>
      <c r="N2307" s="99"/>
      <c r="O2307" s="99"/>
      <c r="P2307" s="99"/>
      <c r="Q2307" s="99"/>
      <c r="R2307" s="99"/>
      <c r="S2307" s="99"/>
      <c r="T2307" s="99"/>
      <c r="U2307" s="105"/>
      <c r="V2307" s="262"/>
      <c r="W2307" s="121"/>
      <c r="X2307" s="121"/>
      <c r="Y2307" s="121"/>
      <c r="Z2307" s="121"/>
      <c r="AA2307" s="121"/>
      <c r="AB2307" s="121"/>
      <c r="AC2307" s="121"/>
      <c r="AD2307" s="121"/>
      <c r="AE2307" s="121"/>
      <c r="AF2307" s="121"/>
      <c r="AG2307" s="121"/>
      <c r="AH2307" s="121"/>
      <c r="AI2307" s="121"/>
    </row>
    <row r="2308" spans="1:35" s="115" customFormat="1" ht="14.4">
      <c r="A2308" s="187"/>
      <c r="B2308" s="190"/>
      <c r="C2308" s="190"/>
      <c r="D2308" s="69"/>
      <c r="E2308" s="69"/>
      <c r="F2308" s="149"/>
      <c r="G2308" s="146"/>
      <c r="H2308" s="98"/>
      <c r="I2308" s="99"/>
      <c r="J2308" s="99"/>
      <c r="K2308" s="99"/>
      <c r="L2308" s="99"/>
      <c r="M2308" s="99"/>
      <c r="N2308" s="99"/>
      <c r="O2308" s="99"/>
      <c r="P2308" s="99"/>
      <c r="Q2308" s="99"/>
      <c r="R2308" s="99"/>
      <c r="S2308" s="99"/>
      <c r="T2308" s="99"/>
      <c r="U2308" s="105"/>
      <c r="V2308" s="262"/>
      <c r="W2308" s="121"/>
      <c r="X2308" s="121"/>
      <c r="Y2308" s="121"/>
      <c r="Z2308" s="121"/>
      <c r="AA2308" s="121"/>
      <c r="AB2308" s="121"/>
      <c r="AC2308" s="121"/>
      <c r="AD2308" s="121"/>
      <c r="AE2308" s="121"/>
      <c r="AF2308" s="121"/>
      <c r="AG2308" s="121"/>
      <c r="AH2308" s="121"/>
      <c r="AI2308" s="121"/>
    </row>
    <row r="2309" spans="1:35" s="115" customFormat="1" ht="14.4">
      <c r="A2309" s="187"/>
      <c r="B2309" s="190"/>
      <c r="C2309" s="190"/>
      <c r="D2309" s="69"/>
      <c r="E2309" s="69"/>
      <c r="F2309" s="149"/>
      <c r="G2309" s="146"/>
      <c r="H2309" s="98"/>
      <c r="I2309" s="99"/>
      <c r="J2309" s="99"/>
      <c r="K2309" s="99"/>
      <c r="L2309" s="99"/>
      <c r="M2309" s="99"/>
      <c r="N2309" s="99"/>
      <c r="O2309" s="99"/>
      <c r="P2309" s="99"/>
      <c r="Q2309" s="99"/>
      <c r="R2309" s="99"/>
      <c r="S2309" s="99"/>
      <c r="T2309" s="99"/>
      <c r="U2309" s="105"/>
      <c r="V2309" s="262"/>
      <c r="W2309" s="121"/>
      <c r="X2309" s="121"/>
      <c r="Y2309" s="121"/>
      <c r="Z2309" s="121"/>
      <c r="AA2309" s="121"/>
      <c r="AB2309" s="121"/>
      <c r="AC2309" s="121"/>
      <c r="AD2309" s="121"/>
      <c r="AE2309" s="121"/>
      <c r="AF2309" s="121"/>
      <c r="AG2309" s="121"/>
      <c r="AH2309" s="121"/>
      <c r="AI2309" s="121"/>
    </row>
    <row r="2310" spans="1:35" s="115" customFormat="1" ht="14.4">
      <c r="A2310" s="187"/>
      <c r="B2310" s="190"/>
      <c r="C2310" s="190"/>
      <c r="D2310" s="69"/>
      <c r="E2310" s="69"/>
      <c r="F2310" s="149"/>
      <c r="G2310" s="146"/>
      <c r="H2310" s="98"/>
      <c r="I2310" s="99"/>
      <c r="J2310" s="99"/>
      <c r="K2310" s="99"/>
      <c r="L2310" s="99"/>
      <c r="M2310" s="99"/>
      <c r="N2310" s="99"/>
      <c r="O2310" s="99"/>
      <c r="P2310" s="99"/>
      <c r="Q2310" s="99"/>
      <c r="R2310" s="99"/>
      <c r="S2310" s="99"/>
      <c r="T2310" s="99"/>
      <c r="U2310" s="105"/>
      <c r="V2310" s="262"/>
      <c r="W2310" s="121"/>
      <c r="X2310" s="121"/>
      <c r="Y2310" s="121"/>
      <c r="Z2310" s="121"/>
      <c r="AA2310" s="121"/>
      <c r="AB2310" s="121"/>
      <c r="AC2310" s="121"/>
      <c r="AD2310" s="121"/>
      <c r="AE2310" s="121"/>
      <c r="AF2310" s="121"/>
      <c r="AG2310" s="121"/>
      <c r="AH2310" s="121"/>
      <c r="AI2310" s="121"/>
    </row>
    <row r="2311" spans="1:35" s="115" customFormat="1" ht="14.4">
      <c r="A2311" s="187"/>
      <c r="B2311" s="190"/>
      <c r="C2311" s="190"/>
      <c r="D2311" s="69"/>
      <c r="E2311" s="69"/>
      <c r="F2311" s="149"/>
      <c r="G2311" s="146"/>
      <c r="H2311" s="107"/>
      <c r="I2311" s="109"/>
      <c r="J2311" s="109"/>
      <c r="K2311" s="109"/>
      <c r="L2311" s="109"/>
      <c r="M2311" s="109"/>
      <c r="N2311" s="109"/>
      <c r="O2311" s="109"/>
      <c r="P2311" s="109"/>
      <c r="Q2311" s="109"/>
      <c r="R2311" s="109"/>
      <c r="S2311" s="109"/>
      <c r="T2311" s="109"/>
      <c r="U2311" s="105"/>
      <c r="V2311" s="262"/>
      <c r="W2311" s="121"/>
      <c r="X2311" s="121"/>
      <c r="Y2311" s="121"/>
      <c r="Z2311" s="121"/>
      <c r="AA2311" s="121"/>
      <c r="AB2311" s="121"/>
      <c r="AC2311" s="121"/>
      <c r="AD2311" s="121"/>
      <c r="AE2311" s="121"/>
      <c r="AF2311" s="121"/>
      <c r="AG2311" s="121"/>
      <c r="AH2311" s="121"/>
      <c r="AI2311" s="121"/>
    </row>
    <row r="2312" spans="1:35" s="115" customFormat="1" ht="14.4">
      <c r="A2312" s="187"/>
      <c r="B2312" s="190"/>
      <c r="C2312" s="190"/>
      <c r="D2312" s="69"/>
      <c r="E2312" s="69"/>
      <c r="F2312" s="149"/>
      <c r="G2312" s="146"/>
      <c r="H2312" s="98"/>
      <c r="I2312" s="106"/>
      <c r="J2312" s="106"/>
      <c r="K2312" s="106"/>
      <c r="L2312" s="106"/>
      <c r="M2312" s="106"/>
      <c r="N2312" s="112"/>
      <c r="O2312" s="112"/>
      <c r="P2312" s="112"/>
      <c r="Q2312" s="113"/>
      <c r="R2312" s="113"/>
      <c r="S2312" s="113"/>
      <c r="T2312" s="113"/>
      <c r="U2312" s="105"/>
      <c r="V2312" s="262"/>
      <c r="W2312" s="121"/>
      <c r="X2312" s="121"/>
      <c r="Y2312" s="121"/>
      <c r="Z2312" s="121"/>
      <c r="AA2312" s="121"/>
      <c r="AB2312" s="121"/>
      <c r="AC2312" s="121"/>
      <c r="AD2312" s="121"/>
      <c r="AE2312" s="121"/>
      <c r="AF2312" s="121"/>
      <c r="AG2312" s="121"/>
      <c r="AH2312" s="121"/>
      <c r="AI2312" s="121"/>
    </row>
    <row r="2313" spans="1:35" s="115" customFormat="1" ht="14.4">
      <c r="A2313" s="187"/>
      <c r="B2313" s="190"/>
      <c r="C2313" s="190"/>
      <c r="D2313" s="69"/>
      <c r="E2313" s="69"/>
      <c r="F2313" s="149"/>
      <c r="G2313" s="146"/>
      <c r="H2313" s="98"/>
      <c r="I2313" s="99"/>
      <c r="J2313" s="99"/>
      <c r="K2313" s="99"/>
      <c r="L2313" s="99"/>
      <c r="M2313" s="99"/>
      <c r="N2313" s="99"/>
      <c r="O2313" s="99"/>
      <c r="P2313" s="99"/>
      <c r="Q2313" s="99"/>
      <c r="R2313" s="99"/>
      <c r="S2313" s="99"/>
      <c r="T2313" s="99"/>
      <c r="U2313" s="105"/>
      <c r="V2313" s="262"/>
      <c r="W2313" s="121"/>
      <c r="X2313" s="121"/>
      <c r="Y2313" s="121"/>
      <c r="Z2313" s="121"/>
      <c r="AA2313" s="121"/>
      <c r="AB2313" s="121"/>
      <c r="AC2313" s="121"/>
      <c r="AD2313" s="121"/>
      <c r="AE2313" s="121"/>
      <c r="AF2313" s="121"/>
      <c r="AG2313" s="121"/>
      <c r="AH2313" s="121"/>
      <c r="AI2313" s="121"/>
    </row>
    <row r="2314" spans="1:35" s="115" customFormat="1" ht="14.4">
      <c r="A2314" s="187"/>
      <c r="B2314" s="190"/>
      <c r="C2314" s="190"/>
      <c r="D2314" s="69"/>
      <c r="E2314" s="69"/>
      <c r="F2314" s="149"/>
      <c r="G2314" s="146"/>
      <c r="H2314" s="98"/>
      <c r="I2314" s="99"/>
      <c r="J2314" s="99"/>
      <c r="K2314" s="99"/>
      <c r="L2314" s="99"/>
      <c r="M2314" s="99"/>
      <c r="N2314" s="99"/>
      <c r="O2314" s="99"/>
      <c r="P2314" s="99"/>
      <c r="Q2314" s="99"/>
      <c r="R2314" s="99"/>
      <c r="S2314" s="99"/>
      <c r="T2314" s="99"/>
      <c r="U2314" s="105"/>
      <c r="V2314" s="262"/>
      <c r="W2314" s="121"/>
      <c r="X2314" s="121"/>
      <c r="Y2314" s="121"/>
      <c r="Z2314" s="121"/>
      <c r="AA2314" s="121"/>
      <c r="AB2314" s="121"/>
      <c r="AC2314" s="121"/>
      <c r="AD2314" s="121"/>
      <c r="AE2314" s="121"/>
      <c r="AF2314" s="121"/>
      <c r="AG2314" s="121"/>
      <c r="AH2314" s="121"/>
      <c r="AI2314" s="121"/>
    </row>
    <row r="2315" spans="1:35" s="115" customFormat="1" ht="14.4">
      <c r="A2315" s="187"/>
      <c r="B2315" s="190"/>
      <c r="C2315" s="190"/>
      <c r="D2315" s="69"/>
      <c r="E2315" s="69"/>
      <c r="F2315" s="149"/>
      <c r="G2315" s="146"/>
      <c r="H2315" s="98"/>
      <c r="I2315" s="99"/>
      <c r="J2315" s="99"/>
      <c r="K2315" s="99"/>
      <c r="L2315" s="99"/>
      <c r="M2315" s="99"/>
      <c r="N2315" s="99"/>
      <c r="O2315" s="99"/>
      <c r="P2315" s="99"/>
      <c r="Q2315" s="99"/>
      <c r="R2315" s="99"/>
      <c r="S2315" s="99"/>
      <c r="T2315" s="99"/>
      <c r="U2315" s="105"/>
      <c r="V2315" s="262"/>
      <c r="W2315" s="121"/>
      <c r="X2315" s="121"/>
      <c r="Y2315" s="121"/>
      <c r="Z2315" s="121"/>
      <c r="AA2315" s="121"/>
      <c r="AB2315" s="121"/>
      <c r="AC2315" s="121"/>
      <c r="AD2315" s="121"/>
      <c r="AE2315" s="121"/>
      <c r="AF2315" s="121"/>
      <c r="AG2315" s="121"/>
      <c r="AH2315" s="121"/>
      <c r="AI2315" s="121"/>
    </row>
    <row r="2316" spans="1:35" s="115" customFormat="1" ht="14.4">
      <c r="A2316" s="187"/>
      <c r="B2316" s="190"/>
      <c r="C2316" s="190"/>
      <c r="D2316" s="69"/>
      <c r="E2316" s="69"/>
      <c r="F2316" s="149"/>
      <c r="G2316" s="146"/>
      <c r="H2316" s="98"/>
      <c r="I2316" s="99"/>
      <c r="J2316" s="99"/>
      <c r="K2316" s="99"/>
      <c r="L2316" s="99"/>
      <c r="M2316" s="99"/>
      <c r="N2316" s="99"/>
      <c r="O2316" s="99"/>
      <c r="P2316" s="99"/>
      <c r="Q2316" s="99"/>
      <c r="R2316" s="99"/>
      <c r="S2316" s="99"/>
      <c r="T2316" s="99"/>
      <c r="U2316" s="105"/>
      <c r="V2316" s="262"/>
      <c r="W2316" s="121"/>
      <c r="X2316" s="121"/>
      <c r="Y2316" s="121"/>
      <c r="Z2316" s="121"/>
      <c r="AA2316" s="121"/>
      <c r="AB2316" s="121"/>
      <c r="AC2316" s="121"/>
      <c r="AD2316" s="121"/>
      <c r="AE2316" s="121"/>
      <c r="AF2316" s="121"/>
      <c r="AG2316" s="121"/>
      <c r="AH2316" s="121"/>
      <c r="AI2316" s="121"/>
    </row>
    <row r="2317" spans="1:35" s="115" customFormat="1" ht="14.4">
      <c r="A2317" s="187"/>
      <c r="B2317" s="190"/>
      <c r="C2317" s="190"/>
      <c r="D2317" s="69"/>
      <c r="E2317" s="69"/>
      <c r="F2317" s="149"/>
      <c r="G2317" s="146"/>
      <c r="H2317" s="98"/>
      <c r="I2317" s="99"/>
      <c r="J2317" s="99"/>
      <c r="K2317" s="99"/>
      <c r="L2317" s="99"/>
      <c r="M2317" s="99"/>
      <c r="N2317" s="99"/>
      <c r="O2317" s="99"/>
      <c r="P2317" s="99"/>
      <c r="Q2317" s="99"/>
      <c r="R2317" s="99"/>
      <c r="S2317" s="99"/>
      <c r="T2317" s="99"/>
      <c r="U2317" s="105"/>
      <c r="V2317" s="262"/>
      <c r="W2317" s="121"/>
      <c r="X2317" s="121"/>
      <c r="Y2317" s="121"/>
      <c r="Z2317" s="121"/>
      <c r="AA2317" s="121"/>
      <c r="AB2317" s="121"/>
      <c r="AC2317" s="121"/>
      <c r="AD2317" s="121"/>
      <c r="AE2317" s="121"/>
      <c r="AF2317" s="121"/>
      <c r="AG2317" s="121"/>
      <c r="AH2317" s="121"/>
      <c r="AI2317" s="121"/>
    </row>
    <row r="2318" spans="1:35" s="115" customFormat="1" ht="14.4">
      <c r="A2318" s="187"/>
      <c r="B2318" s="190"/>
      <c r="C2318" s="190"/>
      <c r="D2318" s="69"/>
      <c r="E2318" s="69"/>
      <c r="F2318" s="149"/>
      <c r="G2318" s="146"/>
      <c r="H2318" s="98"/>
      <c r="I2318" s="99"/>
      <c r="J2318" s="99"/>
      <c r="K2318" s="99"/>
      <c r="L2318" s="99"/>
      <c r="M2318" s="99"/>
      <c r="N2318" s="99"/>
      <c r="O2318" s="99"/>
      <c r="P2318" s="99"/>
      <c r="Q2318" s="99"/>
      <c r="R2318" s="99"/>
      <c r="S2318" s="99"/>
      <c r="T2318" s="99"/>
      <c r="U2318" s="105"/>
      <c r="V2318" s="262"/>
      <c r="W2318" s="121"/>
      <c r="X2318" s="121"/>
      <c r="Y2318" s="121"/>
      <c r="Z2318" s="121"/>
      <c r="AA2318" s="121"/>
      <c r="AB2318" s="121"/>
      <c r="AC2318" s="121"/>
      <c r="AD2318" s="121"/>
      <c r="AE2318" s="121"/>
      <c r="AF2318" s="121"/>
      <c r="AG2318" s="121"/>
      <c r="AH2318" s="121"/>
      <c r="AI2318" s="121"/>
    </row>
    <row r="2319" spans="1:35" s="115" customFormat="1" ht="14.4">
      <c r="A2319" s="187"/>
      <c r="B2319" s="190"/>
      <c r="C2319" s="190"/>
      <c r="D2319" s="69"/>
      <c r="E2319" s="69"/>
      <c r="F2319" s="149"/>
      <c r="G2319" s="146"/>
      <c r="H2319" s="98"/>
      <c r="I2319" s="99"/>
      <c r="J2319" s="99"/>
      <c r="K2319" s="99"/>
      <c r="L2319" s="99"/>
      <c r="M2319" s="99"/>
      <c r="N2319" s="99"/>
      <c r="O2319" s="99"/>
      <c r="P2319" s="99"/>
      <c r="Q2319" s="99"/>
      <c r="R2319" s="99"/>
      <c r="S2319" s="99"/>
      <c r="T2319" s="99"/>
      <c r="U2319" s="105"/>
      <c r="V2319" s="262"/>
      <c r="W2319" s="121"/>
      <c r="X2319" s="121"/>
      <c r="Y2319" s="121"/>
      <c r="Z2319" s="121"/>
      <c r="AA2319" s="121"/>
      <c r="AB2319" s="121"/>
      <c r="AC2319" s="121"/>
      <c r="AD2319" s="121"/>
      <c r="AE2319" s="121"/>
      <c r="AF2319" s="121"/>
      <c r="AG2319" s="121"/>
      <c r="AH2319" s="121"/>
      <c r="AI2319" s="121"/>
    </row>
    <row r="2320" spans="1:35" s="115" customFormat="1" ht="14.4">
      <c r="A2320" s="187"/>
      <c r="B2320" s="190"/>
      <c r="C2320" s="190"/>
      <c r="D2320" s="69"/>
      <c r="E2320" s="69"/>
      <c r="F2320" s="149"/>
      <c r="G2320" s="146"/>
      <c r="H2320" s="98"/>
      <c r="I2320" s="99"/>
      <c r="J2320" s="99"/>
      <c r="K2320" s="99"/>
      <c r="L2320" s="99"/>
      <c r="M2320" s="99"/>
      <c r="N2320" s="99"/>
      <c r="O2320" s="99"/>
      <c r="P2320" s="99"/>
      <c r="Q2320" s="99"/>
      <c r="R2320" s="99"/>
      <c r="S2320" s="99"/>
      <c r="T2320" s="99"/>
      <c r="U2320" s="105"/>
      <c r="V2320" s="262"/>
      <c r="W2320" s="121"/>
      <c r="X2320" s="121"/>
      <c r="Y2320" s="121"/>
      <c r="Z2320" s="121"/>
      <c r="AA2320" s="121"/>
      <c r="AB2320" s="121"/>
      <c r="AC2320" s="121"/>
      <c r="AD2320" s="121"/>
      <c r="AE2320" s="121"/>
      <c r="AF2320" s="121"/>
      <c r="AG2320" s="121"/>
      <c r="AH2320" s="121"/>
      <c r="AI2320" s="121"/>
    </row>
    <row r="2321" spans="1:35" s="115" customFormat="1" ht="14.4">
      <c r="A2321" s="187"/>
      <c r="B2321" s="190"/>
      <c r="C2321" s="190"/>
      <c r="D2321" s="69"/>
      <c r="E2321" s="69"/>
      <c r="F2321" s="149"/>
      <c r="G2321" s="146"/>
      <c r="H2321" s="98"/>
      <c r="I2321" s="99"/>
      <c r="J2321" s="99"/>
      <c r="K2321" s="99"/>
      <c r="L2321" s="99"/>
      <c r="M2321" s="99"/>
      <c r="N2321" s="99"/>
      <c r="O2321" s="99"/>
      <c r="P2321" s="99"/>
      <c r="Q2321" s="99"/>
      <c r="R2321" s="99"/>
      <c r="S2321" s="99"/>
      <c r="T2321" s="99"/>
      <c r="U2321" s="105"/>
      <c r="V2321" s="262"/>
      <c r="W2321" s="121"/>
      <c r="X2321" s="121"/>
      <c r="Y2321" s="121"/>
      <c r="Z2321" s="121"/>
      <c r="AA2321" s="121"/>
      <c r="AB2321" s="121"/>
      <c r="AC2321" s="121"/>
      <c r="AD2321" s="121"/>
      <c r="AE2321" s="121"/>
      <c r="AF2321" s="121"/>
      <c r="AG2321" s="121"/>
      <c r="AH2321" s="121"/>
      <c r="AI2321" s="121"/>
    </row>
    <row r="2322" spans="1:35" s="115" customFormat="1" ht="14.4">
      <c r="A2322" s="187"/>
      <c r="B2322" s="190"/>
      <c r="C2322" s="190"/>
      <c r="D2322" s="69"/>
      <c r="E2322" s="69"/>
      <c r="F2322" s="149"/>
      <c r="G2322" s="146"/>
      <c r="H2322" s="98"/>
      <c r="I2322" s="99"/>
      <c r="J2322" s="99"/>
      <c r="K2322" s="99"/>
      <c r="L2322" s="99"/>
      <c r="M2322" s="99"/>
      <c r="N2322" s="99"/>
      <c r="O2322" s="99"/>
      <c r="P2322" s="99"/>
      <c r="Q2322" s="99"/>
      <c r="R2322" s="99"/>
      <c r="S2322" s="99"/>
      <c r="T2322" s="99"/>
      <c r="U2322" s="105"/>
      <c r="V2322" s="262"/>
      <c r="W2322" s="121"/>
      <c r="X2322" s="121"/>
      <c r="Y2322" s="121"/>
      <c r="Z2322" s="121"/>
      <c r="AA2322" s="121"/>
      <c r="AB2322" s="121"/>
      <c r="AC2322" s="121"/>
      <c r="AD2322" s="121"/>
      <c r="AE2322" s="121"/>
      <c r="AF2322" s="121"/>
      <c r="AG2322" s="121"/>
      <c r="AH2322" s="121"/>
      <c r="AI2322" s="121"/>
    </row>
    <row r="2323" spans="1:35" s="115" customFormat="1" ht="14.4">
      <c r="A2323" s="187"/>
      <c r="B2323" s="190"/>
      <c r="C2323" s="190"/>
      <c r="D2323" s="69"/>
      <c r="E2323" s="69"/>
      <c r="F2323" s="149"/>
      <c r="G2323" s="146"/>
      <c r="H2323" s="98"/>
      <c r="I2323" s="99"/>
      <c r="J2323" s="99"/>
      <c r="K2323" s="99"/>
      <c r="L2323" s="99"/>
      <c r="M2323" s="99"/>
      <c r="N2323" s="99"/>
      <c r="O2323" s="99"/>
      <c r="P2323" s="99"/>
      <c r="Q2323" s="99"/>
      <c r="R2323" s="99"/>
      <c r="S2323" s="99"/>
      <c r="T2323" s="99"/>
      <c r="U2323" s="105"/>
      <c r="V2323" s="262"/>
      <c r="W2323" s="121"/>
      <c r="X2323" s="121"/>
      <c r="Y2323" s="121"/>
      <c r="Z2323" s="121"/>
      <c r="AA2323" s="121"/>
      <c r="AB2323" s="121"/>
      <c r="AC2323" s="121"/>
      <c r="AD2323" s="121"/>
      <c r="AE2323" s="121"/>
      <c r="AF2323" s="121"/>
      <c r="AG2323" s="121"/>
      <c r="AH2323" s="121"/>
      <c r="AI2323" s="121"/>
    </row>
    <row r="2324" spans="1:35" s="115" customFormat="1" ht="14.4">
      <c r="A2324" s="187"/>
      <c r="B2324" s="190"/>
      <c r="C2324" s="190"/>
      <c r="D2324" s="69"/>
      <c r="E2324" s="69"/>
      <c r="F2324" s="149"/>
      <c r="G2324" s="146"/>
      <c r="H2324" s="98"/>
      <c r="I2324" s="99"/>
      <c r="J2324" s="99"/>
      <c r="K2324" s="99"/>
      <c r="L2324" s="99"/>
      <c r="M2324" s="99"/>
      <c r="N2324" s="99"/>
      <c r="O2324" s="99"/>
      <c r="P2324" s="99"/>
      <c r="Q2324" s="99"/>
      <c r="R2324" s="99"/>
      <c r="S2324" s="99"/>
      <c r="T2324" s="99"/>
      <c r="U2324" s="105"/>
      <c r="V2324" s="262"/>
      <c r="W2324" s="121"/>
      <c r="X2324" s="121"/>
      <c r="Y2324" s="121"/>
      <c r="Z2324" s="121"/>
      <c r="AA2324" s="121"/>
      <c r="AB2324" s="121"/>
      <c r="AC2324" s="121"/>
      <c r="AD2324" s="121"/>
      <c r="AE2324" s="121"/>
      <c r="AF2324" s="121"/>
      <c r="AG2324" s="121"/>
      <c r="AH2324" s="121"/>
      <c r="AI2324" s="121"/>
    </row>
    <row r="2325" spans="1:35" s="115" customFormat="1" ht="14.4">
      <c r="A2325" s="187"/>
      <c r="B2325" s="190"/>
      <c r="C2325" s="190"/>
      <c r="D2325" s="69"/>
      <c r="E2325" s="69"/>
      <c r="F2325" s="149"/>
      <c r="G2325" s="146"/>
      <c r="H2325" s="98"/>
      <c r="I2325" s="99"/>
      <c r="J2325" s="99"/>
      <c r="K2325" s="99"/>
      <c r="L2325" s="99"/>
      <c r="M2325" s="99"/>
      <c r="N2325" s="99"/>
      <c r="O2325" s="99"/>
      <c r="P2325" s="99"/>
      <c r="Q2325" s="99"/>
      <c r="R2325" s="99"/>
      <c r="S2325" s="99"/>
      <c r="T2325" s="99"/>
      <c r="U2325" s="105"/>
      <c r="V2325" s="262"/>
      <c r="W2325" s="121"/>
      <c r="X2325" s="121"/>
      <c r="Y2325" s="121"/>
      <c r="Z2325" s="121"/>
      <c r="AA2325" s="121"/>
      <c r="AB2325" s="121"/>
      <c r="AC2325" s="121"/>
      <c r="AD2325" s="121"/>
      <c r="AE2325" s="121"/>
      <c r="AF2325" s="121"/>
      <c r="AG2325" s="121"/>
      <c r="AH2325" s="121"/>
      <c r="AI2325" s="121"/>
    </row>
    <row r="2326" spans="1:35" s="115" customFormat="1" ht="14.4">
      <c r="A2326" s="187"/>
      <c r="B2326" s="190"/>
      <c r="C2326" s="190"/>
      <c r="D2326" s="69"/>
      <c r="E2326" s="69"/>
      <c r="F2326" s="149"/>
      <c r="G2326" s="146"/>
      <c r="H2326" s="98"/>
      <c r="I2326" s="99"/>
      <c r="J2326" s="99"/>
      <c r="K2326" s="99"/>
      <c r="L2326" s="99"/>
      <c r="M2326" s="99"/>
      <c r="N2326" s="99"/>
      <c r="O2326" s="99"/>
      <c r="P2326" s="99"/>
      <c r="Q2326" s="99"/>
      <c r="R2326" s="99"/>
      <c r="S2326" s="99"/>
      <c r="T2326" s="99"/>
      <c r="U2326" s="105"/>
      <c r="V2326" s="262"/>
      <c r="W2326" s="121"/>
      <c r="X2326" s="121"/>
      <c r="Y2326" s="121"/>
      <c r="Z2326" s="121"/>
      <c r="AA2326" s="121"/>
      <c r="AB2326" s="121"/>
      <c r="AC2326" s="121"/>
      <c r="AD2326" s="121"/>
      <c r="AE2326" s="121"/>
      <c r="AF2326" s="121"/>
      <c r="AG2326" s="121"/>
      <c r="AH2326" s="121"/>
      <c r="AI2326" s="121"/>
    </row>
    <row r="2327" spans="1:35" s="115" customFormat="1" ht="14.4">
      <c r="A2327" s="187"/>
      <c r="B2327" s="190"/>
      <c r="C2327" s="190"/>
      <c r="D2327" s="69"/>
      <c r="E2327" s="69"/>
      <c r="F2327" s="149"/>
      <c r="G2327" s="146"/>
      <c r="H2327" s="98"/>
      <c r="I2327" s="99"/>
      <c r="J2327" s="99"/>
      <c r="K2327" s="99"/>
      <c r="L2327" s="99"/>
      <c r="M2327" s="99"/>
      <c r="N2327" s="99"/>
      <c r="O2327" s="99"/>
      <c r="P2327" s="99"/>
      <c r="Q2327" s="99"/>
      <c r="R2327" s="99"/>
      <c r="S2327" s="99"/>
      <c r="T2327" s="99"/>
      <c r="U2327" s="105"/>
      <c r="V2327" s="262"/>
      <c r="W2327" s="121"/>
      <c r="X2327" s="121"/>
      <c r="Y2327" s="121"/>
      <c r="Z2327" s="121"/>
      <c r="AA2327" s="121"/>
      <c r="AB2327" s="121"/>
      <c r="AC2327" s="121"/>
      <c r="AD2327" s="121"/>
      <c r="AE2327" s="121"/>
      <c r="AF2327" s="121"/>
      <c r="AG2327" s="121"/>
      <c r="AH2327" s="121"/>
      <c r="AI2327" s="121"/>
    </row>
    <row r="2328" spans="1:35" s="115" customFormat="1" ht="14.4">
      <c r="A2328" s="187"/>
      <c r="B2328" s="190"/>
      <c r="C2328" s="190"/>
      <c r="D2328" s="69"/>
      <c r="E2328" s="69"/>
      <c r="F2328" s="149"/>
      <c r="G2328" s="146"/>
      <c r="H2328" s="98"/>
      <c r="I2328" s="99"/>
      <c r="J2328" s="99"/>
      <c r="K2328" s="99"/>
      <c r="L2328" s="99"/>
      <c r="M2328" s="99"/>
      <c r="N2328" s="99"/>
      <c r="O2328" s="99"/>
      <c r="P2328" s="99"/>
      <c r="Q2328" s="99"/>
      <c r="R2328" s="99"/>
      <c r="S2328" s="99"/>
      <c r="T2328" s="99"/>
      <c r="U2328" s="105"/>
      <c r="V2328" s="262"/>
      <c r="W2328" s="121"/>
      <c r="X2328" s="121"/>
      <c r="Y2328" s="121"/>
      <c r="Z2328" s="121"/>
      <c r="AA2328" s="121"/>
      <c r="AB2328" s="121"/>
      <c r="AC2328" s="121"/>
      <c r="AD2328" s="121"/>
      <c r="AE2328" s="121"/>
      <c r="AF2328" s="121"/>
      <c r="AG2328" s="121"/>
      <c r="AH2328" s="121"/>
      <c r="AI2328" s="121"/>
    </row>
    <row r="2329" spans="1:35" s="115" customFormat="1" ht="14.4">
      <c r="A2329" s="187"/>
      <c r="B2329" s="190"/>
      <c r="C2329" s="190"/>
      <c r="D2329" s="69"/>
      <c r="E2329" s="69"/>
      <c r="F2329" s="149"/>
      <c r="G2329" s="146"/>
      <c r="H2329" s="98"/>
      <c r="I2329" s="99"/>
      <c r="J2329" s="99"/>
      <c r="K2329" s="99"/>
      <c r="L2329" s="99"/>
      <c r="M2329" s="99"/>
      <c r="N2329" s="99"/>
      <c r="O2329" s="99"/>
      <c r="P2329" s="99"/>
      <c r="Q2329" s="99"/>
      <c r="R2329" s="99"/>
      <c r="S2329" s="99"/>
      <c r="T2329" s="99"/>
      <c r="U2329" s="105"/>
      <c r="V2329" s="262"/>
      <c r="W2329" s="121"/>
      <c r="X2329" s="121"/>
      <c r="Y2329" s="121"/>
      <c r="Z2329" s="121"/>
      <c r="AA2329" s="121"/>
      <c r="AB2329" s="121"/>
      <c r="AC2329" s="121"/>
      <c r="AD2329" s="121"/>
      <c r="AE2329" s="121"/>
      <c r="AF2329" s="121"/>
      <c r="AG2329" s="121"/>
      <c r="AH2329" s="121"/>
      <c r="AI2329" s="121"/>
    </row>
    <row r="2330" spans="1:35" s="115" customFormat="1" ht="14.4">
      <c r="A2330" s="187"/>
      <c r="B2330" s="190"/>
      <c r="C2330" s="190"/>
      <c r="D2330" s="69"/>
      <c r="E2330" s="69"/>
      <c r="F2330" s="149"/>
      <c r="G2330" s="146"/>
      <c r="H2330" s="98"/>
      <c r="I2330" s="99"/>
      <c r="J2330" s="99"/>
      <c r="K2330" s="99"/>
      <c r="L2330" s="99"/>
      <c r="M2330" s="99"/>
      <c r="N2330" s="99"/>
      <c r="O2330" s="99"/>
      <c r="P2330" s="99"/>
      <c r="Q2330" s="99"/>
      <c r="R2330" s="99"/>
      <c r="S2330" s="99"/>
      <c r="T2330" s="99"/>
      <c r="U2330" s="105"/>
      <c r="V2330" s="262"/>
      <c r="W2330" s="121"/>
      <c r="X2330" s="121"/>
      <c r="Y2330" s="121"/>
      <c r="Z2330" s="121"/>
      <c r="AA2330" s="121"/>
      <c r="AB2330" s="121"/>
      <c r="AC2330" s="121"/>
      <c r="AD2330" s="121"/>
      <c r="AE2330" s="121"/>
      <c r="AF2330" s="121"/>
      <c r="AG2330" s="121"/>
      <c r="AH2330" s="121"/>
      <c r="AI2330" s="121"/>
    </row>
    <row r="2331" spans="1:35" s="115" customFormat="1" ht="14.4">
      <c r="A2331" s="187"/>
      <c r="B2331" s="190"/>
      <c r="C2331" s="190"/>
      <c r="D2331" s="69"/>
      <c r="E2331" s="69"/>
      <c r="F2331" s="149"/>
      <c r="G2331" s="146"/>
      <c r="H2331" s="98"/>
      <c r="I2331" s="99"/>
      <c r="J2331" s="99"/>
      <c r="K2331" s="99"/>
      <c r="L2331" s="99"/>
      <c r="M2331" s="99"/>
      <c r="N2331" s="99"/>
      <c r="O2331" s="99"/>
      <c r="P2331" s="99"/>
      <c r="Q2331" s="99"/>
      <c r="R2331" s="99"/>
      <c r="S2331" s="99"/>
      <c r="T2331" s="99"/>
      <c r="U2331" s="105"/>
      <c r="V2331" s="262"/>
      <c r="W2331" s="121"/>
      <c r="X2331" s="121"/>
      <c r="Y2331" s="121"/>
      <c r="Z2331" s="121"/>
      <c r="AA2331" s="121"/>
      <c r="AB2331" s="121"/>
      <c r="AC2331" s="121"/>
      <c r="AD2331" s="121"/>
      <c r="AE2331" s="121"/>
      <c r="AF2331" s="121"/>
      <c r="AG2331" s="121"/>
      <c r="AH2331" s="121"/>
      <c r="AI2331" s="121"/>
    </row>
    <row r="2332" spans="1:35" s="115" customFormat="1" ht="14.4">
      <c r="A2332" s="187"/>
      <c r="B2332" s="190"/>
      <c r="C2332" s="190"/>
      <c r="D2332" s="69"/>
      <c r="E2332" s="69"/>
      <c r="F2332" s="149"/>
      <c r="G2332" s="146"/>
      <c r="H2332" s="98"/>
      <c r="I2332" s="99"/>
      <c r="J2332" s="99"/>
      <c r="K2332" s="99"/>
      <c r="L2332" s="99"/>
      <c r="M2332" s="99"/>
      <c r="N2332" s="99"/>
      <c r="O2332" s="99"/>
      <c r="P2332" s="99"/>
      <c r="Q2332" s="99"/>
      <c r="R2332" s="99"/>
      <c r="S2332" s="99"/>
      <c r="T2332" s="99"/>
      <c r="U2332" s="105"/>
      <c r="V2332" s="262"/>
      <c r="W2332" s="121"/>
      <c r="X2332" s="121"/>
      <c r="Y2332" s="121"/>
      <c r="Z2332" s="121"/>
      <c r="AA2332" s="121"/>
      <c r="AB2332" s="121"/>
      <c r="AC2332" s="121"/>
      <c r="AD2332" s="121"/>
      <c r="AE2332" s="121"/>
      <c r="AF2332" s="121"/>
      <c r="AG2332" s="121"/>
      <c r="AH2332" s="121"/>
      <c r="AI2332" s="121"/>
    </row>
    <row r="2333" spans="1:35" s="115" customFormat="1" ht="14.4">
      <c r="A2333" s="187"/>
      <c r="B2333" s="190"/>
      <c r="C2333" s="190"/>
      <c r="D2333" s="69"/>
      <c r="E2333" s="69"/>
      <c r="F2333" s="149"/>
      <c r="G2333" s="146"/>
      <c r="H2333" s="98"/>
      <c r="I2333" s="99"/>
      <c r="J2333" s="99"/>
      <c r="K2333" s="99"/>
      <c r="L2333" s="99"/>
      <c r="M2333" s="99"/>
      <c r="N2333" s="99"/>
      <c r="O2333" s="99"/>
      <c r="P2333" s="99"/>
      <c r="Q2333" s="99"/>
      <c r="R2333" s="99"/>
      <c r="S2333" s="99"/>
      <c r="T2333" s="99"/>
      <c r="U2333" s="105"/>
      <c r="V2333" s="262"/>
      <c r="W2333" s="121"/>
      <c r="X2333" s="121"/>
      <c r="Y2333" s="121"/>
      <c r="Z2333" s="121"/>
      <c r="AA2333" s="121"/>
      <c r="AB2333" s="121"/>
      <c r="AC2333" s="121"/>
      <c r="AD2333" s="121"/>
      <c r="AE2333" s="121"/>
      <c r="AF2333" s="121"/>
      <c r="AG2333" s="121"/>
      <c r="AH2333" s="121"/>
      <c r="AI2333" s="121"/>
    </row>
    <row r="2334" spans="1:35" s="115" customFormat="1" ht="14.4">
      <c r="A2334" s="187"/>
      <c r="B2334" s="190"/>
      <c r="C2334" s="190"/>
      <c r="D2334" s="69"/>
      <c r="E2334" s="69"/>
      <c r="F2334" s="149"/>
      <c r="G2334" s="146"/>
      <c r="H2334" s="107"/>
      <c r="I2334" s="109"/>
      <c r="J2334" s="109"/>
      <c r="K2334" s="109"/>
      <c r="L2334" s="109"/>
      <c r="M2334" s="109"/>
      <c r="N2334" s="109"/>
      <c r="O2334" s="109"/>
      <c r="P2334" s="109"/>
      <c r="Q2334" s="109"/>
      <c r="R2334" s="109"/>
      <c r="S2334" s="109"/>
      <c r="T2334" s="109"/>
      <c r="U2334" s="105"/>
      <c r="V2334" s="262"/>
      <c r="W2334" s="121"/>
      <c r="X2334" s="121"/>
      <c r="Y2334" s="121"/>
      <c r="Z2334" s="121"/>
      <c r="AA2334" s="121"/>
      <c r="AB2334" s="121"/>
      <c r="AC2334" s="121"/>
      <c r="AD2334" s="121"/>
      <c r="AE2334" s="121"/>
      <c r="AF2334" s="121"/>
      <c r="AG2334" s="121"/>
      <c r="AH2334" s="121"/>
      <c r="AI2334" s="121"/>
    </row>
    <row r="2335" spans="1:35" s="115" customFormat="1" ht="14.4">
      <c r="A2335" s="187"/>
      <c r="B2335" s="190"/>
      <c r="C2335" s="190"/>
      <c r="D2335" s="69"/>
      <c r="E2335" s="69"/>
      <c r="F2335" s="149"/>
      <c r="G2335" s="146"/>
      <c r="H2335" s="98"/>
      <c r="I2335" s="106"/>
      <c r="J2335" s="106"/>
      <c r="K2335" s="106"/>
      <c r="L2335" s="106"/>
      <c r="M2335" s="106"/>
      <c r="N2335" s="112"/>
      <c r="O2335" s="112"/>
      <c r="P2335" s="112"/>
      <c r="Q2335" s="113"/>
      <c r="R2335" s="113"/>
      <c r="S2335" s="113"/>
      <c r="T2335" s="113"/>
      <c r="U2335" s="105"/>
      <c r="V2335" s="262"/>
      <c r="W2335" s="121"/>
      <c r="X2335" s="121"/>
      <c r="Y2335" s="121"/>
      <c r="Z2335" s="121"/>
      <c r="AA2335" s="121"/>
      <c r="AB2335" s="121"/>
      <c r="AC2335" s="121"/>
      <c r="AD2335" s="121"/>
      <c r="AE2335" s="121"/>
      <c r="AF2335" s="121"/>
      <c r="AG2335" s="121"/>
      <c r="AH2335" s="121"/>
      <c r="AI2335" s="121"/>
    </row>
    <row r="2336" spans="1:35" s="115" customFormat="1" ht="14.4">
      <c r="A2336" s="187"/>
      <c r="B2336" s="190"/>
      <c r="C2336" s="190"/>
      <c r="D2336" s="69"/>
      <c r="E2336" s="69"/>
      <c r="F2336" s="149"/>
      <c r="G2336" s="146"/>
      <c r="H2336" s="98"/>
      <c r="I2336" s="99"/>
      <c r="J2336" s="99"/>
      <c r="K2336" s="99"/>
      <c r="L2336" s="99"/>
      <c r="M2336" s="99"/>
      <c r="N2336" s="99"/>
      <c r="O2336" s="99"/>
      <c r="P2336" s="99"/>
      <c r="Q2336" s="99"/>
      <c r="R2336" s="99"/>
      <c r="S2336" s="99"/>
      <c r="T2336" s="99"/>
      <c r="U2336" s="105"/>
      <c r="V2336" s="262"/>
      <c r="W2336" s="121"/>
      <c r="X2336" s="121"/>
      <c r="Y2336" s="121"/>
      <c r="Z2336" s="121"/>
      <c r="AA2336" s="121"/>
      <c r="AB2336" s="121"/>
      <c r="AC2336" s="121"/>
      <c r="AD2336" s="121"/>
      <c r="AE2336" s="121"/>
      <c r="AF2336" s="121"/>
      <c r="AG2336" s="121"/>
      <c r="AH2336" s="121"/>
      <c r="AI2336" s="121"/>
    </row>
    <row r="2337" spans="1:35" s="115" customFormat="1" ht="14.4">
      <c r="A2337" s="187"/>
      <c r="B2337" s="190"/>
      <c r="C2337" s="190"/>
      <c r="D2337" s="69"/>
      <c r="E2337" s="69"/>
      <c r="F2337" s="149"/>
      <c r="G2337" s="146"/>
      <c r="H2337" s="98"/>
      <c r="I2337" s="99"/>
      <c r="J2337" s="99"/>
      <c r="K2337" s="99"/>
      <c r="L2337" s="99"/>
      <c r="M2337" s="99"/>
      <c r="N2337" s="99"/>
      <c r="O2337" s="99"/>
      <c r="P2337" s="99"/>
      <c r="Q2337" s="99"/>
      <c r="R2337" s="99"/>
      <c r="S2337" s="99"/>
      <c r="T2337" s="99"/>
      <c r="U2337" s="105"/>
      <c r="V2337" s="262"/>
      <c r="W2337" s="121"/>
      <c r="X2337" s="121"/>
      <c r="Y2337" s="121"/>
      <c r="Z2337" s="121"/>
      <c r="AA2337" s="121"/>
      <c r="AB2337" s="121"/>
      <c r="AC2337" s="121"/>
      <c r="AD2337" s="121"/>
      <c r="AE2337" s="121"/>
      <c r="AF2337" s="121"/>
      <c r="AG2337" s="121"/>
      <c r="AH2337" s="121"/>
      <c r="AI2337" s="121"/>
    </row>
    <row r="2338" spans="1:35" s="115" customFormat="1" ht="14.4">
      <c r="A2338" s="187"/>
      <c r="B2338" s="190"/>
      <c r="C2338" s="190"/>
      <c r="D2338" s="69"/>
      <c r="E2338" s="69"/>
      <c r="F2338" s="149"/>
      <c r="G2338" s="146"/>
      <c r="H2338" s="98"/>
      <c r="I2338" s="99"/>
      <c r="J2338" s="99"/>
      <c r="K2338" s="99"/>
      <c r="L2338" s="99"/>
      <c r="M2338" s="99"/>
      <c r="N2338" s="99"/>
      <c r="O2338" s="99"/>
      <c r="P2338" s="99"/>
      <c r="Q2338" s="99"/>
      <c r="R2338" s="99"/>
      <c r="S2338" s="99"/>
      <c r="T2338" s="99"/>
      <c r="U2338" s="105"/>
      <c r="V2338" s="262"/>
      <c r="W2338" s="121"/>
      <c r="X2338" s="121"/>
      <c r="Y2338" s="121"/>
      <c r="Z2338" s="121"/>
      <c r="AA2338" s="121"/>
      <c r="AB2338" s="121"/>
      <c r="AC2338" s="121"/>
      <c r="AD2338" s="121"/>
      <c r="AE2338" s="121"/>
      <c r="AF2338" s="121"/>
      <c r="AG2338" s="121"/>
      <c r="AH2338" s="121"/>
      <c r="AI2338" s="121"/>
    </row>
    <row r="2339" spans="1:35" s="115" customFormat="1" ht="14.4">
      <c r="A2339" s="187"/>
      <c r="B2339" s="190"/>
      <c r="C2339" s="190"/>
      <c r="D2339" s="69"/>
      <c r="E2339" s="69"/>
      <c r="F2339" s="149"/>
      <c r="G2339" s="146"/>
      <c r="H2339" s="98"/>
      <c r="I2339" s="99"/>
      <c r="J2339" s="99"/>
      <c r="K2339" s="99"/>
      <c r="L2339" s="99"/>
      <c r="M2339" s="99"/>
      <c r="N2339" s="99"/>
      <c r="O2339" s="99"/>
      <c r="P2339" s="99"/>
      <c r="Q2339" s="99"/>
      <c r="R2339" s="99"/>
      <c r="S2339" s="99"/>
      <c r="T2339" s="99"/>
      <c r="U2339" s="105"/>
      <c r="V2339" s="262"/>
      <c r="W2339" s="121"/>
      <c r="X2339" s="121"/>
      <c r="Y2339" s="121"/>
      <c r="Z2339" s="121"/>
      <c r="AA2339" s="121"/>
      <c r="AB2339" s="121"/>
      <c r="AC2339" s="121"/>
      <c r="AD2339" s="121"/>
      <c r="AE2339" s="121"/>
      <c r="AF2339" s="121"/>
      <c r="AG2339" s="121"/>
      <c r="AH2339" s="121"/>
      <c r="AI2339" s="121"/>
    </row>
    <row r="2340" spans="1:35" s="115" customFormat="1" ht="14.4">
      <c r="A2340" s="187"/>
      <c r="B2340" s="190"/>
      <c r="C2340" s="190"/>
      <c r="D2340" s="69"/>
      <c r="E2340" s="69"/>
      <c r="F2340" s="149"/>
      <c r="G2340" s="146"/>
      <c r="H2340" s="98"/>
      <c r="I2340" s="99"/>
      <c r="J2340" s="99"/>
      <c r="K2340" s="99"/>
      <c r="L2340" s="99"/>
      <c r="M2340" s="99"/>
      <c r="N2340" s="99"/>
      <c r="O2340" s="99"/>
      <c r="P2340" s="99"/>
      <c r="Q2340" s="99"/>
      <c r="R2340" s="99"/>
      <c r="S2340" s="99"/>
      <c r="T2340" s="99"/>
      <c r="U2340" s="105"/>
      <c r="V2340" s="262"/>
      <c r="W2340" s="121"/>
      <c r="X2340" s="121"/>
      <c r="Y2340" s="121"/>
      <c r="Z2340" s="121"/>
      <c r="AA2340" s="121"/>
      <c r="AB2340" s="121"/>
      <c r="AC2340" s="121"/>
      <c r="AD2340" s="121"/>
      <c r="AE2340" s="121"/>
      <c r="AF2340" s="121"/>
      <c r="AG2340" s="121"/>
      <c r="AH2340" s="121"/>
      <c r="AI2340" s="121"/>
    </row>
    <row r="2341" spans="1:35" s="115" customFormat="1" ht="14.4">
      <c r="A2341" s="187"/>
      <c r="B2341" s="190"/>
      <c r="C2341" s="190"/>
      <c r="D2341" s="69"/>
      <c r="E2341" s="69"/>
      <c r="F2341" s="149"/>
      <c r="G2341" s="146"/>
      <c r="H2341" s="98"/>
      <c r="I2341" s="99"/>
      <c r="J2341" s="99"/>
      <c r="K2341" s="99"/>
      <c r="L2341" s="99"/>
      <c r="M2341" s="99"/>
      <c r="N2341" s="99"/>
      <c r="O2341" s="99"/>
      <c r="P2341" s="99"/>
      <c r="Q2341" s="99"/>
      <c r="R2341" s="99"/>
      <c r="S2341" s="99"/>
      <c r="T2341" s="99"/>
      <c r="U2341" s="105"/>
      <c r="V2341" s="262"/>
      <c r="W2341" s="121"/>
      <c r="X2341" s="121"/>
      <c r="Y2341" s="121"/>
      <c r="Z2341" s="121"/>
      <c r="AA2341" s="121"/>
      <c r="AB2341" s="121"/>
      <c r="AC2341" s="121"/>
      <c r="AD2341" s="121"/>
      <c r="AE2341" s="121"/>
      <c r="AF2341" s="121"/>
      <c r="AG2341" s="121"/>
      <c r="AH2341" s="121"/>
      <c r="AI2341" s="121"/>
    </row>
    <row r="2342" spans="1:35" s="115" customFormat="1" ht="14.4">
      <c r="A2342" s="187"/>
      <c r="B2342" s="190"/>
      <c r="C2342" s="190"/>
      <c r="D2342" s="69"/>
      <c r="E2342" s="69"/>
      <c r="F2342" s="149"/>
      <c r="G2342" s="146"/>
      <c r="H2342" s="98"/>
      <c r="I2342" s="99"/>
      <c r="J2342" s="99"/>
      <c r="K2342" s="99"/>
      <c r="L2342" s="99"/>
      <c r="M2342" s="99"/>
      <c r="N2342" s="99"/>
      <c r="O2342" s="99"/>
      <c r="P2342" s="99"/>
      <c r="Q2342" s="99"/>
      <c r="R2342" s="99"/>
      <c r="S2342" s="99"/>
      <c r="T2342" s="99"/>
      <c r="U2342" s="105"/>
      <c r="V2342" s="262"/>
      <c r="W2342" s="121"/>
      <c r="X2342" s="121"/>
      <c r="Y2342" s="121"/>
      <c r="Z2342" s="121"/>
      <c r="AA2342" s="121"/>
      <c r="AB2342" s="121"/>
      <c r="AC2342" s="121"/>
      <c r="AD2342" s="121"/>
      <c r="AE2342" s="121"/>
      <c r="AF2342" s="121"/>
      <c r="AG2342" s="121"/>
      <c r="AH2342" s="121"/>
      <c r="AI2342" s="121"/>
    </row>
    <row r="2343" spans="1:35" s="115" customFormat="1" ht="14.4">
      <c r="A2343" s="187"/>
      <c r="B2343" s="190"/>
      <c r="C2343" s="190"/>
      <c r="D2343" s="69"/>
      <c r="E2343" s="69"/>
      <c r="F2343" s="149"/>
      <c r="G2343" s="146"/>
      <c r="H2343" s="107"/>
      <c r="I2343" s="109"/>
      <c r="J2343" s="109"/>
      <c r="K2343" s="109"/>
      <c r="L2343" s="109"/>
      <c r="M2343" s="109"/>
      <c r="N2343" s="109"/>
      <c r="O2343" s="109"/>
      <c r="P2343" s="109"/>
      <c r="Q2343" s="109"/>
      <c r="R2343" s="109"/>
      <c r="S2343" s="109"/>
      <c r="T2343" s="109"/>
      <c r="U2343" s="105"/>
      <c r="V2343" s="262"/>
      <c r="W2343" s="121"/>
      <c r="X2343" s="121"/>
      <c r="Y2343" s="121"/>
      <c r="Z2343" s="121"/>
      <c r="AA2343" s="121"/>
      <c r="AB2343" s="121"/>
      <c r="AC2343" s="121"/>
      <c r="AD2343" s="121"/>
      <c r="AE2343" s="121"/>
      <c r="AF2343" s="121"/>
      <c r="AG2343" s="121"/>
      <c r="AH2343" s="121"/>
      <c r="AI2343" s="121"/>
    </row>
    <row r="2344" spans="1:35" s="115" customFormat="1" ht="14.4">
      <c r="A2344" s="187"/>
      <c r="B2344" s="190"/>
      <c r="C2344" s="190"/>
      <c r="D2344" s="69"/>
      <c r="E2344" s="69"/>
      <c r="F2344" s="149"/>
      <c r="G2344" s="146"/>
      <c r="H2344" s="98"/>
      <c r="I2344" s="106"/>
      <c r="J2344" s="106"/>
      <c r="K2344" s="106"/>
      <c r="L2344" s="106"/>
      <c r="M2344" s="106"/>
      <c r="N2344" s="112"/>
      <c r="O2344" s="112"/>
      <c r="P2344" s="112"/>
      <c r="Q2344" s="113"/>
      <c r="R2344" s="113"/>
      <c r="S2344" s="113"/>
      <c r="T2344" s="113"/>
      <c r="U2344" s="105"/>
      <c r="V2344" s="262"/>
      <c r="W2344" s="121"/>
      <c r="X2344" s="121"/>
      <c r="Y2344" s="121"/>
      <c r="Z2344" s="121"/>
      <c r="AA2344" s="121"/>
      <c r="AB2344" s="121"/>
      <c r="AC2344" s="121"/>
      <c r="AD2344" s="121"/>
      <c r="AE2344" s="121"/>
      <c r="AF2344" s="121"/>
      <c r="AG2344" s="121"/>
      <c r="AH2344" s="121"/>
      <c r="AI2344" s="121"/>
    </row>
    <row r="2345" spans="1:35" s="115" customFormat="1" ht="14.4">
      <c r="A2345" s="187"/>
      <c r="B2345" s="190"/>
      <c r="C2345" s="190"/>
      <c r="D2345" s="69"/>
      <c r="E2345" s="69"/>
      <c r="F2345" s="149"/>
      <c r="G2345" s="146"/>
      <c r="H2345" s="114"/>
      <c r="I2345" s="108"/>
      <c r="J2345" s="108"/>
      <c r="K2345" s="108"/>
      <c r="L2345" s="108"/>
      <c r="M2345" s="108"/>
      <c r="N2345" s="108"/>
      <c r="O2345" s="108"/>
      <c r="P2345" s="108"/>
      <c r="Q2345" s="108"/>
      <c r="R2345" s="108"/>
      <c r="S2345" s="108"/>
      <c r="T2345" s="108"/>
      <c r="U2345" s="105"/>
      <c r="V2345" s="262"/>
      <c r="W2345" s="121"/>
      <c r="X2345" s="121"/>
      <c r="Y2345" s="121"/>
      <c r="Z2345" s="121"/>
      <c r="AA2345" s="121"/>
      <c r="AB2345" s="121"/>
      <c r="AC2345" s="121"/>
      <c r="AD2345" s="121"/>
      <c r="AE2345" s="121"/>
      <c r="AF2345" s="121"/>
      <c r="AG2345" s="121"/>
      <c r="AH2345" s="121"/>
      <c r="AI2345" s="121"/>
    </row>
    <row r="2346" spans="1:35" s="115" customFormat="1" ht="15" thickBot="1">
      <c r="A2346" s="187"/>
      <c r="B2346" s="190"/>
      <c r="C2346" s="190"/>
      <c r="D2346" s="69"/>
      <c r="E2346" s="69"/>
      <c r="F2346" s="149"/>
      <c r="G2346" s="146"/>
      <c r="H2346" s="98"/>
      <c r="I2346" s="218"/>
      <c r="J2346" s="218"/>
      <c r="K2346" s="218"/>
      <c r="L2346" s="218"/>
      <c r="M2346" s="218"/>
      <c r="N2346" s="96"/>
      <c r="O2346" s="96"/>
      <c r="P2346" s="96"/>
      <c r="Q2346" s="212"/>
      <c r="R2346" s="212"/>
      <c r="S2346" s="212"/>
      <c r="T2346" s="212"/>
      <c r="U2346" s="105"/>
      <c r="V2346" s="262"/>
      <c r="W2346" s="121"/>
      <c r="X2346" s="121"/>
      <c r="Y2346" s="121"/>
      <c r="Z2346" s="121"/>
      <c r="AA2346" s="121"/>
      <c r="AB2346" s="121"/>
      <c r="AC2346" s="121"/>
      <c r="AD2346" s="121"/>
      <c r="AE2346" s="121"/>
      <c r="AF2346" s="121"/>
      <c r="AG2346" s="121"/>
      <c r="AH2346" s="121"/>
      <c r="AI2346" s="121"/>
    </row>
    <row r="2347" spans="1:35" s="115" customFormat="1" ht="23.4" thickBot="1">
      <c r="A2347" s="187"/>
      <c r="B2347" s="190"/>
      <c r="C2347" s="190"/>
      <c r="D2347" s="69"/>
      <c r="E2347" s="69"/>
      <c r="F2347" s="149"/>
      <c r="G2347" s="146"/>
      <c r="H2347" s="686"/>
      <c r="I2347" s="687"/>
      <c r="J2347" s="687"/>
      <c r="K2347" s="687"/>
      <c r="L2347" s="687"/>
      <c r="M2347" s="687"/>
      <c r="N2347" s="687"/>
      <c r="O2347" s="687"/>
      <c r="P2347" s="687"/>
      <c r="Q2347" s="687"/>
      <c r="R2347" s="687"/>
      <c r="S2347" s="687"/>
      <c r="T2347" s="688"/>
      <c r="U2347" s="105"/>
      <c r="V2347" s="262"/>
      <c r="W2347" s="121"/>
      <c r="X2347" s="121"/>
      <c r="Y2347" s="121"/>
      <c r="Z2347" s="121"/>
      <c r="AA2347" s="121"/>
      <c r="AB2347" s="121"/>
      <c r="AC2347" s="121"/>
      <c r="AD2347" s="121"/>
      <c r="AE2347" s="121"/>
      <c r="AF2347" s="121"/>
      <c r="AG2347" s="121"/>
      <c r="AH2347" s="121"/>
      <c r="AI2347" s="121"/>
    </row>
    <row r="2348" spans="1:35" s="115" customFormat="1" ht="22.8">
      <c r="A2348" s="187"/>
      <c r="B2348" s="190"/>
      <c r="C2348" s="190"/>
      <c r="D2348" s="69"/>
      <c r="E2348" s="69"/>
      <c r="F2348" s="149"/>
      <c r="G2348" s="146"/>
      <c r="H2348" s="225"/>
      <c r="I2348" s="225"/>
      <c r="J2348" s="225"/>
      <c r="K2348" s="225"/>
      <c r="L2348" s="225"/>
      <c r="M2348" s="225"/>
      <c r="N2348" s="225"/>
      <c r="O2348" s="225"/>
      <c r="P2348" s="225"/>
      <c r="Q2348" s="225"/>
      <c r="R2348" s="225"/>
      <c r="S2348" s="225"/>
      <c r="T2348" s="225"/>
      <c r="U2348" s="105"/>
      <c r="V2348" s="262"/>
      <c r="W2348" s="121"/>
      <c r="X2348" s="121"/>
      <c r="Y2348" s="121"/>
      <c r="Z2348" s="121"/>
      <c r="AA2348" s="121"/>
      <c r="AB2348" s="121"/>
      <c r="AC2348" s="121"/>
      <c r="AD2348" s="121"/>
      <c r="AE2348" s="121"/>
      <c r="AF2348" s="121"/>
      <c r="AG2348" s="121"/>
      <c r="AH2348" s="121"/>
      <c r="AI2348" s="121"/>
    </row>
    <row r="2349" spans="1:35" s="115" customFormat="1" ht="14.4">
      <c r="A2349" s="187"/>
      <c r="B2349" s="190"/>
      <c r="C2349" s="190"/>
      <c r="D2349" s="69"/>
      <c r="E2349" s="69"/>
      <c r="F2349" s="149"/>
      <c r="G2349" s="146"/>
      <c r="H2349" s="98"/>
      <c r="I2349" s="99"/>
      <c r="J2349" s="99"/>
      <c r="K2349" s="99"/>
      <c r="L2349" s="99"/>
      <c r="M2349" s="99"/>
      <c r="N2349" s="99"/>
      <c r="O2349" s="99"/>
      <c r="P2349" s="99"/>
      <c r="Q2349" s="99"/>
      <c r="R2349" s="99"/>
      <c r="S2349" s="99"/>
      <c r="T2349" s="99"/>
      <c r="U2349" s="105"/>
      <c r="V2349" s="262"/>
      <c r="W2349" s="121"/>
      <c r="X2349" s="121"/>
      <c r="Y2349" s="121"/>
      <c r="Z2349" s="121"/>
      <c r="AA2349" s="121"/>
      <c r="AB2349" s="121"/>
      <c r="AC2349" s="121"/>
      <c r="AD2349" s="121"/>
      <c r="AE2349" s="121"/>
      <c r="AF2349" s="121"/>
      <c r="AG2349" s="121"/>
      <c r="AH2349" s="121"/>
      <c r="AI2349" s="121"/>
    </row>
    <row r="2350" spans="1:35" s="115" customFormat="1" ht="14.4">
      <c r="A2350" s="187"/>
      <c r="B2350" s="190"/>
      <c r="C2350" s="190"/>
      <c r="D2350" s="69"/>
      <c r="E2350" s="69"/>
      <c r="F2350" s="149"/>
      <c r="G2350" s="146"/>
      <c r="H2350" s="98"/>
      <c r="I2350" s="99"/>
      <c r="J2350" s="99"/>
      <c r="K2350" s="99"/>
      <c r="L2350" s="99"/>
      <c r="M2350" s="99"/>
      <c r="N2350" s="99"/>
      <c r="O2350" s="99"/>
      <c r="P2350" s="99"/>
      <c r="Q2350" s="99"/>
      <c r="R2350" s="99"/>
      <c r="S2350" s="99"/>
      <c r="T2350" s="99"/>
      <c r="U2350" s="105"/>
      <c r="V2350" s="262"/>
      <c r="W2350" s="121"/>
      <c r="X2350" s="121"/>
      <c r="Y2350" s="121"/>
      <c r="Z2350" s="121"/>
      <c r="AA2350" s="121"/>
      <c r="AB2350" s="121"/>
      <c r="AC2350" s="121"/>
      <c r="AD2350" s="121"/>
      <c r="AE2350" s="121"/>
      <c r="AF2350" s="121"/>
      <c r="AG2350" s="121"/>
      <c r="AH2350" s="121"/>
      <c r="AI2350" s="121"/>
    </row>
    <row r="2351" spans="1:35" s="115" customFormat="1" ht="14.4">
      <c r="A2351" s="187"/>
      <c r="B2351" s="190"/>
      <c r="C2351" s="190"/>
      <c r="D2351" s="69"/>
      <c r="E2351" s="69"/>
      <c r="F2351" s="149"/>
      <c r="G2351" s="146"/>
      <c r="H2351" s="98"/>
      <c r="I2351" s="99"/>
      <c r="J2351" s="99"/>
      <c r="K2351" s="99"/>
      <c r="L2351" s="99"/>
      <c r="M2351" s="99"/>
      <c r="N2351" s="99"/>
      <c r="O2351" s="99"/>
      <c r="P2351" s="99"/>
      <c r="Q2351" s="99"/>
      <c r="R2351" s="99"/>
      <c r="S2351" s="99"/>
      <c r="T2351" s="99"/>
      <c r="U2351" s="105"/>
      <c r="V2351" s="262"/>
      <c r="W2351" s="121"/>
      <c r="X2351" s="121"/>
      <c r="Y2351" s="121"/>
      <c r="Z2351" s="121"/>
      <c r="AA2351" s="121"/>
      <c r="AB2351" s="121"/>
      <c r="AC2351" s="121"/>
      <c r="AD2351" s="121"/>
      <c r="AE2351" s="121"/>
      <c r="AF2351" s="121"/>
      <c r="AG2351" s="121"/>
      <c r="AH2351" s="121"/>
      <c r="AI2351" s="121"/>
    </row>
    <row r="2352" spans="1:35" s="115" customFormat="1" ht="14.4">
      <c r="A2352" s="187"/>
      <c r="B2352" s="190"/>
      <c r="C2352" s="190"/>
      <c r="D2352" s="69"/>
      <c r="E2352" s="69"/>
      <c r="F2352" s="149"/>
      <c r="G2352" s="146"/>
      <c r="H2352" s="98"/>
      <c r="I2352" s="99"/>
      <c r="J2352" s="99"/>
      <c r="K2352" s="99"/>
      <c r="L2352" s="99"/>
      <c r="M2352" s="99"/>
      <c r="N2352" s="99"/>
      <c r="O2352" s="99"/>
      <c r="P2352" s="99"/>
      <c r="Q2352" s="99"/>
      <c r="R2352" s="99"/>
      <c r="S2352" s="99"/>
      <c r="T2352" s="99"/>
      <c r="U2352" s="105"/>
      <c r="V2352" s="262"/>
      <c r="W2352" s="121"/>
      <c r="X2352" s="121"/>
      <c r="Y2352" s="121"/>
      <c r="Z2352" s="121"/>
      <c r="AA2352" s="121"/>
      <c r="AB2352" s="121"/>
      <c r="AC2352" s="121"/>
      <c r="AD2352" s="121"/>
      <c r="AE2352" s="121"/>
      <c r="AF2352" s="121"/>
      <c r="AG2352" s="121"/>
      <c r="AH2352" s="121"/>
      <c r="AI2352" s="121"/>
    </row>
    <row r="2353" spans="1:35" s="115" customFormat="1" ht="14.4">
      <c r="A2353" s="187"/>
      <c r="B2353" s="190"/>
      <c r="C2353" s="190"/>
      <c r="D2353" s="69"/>
      <c r="E2353" s="69"/>
      <c r="F2353" s="149"/>
      <c r="G2353" s="146"/>
      <c r="H2353" s="98"/>
      <c r="I2353" s="99"/>
      <c r="J2353" s="99"/>
      <c r="K2353" s="99"/>
      <c r="L2353" s="99"/>
      <c r="M2353" s="99"/>
      <c r="N2353" s="99"/>
      <c r="O2353" s="99"/>
      <c r="P2353" s="99"/>
      <c r="Q2353" s="99"/>
      <c r="R2353" s="99"/>
      <c r="S2353" s="99"/>
      <c r="T2353" s="99"/>
      <c r="U2353" s="105"/>
      <c r="V2353" s="262"/>
      <c r="W2353" s="121"/>
      <c r="X2353" s="121"/>
      <c r="Y2353" s="121"/>
      <c r="Z2353" s="121"/>
      <c r="AA2353" s="121"/>
      <c r="AB2353" s="121"/>
      <c r="AC2353" s="121"/>
      <c r="AD2353" s="121"/>
      <c r="AE2353" s="121"/>
      <c r="AF2353" s="121"/>
      <c r="AG2353" s="121"/>
      <c r="AH2353" s="121"/>
      <c r="AI2353" s="121"/>
    </row>
    <row r="2354" spans="1:35" s="115" customFormat="1" ht="14.4">
      <c r="A2354" s="187"/>
      <c r="B2354" s="190"/>
      <c r="C2354" s="190"/>
      <c r="D2354" s="69"/>
      <c r="E2354" s="69"/>
      <c r="F2354" s="149"/>
      <c r="G2354" s="146"/>
      <c r="H2354" s="98"/>
      <c r="I2354" s="99"/>
      <c r="J2354" s="99"/>
      <c r="K2354" s="99"/>
      <c r="L2354" s="99"/>
      <c r="M2354" s="99"/>
      <c r="N2354" s="99"/>
      <c r="O2354" s="99"/>
      <c r="P2354" s="99"/>
      <c r="Q2354" s="99"/>
      <c r="R2354" s="99"/>
      <c r="S2354" s="99"/>
      <c r="T2354" s="99"/>
      <c r="U2354" s="105"/>
      <c r="V2354" s="262"/>
      <c r="W2354" s="121"/>
      <c r="X2354" s="121"/>
      <c r="Y2354" s="121"/>
      <c r="Z2354" s="121"/>
      <c r="AA2354" s="121"/>
      <c r="AB2354" s="121"/>
      <c r="AC2354" s="121"/>
      <c r="AD2354" s="121"/>
      <c r="AE2354" s="121"/>
      <c r="AF2354" s="121"/>
      <c r="AG2354" s="121"/>
      <c r="AH2354" s="121"/>
      <c r="AI2354" s="121"/>
    </row>
    <row r="2355" spans="1:35" s="115" customFormat="1" ht="14.4">
      <c r="A2355" s="187"/>
      <c r="B2355" s="190"/>
      <c r="C2355" s="190"/>
      <c r="D2355" s="69"/>
      <c r="E2355" s="69"/>
      <c r="F2355" s="149"/>
      <c r="G2355" s="146"/>
      <c r="H2355" s="98"/>
      <c r="I2355" s="99"/>
      <c r="J2355" s="99"/>
      <c r="K2355" s="99"/>
      <c r="L2355" s="99"/>
      <c r="M2355" s="99"/>
      <c r="N2355" s="99"/>
      <c r="O2355" s="99"/>
      <c r="P2355" s="99"/>
      <c r="Q2355" s="99"/>
      <c r="R2355" s="99"/>
      <c r="S2355" s="99"/>
      <c r="T2355" s="99"/>
      <c r="U2355" s="105"/>
      <c r="V2355" s="262"/>
      <c r="W2355" s="121"/>
      <c r="X2355" s="121"/>
      <c r="Y2355" s="121"/>
      <c r="Z2355" s="121"/>
      <c r="AA2355" s="121"/>
      <c r="AB2355" s="121"/>
      <c r="AC2355" s="121"/>
      <c r="AD2355" s="121"/>
      <c r="AE2355" s="121"/>
      <c r="AF2355" s="121"/>
      <c r="AG2355" s="121"/>
      <c r="AH2355" s="121"/>
      <c r="AI2355" s="121"/>
    </row>
    <row r="2356" spans="1:35" s="115" customFormat="1" ht="14.4">
      <c r="A2356" s="187"/>
      <c r="B2356" s="190"/>
      <c r="C2356" s="190"/>
      <c r="D2356" s="69"/>
      <c r="E2356" s="69"/>
      <c r="F2356" s="149"/>
      <c r="G2356" s="146"/>
      <c r="H2356" s="98"/>
      <c r="I2356" s="99"/>
      <c r="J2356" s="99"/>
      <c r="K2356" s="99"/>
      <c r="L2356" s="99"/>
      <c r="M2356" s="99"/>
      <c r="N2356" s="99"/>
      <c r="O2356" s="99"/>
      <c r="P2356" s="99"/>
      <c r="Q2356" s="99"/>
      <c r="R2356" s="99"/>
      <c r="S2356" s="99"/>
      <c r="T2356" s="99"/>
      <c r="U2356" s="105"/>
      <c r="V2356" s="262"/>
      <c r="W2356" s="121"/>
      <c r="X2356" s="121"/>
      <c r="Y2356" s="121"/>
      <c r="Z2356" s="121"/>
      <c r="AA2356" s="121"/>
      <c r="AB2356" s="121"/>
      <c r="AC2356" s="121"/>
      <c r="AD2356" s="121"/>
      <c r="AE2356" s="121"/>
      <c r="AF2356" s="121"/>
      <c r="AG2356" s="121"/>
      <c r="AH2356" s="121"/>
      <c r="AI2356" s="121"/>
    </row>
    <row r="2357" spans="1:35" s="115" customFormat="1" ht="14.4">
      <c r="A2357" s="187"/>
      <c r="B2357" s="190"/>
      <c r="C2357" s="190"/>
      <c r="D2357" s="69"/>
      <c r="E2357" s="69"/>
      <c r="F2357" s="149"/>
      <c r="G2357" s="146"/>
      <c r="H2357" s="98"/>
      <c r="I2357" s="99"/>
      <c r="J2357" s="99"/>
      <c r="K2357" s="99"/>
      <c r="L2357" s="99"/>
      <c r="M2357" s="99"/>
      <c r="N2357" s="99"/>
      <c r="O2357" s="99"/>
      <c r="P2357" s="99"/>
      <c r="Q2357" s="99"/>
      <c r="R2357" s="99"/>
      <c r="S2357" s="99"/>
      <c r="T2357" s="99"/>
      <c r="U2357" s="105"/>
      <c r="V2357" s="262"/>
      <c r="W2357" s="121"/>
      <c r="X2357" s="121"/>
      <c r="Y2357" s="121"/>
      <c r="Z2357" s="121"/>
      <c r="AA2357" s="121"/>
      <c r="AB2357" s="121"/>
      <c r="AC2357" s="121"/>
      <c r="AD2357" s="121"/>
      <c r="AE2357" s="121"/>
      <c r="AF2357" s="121"/>
      <c r="AG2357" s="121"/>
      <c r="AH2357" s="121"/>
      <c r="AI2357" s="121"/>
    </row>
    <row r="2358" spans="1:35" s="115" customFormat="1" ht="14.4">
      <c r="A2358" s="187"/>
      <c r="B2358" s="190"/>
      <c r="C2358" s="190"/>
      <c r="D2358" s="69"/>
      <c r="E2358" s="69"/>
      <c r="F2358" s="149"/>
      <c r="G2358" s="146"/>
      <c r="H2358" s="98"/>
      <c r="I2358" s="99"/>
      <c r="J2358" s="99"/>
      <c r="K2358" s="99"/>
      <c r="L2358" s="99"/>
      <c r="M2358" s="99"/>
      <c r="N2358" s="99"/>
      <c r="O2358" s="99"/>
      <c r="P2358" s="99"/>
      <c r="Q2358" s="99"/>
      <c r="R2358" s="99"/>
      <c r="S2358" s="99"/>
      <c r="T2358" s="99"/>
      <c r="U2358" s="105"/>
      <c r="V2358" s="262"/>
      <c r="W2358" s="121"/>
      <c r="X2358" s="121"/>
      <c r="Y2358" s="121"/>
      <c r="Z2358" s="121"/>
      <c r="AA2358" s="121"/>
      <c r="AB2358" s="121"/>
      <c r="AC2358" s="121"/>
      <c r="AD2358" s="121"/>
      <c r="AE2358" s="121"/>
      <c r="AF2358" s="121"/>
      <c r="AG2358" s="121"/>
      <c r="AH2358" s="121"/>
      <c r="AI2358" s="121"/>
    </row>
    <row r="2359" spans="1:35" s="115" customFormat="1" ht="14.4">
      <c r="A2359" s="187"/>
      <c r="B2359" s="190"/>
      <c r="C2359" s="190"/>
      <c r="D2359" s="69"/>
      <c r="E2359" s="69"/>
      <c r="F2359" s="149"/>
      <c r="G2359" s="146"/>
      <c r="H2359" s="98"/>
      <c r="I2359" s="99"/>
      <c r="J2359" s="99"/>
      <c r="K2359" s="99"/>
      <c r="L2359" s="99"/>
      <c r="M2359" s="99"/>
      <c r="N2359" s="99"/>
      <c r="O2359" s="99"/>
      <c r="P2359" s="99"/>
      <c r="Q2359" s="99"/>
      <c r="R2359" s="99"/>
      <c r="S2359" s="99"/>
      <c r="T2359" s="99"/>
      <c r="U2359" s="105"/>
      <c r="V2359" s="262"/>
      <c r="W2359" s="121"/>
      <c r="X2359" s="121"/>
      <c r="Y2359" s="121"/>
      <c r="Z2359" s="121"/>
      <c r="AA2359" s="121"/>
      <c r="AB2359" s="121"/>
      <c r="AC2359" s="121"/>
      <c r="AD2359" s="121"/>
      <c r="AE2359" s="121"/>
      <c r="AF2359" s="121"/>
      <c r="AG2359" s="121"/>
      <c r="AH2359" s="121"/>
      <c r="AI2359" s="121"/>
    </row>
    <row r="2360" spans="1:35" s="115" customFormat="1" ht="14.4">
      <c r="A2360" s="187"/>
      <c r="B2360" s="190"/>
      <c r="C2360" s="190"/>
      <c r="D2360" s="69"/>
      <c r="E2360" s="69"/>
      <c r="F2360" s="149"/>
      <c r="G2360" s="146"/>
      <c r="H2360" s="98"/>
      <c r="I2360" s="99"/>
      <c r="J2360" s="99"/>
      <c r="K2360" s="99"/>
      <c r="L2360" s="99"/>
      <c r="M2360" s="99"/>
      <c r="N2360" s="99"/>
      <c r="O2360" s="99"/>
      <c r="P2360" s="99"/>
      <c r="Q2360" s="99"/>
      <c r="R2360" s="99"/>
      <c r="S2360" s="99"/>
      <c r="T2360" s="99"/>
      <c r="U2360" s="105"/>
      <c r="V2360" s="262"/>
      <c r="W2360" s="121"/>
      <c r="X2360" s="121"/>
      <c r="Y2360" s="121"/>
      <c r="Z2360" s="121"/>
      <c r="AA2360" s="121"/>
      <c r="AB2360" s="121"/>
      <c r="AC2360" s="121"/>
      <c r="AD2360" s="121"/>
      <c r="AE2360" s="121"/>
      <c r="AF2360" s="121"/>
      <c r="AG2360" s="121"/>
      <c r="AH2360" s="121"/>
      <c r="AI2360" s="121"/>
    </row>
    <row r="2361" spans="1:35" s="115" customFormat="1" ht="14.4">
      <c r="A2361" s="187"/>
      <c r="B2361" s="190"/>
      <c r="C2361" s="190"/>
      <c r="D2361" s="69"/>
      <c r="E2361" s="69"/>
      <c r="F2361" s="149"/>
      <c r="G2361" s="146"/>
      <c r="H2361" s="98"/>
      <c r="I2361" s="99"/>
      <c r="J2361" s="99"/>
      <c r="K2361" s="99"/>
      <c r="L2361" s="99"/>
      <c r="M2361" s="99"/>
      <c r="N2361" s="99"/>
      <c r="O2361" s="99"/>
      <c r="P2361" s="99"/>
      <c r="Q2361" s="99"/>
      <c r="R2361" s="99"/>
      <c r="S2361" s="99"/>
      <c r="T2361" s="99"/>
      <c r="U2361" s="105"/>
      <c r="V2361" s="262"/>
      <c r="W2361" s="121"/>
      <c r="X2361" s="121"/>
      <c r="Y2361" s="121"/>
      <c r="Z2361" s="121"/>
      <c r="AA2361" s="121"/>
      <c r="AB2361" s="121"/>
      <c r="AC2361" s="121"/>
      <c r="AD2361" s="121"/>
      <c r="AE2361" s="121"/>
      <c r="AF2361" s="121"/>
      <c r="AG2361" s="121"/>
      <c r="AH2361" s="121"/>
      <c r="AI2361" s="121"/>
    </row>
    <row r="2362" spans="1:35" s="115" customFormat="1" ht="14.4">
      <c r="A2362" s="187"/>
      <c r="B2362" s="190"/>
      <c r="C2362" s="190"/>
      <c r="D2362" s="69"/>
      <c r="E2362" s="69"/>
      <c r="F2362" s="149"/>
      <c r="G2362" s="146"/>
      <c r="H2362" s="98"/>
      <c r="I2362" s="99"/>
      <c r="J2362" s="99"/>
      <c r="K2362" s="99"/>
      <c r="L2362" s="99"/>
      <c r="M2362" s="99"/>
      <c r="N2362" s="99"/>
      <c r="O2362" s="99"/>
      <c r="P2362" s="99"/>
      <c r="Q2362" s="99"/>
      <c r="R2362" s="99"/>
      <c r="S2362" s="99"/>
      <c r="T2362" s="99"/>
      <c r="U2362" s="105"/>
      <c r="V2362" s="262"/>
      <c r="W2362" s="121"/>
      <c r="X2362" s="121"/>
      <c r="Y2362" s="121"/>
      <c r="Z2362" s="121"/>
      <c r="AA2362" s="121"/>
      <c r="AB2362" s="121"/>
      <c r="AC2362" s="121"/>
      <c r="AD2362" s="121"/>
      <c r="AE2362" s="121"/>
      <c r="AF2362" s="121"/>
      <c r="AG2362" s="121"/>
      <c r="AH2362" s="121"/>
      <c r="AI2362" s="121"/>
    </row>
    <row r="2363" spans="1:35" s="115" customFormat="1" ht="14.4">
      <c r="A2363" s="187"/>
      <c r="B2363" s="190"/>
      <c r="C2363" s="190"/>
      <c r="D2363" s="69"/>
      <c r="E2363" s="69"/>
      <c r="F2363" s="149"/>
      <c r="G2363" s="146"/>
      <c r="H2363" s="98"/>
      <c r="I2363" s="99"/>
      <c r="J2363" s="99"/>
      <c r="K2363" s="99"/>
      <c r="L2363" s="99"/>
      <c r="M2363" s="99"/>
      <c r="N2363" s="99"/>
      <c r="O2363" s="99"/>
      <c r="P2363" s="99"/>
      <c r="Q2363" s="99"/>
      <c r="R2363" s="99"/>
      <c r="S2363" s="99"/>
      <c r="T2363" s="99"/>
      <c r="U2363" s="105"/>
      <c r="V2363" s="262"/>
      <c r="W2363" s="121"/>
      <c r="X2363" s="121"/>
      <c r="Y2363" s="121"/>
      <c r="Z2363" s="121"/>
      <c r="AA2363" s="121"/>
      <c r="AB2363" s="121"/>
      <c r="AC2363" s="121"/>
      <c r="AD2363" s="121"/>
      <c r="AE2363" s="121"/>
      <c r="AF2363" s="121"/>
      <c r="AG2363" s="121"/>
      <c r="AH2363" s="121"/>
      <c r="AI2363" s="121"/>
    </row>
    <row r="2364" spans="1:35" s="115" customFormat="1" ht="14.4">
      <c r="A2364" s="187"/>
      <c r="B2364" s="190"/>
      <c r="C2364" s="190"/>
      <c r="D2364" s="69"/>
      <c r="E2364" s="69"/>
      <c r="F2364" s="149"/>
      <c r="G2364" s="146"/>
      <c r="H2364" s="98"/>
      <c r="I2364" s="99"/>
      <c r="J2364" s="99"/>
      <c r="K2364" s="99"/>
      <c r="L2364" s="99"/>
      <c r="M2364" s="99"/>
      <c r="N2364" s="99"/>
      <c r="O2364" s="99"/>
      <c r="P2364" s="99"/>
      <c r="Q2364" s="99"/>
      <c r="R2364" s="99"/>
      <c r="S2364" s="99"/>
      <c r="T2364" s="99"/>
      <c r="U2364" s="105"/>
      <c r="V2364" s="262"/>
      <c r="W2364" s="121"/>
      <c r="X2364" s="121"/>
      <c r="Y2364" s="121"/>
      <c r="Z2364" s="121"/>
      <c r="AA2364" s="121"/>
      <c r="AB2364" s="121"/>
      <c r="AC2364" s="121"/>
      <c r="AD2364" s="121"/>
      <c r="AE2364" s="121"/>
      <c r="AF2364" s="121"/>
      <c r="AG2364" s="121"/>
      <c r="AH2364" s="121"/>
      <c r="AI2364" s="121"/>
    </row>
    <row r="2365" spans="1:35" s="115" customFormat="1" ht="14.4">
      <c r="A2365" s="187"/>
      <c r="B2365" s="190"/>
      <c r="C2365" s="190"/>
      <c r="D2365" s="69"/>
      <c r="E2365" s="69"/>
      <c r="F2365" s="149"/>
      <c r="G2365" s="146"/>
      <c r="H2365" s="107"/>
      <c r="I2365" s="108"/>
      <c r="J2365" s="108"/>
      <c r="K2365" s="108"/>
      <c r="L2365" s="108"/>
      <c r="M2365" s="108"/>
      <c r="N2365" s="108"/>
      <c r="O2365" s="108"/>
      <c r="P2365" s="108"/>
      <c r="Q2365" s="108"/>
      <c r="R2365" s="108"/>
      <c r="S2365" s="108"/>
      <c r="T2365" s="108"/>
      <c r="U2365" s="105"/>
      <c r="V2365" s="262"/>
      <c r="W2365" s="121"/>
      <c r="X2365" s="121"/>
      <c r="Y2365" s="121"/>
      <c r="Z2365" s="121"/>
      <c r="AA2365" s="121"/>
      <c r="AB2365" s="121"/>
      <c r="AC2365" s="121"/>
      <c r="AD2365" s="121"/>
      <c r="AE2365" s="121"/>
      <c r="AF2365" s="121"/>
      <c r="AG2365" s="121"/>
      <c r="AH2365" s="121"/>
      <c r="AI2365" s="121"/>
    </row>
    <row r="2366" spans="1:35" s="115" customFormat="1" ht="14.4">
      <c r="A2366" s="187"/>
      <c r="B2366" s="190"/>
      <c r="C2366" s="190"/>
      <c r="D2366" s="69"/>
      <c r="E2366" s="69"/>
      <c r="F2366" s="149"/>
      <c r="G2366" s="146"/>
      <c r="H2366" s="98"/>
      <c r="I2366" s="106"/>
      <c r="J2366" s="106"/>
      <c r="K2366" s="106"/>
      <c r="L2366" s="106"/>
      <c r="M2366" s="106"/>
      <c r="N2366" s="112"/>
      <c r="O2366" s="112"/>
      <c r="P2366" s="112"/>
      <c r="Q2366" s="113"/>
      <c r="R2366" s="113"/>
      <c r="S2366" s="113"/>
      <c r="T2366" s="113"/>
      <c r="U2366" s="105"/>
      <c r="V2366" s="262"/>
      <c r="W2366" s="121"/>
      <c r="X2366" s="121"/>
      <c r="Y2366" s="121"/>
      <c r="Z2366" s="121"/>
      <c r="AA2366" s="121"/>
      <c r="AB2366" s="121"/>
      <c r="AC2366" s="121"/>
      <c r="AD2366" s="121"/>
      <c r="AE2366" s="121"/>
      <c r="AF2366" s="121"/>
      <c r="AG2366" s="121"/>
      <c r="AH2366" s="121"/>
      <c r="AI2366" s="121"/>
    </row>
    <row r="2367" spans="1:35" s="115" customFormat="1" ht="14.4">
      <c r="A2367" s="187"/>
      <c r="B2367" s="190"/>
      <c r="C2367" s="190"/>
      <c r="D2367" s="69"/>
      <c r="E2367" s="69"/>
      <c r="F2367" s="149"/>
      <c r="G2367" s="146"/>
      <c r="H2367" s="98"/>
      <c r="I2367" s="99"/>
      <c r="J2367" s="99"/>
      <c r="K2367" s="99"/>
      <c r="L2367" s="99"/>
      <c r="M2367" s="99"/>
      <c r="N2367" s="99"/>
      <c r="O2367" s="99"/>
      <c r="P2367" s="99"/>
      <c r="Q2367" s="99"/>
      <c r="R2367" s="99"/>
      <c r="S2367" s="99"/>
      <c r="T2367" s="99"/>
      <c r="U2367" s="105"/>
      <c r="V2367" s="262"/>
      <c r="W2367" s="121"/>
      <c r="X2367" s="121"/>
      <c r="Y2367" s="121"/>
      <c r="Z2367" s="121"/>
      <c r="AA2367" s="121"/>
      <c r="AB2367" s="121"/>
      <c r="AC2367" s="121"/>
      <c r="AD2367" s="121"/>
      <c r="AE2367" s="121"/>
      <c r="AF2367" s="121"/>
      <c r="AG2367" s="121"/>
      <c r="AH2367" s="121"/>
      <c r="AI2367" s="121"/>
    </row>
    <row r="2368" spans="1:35" s="115" customFormat="1" ht="14.4">
      <c r="A2368" s="187"/>
      <c r="B2368" s="190"/>
      <c r="C2368" s="190"/>
      <c r="D2368" s="69"/>
      <c r="E2368" s="69"/>
      <c r="F2368" s="149"/>
      <c r="G2368" s="146"/>
      <c r="H2368" s="98"/>
      <c r="I2368" s="99"/>
      <c r="J2368" s="99"/>
      <c r="K2368" s="99"/>
      <c r="L2368" s="99"/>
      <c r="M2368" s="99"/>
      <c r="N2368" s="99"/>
      <c r="O2368" s="99"/>
      <c r="P2368" s="99"/>
      <c r="Q2368" s="99"/>
      <c r="R2368" s="99"/>
      <c r="S2368" s="99"/>
      <c r="T2368" s="99"/>
      <c r="U2368" s="105"/>
      <c r="V2368" s="262"/>
      <c r="W2368" s="121"/>
      <c r="X2368" s="121"/>
      <c r="Y2368" s="121"/>
      <c r="Z2368" s="121"/>
      <c r="AA2368" s="121"/>
      <c r="AB2368" s="121"/>
      <c r="AC2368" s="121"/>
      <c r="AD2368" s="121"/>
      <c r="AE2368" s="121"/>
      <c r="AF2368" s="121"/>
      <c r="AG2368" s="121"/>
      <c r="AH2368" s="121"/>
      <c r="AI2368" s="121"/>
    </row>
    <row r="2369" spans="1:35" s="115" customFormat="1" ht="14.4">
      <c r="A2369" s="187"/>
      <c r="B2369" s="190"/>
      <c r="C2369" s="190"/>
      <c r="D2369" s="69"/>
      <c r="E2369" s="69"/>
      <c r="F2369" s="149"/>
      <c r="G2369" s="146"/>
      <c r="H2369" s="98"/>
      <c r="I2369" s="99"/>
      <c r="J2369" s="99"/>
      <c r="K2369" s="99"/>
      <c r="L2369" s="99"/>
      <c r="M2369" s="99"/>
      <c r="N2369" s="99"/>
      <c r="O2369" s="99"/>
      <c r="P2369" s="99"/>
      <c r="Q2369" s="99"/>
      <c r="R2369" s="99"/>
      <c r="S2369" s="99"/>
      <c r="T2369" s="99"/>
      <c r="U2369" s="105"/>
      <c r="V2369" s="262"/>
      <c r="W2369" s="121"/>
      <c r="X2369" s="121"/>
      <c r="Y2369" s="121"/>
      <c r="Z2369" s="121"/>
      <c r="AA2369" s="121"/>
      <c r="AB2369" s="121"/>
      <c r="AC2369" s="121"/>
      <c r="AD2369" s="121"/>
      <c r="AE2369" s="121"/>
      <c r="AF2369" s="121"/>
      <c r="AG2369" s="121"/>
      <c r="AH2369" s="121"/>
      <c r="AI2369" s="121"/>
    </row>
    <row r="2370" spans="1:35" s="115" customFormat="1" ht="14.4">
      <c r="A2370" s="187"/>
      <c r="B2370" s="190"/>
      <c r="C2370" s="190"/>
      <c r="D2370" s="69"/>
      <c r="E2370" s="69"/>
      <c r="F2370" s="149"/>
      <c r="G2370" s="146"/>
      <c r="H2370" s="98"/>
      <c r="I2370" s="99"/>
      <c r="J2370" s="99"/>
      <c r="K2370" s="99"/>
      <c r="L2370" s="99"/>
      <c r="M2370" s="99"/>
      <c r="N2370" s="99"/>
      <c r="O2370" s="99"/>
      <c r="P2370" s="99"/>
      <c r="Q2370" s="99"/>
      <c r="R2370" s="99"/>
      <c r="S2370" s="99"/>
      <c r="T2370" s="99"/>
      <c r="U2370" s="105"/>
      <c r="V2370" s="262"/>
      <c r="W2370" s="121"/>
      <c r="X2370" s="121"/>
      <c r="Y2370" s="121"/>
      <c r="Z2370" s="121"/>
      <c r="AA2370" s="121"/>
      <c r="AB2370" s="121"/>
      <c r="AC2370" s="121"/>
      <c r="AD2370" s="121"/>
      <c r="AE2370" s="121"/>
      <c r="AF2370" s="121"/>
      <c r="AG2370" s="121"/>
      <c r="AH2370" s="121"/>
      <c r="AI2370" s="121"/>
    </row>
    <row r="2371" spans="1:35" s="115" customFormat="1" ht="14.4">
      <c r="A2371" s="187"/>
      <c r="B2371" s="190"/>
      <c r="C2371" s="190"/>
      <c r="D2371" s="69"/>
      <c r="E2371" s="69"/>
      <c r="F2371" s="149"/>
      <c r="G2371" s="146"/>
      <c r="H2371" s="98"/>
      <c r="I2371" s="99"/>
      <c r="J2371" s="99"/>
      <c r="K2371" s="99"/>
      <c r="L2371" s="99"/>
      <c r="M2371" s="99"/>
      <c r="N2371" s="99"/>
      <c r="O2371" s="99"/>
      <c r="P2371" s="99"/>
      <c r="Q2371" s="99"/>
      <c r="R2371" s="99"/>
      <c r="S2371" s="99"/>
      <c r="T2371" s="99"/>
      <c r="U2371" s="105"/>
      <c r="V2371" s="262"/>
      <c r="W2371" s="121"/>
      <c r="X2371" s="121"/>
      <c r="Y2371" s="121"/>
      <c r="Z2371" s="121"/>
      <c r="AA2371" s="121"/>
      <c r="AB2371" s="121"/>
      <c r="AC2371" s="121"/>
      <c r="AD2371" s="121"/>
      <c r="AE2371" s="121"/>
      <c r="AF2371" s="121"/>
      <c r="AG2371" s="121"/>
      <c r="AH2371" s="121"/>
      <c r="AI2371" s="121"/>
    </row>
    <row r="2372" spans="1:35" s="115" customFormat="1" ht="14.4">
      <c r="A2372" s="187"/>
      <c r="B2372" s="190"/>
      <c r="C2372" s="190"/>
      <c r="D2372" s="69"/>
      <c r="E2372" s="69"/>
      <c r="F2372" s="149"/>
      <c r="G2372" s="146"/>
      <c r="H2372" s="98"/>
      <c r="I2372" s="99"/>
      <c r="J2372" s="99"/>
      <c r="K2372" s="99"/>
      <c r="L2372" s="99"/>
      <c r="M2372" s="99"/>
      <c r="N2372" s="99"/>
      <c r="O2372" s="99"/>
      <c r="P2372" s="99"/>
      <c r="Q2372" s="99"/>
      <c r="R2372" s="99"/>
      <c r="S2372" s="99"/>
      <c r="T2372" s="99"/>
      <c r="U2372" s="105"/>
      <c r="V2372" s="262"/>
      <c r="W2372" s="121"/>
      <c r="X2372" s="121"/>
      <c r="Y2372" s="121"/>
      <c r="Z2372" s="121"/>
      <c r="AA2372" s="121"/>
      <c r="AB2372" s="121"/>
      <c r="AC2372" s="121"/>
      <c r="AD2372" s="121"/>
      <c r="AE2372" s="121"/>
      <c r="AF2372" s="121"/>
      <c r="AG2372" s="121"/>
      <c r="AH2372" s="121"/>
      <c r="AI2372" s="121"/>
    </row>
    <row r="2373" spans="1:35" s="115" customFormat="1" ht="14.4">
      <c r="A2373" s="187"/>
      <c r="B2373" s="190"/>
      <c r="C2373" s="190"/>
      <c r="D2373" s="69"/>
      <c r="E2373" s="69"/>
      <c r="F2373" s="149"/>
      <c r="G2373" s="146"/>
      <c r="H2373" s="98"/>
      <c r="I2373" s="99"/>
      <c r="J2373" s="99"/>
      <c r="K2373" s="99"/>
      <c r="L2373" s="99"/>
      <c r="M2373" s="99"/>
      <c r="N2373" s="99"/>
      <c r="O2373" s="99"/>
      <c r="P2373" s="99"/>
      <c r="Q2373" s="99"/>
      <c r="R2373" s="99"/>
      <c r="S2373" s="99"/>
      <c r="T2373" s="99"/>
      <c r="U2373" s="105"/>
      <c r="V2373" s="262"/>
      <c r="W2373" s="121"/>
      <c r="X2373" s="121"/>
      <c r="Y2373" s="121"/>
      <c r="Z2373" s="121"/>
      <c r="AA2373" s="121"/>
      <c r="AB2373" s="121"/>
      <c r="AC2373" s="121"/>
      <c r="AD2373" s="121"/>
      <c r="AE2373" s="121"/>
      <c r="AF2373" s="121"/>
      <c r="AG2373" s="121"/>
      <c r="AH2373" s="121"/>
      <c r="AI2373" s="121"/>
    </row>
    <row r="2374" spans="1:35" s="115" customFormat="1" ht="14.4">
      <c r="A2374" s="187"/>
      <c r="B2374" s="190"/>
      <c r="C2374" s="190"/>
      <c r="D2374" s="69"/>
      <c r="E2374" s="69"/>
      <c r="F2374" s="149"/>
      <c r="G2374" s="146"/>
      <c r="H2374" s="98"/>
      <c r="I2374" s="99"/>
      <c r="J2374" s="99"/>
      <c r="K2374" s="99"/>
      <c r="L2374" s="99"/>
      <c r="M2374" s="99"/>
      <c r="N2374" s="99"/>
      <c r="O2374" s="99"/>
      <c r="P2374" s="99"/>
      <c r="Q2374" s="99"/>
      <c r="R2374" s="99"/>
      <c r="S2374" s="99"/>
      <c r="T2374" s="99"/>
      <c r="U2374" s="105"/>
      <c r="V2374" s="262"/>
      <c r="W2374" s="121"/>
      <c r="X2374" s="121"/>
      <c r="Y2374" s="121"/>
      <c r="Z2374" s="121"/>
      <c r="AA2374" s="121"/>
      <c r="AB2374" s="121"/>
      <c r="AC2374" s="121"/>
      <c r="AD2374" s="121"/>
      <c r="AE2374" s="121"/>
      <c r="AF2374" s="121"/>
      <c r="AG2374" s="121"/>
      <c r="AH2374" s="121"/>
      <c r="AI2374" s="121"/>
    </row>
    <row r="2375" spans="1:35" s="115" customFormat="1" ht="14.4">
      <c r="A2375" s="187"/>
      <c r="B2375" s="190"/>
      <c r="C2375" s="190"/>
      <c r="D2375" s="69"/>
      <c r="E2375" s="69"/>
      <c r="F2375" s="149"/>
      <c r="G2375" s="146"/>
      <c r="H2375" s="98"/>
      <c r="I2375" s="99"/>
      <c r="J2375" s="99"/>
      <c r="K2375" s="99"/>
      <c r="L2375" s="99"/>
      <c r="M2375" s="99"/>
      <c r="N2375" s="99"/>
      <c r="O2375" s="99"/>
      <c r="P2375" s="99"/>
      <c r="Q2375" s="99"/>
      <c r="R2375" s="99"/>
      <c r="S2375" s="99"/>
      <c r="T2375" s="99"/>
      <c r="U2375" s="105"/>
      <c r="V2375" s="262"/>
      <c r="W2375" s="121"/>
      <c r="X2375" s="121"/>
      <c r="Y2375" s="121"/>
      <c r="Z2375" s="121"/>
      <c r="AA2375" s="121"/>
      <c r="AB2375" s="121"/>
      <c r="AC2375" s="121"/>
      <c r="AD2375" s="121"/>
      <c r="AE2375" s="121"/>
      <c r="AF2375" s="121"/>
      <c r="AG2375" s="121"/>
      <c r="AH2375" s="121"/>
      <c r="AI2375" s="121"/>
    </row>
    <row r="2376" spans="1:35" s="115" customFormat="1" ht="14.4">
      <c r="A2376" s="187"/>
      <c r="B2376" s="190"/>
      <c r="C2376" s="190"/>
      <c r="D2376" s="69"/>
      <c r="E2376" s="69"/>
      <c r="F2376" s="149"/>
      <c r="G2376" s="146"/>
      <c r="H2376" s="98"/>
      <c r="I2376" s="99"/>
      <c r="J2376" s="99"/>
      <c r="K2376" s="99"/>
      <c r="L2376" s="99"/>
      <c r="M2376" s="99"/>
      <c r="N2376" s="99"/>
      <c r="O2376" s="99"/>
      <c r="P2376" s="99"/>
      <c r="Q2376" s="99"/>
      <c r="R2376" s="99"/>
      <c r="S2376" s="99"/>
      <c r="T2376" s="99"/>
      <c r="U2376" s="105"/>
      <c r="V2376" s="262"/>
      <c r="W2376" s="121"/>
      <c r="X2376" s="121"/>
      <c r="Y2376" s="121"/>
      <c r="Z2376" s="121"/>
      <c r="AA2376" s="121"/>
      <c r="AB2376" s="121"/>
      <c r="AC2376" s="121"/>
      <c r="AD2376" s="121"/>
      <c r="AE2376" s="121"/>
      <c r="AF2376" s="121"/>
      <c r="AG2376" s="121"/>
      <c r="AH2376" s="121"/>
      <c r="AI2376" s="121"/>
    </row>
    <row r="2377" spans="1:35" s="115" customFormat="1" ht="14.4">
      <c r="A2377" s="187"/>
      <c r="B2377" s="190"/>
      <c r="C2377" s="190"/>
      <c r="D2377" s="69"/>
      <c r="E2377" s="69"/>
      <c r="F2377" s="149"/>
      <c r="G2377" s="146"/>
      <c r="H2377" s="98"/>
      <c r="I2377" s="99"/>
      <c r="J2377" s="99"/>
      <c r="K2377" s="99"/>
      <c r="L2377" s="99"/>
      <c r="M2377" s="99"/>
      <c r="N2377" s="99"/>
      <c r="O2377" s="99"/>
      <c r="P2377" s="99"/>
      <c r="Q2377" s="99"/>
      <c r="R2377" s="99"/>
      <c r="S2377" s="99"/>
      <c r="T2377" s="99"/>
      <c r="U2377" s="105"/>
      <c r="V2377" s="262"/>
      <c r="W2377" s="121"/>
      <c r="X2377" s="121"/>
      <c r="Y2377" s="121"/>
      <c r="Z2377" s="121"/>
      <c r="AA2377" s="121"/>
      <c r="AB2377" s="121"/>
      <c r="AC2377" s="121"/>
      <c r="AD2377" s="121"/>
      <c r="AE2377" s="121"/>
      <c r="AF2377" s="121"/>
      <c r="AG2377" s="121"/>
      <c r="AH2377" s="121"/>
      <c r="AI2377" s="121"/>
    </row>
    <row r="2378" spans="1:35" s="115" customFormat="1" ht="14.4">
      <c r="A2378" s="187"/>
      <c r="B2378" s="190"/>
      <c r="C2378" s="190"/>
      <c r="D2378" s="69"/>
      <c r="E2378" s="69"/>
      <c r="F2378" s="149"/>
      <c r="G2378" s="146"/>
      <c r="H2378" s="98"/>
      <c r="I2378" s="99"/>
      <c r="J2378" s="99"/>
      <c r="K2378" s="99"/>
      <c r="L2378" s="99"/>
      <c r="M2378" s="99"/>
      <c r="N2378" s="99"/>
      <c r="O2378" s="99"/>
      <c r="P2378" s="99"/>
      <c r="Q2378" s="99"/>
      <c r="R2378" s="99"/>
      <c r="S2378" s="99"/>
      <c r="T2378" s="99"/>
      <c r="U2378" s="105"/>
      <c r="V2378" s="262"/>
      <c r="W2378" s="121"/>
      <c r="X2378" s="121"/>
      <c r="Y2378" s="121"/>
      <c r="Z2378" s="121"/>
      <c r="AA2378" s="121"/>
      <c r="AB2378" s="121"/>
      <c r="AC2378" s="121"/>
      <c r="AD2378" s="121"/>
      <c r="AE2378" s="121"/>
      <c r="AF2378" s="121"/>
      <c r="AG2378" s="121"/>
      <c r="AH2378" s="121"/>
      <c r="AI2378" s="121"/>
    </row>
    <row r="2379" spans="1:35" s="115" customFormat="1" ht="14.4">
      <c r="A2379" s="187"/>
      <c r="B2379" s="190"/>
      <c r="C2379" s="190"/>
      <c r="D2379" s="69"/>
      <c r="E2379" s="69"/>
      <c r="F2379" s="149"/>
      <c r="G2379" s="146"/>
      <c r="H2379" s="98"/>
      <c r="I2379" s="99"/>
      <c r="J2379" s="99"/>
      <c r="K2379" s="99"/>
      <c r="L2379" s="99"/>
      <c r="M2379" s="99"/>
      <c r="N2379" s="99"/>
      <c r="O2379" s="99"/>
      <c r="P2379" s="99"/>
      <c r="Q2379" s="99"/>
      <c r="R2379" s="99"/>
      <c r="S2379" s="99"/>
      <c r="T2379" s="99"/>
      <c r="U2379" s="105"/>
      <c r="V2379" s="262"/>
      <c r="W2379" s="121"/>
      <c r="X2379" s="121"/>
      <c r="Y2379" s="121"/>
      <c r="Z2379" s="121"/>
      <c r="AA2379" s="121"/>
      <c r="AB2379" s="121"/>
      <c r="AC2379" s="121"/>
      <c r="AD2379" s="121"/>
      <c r="AE2379" s="121"/>
      <c r="AF2379" s="121"/>
      <c r="AG2379" s="121"/>
      <c r="AH2379" s="121"/>
      <c r="AI2379" s="121"/>
    </row>
    <row r="2380" spans="1:35" s="115" customFormat="1" ht="14.4">
      <c r="A2380" s="187"/>
      <c r="B2380" s="190"/>
      <c r="C2380" s="190"/>
      <c r="D2380" s="69"/>
      <c r="E2380" s="69"/>
      <c r="F2380" s="149"/>
      <c r="G2380" s="146"/>
      <c r="H2380" s="98"/>
      <c r="I2380" s="99"/>
      <c r="J2380" s="99"/>
      <c r="K2380" s="99"/>
      <c r="L2380" s="99"/>
      <c r="M2380" s="99"/>
      <c r="N2380" s="99"/>
      <c r="O2380" s="99"/>
      <c r="P2380" s="99"/>
      <c r="Q2380" s="99"/>
      <c r="R2380" s="99"/>
      <c r="S2380" s="99"/>
      <c r="T2380" s="99"/>
      <c r="U2380" s="105"/>
      <c r="V2380" s="262"/>
      <c r="W2380" s="121"/>
      <c r="X2380" s="121"/>
      <c r="Y2380" s="121"/>
      <c r="Z2380" s="121"/>
      <c r="AA2380" s="121"/>
      <c r="AB2380" s="121"/>
      <c r="AC2380" s="121"/>
      <c r="AD2380" s="121"/>
      <c r="AE2380" s="121"/>
      <c r="AF2380" s="121"/>
      <c r="AG2380" s="121"/>
      <c r="AH2380" s="121"/>
      <c r="AI2380" s="121"/>
    </row>
    <row r="2381" spans="1:35" s="115" customFormat="1" ht="14.4">
      <c r="A2381" s="187"/>
      <c r="B2381" s="190"/>
      <c r="C2381" s="190"/>
      <c r="D2381" s="69"/>
      <c r="E2381" s="69"/>
      <c r="F2381" s="149"/>
      <c r="G2381" s="146"/>
      <c r="H2381" s="98"/>
      <c r="I2381" s="99"/>
      <c r="J2381" s="99"/>
      <c r="K2381" s="99"/>
      <c r="L2381" s="99"/>
      <c r="M2381" s="99"/>
      <c r="N2381" s="99"/>
      <c r="O2381" s="99"/>
      <c r="P2381" s="99"/>
      <c r="Q2381" s="99"/>
      <c r="R2381" s="99"/>
      <c r="S2381" s="99"/>
      <c r="T2381" s="99"/>
      <c r="U2381" s="105"/>
      <c r="V2381" s="262"/>
      <c r="W2381" s="121"/>
      <c r="X2381" s="121"/>
      <c r="Y2381" s="121"/>
      <c r="Z2381" s="121"/>
      <c r="AA2381" s="121"/>
      <c r="AB2381" s="121"/>
      <c r="AC2381" s="121"/>
      <c r="AD2381" s="121"/>
      <c r="AE2381" s="121"/>
      <c r="AF2381" s="121"/>
      <c r="AG2381" s="121"/>
      <c r="AH2381" s="121"/>
      <c r="AI2381" s="121"/>
    </row>
    <row r="2382" spans="1:35" s="115" customFormat="1" ht="14.4">
      <c r="A2382" s="187"/>
      <c r="B2382" s="190"/>
      <c r="C2382" s="190"/>
      <c r="D2382" s="69"/>
      <c r="E2382" s="69"/>
      <c r="F2382" s="149"/>
      <c r="G2382" s="146"/>
      <c r="H2382" s="98"/>
      <c r="I2382" s="99"/>
      <c r="J2382" s="99"/>
      <c r="K2382" s="99"/>
      <c r="L2382" s="99"/>
      <c r="M2382" s="99"/>
      <c r="N2382" s="99"/>
      <c r="O2382" s="99"/>
      <c r="P2382" s="99"/>
      <c r="Q2382" s="99"/>
      <c r="R2382" s="99"/>
      <c r="S2382" s="99"/>
      <c r="T2382" s="99"/>
      <c r="U2382" s="105"/>
      <c r="V2382" s="262"/>
      <c r="W2382" s="121"/>
      <c r="X2382" s="121"/>
      <c r="Y2382" s="121"/>
      <c r="Z2382" s="121"/>
      <c r="AA2382" s="121"/>
      <c r="AB2382" s="121"/>
      <c r="AC2382" s="121"/>
      <c r="AD2382" s="121"/>
      <c r="AE2382" s="121"/>
      <c r="AF2382" s="121"/>
      <c r="AG2382" s="121"/>
      <c r="AH2382" s="121"/>
      <c r="AI2382" s="121"/>
    </row>
    <row r="2383" spans="1:35" s="115" customFormat="1" ht="14.4">
      <c r="A2383" s="187"/>
      <c r="B2383" s="190"/>
      <c r="C2383" s="190"/>
      <c r="D2383" s="69"/>
      <c r="E2383" s="69"/>
      <c r="F2383" s="149"/>
      <c r="G2383" s="146"/>
      <c r="H2383" s="98"/>
      <c r="I2383" s="99"/>
      <c r="J2383" s="99"/>
      <c r="K2383" s="99"/>
      <c r="L2383" s="99"/>
      <c r="M2383" s="99"/>
      <c r="N2383" s="99"/>
      <c r="O2383" s="99"/>
      <c r="P2383" s="99"/>
      <c r="Q2383" s="99"/>
      <c r="R2383" s="99"/>
      <c r="S2383" s="99"/>
      <c r="T2383" s="99"/>
      <c r="U2383" s="105"/>
      <c r="V2383" s="262"/>
      <c r="W2383" s="121"/>
      <c r="X2383" s="121"/>
      <c r="Y2383" s="121"/>
      <c r="Z2383" s="121"/>
      <c r="AA2383" s="121"/>
      <c r="AB2383" s="121"/>
      <c r="AC2383" s="121"/>
      <c r="AD2383" s="121"/>
      <c r="AE2383" s="121"/>
      <c r="AF2383" s="121"/>
      <c r="AG2383" s="121"/>
      <c r="AH2383" s="121"/>
      <c r="AI2383" s="121"/>
    </row>
    <row r="2384" spans="1:35" s="115" customFormat="1" ht="14.4">
      <c r="A2384" s="187"/>
      <c r="B2384" s="190"/>
      <c r="C2384" s="190"/>
      <c r="D2384" s="69"/>
      <c r="E2384" s="69"/>
      <c r="F2384" s="149"/>
      <c r="G2384" s="146"/>
      <c r="H2384" s="107"/>
      <c r="I2384" s="109"/>
      <c r="J2384" s="109"/>
      <c r="K2384" s="109"/>
      <c r="L2384" s="109"/>
      <c r="M2384" s="109"/>
      <c r="N2384" s="109"/>
      <c r="O2384" s="109"/>
      <c r="P2384" s="109"/>
      <c r="Q2384" s="109"/>
      <c r="R2384" s="109"/>
      <c r="S2384" s="109"/>
      <c r="T2384" s="109"/>
      <c r="U2384" s="105"/>
      <c r="V2384" s="262"/>
      <c r="W2384" s="121"/>
      <c r="X2384" s="121"/>
      <c r="Y2384" s="121"/>
      <c r="Z2384" s="121"/>
      <c r="AA2384" s="121"/>
      <c r="AB2384" s="121"/>
      <c r="AC2384" s="121"/>
      <c r="AD2384" s="121"/>
      <c r="AE2384" s="121"/>
      <c r="AF2384" s="121"/>
      <c r="AG2384" s="121"/>
      <c r="AH2384" s="121"/>
      <c r="AI2384" s="121"/>
    </row>
    <row r="2385" spans="1:35" s="115" customFormat="1" ht="14.4">
      <c r="A2385" s="187"/>
      <c r="B2385" s="190"/>
      <c r="C2385" s="190"/>
      <c r="D2385" s="69"/>
      <c r="E2385" s="69"/>
      <c r="F2385" s="149"/>
      <c r="G2385" s="146"/>
      <c r="H2385" s="98"/>
      <c r="I2385" s="106"/>
      <c r="J2385" s="106"/>
      <c r="K2385" s="106"/>
      <c r="L2385" s="106"/>
      <c r="M2385" s="106"/>
      <c r="N2385" s="112"/>
      <c r="O2385" s="112"/>
      <c r="P2385" s="112"/>
      <c r="Q2385" s="113"/>
      <c r="R2385" s="113"/>
      <c r="S2385" s="113"/>
      <c r="T2385" s="113"/>
      <c r="U2385" s="105"/>
      <c r="V2385" s="262"/>
      <c r="W2385" s="121"/>
      <c r="X2385" s="121"/>
      <c r="Y2385" s="121"/>
      <c r="Z2385" s="121"/>
      <c r="AA2385" s="121"/>
      <c r="AB2385" s="121"/>
      <c r="AC2385" s="121"/>
      <c r="AD2385" s="121"/>
      <c r="AE2385" s="121"/>
      <c r="AF2385" s="121"/>
      <c r="AG2385" s="121"/>
      <c r="AH2385" s="121"/>
      <c r="AI2385" s="121"/>
    </row>
    <row r="2386" spans="1:35" s="115" customFormat="1" ht="14.4">
      <c r="A2386" s="187"/>
      <c r="B2386" s="190"/>
      <c r="C2386" s="190"/>
      <c r="D2386" s="69"/>
      <c r="E2386" s="69"/>
      <c r="F2386" s="149"/>
      <c r="G2386" s="146"/>
      <c r="H2386" s="98"/>
      <c r="I2386" s="99"/>
      <c r="J2386" s="99"/>
      <c r="K2386" s="99"/>
      <c r="L2386" s="99"/>
      <c r="M2386" s="99"/>
      <c r="N2386" s="99"/>
      <c r="O2386" s="99"/>
      <c r="P2386" s="99"/>
      <c r="Q2386" s="99"/>
      <c r="R2386" s="99"/>
      <c r="S2386" s="99"/>
      <c r="T2386" s="99"/>
      <c r="U2386" s="105"/>
      <c r="V2386" s="262"/>
      <c r="W2386" s="121"/>
      <c r="X2386" s="121"/>
      <c r="Y2386" s="121"/>
      <c r="Z2386" s="121"/>
      <c r="AA2386" s="121"/>
      <c r="AB2386" s="121"/>
      <c r="AC2386" s="121"/>
      <c r="AD2386" s="121"/>
      <c r="AE2386" s="121"/>
      <c r="AF2386" s="121"/>
      <c r="AG2386" s="121"/>
      <c r="AH2386" s="121"/>
      <c r="AI2386" s="121"/>
    </row>
    <row r="2387" spans="1:35" s="115" customFormat="1" ht="14.4">
      <c r="A2387" s="187"/>
      <c r="B2387" s="190"/>
      <c r="C2387" s="190"/>
      <c r="D2387" s="69"/>
      <c r="E2387" s="69"/>
      <c r="F2387" s="149"/>
      <c r="G2387" s="146"/>
      <c r="H2387" s="98"/>
      <c r="I2387" s="99"/>
      <c r="J2387" s="99"/>
      <c r="K2387" s="99"/>
      <c r="L2387" s="99"/>
      <c r="M2387" s="99"/>
      <c r="N2387" s="99"/>
      <c r="O2387" s="99"/>
      <c r="P2387" s="99"/>
      <c r="Q2387" s="99"/>
      <c r="R2387" s="99"/>
      <c r="S2387" s="99"/>
      <c r="T2387" s="99"/>
      <c r="U2387" s="105"/>
      <c r="V2387" s="262"/>
      <c r="W2387" s="121"/>
      <c r="X2387" s="121"/>
      <c r="Y2387" s="121"/>
      <c r="Z2387" s="121"/>
      <c r="AA2387" s="121"/>
      <c r="AB2387" s="121"/>
      <c r="AC2387" s="121"/>
      <c r="AD2387" s="121"/>
      <c r="AE2387" s="121"/>
      <c r="AF2387" s="121"/>
      <c r="AG2387" s="121"/>
      <c r="AH2387" s="121"/>
      <c r="AI2387" s="121"/>
    </row>
    <row r="2388" spans="1:35" s="115" customFormat="1" ht="14.4">
      <c r="A2388" s="187"/>
      <c r="B2388" s="190"/>
      <c r="C2388" s="190"/>
      <c r="D2388" s="69"/>
      <c r="E2388" s="69"/>
      <c r="F2388" s="149"/>
      <c r="G2388" s="146"/>
      <c r="H2388" s="98"/>
      <c r="I2388" s="99"/>
      <c r="J2388" s="99"/>
      <c r="K2388" s="99"/>
      <c r="L2388" s="99"/>
      <c r="M2388" s="99"/>
      <c r="N2388" s="99"/>
      <c r="O2388" s="99"/>
      <c r="P2388" s="99"/>
      <c r="Q2388" s="99"/>
      <c r="R2388" s="99"/>
      <c r="S2388" s="99"/>
      <c r="T2388" s="99"/>
      <c r="U2388" s="105"/>
      <c r="V2388" s="262"/>
      <c r="W2388" s="121"/>
      <c r="X2388" s="121"/>
      <c r="Y2388" s="121"/>
      <c r="Z2388" s="121"/>
      <c r="AA2388" s="121"/>
      <c r="AB2388" s="121"/>
      <c r="AC2388" s="121"/>
      <c r="AD2388" s="121"/>
      <c r="AE2388" s="121"/>
      <c r="AF2388" s="121"/>
      <c r="AG2388" s="121"/>
      <c r="AH2388" s="121"/>
      <c r="AI2388" s="121"/>
    </row>
    <row r="2389" spans="1:35" s="115" customFormat="1" ht="14.4">
      <c r="A2389" s="187"/>
      <c r="B2389" s="190"/>
      <c r="C2389" s="190"/>
      <c r="D2389" s="69"/>
      <c r="E2389" s="69"/>
      <c r="F2389" s="149"/>
      <c r="G2389" s="146"/>
      <c r="H2389" s="98"/>
      <c r="I2389" s="99"/>
      <c r="J2389" s="99"/>
      <c r="K2389" s="99"/>
      <c r="L2389" s="99"/>
      <c r="M2389" s="99"/>
      <c r="N2389" s="99"/>
      <c r="O2389" s="99"/>
      <c r="P2389" s="99"/>
      <c r="Q2389" s="99"/>
      <c r="R2389" s="99"/>
      <c r="S2389" s="99"/>
      <c r="T2389" s="99"/>
      <c r="U2389" s="105"/>
      <c r="V2389" s="262"/>
      <c r="W2389" s="121"/>
      <c r="X2389" s="121"/>
      <c r="Y2389" s="121"/>
      <c r="Z2389" s="121"/>
      <c r="AA2389" s="121"/>
      <c r="AB2389" s="121"/>
      <c r="AC2389" s="121"/>
      <c r="AD2389" s="121"/>
      <c r="AE2389" s="121"/>
      <c r="AF2389" s="121"/>
      <c r="AG2389" s="121"/>
      <c r="AH2389" s="121"/>
      <c r="AI2389" s="121"/>
    </row>
    <row r="2390" spans="1:35" s="115" customFormat="1" ht="14.4">
      <c r="A2390" s="187"/>
      <c r="B2390" s="190"/>
      <c r="C2390" s="190"/>
      <c r="D2390" s="69"/>
      <c r="E2390" s="69"/>
      <c r="F2390" s="149"/>
      <c r="G2390" s="146"/>
      <c r="H2390" s="98"/>
      <c r="I2390" s="99"/>
      <c r="J2390" s="99"/>
      <c r="K2390" s="99"/>
      <c r="L2390" s="99"/>
      <c r="M2390" s="99"/>
      <c r="N2390" s="99"/>
      <c r="O2390" s="99"/>
      <c r="P2390" s="99"/>
      <c r="Q2390" s="99"/>
      <c r="R2390" s="99"/>
      <c r="S2390" s="99"/>
      <c r="T2390" s="99"/>
      <c r="U2390" s="105"/>
      <c r="V2390" s="262"/>
      <c r="W2390" s="121"/>
      <c r="X2390" s="121"/>
      <c r="Y2390" s="121"/>
      <c r="Z2390" s="121"/>
      <c r="AA2390" s="121"/>
      <c r="AB2390" s="121"/>
      <c r="AC2390" s="121"/>
      <c r="AD2390" s="121"/>
      <c r="AE2390" s="121"/>
      <c r="AF2390" s="121"/>
      <c r="AG2390" s="121"/>
      <c r="AH2390" s="121"/>
      <c r="AI2390" s="121"/>
    </row>
    <row r="2391" spans="1:35" s="115" customFormat="1" ht="14.4">
      <c r="A2391" s="187"/>
      <c r="B2391" s="190"/>
      <c r="C2391" s="190"/>
      <c r="D2391" s="69"/>
      <c r="E2391" s="69"/>
      <c r="F2391" s="149"/>
      <c r="G2391" s="146"/>
      <c r="H2391" s="98"/>
      <c r="I2391" s="99"/>
      <c r="J2391" s="99"/>
      <c r="K2391" s="99"/>
      <c r="L2391" s="99"/>
      <c r="M2391" s="99"/>
      <c r="N2391" s="99"/>
      <c r="O2391" s="99"/>
      <c r="P2391" s="99"/>
      <c r="Q2391" s="99"/>
      <c r="R2391" s="99"/>
      <c r="S2391" s="99"/>
      <c r="T2391" s="99"/>
      <c r="U2391" s="105"/>
      <c r="V2391" s="262"/>
      <c r="W2391" s="121"/>
      <c r="X2391" s="121"/>
      <c r="Y2391" s="121"/>
      <c r="Z2391" s="121"/>
      <c r="AA2391" s="121"/>
      <c r="AB2391" s="121"/>
      <c r="AC2391" s="121"/>
      <c r="AD2391" s="121"/>
      <c r="AE2391" s="121"/>
      <c r="AF2391" s="121"/>
      <c r="AG2391" s="121"/>
      <c r="AH2391" s="121"/>
      <c r="AI2391" s="121"/>
    </row>
    <row r="2392" spans="1:35" s="115" customFormat="1" ht="14.4">
      <c r="A2392" s="187"/>
      <c r="B2392" s="190"/>
      <c r="C2392" s="190"/>
      <c r="D2392" s="69"/>
      <c r="E2392" s="69"/>
      <c r="F2392" s="149"/>
      <c r="G2392" s="146"/>
      <c r="H2392" s="98"/>
      <c r="I2392" s="99"/>
      <c r="J2392" s="99"/>
      <c r="K2392" s="99"/>
      <c r="L2392" s="99"/>
      <c r="M2392" s="99"/>
      <c r="N2392" s="99"/>
      <c r="O2392" s="99"/>
      <c r="P2392" s="99"/>
      <c r="Q2392" s="99"/>
      <c r="R2392" s="99"/>
      <c r="S2392" s="99"/>
      <c r="T2392" s="99"/>
      <c r="U2392" s="105"/>
      <c r="V2392" s="262"/>
      <c r="W2392" s="121"/>
      <c r="X2392" s="121"/>
      <c r="Y2392" s="121"/>
      <c r="Z2392" s="121"/>
      <c r="AA2392" s="121"/>
      <c r="AB2392" s="121"/>
      <c r="AC2392" s="121"/>
      <c r="AD2392" s="121"/>
      <c r="AE2392" s="121"/>
      <c r="AF2392" s="121"/>
      <c r="AG2392" s="121"/>
      <c r="AH2392" s="121"/>
      <c r="AI2392" s="121"/>
    </row>
    <row r="2393" spans="1:35" s="115" customFormat="1" ht="14.4">
      <c r="A2393" s="187"/>
      <c r="B2393" s="190"/>
      <c r="C2393" s="190"/>
      <c r="D2393" s="69"/>
      <c r="E2393" s="69"/>
      <c r="F2393" s="149"/>
      <c r="G2393" s="146"/>
      <c r="H2393" s="98"/>
      <c r="I2393" s="99"/>
      <c r="J2393" s="99"/>
      <c r="K2393" s="99"/>
      <c r="L2393" s="99"/>
      <c r="M2393" s="99"/>
      <c r="N2393" s="99"/>
      <c r="O2393" s="99"/>
      <c r="P2393" s="99"/>
      <c r="Q2393" s="99"/>
      <c r="R2393" s="99"/>
      <c r="S2393" s="99"/>
      <c r="T2393" s="99"/>
      <c r="U2393" s="105"/>
      <c r="V2393" s="262"/>
      <c r="W2393" s="121"/>
      <c r="X2393" s="121"/>
      <c r="Y2393" s="121"/>
      <c r="Z2393" s="121"/>
      <c r="AA2393" s="121"/>
      <c r="AB2393" s="121"/>
      <c r="AC2393" s="121"/>
      <c r="AD2393" s="121"/>
      <c r="AE2393" s="121"/>
      <c r="AF2393" s="121"/>
      <c r="AG2393" s="121"/>
      <c r="AH2393" s="121"/>
      <c r="AI2393" s="121"/>
    </row>
    <row r="2394" spans="1:35" s="115" customFormat="1" ht="14.4">
      <c r="A2394" s="187"/>
      <c r="B2394" s="190"/>
      <c r="C2394" s="190"/>
      <c r="D2394" s="69"/>
      <c r="E2394" s="69"/>
      <c r="F2394" s="149"/>
      <c r="G2394" s="146"/>
      <c r="H2394" s="98"/>
      <c r="I2394" s="99"/>
      <c r="J2394" s="99"/>
      <c r="K2394" s="99"/>
      <c r="L2394" s="99"/>
      <c r="M2394" s="99"/>
      <c r="N2394" s="99"/>
      <c r="O2394" s="99"/>
      <c r="P2394" s="99"/>
      <c r="Q2394" s="99"/>
      <c r="R2394" s="99"/>
      <c r="S2394" s="99"/>
      <c r="T2394" s="99"/>
      <c r="U2394" s="105"/>
      <c r="V2394" s="262"/>
      <c r="W2394" s="121"/>
      <c r="X2394" s="121"/>
      <c r="Y2394" s="121"/>
      <c r="Z2394" s="121"/>
      <c r="AA2394" s="121"/>
      <c r="AB2394" s="121"/>
      <c r="AC2394" s="121"/>
      <c r="AD2394" s="121"/>
      <c r="AE2394" s="121"/>
      <c r="AF2394" s="121"/>
      <c r="AG2394" s="121"/>
      <c r="AH2394" s="121"/>
      <c r="AI2394" s="121"/>
    </row>
    <row r="2395" spans="1:35" s="115" customFormat="1" ht="14.4">
      <c r="A2395" s="187"/>
      <c r="B2395" s="190"/>
      <c r="C2395" s="190"/>
      <c r="D2395" s="69"/>
      <c r="E2395" s="69"/>
      <c r="F2395" s="149"/>
      <c r="G2395" s="146"/>
      <c r="H2395" s="98"/>
      <c r="I2395" s="99"/>
      <c r="J2395" s="99"/>
      <c r="K2395" s="99"/>
      <c r="L2395" s="99"/>
      <c r="M2395" s="99"/>
      <c r="N2395" s="99"/>
      <c r="O2395" s="99"/>
      <c r="P2395" s="99"/>
      <c r="Q2395" s="99"/>
      <c r="R2395" s="99"/>
      <c r="S2395" s="99"/>
      <c r="T2395" s="99"/>
      <c r="U2395" s="105"/>
      <c r="V2395" s="262"/>
      <c r="W2395" s="121"/>
      <c r="X2395" s="121"/>
      <c r="Y2395" s="121"/>
      <c r="Z2395" s="121"/>
      <c r="AA2395" s="121"/>
      <c r="AB2395" s="121"/>
      <c r="AC2395" s="121"/>
      <c r="AD2395" s="121"/>
      <c r="AE2395" s="121"/>
      <c r="AF2395" s="121"/>
      <c r="AG2395" s="121"/>
      <c r="AH2395" s="121"/>
      <c r="AI2395" s="121"/>
    </row>
    <row r="2396" spans="1:35" s="115" customFormat="1" ht="14.4">
      <c r="A2396" s="187"/>
      <c r="B2396" s="190"/>
      <c r="C2396" s="190"/>
      <c r="D2396" s="69"/>
      <c r="E2396" s="69"/>
      <c r="F2396" s="149"/>
      <c r="G2396" s="146"/>
      <c r="H2396" s="98"/>
      <c r="I2396" s="99"/>
      <c r="J2396" s="99"/>
      <c r="K2396" s="99"/>
      <c r="L2396" s="99"/>
      <c r="M2396" s="99"/>
      <c r="N2396" s="99"/>
      <c r="O2396" s="99"/>
      <c r="P2396" s="99"/>
      <c r="Q2396" s="99"/>
      <c r="R2396" s="99"/>
      <c r="S2396" s="99"/>
      <c r="T2396" s="99"/>
      <c r="U2396" s="105"/>
      <c r="V2396" s="262"/>
      <c r="W2396" s="121"/>
      <c r="X2396" s="121"/>
      <c r="Y2396" s="121"/>
      <c r="Z2396" s="121"/>
      <c r="AA2396" s="121"/>
      <c r="AB2396" s="121"/>
      <c r="AC2396" s="121"/>
      <c r="AD2396" s="121"/>
      <c r="AE2396" s="121"/>
      <c r="AF2396" s="121"/>
      <c r="AG2396" s="121"/>
      <c r="AH2396" s="121"/>
      <c r="AI2396" s="121"/>
    </row>
    <row r="2397" spans="1:35" s="115" customFormat="1" ht="14.4">
      <c r="A2397" s="187"/>
      <c r="B2397" s="190"/>
      <c r="C2397" s="190"/>
      <c r="D2397" s="69"/>
      <c r="E2397" s="69"/>
      <c r="F2397" s="149"/>
      <c r="G2397" s="146"/>
      <c r="H2397" s="98"/>
      <c r="I2397" s="99"/>
      <c r="J2397" s="99"/>
      <c r="K2397" s="99"/>
      <c r="L2397" s="99"/>
      <c r="M2397" s="99"/>
      <c r="N2397" s="99"/>
      <c r="O2397" s="99"/>
      <c r="P2397" s="99"/>
      <c r="Q2397" s="99"/>
      <c r="R2397" s="99"/>
      <c r="S2397" s="99"/>
      <c r="T2397" s="99"/>
      <c r="U2397" s="105"/>
      <c r="V2397" s="262"/>
      <c r="W2397" s="121"/>
      <c r="X2397" s="121"/>
      <c r="Y2397" s="121"/>
      <c r="Z2397" s="121"/>
      <c r="AA2397" s="121"/>
      <c r="AB2397" s="121"/>
      <c r="AC2397" s="121"/>
      <c r="AD2397" s="121"/>
      <c r="AE2397" s="121"/>
      <c r="AF2397" s="121"/>
      <c r="AG2397" s="121"/>
      <c r="AH2397" s="121"/>
      <c r="AI2397" s="121"/>
    </row>
    <row r="2398" spans="1:35" s="115" customFormat="1" ht="14.4">
      <c r="A2398" s="187"/>
      <c r="B2398" s="190"/>
      <c r="C2398" s="190"/>
      <c r="D2398" s="69"/>
      <c r="E2398" s="69"/>
      <c r="F2398" s="149"/>
      <c r="G2398" s="146"/>
      <c r="H2398" s="98"/>
      <c r="I2398" s="99"/>
      <c r="J2398" s="99"/>
      <c r="K2398" s="99"/>
      <c r="L2398" s="99"/>
      <c r="M2398" s="99"/>
      <c r="N2398" s="99"/>
      <c r="O2398" s="99"/>
      <c r="P2398" s="99"/>
      <c r="Q2398" s="99"/>
      <c r="R2398" s="99"/>
      <c r="S2398" s="99"/>
      <c r="T2398" s="99"/>
      <c r="U2398" s="105"/>
      <c r="V2398" s="262"/>
      <c r="W2398" s="121"/>
      <c r="X2398" s="121"/>
      <c r="Y2398" s="121"/>
      <c r="Z2398" s="121"/>
      <c r="AA2398" s="121"/>
      <c r="AB2398" s="121"/>
      <c r="AC2398" s="121"/>
      <c r="AD2398" s="121"/>
      <c r="AE2398" s="121"/>
      <c r="AF2398" s="121"/>
      <c r="AG2398" s="121"/>
      <c r="AH2398" s="121"/>
      <c r="AI2398" s="121"/>
    </row>
    <row r="2399" spans="1:35" s="115" customFormat="1" ht="14.4">
      <c r="A2399" s="187"/>
      <c r="B2399" s="190"/>
      <c r="C2399" s="190"/>
      <c r="D2399" s="69"/>
      <c r="E2399" s="69"/>
      <c r="F2399" s="149"/>
      <c r="G2399" s="146"/>
      <c r="H2399" s="107"/>
      <c r="I2399" s="109"/>
      <c r="J2399" s="109"/>
      <c r="K2399" s="109"/>
      <c r="L2399" s="109"/>
      <c r="M2399" s="109"/>
      <c r="N2399" s="109"/>
      <c r="O2399" s="109"/>
      <c r="P2399" s="109"/>
      <c r="Q2399" s="109"/>
      <c r="R2399" s="109"/>
      <c r="S2399" s="109"/>
      <c r="T2399" s="109"/>
      <c r="U2399" s="105"/>
      <c r="V2399" s="262"/>
      <c r="W2399" s="121"/>
      <c r="X2399" s="121"/>
      <c r="Y2399" s="121"/>
      <c r="Z2399" s="121"/>
      <c r="AA2399" s="121"/>
      <c r="AB2399" s="121"/>
      <c r="AC2399" s="121"/>
      <c r="AD2399" s="121"/>
      <c r="AE2399" s="121"/>
      <c r="AF2399" s="121"/>
      <c r="AG2399" s="121"/>
      <c r="AH2399" s="121"/>
      <c r="AI2399" s="121"/>
    </row>
    <row r="2400" spans="1:35" s="115" customFormat="1" ht="14.4">
      <c r="A2400" s="187"/>
      <c r="B2400" s="190"/>
      <c r="C2400" s="190"/>
      <c r="D2400" s="69"/>
      <c r="E2400" s="69"/>
      <c r="F2400" s="149"/>
      <c r="G2400" s="146"/>
      <c r="H2400" s="98"/>
      <c r="I2400" s="106"/>
      <c r="J2400" s="106"/>
      <c r="K2400" s="106"/>
      <c r="L2400" s="106"/>
      <c r="M2400" s="106"/>
      <c r="N2400" s="112"/>
      <c r="O2400" s="112"/>
      <c r="P2400" s="112"/>
      <c r="Q2400" s="113"/>
      <c r="R2400" s="113"/>
      <c r="S2400" s="113"/>
      <c r="T2400" s="113"/>
      <c r="U2400" s="105"/>
      <c r="V2400" s="262"/>
      <c r="W2400" s="121"/>
      <c r="X2400" s="121"/>
      <c r="Y2400" s="121"/>
      <c r="Z2400" s="121"/>
      <c r="AA2400" s="121"/>
      <c r="AB2400" s="121"/>
      <c r="AC2400" s="121"/>
      <c r="AD2400" s="121"/>
      <c r="AE2400" s="121"/>
      <c r="AF2400" s="121"/>
      <c r="AG2400" s="121"/>
      <c r="AH2400" s="121"/>
      <c r="AI2400" s="121"/>
    </row>
    <row r="2401" spans="1:54" s="115" customFormat="1" ht="14.4">
      <c r="A2401" s="187"/>
      <c r="B2401" s="190"/>
      <c r="C2401" s="190"/>
      <c r="D2401" s="69"/>
      <c r="E2401" s="69"/>
      <c r="F2401" s="149"/>
      <c r="G2401" s="146"/>
      <c r="H2401" s="98"/>
      <c r="I2401" s="99"/>
      <c r="J2401" s="99"/>
      <c r="K2401" s="99"/>
      <c r="L2401" s="99"/>
      <c r="M2401" s="99"/>
      <c r="N2401" s="99"/>
      <c r="O2401" s="99"/>
      <c r="P2401" s="99"/>
      <c r="Q2401" s="99"/>
      <c r="R2401" s="99"/>
      <c r="S2401" s="99"/>
      <c r="T2401" s="99"/>
      <c r="U2401" s="105"/>
      <c r="V2401" s="262"/>
      <c r="W2401" s="121"/>
      <c r="X2401" s="121"/>
      <c r="Y2401" s="121"/>
      <c r="Z2401" s="121"/>
      <c r="AA2401" s="121"/>
      <c r="AB2401" s="121"/>
      <c r="AC2401" s="121"/>
      <c r="AD2401" s="121"/>
      <c r="AE2401" s="121"/>
      <c r="AF2401" s="121"/>
      <c r="AG2401" s="121"/>
      <c r="AH2401" s="121"/>
      <c r="AI2401" s="121"/>
    </row>
    <row r="2402" spans="1:54" s="115" customFormat="1" ht="14.4">
      <c r="A2402" s="187"/>
      <c r="B2402" s="190"/>
      <c r="C2402" s="190"/>
      <c r="D2402" s="69"/>
      <c r="E2402" s="69"/>
      <c r="F2402" s="149"/>
      <c r="G2402" s="146"/>
      <c r="H2402" s="98"/>
      <c r="I2402" s="99"/>
      <c r="J2402" s="99"/>
      <c r="K2402" s="99"/>
      <c r="L2402" s="99"/>
      <c r="M2402" s="99"/>
      <c r="N2402" s="99"/>
      <c r="O2402" s="99"/>
      <c r="P2402" s="99"/>
      <c r="Q2402" s="99"/>
      <c r="R2402" s="99"/>
      <c r="S2402" s="99"/>
      <c r="T2402" s="99"/>
      <c r="U2402" s="105"/>
      <c r="V2402" s="262"/>
      <c r="W2402" s="121"/>
      <c r="X2402" s="121"/>
      <c r="Y2402" s="121"/>
      <c r="Z2402" s="121"/>
      <c r="AA2402" s="121"/>
      <c r="AB2402" s="121"/>
      <c r="AC2402" s="121"/>
      <c r="AD2402" s="121"/>
      <c r="AE2402" s="121"/>
      <c r="AF2402" s="121"/>
      <c r="AG2402" s="121"/>
      <c r="AH2402" s="121"/>
      <c r="AI2402" s="121"/>
    </row>
    <row r="2403" spans="1:54" s="115" customFormat="1" ht="14.4">
      <c r="A2403" s="187"/>
      <c r="B2403" s="190"/>
      <c r="C2403" s="190"/>
      <c r="D2403" s="69"/>
      <c r="E2403" s="69"/>
      <c r="F2403" s="149"/>
      <c r="G2403" s="146"/>
      <c r="H2403" s="98"/>
      <c r="I2403" s="99"/>
      <c r="J2403" s="99"/>
      <c r="K2403" s="99"/>
      <c r="L2403" s="99"/>
      <c r="M2403" s="99"/>
      <c r="N2403" s="99"/>
      <c r="O2403" s="99"/>
      <c r="P2403" s="99"/>
      <c r="Q2403" s="99"/>
      <c r="R2403" s="99"/>
      <c r="S2403" s="99"/>
      <c r="T2403" s="99"/>
      <c r="U2403" s="105"/>
      <c r="V2403" s="262"/>
      <c r="W2403" s="121"/>
      <c r="X2403" s="121"/>
      <c r="Y2403" s="121"/>
      <c r="Z2403" s="121"/>
      <c r="AA2403" s="121"/>
      <c r="AB2403" s="121"/>
      <c r="AC2403" s="121"/>
      <c r="AD2403" s="121"/>
      <c r="AE2403" s="121"/>
      <c r="AF2403" s="121"/>
      <c r="AG2403" s="121"/>
      <c r="AH2403" s="121"/>
      <c r="AI2403" s="121"/>
    </row>
    <row r="2404" spans="1:54" s="115" customFormat="1" ht="14.4">
      <c r="A2404" s="187"/>
      <c r="B2404" s="190"/>
      <c r="C2404" s="190"/>
      <c r="D2404" s="69"/>
      <c r="E2404" s="69"/>
      <c r="F2404" s="149"/>
      <c r="G2404" s="146"/>
      <c r="H2404" s="98"/>
      <c r="I2404" s="99"/>
      <c r="J2404" s="99"/>
      <c r="K2404" s="99"/>
      <c r="L2404" s="99"/>
      <c r="M2404" s="99"/>
      <c r="N2404" s="99"/>
      <c r="O2404" s="99"/>
      <c r="P2404" s="99"/>
      <c r="Q2404" s="99"/>
      <c r="R2404" s="99"/>
      <c r="S2404" s="99"/>
      <c r="T2404" s="99"/>
      <c r="U2404" s="105"/>
      <c r="V2404" s="262"/>
      <c r="W2404" s="121"/>
      <c r="X2404" s="121"/>
      <c r="Y2404" s="121"/>
      <c r="Z2404" s="121"/>
      <c r="AA2404" s="121"/>
      <c r="AB2404" s="121"/>
      <c r="AC2404" s="121"/>
      <c r="AD2404" s="121"/>
      <c r="AE2404" s="121"/>
      <c r="AF2404" s="121"/>
      <c r="AG2404" s="121"/>
      <c r="AH2404" s="121"/>
      <c r="AI2404" s="121"/>
    </row>
    <row r="2405" spans="1:54" s="115" customFormat="1" ht="14.4">
      <c r="A2405" s="187"/>
      <c r="B2405" s="190"/>
      <c r="C2405" s="190"/>
      <c r="D2405" s="69"/>
      <c r="E2405" s="69"/>
      <c r="F2405" s="149"/>
      <c r="G2405" s="146"/>
      <c r="H2405" s="98"/>
      <c r="I2405" s="99"/>
      <c r="J2405" s="99"/>
      <c r="K2405" s="99"/>
      <c r="L2405" s="99"/>
      <c r="M2405" s="99"/>
      <c r="N2405" s="99"/>
      <c r="O2405" s="99"/>
      <c r="P2405" s="99"/>
      <c r="Q2405" s="99"/>
      <c r="R2405" s="99"/>
      <c r="S2405" s="99"/>
      <c r="T2405" s="99"/>
      <c r="U2405" s="105"/>
      <c r="V2405" s="262"/>
      <c r="W2405" s="121"/>
      <c r="X2405" s="121"/>
      <c r="Y2405" s="121"/>
      <c r="Z2405" s="121"/>
      <c r="AA2405" s="121"/>
      <c r="AB2405" s="121"/>
      <c r="AC2405" s="121"/>
      <c r="AD2405" s="121"/>
      <c r="AE2405" s="121"/>
      <c r="AF2405" s="121"/>
      <c r="AG2405" s="121"/>
      <c r="AH2405" s="121"/>
      <c r="AI2405" s="121"/>
    </row>
    <row r="2406" spans="1:54" s="115" customFormat="1" ht="14.4">
      <c r="A2406" s="187"/>
      <c r="B2406" s="190"/>
      <c r="C2406" s="190"/>
      <c r="D2406" s="69"/>
      <c r="E2406" s="69"/>
      <c r="F2406" s="149"/>
      <c r="G2406" s="146"/>
      <c r="H2406" s="107"/>
      <c r="I2406" s="108"/>
      <c r="J2406" s="108"/>
      <c r="K2406" s="108"/>
      <c r="L2406" s="108"/>
      <c r="M2406" s="108"/>
      <c r="N2406" s="109"/>
      <c r="O2406" s="109"/>
      <c r="P2406" s="109"/>
      <c r="Q2406" s="109"/>
      <c r="R2406" s="109"/>
      <c r="S2406" s="109"/>
      <c r="T2406" s="109"/>
      <c r="U2406" s="105"/>
      <c r="V2406" s="262"/>
      <c r="W2406" s="121"/>
      <c r="X2406" s="121"/>
      <c r="Y2406" s="121"/>
      <c r="Z2406" s="121"/>
      <c r="AA2406" s="121"/>
      <c r="AB2406" s="121"/>
      <c r="AC2406" s="121"/>
      <c r="AD2406" s="121"/>
      <c r="AE2406" s="121"/>
      <c r="AF2406" s="121"/>
      <c r="AG2406" s="121"/>
      <c r="AH2406" s="121"/>
      <c r="AI2406" s="121"/>
    </row>
    <row r="2407" spans="1:54" s="115" customFormat="1" ht="14.4">
      <c r="A2407" s="187"/>
      <c r="B2407" s="190"/>
      <c r="C2407" s="190"/>
      <c r="D2407" s="69"/>
      <c r="E2407" s="69"/>
      <c r="F2407" s="149"/>
      <c r="G2407" s="146"/>
      <c r="H2407" s="98"/>
      <c r="I2407" s="106"/>
      <c r="J2407" s="106"/>
      <c r="K2407" s="106"/>
      <c r="L2407" s="106"/>
      <c r="M2407" s="106"/>
      <c r="N2407" s="112"/>
      <c r="O2407" s="112"/>
      <c r="P2407" s="112"/>
      <c r="Q2407" s="113"/>
      <c r="R2407" s="113"/>
      <c r="S2407" s="113"/>
      <c r="T2407" s="113"/>
      <c r="U2407" s="105"/>
      <c r="V2407" s="262"/>
      <c r="W2407" s="121"/>
      <c r="X2407" s="121"/>
      <c r="Y2407" s="121"/>
      <c r="Z2407" s="121"/>
      <c r="AA2407" s="121"/>
      <c r="AB2407" s="121"/>
      <c r="AC2407" s="121"/>
      <c r="AD2407" s="121"/>
      <c r="AE2407" s="121"/>
      <c r="AF2407" s="121"/>
      <c r="AG2407" s="121"/>
      <c r="AH2407" s="121"/>
      <c r="AI2407" s="121"/>
    </row>
    <row r="2408" spans="1:54" s="115" customFormat="1" ht="14.4">
      <c r="A2408" s="187"/>
      <c r="B2408" s="190"/>
      <c r="C2408" s="190"/>
      <c r="D2408" s="69"/>
      <c r="E2408" s="69"/>
      <c r="F2408" s="149"/>
      <c r="G2408" s="146"/>
      <c r="H2408" s="114"/>
      <c r="I2408" s="108"/>
      <c r="J2408" s="108"/>
      <c r="K2408" s="108"/>
      <c r="L2408" s="108"/>
      <c r="M2408" s="108"/>
      <c r="N2408" s="108"/>
      <c r="O2408" s="108"/>
      <c r="P2408" s="108"/>
      <c r="Q2408" s="108"/>
      <c r="R2408" s="108"/>
      <c r="S2408" s="108"/>
      <c r="T2408" s="108"/>
      <c r="U2408" s="105"/>
      <c r="V2408" s="262"/>
      <c r="W2408" s="121"/>
      <c r="X2408" s="121"/>
      <c r="Y2408" s="121"/>
      <c r="Z2408" s="121"/>
      <c r="AA2408" s="121"/>
      <c r="AB2408" s="121"/>
      <c r="AC2408" s="121"/>
      <c r="AD2408" s="121"/>
      <c r="AE2408" s="121"/>
      <c r="AF2408" s="121"/>
      <c r="AG2408" s="121"/>
      <c r="AH2408" s="121"/>
      <c r="AI2408" s="121"/>
    </row>
    <row r="2409" spans="1:54" s="115" customFormat="1" ht="14.4">
      <c r="A2409" s="187"/>
      <c r="B2409" s="190"/>
      <c r="C2409" s="190"/>
      <c r="D2409" s="69"/>
      <c r="E2409" s="69"/>
      <c r="F2409" s="149"/>
      <c r="G2409" s="146"/>
      <c r="H2409" s="95"/>
      <c r="I2409" s="245"/>
      <c r="J2409" s="245"/>
      <c r="K2409" s="245"/>
      <c r="L2409" s="245"/>
      <c r="M2409" s="245"/>
      <c r="N2409" s="245"/>
      <c r="O2409" s="245"/>
      <c r="P2409" s="245"/>
      <c r="Q2409" s="246"/>
      <c r="R2409" s="212"/>
      <c r="S2409" s="212"/>
      <c r="T2409" s="246"/>
      <c r="U2409" s="105"/>
      <c r="V2409" s="262"/>
      <c r="W2409" s="121"/>
      <c r="X2409" s="121"/>
      <c r="Y2409" s="121"/>
      <c r="Z2409" s="121"/>
      <c r="AA2409" s="121"/>
      <c r="AB2409" s="121"/>
      <c r="AC2409" s="121"/>
      <c r="AD2409" s="121"/>
      <c r="AE2409" s="121"/>
      <c r="AF2409" s="121"/>
      <c r="AG2409" s="121"/>
      <c r="AH2409" s="121"/>
      <c r="AI2409" s="121"/>
    </row>
    <row r="2410" spans="1:54" s="115" customFormat="1" ht="14.4">
      <c r="A2410" s="187"/>
      <c r="B2410" s="190"/>
      <c r="C2410" s="190"/>
      <c r="D2410" s="69"/>
      <c r="E2410" s="69"/>
      <c r="F2410" s="149"/>
      <c r="G2410" s="146"/>
      <c r="H2410" s="95"/>
      <c r="I2410" s="245"/>
      <c r="J2410" s="245"/>
      <c r="K2410" s="245"/>
      <c r="L2410" s="245"/>
      <c r="M2410" s="245"/>
      <c r="N2410" s="245"/>
      <c r="O2410" s="245"/>
      <c r="P2410" s="245"/>
      <c r="Q2410" s="246"/>
      <c r="R2410" s="212"/>
      <c r="S2410" s="212"/>
      <c r="T2410" s="246"/>
      <c r="U2410" s="105"/>
      <c r="V2410" s="262"/>
      <c r="W2410" s="121"/>
      <c r="X2410" s="121"/>
      <c r="Y2410" s="121"/>
      <c r="Z2410" s="121"/>
      <c r="AA2410" s="121"/>
      <c r="AB2410" s="121"/>
      <c r="AC2410" s="121"/>
      <c r="AD2410" s="121"/>
      <c r="AE2410" s="121"/>
      <c r="AF2410" s="121"/>
      <c r="AG2410" s="121"/>
      <c r="AH2410" s="121"/>
      <c r="AI2410" s="121"/>
    </row>
    <row r="2411" spans="1:54" s="115" customFormat="1" ht="14.4">
      <c r="A2411" s="187"/>
      <c r="B2411" s="190"/>
      <c r="C2411" s="190"/>
      <c r="D2411" s="69"/>
      <c r="E2411" s="69"/>
      <c r="F2411" s="149"/>
      <c r="G2411" s="146"/>
      <c r="H2411" s="95"/>
      <c r="I2411" s="245"/>
      <c r="J2411" s="245"/>
      <c r="K2411" s="245"/>
      <c r="L2411" s="245"/>
      <c r="M2411" s="245"/>
      <c r="N2411" s="245"/>
      <c r="O2411" s="245"/>
      <c r="P2411" s="245"/>
      <c r="Q2411" s="246"/>
      <c r="R2411" s="212"/>
      <c r="S2411" s="212"/>
      <c r="T2411" s="246"/>
      <c r="U2411" s="105"/>
      <c r="V2411" s="262"/>
      <c r="W2411" s="121"/>
      <c r="X2411" s="121"/>
      <c r="Y2411" s="121"/>
      <c r="Z2411" s="121"/>
      <c r="AA2411" s="121"/>
      <c r="AB2411" s="121"/>
      <c r="AC2411" s="121"/>
      <c r="AD2411" s="121"/>
      <c r="AE2411" s="121"/>
      <c r="AF2411" s="121"/>
      <c r="AG2411" s="121"/>
      <c r="AH2411" s="121"/>
      <c r="AI2411" s="121"/>
    </row>
    <row r="2412" spans="1:54" s="115" customFormat="1" ht="14.4">
      <c r="A2412" s="187"/>
      <c r="B2412" s="190"/>
      <c r="C2412" s="190"/>
      <c r="D2412" s="69"/>
      <c r="E2412" s="69"/>
      <c r="F2412" s="149"/>
      <c r="G2412" s="146"/>
      <c r="H2412" s="95"/>
      <c r="I2412" s="245"/>
      <c r="J2412" s="245"/>
      <c r="K2412" s="245"/>
      <c r="L2412" s="245"/>
      <c r="M2412" s="245"/>
      <c r="N2412" s="245"/>
      <c r="O2412" s="245"/>
      <c r="P2412" s="245"/>
      <c r="Q2412" s="246"/>
      <c r="R2412" s="212"/>
      <c r="S2412" s="212"/>
      <c r="T2412" s="246"/>
      <c r="U2412" s="105"/>
      <c r="V2412" s="262"/>
      <c r="W2412" s="121"/>
      <c r="X2412" s="121"/>
      <c r="Y2412" s="121"/>
      <c r="Z2412" s="121"/>
      <c r="AA2412" s="121"/>
      <c r="AB2412" s="121"/>
      <c r="AC2412" s="121"/>
      <c r="AD2412" s="121"/>
      <c r="AE2412" s="121"/>
      <c r="AF2412" s="121"/>
      <c r="AG2412" s="121"/>
      <c r="AH2412" s="121"/>
      <c r="AI2412" s="121"/>
    </row>
    <row r="2413" spans="1:54" s="115" customFormat="1" ht="14.4">
      <c r="A2413" s="187"/>
      <c r="B2413" s="190"/>
      <c r="C2413" s="190"/>
      <c r="D2413" s="69"/>
      <c r="E2413" s="69"/>
      <c r="F2413" s="149"/>
      <c r="G2413" s="146"/>
      <c r="H2413" s="95"/>
      <c r="I2413" s="245"/>
      <c r="J2413" s="245"/>
      <c r="K2413" s="245"/>
      <c r="L2413" s="245"/>
      <c r="M2413" s="245"/>
      <c r="N2413" s="245"/>
      <c r="O2413" s="245"/>
      <c r="P2413" s="245"/>
      <c r="Q2413" s="246"/>
      <c r="R2413" s="212"/>
      <c r="S2413" s="212"/>
      <c r="T2413" s="246"/>
      <c r="U2413" s="105"/>
      <c r="V2413" s="262"/>
      <c r="W2413" s="121"/>
      <c r="X2413" s="121"/>
      <c r="Y2413" s="121"/>
      <c r="Z2413" s="121"/>
      <c r="AA2413" s="121"/>
      <c r="AB2413" s="121"/>
      <c r="AC2413" s="121"/>
      <c r="AD2413" s="121"/>
      <c r="AE2413" s="121"/>
      <c r="AF2413" s="121"/>
      <c r="AG2413" s="121"/>
      <c r="AH2413" s="121"/>
      <c r="AI2413" s="121"/>
    </row>
    <row r="2414" spans="1:54" s="88" customFormat="1" ht="14.4">
      <c r="A2414" s="187"/>
      <c r="B2414" s="190"/>
      <c r="C2414" s="190"/>
      <c r="D2414" s="69"/>
      <c r="E2414" s="69"/>
      <c r="F2414" s="149"/>
      <c r="G2414" s="146"/>
      <c r="H2414" s="95"/>
      <c r="I2414" s="245"/>
      <c r="J2414" s="245"/>
      <c r="K2414" s="245"/>
      <c r="L2414" s="245"/>
      <c r="M2414" s="245"/>
      <c r="N2414" s="245"/>
      <c r="O2414" s="245"/>
      <c r="P2414" s="245"/>
      <c r="Q2414" s="246"/>
      <c r="R2414" s="212"/>
      <c r="S2414" s="212"/>
      <c r="T2414" s="246"/>
      <c r="U2414" s="105"/>
      <c r="V2414" s="262"/>
      <c r="W2414" s="121"/>
      <c r="X2414" s="121"/>
      <c r="Y2414" s="121"/>
      <c r="Z2414" s="121"/>
      <c r="AA2414" s="121"/>
      <c r="AB2414" s="121"/>
      <c r="AC2414" s="121"/>
      <c r="AD2414" s="121"/>
      <c r="AE2414" s="121"/>
      <c r="AF2414" s="121"/>
      <c r="AG2414" s="121"/>
      <c r="AH2414" s="121"/>
      <c r="AI2414" s="121"/>
      <c r="AJ2414" s="115"/>
      <c r="AK2414" s="115"/>
      <c r="AL2414" s="115"/>
      <c r="AM2414" s="115"/>
      <c r="AN2414" s="115"/>
      <c r="AO2414" s="115"/>
      <c r="AP2414" s="115"/>
      <c r="AQ2414" s="115"/>
      <c r="AR2414" s="115"/>
      <c r="AS2414" s="115"/>
      <c r="AT2414" s="115"/>
      <c r="AU2414" s="115"/>
      <c r="AV2414" s="115"/>
      <c r="AW2414" s="115"/>
      <c r="AX2414" s="115"/>
      <c r="AY2414" s="115"/>
      <c r="AZ2414" s="115"/>
      <c r="BA2414" s="115"/>
      <c r="BB2414" s="115"/>
    </row>
    <row r="2415" spans="1:54" s="88" customFormat="1" ht="14.4">
      <c r="A2415" s="187"/>
      <c r="B2415" s="190"/>
      <c r="C2415" s="190"/>
      <c r="D2415" s="69"/>
      <c r="E2415" s="69"/>
      <c r="F2415" s="149"/>
      <c r="G2415" s="146"/>
      <c r="H2415" s="95"/>
      <c r="I2415" s="245"/>
      <c r="J2415" s="245"/>
      <c r="K2415" s="245"/>
      <c r="L2415" s="245"/>
      <c r="M2415" s="245"/>
      <c r="N2415" s="245"/>
      <c r="O2415" s="245"/>
      <c r="P2415" s="245"/>
      <c r="Q2415" s="246"/>
      <c r="R2415" s="212"/>
      <c r="S2415" s="212"/>
      <c r="T2415" s="246"/>
      <c r="U2415" s="105"/>
      <c r="V2415" s="262"/>
      <c r="W2415" s="121"/>
      <c r="X2415" s="121"/>
      <c r="Y2415" s="121"/>
      <c r="Z2415" s="121"/>
      <c r="AA2415" s="121"/>
      <c r="AB2415" s="121"/>
      <c r="AC2415" s="121"/>
      <c r="AD2415" s="121"/>
      <c r="AE2415" s="121"/>
      <c r="AF2415" s="121"/>
      <c r="AG2415" s="121"/>
      <c r="AH2415" s="121"/>
      <c r="AI2415" s="121"/>
      <c r="AJ2415" s="115"/>
      <c r="AK2415" s="115"/>
      <c r="AL2415" s="115"/>
      <c r="AM2415" s="115"/>
      <c r="AN2415" s="115"/>
      <c r="AO2415" s="115"/>
      <c r="AP2415" s="115"/>
      <c r="AQ2415" s="115"/>
      <c r="AR2415" s="115"/>
      <c r="AS2415" s="115"/>
      <c r="AT2415" s="115"/>
      <c r="AU2415" s="115"/>
      <c r="AV2415" s="115"/>
      <c r="AW2415" s="115"/>
      <c r="AX2415" s="115"/>
      <c r="AY2415" s="115"/>
      <c r="AZ2415" s="115"/>
      <c r="BA2415" s="115"/>
      <c r="BB2415" s="115"/>
    </row>
    <row r="2416" spans="1:54" s="88" customFormat="1" ht="14.4">
      <c r="A2416" s="187"/>
      <c r="B2416" s="190"/>
      <c r="C2416" s="190"/>
      <c r="D2416" s="69"/>
      <c r="E2416" s="69"/>
      <c r="F2416" s="149"/>
      <c r="G2416" s="146"/>
      <c r="H2416" s="95"/>
      <c r="I2416" s="245"/>
      <c r="J2416" s="245"/>
      <c r="K2416" s="245"/>
      <c r="L2416" s="245"/>
      <c r="M2416" s="245"/>
      <c r="N2416" s="245"/>
      <c r="O2416" s="245"/>
      <c r="P2416" s="245"/>
      <c r="Q2416" s="246"/>
      <c r="R2416" s="212"/>
      <c r="S2416" s="212"/>
      <c r="T2416" s="246"/>
      <c r="U2416" s="105"/>
      <c r="V2416" s="262"/>
      <c r="W2416" s="121"/>
      <c r="X2416" s="121"/>
      <c r="Y2416" s="121"/>
      <c r="Z2416" s="121"/>
      <c r="AA2416" s="121"/>
      <c r="AB2416" s="121"/>
      <c r="AC2416" s="121"/>
      <c r="AD2416" s="121"/>
      <c r="AE2416" s="121"/>
      <c r="AF2416" s="121"/>
      <c r="AG2416" s="121"/>
      <c r="AH2416" s="121"/>
      <c r="AI2416" s="121"/>
      <c r="AJ2416" s="115"/>
      <c r="AK2416" s="115"/>
      <c r="AL2416" s="115"/>
      <c r="AM2416" s="115"/>
      <c r="AN2416" s="115"/>
      <c r="AO2416" s="115"/>
      <c r="AP2416" s="115"/>
      <c r="AQ2416" s="115"/>
      <c r="AR2416" s="115"/>
      <c r="AS2416" s="115"/>
      <c r="AT2416" s="115"/>
      <c r="AU2416" s="115"/>
      <c r="AV2416" s="115"/>
      <c r="AW2416" s="115"/>
      <c r="AX2416" s="115"/>
      <c r="AY2416" s="115"/>
      <c r="AZ2416" s="115"/>
      <c r="BA2416" s="115"/>
      <c r="BB2416" s="115"/>
    </row>
    <row r="2417" spans="1:54" s="88" customFormat="1" ht="14.4">
      <c r="A2417" s="187"/>
      <c r="B2417" s="190"/>
      <c r="C2417" s="190"/>
      <c r="D2417" s="69"/>
      <c r="E2417" s="69"/>
      <c r="F2417" s="149"/>
      <c r="G2417" s="146"/>
      <c r="H2417" s="95"/>
      <c r="I2417" s="245"/>
      <c r="J2417" s="245"/>
      <c r="K2417" s="245"/>
      <c r="L2417" s="245"/>
      <c r="M2417" s="245"/>
      <c r="N2417" s="245"/>
      <c r="O2417" s="245"/>
      <c r="P2417" s="245"/>
      <c r="Q2417" s="246"/>
      <c r="R2417" s="212"/>
      <c r="S2417" s="212"/>
      <c r="T2417" s="246"/>
      <c r="U2417" s="105"/>
      <c r="V2417" s="262"/>
      <c r="W2417" s="121"/>
      <c r="X2417" s="121"/>
      <c r="Y2417" s="121"/>
      <c r="Z2417" s="121"/>
      <c r="AA2417" s="121"/>
      <c r="AB2417" s="121"/>
      <c r="AC2417" s="121"/>
      <c r="AD2417" s="121"/>
      <c r="AE2417" s="121"/>
      <c r="AF2417" s="121"/>
      <c r="AG2417" s="121"/>
      <c r="AH2417" s="121"/>
      <c r="AI2417" s="121"/>
      <c r="AJ2417" s="115"/>
      <c r="AK2417" s="115"/>
      <c r="AL2417" s="115"/>
      <c r="AM2417" s="115"/>
      <c r="AN2417" s="115"/>
      <c r="AO2417" s="115"/>
      <c r="AP2417" s="115"/>
      <c r="AQ2417" s="115"/>
      <c r="AR2417" s="115"/>
      <c r="AS2417" s="115"/>
      <c r="AT2417" s="115"/>
      <c r="AU2417" s="115"/>
      <c r="AV2417" s="115"/>
      <c r="AW2417" s="115"/>
      <c r="AX2417" s="115"/>
      <c r="AY2417" s="115"/>
      <c r="AZ2417" s="115"/>
      <c r="BA2417" s="115"/>
      <c r="BB2417" s="115"/>
    </row>
    <row r="2418" spans="1:54" s="88" customFormat="1" ht="14.4">
      <c r="A2418" s="187"/>
      <c r="B2418" s="190"/>
      <c r="C2418" s="190"/>
      <c r="D2418" s="69"/>
      <c r="E2418" s="69"/>
      <c r="F2418" s="149"/>
      <c r="G2418" s="146"/>
      <c r="H2418" s="95"/>
      <c r="I2418" s="245"/>
      <c r="J2418" s="245"/>
      <c r="K2418" s="245"/>
      <c r="L2418" s="245"/>
      <c r="M2418" s="245"/>
      <c r="N2418" s="245"/>
      <c r="O2418" s="245"/>
      <c r="P2418" s="245"/>
      <c r="Q2418" s="246"/>
      <c r="R2418" s="212"/>
      <c r="S2418" s="212"/>
      <c r="T2418" s="246"/>
      <c r="U2418" s="105"/>
      <c r="V2418" s="262"/>
      <c r="W2418" s="121"/>
      <c r="X2418" s="121"/>
      <c r="Y2418" s="121"/>
      <c r="Z2418" s="121"/>
      <c r="AA2418" s="121"/>
      <c r="AB2418" s="121"/>
      <c r="AC2418" s="121"/>
      <c r="AD2418" s="121"/>
      <c r="AE2418" s="121"/>
      <c r="AF2418" s="121"/>
      <c r="AG2418" s="121"/>
      <c r="AH2418" s="121"/>
      <c r="AI2418" s="121"/>
      <c r="AJ2418" s="115"/>
      <c r="AK2418" s="115"/>
      <c r="AL2418" s="115"/>
      <c r="AM2418" s="115"/>
      <c r="AN2418" s="115"/>
      <c r="AO2418" s="115"/>
      <c r="AP2418" s="115"/>
      <c r="AQ2418" s="115"/>
      <c r="AR2418" s="115"/>
      <c r="AS2418" s="115"/>
      <c r="AT2418" s="115"/>
      <c r="AU2418" s="115"/>
      <c r="AV2418" s="115"/>
      <c r="AW2418" s="115"/>
      <c r="AX2418" s="115"/>
      <c r="AY2418" s="115"/>
      <c r="AZ2418" s="115"/>
      <c r="BA2418" s="115"/>
      <c r="BB2418" s="115"/>
    </row>
    <row r="2419" spans="1:54" s="88" customFormat="1" ht="14.4">
      <c r="A2419" s="187"/>
      <c r="B2419" s="190"/>
      <c r="C2419" s="190"/>
      <c r="D2419" s="69"/>
      <c r="E2419" s="69"/>
      <c r="F2419" s="149"/>
      <c r="G2419" s="146"/>
      <c r="H2419" s="95"/>
      <c r="I2419" s="245"/>
      <c r="J2419" s="245"/>
      <c r="K2419" s="245"/>
      <c r="L2419" s="245"/>
      <c r="M2419" s="245"/>
      <c r="N2419" s="245"/>
      <c r="O2419" s="245"/>
      <c r="P2419" s="245"/>
      <c r="Q2419" s="246"/>
      <c r="R2419" s="212"/>
      <c r="S2419" s="212"/>
      <c r="T2419" s="246"/>
      <c r="U2419" s="105"/>
      <c r="V2419" s="262"/>
      <c r="W2419" s="121"/>
      <c r="X2419" s="121"/>
      <c r="Y2419" s="121"/>
      <c r="Z2419" s="121"/>
      <c r="AA2419" s="121"/>
      <c r="AB2419" s="121"/>
      <c r="AC2419" s="121"/>
      <c r="AD2419" s="121"/>
      <c r="AE2419" s="121"/>
      <c r="AF2419" s="121"/>
      <c r="AG2419" s="121"/>
      <c r="AH2419" s="121"/>
      <c r="AI2419" s="121"/>
      <c r="AJ2419" s="115"/>
      <c r="AK2419" s="115"/>
      <c r="AL2419" s="115"/>
      <c r="AM2419" s="115"/>
      <c r="AN2419" s="115"/>
      <c r="AO2419" s="115"/>
      <c r="AP2419" s="115"/>
      <c r="AQ2419" s="115"/>
      <c r="AR2419" s="115"/>
      <c r="AS2419" s="115"/>
      <c r="AT2419" s="115"/>
      <c r="AU2419" s="115"/>
      <c r="AV2419" s="115"/>
      <c r="AW2419" s="115"/>
      <c r="AX2419" s="115"/>
      <c r="AY2419" s="115"/>
      <c r="AZ2419" s="115"/>
      <c r="BA2419" s="115"/>
      <c r="BB2419" s="115"/>
    </row>
    <row r="2420" spans="1:54" s="88" customFormat="1" ht="14.4">
      <c r="A2420" s="187"/>
      <c r="B2420" s="190"/>
      <c r="C2420" s="190"/>
      <c r="D2420" s="69"/>
      <c r="E2420" s="69"/>
      <c r="F2420" s="149"/>
      <c r="G2420" s="146"/>
      <c r="H2420" s="95"/>
      <c r="I2420" s="245"/>
      <c r="J2420" s="245"/>
      <c r="K2420" s="245"/>
      <c r="L2420" s="245"/>
      <c r="M2420" s="245"/>
      <c r="N2420" s="245"/>
      <c r="O2420" s="245"/>
      <c r="P2420" s="245"/>
      <c r="Q2420" s="246"/>
      <c r="R2420" s="212"/>
      <c r="S2420" s="212"/>
      <c r="T2420" s="246"/>
      <c r="U2420" s="105"/>
      <c r="V2420" s="262"/>
      <c r="W2420" s="121"/>
      <c r="X2420" s="121"/>
      <c r="Y2420" s="121"/>
      <c r="Z2420" s="121"/>
      <c r="AA2420" s="121"/>
      <c r="AB2420" s="121"/>
      <c r="AC2420" s="121"/>
      <c r="AD2420" s="121"/>
      <c r="AE2420" s="121"/>
      <c r="AF2420" s="121"/>
      <c r="AG2420" s="121"/>
      <c r="AH2420" s="121"/>
      <c r="AI2420" s="121"/>
      <c r="AJ2420" s="115"/>
      <c r="AK2420" s="115"/>
      <c r="AL2420" s="115"/>
      <c r="AM2420" s="115"/>
      <c r="AN2420" s="115"/>
      <c r="AO2420" s="115"/>
      <c r="AP2420" s="115"/>
      <c r="AQ2420" s="115"/>
      <c r="AR2420" s="115"/>
      <c r="AS2420" s="115"/>
      <c r="AT2420" s="115"/>
      <c r="AU2420" s="115"/>
      <c r="AV2420" s="115"/>
      <c r="AW2420" s="115"/>
      <c r="AX2420" s="115"/>
      <c r="AY2420" s="115"/>
      <c r="AZ2420" s="115"/>
      <c r="BA2420" s="115"/>
      <c r="BB2420" s="115"/>
    </row>
    <row r="2421" spans="1:54" s="88" customFormat="1" ht="14.4">
      <c r="A2421" s="187"/>
      <c r="B2421" s="190"/>
      <c r="C2421" s="190"/>
      <c r="D2421" s="69"/>
      <c r="E2421" s="69"/>
      <c r="F2421" s="149"/>
      <c r="G2421" s="146"/>
      <c r="H2421" s="95"/>
      <c r="I2421" s="245"/>
      <c r="J2421" s="245"/>
      <c r="K2421" s="245"/>
      <c r="L2421" s="245"/>
      <c r="M2421" s="245"/>
      <c r="N2421" s="245"/>
      <c r="O2421" s="245"/>
      <c r="P2421" s="245"/>
      <c r="Q2421" s="246"/>
      <c r="R2421" s="212"/>
      <c r="S2421" s="212"/>
      <c r="T2421" s="246"/>
      <c r="U2421" s="105"/>
      <c r="V2421" s="262"/>
      <c r="W2421" s="121"/>
      <c r="X2421" s="121"/>
      <c r="Y2421" s="121"/>
      <c r="Z2421" s="121"/>
      <c r="AA2421" s="121"/>
      <c r="AB2421" s="121"/>
      <c r="AC2421" s="121"/>
      <c r="AD2421" s="121"/>
      <c r="AE2421" s="121"/>
      <c r="AF2421" s="121"/>
      <c r="AG2421" s="121"/>
      <c r="AH2421" s="121"/>
      <c r="AI2421" s="121"/>
      <c r="AJ2421" s="115"/>
      <c r="AK2421" s="115"/>
      <c r="AL2421" s="115"/>
      <c r="AM2421" s="115"/>
      <c r="AN2421" s="115"/>
      <c r="AO2421" s="115"/>
      <c r="AP2421" s="115"/>
      <c r="AQ2421" s="115"/>
      <c r="AR2421" s="115"/>
      <c r="AS2421" s="115"/>
      <c r="AT2421" s="115"/>
      <c r="AU2421" s="115"/>
      <c r="AV2421" s="115"/>
      <c r="AW2421" s="115"/>
      <c r="AX2421" s="115"/>
      <c r="AY2421" s="115"/>
      <c r="AZ2421" s="115"/>
      <c r="BA2421" s="115"/>
      <c r="BB2421" s="115"/>
    </row>
    <row r="2422" spans="1:54" s="88" customFormat="1" ht="14.4">
      <c r="A2422" s="187"/>
      <c r="B2422" s="190"/>
      <c r="C2422" s="190"/>
      <c r="D2422" s="69"/>
      <c r="E2422" s="69"/>
      <c r="F2422" s="149"/>
      <c r="G2422" s="146"/>
      <c r="H2422" s="95"/>
      <c r="I2422" s="245"/>
      <c r="J2422" s="245"/>
      <c r="K2422" s="245"/>
      <c r="L2422" s="245"/>
      <c r="M2422" s="245"/>
      <c r="N2422" s="245"/>
      <c r="O2422" s="245"/>
      <c r="P2422" s="245"/>
      <c r="Q2422" s="246"/>
      <c r="R2422" s="212"/>
      <c r="S2422" s="212"/>
      <c r="T2422" s="246"/>
      <c r="U2422" s="105"/>
      <c r="V2422" s="262"/>
      <c r="W2422" s="121"/>
      <c r="X2422" s="121"/>
      <c r="Y2422" s="121"/>
      <c r="Z2422" s="121"/>
      <c r="AA2422" s="121"/>
      <c r="AB2422" s="121"/>
      <c r="AC2422" s="121"/>
      <c r="AD2422" s="121"/>
      <c r="AE2422" s="121"/>
      <c r="AF2422" s="121"/>
      <c r="AG2422" s="121"/>
      <c r="AH2422" s="121"/>
      <c r="AI2422" s="121"/>
      <c r="AJ2422" s="115"/>
      <c r="AK2422" s="115"/>
      <c r="AL2422" s="115"/>
      <c r="AM2422" s="115"/>
      <c r="AN2422" s="115"/>
      <c r="AO2422" s="115"/>
      <c r="AP2422" s="115"/>
      <c r="AQ2422" s="115"/>
      <c r="AR2422" s="115"/>
      <c r="AS2422" s="115"/>
      <c r="AT2422" s="115"/>
      <c r="AU2422" s="115"/>
      <c r="AV2422" s="115"/>
      <c r="AW2422" s="115"/>
      <c r="AX2422" s="115"/>
      <c r="AY2422" s="115"/>
      <c r="AZ2422" s="115"/>
      <c r="BA2422" s="115"/>
      <c r="BB2422" s="115"/>
    </row>
    <row r="2423" spans="1:54" s="88" customFormat="1" ht="14.4">
      <c r="A2423" s="187"/>
      <c r="B2423" s="190"/>
      <c r="C2423" s="190"/>
      <c r="D2423" s="69"/>
      <c r="E2423" s="69"/>
      <c r="F2423" s="149"/>
      <c r="G2423" s="146"/>
      <c r="H2423" s="95"/>
      <c r="I2423" s="245"/>
      <c r="J2423" s="245"/>
      <c r="K2423" s="245"/>
      <c r="L2423" s="245"/>
      <c r="M2423" s="245"/>
      <c r="N2423" s="245"/>
      <c r="O2423" s="245"/>
      <c r="P2423" s="245"/>
      <c r="Q2423" s="246"/>
      <c r="R2423" s="212"/>
      <c r="S2423" s="212"/>
      <c r="T2423" s="246"/>
      <c r="U2423" s="105"/>
      <c r="V2423" s="262"/>
      <c r="W2423" s="121"/>
      <c r="X2423" s="121"/>
      <c r="Y2423" s="121"/>
      <c r="Z2423" s="121"/>
      <c r="AA2423" s="121"/>
      <c r="AB2423" s="121"/>
      <c r="AC2423" s="121"/>
      <c r="AD2423" s="121"/>
      <c r="AE2423" s="121"/>
      <c r="AF2423" s="121"/>
      <c r="AG2423" s="121"/>
      <c r="AH2423" s="121"/>
      <c r="AI2423" s="121"/>
      <c r="AJ2423" s="115"/>
      <c r="AK2423" s="115"/>
      <c r="AL2423" s="115"/>
      <c r="AM2423" s="115"/>
      <c r="AN2423" s="115"/>
      <c r="AO2423" s="115"/>
      <c r="AP2423" s="115"/>
      <c r="AQ2423" s="115"/>
      <c r="AR2423" s="115"/>
      <c r="AS2423" s="115"/>
      <c r="AT2423" s="115"/>
      <c r="AU2423" s="115"/>
      <c r="AV2423" s="115"/>
      <c r="AW2423" s="115"/>
      <c r="AX2423" s="115"/>
      <c r="AY2423" s="115"/>
      <c r="AZ2423" s="115"/>
      <c r="BA2423" s="115"/>
      <c r="BB2423" s="115"/>
    </row>
    <row r="2424" spans="1:54" s="88" customFormat="1" ht="14.4">
      <c r="A2424" s="187"/>
      <c r="B2424" s="190"/>
      <c r="C2424" s="190"/>
      <c r="D2424" s="69"/>
      <c r="E2424" s="69"/>
      <c r="F2424" s="149"/>
      <c r="G2424" s="146"/>
      <c r="H2424" s="95"/>
      <c r="I2424" s="245"/>
      <c r="J2424" s="245"/>
      <c r="K2424" s="245"/>
      <c r="L2424" s="245"/>
      <c r="M2424" s="245"/>
      <c r="N2424" s="245"/>
      <c r="O2424" s="245"/>
      <c r="P2424" s="245"/>
      <c r="Q2424" s="246"/>
      <c r="R2424" s="212"/>
      <c r="S2424" s="212"/>
      <c r="T2424" s="246"/>
      <c r="U2424" s="105"/>
      <c r="V2424" s="262"/>
      <c r="W2424" s="121"/>
      <c r="X2424" s="121"/>
      <c r="Y2424" s="121"/>
      <c r="Z2424" s="121"/>
      <c r="AA2424" s="121"/>
      <c r="AB2424" s="121"/>
      <c r="AC2424" s="121"/>
      <c r="AD2424" s="121"/>
      <c r="AE2424" s="121"/>
      <c r="AF2424" s="121"/>
      <c r="AG2424" s="121"/>
      <c r="AH2424" s="121"/>
      <c r="AI2424" s="121"/>
      <c r="AJ2424" s="115"/>
      <c r="AK2424" s="115"/>
      <c r="AL2424" s="115"/>
      <c r="AM2424" s="115"/>
      <c r="AN2424" s="115"/>
      <c r="AO2424" s="115"/>
      <c r="AP2424" s="115"/>
      <c r="AQ2424" s="115"/>
      <c r="AR2424" s="115"/>
      <c r="AS2424" s="115"/>
      <c r="AT2424" s="115"/>
      <c r="AU2424" s="115"/>
      <c r="AV2424" s="115"/>
      <c r="AW2424" s="115"/>
      <c r="AX2424" s="115"/>
      <c r="AY2424" s="115"/>
      <c r="AZ2424" s="115"/>
      <c r="BA2424" s="115"/>
      <c r="BB2424" s="115"/>
    </row>
    <row r="2425" spans="1:54" s="88" customFormat="1" ht="14.4">
      <c r="A2425" s="187"/>
      <c r="B2425" s="190"/>
      <c r="C2425" s="190"/>
      <c r="D2425" s="69"/>
      <c r="E2425" s="69"/>
      <c r="F2425" s="149"/>
      <c r="G2425" s="146"/>
      <c r="H2425" s="95"/>
      <c r="I2425" s="245"/>
      <c r="J2425" s="245"/>
      <c r="K2425" s="245"/>
      <c r="L2425" s="245"/>
      <c r="M2425" s="245"/>
      <c r="N2425" s="245"/>
      <c r="O2425" s="245"/>
      <c r="P2425" s="245"/>
      <c r="Q2425" s="246"/>
      <c r="R2425" s="212"/>
      <c r="S2425" s="212"/>
      <c r="T2425" s="246"/>
      <c r="U2425" s="105"/>
      <c r="V2425" s="262"/>
      <c r="W2425" s="121"/>
      <c r="X2425" s="121"/>
      <c r="Y2425" s="121"/>
      <c r="Z2425" s="121"/>
      <c r="AA2425" s="121"/>
      <c r="AB2425" s="121"/>
      <c r="AC2425" s="121"/>
      <c r="AD2425" s="121"/>
      <c r="AE2425" s="121"/>
      <c r="AF2425" s="121"/>
      <c r="AG2425" s="121"/>
      <c r="AH2425" s="121"/>
      <c r="AI2425" s="121"/>
      <c r="AJ2425" s="115"/>
      <c r="AK2425" s="115"/>
      <c r="AL2425" s="115"/>
      <c r="AM2425" s="115"/>
      <c r="AN2425" s="115"/>
      <c r="AO2425" s="115"/>
      <c r="AP2425" s="115"/>
      <c r="AQ2425" s="115"/>
      <c r="AR2425" s="115"/>
      <c r="AS2425" s="115"/>
      <c r="AT2425" s="115"/>
      <c r="AU2425" s="115"/>
      <c r="AV2425" s="115"/>
      <c r="AW2425" s="115"/>
      <c r="AX2425" s="115"/>
      <c r="AY2425" s="115"/>
      <c r="AZ2425" s="115"/>
      <c r="BA2425" s="115"/>
      <c r="BB2425" s="115"/>
    </row>
    <row r="2426" spans="1:54" s="88" customFormat="1" ht="14.4">
      <c r="A2426" s="187"/>
      <c r="B2426" s="190"/>
      <c r="C2426" s="190"/>
      <c r="D2426" s="69"/>
      <c r="E2426" s="69"/>
      <c r="F2426" s="149"/>
      <c r="G2426" s="146"/>
      <c r="H2426" s="95"/>
      <c r="I2426" s="245"/>
      <c r="J2426" s="245"/>
      <c r="K2426" s="245"/>
      <c r="L2426" s="245"/>
      <c r="M2426" s="245"/>
      <c r="N2426" s="245"/>
      <c r="O2426" s="245"/>
      <c r="P2426" s="245"/>
      <c r="Q2426" s="246"/>
      <c r="R2426" s="212"/>
      <c r="S2426" s="212"/>
      <c r="T2426" s="246"/>
      <c r="U2426" s="105"/>
      <c r="V2426" s="262"/>
      <c r="W2426" s="121"/>
      <c r="X2426" s="121"/>
      <c r="Y2426" s="121"/>
      <c r="Z2426" s="121"/>
      <c r="AA2426" s="121"/>
      <c r="AB2426" s="121"/>
      <c r="AC2426" s="121"/>
      <c r="AD2426" s="121"/>
      <c r="AE2426" s="121"/>
      <c r="AF2426" s="121"/>
      <c r="AG2426" s="121"/>
      <c r="AH2426" s="121"/>
      <c r="AI2426" s="121"/>
      <c r="AJ2426" s="115"/>
      <c r="AK2426" s="115"/>
      <c r="AL2426" s="115"/>
      <c r="AM2426" s="115"/>
      <c r="AN2426" s="115"/>
      <c r="AO2426" s="115"/>
      <c r="AP2426" s="115"/>
      <c r="AQ2426" s="115"/>
      <c r="AR2426" s="115"/>
      <c r="AS2426" s="115"/>
      <c r="AT2426" s="115"/>
      <c r="AU2426" s="115"/>
      <c r="AV2426" s="115"/>
      <c r="AW2426" s="115"/>
      <c r="AX2426" s="115"/>
      <c r="AY2426" s="115"/>
      <c r="AZ2426" s="115"/>
      <c r="BA2426" s="115"/>
      <c r="BB2426" s="115"/>
    </row>
    <row r="2427" spans="1:54" s="88" customFormat="1" ht="14.4">
      <c r="A2427" s="187"/>
      <c r="B2427" s="190"/>
      <c r="C2427" s="190"/>
      <c r="D2427" s="69"/>
      <c r="E2427" s="69"/>
      <c r="F2427" s="149"/>
      <c r="G2427" s="146"/>
      <c r="H2427" s="95"/>
      <c r="I2427" s="245"/>
      <c r="J2427" s="245"/>
      <c r="K2427" s="245"/>
      <c r="L2427" s="245"/>
      <c r="M2427" s="245"/>
      <c r="N2427" s="245"/>
      <c r="O2427" s="245"/>
      <c r="P2427" s="245"/>
      <c r="Q2427" s="246"/>
      <c r="R2427" s="212"/>
      <c r="S2427" s="212"/>
      <c r="T2427" s="246"/>
      <c r="U2427" s="105"/>
      <c r="V2427" s="262"/>
      <c r="W2427" s="121"/>
      <c r="X2427" s="121"/>
      <c r="Y2427" s="121"/>
      <c r="Z2427" s="121"/>
      <c r="AA2427" s="121"/>
      <c r="AB2427" s="121"/>
      <c r="AC2427" s="121"/>
      <c r="AD2427" s="121"/>
      <c r="AE2427" s="121"/>
      <c r="AF2427" s="121"/>
      <c r="AG2427" s="121"/>
      <c r="AH2427" s="121"/>
      <c r="AI2427" s="121"/>
      <c r="AJ2427" s="115"/>
      <c r="AK2427" s="115"/>
      <c r="AL2427" s="115"/>
      <c r="AM2427" s="115"/>
      <c r="AN2427" s="115"/>
      <c r="AO2427" s="115"/>
      <c r="AP2427" s="115"/>
      <c r="AQ2427" s="115"/>
      <c r="AR2427" s="115"/>
      <c r="AS2427" s="115"/>
      <c r="AT2427" s="115"/>
      <c r="AU2427" s="115"/>
      <c r="AV2427" s="115"/>
      <c r="AW2427" s="115"/>
      <c r="AX2427" s="115"/>
      <c r="AY2427" s="115"/>
      <c r="AZ2427" s="115"/>
      <c r="BA2427" s="115"/>
      <c r="BB2427" s="115"/>
    </row>
    <row r="2428" spans="1:54" s="88" customFormat="1" ht="14.4">
      <c r="A2428" s="187"/>
      <c r="B2428" s="190"/>
      <c r="C2428" s="190"/>
      <c r="D2428" s="69"/>
      <c r="E2428" s="69"/>
      <c r="F2428" s="149"/>
      <c r="G2428" s="146"/>
      <c r="H2428" s="95"/>
      <c r="I2428" s="245"/>
      <c r="J2428" s="245"/>
      <c r="K2428" s="245"/>
      <c r="L2428" s="245"/>
      <c r="M2428" s="245"/>
      <c r="N2428" s="245"/>
      <c r="O2428" s="245"/>
      <c r="P2428" s="245"/>
      <c r="Q2428" s="246"/>
      <c r="R2428" s="212"/>
      <c r="S2428" s="212"/>
      <c r="T2428" s="246"/>
      <c r="U2428" s="105"/>
      <c r="V2428" s="262"/>
      <c r="W2428" s="121"/>
      <c r="X2428" s="121"/>
      <c r="Y2428" s="121"/>
      <c r="Z2428" s="121"/>
      <c r="AA2428" s="121"/>
      <c r="AB2428" s="121"/>
      <c r="AC2428" s="121"/>
      <c r="AD2428" s="121"/>
      <c r="AE2428" s="121"/>
      <c r="AF2428" s="121"/>
      <c r="AG2428" s="121"/>
      <c r="AH2428" s="121"/>
      <c r="AI2428" s="121"/>
      <c r="AJ2428" s="115"/>
      <c r="AK2428" s="115"/>
      <c r="AL2428" s="115"/>
      <c r="AM2428" s="115"/>
      <c r="AN2428" s="115"/>
      <c r="AO2428" s="115"/>
      <c r="AP2428" s="115"/>
      <c r="AQ2428" s="115"/>
      <c r="AR2428" s="115"/>
      <c r="AS2428" s="115"/>
      <c r="AT2428" s="115"/>
      <c r="AU2428" s="115"/>
      <c r="AV2428" s="115"/>
      <c r="AW2428" s="115"/>
      <c r="AX2428" s="115"/>
      <c r="AY2428" s="115"/>
      <c r="AZ2428" s="115"/>
      <c r="BA2428" s="115"/>
      <c r="BB2428" s="115"/>
    </row>
    <row r="2429" spans="1:54" s="88" customFormat="1" ht="14.4">
      <c r="A2429" s="187"/>
      <c r="B2429" s="190"/>
      <c r="C2429" s="190"/>
      <c r="D2429" s="69"/>
      <c r="E2429" s="69"/>
      <c r="F2429" s="149"/>
      <c r="G2429" s="146"/>
      <c r="H2429" s="95"/>
      <c r="I2429" s="245"/>
      <c r="J2429" s="245"/>
      <c r="K2429" s="245"/>
      <c r="L2429" s="245"/>
      <c r="M2429" s="245"/>
      <c r="N2429" s="245"/>
      <c r="O2429" s="245"/>
      <c r="P2429" s="245"/>
      <c r="Q2429" s="246"/>
      <c r="R2429" s="212"/>
      <c r="S2429" s="212"/>
      <c r="T2429" s="246"/>
      <c r="U2429" s="105"/>
      <c r="V2429" s="262"/>
      <c r="W2429" s="121"/>
      <c r="X2429" s="121"/>
      <c r="Y2429" s="121"/>
      <c r="Z2429" s="121"/>
      <c r="AA2429" s="121"/>
      <c r="AB2429" s="121"/>
      <c r="AC2429" s="121"/>
      <c r="AD2429" s="121"/>
      <c r="AE2429" s="121"/>
      <c r="AF2429" s="121"/>
      <c r="AG2429" s="121"/>
      <c r="AH2429" s="121"/>
      <c r="AI2429" s="121"/>
      <c r="AJ2429" s="115"/>
      <c r="AK2429" s="115"/>
      <c r="AL2429" s="115"/>
      <c r="AM2429" s="115"/>
      <c r="AN2429" s="115"/>
      <c r="AO2429" s="115"/>
      <c r="AP2429" s="115"/>
      <c r="AQ2429" s="115"/>
      <c r="AR2429" s="115"/>
      <c r="AS2429" s="115"/>
      <c r="AT2429" s="115"/>
      <c r="AU2429" s="115"/>
      <c r="AV2429" s="115"/>
      <c r="AW2429" s="115"/>
      <c r="AX2429" s="115"/>
      <c r="AY2429" s="115"/>
      <c r="AZ2429" s="115"/>
      <c r="BA2429" s="115"/>
      <c r="BB2429" s="115"/>
    </row>
    <row r="2430" spans="1:54" s="88" customFormat="1" ht="14.4">
      <c r="A2430" s="187"/>
      <c r="B2430" s="190"/>
      <c r="C2430" s="190"/>
      <c r="D2430" s="69"/>
      <c r="E2430" s="69"/>
      <c r="F2430" s="149"/>
      <c r="G2430" s="146"/>
      <c r="H2430" s="95"/>
      <c r="I2430" s="245"/>
      <c r="J2430" s="245"/>
      <c r="K2430" s="245"/>
      <c r="L2430" s="245"/>
      <c r="M2430" s="245"/>
      <c r="N2430" s="245"/>
      <c r="O2430" s="245"/>
      <c r="P2430" s="245"/>
      <c r="Q2430" s="246"/>
      <c r="R2430" s="212"/>
      <c r="S2430" s="212"/>
      <c r="T2430" s="246"/>
      <c r="U2430" s="105"/>
      <c r="V2430" s="262"/>
      <c r="W2430" s="121"/>
      <c r="X2430" s="121"/>
      <c r="Y2430" s="121"/>
      <c r="Z2430" s="121"/>
      <c r="AA2430" s="121"/>
      <c r="AB2430" s="121"/>
      <c r="AC2430" s="121"/>
      <c r="AD2430" s="121"/>
      <c r="AE2430" s="121"/>
      <c r="AF2430" s="121"/>
      <c r="AG2430" s="121"/>
      <c r="AH2430" s="121"/>
      <c r="AI2430" s="121"/>
      <c r="AJ2430" s="115"/>
      <c r="AK2430" s="115"/>
      <c r="AL2430" s="115"/>
      <c r="AM2430" s="115"/>
      <c r="AN2430" s="115"/>
      <c r="AO2430" s="115"/>
      <c r="AP2430" s="115"/>
      <c r="AQ2430" s="115"/>
      <c r="AR2430" s="115"/>
      <c r="AS2430" s="115"/>
      <c r="AT2430" s="115"/>
      <c r="AU2430" s="115"/>
      <c r="AV2430" s="115"/>
      <c r="AW2430" s="115"/>
      <c r="AX2430" s="115"/>
      <c r="AY2430" s="115"/>
      <c r="AZ2430" s="115"/>
      <c r="BA2430" s="115"/>
      <c r="BB2430" s="115"/>
    </row>
    <row r="2431" spans="1:54" s="88" customFormat="1" ht="14.4">
      <c r="A2431" s="187"/>
      <c r="B2431" s="190"/>
      <c r="C2431" s="190"/>
      <c r="D2431" s="69"/>
      <c r="E2431" s="69"/>
      <c r="F2431" s="149"/>
      <c r="G2431" s="146"/>
      <c r="H2431" s="95"/>
      <c r="I2431" s="245"/>
      <c r="J2431" s="245"/>
      <c r="K2431" s="245"/>
      <c r="L2431" s="245"/>
      <c r="M2431" s="245"/>
      <c r="N2431" s="245"/>
      <c r="O2431" s="245"/>
      <c r="P2431" s="245"/>
      <c r="Q2431" s="246"/>
      <c r="R2431" s="212"/>
      <c r="S2431" s="212"/>
      <c r="T2431" s="246"/>
      <c r="U2431" s="105"/>
      <c r="V2431" s="262"/>
      <c r="W2431" s="121"/>
      <c r="X2431" s="121"/>
      <c r="Y2431" s="121"/>
      <c r="Z2431" s="121"/>
      <c r="AA2431" s="121"/>
      <c r="AB2431" s="121"/>
      <c r="AC2431" s="121"/>
      <c r="AD2431" s="121"/>
      <c r="AE2431" s="121"/>
      <c r="AF2431" s="121"/>
      <c r="AG2431" s="121"/>
      <c r="AH2431" s="121"/>
      <c r="AI2431" s="121"/>
      <c r="AJ2431" s="115"/>
      <c r="AK2431" s="115"/>
      <c r="AL2431" s="115"/>
      <c r="AM2431" s="115"/>
      <c r="AN2431" s="115"/>
      <c r="AO2431" s="115"/>
      <c r="AP2431" s="115"/>
      <c r="AQ2431" s="115"/>
      <c r="AR2431" s="115"/>
      <c r="AS2431" s="115"/>
      <c r="AT2431" s="115"/>
      <c r="AU2431" s="115"/>
      <c r="AV2431" s="115"/>
      <c r="AW2431" s="115"/>
      <c r="AX2431" s="115"/>
      <c r="AY2431" s="115"/>
      <c r="AZ2431" s="115"/>
      <c r="BA2431" s="115"/>
      <c r="BB2431" s="115"/>
    </row>
    <row r="2432" spans="1:54" s="88" customFormat="1" ht="14.4">
      <c r="A2432" s="187"/>
      <c r="B2432" s="190"/>
      <c r="C2432" s="190"/>
      <c r="D2432" s="69"/>
      <c r="E2432" s="69"/>
      <c r="F2432" s="149"/>
      <c r="G2432" s="146"/>
      <c r="H2432" s="95"/>
      <c r="I2432" s="245"/>
      <c r="J2432" s="245"/>
      <c r="K2432" s="245"/>
      <c r="L2432" s="245"/>
      <c r="M2432" s="245"/>
      <c r="N2432" s="245"/>
      <c r="O2432" s="245"/>
      <c r="P2432" s="245"/>
      <c r="Q2432" s="246"/>
      <c r="R2432" s="212"/>
      <c r="S2432" s="212"/>
      <c r="T2432" s="246"/>
      <c r="U2432" s="105"/>
      <c r="V2432" s="262"/>
      <c r="W2432" s="121"/>
      <c r="X2432" s="121"/>
      <c r="Y2432" s="121"/>
      <c r="Z2432" s="121"/>
      <c r="AA2432" s="121"/>
      <c r="AB2432" s="121"/>
      <c r="AC2432" s="121"/>
      <c r="AD2432" s="121"/>
      <c r="AE2432" s="121"/>
      <c r="AF2432" s="121"/>
      <c r="AG2432" s="121"/>
      <c r="AH2432" s="121"/>
      <c r="AI2432" s="121"/>
      <c r="AJ2432" s="115"/>
      <c r="AK2432" s="115"/>
      <c r="AL2432" s="115"/>
      <c r="AM2432" s="115"/>
      <c r="AN2432" s="115"/>
      <c r="AO2432" s="115"/>
      <c r="AP2432" s="115"/>
      <c r="AQ2432" s="115"/>
      <c r="AR2432" s="115"/>
      <c r="AS2432" s="115"/>
      <c r="AT2432" s="115"/>
      <c r="AU2432" s="115"/>
      <c r="AV2432" s="115"/>
      <c r="AW2432" s="115"/>
      <c r="AX2432" s="115"/>
      <c r="AY2432" s="115"/>
      <c r="AZ2432" s="115"/>
      <c r="BA2432" s="115"/>
      <c r="BB2432" s="115"/>
    </row>
    <row r="2433" spans="1:54" s="88" customFormat="1" ht="14.4">
      <c r="A2433" s="187"/>
      <c r="B2433" s="190"/>
      <c r="C2433" s="190"/>
      <c r="D2433" s="69"/>
      <c r="E2433" s="69"/>
      <c r="F2433" s="149"/>
      <c r="G2433" s="146"/>
      <c r="H2433" s="95"/>
      <c r="I2433" s="245"/>
      <c r="J2433" s="245"/>
      <c r="K2433" s="245"/>
      <c r="L2433" s="245"/>
      <c r="M2433" s="245"/>
      <c r="N2433" s="245"/>
      <c r="O2433" s="245"/>
      <c r="P2433" s="245"/>
      <c r="Q2433" s="246"/>
      <c r="R2433" s="212"/>
      <c r="S2433" s="212"/>
      <c r="T2433" s="246"/>
      <c r="U2433" s="105"/>
      <c r="V2433" s="262"/>
      <c r="W2433" s="121"/>
      <c r="X2433" s="121"/>
      <c r="Y2433" s="121"/>
      <c r="Z2433" s="121"/>
      <c r="AA2433" s="121"/>
      <c r="AB2433" s="121"/>
      <c r="AC2433" s="121"/>
      <c r="AD2433" s="121"/>
      <c r="AE2433" s="121"/>
      <c r="AF2433" s="121"/>
      <c r="AG2433" s="121"/>
      <c r="AH2433" s="121"/>
      <c r="AI2433" s="121"/>
      <c r="AJ2433" s="115"/>
      <c r="AK2433" s="115"/>
      <c r="AL2433" s="115"/>
      <c r="AM2433" s="115"/>
      <c r="AN2433" s="115"/>
      <c r="AO2433" s="115"/>
      <c r="AP2433" s="115"/>
      <c r="AQ2433" s="115"/>
      <c r="AR2433" s="115"/>
      <c r="AS2433" s="115"/>
      <c r="AT2433" s="115"/>
      <c r="AU2433" s="115"/>
      <c r="AV2433" s="115"/>
      <c r="AW2433" s="115"/>
      <c r="AX2433" s="115"/>
      <c r="AY2433" s="115"/>
      <c r="AZ2433" s="115"/>
      <c r="BA2433" s="115"/>
      <c r="BB2433" s="115"/>
    </row>
    <row r="2434" spans="1:54" s="88" customFormat="1" ht="14.4">
      <c r="A2434" s="187"/>
      <c r="B2434" s="190"/>
      <c r="C2434" s="190"/>
      <c r="D2434" s="69"/>
      <c r="E2434" s="69"/>
      <c r="F2434" s="149"/>
      <c r="G2434" s="146"/>
      <c r="H2434" s="95"/>
      <c r="I2434" s="245"/>
      <c r="J2434" s="245"/>
      <c r="K2434" s="245"/>
      <c r="L2434" s="245"/>
      <c r="M2434" s="245"/>
      <c r="N2434" s="245"/>
      <c r="O2434" s="245"/>
      <c r="P2434" s="245"/>
      <c r="Q2434" s="246"/>
      <c r="R2434" s="212"/>
      <c r="S2434" s="212"/>
      <c r="T2434" s="246"/>
      <c r="U2434" s="105"/>
      <c r="V2434" s="262"/>
      <c r="W2434" s="121"/>
      <c r="X2434" s="121"/>
      <c r="Y2434" s="121"/>
      <c r="Z2434" s="121"/>
      <c r="AA2434" s="121"/>
      <c r="AB2434" s="121"/>
      <c r="AC2434" s="121"/>
      <c r="AD2434" s="121"/>
      <c r="AE2434" s="121"/>
      <c r="AF2434" s="121"/>
      <c r="AG2434" s="121"/>
      <c r="AH2434" s="121"/>
      <c r="AI2434" s="121"/>
      <c r="AJ2434" s="115"/>
      <c r="AK2434" s="115"/>
      <c r="AL2434" s="115"/>
      <c r="AM2434" s="115"/>
      <c r="AN2434" s="115"/>
      <c r="AO2434" s="115"/>
      <c r="AP2434" s="115"/>
      <c r="AQ2434" s="115"/>
      <c r="AR2434" s="115"/>
      <c r="AS2434" s="115"/>
      <c r="AT2434" s="115"/>
      <c r="AU2434" s="115"/>
      <c r="AV2434" s="115"/>
      <c r="AW2434" s="115"/>
      <c r="AX2434" s="115"/>
      <c r="AY2434" s="115"/>
      <c r="AZ2434" s="115"/>
      <c r="BA2434" s="115"/>
      <c r="BB2434" s="115"/>
    </row>
    <row r="2435" spans="1:54" s="88" customFormat="1" ht="14.4">
      <c r="A2435" s="187"/>
      <c r="B2435" s="190"/>
      <c r="C2435" s="190"/>
      <c r="D2435" s="69"/>
      <c r="E2435" s="69"/>
      <c r="F2435" s="149"/>
      <c r="G2435" s="146"/>
      <c r="H2435" s="95"/>
      <c r="I2435" s="245"/>
      <c r="J2435" s="245"/>
      <c r="K2435" s="245"/>
      <c r="L2435" s="245"/>
      <c r="M2435" s="245"/>
      <c r="N2435" s="245"/>
      <c r="O2435" s="245"/>
      <c r="P2435" s="245"/>
      <c r="Q2435" s="246"/>
      <c r="R2435" s="212"/>
      <c r="S2435" s="212"/>
      <c r="T2435" s="246"/>
      <c r="U2435" s="105"/>
      <c r="V2435" s="262"/>
      <c r="W2435" s="121"/>
      <c r="X2435" s="121"/>
      <c r="Y2435" s="121"/>
      <c r="Z2435" s="121"/>
      <c r="AA2435" s="121"/>
      <c r="AB2435" s="121"/>
      <c r="AC2435" s="121"/>
      <c r="AD2435" s="121"/>
      <c r="AE2435" s="121"/>
      <c r="AF2435" s="121"/>
      <c r="AG2435" s="121"/>
      <c r="AH2435" s="121"/>
      <c r="AI2435" s="121"/>
      <c r="AJ2435" s="115"/>
      <c r="AK2435" s="115"/>
      <c r="AL2435" s="115"/>
      <c r="AM2435" s="115"/>
      <c r="AN2435" s="115"/>
      <c r="AO2435" s="115"/>
      <c r="AP2435" s="115"/>
      <c r="AQ2435" s="115"/>
      <c r="AR2435" s="115"/>
      <c r="AS2435" s="115"/>
      <c r="AT2435" s="115"/>
      <c r="AU2435" s="115"/>
      <c r="AV2435" s="115"/>
      <c r="AW2435" s="115"/>
      <c r="AX2435" s="115"/>
      <c r="AY2435" s="115"/>
      <c r="AZ2435" s="115"/>
      <c r="BA2435" s="115"/>
      <c r="BB2435" s="115"/>
    </row>
    <row r="2436" spans="1:54" s="88" customFormat="1" ht="14.4">
      <c r="A2436" s="187"/>
      <c r="B2436" s="190"/>
      <c r="C2436" s="190"/>
      <c r="D2436" s="69"/>
      <c r="E2436" s="69"/>
      <c r="F2436" s="149"/>
      <c r="G2436" s="146"/>
      <c r="H2436" s="95"/>
      <c r="I2436" s="245"/>
      <c r="J2436" s="245"/>
      <c r="K2436" s="245"/>
      <c r="L2436" s="245"/>
      <c r="M2436" s="245"/>
      <c r="N2436" s="245"/>
      <c r="O2436" s="245"/>
      <c r="P2436" s="245"/>
      <c r="Q2436" s="246"/>
      <c r="R2436" s="212"/>
      <c r="S2436" s="212"/>
      <c r="T2436" s="246"/>
      <c r="U2436" s="105"/>
      <c r="V2436" s="262"/>
      <c r="W2436" s="121"/>
      <c r="X2436" s="121"/>
      <c r="Y2436" s="121"/>
      <c r="Z2436" s="121"/>
      <c r="AA2436" s="121"/>
      <c r="AB2436" s="121"/>
      <c r="AC2436" s="121"/>
      <c r="AD2436" s="121"/>
      <c r="AE2436" s="121"/>
      <c r="AF2436" s="121"/>
      <c r="AG2436" s="121"/>
      <c r="AH2436" s="121"/>
      <c r="AI2436" s="121"/>
      <c r="AJ2436" s="115"/>
      <c r="AK2436" s="115"/>
      <c r="AL2436" s="115"/>
      <c r="AM2436" s="115"/>
      <c r="AN2436" s="115"/>
      <c r="AO2436" s="115"/>
      <c r="AP2436" s="115"/>
      <c r="AQ2436" s="115"/>
      <c r="AR2436" s="115"/>
      <c r="AS2436" s="115"/>
      <c r="AT2436" s="115"/>
      <c r="AU2436" s="115"/>
      <c r="AV2436" s="115"/>
      <c r="AW2436" s="115"/>
      <c r="AX2436" s="115"/>
      <c r="AY2436" s="115"/>
      <c r="AZ2436" s="115"/>
      <c r="BA2436" s="115"/>
      <c r="BB2436" s="115"/>
    </row>
    <row r="2437" spans="1:54" s="88" customFormat="1" ht="14.4">
      <c r="A2437" s="187"/>
      <c r="B2437" s="190"/>
      <c r="C2437" s="190"/>
      <c r="D2437" s="69"/>
      <c r="E2437" s="69"/>
      <c r="F2437" s="149"/>
      <c r="G2437" s="146"/>
      <c r="H2437" s="95"/>
      <c r="I2437" s="245"/>
      <c r="J2437" s="245"/>
      <c r="K2437" s="245"/>
      <c r="L2437" s="245"/>
      <c r="M2437" s="245"/>
      <c r="N2437" s="245"/>
      <c r="O2437" s="245"/>
      <c r="P2437" s="245"/>
      <c r="Q2437" s="246"/>
      <c r="R2437" s="212"/>
      <c r="S2437" s="212"/>
      <c r="T2437" s="246"/>
      <c r="U2437" s="105"/>
      <c r="V2437" s="262"/>
      <c r="W2437" s="121"/>
      <c r="X2437" s="121"/>
      <c r="Y2437" s="121"/>
      <c r="Z2437" s="121"/>
      <c r="AA2437" s="121"/>
      <c r="AB2437" s="121"/>
      <c r="AC2437" s="121"/>
      <c r="AD2437" s="121"/>
      <c r="AE2437" s="121"/>
      <c r="AF2437" s="121"/>
      <c r="AG2437" s="121"/>
      <c r="AH2437" s="121"/>
      <c r="AI2437" s="121"/>
      <c r="AJ2437" s="115"/>
      <c r="AK2437" s="115"/>
      <c r="AL2437" s="115"/>
      <c r="AM2437" s="115"/>
      <c r="AN2437" s="115"/>
      <c r="AO2437" s="115"/>
      <c r="AP2437" s="115"/>
      <c r="AQ2437" s="115"/>
      <c r="AR2437" s="115"/>
      <c r="AS2437" s="115"/>
      <c r="AT2437" s="115"/>
      <c r="AU2437" s="115"/>
      <c r="AV2437" s="115"/>
      <c r="AW2437" s="115"/>
      <c r="AX2437" s="115"/>
      <c r="AY2437" s="115"/>
      <c r="AZ2437" s="115"/>
      <c r="BA2437" s="115"/>
      <c r="BB2437" s="115"/>
    </row>
    <row r="2438" spans="1:54" s="88" customFormat="1" ht="14.4">
      <c r="A2438" s="187"/>
      <c r="B2438" s="190"/>
      <c r="C2438" s="190"/>
      <c r="D2438" s="69"/>
      <c r="E2438" s="69"/>
      <c r="F2438" s="149"/>
      <c r="G2438" s="146"/>
      <c r="H2438" s="95"/>
      <c r="I2438" s="245"/>
      <c r="J2438" s="245"/>
      <c r="K2438" s="245"/>
      <c r="L2438" s="245"/>
      <c r="M2438" s="245"/>
      <c r="N2438" s="245"/>
      <c r="O2438" s="245"/>
      <c r="P2438" s="245"/>
      <c r="Q2438" s="246"/>
      <c r="R2438" s="212"/>
      <c r="S2438" s="212"/>
      <c r="T2438" s="246"/>
      <c r="U2438" s="105"/>
      <c r="V2438" s="262"/>
      <c r="W2438" s="121"/>
      <c r="X2438" s="121"/>
      <c r="Y2438" s="121"/>
      <c r="Z2438" s="121"/>
      <c r="AA2438" s="121"/>
      <c r="AB2438" s="121"/>
      <c r="AC2438" s="121"/>
      <c r="AD2438" s="121"/>
      <c r="AE2438" s="121"/>
      <c r="AF2438" s="121"/>
      <c r="AG2438" s="121"/>
      <c r="AH2438" s="121"/>
      <c r="AI2438" s="121"/>
      <c r="AJ2438" s="115"/>
      <c r="AK2438" s="115"/>
      <c r="AL2438" s="115"/>
      <c r="AM2438" s="115"/>
      <c r="AN2438" s="115"/>
      <c r="AO2438" s="115"/>
      <c r="AP2438" s="115"/>
      <c r="AQ2438" s="115"/>
      <c r="AR2438" s="115"/>
      <c r="AS2438" s="115"/>
      <c r="AT2438" s="115"/>
      <c r="AU2438" s="115"/>
      <c r="AV2438" s="115"/>
      <c r="AW2438" s="115"/>
      <c r="AX2438" s="115"/>
      <c r="AY2438" s="115"/>
      <c r="AZ2438" s="115"/>
      <c r="BA2438" s="115"/>
      <c r="BB2438" s="115"/>
    </row>
    <row r="2439" spans="1:54" s="88" customFormat="1" ht="14.4">
      <c r="A2439" s="187"/>
      <c r="B2439" s="190"/>
      <c r="C2439" s="190"/>
      <c r="D2439" s="69"/>
      <c r="E2439" s="69"/>
      <c r="F2439" s="149"/>
      <c r="G2439" s="146"/>
      <c r="H2439" s="95"/>
      <c r="I2439" s="245"/>
      <c r="J2439" s="245"/>
      <c r="K2439" s="245"/>
      <c r="L2439" s="245"/>
      <c r="M2439" s="245"/>
      <c r="N2439" s="245"/>
      <c r="O2439" s="245"/>
      <c r="P2439" s="245"/>
      <c r="Q2439" s="246"/>
      <c r="R2439" s="212"/>
      <c r="S2439" s="212"/>
      <c r="T2439" s="246"/>
      <c r="U2439" s="105"/>
      <c r="V2439" s="262"/>
      <c r="W2439" s="121"/>
      <c r="X2439" s="121"/>
      <c r="Y2439" s="121"/>
      <c r="Z2439" s="121"/>
      <c r="AA2439" s="121"/>
      <c r="AB2439" s="121"/>
      <c r="AC2439" s="121"/>
      <c r="AD2439" s="121"/>
      <c r="AE2439" s="121"/>
      <c r="AF2439" s="121"/>
      <c r="AG2439" s="121"/>
      <c r="AH2439" s="121"/>
      <c r="AI2439" s="121"/>
      <c r="AJ2439" s="115"/>
      <c r="AK2439" s="115"/>
      <c r="AL2439" s="115"/>
      <c r="AM2439" s="115"/>
      <c r="AN2439" s="115"/>
      <c r="AO2439" s="115"/>
      <c r="AP2439" s="115"/>
      <c r="AQ2439" s="115"/>
      <c r="AR2439" s="115"/>
      <c r="AS2439" s="115"/>
      <c r="AT2439" s="115"/>
      <c r="AU2439" s="115"/>
      <c r="AV2439" s="115"/>
      <c r="AW2439" s="115"/>
      <c r="AX2439" s="115"/>
      <c r="AY2439" s="115"/>
      <c r="AZ2439" s="115"/>
      <c r="BA2439" s="115"/>
      <c r="BB2439" s="115"/>
    </row>
    <row r="2440" spans="1:54" s="88" customFormat="1" ht="14.4">
      <c r="A2440" s="187"/>
      <c r="B2440" s="190"/>
      <c r="C2440" s="190"/>
      <c r="D2440" s="69"/>
      <c r="E2440" s="69"/>
      <c r="F2440" s="149"/>
      <c r="G2440" s="146"/>
      <c r="H2440" s="95"/>
      <c r="I2440" s="245"/>
      <c r="J2440" s="245"/>
      <c r="K2440" s="245"/>
      <c r="L2440" s="245"/>
      <c r="M2440" s="245"/>
      <c r="N2440" s="245"/>
      <c r="O2440" s="245"/>
      <c r="P2440" s="245"/>
      <c r="Q2440" s="246"/>
      <c r="R2440" s="212"/>
      <c r="S2440" s="212"/>
      <c r="T2440" s="246"/>
      <c r="U2440" s="105"/>
      <c r="V2440" s="262"/>
      <c r="W2440" s="121"/>
      <c r="X2440" s="121"/>
      <c r="Y2440" s="121"/>
      <c r="Z2440" s="121"/>
      <c r="AA2440" s="121"/>
      <c r="AB2440" s="121"/>
      <c r="AC2440" s="121"/>
      <c r="AD2440" s="121"/>
      <c r="AE2440" s="121"/>
      <c r="AF2440" s="121"/>
      <c r="AG2440" s="121"/>
      <c r="AH2440" s="121"/>
      <c r="AI2440" s="121"/>
      <c r="AJ2440" s="115"/>
      <c r="AK2440" s="115"/>
      <c r="AL2440" s="115"/>
      <c r="AM2440" s="115"/>
      <c r="AN2440" s="115"/>
      <c r="AO2440" s="115"/>
      <c r="AP2440" s="115"/>
      <c r="AQ2440" s="115"/>
      <c r="AR2440" s="115"/>
      <c r="AS2440" s="115"/>
      <c r="AT2440" s="115"/>
      <c r="AU2440" s="115"/>
      <c r="AV2440" s="115"/>
      <c r="AW2440" s="115"/>
      <c r="AX2440" s="115"/>
      <c r="AY2440" s="115"/>
      <c r="AZ2440" s="115"/>
      <c r="BA2440" s="115"/>
      <c r="BB2440" s="115"/>
    </row>
    <row r="2441" spans="1:54" s="88" customFormat="1" ht="14.4">
      <c r="A2441" s="187"/>
      <c r="B2441" s="190"/>
      <c r="C2441" s="190"/>
      <c r="D2441" s="69"/>
      <c r="E2441" s="69"/>
      <c r="F2441" s="149"/>
      <c r="G2441" s="146"/>
      <c r="H2441" s="95"/>
      <c r="I2441" s="245"/>
      <c r="J2441" s="245"/>
      <c r="K2441" s="245"/>
      <c r="L2441" s="245"/>
      <c r="M2441" s="245"/>
      <c r="N2441" s="245"/>
      <c r="O2441" s="245"/>
      <c r="P2441" s="245"/>
      <c r="Q2441" s="246"/>
      <c r="R2441" s="212"/>
      <c r="S2441" s="212"/>
      <c r="T2441" s="246"/>
      <c r="U2441" s="105"/>
      <c r="V2441" s="262"/>
      <c r="W2441" s="121"/>
      <c r="X2441" s="121"/>
      <c r="Y2441" s="121"/>
      <c r="Z2441" s="121"/>
      <c r="AA2441" s="121"/>
      <c r="AB2441" s="121"/>
      <c r="AC2441" s="121"/>
      <c r="AD2441" s="121"/>
      <c r="AE2441" s="121"/>
      <c r="AF2441" s="121"/>
      <c r="AG2441" s="121"/>
      <c r="AH2441" s="121"/>
      <c r="AI2441" s="121"/>
      <c r="AJ2441" s="115"/>
      <c r="AK2441" s="115"/>
      <c r="AL2441" s="115"/>
      <c r="AM2441" s="115"/>
      <c r="AN2441" s="115"/>
      <c r="AO2441" s="115"/>
      <c r="AP2441" s="115"/>
      <c r="AQ2441" s="115"/>
      <c r="AR2441" s="115"/>
      <c r="AS2441" s="115"/>
      <c r="AT2441" s="115"/>
      <c r="AU2441" s="115"/>
      <c r="AV2441" s="115"/>
      <c r="AW2441" s="115"/>
      <c r="AX2441" s="115"/>
      <c r="AY2441" s="115"/>
      <c r="AZ2441" s="115"/>
      <c r="BA2441" s="115"/>
      <c r="BB2441" s="115"/>
    </row>
  </sheetData>
  <sortState xmlns:xlrd2="http://schemas.microsoft.com/office/spreadsheetml/2017/richdata2" ref="A50:AZ60">
    <sortCondition ref="D50:D60"/>
  </sortState>
  <dataConsolidate/>
  <mergeCells count="53">
    <mergeCell ref="H2:T4"/>
    <mergeCell ref="U2:V2"/>
    <mergeCell ref="U3:V3"/>
    <mergeCell ref="U4:V4"/>
    <mergeCell ref="H126:T126"/>
    <mergeCell ref="H542:T542"/>
    <mergeCell ref="H11:T11"/>
    <mergeCell ref="H71:T71"/>
    <mergeCell ref="H254:T254"/>
    <mergeCell ref="H289:T289"/>
    <mergeCell ref="H314:T314"/>
    <mergeCell ref="H392:T392"/>
    <mergeCell ref="H408:T408"/>
    <mergeCell ref="H453:T453"/>
    <mergeCell ref="H497:T497"/>
    <mergeCell ref="H484:T484"/>
    <mergeCell ref="H1031:T1031"/>
    <mergeCell ref="H1051:T1051"/>
    <mergeCell ref="H1104:T1104"/>
    <mergeCell ref="H1130:T1130"/>
    <mergeCell ref="H674:T674"/>
    <mergeCell ref="H734:T734"/>
    <mergeCell ref="H648:T648"/>
    <mergeCell ref="H784:T784"/>
    <mergeCell ref="H848:T848"/>
    <mergeCell ref="H891:T891"/>
    <mergeCell ref="H945:T945"/>
    <mergeCell ref="H2267:T2267"/>
    <mergeCell ref="H2347:T2347"/>
    <mergeCell ref="H1851:T1851"/>
    <mergeCell ref="H1907:T1907"/>
    <mergeCell ref="H1937:T1937"/>
    <mergeCell ref="H1995:T1995"/>
    <mergeCell ref="H2041:T2041"/>
    <mergeCell ref="H2114:T2114"/>
    <mergeCell ref="H2193:T2193"/>
    <mergeCell ref="H2236:T2236"/>
    <mergeCell ref="H557:T557"/>
    <mergeCell ref="H1774:T1774"/>
    <mergeCell ref="H1222:T1222"/>
    <mergeCell ref="H1302:T1302"/>
    <mergeCell ref="H1363:T1363"/>
    <mergeCell ref="H1394:T1394"/>
    <mergeCell ref="H1429:T1429"/>
    <mergeCell ref="H1465:T1465"/>
    <mergeCell ref="H1520:T1520"/>
    <mergeCell ref="H1556:T1556"/>
    <mergeCell ref="H1569:T1569"/>
    <mergeCell ref="H1628:T1628"/>
    <mergeCell ref="H1697:T1697"/>
    <mergeCell ref="H1199:T1199"/>
    <mergeCell ref="H581:T581"/>
    <mergeCell ref="H617:T617"/>
  </mergeCells>
  <conditionalFormatting sqref="A557:A568 A570:A579">
    <cfRule type="duplicateValues" dxfId="96" priority="130"/>
  </conditionalFormatting>
  <conditionalFormatting sqref="A739">
    <cfRule type="duplicateValues" dxfId="95" priority="32"/>
  </conditionalFormatting>
  <conditionalFormatting sqref="A751">
    <cfRule type="duplicateValues" dxfId="94" priority="31"/>
  </conditionalFormatting>
  <conditionalFormatting sqref="A706:A715 A668:A693 A580:A666 A13:A88 A374 A717:A736 A701:A703 A696:A697 A320:A346 A92:A99 A120:A167 A101:A114 A296:A318 A535:A556 A376:A383 A116:A118 A169:A270 A387:A533 A740:A747 A749:A750 A348:A372 A272:A294">
    <cfRule type="duplicateValues" dxfId="93" priority="131"/>
  </conditionalFormatting>
  <conditionalFormatting sqref="A271">
    <cfRule type="duplicateValues" dxfId="92" priority="30"/>
  </conditionalFormatting>
  <conditionalFormatting sqref="A667">
    <cfRule type="duplicateValues" dxfId="91" priority="29"/>
  </conditionalFormatting>
  <conditionalFormatting sqref="A569">
    <cfRule type="duplicateValues" dxfId="90" priority="28"/>
  </conditionalFormatting>
  <conditionalFormatting sqref="A704">
    <cfRule type="duplicateValues" dxfId="89" priority="27"/>
  </conditionalFormatting>
  <conditionalFormatting sqref="A373">
    <cfRule type="duplicateValues" dxfId="88" priority="26"/>
  </conditionalFormatting>
  <conditionalFormatting sqref="A716">
    <cfRule type="duplicateValues" dxfId="87" priority="25"/>
  </conditionalFormatting>
  <conditionalFormatting sqref="A705">
    <cfRule type="duplicateValues" dxfId="86" priority="24"/>
  </conditionalFormatting>
  <conditionalFormatting sqref="A700">
    <cfRule type="duplicateValues" dxfId="85" priority="23"/>
  </conditionalFormatting>
  <conditionalFormatting sqref="A699">
    <cfRule type="duplicateValues" dxfId="84" priority="22"/>
  </conditionalFormatting>
  <conditionalFormatting sqref="A698">
    <cfRule type="duplicateValues" dxfId="83" priority="21"/>
  </conditionalFormatting>
  <conditionalFormatting sqref="A694">
    <cfRule type="duplicateValues" dxfId="82" priority="20"/>
  </conditionalFormatting>
  <conditionalFormatting sqref="A695">
    <cfRule type="duplicateValues" dxfId="81" priority="19"/>
  </conditionalFormatting>
  <conditionalFormatting sqref="A319">
    <cfRule type="duplicateValues" dxfId="80" priority="18"/>
  </conditionalFormatting>
  <conditionalFormatting sqref="A347">
    <cfRule type="duplicateValues" dxfId="79" priority="17"/>
  </conditionalFormatting>
  <conditionalFormatting sqref="A91">
    <cfRule type="duplicateValues" dxfId="78" priority="16"/>
  </conditionalFormatting>
  <conditionalFormatting sqref="A90">
    <cfRule type="duplicateValues" dxfId="77" priority="14"/>
  </conditionalFormatting>
  <conditionalFormatting sqref="A89">
    <cfRule type="duplicateValues" dxfId="76" priority="13"/>
  </conditionalFormatting>
  <conditionalFormatting sqref="A119">
    <cfRule type="duplicateValues" dxfId="75" priority="12"/>
  </conditionalFormatting>
  <conditionalFormatting sqref="A100">
    <cfRule type="duplicateValues" dxfId="74" priority="11"/>
  </conditionalFormatting>
  <conditionalFormatting sqref="A295">
    <cfRule type="duplicateValues" dxfId="73" priority="9"/>
  </conditionalFormatting>
  <conditionalFormatting sqref="A738">
    <cfRule type="duplicateValues" dxfId="72" priority="8"/>
  </conditionalFormatting>
  <conditionalFormatting sqref="A534">
    <cfRule type="duplicateValues" dxfId="71" priority="7"/>
  </conditionalFormatting>
  <conditionalFormatting sqref="A748">
    <cfRule type="duplicateValues" dxfId="70" priority="6"/>
  </conditionalFormatting>
  <conditionalFormatting sqref="A375">
    <cfRule type="duplicateValues" dxfId="69" priority="5"/>
  </conditionalFormatting>
  <conditionalFormatting sqref="A737">
    <cfRule type="duplicateValues" dxfId="68" priority="4"/>
  </conditionalFormatting>
  <conditionalFormatting sqref="A115">
    <cfRule type="duplicateValues" dxfId="67" priority="3"/>
  </conditionalFormatting>
  <conditionalFormatting sqref="A168">
    <cfRule type="duplicateValues" dxfId="66" priority="2"/>
  </conditionalFormatting>
  <conditionalFormatting sqref="A384:A386">
    <cfRule type="duplicateValues" dxfId="65" priority="1"/>
  </conditionalFormatting>
  <hyperlinks>
    <hyperlink ref="U2" location="'TABLE OF CONTENTS'!A1" display="GO TO SUMMARY PAGE" xr:uid="{00000000-0004-0000-0D00-000000000000}"/>
    <hyperlink ref="U3" location="'TABLE OF CONTENTS'!A1" display="GO TO SUMMARY PAGE" xr:uid="{00000000-0004-0000-0D00-000001000000}"/>
    <hyperlink ref="U4" location="'TABLE OF CONTENTS'!A1" display="GO TO SUMMARY PAGE" xr:uid="{00000000-0004-0000-0D00-000002000000}"/>
    <hyperlink ref="U3:V3" location="'DEPARTMENTAL SUMMARY'!A1" display="GO TO DEPT SUMMARY" xr:uid="{00000000-0004-0000-0D00-000003000000}"/>
    <hyperlink ref="U4:V4" location="ASSUMPTIONS!A1" display="GO TO ASSUMPTIONS" xr:uid="{00000000-0004-0000-0D00-000004000000}"/>
    <hyperlink ref="AC2" location="Revenue" display="GO TO REVENUES " xr:uid="{00000000-0004-0000-0D00-000005000000}"/>
    <hyperlink ref="AC3" location="GFSUM" display="GO TO SUMMARY" xr:uid="{00000000-0004-0000-0D00-000006000000}"/>
  </hyperlinks>
  <printOptions horizontalCentered="1"/>
  <pageMargins left="0.17" right="0.17" top="0.33" bottom="0.38" header="0.2" footer="0.3"/>
  <pageSetup scale="47" orientation="landscape" r:id="rId1"/>
  <headerFooter alignWithMargins="0"/>
  <rowBreaks count="19" manualBreakCount="19">
    <brk id="53" min="7" max="26" man="1"/>
    <brk id="69" min="7" max="26" man="1"/>
    <brk id="124" min="7" max="26" man="1"/>
    <brk id="173" min="7" max="26" man="1"/>
    <brk id="209" min="7" max="26" man="1"/>
    <brk id="252" min="7" max="26" man="1"/>
    <brk id="287" min="7" max="26" man="1"/>
    <brk id="312" min="7" max="26" man="1"/>
    <brk id="390" min="7" max="26" man="1"/>
    <brk id="406" min="7" max="26" man="1"/>
    <brk id="451" min="7" max="26" man="1"/>
    <brk id="482" min="7" max="26" man="1"/>
    <brk id="496" min="7" max="26" man="1"/>
    <brk id="540" min="7" max="26" man="1"/>
    <brk id="579" min="7" max="26" man="1"/>
    <brk id="615" min="7" max="26" man="1"/>
    <brk id="646" min="7" max="26" man="1"/>
    <brk id="672" min="7" max="26" man="1"/>
    <brk id="731" min="7" max="28" man="1"/>
  </rowBreaks>
  <colBreaks count="1" manualBreakCount="1">
    <brk id="21" min="5" max="7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CC0000"/>
  </sheetPr>
  <dimension ref="A1:CN147"/>
  <sheetViews>
    <sheetView topLeftCell="A2" zoomScale="80" zoomScaleNormal="80" workbookViewId="0">
      <pane xSplit="2" topLeftCell="C1" activePane="topRight" state="frozen"/>
      <selection pane="topRight" activeCell="N23" sqref="N23"/>
    </sheetView>
  </sheetViews>
  <sheetFormatPr defaultColWidth="8.88671875" defaultRowHeight="13.8"/>
  <cols>
    <col min="1" max="1" width="11.5546875" style="6" customWidth="1"/>
    <col min="2" max="2" width="14" style="6" customWidth="1"/>
    <col min="3" max="3" width="12.109375" style="6" customWidth="1"/>
    <col min="4" max="4" width="17.88671875" style="7" customWidth="1"/>
    <col min="5" max="5" width="17.88671875" style="7" bestFit="1" customWidth="1"/>
    <col min="6" max="6" width="17.109375" style="7" customWidth="1"/>
    <col min="7" max="7" width="24.109375" style="7" bestFit="1" customWidth="1"/>
    <col min="8" max="8" width="22.88671875" style="7" customWidth="1"/>
    <col min="9" max="9" width="15.88671875" style="6" customWidth="1"/>
    <col min="10" max="10" width="16.109375" style="6" customWidth="1"/>
    <col min="11" max="11" width="16" style="6" customWidth="1"/>
    <col min="12" max="12" width="17.88671875" style="8" customWidth="1"/>
    <col min="13" max="13" width="10.5546875" style="6" customWidth="1"/>
    <col min="14" max="14" width="17.88671875" style="6" customWidth="1"/>
    <col min="15" max="15" width="16.88671875" style="6" customWidth="1"/>
    <col min="16" max="16" width="14.44140625" style="6" customWidth="1"/>
    <col min="17" max="17" width="16.88671875" style="6" customWidth="1"/>
    <col min="18" max="18" width="13.109375" style="6" customWidth="1"/>
    <col min="19" max="19" width="12.109375" style="6" customWidth="1"/>
    <col min="20" max="20" width="12" style="6" customWidth="1"/>
    <col min="21" max="21" width="10.88671875" style="6" customWidth="1"/>
    <col min="22" max="22" width="12" style="6" customWidth="1"/>
    <col min="23" max="23" width="12.109375" style="6" customWidth="1"/>
    <col min="24" max="24" width="14.5546875" style="6" customWidth="1"/>
    <col min="25" max="30" width="13.109375" style="6" customWidth="1"/>
    <col min="31" max="33" width="19.88671875" style="6" customWidth="1"/>
    <col min="34" max="34" width="18.44140625" style="6" customWidth="1"/>
    <col min="35" max="41" width="18.88671875" style="6" customWidth="1"/>
    <col min="42" max="49" width="13.88671875" style="6" customWidth="1"/>
    <col min="50" max="50" width="14.109375" style="6" customWidth="1"/>
    <col min="51" max="51" width="14" style="6" bestFit="1" customWidth="1"/>
    <col min="52" max="53" width="13.109375" style="6" bestFit="1" customWidth="1"/>
    <col min="54" max="54" width="11" style="6" bestFit="1" customWidth="1"/>
    <col min="55" max="55" width="12.109375" style="6" customWidth="1"/>
    <col min="56" max="63" width="8.88671875" style="6"/>
    <col min="64" max="64" width="15.88671875" style="6" bestFit="1" customWidth="1"/>
    <col min="65" max="65" width="14.109375" style="6" customWidth="1"/>
    <col min="66" max="66" width="14.44140625" style="6" customWidth="1"/>
    <col min="67" max="67" width="13.109375" style="6" customWidth="1"/>
    <col min="68" max="68" width="11.44140625" style="6" customWidth="1"/>
    <col min="69" max="69" width="11.88671875" style="6" customWidth="1"/>
    <col min="70" max="71" width="11.109375" style="6" customWidth="1"/>
    <col min="72" max="72" width="12.109375" style="6" customWidth="1"/>
    <col min="73" max="73" width="10" style="6" customWidth="1"/>
    <col min="74" max="74" width="13.88671875" style="6" customWidth="1"/>
    <col min="75" max="75" width="13.5546875" style="6" customWidth="1"/>
    <col min="76" max="77" width="13.88671875" style="6" customWidth="1"/>
    <col min="78" max="78" width="12" style="6" customWidth="1"/>
    <col min="79" max="79" width="12.109375" style="6" customWidth="1"/>
    <col min="80" max="80" width="8.88671875" style="6"/>
    <col min="81" max="81" width="12" style="6" customWidth="1"/>
    <col min="82" max="82" width="16.44140625" style="6" customWidth="1"/>
    <col min="83" max="83" width="15.44140625" style="6" customWidth="1"/>
    <col min="84" max="84" width="14.5546875" style="6" customWidth="1"/>
    <col min="85" max="16384" width="8.88671875" style="6"/>
  </cols>
  <sheetData>
    <row r="1" spans="1:92" ht="21.6" thickBot="1">
      <c r="A1" s="701" t="s">
        <v>10</v>
      </c>
      <c r="B1" s="701"/>
      <c r="C1" s="701"/>
      <c r="D1" s="701"/>
      <c r="E1" s="701"/>
      <c r="F1" s="701"/>
      <c r="G1" s="701"/>
      <c r="H1" s="701"/>
      <c r="I1" s="701"/>
      <c r="J1" s="701"/>
      <c r="K1" s="701"/>
      <c r="L1" s="701"/>
      <c r="M1" s="701"/>
      <c r="N1" s="701"/>
      <c r="O1" s="701"/>
      <c r="P1" s="701"/>
      <c r="Q1" s="701"/>
      <c r="R1" s="176"/>
      <c r="S1" s="176"/>
      <c r="T1" s="176"/>
      <c r="U1" s="176"/>
      <c r="V1" s="176"/>
      <c r="W1" s="176"/>
      <c r="X1" s="176"/>
      <c r="Y1" s="176"/>
      <c r="Z1" s="176"/>
      <c r="AA1" s="176"/>
      <c r="AB1" s="176"/>
      <c r="AC1" s="176"/>
      <c r="AD1" s="176"/>
      <c r="AE1" s="176"/>
      <c r="AF1" s="176"/>
      <c r="AG1" s="176"/>
    </row>
    <row r="2" spans="1:92" ht="14.4" customHeight="1" thickBot="1">
      <c r="A2" s="702" t="s">
        <v>38</v>
      </c>
      <c r="B2" s="703"/>
      <c r="C2" s="703"/>
      <c r="D2" s="704"/>
      <c r="I2" s="601">
        <f>I19/I18-1</f>
        <v>-6.6923076923076863E-2</v>
      </c>
      <c r="J2" s="184"/>
      <c r="L2" s="82"/>
      <c r="N2" s="82">
        <v>1</v>
      </c>
      <c r="O2" s="6" t="s">
        <v>1000</v>
      </c>
      <c r="V2" s="82">
        <f>V13/G19</f>
        <v>1.932028252396923E-2</v>
      </c>
      <c r="AE2" s="17">
        <f>(J19-J11)*100</f>
        <v>-7.2922000000000001E-2</v>
      </c>
      <c r="AF2" s="17"/>
      <c r="AG2" s="17"/>
    </row>
    <row r="3" spans="1:92" ht="14.4" customHeight="1">
      <c r="D3" s="705" t="s">
        <v>30</v>
      </c>
      <c r="E3" s="706"/>
      <c r="F3" s="706"/>
      <c r="G3" s="706"/>
      <c r="H3" s="160">
        <f>H19/H13-1</f>
        <v>0.64908379175786179</v>
      </c>
      <c r="I3" s="707" t="s">
        <v>31</v>
      </c>
      <c r="J3" s="708"/>
      <c r="K3" s="708"/>
      <c r="N3" s="709" t="s">
        <v>32</v>
      </c>
      <c r="O3" s="709"/>
      <c r="P3" s="152"/>
      <c r="Q3" s="152"/>
      <c r="R3" s="152"/>
      <c r="Y3" s="697" t="s">
        <v>998</v>
      </c>
      <c r="Z3" s="697"/>
      <c r="AA3" s="697"/>
      <c r="AB3" s="697"/>
      <c r="AC3" s="697"/>
      <c r="AD3" s="697"/>
      <c r="AE3" s="697"/>
      <c r="AF3" s="15"/>
      <c r="AG3" s="697" t="s">
        <v>1001</v>
      </c>
      <c r="AH3" s="697"/>
      <c r="AI3" s="697"/>
      <c r="AJ3" s="15"/>
      <c r="AK3" s="15"/>
      <c r="AL3" s="15"/>
      <c r="AM3" s="15"/>
      <c r="AN3" s="697" t="s">
        <v>1002</v>
      </c>
      <c r="AO3" s="697"/>
      <c r="AP3" s="697"/>
      <c r="AQ3" s="697"/>
      <c r="AR3" s="697"/>
      <c r="AS3" s="697"/>
      <c r="AT3" s="697"/>
      <c r="AU3" s="697"/>
      <c r="AV3" s="697"/>
      <c r="AW3" s="697"/>
    </row>
    <row r="4" spans="1:92" s="14" customFormat="1" ht="34.35" customHeight="1">
      <c r="A4" s="9" t="s">
        <v>11</v>
      </c>
      <c r="B4" s="10" t="s">
        <v>12</v>
      </c>
      <c r="C4" s="10" t="s">
        <v>29</v>
      </c>
      <c r="D4" s="33"/>
      <c r="E4" s="33" t="s">
        <v>13</v>
      </c>
      <c r="F4" s="33" t="s">
        <v>14</v>
      </c>
      <c r="G4" s="33" t="s">
        <v>15</v>
      </c>
      <c r="H4" s="11" t="s">
        <v>16</v>
      </c>
      <c r="I4" s="34" t="s">
        <v>18</v>
      </c>
      <c r="J4" s="34" t="s">
        <v>19</v>
      </c>
      <c r="K4" s="34" t="s">
        <v>20</v>
      </c>
      <c r="L4" s="12" t="s">
        <v>21</v>
      </c>
      <c r="M4" s="10" t="s">
        <v>17</v>
      </c>
      <c r="N4" s="35" t="s">
        <v>22</v>
      </c>
      <c r="O4" s="35" t="s">
        <v>23</v>
      </c>
      <c r="P4" s="153" t="s">
        <v>103</v>
      </c>
      <c r="Q4" s="153" t="s">
        <v>42</v>
      </c>
      <c r="R4" s="153" t="s">
        <v>999</v>
      </c>
      <c r="S4" s="13" t="s">
        <v>1111</v>
      </c>
      <c r="T4" s="13" t="s">
        <v>24</v>
      </c>
      <c r="U4" s="177" t="s">
        <v>1010</v>
      </c>
      <c r="V4" s="177" t="s">
        <v>1007</v>
      </c>
      <c r="W4" s="177" t="s">
        <v>1008</v>
      </c>
      <c r="X4" s="177" t="s">
        <v>1009</v>
      </c>
      <c r="Y4" s="372" t="str">
        <f>N4</f>
        <v>Debt Levy</v>
      </c>
      <c r="Z4" s="372"/>
      <c r="AA4" s="372" t="str">
        <f>O4</f>
        <v>M&amp;O Levy</v>
      </c>
      <c r="AB4" s="372"/>
      <c r="AC4" s="372" t="str">
        <f>P4</f>
        <v>TIRZ LEVY</v>
      </c>
      <c r="AD4" s="372"/>
      <c r="AE4" s="177" t="str">
        <f>Q4</f>
        <v>TOTAL</v>
      </c>
      <c r="AF4" s="177"/>
      <c r="AG4" s="177" t="s">
        <v>1018</v>
      </c>
      <c r="AH4" s="177" t="s">
        <v>89</v>
      </c>
      <c r="AI4" s="177" t="s">
        <v>90</v>
      </c>
      <c r="AJ4" s="177" t="s">
        <v>1013</v>
      </c>
      <c r="AK4" s="177" t="s">
        <v>1014</v>
      </c>
      <c r="AL4" s="177" t="s">
        <v>1015</v>
      </c>
      <c r="AM4" s="177" t="s">
        <v>1016</v>
      </c>
      <c r="AN4" s="177" t="s">
        <v>799</v>
      </c>
      <c r="AO4" s="177" t="s">
        <v>1003</v>
      </c>
      <c r="AP4" s="14" t="s">
        <v>1006</v>
      </c>
      <c r="AQ4" s="177" t="s">
        <v>1004</v>
      </c>
      <c r="AR4" s="177" t="s">
        <v>1005</v>
      </c>
      <c r="AS4" s="372" t="s">
        <v>804</v>
      </c>
      <c r="AT4" s="372" t="s">
        <v>805</v>
      </c>
      <c r="AU4" s="177" t="s">
        <v>1019</v>
      </c>
      <c r="AV4" s="177" t="s">
        <v>1021</v>
      </c>
      <c r="AW4" s="177" t="s">
        <v>1020</v>
      </c>
      <c r="AX4" s="177" t="s">
        <v>1021</v>
      </c>
    </row>
    <row r="5" spans="1:92" ht="14.4" thickBot="1">
      <c r="A5" s="15"/>
      <c r="B5" s="15"/>
      <c r="C5" s="277"/>
      <c r="D5" s="276"/>
      <c r="E5" s="276"/>
      <c r="F5" s="276"/>
      <c r="G5" s="276"/>
      <c r="H5" s="276"/>
      <c r="I5" s="169"/>
      <c r="J5" s="170"/>
      <c r="K5" s="169"/>
      <c r="L5" s="171"/>
      <c r="M5" s="172"/>
      <c r="N5" s="173"/>
      <c r="O5" s="173"/>
      <c r="P5" s="173"/>
      <c r="Q5" s="173"/>
      <c r="R5" s="154"/>
      <c r="S5" s="155"/>
      <c r="T5" s="155"/>
      <c r="U5" s="155"/>
      <c r="V5" s="155"/>
      <c r="W5" s="155"/>
      <c r="X5" s="155"/>
      <c r="Y5" s="155"/>
      <c r="Z5" s="155"/>
      <c r="AA5" s="155"/>
      <c r="AB5" s="155"/>
      <c r="AC5" s="155"/>
      <c r="AD5" s="155"/>
      <c r="AE5" s="155"/>
      <c r="AF5" s="155"/>
      <c r="AG5" s="155"/>
      <c r="AH5" s="155"/>
      <c r="AI5" s="155"/>
      <c r="AJ5" s="155"/>
      <c r="AK5" s="155"/>
      <c r="AL5" s="155"/>
      <c r="AM5" s="155"/>
      <c r="AN5" s="155"/>
      <c r="AO5" s="155"/>
      <c r="AQ5" s="155"/>
      <c r="AR5" s="155"/>
      <c r="AS5" s="20"/>
      <c r="AT5" s="43"/>
      <c r="AU5" s="155"/>
      <c r="AV5" s="155"/>
      <c r="AW5" s="155"/>
      <c r="BD5" s="128"/>
      <c r="BW5" s="341"/>
      <c r="BX5" s="117"/>
      <c r="BY5" s="117"/>
      <c r="BZ5" s="117"/>
      <c r="CA5" s="117"/>
      <c r="CD5" s="161"/>
      <c r="CE5" s="17"/>
      <c r="CF5" s="342"/>
      <c r="CG5" s="17"/>
      <c r="CH5" s="32"/>
      <c r="CI5" s="343"/>
      <c r="CJ5" s="117"/>
      <c r="CK5" s="117"/>
      <c r="CL5" s="117"/>
      <c r="CM5" s="117"/>
      <c r="CN5" s="344"/>
    </row>
    <row r="6" spans="1:92">
      <c r="A6" s="15" t="str">
        <f t="shared" ref="A6:A14" si="0">"TY "&amp;MID($B6,4,4)</f>
        <v>TY 2011</v>
      </c>
      <c r="B6" s="15" t="str">
        <f t="shared" ref="B6:B17" si="1">"FY "&amp;MID($B7,4,4)-1&amp;"-"&amp;RIGHT($B7,2)-1</f>
        <v>FY 2011-12</v>
      </c>
      <c r="C6" s="79"/>
      <c r="D6" s="80">
        <v>4008465497</v>
      </c>
      <c r="E6" s="80">
        <v>311059492</v>
      </c>
      <c r="F6" s="80">
        <v>136203946</v>
      </c>
      <c r="G6" s="276">
        <f t="shared" ref="G6:G14" si="2">D6-E6-F6</f>
        <v>3561202059</v>
      </c>
      <c r="H6" s="276">
        <v>1257519</v>
      </c>
      <c r="I6" s="6">
        <v>4.4219000000000003E-3</v>
      </c>
      <c r="J6" s="6">
        <v>1.4331999999999999E-3</v>
      </c>
      <c r="K6" s="6">
        <f t="shared" ref="K6:K10" si="3">I6-J6</f>
        <v>2.9887000000000004E-3</v>
      </c>
      <c r="L6" s="8">
        <v>5101732</v>
      </c>
      <c r="M6" s="82">
        <v>0.99299999999999999</v>
      </c>
      <c r="N6" s="117">
        <f>J6*G6*M6</f>
        <v>5068187.3874220876</v>
      </c>
      <c r="O6" s="117">
        <f>((K6*G6)+H6)*M6</f>
        <v>11817577.408577168</v>
      </c>
      <c r="P6" s="117">
        <f t="shared" ref="P6:P10" si="4">F6*I6*M6</f>
        <v>598064.26721567824</v>
      </c>
      <c r="Q6" s="117">
        <f t="shared" ref="Q6:Q10" si="5">SUM(N6:P6)</f>
        <v>17483829.063214932</v>
      </c>
      <c r="R6" s="117">
        <f t="shared" ref="R6:R11" si="6">((G6*I6+H6+F6*I6)*M6)-Q6</f>
        <v>0</v>
      </c>
      <c r="S6" s="117">
        <f t="shared" ref="S6:S16" si="7">(N6+O6)/(I6*10000)*0.25</f>
        <v>95466.681720523164</v>
      </c>
      <c r="T6" s="117">
        <f t="shared" ref="T6:T16" si="8">(N6+O6)/(I6*10000)</f>
        <v>381866.72688209265</v>
      </c>
      <c r="U6" s="117">
        <f>Q6-Q5</f>
        <v>17483829.063214932</v>
      </c>
      <c r="V6" s="117">
        <v>78106471</v>
      </c>
      <c r="W6" s="144">
        <f>V6*I6</f>
        <v>345379.00411490002</v>
      </c>
      <c r="X6" s="117">
        <f>U6-W6</f>
        <v>17138450.059100032</v>
      </c>
      <c r="Y6" s="156">
        <f t="shared" ref="Y6:Y17" si="9">N$19-N6</f>
        <v>-1463057.3874220876</v>
      </c>
      <c r="Z6" s="273">
        <f t="shared" ref="Z6:Z17" si="10">N$19/N6-1</f>
        <v>-0.28867468299475518</v>
      </c>
      <c r="AA6" s="156">
        <f t="shared" ref="AA6:AA17" si="11">O$19-O6</f>
        <v>8550399.5914228316</v>
      </c>
      <c r="AB6" s="273">
        <f t="shared" ref="AB6:AB17" si="12">O$19/O6-1</f>
        <v>0.72353235318915465</v>
      </c>
      <c r="AC6" s="156">
        <f t="shared" ref="AC6:AC17" si="13">P$19-P6</f>
        <v>-402380.90169177123</v>
      </c>
      <c r="AD6" s="273">
        <f t="shared" ref="AD6:AD17" si="14">P$19/P6-1</f>
        <v>-0.67280545544892378</v>
      </c>
      <c r="AE6" s="156">
        <f t="shared" ref="AE6:AE19" si="15">Q$19-Q6</f>
        <v>6684961.3023089767</v>
      </c>
      <c r="AF6" s="273">
        <f t="shared" ref="AF6:AF18" si="16">Q$19/Q6-1</f>
        <v>0.38235110158871244</v>
      </c>
      <c r="AG6" s="367">
        <f t="shared" ref="AG6:AG16" si="17">I6</f>
        <v>4.4219000000000003E-3</v>
      </c>
      <c r="AH6" s="279">
        <v>0.44928000000000001</v>
      </c>
      <c r="AI6" s="279">
        <v>0.46451999999999999</v>
      </c>
      <c r="AJ6" s="40">
        <f t="shared" ref="AJ6:AJ16" si="18">((G6*AH6/100+H6+F6*AH6/100)*M6)</f>
        <v>17744140.126369152</v>
      </c>
      <c r="AK6" s="40">
        <f t="shared" ref="AK6:AK16" si="19">$Q6-AJ6</f>
        <v>-260311.06315422058</v>
      </c>
      <c r="AL6" s="156">
        <f t="shared" ref="AL6:AL16" si="20">((G6*AI6/100+H6+F6*AI6/100)*M6)</f>
        <v>18303680.408805016</v>
      </c>
      <c r="AM6" s="40">
        <f t="shared" ref="AM6:AM16" si="21">$Q6-AL6</f>
        <v>-819851.34559008479</v>
      </c>
      <c r="AN6" s="156">
        <v>263154</v>
      </c>
      <c r="AO6" s="278">
        <f t="shared" ref="AO6:AO16" si="22">AG6*$AN6</f>
        <v>1163.6406726</v>
      </c>
      <c r="AP6" s="144">
        <f t="shared" ref="AP6:AP16" si="23">AO6/12</f>
        <v>96.970056049999997</v>
      </c>
      <c r="AQ6" s="278">
        <f t="shared" ref="AQ6:AQ16" si="24">AH6/100*$AN6</f>
        <v>1182.2982912</v>
      </c>
      <c r="AR6" s="278">
        <f t="shared" ref="AR6:AR16" si="25">AI6/100*$AN6</f>
        <v>1222.4029607999998</v>
      </c>
      <c r="AS6" s="43">
        <f t="shared" ref="AS6:AS11" si="26">$AN$19*AG6</f>
        <v>2086.8228451</v>
      </c>
      <c r="AT6" s="19">
        <f t="shared" ref="AT6:AT10" si="27">AS6/12</f>
        <v>173.90190375833333</v>
      </c>
      <c r="AU6" s="278">
        <f t="shared" ref="AU6:AU16" si="28">$AO6-AQ6</f>
        <v>-18.657618599999978</v>
      </c>
      <c r="AV6" s="278">
        <f t="shared" ref="AV6:AV16" si="29">AU6/12</f>
        <v>-1.5548015499999981</v>
      </c>
      <c r="AW6" s="278">
        <f t="shared" ref="AW6:AW16" si="30">$AO6-AR6</f>
        <v>-58.76228819999983</v>
      </c>
      <c r="AX6" s="278">
        <f t="shared" ref="AX6:AX16" si="31">AW6/12</f>
        <v>-4.8968573499999861</v>
      </c>
      <c r="BW6" s="341"/>
      <c r="BX6" s="117"/>
      <c r="BY6" s="117"/>
      <c r="BZ6" s="117"/>
      <c r="CA6" s="117"/>
      <c r="CD6" s="274"/>
      <c r="CE6" s="17"/>
      <c r="CF6" s="342"/>
      <c r="CG6" s="17"/>
      <c r="CH6" s="32"/>
      <c r="CI6" s="341"/>
      <c r="CJ6" s="117"/>
      <c r="CK6" s="117"/>
      <c r="CL6" s="117"/>
      <c r="CM6" s="117"/>
      <c r="CN6" s="344"/>
    </row>
    <row r="7" spans="1:92">
      <c r="A7" s="15" t="str">
        <f t="shared" si="0"/>
        <v>TY 2012</v>
      </c>
      <c r="B7" s="15" t="str">
        <f t="shared" si="1"/>
        <v>FY 2012-13</v>
      </c>
      <c r="C7" s="79"/>
      <c r="D7" s="80">
        <v>4107987776</v>
      </c>
      <c r="E7" s="80">
        <v>342409232</v>
      </c>
      <c r="F7" s="80">
        <v>140358022</v>
      </c>
      <c r="G7" s="276">
        <f t="shared" si="2"/>
        <v>3625220522</v>
      </c>
      <c r="H7" s="276">
        <v>1389840</v>
      </c>
      <c r="I7" s="6">
        <v>4.4219000000000003E-3</v>
      </c>
      <c r="J7" s="6">
        <v>1.3068999999999999E-3</v>
      </c>
      <c r="K7" s="6">
        <f t="shared" si="3"/>
        <v>3.1150000000000006E-3</v>
      </c>
      <c r="L7" s="8">
        <v>4740064</v>
      </c>
      <c r="M7" s="82">
        <v>0.99299999999999999</v>
      </c>
      <c r="N7" s="117">
        <f>J7*G7*M7</f>
        <v>4704636.0953003876</v>
      </c>
      <c r="O7" s="117">
        <f>((K7*G7)+H7)*M7</f>
        <v>12593625.112547792</v>
      </c>
      <c r="P7" s="117">
        <f t="shared" si="4"/>
        <v>616304.59351942746</v>
      </c>
      <c r="Q7" s="117">
        <f t="shared" si="5"/>
        <v>17914565.801367607</v>
      </c>
      <c r="R7" s="117">
        <f t="shared" si="6"/>
        <v>0</v>
      </c>
      <c r="S7" s="117">
        <f t="shared" si="7"/>
        <v>97798.803726046375</v>
      </c>
      <c r="T7" s="117">
        <f t="shared" si="8"/>
        <v>391195.2149041855</v>
      </c>
      <c r="U7" s="117">
        <f t="shared" ref="U7:U16" si="32">Q7-Q6</f>
        <v>430736.73815267533</v>
      </c>
      <c r="V7" s="117">
        <v>71388458</v>
      </c>
      <c r="W7" s="144">
        <f t="shared" ref="W7:W16" si="33">V7*I7</f>
        <v>315672.62243020005</v>
      </c>
      <c r="X7" s="117">
        <f t="shared" ref="X7:X16" si="34">U7-W7</f>
        <v>115064.11572247528</v>
      </c>
      <c r="Y7" s="156">
        <f t="shared" si="9"/>
        <v>-1099506.0953003876</v>
      </c>
      <c r="Z7" s="273">
        <f t="shared" si="10"/>
        <v>-0.2337069378009321</v>
      </c>
      <c r="AA7" s="156">
        <f t="shared" si="11"/>
        <v>7774351.8874522075</v>
      </c>
      <c r="AB7" s="273">
        <f t="shared" si="12"/>
        <v>0.61732438578834214</v>
      </c>
      <c r="AC7" s="156">
        <f t="shared" si="13"/>
        <v>-420621.22799552046</v>
      </c>
      <c r="AD7" s="273">
        <f t="shared" si="14"/>
        <v>-0.68248919839060296</v>
      </c>
      <c r="AE7" s="156">
        <f t="shared" si="15"/>
        <v>6254224.5641563013</v>
      </c>
      <c r="AF7" s="273">
        <f t="shared" si="16"/>
        <v>0.34911393519115319</v>
      </c>
      <c r="AG7" s="367">
        <f t="shared" si="17"/>
        <v>4.4219000000000003E-3</v>
      </c>
      <c r="AH7" s="279">
        <v>0.44623000000000002</v>
      </c>
      <c r="AI7" s="279">
        <v>0.45646999999999999</v>
      </c>
      <c r="AJ7" s="40">
        <f t="shared" si="18"/>
        <v>18065630.268932961</v>
      </c>
      <c r="AK7" s="40">
        <f t="shared" si="19"/>
        <v>-151064.46756535396</v>
      </c>
      <c r="AL7" s="156">
        <f t="shared" si="20"/>
        <v>18448526.345138222</v>
      </c>
      <c r="AM7" s="40">
        <f t="shared" si="21"/>
        <v>-533960.54377061501</v>
      </c>
      <c r="AN7" s="156">
        <v>264175</v>
      </c>
      <c r="AO7" s="278">
        <f t="shared" si="22"/>
        <v>1168.1554325000002</v>
      </c>
      <c r="AP7" s="144">
        <f t="shared" si="23"/>
        <v>97.346286041666687</v>
      </c>
      <c r="AQ7" s="278">
        <f t="shared" si="24"/>
        <v>1178.8281024999999</v>
      </c>
      <c r="AR7" s="278">
        <f t="shared" si="25"/>
        <v>1205.8796224999999</v>
      </c>
      <c r="AS7" s="43">
        <f t="shared" si="26"/>
        <v>2086.8228451</v>
      </c>
      <c r="AT7" s="19">
        <f t="shared" si="27"/>
        <v>173.90190375833333</v>
      </c>
      <c r="AU7" s="278">
        <f t="shared" si="28"/>
        <v>-10.672669999999698</v>
      </c>
      <c r="AV7" s="278">
        <f t="shared" si="29"/>
        <v>-0.88938916666664147</v>
      </c>
      <c r="AW7" s="278">
        <f t="shared" si="30"/>
        <v>-37.72418999999968</v>
      </c>
      <c r="AX7" s="278">
        <f t="shared" si="31"/>
        <v>-3.1436824999999735</v>
      </c>
      <c r="BW7" s="341"/>
      <c r="BX7" s="117"/>
      <c r="BY7" s="117"/>
      <c r="BZ7" s="117"/>
      <c r="CA7" s="117"/>
      <c r="CD7" s="161"/>
      <c r="CE7" s="17"/>
      <c r="CF7" s="342"/>
      <c r="CG7" s="17"/>
      <c r="CH7" s="32"/>
      <c r="CI7" s="341"/>
      <c r="CJ7" s="117"/>
      <c r="CK7" s="117"/>
      <c r="CL7" s="117"/>
      <c r="CM7" s="117"/>
      <c r="CN7" s="344"/>
    </row>
    <row r="8" spans="1:92">
      <c r="A8" s="15" t="str">
        <f t="shared" si="0"/>
        <v>TY 2013</v>
      </c>
      <c r="B8" s="15" t="str">
        <f t="shared" si="1"/>
        <v>FY 2013-14</v>
      </c>
      <c r="C8" s="161"/>
      <c r="D8" s="80">
        <v>4257691022</v>
      </c>
      <c r="E8" s="80">
        <v>382144062</v>
      </c>
      <c r="F8" s="80">
        <v>178347399</v>
      </c>
      <c r="G8" s="276">
        <f t="shared" si="2"/>
        <v>3697199561</v>
      </c>
      <c r="H8" s="276">
        <v>1533025</v>
      </c>
      <c r="I8" s="6">
        <v>4.4219000000000003E-3</v>
      </c>
      <c r="J8" s="6">
        <v>1.3068999999999999E-3</v>
      </c>
      <c r="K8" s="6">
        <f t="shared" si="3"/>
        <v>3.1150000000000006E-3</v>
      </c>
      <c r="L8" s="8">
        <v>4887100</v>
      </c>
      <c r="M8" s="82">
        <v>0.99299999999999999</v>
      </c>
      <c r="N8" s="117">
        <f>J8*G8*M8</f>
        <v>4798047.0155270034</v>
      </c>
      <c r="O8" s="117">
        <f>((K8*G8)+H8)*M8</f>
        <v>12958453.021087397</v>
      </c>
      <c r="P8" s="117">
        <f t="shared" si="4"/>
        <v>783113.92309263337</v>
      </c>
      <c r="Q8" s="117">
        <f t="shared" si="5"/>
        <v>18539613.959707033</v>
      </c>
      <c r="R8" s="117">
        <f t="shared" si="6"/>
        <v>0</v>
      </c>
      <c r="S8" s="117">
        <f t="shared" si="7"/>
        <v>100389.53864071101</v>
      </c>
      <c r="T8" s="117">
        <f t="shared" si="8"/>
        <v>401558.15456284402</v>
      </c>
      <c r="U8" s="117">
        <f t="shared" si="32"/>
        <v>625048.15833942592</v>
      </c>
      <c r="V8" s="117">
        <v>78297498</v>
      </c>
      <c r="W8" s="144">
        <f t="shared" si="33"/>
        <v>346223.70640620001</v>
      </c>
      <c r="X8" s="117">
        <f t="shared" si="34"/>
        <v>278824.45193322591</v>
      </c>
      <c r="Y8" s="156">
        <f t="shared" si="9"/>
        <v>-1192917.0155270034</v>
      </c>
      <c r="Z8" s="273">
        <f t="shared" si="10"/>
        <v>-0.24862553694588529</v>
      </c>
      <c r="AA8" s="156">
        <f t="shared" si="11"/>
        <v>7409523.9789126031</v>
      </c>
      <c r="AB8" s="273">
        <f t="shared" si="12"/>
        <v>0.57179078141928086</v>
      </c>
      <c r="AC8" s="156">
        <f t="shared" si="13"/>
        <v>-587430.55756872636</v>
      </c>
      <c r="AD8" s="273">
        <f t="shared" si="14"/>
        <v>-0.75012145774254113</v>
      </c>
      <c r="AE8" s="156">
        <f t="shared" si="15"/>
        <v>5629176.4058168754</v>
      </c>
      <c r="AF8" s="273">
        <f t="shared" si="16"/>
        <v>0.30362964504282641</v>
      </c>
      <c r="AG8" s="367">
        <f t="shared" si="17"/>
        <v>4.4219000000000003E-3</v>
      </c>
      <c r="AH8" s="279">
        <v>0.43858999999999998</v>
      </c>
      <c r="AI8" s="279">
        <v>0.46843000000000001</v>
      </c>
      <c r="AJ8" s="40">
        <f t="shared" si="18"/>
        <v>18401070.90698095</v>
      </c>
      <c r="AK8" s="40">
        <f t="shared" si="19"/>
        <v>138543.0527260825</v>
      </c>
      <c r="AL8" s="156">
        <f t="shared" si="20"/>
        <v>19549438.877354901</v>
      </c>
      <c r="AM8" s="40">
        <f t="shared" si="21"/>
        <v>-1009824.9176478684</v>
      </c>
      <c r="AN8" s="156">
        <v>270752</v>
      </c>
      <c r="AO8" s="278">
        <f t="shared" si="22"/>
        <v>1197.2382688</v>
      </c>
      <c r="AP8" s="144">
        <f t="shared" si="23"/>
        <v>99.76985573333333</v>
      </c>
      <c r="AQ8" s="278">
        <f t="shared" si="24"/>
        <v>1187.4911967999999</v>
      </c>
      <c r="AR8" s="278">
        <f t="shared" si="25"/>
        <v>1268.2835935999999</v>
      </c>
      <c r="AS8" s="43">
        <f t="shared" si="26"/>
        <v>2086.8228451</v>
      </c>
      <c r="AT8" s="19">
        <f t="shared" si="27"/>
        <v>173.90190375833333</v>
      </c>
      <c r="AU8" s="278">
        <f t="shared" si="28"/>
        <v>9.7470720000001165</v>
      </c>
      <c r="AV8" s="278">
        <f t="shared" si="29"/>
        <v>0.81225600000000975</v>
      </c>
      <c r="AW8" s="278">
        <f t="shared" si="30"/>
        <v>-71.045324799999889</v>
      </c>
      <c r="AX8" s="278">
        <f t="shared" si="31"/>
        <v>-5.9204437333333244</v>
      </c>
      <c r="CD8" s="274"/>
      <c r="CE8" s="17"/>
      <c r="CF8" s="342"/>
      <c r="CH8" s="345"/>
      <c r="CI8" s="341"/>
      <c r="CJ8" s="117"/>
      <c r="CK8" s="117"/>
      <c r="CL8" s="117"/>
      <c r="CM8" s="117"/>
      <c r="CN8" s="344"/>
    </row>
    <row r="9" spans="1:92">
      <c r="A9" s="15" t="str">
        <f t="shared" si="0"/>
        <v>TY 2014</v>
      </c>
      <c r="B9" s="15" t="str">
        <f t="shared" si="1"/>
        <v>FY 2014-15</v>
      </c>
      <c r="C9" s="161"/>
      <c r="D9" s="80">
        <v>4528765772</v>
      </c>
      <c r="E9" s="80">
        <v>422540840</v>
      </c>
      <c r="F9" s="80">
        <v>178347399</v>
      </c>
      <c r="G9" s="80">
        <f t="shared" si="2"/>
        <v>3927877533</v>
      </c>
      <c r="H9" s="80">
        <v>1644521</v>
      </c>
      <c r="I9" s="38">
        <v>4.3718999999999997E-3</v>
      </c>
      <c r="J9" s="280">
        <v>1.2042999999999999E-3</v>
      </c>
      <c r="K9" s="38">
        <f t="shared" si="3"/>
        <v>3.1675999999999996E-3</v>
      </c>
      <c r="L9" s="40">
        <v>4750417</v>
      </c>
      <c r="M9" s="369">
        <v>0.99299999999999999</v>
      </c>
      <c r="N9" s="154">
        <f>J9*G9*M9</f>
        <v>4697230.5126009565</v>
      </c>
      <c r="O9" s="154">
        <f>((K9*G9)+H9)*M9</f>
        <v>13987860.612416081</v>
      </c>
      <c r="P9" s="364">
        <f t="shared" si="4"/>
        <v>774258.97473228315</v>
      </c>
      <c r="Q9" s="364">
        <f t="shared" si="5"/>
        <v>19459350.099749323</v>
      </c>
      <c r="R9" s="364">
        <f t="shared" si="6"/>
        <v>0</v>
      </c>
      <c r="S9" s="156">
        <f t="shared" si="7"/>
        <v>106847.65848382306</v>
      </c>
      <c r="T9" s="156">
        <f t="shared" si="8"/>
        <v>427390.63393529225</v>
      </c>
      <c r="U9" s="117">
        <f t="shared" si="32"/>
        <v>919736.14004229009</v>
      </c>
      <c r="V9" s="156">
        <v>97840686</v>
      </c>
      <c r="W9" s="144">
        <f t="shared" si="33"/>
        <v>427749.69512339996</v>
      </c>
      <c r="X9" s="117">
        <f t="shared" si="34"/>
        <v>491986.44491889013</v>
      </c>
      <c r="Y9" s="156">
        <f t="shared" si="9"/>
        <v>-1092100.5126009565</v>
      </c>
      <c r="Z9" s="273">
        <f t="shared" si="10"/>
        <v>-0.23249881172985853</v>
      </c>
      <c r="AA9" s="156">
        <f t="shared" si="11"/>
        <v>6380116.3875839189</v>
      </c>
      <c r="AB9" s="273">
        <f t="shared" si="12"/>
        <v>0.45611809871201592</v>
      </c>
      <c r="AC9" s="156">
        <f t="shared" si="13"/>
        <v>-578575.60920837615</v>
      </c>
      <c r="AD9" s="273">
        <f t="shared" si="14"/>
        <v>-0.74726367803283289</v>
      </c>
      <c r="AE9" s="156">
        <f t="shared" si="15"/>
        <v>4709440.2657745853</v>
      </c>
      <c r="AF9" s="273">
        <f t="shared" si="16"/>
        <v>0.24201426263641013</v>
      </c>
      <c r="AG9" s="367">
        <f t="shared" si="17"/>
        <v>4.3718999999999997E-3</v>
      </c>
      <c r="AH9" s="279">
        <v>0.42862</v>
      </c>
      <c r="AI9" s="279">
        <v>0.44619999999999999</v>
      </c>
      <c r="AJ9" s="40">
        <f t="shared" si="18"/>
        <v>19109909.947413627</v>
      </c>
      <c r="AK9" s="40">
        <f t="shared" si="19"/>
        <v>349440.15233569592</v>
      </c>
      <c r="AL9" s="156">
        <f t="shared" si="20"/>
        <v>19826731.170057908</v>
      </c>
      <c r="AM9" s="40">
        <f t="shared" si="21"/>
        <v>-367381.07030858472</v>
      </c>
      <c r="AN9" s="156">
        <v>284237</v>
      </c>
      <c r="AO9" s="278">
        <f t="shared" si="22"/>
        <v>1242.6557402999999</v>
      </c>
      <c r="AP9" s="144">
        <f t="shared" si="23"/>
        <v>103.554645025</v>
      </c>
      <c r="AQ9" s="278">
        <f t="shared" si="24"/>
        <v>1218.2966294</v>
      </c>
      <c r="AR9" s="278">
        <f t="shared" si="25"/>
        <v>1268.265494</v>
      </c>
      <c r="AS9" s="43">
        <f t="shared" si="26"/>
        <v>2063.2263951</v>
      </c>
      <c r="AT9" s="19">
        <f t="shared" si="27"/>
        <v>171.93553292499999</v>
      </c>
      <c r="AU9" s="278">
        <f t="shared" si="28"/>
        <v>24.359110899999905</v>
      </c>
      <c r="AV9" s="278">
        <f t="shared" si="29"/>
        <v>2.0299259083333254</v>
      </c>
      <c r="AW9" s="278">
        <f t="shared" si="30"/>
        <v>-25.609753700000056</v>
      </c>
      <c r="AX9" s="278">
        <f t="shared" si="31"/>
        <v>-2.1341461416666712</v>
      </c>
    </row>
    <row r="10" spans="1:92">
      <c r="A10" s="15" t="str">
        <f t="shared" si="0"/>
        <v>TY 2015</v>
      </c>
      <c r="B10" s="15" t="str">
        <f t="shared" si="1"/>
        <v>FY 2015-16</v>
      </c>
      <c r="C10" s="161"/>
      <c r="D10" s="80">
        <v>4720148873</v>
      </c>
      <c r="E10" s="80">
        <v>500962661</v>
      </c>
      <c r="F10" s="80">
        <v>187897462</v>
      </c>
      <c r="G10" s="80">
        <f t="shared" si="2"/>
        <v>4031288750</v>
      </c>
      <c r="H10" s="80">
        <v>1962602</v>
      </c>
      <c r="I10" s="38">
        <v>4.3468999999999999E-3</v>
      </c>
      <c r="J10" s="383">
        <v>1.1152E-3</v>
      </c>
      <c r="K10" s="38">
        <f t="shared" si="3"/>
        <v>3.2316999999999997E-3</v>
      </c>
      <c r="L10" s="40">
        <f>'DEBT SUMMARY'!S14</f>
        <v>0</v>
      </c>
      <c r="M10" s="369">
        <v>0.99299999999999999</v>
      </c>
      <c r="N10" s="154">
        <f>(J10*G10+H10*(J10/I10))*M10</f>
        <v>4964205.6233776351</v>
      </c>
      <c r="O10" s="154">
        <f>((K10*G10)+H10*(K10/I10))*M10</f>
        <v>14385601.966525739</v>
      </c>
      <c r="P10" s="154">
        <f t="shared" si="4"/>
        <v>811054.07722482539</v>
      </c>
      <c r="Q10" s="154">
        <f t="shared" si="5"/>
        <v>20160861.667128198</v>
      </c>
      <c r="R10" s="154">
        <f t="shared" si="6"/>
        <v>0</v>
      </c>
      <c r="S10" s="156">
        <f t="shared" si="7"/>
        <v>111285.09736768372</v>
      </c>
      <c r="T10" s="156">
        <f t="shared" si="8"/>
        <v>445140.38947073487</v>
      </c>
      <c r="U10" s="117">
        <f t="shared" si="32"/>
        <v>701511.56737887487</v>
      </c>
      <c r="V10" s="156">
        <v>179058327</v>
      </c>
      <c r="W10" s="144">
        <f t="shared" si="33"/>
        <v>778348.64163630002</v>
      </c>
      <c r="X10" s="117">
        <f t="shared" si="34"/>
        <v>-76837.074257425149</v>
      </c>
      <c r="Y10" s="156">
        <f t="shared" si="9"/>
        <v>-1359075.6233776351</v>
      </c>
      <c r="Z10" s="273">
        <f t="shared" si="10"/>
        <v>-0.27377504609749082</v>
      </c>
      <c r="AA10" s="156">
        <f t="shared" si="11"/>
        <v>5982375.0334742609</v>
      </c>
      <c r="AB10" s="273">
        <f t="shared" si="12"/>
        <v>0.41585851237889226</v>
      </c>
      <c r="AC10" s="156">
        <f t="shared" si="13"/>
        <v>-615370.71170091839</v>
      </c>
      <c r="AD10" s="273">
        <f t="shared" si="14"/>
        <v>-0.7587295705442052</v>
      </c>
      <c r="AE10" s="156">
        <f t="shared" si="15"/>
        <v>4007928.6983957104</v>
      </c>
      <c r="AF10" s="273">
        <f t="shared" si="16"/>
        <v>0.19879749013558001</v>
      </c>
      <c r="AG10" s="367">
        <f t="shared" si="17"/>
        <v>4.3468999999999999E-3</v>
      </c>
      <c r="AH10" s="279">
        <v>0.44158999999999998</v>
      </c>
      <c r="AI10" s="279">
        <v>0.45713999999999999</v>
      </c>
      <c r="AJ10" s="40">
        <f t="shared" si="18"/>
        <v>20449947.648815803</v>
      </c>
      <c r="AK10" s="40">
        <f t="shared" si="19"/>
        <v>-289085.98168760538</v>
      </c>
      <c r="AL10" s="156">
        <f t="shared" si="20"/>
        <v>21101438.520590041</v>
      </c>
      <c r="AM10" s="40">
        <f t="shared" si="21"/>
        <v>-940576.85346184298</v>
      </c>
      <c r="AN10" s="156">
        <v>287593</v>
      </c>
      <c r="AO10" s="278">
        <f t="shared" si="22"/>
        <v>1250.1380116999999</v>
      </c>
      <c r="AP10" s="144">
        <f t="shared" si="23"/>
        <v>104.17816764166666</v>
      </c>
      <c r="AQ10" s="278">
        <f t="shared" si="24"/>
        <v>1269.9819286999998</v>
      </c>
      <c r="AR10" s="278">
        <f t="shared" si="25"/>
        <v>1314.7026401999999</v>
      </c>
      <c r="AS10" s="43">
        <f t="shared" si="26"/>
        <v>2051.4281701</v>
      </c>
      <c r="AT10" s="19">
        <f t="shared" si="27"/>
        <v>170.95234750833333</v>
      </c>
      <c r="AU10" s="278">
        <f t="shared" si="28"/>
        <v>-19.843916999999919</v>
      </c>
      <c r="AV10" s="278">
        <f t="shared" si="29"/>
        <v>-1.6536597499999932</v>
      </c>
      <c r="AW10" s="278">
        <f t="shared" si="30"/>
        <v>-64.564628500000026</v>
      </c>
      <c r="AX10" s="278">
        <f t="shared" si="31"/>
        <v>-5.3803857083333355</v>
      </c>
    </row>
    <row r="11" spans="1:92">
      <c r="A11" s="15" t="str">
        <f t="shared" si="0"/>
        <v>TY 2016</v>
      </c>
      <c r="B11" s="15" t="str">
        <f t="shared" si="1"/>
        <v>FY 2016-17</v>
      </c>
      <c r="C11" s="161"/>
      <c r="D11" s="80">
        <v>5277404783</v>
      </c>
      <c r="E11" s="80">
        <v>596575893</v>
      </c>
      <c r="F11" s="80">
        <v>205321546</v>
      </c>
      <c r="G11" s="80">
        <f t="shared" si="2"/>
        <v>4475507344</v>
      </c>
      <c r="H11" s="80">
        <v>2217364</v>
      </c>
      <c r="I11" s="510">
        <v>4.3E-3</v>
      </c>
      <c r="J11" s="511">
        <v>1.1642200000000001E-3</v>
      </c>
      <c r="K11" s="510">
        <f>I11-J11</f>
        <v>3.1357799999999999E-3</v>
      </c>
      <c r="L11" s="32">
        <f>VLOOKUP(B11,'DEBT SUMMARY'!$B$9:$S$43,18,FALSE)</f>
        <v>4935098.4137875102</v>
      </c>
      <c r="M11" s="79">
        <f>M9</f>
        <v>0.99299999999999999</v>
      </c>
      <c r="N11" s="154">
        <f>(J11*G11+H11*(J11/I11))*M11</f>
        <v>5770148.1175085371</v>
      </c>
      <c r="O11" s="154">
        <f>((K11*G11)+H11*(K11/I11))*M11</f>
        <v>15541663.142637063</v>
      </c>
      <c r="P11" s="154">
        <f>F11*I11*M11</f>
        <v>876702.46926540008</v>
      </c>
      <c r="Q11" s="154">
        <f t="shared" ref="Q11:Q15" si="35">SUM(N11:P11)</f>
        <v>22188513.729411002</v>
      </c>
      <c r="R11" s="154">
        <f t="shared" si="6"/>
        <v>0</v>
      </c>
      <c r="S11" s="344">
        <f t="shared" si="7"/>
        <v>123905.87941945117</v>
      </c>
      <c r="T11" s="344">
        <f t="shared" si="8"/>
        <v>495623.51767780469</v>
      </c>
      <c r="U11" s="117">
        <f t="shared" si="32"/>
        <v>2027652.0622828044</v>
      </c>
      <c r="V11" s="344">
        <v>221835885</v>
      </c>
      <c r="W11" s="144">
        <f t="shared" si="33"/>
        <v>953894.30550000002</v>
      </c>
      <c r="X11" s="117">
        <f t="shared" si="34"/>
        <v>1073757.7567828044</v>
      </c>
      <c r="Y11" s="344">
        <f t="shared" si="9"/>
        <v>-2165018.1175085371</v>
      </c>
      <c r="Z11" s="161">
        <f t="shared" si="10"/>
        <v>-0.3752101459820687</v>
      </c>
      <c r="AA11" s="344">
        <f t="shared" si="11"/>
        <v>4826313.8573629372</v>
      </c>
      <c r="AB11" s="161">
        <f t="shared" si="12"/>
        <v>0.31054037222840125</v>
      </c>
      <c r="AC11" s="344">
        <f t="shared" si="13"/>
        <v>-681019.10374149308</v>
      </c>
      <c r="AD11" s="161">
        <f t="shared" si="14"/>
        <v>-0.77679615105011335</v>
      </c>
      <c r="AE11" s="344">
        <f t="shared" si="15"/>
        <v>1980276.636112906</v>
      </c>
      <c r="AF11" s="161">
        <f t="shared" si="16"/>
        <v>8.9247827063244856E-2</v>
      </c>
      <c r="AG11" s="506">
        <f t="shared" si="17"/>
        <v>4.3E-3</v>
      </c>
      <c r="AH11" s="507">
        <v>0.408854</v>
      </c>
      <c r="AI11" s="507">
        <v>0.43938100000000002</v>
      </c>
      <c r="AJ11" s="32">
        <f t="shared" si="18"/>
        <v>21205634.308871154</v>
      </c>
      <c r="AK11" s="32">
        <f t="shared" si="19"/>
        <v>982879.42053984851</v>
      </c>
      <c r="AL11" s="344">
        <f t="shared" si="20"/>
        <v>22624548.527674705</v>
      </c>
      <c r="AM11" s="32">
        <f t="shared" si="21"/>
        <v>-436034.79826370254</v>
      </c>
      <c r="AN11" s="344">
        <v>316629</v>
      </c>
      <c r="AO11" s="508">
        <f t="shared" si="22"/>
        <v>1361.5047</v>
      </c>
      <c r="AP11" s="144">
        <f t="shared" si="23"/>
        <v>113.458725</v>
      </c>
      <c r="AQ11" s="508">
        <f t="shared" si="24"/>
        <v>1294.55033166</v>
      </c>
      <c r="AR11" s="508">
        <f t="shared" si="25"/>
        <v>1391.2076664900003</v>
      </c>
      <c r="AS11" s="43">
        <f t="shared" si="26"/>
        <v>2029.2946999999999</v>
      </c>
      <c r="AT11" s="19">
        <f>AS11/12</f>
        <v>169.10789166666666</v>
      </c>
      <c r="AU11" s="508">
        <f t="shared" si="28"/>
        <v>66.954368339999974</v>
      </c>
      <c r="AV11" s="508">
        <f t="shared" si="29"/>
        <v>5.5795306949999981</v>
      </c>
      <c r="AW11" s="508">
        <f t="shared" si="30"/>
        <v>-29.702966490000335</v>
      </c>
      <c r="AX11" s="508">
        <f t="shared" si="31"/>
        <v>-2.4752472075000278</v>
      </c>
    </row>
    <row r="12" spans="1:92">
      <c r="A12" s="15" t="str">
        <f t="shared" si="0"/>
        <v>TY 2017</v>
      </c>
      <c r="B12" s="15" t="str">
        <f t="shared" si="1"/>
        <v>FY 2017-18</v>
      </c>
      <c r="C12" s="161">
        <f t="shared" ref="C12:C16" si="36">D12/D11-1</f>
        <v>5.1230217903867059E-2</v>
      </c>
      <c r="D12" s="80">
        <v>5547767380</v>
      </c>
      <c r="E12" s="80">
        <v>672850883</v>
      </c>
      <c r="F12" s="80">
        <v>217610787</v>
      </c>
      <c r="G12" s="80">
        <f t="shared" si="2"/>
        <v>4657305710</v>
      </c>
      <c r="H12" s="80">
        <v>2467361</v>
      </c>
      <c r="I12" s="38">
        <v>4.2750000000000002E-3</v>
      </c>
      <c r="J12" s="387">
        <v>1.0851540000000001E-3</v>
      </c>
      <c r="K12" s="483">
        <f t="shared" ref="K12:K14" si="37">I12-J12</f>
        <v>3.1898460000000001E-3</v>
      </c>
      <c r="L12" s="40">
        <f>VLOOKUP(B12,'DEBT SUMMARY'!$B$9:$S$43,18,FALSE)</f>
        <v>5181145.2158931866</v>
      </c>
      <c r="M12" s="369">
        <v>0.99250000000000005</v>
      </c>
      <c r="N12" s="154">
        <f>(J12*G12+H12*(J12/I12*0.5))*M12</f>
        <v>5326795.0562196355</v>
      </c>
      <c r="O12" s="154">
        <f>((K12*G12)+H12*(K12/I12)+H12*(J12/I12*(1-0.5)))*M12</f>
        <v>16882717.782203496</v>
      </c>
      <c r="P12" s="154">
        <f t="shared" ref="P12:P16" si="38">F12*I12*M12</f>
        <v>923308.96856681257</v>
      </c>
      <c r="Q12" s="154">
        <f t="shared" si="35"/>
        <v>23132821.806989945</v>
      </c>
      <c r="R12" s="154">
        <f>((G12*I12+H12+F12*I12)*M12)-Q12</f>
        <v>0</v>
      </c>
      <c r="S12" s="156">
        <f t="shared" si="7"/>
        <v>129880.19203756218</v>
      </c>
      <c r="T12" s="156">
        <f t="shared" si="8"/>
        <v>519520.76815024874</v>
      </c>
      <c r="U12" s="117">
        <f t="shared" si="32"/>
        <v>944308.07757894322</v>
      </c>
      <c r="V12" s="156">
        <v>142360472</v>
      </c>
      <c r="W12" s="144">
        <f t="shared" si="33"/>
        <v>608591.01780000003</v>
      </c>
      <c r="X12" s="117">
        <f t="shared" si="34"/>
        <v>335717.05977894319</v>
      </c>
      <c r="Y12" s="156">
        <f t="shared" si="9"/>
        <v>-1721665.0562196355</v>
      </c>
      <c r="Z12" s="273">
        <f t="shared" si="10"/>
        <v>-0.32320842796634286</v>
      </c>
      <c r="AA12" s="156">
        <f t="shared" si="11"/>
        <v>3485259.2177965045</v>
      </c>
      <c r="AB12" s="273">
        <f t="shared" si="12"/>
        <v>0.20643946447238526</v>
      </c>
      <c r="AC12" s="156">
        <f t="shared" si="13"/>
        <v>-727625.60304290557</v>
      </c>
      <c r="AD12" s="273">
        <f t="shared" si="14"/>
        <v>-0.78806296463506409</v>
      </c>
      <c r="AE12" s="156">
        <f t="shared" si="15"/>
        <v>1035968.5585339628</v>
      </c>
      <c r="AF12" s="273">
        <f t="shared" si="16"/>
        <v>4.4783492786899304E-2</v>
      </c>
      <c r="AG12" s="367">
        <f t="shared" si="17"/>
        <v>4.2750000000000002E-3</v>
      </c>
      <c r="AH12" s="279">
        <v>0.41819400000000001</v>
      </c>
      <c r="AI12" s="279">
        <v>0.43269400000000002</v>
      </c>
      <c r="AJ12" s="40">
        <f t="shared" si="18"/>
        <v>22682564.525748197</v>
      </c>
      <c r="AK12" s="40">
        <f t="shared" si="19"/>
        <v>450257.28124174848</v>
      </c>
      <c r="AL12" s="156">
        <f t="shared" si="20"/>
        <v>23384125.946122713</v>
      </c>
      <c r="AM12" s="40">
        <f t="shared" si="21"/>
        <v>-251304.13913276792</v>
      </c>
      <c r="AN12" s="156">
        <v>329840</v>
      </c>
      <c r="AO12" s="278">
        <f t="shared" si="22"/>
        <v>1410.066</v>
      </c>
      <c r="AP12" s="144">
        <f t="shared" si="23"/>
        <v>117.5055</v>
      </c>
      <c r="AQ12" s="278">
        <f t="shared" si="24"/>
        <v>1379.3710896</v>
      </c>
      <c r="AR12" s="278">
        <f t="shared" si="25"/>
        <v>1427.1978896000001</v>
      </c>
      <c r="AS12" s="43">
        <f t="shared" ref="AS12:AS19" si="39">$AN$19*I12</f>
        <v>2017.4964750000001</v>
      </c>
      <c r="AT12" s="19">
        <f t="shared" ref="AT12:AT16" si="40">AS12/12</f>
        <v>168.12470625</v>
      </c>
      <c r="AU12" s="278">
        <f t="shared" si="28"/>
        <v>30.694910400000026</v>
      </c>
      <c r="AV12" s="278">
        <f t="shared" si="29"/>
        <v>2.5579092000000023</v>
      </c>
      <c r="AW12" s="278">
        <f t="shared" si="30"/>
        <v>-17.131889600000022</v>
      </c>
      <c r="AX12" s="278">
        <f t="shared" si="31"/>
        <v>-1.4276574666666686</v>
      </c>
      <c r="AZ12" s="509"/>
      <c r="BA12" s="144"/>
    </row>
    <row r="13" spans="1:92">
      <c r="A13" s="15" t="str">
        <f t="shared" si="0"/>
        <v>TY 2018</v>
      </c>
      <c r="B13" s="15" t="str">
        <f t="shared" si="1"/>
        <v>FY 2018-19</v>
      </c>
      <c r="C13" s="161">
        <f t="shared" si="36"/>
        <v>6.854569306040359E-2</v>
      </c>
      <c r="D13" s="80">
        <v>5928042940</v>
      </c>
      <c r="E13" s="80">
        <v>806353824</v>
      </c>
      <c r="F13" s="80">
        <v>0</v>
      </c>
      <c r="G13" s="80">
        <f t="shared" si="2"/>
        <v>5121689116</v>
      </c>
      <c r="H13" s="80">
        <v>2756906</v>
      </c>
      <c r="I13" s="38">
        <v>4.1324999999999999E-3</v>
      </c>
      <c r="J13" s="387">
        <v>8.0307000000000002E-4</v>
      </c>
      <c r="K13" s="483">
        <f t="shared" si="37"/>
        <v>3.32943E-3</v>
      </c>
      <c r="L13" s="40">
        <f>VLOOKUP(B13,'DEBT SUMMARY'!$B$9:$S$43,18,FALSE)</f>
        <v>4980546</v>
      </c>
      <c r="M13" s="369">
        <v>0.99250000000000005</v>
      </c>
      <c r="N13" s="154">
        <f>(J13*G13+H13*(J13/I13*$N$2))*M13</f>
        <v>4613959.0824145228</v>
      </c>
      <c r="O13" s="154">
        <f>((K13*G13)+H13*(K13/I13)+H13*(J13/I13*(1-$N$2)))*M13</f>
        <v>19128910.042416457</v>
      </c>
      <c r="P13" s="154">
        <f t="shared" si="38"/>
        <v>0</v>
      </c>
      <c r="Q13" s="154">
        <f t="shared" si="35"/>
        <v>23742869.12483098</v>
      </c>
      <c r="R13" s="513">
        <f>O13/O12-1</f>
        <v>0.13304684051407478</v>
      </c>
      <c r="S13" s="156">
        <f t="shared" si="7"/>
        <v>143635.02192880207</v>
      </c>
      <c r="T13" s="156">
        <f t="shared" si="8"/>
        <v>574540.0877152083</v>
      </c>
      <c r="U13" s="117">
        <f t="shared" si="32"/>
        <v>610047.31784103438</v>
      </c>
      <c r="V13" s="156">
        <v>129947698</v>
      </c>
      <c r="W13" s="144">
        <f t="shared" si="33"/>
        <v>537008.86198499997</v>
      </c>
      <c r="X13" s="117">
        <f t="shared" si="34"/>
        <v>73038.455856034416</v>
      </c>
      <c r="Y13" s="156">
        <f t="shared" si="9"/>
        <v>-1008829.0824145228</v>
      </c>
      <c r="Z13" s="273">
        <f t="shared" si="10"/>
        <v>-0.2186471670846708</v>
      </c>
      <c r="AA13" s="156">
        <f t="shared" si="11"/>
        <v>1239066.9575835429</v>
      </c>
      <c r="AB13" s="273">
        <f t="shared" si="12"/>
        <v>6.4774571830597427E-2</v>
      </c>
      <c r="AC13" s="156">
        <f t="shared" si="13"/>
        <v>195683.36552390701</v>
      </c>
      <c r="AD13" s="273" t="e">
        <f t="shared" si="14"/>
        <v>#DIV/0!</v>
      </c>
      <c r="AE13" s="156">
        <f t="shared" si="15"/>
        <v>425921.24069292843</v>
      </c>
      <c r="AF13" s="273">
        <f t="shared" si="16"/>
        <v>1.7938912035171395E-2</v>
      </c>
      <c r="AG13" s="367">
        <f t="shared" si="17"/>
        <v>4.1324999999999999E-3</v>
      </c>
      <c r="AH13" s="279">
        <v>0.41327900000000001</v>
      </c>
      <c r="AI13" s="279">
        <v>0.413302</v>
      </c>
      <c r="AJ13" s="40">
        <f t="shared" si="18"/>
        <v>23744343.275000788</v>
      </c>
      <c r="AK13" s="40">
        <f t="shared" si="19"/>
        <v>-1474.1501698084176</v>
      </c>
      <c r="AL13" s="156">
        <f t="shared" si="20"/>
        <v>23745512.428583745</v>
      </c>
      <c r="AM13" s="40">
        <f t="shared" si="21"/>
        <v>-2643.3037527650595</v>
      </c>
      <c r="AN13" s="156">
        <v>339361</v>
      </c>
      <c r="AO13" s="278">
        <f t="shared" si="22"/>
        <v>1402.4093324999999</v>
      </c>
      <c r="AP13" s="144">
        <f t="shared" si="23"/>
        <v>116.86744437499999</v>
      </c>
      <c r="AQ13" s="278">
        <f t="shared" si="24"/>
        <v>1402.5077471899999</v>
      </c>
      <c r="AR13" s="278">
        <f t="shared" si="25"/>
        <v>1402.58580022</v>
      </c>
      <c r="AS13" s="43">
        <f t="shared" si="39"/>
        <v>1950.2465924999999</v>
      </c>
      <c r="AT13" s="19">
        <f t="shared" si="40"/>
        <v>162.520549375</v>
      </c>
      <c r="AU13" s="278">
        <f t="shared" si="28"/>
        <v>-9.8414690000026894E-2</v>
      </c>
      <c r="AV13" s="278">
        <f t="shared" si="29"/>
        <v>-8.2012241666689079E-3</v>
      </c>
      <c r="AW13" s="278">
        <f t="shared" si="30"/>
        <v>-0.17646772000011879</v>
      </c>
      <c r="AX13" s="278">
        <f t="shared" si="31"/>
        <v>-1.4705643333343232E-2</v>
      </c>
    </row>
    <row r="14" spans="1:92">
      <c r="A14" s="15" t="str">
        <f t="shared" si="0"/>
        <v>TY 2019</v>
      </c>
      <c r="B14" s="15" t="str">
        <f t="shared" si="1"/>
        <v>FY 2019-20</v>
      </c>
      <c r="C14" s="161">
        <f t="shared" si="36"/>
        <v>4.605389261907078E-2</v>
      </c>
      <c r="D14" s="80">
        <v>6201052393</v>
      </c>
      <c r="E14" s="80">
        <v>899174687</v>
      </c>
      <c r="F14" s="80">
        <v>0</v>
      </c>
      <c r="G14" s="80">
        <f t="shared" si="2"/>
        <v>5301877706</v>
      </c>
      <c r="H14" s="80">
        <v>3150854</v>
      </c>
      <c r="I14" s="38">
        <v>3.999E-3</v>
      </c>
      <c r="J14" s="387">
        <v>8.1623899999999996E-4</v>
      </c>
      <c r="K14" s="483">
        <f t="shared" si="37"/>
        <v>3.1827610000000001E-3</v>
      </c>
      <c r="L14" s="40">
        <f>VLOOKUP(B14,'DEBT SUMMARY'!$B$9:$S$43,18,FALSE)</f>
        <v>4113068.375</v>
      </c>
      <c r="M14" s="369">
        <v>0.99250000000000005</v>
      </c>
      <c r="N14" s="154">
        <f>(J14*G14+H14*(J14/I14*$N$2))*M14</f>
        <v>4933442.197580249</v>
      </c>
      <c r="O14" s="154">
        <f>((K14*G14)+H14*(K14/I14)+H14*(J14/I14*(1-$N$2)))*M14</f>
        <v>19236972.776616547</v>
      </c>
      <c r="P14" s="154">
        <f t="shared" si="38"/>
        <v>0</v>
      </c>
      <c r="Q14" s="154">
        <f t="shared" si="35"/>
        <v>24170414.974196795</v>
      </c>
      <c r="R14" s="513">
        <f>O14/O13-1</f>
        <v>5.6491840863108767E-3</v>
      </c>
      <c r="S14" s="156">
        <f t="shared" si="7"/>
        <v>151102.86930605647</v>
      </c>
      <c r="T14" s="156">
        <f t="shared" si="8"/>
        <v>604411.47722422588</v>
      </c>
      <c r="U14" s="117">
        <f t="shared" si="32"/>
        <v>427545.84936581552</v>
      </c>
      <c r="V14" s="156">
        <v>131854630</v>
      </c>
      <c r="W14" s="144">
        <f t="shared" si="33"/>
        <v>527286.66536999994</v>
      </c>
      <c r="X14" s="117">
        <f t="shared" si="34"/>
        <v>-99740.816004184424</v>
      </c>
      <c r="Y14" s="156">
        <f t="shared" si="9"/>
        <v>-1328312.197580249</v>
      </c>
      <c r="Z14" s="273">
        <f t="shared" si="10"/>
        <v>-0.26924653099853046</v>
      </c>
      <c r="AA14" s="156">
        <f t="shared" si="11"/>
        <v>1131004.2233834527</v>
      </c>
      <c r="AB14" s="273">
        <f t="shared" si="12"/>
        <v>5.879325383036571E-2</v>
      </c>
      <c r="AC14" s="156">
        <f t="shared" si="13"/>
        <v>195683.36552390701</v>
      </c>
      <c r="AD14" s="273" t="e">
        <f t="shared" si="14"/>
        <v>#DIV/0!</v>
      </c>
      <c r="AE14" s="156">
        <f t="shared" si="15"/>
        <v>-1624.6086728870869</v>
      </c>
      <c r="AF14" s="273">
        <f t="shared" si="16"/>
        <v>-6.7214761294787095E-5</v>
      </c>
      <c r="AG14" s="367">
        <f t="shared" si="17"/>
        <v>3.999E-3</v>
      </c>
      <c r="AH14" s="279">
        <v>0.401949</v>
      </c>
      <c r="AI14" s="279">
        <v>0.431064</v>
      </c>
      <c r="AJ14" s="40">
        <f t="shared" si="18"/>
        <v>24278235.682336267</v>
      </c>
      <c r="AK14" s="40">
        <f t="shared" si="19"/>
        <v>-107820.70813947171</v>
      </c>
      <c r="AL14" s="156">
        <f t="shared" si="20"/>
        <v>25810300.063732404</v>
      </c>
      <c r="AM14" s="40">
        <f t="shared" si="21"/>
        <v>-1639885.0895356089</v>
      </c>
      <c r="AN14" s="156">
        <v>355394</v>
      </c>
      <c r="AO14" s="278">
        <f t="shared" si="22"/>
        <v>1421.2206060000001</v>
      </c>
      <c r="AP14" s="144">
        <f t="shared" si="23"/>
        <v>118.4350505</v>
      </c>
      <c r="AQ14" s="278">
        <f t="shared" si="24"/>
        <v>1428.5026290599999</v>
      </c>
      <c r="AR14" s="278">
        <f t="shared" si="25"/>
        <v>1531.9755921600001</v>
      </c>
      <c r="AS14" s="43">
        <f t="shared" si="39"/>
        <v>1887.2440710000001</v>
      </c>
      <c r="AT14" s="19">
        <f t="shared" si="40"/>
        <v>157.27033925000001</v>
      </c>
      <c r="AU14" s="278">
        <f t="shared" si="28"/>
        <v>-7.2820230599998013</v>
      </c>
      <c r="AV14" s="278">
        <f t="shared" si="29"/>
        <v>-0.60683525499998348</v>
      </c>
      <c r="AW14" s="278">
        <f t="shared" si="30"/>
        <v>-110.75498616000004</v>
      </c>
      <c r="AX14" s="278">
        <f t="shared" si="31"/>
        <v>-9.2295821800000031</v>
      </c>
    </row>
    <row r="15" spans="1:92">
      <c r="A15" s="15" t="str">
        <f t="shared" ref="A15:A20" si="41">"TY "&amp;MID($B15,4,4)</f>
        <v>TY 2020</v>
      </c>
      <c r="B15" s="15" t="str">
        <f t="shared" si="1"/>
        <v>FY 2020-21</v>
      </c>
      <c r="C15" s="161">
        <f t="shared" si="36"/>
        <v>-1.5275984622695971E-2</v>
      </c>
      <c r="D15" s="80">
        <v>6106325212</v>
      </c>
      <c r="E15" s="80">
        <v>934912645</v>
      </c>
      <c r="F15" s="80">
        <v>0</v>
      </c>
      <c r="G15" s="80">
        <v>5171412567</v>
      </c>
      <c r="H15" s="80">
        <v>3305916</v>
      </c>
      <c r="I15" s="38">
        <v>3.9500000000000004E-3</v>
      </c>
      <c r="J15" s="387">
        <v>7.0810000000000003E-4</v>
      </c>
      <c r="K15" s="483">
        <v>3.2419000000000003E-3</v>
      </c>
      <c r="L15" s="40">
        <v>3661876.7800000003</v>
      </c>
      <c r="M15" s="369">
        <v>0.99250000000000005</v>
      </c>
      <c r="N15" s="584">
        <f>(J15*G15+H15*(J15/I15*$N$2))*1</f>
        <v>4254514.9904901683</v>
      </c>
      <c r="O15" s="584">
        <f>((K15*G15)+H15*(K15/I15)+H15*(J15/I15*(1-$N$2)))*M15</f>
        <v>19332392.044291135</v>
      </c>
      <c r="P15" s="154">
        <f t="shared" si="38"/>
        <v>0</v>
      </c>
      <c r="Q15" s="154">
        <f t="shared" si="35"/>
        <v>23586907.034781303</v>
      </c>
      <c r="R15" s="513">
        <f>Q15/Q14-1</f>
        <v>-2.4141411723316186E-2</v>
      </c>
      <c r="S15" s="156">
        <f t="shared" si="7"/>
        <v>149284.22173912215</v>
      </c>
      <c r="T15" s="156">
        <f t="shared" si="8"/>
        <v>597136.8869564886</v>
      </c>
      <c r="U15" s="117">
        <f t="shared" si="32"/>
        <v>-583507.93941549212</v>
      </c>
      <c r="V15" s="156">
        <v>73494660</v>
      </c>
      <c r="W15" s="144">
        <f t="shared" si="33"/>
        <v>290303.90700000001</v>
      </c>
      <c r="X15" s="117">
        <f t="shared" si="34"/>
        <v>-873811.84641549212</v>
      </c>
      <c r="Y15" s="156">
        <f t="shared" si="9"/>
        <v>-649384.99049016833</v>
      </c>
      <c r="Z15" s="273">
        <f t="shared" si="10"/>
        <v>-0.15263431717638676</v>
      </c>
      <c r="AA15" s="156">
        <f t="shared" si="11"/>
        <v>1035584.9557088651</v>
      </c>
      <c r="AB15" s="273">
        <f t="shared" si="12"/>
        <v>5.3567347141331823E-2</v>
      </c>
      <c r="AC15" s="156">
        <f t="shared" si="13"/>
        <v>195683.36552390701</v>
      </c>
      <c r="AD15" s="273" t="e">
        <f t="shared" si="14"/>
        <v>#DIV/0!</v>
      </c>
      <c r="AE15" s="156">
        <f t="shared" si="15"/>
        <v>581883.33074260503</v>
      </c>
      <c r="AF15" s="273">
        <f t="shared" si="16"/>
        <v>2.4669759790232781E-2</v>
      </c>
      <c r="AG15" s="367">
        <f t="shared" si="17"/>
        <v>3.9500000000000004E-3</v>
      </c>
      <c r="AH15" s="279">
        <v>0.41758800000000001</v>
      </c>
      <c r="AI15" s="279">
        <v>0.41627799999999998</v>
      </c>
      <c r="AJ15" s="40">
        <f t="shared" si="18"/>
        <v>24714355.952956833</v>
      </c>
      <c r="AK15" s="40">
        <f t="shared" si="19"/>
        <v>-1127448.9181755297</v>
      </c>
      <c r="AL15" s="156">
        <f t="shared" si="20"/>
        <v>24647118.539613836</v>
      </c>
      <c r="AM15" s="40">
        <f t="shared" si="21"/>
        <v>-1060211.5048325323</v>
      </c>
      <c r="AN15" s="156">
        <v>351817</v>
      </c>
      <c r="AO15" s="278">
        <f t="shared" si="22"/>
        <v>1389.6771500000002</v>
      </c>
      <c r="AP15" s="144">
        <f t="shared" si="23"/>
        <v>115.80642916666669</v>
      </c>
      <c r="AQ15" s="278">
        <f t="shared" si="24"/>
        <v>1469.1455739599999</v>
      </c>
      <c r="AR15" s="278">
        <f t="shared" si="25"/>
        <v>1464.5367712599998</v>
      </c>
      <c r="AS15" s="43">
        <f t="shared" si="39"/>
        <v>1864.1195500000001</v>
      </c>
      <c r="AT15" s="19">
        <f t="shared" si="40"/>
        <v>155.34329583333334</v>
      </c>
      <c r="AU15" s="278">
        <f t="shared" si="28"/>
        <v>-79.468423959999654</v>
      </c>
      <c r="AV15" s="278">
        <f t="shared" si="29"/>
        <v>-6.6223686633333045</v>
      </c>
      <c r="AW15" s="278">
        <f t="shared" si="30"/>
        <v>-74.859621259999585</v>
      </c>
      <c r="AX15" s="278">
        <f t="shared" si="31"/>
        <v>-6.2383017716666318</v>
      </c>
    </row>
    <row r="16" spans="1:92">
      <c r="A16" s="15" t="str">
        <f t="shared" si="41"/>
        <v>TY 2021</v>
      </c>
      <c r="B16" s="15" t="str">
        <f t="shared" si="1"/>
        <v>FY 2021-22</v>
      </c>
      <c r="C16" s="161">
        <f t="shared" si="36"/>
        <v>4.4846546898913431E-4</v>
      </c>
      <c r="D16" s="80">
        <v>6109063688</v>
      </c>
      <c r="E16" s="80">
        <v>980159747</v>
      </c>
      <c r="F16" s="80">
        <v>0</v>
      </c>
      <c r="G16" s="80">
        <v>5128903941</v>
      </c>
      <c r="H16" s="80">
        <v>3599270</v>
      </c>
      <c r="I16" s="38">
        <v>3.9500000000000004E-3</v>
      </c>
      <c r="J16" s="387">
        <v>5.8969999999999997E-4</v>
      </c>
      <c r="K16" s="483">
        <v>3.3603000000000005E-3</v>
      </c>
      <c r="L16" s="40">
        <f>VLOOKUP(B16,'DEBT SUMMARY'!$B$9:$S$44,18,FALSE)</f>
        <v>3267706.5</v>
      </c>
      <c r="M16" s="369">
        <v>0.99250000000000005</v>
      </c>
      <c r="N16" s="584">
        <f>(J16*G16+H16*(J16/I16))*1</f>
        <v>3561853.772741877</v>
      </c>
      <c r="O16" s="584">
        <f>((K16*G16)+H16*(K16/I16))*M16</f>
        <v>20144362.393251564</v>
      </c>
      <c r="P16" s="154">
        <f t="shared" si="38"/>
        <v>0</v>
      </c>
      <c r="Q16" s="154">
        <f t="shared" ref="Q16" si="42">SUM(N16:P16)</f>
        <v>23706216.165993441</v>
      </c>
      <c r="R16" s="513">
        <f>Q16/Q15-1</f>
        <v>5.0582779266565847E-3</v>
      </c>
      <c r="S16" s="156">
        <f t="shared" si="7"/>
        <v>150039.34282274326</v>
      </c>
      <c r="T16" s="156">
        <f t="shared" si="8"/>
        <v>600157.37129097304</v>
      </c>
      <c r="U16" s="117">
        <f t="shared" si="32"/>
        <v>119309.13121213764</v>
      </c>
      <c r="V16" s="156">
        <f>42945367+28294485</f>
        <v>71239852</v>
      </c>
      <c r="W16" s="144">
        <f t="shared" si="33"/>
        <v>281397.41540000006</v>
      </c>
      <c r="X16" s="117">
        <f t="shared" si="34"/>
        <v>-162088.28418786242</v>
      </c>
      <c r="Y16" s="156">
        <f t="shared" si="9"/>
        <v>43276.227258122992</v>
      </c>
      <c r="Z16" s="273">
        <f t="shared" si="10"/>
        <v>1.2149916874552025E-2</v>
      </c>
      <c r="AA16" s="156">
        <f t="shared" si="11"/>
        <v>223614.60674843565</v>
      </c>
      <c r="AB16" s="273">
        <f t="shared" si="12"/>
        <v>1.1100604843335526E-2</v>
      </c>
      <c r="AC16" s="156">
        <f t="shared" si="13"/>
        <v>195683.36552390701</v>
      </c>
      <c r="AD16" s="273" t="e">
        <f t="shared" si="14"/>
        <v>#DIV/0!</v>
      </c>
      <c r="AE16" s="156">
        <f t="shared" si="15"/>
        <v>462574.19953046739</v>
      </c>
      <c r="AF16" s="273">
        <f t="shared" si="16"/>
        <v>1.9512780795192031E-2</v>
      </c>
      <c r="AG16" s="367">
        <f t="shared" si="17"/>
        <v>3.9500000000000004E-3</v>
      </c>
      <c r="AH16" s="279">
        <v>0.41758800000000001</v>
      </c>
      <c r="AI16" s="279">
        <v>0.40626200000000001</v>
      </c>
      <c r="AJ16" s="40">
        <f t="shared" si="18"/>
        <v>24829330.208724506</v>
      </c>
      <c r="AK16" s="40">
        <f t="shared" si="19"/>
        <v>-1123114.0427310653</v>
      </c>
      <c r="AL16" s="156">
        <f t="shared" si="20"/>
        <v>24252787.295819528</v>
      </c>
      <c r="AM16" s="40">
        <f t="shared" si="21"/>
        <v>-546571.1298260875</v>
      </c>
      <c r="AN16" s="156">
        <v>347898</v>
      </c>
      <c r="AO16" s="278">
        <f t="shared" si="22"/>
        <v>1374.1971000000001</v>
      </c>
      <c r="AP16" s="144">
        <f t="shared" si="23"/>
        <v>114.51642500000001</v>
      </c>
      <c r="AQ16" s="278">
        <f t="shared" si="24"/>
        <v>1452.7803002399999</v>
      </c>
      <c r="AR16" s="278">
        <f t="shared" si="25"/>
        <v>1413.3773727600001</v>
      </c>
      <c r="AS16" s="43">
        <f t="shared" si="39"/>
        <v>1864.1195500000001</v>
      </c>
      <c r="AT16" s="19">
        <f t="shared" si="40"/>
        <v>155.34329583333334</v>
      </c>
      <c r="AU16" s="278">
        <f t="shared" si="28"/>
        <v>-78.583200239999769</v>
      </c>
      <c r="AV16" s="278">
        <f t="shared" si="29"/>
        <v>-6.5486000199999808</v>
      </c>
      <c r="AW16" s="278">
        <f t="shared" si="30"/>
        <v>-39.18027275999998</v>
      </c>
      <c r="AX16" s="278">
        <f t="shared" si="31"/>
        <v>-3.2650227299999983</v>
      </c>
    </row>
    <row r="17" spans="1:55" ht="14.4" thickBot="1">
      <c r="A17" s="585" t="str">
        <f t="shared" si="41"/>
        <v>TY 2022</v>
      </c>
      <c r="B17" s="583" t="str">
        <f t="shared" si="1"/>
        <v>FY 2022-23</v>
      </c>
      <c r="C17" s="167">
        <f>D17/D16-1</f>
        <v>0.11840017733336161</v>
      </c>
      <c r="D17" s="168">
        <v>6832377912</v>
      </c>
      <c r="E17" s="168">
        <v>1177574498</v>
      </c>
      <c r="F17" s="168">
        <v>8650546.5</v>
      </c>
      <c r="G17" s="168">
        <v>5646152867.5</v>
      </c>
      <c r="H17" s="168">
        <v>4001981</v>
      </c>
      <c r="I17" s="169">
        <v>3.5450000000000004E-3</v>
      </c>
      <c r="J17" s="484">
        <v>5.5265999999999996E-4</v>
      </c>
      <c r="K17" s="384">
        <v>2.9923400000000005E-3</v>
      </c>
      <c r="L17" s="171">
        <f>VLOOKUP(B17,'DEBT SUMMARY'!$B$9:$S$44,18,FALSE)</f>
        <v>3175775</v>
      </c>
      <c r="M17" s="370">
        <v>0.99250000000000005</v>
      </c>
      <c r="N17" s="559">
        <f>(J17*G17+H17*(J17/I17))*1</f>
        <v>3744305.4726552297</v>
      </c>
      <c r="O17" s="559">
        <f>((K17*G17)+H17*(K17/I17))*M17</f>
        <v>20121237.786812533</v>
      </c>
      <c r="P17" s="173">
        <f t="shared" ref="P17:P18" si="43">F17*I17*M17</f>
        <v>30436.190937431256</v>
      </c>
      <c r="Q17" s="173">
        <f t="shared" ref="Q17:Q18" si="44">SUM(N17:P17)</f>
        <v>23895979.450405192</v>
      </c>
      <c r="R17" s="485">
        <f>Q17/Q16-1</f>
        <v>8.0047900973738706E-3</v>
      </c>
      <c r="S17" s="174">
        <f t="shared" ref="S17:S18" si="45">(N17+O17)/(I17*10000)*0.25</f>
        <v>168304.25429808011</v>
      </c>
      <c r="T17" s="174">
        <f t="shared" ref="T17:T18" si="46">(N17+O17)/(I17*10000)</f>
        <v>673217.01719232043</v>
      </c>
      <c r="U17" s="117">
        <f t="shared" ref="U17" si="47">Q17-Q16</f>
        <v>189763.28441175073</v>
      </c>
      <c r="V17" s="156">
        <f>42945367+28294485</f>
        <v>71239852</v>
      </c>
      <c r="W17" s="144">
        <f t="shared" ref="W17:W18" si="48">V17*I17</f>
        <v>252545.27534000002</v>
      </c>
      <c r="X17" s="117">
        <f t="shared" ref="X17:X18" si="49">U17-W17</f>
        <v>-62781.990928249288</v>
      </c>
      <c r="Y17" s="156">
        <f t="shared" si="9"/>
        <v>-139175.47265522974</v>
      </c>
      <c r="Z17" s="273">
        <f t="shared" si="10"/>
        <v>-3.7169903383052483E-2</v>
      </c>
      <c r="AA17" s="156">
        <f t="shared" si="11"/>
        <v>246739.21318746731</v>
      </c>
      <c r="AB17" s="273">
        <f t="shared" si="12"/>
        <v>1.2262625977671249E-2</v>
      </c>
      <c r="AC17" s="156">
        <f t="shared" si="13"/>
        <v>165247.17458647574</v>
      </c>
      <c r="AD17" s="273">
        <f t="shared" si="14"/>
        <v>5.4292987886092634</v>
      </c>
      <c r="AE17" s="156">
        <f t="shared" si="15"/>
        <v>272810.91511871666</v>
      </c>
      <c r="AF17" s="273">
        <f t="shared" si="16"/>
        <v>1.1416603185691487E-2</v>
      </c>
      <c r="AG17" s="367">
        <f t="shared" ref="AG17:AG18" si="50">I17</f>
        <v>3.5450000000000004E-3</v>
      </c>
      <c r="AH17" s="279">
        <v>0.41758800000000001</v>
      </c>
      <c r="AI17" s="279">
        <v>0.37456</v>
      </c>
      <c r="AJ17" s="40">
        <f t="shared" ref="AJ17:AJ18" si="51">((G17*AH17/100+H17+F17*AH17/100)*M17)</f>
        <v>27408643.269350916</v>
      </c>
      <c r="AK17" s="40">
        <f t="shared" ref="AK17:AK18" si="52">$Q17-AJ17</f>
        <v>-3512663.8189457245</v>
      </c>
      <c r="AL17" s="156">
        <f t="shared" ref="AL17:AL18" si="53">((G17*AI17/100+H17+F17*AI17/100)*M17)</f>
        <v>24993743.072472315</v>
      </c>
      <c r="AM17" s="40">
        <f t="shared" ref="AM17:AM18" si="54">$Q17-AL17</f>
        <v>-1097763.6220671237</v>
      </c>
      <c r="AN17" s="156">
        <v>387603</v>
      </c>
      <c r="AO17" s="278">
        <f t="shared" ref="AO17:AO18" si="55">AG17*$AN17</f>
        <v>1374.0526350000002</v>
      </c>
      <c r="AP17" s="144">
        <f t="shared" ref="AP17:AP18" si="56">AO17/12</f>
        <v>114.50438625000002</v>
      </c>
      <c r="AQ17" s="278">
        <f t="shared" ref="AQ17:AQ18" si="57">AH17/100*$AN17</f>
        <v>1618.5836156400001</v>
      </c>
      <c r="AR17" s="278">
        <f t="shared" ref="AR17:AR18" si="58">AI17/100*$AN17</f>
        <v>1451.8057968000001</v>
      </c>
      <c r="AS17" s="43">
        <f t="shared" si="39"/>
        <v>1672.9883050000001</v>
      </c>
      <c r="AT17" s="19">
        <f t="shared" ref="AT17:AT18" si="59">AS17/12</f>
        <v>139.41569208333334</v>
      </c>
      <c r="AU17" s="278">
        <f t="shared" ref="AU17:AU18" si="60">$AO17-AQ17</f>
        <v>-244.53098063999983</v>
      </c>
      <c r="AV17" s="278">
        <f t="shared" ref="AV17:AV18" si="61">AU17/12</f>
        <v>-20.377581719999984</v>
      </c>
      <c r="AW17" s="278">
        <f t="shared" ref="AW17:AW18" si="62">$AO17-AR17</f>
        <v>-77.753161799999816</v>
      </c>
      <c r="AX17" s="278">
        <f t="shared" ref="AX17:AX18" si="63">AW17/12</f>
        <v>-6.4794301499999847</v>
      </c>
    </row>
    <row r="18" spans="1:55" ht="14.4" thickBot="1">
      <c r="A18" s="585" t="str">
        <f t="shared" si="41"/>
        <v>TY 2023</v>
      </c>
      <c r="B18" s="583" t="str">
        <f>"FY "&amp;MID($B19,4,4)-1&amp;"-"&amp;RIGHT($B19,2)-1</f>
        <v>FY 2023-24</v>
      </c>
      <c r="C18" s="81">
        <f>D18/D17-1</f>
        <v>0.13841759196882086</v>
      </c>
      <c r="D18" s="62">
        <v>7778099210</v>
      </c>
      <c r="E18" s="62">
        <v>1381912928</v>
      </c>
      <c r="F18" s="62">
        <v>49767423</v>
      </c>
      <c r="G18" s="168">
        <v>6346418859</v>
      </c>
      <c r="H18" s="168">
        <v>4258110</v>
      </c>
      <c r="I18" s="63">
        <v>3.1199999999999999E-3</v>
      </c>
      <c r="J18" s="586">
        <v>5.1597000000000004E-4</v>
      </c>
      <c r="K18" s="379">
        <v>2.6040299999999998E-3</v>
      </c>
      <c r="L18" s="171">
        <f>VLOOKUP(B18,'DEBT SUMMARY'!$B$9:$S$44,18,FALSE)</f>
        <v>3871592.0161630413</v>
      </c>
      <c r="M18" s="368">
        <v>0.99250000000000005</v>
      </c>
      <c r="N18" s="554">
        <f>ROUND((J18*G18+H18*(J18/I18))*1,0)</f>
        <v>3978747</v>
      </c>
      <c r="O18" s="554">
        <f>ROUND(((K18*G18)+H18*(K18/I18))*M18,0)</f>
        <v>19929589</v>
      </c>
      <c r="P18" s="157">
        <f t="shared" si="43"/>
        <v>154109.8020618</v>
      </c>
      <c r="Q18" s="157">
        <f t="shared" si="44"/>
        <v>24062445.8020618</v>
      </c>
      <c r="R18" s="386">
        <f>Q18/Q16-1</f>
        <v>1.5026845008667911E-2</v>
      </c>
      <c r="S18" s="158">
        <f t="shared" si="45"/>
        <v>191573.20512820513</v>
      </c>
      <c r="T18" s="158">
        <f t="shared" si="46"/>
        <v>766292.8205128205</v>
      </c>
      <c r="U18" s="117">
        <f>Q18-Q16</f>
        <v>356229.63606835902</v>
      </c>
      <c r="V18" s="156">
        <f>58848912+71129034-69365682*0.5</f>
        <v>95295105</v>
      </c>
      <c r="W18" s="144">
        <f t="shared" si="48"/>
        <v>297320.72759999998</v>
      </c>
      <c r="X18" s="117">
        <f t="shared" si="49"/>
        <v>58908.908468359034</v>
      </c>
      <c r="Y18" s="156">
        <f>N$19-N16</f>
        <v>43276.227258122992</v>
      </c>
      <c r="Z18" s="273">
        <f>N$19/N16-1</f>
        <v>1.2149916874552025E-2</v>
      </c>
      <c r="AA18" s="156">
        <f>O$19-O16</f>
        <v>223614.60674843565</v>
      </c>
      <c r="AB18" s="273">
        <f>O$19/O16-1</f>
        <v>1.1100604843335526E-2</v>
      </c>
      <c r="AC18" s="156">
        <f>P$19-P16</f>
        <v>195683.36552390701</v>
      </c>
      <c r="AD18" s="273" t="e">
        <f>P$19/P16-1</f>
        <v>#DIV/0!</v>
      </c>
      <c r="AE18" s="156">
        <f>Q$19-Q18</f>
        <v>106344.56346210837</v>
      </c>
      <c r="AF18" s="273">
        <f t="shared" si="16"/>
        <v>4.4195242801543522E-3</v>
      </c>
      <c r="AG18" s="367">
        <f t="shared" si="50"/>
        <v>3.1199999999999999E-3</v>
      </c>
      <c r="AH18" s="279">
        <v>0.41758800000000001</v>
      </c>
      <c r="AI18" s="279">
        <v>0.33245000000000002</v>
      </c>
      <c r="AJ18" s="40">
        <f t="shared" si="51"/>
        <v>30735557.748493575</v>
      </c>
      <c r="AK18" s="40">
        <f t="shared" si="52"/>
        <v>-6673111.9464317746</v>
      </c>
      <c r="AL18" s="156">
        <f t="shared" si="53"/>
        <v>25330814.559800185</v>
      </c>
      <c r="AM18" s="40">
        <f t="shared" si="54"/>
        <v>-1268368.7577383853</v>
      </c>
      <c r="AN18" s="156">
        <v>440350</v>
      </c>
      <c r="AO18" s="278">
        <f t="shared" si="55"/>
        <v>1373.8920000000001</v>
      </c>
      <c r="AP18" s="144">
        <f t="shared" si="56"/>
        <v>114.491</v>
      </c>
      <c r="AQ18" s="278">
        <f t="shared" si="57"/>
        <v>1838.8487579999999</v>
      </c>
      <c r="AR18" s="278">
        <f t="shared" si="58"/>
        <v>1463.943575</v>
      </c>
      <c r="AS18" s="43">
        <f t="shared" si="39"/>
        <v>1472.41848</v>
      </c>
      <c r="AT18" s="19">
        <f t="shared" si="59"/>
        <v>122.70154000000001</v>
      </c>
      <c r="AU18" s="278">
        <f t="shared" si="60"/>
        <v>-464.95675799999981</v>
      </c>
      <c r="AV18" s="278">
        <f t="shared" si="61"/>
        <v>-38.746396499999982</v>
      </c>
      <c r="AW18" s="278">
        <f t="shared" si="62"/>
        <v>-90.051574999999957</v>
      </c>
      <c r="AX18" s="278">
        <f t="shared" si="63"/>
        <v>-7.5042979166666628</v>
      </c>
    </row>
    <row r="19" spans="1:55" ht="14.4" thickBot="1">
      <c r="A19" s="175" t="str">
        <f t="shared" si="41"/>
        <v>TY 2024</v>
      </c>
      <c r="B19" s="130" t="str">
        <f>'General Fund Line-Item Details'!$A$2</f>
        <v>FY 2024-25</v>
      </c>
      <c r="C19" s="81">
        <f>D19/D18-1</f>
        <v>8.0765152647108041E-2</v>
      </c>
      <c r="D19" s="62">
        <f>D50</f>
        <v>8406298580</v>
      </c>
      <c r="E19" s="62">
        <f>E50</f>
        <v>1612600247</v>
      </c>
      <c r="F19" s="62">
        <f>(135450729)*0.5</f>
        <v>67725364.5</v>
      </c>
      <c r="G19" s="168">
        <f t="shared" ref="G19" si="64">D19-E19-F19</f>
        <v>6725972968.5</v>
      </c>
      <c r="H19" s="168">
        <f>H50</f>
        <v>4546369</v>
      </c>
      <c r="I19" s="63">
        <v>2.9112000000000001E-3</v>
      </c>
      <c r="J19" s="39">
        <v>4.35E-4</v>
      </c>
      <c r="K19" s="379">
        <f t="shared" ref="K19" si="65">I19-J19</f>
        <v>2.4762E-3</v>
      </c>
      <c r="L19" s="64">
        <f>VLOOKUP(B19,'DEBT SUMMARY'!$B$9:$S$47,18,FALSE)</f>
        <v>3559996</v>
      </c>
      <c r="M19" s="368">
        <v>0.99250000000000005</v>
      </c>
      <c r="N19" s="554">
        <f>ROUND((J19*G19+H19*(J19/I19))*1,0)</f>
        <v>3605130</v>
      </c>
      <c r="O19" s="554">
        <f>ROUND(((K19*G19)+H19*(K19/I19))*M19,0)</f>
        <v>20367977</v>
      </c>
      <c r="P19" s="157">
        <f t="shared" ref="P19" si="66">F19*I19*M19</f>
        <v>195683.36552390701</v>
      </c>
      <c r="Q19" s="157">
        <f t="shared" ref="Q19" si="67">SUM(N19:P19)</f>
        <v>24168790.365523908</v>
      </c>
      <c r="R19" s="386">
        <f>Q19/Q18-1</f>
        <v>4.4195242801543522E-3</v>
      </c>
      <c r="S19" s="158">
        <f t="shared" ref="S19:S41" si="68">(N19+O19)/(I19*10000)*0.25</f>
        <v>205869.63279747183</v>
      </c>
      <c r="T19" s="158">
        <f t="shared" ref="T19:T41" si="69">(N19+O19)/(I19*10000)</f>
        <v>823478.53118988732</v>
      </c>
      <c r="U19" s="117">
        <f>Q19-Q18</f>
        <v>106344.56346210837</v>
      </c>
      <c r="V19" s="156">
        <v>83694909</v>
      </c>
      <c r="W19" s="144">
        <f>V19*I19</f>
        <v>243652.61908080001</v>
      </c>
      <c r="X19" s="117">
        <f>U19-W19</f>
        <v>-137308.05561869164</v>
      </c>
      <c r="Y19" s="156">
        <f>N$19-N18</f>
        <v>-373617</v>
      </c>
      <c r="Z19" s="273">
        <f>N$19/N17-1</f>
        <v>-3.7169903383052483E-2</v>
      </c>
      <c r="AA19" s="156">
        <f>O$19-O17</f>
        <v>246739.21318746731</v>
      </c>
      <c r="AB19" s="273">
        <f>O$19/O17-1</f>
        <v>1.2262625977671249E-2</v>
      </c>
      <c r="AC19" s="156">
        <f>P$19-P17</f>
        <v>165247.17458647574</v>
      </c>
      <c r="AD19" s="273">
        <f>P$19/P17-1</f>
        <v>5.4292987886092634</v>
      </c>
      <c r="AE19" s="156">
        <f t="shared" si="15"/>
        <v>0</v>
      </c>
      <c r="AF19" s="273">
        <f>Q$19/Q19-1</f>
        <v>0</v>
      </c>
      <c r="AG19" s="367">
        <f t="shared" ref="AG19" si="70">I19</f>
        <v>2.9112000000000001E-3</v>
      </c>
      <c r="AH19" s="279">
        <v>0.41758800000000001</v>
      </c>
      <c r="AI19" s="279">
        <v>0.33245000000000002</v>
      </c>
      <c r="AJ19" s="40">
        <f t="shared" ref="AJ19" si="71">((G19*AH19/100+H19+F19*AH19/100)*M19)</f>
        <v>32669167.709846985</v>
      </c>
      <c r="AK19" s="40">
        <f t="shared" ref="AK19" si="72">$Q19-AJ19</f>
        <v>-8500377.3443230763</v>
      </c>
      <c r="AL19" s="156">
        <f t="shared" ref="AL19" si="73">((G19*AI19/100+H19+F19*AI19/100)*M19)</f>
        <v>26928528.964748062</v>
      </c>
      <c r="AM19" s="40">
        <f t="shared" ref="AM19" si="74">$Q19-AL19</f>
        <v>-2759738.5992241539</v>
      </c>
      <c r="AN19" s="156">
        <v>471929</v>
      </c>
      <c r="AO19" s="278">
        <f t="shared" ref="AO19" si="75">AG19*$AN19</f>
        <v>1373.8797048000001</v>
      </c>
      <c r="AP19" s="144">
        <f t="shared" ref="AP19" si="76">AO19/12</f>
        <v>114.48997540000001</v>
      </c>
      <c r="AQ19" s="278">
        <f t="shared" ref="AQ19" si="77">AH19/100*$AN19</f>
        <v>1970.7188725199999</v>
      </c>
      <c r="AR19" s="278">
        <f t="shared" ref="AR19" si="78">AI19/100*$AN19</f>
        <v>1568.9279605000002</v>
      </c>
      <c r="AS19" s="43">
        <f t="shared" si="39"/>
        <v>1373.8797048000001</v>
      </c>
      <c r="AT19" s="19">
        <f t="shared" ref="AT19" si="79">AS19/12</f>
        <v>114.48997540000001</v>
      </c>
      <c r="AU19" s="278">
        <f t="shared" ref="AU19" si="80">$AO19-AQ19</f>
        <v>-596.83916771999975</v>
      </c>
      <c r="AV19" s="278">
        <f t="shared" ref="AV19:AV20" si="81">AU19/12</f>
        <v>-49.736597309999979</v>
      </c>
      <c r="AW19" s="278">
        <f t="shared" ref="AW19" si="82">$AO19-AR19</f>
        <v>-195.04825570000003</v>
      </c>
      <c r="AX19" s="278">
        <f t="shared" ref="AX19" si="83">AW19/12</f>
        <v>-16.254021308333336</v>
      </c>
    </row>
    <row r="20" spans="1:55">
      <c r="A20" s="15" t="str">
        <f t="shared" si="41"/>
        <v>TY 2025</v>
      </c>
      <c r="B20" s="15" t="str">
        <f>"FY "&amp;MID($B19,4,4)+1&amp;"-"&amp;RIGHT($B19,2)+1</f>
        <v>FY 2025-26</v>
      </c>
      <c r="C20" s="36">
        <f>'GL Category'!$D$3</f>
        <v>0.01</v>
      </c>
      <c r="D20" s="37">
        <f>D19*(1+C20)</f>
        <v>8490361565.8000002</v>
      </c>
      <c r="E20" s="37">
        <f t="shared" ref="E20:F41" si="84">E19*(1+$C20)</f>
        <v>1628726249.47</v>
      </c>
      <c r="F20" s="37">
        <f t="shared" si="84"/>
        <v>68402618.144999996</v>
      </c>
      <c r="G20" s="37">
        <f t="shared" ref="G20:G41" si="85">D20-E20-F20</f>
        <v>6793232698.1849995</v>
      </c>
      <c r="H20" s="37">
        <f t="shared" ref="H20:H41" si="86">H19*(1+C20)</f>
        <v>4591832.6900000004</v>
      </c>
      <c r="I20" s="38">
        <f>I19</f>
        <v>2.9112000000000001E-3</v>
      </c>
      <c r="J20" s="39">
        <f t="shared" ref="J20:J40" si="87">((L20-(H20*(J19/I19)))/G20)/0.9925</f>
        <v>4.2678047857361284E-4</v>
      </c>
      <c r="K20" s="38">
        <f t="shared" ref="K20:K41" si="88">I20-J20</f>
        <v>2.4844195214263872E-3</v>
      </c>
      <c r="L20" s="8">
        <f>VLOOKUP(B20,'DEBT SUMMARY'!$B$9:$S$47,18,FALSE)</f>
        <v>3563600</v>
      </c>
      <c r="M20" s="371">
        <f>M19</f>
        <v>0.99250000000000005</v>
      </c>
      <c r="N20" s="154">
        <f t="shared" ref="N20:N41" si="89">(J20*G20+H20*(J20/I20*$N$2))</f>
        <v>3572379.500786989</v>
      </c>
      <c r="O20" s="154">
        <f t="shared" ref="O20:O41" si="90">ROUND(((K20*G20)+H20*(K20/I20))*M20,0)</f>
        <v>20639943</v>
      </c>
      <c r="P20" s="154">
        <f t="shared" ref="P20:P41" si="91">F20*I20*M20</f>
        <v>197640.19917914606</v>
      </c>
      <c r="Q20" s="154">
        <f t="shared" ref="Q20:Q41" si="92">SUM(N20:P20)</f>
        <v>24409962.699966136</v>
      </c>
      <c r="R20" s="385">
        <f>O20/O19-1</f>
        <v>1.3352627018382801E-2</v>
      </c>
      <c r="S20" s="155">
        <f t="shared" si="68"/>
        <v>207923.90166243291</v>
      </c>
      <c r="T20" s="155">
        <f t="shared" si="69"/>
        <v>831695.60664973164</v>
      </c>
      <c r="U20" s="117">
        <f>Q20-Q19</f>
        <v>241172.33444222808</v>
      </c>
      <c r="V20" s="155">
        <f>V19-V16</f>
        <v>12455057</v>
      </c>
      <c r="W20" s="160">
        <f>W19/U19</f>
        <v>2.2911619658640645</v>
      </c>
      <c r="X20" s="160">
        <f>X19/U19</f>
        <v>-1.2911619658640647</v>
      </c>
      <c r="Y20" s="155"/>
      <c r="Z20" s="155"/>
      <c r="AA20" s="155"/>
      <c r="AB20" s="155"/>
      <c r="AC20" s="155"/>
      <c r="AD20" s="155"/>
      <c r="AE20" s="155"/>
      <c r="AF20" s="155"/>
      <c r="AG20" s="481">
        <f>AG19-AG14</f>
        <v>-1.0877999999999999E-3</v>
      </c>
      <c r="AH20" s="160">
        <f>(AG19*100)/AH19-1</f>
        <v>-0.30285353027385853</v>
      </c>
      <c r="AM20" s="6" t="s">
        <v>1011</v>
      </c>
      <c r="AN20" s="504">
        <f>AN19/0.86*0.8</f>
        <v>439003.72093023261</v>
      </c>
      <c r="AO20" s="144">
        <f>AO15-AO19</f>
        <v>15.797445200000084</v>
      </c>
      <c r="AP20" s="183"/>
      <c r="AQ20" s="183"/>
      <c r="AR20" s="278">
        <f>AO19-AQ19</f>
        <v>-596.83916771999975</v>
      </c>
      <c r="AS20" s="183"/>
      <c r="AT20" s="183"/>
      <c r="AU20" s="273">
        <f>AU19/AO19</f>
        <v>-0.43441879637262965</v>
      </c>
      <c r="AV20" s="183">
        <f t="shared" si="81"/>
        <v>-3.6201566364385804E-2</v>
      </c>
      <c r="AW20" s="183"/>
      <c r="AX20" s="82"/>
      <c r="AY20" s="43"/>
    </row>
    <row r="21" spans="1:55">
      <c r="A21" s="15" t="str">
        <f t="shared" ref="A21:A41" si="93">"TY "&amp;MID($B21,4,4)</f>
        <v>TY 2026</v>
      </c>
      <c r="B21" s="15" t="str">
        <f t="shared" ref="B21:B41" si="94">"FY "&amp;MID($B20,4,4)+1&amp;"-"&amp;RIGHT($B20,2)+1</f>
        <v>FY 2026-27</v>
      </c>
      <c r="C21" s="36">
        <f>'GL Category'!$E$3</f>
        <v>0.01</v>
      </c>
      <c r="D21" s="37">
        <f t="shared" ref="D21:D41" si="95">D20*(1+C21)</f>
        <v>8575265181.4580002</v>
      </c>
      <c r="E21" s="37">
        <f t="shared" si="84"/>
        <v>1645013511.9647</v>
      </c>
      <c r="F21" s="37">
        <f t="shared" ref="F21:F41" si="96">F20*(1+$C21)</f>
        <v>69086644.32644999</v>
      </c>
      <c r="G21" s="37">
        <f t="shared" si="85"/>
        <v>6861165025.1668501</v>
      </c>
      <c r="H21" s="37">
        <f t="shared" si="86"/>
        <v>4637751.0169000002</v>
      </c>
      <c r="I21" s="38">
        <f t="shared" ref="I21:I41" si="97">I20</f>
        <v>2.9112000000000001E-3</v>
      </c>
      <c r="J21" s="39">
        <f t="shared" si="87"/>
        <v>4.2401358815252277E-4</v>
      </c>
      <c r="K21" s="38">
        <f t="shared" si="88"/>
        <v>2.4871864118474773E-3</v>
      </c>
      <c r="L21" s="8">
        <f>VLOOKUP(B21,'DEBT SUMMARY'!$B$9:$S$47,18,FALSE)</f>
        <v>3567300</v>
      </c>
      <c r="M21" s="371">
        <f t="shared" ref="M21:M41" si="98">M20</f>
        <v>0.99250000000000005</v>
      </c>
      <c r="N21" s="154">
        <f t="shared" si="89"/>
        <v>3584711.3485324066</v>
      </c>
      <c r="O21" s="154">
        <f t="shared" si="90"/>
        <v>20869559</v>
      </c>
      <c r="P21" s="154">
        <f t="shared" si="91"/>
        <v>199616.6011709375</v>
      </c>
      <c r="Q21" s="154">
        <f t="shared" si="92"/>
        <v>24653886.949703347</v>
      </c>
      <c r="R21" s="385">
        <f>O21/O20-1</f>
        <v>1.1124836924210513E-2</v>
      </c>
      <c r="S21" s="155">
        <f t="shared" si="68"/>
        <v>210001.634622599</v>
      </c>
      <c r="T21" s="155">
        <f t="shared" si="69"/>
        <v>840006.53849039599</v>
      </c>
      <c r="U21" s="82">
        <f>N19/N18-1</f>
        <v>-9.3903181076856579E-2</v>
      </c>
      <c r="V21" s="155">
        <v>23554998.172352627</v>
      </c>
      <c r="W21" s="82"/>
      <c r="X21" s="82"/>
      <c r="Y21" s="155"/>
      <c r="Z21" s="155"/>
      <c r="AA21" s="155"/>
      <c r="AB21" s="155"/>
      <c r="AC21" s="155"/>
      <c r="AD21" s="155"/>
      <c r="AE21" s="155"/>
      <c r="AF21" s="155"/>
      <c r="AG21" s="82">
        <f>AG19/AG14-1</f>
        <v>-0.27201800450112523</v>
      </c>
      <c r="AM21" s="155" t="str">
        <f t="shared" ref="AM21:AM27" si="99">B9</f>
        <v>FY 2014-15</v>
      </c>
      <c r="AN21" s="144">
        <f t="shared" ref="AN21:AN27" si="100">AG9*$AN$20</f>
        <v>1919.2803675348839</v>
      </c>
      <c r="AO21" s="144">
        <f t="shared" ref="AO21:AO24" si="101">AN21/12</f>
        <v>159.94003062790699</v>
      </c>
      <c r="AP21" s="20">
        <f t="shared" ref="AP21:AP25" si="102">AN21-$AO$19</f>
        <v>545.40066273488378</v>
      </c>
      <c r="AQ21" s="144">
        <f>AO19-AO12</f>
        <v>-36.186295199999904</v>
      </c>
      <c r="AR21" s="183">
        <f>AR20/12</f>
        <v>-49.736597309999979</v>
      </c>
      <c r="AS21" s="519">
        <f>AS15</f>
        <v>1864.1195500000001</v>
      </c>
      <c r="AT21" s="183"/>
      <c r="AU21" s="183"/>
      <c r="AV21" s="183"/>
      <c r="AW21" s="183"/>
    </row>
    <row r="22" spans="1:55">
      <c r="A22" s="15" t="str">
        <f t="shared" si="93"/>
        <v>TY 2027</v>
      </c>
      <c r="B22" s="15" t="str">
        <f t="shared" si="94"/>
        <v>FY 2027-28</v>
      </c>
      <c r="C22" s="36">
        <f>'GL Category'!$F$3</f>
        <v>0.01</v>
      </c>
      <c r="D22" s="37">
        <f t="shared" si="95"/>
        <v>8661017833.2725811</v>
      </c>
      <c r="E22" s="37">
        <f t="shared" si="84"/>
        <v>1661463647.084347</v>
      </c>
      <c r="F22" s="37">
        <f t="shared" si="96"/>
        <v>69777510.76971449</v>
      </c>
      <c r="G22" s="37">
        <f t="shared" si="85"/>
        <v>6929776675.41852</v>
      </c>
      <c r="H22" s="37">
        <f t="shared" si="86"/>
        <v>4684128.5270690005</v>
      </c>
      <c r="I22" s="38">
        <f t="shared" si="97"/>
        <v>2.9112000000000001E-3</v>
      </c>
      <c r="J22" s="39">
        <f t="shared" si="87"/>
        <v>4.1943057459968325E-4</v>
      </c>
      <c r="K22" s="38">
        <f t="shared" si="88"/>
        <v>2.491769425400317E-3</v>
      </c>
      <c r="L22" s="8">
        <f>VLOOKUP(B22,'DEBT SUMMARY'!$B$9:$S$47,18,FALSE)</f>
        <v>3567000</v>
      </c>
      <c r="M22" s="371">
        <f t="shared" si="98"/>
        <v>0.99250000000000005</v>
      </c>
      <c r="N22" s="154">
        <f t="shared" si="89"/>
        <v>3581425.120625128</v>
      </c>
      <c r="O22" s="154">
        <f t="shared" si="90"/>
        <v>21117094</v>
      </c>
      <c r="P22" s="154">
        <f t="shared" si="91"/>
        <v>201612.7671826469</v>
      </c>
      <c r="Q22" s="154">
        <f t="shared" si="92"/>
        <v>24900131.887807775</v>
      </c>
      <c r="R22" s="385">
        <f t="shared" ref="R22:R41" si="103">O22/O21-1</f>
        <v>1.1861055616939398E-2</v>
      </c>
      <c r="S22" s="155">
        <f t="shared" si="68"/>
        <v>212099.12682592339</v>
      </c>
      <c r="T22" s="155">
        <f t="shared" si="69"/>
        <v>848396.50730369356</v>
      </c>
      <c r="U22" s="160"/>
      <c r="V22" s="155">
        <f>V21-Q19</f>
        <v>-613792.19317128137</v>
      </c>
      <c r="W22" s="155"/>
      <c r="X22" s="155"/>
      <c r="Y22" s="155"/>
      <c r="Z22" s="155"/>
      <c r="AA22" s="155"/>
      <c r="AB22" s="155"/>
      <c r="AC22" s="155"/>
      <c r="AD22" s="155"/>
      <c r="AE22" s="155"/>
      <c r="AF22" s="155"/>
      <c r="AM22" s="155" t="str">
        <f t="shared" si="99"/>
        <v>FY 2015-16</v>
      </c>
      <c r="AN22" s="144">
        <f t="shared" si="100"/>
        <v>1908.3052745116281</v>
      </c>
      <c r="AO22" s="144">
        <f t="shared" si="101"/>
        <v>159.02543954263567</v>
      </c>
      <c r="AP22" s="20">
        <f t="shared" si="102"/>
        <v>534.42556971162799</v>
      </c>
      <c r="AR22" s="278">
        <f>AO19-AO12</f>
        <v>-36.186295199999904</v>
      </c>
      <c r="AS22" s="183">
        <f>AS19-AS21</f>
        <v>-490.23984519999999</v>
      </c>
      <c r="AT22" s="183">
        <f>AS22/12</f>
        <v>-40.85332043333333</v>
      </c>
      <c r="AU22" s="183"/>
      <c r="AV22" s="183"/>
      <c r="AW22" s="183"/>
      <c r="AX22" s="82"/>
      <c r="AY22" s="43"/>
    </row>
    <row r="23" spans="1:55">
      <c r="A23" s="15" t="str">
        <f t="shared" si="93"/>
        <v>TY 2028</v>
      </c>
      <c r="B23" s="15" t="str">
        <f t="shared" si="94"/>
        <v>FY 2028-29</v>
      </c>
      <c r="C23" s="36">
        <f>'GL Category'!$G$3</f>
        <v>0.02</v>
      </c>
      <c r="D23" s="37">
        <f t="shared" si="95"/>
        <v>8834238189.9380322</v>
      </c>
      <c r="E23" s="37">
        <f t="shared" si="84"/>
        <v>1694692920.0260339</v>
      </c>
      <c r="F23" s="37">
        <f t="shared" si="96"/>
        <v>71173060.985108778</v>
      </c>
      <c r="G23" s="37">
        <f t="shared" si="85"/>
        <v>7068372208.9268904</v>
      </c>
      <c r="H23" s="37">
        <f t="shared" si="86"/>
        <v>4777811.0976103805</v>
      </c>
      <c r="I23" s="38">
        <f t="shared" si="97"/>
        <v>2.9112000000000001E-3</v>
      </c>
      <c r="J23" s="39">
        <f t="shared" si="87"/>
        <v>4.4763523751197509E-4</v>
      </c>
      <c r="K23" s="38">
        <f t="shared" si="88"/>
        <v>2.4635647624880251E-3</v>
      </c>
      <c r="L23" s="8">
        <f>VLOOKUP(B23,'DEBT SUMMARY'!$B$9:$S$47,18,FALSE)</f>
        <v>3828684.2849847805</v>
      </c>
      <c r="M23" s="371">
        <f t="shared" si="98"/>
        <v>0.99250000000000005</v>
      </c>
      <c r="N23" s="154">
        <f t="shared" si="89"/>
        <v>3898703.6835670541</v>
      </c>
      <c r="O23" s="154">
        <f t="shared" si="90"/>
        <v>21295628</v>
      </c>
      <c r="P23" s="154">
        <f t="shared" si="91"/>
        <v>205645.02252629984</v>
      </c>
      <c r="Q23" s="154">
        <f t="shared" si="92"/>
        <v>25399976.706093356</v>
      </c>
      <c r="R23" s="385">
        <f t="shared" si="103"/>
        <v>8.4544776852344405E-3</v>
      </c>
      <c r="S23" s="155">
        <f t="shared" si="68"/>
        <v>216356.92913203363</v>
      </c>
      <c r="T23" s="155">
        <f t="shared" si="69"/>
        <v>865427.71652813454</v>
      </c>
      <c r="U23" s="522"/>
      <c r="V23" s="155"/>
      <c r="W23" s="155"/>
      <c r="X23" s="82">
        <f>W19/W14-1</f>
        <v>-0.53791242016365493</v>
      </c>
      <c r="Y23" s="505"/>
      <c r="Z23" s="155"/>
      <c r="AA23" s="155"/>
      <c r="AB23" s="155"/>
      <c r="AC23" s="155"/>
      <c r="AD23" s="155"/>
      <c r="AE23" s="155"/>
      <c r="AF23" s="155"/>
      <c r="AM23" s="155" t="str">
        <f t="shared" si="99"/>
        <v>FY 2016-17</v>
      </c>
      <c r="AN23" s="144">
        <f t="shared" si="100"/>
        <v>1887.7160000000001</v>
      </c>
      <c r="AO23" s="144">
        <f t="shared" si="101"/>
        <v>157.30966666666669</v>
      </c>
      <c r="AP23" s="20">
        <f t="shared" si="102"/>
        <v>513.8362952</v>
      </c>
      <c r="AQ23" s="183"/>
      <c r="AR23" s="183">
        <f>AR22/12</f>
        <v>-3.015524599999992</v>
      </c>
      <c r="AS23" s="183"/>
      <c r="AT23" s="183"/>
      <c r="AU23" s="183"/>
      <c r="AV23" s="183"/>
      <c r="AW23" s="183"/>
      <c r="AX23" s="6">
        <f>315569*I10</f>
        <v>1371.7468861</v>
      </c>
    </row>
    <row r="24" spans="1:55">
      <c r="A24" s="15" t="str">
        <f t="shared" si="93"/>
        <v>TY 2029</v>
      </c>
      <c r="B24" s="15" t="str">
        <f t="shared" si="94"/>
        <v>FY 2029-30</v>
      </c>
      <c r="C24" s="36">
        <f>'GL Category'!$H$3</f>
        <v>0.02</v>
      </c>
      <c r="D24" s="37">
        <f t="shared" si="95"/>
        <v>9010922953.7367935</v>
      </c>
      <c r="E24" s="37">
        <f t="shared" si="84"/>
        <v>1728586778.4265547</v>
      </c>
      <c r="F24" s="37">
        <f t="shared" si="96"/>
        <v>72596522.204810962</v>
      </c>
      <c r="G24" s="37">
        <f t="shared" si="85"/>
        <v>7209739653.1054277</v>
      </c>
      <c r="H24" s="37">
        <f t="shared" si="86"/>
        <v>4873367.3195625879</v>
      </c>
      <c r="I24" s="38">
        <f t="shared" si="97"/>
        <v>2.9112000000000001E-3</v>
      </c>
      <c r="J24" s="39">
        <f t="shared" si="87"/>
        <v>4.2670937845657169E-4</v>
      </c>
      <c r="K24" s="38">
        <f t="shared" si="88"/>
        <v>2.4844906215434285E-3</v>
      </c>
      <c r="L24" s="8">
        <f>VLOOKUP(B24,'DEBT SUMMARY'!$B$9:$S$47,18,FALSE)</f>
        <v>3802734.2849847805</v>
      </c>
      <c r="M24" s="371">
        <f t="shared" si="98"/>
        <v>0.99250000000000005</v>
      </c>
      <c r="N24" s="154">
        <f>(J24*G24+H24*(J24/I24*$N$2))</f>
        <v>3790777.7402530201</v>
      </c>
      <c r="O24" s="154">
        <f t="shared" si="90"/>
        <v>21906047</v>
      </c>
      <c r="P24" s="154">
        <f t="shared" si="91"/>
        <v>209757.92297682585</v>
      </c>
      <c r="Q24" s="154">
        <f t="shared" si="92"/>
        <v>25906582.663229845</v>
      </c>
      <c r="R24" s="385">
        <f t="shared" si="103"/>
        <v>2.8664052546372387E-2</v>
      </c>
      <c r="S24" s="155">
        <f t="shared" si="68"/>
        <v>220672.10033880375</v>
      </c>
      <c r="T24" s="155">
        <f t="shared" si="69"/>
        <v>882688.401355215</v>
      </c>
      <c r="U24" s="522"/>
      <c r="V24" s="82">
        <v>20178345.58220483</v>
      </c>
      <c r="W24" s="155"/>
      <c r="X24" s="82">
        <f>V19/V14-1</f>
        <v>-0.365248615084658</v>
      </c>
      <c r="Y24" s="155"/>
      <c r="Z24" s="512">
        <f>U14/U13</f>
        <v>0.70084047066858024</v>
      </c>
      <c r="AA24" s="155"/>
      <c r="AB24" s="155"/>
      <c r="AC24" s="155"/>
      <c r="AD24" s="155"/>
      <c r="AE24" s="155"/>
      <c r="AF24" s="155"/>
      <c r="AJ24" s="156"/>
      <c r="AK24" s="156"/>
      <c r="AL24" s="156"/>
      <c r="AM24" s="155" t="str">
        <f t="shared" si="99"/>
        <v>FY 2017-18</v>
      </c>
      <c r="AN24" s="144">
        <f t="shared" si="100"/>
        <v>1876.7409069767446</v>
      </c>
      <c r="AO24" s="144">
        <f t="shared" si="101"/>
        <v>156.39507558139539</v>
      </c>
      <c r="AP24" s="20">
        <f t="shared" si="102"/>
        <v>502.86120217674443</v>
      </c>
      <c r="AQ24" s="156"/>
      <c r="AR24" s="183">
        <f>AR23-AR21</f>
        <v>46.721072709999987</v>
      </c>
      <c r="AS24" s="156">
        <f>AO12-AQ19</f>
        <v>-560.65287251999985</v>
      </c>
      <c r="AT24" s="156"/>
      <c r="AU24" s="156"/>
      <c r="AV24" s="156"/>
      <c r="AW24" s="156"/>
      <c r="AZ24" s="6">
        <v>315169</v>
      </c>
      <c r="BA24" s="6">
        <f>AZ24*0.99</f>
        <v>312017.31</v>
      </c>
      <c r="BB24" s="6">
        <f>AZ24-BA24</f>
        <v>3151.6900000000023</v>
      </c>
      <c r="BC24" s="6">
        <f>BB24/AZ24</f>
        <v>1.0000000000000007E-2</v>
      </c>
    </row>
    <row r="25" spans="1:55">
      <c r="A25" s="15" t="str">
        <f t="shared" si="93"/>
        <v>TY 2030</v>
      </c>
      <c r="B25" s="15" t="str">
        <f t="shared" si="94"/>
        <v>FY 2030-31</v>
      </c>
      <c r="C25" s="393">
        <f>C24</f>
        <v>0.02</v>
      </c>
      <c r="D25" s="37">
        <f t="shared" si="95"/>
        <v>9191141412.8115292</v>
      </c>
      <c r="E25" s="37">
        <f t="shared" si="84"/>
        <v>1763158513.9950857</v>
      </c>
      <c r="F25" s="37">
        <f t="shared" si="96"/>
        <v>74048452.648907185</v>
      </c>
      <c r="G25" s="37">
        <f t="shared" si="85"/>
        <v>7353934446.1675358</v>
      </c>
      <c r="H25" s="37">
        <f t="shared" si="86"/>
        <v>4970834.6659538401</v>
      </c>
      <c r="I25" s="38">
        <f t="shared" si="97"/>
        <v>2.9112000000000001E-3</v>
      </c>
      <c r="J25" s="39">
        <f t="shared" si="87"/>
        <v>3.6269880846023165E-4</v>
      </c>
      <c r="K25" s="38">
        <f t="shared" si="88"/>
        <v>2.5485011915397683E-3</v>
      </c>
      <c r="L25" s="8">
        <f>VLOOKUP(B25,'DEBT SUMMARY'!$B$9:$S$47,18,FALSE)</f>
        <v>3375859.2849847805</v>
      </c>
      <c r="M25" s="371">
        <f t="shared" si="98"/>
        <v>0.99250000000000005</v>
      </c>
      <c r="N25" s="154">
        <f t="shared" si="89"/>
        <v>3286566.5760393329</v>
      </c>
      <c r="O25" s="154">
        <f t="shared" si="90"/>
        <v>22919844</v>
      </c>
      <c r="P25" s="154">
        <f t="shared" si="91"/>
        <v>213953.08143636238</v>
      </c>
      <c r="Q25" s="154">
        <f t="shared" si="92"/>
        <v>26420363.657475695</v>
      </c>
      <c r="R25" s="385">
        <f t="shared" si="103"/>
        <v>4.6279321869436396E-2</v>
      </c>
      <c r="S25" s="155">
        <f t="shared" si="68"/>
        <v>225048.18095664444</v>
      </c>
      <c r="T25" s="155">
        <f t="shared" si="69"/>
        <v>900192.72382657777</v>
      </c>
      <c r="U25" s="522"/>
      <c r="V25" s="85">
        <f>V24-O19</f>
        <v>-189631.4177951701</v>
      </c>
      <c r="W25" s="155"/>
      <c r="Y25" s="155"/>
      <c r="Z25" s="155"/>
      <c r="AA25" s="155"/>
      <c r="AB25" s="155"/>
      <c r="AC25" s="155"/>
      <c r="AD25" s="155"/>
      <c r="AE25" s="155"/>
      <c r="AF25" s="155"/>
      <c r="AG25" s="6">
        <f t="shared" ref="AG25:AG30" si="104">(AG10-$AG$9)*100</f>
        <v>-2.4999999999999849E-3</v>
      </c>
      <c r="AJ25" s="183"/>
      <c r="AK25" s="183"/>
      <c r="AL25" s="183"/>
      <c r="AM25" s="155" t="str">
        <f t="shared" si="99"/>
        <v>FY 2018-19</v>
      </c>
      <c r="AN25" s="144">
        <f t="shared" si="100"/>
        <v>1814.1828767441862</v>
      </c>
      <c r="AO25" s="144">
        <f t="shared" ref="AO25" si="105">AN25/12</f>
        <v>151.18190639534885</v>
      </c>
      <c r="AP25" s="20">
        <f t="shared" si="102"/>
        <v>440.30317194418603</v>
      </c>
      <c r="AQ25" s="183"/>
      <c r="AR25" s="183"/>
      <c r="AS25" s="183">
        <f>AS24/12</f>
        <v>-46.721072709999987</v>
      </c>
      <c r="AT25" s="183"/>
      <c r="AU25" s="183"/>
      <c r="AV25" s="183"/>
      <c r="AW25" s="183"/>
      <c r="AX25" s="129"/>
      <c r="AY25" s="19"/>
      <c r="AZ25" s="6">
        <v>13693</v>
      </c>
      <c r="BA25" s="6">
        <v>13693</v>
      </c>
    </row>
    <row r="26" spans="1:55">
      <c r="A26" s="15" t="str">
        <f t="shared" si="93"/>
        <v>TY 2031</v>
      </c>
      <c r="B26" s="15" t="str">
        <f t="shared" si="94"/>
        <v>FY 2031-32</v>
      </c>
      <c r="C26" s="393">
        <f>C25</f>
        <v>0.02</v>
      </c>
      <c r="D26" s="37">
        <f t="shared" si="95"/>
        <v>9374964241.0677605</v>
      </c>
      <c r="E26" s="37">
        <f t="shared" si="84"/>
        <v>1798421684.2749875</v>
      </c>
      <c r="F26" s="37">
        <f t="shared" si="96"/>
        <v>75529421.701885328</v>
      </c>
      <c r="G26" s="37">
        <f t="shared" si="85"/>
        <v>7501013135.090888</v>
      </c>
      <c r="H26" s="37">
        <f t="shared" si="86"/>
        <v>5070251.3592729168</v>
      </c>
      <c r="I26" s="38">
        <f t="shared" si="97"/>
        <v>2.9112000000000001E-3</v>
      </c>
      <c r="J26" s="39">
        <f t="shared" si="87"/>
        <v>3.6900404456121499E-4</v>
      </c>
      <c r="K26" s="38">
        <f t="shared" si="88"/>
        <v>2.5421959554387851E-3</v>
      </c>
      <c r="L26" s="8">
        <f>VLOOKUP(B26,'DEBT SUMMARY'!$B$9:$S$47,18,FALSE)</f>
        <v>3378834.2849847805</v>
      </c>
      <c r="M26" s="371">
        <f t="shared" si="98"/>
        <v>0.99250000000000005</v>
      </c>
      <c r="N26" s="154">
        <f t="shared" si="89"/>
        <v>3410574.9939330593</v>
      </c>
      <c r="O26" s="154">
        <f t="shared" si="90"/>
        <v>23320401</v>
      </c>
      <c r="P26" s="154">
        <f t="shared" si="91"/>
        <v>218232.14306508959</v>
      </c>
      <c r="Q26" s="154">
        <f t="shared" si="92"/>
        <v>26949208.13699815</v>
      </c>
      <c r="R26" s="385">
        <f t="shared" si="103"/>
        <v>1.7476427850032561E-2</v>
      </c>
      <c r="S26" s="155">
        <f t="shared" si="68"/>
        <v>229552.89909601759</v>
      </c>
      <c r="T26" s="155">
        <f t="shared" si="69"/>
        <v>918211.59638407035</v>
      </c>
      <c r="U26" s="522"/>
      <c r="V26" s="155"/>
      <c r="W26" s="82"/>
      <c r="X26" s="82">
        <f>V19/V12-1</f>
        <v>-0.4120916584204638</v>
      </c>
      <c r="Y26" s="155"/>
      <c r="Z26" s="155"/>
      <c r="AA26" s="155"/>
      <c r="AB26" s="155"/>
      <c r="AC26" s="155"/>
      <c r="AD26" s="155"/>
      <c r="AE26" s="155"/>
      <c r="AF26" s="155"/>
      <c r="AG26" s="6">
        <f t="shared" si="104"/>
        <v>-7.1899999999999742E-3</v>
      </c>
      <c r="AH26" s="82"/>
      <c r="AI26" s="273"/>
      <c r="AJ26" s="273"/>
      <c r="AK26" s="273"/>
      <c r="AL26" s="273"/>
      <c r="AM26" s="155" t="str">
        <f t="shared" si="99"/>
        <v>FY 2019-20</v>
      </c>
      <c r="AN26" s="144">
        <f t="shared" si="100"/>
        <v>1755.5758800000001</v>
      </c>
      <c r="AO26" s="144">
        <f t="shared" ref="AO26" si="106">AN26/12</f>
        <v>146.29799</v>
      </c>
      <c r="AP26" s="20">
        <f>AN26-$AO$19</f>
        <v>381.69617519999997</v>
      </c>
      <c r="AQ26" s="156"/>
      <c r="AR26" s="373">
        <f>AR19/12</f>
        <v>130.74399670833336</v>
      </c>
      <c r="AS26" s="156"/>
      <c r="AT26" s="156"/>
      <c r="AU26" s="156"/>
      <c r="AV26" s="156"/>
      <c r="AW26" s="156"/>
      <c r="AX26" s="17"/>
      <c r="AZ26" s="8">
        <f>AZ24*$I$19*AZ25</f>
        <v>12563601.2614104</v>
      </c>
      <c r="BA26" s="8">
        <f>BA24*$I$19*BA25</f>
        <v>12437965.248796295</v>
      </c>
      <c r="BB26" s="21">
        <f>AZ26-BA26</f>
        <v>125636.0126141049</v>
      </c>
    </row>
    <row r="27" spans="1:55">
      <c r="A27" s="15" t="str">
        <f t="shared" si="93"/>
        <v>TY 2032</v>
      </c>
      <c r="B27" s="15" t="str">
        <f t="shared" si="94"/>
        <v>FY 2032-33</v>
      </c>
      <c r="C27" s="393">
        <f>C26</f>
        <v>0.02</v>
      </c>
      <c r="D27" s="37">
        <f t="shared" si="95"/>
        <v>9562463525.8891163</v>
      </c>
      <c r="E27" s="37">
        <f t="shared" si="84"/>
        <v>1834390117.9604871</v>
      </c>
      <c r="F27" s="37">
        <f t="shared" si="96"/>
        <v>77040010.135923043</v>
      </c>
      <c r="G27" s="37">
        <f t="shared" si="85"/>
        <v>7651033397.7927055</v>
      </c>
      <c r="H27" s="37">
        <f t="shared" si="86"/>
        <v>5171656.3864583755</v>
      </c>
      <c r="I27" s="38">
        <f t="shared" si="97"/>
        <v>2.9112000000000001E-3</v>
      </c>
      <c r="J27" s="39">
        <f t="shared" si="87"/>
        <v>3.5830724725209942E-4</v>
      </c>
      <c r="K27" s="38">
        <f t="shared" si="88"/>
        <v>2.5528927527479007E-3</v>
      </c>
      <c r="L27" s="8">
        <f>VLOOKUP(B27,'DEBT SUMMARY'!$B$9:$S$47,18,FALSE)</f>
        <v>3376384.2849847805</v>
      </c>
      <c r="M27" s="371">
        <f t="shared" si="98"/>
        <v>0.99250000000000005</v>
      </c>
      <c r="N27" s="154">
        <f t="shared" si="89"/>
        <v>3377942.4121425296</v>
      </c>
      <c r="O27" s="154">
        <f t="shared" si="90"/>
        <v>23886897</v>
      </c>
      <c r="P27" s="154">
        <f t="shared" si="91"/>
        <v>222596.78592639143</v>
      </c>
      <c r="Q27" s="154">
        <f t="shared" si="92"/>
        <v>27487436.198068921</v>
      </c>
      <c r="R27" s="385">
        <f t="shared" si="103"/>
        <v>2.4291863591882512E-2</v>
      </c>
      <c r="S27" s="155">
        <f t="shared" si="68"/>
        <v>234137.46403667328</v>
      </c>
      <c r="T27" s="155">
        <f t="shared" si="69"/>
        <v>936549.85614669311</v>
      </c>
      <c r="U27" s="522"/>
      <c r="V27" s="272"/>
      <c r="W27" s="155"/>
      <c r="X27" s="505"/>
      <c r="Y27" s="155">
        <v>109126714</v>
      </c>
      <c r="Z27" s="155"/>
      <c r="AA27" s="155"/>
      <c r="AB27" s="155"/>
      <c r="AC27" s="155"/>
      <c r="AD27" s="155"/>
      <c r="AE27" s="155"/>
      <c r="AF27" s="155"/>
      <c r="AG27" s="6">
        <f t="shared" si="104"/>
        <v>-9.6899999999999591E-3</v>
      </c>
      <c r="AH27" s="156"/>
      <c r="AI27" s="183"/>
      <c r="AJ27" s="183"/>
      <c r="AK27" s="183"/>
      <c r="AL27" s="273"/>
      <c r="AM27" s="155" t="str">
        <f t="shared" si="99"/>
        <v>FY 2020-21</v>
      </c>
      <c r="AN27" s="144">
        <f t="shared" si="100"/>
        <v>1734.064697674419</v>
      </c>
      <c r="AO27" s="144">
        <f t="shared" ref="AO27" si="107">AN27/12</f>
        <v>144.50539147286824</v>
      </c>
      <c r="AP27" s="20">
        <f>AN27-$AO$19</f>
        <v>360.18499287441887</v>
      </c>
      <c r="AQ27" s="156"/>
      <c r="AR27" s="373"/>
      <c r="AS27" s="156"/>
      <c r="AT27" s="156"/>
      <c r="AU27" s="155"/>
      <c r="AV27" s="155"/>
      <c r="AW27" s="155"/>
      <c r="AX27" s="19"/>
    </row>
    <row r="28" spans="1:55">
      <c r="A28" s="15" t="str">
        <f t="shared" si="93"/>
        <v>TY 2033</v>
      </c>
      <c r="B28" s="15" t="str">
        <f t="shared" si="94"/>
        <v>FY 2033-34</v>
      </c>
      <c r="C28" s="116">
        <v>0</v>
      </c>
      <c r="D28" s="7">
        <f t="shared" si="95"/>
        <v>9562463525.8891163</v>
      </c>
      <c r="E28" s="7">
        <f t="shared" si="84"/>
        <v>1834390117.9604871</v>
      </c>
      <c r="F28" s="7">
        <f t="shared" si="96"/>
        <v>77040010.135923043</v>
      </c>
      <c r="G28" s="7">
        <f t="shared" si="85"/>
        <v>7651033397.7927055</v>
      </c>
      <c r="H28" s="7">
        <f t="shared" si="86"/>
        <v>5171656.3864583755</v>
      </c>
      <c r="I28" s="38">
        <f t="shared" si="97"/>
        <v>2.9112000000000001E-3</v>
      </c>
      <c r="J28" s="39">
        <f t="shared" si="87"/>
        <v>3.6140556310839512E-4</v>
      </c>
      <c r="K28" s="38">
        <f t="shared" si="88"/>
        <v>2.5497944368916051E-3</v>
      </c>
      <c r="L28" s="8">
        <f>VLOOKUP(B28,'DEBT SUMMARY'!$B$9:$S$47,18,FALSE)</f>
        <v>3380909.2849847805</v>
      </c>
      <c r="M28" s="371">
        <f t="shared" si="98"/>
        <v>0.99250000000000005</v>
      </c>
      <c r="N28" s="117">
        <f t="shared" si="89"/>
        <v>3407151.7921298435</v>
      </c>
      <c r="O28" s="117">
        <f t="shared" si="90"/>
        <v>23857907</v>
      </c>
      <c r="P28" s="117">
        <f t="shared" si="91"/>
        <v>222596.78592639143</v>
      </c>
      <c r="Q28" s="117">
        <f t="shared" si="92"/>
        <v>27487655.578056235</v>
      </c>
      <c r="R28" s="335">
        <f t="shared" si="103"/>
        <v>-1.2136360783906452E-3</v>
      </c>
      <c r="S28" s="155">
        <f t="shared" si="68"/>
        <v>234139.34796758933</v>
      </c>
      <c r="T28" s="155">
        <f t="shared" si="69"/>
        <v>936557.39187035733</v>
      </c>
      <c r="U28" s="522"/>
      <c r="V28" s="82"/>
      <c r="W28" s="82">
        <f>O19/Q19</f>
        <v>0.84273878385963163</v>
      </c>
      <c r="X28" s="155"/>
      <c r="Y28" s="20">
        <f>Y27/214</f>
        <v>509937.91588785045</v>
      </c>
      <c r="Z28" s="155"/>
      <c r="AA28" s="155"/>
      <c r="AB28" s="155"/>
      <c r="AC28" s="155"/>
      <c r="AD28" s="155"/>
      <c r="AE28" s="155"/>
      <c r="AF28" s="155"/>
      <c r="AG28" s="6">
        <f t="shared" si="104"/>
        <v>-2.3939999999999986E-2</v>
      </c>
      <c r="AH28" s="156"/>
      <c r="AI28" s="183"/>
      <c r="AJ28" s="183"/>
      <c r="AK28" s="183"/>
      <c r="AL28" s="183"/>
      <c r="AM28" s="273"/>
      <c r="AN28" s="373">
        <f>AN27-AO19</f>
        <v>360.18499287441887</v>
      </c>
      <c r="AO28" s="373">
        <f>AN28/12</f>
        <v>30.015416072868238</v>
      </c>
      <c r="AP28" s="155"/>
      <c r="AQ28" s="155"/>
      <c r="AR28" s="505">
        <f>AR19-AO15</f>
        <v>179.25081049999994</v>
      </c>
      <c r="AS28" s="155"/>
      <c r="AT28" s="155"/>
      <c r="AU28" s="182"/>
      <c r="AV28" s="182"/>
      <c r="AW28" s="182"/>
      <c r="AX28" s="6">
        <v>112.93555833333333</v>
      </c>
      <c r="AZ28" s="8">
        <f>AZ24*$I$19</f>
        <v>917.51999280000007</v>
      </c>
      <c r="BA28" s="8">
        <f>BA24*$I$19</f>
        <v>908.34479287199997</v>
      </c>
      <c r="BB28" s="144">
        <f>AZ28-BA28</f>
        <v>9.1751999280000973</v>
      </c>
    </row>
    <row r="29" spans="1:55">
      <c r="A29" s="15" t="str">
        <f t="shared" si="93"/>
        <v>TY 2034</v>
      </c>
      <c r="B29" s="15" t="str">
        <f t="shared" si="94"/>
        <v>FY 2034-35</v>
      </c>
      <c r="C29" s="116">
        <v>1.4999999999999999E-2</v>
      </c>
      <c r="D29" s="7">
        <f t="shared" si="95"/>
        <v>9705900478.7774525</v>
      </c>
      <c r="E29" s="7">
        <f t="shared" si="84"/>
        <v>1861905969.7298942</v>
      </c>
      <c r="F29" s="7">
        <f t="shared" si="96"/>
        <v>78195610.287961885</v>
      </c>
      <c r="G29" s="7">
        <f t="shared" si="85"/>
        <v>7765798898.7595959</v>
      </c>
      <c r="H29" s="7">
        <f t="shared" si="86"/>
        <v>5249231.2322552502</v>
      </c>
      <c r="I29" s="38">
        <f t="shared" si="97"/>
        <v>2.9112000000000001E-3</v>
      </c>
      <c r="J29" s="39">
        <f t="shared" si="87"/>
        <v>3.5485202447913455E-4</v>
      </c>
      <c r="K29" s="38">
        <f t="shared" si="88"/>
        <v>2.5563479755208655E-3</v>
      </c>
      <c r="L29" s="8">
        <f>VLOOKUP(B29,'DEBT SUMMARY'!$B$9:$S$47,18,FALSE)</f>
        <v>3386697.7849847805</v>
      </c>
      <c r="M29" s="371">
        <f t="shared" si="98"/>
        <v>0.99250000000000005</v>
      </c>
      <c r="N29" s="117">
        <f t="shared" si="89"/>
        <v>3395548.8157333652</v>
      </c>
      <c r="O29" s="117">
        <f t="shared" si="90"/>
        <v>24278015</v>
      </c>
      <c r="P29" s="117">
        <f t="shared" si="91"/>
        <v>225935.73771528731</v>
      </c>
      <c r="Q29" s="117">
        <f t="shared" si="92"/>
        <v>27899499.553448655</v>
      </c>
      <c r="R29" s="335">
        <f t="shared" si="103"/>
        <v>1.7608753357953866E-2</v>
      </c>
      <c r="S29" s="155">
        <f t="shared" si="68"/>
        <v>237647.39468031537</v>
      </c>
      <c r="T29" s="155">
        <f t="shared" si="69"/>
        <v>950589.57872126147</v>
      </c>
      <c r="U29" s="522"/>
      <c r="V29" s="155"/>
      <c r="W29" s="155"/>
      <c r="Y29" s="155"/>
      <c r="Z29" s="155"/>
      <c r="AA29" s="155"/>
      <c r="AB29" s="155"/>
      <c r="AC29" s="155"/>
      <c r="AD29" s="155"/>
      <c r="AE29" s="155"/>
      <c r="AF29" s="155"/>
      <c r="AG29" s="6">
        <f t="shared" si="104"/>
        <v>-3.7289999999999976E-2</v>
      </c>
      <c r="AH29" s="156"/>
      <c r="AI29" s="183"/>
      <c r="AJ29" s="183"/>
      <c r="AK29" s="183"/>
      <c r="AL29" s="183"/>
      <c r="AM29" s="183"/>
      <c r="AN29" s="182">
        <f>AO20/12</f>
        <v>1.3164537666666736</v>
      </c>
      <c r="AO29" s="182"/>
      <c r="AP29" s="182"/>
      <c r="AQ29" s="182"/>
      <c r="AR29" s="182"/>
      <c r="AS29" s="182"/>
      <c r="AT29" s="182"/>
      <c r="AU29" s="182"/>
      <c r="AV29" s="182"/>
      <c r="AW29" s="182"/>
      <c r="AX29" s="182">
        <f>AX28-AT19</f>
        <v>-1.554417066666673</v>
      </c>
      <c r="BB29" s="144">
        <f>BB28/12</f>
        <v>0.76459999400000811</v>
      </c>
    </row>
    <row r="30" spans="1:55">
      <c r="A30" s="15" t="str">
        <f t="shared" si="93"/>
        <v>TY 2035</v>
      </c>
      <c r="B30" s="15" t="str">
        <f t="shared" si="94"/>
        <v>FY 2035-36</v>
      </c>
      <c r="C30" s="116">
        <v>1.4999999999999999E-2</v>
      </c>
      <c r="D30" s="7">
        <f t="shared" si="95"/>
        <v>9851488985.9591141</v>
      </c>
      <c r="E30" s="7">
        <f t="shared" si="84"/>
        <v>1889834559.2758424</v>
      </c>
      <c r="F30" s="7">
        <f t="shared" si="96"/>
        <v>79368544.442281306</v>
      </c>
      <c r="G30" s="7">
        <f t="shared" si="85"/>
        <v>7882285882.2409897</v>
      </c>
      <c r="H30" s="7">
        <f t="shared" si="86"/>
        <v>5327969.7007390782</v>
      </c>
      <c r="I30" s="38">
        <f t="shared" si="97"/>
        <v>2.9112000000000001E-3</v>
      </c>
      <c r="J30" s="39">
        <f t="shared" si="87"/>
        <v>2.7202178696227307E-4</v>
      </c>
      <c r="K30" s="38">
        <f t="shared" si="88"/>
        <v>2.6391782130377271E-3</v>
      </c>
      <c r="L30" s="8">
        <f>VLOOKUP(B30,'DEBT SUMMARY'!$B$9:$S$47,18,FALSE)</f>
        <v>2777509.2849847805</v>
      </c>
      <c r="M30" s="371">
        <f t="shared" si="98"/>
        <v>0.99250000000000005</v>
      </c>
      <c r="N30" s="117">
        <f t="shared" si="89"/>
        <v>2641997.6236521313</v>
      </c>
      <c r="O30" s="117">
        <f t="shared" si="90"/>
        <v>25440636</v>
      </c>
      <c r="P30" s="117">
        <f t="shared" si="91"/>
        <v>229324.77378101659</v>
      </c>
      <c r="Q30" s="117">
        <f t="shared" si="92"/>
        <v>28311958.397433147</v>
      </c>
      <c r="R30" s="335">
        <f t="shared" si="103"/>
        <v>4.7887811256398072E-2</v>
      </c>
      <c r="S30" s="155">
        <f t="shared" si="68"/>
        <v>241160.29149192883</v>
      </c>
      <c r="T30" s="155">
        <f t="shared" si="69"/>
        <v>964641.16596771532</v>
      </c>
      <c r="U30" s="522"/>
      <c r="V30" s="155"/>
      <c r="W30" s="155"/>
      <c r="Y30" s="155"/>
      <c r="Z30" s="155"/>
      <c r="AA30" s="155"/>
      <c r="AB30" s="155"/>
      <c r="AC30" s="155"/>
      <c r="AD30" s="155"/>
      <c r="AE30" s="155"/>
      <c r="AF30" s="155"/>
      <c r="AG30" s="6">
        <f t="shared" si="104"/>
        <v>-4.2189999999999936E-2</v>
      </c>
      <c r="AH30" s="521">
        <f>AG30-AG29</f>
        <v>-4.8999999999999599E-3</v>
      </c>
      <c r="AI30" s="183"/>
      <c r="AJ30" s="183"/>
      <c r="AK30" s="183"/>
      <c r="AL30" s="183"/>
      <c r="AM30" s="183"/>
      <c r="AN30" s="182"/>
      <c r="AO30" s="182">
        <f>AG19*$AN20</f>
        <v>1278.0276323720932</v>
      </c>
      <c r="AP30" s="82">
        <f>AO19/AO14-1</f>
        <v>-3.3310030124907963E-2</v>
      </c>
      <c r="AQ30" s="182"/>
      <c r="AR30" s="182"/>
      <c r="AS30" s="182"/>
      <c r="AT30" s="182"/>
      <c r="AU30" s="155"/>
      <c r="AV30" s="155"/>
      <c r="AW30" s="155"/>
    </row>
    <row r="31" spans="1:55">
      <c r="A31" s="15" t="str">
        <f t="shared" si="93"/>
        <v>TY 2036</v>
      </c>
      <c r="B31" s="15" t="str">
        <f t="shared" si="94"/>
        <v>FY 2036-37</v>
      </c>
      <c r="C31" s="116">
        <v>1.4999999999999999E-2</v>
      </c>
      <c r="D31" s="7">
        <f t="shared" si="95"/>
        <v>9999261320.7484989</v>
      </c>
      <c r="E31" s="7">
        <f t="shared" si="84"/>
        <v>1918182077.6649799</v>
      </c>
      <c r="F31" s="7">
        <f t="shared" si="96"/>
        <v>80559072.608915523</v>
      </c>
      <c r="G31" s="7">
        <f t="shared" si="85"/>
        <v>8000520170.4746037</v>
      </c>
      <c r="H31" s="7">
        <f t="shared" si="86"/>
        <v>5407889.2462501638</v>
      </c>
      <c r="I31" s="38">
        <f t="shared" si="97"/>
        <v>2.9112000000000001E-3</v>
      </c>
      <c r="J31" s="39">
        <f t="shared" si="87"/>
        <v>2.8612087846123231E-4</v>
      </c>
      <c r="K31" s="38">
        <f t="shared" si="88"/>
        <v>2.6250791215387675E-3</v>
      </c>
      <c r="L31" s="8">
        <f>VLOOKUP(B31,'DEBT SUMMARY'!$B$9:$S$47,18,FALSE)</f>
        <v>2777259.2849847805</v>
      </c>
      <c r="M31" s="371">
        <f t="shared" si="98"/>
        <v>0.99250000000000005</v>
      </c>
      <c r="N31" s="117">
        <f t="shared" si="89"/>
        <v>2820618.3400038714</v>
      </c>
      <c r="O31" s="117">
        <f t="shared" si="90"/>
        <v>25684297</v>
      </c>
      <c r="P31" s="117">
        <f t="shared" si="91"/>
        <v>232764.64538773181</v>
      </c>
      <c r="Q31" s="117">
        <f t="shared" si="92"/>
        <v>28737679.985391602</v>
      </c>
      <c r="R31" s="335">
        <f t="shared" si="103"/>
        <v>9.5776300561039029E-3</v>
      </c>
      <c r="S31" s="155">
        <f t="shared" si="68"/>
        <v>244786.64588489171</v>
      </c>
      <c r="T31" s="155">
        <f t="shared" si="69"/>
        <v>979146.58353956684</v>
      </c>
      <c r="U31" s="522"/>
      <c r="V31" s="155"/>
      <c r="W31" s="155"/>
      <c r="X31" s="160">
        <f>V14/V12-1</f>
        <v>-7.3797465352601566E-2</v>
      </c>
      <c r="Y31" s="155"/>
      <c r="Z31" s="155"/>
      <c r="AA31" s="155"/>
      <c r="AB31" s="155"/>
      <c r="AC31" s="155"/>
      <c r="AD31" s="155"/>
      <c r="AE31" s="155"/>
      <c r="AF31" s="155"/>
      <c r="AG31" s="6">
        <f t="shared" ref="AG31" si="108">(AG19-$AG$9)*100</f>
        <v>-0.14606999999999998</v>
      </c>
      <c r="AH31" s="521">
        <f>AG31-AG30</f>
        <v>-0.10388000000000004</v>
      </c>
      <c r="AI31" s="272"/>
      <c r="AJ31" s="272"/>
      <c r="AK31" s="272"/>
      <c r="AL31" s="183"/>
      <c r="AM31" s="183"/>
      <c r="AN31" s="155"/>
      <c r="AO31" s="182">
        <f>AO30-AO19</f>
        <v>-95.852072427906933</v>
      </c>
      <c r="AP31" s="155"/>
      <c r="AQ31" s="155"/>
      <c r="AR31" s="155"/>
      <c r="AS31" s="155">
        <f>AN19-AN18</f>
        <v>31579</v>
      </c>
      <c r="AT31" s="155"/>
      <c r="AU31" s="272"/>
      <c r="AV31" s="272"/>
      <c r="AW31" s="272"/>
    </row>
    <row r="32" spans="1:55">
      <c r="A32" s="15" t="str">
        <f t="shared" si="93"/>
        <v>TY 2037</v>
      </c>
      <c r="B32" s="15" t="str">
        <f t="shared" si="94"/>
        <v>FY 2037-38</v>
      </c>
      <c r="C32" s="116">
        <v>1.4999999999999999E-2</v>
      </c>
      <c r="D32" s="7">
        <f t="shared" si="95"/>
        <v>10149250240.559725</v>
      </c>
      <c r="E32" s="7">
        <f t="shared" si="84"/>
        <v>1946954808.8299544</v>
      </c>
      <c r="F32" s="7">
        <f t="shared" si="96"/>
        <v>81767458.698049247</v>
      </c>
      <c r="G32" s="7">
        <f t="shared" si="85"/>
        <v>8120527973.0317211</v>
      </c>
      <c r="H32" s="7">
        <f t="shared" si="86"/>
        <v>5489007.5849439157</v>
      </c>
      <c r="I32" s="38">
        <f t="shared" si="97"/>
        <v>2.9112000000000001E-3</v>
      </c>
      <c r="J32" s="39">
        <f t="shared" si="87"/>
        <v>2.7791733999200756E-4</v>
      </c>
      <c r="K32" s="38">
        <f t="shared" si="88"/>
        <v>2.6332826600079925E-3</v>
      </c>
      <c r="L32" s="8">
        <f>VLOOKUP(B32,'DEBT SUMMARY'!$B$9:$S$47,18,FALSE)</f>
        <v>2779384.2849847805</v>
      </c>
      <c r="M32" s="371">
        <f t="shared" si="98"/>
        <v>0.99250000000000005</v>
      </c>
      <c r="N32" s="117">
        <f t="shared" si="89"/>
        <v>2780842.9488208527</v>
      </c>
      <c r="O32" s="117">
        <f t="shared" si="90"/>
        <v>26151031</v>
      </c>
      <c r="P32" s="117">
        <f t="shared" si="91"/>
        <v>236256.11506854778</v>
      </c>
      <c r="Q32" s="117">
        <f t="shared" si="92"/>
        <v>29168130.063889399</v>
      </c>
      <c r="R32" s="335">
        <f t="shared" si="103"/>
        <v>1.8171959310391061E-2</v>
      </c>
      <c r="S32" s="155">
        <f t="shared" si="68"/>
        <v>248453.16320435601</v>
      </c>
      <c r="T32" s="155">
        <f t="shared" si="69"/>
        <v>993812.65281742404</v>
      </c>
      <c r="U32" s="522"/>
      <c r="V32" s="502">
        <f>AO20</f>
        <v>15.797445200000084</v>
      </c>
      <c r="W32" s="155"/>
      <c r="X32" s="155">
        <f>V12-V14</f>
        <v>10505842</v>
      </c>
      <c r="Y32" s="155"/>
      <c r="Z32" s="155"/>
      <c r="AA32" s="155"/>
      <c r="AB32" s="155"/>
      <c r="AC32" s="155"/>
      <c r="AD32" s="155"/>
      <c r="AE32" s="155"/>
      <c r="AF32" s="155"/>
      <c r="AH32" s="155"/>
      <c r="AI32" s="155"/>
      <c r="AJ32" s="155"/>
      <c r="AK32" s="155"/>
      <c r="AL32" s="272"/>
      <c r="AM32" s="272"/>
      <c r="AN32" s="272"/>
      <c r="AO32" s="272">
        <f>AO31/12</f>
        <v>-7.987672702325578</v>
      </c>
      <c r="AP32" s="272"/>
      <c r="AQ32" s="272"/>
      <c r="AR32" s="272"/>
      <c r="AS32" s="272">
        <f>AS31/AN19</f>
        <v>6.6914726579633807E-2</v>
      </c>
      <c r="AT32" s="272"/>
      <c r="AU32" s="155"/>
      <c r="AV32" s="155"/>
      <c r="AW32" s="155"/>
    </row>
    <row r="33" spans="1:81">
      <c r="A33" s="15" t="str">
        <f t="shared" si="93"/>
        <v>TY 2038</v>
      </c>
      <c r="B33" s="15" t="str">
        <f t="shared" si="94"/>
        <v>FY 2038-39</v>
      </c>
      <c r="C33" s="116">
        <v>1.4999999999999999E-2</v>
      </c>
      <c r="D33" s="7">
        <f t="shared" si="95"/>
        <v>10301488994.168119</v>
      </c>
      <c r="E33" s="7">
        <f t="shared" si="84"/>
        <v>1976159130.9624035</v>
      </c>
      <c r="F33" s="7">
        <f t="shared" si="96"/>
        <v>82993970.578519985</v>
      </c>
      <c r="G33" s="7">
        <f t="shared" si="85"/>
        <v>8242335892.6271963</v>
      </c>
      <c r="H33" s="7">
        <f t="shared" si="86"/>
        <v>5571342.6987180738</v>
      </c>
      <c r="I33" s="38">
        <f t="shared" si="97"/>
        <v>2.9112000000000001E-3</v>
      </c>
      <c r="J33" s="39">
        <f t="shared" si="87"/>
        <v>2.7466373840420017E-4</v>
      </c>
      <c r="K33" s="38">
        <f t="shared" si="88"/>
        <v>2.6365362615957998E-3</v>
      </c>
      <c r="L33" s="8">
        <f>VLOOKUP(B33,'DEBT SUMMARY'!$B$9:$S$47,18,FALSE)</f>
        <v>2778759.2849847805</v>
      </c>
      <c r="M33" s="371">
        <f t="shared" si="98"/>
        <v>0.99250000000000005</v>
      </c>
      <c r="N33" s="117">
        <f t="shared" si="89"/>
        <v>2789511.6982048028</v>
      </c>
      <c r="O33" s="117">
        <f t="shared" si="90"/>
        <v>26576092</v>
      </c>
      <c r="P33" s="117">
        <f t="shared" si="91"/>
        <v>239799.95679457599</v>
      </c>
      <c r="Q33" s="117">
        <f t="shared" si="92"/>
        <v>29605403.654999379</v>
      </c>
      <c r="R33" s="335">
        <f t="shared" si="103"/>
        <v>1.6254081913634755E-2</v>
      </c>
      <c r="S33" s="155">
        <f t="shared" si="68"/>
        <v>252177.82785625174</v>
      </c>
      <c r="T33" s="155">
        <f t="shared" si="69"/>
        <v>1008711.3114250069</v>
      </c>
      <c r="U33" s="522"/>
      <c r="V33" s="155"/>
      <c r="W33" s="155"/>
      <c r="X33" s="155"/>
      <c r="Y33" s="155"/>
      <c r="Z33" s="155"/>
      <c r="AA33" s="155"/>
      <c r="AB33" s="155"/>
      <c r="AC33" s="155"/>
      <c r="AD33" s="155"/>
      <c r="AE33" s="155"/>
      <c r="AF33" s="155"/>
      <c r="AG33" s="155"/>
      <c r="AH33" s="155"/>
      <c r="AI33" s="155"/>
      <c r="AJ33" s="155"/>
      <c r="AK33" s="155"/>
      <c r="AL33" s="155">
        <v>351000</v>
      </c>
      <c r="AM33" s="155"/>
      <c r="AN33" s="155"/>
      <c r="AO33" s="155"/>
      <c r="AP33" s="155"/>
      <c r="AQ33" s="155"/>
      <c r="AR33" s="155"/>
      <c r="AS33" s="155"/>
      <c r="AT33" s="502">
        <f>AO19-AO18</f>
        <v>-1.2295199999925899E-2</v>
      </c>
      <c r="AU33" s="155"/>
      <c r="AV33" s="155"/>
      <c r="AW33" s="155"/>
    </row>
    <row r="34" spans="1:81">
      <c r="A34" s="15" t="str">
        <f t="shared" si="93"/>
        <v>TY 2039</v>
      </c>
      <c r="B34" s="15" t="str">
        <f t="shared" si="94"/>
        <v>FY 2039-40</v>
      </c>
      <c r="C34" s="116">
        <v>1.4999999999999999E-2</v>
      </c>
      <c r="D34" s="7">
        <f t="shared" si="95"/>
        <v>10456011329.080641</v>
      </c>
      <c r="E34" s="7">
        <f t="shared" si="84"/>
        <v>2005801517.9268394</v>
      </c>
      <c r="F34" s="7">
        <f t="shared" si="96"/>
        <v>84238880.137197778</v>
      </c>
      <c r="G34" s="7">
        <f t="shared" si="85"/>
        <v>8365970931.0166035</v>
      </c>
      <c r="H34" s="7">
        <f t="shared" si="86"/>
        <v>5654912.8391988445</v>
      </c>
      <c r="I34" s="38">
        <f t="shared" si="97"/>
        <v>2.9112000000000001E-3</v>
      </c>
      <c r="J34" s="39">
        <f t="shared" si="87"/>
        <v>1.2967655502506853E-4</v>
      </c>
      <c r="K34" s="38">
        <f t="shared" si="88"/>
        <v>2.7815234449749316E-3</v>
      </c>
      <c r="L34" s="8">
        <f>VLOOKUP(B34,'DEBT SUMMARY'!$B$9:$S$47,18,FALSE)</f>
        <v>1610259.2849847802</v>
      </c>
      <c r="M34" s="371">
        <f t="shared" si="98"/>
        <v>0.99250000000000005</v>
      </c>
      <c r="N34" s="117">
        <f t="shared" si="89"/>
        <v>1336762.848153576</v>
      </c>
      <c r="O34" s="117">
        <f t="shared" si="90"/>
        <v>28458116</v>
      </c>
      <c r="P34" s="117">
        <f t="shared" si="91"/>
        <v>243396.9561464946</v>
      </c>
      <c r="Q34" s="117">
        <f t="shared" si="92"/>
        <v>30038275.80430007</v>
      </c>
      <c r="R34" s="335">
        <f t="shared" si="103"/>
        <v>7.0816431550583037E-2</v>
      </c>
      <c r="S34" s="155">
        <f t="shared" si="68"/>
        <v>255864.23852838669</v>
      </c>
      <c r="T34" s="155">
        <f t="shared" si="69"/>
        <v>1023456.9541135468</v>
      </c>
      <c r="U34" s="522"/>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row>
    <row r="35" spans="1:81">
      <c r="A35" s="15" t="str">
        <f t="shared" si="93"/>
        <v>TY 2040</v>
      </c>
      <c r="B35" s="15" t="str">
        <f t="shared" si="94"/>
        <v>FY 2040-41</v>
      </c>
      <c r="C35" s="116">
        <v>1.4999999999999999E-2</v>
      </c>
      <c r="D35" s="7">
        <f t="shared" si="95"/>
        <v>10612851499.01685</v>
      </c>
      <c r="E35" s="7">
        <f t="shared" si="84"/>
        <v>2035888540.6957417</v>
      </c>
      <c r="F35" s="7">
        <f t="shared" si="96"/>
        <v>85502463.339255735</v>
      </c>
      <c r="G35" s="7">
        <f t="shared" si="85"/>
        <v>8491460494.9818525</v>
      </c>
      <c r="H35" s="7">
        <f t="shared" si="86"/>
        <v>5739736.5317868264</v>
      </c>
      <c r="I35" s="38">
        <f t="shared" si="97"/>
        <v>2.9112000000000001E-3</v>
      </c>
      <c r="J35" s="39">
        <f t="shared" si="87"/>
        <v>1.6072906691990915E-4</v>
      </c>
      <c r="K35" s="38">
        <f t="shared" si="88"/>
        <v>2.7504709330800911E-3</v>
      </c>
      <c r="L35" s="8">
        <f>VLOOKUP(B35,'DEBT SUMMARY'!$B$9:$S$47,18,FALSE)</f>
        <v>1610259.2849847802</v>
      </c>
      <c r="M35" s="371">
        <f t="shared" si="98"/>
        <v>0.99250000000000005</v>
      </c>
      <c r="N35" s="117">
        <f t="shared" si="89"/>
        <v>1681718.7572103539</v>
      </c>
      <c r="O35" s="117">
        <f t="shared" si="90"/>
        <v>28562520</v>
      </c>
      <c r="P35" s="117">
        <f t="shared" si="91"/>
        <v>247047.910488692</v>
      </c>
      <c r="Q35" s="117">
        <f t="shared" si="92"/>
        <v>30491286.667699046</v>
      </c>
      <c r="R35" s="335">
        <f t="shared" si="103"/>
        <v>3.6686898036397686E-3</v>
      </c>
      <c r="S35" s="155">
        <f t="shared" si="68"/>
        <v>259723.12755230107</v>
      </c>
      <c r="T35" s="155">
        <f t="shared" si="69"/>
        <v>1038892.5102092043</v>
      </c>
      <c r="U35" s="522"/>
      <c r="V35" s="155"/>
      <c r="W35" s="155"/>
      <c r="X35" s="155"/>
      <c r="Y35" s="155"/>
      <c r="Z35" s="155"/>
      <c r="AA35" s="155"/>
      <c r="AB35" s="155"/>
      <c r="AC35" s="155"/>
      <c r="AD35" s="155"/>
      <c r="AE35" s="155"/>
      <c r="AF35" s="155"/>
      <c r="AG35" s="155"/>
      <c r="AH35" s="155"/>
      <c r="AI35" s="155"/>
      <c r="AJ35" s="155"/>
      <c r="AK35" s="155"/>
      <c r="AL35" s="520">
        <v>5.0000000000000002E-5</v>
      </c>
      <c r="AM35" s="155"/>
      <c r="AN35" s="155"/>
      <c r="AO35" s="155"/>
      <c r="AP35" s="155"/>
      <c r="AQ35" s="155"/>
      <c r="AR35" s="155"/>
      <c r="AS35" s="155"/>
      <c r="AT35" s="155"/>
      <c r="AU35" s="155"/>
      <c r="AV35" s="155"/>
      <c r="AW35" s="155"/>
    </row>
    <row r="36" spans="1:81">
      <c r="A36" s="15" t="str">
        <f t="shared" si="93"/>
        <v>TY 2041</v>
      </c>
      <c r="B36" s="15" t="str">
        <f t="shared" si="94"/>
        <v>FY 2041-42</v>
      </c>
      <c r="C36" s="116">
        <v>1.4999999999999999E-2</v>
      </c>
      <c r="D36" s="7">
        <f t="shared" si="95"/>
        <v>10772044271.502102</v>
      </c>
      <c r="E36" s="7">
        <f t="shared" si="84"/>
        <v>2066426868.8061776</v>
      </c>
      <c r="F36" s="7">
        <f t="shared" si="96"/>
        <v>86785000.289344564</v>
      </c>
      <c r="G36" s="7">
        <f t="shared" si="85"/>
        <v>8618832402.40658</v>
      </c>
      <c r="H36" s="7">
        <f t="shared" si="86"/>
        <v>5825832.5797636285</v>
      </c>
      <c r="I36" s="38">
        <f t="shared" si="97"/>
        <v>2.9112000000000001E-3</v>
      </c>
      <c r="J36" s="39">
        <f t="shared" si="87"/>
        <v>1.5064096796338973E-4</v>
      </c>
      <c r="K36" s="38">
        <f t="shared" si="88"/>
        <v>2.7605590320366104E-3</v>
      </c>
      <c r="L36" s="8">
        <f>VLOOKUP(B36,'DEBT SUMMARY'!$B$9:$S$47,18,FALSE)</f>
        <v>1610259.2849847802</v>
      </c>
      <c r="M36" s="371">
        <f t="shared" si="98"/>
        <v>0.99250000000000005</v>
      </c>
      <c r="N36" s="117">
        <f t="shared" si="89"/>
        <v>1599808.8116688435</v>
      </c>
      <c r="O36" s="117">
        <f t="shared" si="90"/>
        <v>29097290</v>
      </c>
      <c r="P36" s="117">
        <f t="shared" si="91"/>
        <v>250753.62914602237</v>
      </c>
      <c r="Q36" s="117">
        <f t="shared" si="92"/>
        <v>30947852.440814864</v>
      </c>
      <c r="R36" s="335">
        <f t="shared" si="103"/>
        <v>1.872278776522518E-2</v>
      </c>
      <c r="S36" s="155">
        <f t="shared" si="68"/>
        <v>263612.07415901381</v>
      </c>
      <c r="T36" s="155">
        <f t="shared" si="69"/>
        <v>1054448.2966360552</v>
      </c>
      <c r="U36" s="522"/>
      <c r="V36" s="155"/>
      <c r="W36" s="155"/>
      <c r="X36" s="155"/>
      <c r="Y36" s="155"/>
      <c r="Z36" s="155"/>
      <c r="AA36" s="155"/>
      <c r="AB36" s="155"/>
      <c r="AC36" s="155"/>
      <c r="AD36" s="155"/>
      <c r="AE36" s="155"/>
      <c r="AF36" s="155"/>
      <c r="AG36" s="155"/>
      <c r="AH36" s="155"/>
      <c r="AI36" s="155"/>
      <c r="AJ36" s="155"/>
      <c r="AK36" s="155"/>
      <c r="AL36" s="155">
        <f>AL33*AL35</f>
        <v>17.55</v>
      </c>
      <c r="AM36" s="155"/>
      <c r="AN36" s="155"/>
      <c r="AO36" s="155"/>
      <c r="AP36" s="155"/>
      <c r="AQ36" s="155"/>
      <c r="AR36" s="155"/>
      <c r="AS36" s="155"/>
      <c r="AT36" s="155"/>
      <c r="AU36" s="155"/>
      <c r="AV36" s="155"/>
      <c r="AW36" s="155"/>
    </row>
    <row r="37" spans="1:81">
      <c r="A37" s="15" t="str">
        <f t="shared" si="93"/>
        <v>TY 2042</v>
      </c>
      <c r="B37" s="15" t="str">
        <f t="shared" si="94"/>
        <v>FY 2042-43</v>
      </c>
      <c r="C37" s="116">
        <v>1.4999999999999999E-2</v>
      </c>
      <c r="D37" s="7">
        <f t="shared" si="95"/>
        <v>10933624935.574633</v>
      </c>
      <c r="E37" s="7">
        <f t="shared" si="84"/>
        <v>2097423271.8382702</v>
      </c>
      <c r="F37" s="7">
        <f t="shared" si="96"/>
        <v>88086775.293684721</v>
      </c>
      <c r="G37" s="7">
        <f t="shared" si="85"/>
        <v>8748114888.4426785</v>
      </c>
      <c r="H37" s="7">
        <f t="shared" si="86"/>
        <v>5913220.0684600826</v>
      </c>
      <c r="I37" s="38">
        <f t="shared" si="97"/>
        <v>2.9112000000000001E-3</v>
      </c>
      <c r="J37" s="39">
        <f t="shared" si="87"/>
        <v>1.5021908792303229E-4</v>
      </c>
      <c r="K37" s="38">
        <f t="shared" si="88"/>
        <v>2.7609809120769679E-3</v>
      </c>
      <c r="L37" s="8">
        <f>VLOOKUP(B37,'DEBT SUMMARY'!$B$9:$S$47,18,FALSE)</f>
        <v>1610259.2849847802</v>
      </c>
      <c r="M37" s="371">
        <f t="shared" si="98"/>
        <v>0.99250000000000005</v>
      </c>
      <c r="N37" s="117">
        <f t="shared" si="89"/>
        <v>1619258.3674018022</v>
      </c>
      <c r="O37" s="117">
        <f t="shared" si="90"/>
        <v>29538263</v>
      </c>
      <c r="P37" s="117">
        <f t="shared" si="91"/>
        <v>254514.93358321267</v>
      </c>
      <c r="Q37" s="117">
        <f t="shared" si="92"/>
        <v>31412036.300985012</v>
      </c>
      <c r="R37" s="335">
        <f t="shared" si="103"/>
        <v>1.5155122693556677E-2</v>
      </c>
      <c r="S37" s="155">
        <f t="shared" si="68"/>
        <v>267565.96392726194</v>
      </c>
      <c r="T37" s="155">
        <f t="shared" si="69"/>
        <v>1070263.8557090478</v>
      </c>
      <c r="U37" s="522"/>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row>
    <row r="38" spans="1:81">
      <c r="A38" s="15" t="str">
        <f t="shared" si="93"/>
        <v>TY 2043</v>
      </c>
      <c r="B38" s="15" t="str">
        <f t="shared" si="94"/>
        <v>FY 2043-44</v>
      </c>
      <c r="C38" s="116">
        <v>1.4999999999999999E-2</v>
      </c>
      <c r="D38" s="7">
        <f t="shared" si="95"/>
        <v>11097629309.608252</v>
      </c>
      <c r="E38" s="7">
        <f t="shared" si="84"/>
        <v>2128884620.915844</v>
      </c>
      <c r="F38" s="7">
        <f t="shared" si="96"/>
        <v>89408076.923089981</v>
      </c>
      <c r="G38" s="7">
        <f t="shared" si="85"/>
        <v>8879336611.7693176</v>
      </c>
      <c r="H38" s="7">
        <f t="shared" si="86"/>
        <v>6001918.3694869829</v>
      </c>
      <c r="I38" s="38">
        <f t="shared" si="97"/>
        <v>2.9112000000000001E-3</v>
      </c>
      <c r="J38" s="39">
        <f t="shared" si="87"/>
        <v>-3.5142457391663881E-5</v>
      </c>
      <c r="K38" s="38">
        <f t="shared" si="88"/>
        <v>2.9463424573916638E-3</v>
      </c>
      <c r="L38" s="8">
        <f>VLOOKUP(B38,'DEBT SUMMARY'!$B$9:$S$47,18,FALSE)</f>
        <v>0</v>
      </c>
      <c r="M38" s="371">
        <f t="shared" si="98"/>
        <v>0.99250000000000005</v>
      </c>
      <c r="N38" s="117">
        <f t="shared" si="89"/>
        <v>-384493.67356593418</v>
      </c>
      <c r="O38" s="117">
        <f t="shared" si="90"/>
        <v>31994167</v>
      </c>
      <c r="P38" s="117">
        <f t="shared" si="91"/>
        <v>258332.65758696082</v>
      </c>
      <c r="Q38" s="117">
        <f t="shared" si="92"/>
        <v>31868005.984021027</v>
      </c>
      <c r="R38" s="335">
        <f t="shared" si="103"/>
        <v>8.3143142167838358E-2</v>
      </c>
      <c r="S38" s="155">
        <f t="shared" si="68"/>
        <v>271448.8297474758</v>
      </c>
      <c r="T38" s="155">
        <f t="shared" si="69"/>
        <v>1085795.3189899032</v>
      </c>
      <c r="U38" s="522"/>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row>
    <row r="39" spans="1:81">
      <c r="A39" s="15" t="str">
        <f t="shared" si="93"/>
        <v>TY 2044</v>
      </c>
      <c r="B39" s="15" t="str">
        <f t="shared" si="94"/>
        <v>FY 2044-45</v>
      </c>
      <c r="C39" s="116">
        <v>1.4999999999999999E-2</v>
      </c>
      <c r="D39" s="7">
        <f t="shared" si="95"/>
        <v>11264093749.252375</v>
      </c>
      <c r="E39" s="7">
        <f t="shared" si="84"/>
        <v>2160817890.2295814</v>
      </c>
      <c r="F39" s="7">
        <f t="shared" si="96"/>
        <v>90749198.076936319</v>
      </c>
      <c r="G39" s="7">
        <f t="shared" si="85"/>
        <v>9012526660.9458561</v>
      </c>
      <c r="H39" s="7">
        <f t="shared" si="86"/>
        <v>6091947.1450292869</v>
      </c>
      <c r="I39" s="38">
        <f t="shared" si="97"/>
        <v>2.9112000000000001E-3</v>
      </c>
      <c r="J39" s="39">
        <f t="shared" si="87"/>
        <v>8.2212741975752386E-6</v>
      </c>
      <c r="K39" s="38">
        <f t="shared" si="88"/>
        <v>2.9029787258024247E-3</v>
      </c>
      <c r="L39" s="8">
        <f>VLOOKUP(B39,'DEBT SUMMARY'!$B$9:$S$47,18,FALSE)</f>
        <v>0</v>
      </c>
      <c r="M39" s="371">
        <f t="shared" si="98"/>
        <v>0.99250000000000005</v>
      </c>
      <c r="N39" s="117">
        <f t="shared" si="89"/>
        <v>91298.206628654312</v>
      </c>
      <c r="O39" s="117">
        <f t="shared" si="90"/>
        <v>31996132</v>
      </c>
      <c r="P39" s="117">
        <f t="shared" si="91"/>
        <v>262207.64745076519</v>
      </c>
      <c r="Q39" s="117">
        <f t="shared" si="92"/>
        <v>32349637.854079418</v>
      </c>
      <c r="R39" s="335">
        <f t="shared" si="103"/>
        <v>6.1417445248679314E-5</v>
      </c>
      <c r="S39" s="155">
        <f t="shared" si="68"/>
        <v>275551.57844384317</v>
      </c>
      <c r="T39" s="155">
        <f t="shared" si="69"/>
        <v>1102206.3137753727</v>
      </c>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row>
    <row r="40" spans="1:81">
      <c r="A40" s="15" t="str">
        <f t="shared" si="93"/>
        <v>TY 2045</v>
      </c>
      <c r="B40" s="15" t="str">
        <f t="shared" si="94"/>
        <v>FY 2045-46</v>
      </c>
      <c r="C40" s="116">
        <v>1.4999999999999999E-2</v>
      </c>
      <c r="D40" s="7">
        <f t="shared" si="95"/>
        <v>11433055155.491159</v>
      </c>
      <c r="E40" s="7">
        <f t="shared" si="84"/>
        <v>2193230158.583025</v>
      </c>
      <c r="F40" s="7">
        <f t="shared" si="96"/>
        <v>92110436.048090354</v>
      </c>
      <c r="G40" s="7">
        <f t="shared" si="85"/>
        <v>9147714560.8600445</v>
      </c>
      <c r="H40" s="7">
        <f t="shared" si="86"/>
        <v>6183326.3522047251</v>
      </c>
      <c r="I40" s="38">
        <f t="shared" si="97"/>
        <v>2.9112000000000001E-3</v>
      </c>
      <c r="J40" s="39">
        <f t="shared" si="87"/>
        <v>-1.9232960483790527E-6</v>
      </c>
      <c r="K40" s="38">
        <f t="shared" si="88"/>
        <v>2.9131232960483791E-3</v>
      </c>
      <c r="L40" s="8">
        <f>VLOOKUP(B40,'DEBT SUMMARY'!$B$9:$S$47,18,FALSE)</f>
        <v>0</v>
      </c>
      <c r="M40" s="371">
        <f t="shared" si="98"/>
        <v>0.99250000000000005</v>
      </c>
      <c r="N40" s="117">
        <f t="shared" si="89"/>
        <v>-21678.802816970361</v>
      </c>
      <c r="O40" s="117">
        <f t="shared" si="90"/>
        <v>32589563</v>
      </c>
      <c r="P40" s="117">
        <f t="shared" si="91"/>
        <v>266140.7621625266</v>
      </c>
      <c r="Q40" s="117">
        <f t="shared" si="92"/>
        <v>32834024.959345553</v>
      </c>
      <c r="R40" s="335">
        <f t="shared" si="103"/>
        <v>1.8546960613864183E-2</v>
      </c>
      <c r="S40" s="155">
        <f t="shared" si="68"/>
        <v>279677.48864027741</v>
      </c>
      <c r="T40" s="155">
        <f t="shared" si="69"/>
        <v>1118709.9545611097</v>
      </c>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BW40" s="335"/>
      <c r="BX40" s="335"/>
      <c r="BY40" s="335"/>
      <c r="BZ40" s="335"/>
      <c r="CA40" s="335"/>
      <c r="CB40" s="335"/>
      <c r="CC40" s="335"/>
    </row>
    <row r="41" spans="1:81" ht="14.4">
      <c r="A41" s="15" t="str">
        <f t="shared" si="93"/>
        <v>TY 2046</v>
      </c>
      <c r="B41" s="15" t="str">
        <f t="shared" si="94"/>
        <v>FY 2046-47</v>
      </c>
      <c r="C41" s="116">
        <v>1.4999999999999999E-2</v>
      </c>
      <c r="D41" s="7">
        <f t="shared" si="95"/>
        <v>11604550982.823526</v>
      </c>
      <c r="E41" s="7">
        <f t="shared" si="84"/>
        <v>2226128610.9617701</v>
      </c>
      <c r="F41" s="7">
        <f t="shared" si="96"/>
        <v>93492092.588811696</v>
      </c>
      <c r="G41" s="7">
        <f t="shared" si="85"/>
        <v>9284930279.2729435</v>
      </c>
      <c r="H41" s="7">
        <f t="shared" si="86"/>
        <v>6276076.2474877955</v>
      </c>
      <c r="I41" s="38">
        <f t="shared" si="97"/>
        <v>2.9112000000000001E-3</v>
      </c>
      <c r="J41" s="39">
        <f>((L41-(H41*(J40/I40)))/G41)/0.9925</f>
        <v>4.4993848895119845E-7</v>
      </c>
      <c r="K41" s="38">
        <f t="shared" si="88"/>
        <v>2.910750061511049E-3</v>
      </c>
      <c r="L41" s="8">
        <f>VLOOKUP(B41,'DEBT SUMMARY'!$B$9:$S$47,18,FALSE)</f>
        <v>0</v>
      </c>
      <c r="M41" s="371">
        <f t="shared" si="98"/>
        <v>0.99250000000000005</v>
      </c>
      <c r="N41" s="117">
        <f t="shared" si="89"/>
        <v>5147.6420943144785</v>
      </c>
      <c r="O41" s="117">
        <f t="shared" si="90"/>
        <v>33051459</v>
      </c>
      <c r="P41" s="117">
        <f t="shared" si="91"/>
        <v>270132.87359496456</v>
      </c>
      <c r="Q41" s="117">
        <f t="shared" si="92"/>
        <v>33326739.51568928</v>
      </c>
      <c r="R41" s="335">
        <f t="shared" si="103"/>
        <v>1.4173126531337621E-2</v>
      </c>
      <c r="S41" s="155">
        <f t="shared" si="68"/>
        <v>283874.40438731719</v>
      </c>
      <c r="T41" s="155">
        <f t="shared" si="69"/>
        <v>1135497.6175492688</v>
      </c>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BN41"/>
      <c r="BO41"/>
      <c r="BP41"/>
      <c r="BQ41"/>
      <c r="BR41"/>
      <c r="BS41"/>
      <c r="BT41"/>
      <c r="BU41"/>
      <c r="BV41"/>
      <c r="BW41"/>
    </row>
    <row r="42" spans="1:81" ht="14.4">
      <c r="A42" s="22"/>
      <c r="B42" s="23"/>
      <c r="C42" s="23"/>
      <c r="D42" s="24"/>
      <c r="E42" s="24"/>
      <c r="F42" s="24"/>
      <c r="G42" s="24"/>
      <c r="H42" s="24"/>
      <c r="I42" s="26"/>
      <c r="J42" s="27"/>
      <c r="K42" s="26"/>
      <c r="L42" s="28"/>
      <c r="M42" s="25"/>
      <c r="N42" s="23"/>
      <c r="O42" s="23"/>
      <c r="P42" s="23"/>
      <c r="Q42" s="23"/>
      <c r="R42" s="23"/>
      <c r="S42" s="29"/>
      <c r="T42" s="29"/>
      <c r="U42" s="178"/>
      <c r="V42" s="178"/>
      <c r="W42" s="178"/>
      <c r="X42" s="178"/>
      <c r="Y42" s="178"/>
      <c r="Z42" s="178"/>
      <c r="AA42" s="178"/>
      <c r="AB42" s="178"/>
      <c r="AC42" s="178"/>
      <c r="AD42" s="178"/>
      <c r="AE42" s="178"/>
      <c r="AF42" s="178"/>
      <c r="AG42" s="178"/>
      <c r="AH42" s="178"/>
      <c r="AI42" s="178"/>
      <c r="AJ42" s="178"/>
      <c r="AK42" s="178"/>
      <c r="AL42" s="155"/>
      <c r="AM42" s="155"/>
      <c r="AN42" s="155"/>
      <c r="AO42" s="155"/>
      <c r="AP42" s="155"/>
      <c r="AQ42" s="155"/>
      <c r="AR42" s="155"/>
      <c r="AS42" s="155"/>
      <c r="AT42" s="155"/>
      <c r="AU42" s="178"/>
      <c r="AV42" s="178"/>
      <c r="AW42" s="178"/>
      <c r="BN42"/>
      <c r="BO42"/>
      <c r="BP42"/>
      <c r="BQ42"/>
      <c r="BR42"/>
      <c r="BS42"/>
      <c r="BT42"/>
      <c r="BU42"/>
      <c r="BV42"/>
      <c r="BW42"/>
    </row>
    <row r="43" spans="1:81" ht="14.4">
      <c r="D43" s="274"/>
      <c r="E43" s="274"/>
      <c r="F43" s="274"/>
      <c r="G43" s="6" t="s">
        <v>3240</v>
      </c>
      <c r="H43" s="161">
        <f>H19/H15-1</f>
        <v>0.37522217745399455</v>
      </c>
      <c r="I43" s="17"/>
      <c r="J43" s="508">
        <f>J19*(H19/I19)</f>
        <v>679331.72403132729</v>
      </c>
      <c r="K43" s="17"/>
      <c r="L43" s="32"/>
      <c r="M43" s="343"/>
      <c r="O43" s="359"/>
      <c r="P43" s="359"/>
      <c r="Q43" s="359"/>
      <c r="R43" s="359"/>
      <c r="S43" s="359"/>
      <c r="T43" s="359"/>
      <c r="AL43" s="178"/>
      <c r="AM43" s="178"/>
      <c r="AN43" s="178"/>
      <c r="AO43" s="178"/>
      <c r="AP43" s="178"/>
      <c r="AQ43" s="178"/>
      <c r="AR43" s="178"/>
      <c r="AS43" s="178"/>
      <c r="AT43" s="178"/>
      <c r="BN43"/>
      <c r="BO43"/>
      <c r="BP43"/>
      <c r="BQ43"/>
      <c r="BR43"/>
      <c r="BS43"/>
      <c r="BT43"/>
      <c r="BU43"/>
      <c r="BV43"/>
      <c r="BW43"/>
    </row>
    <row r="44" spans="1:81" ht="15" thickBot="1">
      <c r="D44" s="465">
        <v>0</v>
      </c>
      <c r="E44" s="82"/>
      <c r="G44" s="7" t="s">
        <v>3241</v>
      </c>
      <c r="H44" s="160">
        <f>E19/D19</f>
        <v>0.19183237802623945</v>
      </c>
      <c r="I44" s="17"/>
      <c r="J44" s="18"/>
      <c r="K44" s="17"/>
      <c r="M44" s="16"/>
      <c r="O44" s="710" t="s">
        <v>94</v>
      </c>
      <c r="P44" s="710"/>
      <c r="Q44" s="710"/>
      <c r="R44" s="710"/>
      <c r="S44" s="15"/>
      <c r="T44" s="15"/>
      <c r="U44" s="15"/>
      <c r="V44" s="15"/>
      <c r="W44" s="15"/>
      <c r="X44" s="15"/>
      <c r="Y44" s="15"/>
      <c r="Z44" s="15"/>
      <c r="AA44" s="15"/>
      <c r="AB44" s="15"/>
      <c r="BL44"/>
      <c r="BM44"/>
      <c r="BN44" s="336"/>
      <c r="BO44" s="336"/>
      <c r="BP44" s="336"/>
      <c r="BQ44" s="336"/>
      <c r="BR44" s="336"/>
      <c r="BS44" s="336"/>
      <c r="BT44" s="336"/>
      <c r="BU44" s="186"/>
    </row>
    <row r="45" spans="1:81" ht="15" thickBot="1">
      <c r="B45" s="711" t="str">
        <f>A19</f>
        <v>TY 2024</v>
      </c>
      <c r="C45" s="711"/>
      <c r="D45" s="711"/>
      <c r="E45" s="711"/>
      <c r="F45" s="711"/>
      <c r="G45" s="711"/>
      <c r="H45" s="711"/>
      <c r="J45" s="360" t="s">
        <v>996</v>
      </c>
      <c r="K45" s="361" t="s">
        <v>115</v>
      </c>
      <c r="L45" s="362" t="s">
        <v>997</v>
      </c>
      <c r="N45" s="136"/>
      <c r="O45" s="130" t="s">
        <v>88</v>
      </c>
      <c r="P45" s="130" t="s">
        <v>89</v>
      </c>
      <c r="Q45" s="131" t="s">
        <v>90</v>
      </c>
      <c r="R45" s="8">
        <v>100000</v>
      </c>
      <c r="S45" s="8"/>
      <c r="T45" s="8"/>
      <c r="U45" s="8"/>
      <c r="V45" s="8"/>
      <c r="W45" s="8"/>
      <c r="X45" s="8"/>
      <c r="Y45" s="8"/>
      <c r="Z45" s="8"/>
      <c r="AA45" s="8"/>
      <c r="AB45" s="8"/>
      <c r="AC45" s="15"/>
      <c r="AD45" s="15"/>
      <c r="AE45" s="15"/>
      <c r="AF45" s="15"/>
      <c r="AG45" s="15"/>
      <c r="BL45"/>
      <c r="BM45"/>
      <c r="BN45"/>
      <c r="BO45"/>
      <c r="BP45"/>
      <c r="BQ45"/>
      <c r="BR45"/>
      <c r="BS45"/>
      <c r="BT45"/>
    </row>
    <row r="46" spans="1:81">
      <c r="B46" s="346"/>
      <c r="C46" s="347" t="s">
        <v>60</v>
      </c>
      <c r="D46" s="348" t="s">
        <v>1082</v>
      </c>
      <c r="E46" s="348" t="s">
        <v>1083</v>
      </c>
      <c r="F46" s="349"/>
      <c r="G46" s="349"/>
      <c r="H46" s="49" t="s">
        <v>16</v>
      </c>
      <c r="J46" s="132" t="s">
        <v>16</v>
      </c>
      <c r="K46" s="349">
        <f>E19*I19</f>
        <v>4694601.8390664002</v>
      </c>
      <c r="L46" s="49">
        <f>K46/$I$19</f>
        <v>1612600247</v>
      </c>
      <c r="N46" s="132" t="s">
        <v>92</v>
      </c>
      <c r="O46" s="138">
        <f>K19*100</f>
        <v>0.24762000000000001</v>
      </c>
      <c r="P46" s="138">
        <f>P48-P47</f>
        <v>0.37408800000000003</v>
      </c>
      <c r="Q46" s="140">
        <f>Q48-Q47</f>
        <v>0.28895000000000004</v>
      </c>
      <c r="R46" s="143">
        <f>Q46/1.035</f>
        <v>0.27917874396135273</v>
      </c>
      <c r="S46" s="143"/>
      <c r="T46" s="143"/>
      <c r="U46" s="143">
        <f>(J19-J12)*100</f>
        <v>-6.5015400000000001E-2</v>
      </c>
      <c r="V46" s="143">
        <f>(K19-K12)*100</f>
        <v>-7.13646E-2</v>
      </c>
      <c r="W46" s="143"/>
      <c r="X46" s="143"/>
      <c r="Y46" s="143"/>
      <c r="Z46" s="143"/>
      <c r="AA46" s="143"/>
      <c r="AB46" s="143"/>
      <c r="AC46" s="139"/>
      <c r="AD46" s="139"/>
      <c r="AE46" s="139"/>
      <c r="AF46" s="139"/>
      <c r="AG46" s="139"/>
    </row>
    <row r="47" spans="1:81" ht="14.4">
      <c r="A47" s="514"/>
      <c r="B47" s="350"/>
      <c r="C47" s="51" t="s">
        <v>39</v>
      </c>
      <c r="D47" s="52">
        <v>8224093385</v>
      </c>
      <c r="E47" s="52">
        <v>1612600247</v>
      </c>
      <c r="F47" s="52">
        <v>0</v>
      </c>
      <c r="G47" s="52"/>
      <c r="H47" s="163">
        <v>4546369</v>
      </c>
      <c r="J47" s="133" t="s">
        <v>57</v>
      </c>
      <c r="K47" s="363">
        <f>H19</f>
        <v>4546369</v>
      </c>
      <c r="L47" s="65">
        <f>K47/$I$19</f>
        <v>1561682124.2099478</v>
      </c>
      <c r="N47" s="133" t="s">
        <v>19</v>
      </c>
      <c r="O47" s="139">
        <f>J19*100</f>
        <v>4.3499999999999997E-2</v>
      </c>
      <c r="P47" s="139">
        <f>Q47</f>
        <v>4.3499999999999997E-2</v>
      </c>
      <c r="Q47" s="140">
        <f>O47</f>
        <v>4.3499999999999997E-2</v>
      </c>
      <c r="R47" s="82">
        <f>O46/R46-1</f>
        <v>-0.11304135663609638</v>
      </c>
      <c r="S47" s="82"/>
      <c r="T47" s="82"/>
      <c r="U47" s="82"/>
      <c r="V47" s="82"/>
      <c r="W47" s="82"/>
      <c r="X47" s="82"/>
      <c r="Y47" s="82"/>
      <c r="Z47" s="82"/>
      <c r="AA47" s="82"/>
      <c r="AB47" s="82"/>
      <c r="AC47" s="139"/>
      <c r="AD47" s="139"/>
      <c r="AE47" s="139"/>
      <c r="AF47" s="139"/>
      <c r="AG47" s="139"/>
      <c r="BL47"/>
      <c r="BM47"/>
      <c r="BN47"/>
      <c r="BO47"/>
      <c r="BP47"/>
      <c r="BQ47"/>
      <c r="BR47"/>
      <c r="BS47"/>
      <c r="BT47"/>
    </row>
    <row r="48" spans="1:81" ht="14.4" thickBot="1">
      <c r="B48" s="351">
        <f>D48/(D47+D48)</f>
        <v>2.1674842175306127E-2</v>
      </c>
      <c r="C48" s="51" t="s">
        <v>40</v>
      </c>
      <c r="D48" s="52">
        <f>122616217+59588978</f>
        <v>182205195</v>
      </c>
      <c r="E48" s="52">
        <v>0</v>
      </c>
      <c r="F48" s="52"/>
      <c r="G48" s="52"/>
      <c r="H48" s="163"/>
      <c r="J48" s="66" t="s">
        <v>58</v>
      </c>
      <c r="K48" s="56">
        <f>K46-K47</f>
        <v>148232.83906640019</v>
      </c>
      <c r="L48" s="57">
        <f>L46-L47</f>
        <v>50918122.790052176</v>
      </c>
      <c r="N48" s="137" t="s">
        <v>18</v>
      </c>
      <c r="O48" s="141">
        <f>SUM(O46:O47)</f>
        <v>0.29111999999999999</v>
      </c>
      <c r="P48" s="141">
        <f>AH19</f>
        <v>0.41758800000000001</v>
      </c>
      <c r="Q48" s="142">
        <f>AI19</f>
        <v>0.33245000000000002</v>
      </c>
      <c r="R48" s="6">
        <f>R45*R46/100</f>
        <v>279.17874396135272</v>
      </c>
      <c r="AC48" s="353"/>
      <c r="AD48" s="353"/>
      <c r="AE48" s="353"/>
      <c r="AF48" s="353"/>
      <c r="AG48" s="353"/>
      <c r="BM48" s="337"/>
      <c r="BN48" s="337"/>
      <c r="BO48" s="337"/>
      <c r="BP48" s="337"/>
      <c r="BQ48" s="337"/>
      <c r="BR48" s="337"/>
      <c r="BS48" s="337"/>
      <c r="BT48" s="337"/>
      <c r="BU48" s="337"/>
      <c r="BV48" s="337"/>
      <c r="BW48" s="337"/>
      <c r="BX48" s="337"/>
      <c r="BY48" s="337"/>
      <c r="CA48" s="30"/>
    </row>
    <row r="49" spans="2:79" ht="14.4">
      <c r="B49" s="488">
        <v>0.02</v>
      </c>
      <c r="C49" s="51" t="s">
        <v>1110</v>
      </c>
      <c r="D49" s="52">
        <v>0</v>
      </c>
      <c r="E49" s="52"/>
      <c r="F49" s="52"/>
      <c r="G49" s="52"/>
      <c r="H49" s="53"/>
      <c r="K49" s="82">
        <f>K47/K46</f>
        <v>0.96842483257411272</v>
      </c>
      <c r="N49" s="133" t="s">
        <v>91</v>
      </c>
      <c r="O49" s="139" t="s">
        <v>37</v>
      </c>
      <c r="P49" s="139">
        <f>$O$48-P48</f>
        <v>-0.12646800000000002</v>
      </c>
      <c r="Q49" s="140">
        <f>$O$48-Q48</f>
        <v>-4.1330000000000033E-2</v>
      </c>
      <c r="R49" s="144">
        <f>O46*R45/100</f>
        <v>247.62</v>
      </c>
      <c r="S49" s="144"/>
      <c r="T49" s="144"/>
      <c r="U49" s="144"/>
      <c r="V49" s="144"/>
      <c r="W49" s="144"/>
      <c r="X49" s="144"/>
      <c r="Y49" s="144"/>
      <c r="Z49" s="144"/>
      <c r="AA49" s="144"/>
      <c r="AB49" s="144"/>
      <c r="AC49" s="139"/>
      <c r="AD49" s="139"/>
      <c r="AE49" s="139"/>
      <c r="AF49" s="139"/>
      <c r="AG49" s="139"/>
      <c r="BL49"/>
      <c r="BM49"/>
      <c r="BN49"/>
      <c r="BO49"/>
      <c r="BP49"/>
      <c r="BQ49"/>
      <c r="BR49"/>
      <c r="BS49"/>
      <c r="BT49"/>
    </row>
    <row r="50" spans="2:79" ht="14.4" thickBot="1">
      <c r="B50" s="350"/>
      <c r="C50" s="282" t="s">
        <v>798</v>
      </c>
      <c r="D50" s="283">
        <f>SUM(D47:D49)</f>
        <v>8406298580</v>
      </c>
      <c r="E50" s="283">
        <f>SUM(E47:E49)</f>
        <v>1612600247</v>
      </c>
      <c r="F50" s="283">
        <f>SUM(F47:F49)</f>
        <v>0</v>
      </c>
      <c r="G50" s="120"/>
      <c r="H50" s="352">
        <f>SUM(H47:H49)</f>
        <v>4546369</v>
      </c>
      <c r="N50" s="66" t="s">
        <v>33</v>
      </c>
      <c r="O50" s="55" t="s">
        <v>37</v>
      </c>
      <c r="P50" s="134">
        <f>$O$48/P48-1</f>
        <v>-0.30285353027385853</v>
      </c>
      <c r="Q50" s="135">
        <f>$O$48/Q48-1</f>
        <v>-0.12431944653331339</v>
      </c>
      <c r="R50" s="144">
        <f>R49-R48</f>
        <v>-31.558743961352718</v>
      </c>
      <c r="S50" s="144"/>
      <c r="T50" s="144"/>
      <c r="U50" s="144"/>
      <c r="V50" s="144"/>
      <c r="W50" s="144"/>
      <c r="X50" s="144"/>
      <c r="Y50" s="144"/>
      <c r="Z50" s="144"/>
      <c r="AA50" s="144"/>
      <c r="AB50" s="144"/>
      <c r="AC50" s="273"/>
      <c r="AD50" s="273"/>
      <c r="AE50" s="273"/>
      <c r="AF50" s="273"/>
      <c r="AG50" s="273"/>
      <c r="BM50" s="337"/>
      <c r="BN50" s="337"/>
      <c r="BO50" s="337"/>
      <c r="BP50" s="337"/>
      <c r="BQ50" s="337"/>
      <c r="BR50" s="337"/>
      <c r="BS50" s="337"/>
      <c r="BT50" s="337"/>
      <c r="BU50" s="337"/>
      <c r="BV50" s="337"/>
      <c r="BW50" s="337"/>
      <c r="BX50" s="337"/>
      <c r="BY50" s="337"/>
    </row>
    <row r="51" spans="2:79">
      <c r="B51" s="350"/>
      <c r="C51" s="51"/>
      <c r="D51" s="274"/>
      <c r="E51" s="52"/>
      <c r="F51" s="52"/>
      <c r="G51" s="52"/>
      <c r="H51" s="355">
        <f>H50/H16</f>
        <v>1.2631364137727927</v>
      </c>
      <c r="J51" s="19">
        <f>H19-H14</f>
        <v>1395515</v>
      </c>
      <c r="BM51" s="337"/>
      <c r="BN51" s="337"/>
      <c r="BO51" s="337"/>
      <c r="BP51" s="337"/>
      <c r="BQ51" s="337"/>
      <c r="BR51" s="337"/>
      <c r="BS51" s="337"/>
      <c r="BT51" s="337"/>
      <c r="BU51" s="337"/>
      <c r="BV51" s="337"/>
      <c r="BW51" s="337"/>
      <c r="BX51" s="337"/>
      <c r="BY51" s="337"/>
      <c r="CA51" s="30"/>
    </row>
    <row r="52" spans="2:79">
      <c r="B52" s="350"/>
      <c r="D52" s="274">
        <f>D47+D48</f>
        <v>8406298580</v>
      </c>
      <c r="E52" s="52">
        <v>6391706022</v>
      </c>
      <c r="F52" s="52"/>
      <c r="G52" s="179"/>
      <c r="H52" s="163"/>
      <c r="P52" s="139"/>
      <c r="Q52" s="43">
        <f>Q46*G19/100+H19/Q48*Q46</f>
        <v>23386190.312393524</v>
      </c>
      <c r="R52" s="19"/>
      <c r="S52" s="19"/>
      <c r="T52" s="19"/>
      <c r="U52" s="19"/>
      <c r="V52" s="43">
        <v>1231857</v>
      </c>
      <c r="W52" s="19"/>
      <c r="X52" s="19"/>
      <c r="Y52" s="19"/>
      <c r="Z52" s="19"/>
      <c r="AA52" s="19"/>
      <c r="AB52" s="19"/>
      <c r="AC52" s="19"/>
      <c r="AD52" s="19"/>
      <c r="AE52" s="188"/>
      <c r="AF52" s="188"/>
      <c r="AG52" s="188"/>
      <c r="AI52" s="6">
        <v>227</v>
      </c>
      <c r="AJ52" s="6">
        <v>122155638</v>
      </c>
      <c r="BO52" s="337"/>
      <c r="BP52" s="337"/>
      <c r="BQ52" s="337"/>
      <c r="BR52" s="337"/>
      <c r="BS52" s="337"/>
      <c r="BT52" s="337"/>
      <c r="BU52" s="337"/>
      <c r="BV52" s="337"/>
      <c r="BW52" s="337"/>
      <c r="BX52" s="337"/>
      <c r="BY52" s="337"/>
      <c r="CA52" s="337"/>
    </row>
    <row r="53" spans="2:79" ht="14.4" thickBot="1">
      <c r="B53" s="54"/>
      <c r="C53" s="55"/>
      <c r="D53" s="275"/>
      <c r="E53" s="171">
        <f>E52*1.02</f>
        <v>6519540142.4400005</v>
      </c>
      <c r="F53" s="56"/>
      <c r="G53" s="56"/>
      <c r="H53" s="57"/>
      <c r="J53" s="43"/>
      <c r="K53" s="43"/>
      <c r="L53" s="160"/>
      <c r="Q53" s="117">
        <f>$O$19/$K$19*(Q46/100)</f>
        <v>23767575.131855268</v>
      </c>
      <c r="R53" s="43"/>
      <c r="S53" s="43"/>
      <c r="T53" s="43"/>
      <c r="U53" s="43"/>
      <c r="V53" s="43">
        <v>944308</v>
      </c>
      <c r="W53" s="43"/>
      <c r="X53" s="43"/>
      <c r="Y53" s="43"/>
      <c r="Z53" s="43"/>
      <c r="AA53" s="43"/>
      <c r="AB53" s="43"/>
      <c r="AC53" s="43"/>
      <c r="AD53" s="43"/>
      <c r="AE53" s="43"/>
      <c r="AF53" s="43"/>
      <c r="AG53" s="43"/>
      <c r="AI53" s="6">
        <v>15387</v>
      </c>
      <c r="AJ53" s="6">
        <v>5180282990</v>
      </c>
      <c r="AK53" s="6">
        <f>AJ53-AJ52</f>
        <v>5058127352</v>
      </c>
      <c r="BA53" s="156"/>
    </row>
    <row r="54" spans="2:79">
      <c r="J54" s="82"/>
      <c r="AI54" s="503">
        <f>AI52/AI53</f>
        <v>1.4752713329433937E-2</v>
      </c>
      <c r="AK54" s="20">
        <f>AK53/(AI53-AI52)</f>
        <v>333649.56147757254</v>
      </c>
      <c r="BX54" s="337"/>
      <c r="BY54" s="335"/>
    </row>
    <row r="55" spans="2:79">
      <c r="D55" s="40"/>
      <c r="E55" s="52"/>
      <c r="F55" s="52"/>
      <c r="G55" s="52">
        <v>5261461775.0799999</v>
      </c>
      <c r="H55" s="52">
        <v>3032164</v>
      </c>
      <c r="I55" s="188">
        <v>4.1099999999999999E-3</v>
      </c>
      <c r="J55" s="82"/>
      <c r="P55" s="6" t="s">
        <v>115</v>
      </c>
      <c r="Q55" s="117">
        <f>$O$19/$K$19*(P46/100)</f>
        <v>30770599.224521447</v>
      </c>
      <c r="R55" s="117"/>
      <c r="S55" s="117"/>
      <c r="T55" s="117"/>
      <c r="U55" s="117"/>
      <c r="V55" s="117">
        <f>V52-V53</f>
        <v>287549</v>
      </c>
      <c r="W55" s="117"/>
      <c r="X55" s="117"/>
      <c r="Y55" s="117"/>
      <c r="Z55" s="117"/>
      <c r="AA55" s="117"/>
      <c r="AB55" s="117"/>
      <c r="AC55" s="117"/>
      <c r="AD55" s="117"/>
      <c r="AE55" s="117"/>
      <c r="AF55" s="117"/>
      <c r="AG55" s="117"/>
    </row>
    <row r="56" spans="2:79">
      <c r="B56" s="43"/>
      <c r="D56" s="517"/>
      <c r="E56" s="273"/>
      <c r="F56" s="52"/>
      <c r="G56" s="52">
        <f>G55-G19</f>
        <v>-1464511193.4200001</v>
      </c>
      <c r="H56" s="52">
        <f t="shared" ref="H56:I56" si="109">H55-H19</f>
        <v>-1514205</v>
      </c>
      <c r="I56" s="52">
        <f t="shared" si="109"/>
        <v>1.1987999999999999E-3</v>
      </c>
    </row>
    <row r="57" spans="2:79" ht="14.4" thickBot="1">
      <c r="D57" s="52"/>
      <c r="E57" s="52"/>
      <c r="F57" s="52"/>
      <c r="G57" s="273">
        <f>G56/G55</f>
        <v>-0.27834682755967233</v>
      </c>
      <c r="H57" s="273">
        <f>H56/H55</f>
        <v>-0.49938097015860622</v>
      </c>
    </row>
    <row r="58" spans="2:79" ht="18" thickBot="1">
      <c r="B58" s="378"/>
      <c r="C58" s="378"/>
      <c r="D58" s="560">
        <v>1330304102</v>
      </c>
      <c r="E58" s="378"/>
      <c r="F58" s="378"/>
      <c r="G58" s="378"/>
      <c r="H58" s="378"/>
      <c r="L58" s="6"/>
      <c r="M58" s="698" t="s">
        <v>66</v>
      </c>
      <c r="N58" s="699"/>
      <c r="O58" s="699"/>
      <c r="P58" s="699"/>
      <c r="Q58" s="700"/>
      <c r="R58" s="15"/>
      <c r="S58" s="15"/>
      <c r="T58" s="15"/>
      <c r="U58" s="15"/>
      <c r="V58" s="15">
        <v>129880</v>
      </c>
      <c r="W58" s="15"/>
      <c r="X58" s="15"/>
      <c r="Y58" s="15"/>
      <c r="Z58" s="15"/>
      <c r="AA58" s="15"/>
      <c r="AB58" s="15"/>
      <c r="AC58" s="15"/>
      <c r="AD58" s="15"/>
      <c r="AE58" s="15"/>
      <c r="AF58" s="15"/>
      <c r="AG58" s="15"/>
    </row>
    <row r="59" spans="2:79">
      <c r="B59" s="118"/>
      <c r="C59" s="374"/>
      <c r="D59" s="369">
        <f>D48/D58</f>
        <v>0.1369650704121485</v>
      </c>
      <c r="E59" s="374"/>
      <c r="F59" s="374"/>
      <c r="G59" s="375"/>
      <c r="H59" s="375"/>
      <c r="L59" s="6"/>
      <c r="M59" s="50"/>
      <c r="N59" s="52" t="s">
        <v>72</v>
      </c>
      <c r="O59" s="52" t="s">
        <v>67</v>
      </c>
      <c r="P59" s="52" t="s">
        <v>34</v>
      </c>
      <c r="Q59" s="49"/>
      <c r="V59" s="144">
        <f>V55/V58</f>
        <v>2.2139590391130275</v>
      </c>
      <c r="AC59" s="52"/>
      <c r="AD59" s="52"/>
      <c r="AE59" s="52"/>
      <c r="AF59" s="52"/>
      <c r="AG59" s="52"/>
    </row>
    <row r="60" spans="2:79">
      <c r="B60" s="376"/>
      <c r="C60" s="286"/>
      <c r="D60" s="286"/>
      <c r="E60" s="286"/>
      <c r="F60" s="286"/>
      <c r="G60" s="286"/>
      <c r="H60" s="286"/>
      <c r="K60" s="6" t="s">
        <v>95</v>
      </c>
      <c r="L60" s="6"/>
      <c r="M60" s="50" t="s">
        <v>68</v>
      </c>
      <c r="N60" s="52" t="e">
        <f>#REF!</f>
        <v>#REF!</v>
      </c>
      <c r="O60" s="52">
        <f>O19</f>
        <v>20367977</v>
      </c>
      <c r="P60" s="52" t="e">
        <f>O60-N60</f>
        <v>#REF!</v>
      </c>
      <c r="Q60" s="355" t="e">
        <f>O60/N60-1</f>
        <v>#REF!</v>
      </c>
      <c r="R60" s="160">
        <f>O60/$O$64</f>
        <v>0.84273878385963163</v>
      </c>
      <c r="V60" s="144">
        <f>V59*0.25</f>
        <v>0.55348975977825687</v>
      </c>
      <c r="AC60" s="52"/>
      <c r="AD60" s="52"/>
      <c r="AE60" s="52"/>
      <c r="AF60" s="52"/>
      <c r="AG60" s="52"/>
    </row>
    <row r="61" spans="2:79">
      <c r="B61" s="52"/>
      <c r="D61" s="6"/>
      <c r="E61" s="6"/>
      <c r="F61" s="290"/>
      <c r="G61" s="286"/>
      <c r="H61" s="6"/>
      <c r="K61" s="6" t="s">
        <v>96</v>
      </c>
      <c r="L61" s="6"/>
      <c r="M61" s="50" t="s">
        <v>69</v>
      </c>
      <c r="N61" s="52" t="e">
        <f>#REF!</f>
        <v>#REF!</v>
      </c>
      <c r="O61" s="52">
        <f>N19</f>
        <v>3605130</v>
      </c>
      <c r="P61" s="52" t="e">
        <f>O61-N61</f>
        <v>#REF!</v>
      </c>
      <c r="Q61" s="355" t="e">
        <f>O61/N61-1</f>
        <v>#REF!</v>
      </c>
      <c r="R61" s="160">
        <f>O61/$O$64</f>
        <v>0.14916468492947893</v>
      </c>
      <c r="AC61" s="52"/>
      <c r="AD61" s="52"/>
      <c r="AE61" s="52"/>
      <c r="AF61" s="52"/>
      <c r="AG61" s="52"/>
    </row>
    <row r="62" spans="2:79">
      <c r="B62" s="118"/>
      <c r="C62" s="52"/>
      <c r="D62" s="52"/>
      <c r="E62" s="52"/>
      <c r="F62" s="52"/>
      <c r="G62" s="52"/>
      <c r="H62" s="52"/>
      <c r="K62" s="6" t="s">
        <v>97</v>
      </c>
      <c r="L62" s="6"/>
      <c r="M62" s="50" t="s">
        <v>3375</v>
      </c>
      <c r="N62" s="52">
        <f>P17</f>
        <v>30436.190937431256</v>
      </c>
      <c r="O62" s="52">
        <f>P19</f>
        <v>195683.36552390701</v>
      </c>
      <c r="P62" s="52">
        <f>O62-N62</f>
        <v>165247.17458647574</v>
      </c>
      <c r="Q62" s="355"/>
      <c r="AC62" s="52"/>
      <c r="AD62" s="52"/>
      <c r="AE62" s="52"/>
      <c r="AF62" s="52"/>
      <c r="AG62" s="52"/>
    </row>
    <row r="63" spans="2:79">
      <c r="B63" s="377"/>
      <c r="C63" s="286"/>
      <c r="D63" s="286"/>
      <c r="E63" s="286"/>
      <c r="G63" s="286"/>
      <c r="H63" s="286"/>
      <c r="L63" s="6"/>
      <c r="M63" s="50"/>
      <c r="N63" s="52"/>
      <c r="O63" s="52"/>
      <c r="P63" s="52"/>
      <c r="Q63" s="356"/>
      <c r="AC63" s="52"/>
      <c r="AD63" s="52"/>
      <c r="AE63" s="52"/>
      <c r="AF63" s="52"/>
      <c r="AG63" s="52"/>
    </row>
    <row r="64" spans="2:79">
      <c r="D64" s="52"/>
      <c r="E64" s="52"/>
      <c r="F64" s="52"/>
      <c r="G64" s="52"/>
      <c r="H64" s="52"/>
      <c r="L64" s="6"/>
      <c r="M64" s="119" t="s">
        <v>35</v>
      </c>
      <c r="N64" s="120" t="e">
        <f>SUM(N60:N63)</f>
        <v>#REF!</v>
      </c>
      <c r="O64" s="120">
        <f>SUM(O60:O63)</f>
        <v>24168790.365523908</v>
      </c>
      <c r="P64" s="120" t="e">
        <f>SUM(P60:P62)</f>
        <v>#REF!</v>
      </c>
      <c r="Q64" s="358" t="e">
        <f>O64/N64-1</f>
        <v>#REF!</v>
      </c>
      <c r="AC64" s="52"/>
      <c r="AD64" s="52"/>
      <c r="AE64" s="52"/>
      <c r="AF64" s="52"/>
      <c r="AG64" s="52"/>
    </row>
    <row r="65" spans="4:33">
      <c r="D65" s="52"/>
      <c r="E65" s="52"/>
      <c r="F65" s="273"/>
      <c r="G65" s="52"/>
      <c r="H65" s="52"/>
      <c r="L65" s="17"/>
      <c r="M65" s="50"/>
      <c r="N65" s="52"/>
      <c r="O65" s="118" t="s">
        <v>73</v>
      </c>
      <c r="P65" s="179" t="e">
        <f>O64/N64-1</f>
        <v>#REF!</v>
      </c>
      <c r="Q65" s="356"/>
      <c r="AC65" s="179"/>
      <c r="AD65" s="179"/>
      <c r="AE65" s="179"/>
      <c r="AF65" s="179"/>
      <c r="AG65" s="179"/>
    </row>
    <row r="66" spans="4:33">
      <c r="D66" s="52"/>
      <c r="E66" s="52"/>
      <c r="F66" s="284"/>
      <c r="G66" s="284"/>
      <c r="H66" s="52"/>
      <c r="L66" s="6"/>
      <c r="M66" s="50"/>
      <c r="N66" s="52"/>
      <c r="O66" s="118" t="s">
        <v>70</v>
      </c>
      <c r="P66" s="180">
        <f>I19</f>
        <v>2.9112000000000001E-3</v>
      </c>
      <c r="Q66" s="356"/>
      <c r="AC66" s="180"/>
      <c r="AD66" s="180"/>
      <c r="AE66" s="180"/>
      <c r="AF66" s="180"/>
      <c r="AG66" s="180"/>
    </row>
    <row r="67" spans="4:33">
      <c r="D67" s="285"/>
      <c r="E67" s="286"/>
      <c r="F67" s="286"/>
      <c r="G67" s="286"/>
      <c r="H67" s="286"/>
      <c r="L67" s="6"/>
      <c r="M67" s="50"/>
      <c r="N67" s="52"/>
      <c r="O67" s="51" t="s">
        <v>93</v>
      </c>
      <c r="P67" s="181">
        <f>V19</f>
        <v>83694909</v>
      </c>
      <c r="Q67" s="356"/>
      <c r="AC67" s="181"/>
      <c r="AD67" s="181"/>
      <c r="AE67" s="181"/>
      <c r="AF67" s="181"/>
      <c r="AG67" s="181"/>
    </row>
    <row r="68" spans="4:33">
      <c r="D68" s="287"/>
      <c r="E68" s="180"/>
      <c r="F68" s="180"/>
      <c r="G68" s="288"/>
      <c r="H68" s="288"/>
      <c r="L68" s="6"/>
      <c r="M68" s="50"/>
      <c r="N68" s="52"/>
      <c r="O68" s="118" t="s">
        <v>71</v>
      </c>
      <c r="P68" s="52">
        <f>P66*P67</f>
        <v>243652.61908080001</v>
      </c>
      <c r="Q68" s="356"/>
      <c r="AC68" s="52"/>
      <c r="AD68" s="52"/>
      <c r="AE68" s="52"/>
      <c r="AF68" s="52"/>
      <c r="AG68" s="52"/>
    </row>
    <row r="69" spans="4:33">
      <c r="D69" s="289"/>
      <c r="E69" s="52"/>
      <c r="F69" s="52"/>
      <c r="G69" s="52"/>
      <c r="H69" s="52"/>
      <c r="L69" s="6"/>
      <c r="M69" s="350"/>
      <c r="N69" s="52"/>
      <c r="O69" s="118" t="s">
        <v>34</v>
      </c>
      <c r="P69" s="52" t="e">
        <f>P64-P68</f>
        <v>#REF!</v>
      </c>
      <c r="Q69" s="356"/>
      <c r="AC69" s="52"/>
      <c r="AD69" s="52"/>
      <c r="AE69" s="52"/>
      <c r="AF69" s="52"/>
      <c r="AG69" s="52"/>
    </row>
    <row r="70" spans="4:33">
      <c r="D70" s="52"/>
      <c r="E70" s="52"/>
      <c r="F70" s="273"/>
      <c r="G70" s="52"/>
      <c r="H70" s="52"/>
      <c r="M70" s="350"/>
      <c r="O70" s="6" t="s">
        <v>994</v>
      </c>
      <c r="P70" s="179" t="e">
        <f>P69/P64</f>
        <v>#REF!</v>
      </c>
      <c r="Q70" s="356"/>
      <c r="AC70" s="160"/>
      <c r="AD70" s="160"/>
      <c r="AE70" s="160"/>
      <c r="AF70" s="160"/>
      <c r="AG70" s="160"/>
    </row>
    <row r="71" spans="4:33" ht="14.4" thickBot="1">
      <c r="D71" s="52"/>
      <c r="E71" s="85">
        <f>F62/12</f>
        <v>0</v>
      </c>
      <c r="F71" s="7">
        <f>F60-E60</f>
        <v>0</v>
      </c>
      <c r="M71" s="54"/>
      <c r="N71" s="55"/>
      <c r="O71" s="55" t="s">
        <v>995</v>
      </c>
      <c r="P71" s="354" t="e">
        <f>1-P70</f>
        <v>#REF!</v>
      </c>
      <c r="Q71" s="357"/>
    </row>
    <row r="85" spans="3:6">
      <c r="C85" s="14" t="str">
        <f>I4</f>
        <v>Total Rate</v>
      </c>
      <c r="D85" s="14" t="str">
        <f>J4</f>
        <v>Debt Rate</v>
      </c>
      <c r="E85" s="14" t="str">
        <f>K4</f>
        <v>M&amp;O Rate</v>
      </c>
      <c r="F85" s="14"/>
    </row>
    <row r="86" spans="3:6">
      <c r="C86" s="189"/>
      <c r="D86" s="189"/>
      <c r="E86" s="189"/>
    </row>
    <row r="87" spans="3:6">
      <c r="C87" s="166">
        <f>I19*100</f>
        <v>0.29111999999999999</v>
      </c>
      <c r="D87" s="166">
        <f>J19*100</f>
        <v>4.3499999999999997E-2</v>
      </c>
      <c r="E87" s="166">
        <f>K19*100</f>
        <v>0.24762000000000001</v>
      </c>
    </row>
    <row r="88" spans="3:6">
      <c r="D88" s="82">
        <f>D87/C87</f>
        <v>0.14942291838417146</v>
      </c>
    </row>
    <row r="94" spans="3:6">
      <c r="D94" s="6"/>
    </row>
    <row r="100" spans="2:11">
      <c r="D100" s="6"/>
      <c r="E100" s="6"/>
      <c r="F100" s="6"/>
      <c r="G100" s="6"/>
      <c r="H100" s="6"/>
    </row>
    <row r="101" spans="2:11">
      <c r="D101" s="6"/>
      <c r="E101" s="6"/>
      <c r="F101" s="6"/>
      <c r="G101" s="6"/>
      <c r="H101" s="6"/>
    </row>
    <row r="102" spans="2:11">
      <c r="C102" s="14" t="s">
        <v>106</v>
      </c>
      <c r="D102" s="14" t="str">
        <f>I4</f>
        <v>Total Rate</v>
      </c>
      <c r="E102" s="14" t="s">
        <v>803</v>
      </c>
      <c r="F102" s="14" t="s">
        <v>112</v>
      </c>
      <c r="G102" s="14" t="s">
        <v>97</v>
      </c>
      <c r="H102" s="14" t="s">
        <v>106</v>
      </c>
      <c r="I102" s="14" t="str">
        <f>D102</f>
        <v>Total Rate</v>
      </c>
      <c r="J102" s="14" t="str">
        <f>E102</f>
        <v xml:space="preserve">O&amp;M </v>
      </c>
      <c r="K102" s="14" t="str">
        <f>F102</f>
        <v>I&amp;S</v>
      </c>
    </row>
    <row r="103" spans="2:11" ht="27.6">
      <c r="C103" s="338" t="str">
        <f>'General Fund Line-Item Details'!I5</f>
        <v>FY 2019-20 Actual</v>
      </c>
      <c r="D103" s="164">
        <f>I14*100</f>
        <v>0.39989999999999998</v>
      </c>
      <c r="E103" s="340">
        <f>-'General Fund Line-Item Details'!I10</f>
        <v>19709904.359999999</v>
      </c>
      <c r="F103" s="340">
        <f>-'Other Fund Line-Item Details'!I583</f>
        <v>4246678.75</v>
      </c>
      <c r="G103" s="340">
        <f>-'Other Fund Line-Item Details'!I619</f>
        <v>0</v>
      </c>
      <c r="H103" s="6" t="str">
        <f>C103</f>
        <v>FY 2019-20 Actual</v>
      </c>
      <c r="I103" s="82"/>
      <c r="J103" s="82"/>
      <c r="K103" s="82"/>
    </row>
    <row r="104" spans="2:11" ht="27.6">
      <c r="C104" s="338" t="str">
        <f>'General Fund Line-Item Details'!J5</f>
        <v>FY 2020-21 Actual</v>
      </c>
      <c r="D104" s="164">
        <f t="shared" ref="D104:D108" si="110">I15*100</f>
        <v>0.39500000000000002</v>
      </c>
      <c r="E104" s="340">
        <f>-'General Fund Line-Item Details'!J10</f>
        <v>20259418.16</v>
      </c>
      <c r="F104" s="340">
        <f>-'Other Fund Line-Item Details'!J583</f>
        <v>3703005.92</v>
      </c>
      <c r="G104" s="340">
        <f>-'Other Fund Line-Item Details'!J619</f>
        <v>0</v>
      </c>
      <c r="H104" s="6" t="str">
        <f t="shared" ref="H104:H109" si="111">C104</f>
        <v>FY 2020-21 Actual</v>
      </c>
      <c r="I104" s="82">
        <f t="shared" ref="I104:K105" si="112">D104/D103-1</f>
        <v>-1.2253063265816322E-2</v>
      </c>
      <c r="J104" s="82">
        <f t="shared" si="112"/>
        <v>2.7880084548517869E-2</v>
      </c>
      <c r="K104" s="82">
        <f t="shared" si="112"/>
        <v>-0.12802306508350791</v>
      </c>
    </row>
    <row r="105" spans="2:11" ht="27.6">
      <c r="C105" s="338" t="str">
        <f>'General Fund Line-Item Details'!K5</f>
        <v>FY 2021-22 Actual</v>
      </c>
      <c r="D105" s="164">
        <f t="shared" si="110"/>
        <v>0.39500000000000002</v>
      </c>
      <c r="E105" s="340">
        <f>-'General Fund Line-Item Details'!K10</f>
        <v>20203573.920000002</v>
      </c>
      <c r="F105" s="340">
        <f>-'Other Fund Line-Item Details'!K583</f>
        <v>3545530.92</v>
      </c>
      <c r="G105" s="340">
        <f>-'Other Fund Line-Item Details'!K619</f>
        <v>0</v>
      </c>
      <c r="H105" s="6" t="str">
        <f t="shared" si="111"/>
        <v>FY 2021-22 Actual</v>
      </c>
      <c r="I105" s="82">
        <f>D105/D104-1</f>
        <v>0</v>
      </c>
      <c r="J105" s="82">
        <f t="shared" si="112"/>
        <v>-2.7564582338428512E-3</v>
      </c>
      <c r="K105" s="82">
        <f t="shared" si="112"/>
        <v>-4.2526262015805782E-2</v>
      </c>
    </row>
    <row r="106" spans="2:11" ht="27.6">
      <c r="C106" s="338" t="str">
        <f>'General Fund Line-Item Details'!L5</f>
        <v>FY 2022-23 Actual</v>
      </c>
      <c r="D106" s="164">
        <f t="shared" si="110"/>
        <v>0.35450000000000004</v>
      </c>
      <c r="E106" s="340">
        <f>-'General Fund Line-Item Details'!L10</f>
        <v>19992159.91</v>
      </c>
      <c r="F106" s="340">
        <f>-'Other Fund Line-Item Details'!L583</f>
        <v>3616536.15</v>
      </c>
      <c r="G106" s="340">
        <f>-'Other Fund Line-Item Details'!L619</f>
        <v>27829.14</v>
      </c>
      <c r="H106" s="6" t="str">
        <f t="shared" si="111"/>
        <v>FY 2022-23 Actual</v>
      </c>
      <c r="I106" s="82">
        <f>D106/D105-1</f>
        <v>-0.10253164556962024</v>
      </c>
      <c r="J106" s="82">
        <f t="shared" ref="J106" si="113">E106/E105-1</f>
        <v>-1.0464188704292443E-2</v>
      </c>
      <c r="K106" s="82">
        <f t="shared" ref="K106" si="114">F106/F105-1</f>
        <v>2.0026684748246426E-2</v>
      </c>
    </row>
    <row r="107" spans="2:11" ht="27.6">
      <c r="C107" s="338" t="str">
        <f>'General Fund Line-Item Details'!M5</f>
        <v>FY 2023-24 Budget</v>
      </c>
      <c r="D107" s="164">
        <f t="shared" si="110"/>
        <v>0.312</v>
      </c>
      <c r="E107" s="340">
        <f>-'General Fund Line-Item Details'!M10</f>
        <v>19929589</v>
      </c>
      <c r="F107" s="340">
        <f>-'Other Fund Line-Item Details'!M583</f>
        <v>3978747</v>
      </c>
      <c r="G107" s="340">
        <f>-'Other Fund Line-Item Details'!M619</f>
        <v>154110</v>
      </c>
      <c r="H107" s="6" t="str">
        <f t="shared" si="111"/>
        <v>FY 2023-24 Budget</v>
      </c>
      <c r="I107" s="82"/>
      <c r="J107" s="82"/>
      <c r="K107" s="82"/>
    </row>
    <row r="108" spans="2:11" ht="27.6">
      <c r="C108" s="338" t="str">
        <f>'General Fund Line-Item Details'!O5</f>
        <v>FY 2023-24 
YE Proj.</v>
      </c>
      <c r="D108" s="164">
        <f t="shared" si="110"/>
        <v>0.29111999999999999</v>
      </c>
      <c r="E108" s="340">
        <f>-'General Fund Line-Item Details'!O10</f>
        <v>19929589</v>
      </c>
      <c r="F108" s="340">
        <f>-'Other Fund Line-Item Details'!O583</f>
        <v>3920747</v>
      </c>
      <c r="G108" s="340">
        <f>-'Other Fund Line-Item Details'!O619</f>
        <v>154110</v>
      </c>
      <c r="H108" s="6" t="str">
        <f t="shared" si="111"/>
        <v>FY 2023-24 
YE Proj.</v>
      </c>
      <c r="I108" s="82">
        <f>D108/D106-1</f>
        <v>-0.17878702397743307</v>
      </c>
      <c r="J108" s="82">
        <f>E108/E106-1</f>
        <v>-3.1297723848588976E-3</v>
      </c>
      <c r="K108" s="82">
        <f>F108/F106-1</f>
        <v>8.4116634642239063E-2</v>
      </c>
    </row>
    <row r="109" spans="2:11" ht="41.4">
      <c r="B109" s="139">
        <f>D109-D107</f>
        <v>-2.088000000000001E-2</v>
      </c>
      <c r="C109" s="339" t="str">
        <f>'General Fund Line-Item Details'!T5</f>
        <v>FY 2024-25 
Proposed Budget</v>
      </c>
      <c r="D109" s="164">
        <f t="shared" ref="D109" si="115">I19*100</f>
        <v>0.29111999999999999</v>
      </c>
      <c r="E109" s="340">
        <f>-'General Fund Line-Item Details'!T10</f>
        <v>20367977</v>
      </c>
      <c r="F109" s="340">
        <f>-'Other Fund Line-Item Details'!T583</f>
        <v>3605130</v>
      </c>
      <c r="G109" s="340">
        <f>-'Other Fund Line-Item Details'!T619</f>
        <v>195683.36552390701</v>
      </c>
      <c r="H109" s="6" t="str">
        <f t="shared" si="111"/>
        <v>FY 2024-25 
Proposed Budget</v>
      </c>
      <c r="I109" s="82">
        <f>D109/D108-1</f>
        <v>0</v>
      </c>
      <c r="J109" s="82">
        <f>E109/E108-1</f>
        <v>2.199684097850696E-2</v>
      </c>
      <c r="K109" s="82">
        <f>F109/F108-1</f>
        <v>-8.0499200790053571E-2</v>
      </c>
    </row>
    <row r="110" spans="2:11">
      <c r="D110" s="6"/>
      <c r="E110" s="6"/>
      <c r="F110" s="6"/>
      <c r="G110" s="6"/>
      <c r="H110" s="6"/>
    </row>
    <row r="112" spans="2:11">
      <c r="D112" s="6"/>
      <c r="E112" s="6"/>
      <c r="F112" s="6"/>
      <c r="G112" s="6"/>
      <c r="H112" s="6"/>
    </row>
    <row r="115" spans="4:8">
      <c r="D115" s="6"/>
      <c r="E115" s="6"/>
      <c r="F115" s="6"/>
      <c r="G115" s="6"/>
      <c r="H115" s="6"/>
    </row>
    <row r="120" spans="4:8">
      <c r="G120" s="82"/>
    </row>
    <row r="123" spans="4:8">
      <c r="G123" s="82"/>
    </row>
    <row r="131" spans="3:6">
      <c r="C131" s="6" t="s">
        <v>26</v>
      </c>
      <c r="D131" s="7" t="s">
        <v>1012</v>
      </c>
      <c r="E131" s="7" t="s">
        <v>89</v>
      </c>
      <c r="F131" s="7" t="s">
        <v>90</v>
      </c>
    </row>
    <row r="132" spans="3:6">
      <c r="C132" s="6" t="str">
        <f>$B$6</f>
        <v>FY 2011-12</v>
      </c>
      <c r="D132" s="366">
        <f>$AG$6*100</f>
        <v>0.44219000000000003</v>
      </c>
      <c r="E132" s="366">
        <f>$AH$6</f>
        <v>0.44928000000000001</v>
      </c>
      <c r="F132" s="365">
        <f t="shared" ref="F132:F140" si="116">AI6</f>
        <v>0.46451999999999999</v>
      </c>
    </row>
    <row r="133" spans="3:6">
      <c r="C133" s="6" t="str">
        <f>$B$7</f>
        <v>FY 2012-13</v>
      </c>
      <c r="D133" s="366">
        <f>$AG$7*100</f>
        <v>0.44219000000000003</v>
      </c>
      <c r="E133" s="366">
        <f>$AH$7</f>
        <v>0.44623000000000002</v>
      </c>
      <c r="F133" s="365">
        <f t="shared" si="116"/>
        <v>0.45646999999999999</v>
      </c>
    </row>
    <row r="134" spans="3:6">
      <c r="C134" s="6" t="str">
        <f>$B$8</f>
        <v>FY 2013-14</v>
      </c>
      <c r="D134" s="366">
        <f>$AG$8*100</f>
        <v>0.44219000000000003</v>
      </c>
      <c r="E134" s="366">
        <f>$AH$8</f>
        <v>0.43858999999999998</v>
      </c>
      <c r="F134" s="365">
        <f t="shared" si="116"/>
        <v>0.46843000000000001</v>
      </c>
    </row>
    <row r="135" spans="3:6">
      <c r="C135" s="6" t="str">
        <f>$B$9</f>
        <v>FY 2014-15</v>
      </c>
      <c r="D135" s="366">
        <f>$AG$9*100</f>
        <v>0.43718999999999997</v>
      </c>
      <c r="E135" s="366">
        <f>$AH$9</f>
        <v>0.42862</v>
      </c>
      <c r="F135" s="365">
        <f t="shared" si="116"/>
        <v>0.44619999999999999</v>
      </c>
    </row>
    <row r="136" spans="3:6">
      <c r="C136" s="6" t="str">
        <f>$B$10</f>
        <v>FY 2015-16</v>
      </c>
      <c r="D136" s="366">
        <f>$AG$10*100</f>
        <v>0.43468999999999997</v>
      </c>
      <c r="E136" s="366">
        <f>$AH$10</f>
        <v>0.44158999999999998</v>
      </c>
      <c r="F136" s="365">
        <f t="shared" si="116"/>
        <v>0.45713999999999999</v>
      </c>
    </row>
    <row r="137" spans="3:6">
      <c r="C137" s="6" t="str">
        <f>$B$11</f>
        <v>FY 2016-17</v>
      </c>
      <c r="D137" s="366">
        <f>$AG$11*100</f>
        <v>0.43</v>
      </c>
      <c r="E137" s="366">
        <f>$AH$11</f>
        <v>0.408854</v>
      </c>
      <c r="F137" s="365">
        <f t="shared" si="116"/>
        <v>0.43938100000000002</v>
      </c>
    </row>
    <row r="138" spans="3:6">
      <c r="C138" s="6" t="str">
        <f>$B$12</f>
        <v>FY 2017-18</v>
      </c>
      <c r="D138" s="366">
        <f>$AG$12*100</f>
        <v>0.42749999999999999</v>
      </c>
      <c r="E138" s="366">
        <f>$AH$12</f>
        <v>0.41819400000000001</v>
      </c>
      <c r="F138" s="365">
        <f t="shared" si="116"/>
        <v>0.43269400000000002</v>
      </c>
    </row>
    <row r="139" spans="3:6">
      <c r="C139" s="6" t="str">
        <f>$B$13</f>
        <v>FY 2018-19</v>
      </c>
      <c r="D139" s="366">
        <f>$AG$13*100</f>
        <v>0.41325000000000001</v>
      </c>
      <c r="E139" s="366">
        <f>$AH$13</f>
        <v>0.41327900000000001</v>
      </c>
      <c r="F139" s="365">
        <f t="shared" si="116"/>
        <v>0.413302</v>
      </c>
    </row>
    <row r="140" spans="3:6">
      <c r="C140" s="6" t="str">
        <f>$B$14</f>
        <v>FY 2019-20</v>
      </c>
      <c r="D140" s="366">
        <f>$AG$14*100</f>
        <v>0.39989999999999998</v>
      </c>
      <c r="E140" s="366">
        <f>$AH$14</f>
        <v>0.401949</v>
      </c>
      <c r="F140" s="365">
        <f t="shared" si="116"/>
        <v>0.431064</v>
      </c>
    </row>
    <row r="141" spans="3:6">
      <c r="C141" s="6" t="str">
        <f>$B$15</f>
        <v>FY 2020-21</v>
      </c>
      <c r="D141" s="366">
        <f>$AG$15*100</f>
        <v>0.39500000000000002</v>
      </c>
      <c r="E141" s="366">
        <f>$AH$15</f>
        <v>0.41758800000000001</v>
      </c>
      <c r="F141" s="365">
        <f>AI15</f>
        <v>0.41627799999999998</v>
      </c>
    </row>
    <row r="142" spans="3:6">
      <c r="C142" s="6" t="s">
        <v>3392</v>
      </c>
      <c r="D142" s="366">
        <f>$AG$16*100</f>
        <v>0.39500000000000002</v>
      </c>
      <c r="E142" s="366">
        <v>0.40622000000000003</v>
      </c>
      <c r="F142" s="365">
        <f>AI16</f>
        <v>0.40626200000000001</v>
      </c>
    </row>
    <row r="143" spans="3:6">
      <c r="C143" s="6" t="s">
        <v>1081</v>
      </c>
      <c r="D143" s="366">
        <v>0.35449999999999998</v>
      </c>
      <c r="E143" s="594">
        <v>0.41758800000000001</v>
      </c>
      <c r="F143" s="593">
        <v>0.37456</v>
      </c>
    </row>
    <row r="144" spans="3:6">
      <c r="C144" s="6" t="s">
        <v>1085</v>
      </c>
      <c r="D144" s="366">
        <v>0.312</v>
      </c>
      <c r="E144" s="594">
        <v>0.41758800000000001</v>
      </c>
      <c r="F144" s="593">
        <v>0.33245000000000002</v>
      </c>
    </row>
    <row r="145" spans="3:6">
      <c r="C145" s="6" t="str">
        <f>$B$19</f>
        <v>FY 2024-25</v>
      </c>
      <c r="D145" s="366">
        <f>$AG$19*100</f>
        <v>0.29111999999999999</v>
      </c>
      <c r="E145" s="366">
        <f>$AH$19</f>
        <v>0.41758800000000001</v>
      </c>
      <c r="F145" s="365">
        <f>AI19</f>
        <v>0.33245000000000002</v>
      </c>
    </row>
    <row r="146" spans="3:6">
      <c r="D146" s="366"/>
      <c r="E146" s="366"/>
    </row>
    <row r="147" spans="3:6">
      <c r="D147" s="365">
        <f>D139-D141</f>
        <v>1.8249999999999988E-2</v>
      </c>
      <c r="E147" s="17"/>
    </row>
  </sheetData>
  <mergeCells count="11">
    <mergeCell ref="Y3:AE3"/>
    <mergeCell ref="AN3:AW3"/>
    <mergeCell ref="AG3:AI3"/>
    <mergeCell ref="M58:Q58"/>
    <mergeCell ref="A1:Q1"/>
    <mergeCell ref="A2:D2"/>
    <mergeCell ref="D3:G3"/>
    <mergeCell ref="I3:K3"/>
    <mergeCell ref="N3:O3"/>
    <mergeCell ref="O44:R44"/>
    <mergeCell ref="B45:H45"/>
  </mergeCells>
  <hyperlinks>
    <hyperlink ref="A2" location="'TABLE OF CONTENTS'!A1" display="GO TO SUMMARY PAGE" xr:uid="{00000000-0004-0000-1000-000000000000}"/>
  </hyperlinks>
  <pageMargins left="0.7" right="0.7" top="0.75" bottom="0.75" header="0.3" footer="0.3"/>
  <pageSetup paperSize="5" scale="46" orientation="landscape" r:id="rId1"/>
  <rowBreaks count="1" manualBreakCount="1">
    <brk id="71" max="16383" man="1"/>
  </rowBreaks>
  <colBreaks count="1" manualBreakCount="1">
    <brk id="2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C00000"/>
  </sheetPr>
  <dimension ref="A1:AI1142"/>
  <sheetViews>
    <sheetView topLeftCell="A235" workbookViewId="0">
      <selection activeCell="I252" sqref="I252"/>
    </sheetView>
  </sheetViews>
  <sheetFormatPr defaultRowHeight="14.4"/>
  <cols>
    <col min="1" max="1" width="21.44140625" style="187" customWidth="1"/>
    <col min="2" max="2" width="33.109375" customWidth="1"/>
    <col min="3" max="3" width="34.5546875" customWidth="1"/>
    <col min="4" max="4" width="19.88671875" customWidth="1"/>
    <col min="5" max="5" width="16.44140625" customWidth="1"/>
    <col min="6" max="13" width="15.88671875" customWidth="1"/>
    <col min="14" max="14" width="15.88671875" hidden="1" customWidth="1"/>
    <col min="15" max="15" width="15.88671875" customWidth="1"/>
    <col min="16" max="20" width="15.88671875" hidden="1" customWidth="1"/>
    <col min="21" max="22" width="15.88671875" customWidth="1"/>
    <col min="23" max="23" width="17.88671875" customWidth="1"/>
    <col min="24" max="24" width="14.5546875" customWidth="1"/>
    <col min="25" max="25" width="10.44140625" customWidth="1"/>
    <col min="29" max="29" width="18.44140625" customWidth="1"/>
    <col min="34" max="34" width="11.88671875" style="31" customWidth="1"/>
  </cols>
  <sheetData>
    <row r="1" spans="1:34">
      <c r="A1" s="486" t="s">
        <v>1104</v>
      </c>
      <c r="B1" s="1" t="s">
        <v>1105</v>
      </c>
      <c r="C1" s="1" t="s">
        <v>1106</v>
      </c>
      <c r="D1" t="s">
        <v>3536</v>
      </c>
      <c r="E1" t="s">
        <v>3538</v>
      </c>
      <c r="F1" t="s">
        <v>3540</v>
      </c>
      <c r="G1" t="s">
        <v>3542</v>
      </c>
      <c r="H1" t="s">
        <v>3544</v>
      </c>
      <c r="Z1" s="31"/>
      <c r="AH1"/>
    </row>
    <row r="2" spans="1:34">
      <c r="D2" t="s">
        <v>794</v>
      </c>
    </row>
    <row r="3" spans="1:34">
      <c r="A3" s="187" t="s">
        <v>526</v>
      </c>
      <c r="B3" t="s">
        <v>392</v>
      </c>
      <c r="C3" s="201" t="s">
        <v>1045</v>
      </c>
      <c r="D3" s="36">
        <v>0.01</v>
      </c>
      <c r="E3" s="36">
        <v>0.01</v>
      </c>
      <c r="F3" s="36">
        <v>0.01</v>
      </c>
      <c r="G3" s="36">
        <f>'5 Year Forecast'!$O$8</f>
        <v>0.02</v>
      </c>
      <c r="H3" s="36">
        <f>'5 Year Forecast'!$P$8</f>
        <v>0.02</v>
      </c>
    </row>
    <row r="4" spans="1:34">
      <c r="A4" s="326" t="s">
        <v>527</v>
      </c>
      <c r="B4" t="s">
        <v>393</v>
      </c>
      <c r="C4" s="201" t="s">
        <v>1045</v>
      </c>
      <c r="D4" s="36">
        <f>D3</f>
        <v>0.01</v>
      </c>
      <c r="E4" s="36">
        <f>E3</f>
        <v>0.01</v>
      </c>
      <c r="F4" s="36">
        <f>F3</f>
        <v>0.01</v>
      </c>
      <c r="G4" s="36">
        <f>G3</f>
        <v>0.02</v>
      </c>
      <c r="H4" s="36">
        <f>H3</f>
        <v>0.02</v>
      </c>
    </row>
    <row r="5" spans="1:34">
      <c r="A5" s="326" t="s">
        <v>528</v>
      </c>
      <c r="B5" t="s">
        <v>452</v>
      </c>
      <c r="C5" s="201" t="s">
        <v>1045</v>
      </c>
      <c r="D5" s="36">
        <f>D4</f>
        <v>0.01</v>
      </c>
      <c r="E5" s="36">
        <f>E4</f>
        <v>0.01</v>
      </c>
      <c r="F5" s="36">
        <f>F4</f>
        <v>0.01</v>
      </c>
      <c r="G5" s="36">
        <f>G4</f>
        <v>0.02</v>
      </c>
      <c r="H5" s="36">
        <f>H4</f>
        <v>0.02</v>
      </c>
    </row>
    <row r="6" spans="1:34">
      <c r="A6" s="326" t="s">
        <v>529</v>
      </c>
      <c r="B6" t="s">
        <v>394</v>
      </c>
      <c r="C6" s="201" t="s">
        <v>1045</v>
      </c>
      <c r="D6" s="36">
        <f>D5</f>
        <v>0.01</v>
      </c>
      <c r="E6" s="36">
        <f>E5</f>
        <v>0.01</v>
      </c>
      <c r="F6" s="36">
        <f>F5</f>
        <v>0.01</v>
      </c>
      <c r="G6" s="36">
        <f>G5</f>
        <v>0.02</v>
      </c>
      <c r="H6" s="36">
        <f>H5</f>
        <v>0.02</v>
      </c>
      <c r="L6" t="str">
        <f>PROPER(L11)</f>
        <v>Tra Payment-Wastewater</v>
      </c>
    </row>
    <row r="7" spans="1:34">
      <c r="A7" s="326" t="s">
        <v>931</v>
      </c>
      <c r="B7" t="s">
        <v>849</v>
      </c>
      <c r="C7" s="201" t="s">
        <v>1047</v>
      </c>
      <c r="D7" s="36">
        <f>D6</f>
        <v>0.01</v>
      </c>
      <c r="E7" s="36">
        <f>E6</f>
        <v>0.01</v>
      </c>
      <c r="F7" s="36">
        <f>F6</f>
        <v>0.01</v>
      </c>
      <c r="G7" s="36">
        <f>G6</f>
        <v>0.02</v>
      </c>
      <c r="H7" s="36">
        <f>H6</f>
        <v>0.02</v>
      </c>
    </row>
    <row r="8" spans="1:34">
      <c r="A8" s="326" t="s">
        <v>530</v>
      </c>
      <c r="B8" t="s">
        <v>395</v>
      </c>
      <c r="C8" s="201" t="s">
        <v>1048</v>
      </c>
      <c r="D8" s="36">
        <f>'5 Year Forecast'!L9</f>
        <v>0.02</v>
      </c>
      <c r="E8" s="36">
        <f>'5 Year Forecast'!M9</f>
        <v>2.5000000000000001E-2</v>
      </c>
      <c r="F8" s="36">
        <f>'5 Year Forecast'!N9</f>
        <v>2.5000000000000001E-2</v>
      </c>
      <c r="G8" s="36">
        <f>'5 Year Forecast'!O9</f>
        <v>2.5000000000000001E-2</v>
      </c>
      <c r="H8" s="36">
        <f>'5 Year Forecast'!P9</f>
        <v>2.5000000000000001E-2</v>
      </c>
    </row>
    <row r="9" spans="1:34">
      <c r="A9" s="326" t="s">
        <v>531</v>
      </c>
      <c r="B9" t="s">
        <v>3137</v>
      </c>
      <c r="C9" s="201" t="s">
        <v>1049</v>
      </c>
      <c r="D9" s="36">
        <f>'5 Year Forecast'!L10</f>
        <v>0.03</v>
      </c>
      <c r="E9" s="36">
        <f>'5 Year Forecast'!M10</f>
        <v>0.03</v>
      </c>
      <c r="F9" s="36">
        <f>'5 Year Forecast'!N10</f>
        <v>0.03</v>
      </c>
      <c r="G9" s="36">
        <f>'5 Year Forecast'!O10</f>
        <v>0.03</v>
      </c>
      <c r="H9" s="36">
        <f>'5 Year Forecast'!P10</f>
        <v>0.03</v>
      </c>
    </row>
    <row r="10" spans="1:34">
      <c r="A10" s="326" t="s">
        <v>532</v>
      </c>
      <c r="B10" t="s">
        <v>469</v>
      </c>
      <c r="C10" s="201" t="s">
        <v>1049</v>
      </c>
      <c r="D10" s="36">
        <f>D9</f>
        <v>0.03</v>
      </c>
      <c r="E10" s="36">
        <f>E9</f>
        <v>0.03</v>
      </c>
      <c r="F10" s="36">
        <f>F9</f>
        <v>0.03</v>
      </c>
      <c r="G10" s="36">
        <f>G9</f>
        <v>0.03</v>
      </c>
      <c r="H10" s="36">
        <f>H9</f>
        <v>0.03</v>
      </c>
    </row>
    <row r="11" spans="1:34">
      <c r="A11" s="326" t="s">
        <v>533</v>
      </c>
      <c r="B11" t="s">
        <v>447</v>
      </c>
      <c r="C11" s="201" t="s">
        <v>1049</v>
      </c>
      <c r="D11" s="36">
        <f>D10</f>
        <v>0.03</v>
      </c>
      <c r="E11" s="36">
        <f>E10</f>
        <v>0.03</v>
      </c>
      <c r="F11" s="36">
        <f>F10</f>
        <v>0.03</v>
      </c>
      <c r="G11" s="36">
        <f>G10</f>
        <v>0.03</v>
      </c>
      <c r="H11" s="36">
        <f>H10</f>
        <v>0.03</v>
      </c>
      <c r="K11" s="325" t="s">
        <v>365</v>
      </c>
      <c r="L11" t="s">
        <v>988</v>
      </c>
    </row>
    <row r="12" spans="1:34">
      <c r="A12" s="326" t="s">
        <v>534</v>
      </c>
      <c r="B12" t="s">
        <v>470</v>
      </c>
      <c r="C12" s="201" t="s">
        <v>1049</v>
      </c>
      <c r="D12" s="36">
        <f>D11</f>
        <v>0.03</v>
      </c>
      <c r="E12" s="36">
        <f>E11</f>
        <v>0.03</v>
      </c>
      <c r="F12" s="36">
        <f>F11</f>
        <v>0.03</v>
      </c>
      <c r="G12" s="36">
        <f>G11</f>
        <v>0.03</v>
      </c>
      <c r="H12" s="36">
        <f>H11</f>
        <v>0.03</v>
      </c>
      <c r="K12" s="325" t="s">
        <v>356</v>
      </c>
      <c r="L12" t="s">
        <v>987</v>
      </c>
    </row>
    <row r="13" spans="1:34">
      <c r="A13" s="326" t="s">
        <v>535</v>
      </c>
      <c r="B13" t="s">
        <v>3382</v>
      </c>
      <c r="C13" s="201" t="s">
        <v>1049</v>
      </c>
      <c r="D13" s="36">
        <f>D12</f>
        <v>0.03</v>
      </c>
      <c r="E13" s="36">
        <f>E12</f>
        <v>0.03</v>
      </c>
      <c r="F13" s="36">
        <f>F12</f>
        <v>0.03</v>
      </c>
      <c r="G13" s="36">
        <f>G12</f>
        <v>0.03</v>
      </c>
      <c r="H13" s="36">
        <f>H12</f>
        <v>0.03</v>
      </c>
      <c r="K13" s="325" t="s">
        <v>917</v>
      </c>
      <c r="L13" t="s">
        <v>916</v>
      </c>
    </row>
    <row r="14" spans="1:34">
      <c r="A14" s="326" t="s">
        <v>536</v>
      </c>
      <c r="B14" t="s">
        <v>449</v>
      </c>
      <c r="C14" s="201" t="s">
        <v>1049</v>
      </c>
      <c r="D14" s="36">
        <f>D13</f>
        <v>0.03</v>
      </c>
      <c r="E14" s="36">
        <f>E13</f>
        <v>0.03</v>
      </c>
      <c r="F14" s="36">
        <f>F13</f>
        <v>0.03</v>
      </c>
      <c r="G14" s="36">
        <f>G13</f>
        <v>0.03</v>
      </c>
      <c r="H14" s="36">
        <f>H13</f>
        <v>0.03</v>
      </c>
      <c r="K14" s="325" t="s">
        <v>919</v>
      </c>
      <c r="L14" t="s">
        <v>120</v>
      </c>
    </row>
    <row r="15" spans="1:34">
      <c r="A15" s="326" t="s">
        <v>537</v>
      </c>
      <c r="B15" t="s">
        <v>396</v>
      </c>
      <c r="C15" s="201" t="s">
        <v>1049</v>
      </c>
      <c r="D15" s="36">
        <f>D14</f>
        <v>0.03</v>
      </c>
      <c r="E15" s="36">
        <f>E14</f>
        <v>0.03</v>
      </c>
      <c r="F15" s="36">
        <f>F14</f>
        <v>0.03</v>
      </c>
      <c r="G15" s="36">
        <f>G14</f>
        <v>0.03</v>
      </c>
      <c r="H15" s="36">
        <f>H14</f>
        <v>0.03</v>
      </c>
      <c r="K15" s="325" t="s">
        <v>918</v>
      </c>
      <c r="L15" s="201" t="s">
        <v>121</v>
      </c>
    </row>
    <row r="16" spans="1:34">
      <c r="A16" s="326" t="s">
        <v>538</v>
      </c>
      <c r="B16" t="s">
        <v>471</v>
      </c>
      <c r="C16" s="201" t="s">
        <v>1049</v>
      </c>
      <c r="D16" s="36">
        <f>D15</f>
        <v>0.03</v>
      </c>
      <c r="E16" s="36">
        <f>E15</f>
        <v>0.03</v>
      </c>
      <c r="F16" s="36">
        <f>F15</f>
        <v>0.03</v>
      </c>
      <c r="G16" s="36">
        <f>G15</f>
        <v>0.03</v>
      </c>
      <c r="H16" s="36">
        <f>H15</f>
        <v>0.03</v>
      </c>
      <c r="K16" s="325" t="s">
        <v>920</v>
      </c>
      <c r="L16" s="201" t="s">
        <v>121</v>
      </c>
    </row>
    <row r="17" spans="1:12">
      <c r="A17" s="326" t="s">
        <v>539</v>
      </c>
      <c r="B17" t="s">
        <v>472</v>
      </c>
      <c r="C17" s="201" t="s">
        <v>1049</v>
      </c>
      <c r="D17" s="36">
        <f>D16</f>
        <v>0.03</v>
      </c>
      <c r="E17" s="36">
        <f>E16</f>
        <v>0.03</v>
      </c>
      <c r="F17" s="36">
        <f>F16</f>
        <v>0.03</v>
      </c>
      <c r="G17" s="36">
        <f>G16</f>
        <v>0.03</v>
      </c>
      <c r="H17" s="36">
        <f>H16</f>
        <v>0.03</v>
      </c>
      <c r="K17" s="325" t="s">
        <v>921</v>
      </c>
      <c r="L17" s="201" t="s">
        <v>122</v>
      </c>
    </row>
    <row r="18" spans="1:12">
      <c r="A18" s="326" t="s">
        <v>540</v>
      </c>
      <c r="B18" t="s">
        <v>450</v>
      </c>
      <c r="C18" s="201" t="s">
        <v>1049</v>
      </c>
      <c r="D18" s="36">
        <f>D17</f>
        <v>0.03</v>
      </c>
      <c r="E18" s="36">
        <f>E17</f>
        <v>0.03</v>
      </c>
      <c r="F18" s="36">
        <f>F17</f>
        <v>0.03</v>
      </c>
      <c r="G18" s="36">
        <f>G17</f>
        <v>0.03</v>
      </c>
      <c r="H18" s="36">
        <f>H17</f>
        <v>0.03</v>
      </c>
      <c r="K18" s="325" t="s">
        <v>922</v>
      </c>
      <c r="L18" s="201" t="s">
        <v>122</v>
      </c>
    </row>
    <row r="19" spans="1:12">
      <c r="A19" s="326" t="s">
        <v>541</v>
      </c>
      <c r="B19" t="s">
        <v>397</v>
      </c>
      <c r="C19" s="201" t="s">
        <v>1049</v>
      </c>
      <c r="D19" s="36">
        <f>D18</f>
        <v>0.03</v>
      </c>
      <c r="E19" s="36">
        <f>E18</f>
        <v>0.03</v>
      </c>
      <c r="F19" s="36">
        <f>F18</f>
        <v>0.03</v>
      </c>
      <c r="G19" s="36">
        <f>G18</f>
        <v>0.03</v>
      </c>
      <c r="H19" s="36">
        <f>H18</f>
        <v>0.03</v>
      </c>
      <c r="K19" s="325" t="s">
        <v>923</v>
      </c>
      <c r="L19" s="201" t="s">
        <v>122</v>
      </c>
    </row>
    <row r="20" spans="1:12">
      <c r="A20" s="326" t="s">
        <v>542</v>
      </c>
      <c r="B20" t="s">
        <v>473</v>
      </c>
      <c r="C20" s="201" t="s">
        <v>1049</v>
      </c>
      <c r="D20" s="36">
        <v>0.03</v>
      </c>
      <c r="E20" s="36">
        <v>0.03</v>
      </c>
      <c r="F20" s="36">
        <v>0.03</v>
      </c>
      <c r="G20" s="36">
        <v>0.03</v>
      </c>
      <c r="H20" s="36">
        <v>0.03</v>
      </c>
      <c r="K20" s="325" t="s">
        <v>924</v>
      </c>
      <c r="L20" s="201" t="s">
        <v>755</v>
      </c>
    </row>
    <row r="21" spans="1:12">
      <c r="A21" s="326" t="s">
        <v>543</v>
      </c>
      <c r="B21" t="s">
        <v>851</v>
      </c>
      <c r="C21" s="201" t="s">
        <v>1050</v>
      </c>
      <c r="D21">
        <f>'5 Year Forecast'!L11</f>
        <v>-0.02</v>
      </c>
      <c r="E21">
        <f>'5 Year Forecast'!M11</f>
        <v>-0.02</v>
      </c>
      <c r="F21">
        <f>'5 Year Forecast'!N11</f>
        <v>-0.02</v>
      </c>
      <c r="G21">
        <f>'5 Year Forecast'!O11</f>
        <v>-0.02</v>
      </c>
      <c r="H21">
        <f>'5 Year Forecast'!P11</f>
        <v>-0.02</v>
      </c>
      <c r="K21" s="325" t="s">
        <v>925</v>
      </c>
      <c r="L21" s="201" t="s">
        <v>56</v>
      </c>
    </row>
    <row r="22" spans="1:12">
      <c r="A22" s="326" t="s">
        <v>544</v>
      </c>
      <c r="B22" t="s">
        <v>852</v>
      </c>
      <c r="C22" s="201" t="s">
        <v>1050</v>
      </c>
      <c r="D22" s="36">
        <f>D21</f>
        <v>-0.02</v>
      </c>
      <c r="E22" s="36">
        <f>E21</f>
        <v>-0.02</v>
      </c>
      <c r="F22" s="36">
        <f>F21</f>
        <v>-0.02</v>
      </c>
      <c r="G22" s="36">
        <f>G21</f>
        <v>-0.02</v>
      </c>
      <c r="H22" s="36">
        <f>H21</f>
        <v>-0.02</v>
      </c>
      <c r="K22" s="325" t="s">
        <v>926</v>
      </c>
      <c r="L22" s="201" t="s">
        <v>125</v>
      </c>
    </row>
    <row r="23" spans="1:12">
      <c r="A23" s="326" t="s">
        <v>545</v>
      </c>
      <c r="B23" t="s">
        <v>398</v>
      </c>
      <c r="C23" s="201" t="s">
        <v>1050</v>
      </c>
      <c r="D23" s="36">
        <f>D22</f>
        <v>-0.02</v>
      </c>
      <c r="E23" s="36">
        <f>E22</f>
        <v>-0.02</v>
      </c>
      <c r="F23" s="36">
        <f>F22</f>
        <v>-0.02</v>
      </c>
      <c r="G23" s="36">
        <f>G22</f>
        <v>-0.02</v>
      </c>
      <c r="H23" s="36">
        <f>H22</f>
        <v>-0.02</v>
      </c>
    </row>
    <row r="24" spans="1:12">
      <c r="A24" s="326" t="s">
        <v>546</v>
      </c>
      <c r="B24" t="s">
        <v>399</v>
      </c>
      <c r="C24" s="201" t="s">
        <v>1050</v>
      </c>
      <c r="D24" s="36">
        <f>D23</f>
        <v>-0.02</v>
      </c>
      <c r="E24" s="36">
        <f>E23</f>
        <v>-0.02</v>
      </c>
      <c r="F24" s="36">
        <f>F23</f>
        <v>-0.02</v>
      </c>
      <c r="G24" s="36">
        <f>G23</f>
        <v>-0.02</v>
      </c>
      <c r="H24" s="36">
        <f>H23</f>
        <v>-0.02</v>
      </c>
    </row>
    <row r="25" spans="1:12">
      <c r="A25" s="326" t="s">
        <v>932</v>
      </c>
      <c r="B25" t="s">
        <v>3431</v>
      </c>
      <c r="C25" s="201" t="s">
        <v>1050</v>
      </c>
      <c r="D25" s="36">
        <f>D24</f>
        <v>-0.02</v>
      </c>
      <c r="E25" s="36">
        <f>E24</f>
        <v>-0.02</v>
      </c>
      <c r="F25" s="36">
        <f>F24</f>
        <v>-0.02</v>
      </c>
      <c r="G25" s="36">
        <f>G24</f>
        <v>-0.02</v>
      </c>
      <c r="H25" s="36">
        <f>H24</f>
        <v>-0.02</v>
      </c>
    </row>
    <row r="26" spans="1:12">
      <c r="A26" s="326" t="s">
        <v>547</v>
      </c>
      <c r="B26" t="s">
        <v>853</v>
      </c>
      <c r="C26" s="201" t="s">
        <v>1050</v>
      </c>
      <c r="D26" s="36">
        <f>D25</f>
        <v>-0.02</v>
      </c>
      <c r="E26" s="36">
        <f>E25</f>
        <v>-0.02</v>
      </c>
      <c r="F26" s="36">
        <f>F25</f>
        <v>-0.02</v>
      </c>
      <c r="G26" s="36">
        <f>G25</f>
        <v>-0.02</v>
      </c>
      <c r="H26" s="36">
        <f>H25</f>
        <v>-0.02</v>
      </c>
    </row>
    <row r="27" spans="1:12">
      <c r="A27" s="326" t="s">
        <v>548</v>
      </c>
      <c r="B27" t="s">
        <v>3432</v>
      </c>
      <c r="C27" s="201" t="s">
        <v>1046</v>
      </c>
      <c r="D27" s="36">
        <f>'5 Year Forecast'!L14</f>
        <v>-0.02</v>
      </c>
      <c r="E27" s="36">
        <f>'5 Year Forecast'!M14</f>
        <v>-0.02</v>
      </c>
      <c r="F27" s="36">
        <f>'5 Year Forecast'!N14</f>
        <v>-0.02</v>
      </c>
      <c r="G27" s="36">
        <f>'5 Year Forecast'!O14</f>
        <v>-0.02</v>
      </c>
      <c r="H27" s="36">
        <f>'5 Year Forecast'!P14</f>
        <v>-0.02</v>
      </c>
    </row>
    <row r="28" spans="1:12">
      <c r="A28" s="326" t="s">
        <v>3546</v>
      </c>
      <c r="B28" t="s">
        <v>3503</v>
      </c>
      <c r="C28" s="201" t="e">
        <v>#N/A</v>
      </c>
      <c r="D28" s="36">
        <f>D27</f>
        <v>-0.02</v>
      </c>
      <c r="E28" s="36">
        <f>E27</f>
        <v>-0.02</v>
      </c>
      <c r="F28" s="36">
        <f>F27</f>
        <v>-0.02</v>
      </c>
      <c r="G28" s="36">
        <f>G27</f>
        <v>-0.02</v>
      </c>
      <c r="H28" s="36">
        <f>H27</f>
        <v>-0.02</v>
      </c>
    </row>
    <row r="29" spans="1:12">
      <c r="A29" s="326" t="s">
        <v>549</v>
      </c>
      <c r="B29" t="s">
        <v>3433</v>
      </c>
      <c r="C29" s="201" t="s">
        <v>1046</v>
      </c>
      <c r="D29" s="36">
        <f>D28</f>
        <v>-0.02</v>
      </c>
      <c r="E29" s="36">
        <f>E28</f>
        <v>-0.02</v>
      </c>
      <c r="F29" s="36">
        <f>F28</f>
        <v>-0.02</v>
      </c>
      <c r="G29" s="36">
        <f>G28</f>
        <v>-0.02</v>
      </c>
      <c r="H29" s="36">
        <f>H28</f>
        <v>-0.02</v>
      </c>
    </row>
    <row r="30" spans="1:12">
      <c r="A30" s="326" t="s">
        <v>550</v>
      </c>
      <c r="B30" t="s">
        <v>400</v>
      </c>
      <c r="C30" s="201" t="s">
        <v>1046</v>
      </c>
      <c r="D30" s="36">
        <f>D29</f>
        <v>-0.02</v>
      </c>
      <c r="E30" s="36">
        <f>E29</f>
        <v>-0.02</v>
      </c>
      <c r="F30" s="36">
        <f>F29</f>
        <v>-0.02</v>
      </c>
      <c r="G30" s="36">
        <f>G29</f>
        <v>-0.02</v>
      </c>
      <c r="H30" s="36">
        <f>H29</f>
        <v>-0.02</v>
      </c>
    </row>
    <row r="31" spans="1:12">
      <c r="A31" s="326" t="s">
        <v>933</v>
      </c>
      <c r="B31" t="s">
        <v>854</v>
      </c>
      <c r="C31" s="201" t="s">
        <v>1046</v>
      </c>
      <c r="D31" s="36">
        <f>D30</f>
        <v>-0.02</v>
      </c>
      <c r="E31" s="36">
        <f>E30</f>
        <v>-0.02</v>
      </c>
      <c r="F31" s="36">
        <f>F30</f>
        <v>-0.02</v>
      </c>
      <c r="G31" s="36">
        <f>G30</f>
        <v>-0.02</v>
      </c>
      <c r="H31" s="36">
        <f>H30</f>
        <v>-0.02</v>
      </c>
    </row>
    <row r="32" spans="1:12">
      <c r="A32" s="326" t="s">
        <v>551</v>
      </c>
      <c r="B32" t="s">
        <v>855</v>
      </c>
      <c r="C32" s="201" t="s">
        <v>1046</v>
      </c>
      <c r="D32" s="36">
        <f>D31</f>
        <v>-0.02</v>
      </c>
      <c r="E32" s="36">
        <f>E31</f>
        <v>-0.02</v>
      </c>
      <c r="F32" s="36">
        <f>F31</f>
        <v>-0.02</v>
      </c>
      <c r="G32" s="36">
        <f>G31</f>
        <v>-0.02</v>
      </c>
      <c r="H32" s="36">
        <f>H31</f>
        <v>-0.02</v>
      </c>
    </row>
    <row r="33" spans="1:8">
      <c r="A33" s="326" t="s">
        <v>552</v>
      </c>
      <c r="B33" t="s">
        <v>401</v>
      </c>
      <c r="C33" s="201" t="s">
        <v>1046</v>
      </c>
      <c r="D33" s="36">
        <f>D32</f>
        <v>-0.02</v>
      </c>
      <c r="E33" s="36">
        <f>E32</f>
        <v>-0.02</v>
      </c>
      <c r="F33" s="36">
        <f>F32</f>
        <v>-0.02</v>
      </c>
      <c r="G33" s="36">
        <f>G32</f>
        <v>-0.02</v>
      </c>
      <c r="H33" s="36">
        <f>H32</f>
        <v>-0.02</v>
      </c>
    </row>
    <row r="34" spans="1:8">
      <c r="A34" s="326" t="s">
        <v>553</v>
      </c>
      <c r="B34" t="s">
        <v>402</v>
      </c>
      <c r="C34" s="201" t="s">
        <v>1046</v>
      </c>
      <c r="D34" s="36">
        <f>D33</f>
        <v>-0.02</v>
      </c>
      <c r="E34" s="36">
        <f>E33</f>
        <v>-0.02</v>
      </c>
      <c r="F34" s="36">
        <f>F33</f>
        <v>-0.02</v>
      </c>
      <c r="G34" s="36">
        <f>G33</f>
        <v>-0.02</v>
      </c>
      <c r="H34" s="36">
        <f>H33</f>
        <v>-0.02</v>
      </c>
    </row>
    <row r="35" spans="1:8">
      <c r="A35" s="326" t="s">
        <v>942</v>
      </c>
      <c r="B35" t="s">
        <v>858</v>
      </c>
      <c r="C35" s="201" t="s">
        <v>1046</v>
      </c>
      <c r="D35" s="36">
        <f>D34</f>
        <v>-0.02</v>
      </c>
      <c r="E35" s="36">
        <f>E34</f>
        <v>-0.02</v>
      </c>
      <c r="F35" s="36">
        <f>F34</f>
        <v>-0.02</v>
      </c>
      <c r="G35" s="36">
        <f>G34</f>
        <v>-0.02</v>
      </c>
      <c r="H35" s="36">
        <f>H34</f>
        <v>-0.02</v>
      </c>
    </row>
    <row r="36" spans="1:8">
      <c r="A36" s="326" t="s">
        <v>554</v>
      </c>
      <c r="B36" t="s">
        <v>403</v>
      </c>
      <c r="C36" s="201" t="s">
        <v>1051</v>
      </c>
      <c r="D36" s="36">
        <f>'5 Year Forecast'!L13</f>
        <v>0</v>
      </c>
      <c r="E36" s="36">
        <f>'5 Year Forecast'!M13</f>
        <v>0</v>
      </c>
      <c r="F36" s="36">
        <f>'5 Year Forecast'!N13</f>
        <v>0</v>
      </c>
      <c r="G36" s="36">
        <f>'5 Year Forecast'!O13</f>
        <v>0</v>
      </c>
      <c r="H36" s="36">
        <f>'5 Year Forecast'!P13</f>
        <v>0</v>
      </c>
    </row>
    <row r="37" spans="1:8">
      <c r="A37" s="326" t="s">
        <v>555</v>
      </c>
      <c r="B37" t="s">
        <v>860</v>
      </c>
      <c r="C37" s="201" t="s">
        <v>1052</v>
      </c>
      <c r="D37" s="36">
        <f>'5 Year Forecast'!L12</f>
        <v>0.03</v>
      </c>
      <c r="E37" s="36">
        <f>'5 Year Forecast'!M12</f>
        <v>0.03</v>
      </c>
      <c r="F37" s="36">
        <f>'5 Year Forecast'!N12</f>
        <v>0.03</v>
      </c>
      <c r="G37" s="36">
        <f>'5 Year Forecast'!O12</f>
        <v>0.03</v>
      </c>
      <c r="H37" s="36">
        <f>'5 Year Forecast'!P12</f>
        <v>0.03</v>
      </c>
    </row>
    <row r="38" spans="1:8">
      <c r="A38" s="326" t="s">
        <v>556</v>
      </c>
      <c r="B38" t="s">
        <v>861</v>
      </c>
      <c r="C38" s="201" t="s">
        <v>1051</v>
      </c>
      <c r="D38" s="36">
        <f>'5 Year Forecast'!L13</f>
        <v>0</v>
      </c>
      <c r="E38" s="36">
        <f>'5 Year Forecast'!M13</f>
        <v>0</v>
      </c>
      <c r="F38" s="36">
        <f>'5 Year Forecast'!N13</f>
        <v>0</v>
      </c>
      <c r="G38" s="36">
        <f>'5 Year Forecast'!O13</f>
        <v>0</v>
      </c>
      <c r="H38" s="36">
        <f>'5 Year Forecast'!P13</f>
        <v>0</v>
      </c>
    </row>
    <row r="39" spans="1:8">
      <c r="A39" s="326" t="s">
        <v>557</v>
      </c>
      <c r="B39" t="s">
        <v>862</v>
      </c>
      <c r="C39" s="201" t="s">
        <v>1051</v>
      </c>
      <c r="D39" s="36">
        <f>D38</f>
        <v>0</v>
      </c>
      <c r="E39" s="36">
        <f>E38</f>
        <v>0</v>
      </c>
      <c r="F39" s="36">
        <f>F38</f>
        <v>0</v>
      </c>
      <c r="G39" s="36">
        <f>G38</f>
        <v>0</v>
      </c>
      <c r="H39" s="36">
        <f>H38</f>
        <v>0</v>
      </c>
    </row>
    <row r="40" spans="1:8">
      <c r="A40" s="326" t="s">
        <v>944</v>
      </c>
      <c r="B40" t="s">
        <v>863</v>
      </c>
      <c r="C40" s="201" t="s">
        <v>1051</v>
      </c>
      <c r="D40" s="36">
        <f>D39</f>
        <v>0</v>
      </c>
      <c r="E40" s="36">
        <f>E39</f>
        <v>0</v>
      </c>
      <c r="F40" s="36">
        <f>F39</f>
        <v>0</v>
      </c>
      <c r="G40" s="36">
        <f>G39</f>
        <v>0</v>
      </c>
      <c r="H40" s="36">
        <f>H39</f>
        <v>0</v>
      </c>
    </row>
    <row r="41" spans="1:8">
      <c r="A41" s="326" t="s">
        <v>558</v>
      </c>
      <c r="B41" t="s">
        <v>404</v>
      </c>
      <c r="C41" s="201" t="s">
        <v>1051</v>
      </c>
      <c r="D41" s="36">
        <f>D40</f>
        <v>0</v>
      </c>
      <c r="E41" s="36">
        <f>E40</f>
        <v>0</v>
      </c>
      <c r="F41" s="36">
        <f>F40</f>
        <v>0</v>
      </c>
      <c r="G41" s="36">
        <f>G40</f>
        <v>0</v>
      </c>
      <c r="H41" s="36">
        <f>H40</f>
        <v>0</v>
      </c>
    </row>
    <row r="42" spans="1:8">
      <c r="A42" s="326" t="s">
        <v>559</v>
      </c>
      <c r="B42" t="s">
        <v>864</v>
      </c>
      <c r="C42" s="201" t="s">
        <v>1051</v>
      </c>
      <c r="D42" s="36">
        <f>D41</f>
        <v>0</v>
      </c>
      <c r="E42" s="36">
        <f>E41</f>
        <v>0</v>
      </c>
      <c r="F42" s="36">
        <f>F41</f>
        <v>0</v>
      </c>
      <c r="G42" s="36">
        <f>G41</f>
        <v>0</v>
      </c>
      <c r="H42" s="36">
        <f>H41</f>
        <v>0</v>
      </c>
    </row>
    <row r="43" spans="1:8">
      <c r="A43" s="326" t="s">
        <v>945</v>
      </c>
      <c r="B43" t="s">
        <v>865</v>
      </c>
      <c r="C43" s="201" t="s">
        <v>1051</v>
      </c>
      <c r="D43" s="36">
        <f>D42</f>
        <v>0</v>
      </c>
      <c r="E43" s="36">
        <f>E42</f>
        <v>0</v>
      </c>
      <c r="F43" s="36">
        <f>F42</f>
        <v>0</v>
      </c>
      <c r="G43" s="36">
        <f>G42</f>
        <v>0</v>
      </c>
      <c r="H43" s="36">
        <f>H42</f>
        <v>0</v>
      </c>
    </row>
    <row r="44" spans="1:8">
      <c r="A44" s="326" t="s">
        <v>560</v>
      </c>
      <c r="B44" t="s">
        <v>405</v>
      </c>
      <c r="C44" s="201" t="s">
        <v>1051</v>
      </c>
      <c r="D44" s="36">
        <f>D43</f>
        <v>0</v>
      </c>
      <c r="E44" s="36">
        <f>E43</f>
        <v>0</v>
      </c>
      <c r="F44" s="36">
        <f>F43</f>
        <v>0</v>
      </c>
      <c r="G44" s="36">
        <f>G43</f>
        <v>0</v>
      </c>
      <c r="H44" s="36">
        <f>H43</f>
        <v>0</v>
      </c>
    </row>
    <row r="45" spans="1:8">
      <c r="A45" s="326" t="s">
        <v>561</v>
      </c>
      <c r="B45" t="s">
        <v>406</v>
      </c>
      <c r="C45" s="201" t="s">
        <v>1051</v>
      </c>
      <c r="D45" s="36">
        <f>D44</f>
        <v>0</v>
      </c>
      <c r="E45" s="36">
        <f>E44</f>
        <v>0</v>
      </c>
      <c r="F45" s="36">
        <f>F44</f>
        <v>0</v>
      </c>
      <c r="G45" s="36">
        <f>G44</f>
        <v>0</v>
      </c>
      <c r="H45" s="36">
        <f>H44</f>
        <v>0</v>
      </c>
    </row>
    <row r="46" spans="1:8">
      <c r="A46" s="326" t="s">
        <v>562</v>
      </c>
      <c r="B46" t="s">
        <v>866</v>
      </c>
      <c r="C46" s="201" t="s">
        <v>1051</v>
      </c>
      <c r="D46" s="36">
        <f>D45</f>
        <v>0</v>
      </c>
      <c r="E46" s="36">
        <f>E45</f>
        <v>0</v>
      </c>
      <c r="F46" s="36">
        <f>F45</f>
        <v>0</v>
      </c>
      <c r="G46" s="36">
        <f>G45</f>
        <v>0</v>
      </c>
      <c r="H46" s="36">
        <f>H45</f>
        <v>0</v>
      </c>
    </row>
    <row r="47" spans="1:8">
      <c r="A47" s="326" t="s">
        <v>563</v>
      </c>
      <c r="B47" t="s">
        <v>407</v>
      </c>
      <c r="C47" s="201" t="s">
        <v>1051</v>
      </c>
      <c r="D47" s="36">
        <f>D46</f>
        <v>0</v>
      </c>
      <c r="E47" s="36">
        <f>E46</f>
        <v>0</v>
      </c>
      <c r="F47" s="36">
        <f>F46</f>
        <v>0</v>
      </c>
      <c r="G47" s="36">
        <f>G46</f>
        <v>0</v>
      </c>
      <c r="H47" s="36">
        <f>H46</f>
        <v>0</v>
      </c>
    </row>
    <row r="48" spans="1:8">
      <c r="A48" s="326" t="s">
        <v>564</v>
      </c>
      <c r="B48" t="s">
        <v>408</v>
      </c>
      <c r="C48" s="201" t="s">
        <v>1051</v>
      </c>
      <c r="D48" s="36">
        <f>D47</f>
        <v>0</v>
      </c>
      <c r="E48" s="36">
        <f>E47</f>
        <v>0</v>
      </c>
      <c r="F48" s="36">
        <f>F47</f>
        <v>0</v>
      </c>
      <c r="G48" s="36">
        <f>G47</f>
        <v>0</v>
      </c>
      <c r="H48" s="36">
        <f>H47</f>
        <v>0</v>
      </c>
    </row>
    <row r="49" spans="1:8">
      <c r="A49" s="326" t="s">
        <v>565</v>
      </c>
      <c r="B49" t="s">
        <v>3138</v>
      </c>
      <c r="C49" s="201" t="s">
        <v>1051</v>
      </c>
      <c r="D49" s="36">
        <f>D48</f>
        <v>0</v>
      </c>
      <c r="E49" s="36">
        <f>E48</f>
        <v>0</v>
      </c>
      <c r="F49" s="36">
        <f>F48</f>
        <v>0</v>
      </c>
      <c r="G49" s="36">
        <f>G48</f>
        <v>0</v>
      </c>
      <c r="H49" s="36">
        <f>H48</f>
        <v>0</v>
      </c>
    </row>
    <row r="50" spans="1:8">
      <c r="A50" s="326" t="s">
        <v>949</v>
      </c>
      <c r="B50" t="s">
        <v>868</v>
      </c>
      <c r="C50" s="201" t="s">
        <v>1052</v>
      </c>
      <c r="D50" s="186">
        <f>D37</f>
        <v>0.03</v>
      </c>
      <c r="E50" s="186">
        <f>E37</f>
        <v>0.03</v>
      </c>
      <c r="F50" s="186">
        <f>F37</f>
        <v>0.03</v>
      </c>
      <c r="G50" s="186">
        <f>G37</f>
        <v>0.03</v>
      </c>
      <c r="H50" s="186">
        <f>H37</f>
        <v>0.03</v>
      </c>
    </row>
    <row r="51" spans="1:8">
      <c r="A51" s="326" t="s">
        <v>566</v>
      </c>
      <c r="B51" t="s">
        <v>869</v>
      </c>
      <c r="C51" s="201" t="s">
        <v>1052</v>
      </c>
      <c r="D51" s="186">
        <f>D50</f>
        <v>0.03</v>
      </c>
      <c r="E51" s="186">
        <f>E50</f>
        <v>0.03</v>
      </c>
      <c r="F51" s="186">
        <f>F50</f>
        <v>0.03</v>
      </c>
      <c r="G51" s="186">
        <f>G50</f>
        <v>0.03</v>
      </c>
      <c r="H51" s="186">
        <f>H50</f>
        <v>0.03</v>
      </c>
    </row>
    <row r="52" spans="1:8">
      <c r="A52" s="326" t="s">
        <v>567</v>
      </c>
      <c r="B52" t="s">
        <v>474</v>
      </c>
      <c r="C52" s="201" t="s">
        <v>1052</v>
      </c>
      <c r="D52" s="186">
        <f>D51</f>
        <v>0.03</v>
      </c>
      <c r="E52" s="186">
        <f>E51</f>
        <v>0.03</v>
      </c>
      <c r="F52" s="186">
        <f>F51</f>
        <v>0.03</v>
      </c>
      <c r="G52" s="186">
        <f>G51</f>
        <v>0.03</v>
      </c>
      <c r="H52" s="186">
        <f>H51</f>
        <v>0.03</v>
      </c>
    </row>
    <row r="53" spans="1:8">
      <c r="A53" s="326" t="s">
        <v>568</v>
      </c>
      <c r="B53" t="s">
        <v>409</v>
      </c>
      <c r="C53" s="201" t="s">
        <v>1052</v>
      </c>
      <c r="D53" s="186">
        <f>D52</f>
        <v>0.03</v>
      </c>
      <c r="E53" s="186">
        <f>E52</f>
        <v>0.03</v>
      </c>
      <c r="F53" s="186">
        <f>F52</f>
        <v>0.03</v>
      </c>
      <c r="G53" s="186">
        <f>G52</f>
        <v>0.03</v>
      </c>
      <c r="H53" s="186">
        <f>H52</f>
        <v>0.03</v>
      </c>
    </row>
    <row r="54" spans="1:8">
      <c r="A54" s="326" t="s">
        <v>569</v>
      </c>
      <c r="B54" t="s">
        <v>870</v>
      </c>
      <c r="C54" s="201" t="s">
        <v>1052</v>
      </c>
      <c r="D54" s="186">
        <f>D53</f>
        <v>0.03</v>
      </c>
      <c r="E54" s="186">
        <f>E53</f>
        <v>0.03</v>
      </c>
      <c r="F54" s="186">
        <f>F53</f>
        <v>0.03</v>
      </c>
      <c r="G54" s="186">
        <f>G53</f>
        <v>0.03</v>
      </c>
      <c r="H54" s="186">
        <f>H53</f>
        <v>0.03</v>
      </c>
    </row>
    <row r="55" spans="1:8">
      <c r="A55" s="326" t="s">
        <v>570</v>
      </c>
      <c r="B55" t="s">
        <v>410</v>
      </c>
      <c r="C55" s="201" t="s">
        <v>1052</v>
      </c>
      <c r="D55" s="186">
        <f>D54</f>
        <v>0.03</v>
      </c>
      <c r="E55" s="186">
        <f>E54</f>
        <v>0.03</v>
      </c>
      <c r="F55" s="186">
        <f>F54</f>
        <v>0.03</v>
      </c>
      <c r="G55" s="186">
        <f>G54</f>
        <v>0.03</v>
      </c>
      <c r="H55" s="186">
        <f>H54</f>
        <v>0.03</v>
      </c>
    </row>
    <row r="56" spans="1:8">
      <c r="A56" s="326" t="s">
        <v>571</v>
      </c>
      <c r="B56" t="s">
        <v>871</v>
      </c>
      <c r="C56" s="201" t="s">
        <v>1052</v>
      </c>
      <c r="D56" s="186">
        <f>D55</f>
        <v>0.03</v>
      </c>
      <c r="E56" s="186">
        <f>E55</f>
        <v>0.03</v>
      </c>
      <c r="F56" s="186">
        <f>F55</f>
        <v>0.03</v>
      </c>
      <c r="G56" s="186">
        <f>G55</f>
        <v>0.03</v>
      </c>
      <c r="H56" s="186">
        <f>H55</f>
        <v>0.03</v>
      </c>
    </row>
    <row r="57" spans="1:8">
      <c r="A57" s="326" t="s">
        <v>572</v>
      </c>
      <c r="B57" t="s">
        <v>411</v>
      </c>
      <c r="C57" s="201" t="s">
        <v>1052</v>
      </c>
      <c r="D57" s="186">
        <f>D56</f>
        <v>0.03</v>
      </c>
      <c r="E57" s="186">
        <f>E56</f>
        <v>0.03</v>
      </c>
      <c r="F57" s="186">
        <f>F56</f>
        <v>0.03</v>
      </c>
      <c r="G57" s="186">
        <f>G56</f>
        <v>0.03</v>
      </c>
      <c r="H57" s="186">
        <f>H56</f>
        <v>0.03</v>
      </c>
    </row>
    <row r="58" spans="1:8">
      <c r="A58" s="326" t="s">
        <v>573</v>
      </c>
      <c r="B58" t="s">
        <v>412</v>
      </c>
      <c r="C58" s="201" t="s">
        <v>1052</v>
      </c>
      <c r="D58" s="186">
        <f>D57</f>
        <v>0.03</v>
      </c>
      <c r="E58" s="186">
        <f>E57</f>
        <v>0.03</v>
      </c>
      <c r="F58" s="186">
        <f>F57</f>
        <v>0.03</v>
      </c>
      <c r="G58" s="186">
        <f>G57</f>
        <v>0.03</v>
      </c>
      <c r="H58" s="186">
        <f>H57</f>
        <v>0.03</v>
      </c>
    </row>
    <row r="59" spans="1:8">
      <c r="A59" s="326" t="s">
        <v>574</v>
      </c>
      <c r="B59" t="s">
        <v>413</v>
      </c>
      <c r="C59" s="201" t="s">
        <v>1052</v>
      </c>
      <c r="D59" s="186">
        <f>D58</f>
        <v>0.03</v>
      </c>
      <c r="E59" s="186">
        <f>E58</f>
        <v>0.03</v>
      </c>
      <c r="F59" s="186">
        <f>F58</f>
        <v>0.03</v>
      </c>
      <c r="G59" s="186">
        <f>G58</f>
        <v>0.03</v>
      </c>
      <c r="H59" s="186">
        <f>H58</f>
        <v>0.03</v>
      </c>
    </row>
    <row r="60" spans="1:8">
      <c r="A60" s="326" t="s">
        <v>575</v>
      </c>
      <c r="B60" t="s">
        <v>475</v>
      </c>
      <c r="C60" s="201" t="s">
        <v>1055</v>
      </c>
      <c r="D60" s="186">
        <f>'5 Year Forecast'!L15</f>
        <v>0.03</v>
      </c>
      <c r="E60" s="186">
        <f>'5 Year Forecast'!M15</f>
        <v>0.03</v>
      </c>
      <c r="F60" s="186">
        <f>'5 Year Forecast'!N15</f>
        <v>0.03</v>
      </c>
      <c r="G60" s="186">
        <f>'5 Year Forecast'!O15</f>
        <v>0.03</v>
      </c>
      <c r="H60" s="186">
        <f>'5 Year Forecast'!P15</f>
        <v>0.03</v>
      </c>
    </row>
    <row r="61" spans="1:8">
      <c r="A61" s="326" t="s">
        <v>576</v>
      </c>
      <c r="B61" t="s">
        <v>415</v>
      </c>
      <c r="C61" s="201" t="s">
        <v>1055</v>
      </c>
      <c r="D61" s="186">
        <f>D60</f>
        <v>0.03</v>
      </c>
      <c r="E61" s="186">
        <f>E60</f>
        <v>0.03</v>
      </c>
      <c r="F61" s="186">
        <f>F60</f>
        <v>0.03</v>
      </c>
      <c r="G61" s="186">
        <f>G60</f>
        <v>0.03</v>
      </c>
      <c r="H61" s="186">
        <f>H60</f>
        <v>0.03</v>
      </c>
    </row>
    <row r="62" spans="1:8">
      <c r="A62" s="326" t="s">
        <v>684</v>
      </c>
      <c r="B62" t="s">
        <v>872</v>
      </c>
      <c r="C62" s="201" t="s">
        <v>1052</v>
      </c>
      <c r="D62" s="186">
        <f>D59</f>
        <v>0.03</v>
      </c>
      <c r="E62" s="186">
        <f>E59</f>
        <v>0.03</v>
      </c>
      <c r="F62" s="186">
        <f>F59</f>
        <v>0.03</v>
      </c>
      <c r="G62" s="186">
        <f>G59</f>
        <v>0.03</v>
      </c>
      <c r="H62" s="186">
        <f>H59</f>
        <v>0.03</v>
      </c>
    </row>
    <row r="63" spans="1:8">
      <c r="A63" s="326" t="s">
        <v>769</v>
      </c>
      <c r="B63" t="s">
        <v>3383</v>
      </c>
      <c r="C63" s="201" t="s">
        <v>1052</v>
      </c>
      <c r="D63" s="186">
        <f>D62</f>
        <v>0.03</v>
      </c>
      <c r="E63" s="186">
        <f>E62</f>
        <v>0.03</v>
      </c>
      <c r="F63" s="186">
        <f>F62</f>
        <v>0.03</v>
      </c>
      <c r="G63" s="186">
        <f>G62</f>
        <v>0.03</v>
      </c>
      <c r="H63" s="186">
        <f>H62</f>
        <v>0.03</v>
      </c>
    </row>
    <row r="64" spans="1:8">
      <c r="A64" s="326" t="s">
        <v>578</v>
      </c>
      <c r="B64" t="s">
        <v>417</v>
      </c>
      <c r="C64" s="201" t="s">
        <v>1052</v>
      </c>
      <c r="D64" s="186">
        <f>D63</f>
        <v>0.03</v>
      </c>
      <c r="E64" s="186">
        <f>E63</f>
        <v>0.03</v>
      </c>
      <c r="F64" s="186">
        <f>F63</f>
        <v>0.03</v>
      </c>
      <c r="G64" s="186">
        <f>G63</f>
        <v>0.03</v>
      </c>
      <c r="H64" s="186">
        <f>H63</f>
        <v>0.03</v>
      </c>
    </row>
    <row r="65" spans="1:8">
      <c r="A65" s="326" t="s">
        <v>579</v>
      </c>
      <c r="B65" t="s">
        <v>418</v>
      </c>
      <c r="C65" s="201" t="s">
        <v>1054</v>
      </c>
      <c r="D65">
        <f>'5 Year Forecast'!L16</f>
        <v>0.03</v>
      </c>
      <c r="E65">
        <f>'5 Year Forecast'!M16</f>
        <v>0.03</v>
      </c>
      <c r="F65">
        <f>'5 Year Forecast'!N16</f>
        <v>0.03</v>
      </c>
      <c r="G65">
        <f>'5 Year Forecast'!O16</f>
        <v>0.03</v>
      </c>
      <c r="H65">
        <f>'5 Year Forecast'!P16</f>
        <v>0.03</v>
      </c>
    </row>
    <row r="66" spans="1:8">
      <c r="A66" s="326" t="s">
        <v>580</v>
      </c>
      <c r="B66" t="s">
        <v>451</v>
      </c>
      <c r="C66" s="201" t="s">
        <v>1054</v>
      </c>
      <c r="D66" s="186">
        <f>D65</f>
        <v>0.03</v>
      </c>
      <c r="E66" s="186">
        <f>E65</f>
        <v>0.03</v>
      </c>
      <c r="F66" s="186">
        <f>F65</f>
        <v>0.03</v>
      </c>
      <c r="G66" s="186">
        <f>G65</f>
        <v>0.03</v>
      </c>
      <c r="H66" s="186">
        <f>H65</f>
        <v>0.03</v>
      </c>
    </row>
    <row r="67" spans="1:8">
      <c r="A67" s="326" t="s">
        <v>965</v>
      </c>
      <c r="B67" t="s">
        <v>1118</v>
      </c>
      <c r="C67" s="201" t="s">
        <v>1054</v>
      </c>
      <c r="D67" s="186">
        <f>D66</f>
        <v>0.03</v>
      </c>
      <c r="E67" s="186">
        <f>E66</f>
        <v>0.03</v>
      </c>
      <c r="F67" s="186">
        <f>F66</f>
        <v>0.03</v>
      </c>
      <c r="G67" s="186">
        <f>G66</f>
        <v>0.03</v>
      </c>
      <c r="H67" s="186">
        <f>H66</f>
        <v>0.03</v>
      </c>
    </row>
    <row r="68" spans="1:8">
      <c r="A68" s="326" t="s">
        <v>581</v>
      </c>
      <c r="B68" t="s">
        <v>419</v>
      </c>
      <c r="C68" s="201" t="s">
        <v>1054</v>
      </c>
      <c r="D68" s="186">
        <f>D67</f>
        <v>0.03</v>
      </c>
      <c r="E68" s="186">
        <f>E67</f>
        <v>0.03</v>
      </c>
      <c r="F68" s="186">
        <f>F67</f>
        <v>0.03</v>
      </c>
      <c r="G68" s="186">
        <f>G67</f>
        <v>0.03</v>
      </c>
      <c r="H68" s="186">
        <f>H67</f>
        <v>0.03</v>
      </c>
    </row>
    <row r="69" spans="1:8">
      <c r="A69" s="326" t="s">
        <v>582</v>
      </c>
      <c r="B69" t="s">
        <v>420</v>
      </c>
      <c r="C69" s="201" t="s">
        <v>1054</v>
      </c>
      <c r="D69" s="186">
        <f>D68</f>
        <v>0.03</v>
      </c>
      <c r="E69" s="186">
        <f>E68</f>
        <v>0.03</v>
      </c>
      <c r="F69" s="186">
        <f>F68</f>
        <v>0.03</v>
      </c>
      <c r="G69" s="186">
        <f>G68</f>
        <v>0.03</v>
      </c>
      <c r="H69" s="186">
        <f>H68</f>
        <v>0.03</v>
      </c>
    </row>
    <row r="70" spans="1:8">
      <c r="A70" s="326" t="s">
        <v>966</v>
      </c>
      <c r="B70" t="s">
        <v>886</v>
      </c>
      <c r="C70" s="201" t="s">
        <v>1054</v>
      </c>
      <c r="D70" s="186">
        <f>D69</f>
        <v>0.03</v>
      </c>
      <c r="E70" s="186">
        <f>E69</f>
        <v>0.03</v>
      </c>
      <c r="F70" s="186">
        <f>F69</f>
        <v>0.03</v>
      </c>
      <c r="G70" s="186">
        <f>G69</f>
        <v>0.03</v>
      </c>
      <c r="H70" s="186">
        <f>H69</f>
        <v>0.03</v>
      </c>
    </row>
    <row r="71" spans="1:8">
      <c r="A71" s="326" t="s">
        <v>583</v>
      </c>
      <c r="B71" t="s">
        <v>1103</v>
      </c>
      <c r="C71" s="201" t="s">
        <v>1054</v>
      </c>
      <c r="D71" s="186">
        <f>D70</f>
        <v>0.03</v>
      </c>
      <c r="E71" s="186">
        <f>E70</f>
        <v>0.03</v>
      </c>
      <c r="F71" s="186">
        <f>F70</f>
        <v>0.03</v>
      </c>
      <c r="G71" s="186">
        <f>G70</f>
        <v>0.03</v>
      </c>
      <c r="H71" s="186">
        <f>H70</f>
        <v>0.03</v>
      </c>
    </row>
    <row r="72" spans="1:8">
      <c r="A72" s="326" t="s">
        <v>584</v>
      </c>
      <c r="B72" t="s">
        <v>888</v>
      </c>
      <c r="C72" s="201" t="s">
        <v>1054</v>
      </c>
      <c r="D72" s="186">
        <f>D71</f>
        <v>0.03</v>
      </c>
      <c r="E72" s="186">
        <f>E71</f>
        <v>0.03</v>
      </c>
      <c r="F72" s="186">
        <f>F71</f>
        <v>0.03</v>
      </c>
      <c r="G72" s="186">
        <f>G71</f>
        <v>0.03</v>
      </c>
      <c r="H72" s="186">
        <f>H71</f>
        <v>0.03</v>
      </c>
    </row>
    <row r="73" spans="1:8">
      <c r="A73" s="326" t="s">
        <v>585</v>
      </c>
      <c r="B73" t="s">
        <v>476</v>
      </c>
      <c r="C73" s="201" t="s">
        <v>1054</v>
      </c>
      <c r="D73" s="186">
        <f>D72</f>
        <v>0.03</v>
      </c>
      <c r="E73" s="186">
        <f>E72</f>
        <v>0.03</v>
      </c>
      <c r="F73" s="186">
        <f>F72</f>
        <v>0.03</v>
      </c>
      <c r="G73" s="186">
        <f>G72</f>
        <v>0.03</v>
      </c>
      <c r="H73" s="186">
        <f>H72</f>
        <v>0.03</v>
      </c>
    </row>
    <row r="74" spans="1:8">
      <c r="A74" s="326" t="s">
        <v>586</v>
      </c>
      <c r="B74" t="s">
        <v>889</v>
      </c>
      <c r="C74" s="201" t="s">
        <v>1054</v>
      </c>
      <c r="D74" s="186">
        <f>D73</f>
        <v>0.03</v>
      </c>
      <c r="E74" s="186">
        <f>E73</f>
        <v>0.03</v>
      </c>
      <c r="F74" s="186">
        <f>F73</f>
        <v>0.03</v>
      </c>
      <c r="G74" s="186">
        <f>G73</f>
        <v>0.03</v>
      </c>
      <c r="H74" s="186">
        <f>H73</f>
        <v>0.03</v>
      </c>
    </row>
    <row r="75" spans="1:8">
      <c r="A75" s="326" t="s">
        <v>587</v>
      </c>
      <c r="B75" t="s">
        <v>489</v>
      </c>
      <c r="C75" s="201" t="s">
        <v>1054</v>
      </c>
      <c r="D75" s="186">
        <f>D74</f>
        <v>0.03</v>
      </c>
      <c r="E75" s="186">
        <f>E74</f>
        <v>0.03</v>
      </c>
      <c r="F75" s="186">
        <f>F74</f>
        <v>0.03</v>
      </c>
      <c r="G75" s="186">
        <f>G74</f>
        <v>0.03</v>
      </c>
      <c r="H75" s="186">
        <f>H74</f>
        <v>0.03</v>
      </c>
    </row>
    <row r="76" spans="1:8">
      <c r="A76" s="326" t="s">
        <v>3547</v>
      </c>
      <c r="B76" t="s">
        <v>477</v>
      </c>
      <c r="C76" s="201" t="e">
        <v>#N/A</v>
      </c>
      <c r="D76" s="186">
        <f>D75</f>
        <v>0.03</v>
      </c>
      <c r="E76" s="186">
        <f>E75</f>
        <v>0.03</v>
      </c>
      <c r="F76" s="186">
        <f>F75</f>
        <v>0.03</v>
      </c>
      <c r="G76" s="186">
        <f>G75</f>
        <v>0.03</v>
      </c>
      <c r="H76" s="186">
        <f>H75</f>
        <v>0.03</v>
      </c>
    </row>
    <row r="77" spans="1:8">
      <c r="A77" s="326" t="s">
        <v>1092</v>
      </c>
      <c r="B77" t="s">
        <v>1089</v>
      </c>
      <c r="C77" s="201" t="s">
        <v>1052</v>
      </c>
      <c r="D77" s="186">
        <f>D64</f>
        <v>0.03</v>
      </c>
      <c r="E77" s="186">
        <f>E64</f>
        <v>0.03</v>
      </c>
      <c r="F77" s="186">
        <f>F64</f>
        <v>0.03</v>
      </c>
      <c r="G77" s="186">
        <f>G64</f>
        <v>0.03</v>
      </c>
      <c r="H77" s="186">
        <f>H64</f>
        <v>0.03</v>
      </c>
    </row>
    <row r="78" spans="1:8">
      <c r="A78" s="326" t="s">
        <v>589</v>
      </c>
      <c r="B78" t="s">
        <v>421</v>
      </c>
      <c r="C78" s="201" t="s">
        <v>1047</v>
      </c>
      <c r="D78" s="186">
        <f>'5 Year Forecast'!L17</f>
        <v>0</v>
      </c>
      <c r="E78" s="186">
        <f>'5 Year Forecast'!M17</f>
        <v>0</v>
      </c>
      <c r="F78" s="186">
        <f>'5 Year Forecast'!N17</f>
        <v>0</v>
      </c>
      <c r="G78" s="186">
        <f>'5 Year Forecast'!O17</f>
        <v>0</v>
      </c>
      <c r="H78" s="186">
        <f>'5 Year Forecast'!P17</f>
        <v>0</v>
      </c>
    </row>
    <row r="79" spans="1:8">
      <c r="A79" s="326" t="s">
        <v>590</v>
      </c>
      <c r="B79" t="s">
        <v>478</v>
      </c>
      <c r="C79" s="201" t="s">
        <v>1047</v>
      </c>
      <c r="D79" s="186">
        <f>D78</f>
        <v>0</v>
      </c>
      <c r="E79" s="186">
        <f>E78</f>
        <v>0</v>
      </c>
      <c r="F79" s="186">
        <f>F78</f>
        <v>0</v>
      </c>
      <c r="G79" s="186">
        <f>G78</f>
        <v>0</v>
      </c>
      <c r="H79" s="186">
        <f>H78</f>
        <v>0</v>
      </c>
    </row>
    <row r="80" spans="1:8">
      <c r="A80" s="326" t="s">
        <v>591</v>
      </c>
      <c r="B80" t="s">
        <v>422</v>
      </c>
      <c r="C80" s="201" t="s">
        <v>1047</v>
      </c>
      <c r="D80" s="186">
        <f>D79</f>
        <v>0</v>
      </c>
      <c r="E80" s="186">
        <f>E79</f>
        <v>0</v>
      </c>
      <c r="F80" s="186">
        <f>F79</f>
        <v>0</v>
      </c>
      <c r="G80" s="186">
        <f>G79</f>
        <v>0</v>
      </c>
      <c r="H80" s="186">
        <f>H79</f>
        <v>0</v>
      </c>
    </row>
    <row r="81" spans="1:8">
      <c r="A81" s="326" t="s">
        <v>972</v>
      </c>
      <c r="B81" t="s">
        <v>835</v>
      </c>
      <c r="C81" s="201" t="s">
        <v>1047</v>
      </c>
      <c r="D81" s="186">
        <f>D80</f>
        <v>0</v>
      </c>
      <c r="E81" s="186">
        <f>E80</f>
        <v>0</v>
      </c>
      <c r="F81" s="186">
        <f>F80</f>
        <v>0</v>
      </c>
      <c r="G81" s="186">
        <f>G80</f>
        <v>0</v>
      </c>
      <c r="H81" s="186">
        <f>H80</f>
        <v>0</v>
      </c>
    </row>
    <row r="82" spans="1:8">
      <c r="A82" s="326" t="s">
        <v>592</v>
      </c>
      <c r="B82" t="s">
        <v>427</v>
      </c>
      <c r="C82" s="201" t="s">
        <v>1047</v>
      </c>
      <c r="D82" s="186">
        <f>D81</f>
        <v>0</v>
      </c>
      <c r="E82" s="186">
        <f>E81</f>
        <v>0</v>
      </c>
      <c r="F82" s="186">
        <f>F81</f>
        <v>0</v>
      </c>
      <c r="G82" s="186">
        <f>G81</f>
        <v>0</v>
      </c>
      <c r="H82" s="186">
        <f>H81</f>
        <v>0</v>
      </c>
    </row>
    <row r="83" spans="1:8">
      <c r="A83" s="326" t="s">
        <v>593</v>
      </c>
      <c r="B83" t="s">
        <v>891</v>
      </c>
      <c r="C83" s="201" t="s">
        <v>1047</v>
      </c>
      <c r="D83" s="186">
        <f>D82</f>
        <v>0</v>
      </c>
      <c r="E83" s="186">
        <f>E82</f>
        <v>0</v>
      </c>
      <c r="F83" s="186">
        <f>F82</f>
        <v>0</v>
      </c>
      <c r="G83" s="186">
        <f>G82</f>
        <v>0</v>
      </c>
      <c r="H83" s="186">
        <f>H82</f>
        <v>0</v>
      </c>
    </row>
    <row r="84" spans="1:8">
      <c r="A84" s="326" t="s">
        <v>594</v>
      </c>
      <c r="B84" t="s">
        <v>423</v>
      </c>
      <c r="C84" s="201" t="s">
        <v>1047</v>
      </c>
      <c r="D84" s="186">
        <f>'5 Year Forecast'!L21</f>
        <v>-0.25</v>
      </c>
      <c r="E84" s="186">
        <f>'5 Year Forecast'!M21</f>
        <v>-0.5</v>
      </c>
      <c r="F84" s="186">
        <f>'5 Year Forecast'!N21</f>
        <v>0</v>
      </c>
      <c r="G84" s="186">
        <f>'5 Year Forecast'!O21</f>
        <v>0</v>
      </c>
      <c r="H84" s="186">
        <f>'5 Year Forecast'!P21</f>
        <v>0</v>
      </c>
    </row>
    <row r="85" spans="1:8">
      <c r="A85" s="326" t="s">
        <v>976</v>
      </c>
      <c r="B85" t="s">
        <v>827</v>
      </c>
      <c r="C85" s="201" t="s">
        <v>1047</v>
      </c>
      <c r="D85" s="186">
        <f>D83</f>
        <v>0</v>
      </c>
      <c r="E85" s="186">
        <f t="shared" ref="E85:H85" si="0">E83</f>
        <v>0</v>
      </c>
      <c r="F85" s="186">
        <f t="shared" si="0"/>
        <v>0</v>
      </c>
      <c r="G85" s="186">
        <f t="shared" si="0"/>
        <v>0</v>
      </c>
      <c r="H85" s="186">
        <f t="shared" si="0"/>
        <v>0</v>
      </c>
    </row>
    <row r="86" spans="1:8">
      <c r="A86" s="326" t="s">
        <v>595</v>
      </c>
      <c r="B86" t="s">
        <v>424</v>
      </c>
      <c r="C86" s="201" t="s">
        <v>1047</v>
      </c>
      <c r="D86" s="186">
        <f>D85</f>
        <v>0</v>
      </c>
      <c r="E86" s="186">
        <f>E85</f>
        <v>0</v>
      </c>
      <c r="F86" s="186">
        <f>F85</f>
        <v>0</v>
      </c>
      <c r="G86" s="186">
        <f>G85</f>
        <v>0</v>
      </c>
      <c r="H86" s="186">
        <f>H85</f>
        <v>0</v>
      </c>
    </row>
    <row r="87" spans="1:8">
      <c r="A87" s="326" t="s">
        <v>596</v>
      </c>
      <c r="B87" t="s">
        <v>894</v>
      </c>
      <c r="C87" s="201" t="s">
        <v>1047</v>
      </c>
      <c r="D87" s="186">
        <f>D86</f>
        <v>0</v>
      </c>
      <c r="E87" s="186">
        <f>E86</f>
        <v>0</v>
      </c>
      <c r="F87" s="186">
        <f>F86</f>
        <v>0</v>
      </c>
      <c r="G87" s="186">
        <f>G86</f>
        <v>0</v>
      </c>
      <c r="H87" s="186">
        <f>H86</f>
        <v>0</v>
      </c>
    </row>
    <row r="88" spans="1:8">
      <c r="A88" s="326" t="s">
        <v>597</v>
      </c>
      <c r="B88" t="s">
        <v>895</v>
      </c>
      <c r="C88" s="201" t="s">
        <v>1047</v>
      </c>
      <c r="D88" s="186">
        <f>D87</f>
        <v>0</v>
      </c>
      <c r="E88" s="186">
        <f>E87</f>
        <v>0</v>
      </c>
      <c r="F88" s="186">
        <f>F87</f>
        <v>0</v>
      </c>
      <c r="G88" s="186">
        <f>G87</f>
        <v>0</v>
      </c>
      <c r="H88" s="186">
        <f>H87</f>
        <v>0</v>
      </c>
    </row>
    <row r="89" spans="1:8">
      <c r="A89" s="326" t="s">
        <v>598</v>
      </c>
      <c r="B89" t="s">
        <v>896</v>
      </c>
      <c r="C89" s="201" t="s">
        <v>1047</v>
      </c>
      <c r="D89" s="186">
        <f>D88</f>
        <v>0</v>
      </c>
      <c r="E89" s="186">
        <f>E88</f>
        <v>0</v>
      </c>
      <c r="F89" s="186">
        <f>F88</f>
        <v>0</v>
      </c>
      <c r="G89" s="186">
        <f>G88</f>
        <v>0</v>
      </c>
      <c r="H89" s="186">
        <f>H88</f>
        <v>0</v>
      </c>
    </row>
    <row r="90" spans="1:8">
      <c r="A90" s="326" t="s">
        <v>600</v>
      </c>
      <c r="B90" t="s">
        <v>898</v>
      </c>
      <c r="C90" s="201" t="s">
        <v>1047</v>
      </c>
      <c r="D90" s="186">
        <f>D89</f>
        <v>0</v>
      </c>
      <c r="E90" s="186">
        <f>E89</f>
        <v>0</v>
      </c>
      <c r="F90" s="186">
        <f>F89</f>
        <v>0</v>
      </c>
      <c r="G90" s="186">
        <f>G89</f>
        <v>0</v>
      </c>
      <c r="H90" s="186">
        <f>H89</f>
        <v>0</v>
      </c>
    </row>
    <row r="91" spans="1:8">
      <c r="A91" s="326" t="s">
        <v>3548</v>
      </c>
      <c r="B91" t="s">
        <v>479</v>
      </c>
      <c r="C91" s="201" t="e">
        <v>#N/A</v>
      </c>
      <c r="D91" s="186">
        <f>D90</f>
        <v>0</v>
      </c>
      <c r="E91" s="186">
        <f>E90</f>
        <v>0</v>
      </c>
      <c r="F91" s="186">
        <f>F90</f>
        <v>0</v>
      </c>
      <c r="G91" s="186">
        <f>G90</f>
        <v>0</v>
      </c>
      <c r="H91" s="186">
        <f>H90</f>
        <v>0</v>
      </c>
    </row>
    <row r="92" spans="1:8">
      <c r="A92" s="326" t="s">
        <v>601</v>
      </c>
      <c r="B92" t="s">
        <v>3139</v>
      </c>
      <c r="C92" s="201" t="s">
        <v>1056</v>
      </c>
    </row>
    <row r="93" spans="1:8">
      <c r="A93" s="326" t="s">
        <v>1112</v>
      </c>
      <c r="B93" t="s">
        <v>3140</v>
      </c>
      <c r="C93" s="201" t="s">
        <v>916</v>
      </c>
    </row>
    <row r="94" spans="1:8">
      <c r="A94" s="326" t="s">
        <v>978</v>
      </c>
      <c r="B94" t="s">
        <v>1101</v>
      </c>
      <c r="C94" s="201" t="s">
        <v>1056</v>
      </c>
    </row>
    <row r="95" spans="1:8">
      <c r="A95" s="326" t="s">
        <v>980</v>
      </c>
      <c r="B95" t="s">
        <v>3149</v>
      </c>
      <c r="C95" s="201" t="s">
        <v>1056</v>
      </c>
    </row>
    <row r="96" spans="1:8">
      <c r="A96" s="326" t="s">
        <v>602</v>
      </c>
      <c r="B96" t="s">
        <v>480</v>
      </c>
      <c r="C96" s="201" t="s">
        <v>1056</v>
      </c>
    </row>
    <row r="97" spans="1:8">
      <c r="A97" s="326" t="s">
        <v>603</v>
      </c>
      <c r="B97" t="s">
        <v>481</v>
      </c>
      <c r="C97" s="201" t="s">
        <v>1056</v>
      </c>
    </row>
    <row r="98" spans="1:8">
      <c r="A98" s="326" t="s">
        <v>986</v>
      </c>
      <c r="B98" t="s">
        <v>84</v>
      </c>
      <c r="C98" s="201" t="s">
        <v>1056</v>
      </c>
    </row>
    <row r="99" spans="1:8">
      <c r="A99" s="326" t="s">
        <v>679</v>
      </c>
      <c r="B99" t="s">
        <v>3516</v>
      </c>
      <c r="C99" s="201" t="s">
        <v>1052</v>
      </c>
      <c r="D99" s="186">
        <f>D64</f>
        <v>0.03</v>
      </c>
      <c r="E99" s="186">
        <f>E64</f>
        <v>0.03</v>
      </c>
      <c r="F99" s="186">
        <f>F64</f>
        <v>0.03</v>
      </c>
      <c r="G99" s="186">
        <f>G64</f>
        <v>0.03</v>
      </c>
      <c r="H99" s="186">
        <f>H64</f>
        <v>0.03</v>
      </c>
    </row>
    <row r="100" spans="1:8">
      <c r="A100" s="326" t="s">
        <v>962</v>
      </c>
      <c r="B100" t="s">
        <v>883</v>
      </c>
      <c r="C100" s="201" t="s">
        <v>1053</v>
      </c>
    </row>
    <row r="101" spans="1:8">
      <c r="A101" s="326" t="s">
        <v>963</v>
      </c>
      <c r="B101" t="s">
        <v>884</v>
      </c>
      <c r="C101" s="201" t="s">
        <v>1053</v>
      </c>
    </row>
    <row r="102" spans="1:8">
      <c r="A102" s="326" t="s">
        <v>663</v>
      </c>
      <c r="B102" t="s">
        <v>425</v>
      </c>
      <c r="C102" s="201" t="s">
        <v>1053</v>
      </c>
    </row>
    <row r="103" spans="1:8">
      <c r="A103" s="326" t="s">
        <v>664</v>
      </c>
      <c r="B103" t="s">
        <v>426</v>
      </c>
      <c r="C103" s="201" t="s">
        <v>1053</v>
      </c>
    </row>
    <row r="104" spans="1:8">
      <c r="A104" s="326" t="s">
        <v>680</v>
      </c>
      <c r="B104" t="s">
        <v>899</v>
      </c>
      <c r="C104" s="201" t="s">
        <v>1056</v>
      </c>
    </row>
    <row r="105" spans="1:8">
      <c r="A105" s="326" t="s">
        <v>689</v>
      </c>
      <c r="B105" t="s">
        <v>3434</v>
      </c>
      <c r="C105" s="201" t="s">
        <v>1046</v>
      </c>
    </row>
    <row r="106" spans="1:8">
      <c r="A106" s="326" t="s">
        <v>690</v>
      </c>
      <c r="B106" t="s">
        <v>428</v>
      </c>
      <c r="C106" s="201" t="s">
        <v>1052</v>
      </c>
      <c r="D106" s="186">
        <f>D99</f>
        <v>0.03</v>
      </c>
      <c r="E106" s="186">
        <f>E99</f>
        <v>0.03</v>
      </c>
      <c r="F106" s="186">
        <f>F99</f>
        <v>0.03</v>
      </c>
      <c r="G106" s="186">
        <f>G99</f>
        <v>0.03</v>
      </c>
      <c r="H106" s="186">
        <f>H99</f>
        <v>0.03</v>
      </c>
    </row>
    <row r="107" spans="1:8">
      <c r="A107" s="326" t="s">
        <v>691</v>
      </c>
      <c r="B107" t="s">
        <v>429</v>
      </c>
      <c r="C107" s="201" t="s">
        <v>1052</v>
      </c>
      <c r="D107" s="186">
        <f>D106</f>
        <v>0.03</v>
      </c>
      <c r="E107" s="186">
        <f>E106</f>
        <v>0.03</v>
      </c>
      <c r="F107" s="186">
        <f>F106</f>
        <v>0.03</v>
      </c>
      <c r="G107" s="186">
        <f>G106</f>
        <v>0.03</v>
      </c>
      <c r="H107" s="186">
        <f>H106</f>
        <v>0.03</v>
      </c>
    </row>
    <row r="108" spans="1:8">
      <c r="A108" s="326" t="s">
        <v>692</v>
      </c>
      <c r="B108" t="s">
        <v>443</v>
      </c>
      <c r="C108" s="201" t="s">
        <v>1052</v>
      </c>
      <c r="D108" s="186">
        <f>D107</f>
        <v>0.03</v>
      </c>
      <c r="E108" s="186">
        <f>E107</f>
        <v>0.03</v>
      </c>
      <c r="F108" s="186">
        <f>F107</f>
        <v>0.03</v>
      </c>
      <c r="G108" s="186">
        <f>G107</f>
        <v>0.03</v>
      </c>
      <c r="H108" s="186">
        <f>H107</f>
        <v>0.03</v>
      </c>
    </row>
    <row r="109" spans="1:8">
      <c r="A109" s="326" t="s">
        <v>951</v>
      </c>
      <c r="B109" t="s">
        <v>874</v>
      </c>
      <c r="C109" s="201" t="s">
        <v>1052</v>
      </c>
      <c r="D109" s="186">
        <f>D108</f>
        <v>0.03</v>
      </c>
      <c r="E109" s="186">
        <f>E108</f>
        <v>0.03</v>
      </c>
      <c r="F109" s="186">
        <f>F108</f>
        <v>0.03</v>
      </c>
      <c r="G109" s="186">
        <f>G108</f>
        <v>0.03</v>
      </c>
      <c r="H109" s="186">
        <f>H108</f>
        <v>0.03</v>
      </c>
    </row>
    <row r="110" spans="1:8">
      <c r="A110" s="326" t="s">
        <v>693</v>
      </c>
      <c r="B110" t="s">
        <v>444</v>
      </c>
      <c r="C110" s="201" t="s">
        <v>1052</v>
      </c>
      <c r="D110" s="186">
        <f>D109</f>
        <v>0.03</v>
      </c>
      <c r="E110" s="186">
        <f>E109</f>
        <v>0.03</v>
      </c>
      <c r="F110" s="186">
        <f>F109</f>
        <v>0.03</v>
      </c>
      <c r="G110" s="186">
        <f>G109</f>
        <v>0.03</v>
      </c>
      <c r="H110" s="186">
        <f>H109</f>
        <v>0.03</v>
      </c>
    </row>
    <row r="111" spans="1:8">
      <c r="A111" s="326" t="s">
        <v>694</v>
      </c>
      <c r="B111" t="s">
        <v>431</v>
      </c>
      <c r="C111" s="201" t="s">
        <v>1052</v>
      </c>
      <c r="D111" s="186">
        <f>D110</f>
        <v>0.03</v>
      </c>
      <c r="E111" s="186">
        <f>E110</f>
        <v>0.03</v>
      </c>
      <c r="F111" s="186">
        <f>F110</f>
        <v>0.03</v>
      </c>
      <c r="G111" s="186">
        <f>G110</f>
        <v>0.03</v>
      </c>
      <c r="H111" s="186">
        <f>H110</f>
        <v>0.03</v>
      </c>
    </row>
    <row r="112" spans="1:8">
      <c r="A112" s="326" t="s">
        <v>695</v>
      </c>
      <c r="B112" t="s">
        <v>432</v>
      </c>
      <c r="C112" s="201" t="s">
        <v>1052</v>
      </c>
      <c r="D112" s="186">
        <f>D111</f>
        <v>0.03</v>
      </c>
      <c r="E112" s="186">
        <f>E111</f>
        <v>0.03</v>
      </c>
      <c r="F112" s="186">
        <f>F111</f>
        <v>0.03</v>
      </c>
      <c r="G112" s="186">
        <f>G111</f>
        <v>0.03</v>
      </c>
      <c r="H112" s="186">
        <f>H111</f>
        <v>0.03</v>
      </c>
    </row>
    <row r="113" spans="1:8">
      <c r="A113" s="326" t="s">
        <v>696</v>
      </c>
      <c r="B113" t="s">
        <v>433</v>
      </c>
      <c r="C113" s="201" t="s">
        <v>1052</v>
      </c>
      <c r="D113" s="186">
        <f>D112</f>
        <v>0.03</v>
      </c>
      <c r="E113" s="186">
        <f>E112</f>
        <v>0.03</v>
      </c>
      <c r="F113" s="186">
        <f>F112</f>
        <v>0.03</v>
      </c>
      <c r="G113" s="186">
        <f>G112</f>
        <v>0.03</v>
      </c>
      <c r="H113" s="186">
        <f>H112</f>
        <v>0.03</v>
      </c>
    </row>
    <row r="114" spans="1:8">
      <c r="A114" s="326" t="s">
        <v>697</v>
      </c>
      <c r="B114" t="s">
        <v>434</v>
      </c>
      <c r="C114" s="201" t="s">
        <v>1052</v>
      </c>
      <c r="D114" s="186">
        <f>D113</f>
        <v>0.03</v>
      </c>
      <c r="E114" s="186">
        <f>E113</f>
        <v>0.03</v>
      </c>
      <c r="F114" s="186">
        <f>F113</f>
        <v>0.03</v>
      </c>
      <c r="G114" s="186">
        <f>G113</f>
        <v>0.03</v>
      </c>
      <c r="H114" s="186">
        <f>H113</f>
        <v>0.03</v>
      </c>
    </row>
    <row r="115" spans="1:8">
      <c r="A115" s="326" t="s">
        <v>698</v>
      </c>
      <c r="B115" t="s">
        <v>435</v>
      </c>
      <c r="C115" s="201" t="s">
        <v>1052</v>
      </c>
      <c r="D115" s="186">
        <f>D114</f>
        <v>0.03</v>
      </c>
      <c r="E115" s="186">
        <f>E114</f>
        <v>0.03</v>
      </c>
      <c r="F115" s="186">
        <f>F114</f>
        <v>0.03</v>
      </c>
      <c r="G115" s="186">
        <f>G114</f>
        <v>0.03</v>
      </c>
      <c r="H115" s="186">
        <f>H114</f>
        <v>0.03</v>
      </c>
    </row>
    <row r="116" spans="1:8">
      <c r="A116" s="326" t="s">
        <v>699</v>
      </c>
      <c r="B116" t="s">
        <v>436</v>
      </c>
      <c r="C116" s="201" t="s">
        <v>1052</v>
      </c>
      <c r="D116" s="186">
        <f>D115</f>
        <v>0.03</v>
      </c>
      <c r="E116" s="186">
        <f>E115</f>
        <v>0.03</v>
      </c>
      <c r="F116" s="186">
        <f>F115</f>
        <v>0.03</v>
      </c>
      <c r="G116" s="186">
        <f>G115</f>
        <v>0.03</v>
      </c>
      <c r="H116" s="186">
        <f>H115</f>
        <v>0.03</v>
      </c>
    </row>
    <row r="117" spans="1:8">
      <c r="A117" s="326" t="s">
        <v>700</v>
      </c>
      <c r="B117" t="s">
        <v>499</v>
      </c>
      <c r="C117" s="201" t="s">
        <v>1052</v>
      </c>
      <c r="D117" s="186">
        <f>D116</f>
        <v>0.03</v>
      </c>
      <c r="E117" s="186">
        <f>E116</f>
        <v>0.03</v>
      </c>
      <c r="F117" s="186">
        <f>F116</f>
        <v>0.03</v>
      </c>
      <c r="G117" s="186">
        <f>G116</f>
        <v>0.03</v>
      </c>
      <c r="H117" s="186">
        <f>H116</f>
        <v>0.03</v>
      </c>
    </row>
    <row r="118" spans="1:8">
      <c r="A118" s="326" t="s">
        <v>701</v>
      </c>
      <c r="B118" t="s">
        <v>430</v>
      </c>
      <c r="C118" s="201" t="s">
        <v>1052</v>
      </c>
      <c r="D118" s="186">
        <f>D117</f>
        <v>0.03</v>
      </c>
      <c r="E118" s="186">
        <f>E117</f>
        <v>0.03</v>
      </c>
      <c r="F118" s="186">
        <f>F117</f>
        <v>0.03</v>
      </c>
      <c r="G118" s="186">
        <f>G117</f>
        <v>0.03</v>
      </c>
      <c r="H118" s="186">
        <f>H117</f>
        <v>0.03</v>
      </c>
    </row>
    <row r="119" spans="1:8">
      <c r="A119" s="326" t="s">
        <v>702</v>
      </c>
      <c r="B119" t="s">
        <v>437</v>
      </c>
      <c r="C119" s="201" t="s">
        <v>1052</v>
      </c>
      <c r="D119" s="186">
        <f>D118</f>
        <v>0.03</v>
      </c>
      <c r="E119" s="186">
        <f>E118</f>
        <v>0.03</v>
      </c>
      <c r="F119" s="186">
        <f>F118</f>
        <v>0.03</v>
      </c>
      <c r="G119" s="186">
        <f>G118</f>
        <v>0.03</v>
      </c>
      <c r="H119" s="186">
        <f>H118</f>
        <v>0.03</v>
      </c>
    </row>
    <row r="120" spans="1:8">
      <c r="A120" s="326" t="s">
        <v>703</v>
      </c>
      <c r="B120" t="s">
        <v>438</v>
      </c>
      <c r="C120" s="201" t="s">
        <v>1052</v>
      </c>
      <c r="D120" s="186">
        <f>D119</f>
        <v>0.03</v>
      </c>
      <c r="E120" s="186">
        <f>E119</f>
        <v>0.03</v>
      </c>
      <c r="F120" s="186">
        <f>F119</f>
        <v>0.03</v>
      </c>
      <c r="G120" s="186">
        <f>G119</f>
        <v>0.03</v>
      </c>
      <c r="H120" s="186">
        <f>H119</f>
        <v>0.03</v>
      </c>
    </row>
    <row r="121" spans="1:8">
      <c r="A121" s="326" t="s">
        <v>704</v>
      </c>
      <c r="B121" t="s">
        <v>877</v>
      </c>
      <c r="C121" s="201" t="s">
        <v>1052</v>
      </c>
      <c r="D121" s="186">
        <f>D120</f>
        <v>0.03</v>
      </c>
      <c r="E121" s="186">
        <f>E120</f>
        <v>0.03</v>
      </c>
      <c r="F121" s="186">
        <f>F120</f>
        <v>0.03</v>
      </c>
      <c r="G121" s="186">
        <f>G120</f>
        <v>0.03</v>
      </c>
      <c r="H121" s="186">
        <f>H120</f>
        <v>0.03</v>
      </c>
    </row>
    <row r="122" spans="1:8">
      <c r="A122" s="326" t="s">
        <v>705</v>
      </c>
      <c r="B122" t="s">
        <v>439</v>
      </c>
      <c r="C122" s="201" t="s">
        <v>1052</v>
      </c>
      <c r="D122" s="186">
        <f>D121</f>
        <v>0.03</v>
      </c>
      <c r="E122" s="186">
        <f>E121</f>
        <v>0.03</v>
      </c>
      <c r="F122" s="186">
        <f>F121</f>
        <v>0.03</v>
      </c>
      <c r="G122" s="186">
        <f>G121</f>
        <v>0.03</v>
      </c>
      <c r="H122" s="186">
        <f>H121</f>
        <v>0.03</v>
      </c>
    </row>
    <row r="123" spans="1:8">
      <c r="A123" s="326" t="s">
        <v>706</v>
      </c>
      <c r="B123" t="s">
        <v>440</v>
      </c>
      <c r="C123" s="201" t="s">
        <v>1054</v>
      </c>
      <c r="D123" s="186">
        <f>D75</f>
        <v>0.03</v>
      </c>
      <c r="E123" s="186">
        <f>E75</f>
        <v>0.03</v>
      </c>
      <c r="F123" s="186">
        <f>F75</f>
        <v>0.03</v>
      </c>
      <c r="G123" s="186">
        <f>G75</f>
        <v>0.03</v>
      </c>
      <c r="H123" s="186">
        <f>H75</f>
        <v>0.03</v>
      </c>
    </row>
    <row r="124" spans="1:8">
      <c r="A124" s="326" t="s">
        <v>707</v>
      </c>
      <c r="B124" t="s">
        <v>441</v>
      </c>
      <c r="C124" s="201" t="s">
        <v>1047</v>
      </c>
      <c r="D124" s="186">
        <f>D90</f>
        <v>0</v>
      </c>
      <c r="E124" s="186">
        <f>E90</f>
        <v>0</v>
      </c>
      <c r="F124" s="186">
        <f>F90</f>
        <v>0</v>
      </c>
      <c r="G124" s="186">
        <f>G90</f>
        <v>0</v>
      </c>
      <c r="H124" s="186">
        <f>H90</f>
        <v>0</v>
      </c>
    </row>
    <row r="125" spans="1:8">
      <c r="A125" s="326" t="s">
        <v>708</v>
      </c>
      <c r="B125" t="s">
        <v>442</v>
      </c>
      <c r="C125" s="201" t="s">
        <v>1047</v>
      </c>
      <c r="D125" s="186">
        <f>D77</f>
        <v>0.03</v>
      </c>
      <c r="E125" s="186">
        <f>E77</f>
        <v>0.03</v>
      </c>
      <c r="F125" s="186">
        <f>F77</f>
        <v>0.03</v>
      </c>
      <c r="G125" s="186">
        <f>G77</f>
        <v>0.03</v>
      </c>
      <c r="H125" s="186">
        <f>H77</f>
        <v>0.03</v>
      </c>
    </row>
    <row r="126" spans="1:8">
      <c r="A126" s="326" t="s">
        <v>709</v>
      </c>
      <c r="B126" t="s">
        <v>3141</v>
      </c>
      <c r="C126" s="201" t="s">
        <v>1047</v>
      </c>
      <c r="D126" s="186">
        <f>D78</f>
        <v>0</v>
      </c>
      <c r="E126" s="186">
        <f>E78</f>
        <v>0</v>
      </c>
      <c r="F126" s="186">
        <f>F78</f>
        <v>0</v>
      </c>
      <c r="G126" s="186">
        <f>G78</f>
        <v>0</v>
      </c>
      <c r="H126" s="186">
        <f>H78</f>
        <v>0</v>
      </c>
    </row>
    <row r="127" spans="1:8">
      <c r="A127" s="326" t="s">
        <v>710</v>
      </c>
      <c r="B127" t="s">
        <v>3523</v>
      </c>
      <c r="C127" s="201" t="s">
        <v>1047</v>
      </c>
      <c r="D127" s="186">
        <f>D79</f>
        <v>0</v>
      </c>
      <c r="E127" s="186">
        <f>E79</f>
        <v>0</v>
      </c>
      <c r="F127" s="186">
        <f>F79</f>
        <v>0</v>
      </c>
      <c r="G127" s="186">
        <f>G79</f>
        <v>0</v>
      </c>
      <c r="H127" s="186">
        <f>H79</f>
        <v>0</v>
      </c>
    </row>
    <row r="128" spans="1:8">
      <c r="A128" s="326" t="s">
        <v>711</v>
      </c>
      <c r="B128" t="s">
        <v>445</v>
      </c>
      <c r="C128" s="201" t="s">
        <v>1047</v>
      </c>
      <c r="D128" s="186">
        <f>D80</f>
        <v>0</v>
      </c>
      <c r="E128" s="186">
        <f>E80</f>
        <v>0</v>
      </c>
      <c r="F128" s="186">
        <f>F80</f>
        <v>0</v>
      </c>
      <c r="G128" s="186">
        <f>G80</f>
        <v>0</v>
      </c>
      <c r="H128" s="186">
        <f>H80</f>
        <v>0</v>
      </c>
    </row>
    <row r="129" spans="1:8">
      <c r="A129" s="326" t="s">
        <v>712</v>
      </c>
      <c r="B129" t="s">
        <v>446</v>
      </c>
      <c r="C129" s="201" t="s">
        <v>1047</v>
      </c>
      <c r="D129" s="186">
        <f>D81</f>
        <v>0</v>
      </c>
      <c r="E129" s="186">
        <f>E81</f>
        <v>0</v>
      </c>
      <c r="F129" s="186">
        <f>F81</f>
        <v>0</v>
      </c>
      <c r="G129" s="186">
        <f>G81</f>
        <v>0</v>
      </c>
      <c r="H129" s="186">
        <f>H81</f>
        <v>0</v>
      </c>
    </row>
    <row r="130" spans="1:8">
      <c r="A130" s="326" t="s">
        <v>686</v>
      </c>
      <c r="B130" t="s">
        <v>482</v>
      </c>
      <c r="C130" s="201" t="s">
        <v>1047</v>
      </c>
      <c r="D130" s="186">
        <f>D82</f>
        <v>0</v>
      </c>
      <c r="E130" s="186">
        <f>E82</f>
        <v>0</v>
      </c>
      <c r="F130" s="186">
        <f>F82</f>
        <v>0</v>
      </c>
      <c r="G130" s="186">
        <f>G82</f>
        <v>0</v>
      </c>
      <c r="H130" s="186">
        <f>H82</f>
        <v>0</v>
      </c>
    </row>
    <row r="131" spans="1:8">
      <c r="A131" s="326" t="s">
        <v>599</v>
      </c>
      <c r="B131" t="s">
        <v>897</v>
      </c>
      <c r="C131" s="201" t="s">
        <v>1047</v>
      </c>
      <c r="D131" s="186">
        <f>D83</f>
        <v>0</v>
      </c>
      <c r="E131" s="186">
        <f>E83</f>
        <v>0</v>
      </c>
      <c r="F131" s="186">
        <f>F83</f>
        <v>0</v>
      </c>
      <c r="G131" s="186">
        <f>G83</f>
        <v>0</v>
      </c>
      <c r="H131" s="186">
        <f>H83</f>
        <v>0</v>
      </c>
    </row>
    <row r="132" spans="1:8">
      <c r="A132" s="326" t="s">
        <v>713</v>
      </c>
      <c r="B132" t="s">
        <v>483</v>
      </c>
      <c r="C132" s="201" t="s">
        <v>1047</v>
      </c>
      <c r="D132" s="186">
        <f>D84</f>
        <v>-0.25</v>
      </c>
      <c r="E132" s="186">
        <f>E84</f>
        <v>-0.5</v>
      </c>
      <c r="F132" s="186">
        <f>F84</f>
        <v>0</v>
      </c>
      <c r="G132" s="186">
        <f>G84</f>
        <v>0</v>
      </c>
      <c r="H132" s="186">
        <f>H84</f>
        <v>0</v>
      </c>
    </row>
    <row r="133" spans="1:8">
      <c r="A133" s="326" t="s">
        <v>3549</v>
      </c>
      <c r="B133" t="s">
        <v>485</v>
      </c>
      <c r="C133" s="201" t="e">
        <v>#N/A</v>
      </c>
      <c r="D133" s="186">
        <f>D85</f>
        <v>0</v>
      </c>
      <c r="E133" s="186">
        <f>E85</f>
        <v>0</v>
      </c>
      <c r="F133" s="186">
        <f>F85</f>
        <v>0</v>
      </c>
      <c r="G133" s="186">
        <f>G85</f>
        <v>0</v>
      </c>
      <c r="H133" s="186">
        <f>H85</f>
        <v>0</v>
      </c>
    </row>
    <row r="134" spans="1:8">
      <c r="A134" s="326" t="s">
        <v>687</v>
      </c>
      <c r="B134" t="s">
        <v>484</v>
      </c>
      <c r="C134" s="201" t="s">
        <v>1047</v>
      </c>
      <c r="D134" s="186">
        <f>D86</f>
        <v>0</v>
      </c>
      <c r="E134" s="186">
        <f>E86</f>
        <v>0</v>
      </c>
      <c r="F134" s="186">
        <f>F86</f>
        <v>0</v>
      </c>
      <c r="G134" s="186">
        <f>G86</f>
        <v>0</v>
      </c>
      <c r="H134" s="186">
        <f>H86</f>
        <v>0</v>
      </c>
    </row>
    <row r="135" spans="1:8">
      <c r="A135" s="326" t="s">
        <v>714</v>
      </c>
      <c r="B135" t="s">
        <v>486</v>
      </c>
      <c r="C135" s="201" t="s">
        <v>1047</v>
      </c>
      <c r="D135" s="186">
        <f>D87</f>
        <v>0</v>
      </c>
      <c r="E135" s="186">
        <f>E87</f>
        <v>0</v>
      </c>
      <c r="F135" s="186">
        <f>F87</f>
        <v>0</v>
      </c>
      <c r="G135" s="186">
        <f>G87</f>
        <v>0</v>
      </c>
      <c r="H135" s="186">
        <f>H87</f>
        <v>0</v>
      </c>
    </row>
    <row r="136" spans="1:8">
      <c r="A136" s="326" t="s">
        <v>715</v>
      </c>
      <c r="B136" t="s">
        <v>487</v>
      </c>
      <c r="C136" s="201" t="s">
        <v>1047</v>
      </c>
      <c r="D136" s="186">
        <f>D88</f>
        <v>0</v>
      </c>
      <c r="E136" s="186">
        <f>E88</f>
        <v>0</v>
      </c>
      <c r="F136" s="186">
        <f>F88</f>
        <v>0</v>
      </c>
      <c r="G136" s="186">
        <f>G88</f>
        <v>0</v>
      </c>
      <c r="H136" s="186">
        <f>H88</f>
        <v>0</v>
      </c>
    </row>
    <row r="137" spans="1:8">
      <c r="A137" s="326" t="s">
        <v>733</v>
      </c>
      <c r="B137" t="s">
        <v>512</v>
      </c>
      <c r="C137" s="201" t="s">
        <v>1056</v>
      </c>
    </row>
    <row r="138" spans="1:8">
      <c r="A138" s="326" t="s">
        <v>716</v>
      </c>
      <c r="B138" t="s">
        <v>3142</v>
      </c>
      <c r="C138" s="201" t="s">
        <v>1051</v>
      </c>
      <c r="D138" s="186">
        <f>D49</f>
        <v>0</v>
      </c>
      <c r="E138" s="186">
        <f>E49</f>
        <v>0</v>
      </c>
      <c r="F138" s="186">
        <f>F49</f>
        <v>0</v>
      </c>
      <c r="G138" s="186">
        <f>G49</f>
        <v>0</v>
      </c>
      <c r="H138" s="186">
        <f>H49</f>
        <v>0</v>
      </c>
    </row>
    <row r="139" spans="1:8">
      <c r="A139" s="326" t="s">
        <v>717</v>
      </c>
      <c r="B139" t="s">
        <v>3143</v>
      </c>
      <c r="C139" s="201" t="s">
        <v>1051</v>
      </c>
      <c r="D139" s="186">
        <f>D138</f>
        <v>0</v>
      </c>
      <c r="E139" s="186">
        <f>E138</f>
        <v>0</v>
      </c>
      <c r="F139" s="186">
        <f>F138</f>
        <v>0</v>
      </c>
      <c r="G139" s="186">
        <f>G138</f>
        <v>0</v>
      </c>
      <c r="H139" s="186">
        <f>H138</f>
        <v>0</v>
      </c>
    </row>
    <row r="140" spans="1:8">
      <c r="A140" s="326" t="s">
        <v>718</v>
      </c>
      <c r="B140" t="s">
        <v>3144</v>
      </c>
      <c r="C140" s="201" t="s">
        <v>1051</v>
      </c>
      <c r="D140" s="186">
        <f>D139</f>
        <v>0</v>
      </c>
      <c r="E140" s="186">
        <f>E139</f>
        <v>0</v>
      </c>
      <c r="F140" s="186">
        <f>F139</f>
        <v>0</v>
      </c>
      <c r="G140" s="186">
        <f>G139</f>
        <v>0</v>
      </c>
      <c r="H140" s="186">
        <f>H139</f>
        <v>0</v>
      </c>
    </row>
    <row r="141" spans="1:8">
      <c r="A141" s="326" t="s">
        <v>719</v>
      </c>
      <c r="B141" t="s">
        <v>3145</v>
      </c>
      <c r="C141" s="201" t="s">
        <v>1051</v>
      </c>
      <c r="D141" s="186">
        <f>D140</f>
        <v>0</v>
      </c>
      <c r="E141" s="186">
        <f>E140</f>
        <v>0</v>
      </c>
      <c r="F141" s="186">
        <f>F140</f>
        <v>0</v>
      </c>
      <c r="G141" s="186">
        <f>G140</f>
        <v>0</v>
      </c>
      <c r="H141" s="186">
        <f>H140</f>
        <v>0</v>
      </c>
    </row>
    <row r="142" spans="1:8">
      <c r="A142" s="326" t="s">
        <v>946</v>
      </c>
      <c r="B142" t="s">
        <v>1023</v>
      </c>
      <c r="C142" s="201" t="s">
        <v>1051</v>
      </c>
      <c r="D142" s="186">
        <f>D141</f>
        <v>0</v>
      </c>
      <c r="E142" s="186">
        <f>E141</f>
        <v>0</v>
      </c>
      <c r="F142" s="186">
        <f>F141</f>
        <v>0</v>
      </c>
      <c r="G142" s="186">
        <f>G141</f>
        <v>0</v>
      </c>
      <c r="H142" s="186">
        <f>H141</f>
        <v>0</v>
      </c>
    </row>
    <row r="143" spans="1:8">
      <c r="A143" s="326" t="s">
        <v>720</v>
      </c>
      <c r="B143" t="s">
        <v>867</v>
      </c>
      <c r="C143" s="201" t="s">
        <v>1051</v>
      </c>
      <c r="D143" s="186">
        <f>D142</f>
        <v>0</v>
      </c>
      <c r="E143" s="186">
        <f>E142</f>
        <v>0</v>
      </c>
      <c r="F143" s="186">
        <f>F142</f>
        <v>0</v>
      </c>
      <c r="G143" s="186">
        <f>G142</f>
        <v>0</v>
      </c>
      <c r="H143" s="186">
        <f>H142</f>
        <v>0</v>
      </c>
    </row>
    <row r="144" spans="1:8">
      <c r="A144" s="326" t="s">
        <v>947</v>
      </c>
      <c r="B144" t="s">
        <v>3146</v>
      </c>
      <c r="C144" s="201" t="s">
        <v>1051</v>
      </c>
      <c r="D144" s="186">
        <f>D143</f>
        <v>0</v>
      </c>
      <c r="E144" s="186">
        <f>E143</f>
        <v>0</v>
      </c>
      <c r="F144" s="186">
        <f>F143</f>
        <v>0</v>
      </c>
      <c r="G144" s="186">
        <f>G143</f>
        <v>0</v>
      </c>
      <c r="H144" s="186">
        <f>H143</f>
        <v>0</v>
      </c>
    </row>
    <row r="145" spans="1:8">
      <c r="A145" s="326" t="s">
        <v>948</v>
      </c>
      <c r="B145" t="s">
        <v>1024</v>
      </c>
      <c r="C145" s="201" t="s">
        <v>1051</v>
      </c>
      <c r="D145" s="186">
        <f>D144</f>
        <v>0</v>
      </c>
      <c r="E145" s="186">
        <f>E144</f>
        <v>0</v>
      </c>
      <c r="F145" s="186">
        <f>F144</f>
        <v>0</v>
      </c>
      <c r="G145" s="186">
        <f>G144</f>
        <v>0</v>
      </c>
      <c r="H145" s="186">
        <f>H144</f>
        <v>0</v>
      </c>
    </row>
    <row r="146" spans="1:8">
      <c r="A146" s="326" t="s">
        <v>943</v>
      </c>
      <c r="B146" t="s">
        <v>859</v>
      </c>
      <c r="C146" s="201" t="s">
        <v>1051</v>
      </c>
      <c r="D146" s="186">
        <f>D145</f>
        <v>0</v>
      </c>
      <c r="E146" s="186">
        <f>E145</f>
        <v>0</v>
      </c>
      <c r="F146" s="186">
        <f>F145</f>
        <v>0</v>
      </c>
      <c r="G146" s="186">
        <f>G145</f>
        <v>0</v>
      </c>
      <c r="H146" s="186">
        <f>H145</f>
        <v>0</v>
      </c>
    </row>
    <row r="147" spans="1:8">
      <c r="A147" s="326" t="s">
        <v>970</v>
      </c>
      <c r="B147" t="s">
        <v>488</v>
      </c>
      <c r="C147" s="201" t="s">
        <v>1054</v>
      </c>
      <c r="D147" s="186">
        <f>D123</f>
        <v>0.03</v>
      </c>
      <c r="E147" s="186">
        <f>E123</f>
        <v>0.03</v>
      </c>
      <c r="F147" s="186">
        <f>F123</f>
        <v>0.03</v>
      </c>
      <c r="G147" s="186">
        <f>G123</f>
        <v>0.03</v>
      </c>
      <c r="H147" s="186">
        <f>H123</f>
        <v>0.03</v>
      </c>
    </row>
    <row r="148" spans="1:8">
      <c r="A148" s="326" t="s">
        <v>685</v>
      </c>
      <c r="B148" t="s">
        <v>454</v>
      </c>
      <c r="C148" s="201" t="s">
        <v>1054</v>
      </c>
      <c r="D148" s="186">
        <f>D147</f>
        <v>0.03</v>
      </c>
      <c r="E148" s="186">
        <f>E147</f>
        <v>0.03</v>
      </c>
      <c r="F148" s="186">
        <f>F147</f>
        <v>0.03</v>
      </c>
      <c r="G148" s="186">
        <f>G147</f>
        <v>0.03</v>
      </c>
      <c r="H148" s="186">
        <f>H147</f>
        <v>0.03</v>
      </c>
    </row>
    <row r="149" spans="1:8">
      <c r="A149" s="326" t="s">
        <v>3550</v>
      </c>
      <c r="B149" t="s">
        <v>885</v>
      </c>
      <c r="C149" s="201" t="e">
        <v>#N/A</v>
      </c>
      <c r="D149" s="186">
        <f>D148</f>
        <v>0.03</v>
      </c>
      <c r="E149" s="186">
        <f>E148</f>
        <v>0.03</v>
      </c>
      <c r="F149" s="186">
        <f>F148</f>
        <v>0.03</v>
      </c>
      <c r="G149" s="186">
        <f>G148</f>
        <v>0.03</v>
      </c>
      <c r="H149" s="186">
        <f>H148</f>
        <v>0.03</v>
      </c>
    </row>
    <row r="150" spans="1:8">
      <c r="A150" s="326" t="s">
        <v>785</v>
      </c>
      <c r="B150" t="s">
        <v>477</v>
      </c>
      <c r="C150" s="201" t="s">
        <v>1054</v>
      </c>
      <c r="D150" s="186">
        <f>D149</f>
        <v>0.03</v>
      </c>
      <c r="E150" s="186">
        <f>E149</f>
        <v>0.03</v>
      </c>
      <c r="F150" s="186">
        <f>F149</f>
        <v>0.03</v>
      </c>
      <c r="G150" s="186">
        <f>G149</f>
        <v>0.03</v>
      </c>
      <c r="H150" s="186">
        <f>H149</f>
        <v>0.03</v>
      </c>
    </row>
    <row r="151" spans="1:8">
      <c r="A151" s="326" t="s">
        <v>971</v>
      </c>
      <c r="B151" t="s">
        <v>454</v>
      </c>
      <c r="C151" s="201" t="s">
        <v>1054</v>
      </c>
      <c r="D151" s="186">
        <f>D150</f>
        <v>0.03</v>
      </c>
      <c r="E151" s="186">
        <f>E150</f>
        <v>0.03</v>
      </c>
      <c r="F151" s="186">
        <f>F150</f>
        <v>0.03</v>
      </c>
      <c r="G151" s="186">
        <f>G150</f>
        <v>0.03</v>
      </c>
      <c r="H151" s="186">
        <f>H150</f>
        <v>0.03</v>
      </c>
    </row>
    <row r="152" spans="1:8">
      <c r="A152" s="326" t="s">
        <v>588</v>
      </c>
      <c r="B152" t="s">
        <v>477</v>
      </c>
      <c r="C152" s="201" t="s">
        <v>1054</v>
      </c>
      <c r="D152" s="186">
        <f>D151</f>
        <v>0.03</v>
      </c>
      <c r="E152" s="186">
        <f>E151</f>
        <v>0.03</v>
      </c>
      <c r="F152" s="186">
        <f>F151</f>
        <v>0.03</v>
      </c>
      <c r="G152" s="186">
        <f>G151</f>
        <v>0.03</v>
      </c>
      <c r="H152" s="186">
        <f>H151</f>
        <v>0.03</v>
      </c>
    </row>
    <row r="153" spans="1:8">
      <c r="A153" s="326" t="s">
        <v>977</v>
      </c>
      <c r="B153" t="s">
        <v>893</v>
      </c>
      <c r="C153" s="201" t="s">
        <v>1047</v>
      </c>
      <c r="D153" s="186">
        <f>D136</f>
        <v>0</v>
      </c>
      <c r="E153" s="186">
        <f>E136</f>
        <v>0</v>
      </c>
      <c r="F153" s="186">
        <f>F136</f>
        <v>0</v>
      </c>
      <c r="G153" s="186">
        <f>G136</f>
        <v>0</v>
      </c>
      <c r="H153" s="186">
        <f>H136</f>
        <v>0</v>
      </c>
    </row>
    <row r="154" spans="1:8">
      <c r="A154" s="326" t="s">
        <v>3377</v>
      </c>
      <c r="B154" t="s">
        <v>3148</v>
      </c>
      <c r="C154" s="201" t="s">
        <v>916</v>
      </c>
    </row>
    <row r="155" spans="1:8">
      <c r="A155" s="326" t="s">
        <v>3378</v>
      </c>
      <c r="B155" t="s">
        <v>490</v>
      </c>
      <c r="C155" s="201" t="s">
        <v>916</v>
      </c>
    </row>
    <row r="156" spans="1:8">
      <c r="A156" s="326" t="s">
        <v>3379</v>
      </c>
      <c r="B156" t="s">
        <v>492</v>
      </c>
      <c r="C156" s="201" t="s">
        <v>916</v>
      </c>
    </row>
    <row r="157" spans="1:8">
      <c r="A157" s="326" t="s">
        <v>3380</v>
      </c>
      <c r="B157" t="s">
        <v>491</v>
      </c>
      <c r="C157" s="201" t="s">
        <v>916</v>
      </c>
    </row>
    <row r="158" spans="1:8">
      <c r="A158" s="326" t="s">
        <v>969</v>
      </c>
      <c r="B158" t="s">
        <v>887</v>
      </c>
      <c r="C158" s="201" t="s">
        <v>1054</v>
      </c>
      <c r="D158" s="186">
        <f>D152</f>
        <v>0.03</v>
      </c>
      <c r="E158" s="186">
        <f>E152</f>
        <v>0.03</v>
      </c>
      <c r="F158" s="186">
        <f>F152</f>
        <v>0.03</v>
      </c>
      <c r="G158" s="186">
        <f>G152</f>
        <v>0.03</v>
      </c>
      <c r="H158" s="186">
        <f>H152</f>
        <v>0.03</v>
      </c>
    </row>
    <row r="159" spans="1:8">
      <c r="A159" s="326" t="s">
        <v>973</v>
      </c>
      <c r="B159" t="s">
        <v>3435</v>
      </c>
      <c r="C159" s="201" t="s">
        <v>1047</v>
      </c>
      <c r="D159" s="186">
        <f>D153</f>
        <v>0</v>
      </c>
      <c r="E159" s="186">
        <f>E153</f>
        <v>0</v>
      </c>
      <c r="F159" s="186">
        <f>F153</f>
        <v>0</v>
      </c>
      <c r="G159" s="186">
        <f>G153</f>
        <v>0</v>
      </c>
      <c r="H159" s="186">
        <f>H153</f>
        <v>0</v>
      </c>
    </row>
    <row r="160" spans="1:8">
      <c r="A160" s="326" t="s">
        <v>964</v>
      </c>
      <c r="B160" t="s">
        <v>828</v>
      </c>
      <c r="C160" s="201" t="s">
        <v>1053</v>
      </c>
    </row>
    <row r="161" spans="1:8">
      <c r="A161" s="326" t="s">
        <v>724</v>
      </c>
      <c r="B161" t="s">
        <v>493</v>
      </c>
      <c r="C161" s="201" t="s">
        <v>1052</v>
      </c>
      <c r="D161" s="635">
        <f>'5 Year Forecast'!L33</f>
        <v>0.03</v>
      </c>
      <c r="E161" s="635">
        <f>'5 Year Forecast'!M33</f>
        <v>0.03</v>
      </c>
      <c r="F161" s="635">
        <f>'5 Year Forecast'!N33</f>
        <v>0.03</v>
      </c>
      <c r="G161" s="635">
        <f>'5 Year Forecast'!O33</f>
        <v>0.03</v>
      </c>
      <c r="H161" s="635">
        <f>'5 Year Forecast'!P33</f>
        <v>0.03</v>
      </c>
    </row>
    <row r="162" spans="1:8">
      <c r="A162" s="326" t="s">
        <v>725</v>
      </c>
      <c r="B162" t="s">
        <v>494</v>
      </c>
      <c r="C162" s="201" t="s">
        <v>1052</v>
      </c>
      <c r="D162" s="635">
        <f>D161</f>
        <v>0.03</v>
      </c>
      <c r="E162" s="635">
        <f>E161</f>
        <v>0.03</v>
      </c>
      <c r="F162" s="635">
        <f>F161</f>
        <v>0.03</v>
      </c>
      <c r="G162" s="635">
        <f>G161</f>
        <v>0.03</v>
      </c>
      <c r="H162" s="635">
        <f>H161</f>
        <v>0.03</v>
      </c>
    </row>
    <row r="163" spans="1:8">
      <c r="A163" s="326" t="s">
        <v>726</v>
      </c>
      <c r="B163" t="s">
        <v>495</v>
      </c>
      <c r="C163" s="201" t="s">
        <v>1052</v>
      </c>
      <c r="D163" s="635">
        <f>D162</f>
        <v>0.03</v>
      </c>
      <c r="E163" s="635">
        <f>E162</f>
        <v>0.03</v>
      </c>
      <c r="F163" s="635">
        <f>F162</f>
        <v>0.03</v>
      </c>
      <c r="G163" s="635">
        <f>G162</f>
        <v>0.03</v>
      </c>
      <c r="H163" s="635">
        <f>H162</f>
        <v>0.03</v>
      </c>
    </row>
    <row r="164" spans="1:8">
      <c r="A164" s="326" t="s">
        <v>956</v>
      </c>
      <c r="B164" t="s">
        <v>882</v>
      </c>
      <c r="C164" s="201" t="s">
        <v>1052</v>
      </c>
      <c r="D164" s="635">
        <f>D163</f>
        <v>0.03</v>
      </c>
      <c r="E164" s="635">
        <f>E163</f>
        <v>0.03</v>
      </c>
      <c r="F164" s="635">
        <f>F163</f>
        <v>0.03</v>
      </c>
      <c r="G164" s="635">
        <f>G163</f>
        <v>0.03</v>
      </c>
      <c r="H164" s="635">
        <f>H163</f>
        <v>0.03</v>
      </c>
    </row>
    <row r="165" spans="1:8">
      <c r="A165" s="326" t="s">
        <v>727</v>
      </c>
      <c r="B165" t="s">
        <v>496</v>
      </c>
      <c r="C165" s="201" t="s">
        <v>1052</v>
      </c>
      <c r="D165" s="635">
        <f>D164</f>
        <v>0.03</v>
      </c>
      <c r="E165" s="635">
        <f>E164</f>
        <v>0.03</v>
      </c>
      <c r="F165" s="635">
        <f>F164</f>
        <v>0.03</v>
      </c>
      <c r="G165" s="635">
        <f>G164</f>
        <v>0.03</v>
      </c>
      <c r="H165" s="635">
        <f>H164</f>
        <v>0.03</v>
      </c>
    </row>
    <row r="166" spans="1:8">
      <c r="A166" s="326" t="s">
        <v>728</v>
      </c>
      <c r="B166" t="s">
        <v>497</v>
      </c>
      <c r="C166" s="201" t="s">
        <v>1052</v>
      </c>
      <c r="D166" s="635">
        <f>D165</f>
        <v>0.03</v>
      </c>
      <c r="E166" s="635">
        <f>E165</f>
        <v>0.03</v>
      </c>
      <c r="F166" s="635">
        <f>F165</f>
        <v>0.03</v>
      </c>
      <c r="G166" s="635">
        <f>G165</f>
        <v>0.03</v>
      </c>
      <c r="H166" s="635">
        <f>H165</f>
        <v>0.03</v>
      </c>
    </row>
    <row r="167" spans="1:8">
      <c r="A167" s="326" t="s">
        <v>955</v>
      </c>
      <c r="B167" t="s">
        <v>746</v>
      </c>
      <c r="C167" s="201" t="s">
        <v>1052</v>
      </c>
      <c r="D167" s="635">
        <f>D166</f>
        <v>0.03</v>
      </c>
      <c r="E167" s="635">
        <f>E166</f>
        <v>0.03</v>
      </c>
      <c r="F167" s="635">
        <f>F166</f>
        <v>0.03</v>
      </c>
      <c r="G167" s="635">
        <f>G166</f>
        <v>0.03</v>
      </c>
      <c r="H167" s="635">
        <f>H166</f>
        <v>0.03</v>
      </c>
    </row>
    <row r="168" spans="1:8">
      <c r="A168" s="326" t="s">
        <v>940</v>
      </c>
      <c r="B168" t="s">
        <v>857</v>
      </c>
      <c r="C168" s="201" t="s">
        <v>1046</v>
      </c>
      <c r="D168" s="186">
        <f>D35</f>
        <v>-0.02</v>
      </c>
      <c r="E168" s="186">
        <f>E35</f>
        <v>-0.02</v>
      </c>
      <c r="F168" s="186">
        <f>F35</f>
        <v>-0.02</v>
      </c>
      <c r="G168" s="186">
        <f>G35</f>
        <v>-0.02</v>
      </c>
      <c r="H168" s="186">
        <f>H35</f>
        <v>-0.02</v>
      </c>
    </row>
    <row r="169" spans="1:8">
      <c r="A169" s="326" t="s">
        <v>941</v>
      </c>
      <c r="B169" t="s">
        <v>3150</v>
      </c>
      <c r="C169" s="201" t="s">
        <v>1046</v>
      </c>
      <c r="D169" s="186">
        <f>D168</f>
        <v>-0.02</v>
      </c>
      <c r="E169" s="186">
        <f>E168</f>
        <v>-0.02</v>
      </c>
      <c r="F169" s="186">
        <f>F168</f>
        <v>-0.02</v>
      </c>
      <c r="G169" s="186">
        <f>G168</f>
        <v>-0.02</v>
      </c>
      <c r="H169" s="186">
        <f>H168</f>
        <v>-0.02</v>
      </c>
    </row>
    <row r="170" spans="1:8">
      <c r="A170" s="326" t="s">
        <v>768</v>
      </c>
      <c r="B170" t="s">
        <v>498</v>
      </c>
      <c r="C170" s="201" t="s">
        <v>1052</v>
      </c>
      <c r="D170" s="186">
        <f>D167</f>
        <v>0.03</v>
      </c>
      <c r="E170" s="186">
        <f>E167</f>
        <v>0.03</v>
      </c>
      <c r="F170" s="186">
        <f>F167</f>
        <v>0.03</v>
      </c>
      <c r="G170" s="186">
        <f>G167</f>
        <v>0.03</v>
      </c>
      <c r="H170" s="186">
        <f>H167</f>
        <v>0.03</v>
      </c>
    </row>
    <row r="171" spans="1:8">
      <c r="A171" s="326" t="s">
        <v>770</v>
      </c>
      <c r="B171" t="s">
        <v>500</v>
      </c>
      <c r="C171" s="201" t="s">
        <v>1052</v>
      </c>
      <c r="D171" s="186">
        <f>D170</f>
        <v>0.03</v>
      </c>
      <c r="E171" s="186">
        <f>E170</f>
        <v>0.03</v>
      </c>
      <c r="F171" s="186">
        <f>F170</f>
        <v>0.03</v>
      </c>
      <c r="G171" s="186">
        <f>G170</f>
        <v>0.03</v>
      </c>
      <c r="H171" s="186">
        <f>H170</f>
        <v>0.03</v>
      </c>
    </row>
    <row r="172" spans="1:8">
      <c r="A172" s="326" t="s">
        <v>771</v>
      </c>
      <c r="B172" t="s">
        <v>501</v>
      </c>
      <c r="C172" s="201" t="s">
        <v>1052</v>
      </c>
      <c r="D172" s="186">
        <f>D171</f>
        <v>0.03</v>
      </c>
      <c r="E172" s="186">
        <f>E171</f>
        <v>0.03</v>
      </c>
      <c r="F172" s="186">
        <f>F171</f>
        <v>0.03</v>
      </c>
      <c r="G172" s="186">
        <f>G171</f>
        <v>0.03</v>
      </c>
      <c r="H172" s="186">
        <f>H171</f>
        <v>0.03</v>
      </c>
    </row>
    <row r="173" spans="1:8">
      <c r="A173" s="326" t="s">
        <v>772</v>
      </c>
      <c r="B173" t="s">
        <v>502</v>
      </c>
      <c r="C173" s="201" t="s">
        <v>1052</v>
      </c>
      <c r="D173" s="186">
        <f>D172</f>
        <v>0.03</v>
      </c>
      <c r="E173" s="186">
        <f>E172</f>
        <v>0.03</v>
      </c>
      <c r="F173" s="186">
        <f>F172</f>
        <v>0.03</v>
      </c>
      <c r="G173" s="186">
        <f>G172</f>
        <v>0.03</v>
      </c>
      <c r="H173" s="186">
        <f>H172</f>
        <v>0.03</v>
      </c>
    </row>
    <row r="174" spans="1:8">
      <c r="A174" s="326" t="s">
        <v>773</v>
      </c>
      <c r="B174" s="203" t="s">
        <v>875</v>
      </c>
      <c r="C174" s="201" t="s">
        <v>1052</v>
      </c>
      <c r="D174" s="186">
        <f>D173</f>
        <v>0.03</v>
      </c>
      <c r="E174" s="186">
        <f>E173</f>
        <v>0.03</v>
      </c>
      <c r="F174" s="186">
        <f>F173</f>
        <v>0.03</v>
      </c>
      <c r="G174" s="186">
        <f>G173</f>
        <v>0.03</v>
      </c>
      <c r="H174" s="186">
        <f>H173</f>
        <v>0.03</v>
      </c>
    </row>
    <row r="175" spans="1:8">
      <c r="A175" s="326" t="s">
        <v>577</v>
      </c>
      <c r="B175" t="s">
        <v>416</v>
      </c>
      <c r="C175" s="201" t="s">
        <v>1052</v>
      </c>
      <c r="D175" s="186">
        <f>D174</f>
        <v>0.03</v>
      </c>
      <c r="E175" s="186">
        <f>E174</f>
        <v>0.03</v>
      </c>
      <c r="F175" s="186">
        <f>F174</f>
        <v>0.03</v>
      </c>
      <c r="G175" s="186">
        <f>G174</f>
        <v>0.03</v>
      </c>
      <c r="H175" s="186">
        <f>H174</f>
        <v>0.03</v>
      </c>
    </row>
    <row r="176" spans="1:8">
      <c r="A176" s="187" t="s">
        <v>774</v>
      </c>
      <c r="B176" t="s">
        <v>503</v>
      </c>
      <c r="C176" s="201" t="s">
        <v>1052</v>
      </c>
      <c r="D176" s="186">
        <f>D175</f>
        <v>0.03</v>
      </c>
      <c r="E176" s="186">
        <f>E175</f>
        <v>0.03</v>
      </c>
      <c r="F176" s="186">
        <f>F175</f>
        <v>0.03</v>
      </c>
      <c r="G176" s="186">
        <f>G175</f>
        <v>0.03</v>
      </c>
      <c r="H176" s="186">
        <f>H175</f>
        <v>0.03</v>
      </c>
    </row>
    <row r="177" spans="1:8">
      <c r="A177" s="187" t="s">
        <v>775</v>
      </c>
      <c r="B177" t="s">
        <v>504</v>
      </c>
      <c r="C177" s="201" t="s">
        <v>1052</v>
      </c>
      <c r="D177" s="186">
        <f>D176</f>
        <v>0.03</v>
      </c>
      <c r="E177" s="186">
        <f>E176</f>
        <v>0.03</v>
      </c>
      <c r="F177" s="186">
        <f>F176</f>
        <v>0.03</v>
      </c>
      <c r="G177" s="186">
        <f>G176</f>
        <v>0.03</v>
      </c>
      <c r="H177" s="186">
        <f>H176</f>
        <v>0.03</v>
      </c>
    </row>
    <row r="178" spans="1:8">
      <c r="A178" s="326" t="s">
        <v>776</v>
      </c>
      <c r="B178" t="s">
        <v>505</v>
      </c>
      <c r="C178" s="201" t="s">
        <v>1052</v>
      </c>
      <c r="D178" s="186">
        <f>D177</f>
        <v>0.03</v>
      </c>
      <c r="E178" s="186">
        <f>E177</f>
        <v>0.03</v>
      </c>
      <c r="F178" s="186">
        <f>F177</f>
        <v>0.03</v>
      </c>
      <c r="G178" s="186">
        <f>G177</f>
        <v>0.03</v>
      </c>
      <c r="H178" s="186">
        <f>H177</f>
        <v>0.03</v>
      </c>
    </row>
    <row r="179" spans="1:8">
      <c r="A179" s="326" t="s">
        <v>777</v>
      </c>
      <c r="B179" t="s">
        <v>506</v>
      </c>
      <c r="C179" s="201" t="s">
        <v>1052</v>
      </c>
      <c r="D179" s="186">
        <f>D178</f>
        <v>0.03</v>
      </c>
      <c r="E179" s="186">
        <f>E178</f>
        <v>0.03</v>
      </c>
      <c r="F179" s="186">
        <f>F178</f>
        <v>0.03</v>
      </c>
      <c r="G179" s="186">
        <f>G178</f>
        <v>0.03</v>
      </c>
      <c r="H179" s="186">
        <f>H178</f>
        <v>0.03</v>
      </c>
    </row>
    <row r="180" spans="1:8">
      <c r="A180" s="326" t="s">
        <v>778</v>
      </c>
      <c r="B180" t="s">
        <v>876</v>
      </c>
      <c r="C180" s="201" t="s">
        <v>1052</v>
      </c>
      <c r="D180" s="186">
        <f>D179</f>
        <v>0.03</v>
      </c>
      <c r="E180" s="186">
        <f>E179</f>
        <v>0.03</v>
      </c>
      <c r="F180" s="186">
        <f>F179</f>
        <v>0.03</v>
      </c>
      <c r="G180" s="186">
        <f>G179</f>
        <v>0.03</v>
      </c>
      <c r="H180" s="186">
        <f>H179</f>
        <v>0.03</v>
      </c>
    </row>
    <row r="181" spans="1:8">
      <c r="A181" s="326" t="s">
        <v>779</v>
      </c>
      <c r="B181" t="s">
        <v>507</v>
      </c>
      <c r="C181" s="201" t="s">
        <v>1052</v>
      </c>
      <c r="D181" s="186">
        <f>D180</f>
        <v>0.03</v>
      </c>
      <c r="E181" s="186">
        <f>E180</f>
        <v>0.03</v>
      </c>
      <c r="F181" s="186">
        <f>F180</f>
        <v>0.03</v>
      </c>
      <c r="G181" s="186">
        <f>G180</f>
        <v>0.03</v>
      </c>
      <c r="H181" s="186">
        <f>H180</f>
        <v>0.03</v>
      </c>
    </row>
    <row r="182" spans="1:8">
      <c r="A182" s="326" t="s">
        <v>780</v>
      </c>
      <c r="B182" t="s">
        <v>508</v>
      </c>
      <c r="C182" s="201" t="s">
        <v>1052</v>
      </c>
      <c r="D182" s="186">
        <f>D181</f>
        <v>0.03</v>
      </c>
      <c r="E182" s="186">
        <f>E181</f>
        <v>0.03</v>
      </c>
      <c r="F182" s="186">
        <f>F181</f>
        <v>0.03</v>
      </c>
      <c r="G182" s="186">
        <f>G181</f>
        <v>0.03</v>
      </c>
      <c r="H182" s="186">
        <f>H181</f>
        <v>0.03</v>
      </c>
    </row>
    <row r="183" spans="1:8">
      <c r="A183" s="326" t="s">
        <v>781</v>
      </c>
      <c r="B183" t="s">
        <v>509</v>
      </c>
      <c r="C183" s="201" t="s">
        <v>1052</v>
      </c>
      <c r="D183" s="186">
        <f>D182</f>
        <v>0.03</v>
      </c>
      <c r="E183" s="186">
        <f>E182</f>
        <v>0.03</v>
      </c>
      <c r="F183" s="186">
        <f>F182</f>
        <v>0.03</v>
      </c>
      <c r="G183" s="186">
        <f>G182</f>
        <v>0.03</v>
      </c>
      <c r="H183" s="186">
        <f>H182</f>
        <v>0.03</v>
      </c>
    </row>
    <row r="184" spans="1:8">
      <c r="A184" s="326" t="s">
        <v>1094</v>
      </c>
      <c r="B184" t="s">
        <v>1087</v>
      </c>
      <c r="C184" s="201" t="s">
        <v>1052</v>
      </c>
      <c r="D184" s="186">
        <f>D183</f>
        <v>0.03</v>
      </c>
      <c r="E184" s="186">
        <f>E183</f>
        <v>0.03</v>
      </c>
      <c r="F184" s="186">
        <f>F183</f>
        <v>0.03</v>
      </c>
      <c r="G184" s="186">
        <f>G183</f>
        <v>0.03</v>
      </c>
      <c r="H184" s="186">
        <f>H183</f>
        <v>0.03</v>
      </c>
    </row>
    <row r="185" spans="1:8">
      <c r="A185" s="326" t="s">
        <v>1095</v>
      </c>
      <c r="B185" t="s">
        <v>1088</v>
      </c>
      <c r="C185" s="201" t="s">
        <v>1052</v>
      </c>
      <c r="D185" s="186">
        <f>D184</f>
        <v>0.03</v>
      </c>
      <c r="E185" s="186">
        <f>E184</f>
        <v>0.03</v>
      </c>
      <c r="F185" s="186">
        <f>F184</f>
        <v>0.03</v>
      </c>
      <c r="G185" s="186">
        <f>G184</f>
        <v>0.03</v>
      </c>
      <c r="H185" s="186">
        <f>H184</f>
        <v>0.03</v>
      </c>
    </row>
    <row r="186" spans="1:8">
      <c r="A186" s="326" t="s">
        <v>782</v>
      </c>
      <c r="B186" t="s">
        <v>510</v>
      </c>
      <c r="C186" s="201" t="s">
        <v>1052</v>
      </c>
      <c r="D186" s="186">
        <f>D185</f>
        <v>0.03</v>
      </c>
      <c r="E186" s="186">
        <f>E185</f>
        <v>0.03</v>
      </c>
      <c r="F186" s="186">
        <f>F185</f>
        <v>0.03</v>
      </c>
      <c r="G186" s="186">
        <f>G185</f>
        <v>0.03</v>
      </c>
      <c r="H186" s="186">
        <f>H185</f>
        <v>0.03</v>
      </c>
    </row>
    <row r="187" spans="1:8">
      <c r="A187" s="326" t="s">
        <v>783</v>
      </c>
      <c r="B187" t="s">
        <v>511</v>
      </c>
      <c r="C187" s="201" t="s">
        <v>1052</v>
      </c>
      <c r="D187" s="186">
        <f>D186</f>
        <v>0.03</v>
      </c>
      <c r="E187" s="186">
        <f>E186</f>
        <v>0.03</v>
      </c>
      <c r="F187" s="186">
        <f>F186</f>
        <v>0.03</v>
      </c>
      <c r="G187" s="186">
        <f>G186</f>
        <v>0.03</v>
      </c>
      <c r="H187" s="186">
        <f>H186</f>
        <v>0.03</v>
      </c>
    </row>
    <row r="188" spans="1:8">
      <c r="A188" s="326" t="s">
        <v>3388</v>
      </c>
      <c r="B188" t="s">
        <v>3338</v>
      </c>
      <c r="C188" s="201" t="s">
        <v>916</v>
      </c>
    </row>
    <row r="189" spans="1:8">
      <c r="A189" s="326" t="s">
        <v>3551</v>
      </c>
      <c r="B189" t="s">
        <v>3151</v>
      </c>
      <c r="C189" s="201" t="e">
        <v>#N/A</v>
      </c>
    </row>
    <row r="190" spans="1:8">
      <c r="A190" s="636" t="s">
        <v>950</v>
      </c>
      <c r="B190" s="637" t="s">
        <v>873</v>
      </c>
      <c r="C190" s="638" t="s">
        <v>1052</v>
      </c>
      <c r="D190" s="639">
        <f>'5 Year Forecast'!L32</f>
        <v>3.5000000000000003E-2</v>
      </c>
      <c r="E190" s="639">
        <f>'5 Year Forecast'!M32</f>
        <v>3.5000000000000003E-2</v>
      </c>
      <c r="F190" s="639">
        <f>'5 Year Forecast'!N32</f>
        <v>3.5000000000000003E-2</v>
      </c>
      <c r="G190" s="639">
        <f>'5 Year Forecast'!O32</f>
        <v>3.5000000000000003E-2</v>
      </c>
      <c r="H190" s="639">
        <f>'5 Year Forecast'!P32</f>
        <v>3.5000000000000003E-2</v>
      </c>
    </row>
    <row r="191" spans="1:8">
      <c r="A191" s="326" t="s">
        <v>958</v>
      </c>
      <c r="B191" t="s">
        <v>3259</v>
      </c>
      <c r="C191" s="201" t="s">
        <v>3270</v>
      </c>
      <c r="D191" s="186">
        <f>D187</f>
        <v>0.03</v>
      </c>
      <c r="E191" s="186">
        <f>E187</f>
        <v>0.03</v>
      </c>
      <c r="F191" s="186">
        <f>F187</f>
        <v>0.03</v>
      </c>
      <c r="G191" s="186">
        <f>G187</f>
        <v>0.03</v>
      </c>
      <c r="H191" s="186">
        <f>H187</f>
        <v>0.03</v>
      </c>
    </row>
    <row r="192" spans="1:8">
      <c r="A192" s="326" t="s">
        <v>3269</v>
      </c>
      <c r="B192" t="s">
        <v>3260</v>
      </c>
      <c r="C192" s="201" t="s">
        <v>3270</v>
      </c>
      <c r="D192" s="186">
        <f>D191</f>
        <v>0.03</v>
      </c>
      <c r="E192" s="186">
        <f>E191</f>
        <v>0.03</v>
      </c>
      <c r="F192" s="186">
        <f>F191</f>
        <v>0.03</v>
      </c>
      <c r="G192" s="186">
        <f>G191</f>
        <v>0.03</v>
      </c>
      <c r="H192" s="186">
        <f>H191</f>
        <v>0.03</v>
      </c>
    </row>
    <row r="193" spans="1:8">
      <c r="A193" s="326" t="s">
        <v>3271</v>
      </c>
      <c r="B193" t="s">
        <v>3261</v>
      </c>
      <c r="C193" s="201" t="s">
        <v>3270</v>
      </c>
      <c r="D193" s="186">
        <f>D192</f>
        <v>0.03</v>
      </c>
      <c r="E193" s="186">
        <f>E192</f>
        <v>0.03</v>
      </c>
      <c r="F193" s="186">
        <f>F192</f>
        <v>0.03</v>
      </c>
      <c r="G193" s="186">
        <f>G192</f>
        <v>0.03</v>
      </c>
      <c r="H193" s="186">
        <f>H192</f>
        <v>0.03</v>
      </c>
    </row>
    <row r="194" spans="1:8">
      <c r="A194" s="326" t="s">
        <v>3272</v>
      </c>
      <c r="B194" t="s">
        <v>3262</v>
      </c>
      <c r="C194" s="201" t="s">
        <v>3270</v>
      </c>
      <c r="D194" s="186">
        <f>D193</f>
        <v>0.03</v>
      </c>
      <c r="E194" s="186">
        <f>E193</f>
        <v>0.03</v>
      </c>
      <c r="F194" s="186">
        <f>F193</f>
        <v>0.03</v>
      </c>
      <c r="G194" s="186">
        <f>G193</f>
        <v>0.03</v>
      </c>
      <c r="H194" s="186">
        <f>H193</f>
        <v>0.03</v>
      </c>
    </row>
    <row r="195" spans="1:8">
      <c r="A195" s="326" t="s">
        <v>3273</v>
      </c>
      <c r="B195" t="s">
        <v>3263</v>
      </c>
      <c r="C195" s="201" t="s">
        <v>3270</v>
      </c>
      <c r="D195" s="186">
        <f>D194</f>
        <v>0.03</v>
      </c>
      <c r="E195" s="186">
        <f>E194</f>
        <v>0.03</v>
      </c>
      <c r="F195" s="186">
        <f>F194</f>
        <v>0.03</v>
      </c>
      <c r="G195" s="186">
        <f>G194</f>
        <v>0.03</v>
      </c>
      <c r="H195" s="186">
        <f>H194</f>
        <v>0.03</v>
      </c>
    </row>
    <row r="196" spans="1:8">
      <c r="A196" s="326" t="s">
        <v>959</v>
      </c>
      <c r="B196" t="s">
        <v>3264</v>
      </c>
      <c r="C196" s="201" t="s">
        <v>3270</v>
      </c>
      <c r="D196" s="186">
        <f>D195</f>
        <v>0.03</v>
      </c>
      <c r="E196" s="186">
        <f>E195</f>
        <v>0.03</v>
      </c>
      <c r="F196" s="186">
        <f>F195</f>
        <v>0.03</v>
      </c>
      <c r="G196" s="186">
        <f>G195</f>
        <v>0.03</v>
      </c>
      <c r="H196" s="186">
        <f>H195</f>
        <v>0.03</v>
      </c>
    </row>
    <row r="197" spans="1:8">
      <c r="A197" s="326" t="s">
        <v>3274</v>
      </c>
      <c r="B197" t="s">
        <v>3262</v>
      </c>
      <c r="C197" s="201" t="s">
        <v>3270</v>
      </c>
      <c r="D197" s="186">
        <f>D196</f>
        <v>0.03</v>
      </c>
      <c r="E197" s="186">
        <f>E196</f>
        <v>0.03</v>
      </c>
      <c r="F197" s="186">
        <f>F196</f>
        <v>0.03</v>
      </c>
      <c r="G197" s="186">
        <f>G196</f>
        <v>0.03</v>
      </c>
      <c r="H197" s="186">
        <f>H196</f>
        <v>0.03</v>
      </c>
    </row>
    <row r="198" spans="1:8">
      <c r="A198" s="326" t="s">
        <v>974</v>
      </c>
      <c r="B198" t="s">
        <v>890</v>
      </c>
      <c r="C198" s="201" t="s">
        <v>1047</v>
      </c>
    </row>
    <row r="199" spans="1:8">
      <c r="A199" s="326" t="s">
        <v>928</v>
      </c>
      <c r="B199" t="s">
        <v>846</v>
      </c>
      <c r="C199" s="201" t="s">
        <v>1046</v>
      </c>
    </row>
    <row r="200" spans="1:8">
      <c r="A200" s="326" t="s">
        <v>975</v>
      </c>
      <c r="B200" t="s">
        <v>892</v>
      </c>
      <c r="C200" s="201" t="s">
        <v>1047</v>
      </c>
    </row>
    <row r="201" spans="1:8">
      <c r="A201" s="326" t="s">
        <v>786</v>
      </c>
      <c r="B201" t="s">
        <v>453</v>
      </c>
      <c r="C201" s="201" t="s">
        <v>1047</v>
      </c>
    </row>
    <row r="202" spans="1:8">
      <c r="A202" s="326" t="s">
        <v>734</v>
      </c>
      <c r="B202" t="s">
        <v>513</v>
      </c>
      <c r="C202" s="201" t="s">
        <v>1056</v>
      </c>
    </row>
    <row r="203" spans="1:8">
      <c r="A203" s="326" t="s">
        <v>735</v>
      </c>
      <c r="B203" t="s">
        <v>514</v>
      </c>
      <c r="C203" s="201" t="s">
        <v>1056</v>
      </c>
    </row>
    <row r="204" spans="1:8">
      <c r="A204" s="326" t="s">
        <v>736</v>
      </c>
      <c r="B204" t="s">
        <v>901</v>
      </c>
      <c r="C204" s="201" t="s">
        <v>1056</v>
      </c>
    </row>
    <row r="205" spans="1:8">
      <c r="A205" s="326" t="s">
        <v>927</v>
      </c>
      <c r="B205" t="s">
        <v>796</v>
      </c>
      <c r="C205" s="201" t="s">
        <v>1045</v>
      </c>
      <c r="D205" s="186">
        <f>D3</f>
        <v>0.01</v>
      </c>
      <c r="E205" s="186">
        <f>E3</f>
        <v>0.01</v>
      </c>
      <c r="F205" s="186">
        <f>F3</f>
        <v>0.01</v>
      </c>
      <c r="G205" s="186">
        <f>G3</f>
        <v>0.02</v>
      </c>
      <c r="H205" s="186">
        <f>H3</f>
        <v>0.02</v>
      </c>
    </row>
    <row r="206" spans="1:8">
      <c r="A206" s="326" t="s">
        <v>737</v>
      </c>
      <c r="B206" t="s">
        <v>3399</v>
      </c>
      <c r="C206" s="201" t="s">
        <v>1045</v>
      </c>
      <c r="D206" s="186">
        <f>D205</f>
        <v>0.01</v>
      </c>
      <c r="E206" s="186">
        <f>E205</f>
        <v>0.01</v>
      </c>
      <c r="F206" s="186">
        <f>F205</f>
        <v>0.01</v>
      </c>
      <c r="G206" s="186">
        <f>G205</f>
        <v>0.02</v>
      </c>
      <c r="H206" s="186">
        <f>H205</f>
        <v>0.02</v>
      </c>
    </row>
    <row r="207" spans="1:8">
      <c r="A207" s="326" t="s">
        <v>738</v>
      </c>
      <c r="B207" t="s">
        <v>515</v>
      </c>
      <c r="C207" s="201" t="s">
        <v>1045</v>
      </c>
      <c r="D207" s="186">
        <f>D206</f>
        <v>0.01</v>
      </c>
      <c r="E207" s="186">
        <f>E206</f>
        <v>0.01</v>
      </c>
      <c r="F207" s="186">
        <f>F206</f>
        <v>0.01</v>
      </c>
      <c r="G207" s="186">
        <f>G206</f>
        <v>0.02</v>
      </c>
      <c r="H207" s="186">
        <f>H206</f>
        <v>0.02</v>
      </c>
    </row>
    <row r="208" spans="1:8">
      <c r="A208" s="326" t="s">
        <v>739</v>
      </c>
      <c r="B208" t="s">
        <v>516</v>
      </c>
      <c r="C208" s="201" t="s">
        <v>1045</v>
      </c>
      <c r="D208" s="186">
        <f>D207</f>
        <v>0.01</v>
      </c>
      <c r="E208" s="186">
        <f>E207</f>
        <v>0.01</v>
      </c>
      <c r="F208" s="186">
        <f>F207</f>
        <v>0.01</v>
      </c>
      <c r="G208" s="186">
        <f>G207</f>
        <v>0.02</v>
      </c>
      <c r="H208" s="186">
        <f>H207</f>
        <v>0.02</v>
      </c>
    </row>
    <row r="209" spans="1:9">
      <c r="A209" s="326" t="s">
        <v>929</v>
      </c>
      <c r="B209" t="s">
        <v>847</v>
      </c>
      <c r="C209" s="201" t="s">
        <v>1046</v>
      </c>
      <c r="D209" s="186">
        <f>D35</f>
        <v>-0.02</v>
      </c>
      <c r="E209" s="186">
        <f>E35</f>
        <v>-0.02</v>
      </c>
      <c r="F209" s="186">
        <f>F35</f>
        <v>-0.02</v>
      </c>
      <c r="G209" s="186">
        <f>G35</f>
        <v>-0.02</v>
      </c>
      <c r="H209" s="186">
        <f>H35</f>
        <v>-0.02</v>
      </c>
    </row>
    <row r="210" spans="1:9">
      <c r="A210" s="326" t="s">
        <v>930</v>
      </c>
      <c r="B210" t="s">
        <v>848</v>
      </c>
      <c r="C210" s="201" t="s">
        <v>1046</v>
      </c>
      <c r="D210" s="186">
        <f>D209</f>
        <v>-0.02</v>
      </c>
      <c r="E210" s="186">
        <f>E209</f>
        <v>-0.02</v>
      </c>
      <c r="F210" s="186">
        <f>F209</f>
        <v>-0.02</v>
      </c>
      <c r="G210" s="186">
        <f>G209</f>
        <v>-0.02</v>
      </c>
      <c r="H210" s="186">
        <f>H209</f>
        <v>-0.02</v>
      </c>
    </row>
    <row r="211" spans="1:9">
      <c r="A211" s="326" t="s">
        <v>784</v>
      </c>
      <c r="B211" t="s">
        <v>3436</v>
      </c>
      <c r="C211" s="201" t="s">
        <v>1046</v>
      </c>
      <c r="D211" s="186">
        <f>D210</f>
        <v>-0.02</v>
      </c>
      <c r="E211" s="186">
        <f>E210</f>
        <v>-0.02</v>
      </c>
      <c r="F211" s="186">
        <f>F210</f>
        <v>-0.02</v>
      </c>
      <c r="G211" s="186">
        <f>G210</f>
        <v>-0.02</v>
      </c>
      <c r="H211" s="186">
        <f>H210</f>
        <v>-0.02</v>
      </c>
    </row>
    <row r="212" spans="1:9">
      <c r="A212" s="636" t="s">
        <v>957</v>
      </c>
      <c r="B212" s="637" t="s">
        <v>1096</v>
      </c>
      <c r="C212" s="638" t="s">
        <v>1052</v>
      </c>
      <c r="D212" s="639">
        <f>'5 Year Forecast'!L34</f>
        <v>0.03</v>
      </c>
      <c r="E212" s="639">
        <f>'5 Year Forecast'!M34</f>
        <v>0.03</v>
      </c>
      <c r="F212" s="639">
        <f>'5 Year Forecast'!N34</f>
        <v>0.03</v>
      </c>
      <c r="G212" s="639">
        <f>'5 Year Forecast'!O34</f>
        <v>0.03</v>
      </c>
      <c r="H212" s="639">
        <f>'5 Year Forecast'!P34</f>
        <v>0.03</v>
      </c>
      <c r="I212" s="637"/>
    </row>
    <row r="213" spans="1:9">
      <c r="A213" s="636" t="s">
        <v>991</v>
      </c>
      <c r="B213" s="637" t="s">
        <v>990</v>
      </c>
      <c r="C213" s="638" t="s">
        <v>1052</v>
      </c>
      <c r="D213" s="639">
        <f>D212</f>
        <v>0.03</v>
      </c>
      <c r="E213" s="639">
        <f>E212</f>
        <v>0.03</v>
      </c>
      <c r="F213" s="639">
        <f>F212</f>
        <v>0.03</v>
      </c>
      <c r="G213" s="639">
        <f>G212</f>
        <v>0.03</v>
      </c>
      <c r="H213" s="639">
        <f>H212</f>
        <v>0.03</v>
      </c>
      <c r="I213" s="637"/>
    </row>
    <row r="214" spans="1:9">
      <c r="A214" s="636" t="s">
        <v>960</v>
      </c>
      <c r="B214" s="637" t="s">
        <v>517</v>
      </c>
      <c r="C214" s="638" t="s">
        <v>1052</v>
      </c>
      <c r="D214" s="639">
        <f>D213</f>
        <v>0.03</v>
      </c>
      <c r="E214" s="639">
        <f>E213</f>
        <v>0.03</v>
      </c>
      <c r="F214" s="639">
        <f>F213</f>
        <v>0.03</v>
      </c>
      <c r="G214" s="639">
        <f>G213</f>
        <v>0.03</v>
      </c>
      <c r="H214" s="639">
        <f>H213</f>
        <v>0.03</v>
      </c>
      <c r="I214" s="637"/>
    </row>
    <row r="215" spans="1:9">
      <c r="A215" s="636" t="s">
        <v>1113</v>
      </c>
      <c r="B215" s="637" t="s">
        <v>1114</v>
      </c>
      <c r="C215" s="638" t="s">
        <v>1052</v>
      </c>
      <c r="D215" s="639">
        <f>D214</f>
        <v>0.03</v>
      </c>
      <c r="E215" s="639">
        <f>E214</f>
        <v>0.03</v>
      </c>
      <c r="F215" s="639">
        <f>F214</f>
        <v>0.03</v>
      </c>
      <c r="G215" s="639">
        <f>G214</f>
        <v>0.03</v>
      </c>
      <c r="H215" s="639">
        <f>H214</f>
        <v>0.03</v>
      </c>
      <c r="I215" s="637"/>
    </row>
    <row r="216" spans="1:9">
      <c r="A216" s="636" t="s">
        <v>961</v>
      </c>
      <c r="B216" s="637" t="s">
        <v>518</v>
      </c>
      <c r="C216" s="638" t="s">
        <v>1052</v>
      </c>
      <c r="D216" s="639">
        <f>D215</f>
        <v>0.03</v>
      </c>
      <c r="E216" s="639">
        <f>E215</f>
        <v>0.03</v>
      </c>
      <c r="F216" s="639">
        <f>F215</f>
        <v>0.03</v>
      </c>
      <c r="G216" s="639">
        <f>G215</f>
        <v>0.03</v>
      </c>
      <c r="H216" s="639">
        <f>H215</f>
        <v>0.03</v>
      </c>
      <c r="I216" s="637"/>
    </row>
    <row r="217" spans="1:9">
      <c r="A217" s="326" t="s">
        <v>968</v>
      </c>
      <c r="B217" t="s">
        <v>440</v>
      </c>
      <c r="C217" s="201" t="s">
        <v>1054</v>
      </c>
      <c r="D217" s="186">
        <f>D152</f>
        <v>0.03</v>
      </c>
      <c r="E217" s="186">
        <f>E152</f>
        <v>0.03</v>
      </c>
      <c r="F217" s="186">
        <f>F152</f>
        <v>0.03</v>
      </c>
      <c r="G217" s="186">
        <f>G152</f>
        <v>0.03</v>
      </c>
      <c r="H217" s="186">
        <f>H152</f>
        <v>0.03</v>
      </c>
    </row>
    <row r="218" spans="1:9">
      <c r="A218" s="326" t="s">
        <v>939</v>
      </c>
      <c r="B218" t="s">
        <v>856</v>
      </c>
      <c r="C218" s="201" t="s">
        <v>1046</v>
      </c>
      <c r="D218" s="186">
        <f>D211</f>
        <v>-0.02</v>
      </c>
      <c r="E218" s="186">
        <f>E211</f>
        <v>-0.02</v>
      </c>
      <c r="F218" s="186">
        <f>F211</f>
        <v>-0.02</v>
      </c>
      <c r="G218" s="186">
        <f>G211</f>
        <v>-0.02</v>
      </c>
      <c r="H218" s="186">
        <f>H211</f>
        <v>-0.02</v>
      </c>
    </row>
    <row r="219" spans="1:9">
      <c r="A219" s="326" t="s">
        <v>647</v>
      </c>
      <c r="B219" s="203" t="s">
        <v>414</v>
      </c>
      <c r="C219" s="201" t="s">
        <v>1055</v>
      </c>
      <c r="D219" s="186"/>
      <c r="E219" s="186"/>
      <c r="F219" s="186"/>
      <c r="G219" s="186"/>
      <c r="H219" s="186"/>
    </row>
    <row r="220" spans="1:9">
      <c r="A220" s="326" t="s">
        <v>648</v>
      </c>
      <c r="B220" t="s">
        <v>455</v>
      </c>
      <c r="C220" s="201" t="s">
        <v>1052</v>
      </c>
      <c r="D220" s="186">
        <f>D216</f>
        <v>0.03</v>
      </c>
      <c r="E220" s="186">
        <f>E216</f>
        <v>0.03</v>
      </c>
      <c r="F220" s="186">
        <f>F216</f>
        <v>0.03</v>
      </c>
      <c r="G220" s="186">
        <f>G216</f>
        <v>0.03</v>
      </c>
      <c r="H220" s="186">
        <f>H216</f>
        <v>0.03</v>
      </c>
    </row>
    <row r="221" spans="1:9">
      <c r="A221" s="326" t="s">
        <v>650</v>
      </c>
      <c r="B221" t="s">
        <v>457</v>
      </c>
      <c r="C221" s="201" t="s">
        <v>1052</v>
      </c>
      <c r="D221" s="186">
        <f>D220</f>
        <v>0.03</v>
      </c>
      <c r="E221" s="186">
        <f>E220</f>
        <v>0.03</v>
      </c>
      <c r="F221" s="186">
        <f>F220</f>
        <v>0.03</v>
      </c>
      <c r="G221" s="186">
        <f>G220</f>
        <v>0.03</v>
      </c>
      <c r="H221" s="186">
        <f>H220</f>
        <v>0.03</v>
      </c>
    </row>
    <row r="222" spans="1:9">
      <c r="A222" s="326" t="s">
        <v>651</v>
      </c>
      <c r="B222" t="s">
        <v>458</v>
      </c>
      <c r="C222" s="201" t="s">
        <v>1052</v>
      </c>
      <c r="D222" s="186">
        <f>D221</f>
        <v>0.03</v>
      </c>
      <c r="E222" s="186">
        <f>E221</f>
        <v>0.03</v>
      </c>
      <c r="F222" s="186">
        <f>F221</f>
        <v>0.03</v>
      </c>
      <c r="G222" s="186">
        <f>G221</f>
        <v>0.03</v>
      </c>
      <c r="H222" s="186">
        <f>H221</f>
        <v>0.03</v>
      </c>
    </row>
    <row r="223" spans="1:9">
      <c r="A223" s="326" t="s">
        <v>652</v>
      </c>
      <c r="B223" t="s">
        <v>878</v>
      </c>
      <c r="C223" s="201" t="s">
        <v>1052</v>
      </c>
      <c r="D223" s="186">
        <f>D222</f>
        <v>0.03</v>
      </c>
      <c r="E223" s="186">
        <f>E222</f>
        <v>0.03</v>
      </c>
      <c r="F223" s="186">
        <f>F222</f>
        <v>0.03</v>
      </c>
      <c r="G223" s="186">
        <f>G222</f>
        <v>0.03</v>
      </c>
      <c r="H223" s="186">
        <f>H222</f>
        <v>0.03</v>
      </c>
    </row>
    <row r="224" spans="1:9">
      <c r="A224" s="326" t="s">
        <v>654</v>
      </c>
      <c r="B224" t="s">
        <v>118</v>
      </c>
      <c r="C224" s="201" t="s">
        <v>1052</v>
      </c>
      <c r="D224" s="186">
        <f>D223</f>
        <v>0.03</v>
      </c>
      <c r="E224" s="186">
        <f>E223</f>
        <v>0.03</v>
      </c>
      <c r="F224" s="186">
        <f>F223</f>
        <v>0.03</v>
      </c>
      <c r="G224" s="186">
        <f>G223</f>
        <v>0.03</v>
      </c>
      <c r="H224" s="186">
        <f>H223</f>
        <v>0.03</v>
      </c>
    </row>
    <row r="225" spans="1:8">
      <c r="A225" s="326" t="s">
        <v>952</v>
      </c>
      <c r="B225" t="s">
        <v>879</v>
      </c>
      <c r="C225" s="201" t="s">
        <v>1052</v>
      </c>
      <c r="D225" s="186">
        <f>D224</f>
        <v>0.03</v>
      </c>
      <c r="E225" s="186">
        <f>E224</f>
        <v>0.03</v>
      </c>
      <c r="F225" s="186">
        <f>F224</f>
        <v>0.03</v>
      </c>
      <c r="G225" s="186">
        <f>G224</f>
        <v>0.03</v>
      </c>
      <c r="H225" s="186">
        <f>H224</f>
        <v>0.03</v>
      </c>
    </row>
    <row r="226" spans="1:8">
      <c r="A226" s="326" t="s">
        <v>953</v>
      </c>
      <c r="B226" t="s">
        <v>880</v>
      </c>
      <c r="C226" s="201" t="s">
        <v>1052</v>
      </c>
      <c r="D226" s="186">
        <f>D225</f>
        <v>0.03</v>
      </c>
      <c r="E226" s="186">
        <f>E225</f>
        <v>0.03</v>
      </c>
      <c r="F226" s="186">
        <f>F225</f>
        <v>0.03</v>
      </c>
      <c r="G226" s="186">
        <f>G225</f>
        <v>0.03</v>
      </c>
      <c r="H226" s="186">
        <f>H225</f>
        <v>0.03</v>
      </c>
    </row>
    <row r="227" spans="1:8">
      <c r="A227" s="326" t="s">
        <v>655</v>
      </c>
      <c r="B227" t="s">
        <v>460</v>
      </c>
      <c r="C227" s="201" t="s">
        <v>1052</v>
      </c>
      <c r="D227" s="186">
        <f>D226</f>
        <v>0.03</v>
      </c>
      <c r="E227" s="186">
        <f>E226</f>
        <v>0.03</v>
      </c>
      <c r="F227" s="186">
        <f>F226</f>
        <v>0.03</v>
      </c>
      <c r="G227" s="186">
        <f>G226</f>
        <v>0.03</v>
      </c>
      <c r="H227" s="186">
        <f>H226</f>
        <v>0.03</v>
      </c>
    </row>
    <row r="228" spans="1:8">
      <c r="A228" s="326" t="s">
        <v>656</v>
      </c>
      <c r="B228" t="s">
        <v>881</v>
      </c>
      <c r="C228" s="201" t="s">
        <v>1052</v>
      </c>
      <c r="D228" s="186">
        <f>D227</f>
        <v>0.03</v>
      </c>
      <c r="E228" s="186">
        <f>E227</f>
        <v>0.03</v>
      </c>
      <c r="F228" s="186">
        <f>F227</f>
        <v>0.03</v>
      </c>
      <c r="G228" s="186">
        <f>G227</f>
        <v>0.03</v>
      </c>
      <c r="H228" s="186">
        <f>H227</f>
        <v>0.03</v>
      </c>
    </row>
    <row r="229" spans="1:8">
      <c r="A229" s="326" t="s">
        <v>657</v>
      </c>
      <c r="B229" t="s">
        <v>117</v>
      </c>
      <c r="C229" s="201" t="s">
        <v>1052</v>
      </c>
      <c r="D229" s="186">
        <f>D228</f>
        <v>0.03</v>
      </c>
      <c r="E229" s="186">
        <f>E228</f>
        <v>0.03</v>
      </c>
      <c r="F229" s="186">
        <f>F228</f>
        <v>0.03</v>
      </c>
      <c r="G229" s="186">
        <f>G228</f>
        <v>0.03</v>
      </c>
      <c r="H229" s="186">
        <f>H228</f>
        <v>0.03</v>
      </c>
    </row>
    <row r="230" spans="1:8">
      <c r="A230" s="326" t="s">
        <v>658</v>
      </c>
      <c r="B230" t="s">
        <v>461</v>
      </c>
      <c r="C230" s="201" t="s">
        <v>1052</v>
      </c>
      <c r="D230" s="186">
        <f>D229</f>
        <v>0.03</v>
      </c>
      <c r="E230" s="186">
        <f>E229</f>
        <v>0.03</v>
      </c>
      <c r="F230" s="186">
        <f>F229</f>
        <v>0.03</v>
      </c>
      <c r="G230" s="186">
        <f>G229</f>
        <v>0.03</v>
      </c>
      <c r="H230" s="186">
        <f>H229</f>
        <v>0.03</v>
      </c>
    </row>
    <row r="231" spans="1:8">
      <c r="A231" s="326" t="s">
        <v>659</v>
      </c>
      <c r="B231" t="s">
        <v>462</v>
      </c>
      <c r="C231" s="201" t="s">
        <v>1052</v>
      </c>
      <c r="D231" s="186">
        <f>D230</f>
        <v>0.03</v>
      </c>
      <c r="E231" s="186">
        <f>E230</f>
        <v>0.03</v>
      </c>
      <c r="F231" s="186">
        <f>F230</f>
        <v>0.03</v>
      </c>
      <c r="G231" s="186">
        <f>G230</f>
        <v>0.03</v>
      </c>
      <c r="H231" s="186">
        <f>H230</f>
        <v>0.03</v>
      </c>
    </row>
    <row r="232" spans="1:8">
      <c r="A232" s="326" t="s">
        <v>660</v>
      </c>
      <c r="B232" t="s">
        <v>463</v>
      </c>
      <c r="C232" s="201" t="s">
        <v>1052</v>
      </c>
      <c r="D232" s="186">
        <f>D231</f>
        <v>0.03</v>
      </c>
      <c r="E232" s="186">
        <f>E231</f>
        <v>0.03</v>
      </c>
      <c r="F232" s="186">
        <f>F231</f>
        <v>0.03</v>
      </c>
      <c r="G232" s="186">
        <f>G231</f>
        <v>0.03</v>
      </c>
      <c r="H232" s="186">
        <f>H231</f>
        <v>0.03</v>
      </c>
    </row>
    <row r="233" spans="1:8">
      <c r="A233" s="326" t="s">
        <v>661</v>
      </c>
      <c r="B233" t="s">
        <v>464</v>
      </c>
      <c r="C233" s="201" t="s">
        <v>1052</v>
      </c>
      <c r="D233" s="186">
        <f>D232</f>
        <v>0.03</v>
      </c>
      <c r="E233" s="186">
        <f>E232</f>
        <v>0.03</v>
      </c>
      <c r="F233" s="186">
        <f>F232</f>
        <v>0.03</v>
      </c>
      <c r="G233" s="186">
        <f>G232</f>
        <v>0.03</v>
      </c>
      <c r="H233" s="186">
        <f>H232</f>
        <v>0.03</v>
      </c>
    </row>
    <row r="234" spans="1:8">
      <c r="A234" s="326" t="s">
        <v>662</v>
      </c>
      <c r="B234" t="s">
        <v>465</v>
      </c>
      <c r="C234" s="201" t="s">
        <v>1054</v>
      </c>
    </row>
    <row r="235" spans="1:8">
      <c r="A235" s="326" t="s">
        <v>3552</v>
      </c>
      <c r="B235" t="s">
        <v>3152</v>
      </c>
      <c r="C235" s="201" t="e">
        <v>#N/A</v>
      </c>
    </row>
    <row r="236" spans="1:8">
      <c r="A236" s="326" t="s">
        <v>979</v>
      </c>
      <c r="B236" t="s">
        <v>900</v>
      </c>
      <c r="C236" s="201" t="s">
        <v>1056</v>
      </c>
    </row>
    <row r="237" spans="1:8">
      <c r="A237" s="326" t="s">
        <v>981</v>
      </c>
      <c r="B237" t="s">
        <v>830</v>
      </c>
      <c r="C237" s="201" t="s">
        <v>1056</v>
      </c>
    </row>
    <row r="238" spans="1:8">
      <c r="A238" s="326" t="s">
        <v>982</v>
      </c>
      <c r="B238" t="s">
        <v>902</v>
      </c>
      <c r="C238" s="201" t="s">
        <v>1056</v>
      </c>
    </row>
    <row r="239" spans="1:8">
      <c r="A239" s="326" t="s">
        <v>983</v>
      </c>
      <c r="B239" t="s">
        <v>831</v>
      </c>
      <c r="C239" s="201" t="s">
        <v>1056</v>
      </c>
    </row>
    <row r="240" spans="1:8">
      <c r="A240" s="326" t="s">
        <v>984</v>
      </c>
      <c r="B240" t="s">
        <v>832</v>
      </c>
      <c r="C240" s="201" t="s">
        <v>1056</v>
      </c>
    </row>
    <row r="241" spans="1:8">
      <c r="A241" s="326" t="s">
        <v>3553</v>
      </c>
      <c r="B241" t="s">
        <v>3504</v>
      </c>
      <c r="C241" s="201" t="e">
        <v>#N/A</v>
      </c>
    </row>
    <row r="242" spans="1:8">
      <c r="A242" s="326" t="s">
        <v>967</v>
      </c>
      <c r="B242" t="s">
        <v>833</v>
      </c>
      <c r="C242" s="201" t="s">
        <v>1054</v>
      </c>
      <c r="D242" s="186">
        <f>D217</f>
        <v>0.03</v>
      </c>
      <c r="E242" s="186">
        <f>E217</f>
        <v>0.03</v>
      </c>
      <c r="F242" s="186">
        <f>F217</f>
        <v>0.03</v>
      </c>
      <c r="G242" s="186">
        <f>G217</f>
        <v>0.03</v>
      </c>
      <c r="H242" s="186">
        <f>H217</f>
        <v>0.03</v>
      </c>
    </row>
    <row r="243" spans="1:8">
      <c r="A243" s="326" t="s">
        <v>985</v>
      </c>
      <c r="B243" t="s">
        <v>903</v>
      </c>
      <c r="C243" s="201" t="s">
        <v>1056</v>
      </c>
    </row>
    <row r="244" spans="1:8">
      <c r="A244" s="326" t="s">
        <v>3554</v>
      </c>
      <c r="B244" t="s">
        <v>1105</v>
      </c>
      <c r="C244" s="201" t="e">
        <v>#N/A</v>
      </c>
    </row>
    <row r="245" spans="1:8">
      <c r="A245" s="326" t="s">
        <v>129</v>
      </c>
      <c r="B245" t="s">
        <v>130</v>
      </c>
      <c r="C245" s="201" t="s">
        <v>120</v>
      </c>
      <c r="D245" s="186">
        <f>'5 Year Forecast'!L24</f>
        <v>3.5000000000000003E-2</v>
      </c>
      <c r="E245" s="186">
        <f>'5 Year Forecast'!M24</f>
        <v>3.5000000000000003E-2</v>
      </c>
      <c r="F245" s="186">
        <f>'5 Year Forecast'!N24</f>
        <v>3.5000000000000003E-2</v>
      </c>
      <c r="G245" s="186">
        <f>'5 Year Forecast'!O24</f>
        <v>3.5000000000000003E-2</v>
      </c>
      <c r="H245" s="186">
        <f>'5 Year Forecast'!P24</f>
        <v>3.5000000000000003E-2</v>
      </c>
    </row>
    <row r="246" spans="1:8">
      <c r="A246" s="326" t="s">
        <v>131</v>
      </c>
      <c r="B246" t="s">
        <v>132</v>
      </c>
      <c r="C246" s="201" t="s">
        <v>120</v>
      </c>
      <c r="D246" s="186">
        <f>D245</f>
        <v>3.5000000000000003E-2</v>
      </c>
      <c r="E246" s="186">
        <f>E245</f>
        <v>3.5000000000000003E-2</v>
      </c>
      <c r="F246" s="186">
        <f>F245</f>
        <v>3.5000000000000003E-2</v>
      </c>
      <c r="G246" s="186">
        <f>G245</f>
        <v>3.5000000000000003E-2</v>
      </c>
      <c r="H246" s="186">
        <f>H245</f>
        <v>3.5000000000000003E-2</v>
      </c>
    </row>
    <row r="247" spans="1:8">
      <c r="A247" s="326" t="s">
        <v>133</v>
      </c>
      <c r="B247" t="s">
        <v>0</v>
      </c>
      <c r="C247" s="201" t="s">
        <v>120</v>
      </c>
      <c r="D247" s="186">
        <f>D246</f>
        <v>3.5000000000000003E-2</v>
      </c>
      <c r="E247" s="186">
        <f>E246</f>
        <v>3.5000000000000003E-2</v>
      </c>
      <c r="F247" s="186">
        <f>F246</f>
        <v>3.5000000000000003E-2</v>
      </c>
      <c r="G247" s="186">
        <f>G246</f>
        <v>3.5000000000000003E-2</v>
      </c>
      <c r="H247" s="186">
        <f>H246</f>
        <v>3.5000000000000003E-2</v>
      </c>
    </row>
    <row r="248" spans="1:8">
      <c r="A248" s="326" t="s">
        <v>134</v>
      </c>
      <c r="B248" t="s">
        <v>135</v>
      </c>
      <c r="C248" s="201" t="s">
        <v>120</v>
      </c>
      <c r="D248" s="186">
        <f>D247</f>
        <v>3.5000000000000003E-2</v>
      </c>
      <c r="E248" s="186">
        <f>E247</f>
        <v>3.5000000000000003E-2</v>
      </c>
      <c r="F248" s="186">
        <f>F247</f>
        <v>3.5000000000000003E-2</v>
      </c>
      <c r="G248" s="186">
        <f>G247</f>
        <v>3.5000000000000003E-2</v>
      </c>
      <c r="H248" s="186">
        <f>H247</f>
        <v>3.5000000000000003E-2</v>
      </c>
    </row>
    <row r="249" spans="1:8">
      <c r="A249" s="326" t="s">
        <v>136</v>
      </c>
      <c r="B249" t="s">
        <v>137</v>
      </c>
      <c r="C249" s="201" t="s">
        <v>120</v>
      </c>
      <c r="D249" s="186">
        <f>D248</f>
        <v>3.5000000000000003E-2</v>
      </c>
      <c r="E249" s="186">
        <f>E248</f>
        <v>3.5000000000000003E-2</v>
      </c>
      <c r="F249" s="186">
        <f>F248</f>
        <v>3.5000000000000003E-2</v>
      </c>
      <c r="G249" s="186">
        <f>G248</f>
        <v>3.5000000000000003E-2</v>
      </c>
      <c r="H249" s="186">
        <f>H248</f>
        <v>3.5000000000000003E-2</v>
      </c>
    </row>
    <row r="250" spans="1:8">
      <c r="A250" s="326" t="s">
        <v>139</v>
      </c>
      <c r="B250" t="s">
        <v>3</v>
      </c>
      <c r="C250" s="201" t="s">
        <v>120</v>
      </c>
      <c r="D250" s="186">
        <f>D249</f>
        <v>3.5000000000000003E-2</v>
      </c>
      <c r="E250" s="186">
        <f>E249</f>
        <v>3.5000000000000003E-2</v>
      </c>
      <c r="F250" s="186">
        <f>F249</f>
        <v>3.5000000000000003E-2</v>
      </c>
      <c r="G250" s="186">
        <f>G249</f>
        <v>3.5000000000000003E-2</v>
      </c>
      <c r="H250" s="186">
        <f>H249</f>
        <v>3.5000000000000003E-2</v>
      </c>
    </row>
    <row r="251" spans="1:8">
      <c r="A251" s="326" t="s">
        <v>140</v>
      </c>
      <c r="B251" t="s">
        <v>1</v>
      </c>
      <c r="C251" s="201" t="s">
        <v>120</v>
      </c>
      <c r="D251" s="186">
        <f>D250</f>
        <v>3.5000000000000003E-2</v>
      </c>
      <c r="E251" s="186">
        <f>E250</f>
        <v>3.5000000000000003E-2</v>
      </c>
      <c r="F251" s="186">
        <f>F250</f>
        <v>3.5000000000000003E-2</v>
      </c>
      <c r="G251" s="186">
        <f>G250</f>
        <v>3.5000000000000003E-2</v>
      </c>
      <c r="H251" s="186">
        <f>H250</f>
        <v>3.5000000000000003E-2</v>
      </c>
    </row>
    <row r="252" spans="1:8">
      <c r="A252" s="726" t="s">
        <v>141</v>
      </c>
      <c r="B252" s="721" t="s">
        <v>142</v>
      </c>
      <c r="C252" s="722" t="s">
        <v>120</v>
      </c>
      <c r="D252" s="186">
        <f>'5 Year Forecast'!L32</f>
        <v>3.5000000000000003E-2</v>
      </c>
      <c r="E252" s="186">
        <f>'5 Year Forecast'!M32</f>
        <v>3.5000000000000003E-2</v>
      </c>
      <c r="F252" s="186">
        <f>'5 Year Forecast'!N32</f>
        <v>3.5000000000000003E-2</v>
      </c>
      <c r="G252" s="186">
        <f>'5 Year Forecast'!O32</f>
        <v>3.5000000000000003E-2</v>
      </c>
      <c r="H252" s="186">
        <f>'5 Year Forecast'!P32</f>
        <v>3.5000000000000003E-2</v>
      </c>
    </row>
    <row r="253" spans="1:8">
      <c r="A253" s="326" t="s">
        <v>143</v>
      </c>
      <c r="B253" t="s">
        <v>144</v>
      </c>
      <c r="C253" s="201" t="s">
        <v>120</v>
      </c>
      <c r="D253" s="186">
        <f>D251</f>
        <v>3.5000000000000003E-2</v>
      </c>
      <c r="E253" s="186">
        <f>E251</f>
        <v>3.5000000000000003E-2</v>
      </c>
      <c r="F253" s="186">
        <f>F251</f>
        <v>3.5000000000000003E-2</v>
      </c>
      <c r="G253" s="186">
        <f>G251</f>
        <v>3.5000000000000003E-2</v>
      </c>
      <c r="H253" s="186">
        <f>H251</f>
        <v>3.5000000000000003E-2</v>
      </c>
    </row>
    <row r="254" spans="1:8">
      <c r="A254" s="326" t="s">
        <v>147</v>
      </c>
      <c r="B254" t="s">
        <v>2</v>
      </c>
      <c r="C254" s="201" t="s">
        <v>120</v>
      </c>
      <c r="D254" s="186">
        <f>D253</f>
        <v>3.5000000000000003E-2</v>
      </c>
      <c r="E254" s="186">
        <f>E253</f>
        <v>3.5000000000000003E-2</v>
      </c>
      <c r="F254" s="186">
        <f>F253</f>
        <v>3.5000000000000003E-2</v>
      </c>
      <c r="G254" s="186">
        <f>G253</f>
        <v>3.5000000000000003E-2</v>
      </c>
      <c r="H254" s="186">
        <f>H253</f>
        <v>3.5000000000000003E-2</v>
      </c>
    </row>
    <row r="255" spans="1:8">
      <c r="A255" s="326" t="s">
        <v>148</v>
      </c>
      <c r="B255" t="s">
        <v>149</v>
      </c>
      <c r="C255" s="201" t="s">
        <v>121</v>
      </c>
      <c r="D255" s="186">
        <f>'5 Year Forecast'!L25</f>
        <v>0.02</v>
      </c>
      <c r="E255" s="186">
        <f>'5 Year Forecast'!M25</f>
        <v>0.02</v>
      </c>
      <c r="F255" s="186">
        <f>'5 Year Forecast'!N25</f>
        <v>0.02</v>
      </c>
      <c r="G255" s="186">
        <f>'5 Year Forecast'!O25</f>
        <v>0.02</v>
      </c>
      <c r="H255" s="186">
        <f>'5 Year Forecast'!P25</f>
        <v>0.02</v>
      </c>
    </row>
    <row r="256" spans="1:8">
      <c r="A256" s="326" t="s">
        <v>162</v>
      </c>
      <c r="B256" t="s">
        <v>163</v>
      </c>
      <c r="C256" s="201" t="s">
        <v>121</v>
      </c>
      <c r="D256" s="186">
        <f>D255</f>
        <v>0.02</v>
      </c>
      <c r="E256" s="186">
        <f>E255</f>
        <v>0.02</v>
      </c>
      <c r="F256" s="186">
        <f>F255</f>
        <v>0.02</v>
      </c>
      <c r="G256" s="186">
        <f>G255</f>
        <v>0.02</v>
      </c>
      <c r="H256" s="186">
        <f>H255</f>
        <v>0.02</v>
      </c>
    </row>
    <row r="257" spans="1:8">
      <c r="A257" s="326" t="s">
        <v>166</v>
      </c>
      <c r="B257" t="s">
        <v>167</v>
      </c>
      <c r="C257" s="201" t="s">
        <v>121</v>
      </c>
      <c r="D257" s="186">
        <f>D256</f>
        <v>0.02</v>
      </c>
      <c r="E257" s="186">
        <f>E256</f>
        <v>0.02</v>
      </c>
      <c r="F257" s="186">
        <f>F256</f>
        <v>0.02</v>
      </c>
      <c r="G257" s="186">
        <f>G256</f>
        <v>0.02</v>
      </c>
      <c r="H257" s="186">
        <f>H256</f>
        <v>0.02</v>
      </c>
    </row>
    <row r="258" spans="1:8">
      <c r="A258" s="326" t="s">
        <v>186</v>
      </c>
      <c r="B258" t="s">
        <v>187</v>
      </c>
      <c r="C258" s="201" t="s">
        <v>122</v>
      </c>
      <c r="D258" s="186">
        <f>'5 Year Forecast'!L26</f>
        <v>0.03</v>
      </c>
      <c r="E258" s="186">
        <f>'5 Year Forecast'!M26</f>
        <v>0.03</v>
      </c>
      <c r="F258" s="186">
        <f>'5 Year Forecast'!N26</f>
        <v>0.03</v>
      </c>
      <c r="G258" s="186">
        <f>'5 Year Forecast'!O26</f>
        <v>0.03</v>
      </c>
      <c r="H258" s="186">
        <f>'5 Year Forecast'!P26</f>
        <v>0.03</v>
      </c>
    </row>
    <row r="259" spans="1:8">
      <c r="A259" s="326" t="s">
        <v>189</v>
      </c>
      <c r="B259" t="s">
        <v>190</v>
      </c>
      <c r="C259" s="201" t="s">
        <v>122</v>
      </c>
      <c r="D259" s="186">
        <f>D258</f>
        <v>0.03</v>
      </c>
      <c r="E259" s="186">
        <f>E258</f>
        <v>0.03</v>
      </c>
      <c r="F259" s="186">
        <f>F258</f>
        <v>0.03</v>
      </c>
      <c r="G259" s="186">
        <f>G258</f>
        <v>0.03</v>
      </c>
      <c r="H259" s="186">
        <f>H258</f>
        <v>0.03</v>
      </c>
    </row>
    <row r="260" spans="1:8">
      <c r="A260" s="326" t="s">
        <v>264</v>
      </c>
      <c r="B260" t="s">
        <v>191</v>
      </c>
      <c r="C260" s="201" t="s">
        <v>122</v>
      </c>
      <c r="D260" s="186">
        <f>D259</f>
        <v>0.03</v>
      </c>
      <c r="E260" s="186">
        <f>E259</f>
        <v>0.03</v>
      </c>
      <c r="F260" s="186">
        <f>F259</f>
        <v>0.03</v>
      </c>
      <c r="G260" s="186">
        <f>G259</f>
        <v>0.03</v>
      </c>
      <c r="H260" s="186">
        <f>H259</f>
        <v>0.03</v>
      </c>
    </row>
    <row r="261" spans="1:8">
      <c r="A261" s="726" t="s">
        <v>3122</v>
      </c>
      <c r="B261" s="721" t="s">
        <v>221</v>
      </c>
      <c r="C261" s="722" t="s">
        <v>122</v>
      </c>
      <c r="D261" s="186">
        <f>'5 Year Forecast'!L33</f>
        <v>0.03</v>
      </c>
      <c r="E261" s="186">
        <f>'5 Year Forecast'!M33</f>
        <v>0.03</v>
      </c>
      <c r="F261" s="186">
        <f>'5 Year Forecast'!N33</f>
        <v>0.03</v>
      </c>
      <c r="G261" s="186">
        <f>'5 Year Forecast'!O33</f>
        <v>0.03</v>
      </c>
      <c r="H261" s="186">
        <f>'5 Year Forecast'!P33</f>
        <v>0.03</v>
      </c>
    </row>
    <row r="262" spans="1:8">
      <c r="A262" s="326" t="s">
        <v>228</v>
      </c>
      <c r="B262" t="s">
        <v>229</v>
      </c>
      <c r="C262" s="201" t="s">
        <v>121</v>
      </c>
      <c r="D262" s="186">
        <f>D257</f>
        <v>0.02</v>
      </c>
      <c r="E262" s="186">
        <f>E257</f>
        <v>0.02</v>
      </c>
      <c r="F262" s="186">
        <f>F257</f>
        <v>0.02</v>
      </c>
      <c r="G262" s="186">
        <f>G257</f>
        <v>0.02</v>
      </c>
      <c r="H262" s="186">
        <f>H257</f>
        <v>0.02</v>
      </c>
    </row>
    <row r="263" spans="1:8">
      <c r="A263" s="326" t="s">
        <v>168</v>
      </c>
      <c r="B263" t="s">
        <v>169</v>
      </c>
      <c r="C263" s="201" t="s">
        <v>121</v>
      </c>
      <c r="D263" s="186">
        <f>D262</f>
        <v>0.02</v>
      </c>
      <c r="E263" s="186">
        <f>E262</f>
        <v>0.02</v>
      </c>
      <c r="F263" s="186">
        <f>F262</f>
        <v>0.02</v>
      </c>
      <c r="G263" s="186">
        <f>G262</f>
        <v>0.02</v>
      </c>
      <c r="H263" s="186">
        <f>H262</f>
        <v>0.02</v>
      </c>
    </row>
    <row r="264" spans="1:8">
      <c r="A264" s="326" t="s">
        <v>201</v>
      </c>
      <c r="B264" t="s">
        <v>230</v>
      </c>
      <c r="C264" s="201" t="s">
        <v>122</v>
      </c>
      <c r="D264" s="186">
        <f>D260</f>
        <v>0.03</v>
      </c>
      <c r="E264" s="186">
        <f>E260</f>
        <v>0.03</v>
      </c>
      <c r="F264" s="186">
        <f>F260</f>
        <v>0.03</v>
      </c>
      <c r="G264" s="186">
        <f>G260</f>
        <v>0.03</v>
      </c>
      <c r="H264" s="186">
        <f>H260</f>
        <v>0.03</v>
      </c>
    </row>
    <row r="265" spans="1:8">
      <c r="A265" s="326" t="s">
        <v>218</v>
      </c>
      <c r="B265" t="s">
        <v>219</v>
      </c>
      <c r="C265" s="201" t="s">
        <v>122</v>
      </c>
      <c r="D265" s="186">
        <f>D264</f>
        <v>0.03</v>
      </c>
      <c r="E265" s="186">
        <f>E264</f>
        <v>0.03</v>
      </c>
      <c r="F265" s="186">
        <f>F264</f>
        <v>0.03</v>
      </c>
      <c r="G265" s="186">
        <f>G264</f>
        <v>0.03</v>
      </c>
      <c r="H265" s="186">
        <f>H264</f>
        <v>0.03</v>
      </c>
    </row>
    <row r="266" spans="1:8">
      <c r="A266" s="326" t="s">
        <v>237</v>
      </c>
      <c r="B266" t="s">
        <v>238</v>
      </c>
      <c r="C266" s="201" t="s">
        <v>122</v>
      </c>
      <c r="D266" s="186">
        <f>D265</f>
        <v>0.03</v>
      </c>
      <c r="E266" s="186">
        <f>E265</f>
        <v>0.03</v>
      </c>
      <c r="F266" s="186">
        <f>F265</f>
        <v>0.03</v>
      </c>
      <c r="G266" s="186">
        <f>G265</f>
        <v>0.03</v>
      </c>
      <c r="H266" s="186">
        <f>H265</f>
        <v>0.03</v>
      </c>
    </row>
    <row r="267" spans="1:8">
      <c r="A267" s="326" t="s">
        <v>182</v>
      </c>
      <c r="B267" t="s">
        <v>183</v>
      </c>
      <c r="C267" s="201" t="s">
        <v>122</v>
      </c>
      <c r="D267" s="186">
        <f>D266</f>
        <v>0.03</v>
      </c>
      <c r="E267" s="186">
        <f>E266</f>
        <v>0.03</v>
      </c>
      <c r="F267" s="186">
        <f>F266</f>
        <v>0.03</v>
      </c>
      <c r="G267" s="186">
        <f>G266</f>
        <v>0.03</v>
      </c>
      <c r="H267" s="186">
        <f>H266</f>
        <v>0.03</v>
      </c>
    </row>
    <row r="268" spans="1:8">
      <c r="A268" s="326" t="s">
        <v>196</v>
      </c>
      <c r="B268" t="s">
        <v>197</v>
      </c>
      <c r="C268" s="201" t="s">
        <v>122</v>
      </c>
      <c r="D268" s="186">
        <f>D267</f>
        <v>0.03</v>
      </c>
      <c r="E268" s="186">
        <f>E267</f>
        <v>0.03</v>
      </c>
      <c r="F268" s="186">
        <f>F267</f>
        <v>0.03</v>
      </c>
      <c r="G268" s="186">
        <f>G267</f>
        <v>0.03</v>
      </c>
      <c r="H268" s="186">
        <f>H267</f>
        <v>0.03</v>
      </c>
    </row>
    <row r="269" spans="1:8">
      <c r="A269" s="326" t="s">
        <v>259</v>
      </c>
      <c r="B269" t="s">
        <v>909</v>
      </c>
      <c r="C269" s="201" t="s">
        <v>122</v>
      </c>
      <c r="D269" s="186">
        <f>D268</f>
        <v>0.03</v>
      </c>
      <c r="E269" s="186">
        <f>E268</f>
        <v>0.03</v>
      </c>
      <c r="F269" s="186">
        <f>F268</f>
        <v>0.03</v>
      </c>
      <c r="G269" s="186">
        <f>G268</f>
        <v>0.03</v>
      </c>
      <c r="H269" s="186">
        <f>H268</f>
        <v>0.03</v>
      </c>
    </row>
    <row r="270" spans="1:8">
      <c r="A270" s="326" t="s">
        <v>184</v>
      </c>
      <c r="B270" t="s">
        <v>185</v>
      </c>
      <c r="C270" s="201" t="s">
        <v>122</v>
      </c>
      <c r="D270" s="186">
        <f>D269</f>
        <v>0.03</v>
      </c>
      <c r="E270" s="186">
        <f>E269</f>
        <v>0.03</v>
      </c>
      <c r="F270" s="186">
        <f>F269</f>
        <v>0.03</v>
      </c>
      <c r="G270" s="186">
        <f>G269</f>
        <v>0.03</v>
      </c>
      <c r="H270" s="186">
        <f>H269</f>
        <v>0.03</v>
      </c>
    </row>
    <row r="271" spans="1:8">
      <c r="A271" s="326" t="s">
        <v>154</v>
      </c>
      <c r="B271" t="s">
        <v>155</v>
      </c>
      <c r="C271" s="201" t="s">
        <v>121</v>
      </c>
      <c r="D271" s="186">
        <f>D263</f>
        <v>0.02</v>
      </c>
      <c r="E271" s="186">
        <f>E263</f>
        <v>0.02</v>
      </c>
      <c r="F271" s="186">
        <f>F263</f>
        <v>0.02</v>
      </c>
      <c r="G271" s="186">
        <f>G263</f>
        <v>0.02</v>
      </c>
      <c r="H271" s="186">
        <f>H263</f>
        <v>0.02</v>
      </c>
    </row>
    <row r="272" spans="1:8">
      <c r="A272" s="326" t="s">
        <v>159</v>
      </c>
      <c r="B272" t="s">
        <v>4</v>
      </c>
      <c r="C272" s="201" t="s">
        <v>121</v>
      </c>
      <c r="D272" s="186">
        <f>D271</f>
        <v>0.02</v>
      </c>
      <c r="E272" s="186">
        <f>E271</f>
        <v>0.02</v>
      </c>
      <c r="F272" s="186">
        <f>F271</f>
        <v>0.02</v>
      </c>
      <c r="G272" s="186">
        <f>G271</f>
        <v>0.02</v>
      </c>
      <c r="H272" s="186">
        <f>H271</f>
        <v>0.02</v>
      </c>
    </row>
    <row r="273" spans="1:8">
      <c r="A273" s="326" t="s">
        <v>160</v>
      </c>
      <c r="B273" t="s">
        <v>161</v>
      </c>
      <c r="C273" s="201" t="s">
        <v>121</v>
      </c>
      <c r="D273" s="186">
        <f>D272</f>
        <v>0.02</v>
      </c>
      <c r="E273" s="186">
        <f>E272</f>
        <v>0.02</v>
      </c>
      <c r="F273" s="186">
        <f>F272</f>
        <v>0.02</v>
      </c>
      <c r="G273" s="186">
        <f>G272</f>
        <v>0.02</v>
      </c>
      <c r="H273" s="186">
        <f>H272</f>
        <v>0.02</v>
      </c>
    </row>
    <row r="274" spans="1:8">
      <c r="A274" s="326" t="s">
        <v>164</v>
      </c>
      <c r="B274" t="s">
        <v>165</v>
      </c>
      <c r="C274" s="201" t="s">
        <v>121</v>
      </c>
      <c r="D274" s="186">
        <f>D273</f>
        <v>0.02</v>
      </c>
      <c r="E274" s="186">
        <f>E273</f>
        <v>0.02</v>
      </c>
      <c r="F274" s="186">
        <f>F273</f>
        <v>0.02</v>
      </c>
      <c r="G274" s="186">
        <f>G273</f>
        <v>0.02</v>
      </c>
      <c r="H274" s="186">
        <f>H273</f>
        <v>0.02</v>
      </c>
    </row>
    <row r="275" spans="1:8">
      <c r="A275" s="326" t="s">
        <v>170</v>
      </c>
      <c r="B275" t="s">
        <v>171</v>
      </c>
      <c r="C275" s="201" t="s">
        <v>121</v>
      </c>
      <c r="D275" s="186">
        <f>D274</f>
        <v>0.02</v>
      </c>
      <c r="E275" s="186">
        <f>E274</f>
        <v>0.02</v>
      </c>
      <c r="F275" s="186">
        <f>F274</f>
        <v>0.02</v>
      </c>
      <c r="G275" s="186">
        <f>G274</f>
        <v>0.02</v>
      </c>
      <c r="H275" s="186">
        <f>H274</f>
        <v>0.02</v>
      </c>
    </row>
    <row r="276" spans="1:8">
      <c r="A276" s="326" t="s">
        <v>240</v>
      </c>
      <c r="B276" t="s">
        <v>241</v>
      </c>
      <c r="C276" s="201" t="s">
        <v>121</v>
      </c>
      <c r="D276" s="186">
        <f>D275</f>
        <v>0.02</v>
      </c>
      <c r="E276" s="186">
        <f>E275</f>
        <v>0.02</v>
      </c>
      <c r="F276" s="186">
        <f>F275</f>
        <v>0.02</v>
      </c>
      <c r="G276" s="186">
        <f>G275</f>
        <v>0.02</v>
      </c>
      <c r="H276" s="186">
        <f>H275</f>
        <v>0.02</v>
      </c>
    </row>
    <row r="277" spans="1:8">
      <c r="A277" s="326" t="s">
        <v>235</v>
      </c>
      <c r="B277" t="s">
        <v>236</v>
      </c>
      <c r="C277" s="201" t="s">
        <v>121</v>
      </c>
      <c r="D277" s="186">
        <f>D276</f>
        <v>0.02</v>
      </c>
      <c r="E277" s="186">
        <f>E276</f>
        <v>0.02</v>
      </c>
      <c r="F277" s="186">
        <f>F276</f>
        <v>0.02</v>
      </c>
      <c r="G277" s="186">
        <f>G276</f>
        <v>0.02</v>
      </c>
      <c r="H277" s="186">
        <f>H276</f>
        <v>0.02</v>
      </c>
    </row>
    <row r="278" spans="1:8">
      <c r="A278" s="326" t="s">
        <v>180</v>
      </c>
      <c r="B278" t="s">
        <v>181</v>
      </c>
      <c r="C278" s="201" t="s">
        <v>121</v>
      </c>
      <c r="D278" s="186">
        <f>D277</f>
        <v>0.02</v>
      </c>
      <c r="E278" s="186">
        <f>E277</f>
        <v>0.02</v>
      </c>
      <c r="F278" s="186">
        <f>F277</f>
        <v>0.02</v>
      </c>
      <c r="G278" s="186">
        <f>G277</f>
        <v>0.02</v>
      </c>
      <c r="H278" s="186">
        <f>H277</f>
        <v>0.02</v>
      </c>
    </row>
    <row r="279" spans="1:8">
      <c r="A279" s="326" t="s">
        <v>198</v>
      </c>
      <c r="B279" t="s">
        <v>6</v>
      </c>
      <c r="C279" s="201" t="s">
        <v>122</v>
      </c>
      <c r="D279" s="186">
        <f>D270</f>
        <v>0.03</v>
      </c>
      <c r="E279" s="186">
        <f>E270</f>
        <v>0.03</v>
      </c>
      <c r="F279" s="186">
        <f>F270</f>
        <v>0.03</v>
      </c>
      <c r="G279" s="186">
        <f>G270</f>
        <v>0.03</v>
      </c>
      <c r="H279" s="186">
        <f>H270</f>
        <v>0.03</v>
      </c>
    </row>
    <row r="280" spans="1:8">
      <c r="A280" s="326" t="s">
        <v>936</v>
      </c>
      <c r="B280" t="s">
        <v>906</v>
      </c>
      <c r="C280" s="201" t="s">
        <v>122</v>
      </c>
      <c r="D280" s="186">
        <f>D279</f>
        <v>0.03</v>
      </c>
      <c r="E280" s="186">
        <f>E279</f>
        <v>0.03</v>
      </c>
      <c r="F280" s="186">
        <f>F279</f>
        <v>0.03</v>
      </c>
      <c r="G280" s="186">
        <f>G279</f>
        <v>0.03</v>
      </c>
      <c r="H280" s="186">
        <f>H279</f>
        <v>0.03</v>
      </c>
    </row>
    <row r="281" spans="1:8">
      <c r="A281" s="326" t="s">
        <v>214</v>
      </c>
      <c r="B281" t="s">
        <v>215</v>
      </c>
      <c r="C281" s="201" t="s">
        <v>122</v>
      </c>
      <c r="D281" s="186">
        <f>D280</f>
        <v>0.03</v>
      </c>
      <c r="E281" s="186">
        <f>E280</f>
        <v>0.03</v>
      </c>
      <c r="F281" s="186">
        <f>F280</f>
        <v>0.03</v>
      </c>
      <c r="G281" s="186">
        <f>G280</f>
        <v>0.03</v>
      </c>
      <c r="H281" s="186">
        <f>H280</f>
        <v>0.03</v>
      </c>
    </row>
    <row r="282" spans="1:8">
      <c r="A282" s="326" t="s">
        <v>216</v>
      </c>
      <c r="B282" t="s">
        <v>217</v>
      </c>
      <c r="C282" s="201" t="s">
        <v>122</v>
      </c>
      <c r="D282" s="186">
        <f>D281</f>
        <v>0.03</v>
      </c>
      <c r="E282" s="186">
        <f>E281</f>
        <v>0.03</v>
      </c>
      <c r="F282" s="186">
        <f>F281</f>
        <v>0.03</v>
      </c>
      <c r="G282" s="186">
        <f>G281</f>
        <v>0.03</v>
      </c>
      <c r="H282" s="186">
        <f>H281</f>
        <v>0.03</v>
      </c>
    </row>
    <row r="283" spans="1:8">
      <c r="A283" s="726" t="s">
        <v>3124</v>
      </c>
      <c r="B283" s="721" t="s">
        <v>220</v>
      </c>
      <c r="C283" s="722" t="s">
        <v>122</v>
      </c>
      <c r="D283" s="186">
        <f>'5 Year Forecast'!L34</f>
        <v>0.03</v>
      </c>
      <c r="E283" s="186">
        <f>'5 Year Forecast'!M34</f>
        <v>0.03</v>
      </c>
      <c r="F283" s="186">
        <f>'5 Year Forecast'!N34</f>
        <v>0.03</v>
      </c>
      <c r="G283" s="186">
        <f>'5 Year Forecast'!O34</f>
        <v>0.03</v>
      </c>
      <c r="H283" s="186">
        <f>'5 Year Forecast'!P34</f>
        <v>0.03</v>
      </c>
    </row>
    <row r="284" spans="1:8">
      <c r="A284" s="326" t="s">
        <v>222</v>
      </c>
      <c r="B284" t="s">
        <v>223</v>
      </c>
      <c r="C284" s="201" t="s">
        <v>56</v>
      </c>
      <c r="D284" s="186">
        <f>'5 Year Forecast'!L29</f>
        <v>0</v>
      </c>
      <c r="E284" s="186">
        <f>'5 Year Forecast'!M29</f>
        <v>0.03</v>
      </c>
      <c r="F284" s="186">
        <f>'5 Year Forecast'!N29</f>
        <v>0.03</v>
      </c>
      <c r="G284" s="186">
        <f>'5 Year Forecast'!O29</f>
        <v>0.03</v>
      </c>
      <c r="H284" s="186">
        <f>'5 Year Forecast'!P29</f>
        <v>0.03</v>
      </c>
    </row>
    <row r="285" spans="1:8">
      <c r="A285" s="326" t="s">
        <v>192</v>
      </c>
      <c r="B285" t="s">
        <v>193</v>
      </c>
      <c r="C285" s="201" t="s">
        <v>122</v>
      </c>
      <c r="D285" s="186">
        <f>'5 Year Forecast'!L34</f>
        <v>0.03</v>
      </c>
      <c r="E285" s="186">
        <f>'5 Year Forecast'!M34</f>
        <v>0.03</v>
      </c>
      <c r="F285" s="186">
        <f>'5 Year Forecast'!N34</f>
        <v>0.03</v>
      </c>
      <c r="G285" s="186">
        <f>'5 Year Forecast'!O34</f>
        <v>0.03</v>
      </c>
      <c r="H285" s="186">
        <f>'5 Year Forecast'!P34</f>
        <v>0.03</v>
      </c>
    </row>
    <row r="286" spans="1:8">
      <c r="A286" s="326" t="s">
        <v>245</v>
      </c>
      <c r="B286" t="s">
        <v>246</v>
      </c>
      <c r="C286" s="201" t="s">
        <v>122</v>
      </c>
      <c r="D286" s="186">
        <f>D285</f>
        <v>0.03</v>
      </c>
      <c r="E286" s="186">
        <f>E285</f>
        <v>0.03</v>
      </c>
      <c r="F286" s="186">
        <f>F285</f>
        <v>0.03</v>
      </c>
      <c r="G286" s="186">
        <f>G285</f>
        <v>0.03</v>
      </c>
      <c r="H286" s="186">
        <f>H285</f>
        <v>0.03</v>
      </c>
    </row>
    <row r="287" spans="1:8">
      <c r="A287" s="326" t="s">
        <v>202</v>
      </c>
      <c r="B287" t="s">
        <v>203</v>
      </c>
      <c r="C287" s="201" t="s">
        <v>122</v>
      </c>
      <c r="D287" s="186">
        <f>D286</f>
        <v>0.03</v>
      </c>
      <c r="E287" s="186">
        <f>E286</f>
        <v>0.03</v>
      </c>
      <c r="F287" s="186">
        <f>F286</f>
        <v>0.03</v>
      </c>
      <c r="G287" s="186">
        <f>G286</f>
        <v>0.03</v>
      </c>
      <c r="H287" s="186">
        <f>H286</f>
        <v>0.03</v>
      </c>
    </row>
    <row r="288" spans="1:8">
      <c r="A288" s="326" t="s">
        <v>255</v>
      </c>
      <c r="B288" t="s">
        <v>256</v>
      </c>
      <c r="C288" s="201" t="s">
        <v>122</v>
      </c>
      <c r="D288" s="186">
        <f>D287</f>
        <v>0.03</v>
      </c>
      <c r="E288" s="186">
        <f>E287</f>
        <v>0.03</v>
      </c>
      <c r="F288" s="186">
        <f>F287</f>
        <v>0.03</v>
      </c>
      <c r="G288" s="186">
        <f>G287</f>
        <v>0.03</v>
      </c>
      <c r="H288" s="186">
        <f>H287</f>
        <v>0.03</v>
      </c>
    </row>
    <row r="289" spans="1:8">
      <c r="A289" s="187" t="s">
        <v>233</v>
      </c>
      <c r="B289" t="s">
        <v>234</v>
      </c>
      <c r="C289" s="201" t="s">
        <v>121</v>
      </c>
      <c r="D289" s="186">
        <f>D278</f>
        <v>0.02</v>
      </c>
      <c r="E289" s="186">
        <f>E278</f>
        <v>0.02</v>
      </c>
      <c r="F289" s="186">
        <f>F278</f>
        <v>0.02</v>
      </c>
      <c r="G289" s="186">
        <f>G278</f>
        <v>0.02</v>
      </c>
      <c r="H289" s="186">
        <f>H278</f>
        <v>0.02</v>
      </c>
    </row>
    <row r="290" spans="1:8">
      <c r="A290" s="326" t="s">
        <v>349</v>
      </c>
      <c r="B290" t="s">
        <v>762</v>
      </c>
      <c r="C290" s="201" t="s">
        <v>122</v>
      </c>
      <c r="D290" s="186">
        <f>D288</f>
        <v>0.03</v>
      </c>
      <c r="E290" s="186">
        <f>E288</f>
        <v>0.03</v>
      </c>
      <c r="F290" s="186">
        <f>F288</f>
        <v>0.03</v>
      </c>
      <c r="G290" s="186">
        <f>G279</f>
        <v>0.03</v>
      </c>
      <c r="H290" s="186">
        <f>H288</f>
        <v>0.03</v>
      </c>
    </row>
    <row r="291" spans="1:8">
      <c r="A291" s="326" t="s">
        <v>271</v>
      </c>
      <c r="B291" t="s">
        <v>272</v>
      </c>
      <c r="C291" s="201" t="s">
        <v>122</v>
      </c>
      <c r="D291" s="186">
        <f>D290</f>
        <v>0.03</v>
      </c>
      <c r="E291" s="186">
        <f>E290</f>
        <v>0.03</v>
      </c>
      <c r="F291" s="186">
        <f>F290</f>
        <v>0.03</v>
      </c>
      <c r="G291" s="186">
        <f>G290</f>
        <v>0.03</v>
      </c>
      <c r="H291" s="186">
        <f>H290</f>
        <v>0.03</v>
      </c>
    </row>
    <row r="292" spans="1:8">
      <c r="A292" s="326" t="s">
        <v>296</v>
      </c>
      <c r="B292" t="s">
        <v>297</v>
      </c>
      <c r="C292" s="201" t="s">
        <v>56</v>
      </c>
      <c r="D292" s="186">
        <f>D284</f>
        <v>0</v>
      </c>
      <c r="E292" s="186">
        <f>E284</f>
        <v>0.03</v>
      </c>
      <c r="F292" s="186">
        <f>F284</f>
        <v>0.03</v>
      </c>
      <c r="G292" s="186">
        <f>G284</f>
        <v>0.03</v>
      </c>
      <c r="H292" s="186">
        <f>H284</f>
        <v>0.03</v>
      </c>
    </row>
    <row r="293" spans="1:8">
      <c r="A293" s="326" t="s">
        <v>178</v>
      </c>
      <c r="B293" t="s">
        <v>179</v>
      </c>
      <c r="C293" s="201" t="s">
        <v>121</v>
      </c>
      <c r="D293" s="186">
        <f>D289</f>
        <v>0.02</v>
      </c>
      <c r="E293" s="186">
        <f>E289</f>
        <v>0.02</v>
      </c>
      <c r="F293" s="186">
        <f>F289</f>
        <v>0.02</v>
      </c>
      <c r="G293" s="186">
        <f>G289</f>
        <v>0.02</v>
      </c>
      <c r="H293" s="186">
        <f>H289</f>
        <v>0.02</v>
      </c>
    </row>
    <row r="294" spans="1:8">
      <c r="A294" s="326" t="s">
        <v>1123</v>
      </c>
      <c r="B294" t="s">
        <v>1117</v>
      </c>
      <c r="C294" s="201" t="s">
        <v>125</v>
      </c>
    </row>
    <row r="295" spans="1:8">
      <c r="A295" s="326" t="s">
        <v>934</v>
      </c>
      <c r="B295" t="s">
        <v>836</v>
      </c>
      <c r="C295" s="201" t="s">
        <v>122</v>
      </c>
      <c r="D295" s="186">
        <f>D291</f>
        <v>0.03</v>
      </c>
      <c r="E295" s="186">
        <f>E291</f>
        <v>0.03</v>
      </c>
      <c r="F295" s="186">
        <f>F291</f>
        <v>0.03</v>
      </c>
      <c r="G295" s="186">
        <f>G291</f>
        <v>0.03</v>
      </c>
      <c r="H295" s="186">
        <f>H291</f>
        <v>0.03</v>
      </c>
    </row>
    <row r="296" spans="1:8">
      <c r="A296" s="326" t="s">
        <v>194</v>
      </c>
      <c r="B296" t="s">
        <v>195</v>
      </c>
      <c r="C296" s="201" t="s">
        <v>122</v>
      </c>
      <c r="D296" s="186">
        <f>D295</f>
        <v>0.03</v>
      </c>
      <c r="E296" s="186">
        <f>E295</f>
        <v>0.03</v>
      </c>
      <c r="F296" s="186">
        <f>F295</f>
        <v>0.03</v>
      </c>
      <c r="G296" s="186">
        <f>G295</f>
        <v>0.03</v>
      </c>
      <c r="H296" s="186">
        <f>H295</f>
        <v>0.03</v>
      </c>
    </row>
    <row r="297" spans="1:8">
      <c r="A297" s="326" t="s">
        <v>257</v>
      </c>
      <c r="B297" t="s">
        <v>258</v>
      </c>
      <c r="C297" s="201" t="s">
        <v>122</v>
      </c>
      <c r="D297" s="186">
        <f>D296</f>
        <v>0.03</v>
      </c>
      <c r="E297" s="186">
        <f>E296</f>
        <v>0.03</v>
      </c>
      <c r="F297" s="186">
        <f>F296</f>
        <v>0.03</v>
      </c>
      <c r="G297" s="186">
        <f>G296</f>
        <v>0.03</v>
      </c>
      <c r="H297" s="186">
        <f>H296</f>
        <v>0.03</v>
      </c>
    </row>
    <row r="298" spans="1:8">
      <c r="A298" s="326" t="s">
        <v>199</v>
      </c>
      <c r="B298" t="s">
        <v>200</v>
      </c>
      <c r="C298" s="201" t="s">
        <v>122</v>
      </c>
      <c r="D298" s="186">
        <f>D297</f>
        <v>0.03</v>
      </c>
      <c r="E298" s="186">
        <f>E297</f>
        <v>0.03</v>
      </c>
      <c r="F298" s="186">
        <f>F297</f>
        <v>0.03</v>
      </c>
      <c r="G298" s="186">
        <f>G297</f>
        <v>0.03</v>
      </c>
      <c r="H298" s="186">
        <f>H297</f>
        <v>0.03</v>
      </c>
    </row>
    <row r="299" spans="1:8">
      <c r="A299" s="326" t="s">
        <v>1093</v>
      </c>
      <c r="B299" t="s">
        <v>1086</v>
      </c>
      <c r="C299" s="201" t="s">
        <v>122</v>
      </c>
      <c r="D299" s="186">
        <f>D298</f>
        <v>0.03</v>
      </c>
      <c r="E299" s="186">
        <f>E298</f>
        <v>0.03</v>
      </c>
      <c r="F299" s="186">
        <f>F298</f>
        <v>0.03</v>
      </c>
      <c r="G299" s="186">
        <f>G298</f>
        <v>0.03</v>
      </c>
      <c r="H299" s="186">
        <f>H298</f>
        <v>0.03</v>
      </c>
    </row>
    <row r="300" spans="1:8">
      <c r="A300" s="326" t="s">
        <v>260</v>
      </c>
      <c r="B300" t="s">
        <v>261</v>
      </c>
      <c r="C300" s="201" t="s">
        <v>122</v>
      </c>
      <c r="D300" s="186">
        <f>D299</f>
        <v>0.03</v>
      </c>
      <c r="E300" s="186">
        <f>E299</f>
        <v>0.03</v>
      </c>
      <c r="F300" s="186">
        <f>F299</f>
        <v>0.03</v>
      </c>
      <c r="G300" s="186">
        <f>G299</f>
        <v>0.03</v>
      </c>
      <c r="H300" s="186">
        <f>H299</f>
        <v>0.03</v>
      </c>
    </row>
    <row r="301" spans="1:8">
      <c r="A301" s="326" t="s">
        <v>138</v>
      </c>
      <c r="B301" t="s">
        <v>283</v>
      </c>
      <c r="C301" s="201" t="s">
        <v>120</v>
      </c>
      <c r="D301" s="186">
        <f>D254</f>
        <v>3.5000000000000003E-2</v>
      </c>
      <c r="E301" s="186">
        <f>E254</f>
        <v>3.5000000000000003E-2</v>
      </c>
      <c r="F301" s="186">
        <f>F254</f>
        <v>3.5000000000000003E-2</v>
      </c>
      <c r="G301" s="186">
        <f>G254</f>
        <v>3.5000000000000003E-2</v>
      </c>
      <c r="H301" s="186">
        <f>H254</f>
        <v>3.5000000000000003E-2</v>
      </c>
    </row>
    <row r="302" spans="1:8">
      <c r="A302" s="326" t="s">
        <v>174</v>
      </c>
      <c r="B302" t="s">
        <v>175</v>
      </c>
      <c r="C302" s="201" t="s">
        <v>121</v>
      </c>
      <c r="D302" s="186">
        <f>D293</f>
        <v>0.02</v>
      </c>
      <c r="E302" s="186">
        <f>E293</f>
        <v>0.02</v>
      </c>
      <c r="F302" s="186">
        <f>F293</f>
        <v>0.02</v>
      </c>
      <c r="G302" s="186">
        <f>G293</f>
        <v>0.02</v>
      </c>
      <c r="H302" s="186">
        <f>H293</f>
        <v>0.02</v>
      </c>
    </row>
    <row r="303" spans="1:8">
      <c r="A303" s="326" t="s">
        <v>176</v>
      </c>
      <c r="B303" t="s">
        <v>177</v>
      </c>
      <c r="C303" s="201" t="s">
        <v>121</v>
      </c>
      <c r="D303" s="186">
        <f>D302</f>
        <v>0.02</v>
      </c>
      <c r="E303" s="186">
        <f>E302</f>
        <v>0.02</v>
      </c>
      <c r="F303" s="186">
        <f>F302</f>
        <v>0.02</v>
      </c>
      <c r="G303" s="186">
        <f>G302</f>
        <v>0.02</v>
      </c>
      <c r="H303" s="186">
        <f>H302</f>
        <v>0.02</v>
      </c>
    </row>
    <row r="304" spans="1:8">
      <c r="A304" s="326" t="s">
        <v>277</v>
      </c>
      <c r="B304" t="s">
        <v>278</v>
      </c>
      <c r="C304" s="201" t="s">
        <v>122</v>
      </c>
      <c r="D304" s="186">
        <f>D300</f>
        <v>0.03</v>
      </c>
      <c r="E304" s="186">
        <f>E300</f>
        <v>0.03</v>
      </c>
      <c r="F304" s="186">
        <f>F300</f>
        <v>0.03</v>
      </c>
      <c r="G304" s="186">
        <f>G300</f>
        <v>0.03</v>
      </c>
      <c r="H304" s="186">
        <f>H300</f>
        <v>0.03</v>
      </c>
    </row>
    <row r="305" spans="1:8">
      <c r="A305" s="326" t="s">
        <v>210</v>
      </c>
      <c r="B305" t="s">
        <v>211</v>
      </c>
      <c r="C305" s="201" t="s">
        <v>122</v>
      </c>
      <c r="D305" s="186">
        <f>D300</f>
        <v>0.03</v>
      </c>
      <c r="E305" s="186">
        <f>E300</f>
        <v>0.03</v>
      </c>
      <c r="F305" s="186">
        <f>F300</f>
        <v>0.03</v>
      </c>
      <c r="G305" s="186">
        <f>G300</f>
        <v>0.03</v>
      </c>
      <c r="H305" s="186">
        <f>H300</f>
        <v>0.03</v>
      </c>
    </row>
    <row r="306" spans="1:8">
      <c r="A306" s="326" t="s">
        <v>212</v>
      </c>
      <c r="B306" t="s">
        <v>213</v>
      </c>
      <c r="C306" s="201" t="s">
        <v>122</v>
      </c>
      <c r="D306" s="186">
        <f>D305</f>
        <v>0.03</v>
      </c>
      <c r="E306" s="186">
        <f>E305</f>
        <v>0.03</v>
      </c>
      <c r="F306" s="186">
        <f>F305</f>
        <v>0.03</v>
      </c>
      <c r="G306" s="186">
        <f>G305</f>
        <v>0.03</v>
      </c>
      <c r="H306" s="186">
        <f>H305</f>
        <v>0.03</v>
      </c>
    </row>
    <row r="307" spans="1:8">
      <c r="A307" s="326" t="s">
        <v>247</v>
      </c>
      <c r="B307" t="s">
        <v>248</v>
      </c>
      <c r="C307" s="201" t="s">
        <v>122</v>
      </c>
      <c r="D307" s="186">
        <f>D306</f>
        <v>0.03</v>
      </c>
      <c r="E307" s="186">
        <f>E306</f>
        <v>0.03</v>
      </c>
      <c r="F307" s="186">
        <f>F306</f>
        <v>0.03</v>
      </c>
      <c r="G307" s="186">
        <f>G306</f>
        <v>0.03</v>
      </c>
      <c r="H307" s="186">
        <f>H306</f>
        <v>0.03</v>
      </c>
    </row>
    <row r="308" spans="1:8">
      <c r="A308" s="326" t="s">
        <v>333</v>
      </c>
      <c r="B308" t="s">
        <v>334</v>
      </c>
      <c r="C308" s="201" t="s">
        <v>121</v>
      </c>
      <c r="D308" s="186">
        <f>D303</f>
        <v>0.02</v>
      </c>
      <c r="E308" s="186">
        <f>E303</f>
        <v>0.02</v>
      </c>
      <c r="F308" s="186">
        <f>F303</f>
        <v>0.02</v>
      </c>
      <c r="G308" s="186">
        <f>G303</f>
        <v>0.02</v>
      </c>
      <c r="H308" s="186">
        <f>H303</f>
        <v>0.02</v>
      </c>
    </row>
    <row r="309" spans="1:8">
      <c r="A309" s="326" t="s">
        <v>253</v>
      </c>
      <c r="B309" t="s">
        <v>254</v>
      </c>
      <c r="C309" s="201" t="s">
        <v>121</v>
      </c>
      <c r="D309" s="186">
        <f>D308</f>
        <v>0.02</v>
      </c>
      <c r="E309" s="186">
        <f>E308</f>
        <v>0.02</v>
      </c>
      <c r="F309" s="186">
        <f>F308</f>
        <v>0.02</v>
      </c>
      <c r="G309" s="186">
        <f>G308</f>
        <v>0.02</v>
      </c>
      <c r="H309" s="186">
        <f>H308</f>
        <v>0.02</v>
      </c>
    </row>
    <row r="310" spans="1:8">
      <c r="A310" s="326" t="s">
        <v>1125</v>
      </c>
      <c r="B310" t="s">
        <v>1120</v>
      </c>
      <c r="C310" s="201" t="s">
        <v>121</v>
      </c>
      <c r="D310" s="186">
        <f>D309</f>
        <v>0.02</v>
      </c>
      <c r="E310" s="186">
        <f>E309</f>
        <v>0.02</v>
      </c>
      <c r="F310" s="186">
        <f>F309</f>
        <v>0.02</v>
      </c>
      <c r="G310" s="186">
        <f>G309</f>
        <v>0.02</v>
      </c>
      <c r="H310" s="186">
        <f>H309</f>
        <v>0.02</v>
      </c>
    </row>
    <row r="311" spans="1:8">
      <c r="A311" s="326" t="s">
        <v>281</v>
      </c>
      <c r="B311" t="s">
        <v>282</v>
      </c>
      <c r="C311" s="201" t="s">
        <v>122</v>
      </c>
      <c r="D311" s="186">
        <f>D307</f>
        <v>0.03</v>
      </c>
      <c r="E311" s="186">
        <f>E307</f>
        <v>0.03</v>
      </c>
      <c r="F311" s="186">
        <f>F307</f>
        <v>0.03</v>
      </c>
      <c r="G311" s="186">
        <f>G307</f>
        <v>0.03</v>
      </c>
      <c r="H311" s="186">
        <f>H307</f>
        <v>0.03</v>
      </c>
    </row>
    <row r="312" spans="1:8">
      <c r="A312" s="326" t="s">
        <v>309</v>
      </c>
      <c r="B312" t="s">
        <v>914</v>
      </c>
      <c r="C312" s="201" t="s">
        <v>125</v>
      </c>
    </row>
    <row r="313" spans="1:8">
      <c r="A313" s="326" t="s">
        <v>3555</v>
      </c>
      <c r="B313" t="s">
        <v>3153</v>
      </c>
      <c r="C313" s="201" t="e">
        <v>#N/A</v>
      </c>
    </row>
    <row r="314" spans="1:8">
      <c r="A314" s="326" t="s">
        <v>284</v>
      </c>
      <c r="B314" t="s">
        <v>905</v>
      </c>
      <c r="C314" s="201" t="s">
        <v>121</v>
      </c>
      <c r="D314" s="186">
        <f>D310</f>
        <v>0.02</v>
      </c>
      <c r="E314" s="186">
        <f>E310</f>
        <v>0.02</v>
      </c>
      <c r="F314" s="186">
        <f>F310</f>
        <v>0.02</v>
      </c>
      <c r="G314" s="186">
        <f>G310</f>
        <v>0.02</v>
      </c>
      <c r="H314" s="186">
        <f>H310</f>
        <v>0.02</v>
      </c>
    </row>
    <row r="315" spans="1:8">
      <c r="A315" s="326" t="s">
        <v>279</v>
      </c>
      <c r="B315" t="s">
        <v>280</v>
      </c>
      <c r="C315" s="201" t="s">
        <v>122</v>
      </c>
      <c r="D315" s="186">
        <f>D311</f>
        <v>0.03</v>
      </c>
      <c r="E315" s="186">
        <f>E311</f>
        <v>0.03</v>
      </c>
      <c r="F315" s="186">
        <f>F311</f>
        <v>0.03</v>
      </c>
      <c r="G315" s="186">
        <f>G311</f>
        <v>0.03</v>
      </c>
      <c r="H315" s="186">
        <f>H311</f>
        <v>0.03</v>
      </c>
    </row>
    <row r="316" spans="1:8">
      <c r="A316" s="326" t="s">
        <v>275</v>
      </c>
      <c r="B316" t="s">
        <v>276</v>
      </c>
      <c r="C316" s="201" t="s">
        <v>121</v>
      </c>
      <c r="D316" s="186">
        <f>D314</f>
        <v>0.02</v>
      </c>
      <c r="E316" s="186">
        <f>E314</f>
        <v>0.02</v>
      </c>
      <c r="F316" s="186">
        <f>F314</f>
        <v>0.02</v>
      </c>
      <c r="G316" s="186">
        <f>G314</f>
        <v>0.02</v>
      </c>
      <c r="H316" s="186">
        <f>H314</f>
        <v>0.02</v>
      </c>
    </row>
    <row r="317" spans="1:8">
      <c r="A317" s="326" t="s">
        <v>285</v>
      </c>
      <c r="B317" t="s">
        <v>286</v>
      </c>
      <c r="C317" s="201" t="s">
        <v>121</v>
      </c>
      <c r="D317" s="186">
        <f>D316</f>
        <v>0.02</v>
      </c>
      <c r="E317" s="186">
        <f>E316</f>
        <v>0.02</v>
      </c>
      <c r="F317" s="186">
        <f>F316</f>
        <v>0.02</v>
      </c>
      <c r="G317" s="186">
        <f>G316</f>
        <v>0.02</v>
      </c>
      <c r="H317" s="186">
        <f>H316</f>
        <v>0.02</v>
      </c>
    </row>
    <row r="318" spans="1:8">
      <c r="A318" s="326" t="s">
        <v>289</v>
      </c>
      <c r="B318" t="s">
        <v>290</v>
      </c>
      <c r="C318" s="201" t="s">
        <v>121</v>
      </c>
      <c r="D318" s="186">
        <f>D317</f>
        <v>0.02</v>
      </c>
      <c r="E318" s="186">
        <f>E317</f>
        <v>0.02</v>
      </c>
      <c r="F318" s="186">
        <f>F317</f>
        <v>0.02</v>
      </c>
      <c r="G318" s="186">
        <f>G317</f>
        <v>0.02</v>
      </c>
      <c r="H318" s="186">
        <f>H317</f>
        <v>0.02</v>
      </c>
    </row>
    <row r="319" spans="1:8">
      <c r="A319" s="326" t="s">
        <v>267</v>
      </c>
      <c r="B319" t="s">
        <v>268</v>
      </c>
      <c r="C319" s="201" t="s">
        <v>56</v>
      </c>
      <c r="D319" s="186">
        <f>D292</f>
        <v>0</v>
      </c>
      <c r="E319" s="186">
        <f>E292</f>
        <v>0.03</v>
      </c>
      <c r="F319" s="186">
        <f>F292</f>
        <v>0.03</v>
      </c>
      <c r="G319" s="186">
        <f>G292</f>
        <v>0.03</v>
      </c>
      <c r="H319" s="186">
        <f>H292</f>
        <v>0.03</v>
      </c>
    </row>
    <row r="320" spans="1:8">
      <c r="A320" s="326" t="s">
        <v>251</v>
      </c>
      <c r="B320" t="s">
        <v>5</v>
      </c>
      <c r="C320" s="201" t="s">
        <v>121</v>
      </c>
      <c r="D320" s="186">
        <f>D318</f>
        <v>0.02</v>
      </c>
      <c r="E320" s="186">
        <f>E318</f>
        <v>0.02</v>
      </c>
      <c r="F320" s="186">
        <f>F318</f>
        <v>0.02</v>
      </c>
      <c r="G320" s="186">
        <f>G318</f>
        <v>0.02</v>
      </c>
      <c r="H320" s="186">
        <f>H318</f>
        <v>0.02</v>
      </c>
    </row>
    <row r="321" spans="1:8">
      <c r="A321" s="326" t="s">
        <v>262</v>
      </c>
      <c r="B321" t="s">
        <v>263</v>
      </c>
      <c r="C321" s="201" t="s">
        <v>121</v>
      </c>
      <c r="D321" s="186">
        <f>D320</f>
        <v>0.02</v>
      </c>
      <c r="E321" s="186">
        <f>E320</f>
        <v>0.02</v>
      </c>
      <c r="F321" s="186">
        <f>F320</f>
        <v>0.02</v>
      </c>
      <c r="G321" s="186">
        <f>G320</f>
        <v>0.02</v>
      </c>
      <c r="H321" s="186">
        <f>H320</f>
        <v>0.02</v>
      </c>
    </row>
    <row r="322" spans="1:8">
      <c r="A322" s="326" t="s">
        <v>172</v>
      </c>
      <c r="B322" t="s">
        <v>173</v>
      </c>
      <c r="C322" s="201" t="s">
        <v>121</v>
      </c>
      <c r="D322" s="186">
        <f>D321</f>
        <v>0.02</v>
      </c>
      <c r="E322" s="186">
        <f>E321</f>
        <v>0.02</v>
      </c>
      <c r="F322" s="186">
        <f>F321</f>
        <v>0.02</v>
      </c>
      <c r="G322" s="186">
        <f>G321</f>
        <v>0.02</v>
      </c>
      <c r="H322" s="186">
        <f>H321</f>
        <v>0.02</v>
      </c>
    </row>
    <row r="323" spans="1:8">
      <c r="A323" s="326" t="s">
        <v>842</v>
      </c>
      <c r="B323" t="s">
        <v>837</v>
      </c>
      <c r="C323" s="201" t="s">
        <v>122</v>
      </c>
      <c r="D323" s="186">
        <f>D311</f>
        <v>0.03</v>
      </c>
      <c r="E323" s="186">
        <f>E311</f>
        <v>0.03</v>
      </c>
      <c r="F323" s="186">
        <f>F311</f>
        <v>0.03</v>
      </c>
      <c r="G323" s="186">
        <f>G311</f>
        <v>0.03</v>
      </c>
      <c r="H323" s="186">
        <f>H311</f>
        <v>0.03</v>
      </c>
    </row>
    <row r="324" spans="1:8">
      <c r="A324" s="326" t="s">
        <v>273</v>
      </c>
      <c r="B324" t="s">
        <v>274</v>
      </c>
      <c r="C324" s="201" t="s">
        <v>121</v>
      </c>
      <c r="D324" s="186">
        <f>D322</f>
        <v>0.02</v>
      </c>
      <c r="E324" s="186">
        <f>E322</f>
        <v>0.02</v>
      </c>
      <c r="F324" s="186">
        <f>F322</f>
        <v>0.02</v>
      </c>
      <c r="G324" s="186">
        <f>G322</f>
        <v>0.02</v>
      </c>
      <c r="H324" s="186">
        <f>H322</f>
        <v>0.02</v>
      </c>
    </row>
    <row r="325" spans="1:8">
      <c r="A325" s="326" t="s">
        <v>304</v>
      </c>
      <c r="B325" t="s">
        <v>305</v>
      </c>
      <c r="C325" s="201" t="s">
        <v>122</v>
      </c>
      <c r="D325" s="186">
        <f>D323</f>
        <v>0.03</v>
      </c>
      <c r="E325" s="186">
        <f>E323</f>
        <v>0.03</v>
      </c>
      <c r="F325" s="186">
        <f>F323</f>
        <v>0.03</v>
      </c>
      <c r="G325" s="186">
        <f>G323</f>
        <v>0.03</v>
      </c>
      <c r="H325" s="186">
        <f>H323</f>
        <v>0.03</v>
      </c>
    </row>
    <row r="326" spans="1:8">
      <c r="A326" s="326" t="s">
        <v>310</v>
      </c>
      <c r="B326" t="s">
        <v>305</v>
      </c>
      <c r="C326" s="201" t="s">
        <v>56</v>
      </c>
      <c r="D326" s="186">
        <f>D319</f>
        <v>0</v>
      </c>
      <c r="E326" s="186">
        <f>E319</f>
        <v>0.03</v>
      </c>
      <c r="F326" s="186">
        <f>F319</f>
        <v>0.03</v>
      </c>
      <c r="G326" s="186">
        <f>G319</f>
        <v>0.03</v>
      </c>
      <c r="H326" s="186">
        <f>H319</f>
        <v>0.03</v>
      </c>
    </row>
    <row r="327" spans="1:8">
      <c r="A327" s="326" t="s">
        <v>145</v>
      </c>
      <c r="B327" t="s">
        <v>146</v>
      </c>
      <c r="C327" s="201" t="s">
        <v>120</v>
      </c>
      <c r="D327" s="186">
        <f>D301</f>
        <v>3.5000000000000003E-2</v>
      </c>
      <c r="E327" s="186">
        <f>E301</f>
        <v>3.5000000000000003E-2</v>
      </c>
      <c r="F327" s="186">
        <f>F301</f>
        <v>3.5000000000000003E-2</v>
      </c>
      <c r="G327" s="186">
        <f>G301</f>
        <v>3.5000000000000003E-2</v>
      </c>
      <c r="H327" s="186">
        <f>H301</f>
        <v>3.5000000000000003E-2</v>
      </c>
    </row>
    <row r="328" spans="1:8">
      <c r="A328" s="326" t="s">
        <v>293</v>
      </c>
      <c r="B328" t="s">
        <v>53</v>
      </c>
      <c r="C328" s="201" t="s">
        <v>121</v>
      </c>
      <c r="D328" s="186">
        <f>D324</f>
        <v>0.02</v>
      </c>
      <c r="E328" s="186">
        <f>E324</f>
        <v>0.02</v>
      </c>
      <c r="F328" s="186">
        <f>F324</f>
        <v>0.02</v>
      </c>
      <c r="G328" s="186">
        <f>G324</f>
        <v>0.02</v>
      </c>
      <c r="H328" s="186">
        <f>H324</f>
        <v>0.02</v>
      </c>
    </row>
    <row r="329" spans="1:8">
      <c r="A329" s="326" t="s">
        <v>294</v>
      </c>
      <c r="B329" t="s">
        <v>295</v>
      </c>
      <c r="C329" s="201" t="s">
        <v>121</v>
      </c>
      <c r="D329" s="186">
        <f>D328</f>
        <v>0.02</v>
      </c>
      <c r="E329" s="186">
        <f>E328</f>
        <v>0.02</v>
      </c>
      <c r="F329" s="186">
        <f>F328</f>
        <v>0.02</v>
      </c>
      <c r="G329" s="186">
        <f>G328</f>
        <v>0.02</v>
      </c>
      <c r="H329" s="186">
        <f>H328</f>
        <v>0.02</v>
      </c>
    </row>
    <row r="330" spans="1:8">
      <c r="A330" s="326" t="s">
        <v>935</v>
      </c>
      <c r="B330" t="s">
        <v>839</v>
      </c>
      <c r="C330" s="201" t="s">
        <v>122</v>
      </c>
      <c r="D330" s="186">
        <f>D325</f>
        <v>0.03</v>
      </c>
      <c r="E330" s="186">
        <f>E325</f>
        <v>0.03</v>
      </c>
      <c r="F330" s="186">
        <f>F325</f>
        <v>0.03</v>
      </c>
      <c r="G330" s="186">
        <f>G325</f>
        <v>0.03</v>
      </c>
      <c r="H330" s="186">
        <f>H325</f>
        <v>0.03</v>
      </c>
    </row>
    <row r="331" spans="1:8">
      <c r="A331" s="326" t="s">
        <v>937</v>
      </c>
      <c r="B331" t="s">
        <v>907</v>
      </c>
      <c r="C331" s="201" t="s">
        <v>122</v>
      </c>
      <c r="D331" s="186">
        <f>D330</f>
        <v>0.03</v>
      </c>
      <c r="E331" s="186">
        <f>E330</f>
        <v>0.03</v>
      </c>
      <c r="F331" s="186">
        <f>F330</f>
        <v>0.03</v>
      </c>
      <c r="G331" s="186">
        <f>G330</f>
        <v>0.03</v>
      </c>
      <c r="H331" s="186">
        <f>H330</f>
        <v>0.03</v>
      </c>
    </row>
    <row r="332" spans="1:8">
      <c r="A332" s="326" t="s">
        <v>298</v>
      </c>
      <c r="B332" t="s">
        <v>299</v>
      </c>
      <c r="C332" s="201" t="s">
        <v>56</v>
      </c>
      <c r="D332" s="186">
        <f>D326</f>
        <v>0</v>
      </c>
      <c r="E332" s="186">
        <f>E326</f>
        <v>0.03</v>
      </c>
      <c r="F332" s="186">
        <f>F326</f>
        <v>0.03</v>
      </c>
      <c r="G332" s="186">
        <f>G326</f>
        <v>0.03</v>
      </c>
      <c r="H332" s="186">
        <f>H326</f>
        <v>0.03</v>
      </c>
    </row>
    <row r="333" spans="1:8">
      <c r="A333" s="326" t="s">
        <v>239</v>
      </c>
      <c r="B333" t="s">
        <v>838</v>
      </c>
      <c r="C333" s="201" t="s">
        <v>125</v>
      </c>
    </row>
    <row r="334" spans="1:8">
      <c r="A334" s="326" t="s">
        <v>252</v>
      </c>
      <c r="B334" t="s">
        <v>1109</v>
      </c>
      <c r="C334" s="201" t="s">
        <v>121</v>
      </c>
      <c r="D334" s="186">
        <f>D329</f>
        <v>0.02</v>
      </c>
      <c r="E334" s="186">
        <f>E329</f>
        <v>0.02</v>
      </c>
      <c r="F334" s="186">
        <f>F329</f>
        <v>0.02</v>
      </c>
      <c r="G334" s="186">
        <f>G329</f>
        <v>0.02</v>
      </c>
      <c r="H334" s="186">
        <f>H329</f>
        <v>0.02</v>
      </c>
    </row>
    <row r="335" spans="1:8">
      <c r="A335" s="326" t="s">
        <v>300</v>
      </c>
      <c r="B335" t="s">
        <v>301</v>
      </c>
      <c r="C335" s="201" t="s">
        <v>122</v>
      </c>
      <c r="D335" s="186">
        <f>D331</f>
        <v>0.03</v>
      </c>
      <c r="E335" s="186">
        <f>E331</f>
        <v>0.03</v>
      </c>
      <c r="F335" s="186">
        <f>F331</f>
        <v>0.03</v>
      </c>
      <c r="G335" s="186">
        <f>G331</f>
        <v>0.03</v>
      </c>
      <c r="H335" s="186">
        <f>H331</f>
        <v>0.03</v>
      </c>
    </row>
    <row r="336" spans="1:8">
      <c r="A336" s="326" t="s">
        <v>303</v>
      </c>
      <c r="B336" t="s">
        <v>908</v>
      </c>
      <c r="C336" s="201" t="s">
        <v>122</v>
      </c>
      <c r="D336" s="186">
        <f>D335</f>
        <v>0.03</v>
      </c>
      <c r="E336" s="186">
        <f>E335</f>
        <v>0.03</v>
      </c>
      <c r="F336" s="186">
        <f>F335</f>
        <v>0.03</v>
      </c>
      <c r="G336" s="186">
        <f>G335</f>
        <v>0.03</v>
      </c>
      <c r="H336" s="186">
        <f>H335</f>
        <v>0.03</v>
      </c>
    </row>
    <row r="337" spans="1:8">
      <c r="A337" s="326" t="s">
        <v>206</v>
      </c>
      <c r="B337" t="s">
        <v>207</v>
      </c>
      <c r="C337" s="201" t="s">
        <v>122</v>
      </c>
      <c r="D337" s="186">
        <f>D336</f>
        <v>0.03</v>
      </c>
      <c r="E337" s="186">
        <f>E336</f>
        <v>0.03</v>
      </c>
      <c r="F337" s="186">
        <f>F336</f>
        <v>0.03</v>
      </c>
      <c r="G337" s="186">
        <f>G336</f>
        <v>0.03</v>
      </c>
      <c r="H337" s="186">
        <f>H336</f>
        <v>0.03</v>
      </c>
    </row>
    <row r="338" spans="1:8">
      <c r="A338" s="326" t="s">
        <v>226</v>
      </c>
      <c r="B338" t="s">
        <v>227</v>
      </c>
      <c r="C338" s="201" t="s">
        <v>56</v>
      </c>
      <c r="D338" s="186">
        <f>D332</f>
        <v>0</v>
      </c>
      <c r="E338" s="186">
        <f>E332</f>
        <v>0.03</v>
      </c>
      <c r="F338" s="186">
        <f>F332</f>
        <v>0.03</v>
      </c>
      <c r="G338" s="186">
        <f>G332</f>
        <v>0.03</v>
      </c>
      <c r="H338" s="186">
        <f>H332</f>
        <v>0.03</v>
      </c>
    </row>
    <row r="339" spans="1:8">
      <c r="A339" s="326" t="s">
        <v>152</v>
      </c>
      <c r="B339" t="s">
        <v>153</v>
      </c>
      <c r="C339" s="201" t="s">
        <v>121</v>
      </c>
      <c r="D339" s="186">
        <f>D334</f>
        <v>0.02</v>
      </c>
      <c r="E339" s="186">
        <f>E334</f>
        <v>0.02</v>
      </c>
      <c r="F339" s="186">
        <f>F334</f>
        <v>0.02</v>
      </c>
      <c r="G339" s="186">
        <f>G334</f>
        <v>0.02</v>
      </c>
      <c r="H339" s="186">
        <f>H334</f>
        <v>0.02</v>
      </c>
    </row>
    <row r="340" spans="1:8">
      <c r="A340" s="326" t="s">
        <v>308</v>
      </c>
      <c r="B340" t="s">
        <v>829</v>
      </c>
      <c r="C340" s="201" t="s">
        <v>125</v>
      </c>
    </row>
    <row r="341" spans="1:8">
      <c r="A341" s="326" t="s">
        <v>150</v>
      </c>
      <c r="B341" t="s">
        <v>151</v>
      </c>
      <c r="C341" s="201" t="s">
        <v>121</v>
      </c>
      <c r="D341" s="186">
        <f>D339</f>
        <v>0.02</v>
      </c>
      <c r="E341" s="186">
        <f>E339</f>
        <v>0.02</v>
      </c>
      <c r="F341" s="186">
        <f>F339</f>
        <v>0.02</v>
      </c>
      <c r="G341" s="186">
        <f>G339</f>
        <v>0.02</v>
      </c>
      <c r="H341" s="186">
        <f>H339</f>
        <v>0.02</v>
      </c>
    </row>
    <row r="342" spans="1:8">
      <c r="A342" s="326" t="s">
        <v>204</v>
      </c>
      <c r="B342" t="s">
        <v>205</v>
      </c>
      <c r="C342" s="201" t="s">
        <v>122</v>
      </c>
      <c r="D342" s="186">
        <f>D337</f>
        <v>0.03</v>
      </c>
      <c r="E342" s="186">
        <f>E337</f>
        <v>0.03</v>
      </c>
      <c r="F342" s="186">
        <f>F337</f>
        <v>0.03</v>
      </c>
      <c r="G342" s="186">
        <f>G337</f>
        <v>0.03</v>
      </c>
      <c r="H342" s="186">
        <f>H337</f>
        <v>0.03</v>
      </c>
    </row>
    <row r="343" spans="1:8">
      <c r="A343" s="326" t="s">
        <v>208</v>
      </c>
      <c r="B343" t="s">
        <v>209</v>
      </c>
      <c r="C343" s="201" t="s">
        <v>122</v>
      </c>
      <c r="D343" s="186">
        <f>D342</f>
        <v>0.03</v>
      </c>
      <c r="E343" s="186">
        <f>E342</f>
        <v>0.03</v>
      </c>
      <c r="F343" s="186">
        <f>F342</f>
        <v>0.03</v>
      </c>
      <c r="G343" s="186">
        <f>G342</f>
        <v>0.03</v>
      </c>
      <c r="H343" s="186">
        <f>H342</f>
        <v>0.03</v>
      </c>
    </row>
    <row r="344" spans="1:8">
      <c r="A344" s="326" t="s">
        <v>269</v>
      </c>
      <c r="B344" t="s">
        <v>270</v>
      </c>
      <c r="C344" s="201" t="s">
        <v>122</v>
      </c>
      <c r="D344" s="186">
        <f>D343</f>
        <v>0.03</v>
      </c>
      <c r="E344" s="186">
        <f>E343</f>
        <v>0.03</v>
      </c>
      <c r="F344" s="186">
        <f>F343</f>
        <v>0.03</v>
      </c>
      <c r="G344" s="186">
        <f>G343</f>
        <v>0.03</v>
      </c>
      <c r="H344" s="186">
        <f>H343</f>
        <v>0.03</v>
      </c>
    </row>
    <row r="345" spans="1:8">
      <c r="A345" s="326" t="s">
        <v>1098</v>
      </c>
      <c r="B345" t="s">
        <v>1102</v>
      </c>
      <c r="C345" s="201" t="s">
        <v>125</v>
      </c>
    </row>
    <row r="346" spans="1:8">
      <c r="A346" s="326" t="s">
        <v>938</v>
      </c>
      <c r="B346" t="s">
        <v>3154</v>
      </c>
      <c r="C346" s="201" t="s">
        <v>125</v>
      </c>
      <c r="D346" s="186">
        <f>'5 Year Forecast'!L35</f>
        <v>0</v>
      </c>
      <c r="E346" s="186">
        <f>'5 Year Forecast'!M35</f>
        <v>0</v>
      </c>
      <c r="F346" s="186">
        <f>'5 Year Forecast'!N35</f>
        <v>0</v>
      </c>
      <c r="G346" s="186">
        <f>'5 Year Forecast'!O35</f>
        <v>0</v>
      </c>
      <c r="H346" s="186">
        <f>'5 Year Forecast'!P35</f>
        <v>0</v>
      </c>
    </row>
    <row r="347" spans="1:8">
      <c r="A347" s="326" t="s">
        <v>231</v>
      </c>
      <c r="B347" t="s">
        <v>232</v>
      </c>
      <c r="C347" s="201" t="s">
        <v>122</v>
      </c>
      <c r="D347" s="186">
        <f>D344</f>
        <v>0.03</v>
      </c>
      <c r="E347" s="186">
        <f>E344</f>
        <v>0.03</v>
      </c>
      <c r="F347" s="186">
        <f>F344</f>
        <v>0.03</v>
      </c>
      <c r="G347" s="186">
        <f>G344</f>
        <v>0.03</v>
      </c>
      <c r="H347" s="186">
        <f>H344</f>
        <v>0.03</v>
      </c>
    </row>
    <row r="348" spans="1:8">
      <c r="A348" s="326" t="s">
        <v>306</v>
      </c>
      <c r="B348" t="s">
        <v>912</v>
      </c>
      <c r="C348" s="201" t="s">
        <v>755</v>
      </c>
    </row>
    <row r="349" spans="1:8">
      <c r="A349" s="326" t="s">
        <v>312</v>
      </c>
      <c r="B349" t="s">
        <v>313</v>
      </c>
      <c r="C349" s="201" t="s">
        <v>755</v>
      </c>
    </row>
    <row r="350" spans="1:8">
      <c r="A350" s="326" t="s">
        <v>307</v>
      </c>
      <c r="B350" t="s">
        <v>3155</v>
      </c>
      <c r="C350" s="201" t="s">
        <v>755</v>
      </c>
    </row>
    <row r="351" spans="1:8">
      <c r="A351" s="326" t="s">
        <v>314</v>
      </c>
      <c r="B351" t="s">
        <v>840</v>
      </c>
      <c r="C351" s="201" t="s">
        <v>125</v>
      </c>
      <c r="D351" s="186">
        <f>'5 Year Forecast'!L28</f>
        <v>0</v>
      </c>
      <c r="E351" s="186">
        <f>'5 Year Forecast'!M28</f>
        <v>0</v>
      </c>
      <c r="F351" s="186">
        <f>'5 Year Forecast'!N28</f>
        <v>0</v>
      </c>
      <c r="G351" s="186">
        <f>'5 Year Forecast'!O28</f>
        <v>0</v>
      </c>
      <c r="H351" s="186">
        <f>'5 Year Forecast'!P28</f>
        <v>0</v>
      </c>
    </row>
    <row r="352" spans="1:8">
      <c r="A352" s="326" t="s">
        <v>342</v>
      </c>
      <c r="B352" t="s">
        <v>904</v>
      </c>
      <c r="C352" s="201" t="s">
        <v>120</v>
      </c>
      <c r="D352" s="186">
        <f>D254</f>
        <v>3.5000000000000003E-2</v>
      </c>
      <c r="E352" s="186">
        <f>E254</f>
        <v>3.5000000000000003E-2</v>
      </c>
      <c r="F352" s="186">
        <f>F254</f>
        <v>3.5000000000000003E-2</v>
      </c>
      <c r="G352" s="186">
        <f>G254</f>
        <v>3.5000000000000003E-2</v>
      </c>
      <c r="H352" s="186">
        <f>H254</f>
        <v>3.5000000000000003E-2</v>
      </c>
    </row>
    <row r="353" spans="1:8">
      <c r="A353" s="326" t="s">
        <v>318</v>
      </c>
      <c r="B353" t="s">
        <v>319</v>
      </c>
      <c r="C353" s="201" t="s">
        <v>122</v>
      </c>
      <c r="D353" s="186">
        <f>D347</f>
        <v>0.03</v>
      </c>
      <c r="E353" s="186">
        <f t="shared" ref="E353:H353" si="1">E347</f>
        <v>0.03</v>
      </c>
      <c r="F353" s="186">
        <f t="shared" si="1"/>
        <v>0.03</v>
      </c>
      <c r="G353" s="186">
        <f t="shared" si="1"/>
        <v>0.03</v>
      </c>
      <c r="H353" s="186">
        <f t="shared" si="1"/>
        <v>0.03</v>
      </c>
    </row>
    <row r="354" spans="1:8">
      <c r="A354" s="326" t="s">
        <v>320</v>
      </c>
      <c r="B354" t="s">
        <v>321</v>
      </c>
      <c r="C354" s="201" t="s">
        <v>122</v>
      </c>
      <c r="D354" s="186">
        <f>D353</f>
        <v>0.03</v>
      </c>
      <c r="E354" s="186">
        <f t="shared" ref="E354:H354" si="2">E353</f>
        <v>0.03</v>
      </c>
      <c r="F354" s="186">
        <f t="shared" si="2"/>
        <v>0.03</v>
      </c>
      <c r="G354" s="186">
        <f t="shared" si="2"/>
        <v>0.03</v>
      </c>
      <c r="H354" s="186">
        <f t="shared" si="2"/>
        <v>0.03</v>
      </c>
    </row>
    <row r="355" spans="1:8">
      <c r="A355" s="326" t="s">
        <v>322</v>
      </c>
      <c r="B355" t="s">
        <v>910</v>
      </c>
      <c r="C355" s="201" t="s">
        <v>122</v>
      </c>
      <c r="D355" s="186">
        <f t="shared" ref="D355:D358" si="3">D354</f>
        <v>0.03</v>
      </c>
      <c r="E355" s="186">
        <f t="shared" ref="E355:E358" si="4">E354</f>
        <v>0.03</v>
      </c>
      <c r="F355" s="186">
        <f t="shared" ref="F355:F358" si="5">F354</f>
        <v>0.03</v>
      </c>
      <c r="G355" s="186">
        <f t="shared" ref="G355:G358" si="6">G354</f>
        <v>0.03</v>
      </c>
      <c r="H355" s="186">
        <f t="shared" ref="H355:H358" si="7">H354</f>
        <v>0.03</v>
      </c>
    </row>
    <row r="356" spans="1:8">
      <c r="A356" s="326" t="s">
        <v>323</v>
      </c>
      <c r="B356" t="s">
        <v>324</v>
      </c>
      <c r="C356" s="201" t="s">
        <v>122</v>
      </c>
      <c r="D356" s="186">
        <f t="shared" si="3"/>
        <v>0.03</v>
      </c>
      <c r="E356" s="186">
        <f t="shared" si="4"/>
        <v>0.03</v>
      </c>
      <c r="F356" s="186">
        <f t="shared" si="5"/>
        <v>0.03</v>
      </c>
      <c r="G356" s="186">
        <f t="shared" si="6"/>
        <v>0.03</v>
      </c>
      <c r="H356" s="186">
        <f t="shared" si="7"/>
        <v>0.03</v>
      </c>
    </row>
    <row r="357" spans="1:8">
      <c r="A357" s="326" t="s">
        <v>325</v>
      </c>
      <c r="B357" t="s">
        <v>326</v>
      </c>
      <c r="C357" s="201" t="s">
        <v>122</v>
      </c>
      <c r="D357" s="186">
        <f t="shared" si="3"/>
        <v>0.03</v>
      </c>
      <c r="E357" s="186">
        <f t="shared" si="4"/>
        <v>0.03</v>
      </c>
      <c r="F357" s="186">
        <f t="shared" si="5"/>
        <v>0.03</v>
      </c>
      <c r="G357" s="186">
        <f t="shared" si="6"/>
        <v>0.03</v>
      </c>
      <c r="H357" s="186">
        <f t="shared" si="7"/>
        <v>0.03</v>
      </c>
    </row>
    <row r="358" spans="1:8">
      <c r="A358" s="326" t="s">
        <v>316</v>
      </c>
      <c r="B358" t="s">
        <v>317</v>
      </c>
      <c r="C358" s="201" t="s">
        <v>122</v>
      </c>
      <c r="D358" s="186">
        <f t="shared" si="3"/>
        <v>0.03</v>
      </c>
      <c r="E358" s="186">
        <f t="shared" si="4"/>
        <v>0.03</v>
      </c>
      <c r="F358" s="186">
        <f t="shared" si="5"/>
        <v>0.03</v>
      </c>
      <c r="G358" s="186">
        <f t="shared" si="6"/>
        <v>0.03</v>
      </c>
      <c r="H358" s="186">
        <f t="shared" si="7"/>
        <v>0.03</v>
      </c>
    </row>
    <row r="359" spans="1:8">
      <c r="A359" s="326" t="s">
        <v>343</v>
      </c>
      <c r="B359" t="s">
        <v>344</v>
      </c>
      <c r="C359" s="201" t="s">
        <v>121</v>
      </c>
      <c r="D359" s="186">
        <f>D341</f>
        <v>0.02</v>
      </c>
      <c r="E359" s="186">
        <f>E341</f>
        <v>0.02</v>
      </c>
      <c r="F359" s="186">
        <f>F341</f>
        <v>0.02</v>
      </c>
      <c r="G359" s="186">
        <f>G341</f>
        <v>0.02</v>
      </c>
      <c r="H359" s="186">
        <f>H341</f>
        <v>0.02</v>
      </c>
    </row>
    <row r="360" spans="1:8">
      <c r="A360" s="326" t="s">
        <v>327</v>
      </c>
      <c r="B360" t="s">
        <v>992</v>
      </c>
      <c r="C360" s="201" t="s">
        <v>122</v>
      </c>
      <c r="D360" s="186">
        <f>D358</f>
        <v>0.03</v>
      </c>
      <c r="E360" s="186">
        <f t="shared" ref="E360:H360" si="8">E358</f>
        <v>0.03</v>
      </c>
      <c r="F360" s="186">
        <f t="shared" si="8"/>
        <v>0.03</v>
      </c>
      <c r="G360" s="186">
        <f t="shared" si="8"/>
        <v>0.03</v>
      </c>
      <c r="H360" s="186">
        <f t="shared" si="8"/>
        <v>0.03</v>
      </c>
    </row>
    <row r="361" spans="1:8">
      <c r="A361" s="326" t="s">
        <v>329</v>
      </c>
      <c r="B361" t="s">
        <v>330</v>
      </c>
      <c r="C361" s="201" t="s">
        <v>122</v>
      </c>
      <c r="D361" s="186">
        <f t="shared" ref="D361:D365" si="9">D360</f>
        <v>0.03</v>
      </c>
      <c r="E361" s="186">
        <f t="shared" ref="E361:E365" si="10">E360</f>
        <v>0.03</v>
      </c>
      <c r="F361" s="186">
        <f t="shared" ref="F361:F365" si="11">F360</f>
        <v>0.03</v>
      </c>
      <c r="G361" s="186">
        <f t="shared" ref="G361:G365" si="12">G360</f>
        <v>0.03</v>
      </c>
      <c r="H361" s="186">
        <f t="shared" ref="H361:H365" si="13">H360</f>
        <v>0.03</v>
      </c>
    </row>
    <row r="362" spans="1:8">
      <c r="A362" s="326" t="s">
        <v>331</v>
      </c>
      <c r="B362" t="s">
        <v>332</v>
      </c>
      <c r="C362" s="201" t="s">
        <v>122</v>
      </c>
      <c r="D362" s="186">
        <f t="shared" si="9"/>
        <v>0.03</v>
      </c>
      <c r="E362" s="186">
        <f t="shared" si="10"/>
        <v>0.03</v>
      </c>
      <c r="F362" s="186">
        <f t="shared" si="11"/>
        <v>0.03</v>
      </c>
      <c r="G362" s="186">
        <f t="shared" si="12"/>
        <v>0.03</v>
      </c>
      <c r="H362" s="186">
        <f t="shared" si="13"/>
        <v>0.03</v>
      </c>
    </row>
    <row r="363" spans="1:8">
      <c r="A363" s="326" t="s">
        <v>328</v>
      </c>
      <c r="B363" t="s">
        <v>3156</v>
      </c>
      <c r="C363" s="201" t="s">
        <v>122</v>
      </c>
      <c r="D363" s="186">
        <f t="shared" si="9"/>
        <v>0.03</v>
      </c>
      <c r="E363" s="186">
        <f t="shared" si="10"/>
        <v>0.03</v>
      </c>
      <c r="F363" s="186">
        <f t="shared" si="11"/>
        <v>0.03</v>
      </c>
      <c r="G363" s="186">
        <f t="shared" si="12"/>
        <v>0.03</v>
      </c>
      <c r="H363" s="186">
        <f t="shared" si="13"/>
        <v>0.03</v>
      </c>
    </row>
    <row r="364" spans="1:8">
      <c r="A364" s="326" t="s">
        <v>335</v>
      </c>
      <c r="B364" t="s">
        <v>336</v>
      </c>
      <c r="C364" s="201" t="s">
        <v>122</v>
      </c>
      <c r="D364" s="186">
        <f t="shared" si="9"/>
        <v>0.03</v>
      </c>
      <c r="E364" s="186">
        <f t="shared" si="10"/>
        <v>0.03</v>
      </c>
      <c r="F364" s="186">
        <f t="shared" si="11"/>
        <v>0.03</v>
      </c>
      <c r="G364" s="186">
        <f t="shared" si="12"/>
        <v>0.03</v>
      </c>
      <c r="H364" s="186">
        <f t="shared" si="13"/>
        <v>0.03</v>
      </c>
    </row>
    <row r="365" spans="1:8">
      <c r="A365" s="326" t="s">
        <v>315</v>
      </c>
      <c r="B365" t="s">
        <v>911</v>
      </c>
      <c r="C365" s="201" t="s">
        <v>122</v>
      </c>
      <c r="D365" s="186">
        <f t="shared" si="9"/>
        <v>0.03</v>
      </c>
      <c r="E365" s="186">
        <f t="shared" si="10"/>
        <v>0.03</v>
      </c>
      <c r="F365" s="186">
        <f t="shared" si="11"/>
        <v>0.03</v>
      </c>
      <c r="G365" s="186">
        <f t="shared" si="12"/>
        <v>0.03</v>
      </c>
      <c r="H365" s="186">
        <f t="shared" si="13"/>
        <v>0.03</v>
      </c>
    </row>
    <row r="366" spans="1:8">
      <c r="A366" s="326" t="s">
        <v>156</v>
      </c>
      <c r="B366" t="s">
        <v>157</v>
      </c>
      <c r="C366" s="201" t="s">
        <v>121</v>
      </c>
      <c r="D366" s="186">
        <f>D359</f>
        <v>0.02</v>
      </c>
      <c r="E366" s="186">
        <f t="shared" ref="E366:H366" si="14">E359</f>
        <v>0.02</v>
      </c>
      <c r="F366" s="186">
        <f t="shared" si="14"/>
        <v>0.02</v>
      </c>
      <c r="G366" s="186">
        <f t="shared" si="14"/>
        <v>0.02</v>
      </c>
      <c r="H366" s="186">
        <f t="shared" si="14"/>
        <v>0.02</v>
      </c>
    </row>
    <row r="367" spans="1:8">
      <c r="A367" s="326" t="s">
        <v>3556</v>
      </c>
      <c r="B367" t="s">
        <v>3437</v>
      </c>
      <c r="C367" s="201" t="e">
        <v>#N/A</v>
      </c>
    </row>
    <row r="368" spans="1:8">
      <c r="A368" s="326" t="s">
        <v>243</v>
      </c>
      <c r="B368" t="s">
        <v>244</v>
      </c>
      <c r="C368" s="201" t="s">
        <v>56</v>
      </c>
      <c r="D368" s="186">
        <f>D338</f>
        <v>0</v>
      </c>
      <c r="E368" s="186">
        <f>E338</f>
        <v>0.03</v>
      </c>
      <c r="F368" s="186">
        <f>F338</f>
        <v>0.03</v>
      </c>
      <c r="G368" s="186">
        <f>G338</f>
        <v>0.03</v>
      </c>
      <c r="H368" s="186">
        <f>H338</f>
        <v>0.03</v>
      </c>
    </row>
    <row r="369" spans="1:8">
      <c r="A369" s="326" t="s">
        <v>265</v>
      </c>
      <c r="B369" t="s">
        <v>266</v>
      </c>
      <c r="C369" s="201" t="s">
        <v>56</v>
      </c>
      <c r="D369" s="186">
        <f>D368</f>
        <v>0</v>
      </c>
      <c r="E369" s="186">
        <f t="shared" ref="E369:H369" si="15">E368</f>
        <v>0.03</v>
      </c>
      <c r="F369" s="186">
        <f t="shared" si="15"/>
        <v>0.03</v>
      </c>
      <c r="G369" s="186">
        <f t="shared" si="15"/>
        <v>0.03</v>
      </c>
      <c r="H369" s="186">
        <f t="shared" si="15"/>
        <v>0.03</v>
      </c>
    </row>
    <row r="370" spans="1:8">
      <c r="A370" s="326" t="s">
        <v>224</v>
      </c>
      <c r="B370" t="s">
        <v>225</v>
      </c>
      <c r="C370" s="201" t="s">
        <v>56</v>
      </c>
      <c r="D370" s="186">
        <f>D369</f>
        <v>0</v>
      </c>
      <c r="E370" s="186">
        <f t="shared" ref="E370" si="16">E369</f>
        <v>0.03</v>
      </c>
      <c r="F370" s="186">
        <f t="shared" ref="F370" si="17">F369</f>
        <v>0.03</v>
      </c>
      <c r="G370" s="186">
        <f t="shared" ref="G370" si="18">G369</f>
        <v>0.03</v>
      </c>
      <c r="H370" s="186">
        <f t="shared" ref="H370" si="19">H369</f>
        <v>0.03</v>
      </c>
    </row>
    <row r="371" spans="1:8">
      <c r="A371" s="326" t="s">
        <v>844</v>
      </c>
      <c r="B371" t="s">
        <v>801</v>
      </c>
      <c r="C371" s="201" t="s">
        <v>125</v>
      </c>
    </row>
    <row r="372" spans="1:8">
      <c r="A372" s="326" t="s">
        <v>352</v>
      </c>
      <c r="B372" t="s">
        <v>353</v>
      </c>
      <c r="C372" s="201" t="s">
        <v>56</v>
      </c>
      <c r="D372" s="186">
        <f>D370</f>
        <v>0</v>
      </c>
      <c r="E372" s="186">
        <f t="shared" ref="E372:H372" si="20">E370</f>
        <v>0.03</v>
      </c>
      <c r="F372" s="186">
        <f t="shared" si="20"/>
        <v>0.03</v>
      </c>
      <c r="G372" s="186">
        <f t="shared" si="20"/>
        <v>0.03</v>
      </c>
      <c r="H372" s="186">
        <f t="shared" si="20"/>
        <v>0.03</v>
      </c>
    </row>
    <row r="373" spans="1:8">
      <c r="A373" s="326" t="s">
        <v>127</v>
      </c>
      <c r="B373" t="s">
        <v>128</v>
      </c>
      <c r="C373" s="201" t="s">
        <v>120</v>
      </c>
      <c r="D373" s="186">
        <f>D352</f>
        <v>3.5000000000000003E-2</v>
      </c>
      <c r="E373" s="186">
        <f t="shared" ref="E373:H373" si="21">E352</f>
        <v>3.5000000000000003E-2</v>
      </c>
      <c r="F373" s="186">
        <f t="shared" si="21"/>
        <v>3.5000000000000003E-2</v>
      </c>
      <c r="G373" s="186">
        <f t="shared" si="21"/>
        <v>3.5000000000000003E-2</v>
      </c>
      <c r="H373" s="186">
        <f t="shared" si="21"/>
        <v>3.5000000000000003E-2</v>
      </c>
    </row>
    <row r="374" spans="1:8">
      <c r="A374" s="326" t="s">
        <v>369</v>
      </c>
      <c r="B374" t="s">
        <v>3439</v>
      </c>
      <c r="C374" s="201" t="s">
        <v>56</v>
      </c>
      <c r="D374" s="186">
        <f>D372</f>
        <v>0</v>
      </c>
      <c r="E374" s="186">
        <f t="shared" ref="E374:H374" si="22">E372</f>
        <v>0.03</v>
      </c>
      <c r="F374" s="186">
        <f t="shared" si="22"/>
        <v>0.03</v>
      </c>
      <c r="G374" s="186">
        <f t="shared" si="22"/>
        <v>0.03</v>
      </c>
      <c r="H374" s="186">
        <f t="shared" si="22"/>
        <v>0.03</v>
      </c>
    </row>
    <row r="375" spans="1:8">
      <c r="A375" s="326" t="s">
        <v>311</v>
      </c>
      <c r="B375" t="s">
        <v>913</v>
      </c>
      <c r="C375" s="201" t="s">
        <v>56</v>
      </c>
      <c r="D375" s="186">
        <f>D374</f>
        <v>0</v>
      </c>
      <c r="E375" s="186">
        <f t="shared" ref="E375:H375" si="23">E374</f>
        <v>0.03</v>
      </c>
      <c r="F375" s="186">
        <f t="shared" si="23"/>
        <v>0.03</v>
      </c>
      <c r="G375" s="186">
        <f t="shared" si="23"/>
        <v>0.03</v>
      </c>
      <c r="H375" s="186">
        <f t="shared" si="23"/>
        <v>0.03</v>
      </c>
    </row>
    <row r="376" spans="1:8">
      <c r="A376" s="326" t="s">
        <v>249</v>
      </c>
      <c r="B376" t="s">
        <v>250</v>
      </c>
      <c r="C376" s="201" t="s">
        <v>120</v>
      </c>
      <c r="D376" s="186">
        <f>D373</f>
        <v>3.5000000000000003E-2</v>
      </c>
      <c r="E376" s="186">
        <f t="shared" ref="E376:H376" si="24">E373</f>
        <v>3.5000000000000003E-2</v>
      </c>
      <c r="F376" s="186">
        <f t="shared" si="24"/>
        <v>3.5000000000000003E-2</v>
      </c>
      <c r="G376" s="186">
        <f t="shared" si="24"/>
        <v>3.5000000000000003E-2</v>
      </c>
      <c r="H376" s="186">
        <f t="shared" si="24"/>
        <v>3.5000000000000003E-2</v>
      </c>
    </row>
    <row r="377" spans="1:8">
      <c r="A377" s="326" t="s">
        <v>287</v>
      </c>
      <c r="B377" t="s">
        <v>288</v>
      </c>
      <c r="C377" s="201" t="s">
        <v>121</v>
      </c>
      <c r="D377" s="186">
        <f>D366</f>
        <v>0.02</v>
      </c>
      <c r="E377" s="186">
        <f t="shared" ref="E377:H377" si="25">E366</f>
        <v>0.02</v>
      </c>
      <c r="F377" s="186">
        <f t="shared" si="25"/>
        <v>0.02</v>
      </c>
      <c r="G377" s="186">
        <f t="shared" si="25"/>
        <v>0.02</v>
      </c>
      <c r="H377" s="186">
        <f t="shared" si="25"/>
        <v>0.02</v>
      </c>
    </row>
    <row r="378" spans="1:8">
      <c r="A378" s="326" t="s">
        <v>339</v>
      </c>
      <c r="B378" t="s">
        <v>340</v>
      </c>
      <c r="C378" s="201" t="s">
        <v>122</v>
      </c>
      <c r="D378" s="186">
        <f>D365</f>
        <v>0.03</v>
      </c>
      <c r="E378" s="186">
        <f t="shared" ref="E378:H378" si="26">E365</f>
        <v>0.03</v>
      </c>
      <c r="F378" s="186">
        <f t="shared" si="26"/>
        <v>0.03</v>
      </c>
      <c r="G378" s="186">
        <f t="shared" si="26"/>
        <v>0.03</v>
      </c>
      <c r="H378" s="186">
        <f t="shared" si="26"/>
        <v>0.03</v>
      </c>
    </row>
    <row r="379" spans="1:8">
      <c r="A379" s="326" t="s">
        <v>337</v>
      </c>
      <c r="B379" t="s">
        <v>338</v>
      </c>
      <c r="C379" s="201" t="s">
        <v>121</v>
      </c>
      <c r="D379" s="186">
        <f>D377</f>
        <v>0.02</v>
      </c>
      <c r="E379" s="186">
        <f t="shared" ref="E379:H379" si="27">E377</f>
        <v>0.02</v>
      </c>
      <c r="F379" s="186">
        <f t="shared" si="27"/>
        <v>0.02</v>
      </c>
      <c r="G379" s="186">
        <f t="shared" si="27"/>
        <v>0.02</v>
      </c>
      <c r="H379" s="186">
        <f t="shared" si="27"/>
        <v>0.02</v>
      </c>
    </row>
    <row r="380" spans="1:8">
      <c r="A380" s="326" t="s">
        <v>3557</v>
      </c>
      <c r="B380" t="s">
        <v>3349</v>
      </c>
      <c r="C380" s="201" t="e">
        <v>#N/A</v>
      </c>
    </row>
    <row r="381" spans="1:8">
      <c r="A381" s="326" t="s">
        <v>1189</v>
      </c>
      <c r="B381" t="s">
        <v>1126</v>
      </c>
      <c r="C381" s="201" t="s">
        <v>125</v>
      </c>
    </row>
    <row r="382" spans="1:8">
      <c r="A382" s="326" t="s">
        <v>341</v>
      </c>
      <c r="B382" t="s">
        <v>3351</v>
      </c>
      <c r="C382" s="201" t="s">
        <v>122</v>
      </c>
      <c r="D382" s="186">
        <f>D378</f>
        <v>0.03</v>
      </c>
      <c r="E382" s="186">
        <f t="shared" ref="E382:H382" si="28">E378</f>
        <v>0.03</v>
      </c>
      <c r="F382" s="186">
        <f t="shared" si="28"/>
        <v>0.03</v>
      </c>
      <c r="G382" s="186">
        <f t="shared" si="28"/>
        <v>0.03</v>
      </c>
      <c r="H382" s="186">
        <f t="shared" si="28"/>
        <v>0.03</v>
      </c>
    </row>
    <row r="383" spans="1:8">
      <c r="A383" s="326" t="s">
        <v>3558</v>
      </c>
      <c r="B383" t="s">
        <v>3157</v>
      </c>
      <c r="C383" s="201" t="e">
        <v>#N/A</v>
      </c>
    </row>
    <row r="384" spans="1:8">
      <c r="A384" s="326" t="s">
        <v>367</v>
      </c>
      <c r="B384" t="s">
        <v>368</v>
      </c>
      <c r="C384" s="201" t="s">
        <v>122</v>
      </c>
      <c r="D384" s="186">
        <f>D382</f>
        <v>0.03</v>
      </c>
      <c r="E384" s="186">
        <f t="shared" ref="E384:H384" si="29">E382</f>
        <v>0.03</v>
      </c>
      <c r="F384" s="186">
        <f t="shared" si="29"/>
        <v>0.03</v>
      </c>
      <c r="G384" s="186">
        <f t="shared" si="29"/>
        <v>0.03</v>
      </c>
      <c r="H384" s="186">
        <f t="shared" si="29"/>
        <v>0.03</v>
      </c>
    </row>
    <row r="385" spans="1:8">
      <c r="A385" s="326" t="s">
        <v>362</v>
      </c>
      <c r="B385" t="s">
        <v>363</v>
      </c>
      <c r="C385" s="201" t="s">
        <v>121</v>
      </c>
      <c r="D385" s="186">
        <f>D379</f>
        <v>0.02</v>
      </c>
      <c r="E385" s="186">
        <f t="shared" ref="E385:H385" si="30">E379</f>
        <v>0.02</v>
      </c>
      <c r="F385" s="186">
        <f t="shared" si="30"/>
        <v>0.02</v>
      </c>
      <c r="G385" s="186">
        <f t="shared" si="30"/>
        <v>0.02</v>
      </c>
      <c r="H385" s="186">
        <f t="shared" si="30"/>
        <v>0.02</v>
      </c>
    </row>
    <row r="386" spans="1:8">
      <c r="A386" s="326" t="s">
        <v>1124</v>
      </c>
      <c r="B386" t="s">
        <v>1121</v>
      </c>
      <c r="C386" s="201" t="s">
        <v>121</v>
      </c>
      <c r="D386" s="186">
        <f>D385</f>
        <v>0.02</v>
      </c>
      <c r="E386" s="186">
        <f t="shared" ref="E386:H386" si="31">E385</f>
        <v>0.02</v>
      </c>
      <c r="F386" s="186">
        <f t="shared" si="31"/>
        <v>0.02</v>
      </c>
      <c r="G386" s="186">
        <f t="shared" si="31"/>
        <v>0.02</v>
      </c>
      <c r="H386" s="186">
        <f t="shared" si="31"/>
        <v>0.02</v>
      </c>
    </row>
    <row r="387" spans="1:8">
      <c r="A387" s="326" t="s">
        <v>354</v>
      </c>
      <c r="B387" t="s">
        <v>355</v>
      </c>
      <c r="C387" s="201" t="s">
        <v>121</v>
      </c>
      <c r="D387" s="186">
        <f t="shared" ref="D387:D389" si="32">D386</f>
        <v>0.02</v>
      </c>
      <c r="E387" s="186">
        <f t="shared" ref="E387:E389" si="33">E386</f>
        <v>0.02</v>
      </c>
      <c r="F387" s="186">
        <f t="shared" ref="F387:F389" si="34">F386</f>
        <v>0.02</v>
      </c>
      <c r="G387" s="186">
        <f t="shared" ref="G387:G389" si="35">G386</f>
        <v>0.02</v>
      </c>
      <c r="H387" s="186">
        <f t="shared" ref="H387:H389" si="36">H386</f>
        <v>0.02</v>
      </c>
    </row>
    <row r="388" spans="1:8">
      <c r="A388" s="326" t="s">
        <v>3376</v>
      </c>
      <c r="B388" t="s">
        <v>1122</v>
      </c>
      <c r="C388" s="201" t="s">
        <v>121</v>
      </c>
      <c r="D388" s="186">
        <f t="shared" si="32"/>
        <v>0.02</v>
      </c>
      <c r="E388" s="186">
        <f t="shared" si="33"/>
        <v>0.02</v>
      </c>
      <c r="F388" s="186">
        <f t="shared" si="34"/>
        <v>0.02</v>
      </c>
      <c r="G388" s="186">
        <f t="shared" si="35"/>
        <v>0.02</v>
      </c>
      <c r="H388" s="186">
        <f t="shared" si="36"/>
        <v>0.02</v>
      </c>
    </row>
    <row r="389" spans="1:8">
      <c r="A389" s="326" t="s">
        <v>292</v>
      </c>
      <c r="B389" t="s">
        <v>288</v>
      </c>
      <c r="C389" s="201" t="s">
        <v>121</v>
      </c>
      <c r="D389" s="186">
        <f t="shared" si="32"/>
        <v>0.02</v>
      </c>
      <c r="E389" s="186">
        <f t="shared" si="33"/>
        <v>0.02</v>
      </c>
      <c r="F389" s="186">
        <f t="shared" si="34"/>
        <v>0.02</v>
      </c>
      <c r="G389" s="186">
        <f t="shared" si="35"/>
        <v>0.02</v>
      </c>
      <c r="H389" s="186">
        <f t="shared" si="36"/>
        <v>0.02</v>
      </c>
    </row>
    <row r="390" spans="1:8">
      <c r="A390" s="326" t="s">
        <v>358</v>
      </c>
      <c r="B390" t="s">
        <v>359</v>
      </c>
      <c r="C390" s="201" t="s">
        <v>121</v>
      </c>
      <c r="D390" s="186">
        <f>D389</f>
        <v>0.02</v>
      </c>
      <c r="E390" s="186">
        <f>E389</f>
        <v>0.02</v>
      </c>
      <c r="F390" s="186">
        <f>F389</f>
        <v>0.02</v>
      </c>
      <c r="G390" s="186">
        <f>G389</f>
        <v>0.02</v>
      </c>
      <c r="H390" s="186">
        <f>H389</f>
        <v>0.02</v>
      </c>
    </row>
    <row r="391" spans="1:8">
      <c r="A391" s="326" t="s">
        <v>348</v>
      </c>
      <c r="B391" t="s">
        <v>364</v>
      </c>
      <c r="C391" s="201" t="s">
        <v>122</v>
      </c>
      <c r="D391" s="186">
        <f>D384</f>
        <v>0.03</v>
      </c>
      <c r="E391" s="186">
        <f>E384</f>
        <v>0.03</v>
      </c>
      <c r="F391" s="186">
        <f>F384</f>
        <v>0.03</v>
      </c>
      <c r="G391" s="186">
        <f>G384</f>
        <v>0.03</v>
      </c>
      <c r="H391" s="186">
        <f>H384</f>
        <v>0.03</v>
      </c>
    </row>
    <row r="392" spans="1:8">
      <c r="A392" s="326" t="s">
        <v>345</v>
      </c>
      <c r="B392" t="s">
        <v>346</v>
      </c>
      <c r="C392" s="201" t="s">
        <v>56</v>
      </c>
      <c r="D392" s="186">
        <f>D374</f>
        <v>0</v>
      </c>
      <c r="E392" s="186">
        <f>E374</f>
        <v>0.03</v>
      </c>
      <c r="F392" s="186">
        <f>F374</f>
        <v>0.03</v>
      </c>
      <c r="G392" s="186">
        <f>G374</f>
        <v>0.03</v>
      </c>
      <c r="H392" s="186">
        <f>H374</f>
        <v>0.03</v>
      </c>
    </row>
    <row r="393" spans="1:8">
      <c r="A393" s="326" t="s">
        <v>347</v>
      </c>
      <c r="B393" t="s">
        <v>841</v>
      </c>
      <c r="C393" s="201" t="s">
        <v>125</v>
      </c>
    </row>
    <row r="394" spans="1:8">
      <c r="A394" s="326" t="s">
        <v>360</v>
      </c>
      <c r="B394" t="s">
        <v>361</v>
      </c>
      <c r="C394" s="201" t="s">
        <v>121</v>
      </c>
      <c r="D394" s="186">
        <f>D389</f>
        <v>0.02</v>
      </c>
      <c r="E394" s="186">
        <f>E389</f>
        <v>0.02</v>
      </c>
      <c r="F394" s="186">
        <f>F389</f>
        <v>0.02</v>
      </c>
      <c r="G394" s="186">
        <f>G389</f>
        <v>0.02</v>
      </c>
      <c r="H394" s="186">
        <f>H389</f>
        <v>0.02</v>
      </c>
    </row>
    <row r="395" spans="1:8">
      <c r="A395" s="326" t="s">
        <v>843</v>
      </c>
      <c r="B395" t="s">
        <v>800</v>
      </c>
      <c r="C395" s="201" t="s">
        <v>125</v>
      </c>
    </row>
    <row r="396" spans="1:8">
      <c r="A396" s="326" t="s">
        <v>351</v>
      </c>
      <c r="B396" t="s">
        <v>915</v>
      </c>
      <c r="C396" s="201" t="s">
        <v>125</v>
      </c>
    </row>
    <row r="397" spans="1:8">
      <c r="A397" s="326" t="s">
        <v>3127</v>
      </c>
      <c r="B397" t="s">
        <v>3158</v>
      </c>
      <c r="C397" s="201" t="s">
        <v>122</v>
      </c>
      <c r="D397" s="186">
        <f>D391</f>
        <v>0.03</v>
      </c>
      <c r="E397" s="186">
        <f>E391</f>
        <v>0.03</v>
      </c>
      <c r="F397" s="186">
        <f>F391</f>
        <v>0.03</v>
      </c>
      <c r="G397" s="186">
        <f>G391</f>
        <v>0.03</v>
      </c>
      <c r="H397" s="186">
        <f>H391</f>
        <v>0.03</v>
      </c>
    </row>
    <row r="398" spans="1:8">
      <c r="A398" s="326" t="s">
        <v>350</v>
      </c>
      <c r="B398" t="s">
        <v>390</v>
      </c>
      <c r="C398" s="201" t="s">
        <v>121</v>
      </c>
      <c r="D398" s="186">
        <f>D394</f>
        <v>0.02</v>
      </c>
      <c r="E398" s="186">
        <f>E394</f>
        <v>0.02</v>
      </c>
      <c r="F398" s="186">
        <f>F394</f>
        <v>0.02</v>
      </c>
      <c r="G398" s="186">
        <f>G394</f>
        <v>0.02</v>
      </c>
      <c r="H398" s="186">
        <f>H394</f>
        <v>0.02</v>
      </c>
    </row>
    <row r="399" spans="1:8">
      <c r="A399" s="326" t="s">
        <v>3126</v>
      </c>
      <c r="B399" t="s">
        <v>3159</v>
      </c>
      <c r="C399" s="201" t="s">
        <v>122</v>
      </c>
      <c r="D399" s="186">
        <f>D397</f>
        <v>0.03</v>
      </c>
      <c r="E399" s="186">
        <f t="shared" ref="E399:H399" si="37">E397</f>
        <v>0.03</v>
      </c>
      <c r="F399" s="186">
        <f t="shared" si="37"/>
        <v>0.03</v>
      </c>
      <c r="G399" s="186">
        <f t="shared" si="37"/>
        <v>0.03</v>
      </c>
      <c r="H399" s="186">
        <f t="shared" si="37"/>
        <v>0.03</v>
      </c>
    </row>
    <row r="400" spans="1:8">
      <c r="A400" s="326"/>
      <c r="C400" s="201"/>
    </row>
    <row r="401" spans="1:3">
      <c r="A401" s="326"/>
      <c r="C401" s="201"/>
    </row>
    <row r="402" spans="1:3">
      <c r="A402" s="326"/>
      <c r="C402" s="201"/>
    </row>
    <row r="403" spans="1:3">
      <c r="A403" s="326"/>
      <c r="C403" s="201"/>
    </row>
    <row r="404" spans="1:3">
      <c r="A404" s="326"/>
      <c r="C404" s="201"/>
    </row>
    <row r="405" spans="1:3">
      <c r="A405" s="326"/>
      <c r="C405" s="201"/>
    </row>
    <row r="406" spans="1:3">
      <c r="A406" s="326"/>
      <c r="C406" s="201"/>
    </row>
    <row r="407" spans="1:3">
      <c r="A407" s="326"/>
      <c r="C407" s="201"/>
    </row>
    <row r="408" spans="1:3">
      <c r="A408" s="326"/>
      <c r="C408" s="201"/>
    </row>
    <row r="409" spans="1:3">
      <c r="A409" s="326"/>
      <c r="C409" s="201"/>
    </row>
    <row r="410" spans="1:3">
      <c r="A410" s="326"/>
      <c r="C410" s="201"/>
    </row>
    <row r="411" spans="1:3">
      <c r="A411" s="326"/>
      <c r="C411" s="201"/>
    </row>
    <row r="412" spans="1:3">
      <c r="A412" s="326"/>
      <c r="C412" s="201"/>
    </row>
    <row r="413" spans="1:3">
      <c r="A413" s="326"/>
      <c r="C413" s="201"/>
    </row>
    <row r="414" spans="1:3">
      <c r="A414" s="326"/>
      <c r="C414" s="201"/>
    </row>
    <row r="415" spans="1:3">
      <c r="A415" s="326"/>
      <c r="C415" s="201"/>
    </row>
    <row r="416" spans="1:3">
      <c r="A416" s="326"/>
      <c r="C416" s="201"/>
    </row>
    <row r="417" spans="1:35">
      <c r="A417" s="326"/>
      <c r="C417" s="201"/>
    </row>
    <row r="418" spans="1:35">
      <c r="A418" s="326"/>
      <c r="C418" s="201"/>
    </row>
    <row r="419" spans="1:35">
      <c r="A419" s="326"/>
      <c r="C419" s="201"/>
    </row>
    <row r="420" spans="1:35">
      <c r="A420" s="326"/>
      <c r="C420" s="201"/>
    </row>
    <row r="421" spans="1:35">
      <c r="A421" s="326"/>
      <c r="C421" s="201"/>
    </row>
    <row r="422" spans="1:35">
      <c r="A422" s="326"/>
      <c r="C422" s="201"/>
    </row>
    <row r="423" spans="1:35">
      <c r="A423" s="326"/>
      <c r="C423" s="201"/>
      <c r="F423" s="325"/>
      <c r="G423" s="325"/>
      <c r="H423" s="325"/>
      <c r="I423" s="325"/>
      <c r="J423" s="325"/>
      <c r="K423" s="325"/>
      <c r="L423" s="325"/>
      <c r="M423" s="325"/>
      <c r="N423" s="325"/>
      <c r="O423" s="325"/>
      <c r="P423" s="325"/>
      <c r="Q423" s="325"/>
      <c r="R423" s="325"/>
      <c r="S423" s="325"/>
      <c r="T423" s="325"/>
      <c r="U423" s="325"/>
      <c r="V423" s="325"/>
      <c r="Y423" s="380"/>
    </row>
    <row r="424" spans="1:35">
      <c r="A424" s="326"/>
      <c r="C424" s="201"/>
    </row>
    <row r="425" spans="1:35">
      <c r="A425" s="326"/>
      <c r="C425" s="201"/>
    </row>
    <row r="426" spans="1:35">
      <c r="A426" s="326"/>
      <c r="C426" s="201"/>
      <c r="F426" s="76"/>
      <c r="G426" s="76"/>
      <c r="H426" s="76"/>
      <c r="I426" s="76"/>
      <c r="J426" s="76"/>
      <c r="K426" s="76"/>
      <c r="L426" s="76"/>
      <c r="M426" s="76"/>
      <c r="N426" s="76"/>
      <c r="O426" s="76"/>
      <c r="P426" s="76"/>
      <c r="Q426" s="76"/>
      <c r="R426" s="76"/>
      <c r="S426" s="76"/>
      <c r="T426" s="76"/>
      <c r="U426" s="76"/>
      <c r="V426" s="76"/>
      <c r="W426" s="76"/>
      <c r="X426" s="31"/>
      <c r="Y426" s="77"/>
      <c r="Z426" s="77"/>
      <c r="AI426" s="77"/>
    </row>
    <row r="427" spans="1:35">
      <c r="A427" s="326"/>
      <c r="C427" s="201"/>
      <c r="F427" s="76"/>
      <c r="G427" s="76"/>
      <c r="H427" s="76"/>
      <c r="I427" s="76"/>
      <c r="J427" s="76"/>
      <c r="K427" s="76"/>
      <c r="L427" s="76"/>
      <c r="M427" s="76"/>
      <c r="N427" s="76"/>
      <c r="O427" s="76"/>
      <c r="P427" s="76"/>
      <c r="Q427" s="76"/>
      <c r="R427" s="76"/>
      <c r="S427" s="76"/>
      <c r="T427" s="76"/>
      <c r="U427" s="76"/>
      <c r="V427" s="76"/>
      <c r="W427" s="76"/>
      <c r="X427" s="31"/>
      <c r="Y427" s="77"/>
      <c r="Z427" s="77"/>
      <c r="AI427" s="77"/>
    </row>
    <row r="428" spans="1:35">
      <c r="A428" s="326"/>
      <c r="C428" s="201"/>
      <c r="F428" s="76"/>
      <c r="G428" s="76"/>
      <c r="H428" s="76"/>
      <c r="I428" s="76"/>
      <c r="J428" s="76"/>
      <c r="K428" s="76"/>
      <c r="L428" s="76"/>
      <c r="M428" s="76"/>
      <c r="N428" s="76"/>
      <c r="O428" s="76"/>
      <c r="P428" s="76"/>
      <c r="Q428" s="76"/>
      <c r="R428" s="76"/>
      <c r="S428" s="76"/>
      <c r="T428" s="76"/>
      <c r="U428" s="76"/>
      <c r="V428" s="76"/>
      <c r="W428" s="76"/>
      <c r="X428" s="31"/>
      <c r="Y428" s="77"/>
      <c r="Z428" s="77"/>
      <c r="AI428" s="77"/>
    </row>
    <row r="429" spans="1:35">
      <c r="A429" s="326"/>
      <c r="C429" s="201"/>
      <c r="F429" s="76"/>
      <c r="G429" s="76"/>
      <c r="H429" s="76"/>
      <c r="I429" s="76"/>
      <c r="J429" s="76"/>
      <c r="K429" s="76"/>
      <c r="L429" s="76"/>
      <c r="M429" s="76"/>
      <c r="N429" s="76"/>
      <c r="O429" s="76"/>
      <c r="P429" s="76"/>
      <c r="Q429" s="76"/>
      <c r="R429" s="76"/>
      <c r="S429" s="76"/>
      <c r="T429" s="76"/>
      <c r="U429" s="76"/>
      <c r="V429" s="76"/>
      <c r="W429" s="76"/>
      <c r="X429" s="31"/>
      <c r="Y429" s="77"/>
      <c r="Z429" s="77"/>
      <c r="AI429" s="77"/>
    </row>
    <row r="430" spans="1:35">
      <c r="A430" s="326"/>
      <c r="C430" s="201"/>
      <c r="F430" s="76"/>
      <c r="G430" s="76"/>
      <c r="H430" s="76"/>
      <c r="I430" s="76"/>
      <c r="J430" s="76"/>
      <c r="K430" s="76"/>
      <c r="L430" s="76"/>
      <c r="M430" s="76"/>
      <c r="N430" s="76"/>
      <c r="O430" s="76"/>
      <c r="P430" s="76"/>
      <c r="Q430" s="76"/>
      <c r="R430" s="76"/>
      <c r="S430" s="76"/>
      <c r="T430" s="76"/>
      <c r="U430" s="76"/>
      <c r="V430" s="76"/>
      <c r="W430" s="76"/>
      <c r="X430" s="31"/>
      <c r="Y430" s="77"/>
      <c r="Z430" s="77"/>
      <c r="AI430" s="77"/>
    </row>
    <row r="431" spans="1:35">
      <c r="A431" s="326"/>
      <c r="C431" s="201"/>
      <c r="F431" s="76"/>
      <c r="G431" s="76"/>
      <c r="H431" s="76"/>
      <c r="I431" s="76"/>
      <c r="J431" s="76"/>
      <c r="K431" s="76"/>
      <c r="L431" s="76"/>
      <c r="M431" s="76"/>
      <c r="N431" s="76"/>
      <c r="O431" s="76"/>
      <c r="P431" s="76"/>
      <c r="Q431" s="76"/>
      <c r="R431" s="76"/>
      <c r="S431" s="76"/>
      <c r="T431" s="76"/>
      <c r="U431" s="76"/>
      <c r="V431" s="76"/>
      <c r="W431" s="76"/>
      <c r="X431" s="31"/>
      <c r="Y431" s="77"/>
      <c r="Z431" s="77"/>
      <c r="AI431" s="77"/>
    </row>
    <row r="432" spans="1:35">
      <c r="A432" s="326"/>
      <c r="C432" s="201"/>
      <c r="F432" s="76"/>
      <c r="G432" s="76"/>
      <c r="H432" s="76"/>
      <c r="I432" s="76"/>
      <c r="J432" s="76"/>
      <c r="K432" s="76"/>
      <c r="L432" s="76"/>
      <c r="M432" s="76"/>
      <c r="N432" s="76"/>
      <c r="O432" s="76"/>
      <c r="P432" s="76"/>
      <c r="Q432" s="76"/>
      <c r="R432" s="76"/>
      <c r="S432" s="76"/>
      <c r="T432" s="76"/>
      <c r="U432" s="76"/>
      <c r="V432" s="76"/>
      <c r="W432" s="76"/>
      <c r="X432" s="31"/>
      <c r="Y432" s="77"/>
      <c r="Z432" s="77"/>
      <c r="AI432" s="77"/>
    </row>
    <row r="433" spans="1:35">
      <c r="A433" s="326"/>
      <c r="C433" s="201"/>
      <c r="F433" s="76"/>
      <c r="G433" s="76"/>
      <c r="H433" s="76"/>
      <c r="I433" s="76"/>
      <c r="J433" s="76"/>
      <c r="K433" s="76"/>
      <c r="L433" s="76"/>
      <c r="M433" s="76"/>
      <c r="N433" s="76"/>
      <c r="O433" s="76"/>
      <c r="P433" s="76"/>
      <c r="Q433" s="76"/>
      <c r="R433" s="76"/>
      <c r="S433" s="76"/>
      <c r="T433" s="76"/>
      <c r="U433" s="76"/>
      <c r="V433" s="76"/>
      <c r="W433" s="76"/>
      <c r="X433" s="31"/>
      <c r="Y433" s="77"/>
      <c r="Z433" s="77"/>
      <c r="AI433" s="77"/>
    </row>
    <row r="434" spans="1:35">
      <c r="A434" s="326"/>
      <c r="C434" s="201"/>
      <c r="F434" s="76"/>
      <c r="G434" s="76"/>
      <c r="H434" s="76"/>
      <c r="I434" s="76"/>
      <c r="J434" s="76"/>
      <c r="K434" s="76"/>
      <c r="L434" s="76"/>
      <c r="M434" s="76"/>
      <c r="N434" s="76"/>
      <c r="O434" s="76"/>
      <c r="P434" s="76"/>
      <c r="Q434" s="76"/>
      <c r="R434" s="76"/>
      <c r="S434" s="76"/>
      <c r="T434" s="76"/>
      <c r="U434" s="76"/>
      <c r="V434" s="76"/>
      <c r="W434" s="76"/>
      <c r="X434" s="31"/>
      <c r="Y434" s="77"/>
      <c r="Z434" s="77"/>
      <c r="AI434" s="77"/>
    </row>
    <row r="435" spans="1:35">
      <c r="A435" s="326"/>
      <c r="C435" s="201"/>
      <c r="F435" s="76"/>
      <c r="G435" s="76"/>
      <c r="H435" s="76"/>
      <c r="I435" s="76"/>
      <c r="J435" s="76"/>
      <c r="K435" s="76"/>
      <c r="L435" s="76"/>
      <c r="M435" s="76"/>
      <c r="N435" s="76"/>
      <c r="O435" s="76"/>
      <c r="P435" s="76"/>
      <c r="Q435" s="76"/>
      <c r="R435" s="76"/>
      <c r="S435" s="76"/>
      <c r="T435" s="76"/>
      <c r="U435" s="76"/>
      <c r="V435" s="76"/>
      <c r="W435" s="76"/>
      <c r="X435" s="31"/>
      <c r="Y435" s="77"/>
      <c r="Z435" s="77"/>
      <c r="AI435" s="77"/>
    </row>
    <row r="436" spans="1:35">
      <c r="A436" s="326"/>
      <c r="C436" s="201"/>
      <c r="F436" s="76"/>
      <c r="G436" s="76"/>
      <c r="H436" s="76"/>
      <c r="I436" s="76"/>
      <c r="J436" s="76"/>
      <c r="K436" s="76"/>
      <c r="L436" s="76"/>
      <c r="M436" s="76"/>
      <c r="N436" s="76"/>
      <c r="O436" s="76"/>
      <c r="P436" s="76"/>
      <c r="Q436" s="76"/>
      <c r="R436" s="76"/>
      <c r="S436" s="76"/>
      <c r="T436" s="76"/>
      <c r="U436" s="76"/>
      <c r="V436" s="76"/>
      <c r="W436" s="76"/>
      <c r="X436" s="31"/>
      <c r="Y436" s="77"/>
      <c r="Z436" s="77"/>
      <c r="AI436" s="77"/>
    </row>
    <row r="437" spans="1:35">
      <c r="A437" s="326"/>
      <c r="C437" s="201"/>
      <c r="F437" s="76"/>
      <c r="G437" s="76"/>
      <c r="H437" s="76"/>
      <c r="I437" s="76"/>
      <c r="J437" s="76"/>
      <c r="K437" s="76"/>
      <c r="L437" s="76"/>
      <c r="M437" s="76"/>
      <c r="N437" s="76"/>
      <c r="O437" s="76"/>
      <c r="P437" s="76"/>
      <c r="Q437" s="76"/>
      <c r="R437" s="76"/>
      <c r="S437" s="76"/>
      <c r="T437" s="76"/>
      <c r="U437" s="76"/>
      <c r="V437" s="76"/>
      <c r="W437" s="76"/>
      <c r="X437" s="31"/>
      <c r="Y437" s="77"/>
      <c r="Z437" s="77"/>
      <c r="AI437" s="77"/>
    </row>
    <row r="438" spans="1:35">
      <c r="A438" s="326"/>
      <c r="C438" s="201"/>
      <c r="F438" s="76"/>
      <c r="G438" s="76"/>
      <c r="H438" s="76"/>
      <c r="I438" s="76"/>
      <c r="J438" s="76"/>
      <c r="K438" s="76"/>
      <c r="L438" s="76"/>
      <c r="M438" s="76"/>
      <c r="N438" s="76"/>
      <c r="O438" s="76"/>
      <c r="P438" s="76"/>
      <c r="Q438" s="76"/>
      <c r="R438" s="76"/>
      <c r="S438" s="76"/>
      <c r="T438" s="76"/>
      <c r="U438" s="76"/>
      <c r="V438" s="76"/>
      <c r="W438" s="76"/>
      <c r="X438" s="31"/>
      <c r="Y438" s="77"/>
      <c r="Z438" s="77"/>
      <c r="AI438" s="77"/>
    </row>
    <row r="439" spans="1:35">
      <c r="A439" s="326"/>
      <c r="C439" s="201"/>
      <c r="F439" s="76"/>
      <c r="G439" s="76"/>
      <c r="H439" s="76"/>
      <c r="I439" s="76"/>
      <c r="J439" s="76"/>
      <c r="K439" s="76"/>
      <c r="L439" s="76"/>
      <c r="M439" s="76"/>
      <c r="N439" s="76"/>
      <c r="O439" s="76"/>
      <c r="P439" s="76"/>
      <c r="Q439" s="76"/>
      <c r="R439" s="76"/>
      <c r="S439" s="76"/>
      <c r="T439" s="76"/>
      <c r="U439" s="76"/>
      <c r="V439" s="76"/>
      <c r="W439" s="76"/>
      <c r="X439" s="31"/>
      <c r="Y439" s="77"/>
      <c r="Z439" s="77"/>
      <c r="AI439" s="77"/>
    </row>
    <row r="440" spans="1:35">
      <c r="A440" s="326"/>
      <c r="C440" s="201"/>
      <c r="F440" s="76"/>
      <c r="G440" s="76"/>
      <c r="H440" s="76"/>
      <c r="I440" s="76"/>
      <c r="J440" s="76"/>
      <c r="K440" s="76"/>
      <c r="L440" s="76"/>
      <c r="M440" s="76"/>
      <c r="N440" s="76"/>
      <c r="O440" s="76"/>
      <c r="P440" s="76"/>
      <c r="Q440" s="76"/>
      <c r="R440" s="76"/>
      <c r="S440" s="76"/>
      <c r="T440" s="76"/>
      <c r="U440" s="76"/>
      <c r="V440" s="76"/>
      <c r="W440" s="76"/>
      <c r="X440" s="31"/>
      <c r="Y440" s="77"/>
      <c r="Z440" s="77"/>
      <c r="AI440" s="77"/>
    </row>
    <row r="441" spans="1:35">
      <c r="A441" s="326"/>
      <c r="C441" s="201"/>
      <c r="F441" s="76"/>
      <c r="G441" s="76"/>
      <c r="H441" s="76"/>
      <c r="I441" s="76"/>
      <c r="J441" s="76"/>
      <c r="K441" s="76"/>
      <c r="L441" s="76"/>
      <c r="M441" s="76"/>
      <c r="N441" s="76"/>
      <c r="O441" s="76"/>
      <c r="P441" s="76"/>
      <c r="Q441" s="76"/>
      <c r="R441" s="76"/>
      <c r="S441" s="76"/>
      <c r="T441" s="76"/>
      <c r="U441" s="76"/>
      <c r="V441" s="76"/>
      <c r="W441" s="76"/>
      <c r="X441" s="31"/>
      <c r="Y441" s="77"/>
      <c r="Z441" s="77"/>
      <c r="AI441" s="77"/>
    </row>
    <row r="442" spans="1:35">
      <c r="A442" s="326"/>
      <c r="C442" s="201"/>
      <c r="F442" s="76"/>
      <c r="G442" s="76"/>
      <c r="H442" s="76"/>
      <c r="I442" s="76"/>
      <c r="J442" s="76"/>
      <c r="K442" s="76"/>
      <c r="L442" s="76"/>
      <c r="M442" s="76"/>
      <c r="N442" s="76"/>
      <c r="O442" s="76"/>
      <c r="P442" s="76"/>
      <c r="Q442" s="76"/>
      <c r="R442" s="76"/>
      <c r="S442" s="76"/>
      <c r="T442" s="76"/>
      <c r="U442" s="76"/>
      <c r="V442" s="76"/>
      <c r="W442" s="76"/>
      <c r="X442" s="31"/>
      <c r="Y442" s="77"/>
      <c r="Z442" s="77"/>
      <c r="AI442" s="77"/>
    </row>
    <row r="443" spans="1:35">
      <c r="A443" s="326"/>
      <c r="C443" s="201"/>
      <c r="F443" s="76"/>
      <c r="G443" s="76"/>
      <c r="H443" s="76"/>
      <c r="I443" s="76"/>
      <c r="J443" s="76"/>
      <c r="K443" s="76"/>
      <c r="L443" s="76"/>
      <c r="M443" s="76"/>
      <c r="N443" s="76"/>
      <c r="O443" s="76"/>
      <c r="P443" s="76"/>
      <c r="Q443" s="76"/>
      <c r="R443" s="76"/>
      <c r="S443" s="76"/>
      <c r="T443" s="76"/>
      <c r="U443" s="76"/>
      <c r="V443" s="76"/>
      <c r="W443" s="76"/>
      <c r="X443" s="31"/>
      <c r="Y443" s="77"/>
      <c r="Z443" s="77"/>
      <c r="AI443" s="77"/>
    </row>
    <row r="444" spans="1:35">
      <c r="A444" s="326"/>
      <c r="C444" s="201"/>
      <c r="F444" s="76"/>
      <c r="G444" s="76"/>
      <c r="H444" s="76"/>
      <c r="I444" s="76"/>
      <c r="J444" s="76"/>
      <c r="K444" s="76"/>
      <c r="L444" s="76"/>
      <c r="M444" s="76"/>
      <c r="N444" s="76"/>
      <c r="O444" s="76"/>
      <c r="P444" s="76"/>
      <c r="Q444" s="76"/>
      <c r="R444" s="76"/>
      <c r="S444" s="76"/>
      <c r="T444" s="76"/>
      <c r="U444" s="76"/>
      <c r="V444" s="76"/>
      <c r="W444" s="76"/>
      <c r="X444" s="31"/>
      <c r="Y444" s="77"/>
      <c r="Z444" s="77"/>
      <c r="AI444" s="77"/>
    </row>
    <row r="445" spans="1:35">
      <c r="A445" s="326"/>
      <c r="C445" s="201"/>
      <c r="F445" s="76"/>
      <c r="G445" s="76"/>
      <c r="H445" s="76"/>
      <c r="I445" s="76"/>
      <c r="J445" s="76"/>
      <c r="K445" s="76"/>
      <c r="L445" s="76"/>
      <c r="M445" s="76"/>
      <c r="N445" s="76"/>
      <c r="O445" s="76"/>
      <c r="P445" s="76"/>
      <c r="Q445" s="76"/>
      <c r="R445" s="76"/>
      <c r="S445" s="76"/>
      <c r="T445" s="76"/>
      <c r="U445" s="76"/>
      <c r="V445" s="76"/>
      <c r="W445" s="76"/>
      <c r="X445" s="31"/>
      <c r="Y445" s="77"/>
      <c r="Z445" s="77"/>
      <c r="AI445" s="77"/>
    </row>
    <row r="446" spans="1:35">
      <c r="A446" s="326"/>
      <c r="C446" s="201"/>
      <c r="F446" s="76"/>
      <c r="G446" s="76"/>
      <c r="H446" s="76"/>
      <c r="I446" s="76"/>
      <c r="J446" s="76"/>
      <c r="K446" s="76"/>
      <c r="L446" s="76"/>
      <c r="M446" s="76"/>
      <c r="N446" s="76"/>
      <c r="O446" s="76"/>
      <c r="P446" s="76"/>
      <c r="Q446" s="76"/>
      <c r="R446" s="76"/>
      <c r="S446" s="76"/>
      <c r="T446" s="76"/>
      <c r="U446" s="76"/>
      <c r="V446" s="76"/>
      <c r="W446" s="76"/>
      <c r="X446" s="31"/>
      <c r="Y446" s="77"/>
      <c r="Z446" s="77"/>
      <c r="AI446" s="77"/>
    </row>
    <row r="447" spans="1:35">
      <c r="A447" s="326"/>
      <c r="C447" s="201"/>
      <c r="F447" s="76"/>
      <c r="G447" s="76"/>
      <c r="H447" s="76"/>
      <c r="I447" s="76"/>
      <c r="J447" s="76"/>
      <c r="K447" s="76"/>
      <c r="L447" s="76"/>
      <c r="M447" s="76"/>
      <c r="N447" s="76"/>
      <c r="O447" s="76"/>
      <c r="P447" s="76"/>
      <c r="Q447" s="76"/>
      <c r="R447" s="76"/>
      <c r="S447" s="76"/>
      <c r="T447" s="76"/>
      <c r="U447" s="76"/>
      <c r="V447" s="76"/>
      <c r="W447" s="76"/>
      <c r="X447" s="31"/>
      <c r="Y447" s="77"/>
      <c r="Z447" s="77"/>
      <c r="AI447" s="77"/>
    </row>
    <row r="448" spans="1:35">
      <c r="A448" s="326"/>
      <c r="C448" s="201"/>
      <c r="F448" s="76"/>
      <c r="G448" s="76"/>
      <c r="H448" s="76"/>
      <c r="I448" s="76"/>
      <c r="J448" s="76"/>
      <c r="K448" s="76"/>
      <c r="L448" s="76"/>
      <c r="M448" s="76"/>
      <c r="N448" s="76"/>
      <c r="O448" s="76"/>
      <c r="P448" s="76"/>
      <c r="Q448" s="76"/>
      <c r="R448" s="76"/>
      <c r="S448" s="76"/>
      <c r="T448" s="76"/>
      <c r="U448" s="76"/>
      <c r="V448" s="76"/>
      <c r="W448" s="76"/>
      <c r="X448" s="31"/>
      <c r="Y448" s="77"/>
      <c r="Z448" s="77"/>
      <c r="AI448" s="77"/>
    </row>
    <row r="449" spans="1:35">
      <c r="A449" s="326"/>
      <c r="C449" s="201"/>
      <c r="F449" s="76"/>
      <c r="G449" s="76"/>
      <c r="H449" s="76"/>
      <c r="I449" s="76"/>
      <c r="J449" s="76"/>
      <c r="K449" s="76"/>
      <c r="L449" s="76"/>
      <c r="M449" s="76"/>
      <c r="N449" s="76"/>
      <c r="O449" s="76"/>
      <c r="P449" s="76"/>
      <c r="Q449" s="76"/>
      <c r="R449" s="76"/>
      <c r="S449" s="76"/>
      <c r="T449" s="76"/>
      <c r="U449" s="76"/>
      <c r="V449" s="76"/>
      <c r="W449" s="76"/>
      <c r="X449" s="31"/>
      <c r="Y449" s="77"/>
      <c r="Z449" s="77"/>
      <c r="AI449" s="77"/>
    </row>
    <row r="450" spans="1:35">
      <c r="A450" s="326"/>
      <c r="C450" s="201"/>
      <c r="F450" s="76"/>
      <c r="G450" s="76"/>
      <c r="H450" s="76"/>
      <c r="I450" s="76"/>
      <c r="J450" s="76"/>
      <c r="K450" s="76"/>
      <c r="L450" s="76"/>
      <c r="M450" s="76"/>
      <c r="N450" s="76"/>
      <c r="O450" s="76"/>
      <c r="P450" s="76"/>
      <c r="Q450" s="76"/>
      <c r="R450" s="76"/>
      <c r="S450" s="76"/>
      <c r="T450" s="76"/>
      <c r="U450" s="76"/>
      <c r="V450" s="76"/>
      <c r="W450" s="76"/>
      <c r="X450" s="31"/>
      <c r="Y450" s="77"/>
      <c r="Z450" s="77"/>
      <c r="AI450" s="77"/>
    </row>
    <row r="451" spans="1:35">
      <c r="A451" s="326"/>
      <c r="C451" s="201"/>
      <c r="F451" s="76"/>
      <c r="G451" s="76"/>
      <c r="H451" s="76"/>
      <c r="I451" s="76"/>
      <c r="J451" s="76"/>
      <c r="K451" s="76"/>
      <c r="L451" s="76"/>
      <c r="M451" s="76"/>
      <c r="N451" s="76"/>
      <c r="O451" s="76"/>
      <c r="P451" s="76"/>
      <c r="Q451" s="76"/>
      <c r="R451" s="76"/>
      <c r="S451" s="76"/>
      <c r="T451" s="76"/>
      <c r="U451" s="76"/>
      <c r="V451" s="76"/>
      <c r="W451" s="76"/>
      <c r="X451" s="31"/>
      <c r="Y451" s="77"/>
      <c r="Z451" s="77"/>
      <c r="AI451" s="77"/>
    </row>
    <row r="452" spans="1:35">
      <c r="A452" s="326"/>
      <c r="C452" s="201"/>
      <c r="F452" s="76"/>
      <c r="G452" s="76"/>
      <c r="H452" s="76"/>
      <c r="I452" s="76"/>
      <c r="J452" s="76"/>
      <c r="K452" s="76"/>
      <c r="L452" s="76"/>
      <c r="M452" s="76"/>
      <c r="N452" s="76"/>
      <c r="O452" s="76"/>
      <c r="P452" s="76"/>
      <c r="Q452" s="76"/>
      <c r="R452" s="76"/>
      <c r="S452" s="76"/>
      <c r="T452" s="76"/>
      <c r="U452" s="76"/>
      <c r="V452" s="76"/>
      <c r="W452" s="76"/>
      <c r="X452" s="31"/>
      <c r="Y452" s="77"/>
      <c r="Z452" s="77"/>
      <c r="AI452" s="77"/>
    </row>
    <row r="453" spans="1:35">
      <c r="A453" s="326"/>
      <c r="C453" s="201"/>
      <c r="F453" s="76"/>
      <c r="G453" s="76"/>
      <c r="H453" s="76"/>
      <c r="I453" s="76"/>
      <c r="J453" s="76"/>
      <c r="K453" s="76"/>
      <c r="L453" s="76"/>
      <c r="M453" s="76"/>
      <c r="N453" s="76"/>
      <c r="O453" s="76"/>
      <c r="P453" s="76"/>
      <c r="Q453" s="76"/>
      <c r="R453" s="76"/>
      <c r="S453" s="76"/>
      <c r="T453" s="76"/>
      <c r="U453" s="76"/>
      <c r="V453" s="76"/>
      <c r="W453" s="76"/>
      <c r="X453" s="31"/>
      <c r="Y453" s="77"/>
      <c r="Z453" s="77"/>
      <c r="AI453" s="77"/>
    </row>
    <row r="454" spans="1:35">
      <c r="A454" s="326"/>
      <c r="C454" s="201"/>
      <c r="F454" s="76"/>
      <c r="G454" s="76"/>
      <c r="H454" s="76"/>
      <c r="I454" s="76"/>
      <c r="J454" s="76"/>
      <c r="K454" s="76"/>
      <c r="L454" s="76"/>
      <c r="M454" s="76"/>
      <c r="N454" s="76"/>
      <c r="O454" s="76"/>
      <c r="P454" s="76"/>
      <c r="Q454" s="76"/>
      <c r="R454" s="76"/>
      <c r="S454" s="76"/>
      <c r="T454" s="76"/>
      <c r="U454" s="76"/>
      <c r="V454" s="76"/>
      <c r="W454" s="76"/>
      <c r="X454" s="31"/>
      <c r="Y454" s="77"/>
      <c r="Z454" s="77"/>
      <c r="AI454" s="77"/>
    </row>
    <row r="455" spans="1:35">
      <c r="A455" s="326"/>
      <c r="C455" s="201"/>
      <c r="F455" s="76"/>
      <c r="G455" s="76"/>
      <c r="H455" s="76"/>
      <c r="I455" s="76"/>
      <c r="J455" s="76"/>
      <c r="K455" s="76"/>
      <c r="L455" s="76"/>
      <c r="M455" s="76"/>
      <c r="N455" s="76"/>
      <c r="O455" s="76"/>
      <c r="P455" s="76"/>
      <c r="Q455" s="76"/>
      <c r="R455" s="76"/>
      <c r="S455" s="76"/>
      <c r="T455" s="76"/>
      <c r="U455" s="76"/>
      <c r="V455" s="76"/>
      <c r="W455" s="76"/>
      <c r="X455" s="31"/>
      <c r="Y455" s="77"/>
      <c r="Z455" s="77"/>
      <c r="AI455" s="77"/>
    </row>
    <row r="456" spans="1:35">
      <c r="C456" s="201"/>
      <c r="F456" s="76"/>
      <c r="G456" s="76"/>
      <c r="H456" s="76"/>
      <c r="I456" s="76"/>
      <c r="J456" s="76"/>
      <c r="K456" s="76"/>
      <c r="L456" s="76"/>
      <c r="M456" s="76"/>
      <c r="N456" s="76"/>
      <c r="O456" s="76"/>
      <c r="P456" s="76"/>
      <c r="Q456" s="76"/>
      <c r="R456" s="76"/>
      <c r="S456" s="76"/>
      <c r="T456" s="76"/>
      <c r="U456" s="76"/>
      <c r="V456" s="76"/>
      <c r="W456" s="76"/>
      <c r="X456" s="31"/>
      <c r="Y456" s="77"/>
      <c r="Z456" s="77"/>
      <c r="AI456" s="77"/>
    </row>
    <row r="457" spans="1:35">
      <c r="A457" s="326"/>
      <c r="C457" s="201"/>
      <c r="F457" s="76"/>
      <c r="G457" s="76"/>
      <c r="H457" s="76"/>
      <c r="I457" s="76"/>
      <c r="J457" s="76"/>
      <c r="K457" s="76"/>
      <c r="L457" s="76"/>
      <c r="M457" s="76"/>
      <c r="N457" s="76"/>
      <c r="O457" s="76"/>
      <c r="P457" s="76"/>
      <c r="Q457" s="76"/>
      <c r="R457" s="76"/>
      <c r="S457" s="76"/>
      <c r="T457" s="76"/>
      <c r="U457" s="76"/>
      <c r="V457" s="76"/>
      <c r="W457" s="76"/>
      <c r="X457" s="31"/>
      <c r="Y457" s="77"/>
      <c r="Z457" s="77"/>
      <c r="AI457" s="77"/>
    </row>
    <row r="458" spans="1:35">
      <c r="A458" s="326"/>
      <c r="C458" s="201"/>
      <c r="F458" s="76"/>
      <c r="G458" s="76"/>
      <c r="H458" s="76"/>
      <c r="I458" s="76"/>
      <c r="J458" s="76"/>
      <c r="K458" s="76"/>
      <c r="L458" s="76"/>
      <c r="M458" s="76"/>
      <c r="N458" s="76"/>
      <c r="O458" s="76"/>
      <c r="P458" s="76"/>
      <c r="Q458" s="76"/>
      <c r="R458" s="76"/>
      <c r="S458" s="76"/>
      <c r="T458" s="76"/>
      <c r="U458" s="76"/>
      <c r="V458" s="76"/>
      <c r="W458" s="76"/>
      <c r="X458" s="31"/>
      <c r="Y458" s="77"/>
      <c r="Z458" s="77"/>
      <c r="AI458" s="77"/>
    </row>
    <row r="459" spans="1:35">
      <c r="A459" s="326"/>
      <c r="C459" s="201"/>
      <c r="F459" s="76"/>
      <c r="G459" s="76"/>
      <c r="H459" s="76"/>
      <c r="I459" s="76"/>
      <c r="J459" s="76"/>
      <c r="K459" s="76"/>
      <c r="L459" s="76"/>
      <c r="M459" s="76"/>
      <c r="N459" s="76"/>
      <c r="O459" s="76"/>
      <c r="P459" s="76"/>
      <c r="Q459" s="76"/>
      <c r="R459" s="76"/>
      <c r="S459" s="76"/>
      <c r="T459" s="76"/>
      <c r="U459" s="76"/>
      <c r="V459" s="76"/>
      <c r="W459" s="76"/>
      <c r="X459" s="31"/>
      <c r="Y459" s="77"/>
      <c r="Z459" s="77"/>
      <c r="AI459" s="77"/>
    </row>
    <row r="460" spans="1:35">
      <c r="A460" s="326"/>
      <c r="C460" s="201"/>
      <c r="F460" s="76"/>
      <c r="G460" s="76"/>
      <c r="H460" s="76"/>
      <c r="I460" s="76"/>
      <c r="J460" s="76"/>
      <c r="K460" s="76"/>
      <c r="L460" s="76"/>
      <c r="M460" s="76"/>
      <c r="N460" s="76"/>
      <c r="O460" s="76"/>
      <c r="P460" s="76"/>
      <c r="Q460" s="76"/>
      <c r="R460" s="76"/>
      <c r="S460" s="76"/>
      <c r="T460" s="76"/>
      <c r="U460" s="76"/>
      <c r="V460" s="76"/>
      <c r="W460" s="76"/>
      <c r="X460" s="31"/>
      <c r="Y460" s="77"/>
      <c r="Z460" s="77"/>
      <c r="AI460" s="77"/>
    </row>
    <row r="461" spans="1:35">
      <c r="A461" s="326"/>
      <c r="C461" s="201"/>
      <c r="F461" s="76"/>
      <c r="G461" s="76"/>
      <c r="H461" s="76"/>
      <c r="I461" s="76"/>
      <c r="J461" s="76"/>
      <c r="K461" s="76"/>
      <c r="L461" s="76"/>
      <c r="M461" s="76"/>
      <c r="N461" s="76"/>
      <c r="O461" s="76"/>
      <c r="P461" s="76"/>
      <c r="Q461" s="76"/>
      <c r="R461" s="76"/>
      <c r="S461" s="76"/>
      <c r="T461" s="76"/>
      <c r="U461" s="76"/>
      <c r="V461" s="76"/>
      <c r="W461" s="76"/>
      <c r="X461" s="31"/>
      <c r="Y461" s="77"/>
      <c r="Z461" s="77"/>
      <c r="AI461" s="77"/>
    </row>
    <row r="462" spans="1:35">
      <c r="A462" s="326"/>
      <c r="C462" s="201"/>
      <c r="F462" s="76"/>
      <c r="G462" s="76"/>
      <c r="H462" s="76"/>
      <c r="I462" s="76"/>
      <c r="J462" s="76"/>
      <c r="K462" s="76"/>
      <c r="L462" s="76"/>
      <c r="M462" s="76"/>
      <c r="N462" s="76"/>
      <c r="O462" s="76"/>
      <c r="P462" s="76"/>
      <c r="Q462" s="76"/>
      <c r="R462" s="76"/>
      <c r="S462" s="76"/>
      <c r="T462" s="76"/>
      <c r="U462" s="76"/>
      <c r="V462" s="76"/>
      <c r="W462" s="76"/>
      <c r="X462" s="31"/>
      <c r="Y462" s="77"/>
      <c r="Z462" s="77"/>
      <c r="AI462" s="77"/>
    </row>
    <row r="463" spans="1:35">
      <c r="A463" s="326"/>
      <c r="C463" s="201"/>
      <c r="F463" s="76"/>
      <c r="G463" s="76"/>
      <c r="H463" s="76"/>
      <c r="I463" s="76"/>
      <c r="J463" s="76"/>
      <c r="K463" s="76"/>
      <c r="L463" s="76"/>
      <c r="M463" s="76"/>
      <c r="N463" s="76"/>
      <c r="O463" s="76"/>
      <c r="P463" s="76"/>
      <c r="Q463" s="76"/>
      <c r="R463" s="76"/>
      <c r="S463" s="76"/>
      <c r="T463" s="76"/>
      <c r="U463" s="76"/>
      <c r="V463" s="76"/>
      <c r="W463" s="76"/>
      <c r="X463" s="31"/>
      <c r="Y463" s="77"/>
      <c r="Z463" s="77"/>
      <c r="AI463" s="77"/>
    </row>
    <row r="464" spans="1:35">
      <c r="A464" s="326"/>
      <c r="C464" s="201"/>
      <c r="F464" s="76"/>
      <c r="G464" s="76"/>
      <c r="H464" s="76"/>
      <c r="I464" s="76"/>
      <c r="J464" s="76"/>
      <c r="K464" s="76"/>
      <c r="L464" s="76"/>
      <c r="M464" s="76"/>
      <c r="N464" s="76"/>
      <c r="O464" s="76"/>
      <c r="P464" s="76"/>
      <c r="Q464" s="76"/>
      <c r="R464" s="76"/>
      <c r="S464" s="76"/>
      <c r="T464" s="76"/>
      <c r="U464" s="76"/>
      <c r="V464" s="76"/>
      <c r="W464" s="76"/>
      <c r="X464" s="31"/>
      <c r="Y464" s="77"/>
      <c r="Z464" s="77"/>
      <c r="AI464" s="77"/>
    </row>
    <row r="465" spans="1:35">
      <c r="A465" s="326"/>
      <c r="C465" s="201"/>
      <c r="F465" s="76"/>
      <c r="G465" s="76"/>
      <c r="H465" s="76"/>
      <c r="I465" s="76"/>
      <c r="J465" s="76"/>
      <c r="K465" s="76"/>
      <c r="L465" s="76"/>
      <c r="M465" s="76"/>
      <c r="N465" s="76"/>
      <c r="O465" s="76"/>
      <c r="P465" s="76"/>
      <c r="Q465" s="76"/>
      <c r="R465" s="76"/>
      <c r="S465" s="76"/>
      <c r="T465" s="76"/>
      <c r="U465" s="76"/>
      <c r="V465" s="76"/>
      <c r="W465" s="76"/>
      <c r="X465" s="31"/>
      <c r="Y465" s="77"/>
      <c r="Z465" s="77"/>
      <c r="AI465" s="77"/>
    </row>
    <row r="466" spans="1:35">
      <c r="A466" s="326"/>
      <c r="C466" s="201"/>
      <c r="F466" s="76"/>
      <c r="G466" s="76"/>
      <c r="H466" s="76"/>
      <c r="I466" s="76"/>
      <c r="J466" s="76"/>
      <c r="K466" s="76"/>
      <c r="L466" s="76"/>
      <c r="M466" s="76"/>
      <c r="N466" s="76"/>
      <c r="O466" s="76"/>
      <c r="P466" s="76"/>
      <c r="Q466" s="76"/>
      <c r="R466" s="76"/>
      <c r="S466" s="76"/>
      <c r="T466" s="76"/>
      <c r="U466" s="76"/>
      <c r="V466" s="76"/>
      <c r="W466" s="76"/>
      <c r="X466" s="31"/>
      <c r="Y466" s="77"/>
      <c r="Z466" s="77"/>
      <c r="AI466" s="77"/>
    </row>
    <row r="467" spans="1:35">
      <c r="C467" s="201"/>
      <c r="F467" s="76"/>
      <c r="G467" s="76"/>
      <c r="H467" s="76"/>
      <c r="I467" s="76"/>
      <c r="J467" s="76"/>
      <c r="K467" s="76"/>
      <c r="L467" s="76"/>
      <c r="M467" s="76"/>
      <c r="N467" s="76"/>
      <c r="O467" s="76"/>
      <c r="P467" s="76"/>
      <c r="Q467" s="76"/>
      <c r="R467" s="76"/>
      <c r="S467" s="76"/>
      <c r="T467" s="76"/>
      <c r="U467" s="76"/>
      <c r="V467" s="76"/>
      <c r="W467" s="76"/>
      <c r="X467" s="31"/>
      <c r="Y467" s="77"/>
      <c r="Z467" s="77"/>
      <c r="AI467" s="77"/>
    </row>
    <row r="468" spans="1:35">
      <c r="A468" s="326"/>
      <c r="C468" s="201"/>
      <c r="F468" s="76"/>
      <c r="G468" s="76"/>
      <c r="H468" s="76"/>
      <c r="I468" s="76"/>
      <c r="J468" s="76"/>
      <c r="K468" s="76"/>
      <c r="L468" s="76"/>
      <c r="M468" s="76"/>
      <c r="N468" s="76"/>
      <c r="O468" s="76"/>
      <c r="P468" s="76"/>
      <c r="Q468" s="76"/>
      <c r="R468" s="76"/>
      <c r="S468" s="76"/>
      <c r="T468" s="76"/>
      <c r="U468" s="76"/>
      <c r="V468" s="76"/>
      <c r="W468" s="76"/>
      <c r="X468" s="31"/>
      <c r="Y468" s="77"/>
      <c r="Z468" s="77"/>
      <c r="AI468" s="77"/>
    </row>
    <row r="469" spans="1:35">
      <c r="A469" s="326"/>
      <c r="C469" s="201"/>
      <c r="F469" s="76"/>
      <c r="G469" s="76"/>
      <c r="H469" s="76"/>
      <c r="I469" s="76"/>
      <c r="J469" s="76"/>
      <c r="K469" s="76"/>
      <c r="L469" s="76"/>
      <c r="M469" s="76"/>
      <c r="N469" s="76"/>
      <c r="O469" s="76"/>
      <c r="P469" s="76"/>
      <c r="Q469" s="76"/>
      <c r="R469" s="76"/>
      <c r="S469" s="76"/>
      <c r="T469" s="76"/>
      <c r="U469" s="76"/>
      <c r="V469" s="76"/>
      <c r="W469" s="76"/>
      <c r="X469" s="31"/>
      <c r="Y469" s="77"/>
      <c r="Z469" s="77"/>
      <c r="AI469" s="77"/>
    </row>
    <row r="470" spans="1:35">
      <c r="A470" s="326"/>
      <c r="C470" s="201"/>
      <c r="F470" s="76"/>
      <c r="G470" s="76"/>
      <c r="H470" s="76"/>
      <c r="I470" s="76"/>
      <c r="J470" s="76"/>
      <c r="K470" s="76"/>
      <c r="L470" s="76"/>
      <c r="M470" s="76"/>
      <c r="N470" s="76"/>
      <c r="O470" s="76"/>
      <c r="P470" s="76"/>
      <c r="Q470" s="76"/>
      <c r="R470" s="76"/>
      <c r="S470" s="76"/>
      <c r="T470" s="76"/>
      <c r="U470" s="76"/>
      <c r="V470" s="76"/>
      <c r="W470" s="76"/>
      <c r="X470" s="31"/>
      <c r="Y470" s="77"/>
      <c r="Z470" s="77"/>
      <c r="AI470" s="77"/>
    </row>
    <row r="471" spans="1:35">
      <c r="A471" s="326"/>
      <c r="C471" s="201"/>
      <c r="F471" s="76"/>
      <c r="G471" s="76"/>
      <c r="H471" s="76"/>
      <c r="I471" s="76"/>
      <c r="J471" s="76"/>
      <c r="K471" s="76"/>
      <c r="L471" s="76"/>
      <c r="M471" s="76"/>
      <c r="N471" s="76"/>
      <c r="O471" s="76"/>
      <c r="P471" s="76"/>
      <c r="Q471" s="76"/>
      <c r="R471" s="76"/>
      <c r="S471" s="76"/>
      <c r="T471" s="76"/>
      <c r="U471" s="76"/>
      <c r="V471" s="76"/>
      <c r="W471" s="76"/>
      <c r="X471" s="31"/>
      <c r="Y471" s="77"/>
      <c r="Z471" s="77"/>
      <c r="AI471" s="77"/>
    </row>
    <row r="472" spans="1:35">
      <c r="A472" s="326"/>
      <c r="C472" s="201"/>
      <c r="F472" s="76"/>
      <c r="G472" s="76"/>
      <c r="H472" s="76"/>
      <c r="I472" s="76"/>
      <c r="J472" s="76"/>
      <c r="K472" s="76"/>
      <c r="L472" s="76"/>
      <c r="M472" s="76"/>
      <c r="N472" s="76"/>
      <c r="O472" s="76"/>
      <c r="P472" s="76"/>
      <c r="Q472" s="76"/>
      <c r="R472" s="76"/>
      <c r="S472" s="76"/>
      <c r="T472" s="76"/>
      <c r="U472" s="76"/>
      <c r="V472" s="76"/>
      <c r="W472" s="76"/>
      <c r="X472" s="31"/>
      <c r="Y472" s="77"/>
      <c r="Z472" s="77"/>
      <c r="AI472" s="77"/>
    </row>
    <row r="473" spans="1:35">
      <c r="A473" s="326"/>
      <c r="C473" s="201"/>
      <c r="F473" s="76"/>
      <c r="G473" s="76"/>
      <c r="H473" s="76"/>
      <c r="I473" s="76"/>
      <c r="J473" s="76"/>
      <c r="K473" s="76"/>
      <c r="L473" s="76"/>
      <c r="M473" s="76"/>
      <c r="N473" s="76"/>
      <c r="O473" s="76"/>
      <c r="P473" s="76"/>
      <c r="Q473" s="76"/>
      <c r="R473" s="76"/>
      <c r="S473" s="76"/>
      <c r="T473" s="76"/>
      <c r="U473" s="76"/>
      <c r="V473" s="76"/>
      <c r="W473" s="76"/>
      <c r="X473" s="31"/>
      <c r="Y473" s="77"/>
      <c r="Z473" s="77"/>
      <c r="AI473" s="77"/>
    </row>
    <row r="474" spans="1:35">
      <c r="A474" s="326"/>
      <c r="C474" s="201"/>
      <c r="F474" s="76"/>
      <c r="G474" s="76"/>
      <c r="H474" s="76"/>
      <c r="I474" s="76"/>
      <c r="J474" s="76"/>
      <c r="K474" s="76"/>
      <c r="L474" s="76"/>
      <c r="M474" s="76"/>
      <c r="N474" s="76"/>
      <c r="O474" s="76"/>
      <c r="P474" s="76"/>
      <c r="Q474" s="76"/>
      <c r="R474" s="76"/>
      <c r="S474" s="76"/>
      <c r="T474" s="76"/>
      <c r="U474" s="76"/>
      <c r="V474" s="76"/>
      <c r="W474" s="76"/>
      <c r="X474" s="31"/>
      <c r="Y474" s="77"/>
      <c r="Z474" s="77"/>
      <c r="AI474" s="77"/>
    </row>
    <row r="475" spans="1:35">
      <c r="A475" s="326"/>
      <c r="C475" s="201"/>
      <c r="F475" s="76"/>
      <c r="G475" s="76"/>
      <c r="H475" s="76"/>
      <c r="I475" s="76"/>
      <c r="J475" s="76"/>
      <c r="K475" s="76"/>
      <c r="L475" s="76"/>
      <c r="M475" s="76"/>
      <c r="N475" s="76"/>
      <c r="O475" s="76"/>
      <c r="P475" s="76"/>
      <c r="Q475" s="76"/>
      <c r="R475" s="76"/>
      <c r="S475" s="76"/>
      <c r="T475" s="76"/>
      <c r="U475" s="76"/>
      <c r="V475" s="76"/>
      <c r="W475" s="76"/>
      <c r="X475" s="31"/>
      <c r="Y475" s="77"/>
      <c r="Z475" s="77"/>
      <c r="AI475" s="77"/>
    </row>
    <row r="476" spans="1:35">
      <c r="A476" s="326"/>
      <c r="C476" s="201"/>
      <c r="F476" s="76"/>
      <c r="G476" s="76"/>
      <c r="H476" s="76"/>
      <c r="I476" s="76"/>
      <c r="J476" s="76"/>
      <c r="K476" s="76"/>
      <c r="L476" s="76"/>
      <c r="M476" s="76"/>
      <c r="N476" s="76"/>
      <c r="O476" s="76"/>
      <c r="P476" s="76"/>
      <c r="Q476" s="76"/>
      <c r="R476" s="76"/>
      <c r="S476" s="76"/>
      <c r="T476" s="76"/>
      <c r="U476" s="76"/>
      <c r="V476" s="76"/>
      <c r="W476" s="76"/>
      <c r="X476" s="31"/>
      <c r="Y476" s="77"/>
      <c r="Z476" s="77"/>
      <c r="AI476" s="77"/>
    </row>
    <row r="477" spans="1:35">
      <c r="A477" s="326"/>
      <c r="C477" s="201"/>
      <c r="F477" s="76"/>
      <c r="G477" s="76"/>
      <c r="H477" s="76"/>
      <c r="I477" s="76"/>
      <c r="J477" s="76"/>
      <c r="K477" s="76"/>
      <c r="L477" s="76"/>
      <c r="M477" s="76"/>
      <c r="N477" s="76"/>
      <c r="O477" s="76"/>
      <c r="P477" s="76"/>
      <c r="Q477" s="76"/>
      <c r="R477" s="76"/>
      <c r="S477" s="76"/>
      <c r="T477" s="76"/>
      <c r="U477" s="76"/>
      <c r="V477" s="76"/>
      <c r="W477" s="76"/>
      <c r="X477" s="31"/>
      <c r="Y477" s="77"/>
      <c r="Z477" s="77"/>
      <c r="AI477" s="77"/>
    </row>
    <row r="478" spans="1:35">
      <c r="A478" s="326"/>
      <c r="C478" s="201"/>
      <c r="F478" s="76"/>
      <c r="G478" s="76"/>
      <c r="H478" s="76"/>
      <c r="I478" s="76"/>
      <c r="J478" s="76"/>
      <c r="K478" s="76"/>
      <c r="L478" s="76"/>
      <c r="M478" s="76"/>
      <c r="N478" s="76"/>
      <c r="O478" s="76"/>
      <c r="P478" s="76"/>
      <c r="Q478" s="76"/>
      <c r="R478" s="76"/>
      <c r="S478" s="76"/>
      <c r="T478" s="76"/>
      <c r="U478" s="76"/>
      <c r="V478" s="76"/>
      <c r="W478" s="76"/>
      <c r="X478" s="31"/>
      <c r="Y478" s="77"/>
      <c r="Z478" s="77"/>
      <c r="AI478" s="77"/>
    </row>
    <row r="479" spans="1:35">
      <c r="A479" s="326"/>
      <c r="C479" s="201"/>
      <c r="F479" s="76"/>
      <c r="G479" s="76"/>
      <c r="H479" s="76"/>
      <c r="I479" s="76"/>
      <c r="J479" s="76"/>
      <c r="K479" s="76"/>
      <c r="L479" s="76"/>
      <c r="M479" s="76"/>
      <c r="N479" s="76"/>
      <c r="O479" s="76"/>
      <c r="P479" s="76"/>
      <c r="Q479" s="76"/>
      <c r="R479" s="76"/>
      <c r="S479" s="76"/>
      <c r="T479" s="76"/>
      <c r="U479" s="76"/>
      <c r="V479" s="76"/>
      <c r="W479" s="76"/>
      <c r="X479" s="31"/>
      <c r="Y479" s="77"/>
      <c r="Z479" s="77"/>
      <c r="AI479" s="77"/>
    </row>
    <row r="480" spans="1:35">
      <c r="A480" s="326"/>
      <c r="C480" s="201"/>
      <c r="F480" s="76"/>
      <c r="G480" s="76"/>
      <c r="H480" s="76"/>
      <c r="I480" s="76"/>
      <c r="J480" s="76"/>
      <c r="K480" s="76"/>
      <c r="L480" s="76"/>
      <c r="M480" s="76"/>
      <c r="N480" s="76"/>
      <c r="O480" s="76"/>
      <c r="P480" s="76"/>
      <c r="Q480" s="76"/>
      <c r="R480" s="76"/>
      <c r="S480" s="76"/>
      <c r="T480" s="76"/>
      <c r="U480" s="76"/>
      <c r="V480" s="76"/>
      <c r="W480" s="76"/>
      <c r="X480" s="31"/>
      <c r="Y480" s="77"/>
      <c r="Z480" s="77"/>
      <c r="AI480" s="77"/>
    </row>
    <row r="481" spans="1:35">
      <c r="A481" s="326"/>
      <c r="C481" s="201"/>
      <c r="F481" s="76"/>
      <c r="G481" s="76"/>
      <c r="H481" s="76"/>
      <c r="I481" s="76"/>
      <c r="J481" s="76"/>
      <c r="K481" s="76"/>
      <c r="L481" s="76"/>
      <c r="M481" s="76"/>
      <c r="N481" s="76"/>
      <c r="O481" s="76"/>
      <c r="P481" s="76"/>
      <c r="Q481" s="76"/>
      <c r="R481" s="76"/>
      <c r="S481" s="76"/>
      <c r="T481" s="76"/>
      <c r="U481" s="76"/>
      <c r="V481" s="76"/>
      <c r="W481" s="76"/>
      <c r="X481" s="31"/>
      <c r="Y481" s="77"/>
      <c r="Z481" s="77"/>
      <c r="AI481" s="77"/>
    </row>
    <row r="482" spans="1:35">
      <c r="A482" s="326"/>
      <c r="C482" s="201"/>
      <c r="F482" s="76"/>
      <c r="G482" s="76"/>
      <c r="H482" s="76"/>
      <c r="I482" s="76"/>
      <c r="J482" s="76"/>
      <c r="K482" s="76"/>
      <c r="L482" s="76"/>
      <c r="M482" s="76"/>
      <c r="N482" s="76"/>
      <c r="O482" s="76"/>
      <c r="P482" s="76"/>
      <c r="Q482" s="76"/>
      <c r="R482" s="76"/>
      <c r="S482" s="76"/>
      <c r="T482" s="76"/>
      <c r="U482" s="76"/>
      <c r="V482" s="76"/>
      <c r="W482" s="76"/>
      <c r="X482" s="31"/>
      <c r="Y482" s="77"/>
      <c r="Z482" s="77"/>
      <c r="AI482" s="77"/>
    </row>
    <row r="483" spans="1:35">
      <c r="A483" s="326"/>
      <c r="C483" s="201"/>
      <c r="F483" s="76"/>
      <c r="G483" s="76"/>
      <c r="H483" s="76"/>
      <c r="I483" s="76"/>
      <c r="J483" s="76"/>
      <c r="K483" s="76"/>
      <c r="L483" s="76"/>
      <c r="M483" s="76"/>
      <c r="N483" s="76"/>
      <c r="O483" s="76"/>
      <c r="P483" s="76"/>
      <c r="Q483" s="76"/>
      <c r="R483" s="76"/>
      <c r="S483" s="76"/>
      <c r="T483" s="76"/>
      <c r="U483" s="76"/>
      <c r="V483" s="76"/>
      <c r="W483" s="76"/>
      <c r="X483" s="31"/>
      <c r="Y483" s="77"/>
      <c r="Z483" s="77"/>
      <c r="AI483" s="77"/>
    </row>
    <row r="484" spans="1:35">
      <c r="A484" s="326"/>
      <c r="C484" s="201"/>
      <c r="F484" s="76"/>
      <c r="G484" s="76"/>
      <c r="H484" s="76"/>
      <c r="I484" s="76"/>
      <c r="J484" s="76"/>
      <c r="K484" s="76"/>
      <c r="L484" s="76"/>
      <c r="M484" s="76"/>
      <c r="N484" s="76"/>
      <c r="O484" s="76"/>
      <c r="P484" s="76"/>
      <c r="Q484" s="76"/>
      <c r="R484" s="76"/>
      <c r="S484" s="76"/>
      <c r="T484" s="76"/>
      <c r="U484" s="76"/>
      <c r="V484" s="76"/>
      <c r="W484" s="76"/>
      <c r="X484" s="31"/>
      <c r="Y484" s="77"/>
      <c r="Z484" s="77"/>
      <c r="AI484" s="77"/>
    </row>
    <row r="485" spans="1:35">
      <c r="A485" s="326"/>
      <c r="C485" s="201"/>
      <c r="F485" s="76"/>
      <c r="G485" s="76"/>
      <c r="H485" s="76"/>
      <c r="I485" s="76"/>
      <c r="J485" s="76"/>
      <c r="K485" s="76"/>
      <c r="L485" s="76"/>
      <c r="M485" s="76"/>
      <c r="N485" s="76"/>
      <c r="O485" s="76"/>
      <c r="P485" s="76"/>
      <c r="Q485" s="76"/>
      <c r="R485" s="76"/>
      <c r="S485" s="76"/>
      <c r="T485" s="76"/>
      <c r="U485" s="76"/>
      <c r="V485" s="76"/>
      <c r="W485" s="76"/>
      <c r="X485" s="31"/>
      <c r="Y485" s="77"/>
      <c r="Z485" s="77"/>
      <c r="AI485" s="77"/>
    </row>
    <row r="486" spans="1:35">
      <c r="A486" s="326"/>
      <c r="C486" s="201"/>
      <c r="F486" s="76"/>
      <c r="G486" s="76"/>
      <c r="H486" s="76"/>
      <c r="I486" s="76"/>
      <c r="J486" s="76"/>
      <c r="K486" s="76"/>
      <c r="L486" s="76"/>
      <c r="M486" s="76"/>
      <c r="N486" s="76"/>
      <c r="O486" s="76"/>
      <c r="P486" s="76"/>
      <c r="Q486" s="76"/>
      <c r="R486" s="76"/>
      <c r="S486" s="76"/>
      <c r="T486" s="76"/>
      <c r="U486" s="76"/>
      <c r="V486" s="76"/>
      <c r="W486" s="76"/>
      <c r="X486" s="31"/>
      <c r="Y486" s="77"/>
      <c r="Z486" s="77"/>
      <c r="AI486" s="77"/>
    </row>
    <row r="487" spans="1:35">
      <c r="A487" s="326"/>
      <c r="C487" s="201"/>
      <c r="F487" s="76"/>
      <c r="G487" s="76"/>
      <c r="H487" s="76"/>
      <c r="I487" s="76"/>
      <c r="J487" s="76"/>
      <c r="K487" s="76"/>
      <c r="L487" s="76"/>
      <c r="M487" s="76"/>
      <c r="N487" s="76"/>
      <c r="O487" s="76"/>
      <c r="P487" s="76"/>
      <c r="Q487" s="76"/>
      <c r="R487" s="76"/>
      <c r="S487" s="76"/>
      <c r="T487" s="76"/>
      <c r="U487" s="76"/>
      <c r="V487" s="76"/>
      <c r="W487" s="76"/>
      <c r="X487" s="31"/>
      <c r="Y487" s="77"/>
      <c r="Z487" s="77"/>
      <c r="AI487" s="77"/>
    </row>
    <row r="488" spans="1:35">
      <c r="A488" s="326"/>
      <c r="C488" s="201"/>
      <c r="F488" s="76"/>
      <c r="G488" s="76"/>
      <c r="H488" s="76"/>
      <c r="I488" s="76"/>
      <c r="J488" s="76"/>
      <c r="K488" s="76"/>
      <c r="L488" s="76"/>
      <c r="M488" s="76"/>
      <c r="N488" s="76"/>
      <c r="O488" s="76"/>
      <c r="P488" s="76"/>
      <c r="Q488" s="76"/>
      <c r="R488" s="76"/>
      <c r="S488" s="76"/>
      <c r="T488" s="76"/>
      <c r="U488" s="76"/>
      <c r="V488" s="76"/>
      <c r="W488" s="76"/>
      <c r="X488" s="31"/>
      <c r="Y488" s="77"/>
      <c r="Z488" s="77"/>
      <c r="AI488" s="77"/>
    </row>
    <row r="489" spans="1:35">
      <c r="A489" s="326"/>
      <c r="C489" s="201"/>
      <c r="F489" s="76"/>
      <c r="G489" s="76"/>
      <c r="H489" s="76"/>
      <c r="I489" s="76"/>
      <c r="J489" s="76"/>
      <c r="K489" s="76"/>
      <c r="L489" s="76"/>
      <c r="M489" s="76"/>
      <c r="N489" s="76"/>
      <c r="O489" s="76"/>
      <c r="P489" s="76"/>
      <c r="Q489" s="76"/>
      <c r="R489" s="76"/>
      <c r="S489" s="76"/>
      <c r="T489" s="76"/>
      <c r="U489" s="76"/>
      <c r="V489" s="76"/>
      <c r="W489" s="76"/>
      <c r="X489" s="31"/>
      <c r="Y489" s="77"/>
      <c r="Z489" s="77"/>
      <c r="AI489" s="77"/>
    </row>
    <row r="490" spans="1:35">
      <c r="A490" s="326"/>
      <c r="C490" s="201"/>
      <c r="F490" s="76"/>
      <c r="G490" s="76"/>
      <c r="H490" s="76"/>
      <c r="I490" s="76"/>
      <c r="J490" s="76"/>
      <c r="K490" s="76"/>
      <c r="L490" s="76"/>
      <c r="M490" s="76"/>
      <c r="N490" s="76"/>
      <c r="O490" s="76"/>
      <c r="P490" s="76"/>
      <c r="Q490" s="76"/>
      <c r="R490" s="76"/>
      <c r="S490" s="76"/>
      <c r="T490" s="76"/>
      <c r="U490" s="76"/>
      <c r="V490" s="76"/>
      <c r="W490" s="76"/>
      <c r="X490" s="31"/>
      <c r="Y490" s="77"/>
      <c r="Z490" s="77"/>
      <c r="AI490" s="77"/>
    </row>
    <row r="491" spans="1:35">
      <c r="A491" s="326"/>
      <c r="C491" s="201"/>
      <c r="F491" s="76"/>
      <c r="G491" s="76"/>
      <c r="H491" s="76"/>
      <c r="I491" s="76"/>
      <c r="J491" s="76"/>
      <c r="K491" s="76"/>
      <c r="L491" s="76"/>
      <c r="M491" s="76"/>
      <c r="N491" s="76"/>
      <c r="O491" s="76"/>
      <c r="P491" s="76"/>
      <c r="Q491" s="76"/>
      <c r="R491" s="76"/>
      <c r="S491" s="76"/>
      <c r="T491" s="76"/>
      <c r="U491" s="76"/>
      <c r="V491" s="76"/>
      <c r="W491" s="76"/>
      <c r="X491" s="31"/>
      <c r="Y491" s="77"/>
      <c r="Z491" s="77"/>
      <c r="AI491" s="77"/>
    </row>
    <row r="492" spans="1:35">
      <c r="A492" s="326"/>
      <c r="C492" s="201"/>
      <c r="F492" s="76"/>
      <c r="G492" s="76"/>
      <c r="H492" s="76"/>
      <c r="I492" s="76"/>
      <c r="J492" s="76"/>
      <c r="K492" s="76"/>
      <c r="L492" s="76"/>
      <c r="M492" s="76"/>
      <c r="N492" s="76"/>
      <c r="O492" s="76"/>
      <c r="P492" s="76"/>
      <c r="Q492" s="76"/>
      <c r="R492" s="76"/>
      <c r="S492" s="76"/>
      <c r="T492" s="76"/>
      <c r="U492" s="76"/>
      <c r="V492" s="76"/>
      <c r="W492" s="76"/>
      <c r="X492" s="31"/>
      <c r="Y492" s="77"/>
      <c r="Z492" s="77"/>
      <c r="AI492" s="77"/>
    </row>
    <row r="493" spans="1:35">
      <c r="C493" s="201"/>
      <c r="F493" s="76"/>
      <c r="G493" s="76"/>
      <c r="H493" s="76"/>
      <c r="I493" s="76"/>
      <c r="J493" s="76"/>
      <c r="K493" s="76"/>
      <c r="L493" s="76"/>
      <c r="M493" s="76"/>
      <c r="N493" s="76"/>
      <c r="O493" s="76"/>
      <c r="P493" s="76"/>
      <c r="Q493" s="76"/>
      <c r="R493" s="76"/>
      <c r="S493" s="76"/>
      <c r="T493" s="76"/>
      <c r="U493" s="76"/>
      <c r="V493" s="76"/>
      <c r="W493" s="76"/>
      <c r="X493" s="31"/>
      <c r="Y493" s="77"/>
      <c r="Z493" s="77"/>
      <c r="AI493" s="77"/>
    </row>
    <row r="494" spans="1:35">
      <c r="A494" s="326"/>
      <c r="C494" s="201"/>
      <c r="F494" s="76"/>
      <c r="G494" s="76"/>
      <c r="H494" s="76"/>
      <c r="I494" s="76"/>
      <c r="J494" s="76"/>
      <c r="K494" s="76"/>
      <c r="L494" s="76"/>
      <c r="M494" s="76"/>
      <c r="N494" s="76"/>
      <c r="O494" s="76"/>
      <c r="P494" s="76"/>
      <c r="Q494" s="76"/>
      <c r="R494" s="76"/>
      <c r="S494" s="76"/>
      <c r="T494" s="76"/>
      <c r="U494" s="76"/>
      <c r="V494" s="76"/>
      <c r="W494" s="76"/>
      <c r="X494" s="31"/>
      <c r="Y494" s="77"/>
      <c r="Z494" s="77"/>
      <c r="AI494" s="77"/>
    </row>
    <row r="495" spans="1:35">
      <c r="A495" s="326"/>
      <c r="C495" s="201"/>
      <c r="F495" s="76"/>
      <c r="G495" s="76"/>
      <c r="H495" s="76"/>
      <c r="I495" s="76"/>
      <c r="J495" s="76"/>
      <c r="K495" s="76"/>
      <c r="L495" s="76"/>
      <c r="M495" s="76"/>
      <c r="N495" s="76"/>
      <c r="O495" s="76"/>
      <c r="P495" s="76"/>
      <c r="Q495" s="76"/>
      <c r="R495" s="76"/>
      <c r="S495" s="76"/>
      <c r="T495" s="76"/>
      <c r="U495" s="76"/>
      <c r="V495" s="76"/>
      <c r="W495" s="76"/>
      <c r="X495" s="31"/>
      <c r="Y495" s="77"/>
      <c r="Z495" s="77"/>
      <c r="AI495" s="77"/>
    </row>
    <row r="496" spans="1:35">
      <c r="A496" s="326"/>
      <c r="C496" s="201"/>
      <c r="F496" s="76"/>
      <c r="G496" s="76"/>
      <c r="H496" s="76"/>
      <c r="I496" s="76"/>
      <c r="J496" s="76"/>
      <c r="K496" s="76"/>
      <c r="L496" s="76"/>
      <c r="M496" s="76"/>
      <c r="N496" s="76"/>
      <c r="O496" s="76"/>
      <c r="P496" s="76"/>
      <c r="Q496" s="76"/>
      <c r="R496" s="76"/>
      <c r="S496" s="76"/>
      <c r="T496" s="76"/>
      <c r="U496" s="76"/>
      <c r="V496" s="76"/>
      <c r="W496" s="76"/>
      <c r="X496" s="31"/>
      <c r="Y496" s="77"/>
      <c r="Z496" s="77"/>
      <c r="AI496" s="77"/>
    </row>
    <row r="497" spans="1:35">
      <c r="A497" s="326"/>
      <c r="C497" s="201"/>
      <c r="F497" s="76"/>
      <c r="G497" s="76"/>
      <c r="H497" s="76"/>
      <c r="I497" s="76"/>
      <c r="J497" s="76"/>
      <c r="K497" s="76"/>
      <c r="L497" s="76"/>
      <c r="M497" s="76"/>
      <c r="N497" s="76"/>
      <c r="O497" s="76"/>
      <c r="P497" s="76"/>
      <c r="Q497" s="76"/>
      <c r="R497" s="76"/>
      <c r="S497" s="76"/>
      <c r="T497" s="76"/>
      <c r="U497" s="76"/>
      <c r="V497" s="76"/>
      <c r="W497" s="76"/>
      <c r="X497" s="31"/>
      <c r="Y497" s="77"/>
      <c r="Z497" s="77"/>
      <c r="AI497" s="77"/>
    </row>
    <row r="498" spans="1:35">
      <c r="A498" s="326"/>
      <c r="C498" s="201"/>
      <c r="F498" s="76"/>
      <c r="G498" s="76"/>
      <c r="H498" s="76"/>
      <c r="I498" s="76"/>
      <c r="J498" s="76"/>
      <c r="K498" s="76"/>
      <c r="L498" s="76"/>
      <c r="M498" s="76"/>
      <c r="N498" s="76"/>
      <c r="O498" s="76"/>
      <c r="P498" s="76"/>
      <c r="Q498" s="76"/>
      <c r="R498" s="76"/>
      <c r="S498" s="76"/>
      <c r="T498" s="76"/>
      <c r="U498" s="76"/>
      <c r="V498" s="76"/>
      <c r="W498" s="76"/>
      <c r="X498" s="31"/>
      <c r="Y498" s="77"/>
      <c r="Z498" s="77"/>
      <c r="AI498" s="77"/>
    </row>
    <row r="499" spans="1:35">
      <c r="A499" s="326"/>
      <c r="C499" s="201"/>
      <c r="F499" s="76"/>
      <c r="G499" s="76"/>
      <c r="H499" s="76"/>
      <c r="I499" s="76"/>
      <c r="J499" s="76"/>
      <c r="K499" s="76"/>
      <c r="L499" s="76"/>
      <c r="M499" s="76"/>
      <c r="N499" s="76"/>
      <c r="O499" s="76"/>
      <c r="P499" s="76"/>
      <c r="Q499" s="76"/>
      <c r="R499" s="76"/>
      <c r="S499" s="76"/>
      <c r="T499" s="76"/>
      <c r="U499" s="76"/>
      <c r="V499" s="76"/>
      <c r="W499" s="76"/>
      <c r="X499" s="31"/>
      <c r="Y499" s="77"/>
      <c r="Z499" s="77"/>
      <c r="AI499" s="77"/>
    </row>
    <row r="500" spans="1:35">
      <c r="A500" s="326"/>
      <c r="C500" s="201"/>
      <c r="F500" s="76"/>
      <c r="G500" s="76"/>
      <c r="H500" s="76"/>
      <c r="I500" s="76"/>
      <c r="J500" s="76"/>
      <c r="K500" s="76"/>
      <c r="L500" s="76"/>
      <c r="M500" s="76"/>
      <c r="N500" s="76"/>
      <c r="O500" s="76"/>
      <c r="P500" s="76"/>
      <c r="Q500" s="76"/>
      <c r="R500" s="76"/>
      <c r="S500" s="76"/>
      <c r="T500" s="76"/>
      <c r="U500" s="76"/>
      <c r="V500" s="76"/>
      <c r="W500" s="76"/>
      <c r="X500" s="31"/>
      <c r="Y500" s="77"/>
      <c r="Z500" s="77"/>
      <c r="AI500" s="77"/>
    </row>
    <row r="501" spans="1:35">
      <c r="A501" s="326"/>
      <c r="C501" s="201"/>
      <c r="F501" s="76"/>
      <c r="G501" s="76"/>
      <c r="H501" s="76"/>
      <c r="I501" s="76"/>
      <c r="J501" s="76"/>
      <c r="K501" s="76"/>
      <c r="L501" s="76"/>
      <c r="M501" s="76"/>
      <c r="N501" s="76"/>
      <c r="O501" s="76"/>
      <c r="P501" s="76"/>
      <c r="Q501" s="76"/>
      <c r="R501" s="76"/>
      <c r="S501" s="76"/>
      <c r="T501" s="76"/>
      <c r="U501" s="76"/>
      <c r="V501" s="76"/>
      <c r="W501" s="76"/>
      <c r="X501" s="31"/>
      <c r="Y501" s="77"/>
      <c r="Z501" s="77"/>
      <c r="AI501" s="77"/>
    </row>
    <row r="502" spans="1:35">
      <c r="A502" s="326"/>
      <c r="C502" s="201"/>
      <c r="F502" s="76"/>
      <c r="G502" s="76"/>
      <c r="H502" s="76"/>
      <c r="I502" s="76"/>
      <c r="J502" s="76"/>
      <c r="K502" s="76"/>
      <c r="L502" s="76"/>
      <c r="M502" s="76"/>
      <c r="N502" s="76"/>
      <c r="O502" s="76"/>
      <c r="P502" s="76"/>
      <c r="Q502" s="76"/>
      <c r="R502" s="76"/>
      <c r="S502" s="76"/>
      <c r="T502" s="76"/>
      <c r="U502" s="76"/>
      <c r="V502" s="76"/>
      <c r="W502" s="76"/>
      <c r="X502" s="31"/>
      <c r="Y502" s="77"/>
      <c r="Z502" s="77"/>
      <c r="AI502" s="77"/>
    </row>
    <row r="503" spans="1:35">
      <c r="A503" s="326"/>
      <c r="C503" s="201"/>
      <c r="F503" s="76"/>
      <c r="G503" s="76"/>
      <c r="H503" s="76"/>
      <c r="I503" s="76"/>
      <c r="J503" s="76"/>
      <c r="K503" s="76"/>
      <c r="L503" s="76"/>
      <c r="M503" s="76"/>
      <c r="N503" s="76"/>
      <c r="O503" s="76"/>
      <c r="P503" s="76"/>
      <c r="Q503" s="76"/>
      <c r="R503" s="76"/>
      <c r="S503" s="76"/>
      <c r="T503" s="76"/>
      <c r="U503" s="76"/>
      <c r="V503" s="76"/>
      <c r="W503" s="76"/>
      <c r="X503" s="31"/>
      <c r="Y503" s="77"/>
      <c r="Z503" s="77"/>
      <c r="AI503" s="77"/>
    </row>
    <row r="504" spans="1:35">
      <c r="A504" s="326"/>
      <c r="C504" s="201"/>
      <c r="F504" s="76"/>
      <c r="G504" s="76"/>
      <c r="H504" s="76"/>
      <c r="I504" s="76"/>
      <c r="J504" s="76"/>
      <c r="K504" s="76"/>
      <c r="L504" s="76"/>
      <c r="M504" s="76"/>
      <c r="N504" s="76"/>
      <c r="O504" s="76"/>
      <c r="P504" s="76"/>
      <c r="Q504" s="76"/>
      <c r="R504" s="76"/>
      <c r="S504" s="76"/>
      <c r="T504" s="76"/>
      <c r="U504" s="76"/>
      <c r="V504" s="76"/>
      <c r="W504" s="76"/>
      <c r="X504" s="31"/>
      <c r="Y504" s="77"/>
      <c r="Z504" s="77"/>
      <c r="AI504" s="77"/>
    </row>
    <row r="505" spans="1:35">
      <c r="A505" s="326"/>
      <c r="C505" s="201"/>
      <c r="F505" s="76"/>
      <c r="G505" s="76"/>
      <c r="H505" s="76"/>
      <c r="I505" s="76"/>
      <c r="J505" s="76"/>
      <c r="K505" s="76"/>
      <c r="L505" s="76"/>
      <c r="M505" s="76"/>
      <c r="N505" s="76"/>
      <c r="O505" s="76"/>
      <c r="P505" s="76"/>
      <c r="Q505" s="76"/>
      <c r="R505" s="76"/>
      <c r="S505" s="76"/>
      <c r="T505" s="76"/>
      <c r="U505" s="76"/>
      <c r="V505" s="76"/>
      <c r="W505" s="76"/>
      <c r="X505" s="31"/>
      <c r="Y505" s="77"/>
      <c r="Z505" s="77"/>
      <c r="AI505" s="77"/>
    </row>
    <row r="506" spans="1:35">
      <c r="A506" s="326"/>
      <c r="C506" s="201"/>
      <c r="F506" s="76"/>
      <c r="G506" s="76"/>
      <c r="H506" s="76"/>
      <c r="I506" s="76"/>
      <c r="J506" s="76"/>
      <c r="K506" s="76"/>
      <c r="L506" s="76"/>
      <c r="M506" s="76"/>
      <c r="N506" s="76"/>
      <c r="O506" s="76"/>
      <c r="P506" s="76"/>
      <c r="Q506" s="76"/>
      <c r="R506" s="76"/>
      <c r="S506" s="76"/>
      <c r="T506" s="76"/>
      <c r="U506" s="76"/>
      <c r="V506" s="76"/>
      <c r="W506" s="76"/>
      <c r="X506" s="31"/>
      <c r="Y506" s="77"/>
      <c r="Z506" s="77"/>
      <c r="AI506" s="77"/>
    </row>
    <row r="507" spans="1:35">
      <c r="A507" s="326"/>
      <c r="C507" s="201"/>
      <c r="F507" s="76"/>
      <c r="G507" s="76"/>
      <c r="H507" s="76"/>
      <c r="I507" s="76"/>
      <c r="J507" s="76"/>
      <c r="K507" s="76"/>
      <c r="L507" s="76"/>
      <c r="M507" s="76"/>
      <c r="N507" s="76"/>
      <c r="O507" s="76"/>
      <c r="P507" s="76"/>
      <c r="Q507" s="76"/>
      <c r="R507" s="76"/>
      <c r="S507" s="76"/>
      <c r="T507" s="76"/>
      <c r="U507" s="76"/>
      <c r="V507" s="76"/>
      <c r="W507" s="76"/>
      <c r="X507" s="31"/>
      <c r="Y507" s="77"/>
      <c r="Z507" s="77"/>
      <c r="AI507" s="77"/>
    </row>
    <row r="508" spans="1:35">
      <c r="A508" s="326"/>
      <c r="C508" s="201"/>
      <c r="F508" s="76"/>
      <c r="G508" s="76"/>
      <c r="H508" s="76"/>
      <c r="I508" s="76"/>
      <c r="J508" s="76"/>
      <c r="K508" s="76"/>
      <c r="L508" s="76"/>
      <c r="M508" s="76"/>
      <c r="N508" s="76"/>
      <c r="O508" s="76"/>
      <c r="P508" s="76"/>
      <c r="Q508" s="76"/>
      <c r="R508" s="76"/>
      <c r="S508" s="76"/>
      <c r="T508" s="76"/>
      <c r="U508" s="76"/>
      <c r="V508" s="76"/>
      <c r="W508" s="76"/>
      <c r="X508" s="31"/>
      <c r="Y508" s="77"/>
      <c r="Z508" s="77"/>
      <c r="AI508" s="77"/>
    </row>
    <row r="509" spans="1:35">
      <c r="A509" s="326"/>
      <c r="C509" s="201"/>
      <c r="F509" s="76"/>
      <c r="G509" s="76"/>
      <c r="H509" s="76"/>
      <c r="I509" s="76"/>
      <c r="J509" s="76"/>
      <c r="K509" s="76"/>
      <c r="L509" s="76"/>
      <c r="M509" s="76"/>
      <c r="N509" s="76"/>
      <c r="O509" s="76"/>
      <c r="P509" s="76"/>
      <c r="Q509" s="76"/>
      <c r="R509" s="76"/>
      <c r="S509" s="76"/>
      <c r="T509" s="76"/>
      <c r="U509" s="76"/>
      <c r="V509" s="76"/>
      <c r="W509" s="76"/>
      <c r="X509" s="31"/>
      <c r="Y509" s="77"/>
      <c r="Z509" s="77"/>
      <c r="AI509" s="77"/>
    </row>
    <row r="510" spans="1:35">
      <c r="A510" s="326"/>
      <c r="C510" s="201"/>
      <c r="F510" s="76"/>
      <c r="G510" s="76"/>
      <c r="H510" s="76"/>
      <c r="I510" s="76"/>
      <c r="J510" s="76"/>
      <c r="K510" s="76"/>
      <c r="L510" s="76"/>
      <c r="M510" s="76"/>
      <c r="N510" s="76"/>
      <c r="O510" s="76"/>
      <c r="P510" s="76"/>
      <c r="Q510" s="76"/>
      <c r="R510" s="76"/>
      <c r="S510" s="76"/>
      <c r="T510" s="76"/>
      <c r="U510" s="76"/>
      <c r="V510" s="76"/>
      <c r="W510" s="76"/>
      <c r="X510" s="31"/>
      <c r="Y510" s="77"/>
      <c r="Z510" s="77"/>
      <c r="AI510" s="77"/>
    </row>
    <row r="511" spans="1:35">
      <c r="A511" s="326"/>
      <c r="C511" s="201"/>
      <c r="F511" s="76"/>
      <c r="G511" s="76"/>
      <c r="H511" s="76"/>
      <c r="I511" s="76"/>
      <c r="J511" s="76"/>
      <c r="K511" s="76"/>
      <c r="L511" s="76"/>
      <c r="M511" s="76"/>
      <c r="N511" s="76"/>
      <c r="O511" s="76"/>
      <c r="P511" s="76"/>
      <c r="Q511" s="76"/>
      <c r="R511" s="76"/>
      <c r="S511" s="76"/>
      <c r="T511" s="76"/>
      <c r="U511" s="76"/>
      <c r="V511" s="76"/>
      <c r="W511" s="76"/>
      <c r="X511" s="31"/>
      <c r="Y511" s="77"/>
      <c r="Z511" s="77"/>
      <c r="AI511" s="77"/>
    </row>
    <row r="512" spans="1:35">
      <c r="A512" s="326"/>
      <c r="C512" s="201"/>
      <c r="F512" s="76"/>
      <c r="G512" s="76"/>
      <c r="H512" s="76"/>
      <c r="I512" s="76"/>
      <c r="J512" s="76"/>
      <c r="K512" s="76"/>
      <c r="L512" s="76"/>
      <c r="M512" s="76"/>
      <c r="N512" s="76"/>
      <c r="O512" s="76"/>
      <c r="P512" s="76"/>
      <c r="Q512" s="76"/>
      <c r="R512" s="76"/>
      <c r="S512" s="76"/>
      <c r="T512" s="76"/>
      <c r="U512" s="76"/>
      <c r="V512" s="76"/>
      <c r="W512" s="76"/>
      <c r="X512" s="31"/>
      <c r="Y512" s="77"/>
      <c r="Z512" s="77"/>
      <c r="AI512" s="77"/>
    </row>
    <row r="513" spans="1:35">
      <c r="A513" s="326"/>
      <c r="C513" s="201"/>
      <c r="F513" s="76"/>
      <c r="G513" s="76"/>
      <c r="H513" s="76"/>
      <c r="I513" s="76"/>
      <c r="J513" s="76"/>
      <c r="K513" s="76"/>
      <c r="L513" s="76"/>
      <c r="M513" s="76"/>
      <c r="N513" s="76"/>
      <c r="O513" s="76"/>
      <c r="P513" s="76"/>
      <c r="Q513" s="76"/>
      <c r="R513" s="76"/>
      <c r="S513" s="76"/>
      <c r="T513" s="76"/>
      <c r="U513" s="76"/>
      <c r="V513" s="76"/>
      <c r="W513" s="76"/>
      <c r="X513" s="31"/>
      <c r="Y513" s="77"/>
      <c r="Z513" s="77"/>
      <c r="AI513" s="77"/>
    </row>
    <row r="514" spans="1:35">
      <c r="A514" s="326"/>
      <c r="C514" s="201"/>
      <c r="F514" s="76"/>
      <c r="G514" s="76"/>
      <c r="H514" s="76"/>
      <c r="I514" s="76"/>
      <c r="J514" s="76"/>
      <c r="K514" s="76"/>
      <c r="L514" s="76"/>
      <c r="M514" s="76"/>
      <c r="N514" s="76"/>
      <c r="O514" s="76"/>
      <c r="P514" s="76"/>
      <c r="Q514" s="76"/>
      <c r="R514" s="76"/>
      <c r="S514" s="76"/>
      <c r="T514" s="76"/>
      <c r="U514" s="76"/>
      <c r="V514" s="76"/>
      <c r="W514" s="76"/>
      <c r="X514" s="31"/>
      <c r="Y514" s="77"/>
      <c r="Z514" s="77"/>
      <c r="AI514" s="77"/>
    </row>
    <row r="515" spans="1:35">
      <c r="A515" s="326"/>
      <c r="C515" s="201"/>
      <c r="F515" s="76"/>
      <c r="G515" s="76"/>
      <c r="H515" s="76"/>
      <c r="I515" s="76"/>
      <c r="J515" s="76"/>
      <c r="K515" s="76"/>
      <c r="L515" s="76"/>
      <c r="M515" s="76"/>
      <c r="N515" s="76"/>
      <c r="O515" s="76"/>
      <c r="P515" s="76"/>
      <c r="Q515" s="76"/>
      <c r="R515" s="76"/>
      <c r="S515" s="76"/>
      <c r="T515" s="76"/>
      <c r="U515" s="76"/>
      <c r="V515" s="76"/>
      <c r="W515" s="76"/>
      <c r="X515" s="31"/>
      <c r="Y515" s="77"/>
      <c r="Z515" s="77"/>
      <c r="AI515" s="77"/>
    </row>
    <row r="516" spans="1:35">
      <c r="A516" s="326"/>
      <c r="C516" s="201"/>
      <c r="F516" s="76"/>
      <c r="G516" s="76"/>
      <c r="H516" s="76"/>
      <c r="I516" s="76"/>
      <c r="J516" s="76"/>
      <c r="K516" s="76"/>
      <c r="L516" s="76"/>
      <c r="M516" s="76"/>
      <c r="N516" s="76"/>
      <c r="O516" s="76"/>
      <c r="P516" s="76"/>
      <c r="Q516" s="76"/>
      <c r="R516" s="76"/>
      <c r="S516" s="76"/>
      <c r="T516" s="76"/>
      <c r="U516" s="76"/>
      <c r="V516" s="76"/>
      <c r="W516" s="76"/>
      <c r="X516" s="31"/>
      <c r="Y516" s="77"/>
      <c r="Z516" s="77"/>
      <c r="AI516" s="77"/>
    </row>
    <row r="517" spans="1:35">
      <c r="A517" s="326"/>
      <c r="C517" s="201"/>
      <c r="F517" s="76"/>
      <c r="G517" s="76"/>
      <c r="H517" s="76"/>
      <c r="I517" s="76"/>
      <c r="J517" s="76"/>
      <c r="K517" s="76"/>
      <c r="L517" s="76"/>
      <c r="M517" s="76"/>
      <c r="N517" s="76"/>
      <c r="O517" s="76"/>
      <c r="P517" s="76"/>
      <c r="Q517" s="76"/>
      <c r="R517" s="76"/>
      <c r="S517" s="76"/>
      <c r="T517" s="76"/>
      <c r="U517" s="76"/>
      <c r="V517" s="76"/>
      <c r="W517" s="76"/>
      <c r="X517" s="31"/>
      <c r="Y517" s="77"/>
      <c r="Z517" s="77"/>
      <c r="AI517" s="77"/>
    </row>
    <row r="518" spans="1:35">
      <c r="A518" s="326"/>
      <c r="C518" s="201"/>
      <c r="F518" s="76"/>
      <c r="G518" s="76"/>
      <c r="H518" s="76"/>
      <c r="I518" s="76"/>
      <c r="J518" s="76"/>
      <c r="K518" s="76"/>
      <c r="L518" s="76"/>
      <c r="M518" s="76"/>
      <c r="N518" s="76"/>
      <c r="O518" s="76"/>
      <c r="P518" s="76"/>
      <c r="Q518" s="76"/>
      <c r="R518" s="76"/>
      <c r="S518" s="76"/>
      <c r="T518" s="76"/>
      <c r="U518" s="76"/>
      <c r="V518" s="76"/>
      <c r="W518" s="76"/>
      <c r="X518" s="31"/>
      <c r="Y518" s="77"/>
      <c r="Z518" s="77"/>
      <c r="AI518" s="77"/>
    </row>
    <row r="519" spans="1:35">
      <c r="A519" s="326"/>
      <c r="C519" s="201"/>
      <c r="F519" s="76"/>
      <c r="G519" s="76"/>
      <c r="H519" s="76"/>
      <c r="I519" s="76"/>
      <c r="J519" s="76"/>
      <c r="K519" s="76"/>
      <c r="L519" s="76"/>
      <c r="M519" s="76"/>
      <c r="N519" s="76"/>
      <c r="O519" s="76"/>
      <c r="P519" s="76"/>
      <c r="Q519" s="76"/>
      <c r="R519" s="76"/>
      <c r="S519" s="76"/>
      <c r="T519" s="76"/>
      <c r="U519" s="76"/>
      <c r="V519" s="76"/>
      <c r="W519" s="76"/>
      <c r="X519" s="31"/>
      <c r="Y519" s="77"/>
      <c r="Z519" s="77"/>
      <c r="AI519" s="77"/>
    </row>
    <row r="520" spans="1:35">
      <c r="A520" s="326"/>
      <c r="C520" s="201"/>
      <c r="F520" s="76"/>
      <c r="G520" s="76"/>
      <c r="H520" s="76"/>
      <c r="I520" s="76"/>
      <c r="J520" s="76"/>
      <c r="K520" s="76"/>
      <c r="L520" s="76"/>
      <c r="M520" s="76"/>
      <c r="N520" s="76"/>
      <c r="O520" s="76"/>
      <c r="P520" s="76"/>
      <c r="Q520" s="76"/>
      <c r="R520" s="76"/>
      <c r="S520" s="76"/>
      <c r="T520" s="76"/>
      <c r="U520" s="76"/>
      <c r="V520" s="76"/>
      <c r="W520" s="76"/>
      <c r="X520" s="31"/>
      <c r="Y520" s="77"/>
      <c r="Z520" s="77"/>
      <c r="AI520" s="77"/>
    </row>
    <row r="521" spans="1:35">
      <c r="A521" s="326"/>
      <c r="C521" s="201"/>
      <c r="F521" s="76"/>
      <c r="G521" s="76"/>
      <c r="H521" s="76"/>
      <c r="I521" s="76"/>
      <c r="J521" s="76"/>
      <c r="K521" s="76"/>
      <c r="L521" s="76"/>
      <c r="M521" s="76"/>
      <c r="N521" s="76"/>
      <c r="O521" s="76"/>
      <c r="P521" s="76"/>
      <c r="Q521" s="76"/>
      <c r="R521" s="76"/>
      <c r="S521" s="76"/>
      <c r="T521" s="76"/>
      <c r="U521" s="76"/>
      <c r="V521" s="76"/>
      <c r="W521" s="76"/>
      <c r="X521" s="31"/>
      <c r="Y521" s="77"/>
      <c r="Z521" s="77"/>
      <c r="AI521" s="77"/>
    </row>
    <row r="522" spans="1:35">
      <c r="A522" s="326"/>
      <c r="C522" s="201"/>
      <c r="F522" s="76"/>
      <c r="G522" s="76"/>
      <c r="H522" s="76"/>
      <c r="I522" s="76"/>
      <c r="J522" s="76"/>
      <c r="K522" s="76"/>
      <c r="L522" s="76"/>
      <c r="M522" s="76"/>
      <c r="N522" s="76"/>
      <c r="O522" s="76"/>
      <c r="P522" s="76"/>
      <c r="Q522" s="76"/>
      <c r="R522" s="76"/>
      <c r="S522" s="76"/>
      <c r="T522" s="76"/>
      <c r="U522" s="76"/>
      <c r="V522" s="76"/>
      <c r="W522" s="76"/>
      <c r="X522" s="31"/>
      <c r="Y522" s="77"/>
      <c r="Z522" s="77"/>
      <c r="AI522" s="77"/>
    </row>
    <row r="523" spans="1:35">
      <c r="A523" s="326"/>
      <c r="C523" s="201"/>
      <c r="F523" s="76"/>
      <c r="G523" s="76"/>
      <c r="H523" s="76"/>
      <c r="I523" s="76"/>
      <c r="J523" s="76"/>
      <c r="K523" s="76"/>
      <c r="L523" s="76"/>
      <c r="M523" s="76"/>
      <c r="N523" s="76"/>
      <c r="O523" s="76"/>
      <c r="P523" s="76"/>
      <c r="Q523" s="76"/>
      <c r="R523" s="76"/>
      <c r="S523" s="76"/>
      <c r="T523" s="76"/>
      <c r="U523" s="76"/>
      <c r="V523" s="76"/>
      <c r="W523" s="76"/>
      <c r="X523" s="31"/>
      <c r="Y523" s="77"/>
      <c r="Z523" s="77"/>
      <c r="AI523" s="77"/>
    </row>
    <row r="524" spans="1:35">
      <c r="A524" s="326"/>
      <c r="C524" s="201"/>
      <c r="F524" s="76"/>
      <c r="G524" s="76"/>
      <c r="H524" s="76"/>
      <c r="I524" s="76"/>
      <c r="J524" s="76"/>
      <c r="K524" s="76"/>
      <c r="L524" s="76"/>
      <c r="M524" s="76"/>
      <c r="N524" s="76"/>
      <c r="O524" s="76"/>
      <c r="P524" s="76"/>
      <c r="Q524" s="76"/>
      <c r="R524" s="76"/>
      <c r="S524" s="76"/>
      <c r="T524" s="76"/>
      <c r="U524" s="76"/>
      <c r="V524" s="76"/>
      <c r="W524" s="76"/>
      <c r="X524" s="31"/>
      <c r="Y524" s="77"/>
      <c r="Z524" s="77"/>
      <c r="AI524" s="77"/>
    </row>
    <row r="525" spans="1:35">
      <c r="A525" s="326"/>
      <c r="C525" s="201"/>
      <c r="F525" s="76"/>
      <c r="G525" s="76"/>
      <c r="H525" s="76"/>
      <c r="I525" s="76"/>
      <c r="J525" s="76"/>
      <c r="K525" s="76"/>
      <c r="L525" s="76"/>
      <c r="M525" s="76"/>
      <c r="N525" s="76"/>
      <c r="O525" s="76"/>
      <c r="P525" s="76"/>
      <c r="Q525" s="76"/>
      <c r="R525" s="76"/>
      <c r="S525" s="76"/>
      <c r="T525" s="76"/>
      <c r="U525" s="76"/>
      <c r="V525" s="76"/>
      <c r="W525" s="76"/>
      <c r="X525" s="31"/>
      <c r="Y525" s="77"/>
      <c r="Z525" s="77"/>
      <c r="AI525" s="77"/>
    </row>
    <row r="526" spans="1:35">
      <c r="A526" s="326"/>
      <c r="C526" s="201"/>
      <c r="F526" s="76"/>
      <c r="G526" s="76"/>
      <c r="H526" s="76"/>
      <c r="I526" s="76"/>
      <c r="J526" s="76"/>
      <c r="K526" s="76"/>
      <c r="L526" s="76"/>
      <c r="M526" s="76"/>
      <c r="N526" s="76"/>
      <c r="O526" s="76"/>
      <c r="P526" s="76"/>
      <c r="Q526" s="76"/>
      <c r="R526" s="76"/>
      <c r="S526" s="76"/>
      <c r="T526" s="76"/>
      <c r="U526" s="76"/>
      <c r="V526" s="76"/>
      <c r="W526" s="76"/>
      <c r="X526" s="31"/>
      <c r="Y526" s="77"/>
      <c r="Z526" s="77"/>
      <c r="AI526" s="77"/>
    </row>
    <row r="527" spans="1:35">
      <c r="A527" s="326"/>
      <c r="C527" s="201"/>
      <c r="F527" s="76"/>
      <c r="G527" s="76"/>
      <c r="H527" s="76"/>
      <c r="I527" s="76"/>
      <c r="J527" s="76"/>
      <c r="K527" s="76"/>
      <c r="L527" s="76"/>
      <c r="M527" s="76"/>
      <c r="N527" s="76"/>
      <c r="O527" s="76"/>
      <c r="P527" s="76"/>
      <c r="Q527" s="76"/>
      <c r="R527" s="76"/>
      <c r="S527" s="76"/>
      <c r="T527" s="76"/>
      <c r="U527" s="76"/>
      <c r="V527" s="76"/>
      <c r="W527" s="76"/>
      <c r="X527" s="31"/>
      <c r="Y527" s="77"/>
      <c r="Z527" s="77"/>
      <c r="AI527" s="77"/>
    </row>
    <row r="528" spans="1:35">
      <c r="A528" s="326"/>
      <c r="C528" s="201"/>
      <c r="F528" s="76"/>
      <c r="G528" s="76"/>
      <c r="H528" s="76"/>
      <c r="I528" s="76"/>
      <c r="J528" s="76"/>
      <c r="K528" s="76"/>
      <c r="L528" s="76"/>
      <c r="M528" s="76"/>
      <c r="N528" s="76"/>
      <c r="O528" s="76"/>
      <c r="P528" s="76"/>
      <c r="Q528" s="76"/>
      <c r="R528" s="76"/>
      <c r="S528" s="76"/>
      <c r="T528" s="76"/>
      <c r="U528" s="76"/>
      <c r="V528" s="76"/>
      <c r="W528" s="76"/>
      <c r="X528" s="31"/>
      <c r="Y528" s="77"/>
      <c r="Z528" s="77"/>
      <c r="AI528" s="77"/>
    </row>
    <row r="529" spans="1:35">
      <c r="A529" s="326"/>
      <c r="C529" s="201"/>
      <c r="F529" s="76"/>
      <c r="G529" s="76"/>
      <c r="H529" s="76"/>
      <c r="I529" s="76"/>
      <c r="J529" s="76"/>
      <c r="K529" s="76"/>
      <c r="L529" s="76"/>
      <c r="M529" s="76"/>
      <c r="N529" s="76"/>
      <c r="O529" s="76"/>
      <c r="P529" s="76"/>
      <c r="Q529" s="76"/>
      <c r="R529" s="76"/>
      <c r="S529" s="76"/>
      <c r="T529" s="76"/>
      <c r="U529" s="76"/>
      <c r="V529" s="76"/>
      <c r="W529" s="76"/>
      <c r="X529" s="31"/>
      <c r="Y529" s="77"/>
      <c r="Z529" s="77"/>
      <c r="AI529" s="77"/>
    </row>
    <row r="530" spans="1:35">
      <c r="A530" s="326"/>
      <c r="C530" s="201"/>
      <c r="F530" s="76"/>
      <c r="G530" s="76"/>
      <c r="H530" s="76"/>
      <c r="I530" s="76"/>
      <c r="J530" s="76"/>
      <c r="K530" s="76"/>
      <c r="L530" s="76"/>
      <c r="M530" s="76"/>
      <c r="N530" s="76"/>
      <c r="O530" s="76"/>
      <c r="P530" s="76"/>
      <c r="Q530" s="76"/>
      <c r="R530" s="76"/>
      <c r="S530" s="76"/>
      <c r="T530" s="76"/>
      <c r="U530" s="76"/>
      <c r="V530" s="76"/>
      <c r="W530" s="76"/>
      <c r="X530" s="31"/>
      <c r="Y530" s="77"/>
      <c r="Z530" s="77"/>
      <c r="AI530" s="77"/>
    </row>
    <row r="531" spans="1:35">
      <c r="A531" s="326"/>
      <c r="C531" s="201"/>
      <c r="F531" s="76"/>
      <c r="G531" s="76"/>
      <c r="H531" s="76"/>
      <c r="I531" s="76"/>
      <c r="J531" s="76"/>
      <c r="K531" s="76"/>
      <c r="L531" s="76"/>
      <c r="M531" s="76"/>
      <c r="N531" s="76"/>
      <c r="O531" s="76"/>
      <c r="P531" s="76"/>
      <c r="Q531" s="76"/>
      <c r="R531" s="76"/>
      <c r="S531" s="76"/>
      <c r="T531" s="76"/>
      <c r="U531" s="76"/>
      <c r="V531" s="76"/>
      <c r="W531" s="76"/>
      <c r="X531" s="31"/>
      <c r="Y531" s="77"/>
      <c r="Z531" s="77"/>
      <c r="AI531" s="77"/>
    </row>
    <row r="532" spans="1:35">
      <c r="A532" s="326"/>
      <c r="C532" s="201"/>
      <c r="F532" s="76"/>
      <c r="G532" s="76"/>
      <c r="H532" s="76"/>
      <c r="I532" s="76"/>
      <c r="J532" s="76"/>
      <c r="K532" s="76"/>
      <c r="L532" s="76"/>
      <c r="M532" s="76"/>
      <c r="N532" s="76"/>
      <c r="O532" s="76"/>
      <c r="P532" s="76"/>
      <c r="Q532" s="76"/>
      <c r="R532" s="76"/>
      <c r="S532" s="76"/>
      <c r="T532" s="76"/>
      <c r="U532" s="76"/>
      <c r="V532" s="76"/>
      <c r="W532" s="76"/>
      <c r="X532" s="31"/>
      <c r="Y532" s="77"/>
      <c r="Z532" s="77"/>
      <c r="AI532" s="77"/>
    </row>
    <row r="533" spans="1:35">
      <c r="A533" s="326"/>
      <c r="C533" s="201"/>
      <c r="F533" s="76"/>
      <c r="G533" s="76"/>
      <c r="H533" s="76"/>
      <c r="I533" s="76"/>
      <c r="J533" s="76"/>
      <c r="K533" s="76"/>
      <c r="L533" s="76"/>
      <c r="M533" s="76"/>
      <c r="N533" s="76"/>
      <c r="O533" s="76"/>
      <c r="P533" s="76"/>
      <c r="Q533" s="76"/>
      <c r="R533" s="76"/>
      <c r="S533" s="76"/>
      <c r="T533" s="76"/>
      <c r="U533" s="76"/>
      <c r="V533" s="76"/>
      <c r="W533" s="76"/>
      <c r="X533" s="31"/>
      <c r="Y533" s="77"/>
      <c r="Z533" s="77"/>
      <c r="AI533" s="77"/>
    </row>
    <row r="534" spans="1:35">
      <c r="A534" s="326"/>
      <c r="C534" s="201"/>
      <c r="F534" s="76"/>
      <c r="G534" s="76"/>
      <c r="H534" s="76"/>
      <c r="I534" s="76"/>
      <c r="J534" s="76"/>
      <c r="K534" s="76"/>
      <c r="L534" s="76"/>
      <c r="M534" s="76"/>
      <c r="N534" s="76"/>
      <c r="O534" s="76"/>
      <c r="P534" s="76"/>
      <c r="Q534" s="76"/>
      <c r="R534" s="76"/>
      <c r="S534" s="76"/>
      <c r="T534" s="76"/>
      <c r="U534" s="76"/>
      <c r="V534" s="76"/>
      <c r="W534" s="76"/>
      <c r="X534" s="31"/>
      <c r="Y534" s="77"/>
      <c r="Z534" s="77"/>
      <c r="AI534" s="77"/>
    </row>
    <row r="535" spans="1:35">
      <c r="A535" s="326"/>
      <c r="C535" s="201"/>
      <c r="F535" s="76"/>
      <c r="G535" s="76"/>
      <c r="H535" s="76"/>
      <c r="I535" s="76"/>
      <c r="J535" s="76"/>
      <c r="K535" s="76"/>
      <c r="L535" s="76"/>
      <c r="M535" s="76"/>
      <c r="N535" s="76"/>
      <c r="O535" s="76"/>
      <c r="P535" s="76"/>
      <c r="Q535" s="76"/>
      <c r="R535" s="76"/>
      <c r="S535" s="76"/>
      <c r="T535" s="76"/>
      <c r="U535" s="76"/>
      <c r="V535" s="76"/>
      <c r="W535" s="76"/>
      <c r="X535" s="31"/>
      <c r="Y535" s="77"/>
      <c r="Z535" s="77"/>
      <c r="AI535" s="77"/>
    </row>
    <row r="536" spans="1:35">
      <c r="A536" s="326"/>
      <c r="C536" s="201"/>
      <c r="F536" s="76"/>
      <c r="G536" s="76"/>
      <c r="H536" s="76"/>
      <c r="I536" s="76"/>
      <c r="J536" s="76"/>
      <c r="K536" s="76"/>
      <c r="L536" s="76"/>
      <c r="M536" s="76"/>
      <c r="N536" s="76"/>
      <c r="O536" s="76"/>
      <c r="P536" s="76"/>
      <c r="Q536" s="76"/>
      <c r="R536" s="76"/>
      <c r="S536" s="76"/>
      <c r="T536" s="76"/>
      <c r="U536" s="76"/>
      <c r="V536" s="76"/>
      <c r="W536" s="76"/>
      <c r="X536" s="31"/>
      <c r="Y536" s="77"/>
      <c r="Z536" s="77"/>
      <c r="AI536" s="77"/>
    </row>
    <row r="537" spans="1:35">
      <c r="A537" s="326"/>
      <c r="C537" s="201"/>
      <c r="F537" s="76"/>
      <c r="G537" s="76"/>
      <c r="H537" s="76"/>
      <c r="I537" s="76"/>
      <c r="J537" s="76"/>
      <c r="K537" s="76"/>
      <c r="L537" s="76"/>
      <c r="M537" s="76"/>
      <c r="N537" s="76"/>
      <c r="O537" s="76"/>
      <c r="P537" s="76"/>
      <c r="Q537" s="76"/>
      <c r="R537" s="76"/>
      <c r="S537" s="76"/>
      <c r="T537" s="76"/>
      <c r="U537" s="76"/>
      <c r="V537" s="76"/>
      <c r="W537" s="76"/>
      <c r="X537" s="31"/>
      <c r="Y537" s="77"/>
      <c r="Z537" s="77"/>
      <c r="AI537" s="77"/>
    </row>
    <row r="538" spans="1:35">
      <c r="A538" s="326"/>
      <c r="C538" s="201"/>
      <c r="F538" s="76"/>
      <c r="G538" s="76"/>
      <c r="H538" s="76"/>
      <c r="I538" s="76"/>
      <c r="J538" s="76"/>
      <c r="K538" s="76"/>
      <c r="L538" s="76"/>
      <c r="M538" s="76"/>
      <c r="N538" s="76"/>
      <c r="O538" s="76"/>
      <c r="P538" s="76"/>
      <c r="Q538" s="76"/>
      <c r="R538" s="76"/>
      <c r="S538" s="76"/>
      <c r="T538" s="76"/>
      <c r="U538" s="76"/>
      <c r="V538" s="76"/>
      <c r="W538" s="76"/>
      <c r="X538" s="31"/>
      <c r="Y538" s="77"/>
      <c r="Z538" s="77"/>
      <c r="AI538" s="77"/>
    </row>
    <row r="539" spans="1:35">
      <c r="A539" s="326"/>
      <c r="C539" s="201"/>
      <c r="F539" s="76"/>
      <c r="G539" s="76"/>
      <c r="H539" s="76"/>
      <c r="I539" s="76"/>
      <c r="J539" s="76"/>
      <c r="K539" s="76"/>
      <c r="L539" s="76"/>
      <c r="M539" s="76"/>
      <c r="N539" s="76"/>
      <c r="O539" s="76"/>
      <c r="P539" s="76"/>
      <c r="Q539" s="76"/>
      <c r="R539" s="76"/>
      <c r="S539" s="76"/>
      <c r="T539" s="76"/>
      <c r="U539" s="76"/>
      <c r="V539" s="76"/>
      <c r="W539" s="76"/>
      <c r="X539" s="31"/>
      <c r="Y539" s="77"/>
      <c r="Z539" s="77"/>
      <c r="AI539" s="77"/>
    </row>
    <row r="540" spans="1:35">
      <c r="A540" s="326"/>
      <c r="C540" s="201"/>
      <c r="F540" s="76"/>
      <c r="G540" s="76"/>
      <c r="H540" s="76"/>
      <c r="I540" s="76"/>
      <c r="J540" s="76"/>
      <c r="K540" s="76"/>
      <c r="L540" s="76"/>
      <c r="M540" s="76"/>
      <c r="N540" s="76"/>
      <c r="O540" s="76"/>
      <c r="P540" s="76"/>
      <c r="Q540" s="76"/>
      <c r="R540" s="76"/>
      <c r="S540" s="76"/>
      <c r="T540" s="76"/>
      <c r="U540" s="76"/>
      <c r="V540" s="76"/>
      <c r="W540" s="76"/>
      <c r="X540" s="31"/>
      <c r="Y540" s="77"/>
      <c r="Z540" s="77"/>
      <c r="AI540" s="77"/>
    </row>
    <row r="541" spans="1:35">
      <c r="A541" s="326"/>
      <c r="C541" s="201"/>
      <c r="F541" s="76"/>
      <c r="G541" s="76"/>
      <c r="H541" s="76"/>
      <c r="I541" s="76"/>
      <c r="J541" s="76"/>
      <c r="K541" s="76"/>
      <c r="L541" s="76"/>
      <c r="M541" s="76"/>
      <c r="N541" s="76"/>
      <c r="O541" s="76"/>
      <c r="P541" s="76"/>
      <c r="Q541" s="76"/>
      <c r="R541" s="76"/>
      <c r="S541" s="76"/>
      <c r="T541" s="76"/>
      <c r="U541" s="76"/>
      <c r="V541" s="76"/>
      <c r="W541" s="76"/>
      <c r="X541" s="31"/>
      <c r="Y541" s="77"/>
      <c r="Z541" s="77"/>
      <c r="AI541" s="77"/>
    </row>
    <row r="542" spans="1:35">
      <c r="A542" s="326"/>
      <c r="C542" s="201"/>
      <c r="F542" s="76"/>
      <c r="G542" s="76"/>
      <c r="H542" s="76"/>
      <c r="I542" s="76"/>
      <c r="J542" s="76"/>
      <c r="K542" s="76"/>
      <c r="L542" s="76"/>
      <c r="M542" s="76"/>
      <c r="N542" s="76"/>
      <c r="O542" s="76"/>
      <c r="P542" s="76"/>
      <c r="Q542" s="76"/>
      <c r="R542" s="76"/>
      <c r="S542" s="76"/>
      <c r="T542" s="76"/>
      <c r="U542" s="76"/>
      <c r="V542" s="76"/>
      <c r="W542" s="76"/>
      <c r="X542" s="31"/>
      <c r="Y542" s="77"/>
      <c r="Z542" s="77"/>
      <c r="AI542" s="77"/>
    </row>
    <row r="543" spans="1:35">
      <c r="A543" s="326"/>
      <c r="C543" s="201"/>
      <c r="F543" s="76"/>
      <c r="G543" s="76"/>
      <c r="H543" s="76"/>
      <c r="I543" s="76"/>
      <c r="J543" s="76"/>
      <c r="K543" s="76"/>
      <c r="L543" s="76"/>
      <c r="M543" s="76"/>
      <c r="N543" s="76"/>
      <c r="O543" s="76"/>
      <c r="P543" s="76"/>
      <c r="Q543" s="76"/>
      <c r="R543" s="76"/>
      <c r="S543" s="76"/>
      <c r="T543" s="76"/>
      <c r="U543" s="76"/>
      <c r="V543" s="76"/>
      <c r="W543" s="76"/>
      <c r="X543" s="31"/>
      <c r="Y543" s="77"/>
      <c r="Z543" s="77"/>
      <c r="AI543" s="77"/>
    </row>
    <row r="544" spans="1:35">
      <c r="A544" s="326"/>
      <c r="C544" s="201"/>
      <c r="F544" s="76"/>
      <c r="G544" s="76"/>
      <c r="H544" s="76"/>
      <c r="I544" s="76"/>
      <c r="J544" s="76"/>
      <c r="K544" s="76"/>
      <c r="L544" s="76"/>
      <c r="M544" s="76"/>
      <c r="N544" s="76"/>
      <c r="O544" s="76"/>
      <c r="P544" s="76"/>
      <c r="Q544" s="76"/>
      <c r="R544" s="76"/>
      <c r="S544" s="76"/>
      <c r="T544" s="76"/>
      <c r="U544" s="76"/>
      <c r="V544" s="76"/>
      <c r="W544" s="76"/>
      <c r="X544" s="31"/>
      <c r="Y544" s="77"/>
      <c r="Z544" s="77"/>
      <c r="AI544" s="77"/>
    </row>
    <row r="545" spans="1:35">
      <c r="A545" s="326"/>
      <c r="C545" s="201"/>
      <c r="F545" s="76"/>
      <c r="G545" s="76"/>
      <c r="H545" s="76"/>
      <c r="I545" s="76"/>
      <c r="J545" s="76"/>
      <c r="K545" s="76"/>
      <c r="L545" s="76"/>
      <c r="M545" s="76"/>
      <c r="N545" s="76"/>
      <c r="O545" s="76"/>
      <c r="P545" s="76"/>
      <c r="Q545" s="76"/>
      <c r="R545" s="76"/>
      <c r="S545" s="76"/>
      <c r="T545" s="76"/>
      <c r="U545" s="76"/>
      <c r="V545" s="76"/>
      <c r="W545" s="76"/>
      <c r="X545" s="31"/>
      <c r="Y545" s="77"/>
      <c r="Z545" s="77"/>
      <c r="AI545" s="77"/>
    </row>
    <row r="546" spans="1:35">
      <c r="A546" s="326"/>
      <c r="C546" s="201"/>
      <c r="F546" s="76"/>
      <c r="G546" s="76"/>
      <c r="H546" s="76"/>
      <c r="I546" s="76"/>
      <c r="J546" s="76"/>
      <c r="K546" s="76"/>
      <c r="L546" s="76"/>
      <c r="M546" s="76"/>
      <c r="N546" s="76"/>
      <c r="O546" s="76"/>
      <c r="P546" s="76"/>
      <c r="Q546" s="76"/>
      <c r="R546" s="76"/>
      <c r="S546" s="76"/>
      <c r="T546" s="76"/>
      <c r="U546" s="76"/>
      <c r="V546" s="76"/>
      <c r="W546" s="76"/>
      <c r="X546" s="31"/>
      <c r="Y546" s="77"/>
      <c r="Z546" s="77"/>
      <c r="AI546" s="77"/>
    </row>
    <row r="547" spans="1:35">
      <c r="A547" s="326"/>
      <c r="C547" s="201"/>
      <c r="F547" s="76"/>
      <c r="G547" s="76"/>
      <c r="H547" s="76"/>
      <c r="I547" s="76"/>
      <c r="J547" s="76"/>
      <c r="K547" s="76"/>
      <c r="L547" s="76"/>
      <c r="M547" s="76"/>
      <c r="N547" s="76"/>
      <c r="O547" s="76"/>
      <c r="P547" s="76"/>
      <c r="Q547" s="76"/>
      <c r="R547" s="76"/>
      <c r="S547" s="76"/>
      <c r="T547" s="76"/>
      <c r="U547" s="76"/>
      <c r="V547" s="76"/>
      <c r="W547" s="76"/>
      <c r="X547" s="31"/>
      <c r="Y547" s="77"/>
      <c r="Z547" s="77"/>
      <c r="AI547" s="77"/>
    </row>
    <row r="548" spans="1:35">
      <c r="A548" s="326"/>
      <c r="C548" s="201"/>
      <c r="F548" s="76"/>
      <c r="G548" s="76"/>
      <c r="H548" s="76"/>
      <c r="I548" s="76"/>
      <c r="J548" s="76"/>
      <c r="K548" s="76"/>
      <c r="L548" s="76"/>
      <c r="M548" s="76"/>
      <c r="N548" s="76"/>
      <c r="O548" s="76"/>
      <c r="P548" s="76"/>
      <c r="Q548" s="76"/>
      <c r="R548" s="76"/>
      <c r="S548" s="76"/>
      <c r="T548" s="76"/>
      <c r="U548" s="76"/>
      <c r="V548" s="76"/>
      <c r="W548" s="76"/>
      <c r="X548" s="31"/>
      <c r="Y548" s="77"/>
      <c r="Z548" s="77"/>
      <c r="AI548" s="77"/>
    </row>
    <row r="549" spans="1:35">
      <c r="A549" s="326"/>
      <c r="C549" s="201"/>
      <c r="F549" s="76"/>
      <c r="G549" s="76"/>
      <c r="H549" s="76"/>
      <c r="I549" s="76"/>
      <c r="J549" s="76"/>
      <c r="K549" s="76"/>
      <c r="L549" s="76"/>
      <c r="M549" s="76"/>
      <c r="N549" s="76"/>
      <c r="O549" s="76"/>
      <c r="P549" s="76"/>
      <c r="Q549" s="76"/>
      <c r="R549" s="76"/>
      <c r="S549" s="76"/>
      <c r="T549" s="76"/>
      <c r="U549" s="76"/>
      <c r="V549" s="76"/>
      <c r="W549" s="76"/>
      <c r="X549" s="31"/>
      <c r="Y549" s="77"/>
      <c r="Z549" s="77"/>
      <c r="AI549" s="77"/>
    </row>
    <row r="550" spans="1:35">
      <c r="C550" s="201"/>
      <c r="F550" s="76"/>
      <c r="G550" s="76"/>
      <c r="H550" s="76"/>
      <c r="I550" s="76"/>
      <c r="J550" s="76"/>
      <c r="K550" s="76"/>
      <c r="L550" s="76"/>
      <c r="M550" s="76"/>
      <c r="N550" s="76"/>
      <c r="O550" s="76"/>
      <c r="P550" s="76"/>
      <c r="Q550" s="76"/>
      <c r="R550" s="76"/>
      <c r="S550" s="76"/>
      <c r="T550" s="76"/>
      <c r="U550" s="76"/>
      <c r="V550" s="76"/>
      <c r="W550" s="76"/>
      <c r="X550" s="31"/>
      <c r="Y550" s="77"/>
      <c r="Z550" s="77"/>
      <c r="AI550" s="77"/>
    </row>
    <row r="551" spans="1:35">
      <c r="A551" s="326"/>
      <c r="C551" s="201"/>
      <c r="F551" s="76"/>
      <c r="G551" s="76"/>
      <c r="H551" s="76"/>
      <c r="I551" s="76"/>
      <c r="J551" s="76"/>
      <c r="K551" s="76"/>
      <c r="L551" s="76"/>
      <c r="M551" s="76"/>
      <c r="N551" s="76"/>
      <c r="O551" s="76"/>
      <c r="P551" s="76"/>
      <c r="Q551" s="76"/>
      <c r="R551" s="76"/>
      <c r="S551" s="76"/>
      <c r="T551" s="76"/>
      <c r="U551" s="76"/>
      <c r="V551" s="76"/>
      <c r="W551" s="76"/>
      <c r="X551" s="31"/>
      <c r="Y551" s="77"/>
      <c r="Z551" s="77"/>
      <c r="AI551" s="77"/>
    </row>
    <row r="552" spans="1:35">
      <c r="A552" s="326"/>
      <c r="C552" s="201"/>
      <c r="F552" s="76"/>
      <c r="G552" s="76"/>
      <c r="H552" s="76"/>
      <c r="I552" s="76"/>
      <c r="J552" s="76"/>
      <c r="K552" s="76"/>
      <c r="L552" s="76"/>
      <c r="M552" s="76"/>
      <c r="N552" s="76"/>
      <c r="O552" s="76"/>
      <c r="P552" s="76"/>
      <c r="Q552" s="76"/>
      <c r="R552" s="76"/>
      <c r="S552" s="76"/>
      <c r="T552" s="76"/>
      <c r="U552" s="76"/>
      <c r="V552" s="76"/>
      <c r="W552" s="76"/>
      <c r="X552" s="31"/>
      <c r="Y552" s="77"/>
      <c r="Z552" s="77"/>
      <c r="AI552" s="77"/>
    </row>
    <row r="553" spans="1:35">
      <c r="A553" s="326"/>
      <c r="C553" s="201"/>
      <c r="F553" s="76"/>
      <c r="G553" s="76"/>
      <c r="H553" s="76"/>
      <c r="I553" s="76"/>
      <c r="J553" s="76"/>
      <c r="K553" s="76"/>
      <c r="L553" s="76"/>
      <c r="M553" s="76"/>
      <c r="N553" s="76"/>
      <c r="O553" s="76"/>
      <c r="P553" s="76"/>
      <c r="Q553" s="76"/>
      <c r="R553" s="76"/>
      <c r="S553" s="76"/>
      <c r="T553" s="76"/>
      <c r="U553" s="76"/>
      <c r="V553" s="76"/>
      <c r="W553" s="76"/>
      <c r="X553" s="31"/>
      <c r="Y553" s="77"/>
      <c r="Z553" s="77"/>
      <c r="AI553" s="77"/>
    </row>
    <row r="554" spans="1:35">
      <c r="A554" s="326"/>
      <c r="C554" s="201"/>
      <c r="F554" s="76"/>
      <c r="G554" s="76"/>
      <c r="H554" s="76"/>
      <c r="I554" s="76"/>
      <c r="J554" s="76"/>
      <c r="K554" s="76"/>
      <c r="L554" s="76"/>
      <c r="M554" s="76"/>
      <c r="N554" s="76"/>
      <c r="O554" s="76"/>
      <c r="P554" s="76"/>
      <c r="Q554" s="76"/>
      <c r="R554" s="76"/>
      <c r="S554" s="76"/>
      <c r="T554" s="76"/>
      <c r="U554" s="76"/>
      <c r="V554" s="76"/>
      <c r="W554" s="76"/>
      <c r="X554" s="31"/>
      <c r="Y554" s="77"/>
      <c r="Z554" s="77"/>
      <c r="AI554" s="77"/>
    </row>
    <row r="555" spans="1:35">
      <c r="A555" s="326"/>
      <c r="C555" s="201"/>
      <c r="F555" s="76"/>
      <c r="G555" s="76"/>
      <c r="H555" s="76"/>
      <c r="I555" s="76"/>
      <c r="J555" s="76"/>
      <c r="K555" s="76"/>
      <c r="L555" s="76"/>
      <c r="M555" s="76"/>
      <c r="N555" s="76"/>
      <c r="O555" s="76"/>
      <c r="P555" s="76"/>
      <c r="Q555" s="76"/>
      <c r="R555" s="76"/>
      <c r="S555" s="76"/>
      <c r="T555" s="76"/>
      <c r="U555" s="76"/>
      <c r="V555" s="76"/>
      <c r="W555" s="76"/>
      <c r="X555" s="31"/>
      <c r="Y555" s="77"/>
      <c r="Z555" s="77"/>
      <c r="AI555" s="77"/>
    </row>
    <row r="556" spans="1:35">
      <c r="A556" s="326"/>
      <c r="C556" s="201"/>
      <c r="F556" s="76"/>
      <c r="G556" s="76"/>
      <c r="H556" s="76"/>
      <c r="I556" s="76"/>
      <c r="J556" s="76"/>
      <c r="K556" s="76"/>
      <c r="L556" s="76"/>
      <c r="M556" s="76"/>
      <c r="N556" s="76"/>
      <c r="O556" s="76"/>
      <c r="P556" s="76"/>
      <c r="Q556" s="76"/>
      <c r="R556" s="76"/>
      <c r="S556" s="76"/>
      <c r="T556" s="76"/>
      <c r="U556" s="76"/>
      <c r="V556" s="76"/>
      <c r="W556" s="76"/>
      <c r="X556" s="31"/>
      <c r="Y556" s="77"/>
      <c r="Z556" s="77"/>
      <c r="AI556" s="77"/>
    </row>
    <row r="557" spans="1:35">
      <c r="A557" s="326"/>
      <c r="C557" s="201"/>
      <c r="F557" s="76"/>
      <c r="G557" s="76"/>
      <c r="H557" s="76"/>
      <c r="I557" s="76"/>
      <c r="J557" s="76"/>
      <c r="K557" s="76"/>
      <c r="L557" s="76"/>
      <c r="M557" s="76"/>
      <c r="N557" s="76"/>
      <c r="O557" s="76"/>
      <c r="P557" s="76"/>
      <c r="Q557" s="76"/>
      <c r="R557" s="76"/>
      <c r="S557" s="76"/>
      <c r="T557" s="76"/>
      <c r="U557" s="76"/>
      <c r="V557" s="76"/>
      <c r="W557" s="76"/>
      <c r="X557" s="31"/>
      <c r="Y557" s="77"/>
      <c r="Z557" s="77"/>
      <c r="AI557" s="77"/>
    </row>
    <row r="558" spans="1:35">
      <c r="A558" s="326"/>
      <c r="C558" s="201"/>
      <c r="F558" s="76"/>
      <c r="G558" s="76"/>
      <c r="H558" s="76"/>
      <c r="I558" s="76"/>
      <c r="J558" s="76"/>
      <c r="K558" s="76"/>
      <c r="L558" s="76"/>
      <c r="M558" s="76"/>
      <c r="N558" s="76"/>
      <c r="O558" s="76"/>
      <c r="P558" s="76"/>
      <c r="Q558" s="76"/>
      <c r="R558" s="76"/>
      <c r="S558" s="76"/>
      <c r="T558" s="76"/>
      <c r="U558" s="76"/>
      <c r="V558" s="76"/>
      <c r="W558" s="76"/>
      <c r="X558" s="31"/>
      <c r="Y558" s="77"/>
      <c r="Z558" s="77"/>
      <c r="AI558" s="77"/>
    </row>
    <row r="559" spans="1:35">
      <c r="A559" s="326"/>
      <c r="C559" s="201"/>
      <c r="F559" s="76"/>
      <c r="G559" s="76"/>
      <c r="H559" s="76"/>
      <c r="I559" s="76"/>
      <c r="J559" s="76"/>
      <c r="K559" s="76"/>
      <c r="L559" s="76"/>
      <c r="M559" s="76"/>
      <c r="N559" s="76"/>
      <c r="O559" s="76"/>
      <c r="P559" s="76"/>
      <c r="Q559" s="76"/>
      <c r="R559" s="76"/>
      <c r="S559" s="76"/>
      <c r="T559" s="76"/>
      <c r="U559" s="76"/>
      <c r="V559" s="76"/>
      <c r="W559" s="76"/>
      <c r="X559" s="31"/>
      <c r="Y559" s="77"/>
      <c r="Z559" s="77"/>
      <c r="AI559" s="77"/>
    </row>
    <row r="560" spans="1:35">
      <c r="A560" s="326"/>
      <c r="C560" s="201"/>
      <c r="F560" s="76"/>
      <c r="G560" s="76"/>
      <c r="H560" s="76"/>
      <c r="I560" s="76"/>
      <c r="J560" s="76"/>
      <c r="K560" s="76"/>
      <c r="L560" s="76"/>
      <c r="M560" s="76"/>
      <c r="N560" s="76"/>
      <c r="O560" s="76"/>
      <c r="P560" s="76"/>
      <c r="Q560" s="76"/>
      <c r="R560" s="76"/>
      <c r="S560" s="76"/>
      <c r="T560" s="76"/>
      <c r="U560" s="76"/>
      <c r="V560" s="76"/>
      <c r="W560" s="76"/>
      <c r="X560" s="31"/>
      <c r="Y560" s="77"/>
      <c r="Z560" s="77"/>
      <c r="AI560" s="77"/>
    </row>
    <row r="561" spans="1:35">
      <c r="A561" s="326"/>
      <c r="C561" s="201"/>
      <c r="F561" s="76"/>
      <c r="G561" s="76"/>
      <c r="H561" s="76"/>
      <c r="I561" s="76"/>
      <c r="J561" s="76"/>
      <c r="K561" s="76"/>
      <c r="L561" s="76"/>
      <c r="M561" s="76"/>
      <c r="N561" s="76"/>
      <c r="O561" s="76"/>
      <c r="P561" s="76"/>
      <c r="Q561" s="76"/>
      <c r="R561" s="76"/>
      <c r="S561" s="76"/>
      <c r="T561" s="76"/>
      <c r="U561" s="76"/>
      <c r="V561" s="76"/>
      <c r="W561" s="76"/>
      <c r="X561" s="31"/>
      <c r="Y561" s="77"/>
      <c r="Z561" s="77"/>
      <c r="AI561" s="77"/>
    </row>
    <row r="562" spans="1:35">
      <c r="A562" s="326"/>
      <c r="C562" s="201"/>
      <c r="F562" s="76"/>
      <c r="G562" s="76"/>
      <c r="H562" s="76"/>
      <c r="I562" s="76"/>
      <c r="J562" s="76"/>
      <c r="K562" s="76"/>
      <c r="L562" s="76"/>
      <c r="M562" s="76"/>
      <c r="N562" s="76"/>
      <c r="O562" s="76"/>
      <c r="P562" s="76"/>
      <c r="Q562" s="76"/>
      <c r="R562" s="76"/>
      <c r="S562" s="76"/>
      <c r="T562" s="76"/>
      <c r="U562" s="76"/>
      <c r="V562" s="76"/>
      <c r="W562" s="76"/>
      <c r="X562" s="31"/>
      <c r="Y562" s="77"/>
      <c r="Z562" s="77"/>
      <c r="AI562" s="77"/>
    </row>
    <row r="563" spans="1:35">
      <c r="A563" s="326"/>
      <c r="C563" s="201"/>
      <c r="F563" s="76"/>
      <c r="G563" s="76"/>
      <c r="H563" s="76"/>
      <c r="I563" s="76"/>
      <c r="J563" s="76"/>
      <c r="K563" s="76"/>
      <c r="L563" s="76"/>
      <c r="M563" s="76"/>
      <c r="N563" s="76"/>
      <c r="O563" s="76"/>
      <c r="P563" s="76"/>
      <c r="Q563" s="76"/>
      <c r="R563" s="76"/>
      <c r="S563" s="76"/>
      <c r="T563" s="76"/>
      <c r="U563" s="76"/>
      <c r="V563" s="76"/>
      <c r="W563" s="76"/>
      <c r="X563" s="31"/>
      <c r="Y563" s="77"/>
      <c r="Z563" s="77"/>
      <c r="AI563" s="77"/>
    </row>
    <row r="564" spans="1:35">
      <c r="A564" s="326"/>
      <c r="C564" s="201"/>
      <c r="F564" s="76"/>
      <c r="G564" s="76"/>
      <c r="H564" s="76"/>
      <c r="I564" s="76"/>
      <c r="J564" s="76"/>
      <c r="K564" s="76"/>
      <c r="L564" s="76"/>
      <c r="M564" s="76"/>
      <c r="N564" s="76"/>
      <c r="O564" s="76"/>
      <c r="P564" s="76"/>
      <c r="Q564" s="76"/>
      <c r="R564" s="76"/>
      <c r="S564" s="76"/>
      <c r="T564" s="76"/>
      <c r="U564" s="76"/>
      <c r="V564" s="76"/>
      <c r="W564" s="76"/>
      <c r="X564" s="31"/>
      <c r="Y564" s="77"/>
      <c r="Z564" s="77"/>
      <c r="AI564" s="77"/>
    </row>
    <row r="565" spans="1:35">
      <c r="A565" s="326"/>
      <c r="C565" s="201"/>
      <c r="F565" s="76"/>
      <c r="G565" s="76"/>
      <c r="H565" s="76"/>
      <c r="I565" s="76"/>
      <c r="J565" s="76"/>
      <c r="K565" s="76"/>
      <c r="L565" s="76"/>
      <c r="M565" s="76"/>
      <c r="N565" s="76"/>
      <c r="O565" s="76"/>
      <c r="P565" s="76"/>
      <c r="Q565" s="76"/>
      <c r="R565" s="76"/>
      <c r="S565" s="76"/>
      <c r="T565" s="76"/>
      <c r="U565" s="76"/>
      <c r="V565" s="76"/>
      <c r="W565" s="76"/>
      <c r="X565" s="31"/>
      <c r="Y565" s="77"/>
      <c r="Z565" s="77"/>
      <c r="AI565" s="77"/>
    </row>
    <row r="566" spans="1:35">
      <c r="A566" s="326"/>
      <c r="C566" s="201"/>
      <c r="F566" s="76"/>
      <c r="G566" s="76"/>
      <c r="H566" s="76"/>
      <c r="I566" s="76"/>
      <c r="J566" s="76"/>
      <c r="K566" s="76"/>
      <c r="L566" s="76"/>
      <c r="M566" s="76"/>
      <c r="N566" s="76"/>
      <c r="O566" s="76"/>
      <c r="P566" s="76"/>
      <c r="Q566" s="76"/>
      <c r="R566" s="76"/>
      <c r="S566" s="76"/>
      <c r="T566" s="76"/>
      <c r="U566" s="76"/>
      <c r="V566" s="76"/>
      <c r="W566" s="76"/>
      <c r="X566" s="31"/>
      <c r="Y566" s="77"/>
      <c r="Z566" s="77"/>
      <c r="AI566" s="77"/>
    </row>
    <row r="567" spans="1:35">
      <c r="A567" s="326"/>
      <c r="C567" s="201"/>
      <c r="F567" s="76"/>
      <c r="G567" s="76"/>
      <c r="H567" s="76"/>
      <c r="I567" s="76"/>
      <c r="J567" s="76"/>
      <c r="K567" s="76"/>
      <c r="L567" s="76"/>
      <c r="M567" s="76"/>
      <c r="N567" s="76"/>
      <c r="O567" s="76"/>
      <c r="P567" s="76"/>
      <c r="Q567" s="76"/>
      <c r="R567" s="76"/>
      <c r="S567" s="76"/>
      <c r="T567" s="76"/>
      <c r="U567" s="76"/>
      <c r="V567" s="76"/>
      <c r="W567" s="76"/>
      <c r="X567" s="31"/>
      <c r="Y567" s="77"/>
      <c r="Z567" s="77"/>
      <c r="AI567" s="77"/>
    </row>
    <row r="568" spans="1:35">
      <c r="A568" s="326"/>
      <c r="C568" s="201"/>
      <c r="F568" s="76"/>
      <c r="G568" s="76"/>
      <c r="H568" s="76"/>
      <c r="I568" s="76"/>
      <c r="J568" s="76"/>
      <c r="K568" s="76"/>
      <c r="L568" s="76"/>
      <c r="M568" s="76"/>
      <c r="N568" s="76"/>
      <c r="O568" s="76"/>
      <c r="P568" s="76"/>
      <c r="Q568" s="76"/>
      <c r="R568" s="76"/>
      <c r="S568" s="76"/>
      <c r="T568" s="76"/>
      <c r="U568" s="76"/>
      <c r="V568" s="76"/>
      <c r="W568" s="76"/>
      <c r="X568" s="31"/>
      <c r="Y568" s="77"/>
      <c r="Z568" s="77"/>
      <c r="AI568" s="77"/>
    </row>
    <row r="569" spans="1:35">
      <c r="A569" s="326"/>
      <c r="C569" s="201"/>
      <c r="F569" s="76"/>
      <c r="G569" s="76"/>
      <c r="H569" s="76"/>
      <c r="I569" s="76"/>
      <c r="J569" s="76"/>
      <c r="K569" s="76"/>
      <c r="L569" s="76"/>
      <c r="M569" s="76"/>
      <c r="N569" s="76"/>
      <c r="O569" s="76"/>
      <c r="P569" s="76"/>
      <c r="Q569" s="76"/>
      <c r="R569" s="76"/>
      <c r="S569" s="76"/>
      <c r="T569" s="76"/>
      <c r="U569" s="76"/>
      <c r="V569" s="76"/>
      <c r="W569" s="76"/>
      <c r="X569" s="31"/>
      <c r="Y569" s="77"/>
      <c r="Z569" s="77"/>
      <c r="AI569" s="77"/>
    </row>
    <row r="570" spans="1:35">
      <c r="A570" s="326"/>
      <c r="C570" s="201"/>
      <c r="F570" s="76"/>
      <c r="G570" s="76"/>
      <c r="H570" s="76"/>
      <c r="I570" s="76"/>
      <c r="J570" s="76"/>
      <c r="K570" s="76"/>
      <c r="L570" s="76"/>
      <c r="M570" s="76"/>
      <c r="N570" s="76"/>
      <c r="O570" s="76"/>
      <c r="P570" s="76"/>
      <c r="Q570" s="76"/>
      <c r="R570" s="76"/>
      <c r="S570" s="76"/>
      <c r="T570" s="76"/>
      <c r="U570" s="76"/>
      <c r="V570" s="76"/>
      <c r="W570" s="76"/>
      <c r="X570" s="31"/>
      <c r="Y570" s="77"/>
      <c r="Z570" s="77"/>
      <c r="AI570" s="77"/>
    </row>
    <row r="571" spans="1:35">
      <c r="A571" s="326"/>
      <c r="C571" s="201"/>
      <c r="F571" s="76"/>
      <c r="G571" s="76"/>
      <c r="H571" s="76"/>
      <c r="I571" s="76"/>
      <c r="J571" s="76"/>
      <c r="K571" s="76"/>
      <c r="L571" s="76"/>
      <c r="M571" s="76"/>
      <c r="N571" s="76"/>
      <c r="O571" s="76"/>
      <c r="P571" s="76"/>
      <c r="Q571" s="76"/>
      <c r="R571" s="76"/>
      <c r="S571" s="76"/>
      <c r="T571" s="76"/>
      <c r="U571" s="76"/>
      <c r="V571" s="76"/>
      <c r="W571" s="76"/>
      <c r="X571" s="31"/>
      <c r="Y571" s="77"/>
      <c r="Z571" s="77"/>
      <c r="AI571" s="77"/>
    </row>
    <row r="572" spans="1:35">
      <c r="A572" s="326"/>
      <c r="C572" s="201"/>
      <c r="F572" s="76"/>
      <c r="G572" s="76"/>
      <c r="H572" s="76"/>
      <c r="I572" s="76"/>
      <c r="J572" s="76"/>
      <c r="K572" s="76"/>
      <c r="L572" s="76"/>
      <c r="M572" s="76"/>
      <c r="N572" s="76"/>
      <c r="O572" s="76"/>
      <c r="P572" s="76"/>
      <c r="Q572" s="76"/>
      <c r="R572" s="76"/>
      <c r="S572" s="76"/>
      <c r="T572" s="76"/>
      <c r="U572" s="76"/>
      <c r="V572" s="76"/>
      <c r="W572" s="76"/>
      <c r="X572" s="31"/>
      <c r="Y572" s="77"/>
      <c r="Z572" s="77"/>
      <c r="AI572" s="77"/>
    </row>
    <row r="573" spans="1:35">
      <c r="A573" s="326"/>
      <c r="C573" s="201"/>
      <c r="F573" s="76"/>
      <c r="G573" s="76"/>
      <c r="H573" s="76"/>
      <c r="I573" s="76"/>
      <c r="J573" s="76"/>
      <c r="K573" s="76"/>
      <c r="L573" s="76"/>
      <c r="M573" s="76"/>
      <c r="N573" s="76"/>
      <c r="O573" s="76"/>
      <c r="P573" s="76"/>
      <c r="Q573" s="76"/>
      <c r="R573" s="76"/>
      <c r="S573" s="76"/>
      <c r="T573" s="76"/>
      <c r="U573" s="76"/>
      <c r="V573" s="76"/>
      <c r="W573" s="76"/>
      <c r="X573" s="31"/>
      <c r="Y573" s="77"/>
      <c r="Z573" s="77"/>
      <c r="AI573" s="77"/>
    </row>
    <row r="574" spans="1:35">
      <c r="A574" s="326"/>
      <c r="C574" s="201"/>
      <c r="F574" s="76"/>
      <c r="G574" s="76"/>
      <c r="H574" s="76"/>
      <c r="I574" s="76"/>
      <c r="J574" s="76"/>
      <c r="K574" s="76"/>
      <c r="L574" s="76"/>
      <c r="M574" s="76"/>
      <c r="N574" s="76"/>
      <c r="O574" s="76"/>
      <c r="P574" s="76"/>
      <c r="Q574" s="76"/>
      <c r="R574" s="76"/>
      <c r="S574" s="76"/>
      <c r="T574" s="76"/>
      <c r="U574" s="76"/>
      <c r="V574" s="76"/>
      <c r="W574" s="76"/>
      <c r="X574" s="31"/>
      <c r="Y574" s="77"/>
      <c r="Z574" s="77"/>
      <c r="AI574" s="77"/>
    </row>
    <row r="575" spans="1:35">
      <c r="A575" s="326"/>
      <c r="C575" s="201"/>
      <c r="F575" s="76"/>
      <c r="G575" s="76"/>
      <c r="H575" s="76"/>
      <c r="I575" s="76"/>
      <c r="J575" s="76"/>
      <c r="K575" s="76"/>
      <c r="L575" s="76"/>
      <c r="M575" s="76"/>
      <c r="N575" s="76"/>
      <c r="O575" s="76"/>
      <c r="P575" s="76"/>
      <c r="Q575" s="76"/>
      <c r="R575" s="76"/>
      <c r="S575" s="76"/>
      <c r="T575" s="76"/>
      <c r="U575" s="76"/>
      <c r="V575" s="76"/>
      <c r="W575" s="76"/>
      <c r="X575" s="31"/>
      <c r="Y575" s="77"/>
      <c r="Z575" s="77"/>
      <c r="AI575" s="77"/>
    </row>
    <row r="576" spans="1:35">
      <c r="A576" s="326"/>
      <c r="C576" s="201"/>
      <c r="F576" s="76"/>
      <c r="G576" s="76"/>
      <c r="H576" s="76"/>
      <c r="I576" s="76"/>
      <c r="J576" s="76"/>
      <c r="K576" s="76"/>
      <c r="L576" s="76"/>
      <c r="M576" s="76"/>
      <c r="N576" s="76"/>
      <c r="O576" s="76"/>
      <c r="P576" s="76"/>
      <c r="Q576" s="76"/>
      <c r="R576" s="76"/>
      <c r="S576" s="76"/>
      <c r="T576" s="76"/>
      <c r="U576" s="76"/>
      <c r="V576" s="76"/>
      <c r="W576" s="76"/>
      <c r="X576" s="31"/>
      <c r="Y576" s="77"/>
      <c r="Z576" s="77"/>
      <c r="AI576" s="77"/>
    </row>
    <row r="577" spans="1:35">
      <c r="A577" s="326"/>
      <c r="C577" s="201"/>
      <c r="F577" s="76"/>
      <c r="G577" s="76"/>
      <c r="H577" s="76"/>
      <c r="I577" s="76"/>
      <c r="J577" s="76"/>
      <c r="K577" s="76"/>
      <c r="L577" s="76"/>
      <c r="M577" s="76"/>
      <c r="N577" s="76"/>
      <c r="O577" s="76"/>
      <c r="P577" s="76"/>
      <c r="Q577" s="76"/>
      <c r="R577" s="76"/>
      <c r="S577" s="76"/>
      <c r="T577" s="76"/>
      <c r="U577" s="76"/>
      <c r="V577" s="76"/>
      <c r="W577" s="76"/>
      <c r="X577" s="31"/>
      <c r="Y577" s="77"/>
      <c r="Z577" s="77"/>
      <c r="AI577" s="77"/>
    </row>
    <row r="578" spans="1:35">
      <c r="A578" s="326"/>
      <c r="C578" s="201"/>
      <c r="F578" s="76"/>
      <c r="G578" s="76"/>
      <c r="H578" s="76"/>
      <c r="I578" s="76"/>
      <c r="J578" s="76"/>
      <c r="K578" s="76"/>
      <c r="L578" s="76"/>
      <c r="M578" s="76"/>
      <c r="N578" s="76"/>
      <c r="O578" s="76"/>
      <c r="P578" s="76"/>
      <c r="Q578" s="76"/>
      <c r="R578" s="76"/>
      <c r="S578" s="76"/>
      <c r="T578" s="76"/>
      <c r="U578" s="76"/>
      <c r="V578" s="76"/>
      <c r="W578" s="76"/>
      <c r="X578" s="31"/>
      <c r="Y578" s="77"/>
      <c r="Z578" s="77"/>
      <c r="AI578" s="77"/>
    </row>
    <row r="579" spans="1:35">
      <c r="A579" s="326"/>
      <c r="C579" s="201"/>
      <c r="F579" s="76"/>
      <c r="G579" s="76"/>
      <c r="H579" s="76"/>
      <c r="I579" s="76"/>
      <c r="J579" s="76"/>
      <c r="K579" s="76"/>
      <c r="L579" s="76"/>
      <c r="M579" s="76"/>
      <c r="N579" s="76"/>
      <c r="O579" s="76"/>
      <c r="P579" s="76"/>
      <c r="Q579" s="76"/>
      <c r="R579" s="76"/>
      <c r="S579" s="76"/>
      <c r="T579" s="76"/>
      <c r="U579" s="76"/>
      <c r="V579" s="76"/>
      <c r="W579" s="76"/>
      <c r="X579" s="31"/>
      <c r="Y579" s="77"/>
      <c r="Z579" s="77"/>
      <c r="AI579" s="77"/>
    </row>
    <row r="580" spans="1:35">
      <c r="A580" s="326"/>
      <c r="C580" s="201"/>
      <c r="F580" s="76"/>
      <c r="G580" s="76"/>
      <c r="H580" s="76"/>
      <c r="I580" s="76"/>
      <c r="J580" s="76"/>
      <c r="K580" s="76"/>
      <c r="L580" s="76"/>
      <c r="M580" s="76"/>
      <c r="N580" s="76"/>
      <c r="O580" s="76"/>
      <c r="P580" s="76"/>
      <c r="Q580" s="76"/>
      <c r="R580" s="76"/>
      <c r="S580" s="76"/>
      <c r="T580" s="76"/>
      <c r="U580" s="76"/>
      <c r="V580" s="76"/>
      <c r="W580" s="76"/>
      <c r="X580" s="31"/>
      <c r="Y580" s="77"/>
      <c r="Z580" s="77"/>
      <c r="AI580" s="77"/>
    </row>
    <row r="581" spans="1:35">
      <c r="A581" s="326"/>
      <c r="C581" s="201"/>
      <c r="F581" s="76"/>
      <c r="G581" s="76"/>
      <c r="H581" s="76"/>
      <c r="I581" s="76"/>
      <c r="J581" s="76"/>
      <c r="K581" s="76"/>
      <c r="L581" s="76"/>
      <c r="M581" s="76"/>
      <c r="N581" s="76"/>
      <c r="O581" s="76"/>
      <c r="P581" s="76"/>
      <c r="Q581" s="76"/>
      <c r="R581" s="76"/>
      <c r="S581" s="76"/>
      <c r="T581" s="76"/>
      <c r="U581" s="76"/>
      <c r="V581" s="76"/>
      <c r="W581" s="76"/>
      <c r="X581" s="31"/>
      <c r="Y581" s="77"/>
      <c r="Z581" s="77"/>
      <c r="AI581" s="77"/>
    </row>
    <row r="582" spans="1:35">
      <c r="A582" s="326"/>
      <c r="C582" s="201"/>
      <c r="F582" s="76"/>
      <c r="G582" s="76"/>
      <c r="H582" s="76"/>
      <c r="I582" s="76"/>
      <c r="J582" s="76"/>
      <c r="K582" s="76"/>
      <c r="L582" s="76"/>
      <c r="M582" s="76"/>
      <c r="N582" s="76"/>
      <c r="O582" s="76"/>
      <c r="P582" s="76"/>
      <c r="Q582" s="76"/>
      <c r="R582" s="76"/>
      <c r="S582" s="76"/>
      <c r="T582" s="76"/>
      <c r="U582" s="76"/>
      <c r="V582" s="76"/>
      <c r="W582" s="76"/>
      <c r="X582" s="31"/>
      <c r="Y582" s="77"/>
      <c r="Z582" s="77"/>
      <c r="AI582" s="77"/>
    </row>
    <row r="583" spans="1:35">
      <c r="A583" s="326"/>
      <c r="C583" s="201"/>
      <c r="F583" s="76"/>
      <c r="G583" s="76"/>
      <c r="H583" s="76"/>
      <c r="I583" s="76"/>
      <c r="J583" s="76"/>
      <c r="K583" s="76"/>
      <c r="L583" s="76"/>
      <c r="M583" s="76"/>
      <c r="N583" s="76"/>
      <c r="O583" s="76"/>
      <c r="P583" s="76"/>
      <c r="Q583" s="76"/>
      <c r="R583" s="76"/>
      <c r="S583" s="76"/>
      <c r="T583" s="76"/>
      <c r="U583" s="76"/>
      <c r="V583" s="76"/>
      <c r="W583" s="76"/>
      <c r="X583" s="31"/>
      <c r="Y583" s="77"/>
      <c r="Z583" s="77"/>
      <c r="AI583" s="77"/>
    </row>
    <row r="584" spans="1:35">
      <c r="A584" s="326"/>
      <c r="C584" s="201"/>
      <c r="F584" s="76"/>
      <c r="G584" s="76"/>
      <c r="H584" s="76"/>
      <c r="I584" s="76"/>
      <c r="J584" s="76"/>
      <c r="K584" s="76"/>
      <c r="L584" s="76"/>
      <c r="M584" s="76"/>
      <c r="N584" s="76"/>
      <c r="O584" s="76"/>
      <c r="P584" s="76"/>
      <c r="Q584" s="76"/>
      <c r="R584" s="76"/>
      <c r="S584" s="76"/>
      <c r="T584" s="76"/>
      <c r="U584" s="76"/>
      <c r="V584" s="76"/>
      <c r="W584" s="76"/>
      <c r="X584" s="31"/>
      <c r="Y584" s="77"/>
      <c r="Z584" s="77"/>
      <c r="AI584" s="77"/>
    </row>
    <row r="585" spans="1:35">
      <c r="A585" s="326"/>
      <c r="C585" s="201"/>
      <c r="F585" s="76"/>
      <c r="G585" s="76"/>
      <c r="H585" s="76"/>
      <c r="I585" s="76"/>
      <c r="J585" s="76"/>
      <c r="K585" s="76"/>
      <c r="L585" s="76"/>
      <c r="M585" s="76"/>
      <c r="N585" s="76"/>
      <c r="O585" s="76"/>
      <c r="P585" s="76"/>
      <c r="Q585" s="76"/>
      <c r="R585" s="76"/>
      <c r="S585" s="76"/>
      <c r="T585" s="76"/>
      <c r="U585" s="76"/>
      <c r="V585" s="76"/>
      <c r="W585" s="76"/>
      <c r="X585" s="31"/>
      <c r="Y585" s="77"/>
      <c r="Z585" s="77"/>
      <c r="AI585" s="77"/>
    </row>
    <row r="586" spans="1:35">
      <c r="A586" s="326"/>
      <c r="C586" s="201"/>
      <c r="F586" s="76"/>
      <c r="G586" s="76"/>
      <c r="H586" s="76"/>
      <c r="I586" s="76"/>
      <c r="J586" s="76"/>
      <c r="K586" s="76"/>
      <c r="L586" s="76"/>
      <c r="M586" s="76"/>
      <c r="N586" s="76"/>
      <c r="O586" s="76"/>
      <c r="P586" s="76"/>
      <c r="Q586" s="76"/>
      <c r="R586" s="76"/>
      <c r="S586" s="76"/>
      <c r="T586" s="76"/>
      <c r="U586" s="76"/>
      <c r="V586" s="76"/>
      <c r="W586" s="76"/>
      <c r="X586" s="31"/>
      <c r="Y586" s="77"/>
      <c r="Z586" s="77"/>
      <c r="AI586" s="77"/>
    </row>
    <row r="587" spans="1:35">
      <c r="A587" s="326"/>
      <c r="C587" s="201"/>
      <c r="F587" s="76"/>
      <c r="G587" s="76"/>
      <c r="H587" s="76"/>
      <c r="I587" s="76"/>
      <c r="J587" s="76"/>
      <c r="K587" s="76"/>
      <c r="L587" s="76"/>
      <c r="M587" s="76"/>
      <c r="N587" s="76"/>
      <c r="O587" s="76"/>
      <c r="P587" s="76"/>
      <c r="Q587" s="76"/>
      <c r="R587" s="76"/>
      <c r="S587" s="76"/>
      <c r="T587" s="76"/>
      <c r="U587" s="76"/>
      <c r="V587" s="76"/>
      <c r="W587" s="76"/>
      <c r="X587" s="31"/>
      <c r="Y587" s="77"/>
      <c r="Z587" s="77"/>
      <c r="AI587" s="77"/>
    </row>
    <row r="588" spans="1:35">
      <c r="A588" s="326"/>
      <c r="C588" s="201"/>
      <c r="F588" s="76"/>
      <c r="G588" s="76"/>
      <c r="H588" s="76"/>
      <c r="I588" s="76"/>
      <c r="J588" s="76"/>
      <c r="K588" s="76"/>
      <c r="L588" s="76"/>
      <c r="M588" s="76"/>
      <c r="N588" s="76"/>
      <c r="O588" s="76"/>
      <c r="P588" s="76"/>
      <c r="Q588" s="76"/>
      <c r="R588" s="76"/>
      <c r="S588" s="76"/>
      <c r="T588" s="76"/>
      <c r="U588" s="76"/>
      <c r="V588" s="76"/>
      <c r="W588" s="76"/>
      <c r="X588" s="31"/>
      <c r="Y588" s="77"/>
      <c r="Z588" s="77"/>
      <c r="AI588" s="77"/>
    </row>
    <row r="589" spans="1:35">
      <c r="A589" s="326"/>
      <c r="C589" s="201"/>
      <c r="F589" s="76"/>
      <c r="G589" s="76"/>
      <c r="H589" s="76"/>
      <c r="I589" s="76"/>
      <c r="J589" s="76"/>
      <c r="K589" s="76"/>
      <c r="L589" s="76"/>
      <c r="M589" s="76"/>
      <c r="N589" s="76"/>
      <c r="O589" s="76"/>
      <c r="P589" s="76"/>
      <c r="Q589" s="76"/>
      <c r="R589" s="76"/>
      <c r="S589" s="76"/>
      <c r="T589" s="76"/>
      <c r="U589" s="76"/>
      <c r="V589" s="76"/>
      <c r="W589" s="76"/>
      <c r="X589" s="31"/>
      <c r="Y589" s="77"/>
      <c r="Z589" s="77"/>
      <c r="AI589" s="77"/>
    </row>
    <row r="590" spans="1:35">
      <c r="A590" s="326"/>
      <c r="C590" s="201"/>
      <c r="F590" s="76"/>
      <c r="G590" s="76"/>
      <c r="H590" s="76"/>
      <c r="I590" s="76"/>
      <c r="J590" s="76"/>
      <c r="K590" s="76"/>
      <c r="L590" s="76"/>
      <c r="M590" s="76"/>
      <c r="N590" s="76"/>
      <c r="O590" s="76"/>
      <c r="P590" s="76"/>
      <c r="Q590" s="76"/>
      <c r="R590" s="76"/>
      <c r="S590" s="76"/>
      <c r="T590" s="76"/>
      <c r="U590" s="76"/>
      <c r="V590" s="76"/>
      <c r="W590" s="76"/>
      <c r="X590" s="31"/>
      <c r="Y590" s="77"/>
      <c r="Z590" s="77"/>
      <c r="AI590" s="77"/>
    </row>
    <row r="591" spans="1:35">
      <c r="A591" s="326"/>
      <c r="C591" s="201"/>
      <c r="F591" s="76"/>
      <c r="G591" s="76"/>
      <c r="H591" s="76"/>
      <c r="I591" s="76"/>
      <c r="J591" s="76"/>
      <c r="K591" s="76"/>
      <c r="L591" s="76"/>
      <c r="M591" s="76"/>
      <c r="N591" s="76"/>
      <c r="O591" s="76"/>
      <c r="P591" s="76"/>
      <c r="Q591" s="76"/>
      <c r="R591" s="76"/>
      <c r="S591" s="76"/>
      <c r="T591" s="76"/>
      <c r="U591" s="76"/>
      <c r="V591" s="76"/>
      <c r="W591" s="76"/>
      <c r="X591" s="31"/>
      <c r="Y591" s="77"/>
      <c r="Z591" s="77"/>
      <c r="AI591" s="77"/>
    </row>
    <row r="592" spans="1:35">
      <c r="A592" s="326"/>
      <c r="C592" s="201"/>
      <c r="F592" s="76"/>
      <c r="G592" s="76"/>
      <c r="H592" s="76"/>
      <c r="I592" s="76"/>
      <c r="J592" s="76"/>
      <c r="K592" s="76"/>
      <c r="L592" s="76"/>
      <c r="M592" s="76"/>
      <c r="N592" s="76"/>
      <c r="O592" s="76"/>
      <c r="P592" s="76"/>
      <c r="Q592" s="76"/>
      <c r="R592" s="76"/>
      <c r="S592" s="76"/>
      <c r="T592" s="76"/>
      <c r="U592" s="76"/>
      <c r="V592" s="76"/>
      <c r="W592" s="76"/>
      <c r="X592" s="31"/>
      <c r="Y592" s="77"/>
      <c r="Z592" s="77"/>
      <c r="AI592" s="77"/>
    </row>
    <row r="593" spans="1:35">
      <c r="A593" s="326"/>
      <c r="C593" s="201"/>
      <c r="F593" s="76"/>
      <c r="G593" s="76"/>
      <c r="H593" s="76"/>
      <c r="I593" s="76"/>
      <c r="J593" s="76"/>
      <c r="K593" s="76"/>
      <c r="L593" s="76"/>
      <c r="M593" s="76"/>
      <c r="N593" s="76"/>
      <c r="O593" s="76"/>
      <c r="P593" s="76"/>
      <c r="Q593" s="76"/>
      <c r="R593" s="76"/>
      <c r="S593" s="76"/>
      <c r="T593" s="76"/>
      <c r="U593" s="76"/>
      <c r="V593" s="76"/>
      <c r="W593" s="76"/>
      <c r="X593" s="31"/>
      <c r="Y593" s="77"/>
      <c r="Z593" s="77"/>
      <c r="AI593" s="77"/>
    </row>
    <row r="594" spans="1:35">
      <c r="A594" s="326"/>
      <c r="C594" s="201"/>
      <c r="F594" s="76"/>
      <c r="G594" s="76"/>
      <c r="H594" s="76"/>
      <c r="I594" s="76"/>
      <c r="J594" s="76"/>
      <c r="K594" s="76"/>
      <c r="L594" s="76"/>
      <c r="M594" s="76"/>
      <c r="N594" s="76"/>
      <c r="O594" s="76"/>
      <c r="P594" s="76"/>
      <c r="Q594" s="76"/>
      <c r="R594" s="76"/>
      <c r="S594" s="76"/>
      <c r="T594" s="76"/>
      <c r="U594" s="76"/>
      <c r="V594" s="76"/>
      <c r="W594" s="76"/>
      <c r="X594" s="31"/>
      <c r="Y594" s="77"/>
      <c r="Z594" s="77"/>
      <c r="AI594" s="77"/>
    </row>
    <row r="595" spans="1:35">
      <c r="A595" s="326"/>
      <c r="C595" s="201"/>
      <c r="F595" s="76"/>
      <c r="G595" s="76"/>
      <c r="H595" s="76"/>
      <c r="I595" s="76"/>
      <c r="J595" s="76"/>
      <c r="K595" s="76"/>
      <c r="L595" s="76"/>
      <c r="M595" s="76"/>
      <c r="N595" s="76"/>
      <c r="O595" s="76"/>
      <c r="P595" s="76"/>
      <c r="Q595" s="76"/>
      <c r="R595" s="76"/>
      <c r="S595" s="76"/>
      <c r="T595" s="76"/>
      <c r="U595" s="76"/>
      <c r="V595" s="76"/>
      <c r="W595" s="76"/>
      <c r="X595" s="31"/>
      <c r="Y595" s="77"/>
      <c r="Z595" s="77"/>
      <c r="AI595" s="77"/>
    </row>
    <row r="596" spans="1:35">
      <c r="A596" s="326"/>
      <c r="C596" s="201"/>
      <c r="F596" s="76"/>
      <c r="G596" s="76"/>
      <c r="H596" s="76"/>
      <c r="I596" s="76"/>
      <c r="J596" s="76"/>
      <c r="K596" s="76"/>
      <c r="L596" s="76"/>
      <c r="M596" s="76"/>
      <c r="N596" s="76"/>
      <c r="O596" s="76"/>
      <c r="P596" s="76"/>
      <c r="Q596" s="76"/>
      <c r="R596" s="76"/>
      <c r="S596" s="76"/>
      <c r="T596" s="76"/>
      <c r="U596" s="76"/>
      <c r="V596" s="76"/>
      <c r="W596" s="76"/>
      <c r="X596" s="31"/>
      <c r="Y596" s="77"/>
      <c r="Z596" s="77"/>
      <c r="AI596" s="77"/>
    </row>
    <row r="597" spans="1:35">
      <c r="A597" s="326"/>
      <c r="C597" s="201"/>
      <c r="F597" s="76"/>
      <c r="G597" s="76"/>
      <c r="H597" s="76"/>
      <c r="I597" s="76"/>
      <c r="J597" s="76"/>
      <c r="K597" s="76"/>
      <c r="L597" s="76"/>
      <c r="M597" s="76"/>
      <c r="N597" s="76"/>
      <c r="O597" s="76"/>
      <c r="P597" s="76"/>
      <c r="Q597" s="76"/>
      <c r="R597" s="76"/>
      <c r="S597" s="76"/>
      <c r="T597" s="76"/>
      <c r="U597" s="76"/>
      <c r="V597" s="76"/>
      <c r="W597" s="76"/>
      <c r="X597" s="31"/>
      <c r="Y597" s="77"/>
      <c r="Z597" s="77"/>
      <c r="AI597" s="77"/>
    </row>
    <row r="598" spans="1:35">
      <c r="A598" s="326"/>
      <c r="C598" s="201"/>
      <c r="F598" s="76"/>
      <c r="G598" s="76"/>
      <c r="H598" s="76"/>
      <c r="I598" s="76"/>
      <c r="J598" s="76"/>
      <c r="K598" s="76"/>
      <c r="L598" s="76"/>
      <c r="M598" s="76"/>
      <c r="N598" s="76"/>
      <c r="O598" s="76"/>
      <c r="P598" s="76"/>
      <c r="Q598" s="76"/>
      <c r="R598" s="76"/>
      <c r="S598" s="76"/>
      <c r="T598" s="76"/>
      <c r="U598" s="76"/>
      <c r="V598" s="76"/>
      <c r="W598" s="76"/>
      <c r="X598" s="31"/>
      <c r="Y598" s="77"/>
      <c r="Z598" s="77"/>
      <c r="AI598" s="77"/>
    </row>
    <row r="599" spans="1:35">
      <c r="A599" s="326"/>
      <c r="C599" s="201"/>
      <c r="F599" s="76"/>
      <c r="G599" s="76"/>
      <c r="H599" s="76"/>
      <c r="I599" s="76"/>
      <c r="J599" s="76"/>
      <c r="K599" s="76"/>
      <c r="L599" s="76"/>
      <c r="M599" s="76"/>
      <c r="N599" s="76"/>
      <c r="O599" s="76"/>
      <c r="P599" s="76"/>
      <c r="Q599" s="76"/>
      <c r="R599" s="76"/>
      <c r="S599" s="76"/>
      <c r="T599" s="76"/>
      <c r="U599" s="76"/>
      <c r="V599" s="76"/>
      <c r="W599" s="76"/>
      <c r="X599" s="31"/>
      <c r="Y599" s="77"/>
      <c r="Z599" s="77"/>
      <c r="AI599" s="77"/>
    </row>
    <row r="600" spans="1:35">
      <c r="A600" s="326"/>
      <c r="C600" s="201"/>
      <c r="F600" s="76"/>
      <c r="G600" s="76"/>
      <c r="H600" s="76"/>
      <c r="I600" s="76"/>
      <c r="J600" s="76"/>
      <c r="K600" s="76"/>
      <c r="L600" s="76"/>
      <c r="M600" s="76"/>
      <c r="N600" s="76"/>
      <c r="O600" s="76"/>
      <c r="P600" s="76"/>
      <c r="Q600" s="76"/>
      <c r="R600" s="76"/>
      <c r="S600" s="76"/>
      <c r="T600" s="76"/>
      <c r="U600" s="76"/>
      <c r="V600" s="76"/>
      <c r="W600" s="76"/>
      <c r="X600" s="31"/>
      <c r="Y600" s="77"/>
      <c r="Z600" s="77"/>
      <c r="AI600" s="77"/>
    </row>
    <row r="601" spans="1:35">
      <c r="A601" s="326"/>
      <c r="C601" s="201"/>
      <c r="F601" s="76"/>
      <c r="G601" s="76"/>
      <c r="H601" s="76"/>
      <c r="I601" s="76"/>
      <c r="J601" s="76"/>
      <c r="K601" s="76"/>
      <c r="L601" s="76"/>
      <c r="M601" s="76"/>
      <c r="N601" s="76"/>
      <c r="O601" s="76"/>
      <c r="P601" s="76"/>
      <c r="Q601" s="76"/>
      <c r="R601" s="76"/>
      <c r="S601" s="76"/>
      <c r="T601" s="76"/>
      <c r="U601" s="76"/>
      <c r="V601" s="76"/>
      <c r="W601" s="76"/>
      <c r="X601" s="31"/>
      <c r="Y601" s="77"/>
      <c r="Z601" s="77"/>
      <c r="AI601" s="77"/>
    </row>
    <row r="602" spans="1:35">
      <c r="A602" s="326"/>
      <c r="C602" s="201"/>
      <c r="F602" s="76"/>
      <c r="G602" s="76"/>
      <c r="H602" s="76"/>
      <c r="I602" s="76"/>
      <c r="J602" s="76"/>
      <c r="K602" s="76"/>
      <c r="L602" s="76"/>
      <c r="M602" s="76"/>
      <c r="N602" s="76"/>
      <c r="O602" s="76"/>
      <c r="P602" s="76"/>
      <c r="Q602" s="76"/>
      <c r="R602" s="76"/>
      <c r="S602" s="76"/>
      <c r="T602" s="76"/>
      <c r="U602" s="76"/>
      <c r="V602" s="76"/>
      <c r="W602" s="76"/>
      <c r="X602" s="31"/>
      <c r="Y602" s="77"/>
      <c r="Z602" s="77"/>
      <c r="AI602" s="77"/>
    </row>
    <row r="603" spans="1:35">
      <c r="A603" s="326"/>
      <c r="C603" s="201"/>
      <c r="F603" s="76"/>
      <c r="G603" s="76"/>
      <c r="H603" s="76"/>
      <c r="I603" s="76"/>
      <c r="J603" s="76"/>
      <c r="K603" s="76"/>
      <c r="L603" s="76"/>
      <c r="M603" s="76"/>
      <c r="N603" s="76"/>
      <c r="O603" s="76"/>
      <c r="P603" s="76"/>
      <c r="Q603" s="76"/>
      <c r="R603" s="76"/>
      <c r="S603" s="76"/>
      <c r="T603" s="76"/>
      <c r="U603" s="76"/>
      <c r="V603" s="76"/>
      <c r="W603" s="76"/>
      <c r="X603" s="31"/>
      <c r="Y603" s="77"/>
      <c r="Z603" s="77"/>
      <c r="AI603" s="77"/>
    </row>
    <row r="604" spans="1:35">
      <c r="A604" s="326"/>
      <c r="C604" s="201"/>
      <c r="F604" s="76"/>
      <c r="G604" s="76"/>
      <c r="H604" s="76"/>
      <c r="I604" s="76"/>
      <c r="J604" s="76"/>
      <c r="K604" s="76"/>
      <c r="L604" s="76"/>
      <c r="M604" s="76"/>
      <c r="N604" s="76"/>
      <c r="O604" s="76"/>
      <c r="P604" s="76"/>
      <c r="Q604" s="76"/>
      <c r="R604" s="76"/>
      <c r="S604" s="76"/>
      <c r="T604" s="76"/>
      <c r="U604" s="76"/>
      <c r="V604" s="76"/>
      <c r="W604" s="76"/>
      <c r="X604" s="31"/>
      <c r="Y604" s="77"/>
      <c r="Z604" s="77"/>
      <c r="AI604" s="77"/>
    </row>
    <row r="605" spans="1:35">
      <c r="A605" s="326"/>
      <c r="C605" s="201"/>
      <c r="F605" s="76"/>
      <c r="G605" s="76"/>
      <c r="H605" s="76"/>
      <c r="I605" s="76"/>
      <c r="J605" s="76"/>
      <c r="K605" s="76"/>
      <c r="L605" s="76"/>
      <c r="M605" s="76"/>
      <c r="N605" s="76"/>
      <c r="O605" s="76"/>
      <c r="P605" s="76"/>
      <c r="Q605" s="76"/>
      <c r="R605" s="76"/>
      <c r="S605" s="76"/>
      <c r="T605" s="76"/>
      <c r="U605" s="76"/>
      <c r="V605" s="76"/>
      <c r="W605" s="76"/>
      <c r="X605" s="31"/>
      <c r="Y605" s="77"/>
      <c r="Z605" s="77"/>
      <c r="AI605" s="77"/>
    </row>
    <row r="606" spans="1:35">
      <c r="A606" s="326"/>
      <c r="C606" s="201"/>
      <c r="F606" s="76"/>
      <c r="G606" s="76"/>
      <c r="H606" s="76"/>
      <c r="I606" s="76"/>
      <c r="J606" s="76"/>
      <c r="K606" s="76"/>
      <c r="L606" s="76"/>
      <c r="M606" s="76"/>
      <c r="N606" s="76"/>
      <c r="O606" s="76"/>
      <c r="P606" s="76"/>
      <c r="Q606" s="76"/>
      <c r="R606" s="76"/>
      <c r="S606" s="76"/>
      <c r="T606" s="76"/>
      <c r="U606" s="76"/>
      <c r="V606" s="76"/>
      <c r="W606" s="76"/>
      <c r="X606" s="31"/>
      <c r="Y606" s="77"/>
      <c r="Z606" s="77"/>
      <c r="AI606" s="77"/>
    </row>
    <row r="607" spans="1:35">
      <c r="A607" s="326"/>
      <c r="C607" s="201"/>
      <c r="F607" s="76"/>
      <c r="G607" s="76"/>
      <c r="H607" s="76"/>
      <c r="I607" s="76"/>
      <c r="J607" s="76"/>
      <c r="K607" s="76"/>
      <c r="L607" s="76"/>
      <c r="M607" s="76"/>
      <c r="N607" s="76"/>
      <c r="O607" s="76"/>
      <c r="P607" s="76"/>
      <c r="Q607" s="76"/>
      <c r="R607" s="76"/>
      <c r="S607" s="76"/>
      <c r="T607" s="76"/>
      <c r="U607" s="76"/>
      <c r="V607" s="76"/>
      <c r="W607" s="76"/>
      <c r="X607" s="31"/>
      <c r="Y607" s="77"/>
      <c r="Z607" s="77"/>
      <c r="AI607" s="77"/>
    </row>
    <row r="608" spans="1:35">
      <c r="A608" s="326"/>
      <c r="C608" s="201"/>
    </row>
    <row r="609" spans="1:35">
      <c r="A609" s="326"/>
      <c r="C609" s="201"/>
      <c r="F609" s="76"/>
      <c r="G609" s="76"/>
      <c r="H609" s="76"/>
      <c r="I609" s="76"/>
      <c r="J609" s="76"/>
      <c r="K609" s="76"/>
      <c r="L609" s="76"/>
      <c r="M609" s="76"/>
      <c r="N609" s="76"/>
      <c r="O609" s="76"/>
      <c r="P609" s="76"/>
      <c r="Q609" s="76"/>
      <c r="R609" s="76"/>
      <c r="S609" s="76"/>
      <c r="T609" s="76"/>
      <c r="U609" s="76"/>
      <c r="V609" s="76"/>
      <c r="W609" s="76"/>
      <c r="X609" s="31"/>
      <c r="Y609" s="151"/>
      <c r="Z609" s="77"/>
      <c r="AI609" s="151"/>
    </row>
    <row r="610" spans="1:35">
      <c r="A610" s="326"/>
      <c r="C610" s="201"/>
      <c r="G610" s="76"/>
      <c r="H610" s="76"/>
      <c r="I610" s="76"/>
      <c r="J610" s="76"/>
      <c r="K610" s="76"/>
      <c r="L610" s="76"/>
      <c r="M610" s="76"/>
      <c r="N610" s="76"/>
      <c r="O610" s="76"/>
      <c r="P610" s="76"/>
      <c r="Q610" s="76"/>
      <c r="R610" s="76"/>
      <c r="S610" s="76"/>
      <c r="T610" s="76"/>
      <c r="U610" s="76"/>
      <c r="V610" s="76"/>
      <c r="W610" s="76"/>
    </row>
    <row r="611" spans="1:35">
      <c r="A611" s="326"/>
      <c r="C611" s="201"/>
    </row>
    <row r="612" spans="1:35">
      <c r="A612" s="326"/>
      <c r="C612" s="201"/>
      <c r="F612" s="31"/>
      <c r="G612" s="31"/>
      <c r="H612" s="31"/>
      <c r="I612" s="31"/>
      <c r="J612" s="31"/>
      <c r="K612" s="31"/>
      <c r="L612" s="31"/>
      <c r="M612" s="31"/>
      <c r="N612" s="31"/>
      <c r="O612" s="31"/>
      <c r="P612" s="31"/>
      <c r="Q612" s="31"/>
      <c r="R612" s="31"/>
      <c r="S612" s="31"/>
      <c r="T612" s="31"/>
      <c r="U612" s="31"/>
      <c r="V612" s="31"/>
      <c r="W612" s="31"/>
      <c r="X612" s="31"/>
      <c r="Y612" s="77"/>
      <c r="Z612" s="77"/>
    </row>
    <row r="613" spans="1:35">
      <c r="A613" s="326"/>
      <c r="C613" s="201"/>
      <c r="G613" s="76"/>
      <c r="H613" s="76"/>
      <c r="I613" s="76"/>
      <c r="J613" s="76"/>
      <c r="K613" s="76"/>
      <c r="L613" s="76"/>
      <c r="M613" s="76"/>
      <c r="N613" s="76"/>
      <c r="O613" s="76"/>
      <c r="P613" s="76"/>
      <c r="Q613" s="76"/>
      <c r="R613" s="76"/>
      <c r="S613" s="76"/>
      <c r="T613" s="76"/>
      <c r="U613" s="76"/>
      <c r="V613" s="76"/>
      <c r="W613" s="76"/>
    </row>
    <row r="614" spans="1:35">
      <c r="A614" s="326"/>
      <c r="C614" s="201"/>
    </row>
    <row r="615" spans="1:35">
      <c r="A615" s="326"/>
      <c r="C615" s="201"/>
      <c r="F615" s="76"/>
      <c r="G615" s="76"/>
      <c r="H615" s="76"/>
      <c r="I615" s="76"/>
      <c r="J615" s="76"/>
      <c r="K615" s="76"/>
      <c r="L615" s="76"/>
      <c r="M615" s="76"/>
      <c r="N615" s="76"/>
      <c r="O615" s="76"/>
      <c r="P615" s="76"/>
      <c r="Q615" s="76"/>
      <c r="R615" s="76"/>
      <c r="S615" s="76"/>
      <c r="T615" s="76"/>
      <c r="U615" s="76"/>
      <c r="V615" s="76"/>
      <c r="W615" s="76"/>
      <c r="X615" s="31"/>
      <c r="Z615" s="77"/>
    </row>
    <row r="616" spans="1:35">
      <c r="A616" s="326"/>
      <c r="C616" s="201"/>
      <c r="F616" s="77"/>
      <c r="G616" s="77"/>
      <c r="H616" s="77"/>
      <c r="I616" s="77"/>
      <c r="J616" s="77"/>
      <c r="K616" s="77"/>
      <c r="L616" s="77"/>
      <c r="M616" s="77"/>
      <c r="N616" s="77"/>
      <c r="O616" s="77"/>
      <c r="P616" s="77"/>
      <c r="Q616" s="77"/>
      <c r="R616" s="77"/>
      <c r="S616" s="77"/>
      <c r="T616" s="77"/>
      <c r="U616" s="77"/>
      <c r="V616" s="77"/>
      <c r="W616" s="77"/>
      <c r="X616" s="77"/>
    </row>
    <row r="617" spans="1:35">
      <c r="A617" s="326"/>
      <c r="C617" s="201"/>
    </row>
    <row r="618" spans="1:35">
      <c r="A618" s="326"/>
      <c r="C618" s="201"/>
    </row>
    <row r="619" spans="1:35">
      <c r="A619" s="326"/>
      <c r="C619" s="201"/>
    </row>
    <row r="620" spans="1:35">
      <c r="A620" s="326"/>
      <c r="C620" s="201"/>
    </row>
    <row r="621" spans="1:35">
      <c r="A621" s="326"/>
      <c r="C621" s="201"/>
    </row>
    <row r="622" spans="1:35">
      <c r="A622" s="326"/>
      <c r="C622" s="201"/>
    </row>
    <row r="623" spans="1:35">
      <c r="A623" s="326"/>
      <c r="C623" s="201"/>
    </row>
    <row r="624" spans="1:35">
      <c r="A624" s="326"/>
      <c r="C624" s="201"/>
    </row>
    <row r="625" spans="1:3">
      <c r="A625" s="326"/>
      <c r="C625" s="201"/>
    </row>
    <row r="626" spans="1:3">
      <c r="A626" s="326"/>
      <c r="C626" s="201"/>
    </row>
    <row r="627" spans="1:3">
      <c r="A627" s="326"/>
      <c r="C627" s="201"/>
    </row>
    <row r="628" spans="1:3">
      <c r="A628" s="326"/>
      <c r="C628" s="201"/>
    </row>
    <row r="629" spans="1:3">
      <c r="A629" s="326"/>
      <c r="C629" s="201"/>
    </row>
    <row r="630" spans="1:3">
      <c r="A630" s="326"/>
      <c r="C630" s="201"/>
    </row>
    <row r="631" spans="1:3">
      <c r="A631" s="326"/>
      <c r="C631" s="201"/>
    </row>
    <row r="632" spans="1:3">
      <c r="A632" s="326"/>
      <c r="C632" s="201"/>
    </row>
    <row r="633" spans="1:3">
      <c r="A633" s="326"/>
      <c r="C633" s="201"/>
    </row>
    <row r="634" spans="1:3">
      <c r="A634" s="326"/>
      <c r="C634" s="201"/>
    </row>
    <row r="635" spans="1:3">
      <c r="A635" s="326"/>
      <c r="C635" s="201"/>
    </row>
    <row r="636" spans="1:3">
      <c r="A636" s="326"/>
      <c r="C636" s="201"/>
    </row>
    <row r="637" spans="1:3">
      <c r="A637" s="326"/>
      <c r="C637" s="201"/>
    </row>
    <row r="638" spans="1:3">
      <c r="A638" s="326"/>
      <c r="C638" s="201"/>
    </row>
    <row r="639" spans="1:3">
      <c r="A639" s="326"/>
      <c r="C639" s="201"/>
    </row>
    <row r="640" spans="1:3">
      <c r="A640" s="326"/>
      <c r="C640" s="201"/>
    </row>
    <row r="641" spans="1:3">
      <c r="A641" s="326"/>
      <c r="C641" s="201"/>
    </row>
    <row r="642" spans="1:3">
      <c r="A642" s="326"/>
      <c r="C642" s="201"/>
    </row>
    <row r="643" spans="1:3">
      <c r="A643" s="326"/>
      <c r="C643" s="201"/>
    </row>
    <row r="644" spans="1:3">
      <c r="A644" s="326"/>
      <c r="C644" s="201"/>
    </row>
    <row r="645" spans="1:3">
      <c r="A645" s="326"/>
      <c r="C645" s="201"/>
    </row>
    <row r="646" spans="1:3">
      <c r="A646" s="326"/>
      <c r="C646" s="201"/>
    </row>
    <row r="647" spans="1:3">
      <c r="A647" s="326"/>
      <c r="C647" s="201"/>
    </row>
    <row r="648" spans="1:3">
      <c r="A648" s="326"/>
      <c r="C648" s="201"/>
    </row>
    <row r="649" spans="1:3">
      <c r="A649" s="326"/>
      <c r="C649" s="201"/>
    </row>
    <row r="650" spans="1:3">
      <c r="A650" s="326"/>
      <c r="C650" s="201"/>
    </row>
    <row r="651" spans="1:3">
      <c r="A651" s="326"/>
      <c r="C651" s="201"/>
    </row>
    <row r="652" spans="1:3">
      <c r="A652" s="326"/>
      <c r="C652" s="201"/>
    </row>
    <row r="653" spans="1:3">
      <c r="A653" s="326"/>
      <c r="C653" s="201"/>
    </row>
    <row r="654" spans="1:3">
      <c r="A654" s="326"/>
      <c r="C654" s="201"/>
    </row>
    <row r="655" spans="1:3">
      <c r="A655" s="326"/>
      <c r="C655" s="201"/>
    </row>
    <row r="656" spans="1:3">
      <c r="A656" s="326"/>
      <c r="C656" s="201"/>
    </row>
    <row r="657" spans="1:3">
      <c r="A657" s="326"/>
      <c r="C657" s="201"/>
    </row>
    <row r="658" spans="1:3">
      <c r="A658" s="326"/>
      <c r="C658" s="201"/>
    </row>
    <row r="659" spans="1:3">
      <c r="A659" s="326"/>
      <c r="C659" s="201"/>
    </row>
    <row r="660" spans="1:3">
      <c r="A660" s="326"/>
      <c r="C660" s="201"/>
    </row>
    <row r="661" spans="1:3">
      <c r="A661" s="326"/>
      <c r="C661" s="201"/>
    </row>
    <row r="662" spans="1:3">
      <c r="A662" s="326"/>
      <c r="C662" s="201"/>
    </row>
    <row r="663" spans="1:3">
      <c r="A663" s="326"/>
      <c r="C663" s="201"/>
    </row>
    <row r="664" spans="1:3">
      <c r="A664" s="326"/>
      <c r="C664" s="201"/>
    </row>
    <row r="665" spans="1:3">
      <c r="A665" s="326"/>
      <c r="C665" s="201"/>
    </row>
    <row r="666" spans="1:3">
      <c r="A666" s="326"/>
      <c r="C666" s="201"/>
    </row>
    <row r="667" spans="1:3">
      <c r="A667" s="326"/>
      <c r="C667" s="201"/>
    </row>
    <row r="668" spans="1:3">
      <c r="A668" s="326"/>
      <c r="C668" s="201"/>
    </row>
    <row r="669" spans="1:3">
      <c r="A669" s="326"/>
      <c r="C669" s="201"/>
    </row>
    <row r="670" spans="1:3">
      <c r="A670" s="326"/>
      <c r="C670" s="201"/>
    </row>
    <row r="671" spans="1:3">
      <c r="A671" s="326"/>
      <c r="C671" s="201"/>
    </row>
    <row r="672" spans="1:3">
      <c r="A672" s="326"/>
      <c r="C672" s="201"/>
    </row>
    <row r="673" spans="1:3">
      <c r="A673" s="326"/>
      <c r="C673" s="201"/>
    </row>
    <row r="674" spans="1:3">
      <c r="A674" s="326"/>
      <c r="C674" s="201"/>
    </row>
    <row r="675" spans="1:3">
      <c r="A675" s="326"/>
      <c r="C675" s="201"/>
    </row>
    <row r="676" spans="1:3">
      <c r="A676" s="326"/>
      <c r="C676" s="201"/>
    </row>
    <row r="677" spans="1:3">
      <c r="A677" s="326"/>
      <c r="C677" s="201"/>
    </row>
    <row r="678" spans="1:3">
      <c r="A678" s="326"/>
      <c r="C678" s="201"/>
    </row>
    <row r="679" spans="1:3">
      <c r="A679" s="326"/>
      <c r="C679" s="201"/>
    </row>
    <row r="680" spans="1:3">
      <c r="A680" s="326"/>
      <c r="C680" s="201"/>
    </row>
    <row r="681" spans="1:3">
      <c r="A681" s="326"/>
      <c r="C681" s="201"/>
    </row>
    <row r="682" spans="1:3">
      <c r="A682" s="326"/>
      <c r="C682" s="201"/>
    </row>
    <row r="683" spans="1:3">
      <c r="A683" s="326"/>
      <c r="C683" s="201"/>
    </row>
    <row r="684" spans="1:3">
      <c r="A684" s="326"/>
      <c r="C684" s="201"/>
    </row>
    <row r="685" spans="1:3">
      <c r="A685" s="326"/>
      <c r="C685" s="201"/>
    </row>
    <row r="686" spans="1:3">
      <c r="A686" s="326"/>
      <c r="C686" s="201"/>
    </row>
    <row r="687" spans="1:3">
      <c r="C687" s="201"/>
    </row>
    <row r="688" spans="1:3">
      <c r="A688" s="326"/>
      <c r="C688" s="201"/>
    </row>
    <row r="689" spans="1:3">
      <c r="A689" s="326"/>
      <c r="C689" s="201"/>
    </row>
    <row r="690" spans="1:3">
      <c r="A690" s="326"/>
      <c r="C690" s="201"/>
    </row>
    <row r="691" spans="1:3">
      <c r="A691" s="326"/>
      <c r="C691" s="201"/>
    </row>
    <row r="692" spans="1:3">
      <c r="A692" s="326"/>
      <c r="C692" s="201"/>
    </row>
    <row r="693" spans="1:3">
      <c r="A693" s="326"/>
      <c r="C693" s="201"/>
    </row>
    <row r="694" spans="1:3">
      <c r="A694" s="326"/>
      <c r="C694" s="201"/>
    </row>
    <row r="695" spans="1:3">
      <c r="A695" s="326"/>
      <c r="C695" s="201"/>
    </row>
    <row r="696" spans="1:3">
      <c r="A696" s="326"/>
      <c r="C696" s="201"/>
    </row>
    <row r="697" spans="1:3">
      <c r="A697" s="326"/>
      <c r="C697" s="201"/>
    </row>
    <row r="698" spans="1:3">
      <c r="A698" s="326"/>
      <c r="C698" s="201"/>
    </row>
    <row r="699" spans="1:3">
      <c r="A699" s="326"/>
      <c r="C699" s="201"/>
    </row>
    <row r="700" spans="1:3">
      <c r="A700" s="326"/>
      <c r="C700" s="201"/>
    </row>
    <row r="701" spans="1:3">
      <c r="A701" s="326"/>
      <c r="C701" s="201"/>
    </row>
    <row r="702" spans="1:3">
      <c r="A702" s="326"/>
      <c r="C702" s="201"/>
    </row>
    <row r="703" spans="1:3">
      <c r="A703" s="326"/>
      <c r="C703" s="201"/>
    </row>
    <row r="704" spans="1:3">
      <c r="A704" s="326"/>
      <c r="C704" s="201"/>
    </row>
    <row r="705" spans="1:3">
      <c r="A705" s="326"/>
      <c r="C705" s="201"/>
    </row>
    <row r="706" spans="1:3">
      <c r="A706" s="326"/>
      <c r="C706" s="201"/>
    </row>
    <row r="707" spans="1:3">
      <c r="A707" s="326"/>
      <c r="C707" s="201"/>
    </row>
    <row r="708" spans="1:3">
      <c r="A708" s="326"/>
      <c r="C708" s="201"/>
    </row>
    <row r="709" spans="1:3">
      <c r="A709" s="326"/>
      <c r="C709" s="201"/>
    </row>
    <row r="710" spans="1:3">
      <c r="A710" s="326"/>
      <c r="C710" s="201"/>
    </row>
    <row r="711" spans="1:3">
      <c r="A711" s="326"/>
      <c r="C711" s="201"/>
    </row>
    <row r="712" spans="1:3">
      <c r="A712" s="326"/>
      <c r="C712" s="201"/>
    </row>
    <row r="713" spans="1:3">
      <c r="A713" s="326"/>
      <c r="C713" s="201"/>
    </row>
    <row r="714" spans="1:3">
      <c r="A714" s="326"/>
      <c r="C714" s="201"/>
    </row>
    <row r="715" spans="1:3">
      <c r="A715" s="326"/>
      <c r="C715" s="201"/>
    </row>
    <row r="716" spans="1:3">
      <c r="A716" s="326"/>
      <c r="C716" s="201"/>
    </row>
    <row r="717" spans="1:3">
      <c r="A717" s="326"/>
      <c r="C717" s="201"/>
    </row>
    <row r="718" spans="1:3">
      <c r="A718" s="326"/>
      <c r="C718" s="201"/>
    </row>
    <row r="719" spans="1:3">
      <c r="A719" s="326"/>
      <c r="C719" s="201"/>
    </row>
    <row r="720" spans="1:3">
      <c r="A720" s="326"/>
      <c r="C720" s="201"/>
    </row>
    <row r="721" spans="1:3">
      <c r="A721" s="326"/>
      <c r="C721" s="201"/>
    </row>
    <row r="722" spans="1:3">
      <c r="A722" s="326"/>
      <c r="C722" s="201"/>
    </row>
    <row r="723" spans="1:3">
      <c r="A723" s="326"/>
      <c r="C723" s="201"/>
    </row>
    <row r="724" spans="1:3">
      <c r="A724" s="326"/>
      <c r="C724" s="201"/>
    </row>
    <row r="725" spans="1:3">
      <c r="A725" s="326"/>
      <c r="C725" s="201"/>
    </row>
    <row r="726" spans="1:3">
      <c r="A726" s="326"/>
      <c r="C726" s="201"/>
    </row>
    <row r="727" spans="1:3">
      <c r="A727" s="326"/>
      <c r="C727" s="201"/>
    </row>
    <row r="728" spans="1:3">
      <c r="A728" s="326"/>
      <c r="C728" s="201"/>
    </row>
    <row r="729" spans="1:3">
      <c r="A729" s="326"/>
      <c r="C729" s="201"/>
    </row>
    <row r="730" spans="1:3">
      <c r="A730" s="326"/>
      <c r="C730" s="201"/>
    </row>
    <row r="731" spans="1:3">
      <c r="A731" s="326"/>
      <c r="C731" s="201"/>
    </row>
    <row r="732" spans="1:3">
      <c r="A732" s="326"/>
      <c r="C732" s="201"/>
    </row>
    <row r="733" spans="1:3">
      <c r="A733" s="326"/>
      <c r="C733" s="201"/>
    </row>
    <row r="734" spans="1:3">
      <c r="A734" s="326"/>
      <c r="C734" s="201"/>
    </row>
    <row r="741" spans="1:3">
      <c r="A741" t="s">
        <v>526</v>
      </c>
      <c r="B741" t="s">
        <v>392</v>
      </c>
      <c r="C741" t="str">
        <f>VLOOKUP(A741,$A$3:$C$734,3,FALSE)</f>
        <v>PROPERTY TAX</v>
      </c>
    </row>
    <row r="742" spans="1:3">
      <c r="A742" t="s">
        <v>527</v>
      </c>
      <c r="B742" t="s">
        <v>393</v>
      </c>
      <c r="C742" t="str">
        <f>VLOOKUP(A742,$A$3:$C$734,3,FALSE)</f>
        <v>PROPERTY TAX</v>
      </c>
    </row>
    <row r="743" spans="1:3">
      <c r="A743" t="s">
        <v>528</v>
      </c>
      <c r="B743" t="s">
        <v>452</v>
      </c>
      <c r="C743" t="str">
        <f>VLOOKUP(A743,$A$3:$C$734,3,FALSE)</f>
        <v>PROPERTY TAX</v>
      </c>
    </row>
    <row r="744" spans="1:3">
      <c r="A744" t="s">
        <v>529</v>
      </c>
      <c r="B744" t="s">
        <v>394</v>
      </c>
      <c r="C744" t="str">
        <f>VLOOKUP(A744,$A$3:$C$734,3,FALSE)</f>
        <v>PROPERTY TAX</v>
      </c>
    </row>
    <row r="745" spans="1:3">
      <c r="A745" t="s">
        <v>931</v>
      </c>
      <c r="B745" t="s">
        <v>849</v>
      </c>
      <c r="C745" t="str">
        <f>VLOOKUP(A745,$A$3:$C$734,3,FALSE)</f>
        <v>OTHER REVENUE</v>
      </c>
    </row>
    <row r="746" spans="1:3">
      <c r="A746" t="s">
        <v>530</v>
      </c>
      <c r="B746" t="s">
        <v>395</v>
      </c>
      <c r="C746" t="str">
        <f>VLOOKUP(A746,$A$3:$C$734,3,FALSE)</f>
        <v>SALES TAX</v>
      </c>
    </row>
    <row r="747" spans="1:3">
      <c r="A747" t="s">
        <v>531</v>
      </c>
      <c r="B747" t="s">
        <v>3137</v>
      </c>
      <c r="C747" t="str">
        <f>VLOOKUP(A747,$A$3:$C$734,3,FALSE)</f>
        <v>OTHER TAXES</v>
      </c>
    </row>
    <row r="748" spans="1:3">
      <c r="A748" t="s">
        <v>532</v>
      </c>
      <c r="B748" t="s">
        <v>469</v>
      </c>
      <c r="C748" t="str">
        <f>VLOOKUP(A748,$A$3:$C$734,3,FALSE)</f>
        <v>OTHER TAXES</v>
      </c>
    </row>
    <row r="749" spans="1:3">
      <c r="A749" t="s">
        <v>533</v>
      </c>
      <c r="B749" t="s">
        <v>447</v>
      </c>
      <c r="C749" t="str">
        <f>VLOOKUP(A749,$A$3:$C$734,3,FALSE)</f>
        <v>OTHER TAXES</v>
      </c>
    </row>
    <row r="750" spans="1:3">
      <c r="A750" t="s">
        <v>534</v>
      </c>
      <c r="B750" t="s">
        <v>470</v>
      </c>
      <c r="C750" t="str">
        <f>VLOOKUP(A750,$A$3:$C$734,3,FALSE)</f>
        <v>OTHER TAXES</v>
      </c>
    </row>
    <row r="751" spans="1:3">
      <c r="A751" t="s">
        <v>535</v>
      </c>
      <c r="B751" t="s">
        <v>3382</v>
      </c>
      <c r="C751" t="str">
        <f>VLOOKUP(A751,$A$3:$C$734,3,FALSE)</f>
        <v>OTHER TAXES</v>
      </c>
    </row>
    <row r="752" spans="1:3">
      <c r="A752" t="s">
        <v>536</v>
      </c>
      <c r="B752" t="s">
        <v>449</v>
      </c>
      <c r="C752" t="str">
        <f>VLOOKUP(A752,$A$3:$C$734,3,FALSE)</f>
        <v>OTHER TAXES</v>
      </c>
    </row>
    <row r="753" spans="1:3">
      <c r="A753" t="s">
        <v>537</v>
      </c>
      <c r="B753" t="s">
        <v>396</v>
      </c>
      <c r="C753" t="str">
        <f>VLOOKUP(A753,$A$3:$C$734,3,FALSE)</f>
        <v>OTHER TAXES</v>
      </c>
    </row>
    <row r="754" spans="1:3">
      <c r="A754" t="s">
        <v>538</v>
      </c>
      <c r="B754" t="s">
        <v>471</v>
      </c>
      <c r="C754" t="str">
        <f>VLOOKUP(A754,$A$3:$C$734,3,FALSE)</f>
        <v>OTHER TAXES</v>
      </c>
    </row>
    <row r="755" spans="1:3">
      <c r="A755" t="s">
        <v>539</v>
      </c>
      <c r="B755" t="s">
        <v>472</v>
      </c>
      <c r="C755" t="str">
        <f>VLOOKUP(A755,$A$3:$C$734,3,FALSE)</f>
        <v>OTHER TAXES</v>
      </c>
    </row>
    <row r="756" spans="1:3">
      <c r="A756" t="s">
        <v>540</v>
      </c>
      <c r="B756" t="s">
        <v>450</v>
      </c>
      <c r="C756" t="str">
        <f>VLOOKUP(A756,$A$3:$C$734,3,FALSE)</f>
        <v>OTHER TAXES</v>
      </c>
    </row>
    <row r="757" spans="1:3">
      <c r="A757" t="s">
        <v>541</v>
      </c>
      <c r="B757" t="s">
        <v>397</v>
      </c>
      <c r="C757" t="str">
        <f>VLOOKUP(A757,$A$3:$C$734,3,FALSE)</f>
        <v>OTHER TAXES</v>
      </c>
    </row>
    <row r="758" spans="1:3">
      <c r="A758" t="s">
        <v>542</v>
      </c>
      <c r="B758" t="s">
        <v>473</v>
      </c>
      <c r="C758" t="str">
        <f>VLOOKUP(A758,$A$3:$C$734,3,FALSE)</f>
        <v>OTHER TAXES</v>
      </c>
    </row>
    <row r="759" spans="1:3">
      <c r="A759" t="s">
        <v>543</v>
      </c>
      <c r="B759" t="s">
        <v>851</v>
      </c>
      <c r="C759" t="str">
        <f>VLOOKUP(A759,$A$3:$C$734,3,FALSE)</f>
        <v>LICENSES AND PERMITS</v>
      </c>
    </row>
    <row r="760" spans="1:3">
      <c r="A760" t="s">
        <v>544</v>
      </c>
      <c r="B760" t="s">
        <v>852</v>
      </c>
      <c r="C760" t="str">
        <f>VLOOKUP(A760,$A$3:$C$734,3,FALSE)</f>
        <v>LICENSES AND PERMITS</v>
      </c>
    </row>
    <row r="761" spans="1:3">
      <c r="A761" t="s">
        <v>545</v>
      </c>
      <c r="B761" t="s">
        <v>398</v>
      </c>
      <c r="C761" t="str">
        <f>VLOOKUP(A761,$A$3:$C$734,3,FALSE)</f>
        <v>LICENSES AND PERMITS</v>
      </c>
    </row>
    <row r="762" spans="1:3">
      <c r="A762" t="s">
        <v>546</v>
      </c>
      <c r="B762" t="s">
        <v>399</v>
      </c>
      <c r="C762" t="str">
        <f>VLOOKUP(A762,$A$3:$C$734,3,FALSE)</f>
        <v>LICENSES AND PERMITS</v>
      </c>
    </row>
    <row r="763" spans="1:3">
      <c r="A763" t="s">
        <v>932</v>
      </c>
      <c r="B763" t="s">
        <v>3431</v>
      </c>
      <c r="C763" t="str">
        <f>VLOOKUP(A763,$A$3:$C$734,3,FALSE)</f>
        <v>LICENSES AND PERMITS</v>
      </c>
    </row>
    <row r="764" spans="1:3">
      <c r="A764" t="s">
        <v>547</v>
      </c>
      <c r="B764" t="s">
        <v>853</v>
      </c>
      <c r="C764" t="str">
        <f>VLOOKUP(A764,$A$3:$C$734,3,FALSE)</f>
        <v>LICENSES AND PERMITS</v>
      </c>
    </row>
    <row r="765" spans="1:3">
      <c r="A765" t="s">
        <v>548</v>
      </c>
      <c r="B765" t="s">
        <v>3432</v>
      </c>
      <c r="C765" t="str">
        <f>VLOOKUP(A765,$A$3:$C$734,3,FALSE)</f>
        <v>DEVELOPMENT FEES</v>
      </c>
    </row>
    <row r="766" spans="1:3">
      <c r="A766" t="s">
        <v>3546</v>
      </c>
      <c r="B766" t="s">
        <v>3503</v>
      </c>
      <c r="C766" t="e">
        <f>VLOOKUP(A766,$A$3:$C$734,3,FALSE)</f>
        <v>#N/A</v>
      </c>
    </row>
    <row r="767" spans="1:3">
      <c r="A767" t="s">
        <v>549</v>
      </c>
      <c r="B767" t="s">
        <v>3433</v>
      </c>
      <c r="C767" t="str">
        <f>VLOOKUP(A767,$A$3:$C$734,3,FALSE)</f>
        <v>DEVELOPMENT FEES</v>
      </c>
    </row>
    <row r="768" spans="1:3">
      <c r="A768" t="s">
        <v>550</v>
      </c>
      <c r="B768" t="s">
        <v>400</v>
      </c>
      <c r="C768" t="str">
        <f>VLOOKUP(A768,$A$3:$C$734,3,FALSE)</f>
        <v>DEVELOPMENT FEES</v>
      </c>
    </row>
    <row r="769" spans="1:3">
      <c r="A769" t="s">
        <v>933</v>
      </c>
      <c r="B769" t="s">
        <v>854</v>
      </c>
      <c r="C769" t="str">
        <f>VLOOKUP(A769,$A$3:$C$734,3,FALSE)</f>
        <v>DEVELOPMENT FEES</v>
      </c>
    </row>
    <row r="770" spans="1:3">
      <c r="A770" t="s">
        <v>551</v>
      </c>
      <c r="B770" t="s">
        <v>855</v>
      </c>
      <c r="C770" t="str">
        <f>VLOOKUP(A770,$A$3:$C$734,3,FALSE)</f>
        <v>DEVELOPMENT FEES</v>
      </c>
    </row>
    <row r="771" spans="1:3">
      <c r="A771" t="s">
        <v>552</v>
      </c>
      <c r="B771" t="s">
        <v>401</v>
      </c>
      <c r="C771" t="str">
        <f>VLOOKUP(A771,$A$3:$C$734,3,FALSE)</f>
        <v>DEVELOPMENT FEES</v>
      </c>
    </row>
    <row r="772" spans="1:3">
      <c r="A772" t="s">
        <v>553</v>
      </c>
      <c r="B772" t="s">
        <v>402</v>
      </c>
      <c r="C772" t="str">
        <f>VLOOKUP(A772,$A$3:$C$734,3,FALSE)</f>
        <v>DEVELOPMENT FEES</v>
      </c>
    </row>
    <row r="773" spans="1:3">
      <c r="A773" t="s">
        <v>942</v>
      </c>
      <c r="B773" t="s">
        <v>858</v>
      </c>
      <c r="C773" t="str">
        <f>VLOOKUP(A773,$A$3:$C$734,3,FALSE)</f>
        <v>DEVELOPMENT FEES</v>
      </c>
    </row>
    <row r="774" spans="1:3">
      <c r="A774" t="s">
        <v>554</v>
      </c>
      <c r="B774" t="s">
        <v>403</v>
      </c>
      <c r="C774" t="str">
        <f>VLOOKUP(A774,$A$3:$C$734,3,FALSE)</f>
        <v>FINES AND FEES</v>
      </c>
    </row>
    <row r="775" spans="1:3">
      <c r="A775" t="s">
        <v>555</v>
      </c>
      <c r="B775" t="s">
        <v>860</v>
      </c>
      <c r="C775" t="str">
        <f>VLOOKUP(A775,$A$3:$C$734,3,FALSE)</f>
        <v>CHARGES FOR SERVICE</v>
      </c>
    </row>
    <row r="776" spans="1:3">
      <c r="A776" t="s">
        <v>556</v>
      </c>
      <c r="B776" t="s">
        <v>861</v>
      </c>
      <c r="C776" t="str">
        <f>VLOOKUP(A776,$A$3:$C$734,3,FALSE)</f>
        <v>FINES AND FEES</v>
      </c>
    </row>
    <row r="777" spans="1:3">
      <c r="A777" t="s">
        <v>557</v>
      </c>
      <c r="B777" t="s">
        <v>862</v>
      </c>
      <c r="C777" t="str">
        <f>VLOOKUP(A777,$A$3:$C$734,3,FALSE)</f>
        <v>FINES AND FEES</v>
      </c>
    </row>
    <row r="778" spans="1:3">
      <c r="A778" t="s">
        <v>944</v>
      </c>
      <c r="B778" t="s">
        <v>863</v>
      </c>
      <c r="C778" t="str">
        <f>VLOOKUP(A778,$A$3:$C$734,3,FALSE)</f>
        <v>FINES AND FEES</v>
      </c>
    </row>
    <row r="779" spans="1:3">
      <c r="A779" t="s">
        <v>558</v>
      </c>
      <c r="B779" t="s">
        <v>404</v>
      </c>
      <c r="C779" t="str">
        <f>VLOOKUP(A779,$A$3:$C$734,3,FALSE)</f>
        <v>FINES AND FEES</v>
      </c>
    </row>
    <row r="780" spans="1:3">
      <c r="A780" t="s">
        <v>559</v>
      </c>
      <c r="B780" t="s">
        <v>864</v>
      </c>
      <c r="C780" t="str">
        <f>VLOOKUP(A780,$A$3:$C$734,3,FALSE)</f>
        <v>FINES AND FEES</v>
      </c>
    </row>
    <row r="781" spans="1:3">
      <c r="A781" t="s">
        <v>945</v>
      </c>
      <c r="B781" t="s">
        <v>865</v>
      </c>
      <c r="C781" t="str">
        <f>VLOOKUP(A781,$A$3:$C$734,3,FALSE)</f>
        <v>FINES AND FEES</v>
      </c>
    </row>
    <row r="782" spans="1:3">
      <c r="A782" t="s">
        <v>560</v>
      </c>
      <c r="B782" t="s">
        <v>405</v>
      </c>
      <c r="C782" t="str">
        <f>VLOOKUP(A782,$A$3:$C$734,3,FALSE)</f>
        <v>FINES AND FEES</v>
      </c>
    </row>
    <row r="783" spans="1:3">
      <c r="A783" t="s">
        <v>561</v>
      </c>
      <c r="B783" t="s">
        <v>406</v>
      </c>
      <c r="C783" t="str">
        <f>VLOOKUP(A783,$A$3:$C$734,3,FALSE)</f>
        <v>FINES AND FEES</v>
      </c>
    </row>
    <row r="784" spans="1:3">
      <c r="A784" t="s">
        <v>562</v>
      </c>
      <c r="B784" t="s">
        <v>866</v>
      </c>
      <c r="C784" t="str">
        <f>VLOOKUP(A784,$A$3:$C$734,3,FALSE)</f>
        <v>FINES AND FEES</v>
      </c>
    </row>
    <row r="785" spans="1:3">
      <c r="A785" t="s">
        <v>563</v>
      </c>
      <c r="B785" t="s">
        <v>407</v>
      </c>
      <c r="C785" t="str">
        <f>VLOOKUP(A785,$A$3:$C$734,3,FALSE)</f>
        <v>FINES AND FEES</v>
      </c>
    </row>
    <row r="786" spans="1:3">
      <c r="A786" t="s">
        <v>564</v>
      </c>
      <c r="B786" t="s">
        <v>408</v>
      </c>
      <c r="C786" t="str">
        <f>VLOOKUP(A786,$A$3:$C$734,3,FALSE)</f>
        <v>FINES AND FEES</v>
      </c>
    </row>
    <row r="787" spans="1:3">
      <c r="A787" t="s">
        <v>565</v>
      </c>
      <c r="B787" t="s">
        <v>3138</v>
      </c>
      <c r="C787" t="str">
        <f>VLOOKUP(A787,$A$3:$C$734,3,FALSE)</f>
        <v>FINES AND FEES</v>
      </c>
    </row>
    <row r="788" spans="1:3">
      <c r="A788" t="s">
        <v>949</v>
      </c>
      <c r="B788" t="s">
        <v>868</v>
      </c>
      <c r="C788" t="str">
        <f>VLOOKUP(A788,$A$3:$C$734,3,FALSE)</f>
        <v>CHARGES FOR SERVICE</v>
      </c>
    </row>
    <row r="789" spans="1:3">
      <c r="A789" t="s">
        <v>566</v>
      </c>
      <c r="B789" t="s">
        <v>869</v>
      </c>
      <c r="C789" t="str">
        <f>VLOOKUP(A789,$A$3:$C$734,3,FALSE)</f>
        <v>CHARGES FOR SERVICE</v>
      </c>
    </row>
    <row r="790" spans="1:3">
      <c r="A790" t="s">
        <v>567</v>
      </c>
      <c r="B790" t="s">
        <v>474</v>
      </c>
      <c r="C790" t="str">
        <f>VLOOKUP(A790,$A$3:$C$734,3,FALSE)</f>
        <v>CHARGES FOR SERVICE</v>
      </c>
    </row>
    <row r="791" spans="1:3">
      <c r="A791" t="s">
        <v>568</v>
      </c>
      <c r="B791" t="s">
        <v>409</v>
      </c>
      <c r="C791" t="str">
        <f>VLOOKUP(A791,$A$3:$C$734,3,FALSE)</f>
        <v>CHARGES FOR SERVICE</v>
      </c>
    </row>
    <row r="792" spans="1:3">
      <c r="A792" t="s">
        <v>569</v>
      </c>
      <c r="B792" t="s">
        <v>870</v>
      </c>
      <c r="C792" t="str">
        <f>VLOOKUP(A792,$A$3:$C$734,3,FALSE)</f>
        <v>CHARGES FOR SERVICE</v>
      </c>
    </row>
    <row r="793" spans="1:3">
      <c r="A793" t="s">
        <v>570</v>
      </c>
      <c r="B793" t="s">
        <v>410</v>
      </c>
      <c r="C793" t="str">
        <f>VLOOKUP(A793,$A$3:$C$734,3,FALSE)</f>
        <v>CHARGES FOR SERVICE</v>
      </c>
    </row>
    <row r="794" spans="1:3">
      <c r="A794" t="s">
        <v>571</v>
      </c>
      <c r="B794" t="s">
        <v>871</v>
      </c>
      <c r="C794" t="str">
        <f>VLOOKUP(A794,$A$3:$C$734,3,FALSE)</f>
        <v>CHARGES FOR SERVICE</v>
      </c>
    </row>
    <row r="795" spans="1:3">
      <c r="A795" t="s">
        <v>572</v>
      </c>
      <c r="B795" t="s">
        <v>411</v>
      </c>
      <c r="C795" t="str">
        <f>VLOOKUP(A795,$A$3:$C$734,3,FALSE)</f>
        <v>CHARGES FOR SERVICE</v>
      </c>
    </row>
    <row r="796" spans="1:3">
      <c r="A796" t="s">
        <v>573</v>
      </c>
      <c r="B796" t="s">
        <v>412</v>
      </c>
      <c r="C796" t="str">
        <f>VLOOKUP(A796,$A$3:$C$734,3,FALSE)</f>
        <v>CHARGES FOR SERVICE</v>
      </c>
    </row>
    <row r="797" spans="1:3">
      <c r="A797" t="s">
        <v>574</v>
      </c>
      <c r="B797" t="s">
        <v>413</v>
      </c>
      <c r="C797" t="str">
        <f>VLOOKUP(A797,$A$3:$C$734,3,FALSE)</f>
        <v>CHARGES FOR SERVICE</v>
      </c>
    </row>
    <row r="798" spans="1:3">
      <c r="A798" t="s">
        <v>575</v>
      </c>
      <c r="B798" t="s">
        <v>475</v>
      </c>
      <c r="C798" t="str">
        <f>VLOOKUP(A798,$A$3:$C$734,3,FALSE)</f>
        <v>INTRAGOVERNMENTAL</v>
      </c>
    </row>
    <row r="799" spans="1:3">
      <c r="A799" t="s">
        <v>576</v>
      </c>
      <c r="B799" t="s">
        <v>415</v>
      </c>
      <c r="C799" t="str">
        <f>VLOOKUP(A799,$A$3:$C$734,3,FALSE)</f>
        <v>INTRAGOVERNMENTAL</v>
      </c>
    </row>
    <row r="800" spans="1:3">
      <c r="A800" t="s">
        <v>684</v>
      </c>
      <c r="B800" t="s">
        <v>872</v>
      </c>
      <c r="C800" t="str">
        <f>VLOOKUP(A800,$A$3:$C$734,3,FALSE)</f>
        <v>CHARGES FOR SERVICE</v>
      </c>
    </row>
    <row r="801" spans="1:3">
      <c r="A801" t="s">
        <v>769</v>
      </c>
      <c r="B801" t="s">
        <v>3383</v>
      </c>
      <c r="C801" t="str">
        <f>VLOOKUP(A801,$A$3:$C$734,3,FALSE)</f>
        <v>CHARGES FOR SERVICE</v>
      </c>
    </row>
    <row r="802" spans="1:3">
      <c r="A802" t="s">
        <v>578</v>
      </c>
      <c r="B802" t="s">
        <v>417</v>
      </c>
      <c r="C802" t="str">
        <f>VLOOKUP(A802,$A$3:$C$734,3,FALSE)</f>
        <v>CHARGES FOR SERVICE</v>
      </c>
    </row>
    <row r="803" spans="1:3">
      <c r="A803" t="s">
        <v>579</v>
      </c>
      <c r="B803" t="s">
        <v>418</v>
      </c>
      <c r="C803" t="str">
        <f>VLOOKUP(A803,$A$3:$C$734,3,FALSE)</f>
        <v>INTERGOVERNMENTAL</v>
      </c>
    </row>
    <row r="804" spans="1:3">
      <c r="A804" t="s">
        <v>580</v>
      </c>
      <c r="B804" t="s">
        <v>451</v>
      </c>
      <c r="C804" t="str">
        <f>VLOOKUP(A804,$A$3:$C$734,3,FALSE)</f>
        <v>INTERGOVERNMENTAL</v>
      </c>
    </row>
    <row r="805" spans="1:3">
      <c r="A805" t="s">
        <v>965</v>
      </c>
      <c r="B805" t="s">
        <v>1118</v>
      </c>
      <c r="C805" t="str">
        <f>VLOOKUP(A805,$A$3:$C$734,3,FALSE)</f>
        <v>INTERGOVERNMENTAL</v>
      </c>
    </row>
    <row r="806" spans="1:3">
      <c r="A806" t="s">
        <v>581</v>
      </c>
      <c r="B806" t="s">
        <v>419</v>
      </c>
      <c r="C806" t="str">
        <f>VLOOKUP(A806,$A$3:$C$734,3,FALSE)</f>
        <v>INTERGOVERNMENTAL</v>
      </c>
    </row>
    <row r="807" spans="1:3">
      <c r="A807" t="s">
        <v>582</v>
      </c>
      <c r="B807" t="s">
        <v>420</v>
      </c>
      <c r="C807" t="str">
        <f>VLOOKUP(A807,$A$3:$C$734,3,FALSE)</f>
        <v>INTERGOVERNMENTAL</v>
      </c>
    </row>
    <row r="808" spans="1:3">
      <c r="A808" t="s">
        <v>966</v>
      </c>
      <c r="B808" t="s">
        <v>886</v>
      </c>
      <c r="C808" t="str">
        <f>VLOOKUP(A808,$A$3:$C$734,3,FALSE)</f>
        <v>INTERGOVERNMENTAL</v>
      </c>
    </row>
    <row r="809" spans="1:3">
      <c r="A809" t="s">
        <v>583</v>
      </c>
      <c r="B809" t="s">
        <v>1103</v>
      </c>
      <c r="C809" t="str">
        <f>VLOOKUP(A809,$A$3:$C$734,3,FALSE)</f>
        <v>INTERGOVERNMENTAL</v>
      </c>
    </row>
    <row r="810" spans="1:3">
      <c r="A810" t="s">
        <v>584</v>
      </c>
      <c r="B810" t="s">
        <v>888</v>
      </c>
      <c r="C810" t="str">
        <f>VLOOKUP(A810,$A$3:$C$734,3,FALSE)</f>
        <v>INTERGOVERNMENTAL</v>
      </c>
    </row>
    <row r="811" spans="1:3">
      <c r="A811" t="s">
        <v>585</v>
      </c>
      <c r="B811" t="s">
        <v>476</v>
      </c>
      <c r="C811" t="str">
        <f>VLOOKUP(A811,$A$3:$C$734,3,FALSE)</f>
        <v>INTERGOVERNMENTAL</v>
      </c>
    </row>
    <row r="812" spans="1:3">
      <c r="A812" t="s">
        <v>586</v>
      </c>
      <c r="B812" t="s">
        <v>889</v>
      </c>
      <c r="C812" t="str">
        <f>VLOOKUP(A812,$A$3:$C$734,3,FALSE)</f>
        <v>INTERGOVERNMENTAL</v>
      </c>
    </row>
    <row r="813" spans="1:3">
      <c r="A813" t="s">
        <v>587</v>
      </c>
      <c r="B813" t="s">
        <v>489</v>
      </c>
      <c r="C813" t="str">
        <f>VLOOKUP(A813,$A$3:$C$734,3,FALSE)</f>
        <v>INTERGOVERNMENTAL</v>
      </c>
    </row>
    <row r="814" spans="1:3">
      <c r="A814" t="s">
        <v>3547</v>
      </c>
      <c r="B814" t="s">
        <v>477</v>
      </c>
      <c r="C814" t="e">
        <f>VLOOKUP(A814,$A$3:$C$734,3,FALSE)</f>
        <v>#N/A</v>
      </c>
    </row>
    <row r="815" spans="1:3">
      <c r="A815" t="s">
        <v>1092</v>
      </c>
      <c r="B815" t="s">
        <v>1089</v>
      </c>
      <c r="C815" t="str">
        <f>VLOOKUP(A815,$A$3:$C$734,3,FALSE)</f>
        <v>CHARGES FOR SERVICE</v>
      </c>
    </row>
    <row r="816" spans="1:3">
      <c r="A816" t="s">
        <v>589</v>
      </c>
      <c r="B816" t="s">
        <v>421</v>
      </c>
      <c r="C816" t="str">
        <f>VLOOKUP(A816,$A$3:$C$734,3,FALSE)</f>
        <v>OTHER REVENUE</v>
      </c>
    </row>
    <row r="817" spans="1:3">
      <c r="A817" t="s">
        <v>590</v>
      </c>
      <c r="B817" t="s">
        <v>478</v>
      </c>
      <c r="C817" t="str">
        <f>VLOOKUP(A817,$A$3:$C$734,3,FALSE)</f>
        <v>OTHER REVENUE</v>
      </c>
    </row>
    <row r="818" spans="1:3">
      <c r="A818" t="s">
        <v>591</v>
      </c>
      <c r="B818" t="s">
        <v>422</v>
      </c>
      <c r="C818" t="str">
        <f>VLOOKUP(A818,$A$3:$C$734,3,FALSE)</f>
        <v>OTHER REVENUE</v>
      </c>
    </row>
    <row r="819" spans="1:3">
      <c r="A819" t="s">
        <v>972</v>
      </c>
      <c r="B819" t="s">
        <v>835</v>
      </c>
      <c r="C819" t="str">
        <f>VLOOKUP(A819,$A$3:$C$734,3,FALSE)</f>
        <v>OTHER REVENUE</v>
      </c>
    </row>
    <row r="820" spans="1:3">
      <c r="A820" t="s">
        <v>592</v>
      </c>
      <c r="B820" t="s">
        <v>427</v>
      </c>
      <c r="C820" t="str">
        <f>VLOOKUP(A820,$A$3:$C$734,3,FALSE)</f>
        <v>OTHER REVENUE</v>
      </c>
    </row>
    <row r="821" spans="1:3">
      <c r="A821" t="s">
        <v>593</v>
      </c>
      <c r="B821" t="s">
        <v>891</v>
      </c>
      <c r="C821" t="str">
        <f>VLOOKUP(A821,$A$3:$C$734,3,FALSE)</f>
        <v>OTHER REVENUE</v>
      </c>
    </row>
    <row r="822" spans="1:3">
      <c r="A822" t="s">
        <v>594</v>
      </c>
      <c r="B822" t="s">
        <v>423</v>
      </c>
      <c r="C822" t="str">
        <f>VLOOKUP(A822,$A$3:$C$734,3,FALSE)</f>
        <v>OTHER REVENUE</v>
      </c>
    </row>
    <row r="823" spans="1:3">
      <c r="A823" t="s">
        <v>976</v>
      </c>
      <c r="B823" t="s">
        <v>827</v>
      </c>
      <c r="C823" t="str">
        <f>VLOOKUP(A823,$A$3:$C$734,3,FALSE)</f>
        <v>OTHER REVENUE</v>
      </c>
    </row>
    <row r="824" spans="1:3">
      <c r="A824" t="s">
        <v>595</v>
      </c>
      <c r="B824" t="s">
        <v>424</v>
      </c>
      <c r="C824" t="str">
        <f>VLOOKUP(A824,$A$3:$C$734,3,FALSE)</f>
        <v>OTHER REVENUE</v>
      </c>
    </row>
    <row r="825" spans="1:3">
      <c r="A825" t="s">
        <v>596</v>
      </c>
      <c r="B825" t="s">
        <v>894</v>
      </c>
      <c r="C825" t="str">
        <f>VLOOKUP(A825,$A$3:$C$734,3,FALSE)</f>
        <v>OTHER REVENUE</v>
      </c>
    </row>
    <row r="826" spans="1:3">
      <c r="A826" t="s">
        <v>597</v>
      </c>
      <c r="B826" t="s">
        <v>895</v>
      </c>
      <c r="C826" t="str">
        <f>VLOOKUP(A826,$A$3:$C$734,3,FALSE)</f>
        <v>OTHER REVENUE</v>
      </c>
    </row>
    <row r="827" spans="1:3">
      <c r="A827" t="s">
        <v>598</v>
      </c>
      <c r="B827" t="s">
        <v>896</v>
      </c>
      <c r="C827" t="str">
        <f>VLOOKUP(A827,$A$3:$C$734,3,FALSE)</f>
        <v>OTHER REVENUE</v>
      </c>
    </row>
    <row r="828" spans="1:3">
      <c r="A828" t="s">
        <v>600</v>
      </c>
      <c r="B828" t="s">
        <v>898</v>
      </c>
      <c r="C828" t="str">
        <f>VLOOKUP(A828,$A$3:$C$734,3,FALSE)</f>
        <v>OTHER REVENUE</v>
      </c>
    </row>
    <row r="829" spans="1:3">
      <c r="A829" t="s">
        <v>3548</v>
      </c>
      <c r="B829" t="s">
        <v>479</v>
      </c>
      <c r="C829" t="e">
        <f>VLOOKUP(A829,$A$3:$C$734,3,FALSE)</f>
        <v>#N/A</v>
      </c>
    </row>
    <row r="830" spans="1:3">
      <c r="A830" t="s">
        <v>601</v>
      </c>
      <c r="B830" t="s">
        <v>3139</v>
      </c>
      <c r="C830" t="str">
        <f>VLOOKUP(A830,$A$3:$C$734,3,FALSE)</f>
        <v>TRANSFERS IN</v>
      </c>
    </row>
    <row r="831" spans="1:3">
      <c r="A831" t="s">
        <v>1112</v>
      </c>
      <c r="B831" t="s">
        <v>3140</v>
      </c>
      <c r="C831" t="str">
        <f>VLOOKUP(A831,$A$3:$C$734,3,FALSE)</f>
        <v>REVENUE</v>
      </c>
    </row>
    <row r="832" spans="1:3">
      <c r="A832" t="s">
        <v>978</v>
      </c>
      <c r="B832" t="s">
        <v>1101</v>
      </c>
      <c r="C832" t="str">
        <f>VLOOKUP(A832,$A$3:$C$734,3,FALSE)</f>
        <v>TRANSFERS IN</v>
      </c>
    </row>
    <row r="833" spans="1:3">
      <c r="A833" t="s">
        <v>980</v>
      </c>
      <c r="B833" t="s">
        <v>3149</v>
      </c>
      <c r="C833" t="str">
        <f>VLOOKUP(A833,$A$3:$C$734,3,FALSE)</f>
        <v>TRANSFERS IN</v>
      </c>
    </row>
    <row r="834" spans="1:3">
      <c r="A834" t="s">
        <v>602</v>
      </c>
      <c r="B834" t="s">
        <v>480</v>
      </c>
      <c r="C834" t="str">
        <f>VLOOKUP(A834,$A$3:$C$734,3,FALSE)</f>
        <v>TRANSFERS IN</v>
      </c>
    </row>
    <row r="835" spans="1:3">
      <c r="A835" t="s">
        <v>603</v>
      </c>
      <c r="B835" t="s">
        <v>481</v>
      </c>
      <c r="C835" t="str">
        <f>VLOOKUP(A835,$A$3:$C$734,3,FALSE)</f>
        <v>TRANSFERS IN</v>
      </c>
    </row>
    <row r="836" spans="1:3">
      <c r="A836" t="s">
        <v>986</v>
      </c>
      <c r="B836" t="s">
        <v>84</v>
      </c>
      <c r="C836" t="str">
        <f>VLOOKUP(A836,$A$3:$C$734,3,FALSE)</f>
        <v>TRANSFERS IN</v>
      </c>
    </row>
    <row r="837" spans="1:3">
      <c r="A837" t="s">
        <v>679</v>
      </c>
      <c r="B837" t="s">
        <v>3516</v>
      </c>
      <c r="C837" t="str">
        <f>VLOOKUP(A837,$A$3:$C$734,3,FALSE)</f>
        <v>CHARGES FOR SERVICE</v>
      </c>
    </row>
    <row r="838" spans="1:3">
      <c r="A838" t="s">
        <v>962</v>
      </c>
      <c r="B838" t="s">
        <v>883</v>
      </c>
      <c r="C838" t="str">
        <f>VLOOKUP(A838,$A$3:$C$734,3,FALSE)</f>
        <v>DEBT ISSUANCES</v>
      </c>
    </row>
    <row r="839" spans="1:3">
      <c r="A839" t="s">
        <v>963</v>
      </c>
      <c r="B839" t="s">
        <v>884</v>
      </c>
      <c r="C839" t="str">
        <f>VLOOKUP(A839,$A$3:$C$734,3,FALSE)</f>
        <v>DEBT ISSUANCES</v>
      </c>
    </row>
    <row r="840" spans="1:3">
      <c r="A840" t="s">
        <v>663</v>
      </c>
      <c r="B840" t="s">
        <v>425</v>
      </c>
      <c r="C840" t="str">
        <f>VLOOKUP(A840,$A$3:$C$734,3,FALSE)</f>
        <v>DEBT ISSUANCES</v>
      </c>
    </row>
    <row r="841" spans="1:3">
      <c r="A841" t="s">
        <v>664</v>
      </c>
      <c r="B841" t="s">
        <v>426</v>
      </c>
      <c r="C841" t="str">
        <f>VLOOKUP(A841,$A$3:$C$734,3,FALSE)</f>
        <v>DEBT ISSUANCES</v>
      </c>
    </row>
    <row r="842" spans="1:3">
      <c r="A842" t="s">
        <v>680</v>
      </c>
      <c r="B842" t="s">
        <v>899</v>
      </c>
      <c r="C842" t="str">
        <f>VLOOKUP(A842,$A$3:$C$734,3,FALSE)</f>
        <v>TRANSFERS IN</v>
      </c>
    </row>
    <row r="843" spans="1:3">
      <c r="A843" t="s">
        <v>689</v>
      </c>
      <c r="B843" t="s">
        <v>3434</v>
      </c>
      <c r="C843" t="str">
        <f>VLOOKUP(A843,$A$3:$C$734,3,FALSE)</f>
        <v>DEVELOPMENT FEES</v>
      </c>
    </row>
    <row r="844" spans="1:3">
      <c r="A844" t="s">
        <v>690</v>
      </c>
      <c r="B844" t="s">
        <v>428</v>
      </c>
      <c r="C844" t="str">
        <f>VLOOKUP(A844,$A$3:$C$734,3,FALSE)</f>
        <v>CHARGES FOR SERVICE</v>
      </c>
    </row>
    <row r="845" spans="1:3">
      <c r="A845" t="s">
        <v>691</v>
      </c>
      <c r="B845" t="s">
        <v>429</v>
      </c>
      <c r="C845" t="str">
        <f>VLOOKUP(A845,$A$3:$C$734,3,FALSE)</f>
        <v>CHARGES FOR SERVICE</v>
      </c>
    </row>
    <row r="846" spans="1:3">
      <c r="A846" t="s">
        <v>692</v>
      </c>
      <c r="B846" t="s">
        <v>443</v>
      </c>
      <c r="C846" t="str">
        <f>VLOOKUP(A846,$A$3:$C$734,3,FALSE)</f>
        <v>CHARGES FOR SERVICE</v>
      </c>
    </row>
    <row r="847" spans="1:3">
      <c r="A847" t="s">
        <v>951</v>
      </c>
      <c r="B847" t="s">
        <v>874</v>
      </c>
      <c r="C847" t="str">
        <f>VLOOKUP(A847,$A$3:$C$734,3,FALSE)</f>
        <v>CHARGES FOR SERVICE</v>
      </c>
    </row>
    <row r="848" spans="1:3">
      <c r="A848" t="s">
        <v>693</v>
      </c>
      <c r="B848" t="s">
        <v>444</v>
      </c>
      <c r="C848" t="str">
        <f>VLOOKUP(A848,$A$3:$C$734,3,FALSE)</f>
        <v>CHARGES FOR SERVICE</v>
      </c>
    </row>
    <row r="849" spans="1:3">
      <c r="A849" t="s">
        <v>694</v>
      </c>
      <c r="B849" t="s">
        <v>431</v>
      </c>
      <c r="C849" t="str">
        <f>VLOOKUP(A849,$A$3:$C$734,3,FALSE)</f>
        <v>CHARGES FOR SERVICE</v>
      </c>
    </row>
    <row r="850" spans="1:3">
      <c r="A850" t="s">
        <v>695</v>
      </c>
      <c r="B850" t="s">
        <v>432</v>
      </c>
      <c r="C850" t="str">
        <f>VLOOKUP(A850,$A$3:$C$734,3,FALSE)</f>
        <v>CHARGES FOR SERVICE</v>
      </c>
    </row>
    <row r="851" spans="1:3">
      <c r="A851" t="s">
        <v>696</v>
      </c>
      <c r="B851" t="s">
        <v>433</v>
      </c>
      <c r="C851" t="str">
        <f>VLOOKUP(A851,$A$3:$C$734,3,FALSE)</f>
        <v>CHARGES FOR SERVICE</v>
      </c>
    </row>
    <row r="852" spans="1:3">
      <c r="A852" t="s">
        <v>697</v>
      </c>
      <c r="B852" t="s">
        <v>434</v>
      </c>
      <c r="C852" t="str">
        <f>VLOOKUP(A852,$A$3:$C$734,3,FALSE)</f>
        <v>CHARGES FOR SERVICE</v>
      </c>
    </row>
    <row r="853" spans="1:3">
      <c r="A853" t="s">
        <v>698</v>
      </c>
      <c r="B853" t="s">
        <v>435</v>
      </c>
      <c r="C853" t="str">
        <f>VLOOKUP(A853,$A$3:$C$734,3,FALSE)</f>
        <v>CHARGES FOR SERVICE</v>
      </c>
    </row>
    <row r="854" spans="1:3">
      <c r="A854" t="s">
        <v>699</v>
      </c>
      <c r="B854" t="s">
        <v>436</v>
      </c>
      <c r="C854" t="str">
        <f>VLOOKUP(A854,$A$3:$C$734,3,FALSE)</f>
        <v>CHARGES FOR SERVICE</v>
      </c>
    </row>
    <row r="855" spans="1:3">
      <c r="A855" t="s">
        <v>700</v>
      </c>
      <c r="B855" t="s">
        <v>499</v>
      </c>
      <c r="C855" t="str">
        <f>VLOOKUP(A855,$A$3:$C$734,3,FALSE)</f>
        <v>CHARGES FOR SERVICE</v>
      </c>
    </row>
    <row r="856" spans="1:3">
      <c r="A856" t="s">
        <v>701</v>
      </c>
      <c r="B856" t="s">
        <v>430</v>
      </c>
      <c r="C856" t="str">
        <f>VLOOKUP(A856,$A$3:$C$734,3,FALSE)</f>
        <v>CHARGES FOR SERVICE</v>
      </c>
    </row>
    <row r="857" spans="1:3">
      <c r="A857" t="s">
        <v>702</v>
      </c>
      <c r="B857" t="s">
        <v>437</v>
      </c>
      <c r="C857" t="str">
        <f>VLOOKUP(A857,$A$3:$C$734,3,FALSE)</f>
        <v>CHARGES FOR SERVICE</v>
      </c>
    </row>
    <row r="858" spans="1:3">
      <c r="A858" t="s">
        <v>703</v>
      </c>
      <c r="B858" t="s">
        <v>438</v>
      </c>
      <c r="C858" t="str">
        <f>VLOOKUP(A858,$A$3:$C$734,3,FALSE)</f>
        <v>CHARGES FOR SERVICE</v>
      </c>
    </row>
    <row r="859" spans="1:3">
      <c r="A859" t="s">
        <v>704</v>
      </c>
      <c r="B859" t="s">
        <v>877</v>
      </c>
      <c r="C859" t="str">
        <f>VLOOKUP(A859,$A$3:$C$734,3,FALSE)</f>
        <v>CHARGES FOR SERVICE</v>
      </c>
    </row>
    <row r="860" spans="1:3">
      <c r="A860" t="s">
        <v>705</v>
      </c>
      <c r="B860" t="s">
        <v>439</v>
      </c>
      <c r="C860" t="str">
        <f>VLOOKUP(A860,$A$3:$C$734,3,FALSE)</f>
        <v>CHARGES FOR SERVICE</v>
      </c>
    </row>
    <row r="861" spans="1:3">
      <c r="A861" t="s">
        <v>706</v>
      </c>
      <c r="B861" t="s">
        <v>440</v>
      </c>
      <c r="C861" t="str">
        <f>VLOOKUP(A861,$A$3:$C$734,3,FALSE)</f>
        <v>INTERGOVERNMENTAL</v>
      </c>
    </row>
    <row r="862" spans="1:3">
      <c r="A862" t="s">
        <v>707</v>
      </c>
      <c r="B862" t="s">
        <v>441</v>
      </c>
      <c r="C862" t="str">
        <f>VLOOKUP(A862,$A$3:$C$734,3,FALSE)</f>
        <v>OTHER REVENUE</v>
      </c>
    </row>
    <row r="863" spans="1:3">
      <c r="A863" t="s">
        <v>708</v>
      </c>
      <c r="B863" t="s">
        <v>442</v>
      </c>
      <c r="C863" t="str">
        <f>VLOOKUP(A863,$A$3:$C$734,3,FALSE)</f>
        <v>OTHER REVENUE</v>
      </c>
    </row>
    <row r="864" spans="1:3">
      <c r="A864" t="s">
        <v>709</v>
      </c>
      <c r="B864" t="s">
        <v>3141</v>
      </c>
      <c r="C864" t="str">
        <f>VLOOKUP(A864,$A$3:$C$734,3,FALSE)</f>
        <v>OTHER REVENUE</v>
      </c>
    </row>
    <row r="865" spans="1:3">
      <c r="A865" t="s">
        <v>710</v>
      </c>
      <c r="B865" t="s">
        <v>3523</v>
      </c>
      <c r="C865" t="str">
        <f>VLOOKUP(A865,$A$3:$C$734,3,FALSE)</f>
        <v>OTHER REVENUE</v>
      </c>
    </row>
    <row r="866" spans="1:3">
      <c r="A866" t="s">
        <v>711</v>
      </c>
      <c r="B866" t="s">
        <v>445</v>
      </c>
      <c r="C866" t="str">
        <f>VLOOKUP(A866,$A$3:$C$734,3,FALSE)</f>
        <v>OTHER REVENUE</v>
      </c>
    </row>
    <row r="867" spans="1:3">
      <c r="A867" t="s">
        <v>712</v>
      </c>
      <c r="B867" t="s">
        <v>446</v>
      </c>
      <c r="C867" t="str">
        <f>VLOOKUP(A867,$A$3:$C$734,3,FALSE)</f>
        <v>OTHER REVENUE</v>
      </c>
    </row>
    <row r="868" spans="1:3">
      <c r="A868" t="s">
        <v>686</v>
      </c>
      <c r="B868" t="s">
        <v>482</v>
      </c>
      <c r="C868" t="str">
        <f>VLOOKUP(A868,$A$3:$C$734,3,FALSE)</f>
        <v>OTHER REVENUE</v>
      </c>
    </row>
    <row r="869" spans="1:3">
      <c r="A869" t="s">
        <v>599</v>
      </c>
      <c r="B869" t="s">
        <v>897</v>
      </c>
      <c r="C869" t="str">
        <f>VLOOKUP(A869,$A$3:$C$734,3,FALSE)</f>
        <v>OTHER REVENUE</v>
      </c>
    </row>
    <row r="870" spans="1:3">
      <c r="A870" t="s">
        <v>713</v>
      </c>
      <c r="B870" t="s">
        <v>483</v>
      </c>
      <c r="C870" t="str">
        <f>VLOOKUP(A870,$A$3:$C$734,3,FALSE)</f>
        <v>OTHER REVENUE</v>
      </c>
    </row>
    <row r="871" spans="1:3">
      <c r="A871" t="s">
        <v>3549</v>
      </c>
      <c r="B871" t="s">
        <v>485</v>
      </c>
      <c r="C871" t="e">
        <f>VLOOKUP(A871,$A$3:$C$734,3,FALSE)</f>
        <v>#N/A</v>
      </c>
    </row>
    <row r="872" spans="1:3">
      <c r="A872" t="s">
        <v>687</v>
      </c>
      <c r="B872" t="s">
        <v>484</v>
      </c>
      <c r="C872" t="str">
        <f>VLOOKUP(A872,$A$3:$C$734,3,FALSE)</f>
        <v>OTHER REVENUE</v>
      </c>
    </row>
    <row r="873" spans="1:3">
      <c r="A873" t="s">
        <v>714</v>
      </c>
      <c r="B873" t="s">
        <v>486</v>
      </c>
      <c r="C873" t="str">
        <f>VLOOKUP(A873,$A$3:$C$734,3,FALSE)</f>
        <v>OTHER REVENUE</v>
      </c>
    </row>
    <row r="874" spans="1:3">
      <c r="A874" t="s">
        <v>715</v>
      </c>
      <c r="B874" t="s">
        <v>487</v>
      </c>
      <c r="C874" t="str">
        <f>VLOOKUP(A874,$A$3:$C$734,3,FALSE)</f>
        <v>OTHER REVENUE</v>
      </c>
    </row>
    <row r="875" spans="1:3">
      <c r="A875" t="s">
        <v>733</v>
      </c>
      <c r="B875" t="s">
        <v>512</v>
      </c>
      <c r="C875" t="str">
        <f>VLOOKUP(A875,$A$3:$C$734,3,FALSE)</f>
        <v>TRANSFERS IN</v>
      </c>
    </row>
    <row r="876" spans="1:3">
      <c r="A876" t="s">
        <v>716</v>
      </c>
      <c r="B876" t="s">
        <v>3142</v>
      </c>
      <c r="C876" t="str">
        <f>VLOOKUP(A876,$A$3:$C$734,3,FALSE)</f>
        <v>FINES AND FEES</v>
      </c>
    </row>
    <row r="877" spans="1:3">
      <c r="A877" t="s">
        <v>717</v>
      </c>
      <c r="B877" t="s">
        <v>3143</v>
      </c>
      <c r="C877" t="str">
        <f>VLOOKUP(A877,$A$3:$C$734,3,FALSE)</f>
        <v>FINES AND FEES</v>
      </c>
    </row>
    <row r="878" spans="1:3">
      <c r="A878" t="s">
        <v>718</v>
      </c>
      <c r="B878" t="s">
        <v>3144</v>
      </c>
      <c r="C878" t="str">
        <f>VLOOKUP(A878,$A$3:$C$734,3,FALSE)</f>
        <v>FINES AND FEES</v>
      </c>
    </row>
    <row r="879" spans="1:3">
      <c r="A879" t="s">
        <v>719</v>
      </c>
      <c r="B879" t="s">
        <v>3145</v>
      </c>
      <c r="C879" t="str">
        <f>VLOOKUP(A879,$A$3:$C$734,3,FALSE)</f>
        <v>FINES AND FEES</v>
      </c>
    </row>
    <row r="880" spans="1:3">
      <c r="A880" t="s">
        <v>946</v>
      </c>
      <c r="B880" t="s">
        <v>1023</v>
      </c>
      <c r="C880" t="str">
        <f>VLOOKUP(A880,$A$3:$C$734,3,FALSE)</f>
        <v>FINES AND FEES</v>
      </c>
    </row>
    <row r="881" spans="1:3">
      <c r="A881" t="s">
        <v>720</v>
      </c>
      <c r="B881" t="s">
        <v>867</v>
      </c>
      <c r="C881" t="str">
        <f>VLOOKUP(A881,$A$3:$C$734,3,FALSE)</f>
        <v>FINES AND FEES</v>
      </c>
    </row>
    <row r="882" spans="1:3">
      <c r="A882" t="s">
        <v>947</v>
      </c>
      <c r="B882" t="s">
        <v>3146</v>
      </c>
      <c r="C882" t="str">
        <f>VLOOKUP(A882,$A$3:$C$734,3,FALSE)</f>
        <v>FINES AND FEES</v>
      </c>
    </row>
    <row r="883" spans="1:3">
      <c r="A883" t="s">
        <v>948</v>
      </c>
      <c r="B883" t="s">
        <v>1024</v>
      </c>
      <c r="C883" t="str">
        <f>VLOOKUP(A883,$A$3:$C$734,3,FALSE)</f>
        <v>FINES AND FEES</v>
      </c>
    </row>
    <row r="884" spans="1:3">
      <c r="A884" t="s">
        <v>943</v>
      </c>
      <c r="B884" t="s">
        <v>859</v>
      </c>
      <c r="C884" t="str">
        <f>VLOOKUP(A884,$A$3:$C$734,3,FALSE)</f>
        <v>FINES AND FEES</v>
      </c>
    </row>
    <row r="885" spans="1:3">
      <c r="A885" t="s">
        <v>970</v>
      </c>
      <c r="B885" t="s">
        <v>488</v>
      </c>
      <c r="C885" t="str">
        <f>VLOOKUP(A885,$A$3:$C$734,3,FALSE)</f>
        <v>INTERGOVERNMENTAL</v>
      </c>
    </row>
    <row r="886" spans="1:3">
      <c r="A886" t="s">
        <v>685</v>
      </c>
      <c r="B886" t="s">
        <v>454</v>
      </c>
      <c r="C886" t="str">
        <f>VLOOKUP(A886,$A$3:$C$734,3,FALSE)</f>
        <v>INTERGOVERNMENTAL</v>
      </c>
    </row>
    <row r="887" spans="1:3">
      <c r="A887" t="s">
        <v>3550</v>
      </c>
      <c r="B887" t="s">
        <v>885</v>
      </c>
      <c r="C887" t="e">
        <f>VLOOKUP(A887,$A$3:$C$734,3,FALSE)</f>
        <v>#N/A</v>
      </c>
    </row>
    <row r="888" spans="1:3">
      <c r="A888" t="s">
        <v>785</v>
      </c>
      <c r="B888" t="s">
        <v>477</v>
      </c>
      <c r="C888" t="str">
        <f>VLOOKUP(A888,$A$3:$C$734,3,FALSE)</f>
        <v>INTERGOVERNMENTAL</v>
      </c>
    </row>
    <row r="889" spans="1:3">
      <c r="A889" t="s">
        <v>971</v>
      </c>
      <c r="B889" t="s">
        <v>454</v>
      </c>
      <c r="C889" t="str">
        <f>VLOOKUP(A889,$A$3:$C$734,3,FALSE)</f>
        <v>INTERGOVERNMENTAL</v>
      </c>
    </row>
    <row r="890" spans="1:3">
      <c r="A890" t="s">
        <v>588</v>
      </c>
      <c r="B890" t="s">
        <v>477</v>
      </c>
      <c r="C890" t="str">
        <f>VLOOKUP(A890,$A$3:$C$734,3,FALSE)</f>
        <v>INTERGOVERNMENTAL</v>
      </c>
    </row>
    <row r="891" spans="1:3">
      <c r="A891" t="s">
        <v>977</v>
      </c>
      <c r="B891" t="s">
        <v>893</v>
      </c>
      <c r="C891" t="str">
        <f>VLOOKUP(A891,$A$3:$C$734,3,FALSE)</f>
        <v>OTHER REVENUE</v>
      </c>
    </row>
    <row r="892" spans="1:3">
      <c r="A892" t="s">
        <v>3377</v>
      </c>
      <c r="B892" t="s">
        <v>3148</v>
      </c>
      <c r="C892" t="str">
        <f>VLOOKUP(A892,$A$3:$C$734,3,FALSE)</f>
        <v>REVENUE</v>
      </c>
    </row>
    <row r="893" spans="1:3">
      <c r="A893" t="s">
        <v>3378</v>
      </c>
      <c r="B893" t="s">
        <v>490</v>
      </c>
      <c r="C893" t="str">
        <f>VLOOKUP(A893,$A$3:$C$734,3,FALSE)</f>
        <v>REVENUE</v>
      </c>
    </row>
    <row r="894" spans="1:3">
      <c r="A894" t="s">
        <v>3379</v>
      </c>
      <c r="B894" t="s">
        <v>492</v>
      </c>
      <c r="C894" t="str">
        <f>VLOOKUP(A894,$A$3:$C$734,3,FALSE)</f>
        <v>REVENUE</v>
      </c>
    </row>
    <row r="895" spans="1:3">
      <c r="A895" t="s">
        <v>3380</v>
      </c>
      <c r="B895" t="s">
        <v>491</v>
      </c>
      <c r="C895" t="str">
        <f>VLOOKUP(A895,$A$3:$C$734,3,FALSE)</f>
        <v>REVENUE</v>
      </c>
    </row>
    <row r="896" spans="1:3">
      <c r="A896" t="s">
        <v>969</v>
      </c>
      <c r="B896" t="s">
        <v>887</v>
      </c>
      <c r="C896" t="str">
        <f>VLOOKUP(A896,$A$3:$C$734,3,FALSE)</f>
        <v>INTERGOVERNMENTAL</v>
      </c>
    </row>
    <row r="897" spans="1:3">
      <c r="A897" t="s">
        <v>973</v>
      </c>
      <c r="B897" t="s">
        <v>3435</v>
      </c>
      <c r="C897" t="str">
        <f>VLOOKUP(A897,$A$3:$C$734,3,FALSE)</f>
        <v>OTHER REVENUE</v>
      </c>
    </row>
    <row r="898" spans="1:3">
      <c r="A898" t="s">
        <v>964</v>
      </c>
      <c r="B898" t="s">
        <v>828</v>
      </c>
      <c r="C898" t="str">
        <f>VLOOKUP(A898,$A$3:$C$734,3,FALSE)</f>
        <v>DEBT ISSUANCES</v>
      </c>
    </row>
    <row r="899" spans="1:3">
      <c r="A899" t="s">
        <v>724</v>
      </c>
      <c r="B899" t="s">
        <v>493</v>
      </c>
      <c r="C899" t="str">
        <f>VLOOKUP(A899,$A$3:$C$734,3,FALSE)</f>
        <v>CHARGES FOR SERVICE</v>
      </c>
    </row>
    <row r="900" spans="1:3">
      <c r="A900" t="s">
        <v>725</v>
      </c>
      <c r="B900" t="s">
        <v>494</v>
      </c>
      <c r="C900" t="str">
        <f>VLOOKUP(A900,$A$3:$C$734,3,FALSE)</f>
        <v>CHARGES FOR SERVICE</v>
      </c>
    </row>
    <row r="901" spans="1:3">
      <c r="A901" t="s">
        <v>726</v>
      </c>
      <c r="B901" t="s">
        <v>495</v>
      </c>
      <c r="C901" t="str">
        <f>VLOOKUP(A901,$A$3:$C$734,3,FALSE)</f>
        <v>CHARGES FOR SERVICE</v>
      </c>
    </row>
    <row r="902" spans="1:3">
      <c r="A902" t="s">
        <v>956</v>
      </c>
      <c r="B902" t="s">
        <v>882</v>
      </c>
      <c r="C902" t="str">
        <f>VLOOKUP(A902,$A$3:$C$734,3,FALSE)</f>
        <v>CHARGES FOR SERVICE</v>
      </c>
    </row>
    <row r="903" spans="1:3">
      <c r="A903" t="s">
        <v>727</v>
      </c>
      <c r="B903" t="s">
        <v>496</v>
      </c>
      <c r="C903" t="str">
        <f>VLOOKUP(A903,$A$3:$C$734,3,FALSE)</f>
        <v>CHARGES FOR SERVICE</v>
      </c>
    </row>
    <row r="904" spans="1:3">
      <c r="A904" t="s">
        <v>728</v>
      </c>
      <c r="B904" t="s">
        <v>497</v>
      </c>
      <c r="C904" t="str">
        <f>VLOOKUP(A904,$A$3:$C$734,3,FALSE)</f>
        <v>CHARGES FOR SERVICE</v>
      </c>
    </row>
    <row r="905" spans="1:3">
      <c r="A905" t="s">
        <v>955</v>
      </c>
      <c r="B905" t="s">
        <v>746</v>
      </c>
      <c r="C905" t="str">
        <f>VLOOKUP(A905,$A$3:$C$734,3,FALSE)</f>
        <v>CHARGES FOR SERVICE</v>
      </c>
    </row>
    <row r="906" spans="1:3">
      <c r="A906" t="s">
        <v>940</v>
      </c>
      <c r="B906" t="s">
        <v>857</v>
      </c>
      <c r="C906" t="str">
        <f>VLOOKUP(A906,$A$3:$C$734,3,FALSE)</f>
        <v>DEVELOPMENT FEES</v>
      </c>
    </row>
    <row r="907" spans="1:3">
      <c r="A907" t="s">
        <v>941</v>
      </c>
      <c r="B907" t="s">
        <v>3150</v>
      </c>
      <c r="C907" t="str">
        <f>VLOOKUP(A907,$A$3:$C$734,3,FALSE)</f>
        <v>DEVELOPMENT FEES</v>
      </c>
    </row>
    <row r="908" spans="1:3">
      <c r="A908" t="s">
        <v>768</v>
      </c>
      <c r="B908" t="s">
        <v>498</v>
      </c>
      <c r="C908" t="str">
        <f>VLOOKUP(A908,$A$3:$C$734,3,FALSE)</f>
        <v>CHARGES FOR SERVICE</v>
      </c>
    </row>
    <row r="909" spans="1:3">
      <c r="A909" t="s">
        <v>770</v>
      </c>
      <c r="B909" t="s">
        <v>500</v>
      </c>
      <c r="C909" t="str">
        <f>VLOOKUP(A909,$A$3:$C$734,3,FALSE)</f>
        <v>CHARGES FOR SERVICE</v>
      </c>
    </row>
    <row r="910" spans="1:3">
      <c r="A910" t="s">
        <v>771</v>
      </c>
      <c r="B910" t="s">
        <v>501</v>
      </c>
      <c r="C910" t="str">
        <f>VLOOKUP(A910,$A$3:$C$734,3,FALSE)</f>
        <v>CHARGES FOR SERVICE</v>
      </c>
    </row>
    <row r="911" spans="1:3">
      <c r="A911" t="s">
        <v>772</v>
      </c>
      <c r="B911" t="s">
        <v>502</v>
      </c>
      <c r="C911" t="str">
        <f>VLOOKUP(A911,$A$3:$C$734,3,FALSE)</f>
        <v>CHARGES FOR SERVICE</v>
      </c>
    </row>
    <row r="912" spans="1:3">
      <c r="A912" t="s">
        <v>773</v>
      </c>
      <c r="B912" t="s">
        <v>875</v>
      </c>
      <c r="C912" t="str">
        <f>VLOOKUP(A912,$A$3:$C$734,3,FALSE)</f>
        <v>CHARGES FOR SERVICE</v>
      </c>
    </row>
    <row r="913" spans="1:3">
      <c r="A913" t="s">
        <v>577</v>
      </c>
      <c r="B913" t="s">
        <v>416</v>
      </c>
      <c r="C913" t="str">
        <f>VLOOKUP(A913,$A$3:$C$734,3,FALSE)</f>
        <v>CHARGES FOR SERVICE</v>
      </c>
    </row>
    <row r="914" spans="1:3">
      <c r="A914" t="s">
        <v>774</v>
      </c>
      <c r="B914" t="s">
        <v>503</v>
      </c>
      <c r="C914" t="str">
        <f>VLOOKUP(A914,$A$3:$C$734,3,FALSE)</f>
        <v>CHARGES FOR SERVICE</v>
      </c>
    </row>
    <row r="915" spans="1:3">
      <c r="A915" t="s">
        <v>775</v>
      </c>
      <c r="B915" t="s">
        <v>504</v>
      </c>
      <c r="C915" t="str">
        <f>VLOOKUP(A915,$A$3:$C$734,3,FALSE)</f>
        <v>CHARGES FOR SERVICE</v>
      </c>
    </row>
    <row r="916" spans="1:3">
      <c r="A916" t="s">
        <v>776</v>
      </c>
      <c r="B916" t="s">
        <v>505</v>
      </c>
      <c r="C916" t="str">
        <f>VLOOKUP(A916,$A$3:$C$734,3,FALSE)</f>
        <v>CHARGES FOR SERVICE</v>
      </c>
    </row>
    <row r="917" spans="1:3">
      <c r="A917" t="s">
        <v>777</v>
      </c>
      <c r="B917" t="s">
        <v>506</v>
      </c>
      <c r="C917" t="str">
        <f>VLOOKUP(A917,$A$3:$C$734,3,FALSE)</f>
        <v>CHARGES FOR SERVICE</v>
      </c>
    </row>
    <row r="918" spans="1:3">
      <c r="A918" t="s">
        <v>778</v>
      </c>
      <c r="B918" t="s">
        <v>876</v>
      </c>
      <c r="C918" t="str">
        <f>VLOOKUP(A918,$A$3:$C$734,3,FALSE)</f>
        <v>CHARGES FOR SERVICE</v>
      </c>
    </row>
    <row r="919" spans="1:3">
      <c r="A919" t="s">
        <v>779</v>
      </c>
      <c r="B919" t="s">
        <v>507</v>
      </c>
      <c r="C919" t="str">
        <f>VLOOKUP(A919,$A$3:$C$734,3,FALSE)</f>
        <v>CHARGES FOR SERVICE</v>
      </c>
    </row>
    <row r="920" spans="1:3">
      <c r="A920" t="s">
        <v>780</v>
      </c>
      <c r="B920" t="s">
        <v>508</v>
      </c>
      <c r="C920" t="str">
        <f>VLOOKUP(A920,$A$3:$C$734,3,FALSE)</f>
        <v>CHARGES FOR SERVICE</v>
      </c>
    </row>
    <row r="921" spans="1:3">
      <c r="A921" t="s">
        <v>781</v>
      </c>
      <c r="B921" t="s">
        <v>509</v>
      </c>
      <c r="C921" t="str">
        <f>VLOOKUP(A921,$A$3:$C$734,3,FALSE)</f>
        <v>CHARGES FOR SERVICE</v>
      </c>
    </row>
    <row r="922" spans="1:3">
      <c r="A922" t="s">
        <v>1094</v>
      </c>
      <c r="B922" t="s">
        <v>1087</v>
      </c>
      <c r="C922" t="str">
        <f>VLOOKUP(A922,$A$3:$C$734,3,FALSE)</f>
        <v>CHARGES FOR SERVICE</v>
      </c>
    </row>
    <row r="923" spans="1:3">
      <c r="A923" t="s">
        <v>1095</v>
      </c>
      <c r="B923" t="s">
        <v>1088</v>
      </c>
      <c r="C923" t="str">
        <f>VLOOKUP(A923,$A$3:$C$734,3,FALSE)</f>
        <v>CHARGES FOR SERVICE</v>
      </c>
    </row>
    <row r="924" spans="1:3">
      <c r="A924" t="s">
        <v>782</v>
      </c>
      <c r="B924" t="s">
        <v>510</v>
      </c>
      <c r="C924" t="str">
        <f>VLOOKUP(A924,$A$3:$C$734,3,FALSE)</f>
        <v>CHARGES FOR SERVICE</v>
      </c>
    </row>
    <row r="925" spans="1:3">
      <c r="A925" t="s">
        <v>783</v>
      </c>
      <c r="B925" t="s">
        <v>511</v>
      </c>
      <c r="C925" t="str">
        <f>VLOOKUP(A925,$A$3:$C$734,3,FALSE)</f>
        <v>CHARGES FOR SERVICE</v>
      </c>
    </row>
    <row r="926" spans="1:3">
      <c r="A926" t="s">
        <v>3388</v>
      </c>
      <c r="B926" t="s">
        <v>3338</v>
      </c>
      <c r="C926" t="str">
        <f>VLOOKUP(A926,$A$3:$C$734,3,FALSE)</f>
        <v>REVENUE</v>
      </c>
    </row>
    <row r="927" spans="1:3">
      <c r="A927" t="s">
        <v>3551</v>
      </c>
      <c r="B927" t="s">
        <v>3151</v>
      </c>
      <c r="C927" t="e">
        <f>VLOOKUP(A927,$A$3:$C$734,3,FALSE)</f>
        <v>#N/A</v>
      </c>
    </row>
    <row r="928" spans="1:3">
      <c r="A928" t="s">
        <v>950</v>
      </c>
      <c r="B928" t="s">
        <v>873</v>
      </c>
      <c r="C928" t="str">
        <f>VLOOKUP(A928,$A$3:$C$734,3,FALSE)</f>
        <v>CHARGES FOR SERVICE</v>
      </c>
    </row>
    <row r="929" spans="1:3">
      <c r="A929" t="s">
        <v>958</v>
      </c>
      <c r="B929" t="s">
        <v>3259</v>
      </c>
      <c r="C929" t="str">
        <f>VLOOKUP(A929,$A$3:$C$734,3,FALSE)</f>
        <v>SERVICES &amp; OTHER</v>
      </c>
    </row>
    <row r="930" spans="1:3">
      <c r="A930" t="s">
        <v>3269</v>
      </c>
      <c r="B930" t="s">
        <v>3260</v>
      </c>
      <c r="C930" t="str">
        <f>VLOOKUP(A930,$A$3:$C$734,3,FALSE)</f>
        <v>SERVICES &amp; OTHER</v>
      </c>
    </row>
    <row r="931" spans="1:3">
      <c r="A931" t="s">
        <v>3271</v>
      </c>
      <c r="B931" t="s">
        <v>3261</v>
      </c>
      <c r="C931" t="str">
        <f>VLOOKUP(A931,$A$3:$C$734,3,FALSE)</f>
        <v>SERVICES &amp; OTHER</v>
      </c>
    </row>
    <row r="932" spans="1:3">
      <c r="A932" t="s">
        <v>3272</v>
      </c>
      <c r="B932" t="s">
        <v>3262</v>
      </c>
      <c r="C932" t="str">
        <f>VLOOKUP(A932,$A$3:$C$734,3,FALSE)</f>
        <v>SERVICES &amp; OTHER</v>
      </c>
    </row>
    <row r="933" spans="1:3">
      <c r="A933" t="s">
        <v>3273</v>
      </c>
      <c r="B933" t="s">
        <v>3263</v>
      </c>
      <c r="C933" t="str">
        <f>VLOOKUP(A933,$A$3:$C$734,3,FALSE)</f>
        <v>SERVICES &amp; OTHER</v>
      </c>
    </row>
    <row r="934" spans="1:3">
      <c r="A934" t="s">
        <v>959</v>
      </c>
      <c r="B934" t="s">
        <v>3264</v>
      </c>
      <c r="C934" t="str">
        <f>VLOOKUP(A934,$A$3:$C$734,3,FALSE)</f>
        <v>SERVICES &amp; OTHER</v>
      </c>
    </row>
    <row r="935" spans="1:3">
      <c r="A935" t="s">
        <v>3274</v>
      </c>
      <c r="B935" t="s">
        <v>3262</v>
      </c>
      <c r="C935" t="str">
        <f>VLOOKUP(A935,$A$3:$C$734,3,FALSE)</f>
        <v>SERVICES &amp; OTHER</v>
      </c>
    </row>
    <row r="936" spans="1:3">
      <c r="A936" t="s">
        <v>974</v>
      </c>
      <c r="B936" t="s">
        <v>890</v>
      </c>
      <c r="C936" t="str">
        <f>VLOOKUP(A936,$A$3:$C$734,3,FALSE)</f>
        <v>OTHER REVENUE</v>
      </c>
    </row>
    <row r="937" spans="1:3">
      <c r="A937" t="s">
        <v>928</v>
      </c>
      <c r="B937" t="s">
        <v>846</v>
      </c>
      <c r="C937" t="str">
        <f>VLOOKUP(A937,$A$3:$C$734,3,FALSE)</f>
        <v>DEVELOPMENT FEES</v>
      </c>
    </row>
    <row r="938" spans="1:3">
      <c r="A938" t="s">
        <v>975</v>
      </c>
      <c r="B938" t="s">
        <v>892</v>
      </c>
      <c r="C938" t="str">
        <f>VLOOKUP(A938,$A$3:$C$734,3,FALSE)</f>
        <v>OTHER REVENUE</v>
      </c>
    </row>
    <row r="939" spans="1:3">
      <c r="A939" t="s">
        <v>786</v>
      </c>
      <c r="B939" t="s">
        <v>453</v>
      </c>
      <c r="C939" t="str">
        <f>VLOOKUP(A939,$A$3:$C$734,3,FALSE)</f>
        <v>OTHER REVENUE</v>
      </c>
    </row>
    <row r="940" spans="1:3">
      <c r="A940" t="s">
        <v>734</v>
      </c>
      <c r="B940" t="s">
        <v>513</v>
      </c>
      <c r="C940" t="str">
        <f>VLOOKUP(A940,$A$3:$C$734,3,FALSE)</f>
        <v>TRANSFERS IN</v>
      </c>
    </row>
    <row r="941" spans="1:3">
      <c r="A941" t="s">
        <v>735</v>
      </c>
      <c r="B941" t="s">
        <v>514</v>
      </c>
      <c r="C941" t="str">
        <f>VLOOKUP(A941,$A$3:$C$734,3,FALSE)</f>
        <v>TRANSFERS IN</v>
      </c>
    </row>
    <row r="942" spans="1:3">
      <c r="A942" t="s">
        <v>736</v>
      </c>
      <c r="B942" t="s">
        <v>901</v>
      </c>
      <c r="C942" t="str">
        <f>VLOOKUP(A942,$A$3:$C$734,3,FALSE)</f>
        <v>TRANSFERS IN</v>
      </c>
    </row>
    <row r="943" spans="1:3">
      <c r="A943" t="s">
        <v>927</v>
      </c>
      <c r="B943" t="s">
        <v>796</v>
      </c>
      <c r="C943" t="str">
        <f>VLOOKUP(A943,$A$3:$C$734,3,FALSE)</f>
        <v>PROPERTY TAX</v>
      </c>
    </row>
    <row r="944" spans="1:3">
      <c r="A944" t="s">
        <v>737</v>
      </c>
      <c r="B944" t="s">
        <v>3399</v>
      </c>
      <c r="C944" t="str">
        <f>VLOOKUP(A944,$A$3:$C$734,3,FALSE)</f>
        <v>PROPERTY TAX</v>
      </c>
    </row>
    <row r="945" spans="1:3">
      <c r="A945" t="s">
        <v>738</v>
      </c>
      <c r="B945" t="s">
        <v>515</v>
      </c>
      <c r="C945" t="str">
        <f>VLOOKUP(A945,$A$3:$C$734,3,FALSE)</f>
        <v>PROPERTY TAX</v>
      </c>
    </row>
    <row r="946" spans="1:3">
      <c r="A946" t="s">
        <v>739</v>
      </c>
      <c r="B946" t="s">
        <v>516</v>
      </c>
      <c r="C946" t="str">
        <f>VLOOKUP(A946,$A$3:$C$734,3,FALSE)</f>
        <v>PROPERTY TAX</v>
      </c>
    </row>
    <row r="947" spans="1:3">
      <c r="A947" t="s">
        <v>929</v>
      </c>
      <c r="B947" t="s">
        <v>847</v>
      </c>
      <c r="C947" t="str">
        <f>VLOOKUP(A947,$A$3:$C$734,3,FALSE)</f>
        <v>DEVELOPMENT FEES</v>
      </c>
    </row>
    <row r="948" spans="1:3">
      <c r="A948" t="s">
        <v>930</v>
      </c>
      <c r="B948" t="s">
        <v>848</v>
      </c>
      <c r="C948" t="str">
        <f>VLOOKUP(A948,$A$3:$C$734,3,FALSE)</f>
        <v>DEVELOPMENT FEES</v>
      </c>
    </row>
    <row r="949" spans="1:3">
      <c r="A949" t="s">
        <v>784</v>
      </c>
      <c r="B949" t="s">
        <v>3436</v>
      </c>
      <c r="C949" t="str">
        <f>VLOOKUP(A949,$A$3:$C$734,3,FALSE)</f>
        <v>DEVELOPMENT FEES</v>
      </c>
    </row>
    <row r="950" spans="1:3">
      <c r="A950" t="s">
        <v>957</v>
      </c>
      <c r="B950" t="s">
        <v>1096</v>
      </c>
      <c r="C950" t="str">
        <f>VLOOKUP(A950,$A$3:$C$734,3,FALSE)</f>
        <v>CHARGES FOR SERVICE</v>
      </c>
    </row>
    <row r="951" spans="1:3">
      <c r="A951" t="s">
        <v>991</v>
      </c>
      <c r="B951" t="s">
        <v>990</v>
      </c>
      <c r="C951" t="str">
        <f>VLOOKUP(A951,$A$3:$C$734,3,FALSE)</f>
        <v>CHARGES FOR SERVICE</v>
      </c>
    </row>
    <row r="952" spans="1:3">
      <c r="A952" t="s">
        <v>960</v>
      </c>
      <c r="B952" t="s">
        <v>517</v>
      </c>
      <c r="C952" t="str">
        <f>VLOOKUP(A952,$A$3:$C$734,3,FALSE)</f>
        <v>CHARGES FOR SERVICE</v>
      </c>
    </row>
    <row r="953" spans="1:3">
      <c r="A953" t="s">
        <v>1113</v>
      </c>
      <c r="B953" t="s">
        <v>1114</v>
      </c>
      <c r="C953" t="str">
        <f>VLOOKUP(A953,$A$3:$C$734,3,FALSE)</f>
        <v>CHARGES FOR SERVICE</v>
      </c>
    </row>
    <row r="954" spans="1:3">
      <c r="A954" t="s">
        <v>961</v>
      </c>
      <c r="B954" t="s">
        <v>518</v>
      </c>
      <c r="C954" t="str">
        <f>VLOOKUP(A954,$A$3:$C$734,3,FALSE)</f>
        <v>CHARGES FOR SERVICE</v>
      </c>
    </row>
    <row r="955" spans="1:3">
      <c r="A955" t="s">
        <v>968</v>
      </c>
      <c r="B955" t="s">
        <v>440</v>
      </c>
      <c r="C955" t="str">
        <f>VLOOKUP(A955,$A$3:$C$734,3,FALSE)</f>
        <v>INTERGOVERNMENTAL</v>
      </c>
    </row>
    <row r="956" spans="1:3">
      <c r="A956" t="s">
        <v>939</v>
      </c>
      <c r="B956" t="s">
        <v>856</v>
      </c>
      <c r="C956" t="str">
        <f>VLOOKUP(A956,$A$3:$C$734,3,FALSE)</f>
        <v>DEVELOPMENT FEES</v>
      </c>
    </row>
    <row r="957" spans="1:3">
      <c r="A957" t="s">
        <v>647</v>
      </c>
      <c r="B957" t="s">
        <v>414</v>
      </c>
      <c r="C957" t="str">
        <f>VLOOKUP(A957,$A$3:$C$734,3,FALSE)</f>
        <v>INTRAGOVERNMENTAL</v>
      </c>
    </row>
    <row r="958" spans="1:3">
      <c r="A958" t="s">
        <v>648</v>
      </c>
      <c r="B958" t="s">
        <v>455</v>
      </c>
      <c r="C958" t="str">
        <f>VLOOKUP(A958,$A$3:$C$734,3,FALSE)</f>
        <v>CHARGES FOR SERVICE</v>
      </c>
    </row>
    <row r="959" spans="1:3">
      <c r="A959" t="s">
        <v>649</v>
      </c>
      <c r="B959" t="s">
        <v>456</v>
      </c>
      <c r="C959" t="e">
        <f>VLOOKUP(A959,$A$3:$C$734,3,FALSE)</f>
        <v>#N/A</v>
      </c>
    </row>
    <row r="960" spans="1:3">
      <c r="A960" t="s">
        <v>650</v>
      </c>
      <c r="B960" t="s">
        <v>457</v>
      </c>
      <c r="C960" t="str">
        <f>VLOOKUP(A960,$A$3:$C$734,3,FALSE)</f>
        <v>CHARGES FOR SERVICE</v>
      </c>
    </row>
    <row r="961" spans="1:3">
      <c r="A961" t="s">
        <v>651</v>
      </c>
      <c r="B961" t="s">
        <v>458</v>
      </c>
      <c r="C961" t="str">
        <f>VLOOKUP(A961,$A$3:$C$734,3,FALSE)</f>
        <v>CHARGES FOR SERVICE</v>
      </c>
    </row>
    <row r="962" spans="1:3">
      <c r="A962" t="s">
        <v>652</v>
      </c>
      <c r="B962" t="s">
        <v>878</v>
      </c>
      <c r="C962" t="str">
        <f>VLOOKUP(A962,$A$3:$C$734,3,FALSE)</f>
        <v>CHARGES FOR SERVICE</v>
      </c>
    </row>
    <row r="963" spans="1:3">
      <c r="A963" t="s">
        <v>653</v>
      </c>
      <c r="B963" t="s">
        <v>459</v>
      </c>
      <c r="C963" t="e">
        <f>VLOOKUP(A963,$A$3:$C$734,3,FALSE)</f>
        <v>#N/A</v>
      </c>
    </row>
    <row r="964" spans="1:3">
      <c r="A964" t="s">
        <v>654</v>
      </c>
      <c r="B964" t="s">
        <v>118</v>
      </c>
      <c r="C964" t="str">
        <f>VLOOKUP(A964,$A$3:$C$734,3,FALSE)</f>
        <v>CHARGES FOR SERVICE</v>
      </c>
    </row>
    <row r="965" spans="1:3">
      <c r="A965" t="s">
        <v>952</v>
      </c>
      <c r="B965" t="s">
        <v>879</v>
      </c>
      <c r="C965" t="str">
        <f>VLOOKUP(A965,$A$3:$C$734,3,FALSE)</f>
        <v>CHARGES FOR SERVICE</v>
      </c>
    </row>
    <row r="966" spans="1:3">
      <c r="A966" t="s">
        <v>953</v>
      </c>
      <c r="B966" t="s">
        <v>880</v>
      </c>
      <c r="C966" t="str">
        <f>VLOOKUP(A966,$A$3:$C$734,3,FALSE)</f>
        <v>CHARGES FOR SERVICE</v>
      </c>
    </row>
    <row r="967" spans="1:3">
      <c r="A967" t="s">
        <v>655</v>
      </c>
      <c r="B967" t="s">
        <v>460</v>
      </c>
      <c r="C967" t="str">
        <f>VLOOKUP(A967,$A$3:$C$734,3,FALSE)</f>
        <v>CHARGES FOR SERVICE</v>
      </c>
    </row>
    <row r="968" spans="1:3">
      <c r="A968" t="s">
        <v>656</v>
      </c>
      <c r="B968" t="s">
        <v>881</v>
      </c>
      <c r="C968" t="str">
        <f>VLOOKUP(A968,$A$3:$C$734,3,FALSE)</f>
        <v>CHARGES FOR SERVICE</v>
      </c>
    </row>
    <row r="969" spans="1:3">
      <c r="A969" t="s">
        <v>657</v>
      </c>
      <c r="B969" t="s">
        <v>117</v>
      </c>
      <c r="C969" t="str">
        <f>VLOOKUP(A969,$A$3:$C$734,3,FALSE)</f>
        <v>CHARGES FOR SERVICE</v>
      </c>
    </row>
    <row r="970" spans="1:3">
      <c r="A970" t="s">
        <v>658</v>
      </c>
      <c r="B970" t="s">
        <v>461</v>
      </c>
      <c r="C970" t="str">
        <f>VLOOKUP(A970,$A$3:$C$734,3,FALSE)</f>
        <v>CHARGES FOR SERVICE</v>
      </c>
    </row>
    <row r="971" spans="1:3">
      <c r="A971" t="s">
        <v>659</v>
      </c>
      <c r="B971" t="s">
        <v>462</v>
      </c>
      <c r="C971" t="str">
        <f>VLOOKUP(A971,$A$3:$C$734,3,FALSE)</f>
        <v>CHARGES FOR SERVICE</v>
      </c>
    </row>
    <row r="972" spans="1:3">
      <c r="A972" t="s">
        <v>660</v>
      </c>
      <c r="B972" t="s">
        <v>463</v>
      </c>
      <c r="C972" t="str">
        <f>VLOOKUP(A972,$A$3:$C$734,3,FALSE)</f>
        <v>CHARGES FOR SERVICE</v>
      </c>
    </row>
    <row r="973" spans="1:3">
      <c r="A973" t="s">
        <v>661</v>
      </c>
      <c r="B973" t="s">
        <v>464</v>
      </c>
      <c r="C973" t="str">
        <f>VLOOKUP(A973,$A$3:$C$734,3,FALSE)</f>
        <v>CHARGES FOR SERVICE</v>
      </c>
    </row>
    <row r="974" spans="1:3">
      <c r="A974" t="s">
        <v>662</v>
      </c>
      <c r="B974" t="s">
        <v>465</v>
      </c>
      <c r="C974" t="str">
        <f>VLOOKUP(A974,$A$3:$C$734,3,FALSE)</f>
        <v>INTERGOVERNMENTAL</v>
      </c>
    </row>
    <row r="975" spans="1:3">
      <c r="A975" t="s">
        <v>3552</v>
      </c>
      <c r="B975" t="s">
        <v>3152</v>
      </c>
      <c r="C975" t="e">
        <f>VLOOKUP(A975,$A$3:$C$734,3,FALSE)</f>
        <v>#N/A</v>
      </c>
    </row>
    <row r="976" spans="1:3">
      <c r="A976" t="s">
        <v>979</v>
      </c>
      <c r="B976" t="s">
        <v>900</v>
      </c>
      <c r="C976" t="str">
        <f>VLOOKUP(A976,$A$3:$C$734,3,FALSE)</f>
        <v>TRANSFERS IN</v>
      </c>
    </row>
    <row r="977" spans="1:3">
      <c r="A977" t="s">
        <v>981</v>
      </c>
      <c r="B977" t="s">
        <v>830</v>
      </c>
      <c r="C977" t="str">
        <f>VLOOKUP(A977,$A$3:$C$734,3,FALSE)</f>
        <v>TRANSFERS IN</v>
      </c>
    </row>
    <row r="978" spans="1:3">
      <c r="A978" t="s">
        <v>982</v>
      </c>
      <c r="B978" t="s">
        <v>902</v>
      </c>
      <c r="C978" t="str">
        <f>VLOOKUP(A978,$A$3:$C$734,3,FALSE)</f>
        <v>TRANSFERS IN</v>
      </c>
    </row>
    <row r="979" spans="1:3">
      <c r="A979" t="s">
        <v>983</v>
      </c>
      <c r="B979" t="s">
        <v>831</v>
      </c>
      <c r="C979" t="str">
        <f>VLOOKUP(A979,$A$3:$C$734,3,FALSE)</f>
        <v>TRANSFERS IN</v>
      </c>
    </row>
    <row r="980" spans="1:3">
      <c r="A980" t="s">
        <v>984</v>
      </c>
      <c r="B980" t="s">
        <v>832</v>
      </c>
      <c r="C980" t="str">
        <f>VLOOKUP(A980,$A$3:$C$734,3,FALSE)</f>
        <v>TRANSFERS IN</v>
      </c>
    </row>
    <row r="981" spans="1:3">
      <c r="A981" t="s">
        <v>3553</v>
      </c>
      <c r="B981" t="s">
        <v>3504</v>
      </c>
      <c r="C981" t="e">
        <f>VLOOKUP(A981,$A$3:$C$734,3,FALSE)</f>
        <v>#N/A</v>
      </c>
    </row>
    <row r="982" spans="1:3">
      <c r="A982" t="s">
        <v>954</v>
      </c>
      <c r="B982" t="s">
        <v>466</v>
      </c>
      <c r="C982" t="e">
        <f>VLOOKUP(A982,$A$3:$C$734,3,FALSE)</f>
        <v>#N/A</v>
      </c>
    </row>
    <row r="983" spans="1:3">
      <c r="A983" t="s">
        <v>967</v>
      </c>
      <c r="B983" t="s">
        <v>833</v>
      </c>
      <c r="C983" t="str">
        <f>VLOOKUP(A983,$A$3:$C$734,3,FALSE)</f>
        <v>INTERGOVERNMENTAL</v>
      </c>
    </row>
    <row r="984" spans="1:3">
      <c r="A984" t="s">
        <v>985</v>
      </c>
      <c r="B984" t="s">
        <v>903</v>
      </c>
      <c r="C984" t="str">
        <f>VLOOKUP(A984,$A$3:$C$734,3,FALSE)</f>
        <v>TRANSFERS IN</v>
      </c>
    </row>
    <row r="985" spans="1:3">
      <c r="A985" t="s">
        <v>3554</v>
      </c>
      <c r="B985" t="s">
        <v>1105</v>
      </c>
      <c r="C985" t="e">
        <f>VLOOKUP(A985,$A$3:$C$734,3,FALSE)</f>
        <v>#N/A</v>
      </c>
    </row>
    <row r="986" spans="1:3">
      <c r="A986" t="s">
        <v>129</v>
      </c>
      <c r="B986" t="s">
        <v>130</v>
      </c>
      <c r="C986" t="str">
        <f>VLOOKUP(A986,$A$3:$C$734,3,FALSE)</f>
        <v>Personnel services</v>
      </c>
    </row>
    <row r="987" spans="1:3">
      <c r="A987" t="s">
        <v>131</v>
      </c>
      <c r="B987" t="s">
        <v>132</v>
      </c>
      <c r="C987" t="str">
        <f>VLOOKUP(A987,$A$3:$C$734,3,FALSE)</f>
        <v>Personnel services</v>
      </c>
    </row>
    <row r="988" spans="1:3">
      <c r="A988" t="s">
        <v>133</v>
      </c>
      <c r="B988" t="s">
        <v>0</v>
      </c>
      <c r="C988" t="str">
        <f>VLOOKUP(A988,$A$3:$C$734,3,FALSE)</f>
        <v>Personnel services</v>
      </c>
    </row>
    <row r="989" spans="1:3">
      <c r="A989" t="s">
        <v>134</v>
      </c>
      <c r="B989" t="s">
        <v>135</v>
      </c>
      <c r="C989" t="str">
        <f>VLOOKUP(A989,$A$3:$C$734,3,FALSE)</f>
        <v>Personnel services</v>
      </c>
    </row>
    <row r="990" spans="1:3">
      <c r="A990" t="s">
        <v>136</v>
      </c>
      <c r="B990" t="s">
        <v>137</v>
      </c>
      <c r="C990" t="str">
        <f>VLOOKUP(A990,$A$3:$C$734,3,FALSE)</f>
        <v>Personnel services</v>
      </c>
    </row>
    <row r="991" spans="1:3">
      <c r="A991" t="s">
        <v>139</v>
      </c>
      <c r="B991" t="s">
        <v>3</v>
      </c>
      <c r="C991" t="str">
        <f>VLOOKUP(A991,$A$3:$C$734,3,FALSE)</f>
        <v>Personnel services</v>
      </c>
    </row>
    <row r="992" spans="1:3">
      <c r="A992" t="s">
        <v>140</v>
      </c>
      <c r="B992" t="s">
        <v>1</v>
      </c>
      <c r="C992" t="str">
        <f>VLOOKUP(A992,$A$3:$C$734,3,FALSE)</f>
        <v>Personnel services</v>
      </c>
    </row>
    <row r="993" spans="1:3">
      <c r="A993" t="s">
        <v>141</v>
      </c>
      <c r="B993" t="s">
        <v>142</v>
      </c>
      <c r="C993" t="str">
        <f>VLOOKUP(A993,$A$3:$C$734,3,FALSE)</f>
        <v>Personnel services</v>
      </c>
    </row>
    <row r="994" spans="1:3">
      <c r="A994" t="s">
        <v>143</v>
      </c>
      <c r="B994" t="s">
        <v>144</v>
      </c>
      <c r="C994" t="str">
        <f>VLOOKUP(A994,$A$3:$C$734,3,FALSE)</f>
        <v>Personnel services</v>
      </c>
    </row>
    <row r="995" spans="1:3">
      <c r="A995" t="s">
        <v>147</v>
      </c>
      <c r="B995" t="s">
        <v>2</v>
      </c>
      <c r="C995" t="str">
        <f>VLOOKUP(A995,$A$3:$C$734,3,FALSE)</f>
        <v>Personnel services</v>
      </c>
    </row>
    <row r="996" spans="1:3">
      <c r="A996" t="s">
        <v>148</v>
      </c>
      <c r="B996" t="s">
        <v>149</v>
      </c>
      <c r="C996" t="str">
        <f>VLOOKUP(A996,$A$3:$C$734,3,FALSE)</f>
        <v>Operations &amp; maintenance</v>
      </c>
    </row>
    <row r="997" spans="1:3">
      <c r="A997" t="s">
        <v>162</v>
      </c>
      <c r="B997" t="s">
        <v>163</v>
      </c>
      <c r="C997" t="str">
        <f>VLOOKUP(A997,$A$3:$C$734,3,FALSE)</f>
        <v>Operations &amp; maintenance</v>
      </c>
    </row>
    <row r="998" spans="1:3">
      <c r="A998" t="s">
        <v>166</v>
      </c>
      <c r="B998" t="s">
        <v>167</v>
      </c>
      <c r="C998" t="str">
        <f>VLOOKUP(A998,$A$3:$C$734,3,FALSE)</f>
        <v>Operations &amp; maintenance</v>
      </c>
    </row>
    <row r="999" spans="1:3">
      <c r="A999" t="s">
        <v>186</v>
      </c>
      <c r="B999" t="s">
        <v>187</v>
      </c>
      <c r="C999" t="str">
        <f>VLOOKUP(A999,$A$3:$C$734,3,FALSE)</f>
        <v>Services &amp; other</v>
      </c>
    </row>
    <row r="1000" spans="1:3">
      <c r="A1000" t="s">
        <v>189</v>
      </c>
      <c r="B1000" t="s">
        <v>190</v>
      </c>
      <c r="C1000" t="str">
        <f>VLOOKUP(A1000,$A$3:$C$734,3,FALSE)</f>
        <v>Services &amp; other</v>
      </c>
    </row>
    <row r="1001" spans="1:3">
      <c r="A1001" t="s">
        <v>264</v>
      </c>
      <c r="B1001" t="s">
        <v>191</v>
      </c>
      <c r="C1001" t="str">
        <f>VLOOKUP(A1001,$A$3:$C$734,3,FALSE)</f>
        <v>Services &amp; other</v>
      </c>
    </row>
    <row r="1002" spans="1:3">
      <c r="A1002" t="s">
        <v>3122</v>
      </c>
      <c r="B1002" t="s">
        <v>221</v>
      </c>
      <c r="C1002" t="str">
        <f>VLOOKUP(A1002,$A$3:$C$734,3,FALSE)</f>
        <v>Services &amp; other</v>
      </c>
    </row>
    <row r="1003" spans="1:3">
      <c r="A1003" t="s">
        <v>228</v>
      </c>
      <c r="B1003" t="s">
        <v>229</v>
      </c>
      <c r="C1003" t="str">
        <f>VLOOKUP(A1003,$A$3:$C$734,3,FALSE)</f>
        <v>Operations &amp; maintenance</v>
      </c>
    </row>
    <row r="1004" spans="1:3">
      <c r="A1004" t="s">
        <v>168</v>
      </c>
      <c r="B1004" t="s">
        <v>169</v>
      </c>
      <c r="C1004" t="str">
        <f>VLOOKUP(A1004,$A$3:$C$734,3,FALSE)</f>
        <v>Operations &amp; maintenance</v>
      </c>
    </row>
    <row r="1005" spans="1:3">
      <c r="A1005" t="s">
        <v>201</v>
      </c>
      <c r="B1005" t="s">
        <v>230</v>
      </c>
      <c r="C1005" t="str">
        <f>VLOOKUP(A1005,$A$3:$C$734,3,FALSE)</f>
        <v>Services &amp; other</v>
      </c>
    </row>
    <row r="1006" spans="1:3">
      <c r="A1006" t="s">
        <v>218</v>
      </c>
      <c r="B1006" t="s">
        <v>219</v>
      </c>
      <c r="C1006" t="str">
        <f>VLOOKUP(A1006,$A$3:$C$734,3,FALSE)</f>
        <v>Services &amp; other</v>
      </c>
    </row>
    <row r="1007" spans="1:3">
      <c r="A1007" t="s">
        <v>237</v>
      </c>
      <c r="B1007" t="s">
        <v>238</v>
      </c>
      <c r="C1007" t="str">
        <f>VLOOKUP(A1007,$A$3:$C$734,3,FALSE)</f>
        <v>Services &amp; other</v>
      </c>
    </row>
    <row r="1008" spans="1:3">
      <c r="A1008" t="s">
        <v>182</v>
      </c>
      <c r="B1008" t="s">
        <v>183</v>
      </c>
      <c r="C1008" t="str">
        <f>VLOOKUP(A1008,$A$3:$C$734,3,FALSE)</f>
        <v>Services &amp; other</v>
      </c>
    </row>
    <row r="1009" spans="1:3">
      <c r="A1009" t="s">
        <v>196</v>
      </c>
      <c r="B1009" t="s">
        <v>197</v>
      </c>
      <c r="C1009" t="str">
        <f>VLOOKUP(A1009,$A$3:$C$734,3,FALSE)</f>
        <v>Services &amp; other</v>
      </c>
    </row>
    <row r="1010" spans="1:3">
      <c r="A1010" t="s">
        <v>259</v>
      </c>
      <c r="B1010" t="s">
        <v>909</v>
      </c>
      <c r="C1010" t="str">
        <f>VLOOKUP(A1010,$A$3:$C$734,3,FALSE)</f>
        <v>Services &amp; other</v>
      </c>
    </row>
    <row r="1011" spans="1:3">
      <c r="A1011" t="s">
        <v>184</v>
      </c>
      <c r="B1011" t="s">
        <v>185</v>
      </c>
      <c r="C1011" t="str">
        <f>VLOOKUP(A1011,$A$3:$C$734,3,FALSE)</f>
        <v>Services &amp; other</v>
      </c>
    </row>
    <row r="1012" spans="1:3">
      <c r="A1012" t="s">
        <v>154</v>
      </c>
      <c r="B1012" t="s">
        <v>155</v>
      </c>
      <c r="C1012" t="str">
        <f>VLOOKUP(A1012,$A$3:$C$734,3,FALSE)</f>
        <v>Operations &amp; maintenance</v>
      </c>
    </row>
    <row r="1013" spans="1:3">
      <c r="A1013" t="s">
        <v>159</v>
      </c>
      <c r="B1013" t="s">
        <v>4</v>
      </c>
      <c r="C1013" t="str">
        <f>VLOOKUP(A1013,$A$3:$C$734,3,FALSE)</f>
        <v>Operations &amp; maintenance</v>
      </c>
    </row>
    <row r="1014" spans="1:3">
      <c r="A1014" t="s">
        <v>160</v>
      </c>
      <c r="B1014" t="s">
        <v>161</v>
      </c>
      <c r="C1014" t="str">
        <f>VLOOKUP(A1014,$A$3:$C$734,3,FALSE)</f>
        <v>Operations &amp; maintenance</v>
      </c>
    </row>
    <row r="1015" spans="1:3">
      <c r="A1015" t="s">
        <v>164</v>
      </c>
      <c r="B1015" t="s">
        <v>165</v>
      </c>
      <c r="C1015" t="str">
        <f>VLOOKUP(A1015,$A$3:$C$734,3,FALSE)</f>
        <v>Operations &amp; maintenance</v>
      </c>
    </row>
    <row r="1016" spans="1:3">
      <c r="A1016" t="s">
        <v>170</v>
      </c>
      <c r="B1016" t="s">
        <v>171</v>
      </c>
      <c r="C1016" t="str">
        <f>VLOOKUP(A1016,$A$3:$C$734,3,FALSE)</f>
        <v>Operations &amp; maintenance</v>
      </c>
    </row>
    <row r="1017" spans="1:3">
      <c r="A1017" t="s">
        <v>240</v>
      </c>
      <c r="B1017" t="s">
        <v>241</v>
      </c>
      <c r="C1017" t="str">
        <f>VLOOKUP(A1017,$A$3:$C$734,3,FALSE)</f>
        <v>Operations &amp; maintenance</v>
      </c>
    </row>
    <row r="1018" spans="1:3">
      <c r="A1018" t="s">
        <v>235</v>
      </c>
      <c r="B1018" t="s">
        <v>236</v>
      </c>
      <c r="C1018" t="str">
        <f>VLOOKUP(A1018,$A$3:$C$734,3,FALSE)</f>
        <v>Operations &amp; maintenance</v>
      </c>
    </row>
    <row r="1019" spans="1:3">
      <c r="A1019" t="s">
        <v>180</v>
      </c>
      <c r="B1019" t="s">
        <v>181</v>
      </c>
      <c r="C1019" t="str">
        <f>VLOOKUP(A1019,$A$3:$C$734,3,FALSE)</f>
        <v>Operations &amp; maintenance</v>
      </c>
    </row>
    <row r="1020" spans="1:3">
      <c r="A1020" t="s">
        <v>198</v>
      </c>
      <c r="B1020" t="s">
        <v>6</v>
      </c>
      <c r="C1020" t="str">
        <f>VLOOKUP(A1020,$A$3:$C$734,3,FALSE)</f>
        <v>Services &amp; other</v>
      </c>
    </row>
    <row r="1021" spans="1:3">
      <c r="A1021" t="s">
        <v>936</v>
      </c>
      <c r="B1021" t="s">
        <v>906</v>
      </c>
      <c r="C1021" t="str">
        <f>VLOOKUP(A1021,$A$3:$C$734,3,FALSE)</f>
        <v>Services &amp; other</v>
      </c>
    </row>
    <row r="1022" spans="1:3">
      <c r="A1022" t="s">
        <v>214</v>
      </c>
      <c r="B1022" t="s">
        <v>215</v>
      </c>
      <c r="C1022" t="str">
        <f>VLOOKUP(A1022,$A$3:$C$734,3,FALSE)</f>
        <v>Services &amp; other</v>
      </c>
    </row>
    <row r="1023" spans="1:3">
      <c r="A1023" t="s">
        <v>216</v>
      </c>
      <c r="B1023" t="s">
        <v>217</v>
      </c>
      <c r="C1023" t="str">
        <f>VLOOKUP(A1023,$A$3:$C$734,3,FALSE)</f>
        <v>Services &amp; other</v>
      </c>
    </row>
    <row r="1024" spans="1:3">
      <c r="A1024" t="s">
        <v>3124</v>
      </c>
      <c r="B1024" t="s">
        <v>220</v>
      </c>
      <c r="C1024" t="str">
        <f>VLOOKUP(A1024,$A$3:$C$734,3,FALSE)</f>
        <v>Services &amp; other</v>
      </c>
    </row>
    <row r="1025" spans="1:3">
      <c r="A1025" t="s">
        <v>222</v>
      </c>
      <c r="B1025" t="s">
        <v>223</v>
      </c>
      <c r="C1025" t="str">
        <f>VLOOKUP(A1025,$A$3:$C$734,3,FALSE)</f>
        <v>Capital Outlay</v>
      </c>
    </row>
    <row r="1026" spans="1:3">
      <c r="A1026" t="s">
        <v>192</v>
      </c>
      <c r="B1026" t="s">
        <v>193</v>
      </c>
      <c r="C1026" t="str">
        <f>VLOOKUP(A1026,$A$3:$C$734,3,FALSE)</f>
        <v>Services &amp; other</v>
      </c>
    </row>
    <row r="1027" spans="1:3">
      <c r="A1027" t="s">
        <v>245</v>
      </c>
      <c r="B1027" t="s">
        <v>246</v>
      </c>
      <c r="C1027" t="str">
        <f>VLOOKUP(A1027,$A$3:$C$734,3,FALSE)</f>
        <v>Services &amp; other</v>
      </c>
    </row>
    <row r="1028" spans="1:3">
      <c r="A1028" t="s">
        <v>202</v>
      </c>
      <c r="B1028" t="s">
        <v>203</v>
      </c>
      <c r="C1028" t="str">
        <f>VLOOKUP(A1028,$A$3:$C$734,3,FALSE)</f>
        <v>Services &amp; other</v>
      </c>
    </row>
    <row r="1029" spans="1:3">
      <c r="A1029" t="s">
        <v>255</v>
      </c>
      <c r="B1029" t="s">
        <v>256</v>
      </c>
      <c r="C1029" t="str">
        <f>VLOOKUP(A1029,$A$3:$C$734,3,FALSE)</f>
        <v>Services &amp; other</v>
      </c>
    </row>
    <row r="1030" spans="1:3">
      <c r="A1030" t="s">
        <v>233</v>
      </c>
      <c r="B1030" t="s">
        <v>234</v>
      </c>
      <c r="C1030" t="str">
        <f>VLOOKUP(A1030,$A$3:$C$734,3,FALSE)</f>
        <v>Operations &amp; maintenance</v>
      </c>
    </row>
    <row r="1031" spans="1:3">
      <c r="A1031" t="s">
        <v>349</v>
      </c>
      <c r="B1031" t="s">
        <v>762</v>
      </c>
      <c r="C1031" t="str">
        <f>VLOOKUP(A1031,$A$3:$C$734,3,FALSE)</f>
        <v>Services &amp; other</v>
      </c>
    </row>
    <row r="1032" spans="1:3">
      <c r="A1032" t="s">
        <v>271</v>
      </c>
      <c r="B1032" t="s">
        <v>272</v>
      </c>
      <c r="C1032" t="str">
        <f>VLOOKUP(A1032,$A$3:$C$734,3,FALSE)</f>
        <v>Services &amp; other</v>
      </c>
    </row>
    <row r="1033" spans="1:3">
      <c r="A1033" t="s">
        <v>296</v>
      </c>
      <c r="B1033" t="s">
        <v>297</v>
      </c>
      <c r="C1033" t="str">
        <f>VLOOKUP(A1033,$A$3:$C$734,3,FALSE)</f>
        <v>Capital Outlay</v>
      </c>
    </row>
    <row r="1034" spans="1:3">
      <c r="A1034" t="s">
        <v>178</v>
      </c>
      <c r="B1034" t="s">
        <v>179</v>
      </c>
      <c r="C1034" t="str">
        <f>VLOOKUP(A1034,$A$3:$C$734,3,FALSE)</f>
        <v>Operations &amp; maintenance</v>
      </c>
    </row>
    <row r="1035" spans="1:3">
      <c r="A1035" t="s">
        <v>1123</v>
      </c>
      <c r="B1035" t="s">
        <v>1117</v>
      </c>
      <c r="C1035" t="str">
        <f>VLOOKUP(A1035,$A$3:$C$734,3,FALSE)</f>
        <v>Transfers to other funds</v>
      </c>
    </row>
    <row r="1036" spans="1:3">
      <c r="A1036" t="s">
        <v>934</v>
      </c>
      <c r="B1036" t="s">
        <v>836</v>
      </c>
      <c r="C1036" t="str">
        <f>VLOOKUP(A1036,$A$3:$C$734,3,FALSE)</f>
        <v>Services &amp; other</v>
      </c>
    </row>
    <row r="1037" spans="1:3">
      <c r="A1037" t="s">
        <v>194</v>
      </c>
      <c r="B1037" t="s">
        <v>195</v>
      </c>
      <c r="C1037" t="str">
        <f>VLOOKUP(A1037,$A$3:$C$734,3,FALSE)</f>
        <v>Services &amp; other</v>
      </c>
    </row>
    <row r="1038" spans="1:3">
      <c r="A1038" t="s">
        <v>257</v>
      </c>
      <c r="B1038" t="s">
        <v>258</v>
      </c>
      <c r="C1038" t="str">
        <f>VLOOKUP(A1038,$A$3:$C$734,3,FALSE)</f>
        <v>Services &amp; other</v>
      </c>
    </row>
    <row r="1039" spans="1:3">
      <c r="A1039" t="s">
        <v>199</v>
      </c>
      <c r="B1039" t="s">
        <v>200</v>
      </c>
      <c r="C1039" t="str">
        <f>VLOOKUP(A1039,$A$3:$C$734,3,FALSE)</f>
        <v>Services &amp; other</v>
      </c>
    </row>
    <row r="1040" spans="1:3">
      <c r="A1040" t="s">
        <v>1093</v>
      </c>
      <c r="B1040" t="s">
        <v>1086</v>
      </c>
      <c r="C1040" t="str">
        <f>VLOOKUP(A1040,$A$3:$C$734,3,FALSE)</f>
        <v>Services &amp; other</v>
      </c>
    </row>
    <row r="1041" spans="1:3">
      <c r="A1041" t="s">
        <v>260</v>
      </c>
      <c r="B1041" t="s">
        <v>261</v>
      </c>
      <c r="C1041" t="str">
        <f>VLOOKUP(A1041,$A$3:$C$734,3,FALSE)</f>
        <v>Services &amp; other</v>
      </c>
    </row>
    <row r="1042" spans="1:3">
      <c r="A1042" t="s">
        <v>138</v>
      </c>
      <c r="B1042" t="s">
        <v>283</v>
      </c>
      <c r="C1042" t="str">
        <f>VLOOKUP(A1042,$A$3:$C$734,3,FALSE)</f>
        <v>Personnel services</v>
      </c>
    </row>
    <row r="1043" spans="1:3">
      <c r="A1043" t="s">
        <v>174</v>
      </c>
      <c r="B1043" t="s">
        <v>175</v>
      </c>
      <c r="C1043" t="str">
        <f>VLOOKUP(A1043,$A$3:$C$734,3,FALSE)</f>
        <v>Operations &amp; maintenance</v>
      </c>
    </row>
    <row r="1044" spans="1:3">
      <c r="A1044" t="s">
        <v>176</v>
      </c>
      <c r="B1044" t="s">
        <v>177</v>
      </c>
      <c r="C1044" t="str">
        <f>VLOOKUP(A1044,$A$3:$C$734,3,FALSE)</f>
        <v>Operations &amp; maintenance</v>
      </c>
    </row>
    <row r="1045" spans="1:3">
      <c r="A1045" t="s">
        <v>277</v>
      </c>
      <c r="B1045" t="s">
        <v>278</v>
      </c>
      <c r="C1045" t="str">
        <f>VLOOKUP(A1045,$A$3:$C$734,3,FALSE)</f>
        <v>Services &amp; other</v>
      </c>
    </row>
    <row r="1046" spans="1:3">
      <c r="A1046" t="s">
        <v>210</v>
      </c>
      <c r="B1046" t="s">
        <v>211</v>
      </c>
      <c r="C1046" t="str">
        <f>VLOOKUP(A1046,$A$3:$C$734,3,FALSE)</f>
        <v>Services &amp; other</v>
      </c>
    </row>
    <row r="1047" spans="1:3">
      <c r="A1047" t="s">
        <v>212</v>
      </c>
      <c r="B1047" t="s">
        <v>213</v>
      </c>
      <c r="C1047" t="str">
        <f>VLOOKUP(A1047,$A$3:$C$734,3,FALSE)</f>
        <v>Services &amp; other</v>
      </c>
    </row>
    <row r="1048" spans="1:3">
      <c r="A1048" t="s">
        <v>247</v>
      </c>
      <c r="B1048" t="s">
        <v>248</v>
      </c>
      <c r="C1048" t="str">
        <f>VLOOKUP(A1048,$A$3:$C$734,3,FALSE)</f>
        <v>Services &amp; other</v>
      </c>
    </row>
    <row r="1049" spans="1:3">
      <c r="A1049" t="s">
        <v>333</v>
      </c>
      <c r="B1049" t="s">
        <v>334</v>
      </c>
      <c r="C1049" t="str">
        <f>VLOOKUP(A1049,$A$3:$C$734,3,FALSE)</f>
        <v>Operations &amp; maintenance</v>
      </c>
    </row>
    <row r="1050" spans="1:3">
      <c r="A1050" t="s">
        <v>253</v>
      </c>
      <c r="B1050" t="s">
        <v>254</v>
      </c>
      <c r="C1050" t="str">
        <f>VLOOKUP(A1050,$A$3:$C$734,3,FALSE)</f>
        <v>Operations &amp; maintenance</v>
      </c>
    </row>
    <row r="1051" spans="1:3">
      <c r="A1051" t="s">
        <v>1125</v>
      </c>
      <c r="B1051" t="s">
        <v>1120</v>
      </c>
      <c r="C1051" t="str">
        <f>VLOOKUP(A1051,$A$3:$C$734,3,FALSE)</f>
        <v>Operations &amp; maintenance</v>
      </c>
    </row>
    <row r="1052" spans="1:3">
      <c r="A1052" t="s">
        <v>281</v>
      </c>
      <c r="B1052" t="s">
        <v>282</v>
      </c>
      <c r="C1052" t="str">
        <f>VLOOKUP(A1052,$A$3:$C$734,3,FALSE)</f>
        <v>Services &amp; other</v>
      </c>
    </row>
    <row r="1053" spans="1:3">
      <c r="A1053" t="s">
        <v>309</v>
      </c>
      <c r="B1053" t="s">
        <v>914</v>
      </c>
      <c r="C1053" t="str">
        <f>VLOOKUP(A1053,$A$3:$C$734,3,FALSE)</f>
        <v>Transfers to other funds</v>
      </c>
    </row>
    <row r="1054" spans="1:3">
      <c r="A1054" t="s">
        <v>3555</v>
      </c>
      <c r="B1054" t="s">
        <v>3153</v>
      </c>
      <c r="C1054" t="e">
        <f>VLOOKUP(A1054,$A$3:$C$734,3,FALSE)</f>
        <v>#N/A</v>
      </c>
    </row>
    <row r="1055" spans="1:3">
      <c r="A1055" t="s">
        <v>284</v>
      </c>
      <c r="B1055" t="s">
        <v>905</v>
      </c>
      <c r="C1055" t="str">
        <f>VLOOKUP(A1055,$A$3:$C$734,3,FALSE)</f>
        <v>Operations &amp; maintenance</v>
      </c>
    </row>
    <row r="1056" spans="1:3">
      <c r="A1056" t="s">
        <v>279</v>
      </c>
      <c r="B1056" t="s">
        <v>280</v>
      </c>
      <c r="C1056" t="str">
        <f>VLOOKUP(A1056,$A$3:$C$734,3,FALSE)</f>
        <v>Services &amp; other</v>
      </c>
    </row>
    <row r="1057" spans="1:3">
      <c r="A1057" t="s">
        <v>275</v>
      </c>
      <c r="B1057" t="s">
        <v>276</v>
      </c>
      <c r="C1057" t="str">
        <f>VLOOKUP(A1057,$A$3:$C$734,3,FALSE)</f>
        <v>Operations &amp; maintenance</v>
      </c>
    </row>
    <row r="1058" spans="1:3">
      <c r="A1058" t="s">
        <v>285</v>
      </c>
      <c r="B1058" t="s">
        <v>286</v>
      </c>
      <c r="C1058" t="str">
        <f>VLOOKUP(A1058,$A$3:$C$734,3,FALSE)</f>
        <v>Operations &amp; maintenance</v>
      </c>
    </row>
    <row r="1059" spans="1:3">
      <c r="A1059" t="s">
        <v>289</v>
      </c>
      <c r="B1059" t="s">
        <v>290</v>
      </c>
      <c r="C1059" t="str">
        <f>VLOOKUP(A1059,$A$3:$C$734,3,FALSE)</f>
        <v>Operations &amp; maintenance</v>
      </c>
    </row>
    <row r="1060" spans="1:3">
      <c r="A1060" t="s">
        <v>267</v>
      </c>
      <c r="B1060" t="s">
        <v>268</v>
      </c>
      <c r="C1060" t="str">
        <f>VLOOKUP(A1060,$A$3:$C$734,3,FALSE)</f>
        <v>Capital Outlay</v>
      </c>
    </row>
    <row r="1061" spans="1:3">
      <c r="A1061" t="s">
        <v>251</v>
      </c>
      <c r="B1061" t="s">
        <v>5</v>
      </c>
      <c r="C1061" t="str">
        <f>VLOOKUP(A1061,$A$3:$C$734,3,FALSE)</f>
        <v>Operations &amp; maintenance</v>
      </c>
    </row>
    <row r="1062" spans="1:3">
      <c r="A1062" t="s">
        <v>262</v>
      </c>
      <c r="B1062" t="s">
        <v>263</v>
      </c>
      <c r="C1062" t="str">
        <f>VLOOKUP(A1062,$A$3:$C$734,3,FALSE)</f>
        <v>Operations &amp; maintenance</v>
      </c>
    </row>
    <row r="1063" spans="1:3">
      <c r="A1063" t="s">
        <v>172</v>
      </c>
      <c r="B1063" t="s">
        <v>173</v>
      </c>
      <c r="C1063" t="str">
        <f>VLOOKUP(A1063,$A$3:$C$734,3,FALSE)</f>
        <v>Operations &amp; maintenance</v>
      </c>
    </row>
    <row r="1064" spans="1:3">
      <c r="A1064" t="s">
        <v>842</v>
      </c>
      <c r="B1064" t="s">
        <v>837</v>
      </c>
      <c r="C1064" t="str">
        <f>VLOOKUP(A1064,$A$3:$C$734,3,FALSE)</f>
        <v>Services &amp; other</v>
      </c>
    </row>
    <row r="1065" spans="1:3">
      <c r="A1065" t="s">
        <v>273</v>
      </c>
      <c r="B1065" t="s">
        <v>274</v>
      </c>
      <c r="C1065" t="str">
        <f>VLOOKUP(A1065,$A$3:$C$734,3,FALSE)</f>
        <v>Operations &amp; maintenance</v>
      </c>
    </row>
    <row r="1066" spans="1:3">
      <c r="A1066" t="s">
        <v>304</v>
      </c>
      <c r="B1066" t="s">
        <v>305</v>
      </c>
      <c r="C1066" t="str">
        <f>VLOOKUP(A1066,$A$3:$C$734,3,FALSE)</f>
        <v>Services &amp; other</v>
      </c>
    </row>
    <row r="1067" spans="1:3">
      <c r="A1067" t="s">
        <v>310</v>
      </c>
      <c r="B1067" t="s">
        <v>305</v>
      </c>
      <c r="C1067" t="str">
        <f>VLOOKUP(A1067,$A$3:$C$734,3,FALSE)</f>
        <v>Capital Outlay</v>
      </c>
    </row>
    <row r="1068" spans="1:3">
      <c r="A1068" t="s">
        <v>145</v>
      </c>
      <c r="B1068" t="s">
        <v>146</v>
      </c>
      <c r="C1068" t="str">
        <f>VLOOKUP(A1068,$A$3:$C$734,3,FALSE)</f>
        <v>Personnel services</v>
      </c>
    </row>
    <row r="1069" spans="1:3">
      <c r="A1069" t="s">
        <v>293</v>
      </c>
      <c r="B1069" t="s">
        <v>53</v>
      </c>
      <c r="C1069" t="str">
        <f>VLOOKUP(A1069,$A$3:$C$734,3,FALSE)</f>
        <v>Operations &amp; maintenance</v>
      </c>
    </row>
    <row r="1070" spans="1:3">
      <c r="A1070" t="s">
        <v>294</v>
      </c>
      <c r="B1070" t="s">
        <v>295</v>
      </c>
      <c r="C1070" t="str">
        <f>VLOOKUP(A1070,$A$3:$C$734,3,FALSE)</f>
        <v>Operations &amp; maintenance</v>
      </c>
    </row>
    <row r="1071" spans="1:3">
      <c r="A1071" t="s">
        <v>935</v>
      </c>
      <c r="B1071" t="s">
        <v>839</v>
      </c>
      <c r="C1071" t="str">
        <f>VLOOKUP(A1071,$A$3:$C$734,3,FALSE)</f>
        <v>Services &amp; other</v>
      </c>
    </row>
    <row r="1072" spans="1:3">
      <c r="A1072" t="s">
        <v>937</v>
      </c>
      <c r="B1072" t="s">
        <v>907</v>
      </c>
      <c r="C1072" t="str">
        <f>VLOOKUP(A1072,$A$3:$C$734,3,FALSE)</f>
        <v>Services &amp; other</v>
      </c>
    </row>
    <row r="1073" spans="1:3">
      <c r="A1073" t="s">
        <v>298</v>
      </c>
      <c r="B1073" t="s">
        <v>299</v>
      </c>
      <c r="C1073" t="str">
        <f>VLOOKUP(A1073,$A$3:$C$734,3,FALSE)</f>
        <v>Capital Outlay</v>
      </c>
    </row>
    <row r="1074" spans="1:3">
      <c r="A1074" t="s">
        <v>239</v>
      </c>
      <c r="B1074" t="s">
        <v>838</v>
      </c>
      <c r="C1074" t="str">
        <f>VLOOKUP(A1074,$A$3:$C$734,3,FALSE)</f>
        <v>Transfers to other funds</v>
      </c>
    </row>
    <row r="1075" spans="1:3">
      <c r="A1075" t="s">
        <v>252</v>
      </c>
      <c r="B1075" t="s">
        <v>1109</v>
      </c>
      <c r="C1075" t="str">
        <f>VLOOKUP(A1075,$A$3:$C$734,3,FALSE)</f>
        <v>Operations &amp; maintenance</v>
      </c>
    </row>
    <row r="1076" spans="1:3">
      <c r="A1076" t="s">
        <v>300</v>
      </c>
      <c r="B1076" t="s">
        <v>301</v>
      </c>
      <c r="C1076" t="str">
        <f>VLOOKUP(A1076,$A$3:$C$734,3,FALSE)</f>
        <v>Services &amp; other</v>
      </c>
    </row>
    <row r="1077" spans="1:3">
      <c r="A1077" t="s">
        <v>303</v>
      </c>
      <c r="B1077" t="s">
        <v>908</v>
      </c>
      <c r="C1077" t="str">
        <f>VLOOKUP(A1077,$A$3:$C$734,3,FALSE)</f>
        <v>Services &amp; other</v>
      </c>
    </row>
    <row r="1078" spans="1:3">
      <c r="A1078" t="s">
        <v>206</v>
      </c>
      <c r="B1078" t="s">
        <v>207</v>
      </c>
      <c r="C1078" t="str">
        <f>VLOOKUP(A1078,$A$3:$C$734,3,FALSE)</f>
        <v>Services &amp; other</v>
      </c>
    </row>
    <row r="1079" spans="1:3">
      <c r="A1079" t="s">
        <v>226</v>
      </c>
      <c r="B1079" t="s">
        <v>227</v>
      </c>
      <c r="C1079" t="str">
        <f>VLOOKUP(A1079,$A$3:$C$734,3,FALSE)</f>
        <v>Capital Outlay</v>
      </c>
    </row>
    <row r="1080" spans="1:3">
      <c r="A1080" t="s">
        <v>152</v>
      </c>
      <c r="B1080" t="s">
        <v>153</v>
      </c>
      <c r="C1080" t="str">
        <f>VLOOKUP(A1080,$A$3:$C$734,3,FALSE)</f>
        <v>Operations &amp; maintenance</v>
      </c>
    </row>
    <row r="1081" spans="1:3">
      <c r="A1081" t="s">
        <v>308</v>
      </c>
      <c r="B1081" t="s">
        <v>829</v>
      </c>
      <c r="C1081" t="str">
        <f>VLOOKUP(A1081,$A$3:$C$734,3,FALSE)</f>
        <v>Transfers to other funds</v>
      </c>
    </row>
    <row r="1082" spans="1:3">
      <c r="A1082" t="s">
        <v>150</v>
      </c>
      <c r="B1082" t="s">
        <v>151</v>
      </c>
      <c r="C1082" t="str">
        <f>VLOOKUP(A1082,$A$3:$C$734,3,FALSE)</f>
        <v>Operations &amp; maintenance</v>
      </c>
    </row>
    <row r="1083" spans="1:3">
      <c r="A1083" t="s">
        <v>204</v>
      </c>
      <c r="B1083" t="s">
        <v>205</v>
      </c>
      <c r="C1083" t="str">
        <f>VLOOKUP(A1083,$A$3:$C$734,3,FALSE)</f>
        <v>Services &amp; other</v>
      </c>
    </row>
    <row r="1084" spans="1:3">
      <c r="A1084" t="s">
        <v>208</v>
      </c>
      <c r="B1084" t="s">
        <v>209</v>
      </c>
      <c r="C1084" t="str">
        <f>VLOOKUP(A1084,$A$3:$C$734,3,FALSE)</f>
        <v>Services &amp; other</v>
      </c>
    </row>
    <row r="1085" spans="1:3">
      <c r="A1085" t="s">
        <v>269</v>
      </c>
      <c r="B1085" t="s">
        <v>270</v>
      </c>
      <c r="C1085" t="str">
        <f>VLOOKUP(A1085,$A$3:$C$734,3,FALSE)</f>
        <v>Services &amp; other</v>
      </c>
    </row>
    <row r="1086" spans="1:3">
      <c r="A1086" t="s">
        <v>1098</v>
      </c>
      <c r="B1086" t="s">
        <v>1102</v>
      </c>
      <c r="C1086" t="str">
        <f>VLOOKUP(A1086,$A$3:$C$734,3,FALSE)</f>
        <v>Transfers to other funds</v>
      </c>
    </row>
    <row r="1087" spans="1:3">
      <c r="A1087" t="s">
        <v>938</v>
      </c>
      <c r="B1087" t="s">
        <v>3154</v>
      </c>
      <c r="C1087" t="str">
        <f>VLOOKUP(A1087,$A$3:$C$734,3,FALSE)</f>
        <v>Transfers to other funds</v>
      </c>
    </row>
    <row r="1088" spans="1:3">
      <c r="A1088" t="s">
        <v>231</v>
      </c>
      <c r="B1088" t="s">
        <v>232</v>
      </c>
      <c r="C1088" t="str">
        <f>VLOOKUP(A1088,$A$3:$C$734,3,FALSE)</f>
        <v>Services &amp; other</v>
      </c>
    </row>
    <row r="1089" spans="1:3">
      <c r="A1089" t="s">
        <v>306</v>
      </c>
      <c r="B1089" t="s">
        <v>912</v>
      </c>
      <c r="C1089" t="str">
        <f>VLOOKUP(A1089,$A$3:$C$734,3,FALSE)</f>
        <v>Debt Service</v>
      </c>
    </row>
    <row r="1090" spans="1:3">
      <c r="A1090" t="s">
        <v>312</v>
      </c>
      <c r="B1090" t="s">
        <v>313</v>
      </c>
      <c r="C1090" t="str">
        <f>VLOOKUP(A1090,$A$3:$C$734,3,FALSE)</f>
        <v>Debt Service</v>
      </c>
    </row>
    <row r="1091" spans="1:3">
      <c r="A1091" t="s">
        <v>307</v>
      </c>
      <c r="B1091" t="s">
        <v>3155</v>
      </c>
      <c r="C1091" t="str">
        <f>VLOOKUP(A1091,$A$3:$C$734,3,FALSE)</f>
        <v>Debt Service</v>
      </c>
    </row>
    <row r="1092" spans="1:3">
      <c r="A1092" t="s">
        <v>314</v>
      </c>
      <c r="B1092" t="s">
        <v>840</v>
      </c>
      <c r="C1092" t="str">
        <f>VLOOKUP(A1092,$A$3:$C$734,3,FALSE)</f>
        <v>Transfers to other funds</v>
      </c>
    </row>
    <row r="1093" spans="1:3">
      <c r="A1093" t="s">
        <v>342</v>
      </c>
      <c r="B1093" t="s">
        <v>904</v>
      </c>
      <c r="C1093" t="str">
        <f>VLOOKUP(A1093,$A$3:$C$734,3,FALSE)</f>
        <v>Personnel services</v>
      </c>
    </row>
    <row r="1094" spans="1:3">
      <c r="A1094" t="s">
        <v>318</v>
      </c>
      <c r="B1094" t="s">
        <v>319</v>
      </c>
      <c r="C1094" t="str">
        <f>VLOOKUP(A1094,$A$3:$C$734,3,FALSE)</f>
        <v>Services &amp; other</v>
      </c>
    </row>
    <row r="1095" spans="1:3">
      <c r="A1095" t="s">
        <v>320</v>
      </c>
      <c r="B1095" t="s">
        <v>321</v>
      </c>
      <c r="C1095" t="str">
        <f>VLOOKUP(A1095,$A$3:$C$734,3,FALSE)</f>
        <v>Services &amp; other</v>
      </c>
    </row>
    <row r="1096" spans="1:3">
      <c r="A1096" t="s">
        <v>322</v>
      </c>
      <c r="B1096" t="s">
        <v>910</v>
      </c>
      <c r="C1096" t="str">
        <f>VLOOKUP(A1096,$A$3:$C$734,3,FALSE)</f>
        <v>Services &amp; other</v>
      </c>
    </row>
    <row r="1097" spans="1:3">
      <c r="A1097" t="s">
        <v>323</v>
      </c>
      <c r="B1097" t="s">
        <v>324</v>
      </c>
      <c r="C1097" t="str">
        <f>VLOOKUP(A1097,$A$3:$C$734,3,FALSE)</f>
        <v>Services &amp; other</v>
      </c>
    </row>
    <row r="1098" spans="1:3">
      <c r="A1098" t="s">
        <v>325</v>
      </c>
      <c r="B1098" t="s">
        <v>326</v>
      </c>
      <c r="C1098" t="str">
        <f>VLOOKUP(A1098,$A$3:$C$734,3,FALSE)</f>
        <v>Services &amp; other</v>
      </c>
    </row>
    <row r="1099" spans="1:3">
      <c r="A1099" t="s">
        <v>316</v>
      </c>
      <c r="B1099" t="s">
        <v>317</v>
      </c>
      <c r="C1099" t="str">
        <f>VLOOKUP(A1099,$A$3:$C$734,3,FALSE)</f>
        <v>Services &amp; other</v>
      </c>
    </row>
    <row r="1100" spans="1:3">
      <c r="A1100" t="s">
        <v>343</v>
      </c>
      <c r="B1100" t="s">
        <v>344</v>
      </c>
      <c r="C1100" t="str">
        <f>VLOOKUP(A1100,$A$3:$C$734,3,FALSE)</f>
        <v>Operations &amp; maintenance</v>
      </c>
    </row>
    <row r="1101" spans="1:3">
      <c r="A1101" t="s">
        <v>327</v>
      </c>
      <c r="B1101" t="s">
        <v>992</v>
      </c>
      <c r="C1101" t="str">
        <f>VLOOKUP(A1101,$A$3:$C$734,3,FALSE)</f>
        <v>Services &amp; other</v>
      </c>
    </row>
    <row r="1102" spans="1:3">
      <c r="A1102" t="s">
        <v>329</v>
      </c>
      <c r="B1102" t="s">
        <v>330</v>
      </c>
      <c r="C1102" t="str">
        <f>VLOOKUP(A1102,$A$3:$C$734,3,FALSE)</f>
        <v>Services &amp; other</v>
      </c>
    </row>
    <row r="1103" spans="1:3">
      <c r="A1103" t="s">
        <v>331</v>
      </c>
      <c r="B1103" t="s">
        <v>332</v>
      </c>
      <c r="C1103" t="str">
        <f>VLOOKUP(A1103,$A$3:$C$734,3,FALSE)</f>
        <v>Services &amp; other</v>
      </c>
    </row>
    <row r="1104" spans="1:3">
      <c r="A1104" t="s">
        <v>328</v>
      </c>
      <c r="B1104" t="s">
        <v>3156</v>
      </c>
      <c r="C1104" t="str">
        <f>VLOOKUP(A1104,$A$3:$C$734,3,FALSE)</f>
        <v>Services &amp; other</v>
      </c>
    </row>
    <row r="1105" spans="1:3">
      <c r="A1105" t="s">
        <v>335</v>
      </c>
      <c r="B1105" t="s">
        <v>336</v>
      </c>
      <c r="C1105" t="str">
        <f>VLOOKUP(A1105,$A$3:$C$734,3,FALSE)</f>
        <v>Services &amp; other</v>
      </c>
    </row>
    <row r="1106" spans="1:3">
      <c r="A1106" t="s">
        <v>315</v>
      </c>
      <c r="B1106" t="s">
        <v>911</v>
      </c>
      <c r="C1106" t="str">
        <f>VLOOKUP(A1106,$A$3:$C$734,3,FALSE)</f>
        <v>Services &amp; other</v>
      </c>
    </row>
    <row r="1107" spans="1:3">
      <c r="A1107" t="s">
        <v>156</v>
      </c>
      <c r="B1107" t="s">
        <v>157</v>
      </c>
      <c r="C1107" t="str">
        <f>VLOOKUP(A1107,$A$3:$C$734,3,FALSE)</f>
        <v>Operations &amp; maintenance</v>
      </c>
    </row>
    <row r="1108" spans="1:3">
      <c r="A1108" t="s">
        <v>3556</v>
      </c>
      <c r="B1108" t="s">
        <v>3437</v>
      </c>
      <c r="C1108" t="e">
        <f>VLOOKUP(A1108,$A$3:$C$734,3,FALSE)</f>
        <v>#N/A</v>
      </c>
    </row>
    <row r="1109" spans="1:3">
      <c r="A1109" t="s">
        <v>243</v>
      </c>
      <c r="B1109" t="s">
        <v>244</v>
      </c>
      <c r="C1109" t="str">
        <f>VLOOKUP(A1109,$A$3:$C$734,3,FALSE)</f>
        <v>Capital Outlay</v>
      </c>
    </row>
    <row r="1110" spans="1:3">
      <c r="A1110" t="s">
        <v>265</v>
      </c>
      <c r="B1110" t="s">
        <v>266</v>
      </c>
      <c r="C1110" t="str">
        <f>VLOOKUP(A1110,$A$3:$C$734,3,FALSE)</f>
        <v>Capital Outlay</v>
      </c>
    </row>
    <row r="1111" spans="1:3">
      <c r="A1111" t="s">
        <v>224</v>
      </c>
      <c r="B1111" t="s">
        <v>225</v>
      </c>
      <c r="C1111" t="str">
        <f>VLOOKUP(A1111,$A$3:$C$734,3,FALSE)</f>
        <v>Capital Outlay</v>
      </c>
    </row>
    <row r="1112" spans="1:3">
      <c r="A1112" t="s">
        <v>844</v>
      </c>
      <c r="B1112" t="s">
        <v>801</v>
      </c>
      <c r="C1112" t="str">
        <f>VLOOKUP(A1112,$A$3:$C$734,3,FALSE)</f>
        <v>Transfers to other funds</v>
      </c>
    </row>
    <row r="1113" spans="1:3">
      <c r="A1113" t="s">
        <v>352</v>
      </c>
      <c r="B1113" t="s">
        <v>353</v>
      </c>
      <c r="C1113" t="str">
        <f>VLOOKUP(A1113,$A$3:$C$734,3,FALSE)</f>
        <v>Capital Outlay</v>
      </c>
    </row>
    <row r="1114" spans="1:3">
      <c r="A1114" t="s">
        <v>127</v>
      </c>
      <c r="B1114" t="s">
        <v>128</v>
      </c>
      <c r="C1114" t="str">
        <f>VLOOKUP(A1114,$A$3:$C$734,3,FALSE)</f>
        <v>Personnel services</v>
      </c>
    </row>
    <row r="1115" spans="1:3">
      <c r="A1115" t="s">
        <v>369</v>
      </c>
      <c r="B1115" t="s">
        <v>3439</v>
      </c>
      <c r="C1115" t="str">
        <f>VLOOKUP(A1115,$A$3:$C$734,3,FALSE)</f>
        <v>Capital Outlay</v>
      </c>
    </row>
    <row r="1116" spans="1:3">
      <c r="A1116" t="s">
        <v>311</v>
      </c>
      <c r="B1116" t="s">
        <v>913</v>
      </c>
      <c r="C1116" t="str">
        <f>VLOOKUP(A1116,$A$3:$C$734,3,FALSE)</f>
        <v>Capital Outlay</v>
      </c>
    </row>
    <row r="1117" spans="1:3">
      <c r="A1117" t="s">
        <v>249</v>
      </c>
      <c r="B1117" t="s">
        <v>250</v>
      </c>
      <c r="C1117" t="str">
        <f>VLOOKUP(A1117,$A$3:$C$734,3,FALSE)</f>
        <v>Personnel services</v>
      </c>
    </row>
    <row r="1118" spans="1:3">
      <c r="A1118" t="s">
        <v>287</v>
      </c>
      <c r="B1118" t="s">
        <v>288</v>
      </c>
      <c r="C1118" t="str">
        <f>VLOOKUP(A1118,$A$3:$C$734,3,FALSE)</f>
        <v>Operations &amp; maintenance</v>
      </c>
    </row>
    <row r="1119" spans="1:3">
      <c r="A1119" t="s">
        <v>339</v>
      </c>
      <c r="B1119" t="s">
        <v>340</v>
      </c>
      <c r="C1119" t="str">
        <f>VLOOKUP(A1119,$A$3:$C$734,3,FALSE)</f>
        <v>Services &amp; other</v>
      </c>
    </row>
    <row r="1120" spans="1:3">
      <c r="A1120" t="s">
        <v>337</v>
      </c>
      <c r="B1120" t="s">
        <v>338</v>
      </c>
      <c r="C1120" t="str">
        <f>VLOOKUP(A1120,$A$3:$C$734,3,FALSE)</f>
        <v>Operations &amp; maintenance</v>
      </c>
    </row>
    <row r="1121" spans="1:3">
      <c r="A1121" t="s">
        <v>3557</v>
      </c>
      <c r="B1121" t="s">
        <v>3349</v>
      </c>
      <c r="C1121" t="e">
        <f>VLOOKUP(A1121,$A$3:$C$734,3,FALSE)</f>
        <v>#N/A</v>
      </c>
    </row>
    <row r="1122" spans="1:3">
      <c r="A1122" t="s">
        <v>1189</v>
      </c>
      <c r="B1122" t="s">
        <v>1126</v>
      </c>
      <c r="C1122" t="str">
        <f>VLOOKUP(A1122,$A$3:$C$734,3,FALSE)</f>
        <v>Transfers to other funds</v>
      </c>
    </row>
    <row r="1123" spans="1:3">
      <c r="A1123" t="s">
        <v>341</v>
      </c>
      <c r="B1123" t="s">
        <v>3351</v>
      </c>
      <c r="C1123" t="str">
        <f>VLOOKUP(A1123,$A$3:$C$734,3,FALSE)</f>
        <v>Services &amp; other</v>
      </c>
    </row>
    <row r="1124" spans="1:3">
      <c r="A1124" t="s">
        <v>3558</v>
      </c>
      <c r="B1124" t="s">
        <v>3157</v>
      </c>
      <c r="C1124" t="e">
        <f>VLOOKUP(A1124,$A$3:$C$734,3,FALSE)</f>
        <v>#N/A</v>
      </c>
    </row>
    <row r="1125" spans="1:3">
      <c r="A1125" t="s">
        <v>367</v>
      </c>
      <c r="B1125" t="s">
        <v>368</v>
      </c>
      <c r="C1125" t="str">
        <f>VLOOKUP(A1125,$A$3:$C$734,3,FALSE)</f>
        <v>Services &amp; other</v>
      </c>
    </row>
    <row r="1126" spans="1:3">
      <c r="A1126" t="s">
        <v>362</v>
      </c>
      <c r="B1126" t="s">
        <v>363</v>
      </c>
      <c r="C1126" t="str">
        <f>VLOOKUP(A1126,$A$3:$C$734,3,FALSE)</f>
        <v>Operations &amp; maintenance</v>
      </c>
    </row>
    <row r="1127" spans="1:3">
      <c r="A1127" t="s">
        <v>1124</v>
      </c>
      <c r="B1127" t="s">
        <v>1121</v>
      </c>
      <c r="C1127" t="str">
        <f>VLOOKUP(A1127,$A$3:$C$734,3,FALSE)</f>
        <v>Operations &amp; maintenance</v>
      </c>
    </row>
    <row r="1128" spans="1:3">
      <c r="A1128" t="s">
        <v>354</v>
      </c>
      <c r="B1128" t="s">
        <v>355</v>
      </c>
      <c r="C1128" t="str">
        <f>VLOOKUP(A1128,$A$3:$C$734,3,FALSE)</f>
        <v>Operations &amp; maintenance</v>
      </c>
    </row>
    <row r="1129" spans="1:3">
      <c r="A1129" t="s">
        <v>3376</v>
      </c>
      <c r="B1129" t="s">
        <v>1122</v>
      </c>
      <c r="C1129" t="str">
        <f>VLOOKUP(A1129,$A$3:$C$734,3,FALSE)</f>
        <v>Operations &amp; maintenance</v>
      </c>
    </row>
    <row r="1130" spans="1:3">
      <c r="A1130" t="s">
        <v>292</v>
      </c>
      <c r="B1130" t="s">
        <v>288</v>
      </c>
      <c r="C1130" t="str">
        <f>VLOOKUP(A1130,$A$3:$C$734,3,FALSE)</f>
        <v>Operations &amp; maintenance</v>
      </c>
    </row>
    <row r="1131" spans="1:3">
      <c r="A1131" t="s">
        <v>356</v>
      </c>
      <c r="B1131" t="s">
        <v>357</v>
      </c>
      <c r="C1131" t="e">
        <f>VLOOKUP(A1131,$A$3:$C$734,3,FALSE)</f>
        <v>#N/A</v>
      </c>
    </row>
    <row r="1132" spans="1:3">
      <c r="A1132" t="s">
        <v>358</v>
      </c>
      <c r="B1132" t="s">
        <v>359</v>
      </c>
      <c r="C1132" t="str">
        <f>VLOOKUP(A1132,$A$3:$C$734,3,FALSE)</f>
        <v>Operations &amp; maintenance</v>
      </c>
    </row>
    <row r="1133" spans="1:3">
      <c r="A1133" t="s">
        <v>348</v>
      </c>
      <c r="B1133" t="s">
        <v>364</v>
      </c>
      <c r="C1133" t="str">
        <f>VLOOKUP(A1133,$A$3:$C$734,3,FALSE)</f>
        <v>Services &amp; other</v>
      </c>
    </row>
    <row r="1134" spans="1:3">
      <c r="A1134" t="s">
        <v>345</v>
      </c>
      <c r="B1134" t="s">
        <v>346</v>
      </c>
      <c r="C1134" t="str">
        <f>VLOOKUP(A1134,$A$3:$C$734,3,FALSE)</f>
        <v>Capital Outlay</v>
      </c>
    </row>
    <row r="1135" spans="1:3">
      <c r="A1135" t="s">
        <v>347</v>
      </c>
      <c r="B1135" t="s">
        <v>841</v>
      </c>
      <c r="C1135" t="str">
        <f>VLOOKUP(A1135,$A$3:$C$734,3,FALSE)</f>
        <v>Transfers to other funds</v>
      </c>
    </row>
    <row r="1136" spans="1:3">
      <c r="A1136" t="s">
        <v>360</v>
      </c>
      <c r="B1136" t="s">
        <v>361</v>
      </c>
      <c r="C1136" t="str">
        <f>VLOOKUP(A1136,$A$3:$C$734,3,FALSE)</f>
        <v>Operations &amp; maintenance</v>
      </c>
    </row>
    <row r="1137" spans="1:3">
      <c r="A1137" t="s">
        <v>843</v>
      </c>
      <c r="B1137" t="s">
        <v>800</v>
      </c>
      <c r="C1137" t="str">
        <f>VLOOKUP(A1137,$A$3:$C$734,3,FALSE)</f>
        <v>Transfers to other funds</v>
      </c>
    </row>
    <row r="1138" spans="1:3">
      <c r="A1138" t="s">
        <v>365</v>
      </c>
      <c r="B1138" t="s">
        <v>366</v>
      </c>
      <c r="C1138" t="e">
        <f>VLOOKUP(A1138,$A$3:$C$734,3,FALSE)</f>
        <v>#N/A</v>
      </c>
    </row>
    <row r="1139" spans="1:3">
      <c r="A1139" t="s">
        <v>351</v>
      </c>
      <c r="B1139" t="s">
        <v>915</v>
      </c>
      <c r="C1139" t="str">
        <f>VLOOKUP(A1139,$A$3:$C$734,3,FALSE)</f>
        <v>Transfers to other funds</v>
      </c>
    </row>
    <row r="1140" spans="1:3">
      <c r="A1140" t="s">
        <v>3127</v>
      </c>
      <c r="B1140" t="s">
        <v>3158</v>
      </c>
      <c r="C1140" t="str">
        <f>VLOOKUP(A1140,$A$3:$C$734,3,FALSE)</f>
        <v>Services &amp; other</v>
      </c>
    </row>
    <row r="1141" spans="1:3">
      <c r="A1141" t="s">
        <v>350</v>
      </c>
      <c r="B1141" t="s">
        <v>390</v>
      </c>
      <c r="C1141" t="str">
        <f>VLOOKUP(A1141,$A$3:$C$734,3,FALSE)</f>
        <v>Operations &amp; maintenance</v>
      </c>
    </row>
    <row r="1142" spans="1:3">
      <c r="A1142" t="s">
        <v>3126</v>
      </c>
      <c r="B1142" t="s">
        <v>3159</v>
      </c>
      <c r="C1142" t="str">
        <f>VLOOKUP(A1142,$A$3:$C$734,3,FALSE)</f>
        <v>Services &amp; other</v>
      </c>
    </row>
  </sheetData>
  <autoFilter ref="A2:C728" xr:uid="{00000000-0009-0000-0000-000011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C0000"/>
  </sheetPr>
  <dimension ref="A1:Y109"/>
  <sheetViews>
    <sheetView topLeftCell="A10" workbookViewId="0">
      <selection activeCell="L27" sqref="L27"/>
    </sheetView>
  </sheetViews>
  <sheetFormatPr defaultColWidth="8.88671875" defaultRowHeight="14.4"/>
  <cols>
    <col min="1" max="1" width="9.44140625" style="427" customWidth="1"/>
    <col min="2" max="2" width="14.44140625" style="427" customWidth="1"/>
    <col min="3" max="4" width="13.88671875" style="427" customWidth="1"/>
    <col min="5" max="5" width="11.44140625" style="427" customWidth="1"/>
    <col min="6" max="6" width="14.109375" style="427" customWidth="1"/>
    <col min="7" max="9" width="13" style="427" customWidth="1"/>
    <col min="10" max="10" width="12.88671875" style="427" customWidth="1"/>
    <col min="11" max="11" width="13" style="427" customWidth="1"/>
    <col min="12" max="12" width="12.88671875" style="427" customWidth="1"/>
    <col min="13" max="13" width="13.109375" style="427" customWidth="1"/>
    <col min="14" max="14" width="13.109375" style="427" hidden="1" customWidth="1"/>
    <col min="15" max="16" width="13" style="427" hidden="1" customWidth="1"/>
    <col min="17" max="17" width="12.88671875" style="427" hidden="1" customWidth="1"/>
    <col min="18" max="18" width="13.109375" style="427" customWidth="1"/>
    <col min="19" max="19" width="19.5546875" style="427" customWidth="1"/>
    <col min="20" max="21" width="11.44140625" style="427" customWidth="1"/>
    <col min="22" max="22" width="10.109375" style="427" bestFit="1" customWidth="1"/>
    <col min="23" max="23" width="15.109375" style="427" customWidth="1"/>
    <col min="24" max="24" width="14.5546875" style="427" customWidth="1"/>
    <col min="25" max="25" width="10.88671875" style="6" customWidth="1"/>
    <col min="26" max="16384" width="8.88671875" style="6"/>
  </cols>
  <sheetData>
    <row r="1" spans="1:25" ht="21.6" thickBot="1">
      <c r="A1" s="712" t="s">
        <v>27</v>
      </c>
      <c r="B1" s="713"/>
      <c r="C1" s="713"/>
      <c r="D1" s="713"/>
      <c r="E1" s="713"/>
      <c r="F1" s="713"/>
      <c r="G1" s="713"/>
      <c r="H1" s="713"/>
      <c r="I1" s="713"/>
      <c r="J1" s="713"/>
      <c r="K1" s="713"/>
      <c r="L1" s="713"/>
      <c r="M1" s="713"/>
      <c r="N1" s="713"/>
      <c r="O1" s="713"/>
      <c r="P1" s="713"/>
      <c r="Q1" s="713"/>
      <c r="R1" s="713"/>
      <c r="S1" s="713"/>
      <c r="T1" s="714"/>
    </row>
    <row r="2" spans="1:25" ht="16.350000000000001" customHeight="1">
      <c r="A2" s="426"/>
      <c r="B2" s="426"/>
      <c r="C2" s="426"/>
      <c r="D2" s="426"/>
      <c r="E2" s="426"/>
      <c r="F2" s="428"/>
      <c r="G2" s="428"/>
      <c r="H2" s="429" t="str">
        <f>B21</f>
        <v>FY 2022-23</v>
      </c>
      <c r="I2" s="429" t="str">
        <f>'Anticipated Needs'!$I$138</f>
        <v>FY 2029-30</v>
      </c>
      <c r="J2" s="429" t="str">
        <f>'Anticipated Needs'!$I$139</f>
        <v>FY 2029-30</v>
      </c>
      <c r="K2" s="429" t="str">
        <f>'Anticipated Needs'!$I$140</f>
        <v>FY 2029-30</v>
      </c>
      <c r="L2" s="429" t="str">
        <f>'Anticipated Needs'!$I$141</f>
        <v>FY 2028-29</v>
      </c>
      <c r="M2" s="429" t="str">
        <f>'Anticipated Needs'!$I$142</f>
        <v>FY 2026-27</v>
      </c>
      <c r="N2" s="429" t="str">
        <f>'Anticipated Needs'!$I$143</f>
        <v>FY 2019-20</v>
      </c>
      <c r="O2" s="429" t="str">
        <f>'Anticipated Needs'!$I$144</f>
        <v>FY 2019-20</v>
      </c>
      <c r="P2" s="429" t="str">
        <f>'Anticipated Needs'!$I$145</f>
        <v>FY 2019-20</v>
      </c>
      <c r="Q2" s="429" t="str">
        <f>'Anticipated Needs'!$I$146</f>
        <v>FY 2019-20</v>
      </c>
      <c r="R2" s="429" t="str">
        <f>'Anticipated Needs'!$I$147</f>
        <v>FY 2019-20</v>
      </c>
      <c r="S2" s="428"/>
    </row>
    <row r="3" spans="1:25" ht="14.4" customHeight="1">
      <c r="A3" s="428"/>
      <c r="B3" s="428"/>
      <c r="C3" s="428"/>
      <c r="D3" s="428"/>
      <c r="E3" s="430" t="s">
        <v>808</v>
      </c>
      <c r="F3" s="431"/>
      <c r="G3" s="431"/>
      <c r="H3" s="432"/>
      <c r="I3" s="433">
        <f>'Anticipated Needs'!$F$138</f>
        <v>0</v>
      </c>
      <c r="J3" s="433">
        <f>'Anticipated Needs'!$F$139</f>
        <v>0</v>
      </c>
      <c r="K3" s="433">
        <f>'Anticipated Needs'!$F$140</f>
        <v>0</v>
      </c>
      <c r="L3" s="433">
        <f>'Anticipated Needs'!$F$141</f>
        <v>17000000</v>
      </c>
      <c r="M3" s="433">
        <f>'Anticipated Needs'!$F$142</f>
        <v>0</v>
      </c>
      <c r="N3" s="433">
        <f>'Anticipated Needs'!$F$143</f>
        <v>0</v>
      </c>
      <c r="O3" s="433">
        <f>'Anticipated Needs'!$F$144</f>
        <v>0</v>
      </c>
      <c r="P3" s="433">
        <f>'Anticipated Needs'!$F$145</f>
        <v>0</v>
      </c>
      <c r="Q3" s="433">
        <f>'Anticipated Needs'!$F$146</f>
        <v>0</v>
      </c>
      <c r="R3" s="433">
        <f>'Anticipated Needs'!$F$147</f>
        <v>0</v>
      </c>
      <c r="S3" s="428"/>
      <c r="W3" s="433">
        <v>7000000</v>
      </c>
      <c r="X3" s="433">
        <v>17000000</v>
      </c>
    </row>
    <row r="4" spans="1:25" ht="14.4" customHeight="1">
      <c r="A4" s="428"/>
      <c r="B4" s="428"/>
      <c r="C4" s="428"/>
      <c r="D4" s="428"/>
      <c r="E4" s="430" t="s">
        <v>1074</v>
      </c>
      <c r="F4" s="434"/>
      <c r="G4" s="434"/>
      <c r="H4" s="434"/>
      <c r="I4" s="432">
        <f>'Anticipated Needs'!$G$138</f>
        <v>0</v>
      </c>
      <c r="J4" s="432">
        <f>'Anticipated Needs'!$G$139</f>
        <v>4.7500000000000001E-2</v>
      </c>
      <c r="K4" s="432">
        <f>'Anticipated Needs'!$G$140</f>
        <v>4.7500000000000001E-2</v>
      </c>
      <c r="L4" s="432">
        <f>'Anticipated Needs'!$G$141</f>
        <v>4.7500000000000001E-2</v>
      </c>
      <c r="M4" s="432">
        <f>'Anticipated Needs'!$G$142</f>
        <v>0</v>
      </c>
      <c r="N4" s="432">
        <f>'Anticipated Needs'!$G$143</f>
        <v>0</v>
      </c>
      <c r="O4" s="432">
        <f>'Anticipated Needs'!$G$144</f>
        <v>0</v>
      </c>
      <c r="P4" s="432">
        <f>'Anticipated Needs'!$G$145</f>
        <v>0</v>
      </c>
      <c r="Q4" s="432">
        <f>'Anticipated Needs'!$G$146</f>
        <v>0</v>
      </c>
      <c r="R4" s="432">
        <f>'Anticipated Needs'!$G$147</f>
        <v>0</v>
      </c>
      <c r="S4" s="428"/>
      <c r="W4" s="432">
        <v>4.4999999999999998E-2</v>
      </c>
      <c r="X4" s="432">
        <v>4.4999999999999998E-2</v>
      </c>
    </row>
    <row r="5" spans="1:25" ht="17.100000000000001" customHeight="1">
      <c r="A5" s="428"/>
      <c r="B5" s="428"/>
      <c r="C5" s="428"/>
      <c r="D5" s="428"/>
      <c r="E5" s="430" t="s">
        <v>1075</v>
      </c>
      <c r="F5" s="435"/>
      <c r="G5" s="436"/>
      <c r="H5" s="436"/>
      <c r="I5" s="433">
        <f>'Anticipated Needs'!$H$138</f>
        <v>15</v>
      </c>
      <c r="J5" s="433">
        <f>'Anticipated Needs'!$H$139</f>
        <v>15</v>
      </c>
      <c r="K5" s="433">
        <f>'Anticipated Needs'!$H$140</f>
        <v>15</v>
      </c>
      <c r="L5" s="433">
        <f>'Anticipated Needs'!$H$141</f>
        <v>15</v>
      </c>
      <c r="M5" s="433">
        <f>'Anticipated Needs'!$H$142</f>
        <v>0</v>
      </c>
      <c r="N5" s="433">
        <f>'Anticipated Needs'!$H$143</f>
        <v>0</v>
      </c>
      <c r="O5" s="433">
        <f>'Anticipated Needs'!$H$144</f>
        <v>0</v>
      </c>
      <c r="P5" s="433">
        <f>'Anticipated Needs'!$H$145</f>
        <v>0</v>
      </c>
      <c r="Q5" s="433">
        <f>'Anticipated Needs'!$H$146</f>
        <v>0</v>
      </c>
      <c r="R5" s="433">
        <f>'Anticipated Needs'!$H$147</f>
        <v>0</v>
      </c>
      <c r="S5" s="437"/>
      <c r="W5" s="433">
        <v>15</v>
      </c>
      <c r="X5" s="433">
        <v>15</v>
      </c>
    </row>
    <row r="6" spans="1:25" ht="17.100000000000001" customHeight="1">
      <c r="A6" s="428"/>
      <c r="B6" s="428"/>
      <c r="C6" s="428"/>
      <c r="D6" s="428"/>
      <c r="E6" s="438" t="s">
        <v>1076</v>
      </c>
      <c r="F6" s="439"/>
      <c r="G6" s="440"/>
      <c r="H6" s="440"/>
      <c r="I6" s="440">
        <f>IF('Anticipated Needs'!$O$138="y",-PMT(I4,I5,I3),0)</f>
        <v>0</v>
      </c>
      <c r="J6" s="440">
        <f>IF('Anticipated Needs'!$O$139="y",-PMT(J4,J5,J3),0)</f>
        <v>0</v>
      </c>
      <c r="K6" s="440">
        <f>IF('Anticipated Needs'!$O$140="y",-PMT(K4,K5,K3),0)</f>
        <v>0</v>
      </c>
      <c r="L6" s="440">
        <f>IF('Anticipated Needs'!$O$141="y",-PMT(L4,L5,L3),0)</f>
        <v>1610259.2849847802</v>
      </c>
      <c r="M6" s="440">
        <f>IF('Anticipated Needs'!$O$142="y",-PMT(M4,M5,M3),0)</f>
        <v>0</v>
      </c>
      <c r="N6" s="440">
        <f>IF('Anticipated Needs'!$O$143="y",-PMT(N4,N5,N3),0)</f>
        <v>0</v>
      </c>
      <c r="O6" s="440">
        <f>IF('Anticipated Needs'!$O$144="y",-PMT(O4,O5,O3),0)</f>
        <v>0</v>
      </c>
      <c r="P6" s="440">
        <f>IF('Anticipated Needs'!$O$145="y",-PMT(P4,P5,P3),0)</f>
        <v>0</v>
      </c>
      <c r="Q6" s="440">
        <f>IF('Anticipated Needs'!$O$146="y",-PMT(Q4,Q5,Q3),0)</f>
        <v>0</v>
      </c>
      <c r="R6" s="440">
        <f>IF('Anticipated Needs'!$O$147="y",-PMT(R4,R5,R3),0)</f>
        <v>0</v>
      </c>
      <c r="S6" s="428"/>
      <c r="W6" s="440">
        <f>-PMT(W4,W5,W3)</f>
        <v>651796.65680338151</v>
      </c>
      <c r="X6" s="440">
        <f>-PMT(X4,X5,X3)</f>
        <v>1582934.7379510696</v>
      </c>
    </row>
    <row r="7" spans="1:25">
      <c r="B7" s="427">
        <v>1</v>
      </c>
      <c r="C7" s="427">
        <v>2</v>
      </c>
      <c r="D7" s="427">
        <v>3</v>
      </c>
      <c r="E7" s="427">
        <v>4</v>
      </c>
      <c r="F7" s="427">
        <v>5</v>
      </c>
      <c r="G7" s="427">
        <v>6</v>
      </c>
      <c r="H7" s="427">
        <v>7</v>
      </c>
      <c r="I7" s="427">
        <v>8</v>
      </c>
      <c r="J7" s="427">
        <v>9</v>
      </c>
      <c r="K7" s="427">
        <v>10</v>
      </c>
      <c r="L7" s="427">
        <v>11</v>
      </c>
      <c r="M7" s="427">
        <v>12</v>
      </c>
      <c r="N7" s="427">
        <v>13</v>
      </c>
      <c r="O7" s="427">
        <v>14</v>
      </c>
      <c r="P7" s="427">
        <v>15</v>
      </c>
      <c r="Q7" s="427">
        <v>16</v>
      </c>
      <c r="R7" s="427">
        <v>17</v>
      </c>
      <c r="S7" s="427">
        <v>18</v>
      </c>
    </row>
    <row r="8" spans="1:25" s="14" customFormat="1" ht="43.2">
      <c r="A8" s="441" t="s">
        <v>11</v>
      </c>
      <c r="B8" s="442" t="s">
        <v>12</v>
      </c>
      <c r="C8" s="442" t="s">
        <v>25</v>
      </c>
      <c r="D8" s="442" t="s">
        <v>1017</v>
      </c>
      <c r="E8" s="442" t="s">
        <v>993</v>
      </c>
      <c r="F8" s="442" t="s">
        <v>797</v>
      </c>
      <c r="G8" s="442" t="s">
        <v>3517</v>
      </c>
      <c r="H8" s="442" t="s">
        <v>1127</v>
      </c>
      <c r="I8" s="442">
        <f>'Anticipated Needs'!$E$138</f>
        <v>0</v>
      </c>
      <c r="J8" s="442">
        <f>'Anticipated Needs'!$E$139</f>
        <v>0</v>
      </c>
      <c r="K8" s="442">
        <f>'Anticipated Needs'!$E$140</f>
        <v>0</v>
      </c>
      <c r="L8" s="442" t="str">
        <f>'Anticipated Needs'!$E$141</f>
        <v>Old Town Keller Side Streets</v>
      </c>
      <c r="M8" s="442">
        <f>'Anticipated Needs'!$E$142</f>
        <v>0</v>
      </c>
      <c r="N8" s="442">
        <f>'Anticipated Needs'!$E$143</f>
        <v>0</v>
      </c>
      <c r="O8" s="442">
        <f>'Anticipated Needs'!$E$144</f>
        <v>0</v>
      </c>
      <c r="P8" s="442">
        <f>'Anticipated Needs'!$E$145</f>
        <v>0</v>
      </c>
      <c r="Q8" s="442">
        <f>'Anticipated Needs'!$E$146</f>
        <v>0</v>
      </c>
      <c r="R8" s="442">
        <f>'Anticipated Needs'!$E$147</f>
        <v>0</v>
      </c>
      <c r="S8" s="443" t="s">
        <v>28</v>
      </c>
      <c r="T8" s="444" t="str">
        <f>"Variance from "&amp;B21</f>
        <v>Variance from FY 2022-23</v>
      </c>
      <c r="U8" s="444"/>
      <c r="V8" s="445"/>
      <c r="W8" s="444"/>
      <c r="X8" s="444"/>
    </row>
    <row r="9" spans="1:25">
      <c r="A9" s="427">
        <v>2009</v>
      </c>
      <c r="C9" s="446"/>
      <c r="D9" s="446"/>
      <c r="E9" s="447">
        <v>0</v>
      </c>
      <c r="F9" s="447"/>
      <c r="G9" s="447"/>
      <c r="H9" s="447"/>
      <c r="I9" s="447"/>
      <c r="J9" s="447"/>
      <c r="K9" s="447"/>
      <c r="L9" s="447"/>
      <c r="M9" s="447"/>
      <c r="N9" s="447"/>
      <c r="O9" s="447"/>
      <c r="P9" s="447"/>
      <c r="Q9" s="447"/>
      <c r="R9" s="447"/>
      <c r="S9" s="447">
        <f t="shared" ref="S9:S44" si="0">SUM(C9:R9)</f>
        <v>0</v>
      </c>
    </row>
    <row r="10" spans="1:25">
      <c r="A10" s="427" t="str">
        <f>'PROPERTY TAX ANALYSIS'!A6</f>
        <v>TY 2011</v>
      </c>
      <c r="B10" s="427" t="str">
        <f>'PROPERTY TAX ANALYSIS'!B6</f>
        <v>FY 2011-12</v>
      </c>
      <c r="C10" s="446"/>
      <c r="D10" s="446"/>
      <c r="E10" s="447">
        <v>0</v>
      </c>
      <c r="F10" s="447"/>
      <c r="G10" s="447"/>
      <c r="H10" s="447"/>
      <c r="I10" s="447">
        <f>IF(I$2=$B10,I$6,IF(I9&lt;&gt;0,IF(COUNTIF(I9:I$20,I$6)&lt;I$5,I$6,0),0))</f>
        <v>0</v>
      </c>
      <c r="J10" s="447">
        <f>IF(J$2=$B10,J$6,IF(J9&lt;&gt;0,IF(COUNTIF(J9:J$20,J$6)&lt;J$5,J$6,0),0))</f>
        <v>0</v>
      </c>
      <c r="K10" s="447">
        <f>IF(K$2=$B10,K$6,IF(K9&lt;&gt;0,IF(COUNTIF(K9:K$20,K$6)&lt;K$5,K$6,0),0))</f>
        <v>0</v>
      </c>
      <c r="L10" s="447">
        <f>IF(L$2=$B10,L$6,IF(L9&lt;&gt;0,IF(COUNTIF(L9:L$20,L$6)&lt;L$5,L$6,0),0))</f>
        <v>0</v>
      </c>
      <c r="M10" s="447">
        <f>IF(M$2=$B10,M$6,IF(M9&lt;&gt;0,IF(COUNTIF(M9:M$20,M$6)&lt;M$5,M$6,0),0))</f>
        <v>0</v>
      </c>
      <c r="N10" s="447">
        <f>IF(N$2=$B10,N$6,IF(N9&lt;&gt;0,IF(COUNTIF(N9:N$20,N$6)&lt;N$5,N$6,0),0))</f>
        <v>0</v>
      </c>
      <c r="O10" s="447">
        <f>IF(O$2=$B10,O$6,IF(O9&lt;&gt;0,IF(COUNTIF(O9:O$20,O$6)&lt;O$5,O$6,0),0))</f>
        <v>0</v>
      </c>
      <c r="P10" s="447">
        <f>IF(P$2=$B10,P$6,IF(P9&lt;&gt;0,IF(COUNTIF(P9:P$20,P$6)&lt;P$5,P$6,0),0))</f>
        <v>0</v>
      </c>
      <c r="Q10" s="447">
        <f>IF(Q$2=$B10,Q$6,IF(Q9&lt;&gt;0,IF(COUNTIF(Q9:Q$20,Q$6)&lt;Q$5,Q$6,0),0))</f>
        <v>0</v>
      </c>
      <c r="R10" s="447">
        <f>IF(R$2=$B10,R$6,IF(R9&lt;&gt;0,IF(COUNTIF(R9:R$20,R$6)&lt;R$5,R$6,0),0))</f>
        <v>0</v>
      </c>
      <c r="S10" s="447">
        <f t="shared" si="0"/>
        <v>0</v>
      </c>
    </row>
    <row r="11" spans="1:25">
      <c r="A11" s="427" t="str">
        <f>'PROPERTY TAX ANALYSIS'!A7</f>
        <v>TY 2012</v>
      </c>
      <c r="B11" s="427" t="str">
        <f>'PROPERTY TAX ANALYSIS'!B7</f>
        <v>FY 2012-13</v>
      </c>
      <c r="C11" s="446"/>
      <c r="D11" s="446"/>
      <c r="E11" s="447">
        <v>0</v>
      </c>
      <c r="F11" s="447"/>
      <c r="G11" s="447"/>
      <c r="H11" s="447"/>
      <c r="I11" s="447">
        <f>IF(I$2=$B11,I$6,IF(I10&lt;&gt;0,IF(COUNTIF(I10:I$20,I$6)&lt;I$5,I$6,0),0))</f>
        <v>0</v>
      </c>
      <c r="J11" s="447">
        <f>IF(J$2=$B11,J$6,IF(J10&lt;&gt;0,IF(COUNTIF(J10:J$20,J$6)&lt;J$5,J$6,0),0))</f>
        <v>0</v>
      </c>
      <c r="K11" s="447">
        <f>IF(K$2=$B11,K$6,IF(K10&lt;&gt;0,IF(COUNTIF(K10:K$20,K$6)&lt;K$5,K$6,0),0))</f>
        <v>0</v>
      </c>
      <c r="L11" s="447">
        <f>IF(L$2=$B11,L$6,IF(L10&lt;&gt;0,IF(COUNTIF(L10:L$20,L$6)&lt;L$5,L$6,0),0))</f>
        <v>0</v>
      </c>
      <c r="M11" s="447">
        <f>IF(M$2=$B11,M$6,IF(M10&lt;&gt;0,IF(COUNTIF(M10:M$20,M$6)&lt;M$5,M$6,0),0))</f>
        <v>0</v>
      </c>
      <c r="N11" s="447">
        <f>IF(N$2=$B11,N$6,IF(N10&lt;&gt;0,IF(COUNTIF(N10:N$20,N$6)&lt;N$5,N$6,0),0))</f>
        <v>0</v>
      </c>
      <c r="O11" s="447">
        <f>IF(O$2=$B11,O$6,IF(O10&lt;&gt;0,IF(COUNTIF(O10:O$20,O$6)&lt;O$5,O$6,0),0))</f>
        <v>0</v>
      </c>
      <c r="P11" s="447">
        <f>IF(P$2=$B11,P$6,IF(P10&lt;&gt;0,IF(COUNTIF(P10:P$20,P$6)&lt;P$5,P$6,0),0))</f>
        <v>0</v>
      </c>
      <c r="Q11" s="447">
        <f>IF(Q$2=$B11,Q$6,IF(Q10&lt;&gt;0,IF(COUNTIF(Q10:Q$20,Q$6)&lt;Q$5,Q$6,0),0))</f>
        <v>0</v>
      </c>
      <c r="R11" s="447">
        <f>IF(R$2=$B11,R$6,IF(R10&lt;&gt;0,IF(COUNTIF(R10:R$20,R$6)&lt;R$5,R$6,0),0))</f>
        <v>0</v>
      </c>
      <c r="S11" s="447">
        <f t="shared" si="0"/>
        <v>0</v>
      </c>
    </row>
    <row r="12" spans="1:25">
      <c r="A12" s="427" t="str">
        <f>'PROPERTY TAX ANALYSIS'!A8</f>
        <v>TY 2013</v>
      </c>
      <c r="B12" s="427" t="str">
        <f>'PROPERTY TAX ANALYSIS'!B8</f>
        <v>FY 2013-14</v>
      </c>
      <c r="C12" s="448"/>
      <c r="D12" s="448">
        <v>0</v>
      </c>
      <c r="E12" s="447">
        <v>0</v>
      </c>
      <c r="F12" s="447"/>
      <c r="G12" s="447"/>
      <c r="H12" s="447"/>
      <c r="I12" s="447">
        <f>IF(I$2=$B12,I$6,IF(I11&lt;&gt;0,IF(COUNTIF(I11:I$20,I$6)&lt;I$5,I$6,0),0))</f>
        <v>0</v>
      </c>
      <c r="J12" s="447">
        <f>IF(J$2=$B12,J$6,IF(J11&lt;&gt;0,IF(COUNTIF(J11:J$20,J$6)&lt;J$5,J$6,0),0))</f>
        <v>0</v>
      </c>
      <c r="K12" s="447">
        <f>IF(K$2=$B12,K$6,IF(K11&lt;&gt;0,IF(COUNTIF(K11:K$20,K$6)&lt;K$5,K$6,0),0))</f>
        <v>0</v>
      </c>
      <c r="L12" s="447">
        <f>IF(L$2=$B12,L$6,IF(L11&lt;&gt;0,IF(COUNTIF(L11:L$20,L$6)&lt;L$5,L$6,0),0))</f>
        <v>0</v>
      </c>
      <c r="M12" s="447">
        <f>IF(M$2=$B12,M$6,IF(M11&lt;&gt;0,IF(COUNTIF(M11:M$20,M$6)&lt;M$5,M$6,0),0))</f>
        <v>0</v>
      </c>
      <c r="N12" s="447">
        <f>IF(N$2=$B12,N$6,IF(N11&lt;&gt;0,IF(COUNTIF(N11:N$20,N$6)&lt;N$5,N$6,0),0))</f>
        <v>0</v>
      </c>
      <c r="O12" s="447">
        <f>IF(O$2=$B12,O$6,IF(O11&lt;&gt;0,IF(COUNTIF(O11:O$20,O$6)&lt;O$5,O$6,0),0))</f>
        <v>0</v>
      </c>
      <c r="P12" s="447">
        <f>IF(P$2=$B12,P$6,IF(P11&lt;&gt;0,IF(COUNTIF(P11:P$20,P$6)&lt;P$5,P$6,0),0))</f>
        <v>0</v>
      </c>
      <c r="Q12" s="447">
        <f>IF(Q$2=$B12,Q$6,IF(Q11&lt;&gt;0,IF(COUNTIF(Q11:Q$20,Q$6)&lt;Q$5,Q$6,0),0))</f>
        <v>0</v>
      </c>
      <c r="R12" s="447">
        <f>IF(R$2=$B12,R$6,IF(R11&lt;&gt;0,IF(COUNTIF(R11:R$20,R$6)&lt;R$5,R$6,0),0))</f>
        <v>0</v>
      </c>
      <c r="S12" s="447">
        <f t="shared" si="0"/>
        <v>0</v>
      </c>
    </row>
    <row r="13" spans="1:25">
      <c r="A13" s="427" t="str">
        <f>'PROPERTY TAX ANALYSIS'!A9</f>
        <v>TY 2014</v>
      </c>
      <c r="B13" s="427" t="str">
        <f>'PROPERTY TAX ANALYSIS'!B9</f>
        <v>FY 2014-15</v>
      </c>
      <c r="C13" s="448"/>
      <c r="D13" s="448">
        <v>0</v>
      </c>
      <c r="E13" s="447">
        <f>X13</f>
        <v>0</v>
      </c>
      <c r="F13" s="447"/>
      <c r="G13" s="447"/>
      <c r="H13" s="447"/>
      <c r="I13" s="447">
        <f>IF(I$2=$B13,I$6,IF(I12&lt;&gt;0,IF(COUNTIF(I12:I$20,I$6)&lt;I$5,I$6,0),0))</f>
        <v>0</v>
      </c>
      <c r="J13" s="447">
        <f>IF(J$2=$B13,J$6,IF(J12&lt;&gt;0,IF(COUNTIF(J12:J$20,J$6)&lt;J$5,J$6,0),0))</f>
        <v>0</v>
      </c>
      <c r="K13" s="447">
        <f>IF(K$2=$B13,K$6,IF(K12&lt;&gt;0,IF(COUNTIF(K12:K$20,K$6)&lt;K$5,K$6,0),0))</f>
        <v>0</v>
      </c>
      <c r="L13" s="447">
        <f>IF(L$2=$B13,L$6,IF(L12&lt;&gt;0,IF(COUNTIF(L12:L$20,L$6)&lt;L$5,L$6,0),0))</f>
        <v>0</v>
      </c>
      <c r="M13" s="447">
        <f>IF(M$2=$B13,M$6,IF(M12&lt;&gt;0,IF(COUNTIF(M12:M$20,M$6)&lt;M$5,M$6,0),0))</f>
        <v>0</v>
      </c>
      <c r="N13" s="447">
        <f>IF(N$2=$B13,N$6,IF(N12&lt;&gt;0,IF(COUNTIF(N12:N$20,N$6)&lt;N$5,N$6,0),0))</f>
        <v>0</v>
      </c>
      <c r="O13" s="447">
        <f>IF(O$2=$B13,O$6,IF(O12&lt;&gt;0,IF(COUNTIF(O12:O$20,O$6)&lt;O$5,O$6,0),0))</f>
        <v>0</v>
      </c>
      <c r="P13" s="447">
        <f>IF(P$2=$B13,P$6,IF(P12&lt;&gt;0,IF(COUNTIF(P12:P$20,P$6)&lt;P$5,P$6,0),0))</f>
        <v>0</v>
      </c>
      <c r="Q13" s="447">
        <f>IF(Q$2=$B13,Q$6,IF(Q12&lt;&gt;0,IF(COUNTIF(Q12:Q$20,Q$6)&lt;Q$5,Q$6,0),0))</f>
        <v>0</v>
      </c>
      <c r="R13" s="447">
        <f>IF(R$2=$B13,R$6,IF(R12&lt;&gt;0,IF(COUNTIF(R12:R$20,R$6)&lt;R$5,R$6,0),0))</f>
        <v>0</v>
      </c>
      <c r="S13" s="447">
        <f t="shared" si="0"/>
        <v>0</v>
      </c>
      <c r="T13" s="449"/>
      <c r="Y13" s="21"/>
    </row>
    <row r="14" spans="1:25">
      <c r="A14" s="427" t="str">
        <f>'PROPERTY TAX ANALYSIS'!A10</f>
        <v>TY 2015</v>
      </c>
      <c r="B14" s="427" t="str">
        <f>'PROPERTY TAX ANALYSIS'!B10</f>
        <v>FY 2015-16</v>
      </c>
      <c r="C14" s="448"/>
      <c r="D14" s="448">
        <v>0</v>
      </c>
      <c r="E14" s="447">
        <f>X14</f>
        <v>0</v>
      </c>
      <c r="F14" s="448"/>
      <c r="G14" s="448"/>
      <c r="H14" s="447"/>
      <c r="I14" s="447">
        <f>IF(I$2=$B14,I$6,IF(I13&lt;&gt;0,IF(COUNTIF(I13:I$20,I$6)&lt;I$5,I$6,0),0))</f>
        <v>0</v>
      </c>
      <c r="J14" s="447">
        <f>IF(J$2=$B14,J$6,IF(J13&lt;&gt;0,IF(COUNTIF(J13:J$20,J$6)&lt;J$5,J$6,0),0))</f>
        <v>0</v>
      </c>
      <c r="K14" s="447">
        <f>IF(K$2=$B14,K$6,IF(K13&lt;&gt;0,IF(COUNTIF(K13:K$20,K$6)&lt;K$5,K$6,0),0))</f>
        <v>0</v>
      </c>
      <c r="L14" s="447">
        <f>IF(L$2=$B14,L$6,IF(L13&lt;&gt;0,IF(COUNTIF(L13:L$20,L$6)&lt;L$5,L$6,0),0))</f>
        <v>0</v>
      </c>
      <c r="M14" s="447">
        <f>IF(M$2=$B14,M$6,IF(M13&lt;&gt;0,IF(COUNTIF(M13:M$20,M$6)&lt;M$5,M$6,0),0))</f>
        <v>0</v>
      </c>
      <c r="N14" s="447">
        <f>IF(N$2=$B14,N$6,IF(N13&lt;&gt;0,IF(COUNTIF(N13:N$20,N$6)&lt;N$5,N$6,0),0))</f>
        <v>0</v>
      </c>
      <c r="O14" s="447">
        <f>IF(O$2=$B14,O$6,IF(O13&lt;&gt;0,IF(COUNTIF(O13:O$20,O$6)&lt;O$5,O$6,0),0))</f>
        <v>0</v>
      </c>
      <c r="P14" s="447">
        <f>IF(P$2=$B14,P$6,IF(P13&lt;&gt;0,IF(COUNTIF(P13:P$20,P$6)&lt;P$5,P$6,0),0))</f>
        <v>0</v>
      </c>
      <c r="Q14" s="447">
        <f>IF(Q$2=$B14,Q$6,IF(Q13&lt;&gt;0,IF(COUNTIF(Q13:Q$20,Q$6)&lt;Q$5,Q$6,0),0))</f>
        <v>0</v>
      </c>
      <c r="R14" s="447">
        <f>IF(R$2=$B14,R$6,IF(R13&lt;&gt;0,IF(COUNTIF(R13:R$20,R$6)&lt;R$5,R$6,0),0))</f>
        <v>0</v>
      </c>
      <c r="S14" s="447">
        <f t="shared" si="0"/>
        <v>0</v>
      </c>
      <c r="T14" s="449"/>
      <c r="V14" s="450"/>
      <c r="Y14" s="21"/>
    </row>
    <row r="15" spans="1:25">
      <c r="A15" s="427" t="str">
        <f>'PROPERTY TAX ANALYSIS'!A11</f>
        <v>TY 2016</v>
      </c>
      <c r="B15" s="427" t="str">
        <f>'PROPERTY TAX ANALYSIS'!B11</f>
        <v>FY 2016-17</v>
      </c>
      <c r="C15" s="448">
        <v>4247798.4137875102</v>
      </c>
      <c r="D15" s="448">
        <v>0</v>
      </c>
      <c r="E15" s="447"/>
      <c r="F15" s="448">
        <v>687300</v>
      </c>
      <c r="G15" s="448"/>
      <c r="H15" s="447"/>
      <c r="I15" s="447">
        <f>IF(I$2=$B15,I$6,IF(I14&lt;&gt;0,IF(COUNTIF(I14:I$20,I$6)&lt;I$5,I$6,0),0))</f>
        <v>0</v>
      </c>
      <c r="J15" s="447">
        <f>IF(J$2=$B14,J$6,IF(J14&lt;&gt;0,IF(COUNTIF(J14:J$20,J$6)&lt;J$5,J$6,0),0))</f>
        <v>0</v>
      </c>
      <c r="K15" s="447">
        <f>IF(K$2=$B14,K$6,IF(K14&lt;&gt;0,IF(COUNTIF(K14:K$20,K$6)&lt;K$5,K$6,0),0))</f>
        <v>0</v>
      </c>
      <c r="L15" s="447">
        <f>IF(L$2=$B14,L$6,IF(L14&lt;&gt;0,IF(COUNTIF(L14:L$20,L$6)&lt;L$5,L$6,0),0))</f>
        <v>0</v>
      </c>
      <c r="M15" s="447">
        <f>IF(M$2=$B15,M$6,IF(M14&lt;&gt;0,IF(COUNTIF(M14:M$20,M$6)&lt;M$5,M$6,0),0))</f>
        <v>0</v>
      </c>
      <c r="N15" s="447">
        <f>IF(N$2=$B15,N$6,IF(N14&lt;&gt;0,IF(COUNTIF(N14:N$20,N$6)&lt;N$5,N$6,0),0))</f>
        <v>0</v>
      </c>
      <c r="O15" s="447">
        <f>IF(O$2=$B15,O$6,IF(O14&lt;&gt;0,IF(COUNTIF(O14:O$20,O$6)&lt;O$5,O$6,0),0))</f>
        <v>0</v>
      </c>
      <c r="P15" s="447">
        <f>IF(P$2=$B15,P$6,IF(P14&lt;&gt;0,IF(COUNTIF(P14:P$20,P$6)&lt;P$5,P$6,0),0))</f>
        <v>0</v>
      </c>
      <c r="Q15" s="447">
        <f>IF(Q$2=$B15,Q$6,IF(Q14&lt;&gt;0,IF(COUNTIF(Q14:Q$20,Q$6)&lt;Q$5,Q$6,0),0))</f>
        <v>0</v>
      </c>
      <c r="R15" s="447">
        <f>IF(R$2=$B15,R$6,IF(R14&lt;&gt;0,IF(COUNTIF(R14:R$20,R$6)&lt;R$5,R$6,0),0))</f>
        <v>0</v>
      </c>
      <c r="S15" s="447">
        <f t="shared" si="0"/>
        <v>4935098.4137875102</v>
      </c>
      <c r="T15" s="449"/>
      <c r="U15" s="447"/>
      <c r="V15" s="450"/>
      <c r="Y15" s="21"/>
    </row>
    <row r="16" spans="1:25">
      <c r="A16" s="427" t="str">
        <f>'PROPERTY TAX ANALYSIS'!A12</f>
        <v>TY 2017</v>
      </c>
      <c r="B16" s="427" t="str">
        <f>'PROPERTY TAX ANALYSIS'!B12</f>
        <v>FY 2017-18</v>
      </c>
      <c r="C16" s="448">
        <v>3920432.78</v>
      </c>
      <c r="D16" s="448">
        <v>0</v>
      </c>
      <c r="E16" s="447">
        <v>843714</v>
      </c>
      <c r="F16" s="448">
        <f>F15/2</f>
        <v>343650</v>
      </c>
      <c r="G16" s="448">
        <f>('PROPERTY TAX ANALYSIS'!F12*0.00458)-'PROPERTY TAX ANALYSIS'!P12</f>
        <v>73348.435893187416</v>
      </c>
      <c r="H16" s="447"/>
      <c r="I16" s="447">
        <f>IF(I$2=$B16,I$6,IF(I15&lt;&gt;0,IF(COUNTIF(I15:I$20,I$6)&lt;I$5,I$6,0),0))</f>
        <v>0</v>
      </c>
      <c r="J16" s="447">
        <f>IF(J$2=$B16,J$6,IF(J15&lt;&gt;0,IF(COUNTIF(J15:J$20,J$6)&lt;J$5,J$6,0),0))</f>
        <v>0</v>
      </c>
      <c r="K16" s="447">
        <f>IF(K$2=$B16,K$6,IF(K15&lt;&gt;0,IF(COUNTIF(K15:K$20,K$6)&lt;K$5,K$6,0),0))</f>
        <v>0</v>
      </c>
      <c r="L16" s="447">
        <f>IF(L$2=$B16,L$6,IF(L15&lt;&gt;0,IF(COUNTIF(L15:L$20,L$6)&lt;L$5,L$6,0),0))</f>
        <v>0</v>
      </c>
      <c r="M16" s="447">
        <f>IF(M$2=$B16,M$6,IF(M15&lt;&gt;0,IF(COUNTIF(M15:M$20,M$6)&lt;M$5,M$6,0),0))</f>
        <v>0</v>
      </c>
      <c r="N16" s="447">
        <f>IF(N$2=$B16,N$6,IF(N15&lt;&gt;0,IF(COUNTIF(N15:N$20,N$6)&lt;N$5,N$6,0),0))</f>
        <v>0</v>
      </c>
      <c r="O16" s="447">
        <f>IF(O$2=$B16,O$6,IF(O15&lt;&gt;0,IF(COUNTIF(O15:O$20,O$6)&lt;O$5,O$6,0),0))</f>
        <v>0</v>
      </c>
      <c r="P16" s="447">
        <f>IF(P$2=$B16,P$6,IF(P15&lt;&gt;0,IF(COUNTIF(P15:P$20,P$6)&lt;P$5,P$6,0),0))</f>
        <v>0</v>
      </c>
      <c r="Q16" s="447">
        <f>IF(Q$2=$B16,Q$6,IF(Q15&lt;&gt;0,IF(COUNTIF(Q15:Q$20,Q$6)&lt;Q$5,Q$6,0),0))</f>
        <v>0</v>
      </c>
      <c r="R16" s="447">
        <f>IF(R$2=$B16,R$6,IF(R15&lt;&gt;0,IF(COUNTIF(R15:R$20,R$6)&lt;R$5,R$6,0),0))</f>
        <v>0</v>
      </c>
      <c r="S16" s="447">
        <f t="shared" si="0"/>
        <v>5181145.2158931866</v>
      </c>
      <c r="T16" s="449"/>
      <c r="U16" s="447"/>
      <c r="V16" s="450"/>
      <c r="Y16" s="21"/>
    </row>
    <row r="17" spans="1:25">
      <c r="A17" s="427" t="str">
        <f>'PROPERTY TAX ANALYSIS'!A13</f>
        <v>TY 2018</v>
      </c>
      <c r="B17" s="427" t="str">
        <f>'PROPERTY TAX ANALYSIS'!B13</f>
        <v>FY 2018-19</v>
      </c>
      <c r="C17" s="448">
        <v>4771098</v>
      </c>
      <c r="D17" s="448">
        <v>37623</v>
      </c>
      <c r="E17" s="447"/>
      <c r="F17" s="448">
        <f>ROUND(F16/2,0)</f>
        <v>171825</v>
      </c>
      <c r="G17" s="448">
        <f>ROUND(('PROPERTY TAX ANALYSIS'!F13*0.00458)-'PROPERTY TAX ANALYSIS'!P13,0)</f>
        <v>0</v>
      </c>
      <c r="H17" s="447"/>
      <c r="I17" s="447">
        <f>IF(I$2=$B17,I$6,IF(I16&lt;&gt;0,IF(COUNTIF(I16:I$20,I$6)&lt;I$5,I$6,0),0))</f>
        <v>0</v>
      </c>
      <c r="J17" s="447">
        <f>IF(J$2=$B17,J$6,IF(J16&lt;&gt;0,IF(COUNTIF(J16:J$20,J$6)&lt;J$5,J$6,0),0))</f>
        <v>0</v>
      </c>
      <c r="K17" s="447">
        <f>IF(K$2=$B17,K$6,IF(K16&lt;&gt;0,IF(COUNTIF(K16:K$20,K$6)&lt;K$5,K$6,0),0))</f>
        <v>0</v>
      </c>
      <c r="L17" s="447">
        <f>IF(L$2=$B17,L$6,IF(L16&lt;&gt;0,IF(COUNTIF(L16:L$20,L$6)&lt;L$5,L$6,0),0))</f>
        <v>0</v>
      </c>
      <c r="M17" s="447">
        <f>IF(M$2=$B17,M$6,IF(M16&lt;&gt;0,IF(COUNTIF(M16:M$20,M$6)&lt;M$5,M$6,0),0))</f>
        <v>0</v>
      </c>
      <c r="N17" s="447">
        <f>IF(N$2=$B17,N$6,IF(N16&lt;&gt;0,IF(COUNTIF(N16:N$20,N$6)&lt;N$5,N$6,0),0))</f>
        <v>0</v>
      </c>
      <c r="O17" s="447">
        <f>IF(O$2=$B17,O$6,IF(O16&lt;&gt;0,IF(COUNTIF(O16:O$20,O$6)&lt;O$5,O$6,0),0))</f>
        <v>0</v>
      </c>
      <c r="P17" s="447">
        <f>IF(P$2=$B17,P$6,IF(P16&lt;&gt;0,IF(COUNTIF(P16:P$20,P$6)&lt;P$5,P$6,0),0))</f>
        <v>0</v>
      </c>
      <c r="Q17" s="447">
        <f>IF(Q$2=$B17,Q$6,IF(Q16&lt;&gt;0,IF(COUNTIF(Q16:Q$20,Q$6)&lt;Q$5,Q$6,0),0))</f>
        <v>0</v>
      </c>
      <c r="R17" s="447">
        <f>IF(R$2=$B17,R$6,IF(R16&lt;&gt;0,IF(COUNTIF(R16:R$20,R$6)&lt;R$5,R$6,0),0))</f>
        <v>0</v>
      </c>
      <c r="S17" s="447">
        <f t="shared" si="0"/>
        <v>4980546</v>
      </c>
      <c r="T17" s="449"/>
      <c r="U17" s="447"/>
      <c r="V17" s="450"/>
      <c r="X17" s="450"/>
      <c r="Y17" s="21"/>
    </row>
    <row r="18" spans="1:25">
      <c r="A18" s="427" t="str">
        <f>'PROPERTY TAX ANALYSIS'!A14</f>
        <v>TY 2019</v>
      </c>
      <c r="B18" s="427" t="str">
        <f>'PROPERTY TAX ANALYSIS'!B14</f>
        <v>FY 2019-20</v>
      </c>
      <c r="C18" s="448">
        <v>4082450</v>
      </c>
      <c r="D18" s="448">
        <f>C18-C18*'PROPERTY TAX ANALYSIS'!M19</f>
        <v>30618.375</v>
      </c>
      <c r="E18" s="447"/>
      <c r="F18" s="448"/>
      <c r="G18" s="448"/>
      <c r="H18" s="447"/>
      <c r="I18" s="447">
        <f>IF(I$2=$B18,I$6,IF(I16&lt;&gt;0,IF(COUNTIF(I16:I$20,I$6)&lt;I$5,I$6,0),0))</f>
        <v>0</v>
      </c>
      <c r="J18" s="447">
        <f>IF(J$2=$B18,J$6,IF(J16&lt;&gt;0,IF(COUNTIF(J16:J$20,J$6)&lt;J$5,J$6,0),0))</f>
        <v>0</v>
      </c>
      <c r="K18" s="447">
        <f>IF(K$2=$B18,K$6,IF(K16&lt;&gt;0,IF(COUNTIF(K16:K$20,K$6)&lt;K$5,K$6,0),0))</f>
        <v>0</v>
      </c>
      <c r="L18" s="447">
        <f>IF(L$2=$B18,L$6,IF(L16&lt;&gt;0,IF(COUNTIF(L16:L$20,L$6)&lt;L$5,L$6,0),0))</f>
        <v>0</v>
      </c>
      <c r="M18" s="447">
        <f>IF(M$2=$B18,M$6,IF(M16&lt;&gt;0,IF(COUNTIF(M16:M$20,M$6)&lt;M$5,M$6,0),0))</f>
        <v>0</v>
      </c>
      <c r="N18" s="447">
        <f>IF(N$2=$B18,N$6,IF(N16&lt;&gt;0,IF(COUNTIF(N16:N$20,N$6)&lt;N$5,N$6,0),0))</f>
        <v>0</v>
      </c>
      <c r="O18" s="447">
        <f>IF(O$2=$B18,O$6,IF(O16&lt;&gt;0,IF(COUNTIF(O16:O$20,O$6)&lt;O$5,O$6,0),0))</f>
        <v>0</v>
      </c>
      <c r="P18" s="447">
        <f>IF(P$2=$B18,P$6,IF(P16&lt;&gt;0,IF(COUNTIF(P16:P$20,P$6)&lt;P$5,P$6,0),0))</f>
        <v>0</v>
      </c>
      <c r="Q18" s="447">
        <f>IF(Q$2=$B18,Q$6,IF(Q16&lt;&gt;0,IF(COUNTIF(Q16:Q$20,Q$6)&lt;Q$5,Q$6,0),0))</f>
        <v>0</v>
      </c>
      <c r="R18" s="447">
        <f>IF(R$2=$B18,R$6,IF(R16&lt;&gt;0,IF(COUNTIF(R16:R$20,R$6)&lt;R$5,R$6,0),0))</f>
        <v>0</v>
      </c>
      <c r="S18" s="447">
        <f t="shared" ref="S18" si="1">SUM(C18:R18)</f>
        <v>4113068.375</v>
      </c>
      <c r="T18" s="449">
        <f>S18-$S$20</f>
        <v>845361.875</v>
      </c>
      <c r="U18" s="447"/>
      <c r="V18" s="450"/>
      <c r="X18" s="450"/>
      <c r="Y18" s="21"/>
    </row>
    <row r="19" spans="1:25">
      <c r="A19" s="427" t="str">
        <f>'PROPERTY TAX ANALYSIS'!A15</f>
        <v>TY 2020</v>
      </c>
      <c r="B19" s="427" t="str">
        <f>'PROPERTY TAX ANALYSIS'!B15</f>
        <v>FY 2020-21</v>
      </c>
      <c r="C19" s="448">
        <v>3637843.75</v>
      </c>
      <c r="D19" s="448">
        <f>C19-C19*'PROPERTY TAX ANALYSIS'!M19</f>
        <v>27283.828125</v>
      </c>
      <c r="E19" s="447"/>
      <c r="F19" s="448"/>
      <c r="G19" s="448"/>
      <c r="H19" s="447"/>
      <c r="I19" s="447">
        <f>IF(I$2=$B19,I$6,IF(I16&lt;&gt;0,IF(COUNTIF(I16:I$20,I$6)&lt;I$5,I$6,0),0))</f>
        <v>0</v>
      </c>
      <c r="J19" s="447">
        <f>IF(J$2=$B19,J$6,IF(J16&lt;&gt;0,IF(COUNTIF(J16:J$20,J$6)&lt;J$5,J$6,0),0))</f>
        <v>0</v>
      </c>
      <c r="K19" s="447">
        <f>IF(K$2=$B19,K$6,IF(K16&lt;&gt;0,IF(COUNTIF(K16:K$20,K$6)&lt;K$5,K$6,0),0))</f>
        <v>0</v>
      </c>
      <c r="L19" s="447">
        <f>IF(L$2=$B19,L$6,IF(L16&lt;&gt;0,IF(COUNTIF(L16:L$20,L$6)&lt;L$5,L$6,0),0))</f>
        <v>0</v>
      </c>
      <c r="M19" s="447">
        <v>-250000</v>
      </c>
      <c r="N19" s="447">
        <f>IF(N$2=$B19,N$6,IF(N16&lt;&gt;0,IF(COUNTIF(N16:N$20,N$6)&lt;N$5,N$6,0),0))</f>
        <v>0</v>
      </c>
      <c r="O19" s="447">
        <f>IF(O$2=$B19,O$6,IF(O16&lt;&gt;0,IF(COUNTIF(O16:O$20,O$6)&lt;O$5,O$6,0),0))</f>
        <v>0</v>
      </c>
      <c r="P19" s="447">
        <f>IF(P$2=$B19,P$6,IF(P16&lt;&gt;0,IF(COUNTIF(P16:P$20,P$6)&lt;P$5,P$6,0),0))</f>
        <v>0</v>
      </c>
      <c r="Q19" s="447">
        <f>IF(Q$2=$B19,Q$6,IF(Q16&lt;&gt;0,IF(COUNTIF(Q16:Q$20,Q$6)&lt;Q$5,Q$6,0),0))</f>
        <v>0</v>
      </c>
      <c r="R19" s="447">
        <f>IF(R$2=$B19,R$6,IF(R16&lt;&gt;0,IF(COUNTIF(R16:R$20,R$6)&lt;R$5,R$6,0),0))</f>
        <v>0</v>
      </c>
      <c r="S19" s="447">
        <f t="shared" ref="S19" si="2">SUM(C19:R19)</f>
        <v>3415127.578125</v>
      </c>
      <c r="T19" s="449">
        <f>S19-$S$20</f>
        <v>147421.078125</v>
      </c>
      <c r="U19" s="447"/>
      <c r="V19" s="450"/>
      <c r="W19" s="501">
        <f>SUM(C19:I19)*0.5</f>
        <v>1832563.7890625</v>
      </c>
      <c r="X19" s="450">
        <v>2829355</v>
      </c>
      <c r="Y19" s="21">
        <f>W19-X19</f>
        <v>-996791.2109375</v>
      </c>
    </row>
    <row r="20" spans="1:25">
      <c r="A20" s="427" t="str">
        <f>'PROPERTY TAX ANALYSIS'!A16</f>
        <v>TY 2021</v>
      </c>
      <c r="B20" s="427" t="str">
        <f>'PROPERTY TAX ANALYSIS'!B16</f>
        <v>FY 2021-22</v>
      </c>
      <c r="C20" s="448">
        <v>3268687.5</v>
      </c>
      <c r="D20" s="448"/>
      <c r="E20" s="447">
        <v>-981</v>
      </c>
      <c r="F20" s="448"/>
      <c r="G20" s="448"/>
      <c r="H20" s="447"/>
      <c r="I20" s="447">
        <f>IF(I$2=$B21,I$6,IF(I17&lt;&gt;0,IF(COUNTIF(I17:I$20,I$6)&lt;I$5,I$6,0),0))</f>
        <v>0</v>
      </c>
      <c r="J20" s="447">
        <f>IF(J$2=$B21,J$6,IF(J17&lt;&gt;0,IF(COUNTIF(J17:J$20,J$6)&lt;J$5,J$6,0),0))</f>
        <v>0</v>
      </c>
      <c r="K20" s="447">
        <f>IF(K$2=$B20,K$6,IF(K17&lt;&gt;0,IF(COUNTIF(K17:K$20,K$6)&lt;K$5,K$6,0),0))</f>
        <v>0</v>
      </c>
      <c r="L20" s="447">
        <f>IF(L$2=$B21,L$6,IF(L17&lt;&gt;0,IF(COUNTIF(L17:L$20,L$6)&lt;L$5,L$6,0),0))</f>
        <v>0</v>
      </c>
      <c r="M20" s="447">
        <v>0</v>
      </c>
      <c r="N20" s="447">
        <f>IF(N$2=$B21,N$6,IF(N17&lt;&gt;0,IF(COUNTIF(N17:N$20,N$6)&lt;N$5,N$6,0),0))</f>
        <v>0</v>
      </c>
      <c r="O20" s="447">
        <f>IF(O$2=$B21,O$6,IF(O17&lt;&gt;0,IF(COUNTIF(O17:O$20,O$6)&lt;O$5,O$6,0),0))</f>
        <v>0</v>
      </c>
      <c r="P20" s="447">
        <f>IF(P$2=$B21,P$6,IF(P17&lt;&gt;0,IF(COUNTIF(P17:P$20,P$6)&lt;P$5,P$6,0),0))</f>
        <v>0</v>
      </c>
      <c r="Q20" s="447">
        <f>IF(Q$2=$B21,Q$6,IF(Q17&lt;&gt;0,IF(COUNTIF(Q17:Q$20,Q$6)&lt;Q$5,Q$6,0),0))</f>
        <v>0</v>
      </c>
      <c r="R20" s="447">
        <f>IF(R$2=$B21,R$6,IF(R17&lt;&gt;0,IF(COUNTIF(R17:R$20,R$6)&lt;R$5,R$6,0),0))</f>
        <v>0</v>
      </c>
      <c r="S20" s="447">
        <f t="shared" si="0"/>
        <v>3267706.5</v>
      </c>
      <c r="T20" s="449">
        <f>S20-$S$20</f>
        <v>0</v>
      </c>
      <c r="U20" s="447"/>
      <c r="V20" s="450"/>
      <c r="W20" s="501">
        <f>SUM(C20:I20)*0.5</f>
        <v>1633853.25</v>
      </c>
      <c r="X20" s="450">
        <v>2829355</v>
      </c>
      <c r="Y20" s="21">
        <f>W20-X20</f>
        <v>-1195501.75</v>
      </c>
    </row>
    <row r="21" spans="1:25">
      <c r="A21" s="427" t="str">
        <f>'PROPERTY TAX ANALYSIS'!A17</f>
        <v>TY 2022</v>
      </c>
      <c r="B21" s="427" t="str">
        <f>'PROPERTY TAX ANALYSIS'!B17</f>
        <v>FY 2022-23</v>
      </c>
      <c r="C21" s="448">
        <v>3175775</v>
      </c>
      <c r="D21" s="448"/>
      <c r="E21" s="447"/>
      <c r="F21" s="448"/>
      <c r="G21" s="448"/>
      <c r="H21" s="447"/>
      <c r="I21" s="447">
        <f>IF(I$2=$B23,I$6,IF(I20&lt;&gt;0,IF(COUNTIF(I$20:I20,I$6)&lt;I$5,I$6,0),0))</f>
        <v>0</v>
      </c>
      <c r="J21" s="447">
        <f>IF(J$2=$B21,J$6,IF(J20&lt;&gt;0,IF(COUNTIF(J$20:J20,J$6)&lt;J$5,J$6,0),0))</f>
        <v>0</v>
      </c>
      <c r="K21" s="447">
        <f>IF(K$2=$B21,K$6,IF(K20&lt;&gt;0,IF(COUNTIF(K$20:K20,K$6)&lt;K$5,K$6,0),0))</f>
        <v>0</v>
      </c>
      <c r="L21" s="447">
        <f>IF(L$2=$B21,L$6,IF(L20&lt;&gt;0,IF(COUNTIF(L$20:L20,L$6)&lt;L$5,L$6,0),0))</f>
        <v>0</v>
      </c>
      <c r="M21" s="447">
        <f>IF(M$2=$B23,M$6,IF(M20&lt;&gt;0,IF(COUNTIF(M$20:M20,M$6)&lt;M$5,M$6,0),0))</f>
        <v>0</v>
      </c>
      <c r="N21" s="447">
        <f>IF(N$2=$B23,N$6,IF(N20&lt;&gt;0,IF(COUNTIF(N$20:N20,N$6)&lt;N$5,N$6,0),0))</f>
        <v>0</v>
      </c>
      <c r="O21" s="447">
        <f>IF(O$2=$B23,O$6,IF(O20&lt;&gt;0,IF(COUNTIF(O$20:O20,O$6)&lt;O$5,O$6,0),0))</f>
        <v>0</v>
      </c>
      <c r="P21" s="447">
        <f>IF(P$2=$B23,P$6,IF(P20&lt;&gt;0,IF(COUNTIF(P$20:P20,P$6)&lt;P$5,P$6,0),0))</f>
        <v>0</v>
      </c>
      <c r="Q21" s="447">
        <f>IF(Q$2=$B23,Q$6,IF(Q20&lt;&gt;0,IF(COUNTIF(Q$20:Q20,Q$6)&lt;Q$5,Q$6,0),0))</f>
        <v>0</v>
      </c>
      <c r="R21" s="447">
        <f>IF(R$2=$B23,R$6,IF(R20&lt;&gt;0,IF(COUNTIF(R$20:R20,R$6)&lt;R$5,R$6,0),0))</f>
        <v>0</v>
      </c>
      <c r="S21" s="447">
        <f t="shared" si="0"/>
        <v>3175775</v>
      </c>
      <c r="T21" s="449">
        <f t="shared" ref="T21:T33" si="3">C21-$C$21</f>
        <v>0</v>
      </c>
      <c r="U21" s="447"/>
      <c r="V21" s="450"/>
      <c r="W21" s="449">
        <f>(C20+D20)</f>
        <v>3268687.5</v>
      </c>
      <c r="X21" s="450"/>
      <c r="Y21" s="21">
        <f>Y20-M20</f>
        <v>-1195501.75</v>
      </c>
    </row>
    <row r="22" spans="1:25">
      <c r="A22" s="427" t="str">
        <f>'PROPERTY TAX ANALYSIS'!A18</f>
        <v>TY 2023</v>
      </c>
      <c r="B22" s="427" t="str">
        <f>'PROPERTY TAX ANALYSIS'!B18</f>
        <v>FY 2023-24</v>
      </c>
      <c r="C22" s="448">
        <v>3175775</v>
      </c>
      <c r="D22" s="448"/>
      <c r="E22" s="447"/>
      <c r="F22" s="448"/>
      <c r="G22" s="448"/>
      <c r="H22" s="447">
        <v>-725000</v>
      </c>
      <c r="I22" s="447">
        <v>0</v>
      </c>
      <c r="J22" s="447">
        <v>947211.34410869423</v>
      </c>
      <c r="K22" s="447">
        <v>473605.67205434712</v>
      </c>
      <c r="L22" s="447">
        <v>0</v>
      </c>
      <c r="M22" s="447"/>
      <c r="N22" s="447">
        <v>0</v>
      </c>
      <c r="O22" s="447">
        <v>0</v>
      </c>
      <c r="P22" s="447">
        <v>0</v>
      </c>
      <c r="Q22" s="447">
        <v>0</v>
      </c>
      <c r="R22" s="447">
        <v>0</v>
      </c>
      <c r="S22" s="447">
        <f t="shared" ref="S22" si="4">SUM(C22:R22)</f>
        <v>3871592.0161630413</v>
      </c>
      <c r="T22" s="449">
        <f t="shared" ref="T22" si="5">C22-$C$21</f>
        <v>0</v>
      </c>
      <c r="U22" s="447">
        <f>S22-$S$23</f>
        <v>311596.01616304135</v>
      </c>
      <c r="V22" s="450"/>
      <c r="X22" s="450"/>
      <c r="Y22" s="21"/>
    </row>
    <row r="23" spans="1:25">
      <c r="A23" s="427" t="str">
        <f>'PROPERTY TAX ANALYSIS'!A19</f>
        <v>TY 2024</v>
      </c>
      <c r="B23" s="427" t="str">
        <f>'PROPERTY TAX ANALYSIS'!B19</f>
        <v>FY 2024-25</v>
      </c>
      <c r="C23" s="448">
        <v>1890700</v>
      </c>
      <c r="D23" s="448"/>
      <c r="E23" s="447"/>
      <c r="F23" s="448"/>
      <c r="G23" s="448">
        <v>1669296</v>
      </c>
      <c r="H23" s="447"/>
      <c r="I23" s="447">
        <f>IF(I$2=$B24,I$6,IF(I21&lt;&gt;0,IF(COUNTIF(I$20:I21,I$6)&lt;I$5,I$6,0),0))</f>
        <v>0</v>
      </c>
      <c r="J23" s="447">
        <f>IF(J$2=$B23,J$6,IF(J21&lt;&gt;0,IF(COUNTIF(J$20:J21,J$6)&lt;J$5,J$6,0),0))</f>
        <v>0</v>
      </c>
      <c r="K23" s="447">
        <f>IF(K$2=$B23,K$6,IF(K21&lt;&gt;0,IF(COUNTIF(K$20:K21,K$6)&lt;K$5,K$6,0),0))</f>
        <v>0</v>
      </c>
      <c r="L23" s="447">
        <f>IF(L$2=$B23,L$6,IF(L21&lt;&gt;0,IF(COUNTIF(L$20:L21,L$6)&lt;L$5,L$6,0),0))</f>
        <v>0</v>
      </c>
      <c r="M23" s="447"/>
      <c r="N23" s="447">
        <f>IF(N$2=$B24,N$6,IF(N21&lt;&gt;0,IF(COUNTIF(N$20:N21,N$6)&lt;N$5,N$6,0),0))</f>
        <v>0</v>
      </c>
      <c r="O23" s="447">
        <f>IF(O$2=$B24,O$6,IF(O21&lt;&gt;0,IF(COUNTIF(O$20:O21,O$6)&lt;O$5,O$6,0),0))</f>
        <v>0</v>
      </c>
      <c r="P23" s="447">
        <f>IF(P$2=$B24,P$6,IF(P21&lt;&gt;0,IF(COUNTIF(P$20:P21,P$6)&lt;P$5,P$6,0),0))</f>
        <v>0</v>
      </c>
      <c r="Q23" s="447">
        <f>IF(Q$2=$B24,Q$6,IF(Q21&lt;&gt;0,IF(COUNTIF(Q$20:Q21,Q$6)&lt;Q$5,Q$6,0),0))</f>
        <v>0</v>
      </c>
      <c r="R23" s="447">
        <f>IF(R$2=$B24,R$6,IF(R21&lt;&gt;0,IF(COUNTIF(R$20:R21,R$6)&lt;R$5,R$6,0),0))</f>
        <v>0</v>
      </c>
      <c r="S23" s="447">
        <f t="shared" si="0"/>
        <v>3559996</v>
      </c>
      <c r="T23" s="449">
        <f t="shared" si="3"/>
        <v>-1285075</v>
      </c>
      <c r="U23" s="447">
        <f>S23-$S$23</f>
        <v>0</v>
      </c>
      <c r="V23" s="450"/>
      <c r="X23" s="450"/>
      <c r="Y23" s="21"/>
    </row>
    <row r="24" spans="1:25">
      <c r="A24" s="427" t="str">
        <f>'PROPERTY TAX ANALYSIS'!A20</f>
        <v>TY 2025</v>
      </c>
      <c r="B24" s="427" t="str">
        <f>'PROPERTY TAX ANALYSIS'!B20</f>
        <v>FY 2025-26</v>
      </c>
      <c r="C24" s="448">
        <v>1895050</v>
      </c>
      <c r="D24" s="448"/>
      <c r="E24" s="447"/>
      <c r="F24" s="448"/>
      <c r="G24" s="448">
        <v>1668550</v>
      </c>
      <c r="H24" s="447"/>
      <c r="I24" s="447">
        <f>IF(I$2=$B25,I$6,IF(I23&lt;&gt;0,IF(COUNTIF(I$20:I23,I$6)&lt;I$5,I$6,0),0))</f>
        <v>0</v>
      </c>
      <c r="J24" s="447">
        <f>IF(J$2=$B24,J$6,IF(J23&lt;&gt;0,IF(COUNTIF(J$20:J23,J$6)&lt;J$5,J$6,0),0))</f>
        <v>0</v>
      </c>
      <c r="K24" s="447">
        <f>IF(K$2=$B24,K$6,IF(K23&lt;&gt;0,IF(COUNTIF(K$20:K23,K$6)&lt;K$5,K$6,0),0))</f>
        <v>0</v>
      </c>
      <c r="L24" s="447">
        <f>IF(L$2=$B24,L$6,IF(L23&lt;&gt;0,IF(COUNTIF(L$20:L23,L$6)&lt;L$5,L$6,0),0))</f>
        <v>0</v>
      </c>
      <c r="M24" s="447"/>
      <c r="N24" s="447">
        <f>IF(N$2=$B25,N$6,IF(N23&lt;&gt;0,IF(COUNTIF(N$20:N23,N$6)&lt;N$5,N$6,0),0))</f>
        <v>0</v>
      </c>
      <c r="O24" s="447">
        <f>IF(O$2=$B25,O$6,IF(O23&lt;&gt;0,IF(COUNTIF(O$20:O23,O$6)&lt;O$5,O$6,0),0))</f>
        <v>0</v>
      </c>
      <c r="P24" s="447">
        <f>IF(P$2=$B25,P$6,IF(P23&lt;&gt;0,IF(COUNTIF(P$20:P23,P$6)&lt;P$5,P$6,0),0))</f>
        <v>0</v>
      </c>
      <c r="Q24" s="447">
        <f>IF(Q$2=$B25,Q$6,IF(Q23&lt;&gt;0,IF(COUNTIF(Q$20:Q23,Q$6)&lt;Q$5,Q$6,0),0))</f>
        <v>0</v>
      </c>
      <c r="R24" s="447">
        <f>IF(R$2=$B25,R$6,IF(R23&lt;&gt;0,IF(COUNTIF(R$20:R23,R$6)&lt;R$5,R$6,0),0))</f>
        <v>0</v>
      </c>
      <c r="S24" s="447">
        <f t="shared" si="0"/>
        <v>3563600</v>
      </c>
      <c r="T24" s="449">
        <f t="shared" si="3"/>
        <v>-1280725</v>
      </c>
      <c r="U24" s="447">
        <f t="shared" ref="U24:U43" si="6">S24-$S$23</f>
        <v>3604</v>
      </c>
      <c r="V24" s="450"/>
      <c r="X24" s="450"/>
      <c r="Y24" s="21"/>
    </row>
    <row r="25" spans="1:25">
      <c r="A25" s="427" t="str">
        <f>'PROPERTY TAX ANALYSIS'!A21</f>
        <v>TY 2026</v>
      </c>
      <c r="B25" s="427" t="str">
        <f>'PROPERTY TAX ANALYSIS'!B21</f>
        <v>FY 2026-27</v>
      </c>
      <c r="C25" s="448">
        <v>1897650</v>
      </c>
      <c r="D25" s="448"/>
      <c r="E25" s="447"/>
      <c r="F25" s="448"/>
      <c r="G25" s="448">
        <v>1669650</v>
      </c>
      <c r="H25" s="447"/>
      <c r="I25" s="447">
        <f>IF(I$2=$B26,I$6,IF(I24&lt;&gt;0,IF(COUNTIF(I$20:I24,I$6)&lt;I$5,I$6,0),0))</f>
        <v>0</v>
      </c>
      <c r="J25" s="447">
        <f>IF(J$2=$B25,J$6,IF(J24&lt;&gt;0,IF(COUNTIF(J$20:J24,J$6)&lt;J$5,J$6,0),0))</f>
        <v>0</v>
      </c>
      <c r="K25" s="447">
        <f>IF(K$2=$B25,K$6,IF(K24&lt;&gt;0,IF(COUNTIF(K$20:K24,K$6)&lt;K$5,K$6,0),0))</f>
        <v>0</v>
      </c>
      <c r="L25" s="447">
        <f>IF(L$2=$B25,L$6,IF(L24&lt;&gt;0,IF(COUNTIF(L$20:L24,L$6)&lt;L$5,L$6,0),0))</f>
        <v>0</v>
      </c>
      <c r="M25" s="447">
        <f>IF(M$2=$B26,M$6,IF(M24&lt;&gt;0,IF(COUNTIF(M$20:M24,M$6)&lt;M$5,M$6,0),0))</f>
        <v>0</v>
      </c>
      <c r="N25" s="447">
        <f>IF(N$2=$B26,N$6,IF(N24&lt;&gt;0,IF(COUNTIF(N$20:N24,N$6)&lt;N$5,N$6,0),0))</f>
        <v>0</v>
      </c>
      <c r="O25" s="447">
        <f>IF(O$2=$B26,O$6,IF(O24&lt;&gt;0,IF(COUNTIF(O$20:O24,O$6)&lt;O$5,O$6,0),0))</f>
        <v>0</v>
      </c>
      <c r="P25" s="447">
        <f>IF(P$2=$B26,P$6,IF(P24&lt;&gt;0,IF(COUNTIF(P$20:P24,P$6)&lt;P$5,P$6,0),0))</f>
        <v>0</v>
      </c>
      <c r="Q25" s="447">
        <f>IF(Q$2=$B26,Q$6,IF(Q24&lt;&gt;0,IF(COUNTIF(Q$20:Q24,Q$6)&lt;Q$5,Q$6,0),0))</f>
        <v>0</v>
      </c>
      <c r="R25" s="447">
        <f>IF(R$2=$B26,R$6,IF(R24&lt;&gt;0,IF(COUNTIF(R$20:R24,R$6)&lt;R$5,R$6,0),0))</f>
        <v>0</v>
      </c>
      <c r="S25" s="447">
        <f t="shared" si="0"/>
        <v>3567300</v>
      </c>
      <c r="T25" s="449">
        <f t="shared" si="3"/>
        <v>-1278125</v>
      </c>
      <c r="U25" s="447">
        <f t="shared" si="6"/>
        <v>7304</v>
      </c>
      <c r="V25" s="450"/>
      <c r="X25" s="450"/>
      <c r="Y25" s="21"/>
    </row>
    <row r="26" spans="1:25">
      <c r="A26" s="427" t="str">
        <f>'PROPERTY TAX ANALYSIS'!A22</f>
        <v>TY 2027</v>
      </c>
      <c r="B26" s="427" t="str">
        <f>'PROPERTY TAX ANALYSIS'!B22</f>
        <v>FY 2027-28</v>
      </c>
      <c r="C26" s="448">
        <v>1901125</v>
      </c>
      <c r="D26" s="448"/>
      <c r="E26" s="447"/>
      <c r="F26" s="448">
        <v>500000</v>
      </c>
      <c r="G26" s="448">
        <v>1165875</v>
      </c>
      <c r="H26" s="447"/>
      <c r="I26" s="447">
        <f>IF(I$2=$B27,I$6,IF(I25&lt;&gt;0,IF(COUNTIF(I$20:I25,I$6)&lt;I$5,I$6,0),0))</f>
        <v>0</v>
      </c>
      <c r="J26" s="447">
        <f>IF(J$2=$B26,J$6,IF(J25&lt;&gt;0,IF(COUNTIF(J$20:J25,J$6)&lt;J$5,J$6,0),0))</f>
        <v>0</v>
      </c>
      <c r="K26" s="447">
        <f>IF(K$2=$B26,K$6,IF(K25&lt;&gt;0,IF(COUNTIF(K$20:K25,K$6)&lt;K$5,K$6,0),0))</f>
        <v>0</v>
      </c>
      <c r="L26" s="447">
        <f>IF(L$2=$B26,L$6,IF(L25&lt;&gt;0,IF(COUNTIF(L$20:L25,L$6)&lt;L$5,L$6,0),0))</f>
        <v>0</v>
      </c>
      <c r="M26" s="447">
        <f>IF(M$2=$B27,M$6,IF(M25&lt;&gt;0,IF(COUNTIF(M$20:M25,M$6)&lt;M$5,M$6,0),0))</f>
        <v>0</v>
      </c>
      <c r="N26" s="447">
        <f>IF(N$2=$B27,N$6,IF(N25&lt;&gt;0,IF(COUNTIF(N$20:N25,N$6)&lt;N$5,N$6,0),0))</f>
        <v>0</v>
      </c>
      <c r="O26" s="447">
        <f>IF(O$2=$B27,O$6,IF(O25&lt;&gt;0,IF(COUNTIF(O$20:O25,O$6)&lt;O$5,O$6,0),0))</f>
        <v>0</v>
      </c>
      <c r="P26" s="447">
        <f>IF(P$2=$B27,P$6,IF(P25&lt;&gt;0,IF(COUNTIF(P$20:P25,P$6)&lt;P$5,P$6,0),0))</f>
        <v>0</v>
      </c>
      <c r="Q26" s="447">
        <f>IF(Q$2=$B27,Q$6,IF(Q25&lt;&gt;0,IF(COUNTIF(Q$20:Q25,Q$6)&lt;Q$5,Q$6,0),0))</f>
        <v>0</v>
      </c>
      <c r="R26" s="447">
        <f>IF(R$2=$B27,R$6,IF(R25&lt;&gt;0,IF(COUNTIF(R$20:R25,R$6)&lt;R$5,R$6,0),0))</f>
        <v>0</v>
      </c>
      <c r="S26" s="447">
        <f t="shared" si="0"/>
        <v>3567000</v>
      </c>
      <c r="T26" s="449">
        <f t="shared" si="3"/>
        <v>-1274650</v>
      </c>
      <c r="U26" s="447">
        <f t="shared" si="6"/>
        <v>7004</v>
      </c>
      <c r="V26" s="450"/>
      <c r="X26" s="450"/>
      <c r="Y26" s="21"/>
    </row>
    <row r="27" spans="1:25">
      <c r="A27" s="427" t="str">
        <f>'PROPERTY TAX ANALYSIS'!A23</f>
        <v>TY 2028</v>
      </c>
      <c r="B27" s="427" t="str">
        <f>'PROPERTY TAX ANALYSIS'!B23</f>
        <v>FY 2028-29</v>
      </c>
      <c r="C27" s="448">
        <v>1901175</v>
      </c>
      <c r="D27" s="448"/>
      <c r="E27" s="447"/>
      <c r="F27" s="448">
        <v>-850000</v>
      </c>
      <c r="G27" s="448">
        <v>1167250</v>
      </c>
      <c r="H27" s="447"/>
      <c r="I27" s="447">
        <f>IF(I$2=$B28,I$6,IF(I26&lt;&gt;0,IF(COUNTIF(I$20:I26,I$6)&lt;I$5,I$6,0),0))</f>
        <v>0</v>
      </c>
      <c r="J27" s="447">
        <f>IF(J$2=$B27,J$6,IF(J26&lt;&gt;0,IF(COUNTIF(J$20:J26,J$6)&lt;J$5,J$6,0),0))</f>
        <v>0</v>
      </c>
      <c r="K27" s="447">
        <f>IF(K$2=$B27,K$6,IF(K26&lt;&gt;0,IF(COUNTIF(K$20:K26,K$6)&lt;K$5,K$6,0),0))</f>
        <v>0</v>
      </c>
      <c r="L27" s="447">
        <f>IF(L$2=$B27,L$6,IF(L26&lt;&gt;0,IF(COUNTIF(L$20:L26,L$6)&lt;L$5,L$6,0),0))</f>
        <v>1610259.2849847802</v>
      </c>
      <c r="M27" s="447"/>
      <c r="N27" s="447">
        <f>IF(N$2=$B28,N$6,IF(N26&lt;&gt;0,IF(COUNTIF(N$20:N26,N$6)&lt;N$5,N$6,0),0))</f>
        <v>0</v>
      </c>
      <c r="O27" s="447">
        <f>IF(O$2=$B28,O$6,IF(O26&lt;&gt;0,IF(COUNTIF(O$20:O26,O$6)&lt;O$5,O$6,0),0))</f>
        <v>0</v>
      </c>
      <c r="P27" s="447">
        <f>IF(P$2=$B28,P$6,IF(P26&lt;&gt;0,IF(COUNTIF(P$20:P26,P$6)&lt;P$5,P$6,0),0))</f>
        <v>0</v>
      </c>
      <c r="Q27" s="447">
        <f>IF(Q$2=$B28,Q$6,IF(Q26&lt;&gt;0,IF(COUNTIF(Q$20:Q26,Q$6)&lt;Q$5,Q$6,0),0))</f>
        <v>0</v>
      </c>
      <c r="R27" s="447">
        <f>IF(R$2=$B28,R$6,IF(R26&lt;&gt;0,IF(COUNTIF(R$20:R26,R$6)&lt;R$5,R$6,0),0))</f>
        <v>0</v>
      </c>
      <c r="S27" s="447">
        <f t="shared" si="0"/>
        <v>3828684.2849847805</v>
      </c>
      <c r="T27" s="449">
        <f t="shared" si="3"/>
        <v>-1274600</v>
      </c>
      <c r="U27" s="447">
        <f t="shared" si="6"/>
        <v>268688.28498478048</v>
      </c>
      <c r="V27" s="450"/>
      <c r="X27" s="450"/>
      <c r="Y27" s="21"/>
    </row>
    <row r="28" spans="1:25">
      <c r="A28" s="427" t="str">
        <f>'PROPERTY TAX ANALYSIS'!A24</f>
        <v>TY 2029</v>
      </c>
      <c r="B28" s="427" t="str">
        <f>'PROPERTY TAX ANALYSIS'!B24</f>
        <v>FY 2029-30</v>
      </c>
      <c r="C28" s="448">
        <v>1025600</v>
      </c>
      <c r="D28" s="448"/>
      <c r="E28" s="447"/>
      <c r="F28" s="448"/>
      <c r="G28" s="448">
        <v>1166875</v>
      </c>
      <c r="H28" s="447"/>
      <c r="I28" s="447">
        <f>IF(I$2=$B29,I$6,IF(I27&lt;&gt;0,IF(COUNTIF(I$20:I27,I$6)&lt;I$5,I$6,0),0))</f>
        <v>0</v>
      </c>
      <c r="J28" s="447">
        <f>IF(J$2=$B28,J$6,IF(J27&lt;&gt;0,IF(COUNTIF(J$20:J27,J$6)&lt;J$5,J$6,0),0))</f>
        <v>0</v>
      </c>
      <c r="K28" s="447">
        <f>IF(K$2=$B28,K$6,IF(K27&lt;&gt;0,IF(COUNTIF(K$20:K27,K$6)&lt;K$5,K$6,0),0))</f>
        <v>0</v>
      </c>
      <c r="L28" s="447">
        <f>IF(L$2=$B28,L$6,IF(L27&lt;&gt;0,IF(COUNTIF(L$20:L27,L$6)&lt;L$5,L$6,0),0))</f>
        <v>1610259.2849847802</v>
      </c>
      <c r="M28" s="447">
        <v>0</v>
      </c>
      <c r="N28" s="447">
        <f>IF(N$2=$B29,N$6,IF(N27&lt;&gt;0,IF(COUNTIF(N$20:N27,N$6)&lt;N$5,N$6,0),0))</f>
        <v>0</v>
      </c>
      <c r="O28" s="447">
        <f>IF(O$2=$B29,O$6,IF(O27&lt;&gt;0,IF(COUNTIF(O$20:O27,O$6)&lt;O$5,O$6,0),0))</f>
        <v>0</v>
      </c>
      <c r="P28" s="447">
        <f>IF(P$2=$B29,P$6,IF(P27&lt;&gt;0,IF(COUNTIF(P$20:P27,P$6)&lt;P$5,P$6,0),0))</f>
        <v>0</v>
      </c>
      <c r="Q28" s="447">
        <f>IF(Q$2=$B29,Q$6,IF(Q27&lt;&gt;0,IF(COUNTIF(Q$20:Q27,Q$6)&lt;Q$5,Q$6,0),0))</f>
        <v>0</v>
      </c>
      <c r="R28" s="447">
        <f>IF(R$2=$B29,R$6,IF(R27&lt;&gt;0,IF(COUNTIF(R$20:R27,R$6)&lt;R$5,R$6,0),0))</f>
        <v>0</v>
      </c>
      <c r="S28" s="447">
        <f t="shared" si="0"/>
        <v>3802734.2849847805</v>
      </c>
      <c r="T28" s="449">
        <f t="shared" si="3"/>
        <v>-2150175</v>
      </c>
      <c r="U28" s="447">
        <f t="shared" si="6"/>
        <v>242738.28498478048</v>
      </c>
      <c r="V28" s="450"/>
      <c r="X28" s="450"/>
      <c r="Y28" s="21"/>
    </row>
    <row r="29" spans="1:25">
      <c r="A29" s="427" t="str">
        <f>'PROPERTY TAX ANALYSIS'!A25</f>
        <v>TY 2030</v>
      </c>
      <c r="B29" s="427" t="str">
        <f>'PROPERTY TAX ANALYSIS'!B25</f>
        <v>FY 2030-31</v>
      </c>
      <c r="C29" s="448">
        <v>595975</v>
      </c>
      <c r="D29" s="448"/>
      <c r="E29" s="447"/>
      <c r="F29" s="448"/>
      <c r="G29" s="448">
        <v>1169625</v>
      </c>
      <c r="H29" s="447"/>
      <c r="I29" s="447">
        <f>IF(I$2=$B30,I$6,IF(I28&lt;&gt;0,IF(COUNTIF(I$20:I28,I$6)&lt;I$5,I$6,0),0))</f>
        <v>0</v>
      </c>
      <c r="J29" s="447">
        <f>IF(J$2=$B29,J$6,IF(J28&lt;&gt;0,IF(COUNTIF(J$20:J28,J$6)&lt;J$5,J$6,0),0))</f>
        <v>0</v>
      </c>
      <c r="K29" s="447">
        <f>IF(K$2=$B29,K$6,IF(K28&lt;&gt;0,IF(COUNTIF(K$20:K28,K$6)&lt;K$5,K$6,0),0))</f>
        <v>0</v>
      </c>
      <c r="L29" s="447">
        <f>IF(L$2=$B29,L$6,IF(L28&lt;&gt;0,IF(COUNTIF(L$20:L28,L$6)&lt;L$5,L$6,0),0))</f>
        <v>1610259.2849847802</v>
      </c>
      <c r="M29" s="447">
        <f>IF(M$2=$B30,M$6,IF(M28&lt;&gt;0,IF(COUNTIF(M$20:M28,M$6)&lt;M$5,M$6,0),0))</f>
        <v>0</v>
      </c>
      <c r="N29" s="447">
        <f>IF(N$2=$B30,N$6,IF(N28&lt;&gt;0,IF(COUNTIF(N$20:N28,N$6)&lt;N$5,N$6,0),0))</f>
        <v>0</v>
      </c>
      <c r="O29" s="447">
        <f>IF(O$2=$B30,O$6,IF(O28&lt;&gt;0,IF(COUNTIF(O$20:O28,O$6)&lt;O$5,O$6,0),0))</f>
        <v>0</v>
      </c>
      <c r="P29" s="447">
        <f>IF(P$2=$B30,P$6,IF(P28&lt;&gt;0,IF(COUNTIF(P$20:P28,P$6)&lt;P$5,P$6,0),0))</f>
        <v>0</v>
      </c>
      <c r="Q29" s="447">
        <f>IF(Q$2=$B30,Q$6,IF(Q28&lt;&gt;0,IF(COUNTIF(Q$20:Q28,Q$6)&lt;Q$5,Q$6,0),0))</f>
        <v>0</v>
      </c>
      <c r="R29" s="447">
        <f>IF(R$2=$B30,R$6,IF(R28&lt;&gt;0,IF(COUNTIF(R$20:R28,R$6)&lt;R$5,R$6,0),0))</f>
        <v>0</v>
      </c>
      <c r="S29" s="447">
        <f t="shared" si="0"/>
        <v>3375859.2849847805</v>
      </c>
      <c r="T29" s="449">
        <f t="shared" si="3"/>
        <v>-2579800</v>
      </c>
      <c r="U29" s="447">
        <f t="shared" si="6"/>
        <v>-184136.71501521952</v>
      </c>
      <c r="V29" s="450"/>
      <c r="W29" s="427">
        <f>4577596-2095344</f>
        <v>2482252</v>
      </c>
      <c r="X29" s="450"/>
      <c r="Y29" s="21"/>
    </row>
    <row r="30" spans="1:25">
      <c r="A30" s="427" t="str">
        <f>'PROPERTY TAX ANALYSIS'!A26</f>
        <v>TY 2031</v>
      </c>
      <c r="B30" s="427" t="str">
        <f>'PROPERTY TAX ANALYSIS'!B26</f>
        <v>FY 2031-32</v>
      </c>
      <c r="C30" s="448">
        <v>598200</v>
      </c>
      <c r="D30" s="448"/>
      <c r="E30" s="447"/>
      <c r="F30" s="448"/>
      <c r="G30" s="448">
        <v>1170375</v>
      </c>
      <c r="H30" s="447"/>
      <c r="I30" s="447">
        <f>IF(I$2=$B31,I$6,IF(I29&lt;&gt;0,IF(COUNTIF(I$20:I29,I$6)&lt;I$5,I$6,0),0))</f>
        <v>0</v>
      </c>
      <c r="J30" s="447">
        <f>IF(J$2=$B30,J$6,IF(J29&lt;&gt;0,IF(COUNTIF(J$20:J29,J$6)&lt;J$5,J$6,0),0))</f>
        <v>0</v>
      </c>
      <c r="K30" s="447">
        <f>IF(K$2=$B30,K$6,IF(K29&lt;&gt;0,IF(COUNTIF(K$20:K29,K$6)&lt;K$5,K$6,0),0))</f>
        <v>0</v>
      </c>
      <c r="L30" s="447">
        <f>IF(L$2=$B30,L$6,IF(L29&lt;&gt;0,IF(COUNTIF(L$20:L29,L$6)&lt;L$5,L$6,0),0))</f>
        <v>1610259.2849847802</v>
      </c>
      <c r="M30" s="447">
        <f>IF(M$2=$B31,M$6,IF(M29&lt;&gt;0,IF(COUNTIF(M$20:M29,M$6)&lt;M$5,M$6,0),0))</f>
        <v>0</v>
      </c>
      <c r="N30" s="447">
        <f>IF(N$2=$B31,N$6,IF(N29&lt;&gt;0,IF(COUNTIF(N$20:N29,N$6)&lt;N$5,N$6,0),0))</f>
        <v>0</v>
      </c>
      <c r="O30" s="447">
        <f>IF(O$2=$B31,O$6,IF(O29&lt;&gt;0,IF(COUNTIF(O$20:O29,O$6)&lt;O$5,O$6,0),0))</f>
        <v>0</v>
      </c>
      <c r="P30" s="447">
        <f>IF(P$2=$B31,P$6,IF(P29&lt;&gt;0,IF(COUNTIF(P$20:P29,P$6)&lt;P$5,P$6,0),0))</f>
        <v>0</v>
      </c>
      <c r="Q30" s="447">
        <f>IF(Q$2=$B31,Q$6,IF(Q29&lt;&gt;0,IF(COUNTIF(Q$20:Q29,Q$6)&lt;Q$5,Q$6,0),0))</f>
        <v>0</v>
      </c>
      <c r="R30" s="447">
        <f>IF(R$2=$B31,R$6,IF(R29&lt;&gt;0,IF(COUNTIF(R$20:R29,R$6)&lt;R$5,R$6,0),0))</f>
        <v>0</v>
      </c>
      <c r="S30" s="447">
        <f t="shared" si="0"/>
        <v>3378834.2849847805</v>
      </c>
      <c r="T30" s="449">
        <f t="shared" si="3"/>
        <v>-2577575</v>
      </c>
      <c r="U30" s="447">
        <f t="shared" si="6"/>
        <v>-181161.71501521952</v>
      </c>
      <c r="V30" s="450"/>
      <c r="X30" s="450"/>
      <c r="Y30" s="21"/>
    </row>
    <row r="31" spans="1:25">
      <c r="A31" s="427" t="str">
        <f>'PROPERTY TAX ANALYSIS'!A27</f>
        <v>TY 2032</v>
      </c>
      <c r="B31" s="427" t="str">
        <f>'PROPERTY TAX ANALYSIS'!B27</f>
        <v>FY 2032-33</v>
      </c>
      <c r="C31" s="448">
        <v>597000</v>
      </c>
      <c r="D31" s="448"/>
      <c r="E31" s="447"/>
      <c r="F31" s="448"/>
      <c r="G31" s="448">
        <v>1169125</v>
      </c>
      <c r="H31" s="447"/>
      <c r="I31" s="447">
        <f>IF(I$2=$B32,I$6,IF(I30&lt;&gt;0,IF(COUNTIF(I$20:I30,I$6)&lt;I$5,I$6,0),0))</f>
        <v>0</v>
      </c>
      <c r="J31" s="447">
        <f>IF(J$2=$B31,J$6,IF(J30&lt;&gt;0,IF(COUNTIF(J$20:J30,J$6)&lt;J$5,J$6,0),0))</f>
        <v>0</v>
      </c>
      <c r="K31" s="447">
        <f>IF(K$2=$B31,K$6,IF(K30&lt;&gt;0,IF(COUNTIF(K$20:K30,K$6)&lt;K$5,K$6,0),0))</f>
        <v>0</v>
      </c>
      <c r="L31" s="447">
        <f>IF(L$2=$B31,L$6,IF(L30&lt;&gt;0,IF(COUNTIF(L$20:L30,L$6)&lt;L$5,L$6,0),0))</f>
        <v>1610259.2849847802</v>
      </c>
      <c r="M31" s="447">
        <f>IF(M$2=$B32,M$6,IF(M30&lt;&gt;0,IF(COUNTIF(M$20:M30,M$6)&lt;M$5,M$6,0),0))</f>
        <v>0</v>
      </c>
      <c r="N31" s="447">
        <f>IF(N$2=$B32,N$6,IF(N30&lt;&gt;0,IF(COUNTIF(N$20:N30,N$6)&lt;N$5,N$6,0),0))</f>
        <v>0</v>
      </c>
      <c r="O31" s="447">
        <f>IF(O$2=$B32,O$6,IF(O30&lt;&gt;0,IF(COUNTIF(O$20:O30,O$6)&lt;O$5,O$6,0),0))</f>
        <v>0</v>
      </c>
      <c r="P31" s="447">
        <f>IF(P$2=$B32,P$6,IF(P30&lt;&gt;0,IF(COUNTIF(P$20:P30,P$6)&lt;P$5,P$6,0),0))</f>
        <v>0</v>
      </c>
      <c r="Q31" s="447">
        <f>IF(Q$2=$B32,Q$6,IF(Q30&lt;&gt;0,IF(COUNTIF(Q$20:Q30,Q$6)&lt;Q$5,Q$6,0),0))</f>
        <v>0</v>
      </c>
      <c r="R31" s="447">
        <f>IF(R$2=$B32,R$6,IF(R30&lt;&gt;0,IF(COUNTIF(R$20:R30,R$6)&lt;R$5,R$6,0),0))</f>
        <v>0</v>
      </c>
      <c r="S31" s="447">
        <f t="shared" si="0"/>
        <v>3376384.2849847805</v>
      </c>
      <c r="T31" s="449">
        <f t="shared" si="3"/>
        <v>-2578775</v>
      </c>
      <c r="U31" s="447">
        <f t="shared" si="6"/>
        <v>-183611.71501521952</v>
      </c>
      <c r="V31" s="450"/>
      <c r="X31" s="450"/>
      <c r="Y31" s="21"/>
    </row>
    <row r="32" spans="1:25">
      <c r="A32" s="427" t="str">
        <f>'PROPERTY TAX ANALYSIS'!A28</f>
        <v>TY 2033</v>
      </c>
      <c r="B32" s="427" t="str">
        <f>'PROPERTY TAX ANALYSIS'!B28</f>
        <v>FY 2033-34</v>
      </c>
      <c r="C32" s="448">
        <v>599900</v>
      </c>
      <c r="D32" s="448"/>
      <c r="E32" s="447"/>
      <c r="F32" s="448"/>
      <c r="G32" s="448">
        <v>1170750</v>
      </c>
      <c r="H32" s="447"/>
      <c r="I32" s="447">
        <f>IF(I$2=$B33,I$6,IF(I31&lt;&gt;0,IF(COUNTIF(I$20:I31,I$6)&lt;I$5,I$6,0),0))</f>
        <v>0</v>
      </c>
      <c r="J32" s="447">
        <f>IF(J$2=$B32,J$6,IF(J31&lt;&gt;0,IF(COUNTIF(J$20:J31,J$6)&lt;J$5,J$6,0),0))</f>
        <v>0</v>
      </c>
      <c r="K32" s="447">
        <f>IF(K$2=$B32,K$6,IF(K31&lt;&gt;0,IF(COUNTIF(K$20:K31,K$6)&lt;K$5,K$6,0),0))</f>
        <v>0</v>
      </c>
      <c r="L32" s="447">
        <f>IF(L$2=$B32,L$6,IF(L31&lt;&gt;0,IF(COUNTIF(L$20:L31,L$6)&lt;L$5,L$6,0),0))</f>
        <v>1610259.2849847802</v>
      </c>
      <c r="M32" s="447">
        <f>IF(M$2=$B33,M$6,IF(M31&lt;&gt;0,IF(COUNTIF(M$20:M31,M$6)&lt;M$5,M$6,0),0))</f>
        <v>0</v>
      </c>
      <c r="N32" s="447">
        <f>IF(N$2=$B33,N$6,IF(N31&lt;&gt;0,IF(COUNTIF(N$20:N31,N$6)&lt;N$5,N$6,0),0))</f>
        <v>0</v>
      </c>
      <c r="O32" s="447">
        <f>IF(O$2=$B33,O$6,IF(O31&lt;&gt;0,IF(COUNTIF(O$20:O31,O$6)&lt;O$5,O$6,0),0))</f>
        <v>0</v>
      </c>
      <c r="P32" s="447">
        <f>IF(P$2=$B33,P$6,IF(P31&lt;&gt;0,IF(COUNTIF(P$20:P31,P$6)&lt;P$5,P$6,0),0))</f>
        <v>0</v>
      </c>
      <c r="Q32" s="447">
        <f>IF(Q$2=$B33,Q$6,IF(Q31&lt;&gt;0,IF(COUNTIF(Q$20:Q31,Q$6)&lt;Q$5,Q$6,0),0))</f>
        <v>0</v>
      </c>
      <c r="R32" s="447">
        <f>IF(R$2=$B33,R$6,IF(R31&lt;&gt;0,IF(COUNTIF(R$20:R31,R$6)&lt;R$5,R$6,0),0))</f>
        <v>0</v>
      </c>
      <c r="S32" s="447">
        <f t="shared" si="0"/>
        <v>3380909.2849847805</v>
      </c>
      <c r="T32" s="449">
        <f t="shared" si="3"/>
        <v>-2575875</v>
      </c>
      <c r="U32" s="447">
        <f t="shared" si="6"/>
        <v>-179086.71501521952</v>
      </c>
      <c r="V32" s="450"/>
      <c r="X32" s="450"/>
      <c r="Y32" s="21"/>
    </row>
    <row r="33" spans="1:25">
      <c r="A33" s="427" t="str">
        <f>'PROPERTY TAX ANALYSIS'!A29</f>
        <v>TY 2034</v>
      </c>
      <c r="B33" s="427" t="str">
        <f>'PROPERTY TAX ANALYSIS'!B29</f>
        <v>FY 2034-35</v>
      </c>
      <c r="C33" s="448">
        <v>601800</v>
      </c>
      <c r="D33" s="448">
        <f>C33-C33*'PROPERTY TAX ANALYSIS'!M32</f>
        <v>4513.5</v>
      </c>
      <c r="E33" s="447"/>
      <c r="F33" s="448"/>
      <c r="G33" s="448">
        <v>1170125</v>
      </c>
      <c r="H33" s="447"/>
      <c r="I33" s="447">
        <f>IF(I$2=$B34,I$6,IF(I32&lt;&gt;0,IF(COUNTIF(I$20:I32,I$6)&lt;I$5,I$6,0),0))</f>
        <v>0</v>
      </c>
      <c r="J33" s="447">
        <f>IF(J$2=$B33,J$6,IF(J32&lt;&gt;0,IF(COUNTIF(J$20:J32,J$6)&lt;J$5,J$6,0),0))</f>
        <v>0</v>
      </c>
      <c r="K33" s="447">
        <f>IF(K$2=$B33,K$6,IF(K32&lt;&gt;0,IF(COUNTIF(K$20:K32,K$6)&lt;K$5,K$6,0),0))</f>
        <v>0</v>
      </c>
      <c r="L33" s="447">
        <f>IF(L$2=$B33,L$6,IF(L32&lt;&gt;0,IF(COUNTIF(L$20:L32,L$6)&lt;L$5,L$6,0),0))</f>
        <v>1610259.2849847802</v>
      </c>
      <c r="M33" s="447">
        <f>IF(M$2=$B34,M$6,IF(M32&lt;&gt;0,IF(COUNTIF(M$20:M32,M$6)&lt;M$5,M$6,0),0))</f>
        <v>0</v>
      </c>
      <c r="N33" s="447">
        <f>IF(N$2=$B34,N$6,IF(N32&lt;&gt;0,IF(COUNTIF(N$20:N32,N$6)&lt;N$5,N$6,0),0))</f>
        <v>0</v>
      </c>
      <c r="O33" s="447">
        <f>IF(O$2=$B34,O$6,IF(O32&lt;&gt;0,IF(COUNTIF(O$20:O32,O$6)&lt;O$5,O$6,0),0))</f>
        <v>0</v>
      </c>
      <c r="P33" s="447">
        <f>IF(P$2=$B34,P$6,IF(P32&lt;&gt;0,IF(COUNTIF(P$20:P32,P$6)&lt;P$5,P$6,0),0))</f>
        <v>0</v>
      </c>
      <c r="Q33" s="447">
        <f>IF(Q$2=$B34,Q$6,IF(Q32&lt;&gt;0,IF(COUNTIF(Q$20:Q32,Q$6)&lt;Q$5,Q$6,0),0))</f>
        <v>0</v>
      </c>
      <c r="R33" s="447">
        <f>IF(R$2=$B34,R$6,IF(R32&lt;&gt;0,IF(COUNTIF(R$20:R32,R$6)&lt;R$5,R$6,0),0))</f>
        <v>0</v>
      </c>
      <c r="S33" s="447">
        <f t="shared" si="0"/>
        <v>3386697.7849847805</v>
      </c>
      <c r="T33" s="449">
        <f t="shared" si="3"/>
        <v>-2573975</v>
      </c>
      <c r="U33" s="447">
        <f t="shared" si="6"/>
        <v>-173298.21501521952</v>
      </c>
      <c r="V33" s="450"/>
      <c r="Y33" s="21"/>
    </row>
    <row r="34" spans="1:25">
      <c r="A34" s="427" t="str">
        <f>'PROPERTY TAX ANALYSIS'!A30</f>
        <v>TY 2035</v>
      </c>
      <c r="B34" s="427" t="str">
        <f>'PROPERTY TAX ANALYSIS'!B30</f>
        <v>FY 2035-36</v>
      </c>
      <c r="C34" s="448"/>
      <c r="D34" s="448">
        <f>C34-C34*'PROPERTY TAX ANALYSIS'!M33</f>
        <v>0</v>
      </c>
      <c r="E34" s="447"/>
      <c r="F34" s="448"/>
      <c r="G34" s="448">
        <v>1167250</v>
      </c>
      <c r="H34" s="447"/>
      <c r="I34" s="447">
        <f>IF(I$2=$B35,I$6,IF(I33&lt;&gt;0,IF(COUNTIF(I$20:I33,I$6)&lt;I$5,I$6,0),0))</f>
        <v>0</v>
      </c>
      <c r="J34" s="447">
        <f>IF(J$2=$B34,J$6,IF(J33&lt;&gt;0,IF(COUNTIF(J$20:J33,J$6)&lt;J$5,J$6,0),0))</f>
        <v>0</v>
      </c>
      <c r="K34" s="447">
        <f>IF(K$2=$B34,K$6,IF(K33&lt;&gt;0,IF(COUNTIF(K$20:K33,K$6)&lt;K$5,K$6,0),0))</f>
        <v>0</v>
      </c>
      <c r="L34" s="447">
        <f>IF(L$2=$B34,L$6,IF(L33&lt;&gt;0,IF(COUNTIF(L$20:L33,L$6)&lt;L$5,L$6,0),0))</f>
        <v>1610259.2849847802</v>
      </c>
      <c r="M34" s="447">
        <f>IF(M$2=$B35,M$6,IF(M33&lt;&gt;0,IF(COUNTIF(M$20:M33,M$6)&lt;M$5,M$6,0),0))</f>
        <v>0</v>
      </c>
      <c r="N34" s="447">
        <f>IF(N$2=$B35,N$6,IF(N33&lt;&gt;0,IF(COUNTIF(N$20:N33,N$6)&lt;N$5,N$6,0),0))</f>
        <v>0</v>
      </c>
      <c r="O34" s="447">
        <f>IF(O$2=$B35,O$6,IF(O33&lt;&gt;0,IF(COUNTIF(O$20:O33,O$6)&lt;O$5,O$6,0),0))</f>
        <v>0</v>
      </c>
      <c r="P34" s="447">
        <f>IF(P$2=$B35,P$6,IF(P33&lt;&gt;0,IF(COUNTIF(P$20:P33,P$6)&lt;P$5,P$6,0),0))</f>
        <v>0</v>
      </c>
      <c r="Q34" s="447">
        <f>IF(Q$2=$B35,Q$6,IF(Q33&lt;&gt;0,IF(COUNTIF(Q$20:Q33,Q$6)&lt;Q$5,Q$6,0),0))</f>
        <v>0</v>
      </c>
      <c r="R34" s="447">
        <f>IF(R$2=$B35,R$6,IF(R33&lt;&gt;0,IF(COUNTIF(R$20:R33,R$6)&lt;R$5,R$6,0),0))</f>
        <v>0</v>
      </c>
      <c r="S34" s="447">
        <f t="shared" si="0"/>
        <v>2777509.2849847805</v>
      </c>
      <c r="T34" s="449">
        <f>C34-$C$21</f>
        <v>-3175775</v>
      </c>
      <c r="U34" s="447">
        <f t="shared" si="6"/>
        <v>-782486.71501521952</v>
      </c>
      <c r="V34" s="450"/>
      <c r="Y34" s="21"/>
    </row>
    <row r="35" spans="1:25">
      <c r="A35" s="427" t="str">
        <f>'PROPERTY TAX ANALYSIS'!A31</f>
        <v>TY 2036</v>
      </c>
      <c r="B35" s="427" t="str">
        <f>'PROPERTY TAX ANALYSIS'!B31</f>
        <v>FY 2036-37</v>
      </c>
      <c r="C35" s="448">
        <v>0</v>
      </c>
      <c r="D35" s="448">
        <f>C35-C35*'PROPERTY TAX ANALYSIS'!M34</f>
        <v>0</v>
      </c>
      <c r="E35" s="447"/>
      <c r="F35" s="448"/>
      <c r="G35" s="448">
        <v>1167000</v>
      </c>
      <c r="H35" s="447"/>
      <c r="I35" s="447">
        <f>IF(I$2=$B36,I$6,IF(I34&lt;&gt;0,IF(COUNTIF(I$20:I34,I$6)&lt;I$5,I$6,0),0))</f>
        <v>0</v>
      </c>
      <c r="J35" s="447">
        <f>IF(J$2=$B35,J$6,IF(J34&lt;&gt;0,IF(COUNTIF(J$20:J34,J$6)&lt;J$5,J$6,0),0))</f>
        <v>0</v>
      </c>
      <c r="K35" s="447">
        <f>IF(K$2=$B35,K$6,IF(K34&lt;&gt;0,IF(COUNTIF(K$20:K34,K$6)&lt;K$5,K$6,0),0))</f>
        <v>0</v>
      </c>
      <c r="L35" s="447">
        <f>IF(L$2=$B35,L$6,IF(L34&lt;&gt;0,IF(COUNTIF(L$20:L34,L$6)&lt;L$5,L$6,0),0))</f>
        <v>1610259.2849847802</v>
      </c>
      <c r="M35" s="447">
        <f>IF(M$2=$B36,M$6,IF(M34&lt;&gt;0,IF(COUNTIF(M$20:M34,M$6)&lt;M$5,M$6,0),0))</f>
        <v>0</v>
      </c>
      <c r="N35" s="447">
        <f>IF(N$2=$B36,N$6,IF(N34&lt;&gt;0,IF(COUNTIF(N$20:N34,N$6)&lt;N$5,N$6,0),0))</f>
        <v>0</v>
      </c>
      <c r="O35" s="447">
        <f>IF(O$2=$B36,O$6,IF(O34&lt;&gt;0,IF(COUNTIF(O$20:O34,O$6)&lt;O$5,O$6,0),0))</f>
        <v>0</v>
      </c>
      <c r="P35" s="447">
        <f>IF(P$2=$B36,P$6,IF(P34&lt;&gt;0,IF(COUNTIF(P$20:P34,P$6)&lt;P$5,P$6,0),0))</f>
        <v>0</v>
      </c>
      <c r="Q35" s="447">
        <f>IF(Q$2=$B36,Q$6,IF(Q34&lt;&gt;0,IF(COUNTIF(Q$20:Q34,Q$6)&lt;Q$5,Q$6,0),0))</f>
        <v>0</v>
      </c>
      <c r="R35" s="447">
        <f>IF(R$2=$B36,R$6,IF(R34&lt;&gt;0,IF(COUNTIF(R$20:R34,R$6)&lt;R$5,R$6,0),0))</f>
        <v>0</v>
      </c>
      <c r="S35" s="447">
        <f t="shared" si="0"/>
        <v>2777259.2849847805</v>
      </c>
      <c r="T35" s="449">
        <f t="shared" ref="T35:T42" si="7">C35-$C$21</f>
        <v>-3175775</v>
      </c>
      <c r="U35" s="447">
        <f t="shared" si="6"/>
        <v>-782736.71501521952</v>
      </c>
      <c r="V35" s="450"/>
      <c r="Y35" s="21"/>
    </row>
    <row r="36" spans="1:25">
      <c r="A36" s="427" t="str">
        <f>'PROPERTY TAX ANALYSIS'!A32</f>
        <v>TY 2037</v>
      </c>
      <c r="B36" s="427" t="str">
        <f>'PROPERTY TAX ANALYSIS'!B32</f>
        <v>FY 2037-38</v>
      </c>
      <c r="C36" s="448">
        <v>0</v>
      </c>
      <c r="D36" s="448">
        <f>C36-C36*'PROPERTY TAX ANALYSIS'!M35</f>
        <v>0</v>
      </c>
      <c r="E36" s="447"/>
      <c r="F36" s="448"/>
      <c r="G36" s="448">
        <v>1169125</v>
      </c>
      <c r="H36" s="447"/>
      <c r="I36" s="447">
        <f>IF(I$2=$B37,I$6,IF(I35&lt;&gt;0,IF(COUNTIF(I$20:I35,I$6)&lt;I$5,I$6,0),0))</f>
        <v>0</v>
      </c>
      <c r="J36" s="447">
        <f>IF(J$2=$B36,J$6,IF(J35&lt;&gt;0,IF(COUNTIF(J$20:J35,J$6)&lt;J$5,J$6,0),0))</f>
        <v>0</v>
      </c>
      <c r="K36" s="447">
        <f>IF(K$2=$B36,K$6,IF(K35&lt;&gt;0,IF(COUNTIF(K$20:K35,K$6)&lt;K$5,K$6,0),0))</f>
        <v>0</v>
      </c>
      <c r="L36" s="447">
        <f>IF(L$2=$B36,L$6,IF(L35&lt;&gt;0,IF(COUNTIF(L$20:L35,L$6)&lt;L$5,L$6,0),0))</f>
        <v>1610259.2849847802</v>
      </c>
      <c r="M36" s="447">
        <f>IF(M$2=$B37,M$6,IF(M35&lt;&gt;0,IF(COUNTIF(M$20:M35,M$6)&lt;M$5,M$6,0),0))</f>
        <v>0</v>
      </c>
      <c r="N36" s="447">
        <f>IF(N$2=$B37,N$6,IF(N35&lt;&gt;0,IF(COUNTIF(N$20:N35,N$6)&lt;N$5,N$6,0),0))</f>
        <v>0</v>
      </c>
      <c r="O36" s="447">
        <f>IF(O$2=$B37,O$6,IF(O35&lt;&gt;0,IF(COUNTIF(O$20:O35,O$6)&lt;O$5,O$6,0),0))</f>
        <v>0</v>
      </c>
      <c r="P36" s="447">
        <f>IF(P$2=$B37,P$6,IF(P35&lt;&gt;0,IF(COUNTIF(P$20:P35,P$6)&lt;P$5,P$6,0),0))</f>
        <v>0</v>
      </c>
      <c r="Q36" s="447">
        <f>IF(Q$2=$B37,Q$6,IF(Q35&lt;&gt;0,IF(COUNTIF(Q$20:Q35,Q$6)&lt;Q$5,Q$6,0),0))</f>
        <v>0</v>
      </c>
      <c r="R36" s="447">
        <f>IF(R$2=$B37,R$6,IF(R35&lt;&gt;0,IF(COUNTIF(R$20:R35,R$6)&lt;R$5,R$6,0),0))</f>
        <v>0</v>
      </c>
      <c r="S36" s="447">
        <f t="shared" si="0"/>
        <v>2779384.2849847805</v>
      </c>
      <c r="T36" s="449">
        <f t="shared" si="7"/>
        <v>-3175775</v>
      </c>
      <c r="U36" s="447">
        <f t="shared" si="6"/>
        <v>-780611.71501521952</v>
      </c>
      <c r="V36" s="450"/>
      <c r="Y36" s="21"/>
    </row>
    <row r="37" spans="1:25">
      <c r="A37" s="427" t="str">
        <f>'PROPERTY TAX ANALYSIS'!A33</f>
        <v>TY 2038</v>
      </c>
      <c r="B37" s="427" t="str">
        <f>'PROPERTY TAX ANALYSIS'!B33</f>
        <v>FY 2038-39</v>
      </c>
      <c r="C37" s="448">
        <v>0</v>
      </c>
      <c r="D37" s="448">
        <f>C37-C37*'PROPERTY TAX ANALYSIS'!M36</f>
        <v>0</v>
      </c>
      <c r="E37" s="447"/>
      <c r="F37" s="448"/>
      <c r="G37" s="448">
        <v>1168500</v>
      </c>
      <c r="H37" s="447"/>
      <c r="I37" s="447">
        <f>IF(I$2=$B38,I$6,IF(I36&lt;&gt;0,IF(COUNTIF(I$20:I36,I$6)&lt;I$5,I$6,0),0))</f>
        <v>0</v>
      </c>
      <c r="J37" s="447">
        <f>IF(J$2=$B37,J$6,IF(J36&lt;&gt;0,IF(COUNTIF(J$20:J36,J$6)&lt;J$5,J$6,0),0))</f>
        <v>0</v>
      </c>
      <c r="K37" s="447">
        <f>IF(K$2=$B37,K$6,IF(K36&lt;&gt;0,IF(COUNTIF(K$20:K36,K$6)&lt;K$5,K$6,0),0))</f>
        <v>0</v>
      </c>
      <c r="L37" s="447">
        <f>IF(L$2=$B37,L$6,IF(L36&lt;&gt;0,IF(COUNTIF(L$20:L36,L$6)&lt;L$5,L$6,0),0))</f>
        <v>1610259.2849847802</v>
      </c>
      <c r="M37" s="447">
        <f>IF(M$2=$B38,M$6,IF(M36&lt;&gt;0,IF(COUNTIF(M$20:M36,M$6)&lt;M$5,M$6,0),0))</f>
        <v>0</v>
      </c>
      <c r="N37" s="447">
        <f>IF(N$2=$B38,N$6,IF(N36&lt;&gt;0,IF(COUNTIF(N$20:N36,N$6)&lt;N$5,N$6,0),0))</f>
        <v>0</v>
      </c>
      <c r="O37" s="447">
        <f>IF(O$2=$B38,O$6,IF(O36&lt;&gt;0,IF(COUNTIF(O$20:O36,O$6)&lt;O$5,O$6,0),0))</f>
        <v>0</v>
      </c>
      <c r="P37" s="447">
        <f>IF(P$2=$B38,P$6,IF(P36&lt;&gt;0,IF(COUNTIF(P$20:P36,P$6)&lt;P$5,P$6,0),0))</f>
        <v>0</v>
      </c>
      <c r="Q37" s="447">
        <f>IF(Q$2=$B38,Q$6,IF(Q36&lt;&gt;0,IF(COUNTIF(Q$20:Q36,Q$6)&lt;Q$5,Q$6,0),0))</f>
        <v>0</v>
      </c>
      <c r="R37" s="447">
        <f>IF(R$2=$B38,R$6,IF(R36&lt;&gt;0,IF(COUNTIF(R$20:R36,R$6)&lt;R$5,R$6,0),0))</f>
        <v>0</v>
      </c>
      <c r="S37" s="447">
        <f t="shared" si="0"/>
        <v>2778759.2849847805</v>
      </c>
      <c r="T37" s="449">
        <f t="shared" si="7"/>
        <v>-3175775</v>
      </c>
      <c r="U37" s="447">
        <f t="shared" si="6"/>
        <v>-781236.71501521952</v>
      </c>
      <c r="Y37" s="21"/>
    </row>
    <row r="38" spans="1:25">
      <c r="A38" s="427" t="str">
        <f>'PROPERTY TAX ANALYSIS'!A34</f>
        <v>TY 2039</v>
      </c>
      <c r="B38" s="427" t="str">
        <f>'PROPERTY TAX ANALYSIS'!B34</f>
        <v>FY 2039-40</v>
      </c>
      <c r="C38" s="448">
        <v>0</v>
      </c>
      <c r="D38" s="448">
        <f>C38-C38*'PROPERTY TAX ANALYSIS'!M37</f>
        <v>0</v>
      </c>
      <c r="E38" s="447"/>
      <c r="F38" s="448"/>
      <c r="G38" s="448"/>
      <c r="H38" s="447"/>
      <c r="I38" s="447">
        <f>IF(I$2=$B39,I$6,IF(I37&lt;&gt;0,IF(COUNTIF(I$20:I37,I$6)&lt;I$5,I$6,0),0))</f>
        <v>0</v>
      </c>
      <c r="J38" s="447">
        <f>IF(J$2=$B38,J$6,IF(J37&lt;&gt;0,IF(COUNTIF(J$20:J37,J$6)&lt;J$5,J$6,0),0))</f>
        <v>0</v>
      </c>
      <c r="K38" s="447">
        <f>IF(K$2=$B38,K$6,IF(K37&lt;&gt;0,IF(COUNTIF(K$20:K37,K$6)&lt;K$5,K$6,0),0))</f>
        <v>0</v>
      </c>
      <c r="L38" s="447">
        <f>IF(L$2=$B38,L$6,IF(L37&lt;&gt;0,IF(COUNTIF(L$20:L37,L$6)&lt;L$5,L$6,0),0))</f>
        <v>1610259.2849847802</v>
      </c>
      <c r="M38" s="447">
        <f>IF(M$2=$B39,M$6,IF(M37&lt;&gt;0,IF(COUNTIF(M$20:M37,M$6)&lt;M$5,M$6,0),0))</f>
        <v>0</v>
      </c>
      <c r="N38" s="447">
        <f>IF(N$2=$B39,N$6,IF(N37&lt;&gt;0,IF(COUNTIF(N$20:N37,N$6)&lt;N$5,N$6,0),0))</f>
        <v>0</v>
      </c>
      <c r="O38" s="447">
        <f>IF(O$2=$B39,O$6,IF(O37&lt;&gt;0,IF(COUNTIF(O$20:O37,O$6)&lt;O$5,O$6,0),0))</f>
        <v>0</v>
      </c>
      <c r="P38" s="447">
        <f>IF(P$2=$B39,P$6,IF(P37&lt;&gt;0,IF(COUNTIF(P$20:P37,P$6)&lt;P$5,P$6,0),0))</f>
        <v>0</v>
      </c>
      <c r="Q38" s="447">
        <f>IF(Q$2=$B39,Q$6,IF(Q37&lt;&gt;0,IF(COUNTIF(Q$20:Q37,Q$6)&lt;Q$5,Q$6,0),0))</f>
        <v>0</v>
      </c>
      <c r="R38" s="447">
        <f>IF(R$2=$B39,R$6,IF(R37&lt;&gt;0,IF(COUNTIF(R$20:R37,R$6)&lt;R$5,R$6,0),0))</f>
        <v>0</v>
      </c>
      <c r="S38" s="447">
        <f t="shared" si="0"/>
        <v>1610259.2849847802</v>
      </c>
      <c r="T38" s="449">
        <f t="shared" si="7"/>
        <v>-3175775</v>
      </c>
      <c r="U38" s="447">
        <f t="shared" si="6"/>
        <v>-1949736.7150152198</v>
      </c>
      <c r="V38" s="450"/>
      <c r="Y38" s="21"/>
    </row>
    <row r="39" spans="1:25">
      <c r="A39" s="427" t="str">
        <f>'PROPERTY TAX ANALYSIS'!A35</f>
        <v>TY 2040</v>
      </c>
      <c r="B39" s="427" t="str">
        <f>'PROPERTY TAX ANALYSIS'!B35</f>
        <v>FY 2040-41</v>
      </c>
      <c r="C39" s="448">
        <v>0</v>
      </c>
      <c r="D39" s="448">
        <f>C39-C39*'PROPERTY TAX ANALYSIS'!M38</f>
        <v>0</v>
      </c>
      <c r="E39" s="447"/>
      <c r="F39" s="448"/>
      <c r="G39" s="448"/>
      <c r="H39" s="447"/>
      <c r="I39" s="447">
        <f>IF(I$2=$B40,I$6,IF(I38&lt;&gt;0,IF(COUNTIF(I$20:I38,I$6)&lt;I$5,I$6,0),0))</f>
        <v>0</v>
      </c>
      <c r="J39" s="447">
        <f>IF(J$2=$B39,J$6,IF(J38&lt;&gt;0,IF(COUNTIF(J$20:J38,J$6)&lt;J$5,J$6,0),0))</f>
        <v>0</v>
      </c>
      <c r="K39" s="447">
        <f>IF(K$2=$B39,K$6,IF(K38&lt;&gt;0,IF(COUNTIF(K$20:K38,K$6)&lt;K$5,K$6,0),0))</f>
        <v>0</v>
      </c>
      <c r="L39" s="447">
        <f>IF(L$2=$B39,L$6,IF(L38&lt;&gt;0,IF(COUNTIF(L$20:L38,L$6)&lt;L$5,L$6,0),0))</f>
        <v>1610259.2849847802</v>
      </c>
      <c r="M39" s="447">
        <f>IF(M$2=$B40,M$6,IF(M38&lt;&gt;0,IF(COUNTIF(M$20:M38,M$6)&lt;M$5,M$6,0),0))</f>
        <v>0</v>
      </c>
      <c r="N39" s="447">
        <f>IF(N$2=$B40,N$6,IF(N38&lt;&gt;0,IF(COUNTIF(N$20:N38,N$6)&lt;N$5,N$6,0),0))</f>
        <v>0</v>
      </c>
      <c r="O39" s="447">
        <f>IF(O$2=$B40,O$6,IF(O38&lt;&gt;0,IF(COUNTIF(O$20:O38,O$6)&lt;O$5,O$6,0),0))</f>
        <v>0</v>
      </c>
      <c r="P39" s="447">
        <f>IF(P$2=$B40,P$6,IF(P38&lt;&gt;0,IF(COUNTIF(P$20:P38,P$6)&lt;P$5,P$6,0),0))</f>
        <v>0</v>
      </c>
      <c r="Q39" s="447">
        <f>IF(Q$2=$B40,Q$6,IF(Q38&lt;&gt;0,IF(COUNTIF(Q$20:Q38,Q$6)&lt;Q$5,Q$6,0),0))</f>
        <v>0</v>
      </c>
      <c r="R39" s="447">
        <f>IF(R$2=$B40,R$6,IF(R38&lt;&gt;0,IF(COUNTIF(R$20:R38,R$6)&lt;R$5,R$6,0),0))</f>
        <v>0</v>
      </c>
      <c r="S39" s="447">
        <f t="shared" si="0"/>
        <v>1610259.2849847802</v>
      </c>
      <c r="T39" s="449">
        <f t="shared" si="7"/>
        <v>-3175775</v>
      </c>
      <c r="U39" s="447">
        <f t="shared" si="6"/>
        <v>-1949736.7150152198</v>
      </c>
      <c r="V39" s="450"/>
      <c r="Y39" s="21"/>
    </row>
    <row r="40" spans="1:25">
      <c r="A40" s="427" t="str">
        <f>'PROPERTY TAX ANALYSIS'!A36</f>
        <v>TY 2041</v>
      </c>
      <c r="B40" s="427" t="str">
        <f>'PROPERTY TAX ANALYSIS'!B36</f>
        <v>FY 2041-42</v>
      </c>
      <c r="C40" s="448">
        <v>0</v>
      </c>
      <c r="D40" s="448">
        <f>C40-C40*'PROPERTY TAX ANALYSIS'!M39</f>
        <v>0</v>
      </c>
      <c r="E40" s="447"/>
      <c r="F40" s="448"/>
      <c r="G40" s="448"/>
      <c r="H40" s="447"/>
      <c r="I40" s="447">
        <f>IF(I$2=$B41,I$6,IF(I39&lt;&gt;0,IF(COUNTIF(I$20:I39,I$6)&lt;I$5,I$6,0),0))</f>
        <v>0</v>
      </c>
      <c r="J40" s="447">
        <f>IF(J$2=$B40,J$6,IF(J39&lt;&gt;0,IF(COUNTIF(J$20:J39,J$6)&lt;J$5,J$6,0),0))</f>
        <v>0</v>
      </c>
      <c r="K40" s="447">
        <f>IF(K$2=$B40,K$6,IF(K39&lt;&gt;0,IF(COUNTIF(K$20:K39,K$6)&lt;K$5,K$6,0),0))</f>
        <v>0</v>
      </c>
      <c r="L40" s="447">
        <f>IF(L$2=$B40,L$6,IF(L39&lt;&gt;0,IF(COUNTIF(L$20:L39,L$6)&lt;L$5,L$6,0),0))</f>
        <v>1610259.2849847802</v>
      </c>
      <c r="M40" s="447">
        <f>IF(M$2=$B41,M$6,IF(M39&lt;&gt;0,IF(COUNTIF(M$20:M39,M$6)&lt;M$5,M$6,0),0))</f>
        <v>0</v>
      </c>
      <c r="N40" s="447">
        <f>IF(N$2=$B41,N$6,IF(N39&lt;&gt;0,IF(COUNTIF(N$20:N39,N$6)&lt;N$5,N$6,0),0))</f>
        <v>0</v>
      </c>
      <c r="O40" s="447">
        <f>IF(O$2=$B41,O$6,IF(O39&lt;&gt;0,IF(COUNTIF(O$20:O39,O$6)&lt;O$5,O$6,0),0))</f>
        <v>0</v>
      </c>
      <c r="P40" s="447">
        <f>IF(P$2=$B41,P$6,IF(P39&lt;&gt;0,IF(COUNTIF(P$20:P39,P$6)&lt;P$5,P$6,0),0))</f>
        <v>0</v>
      </c>
      <c r="Q40" s="447">
        <f>IF(Q$2=$B41,Q$6,IF(Q39&lt;&gt;0,IF(COUNTIF(Q$20:Q39,Q$6)&lt;Q$5,Q$6,0),0))</f>
        <v>0</v>
      </c>
      <c r="R40" s="447">
        <f>IF(R$2=$B41,R$6,IF(R39&lt;&gt;0,IF(COUNTIF(R$20:R39,R$6)&lt;R$5,R$6,0),0))</f>
        <v>0</v>
      </c>
      <c r="S40" s="447">
        <f t="shared" si="0"/>
        <v>1610259.2849847802</v>
      </c>
      <c r="T40" s="449">
        <f t="shared" si="7"/>
        <v>-3175775</v>
      </c>
      <c r="U40" s="447">
        <f t="shared" si="6"/>
        <v>-1949736.7150152198</v>
      </c>
      <c r="V40" s="450"/>
      <c r="Y40" s="21"/>
    </row>
    <row r="41" spans="1:25">
      <c r="A41" s="427" t="str">
        <f>'PROPERTY TAX ANALYSIS'!A37</f>
        <v>TY 2042</v>
      </c>
      <c r="B41" s="427" t="str">
        <f>'PROPERTY TAX ANALYSIS'!B37</f>
        <v>FY 2042-43</v>
      </c>
      <c r="C41" s="448">
        <v>0</v>
      </c>
      <c r="D41" s="448">
        <f>C41-C41*'PROPERTY TAX ANALYSIS'!M40</f>
        <v>0</v>
      </c>
      <c r="E41" s="447"/>
      <c r="F41" s="448"/>
      <c r="G41" s="448"/>
      <c r="H41" s="447"/>
      <c r="I41" s="447">
        <f>IF(I$2=$B42,I$6,IF(I40&lt;&gt;0,IF(COUNTIF(I$20:I40,I$6)&lt;I$5,I$6,0),0))</f>
        <v>0</v>
      </c>
      <c r="J41" s="447">
        <f>IF(J$2=$B41,J$6,IF(J40&lt;&gt;0,IF(COUNTIF(J$20:J40,J$6)&lt;J$5,J$6,0),0))</f>
        <v>0</v>
      </c>
      <c r="K41" s="447">
        <f>IF(K$2=$B41,K$6,IF(K40&lt;&gt;0,IF(COUNTIF(K$20:K40,K$6)&lt;K$5,K$6,0),0))</f>
        <v>0</v>
      </c>
      <c r="L41" s="447">
        <f>IF(L$2=$B41,L$6,IF(L40&lt;&gt;0,IF(COUNTIF(L$20:L40,L$6)&lt;L$5,L$6,0),0))</f>
        <v>1610259.2849847802</v>
      </c>
      <c r="M41" s="447">
        <f>IF(M$2=$B42,M$6,IF(M40&lt;&gt;0,IF(COUNTIF(M$20:M40,M$6)&lt;M$5,M$6,0),0))</f>
        <v>0</v>
      </c>
      <c r="N41" s="447">
        <f>IF(N$2=$B42,N$6,IF(N40&lt;&gt;0,IF(COUNTIF(N$20:N40,N$6)&lt;N$5,N$6,0),0))</f>
        <v>0</v>
      </c>
      <c r="O41" s="447">
        <f>IF(O$2=$B42,O$6,IF(O40&lt;&gt;0,IF(COUNTIF(O$20:O40,O$6)&lt;O$5,O$6,0),0))</f>
        <v>0</v>
      </c>
      <c r="P41" s="447">
        <f>IF(P$2=$B42,P$6,IF(P40&lt;&gt;0,IF(COUNTIF(P$20:P40,P$6)&lt;P$5,P$6,0),0))</f>
        <v>0</v>
      </c>
      <c r="Q41" s="447">
        <f>IF(Q$2=$B42,Q$6,IF(Q40&lt;&gt;0,IF(COUNTIF(Q$20:Q40,Q$6)&lt;Q$5,Q$6,0),0))</f>
        <v>0</v>
      </c>
      <c r="R41" s="447">
        <f>IF(R$2=$B42,R$6,IF(R40&lt;&gt;0,IF(COUNTIF(R$20:R40,R$6)&lt;R$5,R$6,0),0))</f>
        <v>0</v>
      </c>
      <c r="S41" s="447">
        <f t="shared" si="0"/>
        <v>1610259.2849847802</v>
      </c>
      <c r="T41" s="449">
        <f t="shared" si="7"/>
        <v>-3175775</v>
      </c>
      <c r="U41" s="447">
        <f t="shared" si="6"/>
        <v>-1949736.7150152198</v>
      </c>
      <c r="V41" s="450"/>
      <c r="Y41" s="21"/>
    </row>
    <row r="42" spans="1:25">
      <c r="A42" s="427" t="str">
        <f>'PROPERTY TAX ANALYSIS'!A38</f>
        <v>TY 2043</v>
      </c>
      <c r="B42" s="427" t="str">
        <f>'PROPERTY TAX ANALYSIS'!B38</f>
        <v>FY 2043-44</v>
      </c>
      <c r="C42" s="448">
        <v>0</v>
      </c>
      <c r="D42" s="448">
        <f>C42-C42*'PROPERTY TAX ANALYSIS'!M41</f>
        <v>0</v>
      </c>
      <c r="E42" s="447"/>
      <c r="F42" s="448"/>
      <c r="G42" s="448"/>
      <c r="H42" s="447"/>
      <c r="I42" s="447">
        <f>IF(I$2=$B43,I$6,IF(I41&lt;&gt;0,IF(COUNTIF(I$20:I41,I$6)&lt;I$5,I$6,0),0))</f>
        <v>0</v>
      </c>
      <c r="J42" s="447">
        <f>IF(J$2=$B42,J$6,IF(J41&lt;&gt;0,IF(COUNTIF(J$20:J41,J$6)&lt;J$5,J$6,0),0))</f>
        <v>0</v>
      </c>
      <c r="K42" s="447">
        <f>IF(K$2=$B42,K$6,IF(K41&lt;&gt;0,IF(COUNTIF(K$20:K41,K$6)&lt;K$5,K$6,0),0))</f>
        <v>0</v>
      </c>
      <c r="L42" s="447">
        <f>IF(L$2=$B42,L$6,IF(L41&lt;&gt;0,IF(COUNTIF(L$20:L41,L$6)&lt;L$5,L$6,0),0))</f>
        <v>0</v>
      </c>
      <c r="M42" s="447">
        <f>IF(M$2=$B43,M$6,IF(M41&lt;&gt;0,IF(COUNTIF(M$20:M41,M$6)&lt;M$5,M$6,0),0))</f>
        <v>0</v>
      </c>
      <c r="N42" s="447">
        <f>IF(N$2=$B43,N$6,IF(N41&lt;&gt;0,IF(COUNTIF(N$20:N41,N$6)&lt;N$5,N$6,0),0))</f>
        <v>0</v>
      </c>
      <c r="O42" s="447">
        <f>IF(O$2=$B43,O$6,IF(O41&lt;&gt;0,IF(COUNTIF(O$20:O41,O$6)&lt;O$5,O$6,0),0))</f>
        <v>0</v>
      </c>
      <c r="P42" s="447">
        <f>IF(P$2=$B43,P$6,IF(P41&lt;&gt;0,IF(COUNTIF(P$20:P41,P$6)&lt;P$5,P$6,0),0))</f>
        <v>0</v>
      </c>
      <c r="Q42" s="447">
        <f>IF(Q$2=$B43,Q$6,IF(Q41&lt;&gt;0,IF(COUNTIF(Q$20:Q41,Q$6)&lt;Q$5,Q$6,0),0))</f>
        <v>0</v>
      </c>
      <c r="R42" s="447">
        <f>IF(R$2=$B43,R$6,IF(R41&lt;&gt;0,IF(COUNTIF(R$20:R41,R$6)&lt;R$5,R$6,0),0))</f>
        <v>0</v>
      </c>
      <c r="S42" s="447">
        <f t="shared" si="0"/>
        <v>0</v>
      </c>
      <c r="T42" s="449">
        <f t="shared" si="7"/>
        <v>-3175775</v>
      </c>
      <c r="U42" s="447">
        <f t="shared" si="6"/>
        <v>-3559996</v>
      </c>
      <c r="Y42" s="21"/>
    </row>
    <row r="43" spans="1:25">
      <c r="A43" s="427" t="str">
        <f>'PROPERTY TAX ANALYSIS'!A39</f>
        <v>TY 2044</v>
      </c>
      <c r="B43" s="427" t="str">
        <f>'PROPERTY TAX ANALYSIS'!B39</f>
        <v>FY 2044-45</v>
      </c>
      <c r="C43" s="448">
        <v>0</v>
      </c>
      <c r="D43" s="448">
        <f>C43-C43*'PROPERTY TAX ANALYSIS'!M42</f>
        <v>0</v>
      </c>
      <c r="E43" s="447"/>
      <c r="F43" s="448"/>
      <c r="G43" s="448"/>
      <c r="H43" s="447"/>
      <c r="I43" s="447">
        <f>IF(I$2=$B44,I$6,IF(I42&lt;&gt;0,IF(COUNTIF(I$20:I42,I$6)&lt;I$5,I$6,0),0))</f>
        <v>0</v>
      </c>
      <c r="J43" s="447">
        <f>IF(J$2=$B43,J$6,IF(J42&lt;&gt;0,IF(COUNTIF(J$20:J42,J$6)&lt;J$5,J$6,0),0))</f>
        <v>0</v>
      </c>
      <c r="K43" s="447">
        <f>IF(K$2=$B43,K$6,IF(K42&lt;&gt;0,IF(COUNTIF(K$20:K42,K$6)&lt;K$5,K$6,0),0))</f>
        <v>0</v>
      </c>
      <c r="L43" s="447">
        <f>IF(L$2=$B43,L$6,IF(L42&lt;&gt;0,IF(COUNTIF(L$20:L42,L$6)&lt;L$5,L$6,0),0))</f>
        <v>0</v>
      </c>
      <c r="M43" s="447">
        <f>IF(M$2=$B44,M$6,IF(M42&lt;&gt;0,IF(COUNTIF(M$20:M42,M$6)&lt;M$5,M$6,0),0))</f>
        <v>0</v>
      </c>
      <c r="N43" s="447">
        <f>IF(N$2=$B44,N$6,IF(N42&lt;&gt;0,IF(COUNTIF(N$20:N42,N$6)&lt;N$5,N$6,0),0))</f>
        <v>0</v>
      </c>
      <c r="O43" s="447">
        <f>IF(O$2=$B44,O$6,IF(O42&lt;&gt;0,IF(COUNTIF(O$20:O42,O$6)&lt;O$5,O$6,0),0))</f>
        <v>0</v>
      </c>
      <c r="P43" s="447">
        <f>IF(P$2=$B44,P$6,IF(P42&lt;&gt;0,IF(COUNTIF(P$20:P42,P$6)&lt;P$5,P$6,0),0))</f>
        <v>0</v>
      </c>
      <c r="Q43" s="447">
        <f>IF(Q$2=$B44,Q$6,IF(Q42&lt;&gt;0,IF(COUNTIF(Q$20:Q42,Q$6)&lt;Q$5,Q$6,0),0))</f>
        <v>0</v>
      </c>
      <c r="R43" s="447">
        <f>IF(R$2=$B44,R$6,IF(R42&lt;&gt;0,IF(COUNTIF(R$20:R42,R$6)&lt;R$5,R$6,0),0))</f>
        <v>0</v>
      </c>
      <c r="S43" s="447">
        <f t="shared" ref="S43" si="8">SUM(C43:R43)</f>
        <v>0</v>
      </c>
      <c r="T43" s="449">
        <f>C44-$C$21</f>
        <v>-3175775</v>
      </c>
      <c r="U43" s="447">
        <f t="shared" si="6"/>
        <v>-3559996</v>
      </c>
      <c r="Y43" s="21"/>
    </row>
    <row r="44" spans="1:25">
      <c r="A44" s="427" t="str">
        <f>'PROPERTY TAX ANALYSIS'!A40</f>
        <v>TY 2045</v>
      </c>
      <c r="B44" s="427" t="str">
        <f>'PROPERTY TAX ANALYSIS'!B40</f>
        <v>FY 2045-46</v>
      </c>
      <c r="C44" s="448">
        <v>0</v>
      </c>
      <c r="D44" s="448">
        <f>C44-C44*'PROPERTY TAX ANALYSIS'!M42</f>
        <v>0</v>
      </c>
      <c r="E44" s="447"/>
      <c r="F44" s="448"/>
      <c r="G44" s="448"/>
      <c r="H44" s="447"/>
      <c r="I44" s="447">
        <f>IF(I$2=$B44,I$6,IF(I42&lt;&gt;0,IF(COUNTIF(I$20:I42,I$6)&lt;I$5,I$6,0),0))</f>
        <v>0</v>
      </c>
      <c r="J44" s="447">
        <f>IF(J$2=$B43,J$6,IF(J42&lt;&gt;0,IF(COUNTIF(J$20:J42,J$6)&lt;J$5,J$6,0),0))</f>
        <v>0</v>
      </c>
      <c r="K44" s="447">
        <f>IF(K$2=$B43,K$6,IF(K42&lt;&gt;0,IF(COUNTIF(K$20:K42,K$6)&lt;K$5,K$6,0),0))</f>
        <v>0</v>
      </c>
      <c r="L44" s="447">
        <f>IF(L$2=$B43,L$6,IF(L42&lt;&gt;0,IF(COUNTIF(L$20:L42,L$6)&lt;L$5,L$6,0),0))</f>
        <v>0</v>
      </c>
      <c r="M44" s="447">
        <f>IF(M$2=$B44,M$6,IF(M42&lt;&gt;0,IF(COUNTIF(M$20:M42,M$6)&lt;M$5,M$6,0),0))</f>
        <v>0</v>
      </c>
      <c r="N44" s="447">
        <f>IF(N$2=$B44,N$6,IF(N42&lt;&gt;0,IF(COUNTIF(N$20:N42,N$6)&lt;N$5,N$6,0),0))</f>
        <v>0</v>
      </c>
      <c r="O44" s="447">
        <f>IF(O$2=$B44,O$6,IF(O42&lt;&gt;0,IF(COUNTIF(O$20:O42,O$6)&lt;O$5,O$6,0),0))</f>
        <v>0</v>
      </c>
      <c r="P44" s="447">
        <f>IF(P$2=$B44,P$6,IF(P42&lt;&gt;0,IF(COUNTIF(P$20:P42,P$6)&lt;P$5,P$6,0),0))</f>
        <v>0</v>
      </c>
      <c r="Q44" s="447">
        <f>IF(Q$2=$B44,Q$6,IF(Q42&lt;&gt;0,IF(COUNTIF(Q$20:Q42,Q$6)&lt;Q$5,Q$6,0),0))</f>
        <v>0</v>
      </c>
      <c r="R44" s="447">
        <f>IF(R$2=$B44,R$6,IF(R42&lt;&gt;0,IF(COUNTIF(R$20:R42,R$6)&lt;R$5,R$6,0),0))</f>
        <v>0</v>
      </c>
      <c r="S44" s="447">
        <f t="shared" si="0"/>
        <v>0</v>
      </c>
    </row>
    <row r="45" spans="1:25">
      <c r="A45" s="427" t="str">
        <f>'PROPERTY TAX ANALYSIS'!A41</f>
        <v>TY 2046</v>
      </c>
      <c r="B45" s="427" t="str">
        <f>'PROPERTY TAX ANALYSIS'!B41</f>
        <v>FY 2046-47</v>
      </c>
      <c r="C45" s="448">
        <v>0</v>
      </c>
      <c r="D45" s="448">
        <f>C45-C45*'PROPERTY TAX ANALYSIS'!M43</f>
        <v>0</v>
      </c>
      <c r="E45" s="447"/>
      <c r="F45" s="448"/>
      <c r="G45" s="448"/>
      <c r="H45" s="447"/>
      <c r="I45" s="447">
        <f>IF(I$2=$B45,I$6,IF(I43&lt;&gt;0,IF(COUNTIF(I$20:I43,I$6)&lt;I$5,I$6,0),0))</f>
        <v>0</v>
      </c>
      <c r="J45" s="447">
        <f>IF(J$2=$B44,J$6,IF(J43&lt;&gt;0,IF(COUNTIF(J$20:J43,J$6)&lt;J$5,J$6,0),0))</f>
        <v>0</v>
      </c>
      <c r="K45" s="447">
        <f>IF(K$2=$B44,K$6,IF(K43&lt;&gt;0,IF(COUNTIF(K$20:K43,K$6)&lt;K$5,K$6,0),0))</f>
        <v>0</v>
      </c>
      <c r="L45" s="447">
        <f>IF(L$2=$B45,L$6,IF(L44&lt;&gt;0,IF(COUNTIF(L$20:L44,L$6)&lt;L$5,L$6,0),0))</f>
        <v>0</v>
      </c>
      <c r="M45" s="447">
        <f>IF(M$2=$B45,M$6,IF(M43&lt;&gt;0,IF(COUNTIF(M$20:M43,M$6)&lt;M$5,M$6,0),0))</f>
        <v>0</v>
      </c>
      <c r="N45" s="447">
        <f>IF(N$2=$B45,N$6,IF(N43&lt;&gt;0,IF(COUNTIF(N$20:N43,N$6)&lt;N$5,N$6,0),0))</f>
        <v>0</v>
      </c>
      <c r="O45" s="447">
        <f>IF(O$2=$B45,O$6,IF(O43&lt;&gt;0,IF(COUNTIF(O$20:O43,O$6)&lt;O$5,O$6,0),0))</f>
        <v>0</v>
      </c>
      <c r="P45" s="447">
        <f>IF(P$2=$B45,P$6,IF(P43&lt;&gt;0,IF(COUNTIF(P$20:P43,P$6)&lt;P$5,P$6,0),0))</f>
        <v>0</v>
      </c>
      <c r="Q45" s="447">
        <f>IF(Q$2=$B45,Q$6,IF(Q43&lt;&gt;0,IF(COUNTIF(Q$20:Q43,Q$6)&lt;Q$5,Q$6,0),0))</f>
        <v>0</v>
      </c>
      <c r="R45" s="447">
        <f>IF(R$2=$B45,R$6,IF(R43&lt;&gt;0,IF(COUNTIF(R$20:R43,R$6)&lt;R$5,R$6,0),0))</f>
        <v>0</v>
      </c>
      <c r="S45" s="447">
        <f t="shared" ref="S45" si="9">SUM(C45:R45)</f>
        <v>0</v>
      </c>
    </row>
    <row r="46" spans="1:25" ht="14.25" customHeight="1">
      <c r="A46" s="451"/>
      <c r="B46" s="452"/>
      <c r="C46" s="453">
        <f>SUM(C12:C44)</f>
        <v>43784035.443787508</v>
      </c>
      <c r="D46" s="453"/>
      <c r="E46" s="454"/>
      <c r="F46" s="454"/>
      <c r="G46" s="454"/>
      <c r="H46" s="454"/>
      <c r="I46" s="454"/>
      <c r="J46" s="454"/>
      <c r="K46" s="454"/>
      <c r="L46" s="454"/>
      <c r="M46" s="454"/>
      <c r="N46" s="454"/>
      <c r="O46" s="454"/>
      <c r="P46" s="454"/>
      <c r="Q46" s="454"/>
      <c r="R46" s="454"/>
      <c r="S46" s="455"/>
    </row>
    <row r="47" spans="1:25">
      <c r="S47" s="449"/>
    </row>
    <row r="48" spans="1:25">
      <c r="A48" s="427" t="s">
        <v>1077</v>
      </c>
      <c r="C48" s="449">
        <f>C23-C34</f>
        <v>1890700</v>
      </c>
      <c r="E48" s="438"/>
      <c r="I48" s="427">
        <f t="shared" ref="I48:R48" si="10">COUNTIF(I$9:I$44,I6)</f>
        <v>35</v>
      </c>
      <c r="J48" s="427">
        <f t="shared" si="10"/>
        <v>34</v>
      </c>
      <c r="K48" s="427">
        <f t="shared" si="10"/>
        <v>34</v>
      </c>
      <c r="L48" s="427">
        <f t="shared" si="10"/>
        <v>15</v>
      </c>
      <c r="M48" s="427">
        <f t="shared" si="10"/>
        <v>30</v>
      </c>
      <c r="N48" s="427">
        <f t="shared" si="10"/>
        <v>35</v>
      </c>
      <c r="O48" s="427">
        <f t="shared" si="10"/>
        <v>35</v>
      </c>
      <c r="P48" s="427">
        <f t="shared" si="10"/>
        <v>35</v>
      </c>
      <c r="Q48" s="427">
        <f t="shared" si="10"/>
        <v>35</v>
      </c>
      <c r="R48" s="427">
        <f t="shared" si="10"/>
        <v>35</v>
      </c>
      <c r="S48" s="449"/>
    </row>
    <row r="49" spans="1:19">
      <c r="A49" s="427" t="s">
        <v>1022</v>
      </c>
      <c r="E49" s="438"/>
      <c r="I49" s="456">
        <f t="shared" ref="I49:R49" si="11">I48-I5</f>
        <v>20</v>
      </c>
      <c r="J49" s="456">
        <f t="shared" si="11"/>
        <v>19</v>
      </c>
      <c r="K49" s="456">
        <f t="shared" si="11"/>
        <v>19</v>
      </c>
      <c r="L49" s="456">
        <f t="shared" si="11"/>
        <v>0</v>
      </c>
      <c r="M49" s="456">
        <f t="shared" si="11"/>
        <v>30</v>
      </c>
      <c r="N49" s="456">
        <f t="shared" si="11"/>
        <v>35</v>
      </c>
      <c r="O49" s="456">
        <f t="shared" si="11"/>
        <v>35</v>
      </c>
      <c r="P49" s="456">
        <f t="shared" si="11"/>
        <v>35</v>
      </c>
      <c r="Q49" s="456">
        <f t="shared" si="11"/>
        <v>35</v>
      </c>
      <c r="R49" s="456">
        <f t="shared" si="11"/>
        <v>35</v>
      </c>
      <c r="S49" s="449"/>
    </row>
    <row r="50" spans="1:19">
      <c r="E50" s="438"/>
      <c r="S50" s="449"/>
    </row>
    <row r="51" spans="1:19">
      <c r="S51" s="449"/>
    </row>
    <row r="52" spans="1:19">
      <c r="S52" s="449"/>
    </row>
    <row r="109" spans="5:5">
      <c r="E109" s="427" t="e">
        <f>E108/E103</f>
        <v>#DIV/0!</v>
      </c>
    </row>
  </sheetData>
  <mergeCells count="1">
    <mergeCell ref="A1:T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9">
    <tabColor theme="6" tint="0.39997558519241921"/>
  </sheetPr>
  <dimension ref="A1:BG4814"/>
  <sheetViews>
    <sheetView view="pageBreakPreview" zoomScale="80" zoomScaleNormal="85" zoomScaleSheetLayoutView="80" workbookViewId="0">
      <pane xSplit="8" ySplit="5" topLeftCell="AA6" activePane="bottomRight" state="frozen"/>
      <selection pane="topRight" activeCell="I1" sqref="I1"/>
      <selection pane="bottomLeft" activeCell="A6" sqref="A6"/>
      <selection pane="bottomRight" activeCell="AE14" sqref="AE14"/>
    </sheetView>
  </sheetViews>
  <sheetFormatPr defaultColWidth="8.88671875" defaultRowHeight="13.8"/>
  <cols>
    <col min="1" max="1" width="30.33203125" style="105" customWidth="1"/>
    <col min="2" max="2" width="12.33203125" style="105" customWidth="1"/>
    <col min="3" max="4" width="18.88671875" style="105" customWidth="1"/>
    <col min="5" max="5" width="23.6640625" style="105" customWidth="1"/>
    <col min="6" max="6" width="6.109375" style="103" customWidth="1"/>
    <col min="7" max="7" width="20.109375" style="103" customWidth="1"/>
    <col min="8" max="8" width="35.109375" style="95" customWidth="1"/>
    <col min="9" max="11" width="15.88671875" style="245" hidden="1" customWidth="1"/>
    <col min="12" max="12" width="15.88671875" style="245" customWidth="1"/>
    <col min="13" max="13" width="17.109375" style="245" customWidth="1"/>
    <col min="14" max="15" width="16.88671875" style="96" customWidth="1"/>
    <col min="16" max="16" width="14.88671875" style="96" customWidth="1"/>
    <col min="17" max="17" width="16.109375" style="212" customWidth="1"/>
    <col min="18" max="18" width="14" style="212" customWidth="1"/>
    <col min="19" max="19" width="13.109375" style="212" customWidth="1"/>
    <col min="20" max="20" width="16" style="212" customWidth="1"/>
    <col min="21" max="21" width="12.109375" style="246" customWidth="1"/>
    <col min="22" max="22" width="12.88671875" style="246" customWidth="1"/>
    <col min="23" max="25" width="26.88671875" style="104" customWidth="1"/>
    <col min="26" max="26" width="28.88671875" style="192" customWidth="1"/>
    <col min="27" max="27" width="32" style="611" customWidth="1"/>
    <col min="28" max="28" width="31.88671875" style="307" customWidth="1"/>
    <col min="29" max="29" width="27" style="307" customWidth="1"/>
    <col min="30" max="30" width="30.88671875" style="307" customWidth="1"/>
    <col min="31" max="31" width="23.44140625" style="307" customWidth="1"/>
    <col min="32" max="32" width="33.33203125" style="307" customWidth="1"/>
    <col min="33" max="33" width="31.44140625" style="307" customWidth="1"/>
    <col min="34" max="34" width="18" style="307" customWidth="1"/>
    <col min="35" max="35" width="16.109375" style="307" customWidth="1"/>
    <col min="36" max="36" width="22.109375" style="307" customWidth="1"/>
    <col min="37" max="37" width="20.109375" style="307" customWidth="1"/>
    <col min="38" max="38" width="19" style="307" customWidth="1"/>
    <col min="39" max="39" width="22.109375" style="307" customWidth="1"/>
    <col min="40" max="40" width="20.88671875" style="307" customWidth="1"/>
    <col min="41" max="41" width="17.88671875" style="192" customWidth="1"/>
    <col min="42" max="42" width="22.109375" style="192" customWidth="1"/>
    <col min="43" max="43" width="26.109375" style="192" customWidth="1"/>
    <col min="44" max="44" width="21.44140625" style="115" customWidth="1"/>
    <col min="45" max="45" width="13.109375" style="115" customWidth="1"/>
    <col min="46" max="46" width="12.88671875" style="115" customWidth="1"/>
    <col min="47" max="47" width="12.44140625" style="115" customWidth="1"/>
    <col min="48" max="53" width="8.88671875" style="115" customWidth="1"/>
    <col min="54" max="59" width="8.88671875" style="115"/>
    <col min="60" max="16384" width="8.88671875" style="68"/>
  </cols>
  <sheetData>
    <row r="1" spans="1:59" ht="18" customHeight="1" thickBot="1">
      <c r="H1" s="671" t="str">
        <f>A2&amp;" GENERAL FUND WORKING BUDGET"</f>
        <v>FY 2024-25 GENERAL FUND WORKING BUDGET</v>
      </c>
      <c r="I1" s="672"/>
      <c r="J1" s="673"/>
      <c r="K1" s="672"/>
      <c r="L1" s="672"/>
      <c r="M1" s="673"/>
      <c r="N1" s="672"/>
      <c r="O1" s="673"/>
      <c r="P1" s="673"/>
      <c r="Q1" s="673"/>
      <c r="R1" s="673"/>
      <c r="S1" s="717"/>
      <c r="T1" s="674"/>
      <c r="U1" s="291"/>
      <c r="V1" s="291"/>
      <c r="W1" s="718" t="s">
        <v>38</v>
      </c>
      <c r="X1" s="719"/>
      <c r="Y1" s="719"/>
      <c r="Z1" s="720"/>
      <c r="AA1" s="610"/>
      <c r="AH1" s="620"/>
      <c r="BG1" s="68"/>
    </row>
    <row r="2" spans="1:59" ht="18" customHeight="1" thickBot="1">
      <c r="A2" s="46" t="s">
        <v>1107</v>
      </c>
      <c r="B2" s="46"/>
      <c r="C2" s="46"/>
      <c r="D2" s="46"/>
      <c r="E2" s="46">
        <v>45000</v>
      </c>
      <c r="H2" s="675"/>
      <c r="I2" s="676"/>
      <c r="J2" s="676"/>
      <c r="K2" s="676"/>
      <c r="L2" s="676"/>
      <c r="M2" s="676"/>
      <c r="N2" s="676"/>
      <c r="O2" s="676"/>
      <c r="P2" s="676"/>
      <c r="Q2" s="676"/>
      <c r="R2" s="676"/>
      <c r="S2" s="676"/>
      <c r="T2" s="677"/>
      <c r="U2" s="292"/>
      <c r="V2" s="292"/>
      <c r="W2" s="718" t="s">
        <v>61</v>
      </c>
      <c r="X2" s="719"/>
      <c r="Y2" s="719"/>
      <c r="Z2" s="720"/>
      <c r="AA2" s="610"/>
      <c r="AH2" s="620"/>
      <c r="BG2" s="68"/>
    </row>
    <row r="3" spans="1:59" ht="18" customHeight="1" thickBot="1">
      <c r="A3" s="47"/>
      <c r="B3" s="46"/>
      <c r="C3" s="46"/>
      <c r="D3" s="46"/>
      <c r="E3" s="46">
        <f>E2/1900</f>
        <v>23.684210526315791</v>
      </c>
      <c r="H3" s="678"/>
      <c r="I3" s="679"/>
      <c r="J3" s="679"/>
      <c r="K3" s="679"/>
      <c r="L3" s="679"/>
      <c r="M3" s="679"/>
      <c r="N3" s="679"/>
      <c r="O3" s="679"/>
      <c r="P3" s="679"/>
      <c r="Q3" s="679"/>
      <c r="R3" s="679"/>
      <c r="S3" s="679"/>
      <c r="T3" s="680"/>
      <c r="U3" s="293"/>
      <c r="V3" s="293"/>
      <c r="W3" s="718" t="s">
        <v>62</v>
      </c>
      <c r="X3" s="719"/>
      <c r="Y3" s="719"/>
      <c r="Z3" s="720"/>
      <c r="AA3" s="610"/>
      <c r="BG3" s="68"/>
    </row>
    <row r="4" spans="1:59" ht="15.75" customHeight="1" thickBot="1">
      <c r="A4" s="48"/>
      <c r="B4" s="48"/>
      <c r="C4" s="48"/>
      <c r="D4" s="48"/>
      <c r="E4" s="48"/>
      <c r="H4" s="86"/>
      <c r="I4" s="86">
        <v>-5</v>
      </c>
      <c r="J4" s="86">
        <v>-4</v>
      </c>
      <c r="K4" s="86">
        <v>-3</v>
      </c>
      <c r="L4" s="86">
        <v>-2</v>
      </c>
      <c r="M4" s="86">
        <v>-1</v>
      </c>
      <c r="N4" s="87"/>
      <c r="O4" s="87"/>
      <c r="P4" s="87"/>
      <c r="Q4" s="86"/>
      <c r="R4" s="86"/>
      <c r="S4" s="86"/>
      <c r="T4" s="86"/>
      <c r="U4" s="86"/>
      <c r="V4" s="86"/>
    </row>
    <row r="5" spans="1:59" s="61" customFormat="1" ht="70.349999999999994" customHeight="1" thickBot="1">
      <c r="A5" s="205"/>
      <c r="B5" s="206"/>
      <c r="C5" s="206"/>
      <c r="D5" s="206"/>
      <c r="E5" s="206"/>
      <c r="F5" s="207"/>
      <c r="G5" s="207"/>
      <c r="H5" s="487" t="s">
        <v>47</v>
      </c>
      <c r="I5" s="466" t="str">
        <f>"FY "&amp;MID('General Fund Line-Item Details'!$A$2,4,4)+I4&amp;"-"&amp;RIGHT('General Fund Line-Item Details'!$A$2,2)+I4&amp;" Actual"</f>
        <v>FY 2019-20 Actual</v>
      </c>
      <c r="J5" s="466" t="str">
        <f>"FY "&amp;MID('General Fund Line-Item Details'!$A$2,4,4)+J4&amp;"-"&amp;RIGHT('General Fund Line-Item Details'!$A$2,2)+J4&amp;" Actual"</f>
        <v>FY 2020-21 Actual</v>
      </c>
      <c r="K5" s="466" t="str">
        <f>"FY "&amp;MID('General Fund Line-Item Details'!$A$2,4,4)+K4&amp;"-"&amp;RIGHT('General Fund Line-Item Details'!$A$2,2)+K4&amp;" Actual"</f>
        <v>FY 2021-22 Actual</v>
      </c>
      <c r="L5" s="466" t="str">
        <f>"FY "&amp;MID('General Fund Line-Item Details'!$A$2,4,4)+L4&amp;"-"&amp;RIGHT('General Fund Line-Item Details'!$A$2,2)+L4&amp;" Actual"</f>
        <v>FY 2022-23 Actual</v>
      </c>
      <c r="M5" s="466" t="str">
        <f>"FY "&amp;MID('General Fund Line-Item Details'!$A$2,4,4)+M4&amp;"-"&amp;RIGHT('General Fund Line-Item Details'!$A$2,2)+M4&amp;" Budget"</f>
        <v>FY 2023-24 Budget</v>
      </c>
      <c r="N5" s="466" t="str">
        <f>LEFT(M5,10)&amp;" 
YTD"</f>
        <v>FY 2023-24 
YTD</v>
      </c>
      <c r="O5" s="466" t="str">
        <f>LEFT(M5,10)&amp;" 
YE Proj."</f>
        <v>FY 2023-24 
YE Proj.</v>
      </c>
      <c r="P5" s="466" t="s">
        <v>745</v>
      </c>
      <c r="Q5" s="467" t="str">
        <f>A2&amp;" 
Base"</f>
        <v>FY 2024-25 
Base</v>
      </c>
      <c r="R5" s="467" t="str">
        <f>$A$2&amp;" ATB"</f>
        <v>FY 2024-25 ATB</v>
      </c>
      <c r="S5" s="467" t="str">
        <f>$A$2&amp;" 
Enct."</f>
        <v>FY 2024-25 
Enct.</v>
      </c>
      <c r="T5" s="571" t="str">
        <f>A2&amp;" 
Proposed Budget"</f>
        <v>FY 2024-25 
Proposed Budget</v>
      </c>
      <c r="U5" s="250" t="s">
        <v>760</v>
      </c>
      <c r="V5" s="250" t="s">
        <v>761</v>
      </c>
      <c r="W5" s="209"/>
      <c r="X5" s="320" t="str">
        <f>A2&amp;" One-Time Costs"</f>
        <v>FY 2024-25 One-Time Costs</v>
      </c>
      <c r="Y5" s="475" t="s">
        <v>3559</v>
      </c>
      <c r="Z5" s="612" t="s">
        <v>3536</v>
      </c>
      <c r="AA5" s="612"/>
      <c r="AB5" s="612" t="s">
        <v>3537</v>
      </c>
      <c r="AC5" s="612" t="s">
        <v>3538</v>
      </c>
      <c r="AD5" s="612"/>
      <c r="AE5" s="612" t="s">
        <v>3539</v>
      </c>
      <c r="AF5" s="612" t="s">
        <v>3540</v>
      </c>
      <c r="AG5" s="612"/>
      <c r="AH5" s="612" t="s">
        <v>3541</v>
      </c>
      <c r="AI5" s="612" t="s">
        <v>3542</v>
      </c>
      <c r="AJ5" s="612"/>
      <c r="AK5" s="612" t="s">
        <v>3543</v>
      </c>
      <c r="AL5" s="612" t="s">
        <v>3544</v>
      </c>
      <c r="AM5" s="612"/>
      <c r="AN5" s="612" t="s">
        <v>3545</v>
      </c>
      <c r="AO5" s="307"/>
      <c r="AP5" s="307"/>
      <c r="AQ5" s="307"/>
      <c r="AR5" s="121"/>
      <c r="AS5" s="121"/>
      <c r="AT5" s="121"/>
      <c r="AU5" s="121"/>
      <c r="AV5" s="115"/>
      <c r="AW5" s="115"/>
      <c r="AX5" s="115"/>
      <c r="AY5" s="115"/>
      <c r="AZ5" s="115"/>
      <c r="BA5" s="115"/>
      <c r="BB5" s="115"/>
      <c r="BC5" s="115"/>
      <c r="BD5" s="115"/>
      <c r="BE5" s="60"/>
      <c r="BF5" s="60"/>
      <c r="BG5" s="60"/>
    </row>
    <row r="6" spans="1:59" ht="15" customHeight="1" thickBot="1">
      <c r="A6" s="210">
        <v>1</v>
      </c>
      <c r="B6" s="211">
        <f>A6+1</f>
        <v>2</v>
      </c>
      <c r="C6" s="211">
        <f t="shared" ref="C6:T6" si="0">B6+1</f>
        <v>3</v>
      </c>
      <c r="D6" s="211">
        <f t="shared" si="0"/>
        <v>4</v>
      </c>
      <c r="E6" s="211">
        <f t="shared" si="0"/>
        <v>5</v>
      </c>
      <c r="F6" s="211">
        <f t="shared" si="0"/>
        <v>6</v>
      </c>
      <c r="G6" s="211">
        <f t="shared" si="0"/>
        <v>7</v>
      </c>
      <c r="H6" s="211">
        <f t="shared" si="0"/>
        <v>8</v>
      </c>
      <c r="I6" s="211">
        <f t="shared" si="0"/>
        <v>9</v>
      </c>
      <c r="J6" s="211">
        <f t="shared" si="0"/>
        <v>10</v>
      </c>
      <c r="K6" s="211">
        <f t="shared" si="0"/>
        <v>11</v>
      </c>
      <c r="L6" s="211">
        <f t="shared" si="0"/>
        <v>12</v>
      </c>
      <c r="M6" s="211">
        <f t="shared" si="0"/>
        <v>13</v>
      </c>
      <c r="N6" s="211">
        <f t="shared" si="0"/>
        <v>14</v>
      </c>
      <c r="O6" s="211">
        <f t="shared" si="0"/>
        <v>15</v>
      </c>
      <c r="P6" s="211">
        <f t="shared" si="0"/>
        <v>16</v>
      </c>
      <c r="Q6" s="211">
        <f t="shared" si="0"/>
        <v>17</v>
      </c>
      <c r="R6" s="211">
        <f t="shared" si="0"/>
        <v>18</v>
      </c>
      <c r="S6" s="211">
        <f t="shared" si="0"/>
        <v>19</v>
      </c>
      <c r="T6" s="211">
        <f t="shared" si="0"/>
        <v>20</v>
      </c>
      <c r="U6" s="211"/>
      <c r="V6" s="211"/>
      <c r="W6" s="211"/>
      <c r="X6" s="211"/>
      <c r="Y6" s="211"/>
      <c r="Z6" s="613">
        <f t="shared" ref="Z6" si="1">W6+1</f>
        <v>1</v>
      </c>
      <c r="AA6" s="613"/>
    </row>
    <row r="7" spans="1:59" ht="15" customHeight="1">
      <c r="A7" s="211"/>
      <c r="B7" s="211"/>
      <c r="C7" s="211"/>
      <c r="D7" s="211"/>
      <c r="E7" s="211"/>
      <c r="F7" s="211"/>
      <c r="G7" s="211"/>
      <c r="H7" s="213"/>
      <c r="I7" s="582">
        <f t="shared" ref="I7" si="2">I14/I96</f>
        <v>0.18105175224923059</v>
      </c>
      <c r="J7" s="582">
        <f>J14/J96</f>
        <v>0.19273227928179301</v>
      </c>
      <c r="K7" s="582">
        <f>K14/K96</f>
        <v>0.20882852042482886</v>
      </c>
      <c r="L7" s="582">
        <f>L14/L96</f>
        <v>0.20816075279375515</v>
      </c>
      <c r="M7" s="582">
        <f>M14/M96</f>
        <v>0.21258629525408052</v>
      </c>
      <c r="N7" s="582"/>
      <c r="O7" s="582">
        <f>O14/O96</f>
        <v>0.20428586201375454</v>
      </c>
      <c r="P7" s="213"/>
      <c r="Q7" s="582">
        <f>Q14/Q96</f>
        <v>0.20481458993532756</v>
      </c>
      <c r="R7" s="213"/>
      <c r="S7" s="213"/>
      <c r="T7" s="213"/>
      <c r="U7" s="211"/>
      <c r="V7" s="211"/>
      <c r="W7" s="211"/>
      <c r="X7" s="211"/>
      <c r="Y7" s="211"/>
      <c r="Z7" s="613"/>
      <c r="AA7" s="613"/>
    </row>
    <row r="8" spans="1:59" ht="15" customHeight="1" thickBot="1">
      <c r="A8" s="213"/>
      <c r="B8" s="213"/>
      <c r="C8" s="213"/>
      <c r="D8" s="213"/>
      <c r="E8" s="213"/>
      <c r="H8" s="327">
        <v>2</v>
      </c>
      <c r="I8" s="581">
        <f t="shared" ref="I8:K8" si="3">I10/I96</f>
        <v>0.49328155693512976</v>
      </c>
      <c r="J8" s="581">
        <f t="shared" si="3"/>
        <v>0.48371533472951417</v>
      </c>
      <c r="K8" s="581">
        <f t="shared" si="3"/>
        <v>0.46311173651799331</v>
      </c>
      <c r="L8" s="581">
        <f t="shared" ref="L8" si="4">L10/L96</f>
        <v>0.44104805573546757</v>
      </c>
      <c r="M8" s="581">
        <f>M10/M96</f>
        <v>0.4516001750060411</v>
      </c>
      <c r="N8" s="581"/>
      <c r="O8" s="581">
        <f>O10/O96</f>
        <v>0.43396744332182297</v>
      </c>
      <c r="P8" s="332"/>
      <c r="Q8" s="581">
        <f>Q10/Q96</f>
        <v>0.44466124712600669</v>
      </c>
      <c r="R8" s="331">
        <f>Import!L2</f>
        <v>12</v>
      </c>
      <c r="S8" s="331">
        <f>Import!M2</f>
        <v>13</v>
      </c>
      <c r="T8" s="331">
        <f>Import!N2</f>
        <v>14</v>
      </c>
      <c r="U8" s="328"/>
      <c r="V8" s="328"/>
      <c r="AB8" s="307" t="s">
        <v>1090</v>
      </c>
    </row>
    <row r="9" spans="1:59" s="75" customFormat="1" ht="15" customHeight="1" thickBot="1">
      <c r="A9" s="215"/>
      <c r="B9" s="215"/>
      <c r="C9" s="215"/>
      <c r="D9" s="215"/>
      <c r="E9" s="215"/>
      <c r="F9" s="216"/>
      <c r="G9" s="216"/>
      <c r="H9" s="683" t="s">
        <v>9</v>
      </c>
      <c r="I9" s="684"/>
      <c r="J9" s="684"/>
      <c r="K9" s="684"/>
      <c r="L9" s="684"/>
      <c r="M9" s="684"/>
      <c r="N9" s="684"/>
      <c r="O9" s="684"/>
      <c r="P9" s="684"/>
      <c r="Q9" s="684"/>
      <c r="R9" s="684"/>
      <c r="S9" s="684"/>
      <c r="T9" s="685"/>
      <c r="U9" s="251"/>
      <c r="V9" s="251"/>
      <c r="W9" s="319" t="s">
        <v>810</v>
      </c>
      <c r="X9" s="320" t="str">
        <f>A2&amp;" One-Time Costs"</f>
        <v>FY 2024-25 One-Time Costs</v>
      </c>
      <c r="Y9" s="475" t="s">
        <v>3559</v>
      </c>
      <c r="Z9" s="614"/>
      <c r="AA9" s="320"/>
      <c r="AB9" s="307"/>
      <c r="AC9" s="307"/>
      <c r="AD9" s="307"/>
      <c r="AE9" s="307"/>
      <c r="AF9" s="307"/>
      <c r="AG9" s="307"/>
      <c r="AH9" s="307"/>
      <c r="AI9" s="307"/>
      <c r="AJ9" s="307"/>
      <c r="AK9" s="307"/>
      <c r="AL9" s="307"/>
      <c r="AM9" s="307"/>
      <c r="AN9" s="307"/>
      <c r="AO9" s="192"/>
      <c r="AP9" s="192"/>
      <c r="AQ9" s="192"/>
      <c r="AR9" s="115"/>
      <c r="AS9" s="115"/>
      <c r="AT9" s="115"/>
      <c r="AU9" s="115"/>
      <c r="AV9" s="115"/>
      <c r="AW9" s="115"/>
      <c r="AX9" s="115"/>
      <c r="AY9" s="115"/>
      <c r="AZ9" s="115"/>
      <c r="BA9" s="115"/>
      <c r="BB9" s="115"/>
      <c r="BC9" s="115"/>
      <c r="BD9" s="115"/>
      <c r="BE9" s="74"/>
      <c r="BF9" s="74"/>
      <c r="BG9" s="74"/>
    </row>
    <row r="10" spans="1:59" ht="15" customHeight="1">
      <c r="A10" s="555" t="s">
        <v>2177</v>
      </c>
      <c r="B10" s="217" t="str">
        <f t="shared" ref="B10" si="5">LEFT(A10,3)</f>
        <v>100</v>
      </c>
      <c r="C10" s="217" t="str">
        <f>MID(A10,5,2)</f>
        <v>00</v>
      </c>
      <c r="D10" s="101" t="str">
        <f>MID(A10,8,3)</f>
        <v>000</v>
      </c>
      <c r="E10" s="217" t="str">
        <f>LEFT(A10,10)</f>
        <v>100-00-000</v>
      </c>
      <c r="F10" s="294" t="str">
        <f>RIGHT(A10,5)</f>
        <v>40010</v>
      </c>
      <c r="G10" s="295" t="str">
        <f>VLOOKUP(F10,'GL Category'!A:C,3,FALSE)</f>
        <v>PROPERTY TAX</v>
      </c>
      <c r="H10" s="98" t="str">
        <f>VLOOKUP(F10,'GL Category'!A:C,2,FALSE)</f>
        <v>CURRENT TAXES</v>
      </c>
      <c r="I10" s="99">
        <f>SUMIF(Import!$B:$B,$A10,Import!D:D)</f>
        <v>-19709904.359999999</v>
      </c>
      <c r="J10" s="99">
        <f>SUMIF(Import!$B:$B,$A10,Import!E:E)</f>
        <v>-20259418.16</v>
      </c>
      <c r="K10" s="99">
        <f>SUMIF(Import!$B:$B,$A10,Import!F:F)</f>
        <v>-20203573.920000002</v>
      </c>
      <c r="L10" s="99">
        <f>SUMIF(Import!$B:$B,$A10,Import!G:G)</f>
        <v>-19992159.91</v>
      </c>
      <c r="M10" s="99">
        <f>SUMIF(Import!$B:$B,$A10,Import!H:H)</f>
        <v>-19929589</v>
      </c>
      <c r="N10" s="99">
        <f>SUMIF(Import!$B:$B,$A10,Import!I:I)</f>
        <v>-19760182.390000001</v>
      </c>
      <c r="O10" s="99">
        <f>SUMIF(Import!$B:$B,$A10,Import!J:J)</f>
        <v>-19929589</v>
      </c>
      <c r="P10" s="99">
        <f>O10-M10</f>
        <v>0</v>
      </c>
      <c r="Q10" s="99">
        <f>-'PROPERTY TAX ANALYSIS'!O19</f>
        <v>-20367977</v>
      </c>
      <c r="R10" s="99">
        <f>IF(IFERROR(VLOOKUP($A10,Import!$B:$N,R$8,FALSE),"NA")="NA",0,VLOOKUP($A10,Import!$B:$N,R$8,FALSE))</f>
        <v>0</v>
      </c>
      <c r="S10" s="99">
        <f>SUMIF(Import!$B:$B,$A10,Import!M:M)</f>
        <v>0</v>
      </c>
      <c r="T10" s="99">
        <f>Q10+R10+S10</f>
        <v>-20367977</v>
      </c>
      <c r="U10" s="99">
        <f>T10-M10</f>
        <v>-438388</v>
      </c>
      <c r="V10" s="255">
        <f>IF(M10=0,"N/A",T10/M10-1)</f>
        <v>2.199684097850696E-2</v>
      </c>
      <c r="W10" s="102" t="s">
        <v>2177</v>
      </c>
      <c r="X10" s="102"/>
      <c r="Y10" s="102">
        <f>T12-X10</f>
        <v>0</v>
      </c>
      <c r="Z10" s="309">
        <f>-'PROPERTY TAX ANALYSIS'!O20</f>
        <v>-20639943</v>
      </c>
      <c r="AA10" s="615"/>
      <c r="AB10" s="622">
        <f>Z10+AA10</f>
        <v>-20639943</v>
      </c>
      <c r="AC10" s="633">
        <f>-'PROPERTY TAX ANALYSIS'!O21</f>
        <v>-20869559</v>
      </c>
      <c r="AE10" s="622">
        <f>AC10+AD10</f>
        <v>-20869559</v>
      </c>
      <c r="AF10" s="633">
        <f>-'PROPERTY TAX ANALYSIS'!O22</f>
        <v>-21117094</v>
      </c>
      <c r="AH10" s="622">
        <f>AF10+AG10</f>
        <v>-21117094</v>
      </c>
      <c r="AI10" s="633">
        <f>-'PROPERTY TAX ANALYSIS'!O23</f>
        <v>-21295628</v>
      </c>
      <c r="AK10" s="622">
        <f>AI10+AJ10</f>
        <v>-21295628</v>
      </c>
      <c r="AL10" s="633">
        <f>-'PROPERTY TAX ANALYSIS'!O24</f>
        <v>-21906047</v>
      </c>
      <c r="AN10" s="622">
        <f>AL10+AM10</f>
        <v>-21906047</v>
      </c>
    </row>
    <row r="11" spans="1:59" ht="15" customHeight="1">
      <c r="A11" s="555" t="s">
        <v>2178</v>
      </c>
      <c r="B11" s="217" t="str">
        <f t="shared" ref="B11:B67" si="6">LEFT(A11,3)</f>
        <v>100</v>
      </c>
      <c r="C11" s="217" t="str">
        <f t="shared" ref="C11:C67" si="7">MID(A11,5,2)</f>
        <v>00</v>
      </c>
      <c r="D11" s="101" t="str">
        <f t="shared" ref="D11:D67" si="8">MID(A11,8,3)</f>
        <v>000</v>
      </c>
      <c r="E11" s="217" t="str">
        <f t="shared" ref="E11:E67" si="9">LEFT(A11,10)</f>
        <v>100-00-000</v>
      </c>
      <c r="F11" s="294" t="str">
        <f t="shared" ref="F11:F67" si="10">RIGHT(A11,5)</f>
        <v>40020</v>
      </c>
      <c r="G11" s="295" t="str">
        <f>VLOOKUP(F11,'GL Category'!A:C,3,FALSE)</f>
        <v>PROPERTY TAX</v>
      </c>
      <c r="H11" s="98" t="str">
        <f>VLOOKUP(F11,'GL Category'!A:C,2,FALSE)</f>
        <v>DELINQUENT TAXES</v>
      </c>
      <c r="I11" s="99">
        <f>SUMIF(Import!$B:$B,$A11,Import!D:D)</f>
        <v>-32057</v>
      </c>
      <c r="J11" s="99">
        <f>SUMIF(Import!$B:$B,$A11,Import!E:E)</f>
        <v>-64226.92</v>
      </c>
      <c r="K11" s="99">
        <f>SUMIF(Import!$B:$B,$A11,Import!F:F)</f>
        <v>-25693.48</v>
      </c>
      <c r="L11" s="99">
        <f>SUMIF(Import!$B:$B,$A11,Import!G:G)</f>
        <v>-455.27</v>
      </c>
      <c r="M11" s="99">
        <f>SUMIF(Import!$B:$B,$A11,Import!H:H)</f>
        <v>-51354</v>
      </c>
      <c r="N11" s="99">
        <f>SUMIF(Import!$B:$B,$A11,Import!I:I)</f>
        <v>103598.04</v>
      </c>
      <c r="O11" s="99">
        <f>SUMIF(Import!$B:$B,$A11,Import!J:J)</f>
        <v>-51354</v>
      </c>
      <c r="P11" s="99">
        <f>O11-M11</f>
        <v>0</v>
      </c>
      <c r="Q11" s="99">
        <f>SUMIF(Import!$B:$B,$A11,Import!K:K)</f>
        <v>-23779</v>
      </c>
      <c r="R11" s="99">
        <f>SUMIF(Import!$B:$B,$A11,Import!L:L)</f>
        <v>0</v>
      </c>
      <c r="S11" s="99">
        <f>SUMIF(Import!$B:$B,$A11,Import!M:M)</f>
        <v>0</v>
      </c>
      <c r="T11" s="99">
        <f>SUMIF(Import!$B:$B,$A11,Import!N:N)</f>
        <v>-23779</v>
      </c>
      <c r="U11" s="99">
        <f t="shared" ref="U11" si="11">T11-M11</f>
        <v>27575</v>
      </c>
      <c r="V11" s="255">
        <f t="shared" ref="V11" si="12">IF(M11=0,"N/A",T11/M11-1)</f>
        <v>-0.53695914631771624</v>
      </c>
      <c r="W11" s="102" t="s">
        <v>2178</v>
      </c>
      <c r="X11" s="102"/>
      <c r="Y11" s="102">
        <f t="shared" ref="Y11:Y12" si="13">T11-X11</f>
        <v>-23779</v>
      </c>
      <c r="Z11" s="309">
        <f>Y11*(1+VLOOKUP($F11,'GL Category'!$A:$H,4,FALSE))</f>
        <v>-24016.79</v>
      </c>
      <c r="AA11" s="615"/>
      <c r="AB11" s="622">
        <f>Z11+AA11</f>
        <v>-24016.79</v>
      </c>
      <c r="AC11" s="633">
        <f>AB11*(1+VLOOKUP($F11,'GL Category'!$A:$H,5,FALSE))</f>
        <v>-24256.957900000001</v>
      </c>
      <c r="AE11" s="622">
        <f>AC11+AD11</f>
        <v>-24256.957900000001</v>
      </c>
      <c r="AF11" s="633">
        <f>AE11*(1+VLOOKUP($F11,'GL Category'!$A:$H,6,FALSE))</f>
        <v>-24499.527479</v>
      </c>
      <c r="AH11" s="622">
        <f>AF11+AG11</f>
        <v>-24499.527479</v>
      </c>
      <c r="AI11" s="633">
        <f>AH11*(1+VLOOKUP($F11,'GL Category'!$A:$H,7,FALSE))</f>
        <v>-24989.518028580002</v>
      </c>
      <c r="AK11" s="622">
        <f>AI11+AJ11</f>
        <v>-24989.518028580002</v>
      </c>
      <c r="AL11" s="633">
        <f>AK11*(1+VLOOKUP($F11,'GL Category'!$A:$H,8,FALSE))</f>
        <v>-25489.308389151603</v>
      </c>
      <c r="AN11" s="622">
        <f>AL11+AM11</f>
        <v>-25489.308389151603</v>
      </c>
    </row>
    <row r="12" spans="1:59" ht="15" customHeight="1">
      <c r="A12" s="555" t="s">
        <v>2179</v>
      </c>
      <c r="B12" s="217" t="str">
        <f t="shared" si="6"/>
        <v>100</v>
      </c>
      <c r="C12" s="217" t="str">
        <f t="shared" si="7"/>
        <v>00</v>
      </c>
      <c r="D12" s="101" t="str">
        <f t="shared" si="8"/>
        <v>000</v>
      </c>
      <c r="E12" s="217" t="str">
        <f t="shared" si="9"/>
        <v>100-00-000</v>
      </c>
      <c r="F12" s="294" t="str">
        <f t="shared" si="10"/>
        <v>40025</v>
      </c>
      <c r="G12" s="295" t="str">
        <f>VLOOKUP(F12,'GL Category'!A:C,3,FALSE)</f>
        <v>PROPERTY TAX</v>
      </c>
      <c r="H12" s="98" t="str">
        <f>VLOOKUP(F12,'GL Category'!A:C,2,FALSE)</f>
        <v>ACCRUED PROPERTY TAX REVENUE</v>
      </c>
      <c r="I12" s="99">
        <f>SUMIF(Import!$B:$B,$A12,Import!D:D)</f>
        <v>0</v>
      </c>
      <c r="J12" s="99">
        <f>SUMIF(Import!$B:$B,$A12,Import!E:E)</f>
        <v>0</v>
      </c>
      <c r="K12" s="99">
        <f>SUMIF(Import!$B:$B,$A12,Import!F:F)</f>
        <v>0</v>
      </c>
      <c r="L12" s="99">
        <f>SUMIF(Import!$B:$B,$A12,Import!G:G)</f>
        <v>0</v>
      </c>
      <c r="M12" s="99">
        <f>SUMIF(Import!$B:$B,$A12,Import!H:H)</f>
        <v>0</v>
      </c>
      <c r="N12" s="99">
        <f>SUMIF(Import!$B:$B,$A12,Import!I:I)</f>
        <v>0</v>
      </c>
      <c r="O12" s="99">
        <f>SUMIF(Import!$B:$B,$A12,Import!J:J)</f>
        <v>0</v>
      </c>
      <c r="P12" s="99">
        <f t="shared" ref="P12:P70" si="14">O12-M12</f>
        <v>0</v>
      </c>
      <c r="Q12" s="99">
        <f>SUMIF(Import!$B:$B,$A12,Import!K:K)</f>
        <v>0</v>
      </c>
      <c r="R12" s="99">
        <f>SUMIF(Import!$B:$B,$A12,Import!L:L)</f>
        <v>0</v>
      </c>
      <c r="S12" s="99">
        <f>SUMIF(Import!$B:$B,$A12,Import!M:M)</f>
        <v>0</v>
      </c>
      <c r="T12" s="99">
        <f>SUMIF(Import!$B:$B,$A12,Import!N:N)</f>
        <v>0</v>
      </c>
      <c r="U12" s="99">
        <f t="shared" ref="U12:U70" si="15">T12-M12</f>
        <v>0</v>
      </c>
      <c r="V12" s="255" t="str">
        <f t="shared" ref="V12:V70" si="16">IF(M12=0,"N/A",T12/M12-1)</f>
        <v>N/A</v>
      </c>
      <c r="W12" s="102" t="s">
        <v>2179</v>
      </c>
      <c r="X12" s="102"/>
      <c r="Y12" s="102">
        <f t="shared" si="13"/>
        <v>0</v>
      </c>
      <c r="Z12" s="309">
        <f>Y12*(1+VLOOKUP($F12,'GL Category'!$A:$H,4,FALSE))</f>
        <v>0</v>
      </c>
      <c r="AA12" s="615"/>
      <c r="AB12" s="622">
        <f>Z12+AA12</f>
        <v>0</v>
      </c>
      <c r="AC12" s="633">
        <f>AB12*(1+VLOOKUP($F12,'GL Category'!$A:$H,5,FALSE))</f>
        <v>0</v>
      </c>
      <c r="AE12" s="622">
        <f>AC12+AD12</f>
        <v>0</v>
      </c>
      <c r="AF12" s="633">
        <f>AE12*(1+VLOOKUP($F12,'GL Category'!$A:$H,6,FALSE))</f>
        <v>0</v>
      </c>
      <c r="AH12" s="622">
        <f>AF12+AG12</f>
        <v>0</v>
      </c>
      <c r="AI12" s="633">
        <f>AH12*(1+VLOOKUP($F12,'GL Category'!$A:$H,7,FALSE))</f>
        <v>0</v>
      </c>
      <c r="AK12" s="622">
        <f>AI12+AJ12</f>
        <v>0</v>
      </c>
      <c r="AL12" s="633">
        <f>AK12*(1+VLOOKUP($F12,'GL Category'!$A:$H,8,FALSE))</f>
        <v>0</v>
      </c>
      <c r="AN12" s="622">
        <f>AL12+AM12</f>
        <v>0</v>
      </c>
    </row>
    <row r="13" spans="1:59" ht="15" customHeight="1">
      <c r="A13" s="555" t="s">
        <v>2180</v>
      </c>
      <c r="B13" s="217" t="str">
        <f t="shared" si="6"/>
        <v>100</v>
      </c>
      <c r="C13" s="217" t="str">
        <f t="shared" si="7"/>
        <v>00</v>
      </c>
      <c r="D13" s="101" t="str">
        <f t="shared" si="8"/>
        <v>000</v>
      </c>
      <c r="E13" s="217" t="str">
        <f t="shared" si="9"/>
        <v>100-00-000</v>
      </c>
      <c r="F13" s="294" t="str">
        <f t="shared" si="10"/>
        <v>40030</v>
      </c>
      <c r="G13" s="295" t="str">
        <f>VLOOKUP(F13,'GL Category'!A:C,3,FALSE)</f>
        <v>PROPERTY TAX</v>
      </c>
      <c r="H13" s="98" t="str">
        <f>VLOOKUP(F13,'GL Category'!A:C,2,FALSE)</f>
        <v>PENALTY &amp; INTEREST-TAXES</v>
      </c>
      <c r="I13" s="99">
        <f>SUMIF(Import!$B:$B,$A13,Import!D:D)</f>
        <v>-69052.97</v>
      </c>
      <c r="J13" s="99">
        <f>SUMIF(Import!$B:$B,$A13,Import!E:E)</f>
        <v>-64359.01</v>
      </c>
      <c r="K13" s="99">
        <f>SUMIF(Import!$B:$B,$A13,Import!F:F)</f>
        <v>-69705.62</v>
      </c>
      <c r="L13" s="99">
        <f>SUMIF(Import!$B:$B,$A13,Import!G:G)</f>
        <v>-69700.08</v>
      </c>
      <c r="M13" s="99">
        <f>SUMIF(Import!$B:$B,$A13,Import!H:H)</f>
        <v>-53998</v>
      </c>
      <c r="N13" s="99">
        <f>SUMIF(Import!$B:$B,$A13,Import!I:I)</f>
        <v>-63989.45</v>
      </c>
      <c r="O13" s="99">
        <f>SUMIF(Import!$B:$B,$A13,Import!J:J)</f>
        <v>-102296</v>
      </c>
      <c r="P13" s="99">
        <f t="shared" si="14"/>
        <v>-48298</v>
      </c>
      <c r="Q13" s="99">
        <f>SUMIF(Import!$B:$B,$A13,Import!K:K)</f>
        <v>-53955</v>
      </c>
      <c r="R13" s="99">
        <f>SUMIF(Import!$B:$B,$A13,Import!L:L)</f>
        <v>0</v>
      </c>
      <c r="S13" s="99">
        <f>SUMIF(Import!$B:$B,$A13,Import!M:M)</f>
        <v>0</v>
      </c>
      <c r="T13" s="99">
        <f>SUMIF(Import!$B:$B,$A13,Import!N:N)</f>
        <v>-53955</v>
      </c>
      <c r="U13" s="99">
        <f t="shared" si="15"/>
        <v>43</v>
      </c>
      <c r="V13" s="255">
        <f t="shared" si="16"/>
        <v>-7.9632578984412117E-4</v>
      </c>
      <c r="W13" s="102" t="s">
        <v>2180</v>
      </c>
      <c r="X13" s="102"/>
      <c r="Y13" s="102">
        <f t="shared" ref="Y13" si="17">T13-X13</f>
        <v>-53955</v>
      </c>
      <c r="Z13" s="309">
        <f>Y13*(1+VLOOKUP($F13,'GL Category'!$A:$H,4,FALSE))</f>
        <v>-54494.55</v>
      </c>
      <c r="AA13" s="615"/>
      <c r="AB13" s="622">
        <f>Z13+AA13</f>
        <v>-54494.55</v>
      </c>
      <c r="AC13" s="633">
        <f>AB13*(1+VLOOKUP($F13,'GL Category'!$A:$H,5,FALSE))</f>
        <v>-55039.495500000005</v>
      </c>
      <c r="AE13" s="622">
        <f>AC13+AD13</f>
        <v>-55039.495500000005</v>
      </c>
      <c r="AF13" s="633">
        <f>AE13*(1+VLOOKUP($F13,'GL Category'!$A:$H,6,FALSE))</f>
        <v>-55589.890455000008</v>
      </c>
      <c r="AH13" s="622">
        <f>AF13+AG13</f>
        <v>-55589.890455000008</v>
      </c>
      <c r="AI13" s="633">
        <f>AH13*(1+VLOOKUP($F13,'GL Category'!$A:$H,7,FALSE))</f>
        <v>-56701.688264100012</v>
      </c>
      <c r="AK13" s="622">
        <f>AI13+AJ13</f>
        <v>-56701.688264100012</v>
      </c>
      <c r="AL13" s="633">
        <f>AK13*(1+VLOOKUP($F13,'GL Category'!$A:$H,8,FALSE))</f>
        <v>-57835.722029382014</v>
      </c>
      <c r="AN13" s="622">
        <f>AL13+AM13</f>
        <v>-57835.722029382014</v>
      </c>
    </row>
    <row r="14" spans="1:59" ht="15" customHeight="1">
      <c r="A14" s="555" t="s">
        <v>2181</v>
      </c>
      <c r="B14" s="217" t="str">
        <f t="shared" si="6"/>
        <v>100</v>
      </c>
      <c r="C14" s="217" t="str">
        <f t="shared" si="7"/>
        <v>00</v>
      </c>
      <c r="D14" s="101" t="str">
        <f t="shared" si="8"/>
        <v>000</v>
      </c>
      <c r="E14" s="217" t="str">
        <f t="shared" si="9"/>
        <v>100-00-000</v>
      </c>
      <c r="F14" s="294" t="str">
        <f t="shared" si="10"/>
        <v>40200</v>
      </c>
      <c r="G14" s="295" t="str">
        <f>VLOOKUP(F14,'GL Category'!A:C,3,FALSE)</f>
        <v>SALES TAX</v>
      </c>
      <c r="H14" s="98" t="str">
        <f>VLOOKUP(F14,'GL Category'!A:C,2,FALSE)</f>
        <v>CITY SALES TAXES</v>
      </c>
      <c r="I14" s="99">
        <f>SUMIF(Import!$B:$B,$A14,Import!D:D)</f>
        <v>-7234230.9800000004</v>
      </c>
      <c r="J14" s="99">
        <f>SUMIF(Import!$B:$B,$A14,Import!E:E)</f>
        <v>-8072193.6200000001</v>
      </c>
      <c r="K14" s="99">
        <f>SUMIF(Import!$B:$B,$A14,Import!F:F)</f>
        <v>-9110290.4900000002</v>
      </c>
      <c r="L14" s="99">
        <f>SUMIF(Import!$B:$B,$A14,Import!G:G)</f>
        <v>-9435668.0700000003</v>
      </c>
      <c r="M14" s="99">
        <f>SUMIF(Import!$B:$B,$A14,Import!H:H)</f>
        <v>-9381656</v>
      </c>
      <c r="N14" s="99">
        <f>SUMIF(Import!$B:$B,$A14,Import!I:I)</f>
        <v>-7828731.4800000004</v>
      </c>
      <c r="O14" s="99">
        <f>SUMIF(Import!$B:$B,$A14,Import!J:J)</f>
        <v>-9381656</v>
      </c>
      <c r="P14" s="99">
        <f t="shared" si="14"/>
        <v>0</v>
      </c>
      <c r="Q14" s="99">
        <f>SUMIF(Import!$B:$B,$A14,Import!K:K)</f>
        <v>-9381656</v>
      </c>
      <c r="R14" s="99">
        <f>SUMIF(Import!$B:$B,$A14,Import!L:L)</f>
        <v>0</v>
      </c>
      <c r="S14" s="99">
        <f>SUMIF(Import!$B:$B,$A14,Import!M:M)</f>
        <v>0</v>
      </c>
      <c r="T14" s="99">
        <f>SUMIF(Import!$B:$B,$A14,Import!N:N)</f>
        <v>-9381656</v>
      </c>
      <c r="U14" s="99">
        <f t="shared" si="15"/>
        <v>0</v>
      </c>
      <c r="V14" s="255">
        <f t="shared" si="16"/>
        <v>0</v>
      </c>
      <c r="W14" s="102" t="s">
        <v>2181</v>
      </c>
      <c r="X14" s="102"/>
      <c r="Y14" s="102">
        <f t="shared" ref="Y14:Y77" si="18">T14-X14</f>
        <v>-9381656</v>
      </c>
      <c r="Z14" s="309">
        <f>Y14*(1+VLOOKUP($F14,'GL Category'!$A:$H,4,FALSE))</f>
        <v>-9569289.120000001</v>
      </c>
      <c r="AA14" s="615"/>
      <c r="AB14" s="622">
        <f t="shared" ref="AB14:AB77" si="19">Z14+AA14</f>
        <v>-9569289.120000001</v>
      </c>
      <c r="AC14" s="633">
        <f>AB14*(1+VLOOKUP($F14,'GL Category'!$A:$H,5,FALSE))</f>
        <v>-9808521.3479999993</v>
      </c>
      <c r="AE14" s="622">
        <f t="shared" ref="AE14:AE77" si="20">AC14+AD14</f>
        <v>-9808521.3479999993</v>
      </c>
      <c r="AF14" s="633">
        <f>AE14*(1+VLOOKUP($F14,'GL Category'!$A:$H,6,FALSE))</f>
        <v>-10053734.381699998</v>
      </c>
      <c r="AH14" s="622">
        <f t="shared" ref="AH14:AH77" si="21">AF14+AG14</f>
        <v>-10053734.381699998</v>
      </c>
      <c r="AI14" s="633">
        <f>AH14*(1+VLOOKUP($F14,'GL Category'!$A:$H,7,FALSE))</f>
        <v>-10305077.741242496</v>
      </c>
      <c r="AK14" s="622">
        <f t="shared" ref="AK14:AK77" si="22">AI14+AJ14</f>
        <v>-10305077.741242496</v>
      </c>
      <c r="AL14" s="633">
        <f>AK14*(1+VLOOKUP($F14,'GL Category'!$A:$H,8,FALSE))</f>
        <v>-10562704.684773557</v>
      </c>
      <c r="AN14" s="622">
        <f t="shared" ref="AN14:AN77" si="23">AL14+AM14</f>
        <v>-10562704.684773557</v>
      </c>
    </row>
    <row r="15" spans="1:59" ht="15" customHeight="1">
      <c r="A15" s="555" t="s">
        <v>2182</v>
      </c>
      <c r="B15" s="217" t="str">
        <f t="shared" si="6"/>
        <v>100</v>
      </c>
      <c r="C15" s="217" t="str">
        <f t="shared" si="7"/>
        <v>00</v>
      </c>
      <c r="D15" s="101" t="str">
        <f t="shared" si="8"/>
        <v>000</v>
      </c>
      <c r="E15" s="217" t="str">
        <f t="shared" si="9"/>
        <v>100-00-000</v>
      </c>
      <c r="F15" s="294" t="str">
        <f t="shared" si="10"/>
        <v>40300</v>
      </c>
      <c r="G15" s="295" t="str">
        <f>VLOOKUP(F15,'GL Category'!A:C,3,FALSE)</f>
        <v>OTHER TAXES</v>
      </c>
      <c r="H15" s="98" t="str">
        <f>VLOOKUP(F15,'GL Category'!A:C,2,FALSE)</f>
        <v>FRANCHISE FEES-TXU ELECTRIC</v>
      </c>
      <c r="I15" s="99">
        <f>SUMIF(Import!$B:$B,$A15,Import!D:D)</f>
        <v>-541679.79</v>
      </c>
      <c r="J15" s="99">
        <f>SUMIF(Import!$B:$B,$A15,Import!E:E)</f>
        <v>-517869.27</v>
      </c>
      <c r="K15" s="99">
        <f>SUMIF(Import!$B:$B,$A15,Import!F:F)</f>
        <v>-575666.06000000006</v>
      </c>
      <c r="L15" s="99">
        <f>SUMIF(Import!$B:$B,$A15,Import!G:G)</f>
        <v>-560561.52</v>
      </c>
      <c r="M15" s="99">
        <f>SUMIF(Import!$B:$B,$A15,Import!H:H)</f>
        <v>-530239</v>
      </c>
      <c r="N15" s="99">
        <f>SUMIF(Import!$B:$B,$A15,Import!I:I)</f>
        <v>-251069.59</v>
      </c>
      <c r="O15" s="99">
        <f>SUMIF(Import!$B:$B,$A15,Import!J:J)</f>
        <v>-525886</v>
      </c>
      <c r="P15" s="99">
        <f t="shared" si="14"/>
        <v>4353</v>
      </c>
      <c r="Q15" s="99">
        <f>SUMIF(Import!$B:$B,$A15,Import!K:K)</f>
        <v>-541662</v>
      </c>
      <c r="R15" s="99">
        <f>SUMIF(Import!$B:$B,$A15,Import!L:L)</f>
        <v>0</v>
      </c>
      <c r="S15" s="99">
        <f>SUMIF(Import!$B:$B,$A15,Import!M:M)</f>
        <v>0</v>
      </c>
      <c r="T15" s="99">
        <f>SUMIF(Import!$B:$B,$A15,Import!N:N)</f>
        <v>-541662</v>
      </c>
      <c r="U15" s="99">
        <f t="shared" si="15"/>
        <v>-11423</v>
      </c>
      <c r="V15" s="255">
        <f t="shared" si="16"/>
        <v>2.1543115463027007E-2</v>
      </c>
      <c r="W15" s="102" t="s">
        <v>2182</v>
      </c>
      <c r="X15" s="102"/>
      <c r="Y15" s="102">
        <f t="shared" si="18"/>
        <v>-541662</v>
      </c>
      <c r="Z15" s="309">
        <f>Y15*(1+VLOOKUP($F15,'GL Category'!$A:$H,4,FALSE))</f>
        <v>-557911.86</v>
      </c>
      <c r="AA15" s="615"/>
      <c r="AB15" s="622">
        <f t="shared" si="19"/>
        <v>-557911.86</v>
      </c>
      <c r="AC15" s="633">
        <f>AB15*(1+VLOOKUP($F15,'GL Category'!$A:$H,5,FALSE))</f>
        <v>-574649.21580000001</v>
      </c>
      <c r="AE15" s="622">
        <f t="shared" si="20"/>
        <v>-574649.21580000001</v>
      </c>
      <c r="AF15" s="633">
        <f>AE15*(1+VLOOKUP($F15,'GL Category'!$A:$H,6,FALSE))</f>
        <v>-591888.69227400003</v>
      </c>
      <c r="AH15" s="622">
        <f t="shared" si="21"/>
        <v>-591888.69227400003</v>
      </c>
      <c r="AI15" s="633">
        <f>AH15*(1+VLOOKUP($F15,'GL Category'!$A:$H,7,FALSE))</f>
        <v>-609645.35304222</v>
      </c>
      <c r="AK15" s="622">
        <f t="shared" si="22"/>
        <v>-609645.35304222</v>
      </c>
      <c r="AL15" s="633">
        <f>AK15*(1+VLOOKUP($F15,'GL Category'!$A:$H,8,FALSE))</f>
        <v>-627934.71363348665</v>
      </c>
      <c r="AN15" s="622">
        <f t="shared" si="23"/>
        <v>-627934.71363348665</v>
      </c>
    </row>
    <row r="16" spans="1:59" ht="15" customHeight="1">
      <c r="A16" s="555" t="s">
        <v>2183</v>
      </c>
      <c r="B16" s="217" t="str">
        <f t="shared" si="6"/>
        <v>100</v>
      </c>
      <c r="C16" s="217" t="str">
        <f t="shared" si="7"/>
        <v>00</v>
      </c>
      <c r="D16" s="101" t="str">
        <f t="shared" si="8"/>
        <v>000</v>
      </c>
      <c r="E16" s="217" t="str">
        <f t="shared" si="9"/>
        <v>100-00-000</v>
      </c>
      <c r="F16" s="294" t="str">
        <f t="shared" si="10"/>
        <v>40310</v>
      </c>
      <c r="G16" s="295" t="str">
        <f>VLOOKUP(F16,'GL Category'!A:C,3,FALSE)</f>
        <v>OTHER TAXES</v>
      </c>
      <c r="H16" s="98" t="str">
        <f>VLOOKUP(F16,'GL Category'!A:C,2,FALSE)</f>
        <v>FRANCHISE FEES-TRI COUNTY</v>
      </c>
      <c r="I16" s="99">
        <f>SUMIF(Import!$B:$B,$A16,Import!D:D)</f>
        <v>-779966.15</v>
      </c>
      <c r="J16" s="99">
        <f>SUMIF(Import!$B:$B,$A16,Import!E:E)</f>
        <v>-763210.28</v>
      </c>
      <c r="K16" s="99">
        <f>SUMIF(Import!$B:$B,$A16,Import!F:F)</f>
        <v>-1116921.44</v>
      </c>
      <c r="L16" s="99">
        <f>SUMIF(Import!$B:$B,$A16,Import!G:G)</f>
        <v>-1283211.1100000001</v>
      </c>
      <c r="M16" s="99">
        <f>SUMIF(Import!$B:$B,$A16,Import!H:H)</f>
        <v>-928910</v>
      </c>
      <c r="N16" s="99">
        <f>SUMIF(Import!$B:$B,$A16,Import!I:I)</f>
        <v>-569750.56999999995</v>
      </c>
      <c r="O16" s="99">
        <f>SUMIF(Import!$B:$B,$A16,Import!J:J)</f>
        <v>-1351443</v>
      </c>
      <c r="P16" s="99">
        <f t="shared" si="14"/>
        <v>-422533</v>
      </c>
      <c r="Q16" s="99">
        <f>SUMIF(Import!$B:$B,$A16,Import!K:K)</f>
        <v>-1008578</v>
      </c>
      <c r="R16" s="99">
        <f>SUMIF(Import!$B:$B,$A16,Import!L:L)</f>
        <v>0</v>
      </c>
      <c r="S16" s="99">
        <f>SUMIF(Import!$B:$B,$A16,Import!M:M)</f>
        <v>0</v>
      </c>
      <c r="T16" s="99">
        <f>SUMIF(Import!$B:$B,$A16,Import!N:N)</f>
        <v>-1008578</v>
      </c>
      <c r="U16" s="99">
        <f t="shared" si="15"/>
        <v>-79668</v>
      </c>
      <c r="V16" s="255">
        <f t="shared" si="16"/>
        <v>8.5765036440559328E-2</v>
      </c>
      <c r="W16" s="102" t="s">
        <v>2183</v>
      </c>
      <c r="X16" s="102"/>
      <c r="Y16" s="102">
        <f t="shared" si="18"/>
        <v>-1008578</v>
      </c>
      <c r="Z16" s="309">
        <f>Y16*(1+VLOOKUP($F16,'GL Category'!$A:$H,4,FALSE))</f>
        <v>-1038835.3400000001</v>
      </c>
      <c r="AA16" s="615"/>
      <c r="AB16" s="622">
        <f t="shared" si="19"/>
        <v>-1038835.3400000001</v>
      </c>
      <c r="AC16" s="633">
        <f>AB16*(1+VLOOKUP($F16,'GL Category'!$A:$H,5,FALSE))</f>
        <v>-1070000.4002</v>
      </c>
      <c r="AE16" s="622">
        <f t="shared" si="20"/>
        <v>-1070000.4002</v>
      </c>
      <c r="AF16" s="633">
        <f>AE16*(1+VLOOKUP($F16,'GL Category'!$A:$H,6,FALSE))</f>
        <v>-1102100.4122059999</v>
      </c>
      <c r="AH16" s="622">
        <f t="shared" si="21"/>
        <v>-1102100.4122059999</v>
      </c>
      <c r="AI16" s="633">
        <f>AH16*(1+VLOOKUP($F16,'GL Category'!$A:$H,7,FALSE))</f>
        <v>-1135163.42457218</v>
      </c>
      <c r="AK16" s="622">
        <f t="shared" si="22"/>
        <v>-1135163.42457218</v>
      </c>
      <c r="AL16" s="633">
        <f>AK16*(1+VLOOKUP($F16,'GL Category'!$A:$H,8,FALSE))</f>
        <v>-1169218.3273093454</v>
      </c>
      <c r="AN16" s="622">
        <f t="shared" si="23"/>
        <v>-1169218.3273093454</v>
      </c>
    </row>
    <row r="17" spans="1:40" ht="15" customHeight="1">
      <c r="A17" s="555" t="s">
        <v>2184</v>
      </c>
      <c r="B17" s="217" t="str">
        <f t="shared" si="6"/>
        <v>100</v>
      </c>
      <c r="C17" s="217" t="str">
        <f t="shared" si="7"/>
        <v>00</v>
      </c>
      <c r="D17" s="101" t="str">
        <f t="shared" si="8"/>
        <v>000</v>
      </c>
      <c r="E17" s="217" t="str">
        <f t="shared" si="9"/>
        <v>100-00-000</v>
      </c>
      <c r="F17" s="294" t="str">
        <f t="shared" si="10"/>
        <v>40320</v>
      </c>
      <c r="G17" s="295" t="str">
        <f>VLOOKUP(F17,'GL Category'!A:C,3,FALSE)</f>
        <v>OTHER TAXES</v>
      </c>
      <c r="H17" s="98" t="str">
        <f>VLOOKUP(F17,'GL Category'!A:C,2,FALSE)</f>
        <v>FRANCHISE FEES-VERIZON</v>
      </c>
      <c r="I17" s="99">
        <f>SUMIF(Import!$B:$B,$A17,Import!D:D)</f>
        <v>-316158.03000000003</v>
      </c>
      <c r="J17" s="99">
        <f>SUMIF(Import!$B:$B,$A17,Import!E:E)</f>
        <v>-251394.97</v>
      </c>
      <c r="K17" s="99">
        <f>SUMIF(Import!$B:$B,$A17,Import!F:F)</f>
        <v>-214467.33</v>
      </c>
      <c r="L17" s="99">
        <f>SUMIF(Import!$B:$B,$A17,Import!G:G)</f>
        <v>-181137.73</v>
      </c>
      <c r="M17" s="99">
        <f>SUMIF(Import!$B:$B,$A17,Import!H:H)</f>
        <v>-183891</v>
      </c>
      <c r="N17" s="99">
        <f>SUMIF(Import!$B:$B,$A17,Import!I:I)</f>
        <v>-74800.05</v>
      </c>
      <c r="O17" s="99">
        <f>SUMIF(Import!$B:$B,$A17,Import!J:J)</f>
        <v>-157416</v>
      </c>
      <c r="P17" s="99">
        <f t="shared" si="14"/>
        <v>26475</v>
      </c>
      <c r="Q17" s="99">
        <f>SUMIF(Import!$B:$B,$A17,Import!K:K)</f>
        <v>-157416</v>
      </c>
      <c r="R17" s="99">
        <f>SUMIF(Import!$B:$B,$A17,Import!L:L)</f>
        <v>0</v>
      </c>
      <c r="S17" s="99">
        <f>SUMIF(Import!$B:$B,$A17,Import!M:M)</f>
        <v>0</v>
      </c>
      <c r="T17" s="99">
        <f>SUMIF(Import!$B:$B,$A17,Import!N:N)</f>
        <v>-157416</v>
      </c>
      <c r="U17" s="562">
        <f t="shared" si="15"/>
        <v>26475</v>
      </c>
      <c r="V17" s="255">
        <f t="shared" si="16"/>
        <v>-0.14397115682659833</v>
      </c>
      <c r="W17" s="102" t="s">
        <v>2184</v>
      </c>
      <c r="X17" s="102"/>
      <c r="Y17" s="102">
        <f t="shared" si="18"/>
        <v>-157416</v>
      </c>
      <c r="Z17" s="309">
        <f>Y17*(1+VLOOKUP($F17,'GL Category'!$A:$H,4,FALSE))</f>
        <v>-162138.48000000001</v>
      </c>
      <c r="AA17" s="615"/>
      <c r="AB17" s="622">
        <f t="shared" si="19"/>
        <v>-162138.48000000001</v>
      </c>
      <c r="AC17" s="633">
        <f>AB17*(1+VLOOKUP($F17,'GL Category'!$A:$H,5,FALSE))</f>
        <v>-167002.63440000001</v>
      </c>
      <c r="AE17" s="622">
        <f t="shared" si="20"/>
        <v>-167002.63440000001</v>
      </c>
      <c r="AF17" s="633">
        <f>AE17*(1+VLOOKUP($F17,'GL Category'!$A:$H,6,FALSE))</f>
        <v>-172012.71343200002</v>
      </c>
      <c r="AH17" s="622">
        <f t="shared" si="21"/>
        <v>-172012.71343200002</v>
      </c>
      <c r="AI17" s="633">
        <f>AH17*(1+VLOOKUP($F17,'GL Category'!$A:$H,7,FALSE))</f>
        <v>-177173.09483496004</v>
      </c>
      <c r="AK17" s="622">
        <f t="shared" si="22"/>
        <v>-177173.09483496004</v>
      </c>
      <c r="AL17" s="633">
        <f>AK17*(1+VLOOKUP($F17,'GL Category'!$A:$H,8,FALSE))</f>
        <v>-182488.28768000886</v>
      </c>
      <c r="AN17" s="622">
        <f t="shared" si="23"/>
        <v>-182488.28768000886</v>
      </c>
    </row>
    <row r="18" spans="1:40" ht="15" customHeight="1">
      <c r="A18" s="555" t="s">
        <v>2185</v>
      </c>
      <c r="B18" s="217" t="str">
        <f t="shared" si="6"/>
        <v>100</v>
      </c>
      <c r="C18" s="217" t="str">
        <f t="shared" si="7"/>
        <v>00</v>
      </c>
      <c r="D18" s="101" t="str">
        <f t="shared" si="8"/>
        <v>000</v>
      </c>
      <c r="E18" s="217" t="str">
        <f t="shared" si="9"/>
        <v>100-00-000</v>
      </c>
      <c r="F18" s="294" t="str">
        <f t="shared" si="10"/>
        <v>40330</v>
      </c>
      <c r="G18" s="295" t="str">
        <f>VLOOKUP(F18,'GL Category'!A:C,3,FALSE)</f>
        <v>OTHER TAXES</v>
      </c>
      <c r="H18" s="98" t="str">
        <f>VLOOKUP(F18,'GL Category'!A:C,2,FALSE)</f>
        <v>FRANCHISE FEES-ATMOS GAS</v>
      </c>
      <c r="I18" s="99">
        <f>SUMIF(Import!$B:$B,$A18,Import!D:D)</f>
        <v>-529458.57999999996</v>
      </c>
      <c r="J18" s="99">
        <f>SUMIF(Import!$B:$B,$A18,Import!E:E)</f>
        <v>-532458.64</v>
      </c>
      <c r="K18" s="99">
        <f>SUMIF(Import!$B:$B,$A18,Import!F:F)</f>
        <v>-713225.69</v>
      </c>
      <c r="L18" s="99">
        <f>SUMIF(Import!$B:$B,$A18,Import!G:G)</f>
        <v>-873665.3</v>
      </c>
      <c r="M18" s="99">
        <f>SUMIF(Import!$B:$B,$A18,Import!H:H)</f>
        <v>-873665</v>
      </c>
      <c r="N18" s="99">
        <f>SUMIF(Import!$B:$B,$A18,Import!I:I)</f>
        <v>-809176.69</v>
      </c>
      <c r="O18" s="99">
        <f>SUMIF(Import!$B:$B,$A18,Import!J:J)</f>
        <v>-809177</v>
      </c>
      <c r="P18" s="99">
        <f t="shared" si="14"/>
        <v>64488</v>
      </c>
      <c r="Q18" s="99">
        <f>SUMIF(Import!$B:$B,$A18,Import!K:K)</f>
        <v>-825426</v>
      </c>
      <c r="R18" s="99">
        <f>SUMIF(Import!$B:$B,$A18,Import!L:L)</f>
        <v>0</v>
      </c>
      <c r="S18" s="99">
        <f>SUMIF(Import!$B:$B,$A18,Import!M:M)</f>
        <v>0</v>
      </c>
      <c r="T18" s="99">
        <f>SUMIF(Import!$B:$B,$A18,Import!N:N)</f>
        <v>-825426</v>
      </c>
      <c r="U18" s="99">
        <f t="shared" si="15"/>
        <v>48239</v>
      </c>
      <c r="V18" s="255">
        <f t="shared" si="16"/>
        <v>-5.5214527307377526E-2</v>
      </c>
      <c r="W18" s="102" t="s">
        <v>2185</v>
      </c>
      <c r="X18" s="102"/>
      <c r="Y18" s="102">
        <f t="shared" si="18"/>
        <v>-825426</v>
      </c>
      <c r="Z18" s="309">
        <f>Y18*(1+VLOOKUP($F18,'GL Category'!$A:$H,4,FALSE))</f>
        <v>-850188.78</v>
      </c>
      <c r="AA18" s="615"/>
      <c r="AB18" s="622">
        <f t="shared" si="19"/>
        <v>-850188.78</v>
      </c>
      <c r="AC18" s="633">
        <f>AB18*(1+VLOOKUP($F18,'GL Category'!$A:$H,5,FALSE))</f>
        <v>-875694.44340000011</v>
      </c>
      <c r="AE18" s="622">
        <f t="shared" si="20"/>
        <v>-875694.44340000011</v>
      </c>
      <c r="AF18" s="633">
        <f>AE18*(1+VLOOKUP($F18,'GL Category'!$A:$H,6,FALSE))</f>
        <v>-901965.27670200018</v>
      </c>
      <c r="AH18" s="622">
        <f t="shared" si="21"/>
        <v>-901965.27670200018</v>
      </c>
      <c r="AI18" s="633">
        <f>AH18*(1+VLOOKUP($F18,'GL Category'!$A:$H,7,FALSE))</f>
        <v>-929024.2350030602</v>
      </c>
      <c r="AK18" s="622">
        <f t="shared" si="22"/>
        <v>-929024.2350030602</v>
      </c>
      <c r="AL18" s="633">
        <f>AK18*(1+VLOOKUP($F18,'GL Category'!$A:$H,8,FALSE))</f>
        <v>-956894.96205315203</v>
      </c>
      <c r="AN18" s="622">
        <f t="shared" si="23"/>
        <v>-956894.96205315203</v>
      </c>
    </row>
    <row r="19" spans="1:40" ht="15" customHeight="1">
      <c r="A19" s="555" t="s">
        <v>2186</v>
      </c>
      <c r="B19" s="217" t="str">
        <f t="shared" si="6"/>
        <v>100</v>
      </c>
      <c r="C19" s="217" t="str">
        <f t="shared" si="7"/>
        <v>00</v>
      </c>
      <c r="D19" s="101" t="str">
        <f t="shared" si="8"/>
        <v>000</v>
      </c>
      <c r="E19" s="217" t="str">
        <f t="shared" si="9"/>
        <v>100-00-000</v>
      </c>
      <c r="F19" s="294" t="str">
        <f t="shared" si="10"/>
        <v>40340</v>
      </c>
      <c r="G19" s="295" t="str">
        <f>VLOOKUP(F19,'GL Category'!A:C,3,FALSE)</f>
        <v>OTHER TAXES</v>
      </c>
      <c r="H19" s="98" t="str">
        <f>VLOOKUP(F19,'GL Category'!A:C,2,FALSE)</f>
        <v>FRANCHISE FEES-CHARTER/SPECTRUM</v>
      </c>
      <c r="I19" s="99">
        <f>SUMIF(Import!$B:$B,$A19,Import!D:D)</f>
        <v>-198763.39</v>
      </c>
      <c r="J19" s="99">
        <f>SUMIF(Import!$B:$B,$A19,Import!E:E)</f>
        <v>-202783.16</v>
      </c>
      <c r="K19" s="99">
        <f>SUMIF(Import!$B:$B,$A19,Import!F:F)</f>
        <v>-205400.15</v>
      </c>
      <c r="L19" s="99">
        <f>SUMIF(Import!$B:$B,$A19,Import!G:G)</f>
        <v>-188338.95</v>
      </c>
      <c r="M19" s="99">
        <f>SUMIF(Import!$B:$B,$A19,Import!H:H)</f>
        <v>-182065</v>
      </c>
      <c r="N19" s="99">
        <f>SUMIF(Import!$B:$B,$A19,Import!I:I)</f>
        <v>-82146.73</v>
      </c>
      <c r="O19" s="99">
        <f>SUMIF(Import!$B:$B,$A19,Import!J:J)</f>
        <v>-163280</v>
      </c>
      <c r="P19" s="99">
        <f t="shared" si="14"/>
        <v>18785</v>
      </c>
      <c r="Q19" s="99">
        <f>SUMIF(Import!$B:$B,$A19,Import!K:K)</f>
        <v>-167663</v>
      </c>
      <c r="R19" s="99">
        <f>SUMIF(Import!$B:$B,$A19,Import!L:L)</f>
        <v>0</v>
      </c>
      <c r="S19" s="99">
        <f>SUMIF(Import!$B:$B,$A19,Import!M:M)</f>
        <v>0</v>
      </c>
      <c r="T19" s="99">
        <f>SUMIF(Import!$B:$B,$A19,Import!N:N)</f>
        <v>-167663</v>
      </c>
      <c r="U19" s="99">
        <f t="shared" si="15"/>
        <v>14402</v>
      </c>
      <c r="V19" s="255">
        <f t="shared" si="16"/>
        <v>-7.9103616840139557E-2</v>
      </c>
      <c r="W19" s="102" t="s">
        <v>2186</v>
      </c>
      <c r="X19" s="102"/>
      <c r="Y19" s="102">
        <f t="shared" si="18"/>
        <v>-167663</v>
      </c>
      <c r="Z19" s="309">
        <f>Y19*(1+VLOOKUP($F19,'GL Category'!$A:$H,4,FALSE))</f>
        <v>-172692.89</v>
      </c>
      <c r="AA19" s="615"/>
      <c r="AB19" s="622">
        <f t="shared" si="19"/>
        <v>-172692.89</v>
      </c>
      <c r="AC19" s="633">
        <f>AB19*(1+VLOOKUP($F19,'GL Category'!$A:$H,5,FALSE))</f>
        <v>-177873.67670000001</v>
      </c>
      <c r="AE19" s="622">
        <f t="shared" si="20"/>
        <v>-177873.67670000001</v>
      </c>
      <c r="AF19" s="633">
        <f>AE19*(1+VLOOKUP($F19,'GL Category'!$A:$H,6,FALSE))</f>
        <v>-183209.88700100002</v>
      </c>
      <c r="AH19" s="622">
        <f t="shared" si="21"/>
        <v>-183209.88700100002</v>
      </c>
      <c r="AI19" s="633">
        <f>AH19*(1+VLOOKUP($F19,'GL Category'!$A:$H,7,FALSE))</f>
        <v>-188706.18361103002</v>
      </c>
      <c r="AK19" s="622">
        <f t="shared" si="22"/>
        <v>-188706.18361103002</v>
      </c>
      <c r="AL19" s="633">
        <f>AK19*(1+VLOOKUP($F19,'GL Category'!$A:$H,8,FALSE))</f>
        <v>-194367.36911936093</v>
      </c>
      <c r="AN19" s="622">
        <f t="shared" si="23"/>
        <v>-194367.36911936093</v>
      </c>
    </row>
    <row r="20" spans="1:40" ht="15" customHeight="1">
      <c r="A20" s="555" t="s">
        <v>2187</v>
      </c>
      <c r="B20" s="217" t="str">
        <f t="shared" si="6"/>
        <v>100</v>
      </c>
      <c r="C20" s="217" t="str">
        <f t="shared" si="7"/>
        <v>00</v>
      </c>
      <c r="D20" s="101" t="str">
        <f t="shared" si="8"/>
        <v>000</v>
      </c>
      <c r="E20" s="217" t="str">
        <f t="shared" si="9"/>
        <v>100-00-000</v>
      </c>
      <c r="F20" s="294" t="str">
        <f t="shared" si="10"/>
        <v>40350</v>
      </c>
      <c r="G20" s="295" t="str">
        <f>VLOOKUP(F20,'GL Category'!A:C,3,FALSE)</f>
        <v>OTHER TAXES</v>
      </c>
      <c r="H20" s="98" t="str">
        <f>VLOOKUP(F20,'GL Category'!A:C,2,FALSE)</f>
        <v>FRANCHISE FEES-SBC/AT&amp;T</v>
      </c>
      <c r="I20" s="99">
        <f>SUMIF(Import!$B:$B,$A20,Import!D:D)</f>
        <v>-31267.42</v>
      </c>
      <c r="J20" s="99">
        <f>SUMIF(Import!$B:$B,$A20,Import!E:E)</f>
        <v>-10398.83</v>
      </c>
      <c r="K20" s="99">
        <f>SUMIF(Import!$B:$B,$A20,Import!F:F)</f>
        <v>-8736.69</v>
      </c>
      <c r="L20" s="99">
        <f>SUMIF(Import!$B:$B,$A20,Import!G:G)</f>
        <v>-7719.42</v>
      </c>
      <c r="M20" s="99">
        <f>SUMIF(Import!$B:$B,$A20,Import!H:H)</f>
        <v>0</v>
      </c>
      <c r="N20" s="99">
        <f>SUMIF(Import!$B:$B,$A20,Import!I:I)</f>
        <v>-3639.62</v>
      </c>
      <c r="O20" s="99">
        <f>SUMIF(Import!$B:$B,$A20,Import!J:J)</f>
        <v>-6920</v>
      </c>
      <c r="P20" s="99">
        <f t="shared" si="14"/>
        <v>-6920</v>
      </c>
      <c r="Q20" s="99">
        <f>SUMIF(Import!$B:$B,$A20,Import!K:K)</f>
        <v>0</v>
      </c>
      <c r="R20" s="99">
        <f>SUMIF(Import!$B:$B,$A20,Import!L:L)</f>
        <v>0</v>
      </c>
      <c r="S20" s="99">
        <f>SUMIF(Import!$B:$B,$A20,Import!M:M)</f>
        <v>0</v>
      </c>
      <c r="T20" s="99">
        <f>SUMIF(Import!$B:$B,$A20,Import!N:N)</f>
        <v>0</v>
      </c>
      <c r="U20" s="99">
        <f t="shared" si="15"/>
        <v>0</v>
      </c>
      <c r="V20" s="255" t="str">
        <f t="shared" si="16"/>
        <v>N/A</v>
      </c>
      <c r="W20" s="102" t="s">
        <v>2187</v>
      </c>
      <c r="X20" s="102"/>
      <c r="Y20" s="102">
        <f t="shared" si="18"/>
        <v>0</v>
      </c>
      <c r="Z20" s="309">
        <f>Y20*(1+VLOOKUP($F20,'GL Category'!$A:$H,4,FALSE))</f>
        <v>0</v>
      </c>
      <c r="AA20" s="615"/>
      <c r="AB20" s="622">
        <f t="shared" si="19"/>
        <v>0</v>
      </c>
      <c r="AC20" s="633">
        <f>AB20*(1+VLOOKUP($F20,'GL Category'!$A:$H,5,FALSE))</f>
        <v>0</v>
      </c>
      <c r="AE20" s="622">
        <f t="shared" si="20"/>
        <v>0</v>
      </c>
      <c r="AF20" s="633">
        <f>AE20*(1+VLOOKUP($F20,'GL Category'!$A:$H,6,FALSE))</f>
        <v>0</v>
      </c>
      <c r="AH20" s="622">
        <f t="shared" si="21"/>
        <v>0</v>
      </c>
      <c r="AI20" s="633">
        <f>AH20*(1+VLOOKUP($F20,'GL Category'!$A:$H,7,FALSE))</f>
        <v>0</v>
      </c>
      <c r="AK20" s="622">
        <f t="shared" si="22"/>
        <v>0</v>
      </c>
      <c r="AL20" s="633">
        <f>AK20*(1+VLOOKUP($F20,'GL Category'!$A:$H,8,FALSE))</f>
        <v>0</v>
      </c>
      <c r="AN20" s="622">
        <f t="shared" si="23"/>
        <v>0</v>
      </c>
    </row>
    <row r="21" spans="1:40" ht="15" customHeight="1">
      <c r="A21" s="555" t="s">
        <v>2188</v>
      </c>
      <c r="B21" s="217" t="str">
        <f t="shared" si="6"/>
        <v>100</v>
      </c>
      <c r="C21" s="217" t="str">
        <f t="shared" si="7"/>
        <v>00</v>
      </c>
      <c r="D21" s="101" t="str">
        <f t="shared" si="8"/>
        <v>000</v>
      </c>
      <c r="E21" s="217" t="str">
        <f t="shared" si="9"/>
        <v>100-00-000</v>
      </c>
      <c r="F21" s="294" t="str">
        <f t="shared" si="10"/>
        <v>40360</v>
      </c>
      <c r="G21" s="295" t="str">
        <f>VLOOKUP(F21,'GL Category'!A:C,3,FALSE)</f>
        <v>OTHER TAXES</v>
      </c>
      <c r="H21" s="98" t="str">
        <f>VLOOKUP(F21,'GL Category'!A:C,2,FALSE)</f>
        <v>FRANCHISE FEES-SOLID WASTE</v>
      </c>
      <c r="I21" s="99">
        <f>SUMIF(Import!$B:$B,$A21,Import!D:D)</f>
        <v>-351707.16</v>
      </c>
      <c r="J21" s="99">
        <f>SUMIF(Import!$B:$B,$A21,Import!E:E)</f>
        <v>-390129.29</v>
      </c>
      <c r="K21" s="99">
        <f>SUMIF(Import!$B:$B,$A21,Import!F:F)</f>
        <v>-383121.05</v>
      </c>
      <c r="L21" s="99">
        <f>SUMIF(Import!$B:$B,$A21,Import!G:G)</f>
        <v>-430278.73</v>
      </c>
      <c r="M21" s="99">
        <f>SUMIF(Import!$B:$B,$A21,Import!H:H)</f>
        <v>-354067</v>
      </c>
      <c r="N21" s="99">
        <f>SUMIF(Import!$B:$B,$A21,Import!I:I)</f>
        <v>-278937.28999999998</v>
      </c>
      <c r="O21" s="99">
        <f>SUMIF(Import!$B:$B,$A21,Import!J:J)</f>
        <v>-392892</v>
      </c>
      <c r="P21" s="99">
        <f t="shared" si="14"/>
        <v>-38825</v>
      </c>
      <c r="Q21" s="99">
        <f>SUMIF(Import!$B:$B,$A21,Import!K:K)</f>
        <v>-382316</v>
      </c>
      <c r="R21" s="99">
        <f>SUMIF(Import!$B:$B,$A21,Import!L:L)</f>
        <v>0</v>
      </c>
      <c r="S21" s="99">
        <f>SUMIF(Import!$B:$B,$A21,Import!M:M)</f>
        <v>0</v>
      </c>
      <c r="T21" s="99">
        <f>SUMIF(Import!$B:$B,$A21,Import!N:N)</f>
        <v>-382316</v>
      </c>
      <c r="U21" s="99">
        <f t="shared" si="15"/>
        <v>-28249</v>
      </c>
      <c r="V21" s="255">
        <f t="shared" si="16"/>
        <v>7.9784334603337781E-2</v>
      </c>
      <c r="W21" s="102" t="s">
        <v>2188</v>
      </c>
      <c r="X21" s="102"/>
      <c r="Y21" s="102">
        <f t="shared" si="18"/>
        <v>-382316</v>
      </c>
      <c r="Z21" s="309">
        <f>Y21*(1+VLOOKUP($F21,'GL Category'!$A:$H,4,FALSE))</f>
        <v>-393785.48</v>
      </c>
      <c r="AA21" s="615"/>
      <c r="AB21" s="622">
        <f t="shared" si="19"/>
        <v>-393785.48</v>
      </c>
      <c r="AC21" s="633">
        <f>AB21*(1+VLOOKUP($F21,'GL Category'!$A:$H,5,FALSE))</f>
        <v>-405599.04440000001</v>
      </c>
      <c r="AE21" s="622">
        <f t="shared" si="20"/>
        <v>-405599.04440000001</v>
      </c>
      <c r="AF21" s="633">
        <f>AE21*(1+VLOOKUP($F21,'GL Category'!$A:$H,6,FALSE))</f>
        <v>-417767.015732</v>
      </c>
      <c r="AH21" s="622">
        <f t="shared" si="21"/>
        <v>-417767.015732</v>
      </c>
      <c r="AI21" s="633">
        <f>AH21*(1+VLOOKUP($F21,'GL Category'!$A:$H,7,FALSE))</f>
        <v>-430300.02620396001</v>
      </c>
      <c r="AK21" s="622">
        <f t="shared" si="22"/>
        <v>-430300.02620396001</v>
      </c>
      <c r="AL21" s="633">
        <f>AK21*(1+VLOOKUP($F21,'GL Category'!$A:$H,8,FALSE))</f>
        <v>-443209.0269900788</v>
      </c>
      <c r="AN21" s="622">
        <f t="shared" si="23"/>
        <v>-443209.0269900788</v>
      </c>
    </row>
    <row r="22" spans="1:40" ht="15" customHeight="1">
      <c r="A22" s="555" t="s">
        <v>2189</v>
      </c>
      <c r="B22" s="217" t="str">
        <f t="shared" si="6"/>
        <v>100</v>
      </c>
      <c r="C22" s="217" t="str">
        <f t="shared" si="7"/>
        <v>00</v>
      </c>
      <c r="D22" s="101" t="str">
        <f t="shared" si="8"/>
        <v>000</v>
      </c>
      <c r="E22" s="217" t="str">
        <f t="shared" si="9"/>
        <v>100-00-000</v>
      </c>
      <c r="F22" s="294" t="str">
        <f t="shared" si="10"/>
        <v>40370</v>
      </c>
      <c r="G22" s="295" t="str">
        <f>VLOOKUP(F22,'GL Category'!A:C,3,FALSE)</f>
        <v>OTHER TAXES</v>
      </c>
      <c r="H22" s="98" t="str">
        <f>VLOOKUP(F22,'GL Category'!A:C,2,FALSE)</f>
        <v>FRANCHISE/IN-LIEU OF TAXES-W&amp;S</v>
      </c>
      <c r="I22" s="99">
        <f>SUMIF(Import!$B:$B,$A22,Import!D:D)</f>
        <v>-1378039</v>
      </c>
      <c r="J22" s="99">
        <f>SUMIF(Import!$B:$B,$A22,Import!E:E)</f>
        <v>-1369250</v>
      </c>
      <c r="K22" s="99">
        <f>SUMIF(Import!$B:$B,$A22,Import!F:F)</f>
        <v>-1394585</v>
      </c>
      <c r="L22" s="99">
        <f>SUMIF(Import!$B:$B,$A22,Import!G:G)</f>
        <v>-1380075</v>
      </c>
      <c r="M22" s="99">
        <f>SUMIF(Import!$B:$B,$A22,Import!H:H)</f>
        <v>-1643681</v>
      </c>
      <c r="N22" s="99">
        <f>SUMIF(Import!$B:$B,$A22,Import!I:I)</f>
        <v>-1232760.75</v>
      </c>
      <c r="O22" s="99">
        <f>SUMIF(Import!$B:$B,$A22,Import!J:J)</f>
        <v>-1643681</v>
      </c>
      <c r="P22" s="99">
        <f t="shared" si="14"/>
        <v>0</v>
      </c>
      <c r="Q22" s="99">
        <f>SUMIF(Import!$B:$B,$A22,Import!K:K)</f>
        <v>-1647281</v>
      </c>
      <c r="R22" s="99">
        <f>SUMIF(Import!$B:$B,$A22,Import!L:L)</f>
        <v>0</v>
      </c>
      <c r="S22" s="99">
        <f>SUMIF(Import!$B:$B,$A22,Import!M:M)</f>
        <v>0</v>
      </c>
      <c r="T22" s="99">
        <f>SUMIF(Import!$B:$B,$A22,Import!N:N)</f>
        <v>-1647281</v>
      </c>
      <c r="U22" s="99">
        <f t="shared" si="15"/>
        <v>-3600</v>
      </c>
      <c r="V22" s="255">
        <f t="shared" si="16"/>
        <v>2.190206007126605E-3</v>
      </c>
      <c r="W22" s="102" t="s">
        <v>2189</v>
      </c>
      <c r="X22" s="102"/>
      <c r="Y22" s="102">
        <f t="shared" si="18"/>
        <v>-1647281</v>
      </c>
      <c r="Z22" s="309">
        <f>Y22*(1+VLOOKUP($F22,'GL Category'!$A:$H,4,FALSE))</f>
        <v>-1696699.43</v>
      </c>
      <c r="AA22" s="615"/>
      <c r="AB22" s="622">
        <f t="shared" si="19"/>
        <v>-1696699.43</v>
      </c>
      <c r="AC22" s="633">
        <f>AB22*(1+VLOOKUP($F22,'GL Category'!$A:$H,5,FALSE))</f>
        <v>-1747600.4128999999</v>
      </c>
      <c r="AE22" s="622">
        <f t="shared" si="20"/>
        <v>-1747600.4128999999</v>
      </c>
      <c r="AF22" s="633">
        <f>AE22*(1+VLOOKUP($F22,'GL Category'!$A:$H,6,FALSE))</f>
        <v>-1800028.4252869999</v>
      </c>
      <c r="AH22" s="622">
        <f t="shared" si="21"/>
        <v>-1800028.4252869999</v>
      </c>
      <c r="AI22" s="633">
        <f>AH22*(1+VLOOKUP($F22,'GL Category'!$A:$H,7,FALSE))</f>
        <v>-1854029.2780456101</v>
      </c>
      <c r="AK22" s="622">
        <f t="shared" si="22"/>
        <v>-1854029.2780456101</v>
      </c>
      <c r="AL22" s="633">
        <f>AK22*(1+VLOOKUP($F22,'GL Category'!$A:$H,8,FALSE))</f>
        <v>-1909650.1563869785</v>
      </c>
      <c r="AN22" s="622">
        <f t="shared" si="23"/>
        <v>-1909650.1563869785</v>
      </c>
    </row>
    <row r="23" spans="1:40" ht="15" customHeight="1">
      <c r="A23" s="555" t="s">
        <v>2190</v>
      </c>
      <c r="B23" s="217" t="str">
        <f t="shared" si="6"/>
        <v>100</v>
      </c>
      <c r="C23" s="217" t="str">
        <f t="shared" si="7"/>
        <v>00</v>
      </c>
      <c r="D23" s="101" t="str">
        <f t="shared" si="8"/>
        <v>000</v>
      </c>
      <c r="E23" s="217" t="str">
        <f t="shared" si="9"/>
        <v>100-00-000</v>
      </c>
      <c r="F23" s="294" t="str">
        <f t="shared" si="10"/>
        <v>40380</v>
      </c>
      <c r="G23" s="295" t="str">
        <f>VLOOKUP(F23,'GL Category'!A:C,3,FALSE)</f>
        <v>OTHER TAXES</v>
      </c>
      <c r="H23" s="98" t="str">
        <f>VLOOKUP(F23,'GL Category'!A:C,2,FALSE)</f>
        <v>FRANCHISE/IN-LIEU OF TAXES-DRG</v>
      </c>
      <c r="I23" s="99">
        <f>SUMIF(Import!$B:$B,$A23,Import!D:D)</f>
        <v>-108550</v>
      </c>
      <c r="J23" s="99">
        <f>SUMIF(Import!$B:$B,$A23,Import!E:E)</f>
        <v>-107392</v>
      </c>
      <c r="K23" s="99">
        <f>SUMIF(Import!$B:$B,$A23,Import!F:F)</f>
        <v>-126430</v>
      </c>
      <c r="L23" s="99">
        <f>SUMIF(Import!$B:$B,$A23,Import!G:G)</f>
        <v>-125791</v>
      </c>
      <c r="M23" s="99">
        <f>SUMIF(Import!$B:$B,$A23,Import!H:H)</f>
        <v>-125123</v>
      </c>
      <c r="N23" s="99">
        <f>SUMIF(Import!$B:$B,$A23,Import!I:I)</f>
        <v>-93842.25</v>
      </c>
      <c r="O23" s="99">
        <f>SUMIF(Import!$B:$B,$A23,Import!J:J)</f>
        <v>-125123</v>
      </c>
      <c r="P23" s="99">
        <f t="shared" si="14"/>
        <v>0</v>
      </c>
      <c r="Q23" s="99">
        <f>SUMIF(Import!$B:$B,$A23,Import!K:K)</f>
        <v>-115442</v>
      </c>
      <c r="R23" s="99">
        <f>SUMIF(Import!$B:$B,$A23,Import!L:L)</f>
        <v>0</v>
      </c>
      <c r="S23" s="99">
        <f>SUMIF(Import!$B:$B,$A23,Import!M:M)</f>
        <v>0</v>
      </c>
      <c r="T23" s="99">
        <f>SUMIF(Import!$B:$B,$A23,Import!N:N)</f>
        <v>-115442</v>
      </c>
      <c r="U23" s="99">
        <f t="shared" si="15"/>
        <v>9681</v>
      </c>
      <c r="V23" s="255">
        <f t="shared" si="16"/>
        <v>-7.7371866083773555E-2</v>
      </c>
      <c r="W23" s="102" t="s">
        <v>2190</v>
      </c>
      <c r="X23" s="102"/>
      <c r="Y23" s="102">
        <f t="shared" si="18"/>
        <v>-115442</v>
      </c>
      <c r="Z23" s="309">
        <f>Y23*(1+VLOOKUP($F23,'GL Category'!$A:$H,4,FALSE))</f>
        <v>-118905.26000000001</v>
      </c>
      <c r="AA23" s="615"/>
      <c r="AB23" s="622">
        <f t="shared" si="19"/>
        <v>-118905.26000000001</v>
      </c>
      <c r="AC23" s="633">
        <f>AB23*(1+VLOOKUP($F23,'GL Category'!$A:$H,5,FALSE))</f>
        <v>-122472.41780000001</v>
      </c>
      <c r="AE23" s="622">
        <f t="shared" si="20"/>
        <v>-122472.41780000001</v>
      </c>
      <c r="AF23" s="633">
        <f>AE23*(1+VLOOKUP($F23,'GL Category'!$A:$H,6,FALSE))</f>
        <v>-126146.59033400001</v>
      </c>
      <c r="AH23" s="622">
        <f t="shared" si="21"/>
        <v>-126146.59033400001</v>
      </c>
      <c r="AI23" s="633">
        <f>AH23*(1+VLOOKUP($F23,'GL Category'!$A:$H,7,FALSE))</f>
        <v>-129930.98804402001</v>
      </c>
      <c r="AK23" s="622">
        <f t="shared" si="22"/>
        <v>-129930.98804402001</v>
      </c>
      <c r="AL23" s="633">
        <f>AK23*(1+VLOOKUP($F23,'GL Category'!$A:$H,8,FALSE))</f>
        <v>-133828.91768534062</v>
      </c>
      <c r="AN23" s="622">
        <f t="shared" si="23"/>
        <v>-133828.91768534062</v>
      </c>
    </row>
    <row r="24" spans="1:40" ht="15" customHeight="1">
      <c r="A24" s="555" t="s">
        <v>2191</v>
      </c>
      <c r="B24" s="217" t="str">
        <f t="shared" si="6"/>
        <v>100</v>
      </c>
      <c r="C24" s="217" t="str">
        <f t="shared" si="7"/>
        <v>00</v>
      </c>
      <c r="D24" s="101" t="str">
        <f t="shared" si="8"/>
        <v>000</v>
      </c>
      <c r="E24" s="217" t="str">
        <f t="shared" si="9"/>
        <v>100-00-000</v>
      </c>
      <c r="F24" s="294" t="str">
        <f t="shared" si="10"/>
        <v>40391</v>
      </c>
      <c r="G24" s="295" t="str">
        <f>VLOOKUP(F24,'GL Category'!A:C,3,FALSE)</f>
        <v>OTHER TAXES</v>
      </c>
      <c r="H24" s="98" t="str">
        <f>VLOOKUP(F24,'GL Category'!A:C,2,FALSE)</f>
        <v>FRANCHISE FEE-ONE SOURCE COMM</v>
      </c>
      <c r="I24" s="99">
        <f>SUMIF(Import!$B:$B,$A24,Import!D:D)</f>
        <v>-30881.82</v>
      </c>
      <c r="J24" s="99">
        <f>SUMIF(Import!$B:$B,$A24,Import!E:E)</f>
        <v>-25056.13</v>
      </c>
      <c r="K24" s="99">
        <f>SUMIF(Import!$B:$B,$A24,Import!F:F)</f>
        <v>-20294.919999999998</v>
      </c>
      <c r="L24" s="99">
        <f>SUMIF(Import!$B:$B,$A24,Import!G:G)</f>
        <v>-19331.54</v>
      </c>
      <c r="M24" s="99">
        <f>SUMIF(Import!$B:$B,$A24,Import!H:H)</f>
        <v>-18211</v>
      </c>
      <c r="N24" s="99">
        <f>SUMIF(Import!$B:$B,$A24,Import!I:I)</f>
        <v>-4393.7700000000004</v>
      </c>
      <c r="O24" s="99">
        <f>SUMIF(Import!$B:$B,$A24,Import!J:J)</f>
        <v>-9612</v>
      </c>
      <c r="P24" s="99">
        <f t="shared" si="14"/>
        <v>8599</v>
      </c>
      <c r="Q24" s="99">
        <f>SUMIF(Import!$B:$B,$A24,Import!K:K)</f>
        <v>-15379</v>
      </c>
      <c r="R24" s="99">
        <f>SUMIF(Import!$B:$B,$A24,Import!L:L)</f>
        <v>0</v>
      </c>
      <c r="S24" s="99">
        <f>SUMIF(Import!$B:$B,$A24,Import!M:M)</f>
        <v>0</v>
      </c>
      <c r="T24" s="99">
        <f>SUMIF(Import!$B:$B,$A24,Import!N:N)</f>
        <v>-15379</v>
      </c>
      <c r="U24" s="99">
        <f t="shared" si="15"/>
        <v>2832</v>
      </c>
      <c r="V24" s="255">
        <f t="shared" si="16"/>
        <v>-0.15551040579869313</v>
      </c>
      <c r="W24" s="102" t="s">
        <v>2191</v>
      </c>
      <c r="X24" s="102"/>
      <c r="Y24" s="102">
        <f t="shared" si="18"/>
        <v>-15379</v>
      </c>
      <c r="Z24" s="309">
        <f>Y24*(1+VLOOKUP($F24,'GL Category'!$A:$H,4,FALSE))</f>
        <v>-15840.37</v>
      </c>
      <c r="AA24" s="615"/>
      <c r="AB24" s="622">
        <f t="shared" si="19"/>
        <v>-15840.37</v>
      </c>
      <c r="AC24" s="633">
        <f>AB24*(1+VLOOKUP($F24,'GL Category'!$A:$H,5,FALSE))</f>
        <v>-16315.581100000001</v>
      </c>
      <c r="AE24" s="622">
        <f t="shared" si="20"/>
        <v>-16315.581100000001</v>
      </c>
      <c r="AF24" s="633">
        <f>AE24*(1+VLOOKUP($F24,'GL Category'!$A:$H,6,FALSE))</f>
        <v>-16805.048533000001</v>
      </c>
      <c r="AH24" s="622">
        <f t="shared" si="21"/>
        <v>-16805.048533000001</v>
      </c>
      <c r="AI24" s="633">
        <f>AH24*(1+VLOOKUP($F24,'GL Category'!$A:$H,7,FALSE))</f>
        <v>-17309.19998899</v>
      </c>
      <c r="AK24" s="622">
        <f t="shared" si="22"/>
        <v>-17309.19998899</v>
      </c>
      <c r="AL24" s="633">
        <f>AK24*(1+VLOOKUP($F24,'GL Category'!$A:$H,8,FALSE))</f>
        <v>-17828.475988659698</v>
      </c>
      <c r="AN24" s="622">
        <f t="shared" si="23"/>
        <v>-17828.475988659698</v>
      </c>
    </row>
    <row r="25" spans="1:40" ht="15" customHeight="1">
      <c r="A25" s="555" t="s">
        <v>2192</v>
      </c>
      <c r="B25" s="217" t="str">
        <f t="shared" si="6"/>
        <v>100</v>
      </c>
      <c r="C25" s="217" t="str">
        <f t="shared" si="7"/>
        <v>00</v>
      </c>
      <c r="D25" s="101" t="str">
        <f t="shared" si="8"/>
        <v>000</v>
      </c>
      <c r="E25" s="217" t="str">
        <f t="shared" si="9"/>
        <v>100-00-000</v>
      </c>
      <c r="F25" s="294" t="str">
        <f t="shared" si="10"/>
        <v>40399</v>
      </c>
      <c r="G25" s="295" t="str">
        <f>VLOOKUP(F25,'GL Category'!A:C,3,FALSE)</f>
        <v>OTHER TAXES</v>
      </c>
      <c r="H25" s="98" t="str">
        <f>VLOOKUP(F25,'GL Category'!A:C,2,FALSE)</f>
        <v>FRANCHISE FEES-OTHER MISC</v>
      </c>
      <c r="I25" s="99">
        <f>SUMIF(Import!$B:$B,$A25,Import!D:D)</f>
        <v>-11191.24</v>
      </c>
      <c r="J25" s="99">
        <f>SUMIF(Import!$B:$B,$A25,Import!E:E)</f>
        <v>-9446.48</v>
      </c>
      <c r="K25" s="99">
        <f>SUMIF(Import!$B:$B,$A25,Import!F:F)</f>
        <v>-16341.19</v>
      </c>
      <c r="L25" s="99">
        <f>SUMIF(Import!$B:$B,$A25,Import!G:G)</f>
        <v>-9817.0300000000007</v>
      </c>
      <c r="M25" s="99">
        <f>SUMIF(Import!$B:$B,$A25,Import!H:H)</f>
        <v>-13372</v>
      </c>
      <c r="N25" s="99">
        <f>SUMIF(Import!$B:$B,$A25,Import!I:I)</f>
        <v>-6652.67</v>
      </c>
      <c r="O25" s="99">
        <f>SUMIF(Import!$B:$B,$A25,Import!J:J)</f>
        <v>-11716</v>
      </c>
      <c r="P25" s="99">
        <f t="shared" si="14"/>
        <v>1656</v>
      </c>
      <c r="Q25" s="99">
        <f>SUMIF(Import!$B:$B,$A25,Import!K:K)</f>
        <v>-12129</v>
      </c>
      <c r="R25" s="99">
        <f>SUMIF(Import!$B:$B,$A25,Import!L:L)</f>
        <v>0</v>
      </c>
      <c r="S25" s="99">
        <f>SUMIF(Import!$B:$B,$A25,Import!M:M)</f>
        <v>0</v>
      </c>
      <c r="T25" s="99">
        <f>SUMIF(Import!$B:$B,$A25,Import!N:N)</f>
        <v>-12129</v>
      </c>
      <c r="U25" s="99">
        <f t="shared" si="15"/>
        <v>1243</v>
      </c>
      <c r="V25" s="255">
        <f t="shared" si="16"/>
        <v>-9.2955429255159983E-2</v>
      </c>
      <c r="W25" s="102" t="s">
        <v>2192</v>
      </c>
      <c r="X25" s="102"/>
      <c r="Y25" s="102">
        <f t="shared" si="18"/>
        <v>-12129</v>
      </c>
      <c r="Z25" s="309">
        <f>Y25*(1+VLOOKUP($F25,'GL Category'!$A:$H,4,FALSE))</f>
        <v>-12492.87</v>
      </c>
      <c r="AA25" s="615"/>
      <c r="AB25" s="622">
        <f t="shared" si="19"/>
        <v>-12492.87</v>
      </c>
      <c r="AC25" s="633">
        <f>AB25*(1+VLOOKUP($F25,'GL Category'!$A:$H,5,FALSE))</f>
        <v>-12867.656100000002</v>
      </c>
      <c r="AE25" s="622">
        <f t="shared" si="20"/>
        <v>-12867.656100000002</v>
      </c>
      <c r="AF25" s="633">
        <f>AE25*(1+VLOOKUP($F25,'GL Category'!$A:$H,6,FALSE))</f>
        <v>-13253.685783000003</v>
      </c>
      <c r="AH25" s="622">
        <f t="shared" si="21"/>
        <v>-13253.685783000003</v>
      </c>
      <c r="AI25" s="633">
        <f>AH25*(1+VLOOKUP($F25,'GL Category'!$A:$H,7,FALSE))</f>
        <v>-13651.296356490004</v>
      </c>
      <c r="AK25" s="622">
        <f t="shared" si="22"/>
        <v>-13651.296356490004</v>
      </c>
      <c r="AL25" s="633">
        <f>AK25*(1+VLOOKUP($F25,'GL Category'!$A:$H,8,FALSE))</f>
        <v>-14060.835247184705</v>
      </c>
      <c r="AN25" s="622">
        <f t="shared" si="23"/>
        <v>-14060.835247184705</v>
      </c>
    </row>
    <row r="26" spans="1:40" ht="15" customHeight="1">
      <c r="A26" s="555" t="s">
        <v>2193</v>
      </c>
      <c r="B26" s="217" t="str">
        <f t="shared" si="6"/>
        <v>100</v>
      </c>
      <c r="C26" s="217" t="str">
        <f t="shared" si="7"/>
        <v>00</v>
      </c>
      <c r="D26" s="101" t="str">
        <f t="shared" si="8"/>
        <v>000</v>
      </c>
      <c r="E26" s="217" t="str">
        <f t="shared" si="9"/>
        <v>100-00-000</v>
      </c>
      <c r="F26" s="294" t="str">
        <f t="shared" si="10"/>
        <v>40400</v>
      </c>
      <c r="G26" s="295" t="str">
        <f>VLOOKUP(F26,'GL Category'!A:C,3,FALSE)</f>
        <v>OTHER TAXES</v>
      </c>
      <c r="H26" s="590" t="str">
        <f>VLOOKUP(F26,'GL Category'!A:C,2,FALSE)</f>
        <v>MIXED BEVERAGE TAXES</v>
      </c>
      <c r="I26" s="561">
        <f>SUMIF(Import!$B:$B,$A26,Import!D:D)</f>
        <v>-115076.69</v>
      </c>
      <c r="J26" s="561">
        <f>SUMIF(Import!$B:$B,$A26,Import!E:E)</f>
        <v>-148376.22</v>
      </c>
      <c r="K26" s="561">
        <f>SUMIF(Import!$B:$B,$A26,Import!F:F)</f>
        <v>-188556.96</v>
      </c>
      <c r="L26" s="561">
        <f>SUMIF(Import!$B:$B,$A26,Import!G:G)</f>
        <v>-217096.76</v>
      </c>
      <c r="M26" s="561">
        <f>SUMIF(Import!$B:$B,$A26,Import!H:H)</f>
        <v>-194772</v>
      </c>
      <c r="N26" s="561">
        <f>SUMIF(Import!$B:$B,$A26,Import!I:I)</f>
        <v>-160356.21</v>
      </c>
      <c r="O26" s="561">
        <f>SUMIF(Import!$B:$B,$A26,Import!J:J)</f>
        <v>-198544</v>
      </c>
      <c r="P26" s="561">
        <f t="shared" si="14"/>
        <v>-3772</v>
      </c>
      <c r="Q26" s="561">
        <f>SUMIF(Import!$B:$B,$A26,Import!K:K)</f>
        <v>-198544</v>
      </c>
      <c r="R26" s="561">
        <f>SUMIF(Import!$B:$B,$A26,Import!L:L)</f>
        <v>0</v>
      </c>
      <c r="S26" s="561">
        <f>SUMIF(Import!$B:$B,$A26,Import!M:M)</f>
        <v>0</v>
      </c>
      <c r="T26" s="561">
        <f>SUMIF(Import!$B:$B,$A26,Import!N:N)</f>
        <v>-198544</v>
      </c>
      <c r="U26" s="561">
        <f t="shared" si="15"/>
        <v>-3772</v>
      </c>
      <c r="V26" s="255">
        <f t="shared" si="16"/>
        <v>1.9366233339494388E-2</v>
      </c>
      <c r="W26" s="102" t="s">
        <v>2193</v>
      </c>
      <c r="X26" s="102"/>
      <c r="Y26" s="102">
        <f t="shared" si="18"/>
        <v>-198544</v>
      </c>
      <c r="Z26" s="309">
        <f>Y26*(1+VLOOKUP($F26,'GL Category'!$A:$H,4,FALSE))</f>
        <v>-204500.32</v>
      </c>
      <c r="AA26" s="615"/>
      <c r="AB26" s="622">
        <f t="shared" si="19"/>
        <v>-204500.32</v>
      </c>
      <c r="AC26" s="633">
        <f>AB26*(1+VLOOKUP($F26,'GL Category'!$A:$H,5,FALSE))</f>
        <v>-210635.32960000003</v>
      </c>
      <c r="AE26" s="622">
        <f t="shared" si="20"/>
        <v>-210635.32960000003</v>
      </c>
      <c r="AF26" s="633">
        <f>AE26*(1+VLOOKUP($F26,'GL Category'!$A:$H,6,FALSE))</f>
        <v>-216954.38948800004</v>
      </c>
      <c r="AH26" s="622">
        <f t="shared" si="21"/>
        <v>-216954.38948800004</v>
      </c>
      <c r="AI26" s="633">
        <f>AH26*(1+VLOOKUP($F26,'GL Category'!$A:$H,7,FALSE))</f>
        <v>-223463.02117264006</v>
      </c>
      <c r="AK26" s="622">
        <f t="shared" si="22"/>
        <v>-223463.02117264006</v>
      </c>
      <c r="AL26" s="633">
        <f>AK26*(1+VLOOKUP($F26,'GL Category'!$A:$H,8,FALSE))</f>
        <v>-230166.91180781927</v>
      </c>
      <c r="AN26" s="622">
        <f t="shared" si="23"/>
        <v>-230166.91180781927</v>
      </c>
    </row>
    <row r="27" spans="1:40" ht="15" customHeight="1">
      <c r="A27" s="555" t="s">
        <v>2194</v>
      </c>
      <c r="B27" s="217" t="str">
        <f t="shared" si="6"/>
        <v>100</v>
      </c>
      <c r="C27" s="217" t="str">
        <f t="shared" si="7"/>
        <v>00</v>
      </c>
      <c r="D27" s="101" t="str">
        <f t="shared" si="8"/>
        <v>000</v>
      </c>
      <c r="E27" s="217" t="str">
        <f t="shared" si="9"/>
        <v>100-00-000</v>
      </c>
      <c r="F27" s="294" t="str">
        <f t="shared" si="10"/>
        <v>41010</v>
      </c>
      <c r="G27" s="295" t="str">
        <f>VLOOKUP(F27,'GL Category'!A:C,3,FALSE)</f>
        <v>LICENSES AND PERMITS</v>
      </c>
      <c r="H27" s="98" t="str">
        <f>VLOOKUP(F27,'GL Category'!A:C,2,FALSE)</f>
        <v>PLUMBING PERMITS</v>
      </c>
      <c r="I27" s="99">
        <f>SUMIF(Import!$B:$B,$A27,Import!D:D)</f>
        <v>-48480</v>
      </c>
      <c r="J27" s="99">
        <f>SUMIF(Import!$B:$B,$A27,Import!E:E)</f>
        <v>-68985.179999999993</v>
      </c>
      <c r="K27" s="99">
        <f>SUMIF(Import!$B:$B,$A27,Import!F:F)</f>
        <v>-62794.82</v>
      </c>
      <c r="L27" s="99">
        <f>SUMIF(Import!$B:$B,$A27,Import!G:G)</f>
        <v>-49095</v>
      </c>
      <c r="M27" s="99">
        <f>SUMIF(Import!$B:$B,$A27,Import!H:H)</f>
        <v>-50977</v>
      </c>
      <c r="N27" s="99">
        <f>SUMIF(Import!$B:$B,$A27,Import!I:I)</f>
        <v>-71805</v>
      </c>
      <c r="O27" s="99">
        <f>SUMIF(Import!$B:$B,$A27,Import!J:J)</f>
        <v>-93533</v>
      </c>
      <c r="P27" s="99">
        <f t="shared" si="14"/>
        <v>-42556</v>
      </c>
      <c r="Q27" s="99">
        <f>SUMIF(Import!$B:$B,$A27,Import!K:K)</f>
        <v>-93533</v>
      </c>
      <c r="R27" s="99">
        <f>SUMIF(Import!$B:$B,$A27,Import!L:L)</f>
        <v>0</v>
      </c>
      <c r="S27" s="99">
        <f>SUMIF(Import!$B:$B,$A27,Import!M:M)</f>
        <v>0</v>
      </c>
      <c r="T27" s="99">
        <f>SUMIF(Import!$B:$B,$A27,Import!N:N)</f>
        <v>-93533</v>
      </c>
      <c r="U27" s="99">
        <f t="shared" si="15"/>
        <v>-42556</v>
      </c>
      <c r="V27" s="255">
        <f t="shared" si="16"/>
        <v>0.83480785452262785</v>
      </c>
      <c r="W27" s="102" t="s">
        <v>2194</v>
      </c>
      <c r="X27" s="102"/>
      <c r="Y27" s="102">
        <f t="shared" si="18"/>
        <v>-93533</v>
      </c>
      <c r="Z27" s="309">
        <f>Y27*(1+VLOOKUP($F27,'GL Category'!$A:$H,4,FALSE))</f>
        <v>-91662.34</v>
      </c>
      <c r="AA27" s="615"/>
      <c r="AB27" s="622">
        <f t="shared" si="19"/>
        <v>-91662.34</v>
      </c>
      <c r="AC27" s="633">
        <f>AB27*(1+VLOOKUP($F27,'GL Category'!$A:$H,5,FALSE))</f>
        <v>-89829.093199999988</v>
      </c>
      <c r="AE27" s="622">
        <f t="shared" si="20"/>
        <v>-89829.093199999988</v>
      </c>
      <c r="AF27" s="633">
        <f>AE27*(1+VLOOKUP($F27,'GL Category'!$A:$H,6,FALSE))</f>
        <v>-88032.511335999981</v>
      </c>
      <c r="AH27" s="622">
        <f t="shared" si="21"/>
        <v>-88032.511335999981</v>
      </c>
      <c r="AI27" s="633">
        <f>AH27*(1+VLOOKUP($F27,'GL Category'!$A:$H,7,FALSE))</f>
        <v>-86271.861109279984</v>
      </c>
      <c r="AK27" s="622">
        <f t="shared" si="22"/>
        <v>-86271.861109279984</v>
      </c>
      <c r="AL27" s="633">
        <f>AK27*(1+VLOOKUP($F27,'GL Category'!$A:$H,8,FALSE))</f>
        <v>-84546.423887094381</v>
      </c>
      <c r="AN27" s="622">
        <f t="shared" si="23"/>
        <v>-84546.423887094381</v>
      </c>
    </row>
    <row r="28" spans="1:40" ht="15" customHeight="1">
      <c r="A28" s="555" t="s">
        <v>2195</v>
      </c>
      <c r="B28" s="217" t="str">
        <f t="shared" si="6"/>
        <v>100</v>
      </c>
      <c r="C28" s="217" t="str">
        <f t="shared" si="7"/>
        <v>00</v>
      </c>
      <c r="D28" s="101" t="str">
        <f t="shared" si="8"/>
        <v>000</v>
      </c>
      <c r="E28" s="217" t="str">
        <f t="shared" si="9"/>
        <v>100-00-000</v>
      </c>
      <c r="F28" s="294" t="str">
        <f t="shared" si="10"/>
        <v>41020</v>
      </c>
      <c r="G28" s="295" t="str">
        <f>VLOOKUP(F28,'GL Category'!A:C,3,FALSE)</f>
        <v>LICENSES AND PERMITS</v>
      </c>
      <c r="H28" s="98" t="str">
        <f>VLOOKUP(F28,'GL Category'!A:C,2,FALSE)</f>
        <v>MECHANICAL PERMITS</v>
      </c>
      <c r="I28" s="99">
        <f>SUMIF(Import!$B:$B,$A28,Import!D:D)</f>
        <v>-28465</v>
      </c>
      <c r="J28" s="99">
        <f>SUMIF(Import!$B:$B,$A28,Import!E:E)</f>
        <v>-43000</v>
      </c>
      <c r="K28" s="99">
        <f>SUMIF(Import!$B:$B,$A28,Import!F:F)</f>
        <v>-30024</v>
      </c>
      <c r="L28" s="99">
        <f>SUMIF(Import!$B:$B,$A28,Import!G:G)</f>
        <v>-23485</v>
      </c>
      <c r="M28" s="99">
        <f>SUMIF(Import!$B:$B,$A28,Import!H:H)</f>
        <v>-30597</v>
      </c>
      <c r="N28" s="99">
        <f>SUMIF(Import!$B:$B,$A28,Import!I:I)</f>
        <v>-37095</v>
      </c>
      <c r="O28" s="99">
        <f>SUMIF(Import!$B:$B,$A28,Import!J:J)</f>
        <v>-50632</v>
      </c>
      <c r="P28" s="99">
        <f t="shared" si="14"/>
        <v>-20035</v>
      </c>
      <c r="Q28" s="99">
        <f>SUMIF(Import!$B:$B,$A28,Import!K:K)</f>
        <v>-34055</v>
      </c>
      <c r="R28" s="99">
        <f>SUMIF(Import!$B:$B,$A28,Import!L:L)</f>
        <v>0</v>
      </c>
      <c r="S28" s="99">
        <f>SUMIF(Import!$B:$B,$A28,Import!M:M)</f>
        <v>0</v>
      </c>
      <c r="T28" s="99">
        <f>SUMIF(Import!$B:$B,$A28,Import!N:N)</f>
        <v>-34055</v>
      </c>
      <c r="U28" s="99">
        <f t="shared" si="15"/>
        <v>-3458</v>
      </c>
      <c r="V28" s="255">
        <f t="shared" si="16"/>
        <v>0.11301761610615424</v>
      </c>
      <c r="W28" s="102" t="s">
        <v>2195</v>
      </c>
      <c r="X28" s="102"/>
      <c r="Y28" s="102">
        <f t="shared" si="18"/>
        <v>-34055</v>
      </c>
      <c r="Z28" s="309">
        <f>Y28*(1+VLOOKUP($F28,'GL Category'!$A:$H,4,FALSE))</f>
        <v>-33373.9</v>
      </c>
      <c r="AA28" s="615"/>
      <c r="AB28" s="622">
        <f t="shared" si="19"/>
        <v>-33373.9</v>
      </c>
      <c r="AC28" s="633">
        <f>AB28*(1+VLOOKUP($F28,'GL Category'!$A:$H,5,FALSE))</f>
        <v>-32706.422000000002</v>
      </c>
      <c r="AE28" s="622">
        <f t="shared" si="20"/>
        <v>-32706.422000000002</v>
      </c>
      <c r="AF28" s="633">
        <f>AE28*(1+VLOOKUP($F28,'GL Category'!$A:$H,6,FALSE))</f>
        <v>-32052.293560000002</v>
      </c>
      <c r="AH28" s="622">
        <f t="shared" si="21"/>
        <v>-32052.293560000002</v>
      </c>
      <c r="AI28" s="633">
        <f>AH28*(1+VLOOKUP($F28,'GL Category'!$A:$H,7,FALSE))</f>
        <v>-31411.247688800002</v>
      </c>
      <c r="AK28" s="622">
        <f t="shared" si="22"/>
        <v>-31411.247688800002</v>
      </c>
      <c r="AL28" s="633">
        <f>AK28*(1+VLOOKUP($F28,'GL Category'!$A:$H,8,FALSE))</f>
        <v>-30783.022735024002</v>
      </c>
      <c r="AN28" s="622">
        <f t="shared" si="23"/>
        <v>-30783.022735024002</v>
      </c>
    </row>
    <row r="29" spans="1:40" ht="15" customHeight="1">
      <c r="A29" s="555" t="s">
        <v>2196</v>
      </c>
      <c r="B29" s="217" t="str">
        <f t="shared" si="6"/>
        <v>100</v>
      </c>
      <c r="C29" s="217" t="str">
        <f t="shared" si="7"/>
        <v>00</v>
      </c>
      <c r="D29" s="101" t="str">
        <f t="shared" si="8"/>
        <v>000</v>
      </c>
      <c r="E29" s="217" t="str">
        <f t="shared" si="9"/>
        <v>100-00-000</v>
      </c>
      <c r="F29" s="294" t="str">
        <f t="shared" si="10"/>
        <v>41030</v>
      </c>
      <c r="G29" s="295" t="str">
        <f>VLOOKUP(F29,'GL Category'!A:C,3,FALSE)</f>
        <v>LICENSES AND PERMITS</v>
      </c>
      <c r="H29" s="98" t="str">
        <f>VLOOKUP(F29,'GL Category'!A:C,2,FALSE)</f>
        <v>BUILDING &amp; C.O. PERMITS</v>
      </c>
      <c r="I29" s="99">
        <f>SUMIF(Import!$B:$B,$A29,Import!D:D)</f>
        <v>-664403.49</v>
      </c>
      <c r="J29" s="99">
        <f>SUMIF(Import!$B:$B,$A29,Import!E:E)</f>
        <v>-1188500.3899999999</v>
      </c>
      <c r="K29" s="99">
        <f>SUMIF(Import!$B:$B,$A29,Import!F:F)</f>
        <v>-835323.89</v>
      </c>
      <c r="L29" s="99">
        <f>SUMIF(Import!$B:$B,$A29,Import!G:G)</f>
        <v>-529643.5</v>
      </c>
      <c r="M29" s="99">
        <f>SUMIF(Import!$B:$B,$A29,Import!H:H)</f>
        <v>-531207</v>
      </c>
      <c r="N29" s="99">
        <f>SUMIF(Import!$B:$B,$A29,Import!I:I)</f>
        <v>-460722.74</v>
      </c>
      <c r="O29" s="99">
        <f>SUMIF(Import!$B:$B,$A29,Import!J:J)</f>
        <v>-609123</v>
      </c>
      <c r="P29" s="99">
        <f t="shared" si="14"/>
        <v>-77916</v>
      </c>
      <c r="Q29" s="99">
        <f>SUMIF(Import!$B:$B,$A29,Import!K:K)</f>
        <v>-609123</v>
      </c>
      <c r="R29" s="99">
        <f>SUMIF(Import!$B:$B,$A29,Import!L:L)</f>
        <v>0</v>
      </c>
      <c r="S29" s="99">
        <f>SUMIF(Import!$B:$B,$A29,Import!M:M)</f>
        <v>0</v>
      </c>
      <c r="T29" s="99">
        <f>SUMIF(Import!$B:$B,$A29,Import!N:N)</f>
        <v>-609123</v>
      </c>
      <c r="U29" s="99">
        <f t="shared" si="15"/>
        <v>-77916</v>
      </c>
      <c r="V29" s="255">
        <f t="shared" si="16"/>
        <v>0.14667728399663416</v>
      </c>
      <c r="W29" s="102" t="s">
        <v>2196</v>
      </c>
      <c r="X29" s="102"/>
      <c r="Y29" s="102">
        <f t="shared" si="18"/>
        <v>-609123</v>
      </c>
      <c r="Z29" s="309">
        <f>Y29*(1+VLOOKUP($F29,'GL Category'!$A:$H,4,FALSE))</f>
        <v>-596940.54</v>
      </c>
      <c r="AA29" s="615"/>
      <c r="AB29" s="622">
        <f t="shared" si="19"/>
        <v>-596940.54</v>
      </c>
      <c r="AC29" s="633">
        <f>AB29*(1+VLOOKUP($F29,'GL Category'!$A:$H,5,FALSE))</f>
        <v>-585001.72920000006</v>
      </c>
      <c r="AE29" s="622">
        <f t="shared" si="20"/>
        <v>-585001.72920000006</v>
      </c>
      <c r="AF29" s="633">
        <f>AE29*(1+VLOOKUP($F29,'GL Category'!$A:$H,6,FALSE))</f>
        <v>-573301.69461600005</v>
      </c>
      <c r="AH29" s="622">
        <f t="shared" si="21"/>
        <v>-573301.69461600005</v>
      </c>
      <c r="AI29" s="633">
        <f>AH29*(1+VLOOKUP($F29,'GL Category'!$A:$H,7,FALSE))</f>
        <v>-561835.66072368005</v>
      </c>
      <c r="AK29" s="622">
        <f t="shared" si="22"/>
        <v>-561835.66072368005</v>
      </c>
      <c r="AL29" s="633">
        <f>AK29*(1+VLOOKUP($F29,'GL Category'!$A:$H,8,FALSE))</f>
        <v>-550598.94750920648</v>
      </c>
      <c r="AN29" s="622">
        <f t="shared" si="23"/>
        <v>-550598.94750920648</v>
      </c>
    </row>
    <row r="30" spans="1:40" ht="15" customHeight="1">
      <c r="A30" s="555" t="s">
        <v>2197</v>
      </c>
      <c r="B30" s="217" t="str">
        <f t="shared" si="6"/>
        <v>100</v>
      </c>
      <c r="C30" s="217" t="str">
        <f t="shared" si="7"/>
        <v>00</v>
      </c>
      <c r="D30" s="101" t="str">
        <f t="shared" si="8"/>
        <v>000</v>
      </c>
      <c r="E30" s="217" t="str">
        <f t="shared" si="9"/>
        <v>100-00-000</v>
      </c>
      <c r="F30" s="294" t="str">
        <f t="shared" si="10"/>
        <v>41040</v>
      </c>
      <c r="G30" s="295" t="str">
        <f>VLOOKUP(F30,'GL Category'!A:C,3,FALSE)</f>
        <v>LICENSES AND PERMITS</v>
      </c>
      <c r="H30" s="98" t="str">
        <f>VLOOKUP(F30,'GL Category'!A:C,2,FALSE)</f>
        <v>FENCE, SIGN &amp; MISC PERMITS</v>
      </c>
      <c r="I30" s="99">
        <f>SUMIF(Import!$B:$B,$A30,Import!D:D)</f>
        <v>-17250</v>
      </c>
      <c r="J30" s="99">
        <f>SUMIF(Import!$B:$B,$A30,Import!E:E)</f>
        <v>-16050</v>
      </c>
      <c r="K30" s="99">
        <f>SUMIF(Import!$B:$B,$A30,Import!F:F)</f>
        <v>-20675</v>
      </c>
      <c r="L30" s="99">
        <f>SUMIF(Import!$B:$B,$A30,Import!G:G)</f>
        <v>-17600</v>
      </c>
      <c r="M30" s="99">
        <f>SUMIF(Import!$B:$B,$A30,Import!H:H)</f>
        <v>-18721</v>
      </c>
      <c r="N30" s="99">
        <f>SUMIF(Import!$B:$B,$A30,Import!I:I)</f>
        <v>-14317.5</v>
      </c>
      <c r="O30" s="99">
        <f>SUMIF(Import!$B:$B,$A30,Import!J:J)</f>
        <v>-18205</v>
      </c>
      <c r="P30" s="99">
        <f t="shared" si="14"/>
        <v>516</v>
      </c>
      <c r="Q30" s="99">
        <f>SUMIF(Import!$B:$B,$A30,Import!K:K)</f>
        <v>-18672</v>
      </c>
      <c r="R30" s="99">
        <f>SUMIF(Import!$B:$B,$A30,Import!L:L)</f>
        <v>0</v>
      </c>
      <c r="S30" s="99">
        <f>SUMIF(Import!$B:$B,$A30,Import!M:M)</f>
        <v>0</v>
      </c>
      <c r="T30" s="99">
        <f>SUMIF(Import!$B:$B,$A30,Import!N:N)</f>
        <v>-18672</v>
      </c>
      <c r="U30" s="99">
        <f t="shared" si="15"/>
        <v>49</v>
      </c>
      <c r="V30" s="255">
        <f t="shared" si="16"/>
        <v>-2.617381550130915E-3</v>
      </c>
      <c r="W30" s="102" t="s">
        <v>2197</v>
      </c>
      <c r="X30" s="102"/>
      <c r="Y30" s="102">
        <f t="shared" si="18"/>
        <v>-18672</v>
      </c>
      <c r="Z30" s="309">
        <f>Y30*(1+VLOOKUP($F30,'GL Category'!$A:$H,4,FALSE))</f>
        <v>-18298.560000000001</v>
      </c>
      <c r="AA30" s="615"/>
      <c r="AB30" s="622">
        <f t="shared" si="19"/>
        <v>-18298.560000000001</v>
      </c>
      <c r="AC30" s="633">
        <f>AB30*(1+VLOOKUP($F30,'GL Category'!$A:$H,5,FALSE))</f>
        <v>-17932.588800000001</v>
      </c>
      <c r="AE30" s="622">
        <f t="shared" si="20"/>
        <v>-17932.588800000001</v>
      </c>
      <c r="AF30" s="633">
        <f>AE30*(1+VLOOKUP($F30,'GL Category'!$A:$H,6,FALSE))</f>
        <v>-17573.937024000003</v>
      </c>
      <c r="AH30" s="622">
        <f t="shared" si="21"/>
        <v>-17573.937024000003</v>
      </c>
      <c r="AI30" s="633">
        <f>AH30*(1+VLOOKUP($F30,'GL Category'!$A:$H,7,FALSE))</f>
        <v>-17222.458283520002</v>
      </c>
      <c r="AK30" s="622">
        <f t="shared" si="22"/>
        <v>-17222.458283520002</v>
      </c>
      <c r="AL30" s="633">
        <f>AK30*(1+VLOOKUP($F30,'GL Category'!$A:$H,8,FALSE))</f>
        <v>-16878.0091178496</v>
      </c>
      <c r="AN30" s="622">
        <f t="shared" si="23"/>
        <v>-16878.0091178496</v>
      </c>
    </row>
    <row r="31" spans="1:40" ht="15" customHeight="1">
      <c r="A31" s="555" t="s">
        <v>2198</v>
      </c>
      <c r="B31" s="217" t="str">
        <f t="shared" si="6"/>
        <v>100</v>
      </c>
      <c r="C31" s="217" t="str">
        <f t="shared" si="7"/>
        <v>00</v>
      </c>
      <c r="D31" s="101" t="str">
        <f t="shared" si="8"/>
        <v>000</v>
      </c>
      <c r="E31" s="217" t="str">
        <f t="shared" si="9"/>
        <v>100-00-000</v>
      </c>
      <c r="F31" s="294" t="str">
        <f t="shared" si="10"/>
        <v>41050</v>
      </c>
      <c r="G31" s="295" t="str">
        <f>VLOOKUP(F31,'GL Category'!A:C,3,FALSE)</f>
        <v>LICENSES AND PERMITS</v>
      </c>
      <c r="H31" s="98" t="str">
        <f>VLOOKUP(F31,'GL Category'!A:C,2,FALSE)</f>
        <v>SMALL CELL NODES PERMIT FEES</v>
      </c>
      <c r="I31" s="99">
        <f>SUMIF(Import!$B:$B,$A31,Import!D:D)</f>
        <v>0</v>
      </c>
      <c r="J31" s="99">
        <f>SUMIF(Import!$B:$B,$A31,Import!E:E)</f>
        <v>0</v>
      </c>
      <c r="K31" s="99">
        <f>SUMIF(Import!$B:$B,$A31,Import!F:F)</f>
        <v>0</v>
      </c>
      <c r="L31" s="99">
        <f>SUMIF(Import!$B:$B,$A31,Import!G:G)</f>
        <v>0</v>
      </c>
      <c r="M31" s="99">
        <f>SUMIF(Import!$B:$B,$A31,Import!H:H)</f>
        <v>0</v>
      </c>
      <c r="N31" s="99">
        <f>SUMIF(Import!$B:$B,$A31,Import!I:I)</f>
        <v>0</v>
      </c>
      <c r="O31" s="99">
        <f>SUMIF(Import!$B:$B,$A31,Import!J:J)</f>
        <v>0</v>
      </c>
      <c r="P31" s="99">
        <f t="shared" si="14"/>
        <v>0</v>
      </c>
      <c r="Q31" s="99">
        <f>SUMIF(Import!$B:$B,$A31,Import!K:K)</f>
        <v>0</v>
      </c>
      <c r="R31" s="99">
        <f>SUMIF(Import!$B:$B,$A31,Import!L:L)</f>
        <v>0</v>
      </c>
      <c r="S31" s="99">
        <f>SUMIF(Import!$B:$B,$A31,Import!M:M)</f>
        <v>0</v>
      </c>
      <c r="T31" s="99">
        <f>SUMIF(Import!$B:$B,$A31,Import!N:N)</f>
        <v>0</v>
      </c>
      <c r="U31" s="99">
        <f t="shared" si="15"/>
        <v>0</v>
      </c>
      <c r="V31" s="255" t="str">
        <f t="shared" si="16"/>
        <v>N/A</v>
      </c>
      <c r="W31" s="102" t="s">
        <v>2198</v>
      </c>
      <c r="X31" s="102"/>
      <c r="Y31" s="102">
        <f t="shared" si="18"/>
        <v>0</v>
      </c>
      <c r="Z31" s="309">
        <f>Y31*(1+VLOOKUP($F31,'GL Category'!$A:$H,4,FALSE))</f>
        <v>0</v>
      </c>
      <c r="AA31" s="615"/>
      <c r="AB31" s="622">
        <f t="shared" si="19"/>
        <v>0</v>
      </c>
      <c r="AC31" s="633">
        <f>AB31*(1+VLOOKUP($F31,'GL Category'!$A:$H,5,FALSE))</f>
        <v>0</v>
      </c>
      <c r="AE31" s="622">
        <f t="shared" si="20"/>
        <v>0</v>
      </c>
      <c r="AF31" s="633">
        <f>AE31*(1+VLOOKUP($F31,'GL Category'!$A:$H,6,FALSE))</f>
        <v>0</v>
      </c>
      <c r="AH31" s="622">
        <f t="shared" si="21"/>
        <v>0</v>
      </c>
      <c r="AI31" s="633">
        <f>AH31*(1+VLOOKUP($F31,'GL Category'!$A:$H,7,FALSE))</f>
        <v>0</v>
      </c>
      <c r="AK31" s="622">
        <f t="shared" si="22"/>
        <v>0</v>
      </c>
      <c r="AL31" s="633">
        <f>AK31*(1+VLOOKUP($F31,'GL Category'!$A:$H,8,FALSE))</f>
        <v>0</v>
      </c>
      <c r="AN31" s="622">
        <f t="shared" si="23"/>
        <v>0</v>
      </c>
    </row>
    <row r="32" spans="1:40" ht="15" customHeight="1">
      <c r="A32" s="555" t="s">
        <v>2199</v>
      </c>
      <c r="B32" s="217" t="str">
        <f t="shared" si="6"/>
        <v>100</v>
      </c>
      <c r="C32" s="217" t="str">
        <f t="shared" si="7"/>
        <v>00</v>
      </c>
      <c r="D32" s="101" t="str">
        <f t="shared" si="8"/>
        <v>000</v>
      </c>
      <c r="E32" s="217" t="str">
        <f t="shared" si="9"/>
        <v>100-00-000</v>
      </c>
      <c r="F32" s="294" t="str">
        <f t="shared" si="10"/>
        <v>41060</v>
      </c>
      <c r="G32" s="295" t="str">
        <f>VLOOKUP(F32,'GL Category'!A:C,3,FALSE)</f>
        <v>LICENSES AND PERMITS</v>
      </c>
      <c r="H32" s="98" t="str">
        <f>VLOOKUP(F32,'GL Category'!A:C,2,FALSE)</f>
        <v>ELECTRICAL PERMITS</v>
      </c>
      <c r="I32" s="99">
        <f>SUMIF(Import!$B:$B,$A32,Import!D:D)</f>
        <v>-12325</v>
      </c>
      <c r="J32" s="99">
        <f>SUMIF(Import!$B:$B,$A32,Import!E:E)</f>
        <v>-32155</v>
      </c>
      <c r="K32" s="99">
        <f>SUMIF(Import!$B:$B,$A32,Import!F:F)</f>
        <v>-25885</v>
      </c>
      <c r="L32" s="99">
        <f>SUMIF(Import!$B:$B,$A32,Import!G:G)</f>
        <v>-16615</v>
      </c>
      <c r="M32" s="99">
        <f>SUMIF(Import!$B:$B,$A32,Import!H:H)</f>
        <v>-19601</v>
      </c>
      <c r="N32" s="99">
        <f>SUMIF(Import!$B:$B,$A32,Import!I:I)</f>
        <v>-25995</v>
      </c>
      <c r="O32" s="99">
        <f>SUMIF(Import!$B:$B,$A32,Import!J:J)</f>
        <v>-36726</v>
      </c>
      <c r="P32" s="99">
        <f t="shared" si="14"/>
        <v>-17125</v>
      </c>
      <c r="Q32" s="99">
        <f>SUMIF(Import!$B:$B,$A32,Import!K:K)</f>
        <v>-36726</v>
      </c>
      <c r="R32" s="99">
        <f>SUMIF(Import!$B:$B,$A32,Import!L:L)</f>
        <v>0</v>
      </c>
      <c r="S32" s="99">
        <f>SUMIF(Import!$B:$B,$A32,Import!M:M)</f>
        <v>0</v>
      </c>
      <c r="T32" s="99">
        <f>SUMIF(Import!$B:$B,$A32,Import!N:N)</f>
        <v>-36726</v>
      </c>
      <c r="U32" s="99">
        <f t="shared" si="15"/>
        <v>-17125</v>
      </c>
      <c r="V32" s="255">
        <f t="shared" si="16"/>
        <v>0.87367991429008729</v>
      </c>
      <c r="W32" s="102" t="s">
        <v>2199</v>
      </c>
      <c r="X32" s="102"/>
      <c r="Y32" s="102">
        <f t="shared" si="18"/>
        <v>-36726</v>
      </c>
      <c r="Z32" s="309">
        <f>Y32*(1+VLOOKUP($F32,'GL Category'!$A:$H,4,FALSE))</f>
        <v>-35991.479999999996</v>
      </c>
      <c r="AA32" s="615"/>
      <c r="AB32" s="622">
        <f t="shared" si="19"/>
        <v>-35991.479999999996</v>
      </c>
      <c r="AC32" s="633">
        <f>AB32*(1+VLOOKUP($F32,'GL Category'!$A:$H,5,FALSE))</f>
        <v>-35271.650399999999</v>
      </c>
      <c r="AE32" s="622">
        <f t="shared" si="20"/>
        <v>-35271.650399999999</v>
      </c>
      <c r="AF32" s="633">
        <f>AE32*(1+VLOOKUP($F32,'GL Category'!$A:$H,6,FALSE))</f>
        <v>-34566.217391999999</v>
      </c>
      <c r="AH32" s="622">
        <f t="shared" si="21"/>
        <v>-34566.217391999999</v>
      </c>
      <c r="AI32" s="633">
        <f>AH32*(1+VLOOKUP($F32,'GL Category'!$A:$H,7,FALSE))</f>
        <v>-33874.893044159995</v>
      </c>
      <c r="AK32" s="622">
        <f t="shared" si="22"/>
        <v>-33874.893044159995</v>
      </c>
      <c r="AL32" s="633">
        <f>AK32*(1+VLOOKUP($F32,'GL Category'!$A:$H,8,FALSE))</f>
        <v>-33197.395183276793</v>
      </c>
      <c r="AN32" s="622">
        <f t="shared" si="23"/>
        <v>-33197.395183276793</v>
      </c>
    </row>
    <row r="33" spans="1:40" ht="15" customHeight="1">
      <c r="A33" s="555" t="s">
        <v>2200</v>
      </c>
      <c r="B33" s="217" t="str">
        <f t="shared" si="6"/>
        <v>100</v>
      </c>
      <c r="C33" s="217" t="str">
        <f t="shared" si="7"/>
        <v>00</v>
      </c>
      <c r="D33" s="101" t="str">
        <f t="shared" si="8"/>
        <v>000</v>
      </c>
      <c r="E33" s="217" t="str">
        <f t="shared" si="9"/>
        <v>100-00-000</v>
      </c>
      <c r="F33" s="294" t="str">
        <f t="shared" si="10"/>
        <v>41090</v>
      </c>
      <c r="G33" s="295" t="str">
        <f>VLOOKUP(F33,'GL Category'!A:C,3,FALSE)</f>
        <v>DEVELOPMENT FEES</v>
      </c>
      <c r="H33" s="98" t="str">
        <f>VLOOKUP(F33,'GL Category'!A:C,2,FALSE)</f>
        <v>SIDEWALK INSPECTION FEES</v>
      </c>
      <c r="I33" s="99">
        <f>SUMIF(Import!$B:$B,$A33,Import!D:D)</f>
        <v>-25094.92</v>
      </c>
      <c r="J33" s="99">
        <f>SUMIF(Import!$B:$B,$A33,Import!E:E)</f>
        <v>-28841.38</v>
      </c>
      <c r="K33" s="99">
        <f>SUMIF(Import!$B:$B,$A33,Import!F:F)</f>
        <v>-13845.05</v>
      </c>
      <c r="L33" s="99">
        <f>SUMIF(Import!$B:$B,$A33,Import!G:G)</f>
        <v>-83675.039999999994</v>
      </c>
      <c r="M33" s="99">
        <f>SUMIF(Import!$B:$B,$A33,Import!H:H)</f>
        <v>-69368</v>
      </c>
      <c r="N33" s="99">
        <f>SUMIF(Import!$B:$B,$A33,Import!I:I)</f>
        <v>-25</v>
      </c>
      <c r="O33" s="99">
        <f>SUMIF(Import!$B:$B,$A33,Import!J:J)</f>
        <v>-36</v>
      </c>
      <c r="P33" s="99">
        <f t="shared" si="14"/>
        <v>69332</v>
      </c>
      <c r="Q33" s="99">
        <f>SUMIF(Import!$B:$B,$A33,Import!K:K)</f>
        <v>-106</v>
      </c>
      <c r="R33" s="99">
        <f>SUMIF(Import!$B:$B,$A33,Import!L:L)</f>
        <v>0</v>
      </c>
      <c r="S33" s="99">
        <f>SUMIF(Import!$B:$B,$A33,Import!M:M)</f>
        <v>0</v>
      </c>
      <c r="T33" s="99">
        <f>SUMIF(Import!$B:$B,$A33,Import!N:N)</f>
        <v>-106</v>
      </c>
      <c r="U33" s="99">
        <f t="shared" si="15"/>
        <v>69262</v>
      </c>
      <c r="V33" s="255">
        <f t="shared" si="16"/>
        <v>-0.99847191788721024</v>
      </c>
      <c r="W33" s="102" t="s">
        <v>2200</v>
      </c>
      <c r="X33" s="102"/>
      <c r="Y33" s="102">
        <f t="shared" si="18"/>
        <v>-106</v>
      </c>
      <c r="Z33" s="309">
        <f>Y33*(1+VLOOKUP($F33,'GL Category'!$A:$H,4,FALSE))</f>
        <v>-103.88</v>
      </c>
      <c r="AA33" s="615"/>
      <c r="AB33" s="622">
        <f t="shared" si="19"/>
        <v>-103.88</v>
      </c>
      <c r="AC33" s="633">
        <f>AB33*(1+VLOOKUP($F33,'GL Category'!$A:$H,5,FALSE))</f>
        <v>-101.80239999999999</v>
      </c>
      <c r="AE33" s="622">
        <f t="shared" si="20"/>
        <v>-101.80239999999999</v>
      </c>
      <c r="AF33" s="633">
        <f>AE33*(1+VLOOKUP($F33,'GL Category'!$A:$H,6,FALSE))</f>
        <v>-99.766351999999983</v>
      </c>
      <c r="AH33" s="622">
        <f t="shared" si="21"/>
        <v>-99.766351999999983</v>
      </c>
      <c r="AI33" s="633">
        <f>AH33*(1+VLOOKUP($F33,'GL Category'!$A:$H,7,FALSE))</f>
        <v>-97.771024959999977</v>
      </c>
      <c r="AK33" s="622">
        <f t="shared" si="22"/>
        <v>-97.771024959999977</v>
      </c>
      <c r="AL33" s="633">
        <f>AK33*(1+VLOOKUP($F33,'GL Category'!$A:$H,8,FALSE))</f>
        <v>-95.815604460799975</v>
      </c>
      <c r="AN33" s="622">
        <f t="shared" si="23"/>
        <v>-95.815604460799975</v>
      </c>
    </row>
    <row r="34" spans="1:40" ht="15" customHeight="1">
      <c r="A34" s="555" t="s">
        <v>2201</v>
      </c>
      <c r="B34" s="217" t="str">
        <f t="shared" si="6"/>
        <v>100</v>
      </c>
      <c r="C34" s="217" t="str">
        <f t="shared" si="7"/>
        <v>00</v>
      </c>
      <c r="D34" s="101" t="str">
        <f t="shared" si="8"/>
        <v>000</v>
      </c>
      <c r="E34" s="217" t="str">
        <f t="shared" si="9"/>
        <v>100-00-000</v>
      </c>
      <c r="F34" s="294" t="str">
        <f t="shared" si="10"/>
        <v>41100</v>
      </c>
      <c r="G34" s="295" t="str">
        <f>VLOOKUP(F34,'GL Category'!A:C,3,FALSE)</f>
        <v>DEVELOPMENT FEES</v>
      </c>
      <c r="H34" s="98" t="str">
        <f>VLOOKUP(F34,'GL Category'!A:C,2,FALSE)</f>
        <v>PLAN REVIEW FEES</v>
      </c>
      <c r="I34" s="99">
        <f>SUMIF(Import!$B:$B,$A34,Import!D:D)</f>
        <v>-115517.25</v>
      </c>
      <c r="J34" s="99">
        <f>SUMIF(Import!$B:$B,$A34,Import!E:E)</f>
        <v>-278056.56</v>
      </c>
      <c r="K34" s="99">
        <f>SUMIF(Import!$B:$B,$A34,Import!F:F)</f>
        <v>-166551.47</v>
      </c>
      <c r="L34" s="99">
        <f>SUMIF(Import!$B:$B,$A34,Import!G:G)</f>
        <v>-100809.82</v>
      </c>
      <c r="M34" s="99">
        <f>SUMIF(Import!$B:$B,$A34,Import!H:H)</f>
        <v>-86603</v>
      </c>
      <c r="N34" s="99">
        <f>SUMIF(Import!$B:$B,$A34,Import!I:I)</f>
        <v>-68311.960000000006</v>
      </c>
      <c r="O34" s="99">
        <f>SUMIF(Import!$B:$B,$A34,Import!J:J)</f>
        <v>-79052</v>
      </c>
      <c r="P34" s="99">
        <f t="shared" si="14"/>
        <v>7551</v>
      </c>
      <c r="Q34" s="99">
        <f>SUMIF(Import!$B:$B,$A34,Import!K:K)</f>
        <v>-85529</v>
      </c>
      <c r="R34" s="99">
        <f>SUMIF(Import!$B:$B,$A34,Import!L:L)</f>
        <v>0</v>
      </c>
      <c r="S34" s="99">
        <f>SUMIF(Import!$B:$B,$A34,Import!M:M)</f>
        <v>0</v>
      </c>
      <c r="T34" s="99">
        <f>SUMIF(Import!$B:$B,$A34,Import!N:N)</f>
        <v>-85529</v>
      </c>
      <c r="U34" s="99">
        <f t="shared" si="15"/>
        <v>1074</v>
      </c>
      <c r="V34" s="255">
        <f t="shared" si="16"/>
        <v>-1.2401417964735595E-2</v>
      </c>
      <c r="W34" s="102" t="s">
        <v>2201</v>
      </c>
      <c r="X34" s="102"/>
      <c r="Y34" s="102">
        <f t="shared" si="18"/>
        <v>-85529</v>
      </c>
      <c r="Z34" s="309">
        <f>Y34*(1+VLOOKUP($F34,'GL Category'!$A:$H,4,FALSE))</f>
        <v>-83818.42</v>
      </c>
      <c r="AA34" s="615"/>
      <c r="AB34" s="622">
        <f t="shared" si="19"/>
        <v>-83818.42</v>
      </c>
      <c r="AC34" s="633">
        <f>AB34*(1+VLOOKUP($F34,'GL Category'!$A:$H,5,FALSE))</f>
        <v>-82142.051599999992</v>
      </c>
      <c r="AE34" s="622">
        <f t="shared" si="20"/>
        <v>-82142.051599999992</v>
      </c>
      <c r="AF34" s="633">
        <f>AE34*(1+VLOOKUP($F34,'GL Category'!$A:$H,6,FALSE))</f>
        <v>-80499.210567999995</v>
      </c>
      <c r="AH34" s="622">
        <f t="shared" si="21"/>
        <v>-80499.210567999995</v>
      </c>
      <c r="AI34" s="633">
        <f>AH34*(1+VLOOKUP($F34,'GL Category'!$A:$H,7,FALSE))</f>
        <v>-78889.226356639992</v>
      </c>
      <c r="AK34" s="622">
        <f t="shared" si="22"/>
        <v>-78889.226356639992</v>
      </c>
      <c r="AL34" s="633">
        <f>AK34*(1+VLOOKUP($F34,'GL Category'!$A:$H,8,FALSE))</f>
        <v>-77311.441829507196</v>
      </c>
      <c r="AN34" s="622">
        <f t="shared" si="23"/>
        <v>-77311.441829507196</v>
      </c>
    </row>
    <row r="35" spans="1:40" ht="15" customHeight="1">
      <c r="A35" s="555" t="s">
        <v>2202</v>
      </c>
      <c r="B35" s="217" t="str">
        <f t="shared" si="6"/>
        <v>100</v>
      </c>
      <c r="C35" s="217" t="str">
        <f t="shared" si="7"/>
        <v>00</v>
      </c>
      <c r="D35" s="101" t="str">
        <f t="shared" si="8"/>
        <v>000</v>
      </c>
      <c r="E35" s="217" t="str">
        <f t="shared" si="9"/>
        <v>100-00-000</v>
      </c>
      <c r="F35" s="294" t="str">
        <f t="shared" si="10"/>
        <v>41110</v>
      </c>
      <c r="G35" s="295" t="str">
        <f>VLOOKUP(F35,'GL Category'!A:C,3,FALSE)</f>
        <v>DEVELOPMENT FEES</v>
      </c>
      <c r="H35" s="98" t="str">
        <f>VLOOKUP(F35,'GL Category'!A:C,2,FALSE)</f>
        <v>ZONING &amp; SUBDIVISION FEES</v>
      </c>
      <c r="I35" s="99">
        <f>SUMIF(Import!$B:$B,$A35,Import!D:D)</f>
        <v>-24950.61</v>
      </c>
      <c r="J35" s="99">
        <f>SUMIF(Import!$B:$B,$A35,Import!E:E)</f>
        <v>-39612.21</v>
      </c>
      <c r="K35" s="99">
        <f>SUMIF(Import!$B:$B,$A35,Import!F:F)</f>
        <v>-30908.44</v>
      </c>
      <c r="L35" s="99">
        <f>SUMIF(Import!$B:$B,$A35,Import!G:G)</f>
        <v>-32694.76</v>
      </c>
      <c r="M35" s="99">
        <f>SUMIF(Import!$B:$B,$A35,Import!H:H)</f>
        <v>-26853</v>
      </c>
      <c r="N35" s="99">
        <f>SUMIF(Import!$B:$B,$A35,Import!I:I)</f>
        <v>-38441.1</v>
      </c>
      <c r="O35" s="99">
        <f>SUMIF(Import!$B:$B,$A35,Import!J:J)</f>
        <v>-49303</v>
      </c>
      <c r="P35" s="99">
        <f t="shared" si="14"/>
        <v>-22450</v>
      </c>
      <c r="Q35" s="99">
        <f>SUMIF(Import!$B:$B,$A35,Import!K:K)</f>
        <v>-49303</v>
      </c>
      <c r="R35" s="99">
        <f>SUMIF(Import!$B:$B,$A35,Import!L:L)</f>
        <v>0</v>
      </c>
      <c r="S35" s="99">
        <f>SUMIF(Import!$B:$B,$A35,Import!M:M)</f>
        <v>0</v>
      </c>
      <c r="T35" s="99">
        <f>SUMIF(Import!$B:$B,$A35,Import!N:N)</f>
        <v>-49303</v>
      </c>
      <c r="U35" s="99">
        <f t="shared" si="15"/>
        <v>-22450</v>
      </c>
      <c r="V35" s="255">
        <f t="shared" si="16"/>
        <v>0.83603321788999363</v>
      </c>
      <c r="W35" s="102" t="s">
        <v>2202</v>
      </c>
      <c r="X35" s="102"/>
      <c r="Y35" s="102">
        <f t="shared" si="18"/>
        <v>-49303</v>
      </c>
      <c r="Z35" s="309">
        <f>Y35*(1+VLOOKUP($F35,'GL Category'!$A:$H,4,FALSE))</f>
        <v>-48316.94</v>
      </c>
      <c r="AA35" s="615"/>
      <c r="AB35" s="622">
        <f t="shared" si="19"/>
        <v>-48316.94</v>
      </c>
      <c r="AC35" s="633">
        <f>AB35*(1+VLOOKUP($F35,'GL Category'!$A:$H,5,FALSE))</f>
        <v>-47350.601200000005</v>
      </c>
      <c r="AE35" s="622">
        <f t="shared" si="20"/>
        <v>-47350.601200000005</v>
      </c>
      <c r="AF35" s="633">
        <f>AE35*(1+VLOOKUP($F35,'GL Category'!$A:$H,6,FALSE))</f>
        <v>-46403.589176000001</v>
      </c>
      <c r="AH35" s="622">
        <f t="shared" si="21"/>
        <v>-46403.589176000001</v>
      </c>
      <c r="AI35" s="633">
        <f>AH35*(1+VLOOKUP($F35,'GL Category'!$A:$H,7,FALSE))</f>
        <v>-45475.517392480004</v>
      </c>
      <c r="AK35" s="622">
        <f t="shared" si="22"/>
        <v>-45475.517392480004</v>
      </c>
      <c r="AL35" s="633">
        <f>AK35*(1+VLOOKUP($F35,'GL Category'!$A:$H,8,FALSE))</f>
        <v>-44566.007044630402</v>
      </c>
      <c r="AN35" s="622">
        <f t="shared" si="23"/>
        <v>-44566.007044630402</v>
      </c>
    </row>
    <row r="36" spans="1:40" ht="15" customHeight="1">
      <c r="A36" s="555" t="s">
        <v>2203</v>
      </c>
      <c r="B36" s="217" t="str">
        <f t="shared" si="6"/>
        <v>100</v>
      </c>
      <c r="C36" s="217" t="str">
        <f t="shared" si="7"/>
        <v>00</v>
      </c>
      <c r="D36" s="101" t="str">
        <f t="shared" si="8"/>
        <v>000</v>
      </c>
      <c r="E36" s="217" t="str">
        <f t="shared" si="9"/>
        <v>100-00-000</v>
      </c>
      <c r="F36" s="294" t="str">
        <f t="shared" si="10"/>
        <v>41130</v>
      </c>
      <c r="G36" s="295" t="str">
        <f>VLOOKUP(F36,'GL Category'!A:C,3,FALSE)</f>
        <v>DEVELOPMENT FEES</v>
      </c>
      <c r="H36" s="98" t="str">
        <f>VLOOKUP(F36,'GL Category'!A:C,2,FALSE)</f>
        <v>STREET LIGHTING DEVELOPER FEES</v>
      </c>
      <c r="I36" s="99">
        <f>SUMIF(Import!$B:$B,$A36,Import!D:D)</f>
        <v>-1728</v>
      </c>
      <c r="J36" s="99">
        <f>SUMIF(Import!$B:$B,$A36,Import!E:E)</f>
        <v>-4300</v>
      </c>
      <c r="K36" s="99">
        <f>SUMIF(Import!$B:$B,$A36,Import!F:F)</f>
        <v>-5000</v>
      </c>
      <c r="L36" s="99">
        <f>SUMIF(Import!$B:$B,$A36,Import!G:G)</f>
        <v>-6718</v>
      </c>
      <c r="M36" s="99">
        <f>SUMIF(Import!$B:$B,$A36,Import!H:H)</f>
        <v>-4638</v>
      </c>
      <c r="N36" s="99">
        <f>SUMIF(Import!$B:$B,$A36,Import!I:I)</f>
        <v>-3250</v>
      </c>
      <c r="O36" s="99">
        <f>SUMIF(Import!$B:$B,$A36,Import!J:J)</f>
        <v>-5140</v>
      </c>
      <c r="P36" s="99">
        <f t="shared" si="14"/>
        <v>-502</v>
      </c>
      <c r="Q36" s="99">
        <f>SUMIF(Import!$B:$B,$A36,Import!K:K)</f>
        <v>-5164</v>
      </c>
      <c r="R36" s="99">
        <f>SUMIF(Import!$B:$B,$A36,Import!L:L)</f>
        <v>0</v>
      </c>
      <c r="S36" s="99">
        <f>SUMIF(Import!$B:$B,$A36,Import!M:M)</f>
        <v>0</v>
      </c>
      <c r="T36" s="99">
        <f>SUMIF(Import!$B:$B,$A36,Import!N:N)</f>
        <v>-5164</v>
      </c>
      <c r="U36" s="99">
        <f t="shared" si="15"/>
        <v>-526</v>
      </c>
      <c r="V36" s="255">
        <f t="shared" si="16"/>
        <v>0.11341095299698156</v>
      </c>
      <c r="W36" s="102" t="s">
        <v>2203</v>
      </c>
      <c r="X36" s="102"/>
      <c r="Y36" s="102">
        <f t="shared" si="18"/>
        <v>-5164</v>
      </c>
      <c r="Z36" s="309">
        <f>Y36*(1+VLOOKUP($F36,'GL Category'!$A:$H,4,FALSE))</f>
        <v>-5060.72</v>
      </c>
      <c r="AA36" s="615"/>
      <c r="AB36" s="622">
        <f t="shared" si="19"/>
        <v>-5060.72</v>
      </c>
      <c r="AC36" s="633">
        <f>AB36*(1+VLOOKUP($F36,'GL Category'!$A:$H,5,FALSE))</f>
        <v>-4959.5056000000004</v>
      </c>
      <c r="AE36" s="622">
        <f t="shared" si="20"/>
        <v>-4959.5056000000004</v>
      </c>
      <c r="AF36" s="633">
        <f>AE36*(1+VLOOKUP($F36,'GL Category'!$A:$H,6,FALSE))</f>
        <v>-4860.3154880000002</v>
      </c>
      <c r="AH36" s="622">
        <f t="shared" si="21"/>
        <v>-4860.3154880000002</v>
      </c>
      <c r="AI36" s="633">
        <f>AH36*(1+VLOOKUP($F36,'GL Category'!$A:$H,7,FALSE))</f>
        <v>-4763.1091782399999</v>
      </c>
      <c r="AK36" s="622">
        <f t="shared" si="22"/>
        <v>-4763.1091782399999</v>
      </c>
      <c r="AL36" s="633">
        <f>AK36*(1+VLOOKUP($F36,'GL Category'!$A:$H,8,FALSE))</f>
        <v>-4667.8469946752002</v>
      </c>
      <c r="AN36" s="622">
        <f t="shared" si="23"/>
        <v>-4667.8469946752002</v>
      </c>
    </row>
    <row r="37" spans="1:40" ht="15" customHeight="1">
      <c r="A37" s="555" t="s">
        <v>2204</v>
      </c>
      <c r="B37" s="217" t="str">
        <f t="shared" si="6"/>
        <v>100</v>
      </c>
      <c r="C37" s="217" t="str">
        <f t="shared" si="7"/>
        <v>00</v>
      </c>
      <c r="D37" s="101" t="str">
        <f t="shared" si="8"/>
        <v>000</v>
      </c>
      <c r="E37" s="217" t="str">
        <f t="shared" si="9"/>
        <v>100-00-000</v>
      </c>
      <c r="F37" s="294" t="str">
        <f t="shared" si="10"/>
        <v>41150</v>
      </c>
      <c r="G37" s="295" t="str">
        <f>VLOOKUP(F37,'GL Category'!A:C,3,FALSE)</f>
        <v>DEVELOPMENT FEES</v>
      </c>
      <c r="H37" s="98" t="str">
        <f>VLOOKUP(F37,'GL Category'!A:C,2,FALSE)</f>
        <v>STREET SIGN FEES</v>
      </c>
      <c r="I37" s="99">
        <f>SUMIF(Import!$B:$B,$A37,Import!D:D)</f>
        <v>0</v>
      </c>
      <c r="J37" s="99">
        <f>SUMIF(Import!$B:$B,$A37,Import!E:E)</f>
        <v>0</v>
      </c>
      <c r="K37" s="99">
        <f>SUMIF(Import!$B:$B,$A37,Import!F:F)</f>
        <v>0</v>
      </c>
      <c r="L37" s="99">
        <f>SUMIF(Import!$B:$B,$A37,Import!G:G)</f>
        <v>0</v>
      </c>
      <c r="M37" s="99">
        <f>SUMIF(Import!$B:$B,$A37,Import!H:H)</f>
        <v>0</v>
      </c>
      <c r="N37" s="99">
        <f>SUMIF(Import!$B:$B,$A37,Import!I:I)</f>
        <v>0</v>
      </c>
      <c r="O37" s="99">
        <f>SUMIF(Import!$B:$B,$A37,Import!J:J)</f>
        <v>0</v>
      </c>
      <c r="P37" s="99">
        <f t="shared" si="14"/>
        <v>0</v>
      </c>
      <c r="Q37" s="99">
        <f>SUMIF(Import!$B:$B,$A37,Import!K:K)</f>
        <v>0</v>
      </c>
      <c r="R37" s="99">
        <f>SUMIF(Import!$B:$B,$A37,Import!L:L)</f>
        <v>0</v>
      </c>
      <c r="S37" s="99">
        <f>SUMIF(Import!$B:$B,$A37,Import!M:M)</f>
        <v>0</v>
      </c>
      <c r="T37" s="99">
        <f>SUMIF(Import!$B:$B,$A37,Import!N:N)</f>
        <v>0</v>
      </c>
      <c r="U37" s="99">
        <f t="shared" si="15"/>
        <v>0</v>
      </c>
      <c r="V37" s="255" t="str">
        <f t="shared" si="16"/>
        <v>N/A</v>
      </c>
      <c r="W37" s="102" t="s">
        <v>2204</v>
      </c>
      <c r="X37" s="102"/>
      <c r="Y37" s="102">
        <f t="shared" si="18"/>
        <v>0</v>
      </c>
      <c r="Z37" s="309">
        <f>Y37*(1+VLOOKUP($F37,'GL Category'!$A:$H,4,FALSE))</f>
        <v>0</v>
      </c>
      <c r="AA37" s="615"/>
      <c r="AB37" s="622">
        <f t="shared" si="19"/>
        <v>0</v>
      </c>
      <c r="AC37" s="633">
        <f>AB37*(1+VLOOKUP($F37,'GL Category'!$A:$H,5,FALSE))</f>
        <v>0</v>
      </c>
      <c r="AE37" s="622">
        <f t="shared" si="20"/>
        <v>0</v>
      </c>
      <c r="AF37" s="633">
        <f>AE37*(1+VLOOKUP($F37,'GL Category'!$A:$H,6,FALSE))</f>
        <v>0</v>
      </c>
      <c r="AH37" s="622">
        <f t="shared" si="21"/>
        <v>0</v>
      </c>
      <c r="AI37" s="633">
        <f>AH37*(1+VLOOKUP($F37,'GL Category'!$A:$H,7,FALSE))</f>
        <v>0</v>
      </c>
      <c r="AK37" s="622">
        <f t="shared" si="22"/>
        <v>0</v>
      </c>
      <c r="AL37" s="633">
        <f>AK37*(1+VLOOKUP($F37,'GL Category'!$A:$H,8,FALSE))</f>
        <v>0</v>
      </c>
      <c r="AN37" s="622">
        <f t="shared" si="23"/>
        <v>0</v>
      </c>
    </row>
    <row r="38" spans="1:40" ht="15" customHeight="1">
      <c r="A38" s="555" t="s">
        <v>2205</v>
      </c>
      <c r="B38" s="217" t="str">
        <f t="shared" si="6"/>
        <v>100</v>
      </c>
      <c r="C38" s="217" t="str">
        <f t="shared" si="7"/>
        <v>00</v>
      </c>
      <c r="D38" s="101" t="str">
        <f t="shared" si="8"/>
        <v>000</v>
      </c>
      <c r="E38" s="217" t="str">
        <f t="shared" si="9"/>
        <v>100-00-000</v>
      </c>
      <c r="F38" s="294" t="str">
        <f t="shared" si="10"/>
        <v>41190</v>
      </c>
      <c r="G38" s="295" t="str">
        <f>VLOOKUP(F38,'GL Category'!A:C,3,FALSE)</f>
        <v>DEVELOPMENT FEES</v>
      </c>
      <c r="H38" s="98" t="str">
        <f>VLOOKUP(F38,'GL Category'!A:C,2,FALSE)</f>
        <v>OPTICOM SYSTEM FEES</v>
      </c>
      <c r="I38" s="99">
        <f>SUMIF(Import!$B:$B,$A38,Import!D:D)</f>
        <v>0</v>
      </c>
      <c r="J38" s="99">
        <f>SUMIF(Import!$B:$B,$A38,Import!E:E)</f>
        <v>0</v>
      </c>
      <c r="K38" s="99">
        <f>SUMIF(Import!$B:$B,$A38,Import!F:F)</f>
        <v>0</v>
      </c>
      <c r="L38" s="99">
        <f>SUMIF(Import!$B:$B,$A38,Import!G:G)</f>
        <v>0</v>
      </c>
      <c r="M38" s="99">
        <f>SUMIF(Import!$B:$B,$A38,Import!H:H)</f>
        <v>0</v>
      </c>
      <c r="N38" s="99">
        <f>SUMIF(Import!$B:$B,$A38,Import!I:I)</f>
        <v>0</v>
      </c>
      <c r="O38" s="99">
        <f>SUMIF(Import!$B:$B,$A38,Import!J:J)</f>
        <v>0</v>
      </c>
      <c r="P38" s="99">
        <f t="shared" si="14"/>
        <v>0</v>
      </c>
      <c r="Q38" s="99">
        <f>SUMIF(Import!$B:$B,$A38,Import!K:K)</f>
        <v>0</v>
      </c>
      <c r="R38" s="99">
        <f>SUMIF(Import!$B:$B,$A38,Import!L:L)</f>
        <v>0</v>
      </c>
      <c r="S38" s="99">
        <f>SUMIF(Import!$B:$B,$A38,Import!M:M)</f>
        <v>0</v>
      </c>
      <c r="T38" s="99">
        <f>SUMIF(Import!$B:$B,$A38,Import!N:N)</f>
        <v>0</v>
      </c>
      <c r="U38" s="99">
        <f t="shared" si="15"/>
        <v>0</v>
      </c>
      <c r="V38" s="255" t="str">
        <f t="shared" si="16"/>
        <v>N/A</v>
      </c>
      <c r="W38" s="102" t="s">
        <v>2205</v>
      </c>
      <c r="X38" s="102"/>
      <c r="Y38" s="102">
        <f t="shared" si="18"/>
        <v>0</v>
      </c>
      <c r="Z38" s="309">
        <f>Y38*(1+VLOOKUP($F38,'GL Category'!$A:$H,4,FALSE))</f>
        <v>0</v>
      </c>
      <c r="AA38" s="615"/>
      <c r="AB38" s="622">
        <f t="shared" si="19"/>
        <v>0</v>
      </c>
      <c r="AC38" s="633">
        <f>AB38*(1+VLOOKUP($F38,'GL Category'!$A:$H,5,FALSE))</f>
        <v>0</v>
      </c>
      <c r="AE38" s="622">
        <f t="shared" si="20"/>
        <v>0</v>
      </c>
      <c r="AF38" s="633">
        <f>AE38*(1+VLOOKUP($F38,'GL Category'!$A:$H,6,FALSE))</f>
        <v>0</v>
      </c>
      <c r="AH38" s="622">
        <f t="shared" si="21"/>
        <v>0</v>
      </c>
      <c r="AI38" s="633">
        <f>AH38*(1+VLOOKUP($F38,'GL Category'!$A:$H,7,FALSE))</f>
        <v>0</v>
      </c>
      <c r="AK38" s="622">
        <f t="shared" si="22"/>
        <v>0</v>
      </c>
      <c r="AL38" s="633">
        <f>AK38*(1+VLOOKUP($F38,'GL Category'!$A:$H,8,FALSE))</f>
        <v>0</v>
      </c>
      <c r="AN38" s="622">
        <f t="shared" si="23"/>
        <v>0</v>
      </c>
    </row>
    <row r="39" spans="1:40" ht="15" customHeight="1">
      <c r="A39" s="555" t="s">
        <v>2206</v>
      </c>
      <c r="B39" s="217" t="str">
        <f t="shared" si="6"/>
        <v>100</v>
      </c>
      <c r="C39" s="217" t="str">
        <f t="shared" si="7"/>
        <v>00</v>
      </c>
      <c r="D39" s="101" t="str">
        <f t="shared" si="8"/>
        <v>000</v>
      </c>
      <c r="E39" s="217" t="str">
        <f t="shared" si="9"/>
        <v>100-00-000</v>
      </c>
      <c r="F39" s="294" t="str">
        <f t="shared" si="10"/>
        <v>41500</v>
      </c>
      <c r="G39" s="295" t="str">
        <f>VLOOKUP(F39,'GL Category'!A:C,3,FALSE)</f>
        <v>FINES AND FEES</v>
      </c>
      <c r="H39" s="98" t="str">
        <f>VLOOKUP(F39,'GL Category'!A:C,2,FALSE)</f>
        <v>ANIMAL CONTROL FEES</v>
      </c>
      <c r="I39" s="99">
        <f>SUMIF(Import!$B:$B,$A39,Import!D:D)</f>
        <v>-4696.6499999999996</v>
      </c>
      <c r="J39" s="99">
        <f>SUMIF(Import!$B:$B,$A39,Import!E:E)</f>
        <v>0</v>
      </c>
      <c r="K39" s="99">
        <f>SUMIF(Import!$B:$B,$A39,Import!F:F)</f>
        <v>0</v>
      </c>
      <c r="L39" s="99">
        <f>SUMIF(Import!$B:$B,$A39,Import!G:G)</f>
        <v>0</v>
      </c>
      <c r="M39" s="99">
        <f>SUMIF(Import!$B:$B,$A39,Import!H:H)</f>
        <v>0</v>
      </c>
      <c r="N39" s="99">
        <f>SUMIF(Import!$B:$B,$A39,Import!I:I)</f>
        <v>0</v>
      </c>
      <c r="O39" s="99">
        <f>SUMIF(Import!$B:$B,$A39,Import!J:J)</f>
        <v>0</v>
      </c>
      <c r="P39" s="99">
        <f t="shared" si="14"/>
        <v>0</v>
      </c>
      <c r="Q39" s="99">
        <f>SUMIF(Import!$B:$B,$A39,Import!K:K)</f>
        <v>0</v>
      </c>
      <c r="R39" s="99">
        <f>SUMIF(Import!$B:$B,$A39,Import!L:L)</f>
        <v>0</v>
      </c>
      <c r="S39" s="99">
        <f>SUMIF(Import!$B:$B,$A39,Import!M:M)</f>
        <v>0</v>
      </c>
      <c r="T39" s="99">
        <f>SUMIF(Import!$B:$B,$A39,Import!N:N)</f>
        <v>0</v>
      </c>
      <c r="U39" s="99">
        <f t="shared" si="15"/>
        <v>0</v>
      </c>
      <c r="V39" s="255" t="str">
        <f t="shared" si="16"/>
        <v>N/A</v>
      </c>
      <c r="W39" s="102" t="s">
        <v>2206</v>
      </c>
      <c r="X39" s="102"/>
      <c r="Y39" s="102">
        <f t="shared" si="18"/>
        <v>0</v>
      </c>
      <c r="Z39" s="309">
        <f>Y39*(1+VLOOKUP($F39,'GL Category'!$A:$H,4,FALSE))</f>
        <v>0</v>
      </c>
      <c r="AA39" s="615"/>
      <c r="AB39" s="622">
        <f t="shared" si="19"/>
        <v>0</v>
      </c>
      <c r="AC39" s="633">
        <f>AB39*(1+VLOOKUP($F39,'GL Category'!$A:$H,5,FALSE))</f>
        <v>0</v>
      </c>
      <c r="AE39" s="622">
        <f t="shared" si="20"/>
        <v>0</v>
      </c>
      <c r="AF39" s="633">
        <f>AE39*(1+VLOOKUP($F39,'GL Category'!$A:$H,6,FALSE))</f>
        <v>0</v>
      </c>
      <c r="AH39" s="622">
        <f t="shared" si="21"/>
        <v>0</v>
      </c>
      <c r="AI39" s="633">
        <f>AH39*(1+VLOOKUP($F39,'GL Category'!$A:$H,7,FALSE))</f>
        <v>0</v>
      </c>
      <c r="AK39" s="622">
        <f t="shared" si="22"/>
        <v>0</v>
      </c>
      <c r="AL39" s="633">
        <f>AK39*(1+VLOOKUP($F39,'GL Category'!$A:$H,8,FALSE))</f>
        <v>0</v>
      </c>
      <c r="AN39" s="622">
        <f t="shared" si="23"/>
        <v>0</v>
      </c>
    </row>
    <row r="40" spans="1:40" ht="29.1" customHeight="1">
      <c r="A40" s="555" t="s">
        <v>2210</v>
      </c>
      <c r="B40" s="217" t="str">
        <f t="shared" si="6"/>
        <v>100</v>
      </c>
      <c r="C40" s="217" t="str">
        <f t="shared" si="7"/>
        <v>00</v>
      </c>
      <c r="D40" s="101" t="str">
        <f t="shared" si="8"/>
        <v>000</v>
      </c>
      <c r="E40" s="217" t="str">
        <f t="shared" si="9"/>
        <v>100-00-000</v>
      </c>
      <c r="F40" s="294" t="str">
        <f t="shared" si="10"/>
        <v>41510</v>
      </c>
      <c r="G40" s="295" t="str">
        <f>VLOOKUP(F40,'GL Category'!A:C,3,FALSE)</f>
        <v>CHARGES FOR SERVICE</v>
      </c>
      <c r="H40" s="98" t="str">
        <f>VLOOKUP(F40,'GL Category'!A:C,2,FALSE)</f>
        <v>AMBULANCE SERVICE FEES REVENUE</v>
      </c>
      <c r="I40" s="99">
        <f>SUMIF(Import!$B:$B,$A40,Import!D:D)</f>
        <v>-985099.48</v>
      </c>
      <c r="J40" s="99">
        <f>SUMIF(Import!$B:$B,$A40,Import!E:E)</f>
        <v>-1111999.76</v>
      </c>
      <c r="K40" s="99">
        <f>SUMIF(Import!$B:$B,$A40,Import!F:F)</f>
        <v>-1213008.1599999999</v>
      </c>
      <c r="L40" s="99">
        <f>SUMIF(Import!$B:$B,$A40,Import!G:G)</f>
        <v>-1212902.07</v>
      </c>
      <c r="M40" s="99">
        <f>SUMIF(Import!$B:$B,$A40,Import!H:H)</f>
        <v>-1085559</v>
      </c>
      <c r="N40" s="99">
        <f>SUMIF(Import!$B:$B,$A40,Import!I:I)</f>
        <v>-1170357.19</v>
      </c>
      <c r="O40" s="99">
        <f>SUMIF(Import!$B:$B,$A40,Import!J:J)</f>
        <v>-1330627</v>
      </c>
      <c r="P40" s="99">
        <f t="shared" si="14"/>
        <v>-245068</v>
      </c>
      <c r="Q40" s="99">
        <f>SUMIF(Import!$B:$B,$A40,Import!K:K)</f>
        <v>-1175682</v>
      </c>
      <c r="R40" s="99">
        <f>SUMIF(Import!$B:$B,$A40,Import!L:L)</f>
        <v>0</v>
      </c>
      <c r="S40" s="99">
        <f>SUMIF(Import!$B:$B,$A40,Import!M:M)</f>
        <v>0</v>
      </c>
      <c r="T40" s="99">
        <f>SUMIF(Import!$B:$B,$A40,Import!N:N)</f>
        <v>-1175682</v>
      </c>
      <c r="U40" s="99">
        <f t="shared" si="15"/>
        <v>-90123</v>
      </c>
      <c r="V40" s="255">
        <f t="shared" si="16"/>
        <v>8.3019900346273268E-2</v>
      </c>
      <c r="W40" s="102" t="s">
        <v>2210</v>
      </c>
      <c r="X40" s="102"/>
      <c r="Y40" s="102">
        <f t="shared" si="18"/>
        <v>-1175682</v>
      </c>
      <c r="Z40" s="309">
        <f>Y40*(1+VLOOKUP($F40,'GL Category'!$A:$H,4,FALSE))</f>
        <v>-1210952.46</v>
      </c>
      <c r="AA40" s="615"/>
      <c r="AB40" s="622">
        <f t="shared" si="19"/>
        <v>-1210952.46</v>
      </c>
      <c r="AC40" s="633">
        <f>AB40*(1+VLOOKUP($F40,'GL Category'!$A:$H,5,FALSE))</f>
        <v>-1247281.0338000001</v>
      </c>
      <c r="AE40" s="622">
        <f t="shared" si="20"/>
        <v>-1247281.0338000001</v>
      </c>
      <c r="AF40" s="633">
        <f>AE40*(1+VLOOKUP($F40,'GL Category'!$A:$H,6,FALSE))</f>
        <v>-1284699.4648140001</v>
      </c>
      <c r="AH40" s="622">
        <f t="shared" si="21"/>
        <v>-1284699.4648140001</v>
      </c>
      <c r="AI40" s="633">
        <f>AH40*(1+VLOOKUP($F40,'GL Category'!$A:$H,7,FALSE))</f>
        <v>-1323240.4487584201</v>
      </c>
      <c r="AK40" s="622">
        <f t="shared" si="22"/>
        <v>-1323240.4487584201</v>
      </c>
      <c r="AL40" s="633">
        <f>AK40*(1+VLOOKUP($F40,'GL Category'!$A:$H,8,FALSE))</f>
        <v>-1362937.6622211726</v>
      </c>
      <c r="AN40" s="622">
        <f t="shared" si="23"/>
        <v>-1362937.6622211726</v>
      </c>
    </row>
    <row r="41" spans="1:40" ht="15" customHeight="1">
      <c r="A41" s="555" t="s">
        <v>2211</v>
      </c>
      <c r="B41" s="217" t="str">
        <f t="shared" si="6"/>
        <v>100</v>
      </c>
      <c r="C41" s="217" t="str">
        <f t="shared" si="7"/>
        <v>00</v>
      </c>
      <c r="D41" s="101" t="str">
        <f t="shared" si="8"/>
        <v>000</v>
      </c>
      <c r="E41" s="217" t="str">
        <f t="shared" si="9"/>
        <v>100-00-000</v>
      </c>
      <c r="F41" s="294" t="str">
        <f t="shared" si="10"/>
        <v>41515</v>
      </c>
      <c r="G41" s="295" t="str">
        <f>VLOOKUP(F41,'GL Category'!A:C,3,FALSE)</f>
        <v>FINES AND FEES</v>
      </c>
      <c r="H41" s="98" t="str">
        <f>VLOOKUP(F41,'GL Category'!A:C,2,FALSE)</f>
        <v>ALARMS/PERMITS/MISC FEES-PD</v>
      </c>
      <c r="I41" s="99">
        <f>SUMIF(Import!$B:$B,$A41,Import!D:D)</f>
        <v>-2965.5</v>
      </c>
      <c r="J41" s="99">
        <f>SUMIF(Import!$B:$B,$A41,Import!E:E)</f>
        <v>-2122.6</v>
      </c>
      <c r="K41" s="99">
        <f>SUMIF(Import!$B:$B,$A41,Import!F:F)</f>
        <v>-3827.5</v>
      </c>
      <c r="L41" s="99">
        <f>SUMIF(Import!$B:$B,$A41,Import!G:G)</f>
        <v>-3069.6</v>
      </c>
      <c r="M41" s="99">
        <f>SUMIF(Import!$B:$B,$A41,Import!H:H)</f>
        <v>-2504</v>
      </c>
      <c r="N41" s="99">
        <f>SUMIF(Import!$B:$B,$A41,Import!I:I)</f>
        <v>-2639.3</v>
      </c>
      <c r="O41" s="99">
        <f>SUMIF(Import!$B:$B,$A41,Import!J:J)</f>
        <v>-3963</v>
      </c>
      <c r="P41" s="99">
        <f t="shared" si="14"/>
        <v>-1459</v>
      </c>
      <c r="Q41" s="99">
        <f>SUMIF(Import!$B:$B,$A41,Import!K:K)</f>
        <v>-4368</v>
      </c>
      <c r="R41" s="99">
        <f>SUMIF(Import!$B:$B,$A41,Import!L:L)</f>
        <v>0</v>
      </c>
      <c r="S41" s="99">
        <f>SUMIF(Import!$B:$B,$A41,Import!M:M)</f>
        <v>0</v>
      </c>
      <c r="T41" s="99">
        <f>SUMIF(Import!$B:$B,$A41,Import!N:N)</f>
        <v>-4368</v>
      </c>
      <c r="U41" s="99">
        <f t="shared" si="15"/>
        <v>-1864</v>
      </c>
      <c r="V41" s="255">
        <f t="shared" si="16"/>
        <v>0.74440894568690097</v>
      </c>
      <c r="W41" s="102" t="s">
        <v>2211</v>
      </c>
      <c r="X41" s="102"/>
      <c r="Y41" s="102">
        <f t="shared" si="18"/>
        <v>-4368</v>
      </c>
      <c r="Z41" s="309">
        <f>Y41*(1+VLOOKUP($F41,'GL Category'!$A:$H,4,FALSE))</f>
        <v>-4368</v>
      </c>
      <c r="AA41" s="615"/>
      <c r="AB41" s="622">
        <f t="shared" si="19"/>
        <v>-4368</v>
      </c>
      <c r="AC41" s="633">
        <f>AB41*(1+VLOOKUP($F41,'GL Category'!$A:$H,5,FALSE))</f>
        <v>-4368</v>
      </c>
      <c r="AE41" s="622">
        <f t="shared" si="20"/>
        <v>-4368</v>
      </c>
      <c r="AF41" s="633">
        <f>AE41*(1+VLOOKUP($F41,'GL Category'!$A:$H,6,FALSE))</f>
        <v>-4368</v>
      </c>
      <c r="AH41" s="622">
        <f t="shared" si="21"/>
        <v>-4368</v>
      </c>
      <c r="AI41" s="633">
        <f>AH41*(1+VLOOKUP($F41,'GL Category'!$A:$H,7,FALSE))</f>
        <v>-4368</v>
      </c>
      <c r="AK41" s="622">
        <f t="shared" si="22"/>
        <v>-4368</v>
      </c>
      <c r="AL41" s="633">
        <f>AK41*(1+VLOOKUP($F41,'GL Category'!$A:$H,8,FALSE))</f>
        <v>-4368</v>
      </c>
      <c r="AN41" s="622">
        <f t="shared" si="23"/>
        <v>-4368</v>
      </c>
    </row>
    <row r="42" spans="1:40" ht="15" customHeight="1">
      <c r="A42" s="555" t="s">
        <v>2212</v>
      </c>
      <c r="B42" s="217" t="str">
        <f t="shared" si="6"/>
        <v>100</v>
      </c>
      <c r="C42" s="217" t="str">
        <f t="shared" si="7"/>
        <v>00</v>
      </c>
      <c r="D42" s="101" t="str">
        <f t="shared" si="8"/>
        <v>000</v>
      </c>
      <c r="E42" s="217" t="str">
        <f t="shared" si="9"/>
        <v>100-00-000</v>
      </c>
      <c r="F42" s="294" t="str">
        <f t="shared" si="10"/>
        <v>41530</v>
      </c>
      <c r="G42" s="295" t="str">
        <f>VLOOKUP(F42,'GL Category'!A:C,3,FALSE)</f>
        <v>FINES AND FEES</v>
      </c>
      <c r="H42" s="590" t="str">
        <f>VLOOKUP(F42,'GL Category'!A:C,2,FALSE)</f>
        <v>PERMITS &amp; INSPECTION FEES-FIRE</v>
      </c>
      <c r="I42" s="561">
        <f>SUMIF(Import!$B:$B,$A42,Import!D:D)</f>
        <v>-31955.22</v>
      </c>
      <c r="J42" s="561">
        <f>SUMIF(Import!$B:$B,$A42,Import!E:E)</f>
        <v>-53671.79</v>
      </c>
      <c r="K42" s="561">
        <f>SUMIF(Import!$B:$B,$A42,Import!F:F)</f>
        <v>-58271.53</v>
      </c>
      <c r="L42" s="561">
        <f>SUMIF(Import!$B:$B,$A42,Import!G:G)</f>
        <v>-74697.89</v>
      </c>
      <c r="M42" s="561">
        <f>SUMIF(Import!$B:$B,$A42,Import!H:H)</f>
        <v>-50901</v>
      </c>
      <c r="N42" s="561">
        <f>SUMIF(Import!$B:$B,$A42,Import!I:I)</f>
        <v>-48475.69</v>
      </c>
      <c r="O42" s="561">
        <f>SUMIF(Import!$B:$B,$A42,Import!J:J)</f>
        <v>-58402</v>
      </c>
      <c r="P42" s="561">
        <f t="shared" si="14"/>
        <v>-7501</v>
      </c>
      <c r="Q42" s="561">
        <f>SUMIF(Import!$B:$B,$A42,Import!K:K)</f>
        <v>-57618</v>
      </c>
      <c r="R42" s="561">
        <f>SUMIF(Import!$B:$B,$A42,Import!L:L)</f>
        <v>0</v>
      </c>
      <c r="S42" s="561">
        <f>SUMIF(Import!$B:$B,$A42,Import!M:M)</f>
        <v>0</v>
      </c>
      <c r="T42" s="561">
        <f>SUMIF(Import!$B:$B,$A42,Import!N:N)</f>
        <v>-57618</v>
      </c>
      <c r="U42" s="561">
        <f t="shared" si="15"/>
        <v>-6717</v>
      </c>
      <c r="V42" s="255">
        <f t="shared" si="16"/>
        <v>0.13196204396770206</v>
      </c>
      <c r="W42" s="102" t="s">
        <v>2212</v>
      </c>
      <c r="X42" s="102"/>
      <c r="Y42" s="102">
        <f t="shared" si="18"/>
        <v>-57618</v>
      </c>
      <c r="Z42" s="309">
        <f>Y42*(1+VLOOKUP($F42,'GL Category'!$A:$H,4,FALSE))</f>
        <v>-57618</v>
      </c>
      <c r="AA42" s="615"/>
      <c r="AB42" s="622">
        <f t="shared" si="19"/>
        <v>-57618</v>
      </c>
      <c r="AC42" s="633">
        <f>AB42*(1+VLOOKUP($F42,'GL Category'!$A:$H,5,FALSE))</f>
        <v>-57618</v>
      </c>
      <c r="AE42" s="622">
        <f t="shared" si="20"/>
        <v>-57618</v>
      </c>
      <c r="AF42" s="633">
        <f>AE42*(1+VLOOKUP($F42,'GL Category'!$A:$H,6,FALSE))</f>
        <v>-57618</v>
      </c>
      <c r="AH42" s="622">
        <f t="shared" si="21"/>
        <v>-57618</v>
      </c>
      <c r="AI42" s="633">
        <f>AH42*(1+VLOOKUP($F42,'GL Category'!$A:$H,7,FALSE))</f>
        <v>-57618</v>
      </c>
      <c r="AK42" s="622">
        <f t="shared" si="22"/>
        <v>-57618</v>
      </c>
      <c r="AL42" s="633">
        <f>AK42*(1+VLOOKUP($F42,'GL Category'!$A:$H,8,FALSE))</f>
        <v>-57618</v>
      </c>
      <c r="AN42" s="622">
        <f t="shared" si="23"/>
        <v>-57618</v>
      </c>
    </row>
    <row r="43" spans="1:40" ht="15" customHeight="1">
      <c r="A43" s="555" t="s">
        <v>2213</v>
      </c>
      <c r="B43" s="217" t="str">
        <f t="shared" si="6"/>
        <v>100</v>
      </c>
      <c r="C43" s="217" t="str">
        <f t="shared" si="7"/>
        <v>00</v>
      </c>
      <c r="D43" s="101" t="str">
        <f t="shared" si="8"/>
        <v>000</v>
      </c>
      <c r="E43" s="217" t="str">
        <f t="shared" si="9"/>
        <v>100-00-000</v>
      </c>
      <c r="F43" s="294" t="str">
        <f t="shared" si="10"/>
        <v>41540</v>
      </c>
      <c r="G43" s="295" t="str">
        <f>VLOOKUP(F43,'GL Category'!A:C,3,FALSE)</f>
        <v>FINES AND FEES</v>
      </c>
      <c r="H43" s="98" t="str">
        <f>VLOOKUP(F43,'GL Category'!A:C,2,FALSE)</f>
        <v>FINGER PRINTING FEES</v>
      </c>
      <c r="I43" s="99">
        <f>SUMIF(Import!$B:$B,$A43,Import!D:D)</f>
        <v>-580</v>
      </c>
      <c r="J43" s="99">
        <f>SUMIF(Import!$B:$B,$A43,Import!E:E)</f>
        <v>-560</v>
      </c>
      <c r="K43" s="99">
        <f>SUMIF(Import!$B:$B,$A43,Import!F:F)</f>
        <v>-930</v>
      </c>
      <c r="L43" s="99">
        <f>SUMIF(Import!$B:$B,$A43,Import!G:G)</f>
        <v>-885</v>
      </c>
      <c r="M43" s="99">
        <f>SUMIF(Import!$B:$B,$A43,Import!H:H)</f>
        <v>-1052</v>
      </c>
      <c r="N43" s="99">
        <f>SUMIF(Import!$B:$B,$A43,Import!I:I)</f>
        <v>-751</v>
      </c>
      <c r="O43" s="99">
        <f>SUMIF(Import!$B:$B,$A43,Import!J:J)</f>
        <v>-1081</v>
      </c>
      <c r="P43" s="99">
        <f t="shared" si="14"/>
        <v>-29</v>
      </c>
      <c r="Q43" s="99">
        <f>SUMIF(Import!$B:$B,$A43,Import!K:K)</f>
        <v>-1081</v>
      </c>
      <c r="R43" s="99">
        <f>SUMIF(Import!$B:$B,$A43,Import!L:L)</f>
        <v>0</v>
      </c>
      <c r="S43" s="99">
        <f>SUMIF(Import!$B:$B,$A43,Import!M:M)</f>
        <v>0</v>
      </c>
      <c r="T43" s="99">
        <f>SUMIF(Import!$B:$B,$A43,Import!N:N)</f>
        <v>-1081</v>
      </c>
      <c r="U43" s="99">
        <f t="shared" si="15"/>
        <v>-29</v>
      </c>
      <c r="V43" s="255">
        <f t="shared" si="16"/>
        <v>2.7566539923954414E-2</v>
      </c>
      <c r="W43" s="102" t="s">
        <v>2213</v>
      </c>
      <c r="X43" s="102"/>
      <c r="Y43" s="102">
        <f t="shared" si="18"/>
        <v>-1081</v>
      </c>
      <c r="Z43" s="309">
        <f>Y43*(1+VLOOKUP($F43,'GL Category'!$A:$H,4,FALSE))</f>
        <v>-1081</v>
      </c>
      <c r="AA43" s="615"/>
      <c r="AB43" s="622">
        <f t="shared" si="19"/>
        <v>-1081</v>
      </c>
      <c r="AC43" s="633">
        <f>AB43*(1+VLOOKUP($F43,'GL Category'!$A:$H,5,FALSE))</f>
        <v>-1081</v>
      </c>
      <c r="AE43" s="622">
        <f t="shared" si="20"/>
        <v>-1081</v>
      </c>
      <c r="AF43" s="633">
        <f>AE43*(1+VLOOKUP($F43,'GL Category'!$A:$H,6,FALSE))</f>
        <v>-1081</v>
      </c>
      <c r="AH43" s="622">
        <f t="shared" si="21"/>
        <v>-1081</v>
      </c>
      <c r="AI43" s="633">
        <f>AH43*(1+VLOOKUP($F43,'GL Category'!$A:$H,7,FALSE))</f>
        <v>-1081</v>
      </c>
      <c r="AK43" s="622">
        <f t="shared" si="22"/>
        <v>-1081</v>
      </c>
      <c r="AL43" s="633">
        <f>AK43*(1+VLOOKUP($F43,'GL Category'!$A:$H,8,FALSE))</f>
        <v>-1081</v>
      </c>
      <c r="AN43" s="622">
        <f t="shared" si="23"/>
        <v>-1081</v>
      </c>
    </row>
    <row r="44" spans="1:40" ht="15" customHeight="1">
      <c r="A44" s="555" t="s">
        <v>2214</v>
      </c>
      <c r="B44" s="217" t="str">
        <f t="shared" si="6"/>
        <v>100</v>
      </c>
      <c r="C44" s="217" t="str">
        <f t="shared" si="7"/>
        <v>00</v>
      </c>
      <c r="D44" s="101" t="str">
        <f t="shared" si="8"/>
        <v>000</v>
      </c>
      <c r="E44" s="217" t="str">
        <f t="shared" si="9"/>
        <v>100-00-000</v>
      </c>
      <c r="F44" s="294" t="str">
        <f t="shared" si="10"/>
        <v>41550</v>
      </c>
      <c r="G44" s="295" t="str">
        <f>VLOOKUP(F44,'GL Category'!A:C,3,FALSE)</f>
        <v>FINES AND FEES</v>
      </c>
      <c r="H44" s="98" t="str">
        <f>VLOOKUP(F44,'GL Category'!A:C,2,FALSE)</f>
        <v>ALARM PERMITS-POLICE</v>
      </c>
      <c r="I44" s="99">
        <f>SUMIF(Import!$B:$B,$A44,Import!D:D)</f>
        <v>-70718.45</v>
      </c>
      <c r="J44" s="99">
        <f>SUMIF(Import!$B:$B,$A44,Import!E:E)</f>
        <v>-61517.19</v>
      </c>
      <c r="K44" s="99">
        <f>SUMIF(Import!$B:$B,$A44,Import!F:F)</f>
        <v>-57939.6</v>
      </c>
      <c r="L44" s="99">
        <f>SUMIF(Import!$B:$B,$A44,Import!G:G)</f>
        <v>-55681.99</v>
      </c>
      <c r="M44" s="99">
        <f>SUMIF(Import!$B:$B,$A44,Import!H:H)</f>
        <v>-60253</v>
      </c>
      <c r="N44" s="99">
        <f>SUMIF(Import!$B:$B,$A44,Import!I:I)</f>
        <v>-37144.21</v>
      </c>
      <c r="O44" s="99">
        <f>SUMIF(Import!$B:$B,$A44,Import!J:J)</f>
        <v>-63036</v>
      </c>
      <c r="P44" s="99">
        <f t="shared" si="14"/>
        <v>-2783</v>
      </c>
      <c r="Q44" s="99">
        <f>SUMIF(Import!$B:$B,$A44,Import!K:K)</f>
        <v>-63045</v>
      </c>
      <c r="R44" s="99">
        <f>SUMIF(Import!$B:$B,$A44,Import!L:L)</f>
        <v>0</v>
      </c>
      <c r="S44" s="99">
        <f>SUMIF(Import!$B:$B,$A44,Import!M:M)</f>
        <v>0</v>
      </c>
      <c r="T44" s="99">
        <f>SUMIF(Import!$B:$B,$A44,Import!N:N)</f>
        <v>-63045</v>
      </c>
      <c r="U44" s="99">
        <f t="shared" si="15"/>
        <v>-2792</v>
      </c>
      <c r="V44" s="255">
        <f t="shared" si="16"/>
        <v>4.6337941679252426E-2</v>
      </c>
      <c r="W44" s="102" t="s">
        <v>2214</v>
      </c>
      <c r="X44" s="102"/>
      <c r="Y44" s="102">
        <f t="shared" si="18"/>
        <v>-63045</v>
      </c>
      <c r="Z44" s="309">
        <f>Y44*(1+VLOOKUP($F44,'GL Category'!$A:$H,4,FALSE))</f>
        <v>-63045</v>
      </c>
      <c r="AA44" s="615"/>
      <c r="AB44" s="622">
        <f t="shared" si="19"/>
        <v>-63045</v>
      </c>
      <c r="AC44" s="633">
        <f>AB44*(1+VLOOKUP($F44,'GL Category'!$A:$H,5,FALSE))</f>
        <v>-63045</v>
      </c>
      <c r="AE44" s="622">
        <f t="shared" si="20"/>
        <v>-63045</v>
      </c>
      <c r="AF44" s="633">
        <f>AE44*(1+VLOOKUP($F44,'GL Category'!$A:$H,6,FALSE))</f>
        <v>-63045</v>
      </c>
      <c r="AH44" s="622">
        <f t="shared" si="21"/>
        <v>-63045</v>
      </c>
      <c r="AI44" s="633">
        <f>AH44*(1+VLOOKUP($F44,'GL Category'!$A:$H,7,FALSE))</f>
        <v>-63045</v>
      </c>
      <c r="AK44" s="622">
        <f t="shared" si="22"/>
        <v>-63045</v>
      </c>
      <c r="AL44" s="633">
        <f>AK44*(1+VLOOKUP($F44,'GL Category'!$A:$H,8,FALSE))</f>
        <v>-63045</v>
      </c>
      <c r="AN44" s="622">
        <f t="shared" si="23"/>
        <v>-63045</v>
      </c>
    </row>
    <row r="45" spans="1:40" ht="15" customHeight="1">
      <c r="A45" s="555" t="s">
        <v>2215</v>
      </c>
      <c r="B45" s="217" t="str">
        <f t="shared" si="6"/>
        <v>100</v>
      </c>
      <c r="C45" s="217" t="str">
        <f t="shared" si="7"/>
        <v>00</v>
      </c>
      <c r="D45" s="101" t="str">
        <f t="shared" si="8"/>
        <v>000</v>
      </c>
      <c r="E45" s="217" t="str">
        <f t="shared" si="9"/>
        <v>100-00-000</v>
      </c>
      <c r="F45" s="294" t="str">
        <f t="shared" si="10"/>
        <v>41555</v>
      </c>
      <c r="G45" s="295" t="str">
        <f>VLOOKUP(F45,'GL Category'!A:C,3,FALSE)</f>
        <v>FINES AND FEES</v>
      </c>
      <c r="H45" s="98" t="str">
        <f>VLOOKUP(F45,'GL Category'!A:C,2,FALSE)</f>
        <v>SOLICITOR PERMITS</v>
      </c>
      <c r="I45" s="99">
        <f>SUMIF(Import!$B:$B,$A45,Import!D:D)</f>
        <v>-8515</v>
      </c>
      <c r="J45" s="99">
        <f>SUMIF(Import!$B:$B,$A45,Import!E:E)</f>
        <v>-12360</v>
      </c>
      <c r="K45" s="99">
        <f>SUMIF(Import!$B:$B,$A45,Import!F:F)</f>
        <v>-4460</v>
      </c>
      <c r="L45" s="99">
        <f>SUMIF(Import!$B:$B,$A45,Import!G:G)</f>
        <v>-10085</v>
      </c>
      <c r="M45" s="99">
        <f>SUMIF(Import!$B:$B,$A45,Import!H:H)</f>
        <v>-8932</v>
      </c>
      <c r="N45" s="99">
        <f>SUMIF(Import!$B:$B,$A45,Import!I:I)</f>
        <v>-6705</v>
      </c>
      <c r="O45" s="99">
        <f>SUMIF(Import!$B:$B,$A45,Import!J:J)</f>
        <v>-9519</v>
      </c>
      <c r="P45" s="99">
        <f t="shared" si="14"/>
        <v>-587</v>
      </c>
      <c r="Q45" s="99">
        <f>SUMIF(Import!$B:$B,$A45,Import!K:K)</f>
        <v>-9519</v>
      </c>
      <c r="R45" s="99">
        <f>SUMIF(Import!$B:$B,$A45,Import!L:L)</f>
        <v>0</v>
      </c>
      <c r="S45" s="99">
        <f>SUMIF(Import!$B:$B,$A45,Import!M:M)</f>
        <v>0</v>
      </c>
      <c r="T45" s="99">
        <f>SUMIF(Import!$B:$B,$A45,Import!N:N)</f>
        <v>-9519</v>
      </c>
      <c r="U45" s="99">
        <f t="shared" si="15"/>
        <v>-587</v>
      </c>
      <c r="V45" s="255">
        <f t="shared" si="16"/>
        <v>6.5718763994626173E-2</v>
      </c>
      <c r="W45" s="102" t="s">
        <v>2215</v>
      </c>
      <c r="X45" s="102"/>
      <c r="Y45" s="102">
        <f t="shared" si="18"/>
        <v>-9519</v>
      </c>
      <c r="Z45" s="309">
        <f>Y45*(1+VLOOKUP($F45,'GL Category'!$A:$H,4,FALSE))</f>
        <v>-9519</v>
      </c>
      <c r="AA45" s="615"/>
      <c r="AB45" s="622">
        <f t="shared" si="19"/>
        <v>-9519</v>
      </c>
      <c r="AC45" s="633">
        <f>AB45*(1+VLOOKUP($F45,'GL Category'!$A:$H,5,FALSE))</f>
        <v>-9519</v>
      </c>
      <c r="AE45" s="622">
        <f t="shared" si="20"/>
        <v>-9519</v>
      </c>
      <c r="AF45" s="633">
        <f>AE45*(1+VLOOKUP($F45,'GL Category'!$A:$H,6,FALSE))</f>
        <v>-9519</v>
      </c>
      <c r="AH45" s="622">
        <f t="shared" si="21"/>
        <v>-9519</v>
      </c>
      <c r="AI45" s="633">
        <f>AH45*(1+VLOOKUP($F45,'GL Category'!$A:$H,7,FALSE))</f>
        <v>-9519</v>
      </c>
      <c r="AK45" s="622">
        <f t="shared" si="22"/>
        <v>-9519</v>
      </c>
      <c r="AL45" s="633">
        <f>AK45*(1+VLOOKUP($F45,'GL Category'!$A:$H,8,FALSE))</f>
        <v>-9519</v>
      </c>
      <c r="AN45" s="622">
        <f t="shared" si="23"/>
        <v>-9519</v>
      </c>
    </row>
    <row r="46" spans="1:40" ht="15" customHeight="1">
      <c r="A46" s="555" t="s">
        <v>2216</v>
      </c>
      <c r="B46" s="217" t="str">
        <f t="shared" si="6"/>
        <v>100</v>
      </c>
      <c r="C46" s="217" t="str">
        <f t="shared" si="7"/>
        <v>00</v>
      </c>
      <c r="D46" s="101" t="str">
        <f t="shared" si="8"/>
        <v>000</v>
      </c>
      <c r="E46" s="217" t="str">
        <f t="shared" si="9"/>
        <v>100-00-000</v>
      </c>
      <c r="F46" s="294" t="str">
        <f t="shared" si="10"/>
        <v>41556</v>
      </c>
      <c r="G46" s="295" t="str">
        <f>VLOOKUP(F46,'GL Category'!A:C,3,FALSE)</f>
        <v>FINES AND FEES</v>
      </c>
      <c r="H46" s="98" t="str">
        <f>VLOOKUP(F46,'GL Category'!A:C,2,FALSE)</f>
        <v>SPECIAL EVENT FEES/PERMITS</v>
      </c>
      <c r="I46" s="99">
        <f>SUMIF(Import!$B:$B,$A46,Import!D:D)</f>
        <v>-25</v>
      </c>
      <c r="J46" s="99">
        <f>SUMIF(Import!$B:$B,$A46,Import!E:E)</f>
        <v>-50</v>
      </c>
      <c r="K46" s="99">
        <f>SUMIF(Import!$B:$B,$A46,Import!F:F)</f>
        <v>-25</v>
      </c>
      <c r="L46" s="99">
        <f>SUMIF(Import!$B:$B,$A46,Import!G:G)</f>
        <v>0</v>
      </c>
      <c r="M46" s="99">
        <f>SUMIF(Import!$B:$B,$A46,Import!H:H)</f>
        <v>0</v>
      </c>
      <c r="N46" s="99">
        <f>SUMIF(Import!$B:$B,$A46,Import!I:I)</f>
        <v>-50</v>
      </c>
      <c r="O46" s="99">
        <f>SUMIF(Import!$B:$B,$A46,Import!J:J)</f>
        <v>0</v>
      </c>
      <c r="P46" s="99">
        <f t="shared" si="14"/>
        <v>0</v>
      </c>
      <c r="Q46" s="99">
        <f>SUMIF(Import!$B:$B,$A46,Import!K:K)</f>
        <v>0</v>
      </c>
      <c r="R46" s="99">
        <f>SUMIF(Import!$B:$B,$A46,Import!L:L)</f>
        <v>0</v>
      </c>
      <c r="S46" s="99">
        <f>SUMIF(Import!$B:$B,$A46,Import!M:M)</f>
        <v>0</v>
      </c>
      <c r="T46" s="99">
        <f>SUMIF(Import!$B:$B,$A46,Import!N:N)</f>
        <v>0</v>
      </c>
      <c r="U46" s="99">
        <f t="shared" si="15"/>
        <v>0</v>
      </c>
      <c r="V46" s="255" t="str">
        <f t="shared" si="16"/>
        <v>N/A</v>
      </c>
      <c r="W46" s="102" t="s">
        <v>2216</v>
      </c>
      <c r="X46" s="102"/>
      <c r="Y46" s="102">
        <f t="shared" si="18"/>
        <v>0</v>
      </c>
      <c r="Z46" s="309">
        <f>Y46*(1+VLOOKUP($F46,'GL Category'!$A:$H,4,FALSE))</f>
        <v>0</v>
      </c>
      <c r="AA46" s="615"/>
      <c r="AB46" s="622">
        <f t="shared" si="19"/>
        <v>0</v>
      </c>
      <c r="AC46" s="633">
        <f>AB46*(1+VLOOKUP($F46,'GL Category'!$A:$H,5,FALSE))</f>
        <v>0</v>
      </c>
      <c r="AE46" s="622">
        <f t="shared" si="20"/>
        <v>0</v>
      </c>
      <c r="AF46" s="633">
        <f>AE46*(1+VLOOKUP($F46,'GL Category'!$A:$H,6,FALSE))</f>
        <v>0</v>
      </c>
      <c r="AH46" s="622">
        <f t="shared" si="21"/>
        <v>0</v>
      </c>
      <c r="AI46" s="633">
        <f>AH46*(1+VLOOKUP($F46,'GL Category'!$A:$H,7,FALSE))</f>
        <v>0</v>
      </c>
      <c r="AK46" s="622">
        <f t="shared" si="22"/>
        <v>0</v>
      </c>
      <c r="AL46" s="633">
        <f>AK46*(1+VLOOKUP($F46,'GL Category'!$A:$H,8,FALSE))</f>
        <v>0</v>
      </c>
      <c r="AN46" s="622">
        <f t="shared" si="23"/>
        <v>0</v>
      </c>
    </row>
    <row r="47" spans="1:40" ht="15" customHeight="1">
      <c r="A47" s="555" t="s">
        <v>2217</v>
      </c>
      <c r="B47" s="217" t="str">
        <f t="shared" si="6"/>
        <v>100</v>
      </c>
      <c r="C47" s="217" t="str">
        <f t="shared" si="7"/>
        <v>00</v>
      </c>
      <c r="D47" s="101" t="str">
        <f t="shared" si="8"/>
        <v>000</v>
      </c>
      <c r="E47" s="217" t="str">
        <f t="shared" si="9"/>
        <v>100-00-000</v>
      </c>
      <c r="F47" s="294" t="str">
        <f t="shared" si="10"/>
        <v>41560</v>
      </c>
      <c r="G47" s="295" t="str">
        <f>VLOOKUP(F47,'GL Category'!A:C,3,FALSE)</f>
        <v>FINES AND FEES</v>
      </c>
      <c r="H47" s="98" t="str">
        <f>VLOOKUP(F47,'GL Category'!A:C,2,FALSE)</f>
        <v>LIBRARY FINES REVENUE</v>
      </c>
      <c r="I47" s="99">
        <f>SUMIF(Import!$B:$B,$A47,Import!D:D)</f>
        <v>-2444.9499999999998</v>
      </c>
      <c r="J47" s="99">
        <f>SUMIF(Import!$B:$B,$A47,Import!E:E)</f>
        <v>-1304.83</v>
      </c>
      <c r="K47" s="99">
        <f>SUMIF(Import!$B:$B,$A47,Import!F:F)</f>
        <v>-24.25</v>
      </c>
      <c r="L47" s="99">
        <f>SUMIF(Import!$B:$B,$A47,Import!G:G)</f>
        <v>-34.39</v>
      </c>
      <c r="M47" s="99">
        <f>SUMIF(Import!$B:$B,$A47,Import!H:H)</f>
        <v>0</v>
      </c>
      <c r="N47" s="99">
        <f>SUMIF(Import!$B:$B,$A47,Import!I:I)</f>
        <v>-106.57</v>
      </c>
      <c r="O47" s="99">
        <f>SUMIF(Import!$B:$B,$A47,Import!J:J)</f>
        <v>-109</v>
      </c>
      <c r="P47" s="99">
        <f t="shared" si="14"/>
        <v>-109</v>
      </c>
      <c r="Q47" s="99">
        <f>SUMIF(Import!$B:$B,$A47,Import!K:K)</f>
        <v>0</v>
      </c>
      <c r="R47" s="99">
        <f>SUMIF(Import!$B:$B,$A47,Import!L:L)</f>
        <v>0</v>
      </c>
      <c r="S47" s="99">
        <f>SUMIF(Import!$B:$B,$A47,Import!M:M)</f>
        <v>0</v>
      </c>
      <c r="T47" s="99">
        <f>SUMIF(Import!$B:$B,$A47,Import!N:N)</f>
        <v>0</v>
      </c>
      <c r="U47" s="99">
        <f t="shared" si="15"/>
        <v>0</v>
      </c>
      <c r="V47" s="255" t="str">
        <f t="shared" si="16"/>
        <v>N/A</v>
      </c>
      <c r="W47" s="102" t="s">
        <v>2217</v>
      </c>
      <c r="X47" s="102"/>
      <c r="Y47" s="102">
        <f t="shared" si="18"/>
        <v>0</v>
      </c>
      <c r="Z47" s="309">
        <f>Y47*(1+VLOOKUP($F47,'GL Category'!$A:$H,4,FALSE))</f>
        <v>0</v>
      </c>
      <c r="AA47" s="615"/>
      <c r="AB47" s="622">
        <f t="shared" si="19"/>
        <v>0</v>
      </c>
      <c r="AC47" s="633">
        <f>AB47*(1+VLOOKUP($F47,'GL Category'!$A:$H,5,FALSE))</f>
        <v>0</v>
      </c>
      <c r="AE47" s="622">
        <f t="shared" si="20"/>
        <v>0</v>
      </c>
      <c r="AF47" s="633">
        <f>AE47*(1+VLOOKUP($F47,'GL Category'!$A:$H,6,FALSE))</f>
        <v>0</v>
      </c>
      <c r="AH47" s="622">
        <f t="shared" si="21"/>
        <v>0</v>
      </c>
      <c r="AI47" s="633">
        <f>AH47*(1+VLOOKUP($F47,'GL Category'!$A:$H,7,FALSE))</f>
        <v>0</v>
      </c>
      <c r="AK47" s="622">
        <f t="shared" si="22"/>
        <v>0</v>
      </c>
      <c r="AL47" s="633">
        <f>AK47*(1+VLOOKUP($F47,'GL Category'!$A:$H,8,FALSE))</f>
        <v>0</v>
      </c>
      <c r="AN47" s="622">
        <f t="shared" si="23"/>
        <v>0</v>
      </c>
    </row>
    <row r="48" spans="1:40" ht="15" customHeight="1">
      <c r="A48" s="555" t="s">
        <v>2218</v>
      </c>
      <c r="B48" s="217" t="str">
        <f t="shared" si="6"/>
        <v>100</v>
      </c>
      <c r="C48" s="217" t="str">
        <f t="shared" si="7"/>
        <v>00</v>
      </c>
      <c r="D48" s="101" t="str">
        <f t="shared" si="8"/>
        <v>000</v>
      </c>
      <c r="E48" s="217" t="str">
        <f t="shared" si="9"/>
        <v>100-00-000</v>
      </c>
      <c r="F48" s="294" t="str">
        <f t="shared" si="10"/>
        <v>41570</v>
      </c>
      <c r="G48" s="295" t="str">
        <f>VLOOKUP(F48,'GL Category'!A:C,3,FALSE)</f>
        <v>FINES AND FEES</v>
      </c>
      <c r="H48" s="98" t="str">
        <f>VLOOKUP(F48,'GL Category'!A:C,2,FALSE)</f>
        <v>LIBRARY LOST BOOKS REVENUE</v>
      </c>
      <c r="I48" s="99">
        <f>SUMIF(Import!$B:$B,$A48,Import!D:D)</f>
        <v>-1451.82</v>
      </c>
      <c r="J48" s="99">
        <f>SUMIF(Import!$B:$B,$A48,Import!E:E)</f>
        <v>-1740.77</v>
      </c>
      <c r="K48" s="99">
        <f>SUMIF(Import!$B:$B,$A48,Import!F:F)</f>
        <v>-1213.18</v>
      </c>
      <c r="L48" s="99">
        <f>SUMIF(Import!$B:$B,$A48,Import!G:G)</f>
        <v>-1909.36</v>
      </c>
      <c r="M48" s="99">
        <f>SUMIF(Import!$B:$B,$A48,Import!H:H)</f>
        <v>-2087</v>
      </c>
      <c r="N48" s="99">
        <f>SUMIF(Import!$B:$B,$A48,Import!I:I)</f>
        <v>-1667.71</v>
      </c>
      <c r="O48" s="99">
        <f>SUMIF(Import!$B:$B,$A48,Import!J:J)</f>
        <v>-1740</v>
      </c>
      <c r="P48" s="99">
        <f t="shared" si="14"/>
        <v>347</v>
      </c>
      <c r="Q48" s="99">
        <f>SUMIF(Import!$B:$B,$A48,Import!K:K)</f>
        <v>-1944</v>
      </c>
      <c r="R48" s="99">
        <f>SUMIF(Import!$B:$B,$A48,Import!L:L)</f>
        <v>0</v>
      </c>
      <c r="S48" s="99">
        <f>SUMIF(Import!$B:$B,$A48,Import!M:M)</f>
        <v>0</v>
      </c>
      <c r="T48" s="99">
        <f>SUMIF(Import!$B:$B,$A48,Import!N:N)</f>
        <v>-1944</v>
      </c>
      <c r="U48" s="99">
        <f t="shared" si="15"/>
        <v>143</v>
      </c>
      <c r="V48" s="255">
        <f t="shared" si="16"/>
        <v>-6.851940584571159E-2</v>
      </c>
      <c r="W48" s="102" t="s">
        <v>2218</v>
      </c>
      <c r="X48" s="102"/>
      <c r="Y48" s="102">
        <f t="shared" si="18"/>
        <v>-1944</v>
      </c>
      <c r="Z48" s="309">
        <f>Y48*(1+VLOOKUP($F48,'GL Category'!$A:$H,4,FALSE))</f>
        <v>-1944</v>
      </c>
      <c r="AA48" s="615"/>
      <c r="AB48" s="622">
        <f t="shared" si="19"/>
        <v>-1944</v>
      </c>
      <c r="AC48" s="633">
        <f>AB48*(1+VLOOKUP($F48,'GL Category'!$A:$H,5,FALSE))</f>
        <v>-1944</v>
      </c>
      <c r="AE48" s="622">
        <f t="shared" si="20"/>
        <v>-1944</v>
      </c>
      <c r="AF48" s="633">
        <f>AE48*(1+VLOOKUP($F48,'GL Category'!$A:$H,6,FALSE))</f>
        <v>-1944</v>
      </c>
      <c r="AH48" s="622">
        <f t="shared" si="21"/>
        <v>-1944</v>
      </c>
      <c r="AI48" s="633">
        <f>AH48*(1+VLOOKUP($F48,'GL Category'!$A:$H,7,FALSE))</f>
        <v>-1944</v>
      </c>
      <c r="AK48" s="622">
        <f t="shared" si="22"/>
        <v>-1944</v>
      </c>
      <c r="AL48" s="633">
        <f>AK48*(1+VLOOKUP($F48,'GL Category'!$A:$H,8,FALSE))</f>
        <v>-1944</v>
      </c>
      <c r="AN48" s="622">
        <f t="shared" si="23"/>
        <v>-1944</v>
      </c>
    </row>
    <row r="49" spans="1:40" ht="15" customHeight="1">
      <c r="A49" s="555" t="s">
        <v>2219</v>
      </c>
      <c r="B49" s="217" t="str">
        <f t="shared" si="6"/>
        <v>100</v>
      </c>
      <c r="C49" s="217" t="str">
        <f t="shared" si="7"/>
        <v>00</v>
      </c>
      <c r="D49" s="101" t="str">
        <f t="shared" si="8"/>
        <v>000</v>
      </c>
      <c r="E49" s="217" t="str">
        <f t="shared" si="9"/>
        <v>100-00-000</v>
      </c>
      <c r="F49" s="294" t="str">
        <f t="shared" si="10"/>
        <v>41580</v>
      </c>
      <c r="G49" s="295" t="str">
        <f>VLOOKUP(F49,'GL Category'!A:C,3,FALSE)</f>
        <v>FINES AND FEES</v>
      </c>
      <c r="H49" s="98" t="str">
        <f>VLOOKUP(F49,'GL Category'!A:C,2,FALSE)</f>
        <v>LIBRARY SERVICE FEES</v>
      </c>
      <c r="I49" s="99">
        <f>SUMIF(Import!$B:$B,$A49,Import!D:D)</f>
        <v>-6535.35</v>
      </c>
      <c r="J49" s="99">
        <f>SUMIF(Import!$B:$B,$A49,Import!E:E)</f>
        <v>-8140.61</v>
      </c>
      <c r="K49" s="99">
        <f>SUMIF(Import!$B:$B,$A49,Import!F:F)</f>
        <v>-6400.5</v>
      </c>
      <c r="L49" s="99">
        <f>SUMIF(Import!$B:$B,$A49,Import!G:G)</f>
        <v>-6000.15</v>
      </c>
      <c r="M49" s="99">
        <f>SUMIF(Import!$B:$B,$A49,Import!H:H)</f>
        <v>-5690</v>
      </c>
      <c r="N49" s="99">
        <f>SUMIF(Import!$B:$B,$A49,Import!I:I)</f>
        <v>-4633.33</v>
      </c>
      <c r="O49" s="99">
        <f>SUMIF(Import!$B:$B,$A49,Import!J:J)</f>
        <v>-5276</v>
      </c>
      <c r="P49" s="99">
        <f t="shared" si="14"/>
        <v>414</v>
      </c>
      <c r="Q49" s="99">
        <f>SUMIF(Import!$B:$B,$A49,Import!K:K)</f>
        <v>-5276</v>
      </c>
      <c r="R49" s="99">
        <f>SUMIF(Import!$B:$B,$A49,Import!L:L)</f>
        <v>0</v>
      </c>
      <c r="S49" s="99">
        <f>SUMIF(Import!$B:$B,$A49,Import!M:M)</f>
        <v>0</v>
      </c>
      <c r="T49" s="99">
        <f>SUMIF(Import!$B:$B,$A49,Import!N:N)</f>
        <v>-5276</v>
      </c>
      <c r="U49" s="99">
        <f t="shared" si="15"/>
        <v>414</v>
      </c>
      <c r="V49" s="255">
        <f t="shared" si="16"/>
        <v>-7.2759226713532521E-2</v>
      </c>
      <c r="W49" s="102" t="s">
        <v>2219</v>
      </c>
      <c r="X49" s="102"/>
      <c r="Y49" s="102">
        <f t="shared" si="18"/>
        <v>-5276</v>
      </c>
      <c r="Z49" s="309">
        <f>Y49*(1+VLOOKUP($F49,'GL Category'!$A:$H,4,FALSE))</f>
        <v>-5276</v>
      </c>
      <c r="AA49" s="615"/>
      <c r="AB49" s="622">
        <f t="shared" si="19"/>
        <v>-5276</v>
      </c>
      <c r="AC49" s="633">
        <f>AB49*(1+VLOOKUP($F49,'GL Category'!$A:$H,5,FALSE))</f>
        <v>-5276</v>
      </c>
      <c r="AE49" s="622">
        <f t="shared" si="20"/>
        <v>-5276</v>
      </c>
      <c r="AF49" s="633">
        <f>AE49*(1+VLOOKUP($F49,'GL Category'!$A:$H,6,FALSE))</f>
        <v>-5276</v>
      </c>
      <c r="AH49" s="622">
        <f t="shared" si="21"/>
        <v>-5276</v>
      </c>
      <c r="AI49" s="633">
        <f>AH49*(1+VLOOKUP($F49,'GL Category'!$A:$H,7,FALSE))</f>
        <v>-5276</v>
      </c>
      <c r="AK49" s="622">
        <f t="shared" si="22"/>
        <v>-5276</v>
      </c>
      <c r="AL49" s="633">
        <f>AK49*(1+VLOOKUP($F49,'GL Category'!$A:$H,8,FALSE))</f>
        <v>-5276</v>
      </c>
      <c r="AN49" s="622">
        <f t="shared" si="23"/>
        <v>-5276</v>
      </c>
    </row>
    <row r="50" spans="1:40" ht="15" customHeight="1">
      <c r="A50" s="555" t="s">
        <v>2220</v>
      </c>
      <c r="B50" s="217" t="str">
        <f t="shared" si="6"/>
        <v>100</v>
      </c>
      <c r="C50" s="217" t="str">
        <f t="shared" si="7"/>
        <v>00</v>
      </c>
      <c r="D50" s="101" t="str">
        <f t="shared" si="8"/>
        <v>000</v>
      </c>
      <c r="E50" s="217" t="str">
        <f t="shared" si="9"/>
        <v>100-00-000</v>
      </c>
      <c r="F50" s="294" t="str">
        <f t="shared" si="10"/>
        <v>41610</v>
      </c>
      <c r="G50" s="295" t="str">
        <f>VLOOKUP(F50,'GL Category'!A:C,3,FALSE)</f>
        <v>FINES AND FEES</v>
      </c>
      <c r="H50" s="98" t="str">
        <f>VLOOKUP(F50,'GL Category'!A:C,2,FALSE)</f>
        <v>COURT FINES &amp; FORFEITS</v>
      </c>
      <c r="I50" s="99">
        <f>SUMIF(Import!$B:$B,$A50,Import!D:D)</f>
        <v>-600312.24</v>
      </c>
      <c r="J50" s="99">
        <f>SUMIF(Import!$B:$B,$A50,Import!E:E)</f>
        <v>-412307.16</v>
      </c>
      <c r="K50" s="99">
        <f>SUMIF(Import!$B:$B,$A50,Import!F:F)</f>
        <v>-445081.96</v>
      </c>
      <c r="L50" s="99">
        <f>SUMIF(Import!$B:$B,$A50,Import!G:G)</f>
        <v>-465501.49</v>
      </c>
      <c r="M50" s="99">
        <f>SUMIF(Import!$B:$B,$A50,Import!H:H)</f>
        <v>-514265</v>
      </c>
      <c r="N50" s="99">
        <f>SUMIF(Import!$B:$B,$A50,Import!I:I)</f>
        <v>-499256.04</v>
      </c>
      <c r="O50" s="99">
        <f>SUMIF(Import!$B:$B,$A50,Import!J:J)</f>
        <v>-651607</v>
      </c>
      <c r="P50" s="99">
        <f t="shared" si="14"/>
        <v>-137342</v>
      </c>
      <c r="Q50" s="99">
        <f>SUMIF(Import!$B:$B,$A50,Import!K:K)</f>
        <v>-548411</v>
      </c>
      <c r="R50" s="99">
        <f>SUMIF(Import!$B:$B,$A50,Import!L:L)</f>
        <v>0</v>
      </c>
      <c r="S50" s="99">
        <f>SUMIF(Import!$B:$B,$A50,Import!M:M)</f>
        <v>0</v>
      </c>
      <c r="T50" s="99">
        <f>SUMIF(Import!$B:$B,$A50,Import!N:N)</f>
        <v>-548411</v>
      </c>
      <c r="U50" s="99">
        <f t="shared" si="15"/>
        <v>-34146</v>
      </c>
      <c r="V50" s="255">
        <f t="shared" si="16"/>
        <v>6.6397674350772373E-2</v>
      </c>
      <c r="W50" s="102" t="s">
        <v>2220</v>
      </c>
      <c r="X50" s="102"/>
      <c r="Y50" s="102">
        <f t="shared" si="18"/>
        <v>-548411</v>
      </c>
      <c r="Z50" s="309">
        <f>Y50*(1+VLOOKUP($F50,'GL Category'!$A:$H,4,FALSE))</f>
        <v>-548411</v>
      </c>
      <c r="AA50" s="615"/>
      <c r="AB50" s="622">
        <f t="shared" si="19"/>
        <v>-548411</v>
      </c>
      <c r="AC50" s="633">
        <f>AB50*(1+VLOOKUP($F50,'GL Category'!$A:$H,5,FALSE))</f>
        <v>-548411</v>
      </c>
      <c r="AE50" s="622">
        <f t="shared" si="20"/>
        <v>-548411</v>
      </c>
      <c r="AF50" s="633">
        <f>AE50*(1+VLOOKUP($F50,'GL Category'!$A:$H,6,FALSE))</f>
        <v>-548411</v>
      </c>
      <c r="AH50" s="622">
        <f t="shared" si="21"/>
        <v>-548411</v>
      </c>
      <c r="AI50" s="633">
        <f>AH50*(1+VLOOKUP($F50,'GL Category'!$A:$H,7,FALSE))</f>
        <v>-548411</v>
      </c>
      <c r="AK50" s="622">
        <f t="shared" si="22"/>
        <v>-548411</v>
      </c>
      <c r="AL50" s="633">
        <f>AK50*(1+VLOOKUP($F50,'GL Category'!$A:$H,8,FALSE))</f>
        <v>-548411</v>
      </c>
      <c r="AN50" s="622">
        <f t="shared" si="23"/>
        <v>-548411</v>
      </c>
    </row>
    <row r="51" spans="1:40" ht="15" customHeight="1">
      <c r="A51" s="555" t="s">
        <v>2221</v>
      </c>
      <c r="B51" s="217" t="str">
        <f t="shared" si="6"/>
        <v>100</v>
      </c>
      <c r="C51" s="217" t="str">
        <f t="shared" si="7"/>
        <v>00</v>
      </c>
      <c r="D51" s="101" t="str">
        <f t="shared" si="8"/>
        <v>000</v>
      </c>
      <c r="E51" s="217" t="str">
        <f t="shared" si="9"/>
        <v>100-00-000</v>
      </c>
      <c r="F51" s="294" t="str">
        <f t="shared" si="10"/>
        <v>42105</v>
      </c>
      <c r="G51" s="295" t="str">
        <f>VLOOKUP(F51,'GL Category'!A:C,3,FALSE)</f>
        <v>CHARGES FOR SERVICE</v>
      </c>
      <c r="H51" s="590" t="str">
        <f>VLOOKUP(F51,'GL Category'!A:C,2,FALSE)</f>
        <v>PARK RENTAL FEES-FACILITIES</v>
      </c>
      <c r="I51" s="561">
        <f>SUMIF(Import!$B:$B,$A51,Import!D:D)</f>
        <v>-8470</v>
      </c>
      <c r="J51" s="561">
        <f>SUMIF(Import!$B:$B,$A51,Import!E:E)</f>
        <v>-21890</v>
      </c>
      <c r="K51" s="561">
        <f>SUMIF(Import!$B:$B,$A51,Import!F:F)</f>
        <v>-22969.98</v>
      </c>
      <c r="L51" s="561">
        <f>SUMIF(Import!$B:$B,$A51,Import!G:G)</f>
        <v>-24430</v>
      </c>
      <c r="M51" s="561">
        <f>SUMIF(Import!$B:$B,$A51,Import!H:H)</f>
        <v>-22583</v>
      </c>
      <c r="N51" s="561">
        <f>SUMIF(Import!$B:$B,$A51,Import!I:I)</f>
        <v>-20917.5</v>
      </c>
      <c r="O51" s="561">
        <f>SUMIF(Import!$B:$B,$A51,Import!J:J)</f>
        <v>-24950</v>
      </c>
      <c r="P51" s="561">
        <f t="shared" si="14"/>
        <v>-2367</v>
      </c>
      <c r="Q51" s="561">
        <f>SUMIF(Import!$B:$B,$A51,Import!K:K)</f>
        <v>-24950</v>
      </c>
      <c r="R51" s="561">
        <f>SUMIF(Import!$B:$B,$A51,Import!L:L)</f>
        <v>0</v>
      </c>
      <c r="S51" s="561">
        <f>SUMIF(Import!$B:$B,$A51,Import!M:M)</f>
        <v>0</v>
      </c>
      <c r="T51" s="561">
        <f>SUMIF(Import!$B:$B,$A51,Import!N:N)</f>
        <v>-24950</v>
      </c>
      <c r="U51" s="561">
        <f t="shared" si="15"/>
        <v>-2367</v>
      </c>
      <c r="V51" s="255">
        <f t="shared" si="16"/>
        <v>0.10481335517867429</v>
      </c>
      <c r="W51" s="102" t="s">
        <v>2221</v>
      </c>
      <c r="X51" s="102"/>
      <c r="Y51" s="102">
        <f t="shared" si="18"/>
        <v>-24950</v>
      </c>
      <c r="Z51" s="309">
        <f>Y51*(1+VLOOKUP($F51,'GL Category'!$A:$H,4,FALSE))</f>
        <v>-25698.5</v>
      </c>
      <c r="AA51" s="615"/>
      <c r="AB51" s="622">
        <f t="shared" si="19"/>
        <v>-25698.5</v>
      </c>
      <c r="AC51" s="633">
        <f>AB51*(1+VLOOKUP($F51,'GL Category'!$A:$H,5,FALSE))</f>
        <v>-26469.455000000002</v>
      </c>
      <c r="AE51" s="622">
        <f t="shared" si="20"/>
        <v>-26469.455000000002</v>
      </c>
      <c r="AF51" s="633">
        <f>AE51*(1+VLOOKUP($F51,'GL Category'!$A:$H,6,FALSE))</f>
        <v>-27263.538650000002</v>
      </c>
      <c r="AH51" s="622">
        <f t="shared" si="21"/>
        <v>-27263.538650000002</v>
      </c>
      <c r="AI51" s="633">
        <f>AH51*(1+VLOOKUP($F51,'GL Category'!$A:$H,7,FALSE))</f>
        <v>-28081.444809500004</v>
      </c>
      <c r="AK51" s="622">
        <f t="shared" si="22"/>
        <v>-28081.444809500004</v>
      </c>
      <c r="AL51" s="633">
        <f>AK51*(1+VLOOKUP($F51,'GL Category'!$A:$H,8,FALSE))</f>
        <v>-28923.888153785007</v>
      </c>
      <c r="AN51" s="622">
        <f t="shared" si="23"/>
        <v>-28923.888153785007</v>
      </c>
    </row>
    <row r="52" spans="1:40" ht="15" customHeight="1">
      <c r="A52" s="555" t="s">
        <v>2222</v>
      </c>
      <c r="B52" s="217" t="str">
        <f t="shared" si="6"/>
        <v>100</v>
      </c>
      <c r="C52" s="217" t="str">
        <f t="shared" si="7"/>
        <v>00</v>
      </c>
      <c r="D52" s="101" t="str">
        <f t="shared" si="8"/>
        <v>000</v>
      </c>
      <c r="E52" s="217" t="str">
        <f t="shared" si="9"/>
        <v>100-00-000</v>
      </c>
      <c r="F52" s="294" t="str">
        <f t="shared" si="10"/>
        <v>42107</v>
      </c>
      <c r="G52" s="295" t="str">
        <f>VLOOKUP(F52,'GL Category'!A:C,3,FALSE)</f>
        <v>CHARGES FOR SERVICE</v>
      </c>
      <c r="H52" s="590" t="str">
        <f>VLOOKUP(F52,'GL Category'!A:C,2,FALSE)</f>
        <v>PARK RENTAL FEES-SPORTS PARK</v>
      </c>
      <c r="I52" s="561">
        <f>SUMIF(Import!$B:$B,$A52,Import!D:D)</f>
        <v>-41541.769999999997</v>
      </c>
      <c r="J52" s="561">
        <f>SUMIF(Import!$B:$B,$A52,Import!E:E)</f>
        <v>-41766.54</v>
      </c>
      <c r="K52" s="561">
        <f>SUMIF(Import!$B:$B,$A52,Import!F:F)</f>
        <v>-97249.78</v>
      </c>
      <c r="L52" s="561">
        <f>SUMIF(Import!$B:$B,$A52,Import!G:G)</f>
        <v>-9297.49</v>
      </c>
      <c r="M52" s="561">
        <f>SUMIF(Import!$B:$B,$A52,Import!H:H)</f>
        <v>-36684</v>
      </c>
      <c r="N52" s="561">
        <f>SUMIF(Import!$B:$B,$A52,Import!I:I)</f>
        <v>-6956.35</v>
      </c>
      <c r="O52" s="561">
        <f>SUMIF(Import!$B:$B,$A52,Import!J:J)</f>
        <v>-36684</v>
      </c>
      <c r="P52" s="561">
        <f t="shared" si="14"/>
        <v>0</v>
      </c>
      <c r="Q52" s="561">
        <f>SUMIF(Import!$B:$B,$A52,Import!K:K)</f>
        <v>-34466</v>
      </c>
      <c r="R52" s="561">
        <f>SUMIF(Import!$B:$B,$A52,Import!L:L)</f>
        <v>0</v>
      </c>
      <c r="S52" s="561">
        <f>SUMIF(Import!$B:$B,$A52,Import!M:M)</f>
        <v>0</v>
      </c>
      <c r="T52" s="561">
        <f>SUMIF(Import!$B:$B,$A52,Import!N:N)</f>
        <v>-34466</v>
      </c>
      <c r="U52" s="561">
        <f t="shared" si="15"/>
        <v>2218</v>
      </c>
      <c r="V52" s="255">
        <f t="shared" si="16"/>
        <v>-6.0462326900010854E-2</v>
      </c>
      <c r="W52" s="102" t="s">
        <v>2222</v>
      </c>
      <c r="X52" s="102"/>
      <c r="Y52" s="102">
        <f t="shared" si="18"/>
        <v>-34466</v>
      </c>
      <c r="Z52" s="309">
        <f>Y52*(1+VLOOKUP($F52,'GL Category'!$A:$H,4,FALSE))</f>
        <v>-35499.980000000003</v>
      </c>
      <c r="AA52" s="615"/>
      <c r="AB52" s="622">
        <f t="shared" si="19"/>
        <v>-35499.980000000003</v>
      </c>
      <c r="AC52" s="633">
        <f>AB52*(1+VLOOKUP($F52,'GL Category'!$A:$H,5,FALSE))</f>
        <v>-36564.979400000004</v>
      </c>
      <c r="AE52" s="622">
        <f t="shared" si="20"/>
        <v>-36564.979400000004</v>
      </c>
      <c r="AF52" s="633">
        <f>AE52*(1+VLOOKUP($F52,'GL Category'!$A:$H,6,FALSE))</f>
        <v>-37661.928782000003</v>
      </c>
      <c r="AH52" s="622">
        <f t="shared" si="21"/>
        <v>-37661.928782000003</v>
      </c>
      <c r="AI52" s="633">
        <f>AH52*(1+VLOOKUP($F52,'GL Category'!$A:$H,7,FALSE))</f>
        <v>-38791.786645460001</v>
      </c>
      <c r="AK52" s="622">
        <f t="shared" si="22"/>
        <v>-38791.786645460001</v>
      </c>
      <c r="AL52" s="633">
        <f>AK52*(1+VLOOKUP($F52,'GL Category'!$A:$H,8,FALSE))</f>
        <v>-39955.540244823802</v>
      </c>
      <c r="AN52" s="622">
        <f t="shared" si="23"/>
        <v>-39955.540244823802</v>
      </c>
    </row>
    <row r="53" spans="1:40" ht="15" customHeight="1">
      <c r="A53" s="555" t="s">
        <v>2223</v>
      </c>
      <c r="B53" s="217" t="str">
        <f t="shared" si="6"/>
        <v>100</v>
      </c>
      <c r="C53" s="217" t="str">
        <f t="shared" si="7"/>
        <v>00</v>
      </c>
      <c r="D53" s="101" t="str">
        <f t="shared" si="8"/>
        <v>000</v>
      </c>
      <c r="E53" s="217" t="str">
        <f t="shared" si="9"/>
        <v>100-00-000</v>
      </c>
      <c r="F53" s="294" t="str">
        <f t="shared" si="10"/>
        <v>42108</v>
      </c>
      <c r="G53" s="295" t="str">
        <f>VLOOKUP(F53,'GL Category'!A:C,3,FALSE)</f>
        <v>CHARGES FOR SERVICE</v>
      </c>
      <c r="H53" s="590" t="str">
        <f>VLOOKUP(F53,'GL Category'!A:C,2,FALSE)</f>
        <v>RENTAL-KSP NON RESIDENT FEE</v>
      </c>
      <c r="I53" s="561">
        <f>SUMIF(Import!$B:$B,$A53,Import!D:D)</f>
        <v>-37080</v>
      </c>
      <c r="J53" s="561">
        <f>SUMIF(Import!$B:$B,$A53,Import!E:E)</f>
        <v>-104980</v>
      </c>
      <c r="K53" s="561">
        <f>SUMIF(Import!$B:$B,$A53,Import!F:F)</f>
        <v>-65690</v>
      </c>
      <c r="L53" s="561">
        <f>SUMIF(Import!$B:$B,$A53,Import!G:G)</f>
        <v>-157110</v>
      </c>
      <c r="M53" s="561">
        <f>SUMIF(Import!$B:$B,$A53,Import!H:H)</f>
        <v>-153038</v>
      </c>
      <c r="N53" s="561">
        <f>SUMIF(Import!$B:$B,$A53,Import!I:I)</f>
        <v>-112260</v>
      </c>
      <c r="O53" s="561">
        <f>SUMIF(Import!$B:$B,$A53,Import!J:J)</f>
        <v>-155190</v>
      </c>
      <c r="P53" s="561">
        <f t="shared" si="14"/>
        <v>-2152</v>
      </c>
      <c r="Q53" s="561">
        <f>SUMIF(Import!$B:$B,$A53,Import!K:K)</f>
        <v>-155190</v>
      </c>
      <c r="R53" s="561">
        <f>SUMIF(Import!$B:$B,$A53,Import!L:L)</f>
        <v>0</v>
      </c>
      <c r="S53" s="561">
        <f>SUMIF(Import!$B:$B,$A53,Import!M:M)</f>
        <v>0</v>
      </c>
      <c r="T53" s="561">
        <f>SUMIF(Import!$B:$B,$A53,Import!N:N)</f>
        <v>-155190</v>
      </c>
      <c r="U53" s="561">
        <f t="shared" si="15"/>
        <v>-2152</v>
      </c>
      <c r="V53" s="255">
        <f t="shared" si="16"/>
        <v>1.4061866987284288E-2</v>
      </c>
      <c r="W53" s="102" t="s">
        <v>2223</v>
      </c>
      <c r="X53" s="102"/>
      <c r="Y53" s="102">
        <f t="shared" si="18"/>
        <v>-155190</v>
      </c>
      <c r="Z53" s="309">
        <f>Y53*(1+VLOOKUP($F53,'GL Category'!$A:$H,4,FALSE))</f>
        <v>-159845.70000000001</v>
      </c>
      <c r="AA53" s="615"/>
      <c r="AB53" s="622">
        <f t="shared" si="19"/>
        <v>-159845.70000000001</v>
      </c>
      <c r="AC53" s="633">
        <f>AB53*(1+VLOOKUP($F53,'GL Category'!$A:$H,5,FALSE))</f>
        <v>-164641.07100000003</v>
      </c>
      <c r="AE53" s="622">
        <f t="shared" si="20"/>
        <v>-164641.07100000003</v>
      </c>
      <c r="AF53" s="633">
        <f>AE53*(1+VLOOKUP($F53,'GL Category'!$A:$H,6,FALSE))</f>
        <v>-169580.30313000004</v>
      </c>
      <c r="AH53" s="622">
        <f t="shared" si="21"/>
        <v>-169580.30313000004</v>
      </c>
      <c r="AI53" s="633">
        <f>AH53*(1+VLOOKUP($F53,'GL Category'!$A:$H,7,FALSE))</f>
        <v>-174667.71222390005</v>
      </c>
      <c r="AK53" s="622">
        <f t="shared" si="22"/>
        <v>-174667.71222390005</v>
      </c>
      <c r="AL53" s="633">
        <f>AK53*(1+VLOOKUP($F53,'GL Category'!$A:$H,8,FALSE))</f>
        <v>-179907.74359061706</v>
      </c>
      <c r="AN53" s="622">
        <f t="shared" si="23"/>
        <v>-179907.74359061706</v>
      </c>
    </row>
    <row r="54" spans="1:40" ht="15" customHeight="1">
      <c r="A54" s="555" t="s">
        <v>2224</v>
      </c>
      <c r="B54" s="217" t="str">
        <f t="shared" si="6"/>
        <v>100</v>
      </c>
      <c r="C54" s="217" t="str">
        <f t="shared" si="7"/>
        <v>00</v>
      </c>
      <c r="D54" s="101" t="str">
        <f t="shared" si="8"/>
        <v>000</v>
      </c>
      <c r="E54" s="217" t="str">
        <f t="shared" si="9"/>
        <v>100-00-000</v>
      </c>
      <c r="F54" s="294" t="str">
        <f t="shared" si="10"/>
        <v>42125</v>
      </c>
      <c r="G54" s="295" t="str">
        <f>VLOOKUP(F54,'GL Category'!A:C,3,FALSE)</f>
        <v>CHARGES FOR SERVICE</v>
      </c>
      <c r="H54" s="98" t="str">
        <f>VLOOKUP(F54,'GL Category'!A:C,2,FALSE)</f>
        <v>FACILITY RENTAL FEES</v>
      </c>
      <c r="I54" s="99">
        <f>SUMIF(Import!$B:$B,$A54,Import!D:D)</f>
        <v>-3280</v>
      </c>
      <c r="J54" s="99">
        <f>SUMIF(Import!$B:$B,$A54,Import!E:E)</f>
        <v>-3005</v>
      </c>
      <c r="K54" s="99">
        <f>SUMIF(Import!$B:$B,$A54,Import!F:F)</f>
        <v>-3030</v>
      </c>
      <c r="L54" s="99">
        <f>SUMIF(Import!$B:$B,$A54,Import!G:G)</f>
        <v>-4330</v>
      </c>
      <c r="M54" s="99">
        <f>SUMIF(Import!$B:$B,$A54,Import!H:H)</f>
        <v>-3862</v>
      </c>
      <c r="N54" s="99">
        <f>SUMIF(Import!$B:$B,$A54,Import!I:I)</f>
        <v>-4375</v>
      </c>
      <c r="O54" s="99">
        <f>SUMIF(Import!$B:$B,$A54,Import!J:J)</f>
        <v>-5083</v>
      </c>
      <c r="P54" s="99">
        <f t="shared" si="14"/>
        <v>-1221</v>
      </c>
      <c r="Q54" s="99">
        <f>SUMIF(Import!$B:$B,$A54,Import!K:K)</f>
        <v>-5375</v>
      </c>
      <c r="R54" s="99">
        <f>SUMIF(Import!$B:$B,$A54,Import!L:L)</f>
        <v>0</v>
      </c>
      <c r="S54" s="99">
        <f>SUMIF(Import!$B:$B,$A54,Import!M:M)</f>
        <v>0</v>
      </c>
      <c r="T54" s="99">
        <f>SUMIF(Import!$B:$B,$A54,Import!N:N)</f>
        <v>-5375</v>
      </c>
      <c r="U54" s="99">
        <f t="shared" si="15"/>
        <v>-1513</v>
      </c>
      <c r="V54" s="255">
        <f t="shared" si="16"/>
        <v>0.39176592439150704</v>
      </c>
      <c r="W54" s="102" t="s">
        <v>2224</v>
      </c>
      <c r="X54" s="102"/>
      <c r="Y54" s="102">
        <f t="shared" si="18"/>
        <v>-5375</v>
      </c>
      <c r="Z54" s="309">
        <f>Y54*(1+VLOOKUP($F54,'GL Category'!$A:$H,4,FALSE))</f>
        <v>-5536.25</v>
      </c>
      <c r="AA54" s="615"/>
      <c r="AB54" s="622">
        <f t="shared" si="19"/>
        <v>-5536.25</v>
      </c>
      <c r="AC54" s="633">
        <f>AB54*(1+VLOOKUP($F54,'GL Category'!$A:$H,5,FALSE))</f>
        <v>-5702.3375000000005</v>
      </c>
      <c r="AE54" s="622">
        <f t="shared" si="20"/>
        <v>-5702.3375000000005</v>
      </c>
      <c r="AF54" s="633">
        <f>AE54*(1+VLOOKUP($F54,'GL Category'!$A:$H,6,FALSE))</f>
        <v>-5873.4076250000007</v>
      </c>
      <c r="AH54" s="622">
        <f t="shared" si="21"/>
        <v>-5873.4076250000007</v>
      </c>
      <c r="AI54" s="633">
        <f>AH54*(1+VLOOKUP($F54,'GL Category'!$A:$H,7,FALSE))</f>
        <v>-6049.6098537500011</v>
      </c>
      <c r="AK54" s="622">
        <f t="shared" si="22"/>
        <v>-6049.6098537500011</v>
      </c>
      <c r="AL54" s="633">
        <f>AK54*(1+VLOOKUP($F54,'GL Category'!$A:$H,8,FALSE))</f>
        <v>-6231.0981493625013</v>
      </c>
      <c r="AN54" s="622">
        <f t="shared" si="23"/>
        <v>-6231.0981493625013</v>
      </c>
    </row>
    <row r="55" spans="1:40" ht="15" customHeight="1">
      <c r="A55" s="555" t="s">
        <v>2225</v>
      </c>
      <c r="B55" s="217" t="str">
        <f t="shared" si="6"/>
        <v>100</v>
      </c>
      <c r="C55" s="217" t="str">
        <f t="shared" si="7"/>
        <v>00</v>
      </c>
      <c r="D55" s="101" t="str">
        <f t="shared" si="8"/>
        <v>000</v>
      </c>
      <c r="E55" s="217" t="str">
        <f t="shared" si="9"/>
        <v>100-00-000</v>
      </c>
      <c r="F55" s="294" t="str">
        <f t="shared" si="10"/>
        <v>42130</v>
      </c>
      <c r="G55" s="295" t="str">
        <f>VLOOKUP(F55,'GL Category'!A:C,3,FALSE)</f>
        <v>CHARGES FOR SERVICE</v>
      </c>
      <c r="H55" s="98" t="str">
        <f>VLOOKUP(F55,'GL Category'!A:C,2,FALSE)</f>
        <v>COMMUNICATION TOWER RENTAL</v>
      </c>
      <c r="I55" s="99">
        <f>SUMIF(Import!$B:$B,$A55,Import!D:D)</f>
        <v>-200791.49</v>
      </c>
      <c r="J55" s="99">
        <f>SUMIF(Import!$B:$B,$A55,Import!E:E)</f>
        <v>-206567.54</v>
      </c>
      <c r="K55" s="99">
        <f>SUMIF(Import!$B:$B,$A55,Import!F:F)</f>
        <v>-211042.64</v>
      </c>
      <c r="L55" s="99">
        <f>SUMIF(Import!$B:$B,$A55,Import!G:G)</f>
        <v>-213854.43</v>
      </c>
      <c r="M55" s="99">
        <f>SUMIF(Import!$B:$B,$A55,Import!H:H)</f>
        <v>-213534</v>
      </c>
      <c r="N55" s="99">
        <f>SUMIF(Import!$B:$B,$A55,Import!I:I)</f>
        <v>-119591.81</v>
      </c>
      <c r="O55" s="99">
        <f>SUMIF(Import!$B:$B,$A55,Import!J:J)</f>
        <v>-219231</v>
      </c>
      <c r="P55" s="99">
        <f t="shared" si="14"/>
        <v>-5697</v>
      </c>
      <c r="Q55" s="99">
        <f>SUMIF(Import!$B:$B,$A55,Import!K:K)</f>
        <v>-219231</v>
      </c>
      <c r="R55" s="99">
        <f>SUMIF(Import!$B:$B,$A55,Import!L:L)</f>
        <v>0</v>
      </c>
      <c r="S55" s="99">
        <f>SUMIF(Import!$B:$B,$A55,Import!M:M)</f>
        <v>0</v>
      </c>
      <c r="T55" s="99">
        <f>SUMIF(Import!$B:$B,$A55,Import!N:N)</f>
        <v>-219231</v>
      </c>
      <c r="U55" s="99">
        <f t="shared" si="15"/>
        <v>-5697</v>
      </c>
      <c r="V55" s="255">
        <f t="shared" si="16"/>
        <v>2.6679592008766795E-2</v>
      </c>
      <c r="W55" s="102" t="s">
        <v>2225</v>
      </c>
      <c r="X55" s="102"/>
      <c r="Y55" s="102">
        <f t="shared" si="18"/>
        <v>-219231</v>
      </c>
      <c r="Z55" s="309">
        <f>Y55*(1+VLOOKUP($F55,'GL Category'!$A:$H,4,FALSE))</f>
        <v>-225807.93</v>
      </c>
      <c r="AA55" s="615"/>
      <c r="AB55" s="622">
        <f t="shared" si="19"/>
        <v>-225807.93</v>
      </c>
      <c r="AC55" s="633">
        <f>AB55*(1+VLOOKUP($F55,'GL Category'!$A:$H,5,FALSE))</f>
        <v>-232582.1679</v>
      </c>
      <c r="AE55" s="622">
        <f t="shared" si="20"/>
        <v>-232582.1679</v>
      </c>
      <c r="AF55" s="633">
        <f>AE55*(1+VLOOKUP($F55,'GL Category'!$A:$H,6,FALSE))</f>
        <v>-239559.63293700002</v>
      </c>
      <c r="AH55" s="622">
        <f t="shared" si="21"/>
        <v>-239559.63293700002</v>
      </c>
      <c r="AI55" s="633">
        <f>AH55*(1+VLOOKUP($F55,'GL Category'!$A:$H,7,FALSE))</f>
        <v>-246746.42192511001</v>
      </c>
      <c r="AK55" s="622">
        <f t="shared" si="22"/>
        <v>-246746.42192511001</v>
      </c>
      <c r="AL55" s="633">
        <f>AK55*(1+VLOOKUP($F55,'GL Category'!$A:$H,8,FALSE))</f>
        <v>-254148.81458286333</v>
      </c>
      <c r="AN55" s="622">
        <f t="shared" si="23"/>
        <v>-254148.81458286333</v>
      </c>
    </row>
    <row r="56" spans="1:40" ht="15" customHeight="1">
      <c r="A56" s="555" t="s">
        <v>2226</v>
      </c>
      <c r="B56" s="217" t="str">
        <f t="shared" si="6"/>
        <v>100</v>
      </c>
      <c r="C56" s="217" t="str">
        <f t="shared" si="7"/>
        <v>00</v>
      </c>
      <c r="D56" s="101" t="str">
        <f t="shared" si="8"/>
        <v>000</v>
      </c>
      <c r="E56" s="217" t="str">
        <f t="shared" si="9"/>
        <v>100-00-000</v>
      </c>
      <c r="F56" s="294" t="str">
        <f t="shared" si="10"/>
        <v>42135</v>
      </c>
      <c r="G56" s="295" t="str">
        <f>VLOOKUP(F56,'GL Category'!A:C,3,FALSE)</f>
        <v>CHARGES FOR SERVICE</v>
      </c>
      <c r="H56" s="98" t="str">
        <f>VLOOKUP(F56,'GL Category'!A:C,2,FALSE)</f>
        <v>PUBLIC ARTS SALES COMMISSIONS</v>
      </c>
      <c r="I56" s="99">
        <f>SUMIF(Import!$B:$B,$A56,Import!D:D)</f>
        <v>-348</v>
      </c>
      <c r="J56" s="99">
        <f>SUMIF(Import!$B:$B,$A56,Import!E:E)</f>
        <v>-30</v>
      </c>
      <c r="K56" s="99">
        <f>SUMIF(Import!$B:$B,$A56,Import!F:F)</f>
        <v>-3083</v>
      </c>
      <c r="L56" s="99">
        <f>SUMIF(Import!$B:$B,$A56,Import!G:G)</f>
        <v>0</v>
      </c>
      <c r="M56" s="99">
        <f>SUMIF(Import!$B:$B,$A56,Import!H:H)</f>
        <v>0</v>
      </c>
      <c r="N56" s="99">
        <f>SUMIF(Import!$B:$B,$A56,Import!I:I)</f>
        <v>0</v>
      </c>
      <c r="O56" s="99">
        <f>SUMIF(Import!$B:$B,$A56,Import!J:J)</f>
        <v>0</v>
      </c>
      <c r="P56" s="99">
        <f t="shared" si="14"/>
        <v>0</v>
      </c>
      <c r="Q56" s="99">
        <f>SUMIF(Import!$B:$B,$A56,Import!K:K)</f>
        <v>0</v>
      </c>
      <c r="R56" s="99">
        <f>SUMIF(Import!$B:$B,$A56,Import!L:L)</f>
        <v>0</v>
      </c>
      <c r="S56" s="99">
        <f>SUMIF(Import!$B:$B,$A56,Import!M:M)</f>
        <v>0</v>
      </c>
      <c r="T56" s="99">
        <f>SUMIF(Import!$B:$B,$A56,Import!N:N)</f>
        <v>0</v>
      </c>
      <c r="U56" s="99">
        <f t="shared" si="15"/>
        <v>0</v>
      </c>
      <c r="V56" s="255" t="str">
        <f t="shared" si="16"/>
        <v>N/A</v>
      </c>
      <c r="W56" s="102" t="s">
        <v>2226</v>
      </c>
      <c r="X56" s="102"/>
      <c r="Y56" s="102">
        <f t="shared" si="18"/>
        <v>0</v>
      </c>
      <c r="Z56" s="309">
        <f>Y56*(1+VLOOKUP($F56,'GL Category'!$A:$H,4,FALSE))</f>
        <v>0</v>
      </c>
      <c r="AA56" s="615"/>
      <c r="AB56" s="622">
        <f t="shared" si="19"/>
        <v>0</v>
      </c>
      <c r="AC56" s="633">
        <f>AB56*(1+VLOOKUP($F56,'GL Category'!$A:$H,5,FALSE))</f>
        <v>0</v>
      </c>
      <c r="AE56" s="622">
        <f t="shared" si="20"/>
        <v>0</v>
      </c>
      <c r="AF56" s="633">
        <f>AE56*(1+VLOOKUP($F56,'GL Category'!$A:$H,6,FALSE))</f>
        <v>0</v>
      </c>
      <c r="AH56" s="622">
        <f t="shared" si="21"/>
        <v>0</v>
      </c>
      <c r="AI56" s="633">
        <f>AH56*(1+VLOOKUP($F56,'GL Category'!$A:$H,7,FALSE))</f>
        <v>0</v>
      </c>
      <c r="AK56" s="622">
        <f t="shared" si="22"/>
        <v>0</v>
      </c>
      <c r="AL56" s="633">
        <f>AK56*(1+VLOOKUP($F56,'GL Category'!$A:$H,8,FALSE))</f>
        <v>0</v>
      </c>
      <c r="AN56" s="622">
        <f t="shared" si="23"/>
        <v>0</v>
      </c>
    </row>
    <row r="57" spans="1:40" ht="15" customHeight="1">
      <c r="A57" s="555" t="s">
        <v>2227</v>
      </c>
      <c r="B57" s="217" t="str">
        <f t="shared" si="6"/>
        <v>100</v>
      </c>
      <c r="C57" s="217" t="str">
        <f t="shared" si="7"/>
        <v>00</v>
      </c>
      <c r="D57" s="101" t="str">
        <f t="shared" si="8"/>
        <v>000</v>
      </c>
      <c r="E57" s="217" t="str">
        <f t="shared" si="9"/>
        <v>100-00-000</v>
      </c>
      <c r="F57" s="294" t="str">
        <f t="shared" si="10"/>
        <v>42140</v>
      </c>
      <c r="G57" s="295" t="str">
        <f>VLOOKUP(F57,'GL Category'!A:C,3,FALSE)</f>
        <v>CHARGES FOR SERVICE</v>
      </c>
      <c r="H57" s="98" t="str">
        <f>VLOOKUP(F57,'GL Category'!A:C,2,FALSE)</f>
        <v>RIGHT-OF-WAY EASEMENTS</v>
      </c>
      <c r="I57" s="99">
        <f>SUMIF(Import!$B:$B,$A57,Import!D:D)</f>
        <v>-450</v>
      </c>
      <c r="J57" s="99">
        <f>SUMIF(Import!$B:$B,$A57,Import!E:E)</f>
        <v>-450</v>
      </c>
      <c r="K57" s="99">
        <f>SUMIF(Import!$B:$B,$A57,Import!F:F)</f>
        <v>-450</v>
      </c>
      <c r="L57" s="99">
        <f>SUMIF(Import!$B:$B,$A57,Import!G:G)</f>
        <v>-450</v>
      </c>
      <c r="M57" s="99">
        <f>SUMIF(Import!$B:$B,$A57,Import!H:H)</f>
        <v>0</v>
      </c>
      <c r="N57" s="99">
        <f>SUMIF(Import!$B:$B,$A57,Import!I:I)</f>
        <v>-450</v>
      </c>
      <c r="O57" s="99">
        <f>SUMIF(Import!$B:$B,$A57,Import!J:J)</f>
        <v>0</v>
      </c>
      <c r="P57" s="99">
        <f t="shared" si="14"/>
        <v>0</v>
      </c>
      <c r="Q57" s="99">
        <f>SUMIF(Import!$B:$B,$A57,Import!K:K)</f>
        <v>0</v>
      </c>
      <c r="R57" s="99">
        <f>SUMIF(Import!$B:$B,$A57,Import!L:L)</f>
        <v>0</v>
      </c>
      <c r="S57" s="99">
        <f>SUMIF(Import!$B:$B,$A57,Import!M:M)</f>
        <v>0</v>
      </c>
      <c r="T57" s="99">
        <f>SUMIF(Import!$B:$B,$A57,Import!N:N)</f>
        <v>0</v>
      </c>
      <c r="U57" s="99">
        <f t="shared" si="15"/>
        <v>0</v>
      </c>
      <c r="V57" s="255" t="str">
        <f t="shared" si="16"/>
        <v>N/A</v>
      </c>
      <c r="W57" s="102" t="s">
        <v>2227</v>
      </c>
      <c r="X57" s="102"/>
      <c r="Y57" s="102">
        <f t="shared" si="18"/>
        <v>0</v>
      </c>
      <c r="Z57" s="309">
        <f>Y57*(1+VLOOKUP($F57,'GL Category'!$A:$H,4,FALSE))</f>
        <v>0</v>
      </c>
      <c r="AA57" s="615"/>
      <c r="AB57" s="622">
        <f t="shared" si="19"/>
        <v>0</v>
      </c>
      <c r="AC57" s="633">
        <f>AB57*(1+VLOOKUP($F57,'GL Category'!$A:$H,5,FALSE))</f>
        <v>0</v>
      </c>
      <c r="AE57" s="622">
        <f t="shared" si="20"/>
        <v>0</v>
      </c>
      <c r="AF57" s="633">
        <f>AE57*(1+VLOOKUP($F57,'GL Category'!$A:$H,6,FALSE))</f>
        <v>0</v>
      </c>
      <c r="AH57" s="622">
        <f t="shared" si="21"/>
        <v>0</v>
      </c>
      <c r="AI57" s="633">
        <f>AH57*(1+VLOOKUP($F57,'GL Category'!$A:$H,7,FALSE))</f>
        <v>0</v>
      </c>
      <c r="AK57" s="622">
        <f t="shared" si="22"/>
        <v>0</v>
      </c>
      <c r="AL57" s="633">
        <f>AK57*(1+VLOOKUP($F57,'GL Category'!$A:$H,8,FALSE))</f>
        <v>0</v>
      </c>
      <c r="AN57" s="622">
        <f t="shared" si="23"/>
        <v>0</v>
      </c>
    </row>
    <row r="58" spans="1:40" ht="15" customHeight="1">
      <c r="A58" s="555" t="s">
        <v>2228</v>
      </c>
      <c r="B58" s="217" t="str">
        <f t="shared" si="6"/>
        <v>100</v>
      </c>
      <c r="C58" s="217" t="str">
        <f t="shared" si="7"/>
        <v>00</v>
      </c>
      <c r="D58" s="101" t="str">
        <f t="shared" si="8"/>
        <v>000</v>
      </c>
      <c r="E58" s="217" t="str">
        <f t="shared" si="9"/>
        <v>100-00-000</v>
      </c>
      <c r="F58" s="294" t="str">
        <f t="shared" si="10"/>
        <v>42200</v>
      </c>
      <c r="G58" s="295" t="str">
        <f>VLOOKUP(F58,'GL Category'!A:C,3,FALSE)</f>
        <v>CHARGES FOR SERVICE</v>
      </c>
      <c r="H58" s="98" t="str">
        <f>VLOOKUP(F58,'GL Category'!A:C,2,FALSE)</f>
        <v>OIL &amp; GAS ROYALTY REVENUE</v>
      </c>
      <c r="I58" s="99">
        <f>SUMIF(Import!$B:$B,$A58,Import!D:D)</f>
        <v>0</v>
      </c>
      <c r="J58" s="99">
        <f>SUMIF(Import!$B:$B,$A58,Import!E:E)</f>
        <v>0</v>
      </c>
      <c r="K58" s="99">
        <f>SUMIF(Import!$B:$B,$A58,Import!F:F)</f>
        <v>0</v>
      </c>
      <c r="L58" s="99">
        <f>SUMIF(Import!$B:$B,$A58,Import!G:G)</f>
        <v>0</v>
      </c>
      <c r="M58" s="99">
        <f>SUMIF(Import!$B:$B,$A58,Import!H:H)</f>
        <v>0</v>
      </c>
      <c r="N58" s="99">
        <f>SUMIF(Import!$B:$B,$A58,Import!I:I)</f>
        <v>0</v>
      </c>
      <c r="O58" s="99">
        <f>SUMIF(Import!$B:$B,$A58,Import!J:J)</f>
        <v>0</v>
      </c>
      <c r="P58" s="99">
        <f t="shared" si="14"/>
        <v>0</v>
      </c>
      <c r="Q58" s="99">
        <f>SUMIF(Import!$B:$B,$A58,Import!K:K)</f>
        <v>0</v>
      </c>
      <c r="R58" s="99">
        <f>SUMIF(Import!$B:$B,$A58,Import!L:L)</f>
        <v>0</v>
      </c>
      <c r="S58" s="99">
        <f>SUMIF(Import!$B:$B,$A58,Import!M:M)</f>
        <v>0</v>
      </c>
      <c r="T58" s="99">
        <f>SUMIF(Import!$B:$B,$A58,Import!N:N)</f>
        <v>0</v>
      </c>
      <c r="U58" s="99">
        <f t="shared" si="15"/>
        <v>0</v>
      </c>
      <c r="V58" s="255" t="str">
        <f t="shared" si="16"/>
        <v>N/A</v>
      </c>
      <c r="W58" s="102" t="s">
        <v>2228</v>
      </c>
      <c r="X58" s="102"/>
      <c r="Y58" s="102">
        <f t="shared" si="18"/>
        <v>0</v>
      </c>
      <c r="Z58" s="309">
        <f>Y58*(1+VLOOKUP($F58,'GL Category'!$A:$H,4,FALSE))</f>
        <v>0</v>
      </c>
      <c r="AA58" s="615"/>
      <c r="AB58" s="622">
        <f t="shared" si="19"/>
        <v>0</v>
      </c>
      <c r="AC58" s="633">
        <f>AB58*(1+VLOOKUP($F58,'GL Category'!$A:$H,5,FALSE))</f>
        <v>0</v>
      </c>
      <c r="AE58" s="622">
        <f t="shared" si="20"/>
        <v>0</v>
      </c>
      <c r="AF58" s="633">
        <f>AE58*(1+VLOOKUP($F58,'GL Category'!$A:$H,6,FALSE))</f>
        <v>0</v>
      </c>
      <c r="AH58" s="622">
        <f t="shared" si="21"/>
        <v>0</v>
      </c>
      <c r="AI58" s="633">
        <f>AH58*(1+VLOOKUP($F58,'GL Category'!$A:$H,7,FALSE))</f>
        <v>0</v>
      </c>
      <c r="AK58" s="622">
        <f t="shared" si="22"/>
        <v>0</v>
      </c>
      <c r="AL58" s="633">
        <f>AK58*(1+VLOOKUP($F58,'GL Category'!$A:$H,8,FALSE))</f>
        <v>0</v>
      </c>
      <c r="AN58" s="622">
        <f t="shared" si="23"/>
        <v>0</v>
      </c>
    </row>
    <row r="59" spans="1:40" ht="15" customHeight="1">
      <c r="A59" s="555" t="s">
        <v>2229</v>
      </c>
      <c r="B59" s="217" t="str">
        <f t="shared" si="6"/>
        <v>100</v>
      </c>
      <c r="C59" s="217" t="str">
        <f t="shared" si="7"/>
        <v>00</v>
      </c>
      <c r="D59" s="101" t="str">
        <f t="shared" si="8"/>
        <v>000</v>
      </c>
      <c r="E59" s="217" t="str">
        <f t="shared" si="9"/>
        <v>100-00-000</v>
      </c>
      <c r="F59" s="294" t="str">
        <f t="shared" si="10"/>
        <v>43010</v>
      </c>
      <c r="G59" s="295" t="str">
        <f>VLOOKUP(F59,'GL Category'!A:C,3,FALSE)</f>
        <v>CHARGES FOR SERVICE</v>
      </c>
      <c r="H59" s="98" t="str">
        <f>VLOOKUP(F59,'GL Category'!A:C,2,FALSE)</f>
        <v>OTHER SERVICES</v>
      </c>
      <c r="I59" s="99">
        <f>SUMIF(Import!$B:$B,$A59,Import!D:D)</f>
        <v>-1967.61</v>
      </c>
      <c r="J59" s="99">
        <f>SUMIF(Import!$B:$B,$A59,Import!E:E)</f>
        <v>-3680.5</v>
      </c>
      <c r="K59" s="99">
        <f>SUMIF(Import!$B:$B,$A59,Import!F:F)</f>
        <v>-2283.16</v>
      </c>
      <c r="L59" s="99">
        <f>SUMIF(Import!$B:$B,$A59,Import!G:G)</f>
        <v>-5711.57</v>
      </c>
      <c r="M59" s="99">
        <f>SUMIF(Import!$B:$B,$A59,Import!H:H)</f>
        <v>-3360</v>
      </c>
      <c r="N59" s="99">
        <f>SUMIF(Import!$B:$B,$A59,Import!I:I)</f>
        <v>-19805.330000000002</v>
      </c>
      <c r="O59" s="99">
        <f>SUMIF(Import!$B:$B,$A59,Import!J:J)</f>
        <v>-6271</v>
      </c>
      <c r="P59" s="99">
        <f t="shared" si="14"/>
        <v>-2911</v>
      </c>
      <c r="Q59" s="99">
        <f>SUMIF(Import!$B:$B,$A59,Import!K:K)</f>
        <v>-6271</v>
      </c>
      <c r="R59" s="99">
        <f>SUMIF(Import!$B:$B,$A59,Import!L:L)</f>
        <v>0</v>
      </c>
      <c r="S59" s="99">
        <f>SUMIF(Import!$B:$B,$A59,Import!M:M)</f>
        <v>0</v>
      </c>
      <c r="T59" s="99">
        <f>SUMIF(Import!$B:$B,$A59,Import!N:N)</f>
        <v>-6271</v>
      </c>
      <c r="U59" s="99">
        <f t="shared" si="15"/>
        <v>-2911</v>
      </c>
      <c r="V59" s="255">
        <f t="shared" si="16"/>
        <v>0.86636904761904754</v>
      </c>
      <c r="W59" s="102" t="s">
        <v>2229</v>
      </c>
      <c r="X59" s="102"/>
      <c r="Y59" s="102">
        <f t="shared" si="18"/>
        <v>-6271</v>
      </c>
      <c r="Z59" s="309">
        <f>Y59*(1+VLOOKUP($F59,'GL Category'!$A:$H,4,FALSE))</f>
        <v>-6459.13</v>
      </c>
      <c r="AA59" s="615"/>
      <c r="AB59" s="622">
        <f t="shared" si="19"/>
        <v>-6459.13</v>
      </c>
      <c r="AC59" s="633">
        <f>AB59*(1+VLOOKUP($F59,'GL Category'!$A:$H,5,FALSE))</f>
        <v>-6652.9039000000002</v>
      </c>
      <c r="AE59" s="622">
        <f t="shared" si="20"/>
        <v>-6652.9039000000002</v>
      </c>
      <c r="AF59" s="633">
        <f>AE59*(1+VLOOKUP($F59,'GL Category'!$A:$H,6,FALSE))</f>
        <v>-6852.4910170000003</v>
      </c>
      <c r="AH59" s="622">
        <f t="shared" si="21"/>
        <v>-6852.4910170000003</v>
      </c>
      <c r="AI59" s="633">
        <f>AH59*(1+VLOOKUP($F59,'GL Category'!$A:$H,7,FALSE))</f>
        <v>-7058.0657475100006</v>
      </c>
      <c r="AK59" s="622">
        <f t="shared" si="22"/>
        <v>-7058.0657475100006</v>
      </c>
      <c r="AL59" s="633">
        <f>AK59*(1+VLOOKUP($F59,'GL Category'!$A:$H,8,FALSE))</f>
        <v>-7269.8077199353011</v>
      </c>
      <c r="AN59" s="622">
        <f t="shared" si="23"/>
        <v>-7269.8077199353011</v>
      </c>
    </row>
    <row r="60" spans="1:40" ht="15" customHeight="1">
      <c r="A60" s="555" t="s">
        <v>2230</v>
      </c>
      <c r="B60" s="217" t="str">
        <f t="shared" si="6"/>
        <v>100</v>
      </c>
      <c r="C60" s="217" t="str">
        <f t="shared" si="7"/>
        <v>00</v>
      </c>
      <c r="D60" s="101" t="str">
        <f t="shared" si="8"/>
        <v>000</v>
      </c>
      <c r="E60" s="217" t="str">
        <f t="shared" si="9"/>
        <v>100-00-000</v>
      </c>
      <c r="F60" s="294" t="str">
        <f t="shared" si="10"/>
        <v>43020</v>
      </c>
      <c r="G60" s="295" t="str">
        <f>VLOOKUP(F60,'GL Category'!A:C,3,FALSE)</f>
        <v>CHARGES FOR SERVICE</v>
      </c>
      <c r="H60" s="98" t="str">
        <f>VLOOKUP(F60,'GL Category'!A:C,2,FALSE)</f>
        <v>KTC PROPERTY OWNERS ASSN FEES</v>
      </c>
      <c r="I60" s="99">
        <f>SUMIF(Import!$B:$B,$A60,Import!D:D)</f>
        <v>-92099.28</v>
      </c>
      <c r="J60" s="99">
        <f>SUMIF(Import!$B:$B,$A60,Import!E:E)</f>
        <v>-96392.639999999999</v>
      </c>
      <c r="K60" s="99">
        <f>SUMIF(Import!$B:$B,$A60,Import!F:F)</f>
        <v>-96392.639999999999</v>
      </c>
      <c r="L60" s="99">
        <f>SUMIF(Import!$B:$B,$A60,Import!G:G)</f>
        <v>-110363.67</v>
      </c>
      <c r="M60" s="99">
        <f>SUMIF(Import!$B:$B,$A60,Import!H:H)</f>
        <v>-94773</v>
      </c>
      <c r="N60" s="99">
        <f>SUMIF(Import!$B:$B,$A60,Import!I:I)</f>
        <v>-68105.72</v>
      </c>
      <c r="O60" s="99">
        <f>SUMIF(Import!$B:$B,$A60,Import!J:J)</f>
        <v>-89751</v>
      </c>
      <c r="P60" s="99">
        <f t="shared" si="14"/>
        <v>5022</v>
      </c>
      <c r="Q60" s="99">
        <f>SUMIF(Import!$B:$B,$A60,Import!K:K)</f>
        <v>-89751</v>
      </c>
      <c r="R60" s="99">
        <f>SUMIF(Import!$B:$B,$A60,Import!L:L)</f>
        <v>0</v>
      </c>
      <c r="S60" s="99">
        <f>SUMIF(Import!$B:$B,$A60,Import!M:M)</f>
        <v>0</v>
      </c>
      <c r="T60" s="99">
        <f>SUMIF(Import!$B:$B,$A60,Import!N:N)</f>
        <v>-89751</v>
      </c>
      <c r="U60" s="99">
        <f t="shared" si="15"/>
        <v>5022</v>
      </c>
      <c r="V60" s="255">
        <f t="shared" si="16"/>
        <v>-5.2989775568991204E-2</v>
      </c>
      <c r="W60" s="102" t="s">
        <v>2230</v>
      </c>
      <c r="X60" s="102"/>
      <c r="Y60" s="102">
        <f t="shared" si="18"/>
        <v>-89751</v>
      </c>
      <c r="Z60" s="309">
        <f>Y60*(1+VLOOKUP($F60,'GL Category'!$A:$H,4,FALSE))</f>
        <v>-92443.53</v>
      </c>
      <c r="AA60" s="615"/>
      <c r="AB60" s="622">
        <f t="shared" si="19"/>
        <v>-92443.53</v>
      </c>
      <c r="AC60" s="633">
        <f>AB60*(1+VLOOKUP($F60,'GL Category'!$A:$H,5,FALSE))</f>
        <v>-95216.835900000005</v>
      </c>
      <c r="AE60" s="622">
        <f t="shared" si="20"/>
        <v>-95216.835900000005</v>
      </c>
      <c r="AF60" s="633">
        <f>AE60*(1+VLOOKUP($F60,'GL Category'!$A:$H,6,FALSE))</f>
        <v>-98073.340977000014</v>
      </c>
      <c r="AH60" s="622">
        <f t="shared" si="21"/>
        <v>-98073.340977000014</v>
      </c>
      <c r="AI60" s="633">
        <f>AH60*(1+VLOOKUP($F60,'GL Category'!$A:$H,7,FALSE))</f>
        <v>-101015.54120631002</v>
      </c>
      <c r="AK60" s="622">
        <f t="shared" si="22"/>
        <v>-101015.54120631002</v>
      </c>
      <c r="AL60" s="633">
        <f>AK60*(1+VLOOKUP($F60,'GL Category'!$A:$H,8,FALSE))</f>
        <v>-104046.00744249932</v>
      </c>
      <c r="AN60" s="622">
        <f t="shared" si="23"/>
        <v>-104046.00744249932</v>
      </c>
    </row>
    <row r="61" spans="1:40" ht="15" customHeight="1">
      <c r="A61" s="555" t="s">
        <v>2231</v>
      </c>
      <c r="B61" s="217" t="str">
        <f t="shared" si="6"/>
        <v>100</v>
      </c>
      <c r="C61" s="217" t="str">
        <f t="shared" si="7"/>
        <v>00</v>
      </c>
      <c r="D61" s="101" t="str">
        <f t="shared" si="8"/>
        <v>000</v>
      </c>
      <c r="E61" s="217" t="str">
        <f t="shared" si="9"/>
        <v>100-00-000</v>
      </c>
      <c r="F61" s="294" t="str">
        <f t="shared" si="10"/>
        <v>43030</v>
      </c>
      <c r="G61" s="295" t="str">
        <f>VLOOKUP(F61,'GL Category'!A:C,3,FALSE)</f>
        <v>INTRAGOVERNMENTAL</v>
      </c>
      <c r="H61" s="98" t="str">
        <f>VLOOKUP(F61,'GL Category'!A:C,2,FALSE)</f>
        <v>ADMINISTRATIVE SVCS-W&amp;S FUND</v>
      </c>
      <c r="I61" s="99">
        <f>SUMIF(Import!$B:$B,$A61,Import!D:D)</f>
        <v>-1451100</v>
      </c>
      <c r="J61" s="99">
        <f>SUMIF(Import!$B:$B,$A61,Import!E:E)</f>
        <v>-1514010</v>
      </c>
      <c r="K61" s="99">
        <f>SUMIF(Import!$B:$B,$A61,Import!F:F)</f>
        <v>-1574950</v>
      </c>
      <c r="L61" s="99">
        <f>SUMIF(Import!$B:$B,$A61,Import!G:G)</f>
        <v>-1557180</v>
      </c>
      <c r="M61" s="99">
        <f>SUMIF(Import!$B:$B,$A61,Import!H:H)</f>
        <v>-1638770</v>
      </c>
      <c r="N61" s="99">
        <f>SUMIF(Import!$B:$B,$A61,Import!I:I)</f>
        <v>-1229077.5</v>
      </c>
      <c r="O61" s="99">
        <f>SUMIF(Import!$B:$B,$A61,Import!J:J)</f>
        <v>-1638770</v>
      </c>
      <c r="P61" s="99">
        <f t="shared" si="14"/>
        <v>0</v>
      </c>
      <c r="Q61" s="99">
        <f>SUMIF(Import!$B:$B,$A61,Import!K:K)</f>
        <v>-1674281</v>
      </c>
      <c r="R61" s="99">
        <f>SUMIF(Import!$B:$B,$A61,Import!L:L)</f>
        <v>0</v>
      </c>
      <c r="S61" s="99">
        <f>SUMIF(Import!$B:$B,$A61,Import!M:M)</f>
        <v>0</v>
      </c>
      <c r="T61" s="99">
        <f>SUMIF(Import!$B:$B,$A61,Import!N:N)</f>
        <v>-1674281</v>
      </c>
      <c r="U61" s="99">
        <f t="shared" si="15"/>
        <v>-35511</v>
      </c>
      <c r="V61" s="255">
        <f t="shared" si="16"/>
        <v>2.1669300756054888E-2</v>
      </c>
      <c r="W61" s="102" t="s">
        <v>2231</v>
      </c>
      <c r="X61" s="102"/>
      <c r="Y61" s="102">
        <f t="shared" si="18"/>
        <v>-1674281</v>
      </c>
      <c r="Z61" s="309">
        <f>Y61*(1+VLOOKUP($F61,'GL Category'!$A:$H,4,FALSE))</f>
        <v>-1724509.43</v>
      </c>
      <c r="AA61" s="615"/>
      <c r="AB61" s="622">
        <f t="shared" si="19"/>
        <v>-1724509.43</v>
      </c>
      <c r="AC61" s="633">
        <f>AB61*(1+VLOOKUP($F61,'GL Category'!$A:$H,5,FALSE))</f>
        <v>-1776244.7128999999</v>
      </c>
      <c r="AE61" s="622">
        <f t="shared" si="20"/>
        <v>-1776244.7128999999</v>
      </c>
      <c r="AF61" s="633">
        <f>AE61*(1+VLOOKUP($F61,'GL Category'!$A:$H,6,FALSE))</f>
        <v>-1829532.0542869999</v>
      </c>
      <c r="AH61" s="622">
        <f t="shared" si="21"/>
        <v>-1829532.0542869999</v>
      </c>
      <c r="AI61" s="633">
        <f>AH61*(1+VLOOKUP($F61,'GL Category'!$A:$H,7,FALSE))</f>
        <v>-1884418.0159156099</v>
      </c>
      <c r="AK61" s="622">
        <f t="shared" si="22"/>
        <v>-1884418.0159156099</v>
      </c>
      <c r="AL61" s="633">
        <f>AK61*(1+VLOOKUP($F61,'GL Category'!$A:$H,8,FALSE))</f>
        <v>-1940950.5563930783</v>
      </c>
      <c r="AN61" s="622">
        <f t="shared" si="23"/>
        <v>-1940950.5563930783</v>
      </c>
    </row>
    <row r="62" spans="1:40" ht="15" customHeight="1">
      <c r="A62" s="555" t="s">
        <v>2232</v>
      </c>
      <c r="B62" s="217" t="str">
        <f t="shared" si="6"/>
        <v>100</v>
      </c>
      <c r="C62" s="217" t="str">
        <f t="shared" si="7"/>
        <v>00</v>
      </c>
      <c r="D62" s="101" t="str">
        <f t="shared" si="8"/>
        <v>000</v>
      </c>
      <c r="E62" s="217" t="str">
        <f t="shared" si="9"/>
        <v>100-00-000</v>
      </c>
      <c r="F62" s="294" t="str">
        <f t="shared" si="10"/>
        <v>43050</v>
      </c>
      <c r="G62" s="295" t="str">
        <f>VLOOKUP(F62,'GL Category'!A:C,3,FALSE)</f>
        <v>INTRAGOVERNMENTAL</v>
      </c>
      <c r="H62" s="98" t="str">
        <f>VLOOKUP(F62,'GL Category'!A:C,2,FALSE)</f>
        <v>ADMINISTRATIVE SVCS-KDC</v>
      </c>
      <c r="I62" s="99">
        <f>SUMIF(Import!$B:$B,$A62,Import!D:D)</f>
        <v>-46836</v>
      </c>
      <c r="J62" s="99">
        <f>SUMIF(Import!$B:$B,$A62,Import!E:E)</f>
        <v>-42590</v>
      </c>
      <c r="K62" s="99">
        <f>SUMIF(Import!$B:$B,$A62,Import!F:F)</f>
        <v>-42680</v>
      </c>
      <c r="L62" s="99">
        <f>SUMIF(Import!$B:$B,$A62,Import!G:G)</f>
        <v>-47149</v>
      </c>
      <c r="M62" s="99">
        <f>SUMIF(Import!$B:$B,$A62,Import!H:H)</f>
        <v>-49916</v>
      </c>
      <c r="N62" s="99">
        <f>SUMIF(Import!$B:$B,$A62,Import!I:I)</f>
        <v>-37437</v>
      </c>
      <c r="O62" s="99">
        <f>SUMIF(Import!$B:$B,$A62,Import!J:J)</f>
        <v>-49916</v>
      </c>
      <c r="P62" s="99">
        <f t="shared" si="14"/>
        <v>0</v>
      </c>
      <c r="Q62" s="99">
        <f>SUMIF(Import!$B:$B,$A62,Import!K:K)</f>
        <v>-48178</v>
      </c>
      <c r="R62" s="99">
        <f>SUMIF(Import!$B:$B,$A62,Import!L:L)</f>
        <v>0</v>
      </c>
      <c r="S62" s="99">
        <f>SUMIF(Import!$B:$B,$A62,Import!M:M)</f>
        <v>0</v>
      </c>
      <c r="T62" s="99">
        <f>SUMIF(Import!$B:$B,$A62,Import!N:N)</f>
        <v>-48178</v>
      </c>
      <c r="U62" s="99">
        <f t="shared" si="15"/>
        <v>1738</v>
      </c>
      <c r="V62" s="255">
        <f t="shared" si="16"/>
        <v>-3.4818495071720523E-2</v>
      </c>
      <c r="W62" s="102" t="s">
        <v>2232</v>
      </c>
      <c r="X62" s="102"/>
      <c r="Y62" s="102">
        <f t="shared" si="18"/>
        <v>-48178</v>
      </c>
      <c r="Z62" s="309">
        <f>Y62*(1+VLOOKUP($F62,'GL Category'!$A:$H,4,FALSE))</f>
        <v>-49623.340000000004</v>
      </c>
      <c r="AA62" s="615"/>
      <c r="AB62" s="622">
        <f t="shared" si="19"/>
        <v>-49623.340000000004</v>
      </c>
      <c r="AC62" s="633">
        <f>AB62*(1+VLOOKUP($F62,'GL Category'!$A:$H,5,FALSE))</f>
        <v>-51112.040200000003</v>
      </c>
      <c r="AE62" s="622">
        <f t="shared" si="20"/>
        <v>-51112.040200000003</v>
      </c>
      <c r="AF62" s="633">
        <f>AE62*(1+VLOOKUP($F62,'GL Category'!$A:$H,6,FALSE))</f>
        <v>-52645.401406000004</v>
      </c>
      <c r="AH62" s="622">
        <f t="shared" si="21"/>
        <v>-52645.401406000004</v>
      </c>
      <c r="AI62" s="633">
        <f>AH62*(1+VLOOKUP($F62,'GL Category'!$A:$H,7,FALSE))</f>
        <v>-54224.763448180005</v>
      </c>
      <c r="AK62" s="622">
        <f t="shared" si="22"/>
        <v>-54224.763448180005</v>
      </c>
      <c r="AL62" s="633">
        <f>AK62*(1+VLOOKUP($F62,'GL Category'!$A:$H,8,FALSE))</f>
        <v>-55851.506351625409</v>
      </c>
      <c r="AN62" s="622">
        <f t="shared" si="23"/>
        <v>-55851.506351625409</v>
      </c>
    </row>
    <row r="63" spans="1:40" ht="15" customHeight="1">
      <c r="A63" s="555" t="s">
        <v>2233</v>
      </c>
      <c r="B63" s="217" t="str">
        <f t="shared" si="6"/>
        <v>100</v>
      </c>
      <c r="C63" s="217" t="str">
        <f t="shared" si="7"/>
        <v>00</v>
      </c>
      <c r="D63" s="101" t="str">
        <f t="shared" si="8"/>
        <v>000</v>
      </c>
      <c r="E63" s="217" t="str">
        <f t="shared" si="9"/>
        <v>100-00-000</v>
      </c>
      <c r="F63" s="294" t="str">
        <f t="shared" si="10"/>
        <v>43070</v>
      </c>
      <c r="G63" s="295" t="str">
        <f>VLOOKUP(F63,'GL Category'!A:C,3,FALSE)</f>
        <v>CHARGES FOR SERVICE</v>
      </c>
      <c r="H63" s="98" t="str">
        <f>VLOOKUP(F63,'GL Category'!A:C,2,FALSE)</f>
        <v>LIBRARY NON-RESIDENT FEES</v>
      </c>
      <c r="I63" s="99">
        <f>SUMIF(Import!$B:$B,$A63,Import!D:D)</f>
        <v>-2050</v>
      </c>
      <c r="J63" s="99">
        <f>SUMIF(Import!$B:$B,$A63,Import!E:E)</f>
        <v>-12012.5</v>
      </c>
      <c r="K63" s="99">
        <f>SUMIF(Import!$B:$B,$A63,Import!F:F)</f>
        <v>-16600</v>
      </c>
      <c r="L63" s="99">
        <f>SUMIF(Import!$B:$B,$A63,Import!G:G)</f>
        <v>-15962.5</v>
      </c>
      <c r="M63" s="99">
        <f>SUMIF(Import!$B:$B,$A63,Import!H:H)</f>
        <v>-16866</v>
      </c>
      <c r="N63" s="99">
        <f>SUMIF(Import!$B:$B,$A63,Import!I:I)</f>
        <v>-12060</v>
      </c>
      <c r="O63" s="99">
        <f>SUMIF(Import!$B:$B,$A63,Import!J:J)</f>
        <v>-14467</v>
      </c>
      <c r="P63" s="99">
        <f t="shared" si="14"/>
        <v>2399</v>
      </c>
      <c r="Q63" s="99">
        <f>SUMIF(Import!$B:$B,$A63,Import!K:K)</f>
        <v>-14467</v>
      </c>
      <c r="R63" s="99">
        <f>SUMIF(Import!$B:$B,$A63,Import!L:L)</f>
        <v>0</v>
      </c>
      <c r="S63" s="99">
        <f>SUMIF(Import!$B:$B,$A63,Import!M:M)</f>
        <v>0</v>
      </c>
      <c r="T63" s="99">
        <f>SUMIF(Import!$B:$B,$A63,Import!N:N)</f>
        <v>-14467</v>
      </c>
      <c r="U63" s="99">
        <f t="shared" si="15"/>
        <v>2399</v>
      </c>
      <c r="V63" s="255">
        <f t="shared" si="16"/>
        <v>-0.14223882366891971</v>
      </c>
      <c r="W63" s="102" t="s">
        <v>2233</v>
      </c>
      <c r="X63" s="102"/>
      <c r="Y63" s="102">
        <f t="shared" si="18"/>
        <v>-14467</v>
      </c>
      <c r="Z63" s="309">
        <f>Y63*(1+VLOOKUP($F63,'GL Category'!$A:$H,4,FALSE))</f>
        <v>-14901.01</v>
      </c>
      <c r="AA63" s="615"/>
      <c r="AB63" s="622">
        <f t="shared" si="19"/>
        <v>-14901.01</v>
      </c>
      <c r="AC63" s="633">
        <f>AB63*(1+VLOOKUP($F63,'GL Category'!$A:$H,5,FALSE))</f>
        <v>-15348.040300000001</v>
      </c>
      <c r="AE63" s="622">
        <f t="shared" si="20"/>
        <v>-15348.040300000001</v>
      </c>
      <c r="AF63" s="633">
        <f>AE63*(1+VLOOKUP($F63,'GL Category'!$A:$H,6,FALSE))</f>
        <v>-15808.481509000001</v>
      </c>
      <c r="AH63" s="622">
        <f t="shared" si="21"/>
        <v>-15808.481509000001</v>
      </c>
      <c r="AI63" s="633">
        <f>AH63*(1+VLOOKUP($F63,'GL Category'!$A:$H,7,FALSE))</f>
        <v>-16282.735954270001</v>
      </c>
      <c r="AK63" s="622">
        <f t="shared" si="22"/>
        <v>-16282.735954270001</v>
      </c>
      <c r="AL63" s="633">
        <f>AK63*(1+VLOOKUP($F63,'GL Category'!$A:$H,8,FALSE))</f>
        <v>-16771.218032898101</v>
      </c>
      <c r="AN63" s="622">
        <f t="shared" si="23"/>
        <v>-16771.218032898101</v>
      </c>
    </row>
    <row r="64" spans="1:40" ht="15" customHeight="1">
      <c r="A64" s="555" t="s">
        <v>2235</v>
      </c>
      <c r="B64" s="217" t="str">
        <f t="shared" si="6"/>
        <v>100</v>
      </c>
      <c r="C64" s="217" t="str">
        <f t="shared" si="7"/>
        <v>00</v>
      </c>
      <c r="D64" s="101" t="str">
        <f t="shared" si="8"/>
        <v>000</v>
      </c>
      <c r="E64" s="217" t="str">
        <f t="shared" si="9"/>
        <v>100-00-000</v>
      </c>
      <c r="F64" s="294" t="str">
        <f t="shared" si="10"/>
        <v>44790</v>
      </c>
      <c r="G64" s="295" t="str">
        <f>VLOOKUP(F64,'GL Category'!A:C,3,FALSE)</f>
        <v>CHARGES FOR SERVICE</v>
      </c>
      <c r="H64" s="98" t="str">
        <f>VLOOKUP(F64,'GL Category'!A:C,2,FALSE)</f>
        <v>WRITE OFF RECOVERY</v>
      </c>
      <c r="I64" s="99">
        <f>SUMIF(Import!$B:$B,$A64,Import!D:D)</f>
        <v>-5355.38</v>
      </c>
      <c r="J64" s="99">
        <f>SUMIF(Import!$B:$B,$A64,Import!E:E)</f>
        <v>-19398.240000000002</v>
      </c>
      <c r="K64" s="99">
        <f>SUMIF(Import!$B:$B,$A64,Import!F:F)</f>
        <v>-13676.44</v>
      </c>
      <c r="L64" s="99">
        <f>SUMIF(Import!$B:$B,$A64,Import!G:G)</f>
        <v>-10287.030000000001</v>
      </c>
      <c r="M64" s="99">
        <f>SUMIF(Import!$B:$B,$A64,Import!H:H)</f>
        <v>-14292</v>
      </c>
      <c r="N64" s="99">
        <f>SUMIF(Import!$B:$B,$A64,Import!I:I)</f>
        <v>-7251.4</v>
      </c>
      <c r="O64" s="99">
        <f>SUMIF(Import!$B:$B,$A64,Import!J:J)</f>
        <v>-6945</v>
      </c>
      <c r="P64" s="99">
        <f t="shared" si="14"/>
        <v>7347</v>
      </c>
      <c r="Q64" s="99">
        <f>SUMIF(Import!$B:$B,$A64,Import!K:K)</f>
        <v>-8096</v>
      </c>
      <c r="R64" s="99">
        <f>SUMIF(Import!$B:$B,$A64,Import!L:L)</f>
        <v>0</v>
      </c>
      <c r="S64" s="99">
        <f>SUMIF(Import!$B:$B,$A64,Import!M:M)</f>
        <v>0</v>
      </c>
      <c r="T64" s="99">
        <f>SUMIF(Import!$B:$B,$A64,Import!N:N)</f>
        <v>-8096</v>
      </c>
      <c r="U64" s="99">
        <f t="shared" si="15"/>
        <v>6196</v>
      </c>
      <c r="V64" s="255">
        <f t="shared" si="16"/>
        <v>-0.43352924713126229</v>
      </c>
      <c r="W64" s="102" t="s">
        <v>2235</v>
      </c>
      <c r="X64" s="102"/>
      <c r="Y64" s="102">
        <f t="shared" si="18"/>
        <v>-8096</v>
      </c>
      <c r="Z64" s="309">
        <f>Y64*(1+VLOOKUP($F64,'GL Category'!$A:$H,4,FALSE))</f>
        <v>-8338.880000000001</v>
      </c>
      <c r="AA64" s="615"/>
      <c r="AB64" s="622">
        <f t="shared" si="19"/>
        <v>-8338.880000000001</v>
      </c>
      <c r="AC64" s="633">
        <f>AB64*(1+VLOOKUP($F64,'GL Category'!$A:$H,5,FALSE))</f>
        <v>-8589.0464000000011</v>
      </c>
      <c r="AE64" s="622">
        <f t="shared" si="20"/>
        <v>-8589.0464000000011</v>
      </c>
      <c r="AF64" s="633">
        <f>AE64*(1+VLOOKUP($F64,'GL Category'!$A:$H,6,FALSE))</f>
        <v>-8846.7177920000013</v>
      </c>
      <c r="AH64" s="622">
        <f t="shared" si="21"/>
        <v>-8846.7177920000013</v>
      </c>
      <c r="AI64" s="633">
        <f>AH64*(1+VLOOKUP($F64,'GL Category'!$A:$H,7,FALSE))</f>
        <v>-9112.1193257600007</v>
      </c>
      <c r="AK64" s="622">
        <f t="shared" si="22"/>
        <v>-9112.1193257600007</v>
      </c>
      <c r="AL64" s="633">
        <f>AK64*(1+VLOOKUP($F64,'GL Category'!$A:$H,8,FALSE))</f>
        <v>-9385.4829055328009</v>
      </c>
      <c r="AN64" s="622">
        <f t="shared" si="23"/>
        <v>-9385.4829055328009</v>
      </c>
    </row>
    <row r="65" spans="1:59" ht="15" customHeight="1">
      <c r="A65" s="555" t="s">
        <v>2208</v>
      </c>
      <c r="B65" s="217" t="str">
        <f t="shared" si="6"/>
        <v>100</v>
      </c>
      <c r="C65" s="217" t="str">
        <f t="shared" si="7"/>
        <v>00</v>
      </c>
      <c r="D65" s="101" t="str">
        <f t="shared" si="8"/>
        <v>000</v>
      </c>
      <c r="E65" s="217" t="str">
        <f t="shared" si="9"/>
        <v>100-00-000</v>
      </c>
      <c r="F65" s="294" t="str">
        <f t="shared" si="10"/>
        <v>46160</v>
      </c>
      <c r="G65" s="295" t="str">
        <f>VLOOKUP(F65,'GL Category'!A:C,3,FALSE)</f>
        <v>INTERGOVERNMENTAL</v>
      </c>
      <c r="H65" s="98" t="str">
        <f>VLOOKUP(F65,'GL Category'!A:C,2,FALSE)</f>
        <v>I/G REV-SOUTHLAKE</v>
      </c>
      <c r="I65" s="99">
        <f>SUMIF(Import!$B:$B,$A65,Import!D:D)</f>
        <v>-1224928</v>
      </c>
      <c r="J65" s="99">
        <f>SUMIF(Import!$B:$B,$A65,Import!E:E)</f>
        <v>-1247377</v>
      </c>
      <c r="K65" s="99">
        <f>SUMIF(Import!$B:$B,$A65,Import!F:F)</f>
        <v>-1198360</v>
      </c>
      <c r="L65" s="99">
        <f>SUMIF(Import!$B:$B,$A65,Import!G:G)</f>
        <v>-1394828</v>
      </c>
      <c r="M65" s="99">
        <f>SUMIF(Import!$B:$B,$A65,Import!H:H)</f>
        <v>-1370988</v>
      </c>
      <c r="N65" s="99">
        <f>SUMIF(Import!$B:$B,$A65,Import!I:I)</f>
        <v>-998364</v>
      </c>
      <c r="O65" s="99">
        <f>SUMIF(Import!$B:$B,$A65,Import!J:J)</f>
        <v>-1327152</v>
      </c>
      <c r="P65" s="99">
        <f t="shared" si="14"/>
        <v>43836</v>
      </c>
      <c r="Q65" s="99">
        <f>SUMIF(Import!$B:$B,$A65,Import!K:K)</f>
        <v>-1414314</v>
      </c>
      <c r="R65" s="99">
        <f>SUMIF(Import!$B:$B,$A65,Import!L:L)</f>
        <v>0</v>
      </c>
      <c r="S65" s="99">
        <f>SUMIF(Import!$B:$B,$A65,Import!M:M)</f>
        <v>0</v>
      </c>
      <c r="T65" s="99">
        <f>SUMIF(Import!$B:$B,$A65,Import!N:N)</f>
        <v>-1414314</v>
      </c>
      <c r="U65" s="99">
        <f t="shared" si="15"/>
        <v>-43326</v>
      </c>
      <c r="V65" s="255">
        <f t="shared" si="16"/>
        <v>3.1602027151222289E-2</v>
      </c>
      <c r="W65" s="264" t="s">
        <v>2208</v>
      </c>
      <c r="X65" s="264"/>
      <c r="Y65" s="102">
        <f t="shared" si="18"/>
        <v>-1414314</v>
      </c>
      <c r="Z65" s="309">
        <f>Y65*(1+VLOOKUP($F65,'GL Category'!$A:$H,4,FALSE))</f>
        <v>-1456743.42</v>
      </c>
      <c r="AA65" s="615"/>
      <c r="AB65" s="622">
        <f t="shared" si="19"/>
        <v>-1456743.42</v>
      </c>
      <c r="AC65" s="633">
        <f>AB65*(1+VLOOKUP($F65,'GL Category'!$A:$H,5,FALSE))</f>
        <v>-1500445.7226</v>
      </c>
      <c r="AE65" s="622">
        <f t="shared" si="20"/>
        <v>-1500445.7226</v>
      </c>
      <c r="AF65" s="633">
        <f>AE65*(1+VLOOKUP($F65,'GL Category'!$A:$H,6,FALSE))</f>
        <v>-1545459.0942780001</v>
      </c>
      <c r="AH65" s="622">
        <f t="shared" si="21"/>
        <v>-1545459.0942780001</v>
      </c>
      <c r="AI65" s="633">
        <f>AH65*(1+VLOOKUP($F65,'GL Category'!$A:$H,7,FALSE))</f>
        <v>-1591822.8671063401</v>
      </c>
      <c r="AK65" s="622">
        <f t="shared" si="22"/>
        <v>-1591822.8671063401</v>
      </c>
      <c r="AL65" s="633">
        <f>AK65*(1+VLOOKUP($F65,'GL Category'!$A:$H,8,FALSE))</f>
        <v>-1639577.5531195304</v>
      </c>
      <c r="AN65" s="622">
        <f t="shared" si="23"/>
        <v>-1639577.5531195304</v>
      </c>
      <c r="AO65" s="88"/>
      <c r="AP65" s="88"/>
      <c r="AQ65" s="88"/>
      <c r="AR65" s="68"/>
      <c r="AS65" s="68"/>
      <c r="AT65" s="68"/>
      <c r="AU65" s="68"/>
      <c r="AV65" s="68"/>
      <c r="AW65" s="68"/>
      <c r="AX65" s="68"/>
      <c r="AY65" s="68"/>
      <c r="AZ65" s="68"/>
      <c r="BA65" s="68"/>
      <c r="BB65" s="68"/>
      <c r="BC65" s="68"/>
      <c r="BD65" s="68"/>
      <c r="BE65" s="68"/>
      <c r="BF65" s="68"/>
      <c r="BG65" s="68"/>
    </row>
    <row r="66" spans="1:59" ht="15" customHeight="1">
      <c r="A66" s="555" t="s">
        <v>2209</v>
      </c>
      <c r="B66" s="217" t="str">
        <f t="shared" si="6"/>
        <v>100</v>
      </c>
      <c r="C66" s="217" t="str">
        <f t="shared" si="7"/>
        <v>00</v>
      </c>
      <c r="D66" s="101" t="str">
        <f t="shared" si="8"/>
        <v>000</v>
      </c>
      <c r="E66" s="217" t="str">
        <f t="shared" si="9"/>
        <v>100-00-000</v>
      </c>
      <c r="F66" s="294" t="str">
        <f t="shared" si="10"/>
        <v>46161</v>
      </c>
      <c r="G66" s="295" t="str">
        <f>VLOOKUP(F66,'GL Category'!A:C,3,FALSE)</f>
        <v>INTERGOVERNMENTAL</v>
      </c>
      <c r="H66" s="98" t="str">
        <f>VLOOKUP(F66,'GL Category'!A:C,2,FALSE)</f>
        <v>I/G REV-ROANOKE</v>
      </c>
      <c r="I66" s="99">
        <f>SUMIF(Import!$B:$B,$A66,Import!D:D)</f>
        <v>-16199.05</v>
      </c>
      <c r="J66" s="99">
        <f>SUMIF(Import!$B:$B,$A66,Import!E:E)</f>
        <v>-179329</v>
      </c>
      <c r="K66" s="99">
        <f>SUMIF(Import!$B:$B,$A66,Import!F:F)</f>
        <v>-189634.32</v>
      </c>
      <c r="L66" s="99">
        <f>SUMIF(Import!$B:$B,$A66,Import!G:G)</f>
        <v>-196074</v>
      </c>
      <c r="M66" s="99">
        <f>SUMIF(Import!$B:$B,$A66,Import!H:H)</f>
        <v>-238624</v>
      </c>
      <c r="N66" s="99">
        <f>SUMIF(Import!$B:$B,$A66,Import!I:I)</f>
        <v>-244364</v>
      </c>
      <c r="O66" s="99">
        <f>SUMIF(Import!$B:$B,$A66,Import!J:J)</f>
        <v>-240714</v>
      </c>
      <c r="P66" s="99">
        <f t="shared" si="14"/>
        <v>-2090</v>
      </c>
      <c r="Q66" s="99">
        <f>SUMIF(Import!$B:$B,$A66,Import!K:K)</f>
        <v>-248877</v>
      </c>
      <c r="R66" s="99">
        <f>SUMIF(Import!$B:$B,$A66,Import!L:L)</f>
        <v>0</v>
      </c>
      <c r="S66" s="99">
        <f>SUMIF(Import!$B:$B,$A66,Import!M:M)</f>
        <v>0</v>
      </c>
      <c r="T66" s="99">
        <f>SUMIF(Import!$B:$B,$A66,Import!N:N)</f>
        <v>-248877</v>
      </c>
      <c r="U66" s="99">
        <f t="shared" si="15"/>
        <v>-10253</v>
      </c>
      <c r="V66" s="255">
        <f t="shared" si="16"/>
        <v>4.2967178490009417E-2</v>
      </c>
      <c r="W66" s="264" t="s">
        <v>2209</v>
      </c>
      <c r="X66" s="264"/>
      <c r="Y66" s="102">
        <f t="shared" si="18"/>
        <v>-248877</v>
      </c>
      <c r="Z66" s="309">
        <f>Y66*(1+VLOOKUP($F66,'GL Category'!$A:$H,4,FALSE))</f>
        <v>-256343.31</v>
      </c>
      <c r="AA66" s="615"/>
      <c r="AB66" s="622">
        <f t="shared" si="19"/>
        <v>-256343.31</v>
      </c>
      <c r="AC66" s="633">
        <f>AB66*(1+VLOOKUP($F66,'GL Category'!$A:$H,5,FALSE))</f>
        <v>-264033.60930000001</v>
      </c>
      <c r="AE66" s="622">
        <f t="shared" si="20"/>
        <v>-264033.60930000001</v>
      </c>
      <c r="AF66" s="633">
        <f>AE66*(1+VLOOKUP($F66,'GL Category'!$A:$H,6,FALSE))</f>
        <v>-271954.61757900001</v>
      </c>
      <c r="AH66" s="622">
        <f t="shared" si="21"/>
        <v>-271954.61757900001</v>
      </c>
      <c r="AI66" s="633">
        <f>AH66*(1+VLOOKUP($F66,'GL Category'!$A:$H,7,FALSE))</f>
        <v>-280113.25610637001</v>
      </c>
      <c r="AK66" s="622">
        <f t="shared" si="22"/>
        <v>-280113.25610637001</v>
      </c>
      <c r="AL66" s="633">
        <f>AK66*(1+VLOOKUP($F66,'GL Category'!$A:$H,8,FALSE))</f>
        <v>-288516.65378956113</v>
      </c>
      <c r="AN66" s="622">
        <f t="shared" si="23"/>
        <v>-288516.65378956113</v>
      </c>
      <c r="AO66" s="88"/>
      <c r="AP66" s="88"/>
      <c r="AQ66" s="88"/>
      <c r="AR66" s="68"/>
      <c r="AS66" s="68"/>
      <c r="AT66" s="68"/>
      <c r="AU66" s="68"/>
      <c r="AV66" s="68"/>
      <c r="AW66" s="68"/>
      <c r="AX66" s="68"/>
      <c r="AY66" s="68"/>
      <c r="AZ66" s="68"/>
      <c r="BA66" s="68"/>
      <c r="BB66" s="68"/>
      <c r="BC66" s="68"/>
      <c r="BD66" s="68"/>
      <c r="BE66" s="68"/>
      <c r="BF66" s="68"/>
      <c r="BG66" s="68"/>
    </row>
    <row r="67" spans="1:59" ht="15" customHeight="1">
      <c r="A67" s="555" t="s">
        <v>2236</v>
      </c>
      <c r="B67" s="217" t="str">
        <f t="shared" si="6"/>
        <v>100</v>
      </c>
      <c r="C67" s="217" t="str">
        <f t="shared" si="7"/>
        <v>00</v>
      </c>
      <c r="D67" s="101" t="str">
        <f t="shared" si="8"/>
        <v>000</v>
      </c>
      <c r="E67" s="217" t="str">
        <f t="shared" si="9"/>
        <v>100-00-000</v>
      </c>
      <c r="F67" s="294" t="str">
        <f t="shared" si="10"/>
        <v>46165</v>
      </c>
      <c r="G67" s="295" t="str">
        <f>VLOOKUP(F67,'GL Category'!A:C,3,FALSE)</f>
        <v>INTERGOVERNMENTAL</v>
      </c>
      <c r="H67" s="98" t="str">
        <f>VLOOKUP(F67,'GL Category'!A:C,2,FALSE)</f>
        <v>I/G REV-TOWN OF WESTLAKE</v>
      </c>
      <c r="I67" s="99">
        <f>SUMIF(Import!$B:$B,$A67,Import!D:D)</f>
        <v>-978651</v>
      </c>
      <c r="J67" s="99">
        <f>SUMIF(Import!$B:$B,$A67,Import!E:E)</f>
        <v>-981026</v>
      </c>
      <c r="K67" s="99">
        <f>SUMIF(Import!$B:$B,$A67,Import!F:F)</f>
        <v>-993553.12</v>
      </c>
      <c r="L67" s="99">
        <f>SUMIF(Import!$B:$B,$A67,Import!G:G)</f>
        <v>-1177069</v>
      </c>
      <c r="M67" s="99">
        <f>SUMIF(Import!$B:$B,$A67,Import!H:H)</f>
        <v>-1208277</v>
      </c>
      <c r="N67" s="99">
        <f>SUMIF(Import!$B:$B,$A67,Import!I:I)</f>
        <v>-898398</v>
      </c>
      <c r="O67" s="99">
        <f>SUMIF(Import!$B:$B,$A67,Import!J:J)</f>
        <v>-1197864</v>
      </c>
      <c r="P67" s="99">
        <f t="shared" si="14"/>
        <v>10413</v>
      </c>
      <c r="Q67" s="99">
        <f>SUMIF(Import!$B:$B,$A67,Import!K:K)</f>
        <v>-1256846</v>
      </c>
      <c r="R67" s="99">
        <f>SUMIF(Import!$B:$B,$A67,Import!L:L)</f>
        <v>0</v>
      </c>
      <c r="S67" s="99">
        <f>SUMIF(Import!$B:$B,$A67,Import!M:M)</f>
        <v>0</v>
      </c>
      <c r="T67" s="99">
        <f>SUMIF(Import!$B:$B,$A67,Import!N:N)</f>
        <v>-1256846</v>
      </c>
      <c r="U67" s="99">
        <f t="shared" si="15"/>
        <v>-48569</v>
      </c>
      <c r="V67" s="255">
        <f t="shared" si="16"/>
        <v>4.0196908490354399E-2</v>
      </c>
      <c r="W67" s="264" t="s">
        <v>2236</v>
      </c>
      <c r="X67" s="264"/>
      <c r="Y67" s="102">
        <f t="shared" si="18"/>
        <v>-1256846</v>
      </c>
      <c r="Z67" s="309">
        <f>Y67*(1+VLOOKUP($F67,'GL Category'!$A:$H,4,FALSE))</f>
        <v>-1294551.3800000001</v>
      </c>
      <c r="AA67" s="615"/>
      <c r="AB67" s="622">
        <f t="shared" si="19"/>
        <v>-1294551.3800000001</v>
      </c>
      <c r="AC67" s="633">
        <f>AB67*(1+VLOOKUP($F67,'GL Category'!$A:$H,5,FALSE))</f>
        <v>-1333387.9214000001</v>
      </c>
      <c r="AE67" s="622">
        <f t="shared" si="20"/>
        <v>-1333387.9214000001</v>
      </c>
      <c r="AF67" s="633">
        <f>AE67*(1+VLOOKUP($F67,'GL Category'!$A:$H,6,FALSE))</f>
        <v>-1373389.5590420002</v>
      </c>
      <c r="AH67" s="622">
        <f t="shared" si="21"/>
        <v>-1373389.5590420002</v>
      </c>
      <c r="AI67" s="633">
        <f>AH67*(1+VLOOKUP($F67,'GL Category'!$A:$H,7,FALSE))</f>
        <v>-1414591.2458132603</v>
      </c>
      <c r="AK67" s="622">
        <f t="shared" si="22"/>
        <v>-1414591.2458132603</v>
      </c>
      <c r="AL67" s="633">
        <f>AK67*(1+VLOOKUP($F67,'GL Category'!$A:$H,8,FALSE))</f>
        <v>-1457028.9831876582</v>
      </c>
      <c r="AN67" s="622">
        <f t="shared" si="23"/>
        <v>-1457028.9831876582</v>
      </c>
      <c r="AO67" s="88"/>
      <c r="AP67" s="88"/>
      <c r="AQ67" s="88"/>
      <c r="AR67" s="68"/>
      <c r="AS67" s="68"/>
      <c r="AT67" s="68"/>
      <c r="AU67" s="68"/>
      <c r="AV67" s="68"/>
      <c r="AW67" s="68"/>
      <c r="AX67" s="68"/>
      <c r="AY67" s="68"/>
      <c r="AZ67" s="68"/>
      <c r="BA67" s="68"/>
      <c r="BB67" s="68"/>
      <c r="BC67" s="68"/>
      <c r="BD67" s="68"/>
      <c r="BE67" s="68"/>
      <c r="BF67" s="68"/>
      <c r="BG67" s="68"/>
    </row>
    <row r="68" spans="1:59" ht="15" customHeight="1">
      <c r="A68" s="555" t="s">
        <v>2207</v>
      </c>
      <c r="B68" s="217" t="str">
        <f t="shared" ref="B68:B94" si="24">LEFT(A68,3)</f>
        <v>100</v>
      </c>
      <c r="C68" s="217" t="str">
        <f t="shared" ref="C68:C94" si="25">MID(A68,5,2)</f>
        <v>00</v>
      </c>
      <c r="D68" s="101" t="str">
        <f t="shared" ref="D68:D94" si="26">MID(A68,8,3)</f>
        <v>000</v>
      </c>
      <c r="E68" s="217" t="str">
        <f t="shared" ref="E68:E94" si="27">LEFT(A68,10)</f>
        <v>100-00-000</v>
      </c>
      <c r="F68" s="294" t="str">
        <f t="shared" ref="F68:F94" si="28">RIGHT(A68,5)</f>
        <v>46167</v>
      </c>
      <c r="G68" s="295" t="str">
        <f>VLOOKUP(F68,'GL Category'!A:C,3,FALSE)</f>
        <v>INTERGOVERNMENTAL</v>
      </c>
      <c r="H68" s="98" t="str">
        <f>VLOOKUP(F68,'GL Category'!A:C,2,FALSE)</f>
        <v>I/G REV-COLLEYVILLE</v>
      </c>
      <c r="I68" s="99">
        <f>SUMIF(Import!$B:$B,$A68,Import!D:D)</f>
        <v>-917991.5</v>
      </c>
      <c r="J68" s="99">
        <f>SUMIF(Import!$B:$B,$A68,Import!E:E)</f>
        <v>-814300</v>
      </c>
      <c r="K68" s="99">
        <f>SUMIF(Import!$B:$B,$A68,Import!F:F)</f>
        <v>-867600.8</v>
      </c>
      <c r="L68" s="99">
        <f>SUMIF(Import!$B:$B,$A68,Import!G:G)</f>
        <v>-947001</v>
      </c>
      <c r="M68" s="99">
        <f>SUMIF(Import!$B:$B,$A68,Import!H:H)</f>
        <v>-1114539</v>
      </c>
      <c r="N68" s="99">
        <f>SUMIF(Import!$B:$B,$A68,Import!I:I)</f>
        <v>-815512.5</v>
      </c>
      <c r="O68" s="99">
        <f>SUMIF(Import!$B:$B,$A68,Import!J:J)</f>
        <v>-1087350</v>
      </c>
      <c r="P68" s="99">
        <f t="shared" si="14"/>
        <v>27189</v>
      </c>
      <c r="Q68" s="99">
        <f>SUMIF(Import!$B:$B,$A68,Import!K:K)</f>
        <v>-1160521</v>
      </c>
      <c r="R68" s="99">
        <f>SUMIF(Import!$B:$B,$A68,Import!L:L)</f>
        <v>0</v>
      </c>
      <c r="S68" s="99">
        <f>SUMIF(Import!$B:$B,$A68,Import!M:M)</f>
        <v>0</v>
      </c>
      <c r="T68" s="99">
        <f>SUMIF(Import!$B:$B,$A68,Import!N:N)</f>
        <v>-1160521</v>
      </c>
      <c r="U68" s="99">
        <f t="shared" si="15"/>
        <v>-45982</v>
      </c>
      <c r="V68" s="255">
        <f t="shared" si="16"/>
        <v>4.1256519511654544E-2</v>
      </c>
      <c r="W68" s="264" t="s">
        <v>2207</v>
      </c>
      <c r="X68" s="264"/>
      <c r="Y68" s="102">
        <f t="shared" si="18"/>
        <v>-1160521</v>
      </c>
      <c r="Z68" s="309">
        <f>Y68*(1+VLOOKUP($F68,'GL Category'!$A:$H,4,FALSE))</f>
        <v>-1195336.6300000001</v>
      </c>
      <c r="AA68" s="615"/>
      <c r="AB68" s="622">
        <f t="shared" si="19"/>
        <v>-1195336.6300000001</v>
      </c>
      <c r="AC68" s="633">
        <f>AB68*(1+VLOOKUP($F68,'GL Category'!$A:$H,5,FALSE))</f>
        <v>-1231196.7289000002</v>
      </c>
      <c r="AE68" s="622">
        <f t="shared" si="20"/>
        <v>-1231196.7289000002</v>
      </c>
      <c r="AF68" s="633">
        <f>AE68*(1+VLOOKUP($F68,'GL Category'!$A:$H,6,FALSE))</f>
        <v>-1268132.6307670004</v>
      </c>
      <c r="AH68" s="622">
        <f t="shared" si="21"/>
        <v>-1268132.6307670004</v>
      </c>
      <c r="AI68" s="633">
        <f>AH68*(1+VLOOKUP($F68,'GL Category'!$A:$H,7,FALSE))</f>
        <v>-1306176.6096900103</v>
      </c>
      <c r="AK68" s="622">
        <f t="shared" si="22"/>
        <v>-1306176.6096900103</v>
      </c>
      <c r="AL68" s="633">
        <f>AK68*(1+VLOOKUP($F68,'GL Category'!$A:$H,8,FALSE))</f>
        <v>-1345361.9079807107</v>
      </c>
      <c r="AN68" s="622">
        <f t="shared" si="23"/>
        <v>-1345361.9079807107</v>
      </c>
      <c r="AO68" s="88"/>
      <c r="AP68" s="88"/>
      <c r="AQ68" s="88"/>
      <c r="AR68" s="68"/>
      <c r="AS68" s="68"/>
      <c r="AT68" s="68"/>
      <c r="AU68" s="68"/>
      <c r="AV68" s="68"/>
      <c r="AW68" s="68"/>
      <c r="AX68" s="68"/>
      <c r="AY68" s="68"/>
      <c r="AZ68" s="68"/>
      <c r="BA68" s="68"/>
      <c r="BB68" s="68"/>
      <c r="BC68" s="68"/>
      <c r="BD68" s="68"/>
      <c r="BE68" s="68"/>
      <c r="BF68" s="68"/>
      <c r="BG68" s="68"/>
    </row>
    <row r="69" spans="1:59" ht="15" customHeight="1">
      <c r="A69" s="555" t="s">
        <v>2237</v>
      </c>
      <c r="B69" s="217" t="str">
        <f t="shared" si="24"/>
        <v>100</v>
      </c>
      <c r="C69" s="217" t="str">
        <f t="shared" si="25"/>
        <v>00</v>
      </c>
      <c r="D69" s="101" t="str">
        <f t="shared" si="26"/>
        <v>000</v>
      </c>
      <c r="E69" s="217" t="str">
        <f t="shared" si="27"/>
        <v>100-00-000</v>
      </c>
      <c r="F69" s="294" t="str">
        <f t="shared" si="28"/>
        <v>46172</v>
      </c>
      <c r="G69" s="295" t="str">
        <f>VLOOKUP(F69,'GL Category'!A:C,3,FALSE)</f>
        <v>INTERGOVERNMENTAL</v>
      </c>
      <c r="H69" s="98" t="str">
        <f>VLOOKUP(F69,'GL Category'!A:C,2,FALSE)</f>
        <v>I/G REV-KISD RESERVE OFFICER</v>
      </c>
      <c r="I69" s="99">
        <f>SUMIF(Import!$B:$B,$A69,Import!D:D)</f>
        <v>-147113.45000000001</v>
      </c>
      <c r="J69" s="99">
        <f>SUMIF(Import!$B:$B,$A69,Import!E:E)</f>
        <v>-90494.85</v>
      </c>
      <c r="K69" s="99">
        <f>SUMIF(Import!$B:$B,$A69,Import!F:F)</f>
        <v>-232073.98</v>
      </c>
      <c r="L69" s="99">
        <f>SUMIF(Import!$B:$B,$A69,Import!G:G)</f>
        <v>-371926.33</v>
      </c>
      <c r="M69" s="99">
        <f>SUMIF(Import!$B:$B,$A69,Import!H:H)</f>
        <v>-397497</v>
      </c>
      <c r="N69" s="99">
        <f>SUMIF(Import!$B:$B,$A69,Import!I:I)</f>
        <v>-316999.78999999998</v>
      </c>
      <c r="O69" s="99">
        <f>SUMIF(Import!$B:$B,$A69,Import!J:J)</f>
        <v>-397497</v>
      </c>
      <c r="P69" s="99">
        <f t="shared" si="14"/>
        <v>0</v>
      </c>
      <c r="Q69" s="99">
        <f>SUMIF(Import!$B:$B,$A69,Import!K:K)</f>
        <v>-352544</v>
      </c>
      <c r="R69" s="99">
        <f>SUMIF(Import!$B:$B,$A69,Import!L:L)</f>
        <v>0</v>
      </c>
      <c r="S69" s="99">
        <f>SUMIF(Import!$B:$B,$A69,Import!M:M)</f>
        <v>0</v>
      </c>
      <c r="T69" s="99">
        <f>SUMIF(Import!$B:$B,$A69,Import!N:N)</f>
        <v>-352544</v>
      </c>
      <c r="U69" s="99">
        <f t="shared" si="15"/>
        <v>44953</v>
      </c>
      <c r="V69" s="255">
        <f t="shared" si="16"/>
        <v>-0.1130901616867549</v>
      </c>
      <c r="W69" s="102" t="s">
        <v>2237</v>
      </c>
      <c r="X69" s="102"/>
      <c r="Y69" s="102">
        <f t="shared" si="18"/>
        <v>-352544</v>
      </c>
      <c r="Z69" s="309">
        <f>Y69*(1+VLOOKUP($F69,'GL Category'!$A:$H,4,FALSE))</f>
        <v>-363120.32</v>
      </c>
      <c r="AA69" s="615"/>
      <c r="AB69" s="622">
        <f t="shared" si="19"/>
        <v>-363120.32</v>
      </c>
      <c r="AC69" s="633">
        <f>AB69*(1+VLOOKUP($F69,'GL Category'!$A:$H,5,FALSE))</f>
        <v>-374013.92960000003</v>
      </c>
      <c r="AE69" s="622">
        <f t="shared" si="20"/>
        <v>-374013.92960000003</v>
      </c>
      <c r="AF69" s="633">
        <f>AE69*(1+VLOOKUP($F69,'GL Category'!$A:$H,6,FALSE))</f>
        <v>-385234.34748800006</v>
      </c>
      <c r="AH69" s="622">
        <f t="shared" si="21"/>
        <v>-385234.34748800006</v>
      </c>
      <c r="AI69" s="633">
        <f>AH69*(1+VLOOKUP($F69,'GL Category'!$A:$H,7,FALSE))</f>
        <v>-396791.37791264005</v>
      </c>
      <c r="AK69" s="622">
        <f t="shared" si="22"/>
        <v>-396791.37791264005</v>
      </c>
      <c r="AL69" s="633">
        <f>AK69*(1+VLOOKUP($F69,'GL Category'!$A:$H,8,FALSE))</f>
        <v>-408695.11925001926</v>
      </c>
      <c r="AN69" s="622">
        <f t="shared" si="23"/>
        <v>-408695.11925001926</v>
      </c>
    </row>
    <row r="70" spans="1:59" ht="15" customHeight="1">
      <c r="A70" s="555" t="s">
        <v>2238</v>
      </c>
      <c r="B70" s="217" t="str">
        <f t="shared" si="24"/>
        <v>100</v>
      </c>
      <c r="C70" s="217" t="str">
        <f t="shared" si="25"/>
        <v>00</v>
      </c>
      <c r="D70" s="101" t="str">
        <f t="shared" si="26"/>
        <v>000</v>
      </c>
      <c r="E70" s="217" t="str">
        <f t="shared" si="27"/>
        <v>100-00-000</v>
      </c>
      <c r="F70" s="294" t="str">
        <f t="shared" si="28"/>
        <v>46199</v>
      </c>
      <c r="G70" s="295" t="str">
        <f>VLOOKUP(F70,'GL Category'!A:C,3,FALSE)</f>
        <v>INTERGOVERNMENTAL</v>
      </c>
      <c r="H70" s="98" t="str">
        <f>VLOOKUP(F70,'GL Category'!A:C,2,FALSE)</f>
        <v>I/G REV-LOCAL-MISC</v>
      </c>
      <c r="I70" s="99">
        <f>SUMIF(Import!$B:$B,$A70,Import!D:D)</f>
        <v>0</v>
      </c>
      <c r="J70" s="99">
        <f>SUMIF(Import!$B:$B,$A70,Import!E:E)</f>
        <v>0</v>
      </c>
      <c r="K70" s="99">
        <f>SUMIF(Import!$B:$B,$A70,Import!F:F)</f>
        <v>0</v>
      </c>
      <c r="L70" s="99">
        <f>SUMIF(Import!$B:$B,$A70,Import!G:G)</f>
        <v>-24858.78</v>
      </c>
      <c r="M70" s="99">
        <f>SUMIF(Import!$B:$B,$A70,Import!H:H)</f>
        <v>0</v>
      </c>
      <c r="N70" s="99">
        <f>SUMIF(Import!$B:$B,$A70,Import!I:I)</f>
        <v>0</v>
      </c>
      <c r="O70" s="99">
        <f>SUMIF(Import!$B:$B,$A70,Import!J:J)</f>
        <v>0</v>
      </c>
      <c r="P70" s="99">
        <f t="shared" si="14"/>
        <v>0</v>
      </c>
      <c r="Q70" s="99">
        <f>SUMIF(Import!$B:$B,$A70,Import!K:K)</f>
        <v>0</v>
      </c>
      <c r="R70" s="99">
        <f>SUMIF(Import!$B:$B,$A70,Import!L:L)</f>
        <v>0</v>
      </c>
      <c r="S70" s="99">
        <f>SUMIF(Import!$B:$B,$A70,Import!M:M)</f>
        <v>0</v>
      </c>
      <c r="T70" s="99">
        <f>SUMIF(Import!$B:$B,$A70,Import!N:N)</f>
        <v>0</v>
      </c>
      <c r="U70" s="99">
        <f t="shared" si="15"/>
        <v>0</v>
      </c>
      <c r="V70" s="255" t="str">
        <f t="shared" si="16"/>
        <v>N/A</v>
      </c>
      <c r="W70" s="102" t="s">
        <v>2238</v>
      </c>
      <c r="X70" s="102"/>
      <c r="Y70" s="102">
        <f t="shared" si="18"/>
        <v>0</v>
      </c>
      <c r="Z70" s="309">
        <f>Y70*(1+VLOOKUP($F70,'GL Category'!$A:$H,4,FALSE))</f>
        <v>0</v>
      </c>
      <c r="AA70" s="615"/>
      <c r="AB70" s="622">
        <f t="shared" si="19"/>
        <v>0</v>
      </c>
      <c r="AC70" s="633">
        <f>AB70*(1+VLOOKUP($F70,'GL Category'!$A:$H,5,FALSE))</f>
        <v>0</v>
      </c>
      <c r="AE70" s="622">
        <f t="shared" si="20"/>
        <v>0</v>
      </c>
      <c r="AF70" s="633">
        <f>AE70*(1+VLOOKUP($F70,'GL Category'!$A:$H,6,FALSE))</f>
        <v>0</v>
      </c>
      <c r="AH70" s="622">
        <f t="shared" si="21"/>
        <v>0</v>
      </c>
      <c r="AI70" s="633">
        <f>AH70*(1+VLOOKUP($F70,'GL Category'!$A:$H,7,FALSE))</f>
        <v>0</v>
      </c>
      <c r="AK70" s="622">
        <f t="shared" si="22"/>
        <v>0</v>
      </c>
      <c r="AL70" s="633">
        <f>AK70*(1+VLOOKUP($F70,'GL Category'!$A:$H,8,FALSE))</f>
        <v>0</v>
      </c>
      <c r="AN70" s="622">
        <f t="shared" si="23"/>
        <v>0</v>
      </c>
    </row>
    <row r="71" spans="1:59" ht="15" customHeight="1">
      <c r="A71" s="555" t="s">
        <v>2240</v>
      </c>
      <c r="B71" s="217" t="str">
        <f t="shared" si="24"/>
        <v>100</v>
      </c>
      <c r="C71" s="217" t="str">
        <f t="shared" si="25"/>
        <v>00</v>
      </c>
      <c r="D71" s="101" t="str">
        <f t="shared" si="26"/>
        <v>000</v>
      </c>
      <c r="E71" s="217" t="str">
        <f t="shared" si="27"/>
        <v>100-00-000</v>
      </c>
      <c r="F71" s="294" t="str">
        <f t="shared" si="28"/>
        <v>46530</v>
      </c>
      <c r="G71" s="295" t="str">
        <f>VLOOKUP(F71,'GL Category'!A:C,3,FALSE)</f>
        <v>INTERGOVERNMENTAL</v>
      </c>
      <c r="H71" s="98" t="str">
        <f>VLOOKUP(F71,'GL Category'!A:C,2,FALSE)</f>
        <v>GRANT-FED TXDOT</v>
      </c>
      <c r="I71" s="99">
        <f>SUMIF(Import!$B:$B,$A71,Import!D:D)</f>
        <v>-18513.509999999998</v>
      </c>
      <c r="J71" s="99">
        <f>SUMIF(Import!$B:$B,$A71,Import!E:E)</f>
        <v>5.4</v>
      </c>
      <c r="K71" s="99">
        <f>SUMIF(Import!$B:$B,$A71,Import!F:F)</f>
        <v>0</v>
      </c>
      <c r="L71" s="99">
        <f>SUMIF(Import!$B:$B,$A71,Import!G:G)</f>
        <v>0</v>
      </c>
      <c r="M71" s="99">
        <f>SUMIF(Import!$B:$B,$A71,Import!H:H)</f>
        <v>0</v>
      </c>
      <c r="N71" s="99">
        <f>SUMIF(Import!$B:$B,$A71,Import!I:I)</f>
        <v>0</v>
      </c>
      <c r="O71" s="99">
        <f>SUMIF(Import!$B:$B,$A71,Import!J:J)</f>
        <v>0</v>
      </c>
      <c r="P71" s="99">
        <f t="shared" ref="P71:P94" si="29">O71-M71</f>
        <v>0</v>
      </c>
      <c r="Q71" s="99">
        <f>SUMIF(Import!$B:$B,$A71,Import!K:K)</f>
        <v>0</v>
      </c>
      <c r="R71" s="99">
        <f>SUMIF(Import!$B:$B,$A71,Import!L:L)</f>
        <v>0</v>
      </c>
      <c r="S71" s="99">
        <f>SUMIF(Import!$B:$B,$A71,Import!M:M)</f>
        <v>0</v>
      </c>
      <c r="T71" s="99">
        <f>SUMIF(Import!$B:$B,$A71,Import!N:N)</f>
        <v>0</v>
      </c>
      <c r="U71" s="99">
        <f t="shared" ref="U71:U94" si="30">T71-M71</f>
        <v>0</v>
      </c>
      <c r="V71" s="255" t="str">
        <f t="shared" ref="V71:V94" si="31">IF(M71=0,"N/A",T71/M71-1)</f>
        <v>N/A</v>
      </c>
      <c r="W71" s="102" t="s">
        <v>2240</v>
      </c>
      <c r="X71" s="102"/>
      <c r="Y71" s="102">
        <f t="shared" si="18"/>
        <v>0</v>
      </c>
      <c r="Z71" s="309">
        <f>Y71*(1+VLOOKUP($F71,'GL Category'!$A:$H,4,FALSE))</f>
        <v>0</v>
      </c>
      <c r="AA71" s="615"/>
      <c r="AB71" s="622">
        <f t="shared" si="19"/>
        <v>0</v>
      </c>
      <c r="AC71" s="633">
        <f>AB71*(1+VLOOKUP($F71,'GL Category'!$A:$H,5,FALSE))</f>
        <v>0</v>
      </c>
      <c r="AE71" s="622">
        <f t="shared" si="20"/>
        <v>0</v>
      </c>
      <c r="AF71" s="633">
        <f>AE71*(1+VLOOKUP($F71,'GL Category'!$A:$H,6,FALSE))</f>
        <v>0</v>
      </c>
      <c r="AH71" s="622">
        <f t="shared" si="21"/>
        <v>0</v>
      </c>
      <c r="AI71" s="633">
        <f>AH71*(1+VLOOKUP($F71,'GL Category'!$A:$H,7,FALSE))</f>
        <v>0</v>
      </c>
      <c r="AK71" s="622">
        <f t="shared" si="22"/>
        <v>0</v>
      </c>
      <c r="AL71" s="633">
        <f>AK71*(1+VLOOKUP($F71,'GL Category'!$A:$H,8,FALSE))</f>
        <v>0</v>
      </c>
      <c r="AN71" s="622">
        <f t="shared" si="23"/>
        <v>0</v>
      </c>
    </row>
    <row r="72" spans="1:59" ht="15" customHeight="1">
      <c r="A72" s="555" t="s">
        <v>2241</v>
      </c>
      <c r="B72" s="217" t="str">
        <f t="shared" si="24"/>
        <v>100</v>
      </c>
      <c r="C72" s="217" t="str">
        <f t="shared" si="25"/>
        <v>00</v>
      </c>
      <c r="D72" s="101" t="str">
        <f t="shared" si="26"/>
        <v>000</v>
      </c>
      <c r="E72" s="217" t="str">
        <f t="shared" si="27"/>
        <v>100-00-000</v>
      </c>
      <c r="F72" s="294" t="str">
        <f t="shared" si="28"/>
        <v>46535</v>
      </c>
      <c r="G72" s="295" t="str">
        <f>VLOOKUP(F72,'GL Category'!A:C,3,FALSE)</f>
        <v>INTERGOVERNMENTAL</v>
      </c>
      <c r="H72" s="98" t="str">
        <f>VLOOKUP(F72,'GL Category'!A:C,2,FALSE)</f>
        <v>GRANT-FED</v>
      </c>
      <c r="I72" s="99">
        <f>SUMIF(Import!$B:$B,$A72,Import!D:D)</f>
        <v>-6849.91</v>
      </c>
      <c r="J72" s="99">
        <f>SUMIF(Import!$B:$B,$A72,Import!E:E)</f>
        <v>-9507.06</v>
      </c>
      <c r="K72" s="99">
        <f>SUMIF(Import!$B:$B,$A72,Import!F:F)</f>
        <v>-2657.59</v>
      </c>
      <c r="L72" s="99">
        <f>SUMIF(Import!$B:$B,$A72,Import!G:G)</f>
        <v>-39589.71</v>
      </c>
      <c r="M72" s="99">
        <f>SUMIF(Import!$B:$B,$A72,Import!H:H)</f>
        <v>0</v>
      </c>
      <c r="N72" s="99">
        <f>SUMIF(Import!$B:$B,$A72,Import!I:I)</f>
        <v>-11859.42</v>
      </c>
      <c r="O72" s="99">
        <f>SUMIF(Import!$B:$B,$A72,Import!J:J)</f>
        <v>-11860</v>
      </c>
      <c r="P72" s="99">
        <f t="shared" si="29"/>
        <v>-11860</v>
      </c>
      <c r="Q72" s="99">
        <f>SUMIF(Import!$B:$B,$A72,Import!K:K)</f>
        <v>0</v>
      </c>
      <c r="R72" s="99">
        <f>SUMIF(Import!$B:$B,$A72,Import!L:L)</f>
        <v>0</v>
      </c>
      <c r="S72" s="99">
        <f>SUMIF(Import!$B:$B,$A72,Import!M:M)</f>
        <v>0</v>
      </c>
      <c r="T72" s="99">
        <f>SUMIF(Import!$B:$B,$A72,Import!N:N)</f>
        <v>0</v>
      </c>
      <c r="U72" s="99">
        <f t="shared" si="30"/>
        <v>0</v>
      </c>
      <c r="V72" s="255" t="str">
        <f t="shared" si="31"/>
        <v>N/A</v>
      </c>
      <c r="W72" s="102" t="s">
        <v>2241</v>
      </c>
      <c r="X72" s="102"/>
      <c r="Y72" s="102">
        <f t="shared" si="18"/>
        <v>0</v>
      </c>
      <c r="Z72" s="309">
        <f>Y72*(1+VLOOKUP($F72,'GL Category'!$A:$H,4,FALSE))</f>
        <v>0</v>
      </c>
      <c r="AA72" s="615"/>
      <c r="AB72" s="622">
        <f t="shared" si="19"/>
        <v>0</v>
      </c>
      <c r="AC72" s="633">
        <f>AB72*(1+VLOOKUP($F72,'GL Category'!$A:$H,5,FALSE))</f>
        <v>0</v>
      </c>
      <c r="AE72" s="622">
        <f t="shared" si="20"/>
        <v>0</v>
      </c>
      <c r="AF72" s="633">
        <f>AE72*(1+VLOOKUP($F72,'GL Category'!$A:$H,6,FALSE))</f>
        <v>0</v>
      </c>
      <c r="AH72" s="622">
        <f t="shared" si="21"/>
        <v>0</v>
      </c>
      <c r="AI72" s="633">
        <f>AH72*(1+VLOOKUP($F72,'GL Category'!$A:$H,7,FALSE))</f>
        <v>0</v>
      </c>
      <c r="AK72" s="622">
        <f t="shared" si="22"/>
        <v>0</v>
      </c>
      <c r="AL72" s="633">
        <f>AK72*(1+VLOOKUP($F72,'GL Category'!$A:$H,8,FALSE))</f>
        <v>0</v>
      </c>
      <c r="AN72" s="622">
        <f t="shared" si="23"/>
        <v>0</v>
      </c>
    </row>
    <row r="73" spans="1:59" ht="15" customHeight="1">
      <c r="A73" s="555" t="s">
        <v>3415</v>
      </c>
      <c r="B73" s="217" t="str">
        <f t="shared" ref="B73" si="32">LEFT(A73,3)</f>
        <v>100</v>
      </c>
      <c r="C73" s="217" t="str">
        <f t="shared" ref="C73" si="33">MID(A73,5,2)</f>
        <v>00</v>
      </c>
      <c r="D73" s="101" t="str">
        <f t="shared" ref="D73" si="34">MID(A73,8,3)</f>
        <v>000</v>
      </c>
      <c r="E73" s="217" t="str">
        <f t="shared" ref="E73" si="35">LEFT(A73,10)</f>
        <v>100-00-000</v>
      </c>
      <c r="F73" s="294" t="str">
        <f t="shared" ref="F73" si="36">RIGHT(A73,5)</f>
        <v>46162</v>
      </c>
      <c r="G73" s="295" t="str">
        <f>VLOOKUP(F73,'GL Category'!A:C,3,FALSE)</f>
        <v>INTERGOVERNMENTAL</v>
      </c>
      <c r="H73" s="98" t="str">
        <f>VLOOKUP(F73,'GL Category'!A:C,2,FALSE)</f>
        <v>I/G REV-GRAPEVINE</v>
      </c>
      <c r="I73" s="99">
        <f>SUMIF(Import!$B:$B,$A73,Import!D:D)</f>
        <v>0</v>
      </c>
      <c r="J73" s="99">
        <f>SUMIF(Import!$B:$B,$A73,Import!E:E)</f>
        <v>0</v>
      </c>
      <c r="K73" s="99">
        <f>SUMIF(Import!$B:$B,$A73,Import!F:F)</f>
        <v>0</v>
      </c>
      <c r="L73" s="99">
        <f>SUMIF(Import!$B:$B,$A73,Import!G:G)</f>
        <v>-746.22</v>
      </c>
      <c r="M73" s="99">
        <f>SUMIF(Import!$B:$B,$A73,Import!H:H)</f>
        <v>0</v>
      </c>
      <c r="N73" s="99">
        <f>SUMIF(Import!$B:$B,$A73,Import!I:I)</f>
        <v>-2218.36</v>
      </c>
      <c r="O73" s="99">
        <f>SUMIF(Import!$B:$B,$A73,Import!J:J)</f>
        <v>-2219</v>
      </c>
      <c r="P73" s="99">
        <f t="shared" ref="P73" si="37">O73-M73</f>
        <v>-2219</v>
      </c>
      <c r="Q73" s="99">
        <f>SUMIF(Import!$B:$B,$A73,Import!K:K)</f>
        <v>0</v>
      </c>
      <c r="R73" s="99">
        <f>SUMIF(Import!$B:$B,$A73,Import!L:L)</f>
        <v>0</v>
      </c>
      <c r="S73" s="99">
        <f>SUMIF(Import!$B:$B,$A73,Import!M:M)</f>
        <v>0</v>
      </c>
      <c r="T73" s="99">
        <f>SUMIF(Import!$B:$B,$A73,Import!N:N)</f>
        <v>0</v>
      </c>
      <c r="U73" s="99">
        <f t="shared" ref="U73" si="38">T73-M73</f>
        <v>0</v>
      </c>
      <c r="V73" s="255" t="str">
        <f t="shared" ref="V73" si="39">IF(M73=0,"N/A",T73/M73-1)</f>
        <v>N/A</v>
      </c>
      <c r="W73" s="102" t="s">
        <v>2242</v>
      </c>
      <c r="X73" s="102"/>
      <c r="Y73" s="102">
        <f t="shared" si="18"/>
        <v>0</v>
      </c>
      <c r="Z73" s="309">
        <f>Y73*(1+VLOOKUP($F73,'GL Category'!$A:$H,4,FALSE))</f>
        <v>0</v>
      </c>
      <c r="AA73" s="615"/>
      <c r="AB73" s="622">
        <f t="shared" si="19"/>
        <v>0</v>
      </c>
      <c r="AC73" s="633">
        <f>AB73*(1+VLOOKUP($F73,'GL Category'!$A:$H,5,FALSE))</f>
        <v>0</v>
      </c>
      <c r="AE73" s="622">
        <f t="shared" si="20"/>
        <v>0</v>
      </c>
      <c r="AF73" s="633">
        <f>AE73*(1+VLOOKUP($F73,'GL Category'!$A:$H,6,FALSE))</f>
        <v>0</v>
      </c>
      <c r="AH73" s="622">
        <f t="shared" si="21"/>
        <v>0</v>
      </c>
      <c r="AI73" s="633">
        <f>AH73*(1+VLOOKUP($F73,'GL Category'!$A:$H,7,FALSE))</f>
        <v>0</v>
      </c>
      <c r="AK73" s="622">
        <f t="shared" si="22"/>
        <v>0</v>
      </c>
      <c r="AL73" s="633">
        <f>AK73*(1+VLOOKUP($F73,'GL Category'!$A:$H,8,FALSE))</f>
        <v>0</v>
      </c>
      <c r="AN73" s="622">
        <f t="shared" si="23"/>
        <v>0</v>
      </c>
    </row>
    <row r="74" spans="1:59" ht="15" customHeight="1">
      <c r="A74" s="555" t="s">
        <v>2242</v>
      </c>
      <c r="B74" s="217" t="str">
        <f t="shared" si="24"/>
        <v>100</v>
      </c>
      <c r="C74" s="217" t="str">
        <f t="shared" si="25"/>
        <v>00</v>
      </c>
      <c r="D74" s="101" t="str">
        <f t="shared" si="26"/>
        <v>000</v>
      </c>
      <c r="E74" s="217" t="str">
        <f t="shared" si="27"/>
        <v>100-00-000</v>
      </c>
      <c r="F74" s="294" t="str">
        <f t="shared" si="28"/>
        <v>46760</v>
      </c>
      <c r="G74" s="295" t="str">
        <f>VLOOKUP(F74,'GL Category'!A:C,3,FALSE)</f>
        <v>INTERGOVERNMENTAL</v>
      </c>
      <c r="H74" s="98" t="str">
        <f>VLOOKUP(F74,'GL Category'!A:C,2,FALSE)</f>
        <v>GRANT-LOCAL</v>
      </c>
      <c r="I74" s="99">
        <f>SUMIF(Import!$B:$B,$A74,Import!D:D)</f>
        <v>0</v>
      </c>
      <c r="J74" s="99">
        <f>SUMIF(Import!$B:$B,$A74,Import!E:E)</f>
        <v>0</v>
      </c>
      <c r="K74" s="99">
        <f>SUMIF(Import!$B:$B,$A74,Import!F:F)</f>
        <v>0</v>
      </c>
      <c r="L74" s="99">
        <f>SUMIF(Import!$B:$B,$A74,Import!G:G)</f>
        <v>0</v>
      </c>
      <c r="M74" s="99">
        <f>SUMIF(Import!$B:$B,$A74,Import!H:H)</f>
        <v>0</v>
      </c>
      <c r="N74" s="99">
        <f>SUMIF(Import!$B:$B,$A74,Import!I:I)</f>
        <v>0</v>
      </c>
      <c r="O74" s="99">
        <f>SUMIF(Import!$B:$B,$A74,Import!J:J)</f>
        <v>0</v>
      </c>
      <c r="P74" s="99">
        <f t="shared" si="29"/>
        <v>0</v>
      </c>
      <c r="Q74" s="99">
        <f>SUMIF(Import!$B:$B,$A74,Import!K:K)</f>
        <v>0</v>
      </c>
      <c r="R74" s="99">
        <f>SUMIF(Import!$B:$B,$A74,Import!L:L)</f>
        <v>0</v>
      </c>
      <c r="S74" s="99">
        <f>SUMIF(Import!$B:$B,$A74,Import!M:M)</f>
        <v>0</v>
      </c>
      <c r="T74" s="99">
        <f>SUMIF(Import!$B:$B,$A74,Import!N:N)</f>
        <v>0</v>
      </c>
      <c r="U74" s="99">
        <f t="shared" si="30"/>
        <v>0</v>
      </c>
      <c r="V74" s="255" t="str">
        <f t="shared" si="31"/>
        <v>N/A</v>
      </c>
      <c r="W74" s="102" t="s">
        <v>2242</v>
      </c>
      <c r="X74" s="102"/>
      <c r="Y74" s="102">
        <f t="shared" si="18"/>
        <v>0</v>
      </c>
      <c r="Z74" s="309">
        <f>Y74*(1+VLOOKUP($F74,'GL Category'!$A:$H,4,FALSE))</f>
        <v>0</v>
      </c>
      <c r="AA74" s="615"/>
      <c r="AB74" s="622">
        <f t="shared" si="19"/>
        <v>0</v>
      </c>
      <c r="AC74" s="633">
        <f>AB74*(1+VLOOKUP($F74,'GL Category'!$A:$H,5,FALSE))</f>
        <v>0</v>
      </c>
      <c r="AE74" s="622">
        <f t="shared" si="20"/>
        <v>0</v>
      </c>
      <c r="AF74" s="633">
        <f>AE74*(1+VLOOKUP($F74,'GL Category'!$A:$H,6,FALSE))</f>
        <v>0</v>
      </c>
      <c r="AH74" s="622">
        <f t="shared" si="21"/>
        <v>0</v>
      </c>
      <c r="AI74" s="633">
        <f>AH74*(1+VLOOKUP($F74,'GL Category'!$A:$H,7,FALSE))</f>
        <v>0</v>
      </c>
      <c r="AK74" s="622">
        <f t="shared" si="22"/>
        <v>0</v>
      </c>
      <c r="AL74" s="633">
        <f>AK74*(1+VLOOKUP($F74,'GL Category'!$A:$H,8,FALSE))</f>
        <v>0</v>
      </c>
      <c r="AN74" s="622">
        <f t="shared" si="23"/>
        <v>0</v>
      </c>
    </row>
    <row r="75" spans="1:59" ht="15" customHeight="1">
      <c r="A75" s="555" t="s">
        <v>2234</v>
      </c>
      <c r="B75" s="217" t="str">
        <f t="shared" si="24"/>
        <v>100</v>
      </c>
      <c r="C75" s="217" t="str">
        <f t="shared" si="25"/>
        <v>00</v>
      </c>
      <c r="D75" s="101" t="str">
        <f t="shared" si="26"/>
        <v>000</v>
      </c>
      <c r="E75" s="217" t="str">
        <f t="shared" si="27"/>
        <v>100-00-000</v>
      </c>
      <c r="F75" s="294" t="str">
        <f t="shared" si="28"/>
        <v>47010</v>
      </c>
      <c r="G75" s="295" t="str">
        <f>VLOOKUP(F75,'GL Category'!A:C,3,FALSE)</f>
        <v>OTHER REVENUE</v>
      </c>
      <c r="H75" s="98" t="str">
        <f>VLOOKUP(F75,'GL Category'!A:C,2,FALSE)</f>
        <v>MISCELLANEOUS REVENUE</v>
      </c>
      <c r="I75" s="99">
        <f>SUMIF(Import!$B:$B,$A75,Import!D:D)</f>
        <v>-281701.3</v>
      </c>
      <c r="J75" s="99">
        <f>SUMIF(Import!$B:$B,$A75,Import!E:E)</f>
        <v>-49548.61</v>
      </c>
      <c r="K75" s="99">
        <f>SUMIF(Import!$B:$B,$A75,Import!F:F)</f>
        <v>-144986.31</v>
      </c>
      <c r="L75" s="99">
        <f>SUMIF(Import!$B:$B,$A75,Import!G:G)</f>
        <v>-35331.07</v>
      </c>
      <c r="M75" s="99">
        <f>SUMIF(Import!$B:$B,$A75,Import!H:H)</f>
        <v>-57061</v>
      </c>
      <c r="N75" s="99">
        <f>SUMIF(Import!$B:$B,$A75,Import!I:I)</f>
        <v>-53338</v>
      </c>
      <c r="O75" s="99">
        <f>SUMIF(Import!$B:$B,$A75,Import!J:J)</f>
        <v>-161400</v>
      </c>
      <c r="P75" s="99">
        <f t="shared" si="29"/>
        <v>-104339</v>
      </c>
      <c r="Q75" s="99">
        <f>SUMIF(Import!$B:$B,$A75,Import!K:K)</f>
        <v>-71124</v>
      </c>
      <c r="R75" s="99">
        <f>SUMIF(Import!$B:$B,$A75,Import!L:L)</f>
        <v>0</v>
      </c>
      <c r="S75" s="99">
        <f>SUMIF(Import!$B:$B,$A75,Import!M:M)</f>
        <v>0</v>
      </c>
      <c r="T75" s="99">
        <f>SUMIF(Import!$B:$B,$A75,Import!N:N)</f>
        <v>-71124</v>
      </c>
      <c r="U75" s="99">
        <f t="shared" si="30"/>
        <v>-14063</v>
      </c>
      <c r="V75" s="255">
        <f t="shared" si="31"/>
        <v>0.2464555475718968</v>
      </c>
      <c r="W75" s="102" t="s">
        <v>2234</v>
      </c>
      <c r="X75" s="102"/>
      <c r="Y75" s="102">
        <f t="shared" si="18"/>
        <v>-71124</v>
      </c>
      <c r="Z75" s="309">
        <f>Y75*(1+VLOOKUP($F75,'GL Category'!$A:$H,4,FALSE))</f>
        <v>-71124</v>
      </c>
      <c r="AA75" s="615"/>
      <c r="AB75" s="622">
        <f t="shared" si="19"/>
        <v>-71124</v>
      </c>
      <c r="AC75" s="633">
        <f>AB75*(1+VLOOKUP($F75,'GL Category'!$A:$H,5,FALSE))</f>
        <v>-71124</v>
      </c>
      <c r="AE75" s="622">
        <f t="shared" si="20"/>
        <v>-71124</v>
      </c>
      <c r="AF75" s="633">
        <f>AE75*(1+VLOOKUP($F75,'GL Category'!$A:$H,6,FALSE))</f>
        <v>-71124</v>
      </c>
      <c r="AH75" s="622">
        <f t="shared" si="21"/>
        <v>-71124</v>
      </c>
      <c r="AI75" s="633">
        <f>AH75*(1+VLOOKUP($F75,'GL Category'!$A:$H,7,FALSE))</f>
        <v>-71124</v>
      </c>
      <c r="AK75" s="622">
        <f t="shared" si="22"/>
        <v>-71124</v>
      </c>
      <c r="AL75" s="633">
        <f>AK75*(1+VLOOKUP($F75,'GL Category'!$A:$H,8,FALSE))</f>
        <v>-71124</v>
      </c>
      <c r="AN75" s="622">
        <f t="shared" si="23"/>
        <v>-71124</v>
      </c>
    </row>
    <row r="76" spans="1:59" ht="15" customHeight="1">
      <c r="A76" s="555" t="s">
        <v>2243</v>
      </c>
      <c r="B76" s="217" t="str">
        <f t="shared" si="24"/>
        <v>100</v>
      </c>
      <c r="C76" s="217" t="str">
        <f t="shared" si="25"/>
        <v>00</v>
      </c>
      <c r="D76" s="101" t="str">
        <f t="shared" si="26"/>
        <v>000</v>
      </c>
      <c r="E76" s="217" t="str">
        <f t="shared" si="27"/>
        <v>100-00-000</v>
      </c>
      <c r="F76" s="294" t="str">
        <f t="shared" si="28"/>
        <v>47011</v>
      </c>
      <c r="G76" s="295" t="str">
        <f>VLOOKUP(F76,'GL Category'!A:C,3,FALSE)</f>
        <v>OTHER REVENUE</v>
      </c>
      <c r="H76" s="98" t="str">
        <f>VLOOKUP(F76,'GL Category'!A:C,2,FALSE)</f>
        <v>MISCELLANEOUS REBATES</v>
      </c>
      <c r="I76" s="99">
        <f>SUMIF(Import!$B:$B,$A76,Import!D:D)</f>
        <v>-31283.119999999999</v>
      </c>
      <c r="J76" s="99">
        <f>SUMIF(Import!$B:$B,$A76,Import!E:E)</f>
        <v>-55825.43</v>
      </c>
      <c r="K76" s="99">
        <f>SUMIF(Import!$B:$B,$A76,Import!F:F)</f>
        <v>-28808.28</v>
      </c>
      <c r="L76" s="99">
        <f>SUMIF(Import!$B:$B,$A76,Import!G:G)</f>
        <v>-37247.589999999997</v>
      </c>
      <c r="M76" s="99">
        <f>SUMIF(Import!$B:$B,$A76,Import!H:H)</f>
        <v>-37248</v>
      </c>
      <c r="N76" s="99">
        <f>SUMIF(Import!$B:$B,$A76,Import!I:I)</f>
        <v>-28554.44</v>
      </c>
      <c r="O76" s="99">
        <f>SUMIF(Import!$B:$B,$A76,Import!J:J)</f>
        <v>-28554</v>
      </c>
      <c r="P76" s="99">
        <f t="shared" si="29"/>
        <v>8694</v>
      </c>
      <c r="Q76" s="99">
        <f>SUMIF(Import!$B:$B,$A76,Import!K:K)</f>
        <v>-28554</v>
      </c>
      <c r="R76" s="99">
        <f>SUMIF(Import!$B:$B,$A76,Import!L:L)</f>
        <v>0</v>
      </c>
      <c r="S76" s="99">
        <f>SUMIF(Import!$B:$B,$A76,Import!M:M)</f>
        <v>0</v>
      </c>
      <c r="T76" s="99">
        <f>SUMIF(Import!$B:$B,$A76,Import!N:N)</f>
        <v>-28554</v>
      </c>
      <c r="U76" s="99">
        <f t="shared" si="30"/>
        <v>8694</v>
      </c>
      <c r="V76" s="255">
        <f t="shared" si="31"/>
        <v>-0.23340850515463918</v>
      </c>
      <c r="W76" s="102" t="s">
        <v>2243</v>
      </c>
      <c r="X76" s="102"/>
      <c r="Y76" s="102">
        <f t="shared" si="18"/>
        <v>-28554</v>
      </c>
      <c r="Z76" s="309">
        <f>Y76*(1+VLOOKUP($F76,'GL Category'!$A:$H,4,FALSE))</f>
        <v>-28554</v>
      </c>
      <c r="AA76" s="615"/>
      <c r="AB76" s="622">
        <f t="shared" si="19"/>
        <v>-28554</v>
      </c>
      <c r="AC76" s="633">
        <f>AB76*(1+VLOOKUP($F76,'GL Category'!$A:$H,5,FALSE))</f>
        <v>-28554</v>
      </c>
      <c r="AE76" s="622">
        <f t="shared" si="20"/>
        <v>-28554</v>
      </c>
      <c r="AF76" s="633">
        <f>AE76*(1+VLOOKUP($F76,'GL Category'!$A:$H,6,FALSE))</f>
        <v>-28554</v>
      </c>
      <c r="AH76" s="622">
        <f t="shared" si="21"/>
        <v>-28554</v>
      </c>
      <c r="AI76" s="633">
        <f>AH76*(1+VLOOKUP($F76,'GL Category'!$A:$H,7,FALSE))</f>
        <v>-28554</v>
      </c>
      <c r="AK76" s="622">
        <f t="shared" si="22"/>
        <v>-28554</v>
      </c>
      <c r="AL76" s="633">
        <f>AK76*(1+VLOOKUP($F76,'GL Category'!$A:$H,8,FALSE))</f>
        <v>-28554</v>
      </c>
      <c r="AN76" s="622">
        <f t="shared" si="23"/>
        <v>-28554</v>
      </c>
    </row>
    <row r="77" spans="1:59" ht="15" customHeight="1">
      <c r="A77" s="555" t="s">
        <v>2244</v>
      </c>
      <c r="B77" s="217" t="str">
        <f t="shared" si="24"/>
        <v>100</v>
      </c>
      <c r="C77" s="217" t="str">
        <f t="shared" si="25"/>
        <v>00</v>
      </c>
      <c r="D77" s="101" t="str">
        <f t="shared" si="26"/>
        <v>000</v>
      </c>
      <c r="E77" s="217" t="str">
        <f t="shared" si="27"/>
        <v>100-00-000</v>
      </c>
      <c r="F77" s="294" t="str">
        <f t="shared" si="28"/>
        <v>47020</v>
      </c>
      <c r="G77" s="295" t="str">
        <f>VLOOKUP(F77,'GL Category'!A:C,3,FALSE)</f>
        <v>OTHER REVENUE</v>
      </c>
      <c r="H77" s="98" t="str">
        <f>VLOOKUP(F77,'GL Category'!A:C,2,FALSE)</f>
        <v>AUCTION PROCEEDS</v>
      </c>
      <c r="I77" s="99">
        <f>SUMIF(Import!$B:$B,$A77,Import!D:D)</f>
        <v>-12925.98</v>
      </c>
      <c r="J77" s="99">
        <f>SUMIF(Import!$B:$B,$A77,Import!E:E)</f>
        <v>-836.23</v>
      </c>
      <c r="K77" s="99">
        <f>SUMIF(Import!$B:$B,$A77,Import!F:F)</f>
        <v>-45403.32</v>
      </c>
      <c r="L77" s="99">
        <f>SUMIF(Import!$B:$B,$A77,Import!G:G)</f>
        <v>0</v>
      </c>
      <c r="M77" s="99">
        <f>SUMIF(Import!$B:$B,$A77,Import!H:H)</f>
        <v>0</v>
      </c>
      <c r="N77" s="99">
        <f>SUMIF(Import!$B:$B,$A77,Import!I:I)</f>
        <v>-23177.94</v>
      </c>
      <c r="O77" s="99">
        <f>SUMIF(Import!$B:$B,$A77,Import!J:J)</f>
        <v>0</v>
      </c>
      <c r="P77" s="99">
        <f t="shared" si="29"/>
        <v>0</v>
      </c>
      <c r="Q77" s="99">
        <f>SUMIF(Import!$B:$B,$A77,Import!K:K)</f>
        <v>0</v>
      </c>
      <c r="R77" s="99">
        <f>SUMIF(Import!$B:$B,$A77,Import!L:L)</f>
        <v>0</v>
      </c>
      <c r="S77" s="99">
        <f>SUMIF(Import!$B:$B,$A77,Import!M:M)</f>
        <v>0</v>
      </c>
      <c r="T77" s="99">
        <f>SUMIF(Import!$B:$B,$A77,Import!N:N)</f>
        <v>0</v>
      </c>
      <c r="U77" s="99">
        <f t="shared" si="30"/>
        <v>0</v>
      </c>
      <c r="V77" s="255" t="str">
        <f t="shared" si="31"/>
        <v>N/A</v>
      </c>
      <c r="W77" s="102" t="s">
        <v>2244</v>
      </c>
      <c r="X77" s="102"/>
      <c r="Y77" s="102">
        <f t="shared" si="18"/>
        <v>0</v>
      </c>
      <c r="Z77" s="309">
        <f>Y77*(1+VLOOKUP($F77,'GL Category'!$A:$H,4,FALSE))</f>
        <v>0</v>
      </c>
      <c r="AA77" s="615"/>
      <c r="AB77" s="622">
        <f t="shared" si="19"/>
        <v>0</v>
      </c>
      <c r="AC77" s="633">
        <f>AB77*(1+VLOOKUP($F77,'GL Category'!$A:$H,5,FALSE))</f>
        <v>0</v>
      </c>
      <c r="AE77" s="622">
        <f t="shared" si="20"/>
        <v>0</v>
      </c>
      <c r="AF77" s="633">
        <f>AE77*(1+VLOOKUP($F77,'GL Category'!$A:$H,6,FALSE))</f>
        <v>0</v>
      </c>
      <c r="AH77" s="622">
        <f t="shared" si="21"/>
        <v>0</v>
      </c>
      <c r="AI77" s="633">
        <f>AH77*(1+VLOOKUP($F77,'GL Category'!$A:$H,7,FALSE))</f>
        <v>0</v>
      </c>
      <c r="AK77" s="622">
        <f t="shared" si="22"/>
        <v>0</v>
      </c>
      <c r="AL77" s="633">
        <f>AK77*(1+VLOOKUP($F77,'GL Category'!$A:$H,8,FALSE))</f>
        <v>0</v>
      </c>
      <c r="AN77" s="622">
        <f t="shared" si="23"/>
        <v>0</v>
      </c>
    </row>
    <row r="78" spans="1:59" ht="15" customHeight="1">
      <c r="A78" s="555" t="s">
        <v>2245</v>
      </c>
      <c r="B78" s="217" t="str">
        <f t="shared" si="24"/>
        <v>100</v>
      </c>
      <c r="C78" s="217" t="str">
        <f t="shared" si="25"/>
        <v>00</v>
      </c>
      <c r="D78" s="101" t="str">
        <f t="shared" si="26"/>
        <v>000</v>
      </c>
      <c r="E78" s="217" t="str">
        <f t="shared" si="27"/>
        <v>100-00-000</v>
      </c>
      <c r="F78" s="294" t="str">
        <f t="shared" si="28"/>
        <v>47025</v>
      </c>
      <c r="G78" s="295" t="str">
        <f>VLOOKUP(F78,'GL Category'!A:C,3,FALSE)</f>
        <v>OTHER REVENUE</v>
      </c>
      <c r="H78" s="98" t="str">
        <f>VLOOKUP(F78,'GL Category'!A:C,2,FALSE)</f>
        <v>PROPERTY PROCEEDS</v>
      </c>
      <c r="I78" s="99">
        <f>SUMIF(Import!$B:$B,$A78,Import!D:D)</f>
        <v>0</v>
      </c>
      <c r="J78" s="99">
        <f>SUMIF(Import!$B:$B,$A78,Import!E:E)</f>
        <v>0</v>
      </c>
      <c r="K78" s="99">
        <f>SUMIF(Import!$B:$B,$A78,Import!F:F)</f>
        <v>0</v>
      </c>
      <c r="L78" s="99">
        <f>SUMIF(Import!$B:$B,$A78,Import!G:G)</f>
        <v>-190</v>
      </c>
      <c r="M78" s="99">
        <f>SUMIF(Import!$B:$B,$A78,Import!H:H)</f>
        <v>0</v>
      </c>
      <c r="N78" s="99">
        <f>SUMIF(Import!$B:$B,$A78,Import!I:I)</f>
        <v>0</v>
      </c>
      <c r="O78" s="99">
        <f>SUMIF(Import!$B:$B,$A78,Import!J:J)</f>
        <v>0</v>
      </c>
      <c r="P78" s="99">
        <f t="shared" si="29"/>
        <v>0</v>
      </c>
      <c r="Q78" s="99">
        <f>SUMIF(Import!$B:$B,$A78,Import!K:K)</f>
        <v>0</v>
      </c>
      <c r="R78" s="99">
        <f>SUMIF(Import!$B:$B,$A78,Import!L:L)</f>
        <v>0</v>
      </c>
      <c r="S78" s="99">
        <f>SUMIF(Import!$B:$B,$A78,Import!M:M)</f>
        <v>0</v>
      </c>
      <c r="T78" s="99">
        <f>SUMIF(Import!$B:$B,$A78,Import!N:N)</f>
        <v>0</v>
      </c>
      <c r="U78" s="99">
        <f t="shared" si="30"/>
        <v>0</v>
      </c>
      <c r="V78" s="255" t="str">
        <f t="shared" si="31"/>
        <v>N/A</v>
      </c>
      <c r="W78" s="102" t="s">
        <v>2245</v>
      </c>
      <c r="X78" s="102"/>
      <c r="Y78" s="102">
        <f t="shared" ref="Y78:Y94" si="40">T78-X78</f>
        <v>0</v>
      </c>
      <c r="Z78" s="309">
        <f>Y78*(1+VLOOKUP($F78,'GL Category'!$A:$H,4,FALSE))</f>
        <v>0</v>
      </c>
      <c r="AA78" s="615"/>
      <c r="AB78" s="622">
        <f t="shared" ref="AB78:AB94" si="41">Z78+AA78</f>
        <v>0</v>
      </c>
      <c r="AC78" s="633">
        <f>AB78*(1+VLOOKUP($F78,'GL Category'!$A:$H,5,FALSE))</f>
        <v>0</v>
      </c>
      <c r="AE78" s="622">
        <f t="shared" ref="AE78:AE94" si="42">AC78+AD78</f>
        <v>0</v>
      </c>
      <c r="AF78" s="633">
        <f>AE78*(1+VLOOKUP($F78,'GL Category'!$A:$H,6,FALSE))</f>
        <v>0</v>
      </c>
      <c r="AH78" s="622">
        <f t="shared" ref="AH78:AH94" si="43">AF78+AG78</f>
        <v>0</v>
      </c>
      <c r="AI78" s="633">
        <f>AH78*(1+VLOOKUP($F78,'GL Category'!$A:$H,7,FALSE))</f>
        <v>0</v>
      </c>
      <c r="AK78" s="622">
        <f t="shared" ref="AK78:AK94" si="44">AI78+AJ78</f>
        <v>0</v>
      </c>
      <c r="AL78" s="633">
        <f>AK78*(1+VLOOKUP($F78,'GL Category'!$A:$H,8,FALSE))</f>
        <v>0</v>
      </c>
      <c r="AN78" s="622">
        <f t="shared" ref="AN78:AN94" si="45">AL78+AM78</f>
        <v>0</v>
      </c>
    </row>
    <row r="79" spans="1:59" ht="15" customHeight="1">
      <c r="A79" s="555" t="s">
        <v>2246</v>
      </c>
      <c r="B79" s="217" t="str">
        <f t="shared" si="24"/>
        <v>100</v>
      </c>
      <c r="C79" s="217" t="str">
        <f t="shared" si="25"/>
        <v>00</v>
      </c>
      <c r="D79" s="101" t="str">
        <f t="shared" si="26"/>
        <v>000</v>
      </c>
      <c r="E79" s="217" t="str">
        <f t="shared" si="27"/>
        <v>100-00-000</v>
      </c>
      <c r="F79" s="294" t="str">
        <f t="shared" si="28"/>
        <v>47030</v>
      </c>
      <c r="G79" s="295" t="str">
        <f>VLOOKUP(F79,'GL Category'!A:C,3,FALSE)</f>
        <v>OTHER REVENUE</v>
      </c>
      <c r="H79" s="98" t="str">
        <f>VLOOKUP(F79,'GL Category'!A:C,2,FALSE)</f>
        <v>GAIN/LOSS ON DISP OF ASSETS</v>
      </c>
      <c r="I79" s="99">
        <f>SUMIF(Import!$B:$B,$A79,Import!D:D)</f>
        <v>-500</v>
      </c>
      <c r="J79" s="99">
        <f>SUMIF(Import!$B:$B,$A79,Import!E:E)</f>
        <v>0</v>
      </c>
      <c r="K79" s="99">
        <f>SUMIF(Import!$B:$B,$A79,Import!F:F)</f>
        <v>0</v>
      </c>
      <c r="L79" s="99">
        <f>SUMIF(Import!$B:$B,$A79,Import!G:G)</f>
        <v>0</v>
      </c>
      <c r="M79" s="99">
        <f>SUMIF(Import!$B:$B,$A79,Import!H:H)</f>
        <v>0</v>
      </c>
      <c r="N79" s="99">
        <f>SUMIF(Import!$B:$B,$A79,Import!I:I)</f>
        <v>0</v>
      </c>
      <c r="O79" s="99">
        <f>SUMIF(Import!$B:$B,$A79,Import!J:J)</f>
        <v>0</v>
      </c>
      <c r="P79" s="99">
        <f t="shared" si="29"/>
        <v>0</v>
      </c>
      <c r="Q79" s="99">
        <f>SUMIF(Import!$B:$B,$A79,Import!K:K)</f>
        <v>0</v>
      </c>
      <c r="R79" s="99">
        <f>SUMIF(Import!$B:$B,$A79,Import!L:L)</f>
        <v>0</v>
      </c>
      <c r="S79" s="99">
        <f>SUMIF(Import!$B:$B,$A79,Import!M:M)</f>
        <v>0</v>
      </c>
      <c r="T79" s="99">
        <f>SUMIF(Import!$B:$B,$A79,Import!N:N)</f>
        <v>0</v>
      </c>
      <c r="U79" s="99">
        <f t="shared" si="30"/>
        <v>0</v>
      </c>
      <c r="V79" s="255" t="str">
        <f t="shared" si="31"/>
        <v>N/A</v>
      </c>
      <c r="W79" s="102" t="s">
        <v>2246</v>
      </c>
      <c r="X79" s="102"/>
      <c r="Y79" s="102">
        <f t="shared" si="40"/>
        <v>0</v>
      </c>
      <c r="Z79" s="309">
        <f>Y79*(1+VLOOKUP($F79,'GL Category'!$A:$H,4,FALSE))</f>
        <v>0</v>
      </c>
      <c r="AA79" s="615"/>
      <c r="AB79" s="622">
        <f t="shared" si="41"/>
        <v>0</v>
      </c>
      <c r="AC79" s="633">
        <f>AB79*(1+VLOOKUP($F79,'GL Category'!$A:$H,5,FALSE))</f>
        <v>0</v>
      </c>
      <c r="AE79" s="622">
        <f t="shared" si="42"/>
        <v>0</v>
      </c>
      <c r="AF79" s="633">
        <f>AE79*(1+VLOOKUP($F79,'GL Category'!$A:$H,6,FALSE))</f>
        <v>0</v>
      </c>
      <c r="AH79" s="622">
        <f t="shared" si="43"/>
        <v>0</v>
      </c>
      <c r="AI79" s="633">
        <f>AH79*(1+VLOOKUP($F79,'GL Category'!$A:$H,7,FALSE))</f>
        <v>0</v>
      </c>
      <c r="AK79" s="622">
        <f t="shared" si="44"/>
        <v>0</v>
      </c>
      <c r="AL79" s="633">
        <f>AK79*(1+VLOOKUP($F79,'GL Category'!$A:$H,8,FALSE))</f>
        <v>0</v>
      </c>
      <c r="AN79" s="622">
        <f t="shared" si="45"/>
        <v>0</v>
      </c>
    </row>
    <row r="80" spans="1:59" ht="16.95" customHeight="1">
      <c r="A80" s="555" t="s">
        <v>2247</v>
      </c>
      <c r="B80" s="217" t="str">
        <f t="shared" si="24"/>
        <v>100</v>
      </c>
      <c r="C80" s="217" t="str">
        <f t="shared" si="25"/>
        <v>00</v>
      </c>
      <c r="D80" s="101" t="str">
        <f t="shared" si="26"/>
        <v>000</v>
      </c>
      <c r="E80" s="217" t="str">
        <f t="shared" si="27"/>
        <v>100-00-000</v>
      </c>
      <c r="F80" s="294" t="str">
        <f t="shared" si="28"/>
        <v>47006</v>
      </c>
      <c r="G80" s="295" t="str">
        <f>VLOOKUP(F80,'GL Category'!A:C,3,FALSE)</f>
        <v>CHARGES FOR SERVICE</v>
      </c>
      <c r="H80" s="98" t="str">
        <f>VLOOKUP(F80,'GL Category'!A:C,2,FALSE)</f>
        <v>WELLNESS PROCEEDS</v>
      </c>
      <c r="I80" s="99">
        <f>SUMIF(Import!$B:$B,$A80,Import!D:D)</f>
        <v>-23956.26</v>
      </c>
      <c r="J80" s="99">
        <f>SUMIF(Import!$B:$B,$A80,Import!E:E)</f>
        <v>0</v>
      </c>
      <c r="K80" s="99">
        <f>SUMIF(Import!$B:$B,$A80,Import!F:F)</f>
        <v>0</v>
      </c>
      <c r="L80" s="99">
        <f>SUMIF(Import!$B:$B,$A80,Import!G:G)</f>
        <v>0</v>
      </c>
      <c r="M80" s="99">
        <f>SUMIF(Import!$B:$B,$A80,Import!H:H)</f>
        <v>0</v>
      </c>
      <c r="N80" s="99">
        <f>SUMIF(Import!$B:$B,$A80,Import!I:I)</f>
        <v>0</v>
      </c>
      <c r="O80" s="99">
        <f>SUMIF(Import!$B:$B,$A80,Import!J:J)</f>
        <v>0</v>
      </c>
      <c r="P80" s="99">
        <f t="shared" si="29"/>
        <v>0</v>
      </c>
      <c r="Q80" s="99">
        <f>SUMIF(Import!$B:$B,$A80,Import!K:K)</f>
        <v>0</v>
      </c>
      <c r="R80" s="99">
        <f>SUMIF(Import!$B:$B,$A80,Import!L:L)</f>
        <v>0</v>
      </c>
      <c r="S80" s="99">
        <f>SUMIF(Import!$B:$B,$A80,Import!M:M)</f>
        <v>0</v>
      </c>
      <c r="T80" s="99">
        <f>SUMIF(Import!$B:$B,$A80,Import!N:N)</f>
        <v>0</v>
      </c>
      <c r="U80" s="99">
        <f t="shared" si="30"/>
        <v>0</v>
      </c>
      <c r="V80" s="255" t="str">
        <f t="shared" si="31"/>
        <v>N/A</v>
      </c>
      <c r="W80" s="102" t="s">
        <v>2247</v>
      </c>
      <c r="X80" s="102"/>
      <c r="Y80" s="102">
        <f t="shared" si="40"/>
        <v>0</v>
      </c>
      <c r="Z80" s="309">
        <f>Y80*(1+VLOOKUP($F80,'GL Category'!$A:$H,4,FALSE))</f>
        <v>0</v>
      </c>
      <c r="AA80" s="615"/>
      <c r="AB80" s="622">
        <f t="shared" si="41"/>
        <v>0</v>
      </c>
      <c r="AC80" s="633">
        <f>AB80*(1+VLOOKUP($F80,'GL Category'!$A:$H,5,FALSE))</f>
        <v>0</v>
      </c>
      <c r="AE80" s="622">
        <f t="shared" si="42"/>
        <v>0</v>
      </c>
      <c r="AF80" s="633">
        <f>AE80*(1+VLOOKUP($F80,'GL Category'!$A:$H,6,FALSE))</f>
        <v>0</v>
      </c>
      <c r="AH80" s="622">
        <f t="shared" si="43"/>
        <v>0</v>
      </c>
      <c r="AI80" s="633">
        <f>AH80*(1+VLOOKUP($F80,'GL Category'!$A:$H,7,FALSE))</f>
        <v>0</v>
      </c>
      <c r="AK80" s="622">
        <f t="shared" si="44"/>
        <v>0</v>
      </c>
      <c r="AL80" s="633">
        <f>AK80*(1+VLOOKUP($F80,'GL Category'!$A:$H,8,FALSE))</f>
        <v>0</v>
      </c>
      <c r="AN80" s="622">
        <f t="shared" si="45"/>
        <v>0</v>
      </c>
    </row>
    <row r="81" spans="1:40" ht="15" customHeight="1">
      <c r="A81" s="555" t="s">
        <v>2248</v>
      </c>
      <c r="B81" s="217" t="str">
        <f t="shared" si="24"/>
        <v>100</v>
      </c>
      <c r="C81" s="217" t="str">
        <f t="shared" si="25"/>
        <v>00</v>
      </c>
      <c r="D81" s="101" t="str">
        <f t="shared" si="26"/>
        <v>000</v>
      </c>
      <c r="E81" s="217" t="str">
        <f t="shared" si="27"/>
        <v>100-00-000</v>
      </c>
      <c r="F81" s="294" t="str">
        <f t="shared" si="28"/>
        <v>47070</v>
      </c>
      <c r="G81" s="295" t="str">
        <f>VLOOKUP(F81,'GL Category'!A:C,3,FALSE)</f>
        <v>OTHER REVENUE</v>
      </c>
      <c r="H81" s="98" t="str">
        <f>VLOOKUP(F81,'GL Category'!A:C,2,FALSE)</f>
        <v>CASH OVER/SHORT</v>
      </c>
      <c r="I81" s="99">
        <f>SUMIF(Import!$B:$B,$A81,Import!D:D)</f>
        <v>-145.9</v>
      </c>
      <c r="J81" s="99">
        <f>SUMIF(Import!$B:$B,$A81,Import!E:E)</f>
        <v>-257.63</v>
      </c>
      <c r="K81" s="99">
        <f>SUMIF(Import!$B:$B,$A81,Import!F:F)</f>
        <v>-1811.5</v>
      </c>
      <c r="L81" s="99">
        <f>SUMIF(Import!$B:$B,$A81,Import!G:G)</f>
        <v>-4077.22</v>
      </c>
      <c r="M81" s="99">
        <f>SUMIF(Import!$B:$B,$A81,Import!H:H)</f>
        <v>0</v>
      </c>
      <c r="N81" s="99">
        <f>SUMIF(Import!$B:$B,$A81,Import!I:I)</f>
        <v>1155.9100000000001</v>
      </c>
      <c r="O81" s="99">
        <f>SUMIF(Import!$B:$B,$A81,Import!J:J)</f>
        <v>0</v>
      </c>
      <c r="P81" s="99">
        <f t="shared" si="29"/>
        <v>0</v>
      </c>
      <c r="Q81" s="99">
        <f>SUMIF(Import!$B:$B,$A81,Import!K:K)</f>
        <v>0</v>
      </c>
      <c r="R81" s="99">
        <f>SUMIF(Import!$B:$B,$A81,Import!L:L)</f>
        <v>0</v>
      </c>
      <c r="S81" s="99">
        <f>SUMIF(Import!$B:$B,$A81,Import!M:M)</f>
        <v>0</v>
      </c>
      <c r="T81" s="99">
        <f>SUMIF(Import!$B:$B,$A81,Import!N:N)</f>
        <v>0</v>
      </c>
      <c r="U81" s="99">
        <f t="shared" si="30"/>
        <v>0</v>
      </c>
      <c r="V81" s="255" t="str">
        <f t="shared" si="31"/>
        <v>N/A</v>
      </c>
      <c r="W81" s="102" t="s">
        <v>2248</v>
      </c>
      <c r="X81" s="102"/>
      <c r="Y81" s="102">
        <f t="shared" si="40"/>
        <v>0</v>
      </c>
      <c r="Z81" s="309">
        <f>Y81*(1+VLOOKUP($F81,'GL Category'!$A:$H,4,FALSE))</f>
        <v>0</v>
      </c>
      <c r="AA81" s="615"/>
      <c r="AB81" s="622">
        <f t="shared" si="41"/>
        <v>0</v>
      </c>
      <c r="AC81" s="633">
        <f>AB81*(1+VLOOKUP($F81,'GL Category'!$A:$H,5,FALSE))</f>
        <v>0</v>
      </c>
      <c r="AE81" s="622">
        <f t="shared" si="42"/>
        <v>0</v>
      </c>
      <c r="AF81" s="633">
        <f>AE81*(1+VLOOKUP($F81,'GL Category'!$A:$H,6,FALSE))</f>
        <v>0</v>
      </c>
      <c r="AH81" s="622">
        <f t="shared" si="43"/>
        <v>0</v>
      </c>
      <c r="AI81" s="633">
        <f>AH81*(1+VLOOKUP($F81,'GL Category'!$A:$H,7,FALSE))</f>
        <v>0</v>
      </c>
      <c r="AK81" s="622">
        <f t="shared" si="44"/>
        <v>0</v>
      </c>
      <c r="AL81" s="633">
        <f>AK81*(1+VLOOKUP($F81,'GL Category'!$A:$H,8,FALSE))</f>
        <v>0</v>
      </c>
      <c r="AN81" s="622">
        <f t="shared" si="45"/>
        <v>0</v>
      </c>
    </row>
    <row r="82" spans="1:40" ht="15" customHeight="1">
      <c r="A82" s="555" t="s">
        <v>2249</v>
      </c>
      <c r="B82" s="217" t="str">
        <f t="shared" si="24"/>
        <v>100</v>
      </c>
      <c r="C82" s="217" t="str">
        <f t="shared" si="25"/>
        <v>00</v>
      </c>
      <c r="D82" s="101" t="str">
        <f t="shared" si="26"/>
        <v>000</v>
      </c>
      <c r="E82" s="217" t="str">
        <f t="shared" si="27"/>
        <v>100-00-000</v>
      </c>
      <c r="F82" s="294" t="str">
        <f t="shared" si="28"/>
        <v>47090</v>
      </c>
      <c r="G82" s="295" t="str">
        <f>VLOOKUP(F82,'GL Category'!A:C,3,FALSE)</f>
        <v>OTHER REVENUE</v>
      </c>
      <c r="H82" s="98" t="str">
        <f>VLOOKUP(F82,'GL Category'!A:C,2,FALSE)</f>
        <v>INTEREST REVENUE-INVESTMENTS</v>
      </c>
      <c r="I82" s="99">
        <f>SUMIF(Import!$B:$B,$A82,Import!D:D)</f>
        <v>-297165.81</v>
      </c>
      <c r="J82" s="99">
        <f>SUMIF(Import!$B:$B,$A82,Import!E:E)</f>
        <v>-78599.960000000006</v>
      </c>
      <c r="K82" s="99">
        <f>SUMIF(Import!$B:$B,$A82,Import!F:F)</f>
        <v>-250342.96</v>
      </c>
      <c r="L82" s="99">
        <f>SUMIF(Import!$B:$B,$A82,Import!G:G)</f>
        <v>-1435396.69</v>
      </c>
      <c r="M82" s="99">
        <f>SUMIF(Import!$B:$B,$A82,Import!H:H)</f>
        <v>-422154</v>
      </c>
      <c r="N82" s="99">
        <f>SUMIF(Import!$B:$B,$A82,Import!I:I)</f>
        <v>-1184105.28</v>
      </c>
      <c r="O82" s="99">
        <f>SUMIF(Import!$B:$B,$A82,Import!J:J)</f>
        <v>-1241629</v>
      </c>
      <c r="P82" s="99">
        <f t="shared" si="29"/>
        <v>-819475</v>
      </c>
      <c r="Q82" s="99">
        <f>SUMIF(Import!$B:$B,$A82,Import!K:K)</f>
        <v>-1241629</v>
      </c>
      <c r="R82" s="99">
        <f>SUMIF(Import!$B:$B,$A82,Import!L:L)</f>
        <v>0</v>
      </c>
      <c r="S82" s="99">
        <f>SUMIF(Import!$B:$B,$A82,Import!M:M)</f>
        <v>0</v>
      </c>
      <c r="T82" s="99">
        <f>SUMIF(Import!$B:$B,$A82,Import!N:N)</f>
        <v>-1241629</v>
      </c>
      <c r="U82" s="562">
        <f t="shared" si="30"/>
        <v>-819475</v>
      </c>
      <c r="V82" s="255">
        <f t="shared" si="31"/>
        <v>1.9411754951984346</v>
      </c>
      <c r="W82" s="102" t="s">
        <v>2249</v>
      </c>
      <c r="X82" s="102"/>
      <c r="Y82" s="102">
        <f t="shared" si="40"/>
        <v>-1241629</v>
      </c>
      <c r="Z82" s="309">
        <f>Y82*(1+VLOOKUP($F82,'GL Category'!$A:$H,4,FALSE))</f>
        <v>-931221.75</v>
      </c>
      <c r="AA82" s="615"/>
      <c r="AB82" s="622">
        <f t="shared" si="41"/>
        <v>-931221.75</v>
      </c>
      <c r="AC82" s="633">
        <f>AB82*(1+VLOOKUP($F82,'GL Category'!$A:$H,5,FALSE))</f>
        <v>-465610.875</v>
      </c>
      <c r="AE82" s="622">
        <f t="shared" si="42"/>
        <v>-465610.875</v>
      </c>
      <c r="AF82" s="633">
        <f>AE82*(1+VLOOKUP($F82,'GL Category'!$A:$H,6,FALSE))</f>
        <v>-465610.875</v>
      </c>
      <c r="AH82" s="622">
        <f t="shared" si="43"/>
        <v>-465610.875</v>
      </c>
      <c r="AI82" s="633">
        <f>AH82*(1+VLOOKUP($F82,'GL Category'!$A:$H,7,FALSE))</f>
        <v>-465610.875</v>
      </c>
      <c r="AK82" s="622">
        <f t="shared" si="44"/>
        <v>-465610.875</v>
      </c>
      <c r="AL82" s="633">
        <f>AK82*(1+VLOOKUP($F82,'GL Category'!$A:$H,8,FALSE))</f>
        <v>-465610.875</v>
      </c>
      <c r="AN82" s="622">
        <f t="shared" si="45"/>
        <v>-465610.875</v>
      </c>
    </row>
    <row r="83" spans="1:40" ht="15" customHeight="1">
      <c r="A83" s="555" t="s">
        <v>2250</v>
      </c>
      <c r="B83" s="217" t="str">
        <f t="shared" si="24"/>
        <v>100</v>
      </c>
      <c r="C83" s="217" t="str">
        <f t="shared" si="25"/>
        <v>00</v>
      </c>
      <c r="D83" s="101" t="str">
        <f t="shared" si="26"/>
        <v>000</v>
      </c>
      <c r="E83" s="217" t="str">
        <f t="shared" si="27"/>
        <v>100-00-000</v>
      </c>
      <c r="F83" s="294" t="str">
        <f t="shared" si="28"/>
        <v>47099</v>
      </c>
      <c r="G83" s="295" t="str">
        <f>VLOOKUP(F83,'GL Category'!A:C,3,FALSE)</f>
        <v>OTHER REVENUE</v>
      </c>
      <c r="H83" s="98" t="str">
        <f>VLOOKUP(F83,'GL Category'!A:C,2,FALSE)</f>
        <v>INCR/DECR IN FAIR VALUE OF INV</v>
      </c>
      <c r="I83" s="99">
        <f>SUMIF(Import!$B:$B,$A83,Import!D:D)</f>
        <v>0</v>
      </c>
      <c r="J83" s="99">
        <f>SUMIF(Import!$B:$B,$A83,Import!E:E)</f>
        <v>0</v>
      </c>
      <c r="K83" s="99">
        <f>SUMIF(Import!$B:$B,$A83,Import!F:F)</f>
        <v>0</v>
      </c>
      <c r="L83" s="99">
        <f>SUMIF(Import!$B:$B,$A83,Import!G:G)</f>
        <v>0</v>
      </c>
      <c r="M83" s="99">
        <f>SUMIF(Import!$B:$B,$A83,Import!H:H)</f>
        <v>0</v>
      </c>
      <c r="N83" s="99">
        <f>SUMIF(Import!$B:$B,$A83,Import!I:I)</f>
        <v>0</v>
      </c>
      <c r="O83" s="99">
        <f>SUMIF(Import!$B:$B,$A83,Import!J:J)</f>
        <v>0</v>
      </c>
      <c r="P83" s="99">
        <f t="shared" si="29"/>
        <v>0</v>
      </c>
      <c r="Q83" s="99">
        <f>SUMIF(Import!$B:$B,$A83,Import!K:K)</f>
        <v>0</v>
      </c>
      <c r="R83" s="99">
        <f>SUMIF(Import!$B:$B,$A83,Import!L:L)</f>
        <v>0</v>
      </c>
      <c r="S83" s="99">
        <f>SUMIF(Import!$B:$B,$A83,Import!M:M)</f>
        <v>0</v>
      </c>
      <c r="T83" s="99">
        <f>SUMIF(Import!$B:$B,$A83,Import!N:N)</f>
        <v>0</v>
      </c>
      <c r="U83" s="99">
        <f t="shared" si="30"/>
        <v>0</v>
      </c>
      <c r="V83" s="255" t="str">
        <f t="shared" si="31"/>
        <v>N/A</v>
      </c>
      <c r="W83" s="102" t="s">
        <v>2250</v>
      </c>
      <c r="X83" s="102"/>
      <c r="Y83" s="102">
        <f t="shared" si="40"/>
        <v>0</v>
      </c>
      <c r="Z83" s="309">
        <f>Y83*(1+VLOOKUP($F83,'GL Category'!$A:$H,4,FALSE))</f>
        <v>0</v>
      </c>
      <c r="AA83" s="615"/>
      <c r="AB83" s="622">
        <f t="shared" si="41"/>
        <v>0</v>
      </c>
      <c r="AC83" s="633">
        <f>AB83*(1+VLOOKUP($F83,'GL Category'!$A:$H,5,FALSE))</f>
        <v>0</v>
      </c>
      <c r="AE83" s="622">
        <f t="shared" si="42"/>
        <v>0</v>
      </c>
      <c r="AF83" s="633">
        <f>AE83*(1+VLOOKUP($F83,'GL Category'!$A:$H,6,FALSE))</f>
        <v>0</v>
      </c>
      <c r="AH83" s="622">
        <f t="shared" si="43"/>
        <v>0</v>
      </c>
      <c r="AI83" s="633">
        <f>AH83*(1+VLOOKUP($F83,'GL Category'!$A:$H,7,FALSE))</f>
        <v>0</v>
      </c>
      <c r="AK83" s="622">
        <f t="shared" si="44"/>
        <v>0</v>
      </c>
      <c r="AL83" s="633">
        <f>AK83*(1+VLOOKUP($F83,'GL Category'!$A:$H,8,FALSE))</f>
        <v>0</v>
      </c>
      <c r="AN83" s="622">
        <f t="shared" si="45"/>
        <v>0</v>
      </c>
    </row>
    <row r="84" spans="1:40" ht="15" customHeight="1">
      <c r="A84" s="555" t="s">
        <v>2251</v>
      </c>
      <c r="B84" s="217" t="str">
        <f t="shared" si="24"/>
        <v>100</v>
      </c>
      <c r="C84" s="217" t="str">
        <f t="shared" si="25"/>
        <v>00</v>
      </c>
      <c r="D84" s="101" t="str">
        <f t="shared" si="26"/>
        <v>000</v>
      </c>
      <c r="E84" s="217" t="str">
        <f t="shared" si="27"/>
        <v>100-00-000</v>
      </c>
      <c r="F84" s="294" t="str">
        <f t="shared" si="28"/>
        <v>47250</v>
      </c>
      <c r="G84" s="295" t="str">
        <f>VLOOKUP(F84,'GL Category'!A:C,3,FALSE)</f>
        <v>OTHER REVENUE</v>
      </c>
      <c r="H84" s="98" t="str">
        <f>VLOOKUP(F84,'GL Category'!A:C,2,FALSE)</f>
        <v>REIMB-INSURANCE PROCEEDS</v>
      </c>
      <c r="I84" s="99">
        <f>SUMIF(Import!$B:$B,$A84,Import!D:D)</f>
        <v>0</v>
      </c>
      <c r="J84" s="99">
        <f>SUMIF(Import!$B:$B,$A84,Import!E:E)</f>
        <v>-167861.43</v>
      </c>
      <c r="K84" s="99">
        <f>SUMIF(Import!$B:$B,$A84,Import!F:F)</f>
        <v>-161141.35</v>
      </c>
      <c r="L84" s="99">
        <f>SUMIF(Import!$B:$B,$A84,Import!G:G)</f>
        <v>0</v>
      </c>
      <c r="M84" s="99">
        <f>SUMIF(Import!$B:$B,$A84,Import!H:H)</f>
        <v>0</v>
      </c>
      <c r="N84" s="99">
        <f>SUMIF(Import!$B:$B,$A84,Import!I:I)</f>
        <v>0</v>
      </c>
      <c r="O84" s="99">
        <f>SUMIF(Import!$B:$B,$A84,Import!J:J)</f>
        <v>0</v>
      </c>
      <c r="P84" s="99">
        <f t="shared" si="29"/>
        <v>0</v>
      </c>
      <c r="Q84" s="99">
        <f>SUMIF(Import!$B:$B,$A84,Import!K:K)</f>
        <v>0</v>
      </c>
      <c r="R84" s="99">
        <f>SUMIF(Import!$B:$B,$A84,Import!L:L)</f>
        <v>0</v>
      </c>
      <c r="S84" s="99">
        <f>SUMIF(Import!$B:$B,$A84,Import!M:M)</f>
        <v>0</v>
      </c>
      <c r="T84" s="99">
        <f>SUMIF(Import!$B:$B,$A84,Import!N:N)</f>
        <v>0</v>
      </c>
      <c r="U84" s="99">
        <f t="shared" si="30"/>
        <v>0</v>
      </c>
      <c r="V84" s="255" t="str">
        <f t="shared" si="31"/>
        <v>N/A</v>
      </c>
      <c r="W84" s="102" t="s">
        <v>2251</v>
      </c>
      <c r="X84" s="102"/>
      <c r="Y84" s="102">
        <f t="shared" si="40"/>
        <v>0</v>
      </c>
      <c r="Z84" s="309">
        <f>Y84*(1+VLOOKUP($F84,'GL Category'!$A:$H,4,FALSE))</f>
        <v>0</v>
      </c>
      <c r="AA84" s="615"/>
      <c r="AB84" s="622">
        <f t="shared" si="41"/>
        <v>0</v>
      </c>
      <c r="AC84" s="633">
        <f>AB84*(1+VLOOKUP($F84,'GL Category'!$A:$H,5,FALSE))</f>
        <v>0</v>
      </c>
      <c r="AE84" s="622">
        <f t="shared" si="42"/>
        <v>0</v>
      </c>
      <c r="AF84" s="633">
        <f>AE84*(1+VLOOKUP($F84,'GL Category'!$A:$H,6,FALSE))</f>
        <v>0</v>
      </c>
      <c r="AH84" s="622">
        <f t="shared" si="43"/>
        <v>0</v>
      </c>
      <c r="AI84" s="633">
        <f>AH84*(1+VLOOKUP($F84,'GL Category'!$A:$H,7,FALSE))</f>
        <v>0</v>
      </c>
      <c r="AK84" s="622">
        <f t="shared" si="44"/>
        <v>0</v>
      </c>
      <c r="AL84" s="633">
        <f>AK84*(1+VLOOKUP($F84,'GL Category'!$A:$H,8,FALSE))</f>
        <v>0</v>
      </c>
      <c r="AN84" s="622">
        <f t="shared" si="45"/>
        <v>0</v>
      </c>
    </row>
    <row r="85" spans="1:40" ht="15" customHeight="1">
      <c r="A85" s="555" t="s">
        <v>2252</v>
      </c>
      <c r="B85" s="217" t="str">
        <f t="shared" si="24"/>
        <v>100</v>
      </c>
      <c r="C85" s="217" t="str">
        <f t="shared" si="25"/>
        <v>00</v>
      </c>
      <c r="D85" s="101" t="str">
        <f t="shared" si="26"/>
        <v>000</v>
      </c>
      <c r="E85" s="217" t="str">
        <f t="shared" si="27"/>
        <v>100-00-000</v>
      </c>
      <c r="F85" s="294" t="str">
        <f t="shared" si="28"/>
        <v>47350</v>
      </c>
      <c r="G85" s="295" t="str">
        <f>VLOOKUP(F85,'GL Category'!A:C,3,FALSE)</f>
        <v>OTHER REVENUE</v>
      </c>
      <c r="H85" s="98" t="str">
        <f>VLOOKUP(F85,'GL Category'!A:C,2,FALSE)</f>
        <v>TICKET SALES</v>
      </c>
      <c r="I85" s="99">
        <f>SUMIF(Import!$B:$B,$A85,Import!D:D)</f>
        <v>-2123</v>
      </c>
      <c r="J85" s="99">
        <f>SUMIF(Import!$B:$B,$A85,Import!E:E)</f>
        <v>0</v>
      </c>
      <c r="K85" s="99">
        <f>SUMIF(Import!$B:$B,$A85,Import!F:F)</f>
        <v>-2630</v>
      </c>
      <c r="L85" s="99">
        <f>SUMIF(Import!$B:$B,$A85,Import!G:G)</f>
        <v>-2880</v>
      </c>
      <c r="M85" s="99">
        <f>SUMIF(Import!$B:$B,$A85,Import!H:H)</f>
        <v>-2581</v>
      </c>
      <c r="N85" s="99">
        <f>SUMIF(Import!$B:$B,$A85,Import!I:I)</f>
        <v>-2965</v>
      </c>
      <c r="O85" s="99">
        <f>SUMIF(Import!$B:$B,$A85,Import!J:J)</f>
        <v>-2965</v>
      </c>
      <c r="P85" s="99">
        <f t="shared" si="29"/>
        <v>-384</v>
      </c>
      <c r="Q85" s="99">
        <f>SUMIF(Import!$B:$B,$A85,Import!K:K)</f>
        <v>-2581</v>
      </c>
      <c r="R85" s="99">
        <f>SUMIF(Import!$B:$B,$A85,Import!L:L)</f>
        <v>0</v>
      </c>
      <c r="S85" s="99">
        <f>SUMIF(Import!$B:$B,$A85,Import!M:M)</f>
        <v>0</v>
      </c>
      <c r="T85" s="99">
        <f>SUMIF(Import!$B:$B,$A85,Import!N:N)</f>
        <v>-2581</v>
      </c>
      <c r="U85" s="99">
        <f t="shared" si="30"/>
        <v>0</v>
      </c>
      <c r="V85" s="255">
        <f t="shared" si="31"/>
        <v>0</v>
      </c>
      <c r="W85" s="102" t="s">
        <v>2252</v>
      </c>
      <c r="X85" s="102"/>
      <c r="Y85" s="102">
        <f t="shared" si="40"/>
        <v>-2581</v>
      </c>
      <c r="Z85" s="309">
        <f>Y85*(1+VLOOKUP($F85,'GL Category'!$A:$H,4,FALSE))</f>
        <v>-2581</v>
      </c>
      <c r="AA85" s="615"/>
      <c r="AB85" s="622">
        <f t="shared" si="41"/>
        <v>-2581</v>
      </c>
      <c r="AC85" s="633">
        <f>AB85*(1+VLOOKUP($F85,'GL Category'!$A:$H,5,FALSE))</f>
        <v>-2581</v>
      </c>
      <c r="AE85" s="622">
        <f t="shared" si="42"/>
        <v>-2581</v>
      </c>
      <c r="AF85" s="633">
        <f>AE85*(1+VLOOKUP($F85,'GL Category'!$A:$H,6,FALSE))</f>
        <v>-2581</v>
      </c>
      <c r="AH85" s="622">
        <f t="shared" si="43"/>
        <v>-2581</v>
      </c>
      <c r="AI85" s="633">
        <f>AH85*(1+VLOOKUP($F85,'GL Category'!$A:$H,7,FALSE))</f>
        <v>-2581</v>
      </c>
      <c r="AK85" s="622">
        <f t="shared" si="44"/>
        <v>-2581</v>
      </c>
      <c r="AL85" s="633">
        <f>AK85*(1+VLOOKUP($F85,'GL Category'!$A:$H,8,FALSE))</f>
        <v>-2581</v>
      </c>
      <c r="AN85" s="622">
        <f t="shared" si="45"/>
        <v>-2581</v>
      </c>
    </row>
    <row r="86" spans="1:40" ht="15" customHeight="1">
      <c r="A86" s="555" t="s">
        <v>2253</v>
      </c>
      <c r="B86" s="217" t="str">
        <f t="shared" si="24"/>
        <v>100</v>
      </c>
      <c r="C86" s="217" t="str">
        <f t="shared" si="25"/>
        <v>00</v>
      </c>
      <c r="D86" s="101" t="str">
        <f t="shared" si="26"/>
        <v>000</v>
      </c>
      <c r="E86" s="217" t="str">
        <f t="shared" si="27"/>
        <v>100-00-000</v>
      </c>
      <c r="F86" s="294" t="str">
        <f t="shared" si="28"/>
        <v>47355</v>
      </c>
      <c r="G86" s="295" t="str">
        <f>VLOOKUP(F86,'GL Category'!A:C,3,FALSE)</f>
        <v>OTHER REVENUE</v>
      </c>
      <c r="H86" s="98" t="str">
        <f>VLOOKUP(F86,'GL Category'!A:C,2,FALSE)</f>
        <v>REVENUE-TASTE KELLER</v>
      </c>
      <c r="I86" s="99">
        <f>SUMIF(Import!$B:$B,$A86,Import!D:D)</f>
        <v>0</v>
      </c>
      <c r="J86" s="99">
        <f>SUMIF(Import!$B:$B,$A86,Import!E:E)</f>
        <v>0</v>
      </c>
      <c r="K86" s="99">
        <f>SUMIF(Import!$B:$B,$A86,Import!F:F)</f>
        <v>0</v>
      </c>
      <c r="L86" s="99">
        <f>SUMIF(Import!$B:$B,$A86,Import!G:G)</f>
        <v>0</v>
      </c>
      <c r="M86" s="99">
        <f>SUMIF(Import!$B:$B,$A86,Import!H:H)</f>
        <v>0</v>
      </c>
      <c r="N86" s="99">
        <f>SUMIF(Import!$B:$B,$A86,Import!I:I)</f>
        <v>0</v>
      </c>
      <c r="O86" s="99">
        <f>SUMIF(Import!$B:$B,$A86,Import!J:J)</f>
        <v>0</v>
      </c>
      <c r="P86" s="99">
        <f t="shared" si="29"/>
        <v>0</v>
      </c>
      <c r="Q86" s="99">
        <f>SUMIF(Import!$B:$B,$A86,Import!K:K)</f>
        <v>0</v>
      </c>
      <c r="R86" s="99">
        <f>SUMIF(Import!$B:$B,$A86,Import!L:L)</f>
        <v>0</v>
      </c>
      <c r="S86" s="99">
        <f>SUMIF(Import!$B:$B,$A86,Import!M:M)</f>
        <v>0</v>
      </c>
      <c r="T86" s="99">
        <f>SUMIF(Import!$B:$B,$A86,Import!N:N)</f>
        <v>0</v>
      </c>
      <c r="U86" s="99">
        <f t="shared" si="30"/>
        <v>0</v>
      </c>
      <c r="V86" s="255" t="str">
        <f t="shared" si="31"/>
        <v>N/A</v>
      </c>
      <c r="W86" s="102" t="s">
        <v>2253</v>
      </c>
      <c r="X86" s="102"/>
      <c r="Y86" s="102">
        <f t="shared" si="40"/>
        <v>0</v>
      </c>
      <c r="Z86" s="309">
        <f>Y86*(1+VLOOKUP($F86,'GL Category'!$A:$H,4,FALSE))</f>
        <v>0</v>
      </c>
      <c r="AA86" s="615"/>
      <c r="AB86" s="622">
        <f t="shared" si="41"/>
        <v>0</v>
      </c>
      <c r="AC86" s="633">
        <f>AB86*(1+VLOOKUP($F86,'GL Category'!$A:$H,5,FALSE))</f>
        <v>0</v>
      </c>
      <c r="AE86" s="622">
        <f t="shared" si="42"/>
        <v>0</v>
      </c>
      <c r="AF86" s="633">
        <f>AE86*(1+VLOOKUP($F86,'GL Category'!$A:$H,6,FALSE))</f>
        <v>0</v>
      </c>
      <c r="AH86" s="622">
        <f t="shared" si="43"/>
        <v>0</v>
      </c>
      <c r="AI86" s="633">
        <f>AH86*(1+VLOOKUP($F86,'GL Category'!$A:$H,7,FALSE))</f>
        <v>0</v>
      </c>
      <c r="AK86" s="622">
        <f t="shared" si="44"/>
        <v>0</v>
      </c>
      <c r="AL86" s="633">
        <f>AK86*(1+VLOOKUP($F86,'GL Category'!$A:$H,8,FALSE))</f>
        <v>0</v>
      </c>
      <c r="AN86" s="622">
        <f t="shared" si="45"/>
        <v>0</v>
      </c>
    </row>
    <row r="87" spans="1:40" ht="15" customHeight="1">
      <c r="A87" s="555" t="s">
        <v>2254</v>
      </c>
      <c r="B87" s="217" t="str">
        <f t="shared" si="24"/>
        <v>100</v>
      </c>
      <c r="C87" s="217" t="str">
        <f t="shared" si="25"/>
        <v>00</v>
      </c>
      <c r="D87" s="101" t="str">
        <f t="shared" si="26"/>
        <v>000</v>
      </c>
      <c r="E87" s="217" t="str">
        <f t="shared" si="27"/>
        <v>100-00-000</v>
      </c>
      <c r="F87" s="294" t="str">
        <f t="shared" si="28"/>
        <v>47410</v>
      </c>
      <c r="G87" s="295" t="str">
        <f>VLOOKUP(F87,'GL Category'!A:C,3,FALSE)</f>
        <v>OTHER REVENUE</v>
      </c>
      <c r="H87" s="98" t="str">
        <f>VLOOKUP(F87,'GL Category'!A:C,2,FALSE)</f>
        <v>MISC REVENUE-ART PURCHASE</v>
      </c>
      <c r="I87" s="99">
        <f>SUMIF(Import!$B:$B,$A87,Import!D:D)</f>
        <v>0</v>
      </c>
      <c r="J87" s="99">
        <f>SUMIF(Import!$B:$B,$A87,Import!E:E)</f>
        <v>0</v>
      </c>
      <c r="K87" s="99">
        <f>SUMIF(Import!$B:$B,$A87,Import!F:F)</f>
        <v>0</v>
      </c>
      <c r="L87" s="99">
        <f>SUMIF(Import!$B:$B,$A87,Import!G:G)</f>
        <v>0</v>
      </c>
      <c r="M87" s="99">
        <f>SUMIF(Import!$B:$B,$A87,Import!H:H)</f>
        <v>0</v>
      </c>
      <c r="N87" s="99">
        <f>SUMIF(Import!$B:$B,$A87,Import!I:I)</f>
        <v>0</v>
      </c>
      <c r="O87" s="99">
        <f>SUMIF(Import!$B:$B,$A87,Import!J:J)</f>
        <v>0</v>
      </c>
      <c r="P87" s="99">
        <f t="shared" si="29"/>
        <v>0</v>
      </c>
      <c r="Q87" s="99">
        <f>SUMIF(Import!$B:$B,$A87,Import!K:K)</f>
        <v>0</v>
      </c>
      <c r="R87" s="99">
        <f>SUMIF(Import!$B:$B,$A87,Import!L:L)</f>
        <v>0</v>
      </c>
      <c r="S87" s="99">
        <f>SUMIF(Import!$B:$B,$A87,Import!M:M)</f>
        <v>0</v>
      </c>
      <c r="T87" s="99">
        <f>SUMIF(Import!$B:$B,$A87,Import!N:N)</f>
        <v>0</v>
      </c>
      <c r="U87" s="99">
        <f t="shared" si="30"/>
        <v>0</v>
      </c>
      <c r="V87" s="255" t="str">
        <f t="shared" si="31"/>
        <v>N/A</v>
      </c>
      <c r="W87" s="102" t="s">
        <v>2254</v>
      </c>
      <c r="X87" s="102"/>
      <c r="Y87" s="102">
        <f t="shared" si="40"/>
        <v>0</v>
      </c>
      <c r="Z87" s="309">
        <f>Y87*(1+VLOOKUP($F87,'GL Category'!$A:$H,4,FALSE))</f>
        <v>0</v>
      </c>
      <c r="AA87" s="615"/>
      <c r="AB87" s="622">
        <f t="shared" si="41"/>
        <v>0</v>
      </c>
      <c r="AC87" s="633">
        <f>AB87*(1+VLOOKUP($F87,'GL Category'!$A:$H,5,FALSE))</f>
        <v>0</v>
      </c>
      <c r="AE87" s="622">
        <f t="shared" si="42"/>
        <v>0</v>
      </c>
      <c r="AF87" s="633">
        <f>AE87*(1+VLOOKUP($F87,'GL Category'!$A:$H,6,FALSE))</f>
        <v>0</v>
      </c>
      <c r="AH87" s="622">
        <f t="shared" si="43"/>
        <v>0</v>
      </c>
      <c r="AI87" s="633">
        <f>AH87*(1+VLOOKUP($F87,'GL Category'!$A:$H,7,FALSE))</f>
        <v>0</v>
      </c>
      <c r="AK87" s="622">
        <f t="shared" si="44"/>
        <v>0</v>
      </c>
      <c r="AL87" s="633">
        <f>AK87*(1+VLOOKUP($F87,'GL Category'!$A:$H,8,FALSE))</f>
        <v>0</v>
      </c>
      <c r="AN87" s="622">
        <f t="shared" si="45"/>
        <v>0</v>
      </c>
    </row>
    <row r="88" spans="1:40" ht="15" customHeight="1">
      <c r="A88" s="555" t="s">
        <v>3384</v>
      </c>
      <c r="B88" s="217" t="str">
        <f t="shared" si="24"/>
        <v>100</v>
      </c>
      <c r="C88" s="217" t="str">
        <f t="shared" si="25"/>
        <v>00</v>
      </c>
      <c r="D88" s="101" t="str">
        <f t="shared" si="26"/>
        <v>000</v>
      </c>
      <c r="E88" s="217" t="str">
        <f t="shared" si="27"/>
        <v>100-00-000</v>
      </c>
      <c r="F88" s="294" t="str">
        <f t="shared" si="28"/>
        <v>43415</v>
      </c>
      <c r="G88" s="295" t="str">
        <f>VLOOKUP(F88,'GL Category'!A:C,3,FALSE)</f>
        <v>CHARGES FOR SERVICE</v>
      </c>
      <c r="H88" s="98" t="str">
        <f>VLOOKUP(F88,'GL Category'!A:C,2,FALSE)</f>
        <v>MEMBERSHIP FEES</v>
      </c>
      <c r="I88" s="99">
        <f>SUMIF(Import!$B:$B,$A88,Import!D:D)</f>
        <v>0</v>
      </c>
      <c r="J88" s="99">
        <f>SUMIF(Import!$B:$B,$A88,Import!E:E)</f>
        <v>0</v>
      </c>
      <c r="K88" s="99">
        <f>SUMIF(Import!$B:$B,$A88,Import!F:F)</f>
        <v>0</v>
      </c>
      <c r="L88" s="99">
        <f>SUMIF(Import!$B:$B,$A88,Import!G:G)</f>
        <v>-24991.98</v>
      </c>
      <c r="M88" s="99">
        <f>SUMIF(Import!$B:$B,$A88,Import!H:H)</f>
        <v>0</v>
      </c>
      <c r="N88" s="99">
        <f>SUMIF(Import!$B:$B,$A88,Import!I:I)</f>
        <v>-49359.94</v>
      </c>
      <c r="O88" s="99">
        <f>SUMIF(Import!$B:$B,$A88,Import!J:J)</f>
        <v>-50000</v>
      </c>
      <c r="P88" s="99">
        <f t="shared" si="29"/>
        <v>-50000</v>
      </c>
      <c r="Q88" s="99">
        <f>SUMIF(Import!$B:$B,$A88,Import!K:K)</f>
        <v>-50000</v>
      </c>
      <c r="R88" s="99">
        <f>SUMIF(Import!$B:$B,$A88,Import!L:L)</f>
        <v>0</v>
      </c>
      <c r="S88" s="99">
        <f>SUMIF(Import!$B:$B,$A88,Import!M:M)</f>
        <v>0</v>
      </c>
      <c r="T88" s="99">
        <f>SUMIF(Import!$B:$B,$A88,Import!N:N)</f>
        <v>-50000</v>
      </c>
      <c r="U88" s="99">
        <f t="shared" si="30"/>
        <v>-50000</v>
      </c>
      <c r="V88" s="255" t="str">
        <f t="shared" si="31"/>
        <v>N/A</v>
      </c>
      <c r="W88" s="102" t="s">
        <v>2255</v>
      </c>
      <c r="X88" s="102"/>
      <c r="Y88" s="102">
        <f t="shared" si="40"/>
        <v>-50000</v>
      </c>
      <c r="Z88" s="309">
        <f>Y88*(1+VLOOKUP($F88,'GL Category'!$A:$H,4,FALSE))</f>
        <v>-51500</v>
      </c>
      <c r="AA88" s="615"/>
      <c r="AB88" s="622">
        <f t="shared" si="41"/>
        <v>-51500</v>
      </c>
      <c r="AC88" s="633">
        <f>AB88*(1+VLOOKUP($F88,'GL Category'!$A:$H,5,FALSE))</f>
        <v>-53045</v>
      </c>
      <c r="AE88" s="622">
        <f t="shared" si="42"/>
        <v>-53045</v>
      </c>
      <c r="AF88" s="633">
        <f>AE88*(1+VLOOKUP($F88,'GL Category'!$A:$H,6,FALSE))</f>
        <v>-54636.35</v>
      </c>
      <c r="AH88" s="622">
        <f t="shared" si="43"/>
        <v>-54636.35</v>
      </c>
      <c r="AI88" s="633">
        <f>AH88*(1+VLOOKUP($F88,'GL Category'!$A:$H,7,FALSE))</f>
        <v>-56275.440499999997</v>
      </c>
      <c r="AK88" s="622">
        <f t="shared" si="44"/>
        <v>-56275.440499999997</v>
      </c>
      <c r="AL88" s="633">
        <f>AK88*(1+VLOOKUP($F88,'GL Category'!$A:$H,8,FALSE))</f>
        <v>-57963.703714999996</v>
      </c>
      <c r="AN88" s="622">
        <f t="shared" si="45"/>
        <v>-57963.703714999996</v>
      </c>
    </row>
    <row r="89" spans="1:40" ht="15" customHeight="1">
      <c r="A89" s="555" t="s">
        <v>2256</v>
      </c>
      <c r="B89" s="217" t="str">
        <f t="shared" si="24"/>
        <v>100</v>
      </c>
      <c r="C89" s="217" t="str">
        <f t="shared" si="25"/>
        <v>00</v>
      </c>
      <c r="D89" s="101" t="str">
        <f t="shared" si="26"/>
        <v>000</v>
      </c>
      <c r="E89" s="217" t="str">
        <f t="shared" si="27"/>
        <v>100-00-000</v>
      </c>
      <c r="F89" s="294" t="str">
        <f t="shared" si="28"/>
        <v>49120</v>
      </c>
      <c r="G89" s="295" t="str">
        <f>VLOOKUP(F89,'GL Category'!A:C,3,FALSE)</f>
        <v>TRANSFERS IN</v>
      </c>
      <c r="H89" s="98" t="str">
        <f>VLOOKUP(F89,'GL Category'!A:C,2,FALSE)</f>
        <v>TRANSFER FROM COMMUNITY CLEAN-UP</v>
      </c>
      <c r="I89" s="99">
        <f>SUMIF(Import!$B:$B,$A89,Import!D:D)</f>
        <v>0</v>
      </c>
      <c r="J89" s="99">
        <f>SUMIF(Import!$B:$B,$A89,Import!E:E)</f>
        <v>0</v>
      </c>
      <c r="K89" s="99">
        <f>SUMIF(Import!$B:$B,$A89,Import!F:F)</f>
        <v>0</v>
      </c>
      <c r="L89" s="99">
        <f>SUMIF(Import!$B:$B,$A89,Import!G:G)</f>
        <v>0</v>
      </c>
      <c r="M89" s="99">
        <f>SUMIF(Import!$B:$B,$A89,Import!H:H)</f>
        <v>0</v>
      </c>
      <c r="N89" s="99">
        <f>SUMIF(Import!$B:$B,$A89,Import!I:I)</f>
        <v>0</v>
      </c>
      <c r="O89" s="99">
        <f>SUMIF(Import!$B:$B,$A89,Import!J:J)</f>
        <v>0</v>
      </c>
      <c r="P89" s="99">
        <f t="shared" si="29"/>
        <v>0</v>
      </c>
      <c r="Q89" s="99">
        <f>SUMIF(Import!$B:$B,$A89,Import!K:K)</f>
        <v>0</v>
      </c>
      <c r="R89" s="99">
        <f>SUMIF(Import!$B:$B,$A89,Import!L:L)</f>
        <v>0</v>
      </c>
      <c r="S89" s="99">
        <f>SUMIF(Import!$B:$B,$A89,Import!M:M)</f>
        <v>0</v>
      </c>
      <c r="T89" s="99">
        <f>SUMIF(Import!$B:$B,$A89,Import!N:N)</f>
        <v>0</v>
      </c>
      <c r="U89" s="99">
        <f t="shared" si="30"/>
        <v>0</v>
      </c>
      <c r="V89" s="255" t="str">
        <f t="shared" si="31"/>
        <v>N/A</v>
      </c>
      <c r="W89" s="102" t="s">
        <v>2256</v>
      </c>
      <c r="X89" s="102"/>
      <c r="Y89" s="102">
        <f t="shared" si="40"/>
        <v>0</v>
      </c>
      <c r="Z89" s="309">
        <f>Y89*(1+VLOOKUP($F89,'GL Category'!$A:$H,4,FALSE))</f>
        <v>0</v>
      </c>
      <c r="AA89" s="615"/>
      <c r="AB89" s="622">
        <f t="shared" si="41"/>
        <v>0</v>
      </c>
      <c r="AC89" s="633">
        <f>AB89*(1+VLOOKUP($F89,'GL Category'!$A:$H,5,FALSE))</f>
        <v>0</v>
      </c>
      <c r="AE89" s="622">
        <f t="shared" si="42"/>
        <v>0</v>
      </c>
      <c r="AF89" s="633">
        <f>AE89*(1+VLOOKUP($F89,'GL Category'!$A:$H,6,FALSE))</f>
        <v>0</v>
      </c>
      <c r="AH89" s="622">
        <f t="shared" si="43"/>
        <v>0</v>
      </c>
      <c r="AI89" s="633">
        <f>AH89*(1+VLOOKUP($F89,'GL Category'!$A:$H,7,FALSE))</f>
        <v>0</v>
      </c>
      <c r="AK89" s="622">
        <f t="shared" si="44"/>
        <v>0</v>
      </c>
      <c r="AL89" s="633">
        <f>AK89*(1+VLOOKUP($F89,'GL Category'!$A:$H,8,FALSE))</f>
        <v>0</v>
      </c>
      <c r="AN89" s="622">
        <f t="shared" si="45"/>
        <v>0</v>
      </c>
    </row>
    <row r="90" spans="1:40" ht="15" customHeight="1">
      <c r="A90" s="555" t="s">
        <v>2257</v>
      </c>
      <c r="B90" s="217" t="str">
        <f t="shared" si="24"/>
        <v>100</v>
      </c>
      <c r="C90" s="217" t="str">
        <f t="shared" si="25"/>
        <v>00</v>
      </c>
      <c r="D90" s="101" t="str">
        <f t="shared" si="26"/>
        <v>000</v>
      </c>
      <c r="E90" s="217" t="str">
        <f t="shared" si="27"/>
        <v>100-00-000</v>
      </c>
      <c r="F90" s="294" t="str">
        <f t="shared" si="28"/>
        <v>49160</v>
      </c>
      <c r="G90" s="295" t="str">
        <f>VLOOKUP(F90,'GL Category'!A:C,3,FALSE)</f>
        <v>TRANSFERS IN</v>
      </c>
      <c r="H90" s="98" t="str">
        <f>VLOOKUP(F90,'GL Category'!A:C,2,FALSE)</f>
        <v>TRANSFER FROM GRANT FUND</v>
      </c>
      <c r="I90" s="99">
        <f>SUMIF(Import!$B:$B,$A90,Import!D:D)</f>
        <v>-2334.5500000000002</v>
      </c>
      <c r="J90" s="99">
        <f>SUMIF(Import!$B:$B,$A90,Import!E:E)</f>
        <v>0</v>
      </c>
      <c r="K90" s="99">
        <f>SUMIF(Import!$B:$B,$A90,Import!F:F)</f>
        <v>0</v>
      </c>
      <c r="L90" s="99">
        <f>SUMIF(Import!$B:$B,$A90,Import!G:G)</f>
        <v>0</v>
      </c>
      <c r="M90" s="99">
        <f>SUMIF(Import!$B:$B,$A90,Import!H:H)</f>
        <v>0</v>
      </c>
      <c r="N90" s="99">
        <f>SUMIF(Import!$B:$B,$A90,Import!I:I)</f>
        <v>0</v>
      </c>
      <c r="O90" s="99">
        <f>SUMIF(Import!$B:$B,$A90,Import!J:J)</f>
        <v>0</v>
      </c>
      <c r="P90" s="99">
        <f t="shared" si="29"/>
        <v>0</v>
      </c>
      <c r="Q90" s="99">
        <f>SUMIF(Import!$B:$B,$A90,Import!K:K)</f>
        <v>0</v>
      </c>
      <c r="R90" s="99">
        <f>SUMIF(Import!$B:$B,$A90,Import!L:L)</f>
        <v>0</v>
      </c>
      <c r="S90" s="99">
        <f>SUMIF(Import!$B:$B,$A90,Import!M:M)</f>
        <v>0</v>
      </c>
      <c r="T90" s="99">
        <f>SUMIF(Import!$B:$B,$A90,Import!N:N)</f>
        <v>0</v>
      </c>
      <c r="U90" s="99">
        <f t="shared" si="30"/>
        <v>0</v>
      </c>
      <c r="V90" s="255" t="str">
        <f t="shared" si="31"/>
        <v>N/A</v>
      </c>
      <c r="W90" s="102" t="s">
        <v>2257</v>
      </c>
      <c r="X90" s="102"/>
      <c r="Y90" s="102">
        <f t="shared" si="40"/>
        <v>0</v>
      </c>
      <c r="Z90" s="309">
        <f>Y90*(1+VLOOKUP($F90,'GL Category'!$A:$H,4,FALSE))</f>
        <v>0</v>
      </c>
      <c r="AA90" s="615"/>
      <c r="AB90" s="622">
        <f t="shared" si="41"/>
        <v>0</v>
      </c>
      <c r="AC90" s="633">
        <f>AB90*(1+VLOOKUP($F90,'GL Category'!$A:$H,5,FALSE))</f>
        <v>0</v>
      </c>
      <c r="AE90" s="622">
        <f t="shared" si="42"/>
        <v>0</v>
      </c>
      <c r="AF90" s="633">
        <f>AE90*(1+VLOOKUP($F90,'GL Category'!$A:$H,6,FALSE))</f>
        <v>0</v>
      </c>
      <c r="AH90" s="622">
        <f t="shared" si="43"/>
        <v>0</v>
      </c>
      <c r="AI90" s="633">
        <f>AH90*(1+VLOOKUP($F90,'GL Category'!$A:$H,7,FALSE))</f>
        <v>0</v>
      </c>
      <c r="AK90" s="622">
        <f t="shared" si="44"/>
        <v>0</v>
      </c>
      <c r="AL90" s="633">
        <f>AK90*(1+VLOOKUP($F90,'GL Category'!$A:$H,8,FALSE))</f>
        <v>0</v>
      </c>
      <c r="AN90" s="622">
        <f t="shared" si="45"/>
        <v>0</v>
      </c>
    </row>
    <row r="91" spans="1:40" ht="15" customHeight="1">
      <c r="A91" s="555" t="s">
        <v>2258</v>
      </c>
      <c r="B91" s="217" t="str">
        <f t="shared" si="24"/>
        <v>100</v>
      </c>
      <c r="C91" s="217" t="str">
        <f t="shared" si="25"/>
        <v>00</v>
      </c>
      <c r="D91" s="101" t="str">
        <f t="shared" si="26"/>
        <v>000</v>
      </c>
      <c r="E91" s="217" t="str">
        <f t="shared" si="27"/>
        <v>100-00-000</v>
      </c>
      <c r="F91" s="294" t="str">
        <f t="shared" si="28"/>
        <v>49151</v>
      </c>
      <c r="G91" s="295" t="str">
        <f>VLOOKUP(F91,'GL Category'!A:C,3,FALSE)</f>
        <v>REVENUE</v>
      </c>
      <c r="H91" s="98" t="str">
        <f>VLOOKUP(F91,'GL Category'!A:C,2,FALSE)</f>
        <v>TRANSFER FROM TC TIF#1 I&amp;S FUN</v>
      </c>
      <c r="I91" s="99">
        <f>SUMIF(Import!$B:$B,$A91,Import!D:D)</f>
        <v>0</v>
      </c>
      <c r="J91" s="99">
        <f>SUMIF(Import!$B:$B,$A91,Import!E:E)</f>
        <v>0</v>
      </c>
      <c r="K91" s="99">
        <f>SUMIF(Import!$B:$B,$A91,Import!F:F)</f>
        <v>0</v>
      </c>
      <c r="L91" s="99">
        <f>SUMIF(Import!$B:$B,$A91,Import!G:G)</f>
        <v>0</v>
      </c>
      <c r="M91" s="99">
        <f>SUMIF(Import!$B:$B,$A91,Import!H:H)</f>
        <v>0</v>
      </c>
      <c r="N91" s="99">
        <f>SUMIF(Import!$B:$B,$A91,Import!I:I)</f>
        <v>0</v>
      </c>
      <c r="O91" s="99">
        <f>SUMIF(Import!$B:$B,$A91,Import!J:J)</f>
        <v>0</v>
      </c>
      <c r="P91" s="99">
        <f t="shared" si="29"/>
        <v>0</v>
      </c>
      <c r="Q91" s="99">
        <f>SUMIF(Import!$B:$B,$A91,Import!K:K)</f>
        <v>0</v>
      </c>
      <c r="R91" s="99">
        <f>SUMIF(Import!$B:$B,$A91,Import!L:L)</f>
        <v>0</v>
      </c>
      <c r="S91" s="99">
        <f>SUMIF(Import!$B:$B,$A91,Import!M:M)</f>
        <v>0</v>
      </c>
      <c r="T91" s="99">
        <f>SUMIF(Import!$B:$B,$A91,Import!N:N)</f>
        <v>0</v>
      </c>
      <c r="U91" s="99">
        <f t="shared" si="30"/>
        <v>0</v>
      </c>
      <c r="V91" s="255" t="str">
        <f t="shared" si="31"/>
        <v>N/A</v>
      </c>
      <c r="W91" s="102" t="s">
        <v>2258</v>
      </c>
      <c r="X91" s="102"/>
      <c r="Y91" s="102">
        <f t="shared" si="40"/>
        <v>0</v>
      </c>
      <c r="Z91" s="309">
        <f>Y91*(1+VLOOKUP($F91,'GL Category'!$A:$H,4,FALSE))</f>
        <v>0</v>
      </c>
      <c r="AA91" s="615"/>
      <c r="AB91" s="622">
        <f t="shared" si="41"/>
        <v>0</v>
      </c>
      <c r="AC91" s="633">
        <f>AB91*(1+VLOOKUP($F91,'GL Category'!$A:$H,5,FALSE))</f>
        <v>0</v>
      </c>
      <c r="AE91" s="622">
        <f t="shared" si="42"/>
        <v>0</v>
      </c>
      <c r="AF91" s="633">
        <f>AE91*(1+VLOOKUP($F91,'GL Category'!$A:$H,6,FALSE))</f>
        <v>0</v>
      </c>
      <c r="AH91" s="622">
        <f t="shared" si="43"/>
        <v>0</v>
      </c>
      <c r="AI91" s="633">
        <f>AH91*(1+VLOOKUP($F91,'GL Category'!$A:$H,7,FALSE))</f>
        <v>0</v>
      </c>
      <c r="AK91" s="622">
        <f t="shared" si="44"/>
        <v>0</v>
      </c>
      <c r="AL91" s="633">
        <f>AK91*(1+VLOOKUP($F91,'GL Category'!$A:$H,8,FALSE))</f>
        <v>0</v>
      </c>
      <c r="AN91" s="622">
        <f t="shared" si="45"/>
        <v>0</v>
      </c>
    </row>
    <row r="92" spans="1:40" ht="15" customHeight="1">
      <c r="A92" s="555" t="s">
        <v>2259</v>
      </c>
      <c r="B92" s="217" t="str">
        <f t="shared" si="24"/>
        <v>100</v>
      </c>
      <c r="C92" s="217" t="str">
        <f t="shared" si="25"/>
        <v>00</v>
      </c>
      <c r="D92" s="101" t="str">
        <f t="shared" si="26"/>
        <v>000</v>
      </c>
      <c r="E92" s="217" t="str">
        <f t="shared" si="27"/>
        <v>100-00-000</v>
      </c>
      <c r="F92" s="294" t="str">
        <f t="shared" si="28"/>
        <v>49200</v>
      </c>
      <c r="G92" s="295" t="str">
        <f>VLOOKUP(F92,'GL Category'!A:C,3,FALSE)</f>
        <v>TRANSFERS IN</v>
      </c>
      <c r="H92" s="98" t="str">
        <f>VLOOKUP(F92,'GL Category'!A:C,2,FALSE)</f>
        <v>TRANSFER FROM W&amp;S FUND</v>
      </c>
      <c r="I92" s="99">
        <f>SUMIF(Import!$B:$B,$A92,Import!D:D)</f>
        <v>0</v>
      </c>
      <c r="J92" s="99">
        <f>SUMIF(Import!$B:$B,$A92,Import!E:E)</f>
        <v>0</v>
      </c>
      <c r="K92" s="99">
        <f>SUMIF(Import!$B:$B,$A92,Import!F:F)</f>
        <v>0</v>
      </c>
      <c r="L92" s="99">
        <f>SUMIF(Import!$B:$B,$A92,Import!G:G)</f>
        <v>0</v>
      </c>
      <c r="M92" s="99">
        <f>SUMIF(Import!$B:$B,$A92,Import!H:H)</f>
        <v>0</v>
      </c>
      <c r="N92" s="99">
        <f>SUMIF(Import!$B:$B,$A92,Import!I:I)</f>
        <v>0</v>
      </c>
      <c r="O92" s="99">
        <f>SUMIF(Import!$B:$B,$A92,Import!J:J)</f>
        <v>0</v>
      </c>
      <c r="P92" s="99">
        <f t="shared" si="29"/>
        <v>0</v>
      </c>
      <c r="Q92" s="99">
        <f>SUMIF(Import!$B:$B,$A92,Import!K:K)</f>
        <v>0</v>
      </c>
      <c r="R92" s="99">
        <f>SUMIF(Import!$B:$B,$A92,Import!L:L)</f>
        <v>0</v>
      </c>
      <c r="S92" s="99">
        <f>SUMIF(Import!$B:$B,$A92,Import!M:M)</f>
        <v>0</v>
      </c>
      <c r="T92" s="99">
        <f>SUMIF(Import!$B:$B,$A92,Import!N:N)</f>
        <v>0</v>
      </c>
      <c r="U92" s="99">
        <f t="shared" si="30"/>
        <v>0</v>
      </c>
      <c r="V92" s="255" t="str">
        <f t="shared" si="31"/>
        <v>N/A</v>
      </c>
      <c r="W92" s="102" t="s">
        <v>2259</v>
      </c>
      <c r="X92" s="102"/>
      <c r="Y92" s="102">
        <f t="shared" si="40"/>
        <v>0</v>
      </c>
      <c r="Z92" s="309">
        <f>Y92*(1+VLOOKUP($F92,'GL Category'!$A:$H,4,FALSE))</f>
        <v>0</v>
      </c>
      <c r="AA92" s="615"/>
      <c r="AB92" s="622">
        <f t="shared" si="41"/>
        <v>0</v>
      </c>
      <c r="AC92" s="633">
        <f>AB92*(1+VLOOKUP($F92,'GL Category'!$A:$H,5,FALSE))</f>
        <v>0</v>
      </c>
      <c r="AE92" s="622">
        <f t="shared" si="42"/>
        <v>0</v>
      </c>
      <c r="AF92" s="633">
        <f>AE92*(1+VLOOKUP($F92,'GL Category'!$A:$H,6,FALSE))</f>
        <v>0</v>
      </c>
      <c r="AH92" s="622">
        <f t="shared" si="43"/>
        <v>0</v>
      </c>
      <c r="AI92" s="633">
        <f>AH92*(1+VLOOKUP($F92,'GL Category'!$A:$H,7,FALSE))</f>
        <v>0</v>
      </c>
      <c r="AK92" s="622">
        <f t="shared" si="44"/>
        <v>0</v>
      </c>
      <c r="AL92" s="633">
        <f>AK92*(1+VLOOKUP($F92,'GL Category'!$A:$H,8,FALSE))</f>
        <v>0</v>
      </c>
      <c r="AN92" s="622">
        <f t="shared" si="45"/>
        <v>0</v>
      </c>
    </row>
    <row r="93" spans="1:40" ht="15" customHeight="1">
      <c r="A93" s="555" t="s">
        <v>2260</v>
      </c>
      <c r="B93" s="217" t="str">
        <f t="shared" si="24"/>
        <v>100</v>
      </c>
      <c r="C93" s="217" t="str">
        <f t="shared" si="25"/>
        <v>00</v>
      </c>
      <c r="D93" s="101" t="str">
        <f t="shared" si="26"/>
        <v>000</v>
      </c>
      <c r="E93" s="217" t="str">
        <f t="shared" si="27"/>
        <v>100-00-000</v>
      </c>
      <c r="F93" s="294" t="str">
        <f t="shared" si="28"/>
        <v>49400</v>
      </c>
      <c r="G93" s="295" t="str">
        <f>VLOOKUP(F93,'GL Category'!A:C,3,FALSE)</f>
        <v>TRANSFERS IN</v>
      </c>
      <c r="H93" s="98" t="str">
        <f>VLOOKUP(F93,'GL Category'!A:C,2,FALSE)</f>
        <v>TRANSFER FROM DRAINAGE FUND</v>
      </c>
      <c r="I93" s="99">
        <f>SUMIF(Import!$B:$B,$A93,Import!D:D)</f>
        <v>0</v>
      </c>
      <c r="J93" s="99">
        <f>SUMIF(Import!$B:$B,$A93,Import!E:E)</f>
        <v>0</v>
      </c>
      <c r="K93" s="99">
        <f>SUMIF(Import!$B:$B,$A93,Import!F:F)</f>
        <v>0</v>
      </c>
      <c r="L93" s="99">
        <f>SUMIF(Import!$B:$B,$A93,Import!G:G)</f>
        <v>0</v>
      </c>
      <c r="M93" s="99">
        <f>SUMIF(Import!$B:$B,$A93,Import!H:H)</f>
        <v>0</v>
      </c>
      <c r="N93" s="99">
        <f>SUMIF(Import!$B:$B,$A93,Import!I:I)</f>
        <v>0</v>
      </c>
      <c r="O93" s="99">
        <f>SUMIF(Import!$B:$B,$A93,Import!J:J)</f>
        <v>0</v>
      </c>
      <c r="P93" s="99">
        <f t="shared" si="29"/>
        <v>0</v>
      </c>
      <c r="Q93" s="99">
        <f>SUMIF(Import!$B:$B,$A93,Import!K:K)</f>
        <v>0</v>
      </c>
      <c r="R93" s="99">
        <f>SUMIF(Import!$B:$B,$A93,Import!L:L)</f>
        <v>0</v>
      </c>
      <c r="S93" s="99">
        <f>SUMIF(Import!$B:$B,$A93,Import!M:M)</f>
        <v>0</v>
      </c>
      <c r="T93" s="99">
        <f>SUMIF(Import!$B:$B,$A93,Import!N:N)</f>
        <v>0</v>
      </c>
      <c r="U93" s="99">
        <f t="shared" si="30"/>
        <v>0</v>
      </c>
      <c r="V93" s="255" t="str">
        <f t="shared" si="31"/>
        <v>N/A</v>
      </c>
      <c r="W93" s="102" t="s">
        <v>2260</v>
      </c>
      <c r="X93" s="102"/>
      <c r="Y93" s="102">
        <f t="shared" si="40"/>
        <v>0</v>
      </c>
      <c r="Z93" s="309">
        <f>Y93*(1+VLOOKUP($F93,'GL Category'!$A:$H,4,FALSE))</f>
        <v>0</v>
      </c>
      <c r="AA93" s="615"/>
      <c r="AB93" s="622">
        <f t="shared" si="41"/>
        <v>0</v>
      </c>
      <c r="AC93" s="633">
        <f>AB93*(1+VLOOKUP($F93,'GL Category'!$A:$H,5,FALSE))</f>
        <v>0</v>
      </c>
      <c r="AE93" s="622">
        <f t="shared" si="42"/>
        <v>0</v>
      </c>
      <c r="AF93" s="633">
        <f>AE93*(1+VLOOKUP($F93,'GL Category'!$A:$H,6,FALSE))</f>
        <v>0</v>
      </c>
      <c r="AH93" s="622">
        <f t="shared" si="43"/>
        <v>0</v>
      </c>
      <c r="AI93" s="633">
        <f>AH93*(1+VLOOKUP($F93,'GL Category'!$A:$H,7,FALSE))</f>
        <v>0</v>
      </c>
      <c r="AK93" s="622">
        <f t="shared" si="44"/>
        <v>0</v>
      </c>
      <c r="AL93" s="633">
        <f>AK93*(1+VLOOKUP($F93,'GL Category'!$A:$H,8,FALSE))</f>
        <v>0</v>
      </c>
      <c r="AN93" s="622">
        <f t="shared" si="45"/>
        <v>0</v>
      </c>
    </row>
    <row r="94" spans="1:40" ht="15" customHeight="1">
      <c r="A94" s="555" t="s">
        <v>2261</v>
      </c>
      <c r="B94" s="217" t="str">
        <f t="shared" si="24"/>
        <v>100</v>
      </c>
      <c r="C94" s="217" t="str">
        <f t="shared" si="25"/>
        <v>00</v>
      </c>
      <c r="D94" s="101" t="str">
        <f t="shared" si="26"/>
        <v>000</v>
      </c>
      <c r="E94" s="217" t="str">
        <f t="shared" si="27"/>
        <v>100-00-000</v>
      </c>
      <c r="F94" s="294" t="str">
        <f t="shared" si="28"/>
        <v>49999</v>
      </c>
      <c r="G94" s="295" t="str">
        <f>VLOOKUP(F94,'GL Category'!A:C,3,FALSE)</f>
        <v>TRANSFERS IN</v>
      </c>
      <c r="H94" s="98" t="str">
        <f>VLOOKUP(F94,'GL Category'!A:C,2,FALSE)</f>
        <v>USE OF FUND BALANCE</v>
      </c>
      <c r="I94" s="99">
        <f>SUMIF(Import!$B:$B,$A94,Import!D:D)</f>
        <v>-11452</v>
      </c>
      <c r="J94" s="99">
        <f>SUMIF(Import!$B:$B,$A94,Import!E:E)</f>
        <v>12033.68</v>
      </c>
      <c r="K94" s="99">
        <f>SUMIF(Import!$B:$B,$A94,Import!F:F)</f>
        <v>-1400</v>
      </c>
      <c r="L94" s="99">
        <f>SUMIF(Import!$B:$B,$A94,Import!G:G)</f>
        <v>-14312.71</v>
      </c>
      <c r="M94" s="99">
        <f>SUMIF(Import!$B:$B,$A94,Import!H:H)</f>
        <v>0</v>
      </c>
      <c r="N94" s="99">
        <f>SUMIF(Import!$B:$B,$A94,Import!I:I)</f>
        <v>0</v>
      </c>
      <c r="O94" s="99">
        <f>SUMIF(Import!$B:$B,$A94,Import!J:J)</f>
        <v>0</v>
      </c>
      <c r="P94" s="99">
        <f t="shared" si="29"/>
        <v>0</v>
      </c>
      <c r="Q94" s="99">
        <f>SUMIF(Import!$B:$B,$A94,Import!K:K)</f>
        <v>0</v>
      </c>
      <c r="R94" s="99">
        <f>SUMIF(Import!$B:$B,$A94,Import!L:L)</f>
        <v>0</v>
      </c>
      <c r="S94" s="99">
        <f>SUMIF(Import!$B:$B,$A94,Import!M:M)</f>
        <v>0</v>
      </c>
      <c r="T94" s="99">
        <f>SUMIF(Import!$B:$B,$A94,Import!N:N)</f>
        <v>0</v>
      </c>
      <c r="U94" s="99">
        <f t="shared" si="30"/>
        <v>0</v>
      </c>
      <c r="V94" s="255" t="str">
        <f t="shared" si="31"/>
        <v>N/A</v>
      </c>
      <c r="W94" s="102" t="s">
        <v>2261</v>
      </c>
      <c r="X94" s="102"/>
      <c r="Y94" s="102">
        <f t="shared" si="40"/>
        <v>0</v>
      </c>
      <c r="Z94" s="309">
        <f>Y94*(1+VLOOKUP($F94,'GL Category'!$A:$H,4,FALSE))</f>
        <v>0</v>
      </c>
      <c r="AA94" s="615"/>
      <c r="AB94" s="622">
        <f t="shared" si="41"/>
        <v>0</v>
      </c>
      <c r="AC94" s="633">
        <f>AB94*(1+VLOOKUP($F94,'GL Category'!$A:$H,5,FALSE))</f>
        <v>0</v>
      </c>
      <c r="AE94" s="622">
        <f t="shared" si="42"/>
        <v>0</v>
      </c>
      <c r="AF94" s="633">
        <f>AE94*(1+VLOOKUP($F94,'GL Category'!$A:$H,6,FALSE))</f>
        <v>0</v>
      </c>
      <c r="AH94" s="622">
        <f t="shared" si="43"/>
        <v>0</v>
      </c>
      <c r="AI94" s="633">
        <f>AH94*(1+VLOOKUP($F94,'GL Category'!$A:$H,7,FALSE))</f>
        <v>0</v>
      </c>
      <c r="AK94" s="622">
        <f t="shared" si="44"/>
        <v>0</v>
      </c>
      <c r="AL94" s="633">
        <f>AK94*(1+VLOOKUP($F94,'GL Category'!$A:$H,8,FALSE))</f>
        <v>0</v>
      </c>
      <c r="AN94" s="622">
        <f t="shared" si="45"/>
        <v>0</v>
      </c>
    </row>
    <row r="95" spans="1:40" ht="15" customHeight="1">
      <c r="A95" s="101"/>
      <c r="B95" s="101"/>
      <c r="C95" s="101"/>
      <c r="D95" s="101"/>
      <c r="E95" s="101"/>
      <c r="H95" s="98"/>
      <c r="I95" s="218"/>
      <c r="J95" s="218"/>
      <c r="K95" s="218"/>
      <c r="L95" s="218"/>
      <c r="M95" s="218"/>
      <c r="N95" s="219"/>
      <c r="O95" s="219"/>
      <c r="P95" s="99"/>
      <c r="Q95" s="219"/>
      <c r="R95" s="100"/>
      <c r="S95" s="100"/>
      <c r="T95" s="100"/>
      <c r="U95" s="99"/>
      <c r="V95" s="255"/>
      <c r="W95" s="102"/>
      <c r="X95" s="102"/>
      <c r="Y95" s="102"/>
      <c r="AA95" s="615"/>
    </row>
    <row r="96" spans="1:40" ht="15" customHeight="1">
      <c r="A96" s="101"/>
      <c r="B96" s="101"/>
      <c r="C96" s="101"/>
      <c r="D96" s="101" t="str">
        <f>IF(COUNTA(A96)=1,LEFT(A96,3)," ")</f>
        <v xml:space="preserve"> </v>
      </c>
      <c r="E96" s="101"/>
      <c r="H96" s="220" t="s">
        <v>50</v>
      </c>
      <c r="I96" s="221">
        <f>SUM(I10:I95)</f>
        <v>-39956702.379999988</v>
      </c>
      <c r="J96" s="221">
        <f t="shared" ref="J96" si="46">SUM(J10:J95)</f>
        <v>-41882935.490000002</v>
      </c>
      <c r="K96" s="221">
        <f>SUM(K10:K95)</f>
        <v>-43625700.50999999</v>
      </c>
      <c r="L96" s="221">
        <f>SUM(L10:L95)</f>
        <v>-45328756.470000006</v>
      </c>
      <c r="M96" s="221">
        <f>SUM(M10:M95)</f>
        <v>-44131048</v>
      </c>
      <c r="N96" s="221">
        <f>SUM(N10:N95)</f>
        <v>-39874929.180000007</v>
      </c>
      <c r="O96" s="221">
        <f>SUM(O10:O95)</f>
        <v>-45924157</v>
      </c>
      <c r="P96" s="221">
        <f>O96-M96</f>
        <v>-1793109</v>
      </c>
      <c r="Q96" s="221">
        <f>SUM(Q10:Q95)</f>
        <v>-45805604</v>
      </c>
      <c r="R96" s="221">
        <f>SUM(R10:R95)</f>
        <v>0</v>
      </c>
      <c r="S96" s="221">
        <f>SUM(S10:S95)</f>
        <v>0</v>
      </c>
      <c r="T96" s="221">
        <f>SUM(T10:T95)</f>
        <v>-45805604</v>
      </c>
      <c r="U96" s="99">
        <f>T96-M96</f>
        <v>-1674556</v>
      </c>
      <c r="V96" s="255">
        <f>IF(M96=0,"N/A",T96/M96-1)</f>
        <v>3.7945076672550426E-2</v>
      </c>
      <c r="W96" s="102"/>
      <c r="X96" s="221"/>
      <c r="Y96" s="221"/>
      <c r="Z96" s="221"/>
      <c r="AA96" s="221"/>
      <c r="AB96" s="221"/>
      <c r="AC96" s="221"/>
      <c r="AD96" s="221"/>
      <c r="AE96" s="221"/>
      <c r="AF96" s="221"/>
      <c r="AG96" s="221"/>
      <c r="AH96" s="221"/>
      <c r="AI96" s="221"/>
      <c r="AJ96" s="221"/>
      <c r="AK96" s="221"/>
      <c r="AL96" s="221"/>
      <c r="AM96" s="221"/>
      <c r="AN96" s="221"/>
    </row>
    <row r="97" spans="1:59" ht="15" customHeight="1">
      <c r="A97" s="101"/>
      <c r="B97" s="101"/>
      <c r="C97" s="101"/>
      <c r="D97" s="101"/>
      <c r="E97" s="101"/>
      <c r="H97" s="716"/>
      <c r="I97" s="716"/>
      <c r="J97" s="716"/>
      <c r="K97" s="716"/>
      <c r="L97" s="716"/>
      <c r="M97" s="716"/>
      <c r="N97" s="575"/>
      <c r="O97" s="575"/>
      <c r="P97" s="575"/>
      <c r="U97" s="212"/>
      <c r="V97" s="212"/>
      <c r="W97" s="102"/>
      <c r="X97" s="221">
        <f>SUM(X10:X96)</f>
        <v>0</v>
      </c>
      <c r="Y97" s="221">
        <f t="shared" ref="Y97:AN97" si="47">SUM(Y10:Y96)</f>
        <v>-25437627</v>
      </c>
      <c r="Z97" s="221">
        <f t="shared" si="47"/>
        <v>-46327255.270000018</v>
      </c>
      <c r="AA97" s="221"/>
      <c r="AB97" s="221">
        <f t="shared" si="47"/>
        <v>-46327255.270000018</v>
      </c>
      <c r="AC97" s="221">
        <f t="shared" si="47"/>
        <v>-46715042.469199993</v>
      </c>
      <c r="AD97" s="221"/>
      <c r="AE97" s="221">
        <f t="shared" si="47"/>
        <v>-46715042.469199993</v>
      </c>
      <c r="AF97" s="221">
        <f t="shared" si="47"/>
        <v>-47604774.70899798</v>
      </c>
      <c r="AG97" s="221"/>
      <c r="AH97" s="221">
        <f t="shared" si="47"/>
        <v>-47604774.70899798</v>
      </c>
      <c r="AI97" s="221">
        <f t="shared" si="47"/>
        <v>-48445226.131154492</v>
      </c>
      <c r="AJ97" s="221"/>
      <c r="AK97" s="221">
        <f t="shared" si="47"/>
        <v>-48445226.131154492</v>
      </c>
      <c r="AL97" s="221">
        <f t="shared" si="47"/>
        <v>-49737024.730829887</v>
      </c>
      <c r="AM97" s="221"/>
      <c r="AN97" s="221">
        <f t="shared" si="47"/>
        <v>-49737024.730829887</v>
      </c>
    </row>
    <row r="98" spans="1:59" ht="15" customHeight="1" thickBot="1">
      <c r="A98" s="101"/>
      <c r="B98" s="101"/>
      <c r="C98" s="101"/>
      <c r="D98" s="101"/>
      <c r="E98" s="101"/>
      <c r="H98" s="98"/>
      <c r="I98" s="218"/>
      <c r="J98" s="218"/>
      <c r="K98" s="218"/>
      <c r="L98" s="218"/>
      <c r="M98" s="218"/>
      <c r="U98" s="212"/>
      <c r="V98" s="212"/>
      <c r="W98" s="102"/>
      <c r="X98" s="102"/>
      <c r="Y98" s="102"/>
      <c r="AA98" s="615"/>
    </row>
    <row r="99" spans="1:59" s="75" customFormat="1" ht="26.25" customHeight="1" thickBot="1">
      <c r="A99" s="224"/>
      <c r="B99" s="224"/>
      <c r="C99" s="224"/>
      <c r="D99" s="101" t="str">
        <f>IF(COUNTA(A99)=1,LEFT(A99,3)," ")</f>
        <v xml:space="preserve"> </v>
      </c>
      <c r="E99" s="101"/>
      <c r="F99" s="216"/>
      <c r="G99" s="216"/>
      <c r="H99" s="665" t="s">
        <v>605</v>
      </c>
      <c r="I99" s="666"/>
      <c r="J99" s="666"/>
      <c r="K99" s="666"/>
      <c r="L99" s="666"/>
      <c r="M99" s="666"/>
      <c r="N99" s="666"/>
      <c r="O99" s="666"/>
      <c r="P99" s="666"/>
      <c r="Q99" s="666"/>
      <c r="R99" s="666"/>
      <c r="S99" s="666"/>
      <c r="T99" s="667"/>
      <c r="U99" s="247"/>
      <c r="V99" s="247"/>
      <c r="W99" s="102"/>
      <c r="X99" s="102"/>
      <c r="Y99" s="102"/>
      <c r="Z99" s="614"/>
      <c r="AA99" s="615"/>
      <c r="AB99" s="624"/>
      <c r="AC99" s="623"/>
      <c r="AD99" s="623"/>
      <c r="AE99" s="623"/>
      <c r="AF99" s="623"/>
      <c r="AG99" s="623"/>
      <c r="AH99" s="623"/>
      <c r="AI99" s="624"/>
      <c r="AJ99" s="307"/>
      <c r="AK99" s="307"/>
      <c r="AL99" s="307"/>
      <c r="AM99" s="307"/>
      <c r="AN99" s="307"/>
      <c r="AO99" s="307"/>
      <c r="AP99" s="307"/>
      <c r="AQ99" s="307"/>
      <c r="AS99" s="115"/>
      <c r="AT99" s="115"/>
      <c r="AU99" s="115"/>
      <c r="AV99" s="115"/>
      <c r="AW99" s="115"/>
      <c r="AX99" s="115"/>
      <c r="AY99" s="115"/>
      <c r="AZ99" s="115"/>
      <c r="BA99" s="115"/>
      <c r="BB99" s="115"/>
      <c r="BC99" s="115"/>
      <c r="BD99" s="115"/>
      <c r="BE99" s="74"/>
      <c r="BF99" s="74"/>
      <c r="BG99" s="74"/>
    </row>
    <row r="100" spans="1:59" s="75" customFormat="1" ht="15" customHeight="1">
      <c r="A100" s="224"/>
      <c r="B100" s="224"/>
      <c r="C100" s="224"/>
      <c r="D100" s="101" t="str">
        <f>IF(COUNTA(A100)=1,LEFT(A100,3)," ")</f>
        <v xml:space="preserve"> </v>
      </c>
      <c r="E100" s="101"/>
      <c r="F100" s="216"/>
      <c r="G100" s="216"/>
      <c r="H100" s="225"/>
      <c r="I100" s="225"/>
      <c r="J100" s="225"/>
      <c r="K100" s="225"/>
      <c r="L100" s="225"/>
      <c r="M100" s="225"/>
      <c r="N100" s="225"/>
      <c r="O100" s="225"/>
      <c r="P100" s="225"/>
      <c r="Q100" s="225"/>
      <c r="R100" s="225"/>
      <c r="S100" s="225"/>
      <c r="T100" s="225"/>
      <c r="U100" s="225"/>
      <c r="V100" s="225"/>
      <c r="W100" s="102"/>
      <c r="X100" s="102"/>
      <c r="Y100" s="102"/>
      <c r="Z100" s="614"/>
      <c r="AA100" s="615"/>
      <c r="AB100" s="624"/>
      <c r="AC100" s="625"/>
      <c r="AD100" s="625"/>
      <c r="AE100" s="625"/>
      <c r="AF100" s="625"/>
      <c r="AG100" s="625"/>
      <c r="AH100" s="623"/>
      <c r="AI100" s="624"/>
      <c r="AJ100" s="626"/>
      <c r="AK100" s="626"/>
      <c r="AL100" s="626"/>
      <c r="AM100" s="626"/>
      <c r="AN100" s="626"/>
      <c r="AO100" s="626"/>
      <c r="AP100" s="626"/>
      <c r="AQ100" s="626"/>
      <c r="AS100" s="115"/>
      <c r="AT100" s="115"/>
      <c r="AU100" s="115"/>
      <c r="AV100" s="115"/>
      <c r="AW100" s="115"/>
      <c r="AX100" s="115"/>
      <c r="AY100" s="115"/>
      <c r="AZ100" s="115"/>
      <c r="BA100" s="115"/>
      <c r="BB100" s="115"/>
      <c r="BC100" s="115"/>
      <c r="BD100" s="115"/>
      <c r="BE100" s="74"/>
      <c r="BF100" s="74"/>
      <c r="BG100" s="74"/>
    </row>
    <row r="101" spans="1:59" ht="15" customHeight="1">
      <c r="A101" s="555" t="s">
        <v>2262</v>
      </c>
      <c r="B101" s="217" t="str">
        <f t="shared" ref="B101:B110" si="48">LEFT(A101,3)</f>
        <v>100</v>
      </c>
      <c r="C101" s="217" t="str">
        <f t="shared" ref="C101:C110" si="49">MID(A101,5,2)</f>
        <v>10</v>
      </c>
      <c r="D101" s="101" t="str">
        <f t="shared" ref="D101:D110" si="50">MID(A101,8,3)</f>
        <v>101</v>
      </c>
      <c r="E101" s="217" t="str">
        <f t="shared" ref="E101:E110" si="51">LEFT(A101,10)</f>
        <v>100-10-101</v>
      </c>
      <c r="F101" s="294" t="str">
        <f t="shared" ref="F101:F110" si="52">RIGHT(A101,5)</f>
        <v>50101</v>
      </c>
      <c r="G101" s="295" t="str">
        <f>VLOOKUP(F101,'GL Category'!A:C,3,FALSE)</f>
        <v>Personnel services</v>
      </c>
      <c r="H101" s="98" t="str">
        <f>VLOOKUP(F101,'GL Category'!A:C,2,FALSE)</f>
        <v>EXEMPT SALARIES</v>
      </c>
      <c r="I101" s="99">
        <f>SUMIF(Import!$B:$B,$A101,Import!D:D)</f>
        <v>305898.3</v>
      </c>
      <c r="J101" s="99">
        <f>SUMIF(Import!$B:$B,$A101,Import!E:E)</f>
        <v>314493.93</v>
      </c>
      <c r="K101" s="99">
        <f>SUMIF(Import!$B:$B,$A101,Import!F:F)</f>
        <v>312847.21000000002</v>
      </c>
      <c r="L101" s="99">
        <f>SUMIF(Import!$B:$B,$A101,Import!G:G)</f>
        <v>337861.35</v>
      </c>
      <c r="M101" s="99">
        <f>SUMIF(Import!$B:$B,$A101,Import!H:H)</f>
        <v>350262</v>
      </c>
      <c r="N101" s="99">
        <f>SUMIF(Import!$B:$B,$A101,Import!I:I)</f>
        <v>228743.61</v>
      </c>
      <c r="O101" s="99">
        <f>SUMIF(Import!$B:$B,$A101,Import!J:J)</f>
        <v>334903</v>
      </c>
      <c r="P101" s="99">
        <f t="shared" ref="P101:P110" si="53">O101-M101</f>
        <v>-15359</v>
      </c>
      <c r="Q101" s="99">
        <f>SUMIF(Import!$B:$B,$A101,Import!K:K)</f>
        <v>338115</v>
      </c>
      <c r="R101" s="99">
        <f>SUMIF(Import!$B:$B,$A101,Import!L:L)</f>
        <v>0</v>
      </c>
      <c r="S101" s="99">
        <f>SUMIF(Import!$B:$B,$A101,Import!M:M)</f>
        <v>0</v>
      </c>
      <c r="T101" s="99">
        <f>SUMIF(Import!$B:$B,$A101,Import!N:N)</f>
        <v>338115</v>
      </c>
      <c r="U101" s="99">
        <f t="shared" ref="U101:U110" si="54">T101-M101</f>
        <v>-12147</v>
      </c>
      <c r="V101" s="255">
        <f t="shared" ref="V101:V110" si="55">IF(M101=0,"N/A",T101/M101-1)</f>
        <v>-3.4679754012710506E-2</v>
      </c>
      <c r="W101" s="102" t="s">
        <v>2262</v>
      </c>
      <c r="X101" s="102"/>
      <c r="Y101" s="102"/>
      <c r="Z101" s="309"/>
      <c r="AA101" s="615"/>
      <c r="AB101" s="622"/>
      <c r="AC101" s="633"/>
      <c r="AE101" s="622"/>
      <c r="AF101" s="633"/>
      <c r="AH101" s="622"/>
      <c r="AI101" s="633"/>
      <c r="AK101" s="622"/>
      <c r="AL101" s="633"/>
      <c r="AN101" s="622"/>
      <c r="AO101" s="300"/>
      <c r="AP101" s="300"/>
      <c r="AQ101" s="300"/>
    </row>
    <row r="102" spans="1:59" ht="15" customHeight="1">
      <c r="A102" s="555" t="s">
        <v>2263</v>
      </c>
      <c r="B102" s="217" t="str">
        <f t="shared" si="48"/>
        <v>100</v>
      </c>
      <c r="C102" s="217" t="str">
        <f t="shared" si="49"/>
        <v>10</v>
      </c>
      <c r="D102" s="101" t="str">
        <f t="shared" si="50"/>
        <v>101</v>
      </c>
      <c r="E102" s="217" t="str">
        <f t="shared" si="51"/>
        <v>100-10-101</v>
      </c>
      <c r="F102" s="294" t="str">
        <f t="shared" si="52"/>
        <v>50102</v>
      </c>
      <c r="G102" s="295" t="str">
        <f>VLOOKUP(F102,'GL Category'!A:C,3,FALSE)</f>
        <v>Personnel services</v>
      </c>
      <c r="H102" s="98" t="str">
        <f>VLOOKUP(F102,'GL Category'!A:C,2,FALSE)</f>
        <v>NON EXEMPT SALARIES</v>
      </c>
      <c r="I102" s="99">
        <f>SUMIF(Import!$B:$B,$A102,Import!D:D)</f>
        <v>75360.58</v>
      </c>
      <c r="J102" s="99">
        <f>SUMIF(Import!$B:$B,$A102,Import!E:E)</f>
        <v>42657.8</v>
      </c>
      <c r="K102" s="99">
        <f>SUMIF(Import!$B:$B,$A102,Import!F:F)</f>
        <v>44842.93</v>
      </c>
      <c r="L102" s="99">
        <f>SUMIF(Import!$B:$B,$A102,Import!G:G)</f>
        <v>46656.34</v>
      </c>
      <c r="M102" s="99">
        <f>SUMIF(Import!$B:$B,$A102,Import!H:H)</f>
        <v>48650</v>
      </c>
      <c r="N102" s="99">
        <f>SUMIF(Import!$B:$B,$A102,Import!I:I)</f>
        <v>37305.839999999997</v>
      </c>
      <c r="O102" s="99">
        <f>SUMIF(Import!$B:$B,$A102,Import!J:J)</f>
        <v>48964</v>
      </c>
      <c r="P102" s="99">
        <f t="shared" si="53"/>
        <v>314</v>
      </c>
      <c r="Q102" s="99">
        <f>SUMIF(Import!$B:$B,$A102,Import!K:K)</f>
        <v>50809</v>
      </c>
      <c r="R102" s="99">
        <f>SUMIF(Import!$B:$B,$A102,Import!L:L)</f>
        <v>0</v>
      </c>
      <c r="S102" s="99">
        <f>SUMIF(Import!$B:$B,$A102,Import!M:M)</f>
        <v>0</v>
      </c>
      <c r="T102" s="99">
        <f>SUMIF(Import!$B:$B,$A102,Import!N:N)</f>
        <v>50809</v>
      </c>
      <c r="U102" s="99">
        <f t="shared" si="54"/>
        <v>2159</v>
      </c>
      <c r="V102" s="255">
        <f t="shared" si="55"/>
        <v>4.4378211716341154E-2</v>
      </c>
      <c r="W102" s="102" t="s">
        <v>2263</v>
      </c>
      <c r="X102" s="102"/>
      <c r="Y102" s="102"/>
      <c r="Z102" s="309"/>
      <c r="AA102" s="615"/>
      <c r="AB102" s="622"/>
      <c r="AC102" s="633"/>
      <c r="AE102" s="622"/>
      <c r="AF102" s="633"/>
      <c r="AH102" s="622"/>
      <c r="AI102" s="633"/>
      <c r="AK102" s="622"/>
      <c r="AL102" s="633"/>
      <c r="AN102" s="622"/>
      <c r="AO102" s="300"/>
      <c r="AP102" s="300"/>
      <c r="AQ102" s="300"/>
    </row>
    <row r="103" spans="1:59" ht="15" customHeight="1">
      <c r="A103" s="555" t="s">
        <v>2264</v>
      </c>
      <c r="B103" s="217" t="str">
        <f t="shared" si="48"/>
        <v>100</v>
      </c>
      <c r="C103" s="217" t="str">
        <f t="shared" si="49"/>
        <v>10</v>
      </c>
      <c r="D103" s="101" t="str">
        <f t="shared" si="50"/>
        <v>101</v>
      </c>
      <c r="E103" s="217" t="str">
        <f t="shared" si="51"/>
        <v>100-10-101</v>
      </c>
      <c r="F103" s="294" t="str">
        <f t="shared" si="52"/>
        <v>50109</v>
      </c>
      <c r="G103" s="295" t="str">
        <f>VLOOKUP(F103,'GL Category'!A:C,3,FALSE)</f>
        <v>Personnel services</v>
      </c>
      <c r="H103" s="98" t="str">
        <f>VLOOKUP(F103,'GL Category'!A:C,2,FALSE)</f>
        <v>OVERTIME</v>
      </c>
      <c r="I103" s="99">
        <f>SUMIF(Import!$B:$B,$A103,Import!D:D)</f>
        <v>1172.6300000000001</v>
      </c>
      <c r="J103" s="99">
        <f>SUMIF(Import!$B:$B,$A103,Import!E:E)</f>
        <v>1297.97</v>
      </c>
      <c r="K103" s="99">
        <f>SUMIF(Import!$B:$B,$A103,Import!F:F)</f>
        <v>1730.87</v>
      </c>
      <c r="L103" s="99">
        <f>SUMIF(Import!$B:$B,$A103,Import!G:G)</f>
        <v>2129.38</v>
      </c>
      <c r="M103" s="99">
        <f>SUMIF(Import!$B:$B,$A103,Import!H:H)</f>
        <v>3500</v>
      </c>
      <c r="N103" s="99">
        <f>SUMIF(Import!$B:$B,$A103,Import!I:I)</f>
        <v>1055.25</v>
      </c>
      <c r="O103" s="99">
        <f>SUMIF(Import!$B:$B,$A103,Import!J:J)</f>
        <v>1622</v>
      </c>
      <c r="P103" s="99">
        <f t="shared" si="53"/>
        <v>-1878</v>
      </c>
      <c r="Q103" s="99">
        <f>SUMIF(Import!$B:$B,$A103,Import!K:K)</f>
        <v>3500</v>
      </c>
      <c r="R103" s="99">
        <f>SUMIF(Import!$B:$B,$A103,Import!L:L)</f>
        <v>0</v>
      </c>
      <c r="S103" s="99">
        <f>SUMIF(Import!$B:$B,$A103,Import!M:M)</f>
        <v>0</v>
      </c>
      <c r="T103" s="99">
        <f>SUMIF(Import!$B:$B,$A103,Import!N:N)</f>
        <v>3500</v>
      </c>
      <c r="U103" s="99">
        <f t="shared" si="54"/>
        <v>0</v>
      </c>
      <c r="V103" s="255">
        <f t="shared" si="55"/>
        <v>0</v>
      </c>
      <c r="W103" s="102" t="s">
        <v>2264</v>
      </c>
      <c r="X103" s="102"/>
      <c r="Y103" s="102"/>
      <c r="Z103" s="309"/>
      <c r="AA103" s="615"/>
      <c r="AB103" s="622"/>
      <c r="AC103" s="633"/>
      <c r="AE103" s="622"/>
      <c r="AF103" s="633"/>
      <c r="AH103" s="622"/>
      <c r="AI103" s="633"/>
      <c r="AK103" s="622"/>
      <c r="AL103" s="633"/>
      <c r="AN103" s="622"/>
      <c r="AO103" s="300"/>
      <c r="AP103" s="300"/>
      <c r="AQ103" s="300"/>
    </row>
    <row r="104" spans="1:59" ht="15" customHeight="1">
      <c r="A104" s="555" t="s">
        <v>2265</v>
      </c>
      <c r="B104" s="217" t="str">
        <f t="shared" si="48"/>
        <v>100</v>
      </c>
      <c r="C104" s="217" t="str">
        <f t="shared" si="49"/>
        <v>10</v>
      </c>
      <c r="D104" s="101" t="str">
        <f t="shared" si="50"/>
        <v>101</v>
      </c>
      <c r="E104" s="217" t="str">
        <f t="shared" si="51"/>
        <v>100-10-101</v>
      </c>
      <c r="F104" s="294" t="str">
        <f t="shared" si="52"/>
        <v>50110</v>
      </c>
      <c r="G104" s="295" t="str">
        <f>VLOOKUP(F104,'GL Category'!A:C,3,FALSE)</f>
        <v>Personnel services</v>
      </c>
      <c r="H104" s="98" t="str">
        <f>VLOOKUP(F104,'GL Category'!A:C,2,FALSE)</f>
        <v>PART-TIME WAGES</v>
      </c>
      <c r="I104" s="99">
        <f>SUMIF(Import!$B:$B,$A104,Import!D:D)</f>
        <v>0</v>
      </c>
      <c r="J104" s="99">
        <f>SUMIF(Import!$B:$B,$A104,Import!E:E)</f>
        <v>2671.12</v>
      </c>
      <c r="K104" s="99">
        <f>SUMIF(Import!$B:$B,$A104,Import!F:F)</f>
        <v>0</v>
      </c>
      <c r="L104" s="99">
        <f>SUMIF(Import!$B:$B,$A104,Import!G:G)</f>
        <v>0</v>
      </c>
      <c r="M104" s="99">
        <f>SUMIF(Import!$B:$B,$A104,Import!H:H)</f>
        <v>0</v>
      </c>
      <c r="N104" s="99">
        <f>SUMIF(Import!$B:$B,$A104,Import!I:I)</f>
        <v>0</v>
      </c>
      <c r="O104" s="99">
        <f>SUMIF(Import!$B:$B,$A104,Import!J:J)</f>
        <v>0</v>
      </c>
      <c r="P104" s="99">
        <f t="shared" si="53"/>
        <v>0</v>
      </c>
      <c r="Q104" s="99">
        <f>SUMIF(Import!$B:$B,$A104,Import!K:K)</f>
        <v>0</v>
      </c>
      <c r="R104" s="99">
        <f>SUMIF(Import!$B:$B,$A104,Import!L:L)</f>
        <v>0</v>
      </c>
      <c r="S104" s="99">
        <f>SUMIF(Import!$B:$B,$A104,Import!M:M)</f>
        <v>0</v>
      </c>
      <c r="T104" s="99">
        <f>SUMIF(Import!$B:$B,$A104,Import!N:N)</f>
        <v>0</v>
      </c>
      <c r="U104" s="99">
        <f t="shared" si="54"/>
        <v>0</v>
      </c>
      <c r="V104" s="255" t="str">
        <f t="shared" si="55"/>
        <v>N/A</v>
      </c>
      <c r="W104" s="102" t="s">
        <v>2265</v>
      </c>
      <c r="X104" s="102"/>
      <c r="Y104" s="102"/>
      <c r="Z104" s="309"/>
      <c r="AA104" s="615"/>
      <c r="AB104" s="622"/>
      <c r="AC104" s="633"/>
      <c r="AE104" s="622"/>
      <c r="AF104" s="633"/>
      <c r="AH104" s="622"/>
      <c r="AI104" s="633"/>
      <c r="AK104" s="622"/>
      <c r="AL104" s="633"/>
      <c r="AN104" s="622"/>
      <c r="AO104" s="300"/>
      <c r="AP104" s="300"/>
      <c r="AQ104" s="300"/>
    </row>
    <row r="105" spans="1:59" ht="15" customHeight="1">
      <c r="A105" s="555" t="s">
        <v>2266</v>
      </c>
      <c r="B105" s="217" t="str">
        <f t="shared" si="48"/>
        <v>100</v>
      </c>
      <c r="C105" s="217" t="str">
        <f t="shared" si="49"/>
        <v>10</v>
      </c>
      <c r="D105" s="101" t="str">
        <f t="shared" si="50"/>
        <v>101</v>
      </c>
      <c r="E105" s="217" t="str">
        <f t="shared" si="51"/>
        <v>100-10-101</v>
      </c>
      <c r="F105" s="294" t="str">
        <f t="shared" si="52"/>
        <v>50111</v>
      </c>
      <c r="G105" s="295" t="str">
        <f>VLOOKUP(F105,'GL Category'!A:C,3,FALSE)</f>
        <v>Personnel services</v>
      </c>
      <c r="H105" s="98" t="str">
        <f>VLOOKUP(F105,'GL Category'!A:C,2,FALSE)</f>
        <v>LONGEVITY PAY</v>
      </c>
      <c r="I105" s="99">
        <f>SUMIF(Import!$B:$B,$A105,Import!D:D)</f>
        <v>2070</v>
      </c>
      <c r="J105" s="99">
        <f>SUMIF(Import!$B:$B,$A105,Import!E:E)</f>
        <v>2350</v>
      </c>
      <c r="K105" s="99">
        <f>SUMIF(Import!$B:$B,$A105,Import!F:F)</f>
        <v>2430</v>
      </c>
      <c r="L105" s="99">
        <f>SUMIF(Import!$B:$B,$A105,Import!G:G)</f>
        <v>2130</v>
      </c>
      <c r="M105" s="99">
        <f>SUMIF(Import!$B:$B,$A105,Import!H:H)</f>
        <v>2439</v>
      </c>
      <c r="N105" s="99">
        <f>SUMIF(Import!$B:$B,$A105,Import!I:I)</f>
        <v>2450</v>
      </c>
      <c r="O105" s="99">
        <f>SUMIF(Import!$B:$B,$A105,Import!J:J)</f>
        <v>2450</v>
      </c>
      <c r="P105" s="99">
        <f t="shared" si="53"/>
        <v>11</v>
      </c>
      <c r="Q105" s="99">
        <f>SUMIF(Import!$B:$B,$A105,Import!K:K)</f>
        <v>1461</v>
      </c>
      <c r="R105" s="99">
        <f>SUMIF(Import!$B:$B,$A105,Import!L:L)</f>
        <v>0</v>
      </c>
      <c r="S105" s="99">
        <f>SUMIF(Import!$B:$B,$A105,Import!M:M)</f>
        <v>0</v>
      </c>
      <c r="T105" s="99">
        <f>SUMIF(Import!$B:$B,$A105,Import!N:N)</f>
        <v>1461</v>
      </c>
      <c r="U105" s="99">
        <f t="shared" si="54"/>
        <v>-978</v>
      </c>
      <c r="V105" s="255">
        <f t="shared" si="55"/>
        <v>-0.40098400984009841</v>
      </c>
      <c r="W105" s="102" t="s">
        <v>2266</v>
      </c>
      <c r="X105" s="102"/>
      <c r="Y105" s="102"/>
      <c r="Z105" s="309"/>
      <c r="AA105" s="615"/>
      <c r="AB105" s="622"/>
      <c r="AC105" s="633"/>
      <c r="AE105" s="622"/>
      <c r="AF105" s="633"/>
      <c r="AH105" s="622"/>
      <c r="AI105" s="633"/>
      <c r="AK105" s="622"/>
      <c r="AL105" s="633"/>
      <c r="AN105" s="622"/>
      <c r="AO105" s="92"/>
      <c r="AP105" s="92"/>
      <c r="AQ105" s="92"/>
    </row>
    <row r="106" spans="1:59" ht="15" customHeight="1">
      <c r="A106" s="555" t="s">
        <v>2267</v>
      </c>
      <c r="B106" s="217" t="str">
        <f t="shared" si="48"/>
        <v>100</v>
      </c>
      <c r="C106" s="217" t="str">
        <f t="shared" si="49"/>
        <v>10</v>
      </c>
      <c r="D106" s="101" t="str">
        <f t="shared" si="50"/>
        <v>101</v>
      </c>
      <c r="E106" s="217" t="str">
        <f t="shared" si="51"/>
        <v>100-10-101</v>
      </c>
      <c r="F106" s="294" t="str">
        <f t="shared" si="52"/>
        <v>50120</v>
      </c>
      <c r="G106" s="295" t="str">
        <f>VLOOKUP(F106,'GL Category'!A:C,3,FALSE)</f>
        <v>Personnel services</v>
      </c>
      <c r="H106" s="98" t="str">
        <f>VLOOKUP(F106,'GL Category'!A:C,2,FALSE)</f>
        <v>AUTO ALLOWANCE</v>
      </c>
      <c r="I106" s="99">
        <f>SUMIF(Import!$B:$B,$A106,Import!D:D)</f>
        <v>7200</v>
      </c>
      <c r="J106" s="99">
        <f>SUMIF(Import!$B:$B,$A106,Import!E:E)</f>
        <v>7200</v>
      </c>
      <c r="K106" s="99">
        <f>SUMIF(Import!$B:$B,$A106,Import!F:F)</f>
        <v>7200</v>
      </c>
      <c r="L106" s="99">
        <f>SUMIF(Import!$B:$B,$A106,Import!G:G)</f>
        <v>7524</v>
      </c>
      <c r="M106" s="99">
        <f>SUMIF(Import!$B:$B,$A106,Import!H:H)</f>
        <v>7200</v>
      </c>
      <c r="N106" s="99">
        <f>SUMIF(Import!$B:$B,$A106,Import!I:I)</f>
        <v>2976</v>
      </c>
      <c r="O106" s="99">
        <f>SUMIF(Import!$B:$B,$A106,Import!J:J)</f>
        <v>2976</v>
      </c>
      <c r="P106" s="99">
        <f t="shared" si="53"/>
        <v>-4224</v>
      </c>
      <c r="Q106" s="99">
        <f>SUMIF(Import!$B:$B,$A106,Import!K:K)</f>
        <v>0</v>
      </c>
      <c r="R106" s="99">
        <f>SUMIF(Import!$B:$B,$A106,Import!L:L)</f>
        <v>0</v>
      </c>
      <c r="S106" s="99">
        <f>SUMIF(Import!$B:$B,$A106,Import!M:M)</f>
        <v>0</v>
      </c>
      <c r="T106" s="99">
        <f>SUMIF(Import!$B:$B,$A106,Import!N:N)</f>
        <v>0</v>
      </c>
      <c r="U106" s="99">
        <f t="shared" si="54"/>
        <v>-7200</v>
      </c>
      <c r="V106" s="255">
        <f t="shared" si="55"/>
        <v>-1</v>
      </c>
      <c r="W106" s="102" t="s">
        <v>2267</v>
      </c>
      <c r="X106" s="102"/>
      <c r="Y106" s="102"/>
      <c r="Z106" s="309"/>
      <c r="AA106" s="615"/>
      <c r="AB106" s="622"/>
      <c r="AC106" s="633"/>
      <c r="AE106" s="622"/>
      <c r="AF106" s="633"/>
      <c r="AH106" s="622"/>
      <c r="AI106" s="633"/>
      <c r="AK106" s="622"/>
      <c r="AL106" s="633"/>
      <c r="AN106" s="622"/>
      <c r="AO106" s="300"/>
      <c r="AP106" s="300"/>
      <c r="AQ106" s="300"/>
    </row>
    <row r="107" spans="1:59" ht="15" customHeight="1">
      <c r="A107" s="555" t="s">
        <v>2268</v>
      </c>
      <c r="B107" s="217" t="str">
        <f t="shared" si="48"/>
        <v>100</v>
      </c>
      <c r="C107" s="217" t="str">
        <f t="shared" si="49"/>
        <v>10</v>
      </c>
      <c r="D107" s="101" t="str">
        <f t="shared" si="50"/>
        <v>101</v>
      </c>
      <c r="E107" s="217" t="str">
        <f t="shared" si="51"/>
        <v>100-10-101</v>
      </c>
      <c r="F107" s="294" t="str">
        <f t="shared" si="52"/>
        <v>50610</v>
      </c>
      <c r="G107" s="295" t="str">
        <f>VLOOKUP(F107,'GL Category'!A:C,3,FALSE)</f>
        <v>Personnel services</v>
      </c>
      <c r="H107" s="98" t="str">
        <f>VLOOKUP(F107,'GL Category'!A:C,2,FALSE)</f>
        <v>SOCIAL SECURITY</v>
      </c>
      <c r="I107" s="99">
        <f>SUMIF(Import!$B:$B,$A107,Import!D:D)</f>
        <v>22116.49</v>
      </c>
      <c r="J107" s="99">
        <f>SUMIF(Import!$B:$B,$A107,Import!E:E)</f>
        <v>20419.02</v>
      </c>
      <c r="K107" s="99">
        <f>SUMIF(Import!$B:$B,$A107,Import!F:F)</f>
        <v>20328.88</v>
      </c>
      <c r="L107" s="99">
        <f>SUMIF(Import!$B:$B,$A107,Import!G:G)</f>
        <v>22872.17</v>
      </c>
      <c r="M107" s="99">
        <f>SUMIF(Import!$B:$B,$A107,Import!H:H)</f>
        <v>22380</v>
      </c>
      <c r="N107" s="99">
        <f>SUMIF(Import!$B:$B,$A107,Import!I:I)</f>
        <v>16408.32</v>
      </c>
      <c r="O107" s="99">
        <f>SUMIF(Import!$B:$B,$A107,Import!J:J)</f>
        <v>22799</v>
      </c>
      <c r="P107" s="99">
        <f t="shared" si="53"/>
        <v>419</v>
      </c>
      <c r="Q107" s="99">
        <f>SUMIF(Import!$B:$B,$A107,Import!K:K)</f>
        <v>22450</v>
      </c>
      <c r="R107" s="99">
        <f>SUMIF(Import!$B:$B,$A107,Import!L:L)</f>
        <v>0</v>
      </c>
      <c r="S107" s="99">
        <f>SUMIF(Import!$B:$B,$A107,Import!M:M)</f>
        <v>0</v>
      </c>
      <c r="T107" s="99">
        <f>SUMIF(Import!$B:$B,$A107,Import!N:N)</f>
        <v>22450</v>
      </c>
      <c r="U107" s="99">
        <f t="shared" si="54"/>
        <v>70</v>
      </c>
      <c r="V107" s="255">
        <f t="shared" si="55"/>
        <v>3.127792672028562E-3</v>
      </c>
      <c r="W107" s="102" t="s">
        <v>2268</v>
      </c>
      <c r="X107" s="102"/>
      <c r="Y107" s="102"/>
      <c r="Z107" s="309"/>
      <c r="AA107" s="615"/>
      <c r="AB107" s="622"/>
      <c r="AC107" s="633"/>
      <c r="AE107" s="622"/>
      <c r="AF107" s="633"/>
      <c r="AH107" s="622"/>
      <c r="AI107" s="633"/>
      <c r="AK107" s="622"/>
      <c r="AL107" s="633"/>
      <c r="AN107" s="622"/>
      <c r="AO107" s="301"/>
      <c r="AP107" s="301"/>
      <c r="AQ107" s="301"/>
    </row>
    <row r="108" spans="1:59" ht="15" customHeight="1">
      <c r="A108" s="555" t="s">
        <v>2269</v>
      </c>
      <c r="B108" s="217" t="str">
        <f t="shared" si="48"/>
        <v>100</v>
      </c>
      <c r="C108" s="217" t="str">
        <f t="shared" si="49"/>
        <v>10</v>
      </c>
      <c r="D108" s="101" t="str">
        <f t="shared" si="50"/>
        <v>101</v>
      </c>
      <c r="E108" s="217" t="str">
        <f t="shared" si="51"/>
        <v>100-10-101</v>
      </c>
      <c r="F108" s="294" t="str">
        <f t="shared" si="52"/>
        <v>50620</v>
      </c>
      <c r="G108" s="295" t="str">
        <f>VLOOKUP(F108,'GL Category'!A:C,3,FALSE)</f>
        <v>Personnel services</v>
      </c>
      <c r="H108" s="98" t="str">
        <f>VLOOKUP(F108,'GL Category'!A:C,2,FALSE)</f>
        <v>HEALTH/LIFE INSURANCE</v>
      </c>
      <c r="I108" s="99">
        <f>SUMIF(Import!$B:$B,$A108,Import!D:D)</f>
        <v>73792.179999999993</v>
      </c>
      <c r="J108" s="99">
        <f>SUMIF(Import!$B:$B,$A108,Import!E:E)</f>
        <v>58511.13</v>
      </c>
      <c r="K108" s="99">
        <f>SUMIF(Import!$B:$B,$A108,Import!F:F)</f>
        <v>48760.87</v>
      </c>
      <c r="L108" s="99">
        <f>SUMIF(Import!$B:$B,$A108,Import!G:G)</f>
        <v>42911.25</v>
      </c>
      <c r="M108" s="99">
        <f>SUMIF(Import!$B:$B,$A108,Import!H:H)</f>
        <v>41860</v>
      </c>
      <c r="N108" s="99">
        <f>SUMIF(Import!$B:$B,$A108,Import!I:I)</f>
        <v>27819.72</v>
      </c>
      <c r="O108" s="99">
        <f>SUMIF(Import!$B:$B,$A108,Import!J:J)</f>
        <v>41797</v>
      </c>
      <c r="P108" s="99">
        <f t="shared" si="53"/>
        <v>-63</v>
      </c>
      <c r="Q108" s="99">
        <f>SUMIF(Import!$B:$B,$A108,Import!K:K)</f>
        <v>46353</v>
      </c>
      <c r="R108" s="99">
        <f>SUMIF(Import!$B:$B,$A108,Import!L:L)</f>
        <v>0</v>
      </c>
      <c r="S108" s="99">
        <f>SUMIF(Import!$B:$B,$A108,Import!M:M)</f>
        <v>0</v>
      </c>
      <c r="T108" s="99">
        <f>SUMIF(Import!$B:$B,$A108,Import!N:N)</f>
        <v>46353</v>
      </c>
      <c r="U108" s="99">
        <f t="shared" si="54"/>
        <v>4493</v>
      </c>
      <c r="V108" s="255">
        <f t="shared" si="55"/>
        <v>0.10733397037744874</v>
      </c>
      <c r="W108" s="102" t="s">
        <v>2269</v>
      </c>
      <c r="X108" s="102"/>
      <c r="Y108" s="102"/>
      <c r="Z108" s="309"/>
      <c r="AA108" s="615"/>
      <c r="AB108" s="622"/>
      <c r="AC108" s="633"/>
      <c r="AE108" s="622"/>
      <c r="AF108" s="633"/>
      <c r="AH108" s="622"/>
      <c r="AI108" s="633"/>
      <c r="AK108" s="622"/>
      <c r="AL108" s="633"/>
      <c r="AN108" s="622"/>
      <c r="AO108" s="300"/>
      <c r="AP108" s="300"/>
      <c r="AQ108" s="300"/>
    </row>
    <row r="109" spans="1:59" ht="15" customHeight="1">
      <c r="A109" s="555" t="s">
        <v>2270</v>
      </c>
      <c r="B109" s="217" t="str">
        <f t="shared" si="48"/>
        <v>100</v>
      </c>
      <c r="C109" s="217" t="str">
        <f t="shared" si="49"/>
        <v>10</v>
      </c>
      <c r="D109" s="101" t="str">
        <f t="shared" si="50"/>
        <v>101</v>
      </c>
      <c r="E109" s="217" t="str">
        <f t="shared" si="51"/>
        <v>100-10-101</v>
      </c>
      <c r="F109" s="294" t="str">
        <f t="shared" si="52"/>
        <v>50630</v>
      </c>
      <c r="G109" s="295" t="str">
        <f>VLOOKUP(F109,'GL Category'!A:C,3,FALSE)</f>
        <v>Personnel services</v>
      </c>
      <c r="H109" s="98" t="str">
        <f>VLOOKUP(F109,'GL Category'!A:C,2,FALSE)</f>
        <v>WORKER COMPENSATION</v>
      </c>
      <c r="I109" s="99">
        <f>SUMIF(Import!$B:$B,$A109,Import!D:D)</f>
        <v>261.11</v>
      </c>
      <c r="J109" s="99">
        <f>SUMIF(Import!$B:$B,$A109,Import!E:E)</f>
        <v>243.26</v>
      </c>
      <c r="K109" s="99">
        <f>SUMIF(Import!$B:$B,$A109,Import!F:F)</f>
        <v>251.14</v>
      </c>
      <c r="L109" s="99">
        <f>SUMIF(Import!$B:$B,$A109,Import!G:G)</f>
        <v>450.18</v>
      </c>
      <c r="M109" s="99">
        <f>SUMIF(Import!$B:$B,$A109,Import!H:H)</f>
        <v>592</v>
      </c>
      <c r="N109" s="99">
        <f>SUMIF(Import!$B:$B,$A109,Import!I:I)</f>
        <v>591.51</v>
      </c>
      <c r="O109" s="99">
        <f>SUMIF(Import!$B:$B,$A109,Import!J:J)</f>
        <v>592</v>
      </c>
      <c r="P109" s="99">
        <f t="shared" si="53"/>
        <v>0</v>
      </c>
      <c r="Q109" s="99">
        <f>SUMIF(Import!$B:$B,$A109,Import!K:K)</f>
        <v>544</v>
      </c>
      <c r="R109" s="99">
        <f>SUMIF(Import!$B:$B,$A109,Import!L:L)</f>
        <v>0</v>
      </c>
      <c r="S109" s="99">
        <f>SUMIF(Import!$B:$B,$A109,Import!M:M)</f>
        <v>0</v>
      </c>
      <c r="T109" s="99">
        <f>SUMIF(Import!$B:$B,$A109,Import!N:N)</f>
        <v>544</v>
      </c>
      <c r="U109" s="99">
        <f t="shared" si="54"/>
        <v>-48</v>
      </c>
      <c r="V109" s="255">
        <f t="shared" si="55"/>
        <v>-8.108108108108103E-2</v>
      </c>
      <c r="W109" s="102" t="s">
        <v>2270</v>
      </c>
      <c r="X109" s="102"/>
      <c r="Y109" s="102"/>
      <c r="Z109" s="309"/>
      <c r="AA109" s="615"/>
      <c r="AB109" s="622"/>
      <c r="AC109" s="633"/>
      <c r="AE109" s="622"/>
      <c r="AF109" s="633"/>
      <c r="AH109" s="622"/>
      <c r="AI109" s="633"/>
      <c r="AK109" s="622"/>
      <c r="AL109" s="633"/>
      <c r="AN109" s="622"/>
      <c r="AO109" s="300"/>
      <c r="AP109" s="300"/>
      <c r="AQ109" s="300"/>
    </row>
    <row r="110" spans="1:59" ht="15" customHeight="1">
      <c r="A110" s="555" t="s">
        <v>2271</v>
      </c>
      <c r="B110" s="217" t="str">
        <f t="shared" si="48"/>
        <v>100</v>
      </c>
      <c r="C110" s="217" t="str">
        <f t="shared" si="49"/>
        <v>10</v>
      </c>
      <c r="D110" s="101" t="str">
        <f t="shared" si="50"/>
        <v>101</v>
      </c>
      <c r="E110" s="217" t="str">
        <f t="shared" si="51"/>
        <v>100-10-101</v>
      </c>
      <c r="F110" s="294" t="str">
        <f t="shared" si="52"/>
        <v>50650</v>
      </c>
      <c r="G110" s="295" t="str">
        <f>VLOOKUP(F110,'GL Category'!A:C,3,FALSE)</f>
        <v>Personnel services</v>
      </c>
      <c r="H110" s="98" t="str">
        <f>VLOOKUP(F110,'GL Category'!A:C,2,FALSE)</f>
        <v>RETIREMENT</v>
      </c>
      <c r="I110" s="99">
        <f>SUMIF(Import!$B:$B,$A110,Import!D:D)</f>
        <v>65736.87</v>
      </c>
      <c r="J110" s="99">
        <f>SUMIF(Import!$B:$B,$A110,Import!E:E)</f>
        <v>63186.51</v>
      </c>
      <c r="K110" s="99">
        <f>SUMIF(Import!$B:$B,$A110,Import!F:F)</f>
        <v>63633.11</v>
      </c>
      <c r="L110" s="99">
        <f>SUMIF(Import!$B:$B,$A110,Import!G:G)</f>
        <v>68265.429999999993</v>
      </c>
      <c r="M110" s="99">
        <f>SUMIF(Import!$B:$B,$A110,Import!H:H)</f>
        <v>68525</v>
      </c>
      <c r="N110" s="99">
        <f>SUMIF(Import!$B:$B,$A110,Import!I:I)</f>
        <v>47711.16</v>
      </c>
      <c r="O110" s="99">
        <f>SUMIF(Import!$B:$B,$A110,Import!J:J)</f>
        <v>67524</v>
      </c>
      <c r="P110" s="99">
        <f t="shared" si="53"/>
        <v>-1001</v>
      </c>
      <c r="Q110" s="99">
        <f>SUMIF(Import!$B:$B,$A110,Import!K:K)</f>
        <v>66899</v>
      </c>
      <c r="R110" s="99">
        <f>SUMIF(Import!$B:$B,$A110,Import!L:L)</f>
        <v>0</v>
      </c>
      <c r="S110" s="99">
        <f>SUMIF(Import!$B:$B,$A110,Import!M:M)</f>
        <v>0</v>
      </c>
      <c r="T110" s="99">
        <f>SUMIF(Import!$B:$B,$A110,Import!N:N)</f>
        <v>66899</v>
      </c>
      <c r="U110" s="99">
        <f t="shared" si="54"/>
        <v>-1626</v>
      </c>
      <c r="V110" s="255">
        <f t="shared" si="55"/>
        <v>-2.3728566216709268E-2</v>
      </c>
      <c r="W110" s="102" t="s">
        <v>2271</v>
      </c>
      <c r="X110" s="102"/>
      <c r="Y110" s="102"/>
      <c r="Z110" s="309"/>
      <c r="AA110" s="615"/>
      <c r="AB110" s="622"/>
      <c r="AC110" s="633"/>
      <c r="AE110" s="622"/>
      <c r="AF110" s="633"/>
      <c r="AH110" s="622"/>
      <c r="AI110" s="633"/>
      <c r="AK110" s="622"/>
      <c r="AL110" s="633"/>
      <c r="AN110" s="622"/>
      <c r="AO110" s="92"/>
      <c r="AP110" s="92"/>
      <c r="AQ110" s="92"/>
    </row>
    <row r="111" spans="1:59" ht="15" customHeight="1">
      <c r="A111" s="297"/>
      <c r="B111" s="217"/>
      <c r="C111" s="217"/>
      <c r="D111" s="101"/>
      <c r="E111" s="101"/>
      <c r="F111" s="294"/>
      <c r="G111" s="295"/>
      <c r="H111" s="107" t="str">
        <f>UPPER(G110)&amp;" TOTAL"</f>
        <v>PERSONNEL SERVICES TOTAL</v>
      </c>
      <c r="I111" s="108">
        <f t="shared" ref="I111" si="56">SUBTOTAL(9,I101:I110)</f>
        <v>553608.15999999992</v>
      </c>
      <c r="J111" s="108">
        <f t="shared" ref="J111:P111" si="57">SUBTOTAL(9,J101:J110)</f>
        <v>513030.74</v>
      </c>
      <c r="K111" s="108">
        <f t="shared" ref="K111" si="58">SUBTOTAL(9,K101:K110)</f>
        <v>502025.01</v>
      </c>
      <c r="L111" s="108">
        <f t="shared" ref="L111" si="59">SUBTOTAL(9,L101:L110)</f>
        <v>530800.09999999986</v>
      </c>
      <c r="M111" s="108">
        <f t="shared" si="57"/>
        <v>545408</v>
      </c>
      <c r="N111" s="108">
        <f t="shared" ref="N111" si="60">SUBTOTAL(9,N101:N110)</f>
        <v>365061.41000000003</v>
      </c>
      <c r="O111" s="108">
        <f t="shared" si="57"/>
        <v>523627</v>
      </c>
      <c r="P111" s="108">
        <f t="shared" si="57"/>
        <v>-21781</v>
      </c>
      <c r="Q111" s="108">
        <f t="shared" ref="Q111:T111" si="61">SUBTOTAL(9,Q101:Q110)</f>
        <v>530131</v>
      </c>
      <c r="R111" s="108">
        <f t="shared" si="61"/>
        <v>0</v>
      </c>
      <c r="S111" s="108">
        <f t="shared" si="61"/>
        <v>0</v>
      </c>
      <c r="T111" s="108">
        <f t="shared" si="61"/>
        <v>530131</v>
      </c>
      <c r="U111" s="99">
        <f>T111-M111</f>
        <v>-15277</v>
      </c>
      <c r="V111" s="255">
        <f>IF(M111=0,"N/A",T111/M111-1)</f>
        <v>-2.8010223539075341E-2</v>
      </c>
      <c r="W111" s="102"/>
      <c r="X111" s="102"/>
      <c r="Y111" s="102"/>
      <c r="AA111" s="615"/>
      <c r="AC111" s="301"/>
      <c r="AD111" s="301"/>
      <c r="AE111" s="301"/>
      <c r="AF111" s="301"/>
      <c r="AG111" s="301"/>
      <c r="AJ111" s="301"/>
      <c r="AK111" s="301"/>
      <c r="AL111" s="301"/>
      <c r="AM111" s="301"/>
      <c r="AN111" s="301"/>
      <c r="AO111" s="301"/>
      <c r="AP111" s="301"/>
      <c r="AQ111" s="301"/>
    </row>
    <row r="112" spans="1:59" ht="15" customHeight="1">
      <c r="A112" s="297"/>
      <c r="B112" s="217"/>
      <c r="C112" s="217"/>
      <c r="D112" s="101"/>
      <c r="E112" s="101"/>
      <c r="F112" s="294"/>
      <c r="G112" s="295"/>
      <c r="H112" s="98"/>
      <c r="I112" s="218"/>
      <c r="J112" s="218"/>
      <c r="K112" s="218"/>
      <c r="L112" s="218"/>
      <c r="M112" s="218"/>
      <c r="N112" s="226"/>
      <c r="O112" s="226"/>
      <c r="P112" s="226"/>
      <c r="Q112" s="111"/>
      <c r="R112" s="111"/>
      <c r="S112" s="111"/>
      <c r="T112" s="111"/>
      <c r="U112" s="111"/>
      <c r="V112" s="111"/>
      <c r="W112" s="102"/>
      <c r="X112" s="102"/>
      <c r="Y112" s="102"/>
      <c r="AA112" s="615"/>
      <c r="AC112" s="300"/>
      <c r="AD112" s="300"/>
      <c r="AE112" s="300"/>
      <c r="AF112" s="300"/>
      <c r="AG112" s="300"/>
      <c r="AJ112" s="300"/>
      <c r="AK112" s="300"/>
      <c r="AL112" s="300"/>
      <c r="AM112" s="300"/>
      <c r="AN112" s="300"/>
      <c r="AO112" s="300"/>
      <c r="AP112" s="300"/>
      <c r="AQ112" s="300"/>
    </row>
    <row r="113" spans="1:43" ht="15" customHeight="1">
      <c r="A113" s="555" t="s">
        <v>2272</v>
      </c>
      <c r="B113" s="217" t="str">
        <f t="shared" ref="B113:B115" si="62">LEFT(A113,3)</f>
        <v>100</v>
      </c>
      <c r="C113" s="217" t="str">
        <f t="shared" ref="C113:C115" si="63">MID(A113,5,2)</f>
        <v>10</v>
      </c>
      <c r="D113" s="101" t="str">
        <f t="shared" ref="D113:D115" si="64">MID(A113,8,3)</f>
        <v>101</v>
      </c>
      <c r="E113" s="217" t="str">
        <f t="shared" ref="E113:E115" si="65">LEFT(A113,10)</f>
        <v>100-10-101</v>
      </c>
      <c r="F113" s="294" t="str">
        <f t="shared" ref="F113:F115" si="66">RIGHT(A113,5)</f>
        <v>51210</v>
      </c>
      <c r="G113" s="295" t="str">
        <f>VLOOKUP(F113,'GL Category'!A:C,3,FALSE)</f>
        <v>Operations &amp; maintenance</v>
      </c>
      <c r="H113" s="98" t="str">
        <f>VLOOKUP(F113,'GL Category'!A:C,2,FALSE)</f>
        <v>OFFICE SUPPLIES</v>
      </c>
      <c r="I113" s="99">
        <f>SUMIF(Import!$B:$B,$A113,Import!D:D)</f>
        <v>141.82</v>
      </c>
      <c r="J113" s="99">
        <f>SUMIF(Import!$B:$B,$A113,Import!E:E)</f>
        <v>596.39</v>
      </c>
      <c r="K113" s="99">
        <f>SUMIF(Import!$B:$B,$A113,Import!F:F)</f>
        <v>312.5</v>
      </c>
      <c r="L113" s="99">
        <f>SUMIF(Import!$B:$B,$A113,Import!G:G)</f>
        <v>93.29</v>
      </c>
      <c r="M113" s="99">
        <f>SUMIF(Import!$B:$B,$A113,Import!H:H)</f>
        <v>1000</v>
      </c>
      <c r="N113" s="99">
        <f>SUMIF(Import!$B:$B,$A113,Import!I:I)</f>
        <v>199.44</v>
      </c>
      <c r="O113" s="99">
        <f>SUMIF(Import!$B:$B,$A113,Import!J:J)</f>
        <v>100</v>
      </c>
      <c r="P113" s="99">
        <f t="shared" ref="P113:P115" si="67">O113-M113</f>
        <v>-900</v>
      </c>
      <c r="Q113" s="99">
        <f>SUMIF(Import!$B:$B,$A113,Import!K:K)</f>
        <v>1000</v>
      </c>
      <c r="R113" s="99">
        <f>SUMIF(Import!$B:$B,$A113,Import!L:L)</f>
        <v>0</v>
      </c>
      <c r="S113" s="99">
        <f>SUMIF(Import!$B:$B,$A113,Import!M:M)</f>
        <v>0</v>
      </c>
      <c r="T113" s="99">
        <f>SUMIF(Import!$B:$B,$A113,Import!N:N)</f>
        <v>1000</v>
      </c>
      <c r="U113" s="99">
        <f t="shared" ref="U113:U115" si="68">T113-M113</f>
        <v>0</v>
      </c>
      <c r="V113" s="255">
        <f t="shared" ref="V113:V115" si="69">IF(M113=0,"N/A",T113/M113-1)</f>
        <v>0</v>
      </c>
      <c r="W113" s="102" t="s">
        <v>2272</v>
      </c>
      <c r="X113" s="102"/>
      <c r="Y113" s="102"/>
      <c r="Z113" s="309"/>
      <c r="AA113" s="615"/>
      <c r="AB113" s="622"/>
      <c r="AC113" s="633"/>
      <c r="AE113" s="622"/>
      <c r="AF113" s="633"/>
      <c r="AH113" s="622"/>
      <c r="AI113" s="633"/>
      <c r="AK113" s="622"/>
      <c r="AL113" s="633"/>
      <c r="AN113" s="622"/>
      <c r="AO113" s="300"/>
      <c r="AP113" s="300"/>
      <c r="AQ113" s="300"/>
    </row>
    <row r="114" spans="1:43" ht="15" customHeight="1">
      <c r="A114" s="555" t="s">
        <v>2273</v>
      </c>
      <c r="B114" s="217" t="str">
        <f t="shared" si="62"/>
        <v>100</v>
      </c>
      <c r="C114" s="217" t="str">
        <f t="shared" si="63"/>
        <v>10</v>
      </c>
      <c r="D114" s="101" t="str">
        <f t="shared" si="64"/>
        <v>101</v>
      </c>
      <c r="E114" s="217" t="str">
        <f t="shared" si="65"/>
        <v>100-10-101</v>
      </c>
      <c r="F114" s="294" t="str">
        <f t="shared" si="66"/>
        <v>51257</v>
      </c>
      <c r="G114" s="295" t="str">
        <f>VLOOKUP(F114,'GL Category'!A:C,3,FALSE)</f>
        <v>Operations &amp; maintenance</v>
      </c>
      <c r="H114" s="98" t="str">
        <f>VLOOKUP(F114,'GL Category'!A:C,2,FALSE)</f>
        <v>MEETING SPONSORSHIP/SUPPLIES</v>
      </c>
      <c r="I114" s="99">
        <f>SUMIF(Import!$B:$B,$A114,Import!D:D)</f>
        <v>1653.95</v>
      </c>
      <c r="J114" s="99">
        <f>SUMIF(Import!$B:$B,$A114,Import!E:E)</f>
        <v>2110</v>
      </c>
      <c r="K114" s="99">
        <f>SUMIF(Import!$B:$B,$A114,Import!F:F)</f>
        <v>4938.3900000000003</v>
      </c>
      <c r="L114" s="99">
        <f>SUMIF(Import!$B:$B,$A114,Import!G:G)</f>
        <v>6399.61</v>
      </c>
      <c r="M114" s="99">
        <f>SUMIF(Import!$B:$B,$A114,Import!H:H)</f>
        <v>5200</v>
      </c>
      <c r="N114" s="99">
        <f>SUMIF(Import!$B:$B,$A114,Import!I:I)</f>
        <v>3667</v>
      </c>
      <c r="O114" s="99">
        <f>SUMIF(Import!$B:$B,$A114,Import!J:J)</f>
        <v>5200</v>
      </c>
      <c r="P114" s="99">
        <f t="shared" si="67"/>
        <v>0</v>
      </c>
      <c r="Q114" s="99">
        <f>SUMIF(Import!$B:$B,$A114,Import!K:K)</f>
        <v>5200</v>
      </c>
      <c r="R114" s="99">
        <f>SUMIF(Import!$B:$B,$A114,Import!L:L)</f>
        <v>0</v>
      </c>
      <c r="S114" s="99">
        <f>SUMIF(Import!$B:$B,$A114,Import!M:M)</f>
        <v>0</v>
      </c>
      <c r="T114" s="99">
        <f>SUMIF(Import!$B:$B,$A114,Import!N:N)</f>
        <v>5200</v>
      </c>
      <c r="U114" s="99">
        <f t="shared" si="68"/>
        <v>0</v>
      </c>
      <c r="V114" s="255">
        <f t="shared" si="69"/>
        <v>0</v>
      </c>
      <c r="W114" s="102" t="s">
        <v>2273</v>
      </c>
      <c r="X114" s="102"/>
      <c r="Y114" s="102"/>
      <c r="Z114" s="309"/>
      <c r="AA114" s="615"/>
      <c r="AB114" s="622"/>
      <c r="AC114" s="633"/>
      <c r="AE114" s="622"/>
      <c r="AF114" s="633"/>
      <c r="AH114" s="622"/>
      <c r="AI114" s="633"/>
      <c r="AK114" s="622"/>
      <c r="AL114" s="633"/>
      <c r="AN114" s="622"/>
      <c r="AO114" s="300"/>
      <c r="AP114" s="300"/>
      <c r="AQ114" s="300"/>
    </row>
    <row r="115" spans="1:43" ht="15" customHeight="1">
      <c r="A115" s="555" t="s">
        <v>2274</v>
      </c>
      <c r="B115" s="217" t="str">
        <f t="shared" si="62"/>
        <v>100</v>
      </c>
      <c r="C115" s="217" t="str">
        <f t="shared" si="63"/>
        <v>10</v>
      </c>
      <c r="D115" s="101" t="str">
        <f t="shared" si="64"/>
        <v>101</v>
      </c>
      <c r="E115" s="217" t="str">
        <f t="shared" si="65"/>
        <v>100-10-101</v>
      </c>
      <c r="F115" s="294" t="str">
        <f t="shared" si="66"/>
        <v>51285</v>
      </c>
      <c r="G115" s="295" t="str">
        <f>VLOOKUP(F115,'GL Category'!A:C,3,FALSE)</f>
        <v>Operations &amp; maintenance</v>
      </c>
      <c r="H115" s="98" t="str">
        <f>VLOOKUP(F115,'GL Category'!A:C,2,FALSE)</f>
        <v>WEARING APPAREL</v>
      </c>
      <c r="I115" s="99">
        <f>SUMIF(Import!$B:$B,$A115,Import!D:D)</f>
        <v>322.20999999999998</v>
      </c>
      <c r="J115" s="99">
        <f>SUMIF(Import!$B:$B,$A115,Import!E:E)</f>
        <v>41.53</v>
      </c>
      <c r="K115" s="99">
        <f>SUMIF(Import!$B:$B,$A115,Import!F:F)</f>
        <v>119.52</v>
      </c>
      <c r="L115" s="99">
        <f>SUMIF(Import!$B:$B,$A115,Import!G:G)</f>
        <v>77.7</v>
      </c>
      <c r="M115" s="99">
        <f>SUMIF(Import!$B:$B,$A115,Import!H:H)</f>
        <v>600</v>
      </c>
      <c r="N115" s="99">
        <f>SUMIF(Import!$B:$B,$A115,Import!I:I)</f>
        <v>86.4</v>
      </c>
      <c r="O115" s="99">
        <f>SUMIF(Import!$B:$B,$A115,Import!J:J)</f>
        <v>100</v>
      </c>
      <c r="P115" s="99">
        <f t="shared" si="67"/>
        <v>-500</v>
      </c>
      <c r="Q115" s="99">
        <f>SUMIF(Import!$B:$B,$A115,Import!K:K)</f>
        <v>600</v>
      </c>
      <c r="R115" s="99">
        <f>SUMIF(Import!$B:$B,$A115,Import!L:L)</f>
        <v>0</v>
      </c>
      <c r="S115" s="99">
        <f>SUMIF(Import!$B:$B,$A115,Import!M:M)</f>
        <v>0</v>
      </c>
      <c r="T115" s="99">
        <f>SUMIF(Import!$B:$B,$A115,Import!N:N)</f>
        <v>600</v>
      </c>
      <c r="U115" s="99">
        <f t="shared" si="68"/>
        <v>0</v>
      </c>
      <c r="V115" s="255">
        <f t="shared" si="69"/>
        <v>0</v>
      </c>
      <c r="W115" s="102" t="s">
        <v>2274</v>
      </c>
      <c r="X115" s="102"/>
      <c r="Y115" s="102"/>
      <c r="Z115" s="309"/>
      <c r="AA115" s="615"/>
      <c r="AB115" s="622"/>
      <c r="AC115" s="633"/>
      <c r="AE115" s="622"/>
      <c r="AF115" s="633"/>
      <c r="AH115" s="622"/>
      <c r="AI115" s="633"/>
      <c r="AK115" s="622"/>
      <c r="AL115" s="633"/>
      <c r="AN115" s="622"/>
      <c r="AO115" s="300"/>
      <c r="AP115" s="300"/>
      <c r="AQ115" s="300"/>
    </row>
    <row r="116" spans="1:43" ht="30.6" customHeight="1">
      <c r="A116" s="297"/>
      <c r="B116" s="217"/>
      <c r="C116" s="217"/>
      <c r="D116" s="101"/>
      <c r="E116" s="101"/>
      <c r="F116" s="294"/>
      <c r="G116" s="295"/>
      <c r="H116" s="107" t="str">
        <f>UPPER(G115)&amp;" TOTAL"</f>
        <v>OPERATIONS &amp; MAINTENANCE TOTAL</v>
      </c>
      <c r="I116" s="108">
        <f t="shared" ref="I116" si="70">SUBTOTAL(9,I113:I115)</f>
        <v>2117.98</v>
      </c>
      <c r="J116" s="108">
        <f t="shared" ref="J116:T116" si="71">SUBTOTAL(9,J113:J115)</f>
        <v>2747.92</v>
      </c>
      <c r="K116" s="108">
        <f t="shared" ref="K116" si="72">SUBTOTAL(9,K113:K115)</f>
        <v>5370.4100000000008</v>
      </c>
      <c r="L116" s="108">
        <f t="shared" ref="L116" si="73">SUBTOTAL(9,L113:L115)</f>
        <v>6570.5999999999995</v>
      </c>
      <c r="M116" s="108">
        <f t="shared" si="71"/>
        <v>6800</v>
      </c>
      <c r="N116" s="108">
        <f t="shared" ref="N116" si="74">SUBTOTAL(9,N113:N115)</f>
        <v>3952.84</v>
      </c>
      <c r="O116" s="108">
        <f t="shared" si="71"/>
        <v>5400</v>
      </c>
      <c r="P116" s="108">
        <f t="shared" si="71"/>
        <v>-1400</v>
      </c>
      <c r="Q116" s="108">
        <f t="shared" si="71"/>
        <v>6800</v>
      </c>
      <c r="R116" s="108">
        <f t="shared" si="71"/>
        <v>0</v>
      </c>
      <c r="S116" s="108">
        <f t="shared" si="71"/>
        <v>0</v>
      </c>
      <c r="T116" s="108">
        <f t="shared" si="71"/>
        <v>6800</v>
      </c>
      <c r="U116" s="99">
        <f>T116-M116</f>
        <v>0</v>
      </c>
      <c r="V116" s="255">
        <f>IF(M116=0,"N/A",T116/M116-1)</f>
        <v>0</v>
      </c>
      <c r="W116" s="102"/>
      <c r="X116" s="102"/>
      <c r="Y116" s="102"/>
      <c r="AA116" s="615"/>
      <c r="AC116" s="300"/>
      <c r="AD116" s="300"/>
      <c r="AE116" s="300"/>
      <c r="AF116" s="300"/>
      <c r="AG116" s="300"/>
      <c r="AJ116" s="300"/>
      <c r="AK116" s="300"/>
      <c r="AL116" s="300"/>
      <c r="AM116" s="300"/>
      <c r="AN116" s="300"/>
      <c r="AO116" s="300"/>
      <c r="AP116" s="300"/>
      <c r="AQ116" s="300"/>
    </row>
    <row r="117" spans="1:43" ht="15" customHeight="1">
      <c r="A117" s="297"/>
      <c r="B117" s="217"/>
      <c r="C117" s="217"/>
      <c r="D117" s="101"/>
      <c r="E117" s="101"/>
      <c r="F117" s="294"/>
      <c r="G117" s="295"/>
      <c r="H117" s="98"/>
      <c r="I117" s="99"/>
      <c r="J117" s="99"/>
      <c r="K117" s="99"/>
      <c r="L117" s="99"/>
      <c r="M117" s="99"/>
      <c r="N117" s="99"/>
      <c r="O117" s="99"/>
      <c r="P117" s="99"/>
      <c r="Q117" s="99"/>
      <c r="R117" s="99"/>
      <c r="S117" s="99"/>
      <c r="T117" s="100"/>
      <c r="U117" s="100"/>
      <c r="V117" s="100"/>
      <c r="W117" s="102"/>
      <c r="X117" s="102"/>
      <c r="Y117" s="102"/>
      <c r="AA117" s="615"/>
      <c r="AC117" s="300"/>
      <c r="AD117" s="300"/>
      <c r="AE117" s="300"/>
      <c r="AF117" s="300"/>
      <c r="AG117" s="300"/>
      <c r="AJ117" s="300"/>
      <c r="AK117" s="300"/>
      <c r="AL117" s="300"/>
      <c r="AM117" s="300"/>
      <c r="AN117" s="300"/>
      <c r="AO117" s="300"/>
      <c r="AP117" s="300"/>
      <c r="AQ117" s="300"/>
    </row>
    <row r="118" spans="1:43" ht="15" customHeight="1">
      <c r="A118" s="555" t="s">
        <v>2275</v>
      </c>
      <c r="B118" s="217" t="str">
        <f t="shared" ref="B118:B127" si="75">LEFT(A118,3)</f>
        <v>100</v>
      </c>
      <c r="C118" s="217" t="str">
        <f t="shared" ref="C118:C127" si="76">MID(A118,5,2)</f>
        <v>10</v>
      </c>
      <c r="D118" s="101" t="str">
        <f t="shared" ref="D118:D127" si="77">MID(A118,8,3)</f>
        <v>101</v>
      </c>
      <c r="E118" s="217" t="str">
        <f t="shared" ref="E118:E127" si="78">LEFT(A118,10)</f>
        <v>100-10-101</v>
      </c>
      <c r="F118" s="294" t="str">
        <f t="shared" ref="F118:F127" si="79">RIGHT(A118,5)</f>
        <v>53501</v>
      </c>
      <c r="G118" s="295" t="str">
        <f>VLOOKUP(F118,'GL Category'!A:C,3,FALSE)</f>
        <v>Services &amp; other</v>
      </c>
      <c r="H118" s="98" t="str">
        <f>VLOOKUP(F118,'GL Category'!A:C,2,FALSE)</f>
        <v>ELECTION SERVICES</v>
      </c>
      <c r="I118" s="99">
        <f>SUMIF(Import!$B:$B,$A118,Import!D:D)</f>
        <v>0</v>
      </c>
      <c r="J118" s="99">
        <f>SUMIF(Import!$B:$B,$A118,Import!E:E)</f>
        <v>0</v>
      </c>
      <c r="K118" s="99">
        <f>SUMIF(Import!$B:$B,$A118,Import!F:F)</f>
        <v>0</v>
      </c>
      <c r="L118" s="99">
        <f>SUMIF(Import!$B:$B,$A118,Import!G:G)</f>
        <v>0</v>
      </c>
      <c r="M118" s="99">
        <f>SUMIF(Import!$B:$B,$A118,Import!H:H)</f>
        <v>0</v>
      </c>
      <c r="N118" s="99">
        <f>SUMIF(Import!$B:$B,$A118,Import!I:I)</f>
        <v>0</v>
      </c>
      <c r="O118" s="99">
        <f>SUMIF(Import!$B:$B,$A118,Import!J:J)</f>
        <v>0</v>
      </c>
      <c r="P118" s="99">
        <f t="shared" ref="P118:P127" si="80">O118-M118</f>
        <v>0</v>
      </c>
      <c r="Q118" s="99">
        <f>SUMIF(Import!$B:$B,$A118,Import!K:K)</f>
        <v>0</v>
      </c>
      <c r="R118" s="99">
        <f>SUMIF(Import!$B:$B,$A118,Import!L:L)</f>
        <v>0</v>
      </c>
      <c r="S118" s="99">
        <f>SUMIF(Import!$B:$B,$A118,Import!M:M)</f>
        <v>0</v>
      </c>
      <c r="T118" s="99">
        <f>SUMIF(Import!$B:$B,$A118,Import!N:N)</f>
        <v>0</v>
      </c>
      <c r="U118" s="99">
        <f t="shared" ref="U118:U127" si="81">T118-M118</f>
        <v>0</v>
      </c>
      <c r="V118" s="255" t="str">
        <f t="shared" ref="V118:V127" si="82">IF(M118=0,"N/A",T118/M118-1)</f>
        <v>N/A</v>
      </c>
      <c r="W118" s="102" t="s">
        <v>2275</v>
      </c>
      <c r="X118" s="102"/>
      <c r="Y118" s="102"/>
      <c r="Z118" s="309"/>
      <c r="AA118" s="615"/>
      <c r="AB118" s="622"/>
      <c r="AC118" s="633"/>
      <c r="AE118" s="622"/>
      <c r="AF118" s="633"/>
      <c r="AH118" s="622"/>
      <c r="AI118" s="633"/>
      <c r="AK118" s="622"/>
      <c r="AL118" s="633"/>
      <c r="AN118" s="622"/>
      <c r="AO118" s="300"/>
      <c r="AP118" s="300"/>
      <c r="AQ118" s="300"/>
    </row>
    <row r="119" spans="1:43" ht="15" customHeight="1">
      <c r="A119" s="555" t="s">
        <v>2276</v>
      </c>
      <c r="B119" s="217" t="str">
        <f t="shared" si="75"/>
        <v>100</v>
      </c>
      <c r="C119" s="217" t="str">
        <f t="shared" si="76"/>
        <v>10</v>
      </c>
      <c r="D119" s="101" t="str">
        <f t="shared" si="77"/>
        <v>101</v>
      </c>
      <c r="E119" s="217" t="str">
        <f t="shared" si="78"/>
        <v>100-10-101</v>
      </c>
      <c r="F119" s="294" t="str">
        <f t="shared" si="79"/>
        <v>53505</v>
      </c>
      <c r="G119" s="295" t="str">
        <f>VLOOKUP(F119,'GL Category'!A:C,3,FALSE)</f>
        <v>Services &amp; other</v>
      </c>
      <c r="H119" s="98" t="str">
        <f>VLOOKUP(F119,'GL Category'!A:C,2,FALSE)</f>
        <v>PUBLIC EDUCATION SERVICES</v>
      </c>
      <c r="I119" s="99">
        <f>SUMIF(Import!$B:$B,$A119,Import!D:D)</f>
        <v>0</v>
      </c>
      <c r="J119" s="99">
        <f>SUMIF(Import!$B:$B,$A119,Import!E:E)</f>
        <v>0</v>
      </c>
      <c r="K119" s="99">
        <f>SUMIF(Import!$B:$B,$A119,Import!F:F)</f>
        <v>0</v>
      </c>
      <c r="L119" s="99">
        <f>SUMIF(Import!$B:$B,$A119,Import!G:G)</f>
        <v>0</v>
      </c>
      <c r="M119" s="99">
        <f>SUMIF(Import!$B:$B,$A119,Import!H:H)</f>
        <v>0</v>
      </c>
      <c r="N119" s="99">
        <f>SUMIF(Import!$B:$B,$A119,Import!I:I)</f>
        <v>0</v>
      </c>
      <c r="O119" s="99">
        <f>SUMIF(Import!$B:$B,$A119,Import!J:J)</f>
        <v>0</v>
      </c>
      <c r="P119" s="99">
        <f t="shared" si="80"/>
        <v>0</v>
      </c>
      <c r="Q119" s="99">
        <f>SUMIF(Import!$B:$B,$A119,Import!K:K)</f>
        <v>0</v>
      </c>
      <c r="R119" s="99">
        <f>SUMIF(Import!$B:$B,$A119,Import!L:L)</f>
        <v>0</v>
      </c>
      <c r="S119" s="99">
        <f>SUMIF(Import!$B:$B,$A119,Import!M:M)</f>
        <v>0</v>
      </c>
      <c r="T119" s="99">
        <f>SUMIF(Import!$B:$B,$A119,Import!N:N)</f>
        <v>0</v>
      </c>
      <c r="U119" s="99">
        <f t="shared" si="81"/>
        <v>0</v>
      </c>
      <c r="V119" s="255" t="str">
        <f t="shared" si="82"/>
        <v>N/A</v>
      </c>
      <c r="W119" s="102" t="s">
        <v>2276</v>
      </c>
      <c r="X119" s="102"/>
      <c r="Y119" s="102"/>
      <c r="Z119" s="309"/>
      <c r="AA119" s="615"/>
      <c r="AB119" s="622"/>
      <c r="AC119" s="633"/>
      <c r="AE119" s="622"/>
      <c r="AF119" s="633"/>
      <c r="AH119" s="622"/>
      <c r="AI119" s="633"/>
      <c r="AK119" s="622"/>
      <c r="AL119" s="633"/>
      <c r="AN119" s="622"/>
      <c r="AO119" s="300"/>
      <c r="AP119" s="300"/>
      <c r="AQ119" s="300"/>
    </row>
    <row r="120" spans="1:43" ht="15" customHeight="1">
      <c r="A120" s="555" t="s">
        <v>2277</v>
      </c>
      <c r="B120" s="217" t="str">
        <f t="shared" si="75"/>
        <v>100</v>
      </c>
      <c r="C120" s="217" t="str">
        <f t="shared" si="76"/>
        <v>10</v>
      </c>
      <c r="D120" s="101" t="str">
        <f t="shared" si="77"/>
        <v>101</v>
      </c>
      <c r="E120" s="217" t="str">
        <f t="shared" si="78"/>
        <v>100-10-101</v>
      </c>
      <c r="F120" s="294" t="str">
        <f t="shared" si="79"/>
        <v>53507</v>
      </c>
      <c r="G120" s="295" t="str">
        <f>VLOOKUP(F120,'GL Category'!A:C,3,FALSE)</f>
        <v>Services &amp; other</v>
      </c>
      <c r="H120" s="98" t="str">
        <f>VLOOKUP(F120,'GL Category'!A:C,2,FALSE)</f>
        <v>ATTORNEY &amp; LEGAL SERVICES</v>
      </c>
      <c r="I120" s="99">
        <f>SUMIF(Import!$B:$B,$A120,Import!D:D)</f>
        <v>158823.95000000001</v>
      </c>
      <c r="J120" s="99">
        <f>SUMIF(Import!$B:$B,$A120,Import!E:E)</f>
        <v>198615.71</v>
      </c>
      <c r="K120" s="99">
        <f>SUMIF(Import!$B:$B,$A120,Import!F:F)</f>
        <v>251841.44</v>
      </c>
      <c r="L120" s="99">
        <f>SUMIF(Import!$B:$B,$A120,Import!G:G)</f>
        <v>194554.28</v>
      </c>
      <c r="M120" s="99">
        <f>SUMIF(Import!$B:$B,$A120,Import!H:H)</f>
        <v>225000</v>
      </c>
      <c r="N120" s="99">
        <f>SUMIF(Import!$B:$B,$A120,Import!I:I)</f>
        <v>172994.24</v>
      </c>
      <c r="O120" s="99">
        <f>SUMIF(Import!$B:$B,$A120,Import!J:J)</f>
        <v>195000</v>
      </c>
      <c r="P120" s="99">
        <f t="shared" si="80"/>
        <v>-30000</v>
      </c>
      <c r="Q120" s="99">
        <f>SUMIF(Import!$B:$B,$A120,Import!K:K)</f>
        <v>225000</v>
      </c>
      <c r="R120" s="99">
        <f>SUMIF(Import!$B:$B,$A120,Import!L:L)</f>
        <v>0</v>
      </c>
      <c r="S120" s="99">
        <f>SUMIF(Import!$B:$B,$A120,Import!M:M)</f>
        <v>0</v>
      </c>
      <c r="T120" s="99">
        <f>SUMIF(Import!$B:$B,$A120,Import!N:N)</f>
        <v>225000</v>
      </c>
      <c r="U120" s="99">
        <f t="shared" si="81"/>
        <v>0</v>
      </c>
      <c r="V120" s="255">
        <f t="shared" si="82"/>
        <v>0</v>
      </c>
      <c r="W120" s="102" t="s">
        <v>2277</v>
      </c>
      <c r="X120" s="102"/>
      <c r="Y120" s="102"/>
      <c r="Z120" s="309"/>
      <c r="AA120" s="615"/>
      <c r="AB120" s="622"/>
      <c r="AC120" s="633"/>
      <c r="AE120" s="622"/>
      <c r="AF120" s="633"/>
      <c r="AH120" s="622"/>
      <c r="AI120" s="633"/>
      <c r="AK120" s="622"/>
      <c r="AL120" s="633"/>
      <c r="AN120" s="622"/>
      <c r="AO120" s="300"/>
      <c r="AP120" s="300"/>
      <c r="AQ120" s="300"/>
    </row>
    <row r="121" spans="1:43" ht="15" customHeight="1">
      <c r="A121" s="555" t="s">
        <v>2278</v>
      </c>
      <c r="B121" s="217" t="str">
        <f t="shared" si="75"/>
        <v>100</v>
      </c>
      <c r="C121" s="217" t="str">
        <f t="shared" si="76"/>
        <v>10</v>
      </c>
      <c r="D121" s="101" t="str">
        <f t="shared" si="77"/>
        <v>101</v>
      </c>
      <c r="E121" s="217" t="str">
        <f t="shared" si="78"/>
        <v>100-10-101</v>
      </c>
      <c r="F121" s="294" t="str">
        <f t="shared" si="79"/>
        <v>53599</v>
      </c>
      <c r="G121" s="295" t="str">
        <f>VLOOKUP(F121,'GL Category'!A:C,3,FALSE)</f>
        <v>Services &amp; other</v>
      </c>
      <c r="H121" s="98" t="str">
        <f>VLOOKUP(F121,'GL Category'!A:C,2,FALSE)</f>
        <v>MISCELLANEOUS SERVICES</v>
      </c>
      <c r="I121" s="99">
        <f>SUMIF(Import!$B:$B,$A121,Import!D:D)</f>
        <v>0</v>
      </c>
      <c r="J121" s="99">
        <f>SUMIF(Import!$B:$B,$A121,Import!E:E)</f>
        <v>0</v>
      </c>
      <c r="K121" s="99">
        <f>SUMIF(Import!$B:$B,$A121,Import!F:F)</f>
        <v>0</v>
      </c>
      <c r="L121" s="99">
        <f>SUMIF(Import!$B:$B,$A121,Import!G:G)</f>
        <v>0</v>
      </c>
      <c r="M121" s="99">
        <f>SUMIF(Import!$B:$B,$A121,Import!H:H)</f>
        <v>0</v>
      </c>
      <c r="N121" s="99">
        <f>SUMIF(Import!$B:$B,$A121,Import!I:I)</f>
        <v>0</v>
      </c>
      <c r="O121" s="99">
        <f>SUMIF(Import!$B:$B,$A121,Import!J:J)</f>
        <v>0</v>
      </c>
      <c r="P121" s="99">
        <f t="shared" si="80"/>
        <v>0</v>
      </c>
      <c r="Q121" s="99">
        <f>SUMIF(Import!$B:$B,$A121,Import!K:K)</f>
        <v>0</v>
      </c>
      <c r="R121" s="99">
        <f>SUMIF(Import!$B:$B,$A121,Import!L:L)</f>
        <v>0</v>
      </c>
      <c r="S121" s="99">
        <f>SUMIF(Import!$B:$B,$A121,Import!M:M)</f>
        <v>0</v>
      </c>
      <c r="T121" s="99">
        <f>SUMIF(Import!$B:$B,$A121,Import!N:N)</f>
        <v>0</v>
      </c>
      <c r="U121" s="99">
        <f t="shared" si="81"/>
        <v>0</v>
      </c>
      <c r="V121" s="255" t="str">
        <f t="shared" si="82"/>
        <v>N/A</v>
      </c>
      <c r="W121" s="102" t="s">
        <v>2278</v>
      </c>
      <c r="X121" s="102"/>
      <c r="Y121" s="102"/>
      <c r="Z121" s="309"/>
      <c r="AA121" s="615"/>
      <c r="AB121" s="622"/>
      <c r="AC121" s="633"/>
      <c r="AE121" s="622"/>
      <c r="AF121" s="633"/>
      <c r="AH121" s="622"/>
      <c r="AI121" s="633"/>
      <c r="AK121" s="622"/>
      <c r="AL121" s="633"/>
      <c r="AN121" s="622"/>
      <c r="AO121" s="300"/>
      <c r="AP121" s="300"/>
      <c r="AQ121" s="300"/>
    </row>
    <row r="122" spans="1:43" ht="15" customHeight="1">
      <c r="A122" s="555" t="s">
        <v>2279</v>
      </c>
      <c r="B122" s="217" t="str">
        <f t="shared" si="75"/>
        <v>100</v>
      </c>
      <c r="C122" s="217" t="str">
        <f t="shared" si="76"/>
        <v>10</v>
      </c>
      <c r="D122" s="101" t="str">
        <f t="shared" si="77"/>
        <v>101</v>
      </c>
      <c r="E122" s="217" t="str">
        <f t="shared" si="78"/>
        <v>100-10-101</v>
      </c>
      <c r="F122" s="294" t="str">
        <f t="shared" si="79"/>
        <v>53510</v>
      </c>
      <c r="G122" s="295" t="str">
        <f>VLOOKUP(F122,'GL Category'!A:C,3,FALSE)</f>
        <v>Services &amp; other</v>
      </c>
      <c r="H122" s="98" t="str">
        <f>VLOOKUP(F122,'GL Category'!A:C,2,FALSE)</f>
        <v>DUES &amp; SUBSCRIPTIONS</v>
      </c>
      <c r="I122" s="99">
        <f>SUMIF(Import!$B:$B,$A122,Import!D:D)</f>
        <v>27871.439999999999</v>
      </c>
      <c r="J122" s="99">
        <f>SUMIF(Import!$B:$B,$A122,Import!E:E)</f>
        <v>31524.400000000001</v>
      </c>
      <c r="K122" s="99">
        <f>SUMIF(Import!$B:$B,$A122,Import!F:F)</f>
        <v>22181.94</v>
      </c>
      <c r="L122" s="99">
        <f>SUMIF(Import!$B:$B,$A122,Import!G:G)</f>
        <v>26503.040000000001</v>
      </c>
      <c r="M122" s="99">
        <f>SUMIF(Import!$B:$B,$A122,Import!H:H)</f>
        <v>32175</v>
      </c>
      <c r="N122" s="99">
        <f>SUMIF(Import!$B:$B,$A122,Import!I:I)</f>
        <v>24173.09</v>
      </c>
      <c r="O122" s="99">
        <f>SUMIF(Import!$B:$B,$A122,Import!J:J)</f>
        <v>25000</v>
      </c>
      <c r="P122" s="99">
        <f t="shared" si="80"/>
        <v>-7175</v>
      </c>
      <c r="Q122" s="99">
        <f>SUMIF(Import!$B:$B,$A122,Import!K:K)</f>
        <v>32175</v>
      </c>
      <c r="R122" s="99">
        <f>SUMIF(Import!$B:$B,$A122,Import!L:L)</f>
        <v>0</v>
      </c>
      <c r="S122" s="99">
        <f>SUMIF(Import!$B:$B,$A122,Import!M:M)</f>
        <v>0</v>
      </c>
      <c r="T122" s="99">
        <f>SUMIF(Import!$B:$B,$A122,Import!N:N)</f>
        <v>32175</v>
      </c>
      <c r="U122" s="99">
        <f t="shared" si="81"/>
        <v>0</v>
      </c>
      <c r="V122" s="255">
        <f t="shared" si="82"/>
        <v>0</v>
      </c>
      <c r="W122" s="102" t="s">
        <v>2279</v>
      </c>
      <c r="X122" s="102"/>
      <c r="Y122" s="102"/>
      <c r="Z122" s="309"/>
      <c r="AA122" s="615"/>
      <c r="AB122" s="622"/>
      <c r="AC122" s="633"/>
      <c r="AE122" s="622"/>
      <c r="AF122" s="633"/>
      <c r="AH122" s="622"/>
      <c r="AI122" s="633"/>
      <c r="AK122" s="622"/>
      <c r="AL122" s="633"/>
      <c r="AN122" s="622"/>
      <c r="AO122" s="92"/>
      <c r="AP122" s="92"/>
      <c r="AQ122" s="92"/>
    </row>
    <row r="123" spans="1:43" ht="15" customHeight="1">
      <c r="A123" s="555" t="s">
        <v>2280</v>
      </c>
      <c r="B123" s="217" t="str">
        <f t="shared" si="75"/>
        <v>100</v>
      </c>
      <c r="C123" s="217" t="str">
        <f t="shared" si="76"/>
        <v>10</v>
      </c>
      <c r="D123" s="101" t="str">
        <f t="shared" si="77"/>
        <v>101</v>
      </c>
      <c r="E123" s="217" t="str">
        <f t="shared" si="78"/>
        <v>100-10-101</v>
      </c>
      <c r="F123" s="294" t="str">
        <f t="shared" si="79"/>
        <v>53515</v>
      </c>
      <c r="G123" s="295" t="str">
        <f>VLOOKUP(F123,'GL Category'!A:C,3,FALSE)</f>
        <v>Services &amp; other</v>
      </c>
      <c r="H123" s="98" t="str">
        <f>VLOOKUP(F123,'GL Category'!A:C,2,FALSE)</f>
        <v>TRAVEL, TRAINING &amp; EDUCATION</v>
      </c>
      <c r="I123" s="99">
        <f>SUMIF(Import!$B:$B,$A123,Import!D:D)</f>
        <v>3871.52</v>
      </c>
      <c r="J123" s="99">
        <f>SUMIF(Import!$B:$B,$A123,Import!E:E)</f>
        <v>83</v>
      </c>
      <c r="K123" s="99">
        <f>SUMIF(Import!$B:$B,$A123,Import!F:F)</f>
        <v>4145.07</v>
      </c>
      <c r="L123" s="99">
        <f>SUMIF(Import!$B:$B,$A123,Import!G:G)</f>
        <v>7217.48</v>
      </c>
      <c r="M123" s="99">
        <f>SUMIF(Import!$B:$B,$A123,Import!H:H)</f>
        <v>8655</v>
      </c>
      <c r="N123" s="99">
        <f>SUMIF(Import!$B:$B,$A123,Import!I:I)</f>
        <v>5203.7700000000004</v>
      </c>
      <c r="O123" s="99">
        <f>SUMIF(Import!$B:$B,$A123,Import!J:J)</f>
        <v>5000</v>
      </c>
      <c r="P123" s="99">
        <f t="shared" si="80"/>
        <v>-3655</v>
      </c>
      <c r="Q123" s="99">
        <f>SUMIF(Import!$B:$B,$A123,Import!K:K)</f>
        <v>8655</v>
      </c>
      <c r="R123" s="99">
        <f>SUMIF(Import!$B:$B,$A123,Import!L:L)</f>
        <v>0</v>
      </c>
      <c r="S123" s="99">
        <f>SUMIF(Import!$B:$B,$A123,Import!M:M)</f>
        <v>0</v>
      </c>
      <c r="T123" s="99">
        <f>SUMIF(Import!$B:$B,$A123,Import!N:N)</f>
        <v>8655</v>
      </c>
      <c r="U123" s="99">
        <f t="shared" si="81"/>
        <v>0</v>
      </c>
      <c r="V123" s="255">
        <f t="shared" si="82"/>
        <v>0</v>
      </c>
      <c r="W123" s="102" t="s">
        <v>2280</v>
      </c>
      <c r="X123" s="102"/>
      <c r="Y123" s="102"/>
      <c r="Z123" s="309"/>
      <c r="AA123" s="615"/>
      <c r="AB123" s="622"/>
      <c r="AC123" s="633"/>
      <c r="AE123" s="622"/>
      <c r="AF123" s="633"/>
      <c r="AH123" s="622"/>
      <c r="AI123" s="633"/>
      <c r="AK123" s="622"/>
      <c r="AL123" s="633"/>
      <c r="AN123" s="622"/>
      <c r="AO123" s="301"/>
      <c r="AP123" s="301"/>
      <c r="AQ123" s="301"/>
    </row>
    <row r="124" spans="1:43" ht="15" customHeight="1">
      <c r="A124" s="555" t="s">
        <v>2281</v>
      </c>
      <c r="B124" s="217" t="str">
        <f t="shared" si="75"/>
        <v>100</v>
      </c>
      <c r="C124" s="217" t="str">
        <f t="shared" si="76"/>
        <v>10</v>
      </c>
      <c r="D124" s="101" t="str">
        <f t="shared" si="77"/>
        <v>101</v>
      </c>
      <c r="E124" s="217" t="str">
        <f t="shared" si="78"/>
        <v>100-10-101</v>
      </c>
      <c r="F124" s="294" t="str">
        <f t="shared" si="79"/>
        <v>53513</v>
      </c>
      <c r="G124" s="295" t="str">
        <f>VLOOKUP(F124,'GL Category'!A:C,3,FALSE)</f>
        <v>Services &amp; other</v>
      </c>
      <c r="H124" s="98" t="str">
        <f>VLOOKUP(F124,'GL Category'!A:C,2,FALSE)</f>
        <v>CONSULTING SERVICES</v>
      </c>
      <c r="I124" s="99">
        <f>SUMIF(Import!$B:$B,$A124,Import!D:D)</f>
        <v>0</v>
      </c>
      <c r="J124" s="99">
        <f>SUMIF(Import!$B:$B,$A124,Import!E:E)</f>
        <v>0</v>
      </c>
      <c r="K124" s="99">
        <f>SUMIF(Import!$B:$B,$A124,Import!F:F)</f>
        <v>0</v>
      </c>
      <c r="L124" s="99">
        <f>SUMIF(Import!$B:$B,$A124,Import!G:G)</f>
        <v>0</v>
      </c>
      <c r="M124" s="99">
        <f>SUMIF(Import!$B:$B,$A124,Import!H:H)</f>
        <v>0</v>
      </c>
      <c r="N124" s="99">
        <f>SUMIF(Import!$B:$B,$A124,Import!I:I)</f>
        <v>0</v>
      </c>
      <c r="O124" s="99">
        <f>SUMIF(Import!$B:$B,$A124,Import!J:J)</f>
        <v>0</v>
      </c>
      <c r="P124" s="99">
        <f t="shared" si="80"/>
        <v>0</v>
      </c>
      <c r="Q124" s="99">
        <f>SUMIF(Import!$B:$B,$A124,Import!K:K)</f>
        <v>0</v>
      </c>
      <c r="R124" s="99">
        <f>SUMIF(Import!$B:$B,$A124,Import!L:L)</f>
        <v>0</v>
      </c>
      <c r="S124" s="99">
        <f>SUMIF(Import!$B:$B,$A124,Import!M:M)</f>
        <v>0</v>
      </c>
      <c r="T124" s="99">
        <f>SUMIF(Import!$B:$B,$A124,Import!N:N)</f>
        <v>0</v>
      </c>
      <c r="U124" s="99">
        <f t="shared" si="81"/>
        <v>0</v>
      </c>
      <c r="V124" s="255" t="str">
        <f t="shared" si="82"/>
        <v>N/A</v>
      </c>
      <c r="W124" s="102" t="s">
        <v>2281</v>
      </c>
      <c r="X124" s="102"/>
      <c r="Y124" s="102"/>
      <c r="Z124" s="309"/>
      <c r="AA124" s="615"/>
      <c r="AB124" s="622"/>
      <c r="AC124" s="633"/>
      <c r="AE124" s="622"/>
      <c r="AF124" s="633"/>
      <c r="AH124" s="622"/>
      <c r="AI124" s="633"/>
      <c r="AK124" s="622"/>
      <c r="AL124" s="633"/>
      <c r="AN124" s="622"/>
      <c r="AO124" s="300"/>
      <c r="AP124" s="300"/>
      <c r="AQ124" s="300"/>
    </row>
    <row r="125" spans="1:43" ht="15" customHeight="1">
      <c r="A125" s="555" t="s">
        <v>2282</v>
      </c>
      <c r="B125" s="217" t="str">
        <f t="shared" si="75"/>
        <v>100</v>
      </c>
      <c r="C125" s="217" t="str">
        <f t="shared" si="76"/>
        <v>10</v>
      </c>
      <c r="D125" s="101" t="str">
        <f t="shared" si="77"/>
        <v>101</v>
      </c>
      <c r="E125" s="217" t="str">
        <f t="shared" si="78"/>
        <v>100-10-101</v>
      </c>
      <c r="F125" s="294" t="str">
        <f t="shared" si="79"/>
        <v>53522</v>
      </c>
      <c r="G125" s="295" t="str">
        <f>VLOOKUP(F125,'GL Category'!A:C,3,FALSE)</f>
        <v>Services &amp; other</v>
      </c>
      <c r="H125" s="98" t="str">
        <f>VLOOKUP(F125,'GL Category'!A:C,2,FALSE)</f>
        <v>ADVERTISING &amp; RECORDING</v>
      </c>
      <c r="I125" s="99">
        <f>SUMIF(Import!$B:$B,$A125,Import!D:D)</f>
        <v>0</v>
      </c>
      <c r="J125" s="99">
        <f>SUMIF(Import!$B:$B,$A125,Import!E:E)</f>
        <v>0</v>
      </c>
      <c r="K125" s="99">
        <f>SUMIF(Import!$B:$B,$A125,Import!F:F)</f>
        <v>0</v>
      </c>
      <c r="L125" s="99">
        <f>SUMIF(Import!$B:$B,$A125,Import!G:G)</f>
        <v>0</v>
      </c>
      <c r="M125" s="99">
        <f>SUMIF(Import!$B:$B,$A125,Import!H:H)</f>
        <v>0</v>
      </c>
      <c r="N125" s="99">
        <f>SUMIF(Import!$B:$B,$A125,Import!I:I)</f>
        <v>0</v>
      </c>
      <c r="O125" s="99">
        <f>SUMIF(Import!$B:$B,$A125,Import!J:J)</f>
        <v>0</v>
      </c>
      <c r="P125" s="99">
        <f t="shared" si="80"/>
        <v>0</v>
      </c>
      <c r="Q125" s="99">
        <f>SUMIF(Import!$B:$B,$A125,Import!K:K)</f>
        <v>0</v>
      </c>
      <c r="R125" s="99">
        <f>SUMIF(Import!$B:$B,$A125,Import!L:L)</f>
        <v>0</v>
      </c>
      <c r="S125" s="99">
        <f>SUMIF(Import!$B:$B,$A125,Import!M:M)</f>
        <v>0</v>
      </c>
      <c r="T125" s="99">
        <f>SUMIF(Import!$B:$B,$A125,Import!N:N)</f>
        <v>0</v>
      </c>
      <c r="U125" s="99">
        <f t="shared" si="81"/>
        <v>0</v>
      </c>
      <c r="V125" s="255" t="str">
        <f t="shared" si="82"/>
        <v>N/A</v>
      </c>
      <c r="W125" s="102" t="s">
        <v>2282</v>
      </c>
      <c r="X125" s="102"/>
      <c r="Y125" s="102"/>
      <c r="Z125" s="309"/>
      <c r="AA125" s="615"/>
      <c r="AB125" s="622"/>
      <c r="AC125" s="633"/>
      <c r="AE125" s="622"/>
      <c r="AF125" s="633"/>
      <c r="AH125" s="622"/>
      <c r="AI125" s="633"/>
      <c r="AK125" s="622"/>
      <c r="AL125" s="633"/>
      <c r="AN125" s="622"/>
      <c r="AO125" s="301"/>
      <c r="AP125" s="301"/>
      <c r="AQ125" s="301"/>
    </row>
    <row r="126" spans="1:43" ht="15" customHeight="1">
      <c r="A126" s="555" t="s">
        <v>2283</v>
      </c>
      <c r="B126" s="217" t="str">
        <f t="shared" si="75"/>
        <v>100</v>
      </c>
      <c r="C126" s="217" t="str">
        <f t="shared" si="76"/>
        <v>10</v>
      </c>
      <c r="D126" s="101" t="str">
        <f t="shared" si="77"/>
        <v>101</v>
      </c>
      <c r="E126" s="217" t="str">
        <f t="shared" si="78"/>
        <v>100-10-101</v>
      </c>
      <c r="F126" s="294" t="str">
        <f t="shared" si="79"/>
        <v>53534</v>
      </c>
      <c r="G126" s="295" t="str">
        <f>VLOOKUP(F126,'GL Category'!A:C,3,FALSE)</f>
        <v>Services &amp; other</v>
      </c>
      <c r="H126" s="98" t="str">
        <f>VLOOKUP(F126,'GL Category'!A:C,2,FALSE)</f>
        <v>MARKETING &amp; PROMOTIONAL</v>
      </c>
      <c r="I126" s="99">
        <f>SUMIF(Import!$B:$B,$A126,Import!D:D)</f>
        <v>0</v>
      </c>
      <c r="J126" s="99">
        <f>SUMIF(Import!$B:$B,$A126,Import!E:E)</f>
        <v>0</v>
      </c>
      <c r="K126" s="99">
        <f>SUMIF(Import!$B:$B,$A126,Import!F:F)</f>
        <v>0</v>
      </c>
      <c r="L126" s="99">
        <f>SUMIF(Import!$B:$B,$A126,Import!G:G)</f>
        <v>0</v>
      </c>
      <c r="M126" s="99">
        <f>SUMIF(Import!$B:$B,$A126,Import!H:H)</f>
        <v>0</v>
      </c>
      <c r="N126" s="99">
        <f>SUMIF(Import!$B:$B,$A126,Import!I:I)</f>
        <v>0</v>
      </c>
      <c r="O126" s="99">
        <f>SUMIF(Import!$B:$B,$A126,Import!J:J)</f>
        <v>0</v>
      </c>
      <c r="P126" s="99">
        <f t="shared" si="80"/>
        <v>0</v>
      </c>
      <c r="Q126" s="99">
        <f>SUMIF(Import!$B:$B,$A126,Import!K:K)</f>
        <v>0</v>
      </c>
      <c r="R126" s="99">
        <f>SUMIF(Import!$B:$B,$A126,Import!L:L)</f>
        <v>0</v>
      </c>
      <c r="S126" s="99">
        <f>SUMIF(Import!$B:$B,$A126,Import!M:M)</f>
        <v>0</v>
      </c>
      <c r="T126" s="99">
        <f>SUMIF(Import!$B:$B,$A126,Import!N:N)</f>
        <v>0</v>
      </c>
      <c r="U126" s="99">
        <f t="shared" si="81"/>
        <v>0</v>
      </c>
      <c r="V126" s="255" t="str">
        <f t="shared" si="82"/>
        <v>N/A</v>
      </c>
      <c r="W126" s="102" t="s">
        <v>2283</v>
      </c>
      <c r="X126" s="102"/>
      <c r="Y126" s="102"/>
      <c r="Z126" s="309"/>
      <c r="AA126" s="615"/>
      <c r="AB126" s="622"/>
      <c r="AC126" s="633"/>
      <c r="AE126" s="622"/>
      <c r="AF126" s="633"/>
      <c r="AH126" s="622"/>
      <c r="AI126" s="633"/>
      <c r="AK126" s="622"/>
      <c r="AL126" s="633"/>
      <c r="AN126" s="622"/>
      <c r="AO126" s="300"/>
      <c r="AP126" s="300"/>
      <c r="AQ126" s="300"/>
    </row>
    <row r="127" spans="1:43" ht="15" customHeight="1">
      <c r="A127" s="555" t="s">
        <v>2284</v>
      </c>
      <c r="B127" s="217" t="str">
        <f t="shared" si="75"/>
        <v>100</v>
      </c>
      <c r="C127" s="217" t="str">
        <f t="shared" si="76"/>
        <v>10</v>
      </c>
      <c r="D127" s="101" t="str">
        <f t="shared" si="77"/>
        <v>101</v>
      </c>
      <c r="E127" s="217" t="str">
        <f t="shared" si="78"/>
        <v>100-10-101</v>
      </c>
      <c r="F127" s="294" t="str">
        <f t="shared" si="79"/>
        <v>55119</v>
      </c>
      <c r="G127" s="295" t="str">
        <f>VLOOKUP(F127,'GL Category'!A:C,3,FALSE)</f>
        <v>Services &amp; other</v>
      </c>
      <c r="H127" s="98" t="str">
        <f>VLOOKUP(F127,'GL Category'!A:C,2,FALSE)</f>
        <v>OFFICE EQUIP LEASE EXP-CITY</v>
      </c>
      <c r="I127" s="99">
        <f>SUMIF(Import!$B:$B,$A127,Import!D:D)</f>
        <v>46018</v>
      </c>
      <c r="J127" s="99">
        <f>SUMIF(Import!$B:$B,$A127,Import!E:E)</f>
        <v>48890</v>
      </c>
      <c r="K127" s="99">
        <f>SUMIF(Import!$B:$B,$A127,Import!F:F)</f>
        <v>49752</v>
      </c>
      <c r="L127" s="99">
        <f>SUMIF(Import!$B:$B,$A127,Import!G:G)</f>
        <v>49521</v>
      </c>
      <c r="M127" s="99">
        <f>SUMIF(Import!$B:$B,$A127,Import!H:H)</f>
        <v>30550</v>
      </c>
      <c r="N127" s="99">
        <f>SUMIF(Import!$B:$B,$A127,Import!I:I)</f>
        <v>22912.5</v>
      </c>
      <c r="O127" s="99">
        <f>SUMIF(Import!$B:$B,$A127,Import!J:J)</f>
        <v>30550</v>
      </c>
      <c r="P127" s="99">
        <f t="shared" si="80"/>
        <v>0</v>
      </c>
      <c r="Q127" s="99">
        <f>SUMIF(Import!$B:$B,$A127,Import!K:K)</f>
        <v>32939</v>
      </c>
      <c r="R127" s="99">
        <f>SUMIF(Import!$B:$B,$A127,Import!L:L)</f>
        <v>0</v>
      </c>
      <c r="S127" s="99">
        <f>SUMIF(Import!$B:$B,$A127,Import!M:M)</f>
        <v>0</v>
      </c>
      <c r="T127" s="99">
        <f>SUMIF(Import!$B:$B,$A127,Import!N:N)</f>
        <v>32939</v>
      </c>
      <c r="U127" s="99">
        <f t="shared" si="81"/>
        <v>2389</v>
      </c>
      <c r="V127" s="255">
        <f t="shared" si="82"/>
        <v>7.8199672667757847E-2</v>
      </c>
      <c r="W127" s="102" t="s">
        <v>2284</v>
      </c>
      <c r="X127" s="102"/>
      <c r="Y127" s="102"/>
      <c r="Z127" s="309"/>
      <c r="AA127" s="615"/>
      <c r="AB127" s="622"/>
      <c r="AC127" s="633"/>
      <c r="AE127" s="622"/>
      <c r="AF127" s="633"/>
      <c r="AH127" s="622"/>
      <c r="AI127" s="633"/>
      <c r="AK127" s="622"/>
      <c r="AL127" s="633"/>
      <c r="AN127" s="622"/>
      <c r="AO127" s="92"/>
      <c r="AP127" s="92"/>
      <c r="AQ127" s="92"/>
    </row>
    <row r="128" spans="1:43" ht="15" customHeight="1">
      <c r="A128" s="297"/>
      <c r="B128" s="217"/>
      <c r="C128" s="217"/>
      <c r="D128" s="101"/>
      <c r="E128" s="101"/>
      <c r="F128" s="294"/>
      <c r="G128" s="295"/>
      <c r="H128" s="107" t="str">
        <f>UPPER(G127)&amp;" TOTAL"</f>
        <v>SERVICES &amp; OTHER TOTAL</v>
      </c>
      <c r="I128" s="108">
        <f t="shared" ref="I128" si="83">SUBTOTAL(9,I118:I127)</f>
        <v>236584.91</v>
      </c>
      <c r="J128" s="108">
        <f t="shared" ref="J128:T128" si="84">SUBTOTAL(9,J118:J127)</f>
        <v>279113.11</v>
      </c>
      <c r="K128" s="108">
        <f t="shared" ref="K128" si="85">SUBTOTAL(9,K118:K127)</f>
        <v>327920.45</v>
      </c>
      <c r="L128" s="108">
        <f t="shared" ref="L128" si="86">SUBTOTAL(9,L118:L127)</f>
        <v>277795.80000000005</v>
      </c>
      <c r="M128" s="108">
        <f t="shared" si="84"/>
        <v>296380</v>
      </c>
      <c r="N128" s="108">
        <f t="shared" ref="N128" si="87">SUBTOTAL(9,N118:N127)</f>
        <v>225283.59999999998</v>
      </c>
      <c r="O128" s="108">
        <f t="shared" si="84"/>
        <v>255550</v>
      </c>
      <c r="P128" s="108">
        <f t="shared" si="84"/>
        <v>-40830</v>
      </c>
      <c r="Q128" s="108">
        <f t="shared" si="84"/>
        <v>298769</v>
      </c>
      <c r="R128" s="108">
        <f t="shared" si="84"/>
        <v>0</v>
      </c>
      <c r="S128" s="108">
        <f t="shared" si="84"/>
        <v>0</v>
      </c>
      <c r="T128" s="108">
        <f t="shared" si="84"/>
        <v>298769</v>
      </c>
      <c r="U128" s="99">
        <f>T128-M128</f>
        <v>2389</v>
      </c>
      <c r="V128" s="255">
        <f>IF(M128=0,"N/A",T128/M128-1)</f>
        <v>8.0605978810985857E-3</v>
      </c>
      <c r="W128" s="102"/>
      <c r="X128" s="102"/>
      <c r="Y128" s="102"/>
      <c r="AA128" s="615"/>
    </row>
    <row r="129" spans="1:59" ht="15" customHeight="1">
      <c r="A129" s="297"/>
      <c r="B129" s="217"/>
      <c r="C129" s="217"/>
      <c r="D129" s="101"/>
      <c r="E129" s="101"/>
      <c r="F129" s="294"/>
      <c r="G129" s="295"/>
      <c r="H129" s="98"/>
      <c r="I129" s="218"/>
      <c r="J129" s="218"/>
      <c r="K129" s="218"/>
      <c r="L129" s="218"/>
      <c r="M129" s="218"/>
      <c r="N129" s="226"/>
      <c r="O129" s="226"/>
      <c r="P129" s="226"/>
      <c r="Q129" s="111"/>
      <c r="R129" s="111"/>
      <c r="S129" s="111"/>
      <c r="T129" s="111"/>
      <c r="U129" s="111"/>
      <c r="V129" s="111"/>
      <c r="W129" s="102"/>
      <c r="X129" s="102"/>
      <c r="Y129" s="102"/>
      <c r="AA129" s="615"/>
    </row>
    <row r="130" spans="1:59" s="75" customFormat="1" ht="15" customHeight="1">
      <c r="A130" s="555" t="s">
        <v>2285</v>
      </c>
      <c r="B130" s="217" t="str">
        <f t="shared" ref="B130" si="88">LEFT(A130,3)</f>
        <v>100</v>
      </c>
      <c r="C130" s="217" t="str">
        <f>MID(A130,5,2)</f>
        <v>10</v>
      </c>
      <c r="D130" s="101" t="str">
        <f>MID(A130,8,3)</f>
        <v>101</v>
      </c>
      <c r="E130" s="217" t="str">
        <f>LEFT(A130,10)</f>
        <v>100-10-101</v>
      </c>
      <c r="F130" s="294" t="str">
        <f>RIGHT(A130,5)</f>
        <v>58835</v>
      </c>
      <c r="G130" s="295" t="str">
        <f>VLOOKUP(F130,'GL Category'!A:C,3,FALSE)</f>
        <v>Capital Outlay</v>
      </c>
      <c r="H130" s="98" t="str">
        <f>VLOOKUP(F130,'GL Category'!A:C,2,FALSE)</f>
        <v>OFFICE MACHINERY &amp; EQUIPMENT</v>
      </c>
      <c r="I130" s="99">
        <f>SUMIF(Import!$B:$B,$A130,Import!D:D)</f>
        <v>0</v>
      </c>
      <c r="J130" s="99">
        <f>SUMIF(Import!$B:$B,$A130,Import!E:E)</f>
        <v>0</v>
      </c>
      <c r="K130" s="99">
        <f>SUMIF(Import!$B:$B,$A130,Import!F:F)</f>
        <v>0</v>
      </c>
      <c r="L130" s="99">
        <f>SUMIF(Import!$B:$B,$A130,Import!G:G)</f>
        <v>0</v>
      </c>
      <c r="M130" s="99">
        <f>SUMIF(Import!$B:$B,$A130,Import!H:H)</f>
        <v>0</v>
      </c>
      <c r="N130" s="99">
        <f>SUMIF(Import!$B:$B,$A130,Import!I:I)</f>
        <v>0</v>
      </c>
      <c r="O130" s="99">
        <f>SUMIF(Import!$B:$B,$A130,Import!J:J)</f>
        <v>0</v>
      </c>
      <c r="P130" s="99">
        <f t="shared" ref="P130" si="89">O130-M130</f>
        <v>0</v>
      </c>
      <c r="Q130" s="99">
        <f>SUMIF(Import!$B:$B,$A130,Import!K:K)</f>
        <v>0</v>
      </c>
      <c r="R130" s="99">
        <f>SUMIF(Import!$B:$B,$A130,Import!L:L)</f>
        <v>0</v>
      </c>
      <c r="S130" s="99">
        <f>SUMIF(Import!$B:$B,$A130,Import!M:M)</f>
        <v>0</v>
      </c>
      <c r="T130" s="99">
        <f>SUMIF(Import!$B:$B,$A130,Import!N:N)</f>
        <v>0</v>
      </c>
      <c r="U130" s="99">
        <f t="shared" ref="U130" si="90">T130-M130</f>
        <v>0</v>
      </c>
      <c r="V130" s="255" t="str">
        <f t="shared" ref="V130" si="91">IF(M130=0,"N/A",T130/M130-1)</f>
        <v>N/A</v>
      </c>
      <c r="W130" s="102" t="s">
        <v>2285</v>
      </c>
      <c r="X130" s="102"/>
      <c r="Y130" s="102"/>
      <c r="Z130" s="309"/>
      <c r="AA130" s="615"/>
      <c r="AB130" s="622"/>
      <c r="AC130" s="633"/>
      <c r="AD130" s="307"/>
      <c r="AE130" s="622"/>
      <c r="AF130" s="633"/>
      <c r="AG130" s="307"/>
      <c r="AH130" s="622"/>
      <c r="AI130" s="633"/>
      <c r="AJ130" s="307"/>
      <c r="AK130" s="622"/>
      <c r="AL130" s="633"/>
      <c r="AM130" s="307"/>
      <c r="AN130" s="622"/>
      <c r="AO130" s="192"/>
      <c r="AP130" s="192"/>
      <c r="AQ130" s="192"/>
      <c r="AR130" s="115"/>
      <c r="AS130" s="115"/>
      <c r="AT130" s="115"/>
      <c r="AU130" s="115"/>
      <c r="AV130" s="115"/>
      <c r="AW130" s="115"/>
      <c r="AX130" s="115"/>
      <c r="AY130" s="115"/>
      <c r="AZ130" s="115"/>
      <c r="BA130" s="115"/>
      <c r="BB130" s="115"/>
      <c r="BC130" s="115"/>
      <c r="BD130" s="115"/>
      <c r="BE130" s="74"/>
      <c r="BF130" s="74"/>
      <c r="BG130" s="74"/>
    </row>
    <row r="131" spans="1:59" ht="15" customHeight="1">
      <c r="A131" s="297"/>
      <c r="B131" s="217"/>
      <c r="C131" s="217"/>
      <c r="D131" s="101"/>
      <c r="E131" s="101"/>
      <c r="F131" s="294"/>
      <c r="G131" s="295"/>
      <c r="H131" s="107" t="str">
        <f>UPPER(G130)&amp;" TOTAL"</f>
        <v>CAPITAL OUTLAY TOTAL</v>
      </c>
      <c r="I131" s="108">
        <f t="shared" ref="I131" si="92">SUBTOTAL(9,I130:I130)</f>
        <v>0</v>
      </c>
      <c r="J131" s="108">
        <f t="shared" ref="J131:P131" si="93">SUBTOTAL(9,J130:J130)</f>
        <v>0</v>
      </c>
      <c r="K131" s="108">
        <f t="shared" ref="K131" si="94">SUBTOTAL(9,K130:K130)</f>
        <v>0</v>
      </c>
      <c r="L131" s="108">
        <f t="shared" ref="L131" si="95">SUBTOTAL(9,L130:L130)</f>
        <v>0</v>
      </c>
      <c r="M131" s="108">
        <f t="shared" si="93"/>
        <v>0</v>
      </c>
      <c r="N131" s="108">
        <f t="shared" ref="N131" si="96">SUBTOTAL(9,N130:N130)</f>
        <v>0</v>
      </c>
      <c r="O131" s="108">
        <f t="shared" si="93"/>
        <v>0</v>
      </c>
      <c r="P131" s="108">
        <f t="shared" si="93"/>
        <v>0</v>
      </c>
      <c r="Q131" s="108">
        <f t="shared" ref="Q131:T131" si="97">SUBTOTAL(9,Q130:Q130)</f>
        <v>0</v>
      </c>
      <c r="R131" s="108">
        <f t="shared" si="97"/>
        <v>0</v>
      </c>
      <c r="S131" s="108">
        <f t="shared" si="97"/>
        <v>0</v>
      </c>
      <c r="T131" s="108">
        <f t="shared" si="97"/>
        <v>0</v>
      </c>
      <c r="U131" s="99">
        <f>T131-M131</f>
        <v>0</v>
      </c>
      <c r="V131" s="255" t="str">
        <f>IF(M131=0,"N/A",T131/M131-1)</f>
        <v>N/A</v>
      </c>
      <c r="W131" s="102"/>
      <c r="X131" s="102"/>
      <c r="Y131" s="102"/>
      <c r="AA131" s="615"/>
      <c r="AC131" s="92"/>
      <c r="AD131" s="92"/>
      <c r="AE131" s="92"/>
      <c r="AF131" s="92"/>
      <c r="AG131" s="92"/>
      <c r="AJ131" s="92"/>
      <c r="AK131" s="92"/>
      <c r="AL131" s="92"/>
      <c r="AM131" s="92"/>
      <c r="AN131" s="92"/>
    </row>
    <row r="132" spans="1:59" ht="15" customHeight="1">
      <c r="A132" s="297"/>
      <c r="B132" s="217"/>
      <c r="C132" s="217"/>
      <c r="D132" s="101"/>
      <c r="E132" s="101"/>
      <c r="F132" s="294"/>
      <c r="G132" s="295"/>
      <c r="H132" s="98"/>
      <c r="I132" s="218"/>
      <c r="J132" s="218"/>
      <c r="K132" s="218"/>
      <c r="L132" s="218"/>
      <c r="M132" s="218"/>
      <c r="N132" s="226"/>
      <c r="O132" s="226"/>
      <c r="P132" s="226"/>
      <c r="Q132" s="111"/>
      <c r="R132" s="111"/>
      <c r="S132" s="111"/>
      <c r="T132" s="111"/>
      <c r="U132" s="111"/>
      <c r="V132" s="111"/>
      <c r="W132" s="102"/>
      <c r="X132" s="102"/>
      <c r="Y132" s="102"/>
      <c r="AA132" s="615"/>
      <c r="AC132" s="302"/>
      <c r="AD132" s="302"/>
      <c r="AE132" s="302"/>
      <c r="AF132" s="302"/>
      <c r="AG132" s="302"/>
      <c r="AJ132" s="302"/>
      <c r="AK132" s="302"/>
      <c r="AL132" s="302"/>
      <c r="AM132" s="302"/>
      <c r="AN132" s="302"/>
    </row>
    <row r="133" spans="1:59" ht="15" customHeight="1">
      <c r="A133" s="297"/>
      <c r="B133" s="217"/>
      <c r="C133" s="217"/>
      <c r="D133" s="101"/>
      <c r="E133" s="101"/>
      <c r="F133" s="294"/>
      <c r="G133" s="295"/>
      <c r="H133" s="114" t="s">
        <v>763</v>
      </c>
      <c r="I133" s="108">
        <f t="shared" ref="I133" si="98">SUBTOTAL(9,I101:I131)</f>
        <v>792311.04999999981</v>
      </c>
      <c r="J133" s="108">
        <f t="shared" ref="J133:T133" si="99">SUBTOTAL(9,J101:J131)</f>
        <v>794891.77</v>
      </c>
      <c r="K133" s="108">
        <f t="shared" ref="K133" si="100">SUBTOTAL(9,K101:K131)</f>
        <v>835315.87</v>
      </c>
      <c r="L133" s="108">
        <f t="shared" ref="L133" si="101">SUBTOTAL(9,L101:L131)</f>
        <v>815166.49999999988</v>
      </c>
      <c r="M133" s="108">
        <f t="shared" si="99"/>
        <v>848588</v>
      </c>
      <c r="N133" s="108">
        <f t="shared" ref="N133" si="102">SUBTOTAL(9,N101:N131)</f>
        <v>594297.85</v>
      </c>
      <c r="O133" s="108">
        <f t="shared" si="99"/>
        <v>784577</v>
      </c>
      <c r="P133" s="108">
        <f t="shared" si="99"/>
        <v>-64011</v>
      </c>
      <c r="Q133" s="108">
        <f t="shared" si="99"/>
        <v>835700</v>
      </c>
      <c r="R133" s="108">
        <f t="shared" si="99"/>
        <v>0</v>
      </c>
      <c r="S133" s="108">
        <f t="shared" si="99"/>
        <v>0</v>
      </c>
      <c r="T133" s="108">
        <f t="shared" si="99"/>
        <v>835700</v>
      </c>
      <c r="U133" s="99">
        <f>T133-M133</f>
        <v>-12888</v>
      </c>
      <c r="V133" s="255">
        <f>IF(M133=0,"N/A",T133/M133-1)</f>
        <v>-1.5187582195364535E-2</v>
      </c>
      <c r="W133" s="102"/>
      <c r="X133" s="102"/>
      <c r="Y133" s="102"/>
      <c r="AA133" s="615"/>
      <c r="AC133" s="300"/>
      <c r="AD133" s="300"/>
      <c r="AE133" s="300"/>
      <c r="AF133" s="300"/>
      <c r="AG133" s="300"/>
      <c r="AJ133" s="300"/>
      <c r="AK133" s="300"/>
      <c r="AL133" s="300"/>
      <c r="AM133" s="300"/>
      <c r="AN133" s="300"/>
    </row>
    <row r="134" spans="1:59" ht="15" customHeight="1">
      <c r="A134" s="297"/>
      <c r="B134" s="217"/>
      <c r="C134" s="217"/>
      <c r="D134" s="101"/>
      <c r="E134" s="101"/>
      <c r="F134" s="294"/>
      <c r="G134" s="295"/>
      <c r="H134" s="227"/>
      <c r="I134" s="218"/>
      <c r="J134" s="218"/>
      <c r="K134" s="218"/>
      <c r="L134" s="218"/>
      <c r="M134" s="218"/>
      <c r="N134" s="219"/>
      <c r="O134" s="219"/>
      <c r="P134" s="219"/>
      <c r="Q134" s="100"/>
      <c r="R134" s="100"/>
      <c r="S134" s="100"/>
      <c r="T134" s="100"/>
      <c r="U134" s="100"/>
      <c r="V134" s="100"/>
      <c r="W134" s="102"/>
      <c r="X134" s="102"/>
      <c r="Y134" s="102"/>
      <c r="AA134" s="615"/>
      <c r="AC134" s="92"/>
      <c r="AD134" s="92"/>
      <c r="AE134" s="92"/>
      <c r="AF134" s="92"/>
      <c r="AG134" s="92"/>
      <c r="AJ134" s="92"/>
      <c r="AK134" s="92"/>
      <c r="AL134" s="92"/>
      <c r="AM134" s="92"/>
      <c r="AN134" s="92"/>
    </row>
    <row r="135" spans="1:59" ht="15" customHeight="1" thickBot="1">
      <c r="A135" s="297"/>
      <c r="B135" s="217"/>
      <c r="C135" s="217"/>
      <c r="D135" s="101"/>
      <c r="E135" s="101"/>
      <c r="F135" s="294"/>
      <c r="G135" s="295"/>
      <c r="H135" s="98"/>
      <c r="I135" s="218"/>
      <c r="J135" s="218"/>
      <c r="K135" s="218"/>
      <c r="L135" s="218"/>
      <c r="M135" s="218"/>
      <c r="N135" s="219"/>
      <c r="O135" s="219"/>
      <c r="P135" s="219"/>
      <c r="Q135" s="100"/>
      <c r="R135" s="100"/>
      <c r="S135" s="100"/>
      <c r="T135" s="100"/>
      <c r="U135" s="100"/>
      <c r="V135" s="100"/>
      <c r="W135" s="102"/>
      <c r="X135" s="102"/>
      <c r="Y135" s="102"/>
      <c r="AA135" s="615"/>
      <c r="AC135" s="302"/>
      <c r="AD135" s="302"/>
      <c r="AE135" s="302"/>
      <c r="AF135" s="302"/>
      <c r="AG135" s="302"/>
      <c r="AJ135" s="302"/>
      <c r="AK135" s="302"/>
      <c r="AL135" s="302"/>
      <c r="AM135" s="302"/>
      <c r="AN135" s="302"/>
    </row>
    <row r="136" spans="1:59" ht="26.25" customHeight="1" thickBot="1">
      <c r="A136" s="297"/>
      <c r="B136" s="217"/>
      <c r="C136" s="217"/>
      <c r="D136" s="101"/>
      <c r="E136" s="101"/>
      <c r="F136" s="294"/>
      <c r="G136" s="295"/>
      <c r="H136" s="665" t="s">
        <v>606</v>
      </c>
      <c r="I136" s="666"/>
      <c r="J136" s="666"/>
      <c r="K136" s="666"/>
      <c r="L136" s="666"/>
      <c r="M136" s="666"/>
      <c r="N136" s="666"/>
      <c r="O136" s="666"/>
      <c r="P136" s="666"/>
      <c r="Q136" s="666"/>
      <c r="R136" s="666"/>
      <c r="S136" s="666"/>
      <c r="T136" s="667"/>
      <c r="U136" s="247"/>
      <c r="V136" s="247"/>
      <c r="W136" s="102"/>
      <c r="X136" s="102"/>
      <c r="Y136" s="102"/>
      <c r="AA136" s="615"/>
      <c r="AC136" s="303"/>
      <c r="AD136" s="303"/>
      <c r="AE136" s="303"/>
      <c r="AF136" s="303"/>
      <c r="AG136" s="303"/>
      <c r="AJ136" s="303"/>
      <c r="AK136" s="303"/>
      <c r="AL136" s="303"/>
      <c r="AM136" s="303"/>
      <c r="AN136" s="303"/>
    </row>
    <row r="137" spans="1:59" ht="15" customHeight="1">
      <c r="A137" s="297"/>
      <c r="B137" s="217"/>
      <c r="C137" s="217"/>
      <c r="D137" s="101"/>
      <c r="E137" s="101"/>
      <c r="F137" s="294"/>
      <c r="G137" s="295"/>
      <c r="H137" s="225"/>
      <c r="I137" s="225"/>
      <c r="J137" s="225"/>
      <c r="K137" s="225"/>
      <c r="L137" s="225"/>
      <c r="M137" s="225"/>
      <c r="N137" s="225"/>
      <c r="O137" s="225"/>
      <c r="P137" s="225"/>
      <c r="Q137" s="225"/>
      <c r="R137" s="225"/>
      <c r="S137" s="225"/>
      <c r="T137" s="225"/>
      <c r="U137" s="225"/>
      <c r="V137" s="225"/>
      <c r="W137" s="102"/>
      <c r="X137" s="102"/>
      <c r="Y137" s="102"/>
      <c r="AA137" s="615"/>
      <c r="AC137" s="300"/>
      <c r="AD137" s="300"/>
      <c r="AE137" s="300"/>
      <c r="AF137" s="300"/>
      <c r="AG137" s="300"/>
      <c r="AJ137" s="300"/>
      <c r="AK137" s="300"/>
      <c r="AL137" s="300"/>
      <c r="AM137" s="300"/>
      <c r="AN137" s="300"/>
    </row>
    <row r="138" spans="1:59" ht="15" customHeight="1">
      <c r="A138" s="555" t="s">
        <v>3385</v>
      </c>
      <c r="B138" s="217" t="str">
        <f t="shared" ref="B138:B143" si="103">LEFT(A138,3)</f>
        <v>100</v>
      </c>
      <c r="C138" s="217" t="str">
        <f t="shared" ref="C138:C143" si="104">MID(A138,5,2)</f>
        <v>10</v>
      </c>
      <c r="D138" s="101" t="str">
        <f t="shared" ref="D138:D143" si="105">MID(A138,8,3)</f>
        <v>102</v>
      </c>
      <c r="E138" s="217" t="str">
        <f t="shared" ref="E138:E143" si="106">LEFT(A138,10)</f>
        <v>100-10-102</v>
      </c>
      <c r="F138" s="294" t="str">
        <f t="shared" ref="F138:F143" si="107">RIGHT(A138,5)</f>
        <v>50102</v>
      </c>
      <c r="G138" s="295" t="str">
        <f>VLOOKUP(F138,'GL Category'!A:C,3,FALSE)</f>
        <v>Personnel services</v>
      </c>
      <c r="H138" s="98" t="str">
        <f>VLOOKUP(F138,'GL Category'!A:C,2,FALSE)</f>
        <v>NON EXEMPT SALARIES</v>
      </c>
      <c r="I138" s="99">
        <f>SUMIF(Import!$B:$B,$A138,Import!D:D)</f>
        <v>0</v>
      </c>
      <c r="J138" s="99">
        <f>SUMIF(Import!$B:$B,$A138,Import!E:E)</f>
        <v>0</v>
      </c>
      <c r="K138" s="99">
        <f>SUMIF(Import!$B:$B,$A138,Import!F:F)</f>
        <v>0</v>
      </c>
      <c r="L138" s="99">
        <f>SUMIF(Import!$B:$B,$A138,Import!G:G)</f>
        <v>151.28</v>
      </c>
      <c r="M138" s="99">
        <f>SUMIF(Import!$B:$B,$A138,Import!H:H)</f>
        <v>0</v>
      </c>
      <c r="N138" s="99">
        <f>SUMIF(Import!$B:$B,$A138,Import!I:I)</f>
        <v>0</v>
      </c>
      <c r="O138" s="99">
        <f>SUMIF(Import!$B:$B,$A138,Import!J:J)</f>
        <v>0</v>
      </c>
      <c r="P138" s="99">
        <f t="shared" ref="P138:P143" si="108">O138-M138</f>
        <v>0</v>
      </c>
      <c r="Q138" s="99">
        <f>SUMIF(Import!$B:$B,$A138,Import!K:K)</f>
        <v>0</v>
      </c>
      <c r="R138" s="99">
        <f>SUMIF(Import!$B:$B,$A138,Import!L:L)</f>
        <v>0</v>
      </c>
      <c r="S138" s="99">
        <f>SUMIF(Import!$B:$B,$A138,Import!M:M)</f>
        <v>0</v>
      </c>
      <c r="T138" s="99">
        <f>SUMIF(Import!$B:$B,$A138,Import!N:N)</f>
        <v>0</v>
      </c>
      <c r="U138" s="99">
        <f t="shared" ref="U138:U143" si="109">T138-M138</f>
        <v>0</v>
      </c>
      <c r="V138" s="255" t="str">
        <f t="shared" ref="V138:V143" si="110">IF(M138=0,"N/A",T138/M138-1)</f>
        <v>N/A</v>
      </c>
      <c r="W138" s="102" t="s">
        <v>2286</v>
      </c>
      <c r="X138" s="102"/>
      <c r="Y138" s="102"/>
      <c r="Z138" s="309"/>
      <c r="AA138" s="615"/>
      <c r="AB138" s="622"/>
      <c r="AC138" s="633"/>
      <c r="AE138" s="622"/>
      <c r="AF138" s="633"/>
      <c r="AH138" s="622"/>
      <c r="AI138" s="633"/>
      <c r="AK138" s="622"/>
      <c r="AL138" s="633"/>
      <c r="AN138" s="622"/>
    </row>
    <row r="139" spans="1:59" ht="15" customHeight="1">
      <c r="A139" s="555" t="s">
        <v>2286</v>
      </c>
      <c r="B139" s="217" t="str">
        <f t="shared" ref="B139" si="111">LEFT(A139,3)</f>
        <v>100</v>
      </c>
      <c r="C139" s="217" t="str">
        <f t="shared" ref="C139" si="112">MID(A139,5,2)</f>
        <v>10</v>
      </c>
      <c r="D139" s="101" t="str">
        <f t="shared" ref="D139" si="113">MID(A139,8,3)</f>
        <v>102</v>
      </c>
      <c r="E139" s="217" t="str">
        <f t="shared" ref="E139" si="114">LEFT(A139,10)</f>
        <v>100-10-102</v>
      </c>
      <c r="F139" s="294" t="str">
        <f t="shared" ref="F139" si="115">RIGHT(A139,5)</f>
        <v>50109</v>
      </c>
      <c r="G139" s="295" t="str">
        <f>VLOOKUP(F139,'GL Category'!A:C,3,FALSE)</f>
        <v>Personnel services</v>
      </c>
      <c r="H139" s="98" t="str">
        <f>VLOOKUP(F139,'GL Category'!A:C,2,FALSE)</f>
        <v>OVERTIME</v>
      </c>
      <c r="I139" s="99">
        <f>SUMIF(Import!$B:$B,$A139,Import!D:D)</f>
        <v>1246.8699999999999</v>
      </c>
      <c r="J139" s="99">
        <f>SUMIF(Import!$B:$B,$A139,Import!E:E)</f>
        <v>672.56</v>
      </c>
      <c r="K139" s="99">
        <f>SUMIF(Import!$B:$B,$A139,Import!F:F)</f>
        <v>412.48</v>
      </c>
      <c r="L139" s="99">
        <f>SUMIF(Import!$B:$B,$A139,Import!G:G)</f>
        <v>433.97</v>
      </c>
      <c r="M139" s="99">
        <f>SUMIF(Import!$B:$B,$A139,Import!H:H)</f>
        <v>1600</v>
      </c>
      <c r="N139" s="99">
        <f>SUMIF(Import!$B:$B,$A139,Import!I:I)</f>
        <v>0</v>
      </c>
      <c r="O139" s="99">
        <f>SUMIF(Import!$B:$B,$A139,Import!J:J)</f>
        <v>0</v>
      </c>
      <c r="P139" s="99">
        <f t="shared" ref="P139" si="116">O139-M139</f>
        <v>-1600</v>
      </c>
      <c r="Q139" s="99">
        <f>SUMIF(Import!$B:$B,$A139,Import!K:K)</f>
        <v>1600</v>
      </c>
      <c r="R139" s="99">
        <f>SUMIF(Import!$B:$B,$A139,Import!L:L)</f>
        <v>0</v>
      </c>
      <c r="S139" s="99">
        <f>SUMIF(Import!$B:$B,$A139,Import!M:M)</f>
        <v>0</v>
      </c>
      <c r="T139" s="99">
        <f>SUMIF(Import!$B:$B,$A139,Import!N:N)</f>
        <v>1600</v>
      </c>
      <c r="U139" s="99">
        <f t="shared" ref="U139" si="117">T139-M139</f>
        <v>0</v>
      </c>
      <c r="V139" s="255">
        <f t="shared" ref="V139" si="118">IF(M139=0,"N/A",T139/M139-1)</f>
        <v>0</v>
      </c>
      <c r="W139" s="102" t="s">
        <v>2286</v>
      </c>
      <c r="X139" s="102"/>
      <c r="Y139" s="102"/>
      <c r="Z139" s="309"/>
      <c r="AA139" s="615"/>
      <c r="AB139" s="622"/>
      <c r="AC139" s="633"/>
      <c r="AE139" s="622"/>
      <c r="AF139" s="633"/>
      <c r="AH139" s="622"/>
      <c r="AI139" s="633"/>
      <c r="AK139" s="622"/>
      <c r="AL139" s="633"/>
      <c r="AN139" s="622"/>
    </row>
    <row r="140" spans="1:59" ht="15" customHeight="1">
      <c r="A140" s="555" t="s">
        <v>2287</v>
      </c>
      <c r="B140" s="217" t="str">
        <f t="shared" si="103"/>
        <v>100</v>
      </c>
      <c r="C140" s="217" t="str">
        <f t="shared" si="104"/>
        <v>10</v>
      </c>
      <c r="D140" s="101" t="str">
        <f t="shared" si="105"/>
        <v>102</v>
      </c>
      <c r="E140" s="217" t="str">
        <f t="shared" si="106"/>
        <v>100-10-102</v>
      </c>
      <c r="F140" s="294" t="str">
        <f t="shared" si="107"/>
        <v>50610</v>
      </c>
      <c r="G140" s="295" t="str">
        <f>VLOOKUP(F140,'GL Category'!A:C,3,FALSE)</f>
        <v>Personnel services</v>
      </c>
      <c r="H140" s="98" t="str">
        <f>VLOOKUP(F140,'GL Category'!A:C,2,FALSE)</f>
        <v>SOCIAL SECURITY</v>
      </c>
      <c r="I140" s="99">
        <f>SUMIF(Import!$B:$B,$A140,Import!D:D)</f>
        <v>91.17</v>
      </c>
      <c r="J140" s="99">
        <f>SUMIF(Import!$B:$B,$A140,Import!E:E)</f>
        <v>49.33</v>
      </c>
      <c r="K140" s="99">
        <f>SUMIF(Import!$B:$B,$A140,Import!F:F)</f>
        <v>31.17</v>
      </c>
      <c r="L140" s="99">
        <f>SUMIF(Import!$B:$B,$A140,Import!G:G)</f>
        <v>44.39</v>
      </c>
      <c r="M140" s="99">
        <f>SUMIF(Import!$B:$B,$A140,Import!H:H)</f>
        <v>130</v>
      </c>
      <c r="N140" s="99">
        <f>SUMIF(Import!$B:$B,$A140,Import!I:I)</f>
        <v>0</v>
      </c>
      <c r="O140" s="99">
        <f>SUMIF(Import!$B:$B,$A140,Import!J:J)</f>
        <v>43</v>
      </c>
      <c r="P140" s="99">
        <f t="shared" si="108"/>
        <v>-87</v>
      </c>
      <c r="Q140" s="99">
        <f>SUMIF(Import!$B:$B,$A140,Import!K:K)</f>
        <v>130</v>
      </c>
      <c r="R140" s="99">
        <f>SUMIF(Import!$B:$B,$A140,Import!L:L)</f>
        <v>0</v>
      </c>
      <c r="S140" s="99">
        <f>SUMIF(Import!$B:$B,$A140,Import!M:M)</f>
        <v>0</v>
      </c>
      <c r="T140" s="99">
        <f>SUMIF(Import!$B:$B,$A140,Import!N:N)</f>
        <v>130</v>
      </c>
      <c r="U140" s="99">
        <f t="shared" si="109"/>
        <v>0</v>
      </c>
      <c r="V140" s="255">
        <f t="shared" si="110"/>
        <v>0</v>
      </c>
      <c r="W140" s="102" t="s">
        <v>2287</v>
      </c>
      <c r="X140" s="102"/>
      <c r="Y140" s="102"/>
      <c r="Z140" s="309"/>
      <c r="AA140" s="615"/>
      <c r="AB140" s="622"/>
      <c r="AC140" s="633"/>
      <c r="AE140" s="622"/>
      <c r="AF140" s="633"/>
      <c r="AH140" s="622"/>
      <c r="AI140" s="633"/>
      <c r="AK140" s="622"/>
      <c r="AL140" s="633"/>
      <c r="AN140" s="622"/>
    </row>
    <row r="141" spans="1:59" ht="15" customHeight="1">
      <c r="A141" s="555" t="s">
        <v>2288</v>
      </c>
      <c r="B141" s="217" t="str">
        <f t="shared" si="103"/>
        <v>100</v>
      </c>
      <c r="C141" s="217" t="str">
        <f t="shared" si="104"/>
        <v>10</v>
      </c>
      <c r="D141" s="101" t="str">
        <f t="shared" si="105"/>
        <v>102</v>
      </c>
      <c r="E141" s="217" t="str">
        <f t="shared" si="106"/>
        <v>100-10-102</v>
      </c>
      <c r="F141" s="294" t="str">
        <f t="shared" si="107"/>
        <v>50620</v>
      </c>
      <c r="G141" s="295" t="str">
        <f>VLOOKUP(F141,'GL Category'!A:C,3,FALSE)</f>
        <v>Personnel services</v>
      </c>
      <c r="H141" s="98" t="str">
        <f>VLOOKUP(F141,'GL Category'!A:C,2,FALSE)</f>
        <v>HEALTH/LIFE INSURANCE</v>
      </c>
      <c r="I141" s="99">
        <f>SUMIF(Import!$B:$B,$A141,Import!D:D)</f>
        <v>228.97</v>
      </c>
      <c r="J141" s="99">
        <f>SUMIF(Import!$B:$B,$A141,Import!E:E)</f>
        <v>107.63</v>
      </c>
      <c r="K141" s="99">
        <f>SUMIF(Import!$B:$B,$A141,Import!F:F)</f>
        <v>82.93</v>
      </c>
      <c r="L141" s="99">
        <f>SUMIF(Import!$B:$B,$A141,Import!G:G)</f>
        <v>161.52000000000001</v>
      </c>
      <c r="M141" s="99">
        <f>SUMIF(Import!$B:$B,$A141,Import!H:H)</f>
        <v>3</v>
      </c>
      <c r="N141" s="99">
        <f>SUMIF(Import!$B:$B,$A141,Import!I:I)</f>
        <v>0</v>
      </c>
      <c r="O141" s="99">
        <f>SUMIF(Import!$B:$B,$A141,Import!J:J)</f>
        <v>1</v>
      </c>
      <c r="P141" s="99">
        <f t="shared" si="108"/>
        <v>-2</v>
      </c>
      <c r="Q141" s="99">
        <f>SUMIF(Import!$B:$B,$A141,Import!K:K)</f>
        <v>3</v>
      </c>
      <c r="R141" s="99">
        <f>SUMIF(Import!$B:$B,$A141,Import!L:L)</f>
        <v>0</v>
      </c>
      <c r="S141" s="99">
        <f>SUMIF(Import!$B:$B,$A141,Import!M:M)</f>
        <v>0</v>
      </c>
      <c r="T141" s="99">
        <f>SUMIF(Import!$B:$B,$A141,Import!N:N)</f>
        <v>3</v>
      </c>
      <c r="U141" s="99">
        <f t="shared" si="109"/>
        <v>0</v>
      </c>
      <c r="V141" s="255">
        <f t="shared" si="110"/>
        <v>0</v>
      </c>
      <c r="W141" s="102" t="s">
        <v>2288</v>
      </c>
      <c r="X141" s="102"/>
      <c r="Y141" s="102"/>
      <c r="Z141" s="309"/>
      <c r="AA141" s="615"/>
      <c r="AB141" s="622"/>
      <c r="AC141" s="633"/>
      <c r="AE141" s="622"/>
      <c r="AF141" s="633"/>
      <c r="AH141" s="622"/>
      <c r="AI141" s="633"/>
      <c r="AK141" s="622"/>
      <c r="AL141" s="633"/>
      <c r="AN141" s="622"/>
    </row>
    <row r="142" spans="1:59" ht="15" customHeight="1">
      <c r="A142" s="555" t="s">
        <v>2289</v>
      </c>
      <c r="B142" s="217" t="str">
        <f t="shared" si="103"/>
        <v>100</v>
      </c>
      <c r="C142" s="217" t="str">
        <f t="shared" si="104"/>
        <v>10</v>
      </c>
      <c r="D142" s="101" t="str">
        <f t="shared" si="105"/>
        <v>102</v>
      </c>
      <c r="E142" s="217" t="str">
        <f t="shared" si="106"/>
        <v>100-10-102</v>
      </c>
      <c r="F142" s="294" t="str">
        <f t="shared" si="107"/>
        <v>50630</v>
      </c>
      <c r="G142" s="295" t="str">
        <f>VLOOKUP(F142,'GL Category'!A:C,3,FALSE)</f>
        <v>Personnel services</v>
      </c>
      <c r="H142" s="98" t="str">
        <f>VLOOKUP(F142,'GL Category'!A:C,2,FALSE)</f>
        <v>WORKER COMPENSATION</v>
      </c>
      <c r="I142" s="99">
        <f>SUMIF(Import!$B:$B,$A142,Import!D:D)</f>
        <v>10.08</v>
      </c>
      <c r="J142" s="99">
        <f>SUMIF(Import!$B:$B,$A142,Import!E:E)</f>
        <v>9.73</v>
      </c>
      <c r="K142" s="99">
        <f>SUMIF(Import!$B:$B,$A142,Import!F:F)</f>
        <v>10.5</v>
      </c>
      <c r="L142" s="99">
        <f>SUMIF(Import!$B:$B,$A142,Import!G:G)</f>
        <v>19.37</v>
      </c>
      <c r="M142" s="99">
        <f>SUMIF(Import!$B:$B,$A142,Import!H:H)</f>
        <v>24</v>
      </c>
      <c r="N142" s="99">
        <f>SUMIF(Import!$B:$B,$A142,Import!I:I)</f>
        <v>23.98</v>
      </c>
      <c r="O142" s="99">
        <f>SUMIF(Import!$B:$B,$A142,Import!J:J)</f>
        <v>24</v>
      </c>
      <c r="P142" s="99">
        <f t="shared" si="108"/>
        <v>0</v>
      </c>
      <c r="Q142" s="99">
        <f>SUMIF(Import!$B:$B,$A142,Import!K:K)</f>
        <v>25</v>
      </c>
      <c r="R142" s="99">
        <f>SUMIF(Import!$B:$B,$A142,Import!L:L)</f>
        <v>0</v>
      </c>
      <c r="S142" s="99">
        <f>SUMIF(Import!$B:$B,$A142,Import!M:M)</f>
        <v>0</v>
      </c>
      <c r="T142" s="99">
        <f>SUMIF(Import!$B:$B,$A142,Import!N:N)</f>
        <v>25</v>
      </c>
      <c r="U142" s="99">
        <f t="shared" si="109"/>
        <v>1</v>
      </c>
      <c r="V142" s="255">
        <f t="shared" si="110"/>
        <v>4.1666666666666741E-2</v>
      </c>
      <c r="W142" s="102" t="s">
        <v>2289</v>
      </c>
      <c r="X142" s="102"/>
      <c r="Y142" s="102"/>
      <c r="Z142" s="309"/>
      <c r="AA142" s="615"/>
      <c r="AB142" s="622"/>
      <c r="AC142" s="633"/>
      <c r="AE142" s="622"/>
      <c r="AF142" s="633"/>
      <c r="AH142" s="622"/>
      <c r="AI142" s="633"/>
      <c r="AK142" s="622"/>
      <c r="AL142" s="633"/>
      <c r="AN142" s="622"/>
    </row>
    <row r="143" spans="1:59" ht="15" customHeight="1">
      <c r="A143" s="555" t="s">
        <v>2290</v>
      </c>
      <c r="B143" s="217" t="str">
        <f t="shared" si="103"/>
        <v>100</v>
      </c>
      <c r="C143" s="217" t="str">
        <f t="shared" si="104"/>
        <v>10</v>
      </c>
      <c r="D143" s="101" t="str">
        <f t="shared" si="105"/>
        <v>102</v>
      </c>
      <c r="E143" s="217" t="str">
        <f t="shared" si="106"/>
        <v>100-10-102</v>
      </c>
      <c r="F143" s="294" t="str">
        <f t="shared" si="107"/>
        <v>50650</v>
      </c>
      <c r="G143" s="295" t="str">
        <f>VLOOKUP(F143,'GL Category'!A:C,3,FALSE)</f>
        <v>Personnel services</v>
      </c>
      <c r="H143" s="98" t="str">
        <f>VLOOKUP(F143,'GL Category'!A:C,2,FALSE)</f>
        <v>RETIREMENT</v>
      </c>
      <c r="I143" s="99">
        <f>SUMIF(Import!$B:$B,$A143,Import!D:D)</f>
        <v>194.38</v>
      </c>
      <c r="J143" s="99">
        <f>SUMIF(Import!$B:$B,$A143,Import!E:E)</f>
        <v>109.09</v>
      </c>
      <c r="K143" s="99">
        <f>SUMIF(Import!$B:$B,$A143,Import!F:F)</f>
        <v>66.900000000000006</v>
      </c>
      <c r="L143" s="99">
        <f>SUMIF(Import!$B:$B,$A143,Import!G:G)</f>
        <v>94.69</v>
      </c>
      <c r="M143" s="99">
        <f>SUMIF(Import!$B:$B,$A143,Import!H:H)</f>
        <v>265</v>
      </c>
      <c r="N143" s="99">
        <f>SUMIF(Import!$B:$B,$A143,Import!I:I)</f>
        <v>0</v>
      </c>
      <c r="O143" s="99">
        <f>SUMIF(Import!$B:$B,$A143,Import!J:J)</f>
        <v>95</v>
      </c>
      <c r="P143" s="99">
        <f t="shared" si="108"/>
        <v>-170</v>
      </c>
      <c r="Q143" s="99">
        <f>SUMIF(Import!$B:$B,$A143,Import!K:K)</f>
        <v>271</v>
      </c>
      <c r="R143" s="99">
        <f>SUMIF(Import!$B:$B,$A143,Import!L:L)</f>
        <v>0</v>
      </c>
      <c r="S143" s="99">
        <f>SUMIF(Import!$B:$B,$A143,Import!M:M)</f>
        <v>0</v>
      </c>
      <c r="T143" s="99">
        <f>SUMIF(Import!$B:$B,$A143,Import!N:N)</f>
        <v>271</v>
      </c>
      <c r="U143" s="99">
        <f t="shared" si="109"/>
        <v>6</v>
      </c>
      <c r="V143" s="255">
        <f t="shared" si="110"/>
        <v>2.2641509433962259E-2</v>
      </c>
      <c r="W143" s="102" t="s">
        <v>2290</v>
      </c>
      <c r="X143" s="102"/>
      <c r="Y143" s="102"/>
      <c r="Z143" s="309"/>
      <c r="AA143" s="615"/>
      <c r="AB143" s="622"/>
      <c r="AC143" s="633"/>
      <c r="AE143" s="622"/>
      <c r="AF143" s="633"/>
      <c r="AH143" s="622"/>
      <c r="AI143" s="633"/>
      <c r="AK143" s="622"/>
      <c r="AL143" s="633"/>
      <c r="AN143" s="622"/>
    </row>
    <row r="144" spans="1:59" ht="15" customHeight="1">
      <c r="A144" s="297"/>
      <c r="B144" s="217"/>
      <c r="C144" s="217"/>
      <c r="D144" s="101"/>
      <c r="E144" s="101"/>
      <c r="F144" s="294"/>
      <c r="G144" s="295"/>
      <c r="H144" s="107" t="str">
        <f>UPPER(G143)&amp;" TOTAL"</f>
        <v>PERSONNEL SERVICES TOTAL</v>
      </c>
      <c r="I144" s="108">
        <f t="shared" ref="I144" si="119">SUBTOTAL(9,I138:I143)</f>
        <v>1771.4699999999998</v>
      </c>
      <c r="J144" s="108">
        <f t="shared" ref="J144:T144" si="120">SUBTOTAL(9,J138:J143)</f>
        <v>948.34</v>
      </c>
      <c r="K144" s="108">
        <f t="shared" ref="K144" si="121">SUBTOTAL(9,K138:K143)</f>
        <v>603.98</v>
      </c>
      <c r="L144" s="108">
        <f t="shared" ref="L144" si="122">SUBTOTAL(9,L138:L143)</f>
        <v>905.22</v>
      </c>
      <c r="M144" s="108">
        <f t="shared" si="120"/>
        <v>2022</v>
      </c>
      <c r="N144" s="108">
        <f t="shared" ref="N144" si="123">SUBTOTAL(9,N138:N143)</f>
        <v>23.98</v>
      </c>
      <c r="O144" s="108">
        <f t="shared" si="120"/>
        <v>163</v>
      </c>
      <c r="P144" s="108">
        <f t="shared" si="120"/>
        <v>-1859</v>
      </c>
      <c r="Q144" s="108">
        <f t="shared" si="120"/>
        <v>2029</v>
      </c>
      <c r="R144" s="108">
        <f t="shared" si="120"/>
        <v>0</v>
      </c>
      <c r="S144" s="108">
        <f t="shared" si="120"/>
        <v>0</v>
      </c>
      <c r="T144" s="108">
        <f t="shared" si="120"/>
        <v>2029</v>
      </c>
      <c r="U144" s="99">
        <f>T144-M144</f>
        <v>7</v>
      </c>
      <c r="V144" s="255">
        <f>IF(M144=0,"N/A",T144/M144-1)</f>
        <v>3.4619188921860555E-3</v>
      </c>
      <c r="W144" s="102"/>
      <c r="X144" s="102"/>
      <c r="Y144" s="102"/>
      <c r="AA144" s="615"/>
      <c r="AC144" s="302"/>
      <c r="AD144" s="302"/>
      <c r="AE144" s="302"/>
      <c r="AF144" s="302"/>
      <c r="AG144" s="302"/>
      <c r="AJ144" s="302"/>
      <c r="AK144" s="302"/>
      <c r="AL144" s="302"/>
      <c r="AM144" s="302"/>
      <c r="AN144" s="302"/>
    </row>
    <row r="145" spans="1:59" ht="15" customHeight="1">
      <c r="A145" s="297"/>
      <c r="B145" s="217"/>
      <c r="C145" s="217"/>
      <c r="D145" s="101"/>
      <c r="E145" s="101"/>
      <c r="F145" s="294"/>
      <c r="G145" s="295"/>
      <c r="H145" s="98"/>
      <c r="I145" s="228"/>
      <c r="J145" s="228"/>
      <c r="K145" s="228"/>
      <c r="L145" s="228"/>
      <c r="M145" s="228"/>
      <c r="N145" s="229"/>
      <c r="O145" s="229"/>
      <c r="P145" s="229"/>
      <c r="Q145" s="230"/>
      <c r="R145" s="231"/>
      <c r="S145" s="231"/>
      <c r="T145" s="230"/>
      <c r="U145" s="230"/>
      <c r="V145" s="230"/>
      <c r="W145" s="102"/>
      <c r="X145" s="102"/>
      <c r="Y145" s="102"/>
      <c r="AA145" s="615"/>
      <c r="AC145" s="300"/>
      <c r="AD145" s="300"/>
      <c r="AE145" s="300"/>
      <c r="AF145" s="300"/>
      <c r="AG145" s="300"/>
      <c r="AJ145" s="300"/>
      <c r="AK145" s="300"/>
      <c r="AL145" s="300"/>
      <c r="AM145" s="300"/>
      <c r="AN145" s="300"/>
    </row>
    <row r="146" spans="1:59" ht="15" customHeight="1">
      <c r="A146" s="555" t="s">
        <v>2291</v>
      </c>
      <c r="B146" s="217" t="str">
        <f t="shared" ref="B146:B148" si="124">LEFT(A146,3)</f>
        <v>100</v>
      </c>
      <c r="C146" s="217" t="str">
        <f t="shared" ref="C146:C148" si="125">MID(A146,5,2)</f>
        <v>10</v>
      </c>
      <c r="D146" s="101" t="str">
        <f t="shared" ref="D146:D148" si="126">MID(A146,8,3)</f>
        <v>102</v>
      </c>
      <c r="E146" s="217" t="str">
        <f t="shared" ref="E146:E148" si="127">LEFT(A146,10)</f>
        <v>100-10-102</v>
      </c>
      <c r="F146" s="294" t="str">
        <f t="shared" ref="F146:F148" si="128">RIGHT(A146,5)</f>
        <v>51262</v>
      </c>
      <c r="G146" s="295" t="str">
        <f>VLOOKUP(F146,'GL Category'!A:C,3,FALSE)</f>
        <v>Operations &amp; maintenance</v>
      </c>
      <c r="H146" s="98" t="str">
        <f>VLOOKUP(F146,'GL Category'!A:C,2,FALSE)</f>
        <v>ART PROGRAM EXPENSES</v>
      </c>
      <c r="I146" s="99">
        <f>SUMIF(Import!$B:$B,$A146,Import!D:D)</f>
        <v>25314.69</v>
      </c>
      <c r="J146" s="99">
        <f>SUMIF(Import!$B:$B,$A146,Import!E:E)</f>
        <v>4485.07</v>
      </c>
      <c r="K146" s="99">
        <f>SUMIF(Import!$B:$B,$A146,Import!F:F)</f>
        <v>14088.4</v>
      </c>
      <c r="L146" s="99">
        <f>SUMIF(Import!$B:$B,$A146,Import!G:G)</f>
        <v>20117.96</v>
      </c>
      <c r="M146" s="99">
        <f>SUMIF(Import!$B:$B,$A146,Import!H:H)</f>
        <v>17950</v>
      </c>
      <c r="N146" s="99">
        <f>SUMIF(Import!$B:$B,$A146,Import!I:I)</f>
        <v>15681.2</v>
      </c>
      <c r="O146" s="99">
        <f>SUMIF(Import!$B:$B,$A146,Import!J:J)</f>
        <v>17000</v>
      </c>
      <c r="P146" s="99">
        <f t="shared" ref="P146:P148" si="129">O146-M146</f>
        <v>-950</v>
      </c>
      <c r="Q146" s="99">
        <f>SUMIF(Import!$B:$B,$A146,Import!K:K)</f>
        <v>17950</v>
      </c>
      <c r="R146" s="99">
        <f>SUMIF(Import!$B:$B,$A146,Import!L:L)</f>
        <v>1050</v>
      </c>
      <c r="S146" s="99">
        <f>SUMIF(Import!$B:$B,$A146,Import!M:M)</f>
        <v>0</v>
      </c>
      <c r="T146" s="99">
        <f>SUMIF(Import!$B:$B,$A146,Import!N:N)</f>
        <v>19000</v>
      </c>
      <c r="U146" s="99">
        <f t="shared" ref="U146:U148" si="130">T146-M146</f>
        <v>1050</v>
      </c>
      <c r="V146" s="255">
        <f t="shared" ref="V146:V148" si="131">IF(M146=0,"N/A",T146/M146-1)</f>
        <v>5.8495821727019504E-2</v>
      </c>
      <c r="W146" s="102" t="s">
        <v>2291</v>
      </c>
      <c r="X146" s="102"/>
      <c r="Y146" s="102"/>
      <c r="AA146" s="615"/>
      <c r="AC146" s="92"/>
      <c r="AD146" s="92"/>
      <c r="AE146" s="92"/>
      <c r="AF146" s="92"/>
      <c r="AG146" s="92"/>
      <c r="AJ146" s="92"/>
      <c r="AK146" s="92"/>
      <c r="AL146" s="92"/>
      <c r="AM146" s="92"/>
      <c r="AN146" s="92"/>
    </row>
    <row r="147" spans="1:59" ht="22.35" customHeight="1">
      <c r="A147" s="555" t="s">
        <v>2292</v>
      </c>
      <c r="B147" s="217" t="str">
        <f t="shared" ref="B147" si="132">LEFT(A147,3)</f>
        <v>100</v>
      </c>
      <c r="C147" s="217" t="str">
        <f t="shared" ref="C147" si="133">MID(A147,5,2)</f>
        <v>10</v>
      </c>
      <c r="D147" s="101" t="str">
        <f t="shared" ref="D147" si="134">MID(A147,8,3)</f>
        <v>102</v>
      </c>
      <c r="E147" s="217" t="str">
        <f t="shared" ref="E147" si="135">LEFT(A147,10)</f>
        <v>100-10-102</v>
      </c>
      <c r="F147" s="294" t="str">
        <f t="shared" ref="F147" si="136">RIGHT(A147,5)</f>
        <v>51210</v>
      </c>
      <c r="G147" s="295" t="str">
        <f>VLOOKUP(F147,'GL Category'!A:C,3,FALSE)</f>
        <v>Operations &amp; maintenance</v>
      </c>
      <c r="H147" s="98" t="str">
        <f>VLOOKUP(F147,'GL Category'!A:C,2,FALSE)</f>
        <v>OFFICE SUPPLIES</v>
      </c>
      <c r="I147" s="99">
        <f>SUMIF(Import!$B:$B,$A147,Import!D:D)</f>
        <v>1366.77</v>
      </c>
      <c r="J147" s="99">
        <f>SUMIF(Import!$B:$B,$A147,Import!E:E)</f>
        <v>482.5</v>
      </c>
      <c r="K147" s="99">
        <f>SUMIF(Import!$B:$B,$A147,Import!F:F)</f>
        <v>1964.57</v>
      </c>
      <c r="L147" s="99">
        <f>SUMIF(Import!$B:$B,$A147,Import!G:G)</f>
        <v>2238.65</v>
      </c>
      <c r="M147" s="99">
        <f>SUMIF(Import!$B:$B,$A147,Import!H:H)</f>
        <v>2000</v>
      </c>
      <c r="N147" s="99">
        <f>SUMIF(Import!$B:$B,$A147,Import!I:I)</f>
        <v>315</v>
      </c>
      <c r="O147" s="99">
        <f>SUMIF(Import!$B:$B,$A147,Import!J:J)</f>
        <v>1000</v>
      </c>
      <c r="P147" s="99">
        <f t="shared" ref="P147" si="137">O147-M147</f>
        <v>-1000</v>
      </c>
      <c r="Q147" s="99">
        <f>SUMIF(Import!$B:$B,$A147,Import!K:K)</f>
        <v>2000</v>
      </c>
      <c r="R147" s="99">
        <f>SUMIF(Import!$B:$B,$A147,Import!L:L)</f>
        <v>0</v>
      </c>
      <c r="S147" s="99">
        <f>SUMIF(Import!$B:$B,$A147,Import!M:M)</f>
        <v>0</v>
      </c>
      <c r="T147" s="99">
        <f>SUMIF(Import!$B:$B,$A147,Import!N:N)</f>
        <v>2000</v>
      </c>
      <c r="U147" s="99">
        <f t="shared" ref="U147" si="138">T147-M147</f>
        <v>0</v>
      </c>
      <c r="V147" s="255">
        <f t="shared" ref="V147" si="139">IF(M147=0,"N/A",T147/M147-1)</f>
        <v>0</v>
      </c>
      <c r="W147" s="102" t="s">
        <v>2292</v>
      </c>
      <c r="X147" s="102"/>
      <c r="Y147" s="102"/>
      <c r="AA147" s="615"/>
      <c r="AC147" s="302"/>
      <c r="AD147" s="302"/>
      <c r="AE147" s="302"/>
      <c r="AF147" s="302"/>
      <c r="AG147" s="302"/>
      <c r="AJ147" s="302"/>
      <c r="AK147" s="302"/>
      <c r="AL147" s="302"/>
      <c r="AM147" s="302"/>
      <c r="AN147" s="302"/>
    </row>
    <row r="148" spans="1:59" ht="22.35" customHeight="1">
      <c r="A148" s="555" t="s">
        <v>3201</v>
      </c>
      <c r="B148" s="217" t="str">
        <f t="shared" si="124"/>
        <v>100</v>
      </c>
      <c r="C148" s="217" t="str">
        <f t="shared" si="125"/>
        <v>10</v>
      </c>
      <c r="D148" s="101" t="str">
        <f t="shared" si="126"/>
        <v>102</v>
      </c>
      <c r="E148" s="217" t="str">
        <f t="shared" si="127"/>
        <v>100-10-102</v>
      </c>
      <c r="F148" s="294" t="str">
        <f t="shared" si="128"/>
        <v>51299</v>
      </c>
      <c r="G148" s="295" t="str">
        <f>VLOOKUP(F148,'GL Category'!A:C,3,FALSE)</f>
        <v>Operations &amp; maintenance</v>
      </c>
      <c r="H148" s="98" t="str">
        <f>VLOOKUP(F148,'GL Category'!A:C,2,FALSE)</f>
        <v>MISCELLANEOUS SUPPLIES</v>
      </c>
      <c r="I148" s="99">
        <f>SUMIF(Import!$B:$B,$A148,Import!D:D)</f>
        <v>0</v>
      </c>
      <c r="J148" s="99">
        <f>SUMIF(Import!$B:$B,$A148,Import!E:E)</f>
        <v>70</v>
      </c>
      <c r="K148" s="99">
        <f>SUMIF(Import!$B:$B,$A148,Import!F:F)</f>
        <v>0</v>
      </c>
      <c r="L148" s="99">
        <f>SUMIF(Import!$B:$B,$A148,Import!G:G)</f>
        <v>0</v>
      </c>
      <c r="M148" s="99">
        <f>SUMIF(Import!$B:$B,$A148,Import!H:H)</f>
        <v>0</v>
      </c>
      <c r="N148" s="99">
        <f>SUMIF(Import!$B:$B,$A148,Import!I:I)</f>
        <v>0</v>
      </c>
      <c r="O148" s="99">
        <f>SUMIF(Import!$B:$B,$A148,Import!J:J)</f>
        <v>0</v>
      </c>
      <c r="P148" s="99">
        <f t="shared" si="129"/>
        <v>0</v>
      </c>
      <c r="Q148" s="99">
        <f>SUMIF(Import!$B:$B,$A148,Import!K:K)</f>
        <v>0</v>
      </c>
      <c r="R148" s="99">
        <f>SUMIF(Import!$B:$B,$A148,Import!L:L)</f>
        <v>0</v>
      </c>
      <c r="S148" s="99">
        <f>SUMIF(Import!$B:$B,$A148,Import!M:M)</f>
        <v>0</v>
      </c>
      <c r="T148" s="99">
        <f>SUMIF(Import!$B:$B,$A148,Import!N:N)</f>
        <v>0</v>
      </c>
      <c r="U148" s="99">
        <f t="shared" si="130"/>
        <v>0</v>
      </c>
      <c r="V148" s="255" t="str">
        <f t="shared" si="131"/>
        <v>N/A</v>
      </c>
      <c r="W148" s="102" t="s">
        <v>2292</v>
      </c>
      <c r="X148" s="102"/>
      <c r="Y148" s="102"/>
      <c r="AA148" s="615"/>
      <c r="AC148" s="302"/>
      <c r="AD148" s="302"/>
      <c r="AE148" s="302"/>
      <c r="AF148" s="302"/>
      <c r="AG148" s="302"/>
      <c r="AJ148" s="302"/>
      <c r="AK148" s="302"/>
      <c r="AL148" s="302"/>
      <c r="AM148" s="302"/>
      <c r="AN148" s="302"/>
    </row>
    <row r="149" spans="1:59" ht="26.1" customHeight="1">
      <c r="A149" s="297"/>
      <c r="B149" s="217"/>
      <c r="C149" s="217"/>
      <c r="D149" s="101"/>
      <c r="E149" s="101"/>
      <c r="F149" s="294"/>
      <c r="G149" s="295"/>
      <c r="H149" s="107" t="str">
        <f>UPPER(G148)&amp;" TOTAL"</f>
        <v>OPERATIONS &amp; MAINTENANCE TOTAL</v>
      </c>
      <c r="I149" s="108">
        <f t="shared" ref="I149" si="140">SUBTOTAL(9,I146:I148)</f>
        <v>26681.46</v>
      </c>
      <c r="J149" s="108">
        <f t="shared" ref="J149:T149" si="141">SUBTOTAL(9,J146:J148)</f>
        <v>5037.57</v>
      </c>
      <c r="K149" s="108">
        <f t="shared" ref="K149" si="142">SUBTOTAL(9,K146:K148)</f>
        <v>16052.97</v>
      </c>
      <c r="L149" s="108">
        <f t="shared" ref="L149" si="143">SUBTOTAL(9,L146:L148)</f>
        <v>22356.61</v>
      </c>
      <c r="M149" s="108">
        <f t="shared" si="141"/>
        <v>19950</v>
      </c>
      <c r="N149" s="108">
        <f t="shared" ref="N149" si="144">SUBTOTAL(9,N146:N148)</f>
        <v>15996.2</v>
      </c>
      <c r="O149" s="108">
        <f t="shared" si="141"/>
        <v>18000</v>
      </c>
      <c r="P149" s="108">
        <f t="shared" si="141"/>
        <v>-1950</v>
      </c>
      <c r="Q149" s="108">
        <f t="shared" si="141"/>
        <v>19950</v>
      </c>
      <c r="R149" s="108">
        <f t="shared" si="141"/>
        <v>1050</v>
      </c>
      <c r="S149" s="108">
        <f t="shared" si="141"/>
        <v>0</v>
      </c>
      <c r="T149" s="108">
        <f t="shared" si="141"/>
        <v>21000</v>
      </c>
      <c r="U149" s="99">
        <f>T149-M149</f>
        <v>1050</v>
      </c>
      <c r="V149" s="255">
        <f>IF(M149=0,"N/A",T149/M149-1)</f>
        <v>5.2631578947368363E-2</v>
      </c>
      <c r="W149" s="102"/>
      <c r="X149" s="102"/>
      <c r="Y149" s="102"/>
      <c r="AA149" s="615"/>
      <c r="AC149" s="91"/>
      <c r="AD149" s="91"/>
      <c r="AE149" s="91"/>
      <c r="AF149" s="91"/>
      <c r="AG149" s="91"/>
      <c r="AJ149" s="91"/>
      <c r="AK149" s="91"/>
      <c r="AL149" s="91"/>
      <c r="AM149" s="91"/>
      <c r="AN149" s="91"/>
    </row>
    <row r="150" spans="1:59" ht="15" customHeight="1">
      <c r="A150" s="297"/>
      <c r="B150" s="217"/>
      <c r="C150" s="217"/>
      <c r="D150" s="101"/>
      <c r="E150" s="101"/>
      <c r="F150" s="294"/>
      <c r="G150" s="295"/>
      <c r="H150" s="98"/>
      <c r="I150" s="228"/>
      <c r="J150" s="228"/>
      <c r="K150" s="228"/>
      <c r="L150" s="228"/>
      <c r="M150" s="228"/>
      <c r="N150" s="229"/>
      <c r="O150" s="229"/>
      <c r="P150" s="229"/>
      <c r="Q150" s="230"/>
      <c r="R150" s="231"/>
      <c r="S150" s="231"/>
      <c r="T150" s="230"/>
      <c r="U150" s="230"/>
      <c r="V150" s="230"/>
      <c r="W150" s="102"/>
      <c r="X150" s="102"/>
      <c r="Y150" s="102"/>
      <c r="AA150" s="615"/>
    </row>
    <row r="151" spans="1:59" s="75" customFormat="1" ht="15" customHeight="1">
      <c r="A151" s="555" t="s">
        <v>2294</v>
      </c>
      <c r="B151" s="217" t="str">
        <f t="shared" ref="B151:B153" si="145">LEFT(A151,3)</f>
        <v>100</v>
      </c>
      <c r="C151" s="217" t="str">
        <f t="shared" ref="C151:C153" si="146">MID(A151,5,2)</f>
        <v>10</v>
      </c>
      <c r="D151" s="101" t="str">
        <f t="shared" ref="D151:D153" si="147">MID(A151,8,3)</f>
        <v>102</v>
      </c>
      <c r="E151" s="217" t="str">
        <f t="shared" ref="E151:E153" si="148">LEFT(A151,10)</f>
        <v>100-10-102</v>
      </c>
      <c r="F151" s="294" t="str">
        <f t="shared" ref="F151:F153" si="149">RIGHT(A151,5)</f>
        <v>53534</v>
      </c>
      <c r="G151" s="295" t="str">
        <f>VLOOKUP(F151,'GL Category'!A:C,3,FALSE)</f>
        <v>Services &amp; other</v>
      </c>
      <c r="H151" s="98" t="str">
        <f>VLOOKUP(F151,'GL Category'!A:C,2,FALSE)</f>
        <v>MARKETING &amp; PROMOTIONAL</v>
      </c>
      <c r="I151" s="99">
        <f>SUMIF(Import!$B:$B,$A151,Import!D:D)</f>
        <v>5146.16</v>
      </c>
      <c r="J151" s="99">
        <f>SUMIF(Import!$B:$B,$A151,Import!E:E)</f>
        <v>1455.21</v>
      </c>
      <c r="K151" s="99">
        <f>SUMIF(Import!$B:$B,$A151,Import!F:F)</f>
        <v>1398.95</v>
      </c>
      <c r="L151" s="99">
        <f>SUMIF(Import!$B:$B,$A151,Import!G:G)</f>
        <v>2995.91</v>
      </c>
      <c r="M151" s="99">
        <f>SUMIF(Import!$B:$B,$A151,Import!H:H)</f>
        <v>4000</v>
      </c>
      <c r="N151" s="99">
        <f>SUMIF(Import!$B:$B,$A151,Import!I:I)</f>
        <v>2202</v>
      </c>
      <c r="O151" s="99">
        <f>SUMIF(Import!$B:$B,$A151,Import!J:J)</f>
        <v>1600</v>
      </c>
      <c r="P151" s="99">
        <f t="shared" ref="P151:P153" si="150">O151-M151</f>
        <v>-2400</v>
      </c>
      <c r="Q151" s="99">
        <f>SUMIF(Import!$B:$B,$A151,Import!K:K)</f>
        <v>4000</v>
      </c>
      <c r="R151" s="99">
        <f>SUMIF(Import!$B:$B,$A151,Import!L:L)</f>
        <v>0</v>
      </c>
      <c r="S151" s="99">
        <f>SUMIF(Import!$B:$B,$A151,Import!M:M)</f>
        <v>0</v>
      </c>
      <c r="T151" s="99">
        <f>SUMIF(Import!$B:$B,$A151,Import!N:N)</f>
        <v>4000</v>
      </c>
      <c r="U151" s="99">
        <f t="shared" ref="U151:U153" si="151">T151-M151</f>
        <v>0</v>
      </c>
      <c r="V151" s="255">
        <f t="shared" ref="V151:V153" si="152">IF(M151=0,"N/A",T151/M151-1)</f>
        <v>0</v>
      </c>
      <c r="W151" s="102" t="s">
        <v>2294</v>
      </c>
      <c r="X151" s="102"/>
      <c r="Y151" s="102"/>
      <c r="Z151" s="614"/>
      <c r="AA151" s="615"/>
      <c r="AB151" s="624"/>
      <c r="AC151" s="625"/>
      <c r="AD151" s="625"/>
      <c r="AE151" s="625"/>
      <c r="AF151" s="625"/>
      <c r="AG151" s="625"/>
      <c r="AH151" s="623"/>
      <c r="AI151" s="624"/>
      <c r="AJ151" s="626"/>
      <c r="AK151" s="626"/>
      <c r="AL151" s="626"/>
      <c r="AM151" s="626"/>
      <c r="AN151" s="626"/>
      <c r="AO151" s="192"/>
      <c r="AP151" s="192"/>
      <c r="AQ151" s="192"/>
      <c r="AR151" s="115"/>
      <c r="AS151" s="115"/>
      <c r="AT151" s="115"/>
      <c r="AU151" s="115"/>
      <c r="AV151" s="115"/>
      <c r="AW151" s="115"/>
      <c r="AX151" s="115"/>
      <c r="AY151" s="115"/>
      <c r="AZ151" s="115"/>
      <c r="BA151" s="115"/>
      <c r="BB151" s="115"/>
      <c r="BC151" s="115"/>
      <c r="BD151" s="115"/>
      <c r="BE151" s="74"/>
      <c r="BF151" s="74"/>
      <c r="BG151" s="74"/>
    </row>
    <row r="152" spans="1:59" ht="15" customHeight="1">
      <c r="A152" s="555" t="s">
        <v>3327</v>
      </c>
      <c r="B152" s="217" t="str">
        <f t="shared" ref="B152" si="153">LEFT(A152,3)</f>
        <v>100</v>
      </c>
      <c r="C152" s="217" t="str">
        <f t="shared" ref="C152" si="154">MID(A152,5,2)</f>
        <v>10</v>
      </c>
      <c r="D152" s="101" t="str">
        <f t="shared" ref="D152" si="155">MID(A152,8,3)</f>
        <v>102</v>
      </c>
      <c r="E152" s="217" t="str">
        <f t="shared" ref="E152" si="156">LEFT(A152,10)</f>
        <v>100-10-102</v>
      </c>
      <c r="F152" s="294" t="str">
        <f t="shared" ref="F152" si="157">RIGHT(A152,5)</f>
        <v>53585</v>
      </c>
      <c r="G152" s="295" t="str">
        <f>VLOOKUP(F152,'GL Category'!A:C,3,FALSE)</f>
        <v>Services &amp; other</v>
      </c>
      <c r="H152" s="98" t="str">
        <f>VLOOKUP(F152,'GL Category'!A:C,2,FALSE)</f>
        <v>BANKING SERVICES CHARGES</v>
      </c>
      <c r="I152" s="99">
        <f>SUMIF(Import!$B:$B,$A152,Import!D:D)</f>
        <v>0</v>
      </c>
      <c r="J152" s="99">
        <f>SUMIF(Import!$B:$B,$A152,Import!E:E)</f>
        <v>3.82</v>
      </c>
      <c r="K152" s="99">
        <f>SUMIF(Import!$B:$B,$A152,Import!F:F)</f>
        <v>65.11</v>
      </c>
      <c r="L152" s="99">
        <f>SUMIF(Import!$B:$B,$A152,Import!G:G)</f>
        <v>102.85</v>
      </c>
      <c r="M152" s="99">
        <f>SUMIF(Import!$B:$B,$A152,Import!H:H)</f>
        <v>0</v>
      </c>
      <c r="N152" s="99">
        <f>SUMIF(Import!$B:$B,$A152,Import!I:I)</f>
        <v>104.46</v>
      </c>
      <c r="O152" s="99">
        <f>SUMIF(Import!$B:$B,$A152,Import!J:J)</f>
        <v>100</v>
      </c>
      <c r="P152" s="99">
        <f t="shared" ref="P152" si="158">O152-M152</f>
        <v>100</v>
      </c>
      <c r="Q152" s="99">
        <f>SUMIF(Import!$B:$B,$A152,Import!K:K)</f>
        <v>0</v>
      </c>
      <c r="R152" s="99">
        <f>SUMIF(Import!$B:$B,$A152,Import!L:L)</f>
        <v>0</v>
      </c>
      <c r="S152" s="99">
        <f>SUMIF(Import!$B:$B,$A152,Import!M:M)</f>
        <v>0</v>
      </c>
      <c r="T152" s="99">
        <f>SUMIF(Import!$B:$B,$A152,Import!N:N)</f>
        <v>0</v>
      </c>
      <c r="U152" s="99">
        <f t="shared" ref="U152" si="159">T152-M152</f>
        <v>0</v>
      </c>
      <c r="V152" s="255" t="str">
        <f t="shared" ref="V152" si="160">IF(M152=0,"N/A",T152/M152-1)</f>
        <v>N/A</v>
      </c>
      <c r="W152" s="102" t="s">
        <v>2293</v>
      </c>
      <c r="X152" s="102"/>
      <c r="Y152" s="102"/>
      <c r="Z152" s="617"/>
      <c r="AA152" s="615"/>
      <c r="AC152" s="300"/>
      <c r="AD152" s="300"/>
      <c r="AE152" s="300"/>
      <c r="AF152" s="300"/>
      <c r="AG152" s="300"/>
      <c r="AJ152" s="300"/>
      <c r="AK152" s="300"/>
      <c r="AL152" s="300"/>
      <c r="AM152" s="300"/>
      <c r="AN152" s="300"/>
    </row>
    <row r="153" spans="1:59" ht="15" customHeight="1">
      <c r="A153" s="555" t="s">
        <v>2293</v>
      </c>
      <c r="B153" s="217" t="str">
        <f t="shared" si="145"/>
        <v>100</v>
      </c>
      <c r="C153" s="217" t="str">
        <f t="shared" si="146"/>
        <v>10</v>
      </c>
      <c r="D153" s="101" t="str">
        <f t="shared" si="147"/>
        <v>102</v>
      </c>
      <c r="E153" s="217" t="str">
        <f t="shared" si="148"/>
        <v>100-10-102</v>
      </c>
      <c r="F153" s="294" t="str">
        <f t="shared" si="149"/>
        <v>53599</v>
      </c>
      <c r="G153" s="295" t="str">
        <f>VLOOKUP(F153,'GL Category'!A:C,3,FALSE)</f>
        <v>Services &amp; other</v>
      </c>
      <c r="H153" s="98" t="str">
        <f>VLOOKUP(F153,'GL Category'!A:C,2,FALSE)</f>
        <v>MISCELLANEOUS SERVICES</v>
      </c>
      <c r="I153" s="99">
        <f>SUMIF(Import!$B:$B,$A153,Import!D:D)</f>
        <v>1578.87</v>
      </c>
      <c r="J153" s="99">
        <f>SUMIF(Import!$B:$B,$A153,Import!E:E)</f>
        <v>1164.32</v>
      </c>
      <c r="K153" s="99">
        <f>SUMIF(Import!$B:$B,$A153,Import!F:F)</f>
        <v>2727.92</v>
      </c>
      <c r="L153" s="99">
        <f>SUMIF(Import!$B:$B,$A153,Import!G:G)</f>
        <v>2892.14</v>
      </c>
      <c r="M153" s="99">
        <f>SUMIF(Import!$B:$B,$A153,Import!H:H)</f>
        <v>1950</v>
      </c>
      <c r="N153" s="99">
        <f>SUMIF(Import!$B:$B,$A153,Import!I:I)</f>
        <v>1642.15</v>
      </c>
      <c r="O153" s="99">
        <f>SUMIF(Import!$B:$B,$A153,Import!J:J)</f>
        <v>1950</v>
      </c>
      <c r="P153" s="99">
        <f t="shared" si="150"/>
        <v>0</v>
      </c>
      <c r="Q153" s="99">
        <f>SUMIF(Import!$B:$B,$A153,Import!K:K)</f>
        <v>1950</v>
      </c>
      <c r="R153" s="99">
        <f>SUMIF(Import!$B:$B,$A153,Import!L:L)</f>
        <v>0</v>
      </c>
      <c r="S153" s="99">
        <f>SUMIF(Import!$B:$B,$A153,Import!M:M)</f>
        <v>0</v>
      </c>
      <c r="T153" s="99">
        <f>SUMIF(Import!$B:$B,$A153,Import!N:N)</f>
        <v>1950</v>
      </c>
      <c r="U153" s="99">
        <f t="shared" si="151"/>
        <v>0</v>
      </c>
      <c r="V153" s="255">
        <f t="shared" si="152"/>
        <v>0</v>
      </c>
      <c r="W153" s="102" t="s">
        <v>2293</v>
      </c>
      <c r="X153" s="102"/>
      <c r="Y153" s="102"/>
      <c r="Z153" s="617"/>
      <c r="AA153" s="615"/>
      <c r="AC153" s="300"/>
      <c r="AD153" s="300"/>
      <c r="AE153" s="300"/>
      <c r="AF153" s="300"/>
      <c r="AG153" s="300"/>
      <c r="AJ153" s="300"/>
      <c r="AK153" s="300"/>
      <c r="AL153" s="300"/>
      <c r="AM153" s="300"/>
      <c r="AN153" s="300"/>
    </row>
    <row r="154" spans="1:59" ht="15" customHeight="1">
      <c r="A154" s="297"/>
      <c r="B154" s="217"/>
      <c r="C154" s="217"/>
      <c r="D154" s="101"/>
      <c r="E154" s="101"/>
      <c r="F154" s="294"/>
      <c r="G154" s="295"/>
      <c r="H154" s="107" t="str">
        <f>UPPER(G153)&amp;" TOTAL"</f>
        <v>SERVICES &amp; OTHER TOTAL</v>
      </c>
      <c r="I154" s="108">
        <f t="shared" ref="I154" si="161">SUBTOTAL(9,I151:I153)</f>
        <v>6725.03</v>
      </c>
      <c r="J154" s="108">
        <f t="shared" ref="J154:T154" si="162">SUBTOTAL(9,J151:J153)</f>
        <v>2623.35</v>
      </c>
      <c r="K154" s="108">
        <f t="shared" ref="K154" si="163">SUBTOTAL(9,K151:K153)</f>
        <v>4191.9799999999996</v>
      </c>
      <c r="L154" s="108">
        <f t="shared" ref="L154" si="164">SUBTOTAL(9,L151:L153)</f>
        <v>5990.9</v>
      </c>
      <c r="M154" s="108">
        <f t="shared" si="162"/>
        <v>5950</v>
      </c>
      <c r="N154" s="108">
        <f t="shared" ref="N154" si="165">SUBTOTAL(9,N151:N153)</f>
        <v>3948.61</v>
      </c>
      <c r="O154" s="108">
        <f t="shared" si="162"/>
        <v>3650</v>
      </c>
      <c r="P154" s="108">
        <f t="shared" si="162"/>
        <v>-2300</v>
      </c>
      <c r="Q154" s="108">
        <f t="shared" si="162"/>
        <v>5950</v>
      </c>
      <c r="R154" s="108">
        <f t="shared" si="162"/>
        <v>0</v>
      </c>
      <c r="S154" s="108">
        <f t="shared" si="162"/>
        <v>0</v>
      </c>
      <c r="T154" s="108">
        <f t="shared" si="162"/>
        <v>5950</v>
      </c>
      <c r="U154" s="99">
        <f>T154-M154</f>
        <v>0</v>
      </c>
      <c r="V154" s="255">
        <f>IF(M154=0,"N/A",T154/M154-1)</f>
        <v>0</v>
      </c>
      <c r="W154" s="102"/>
      <c r="X154" s="102"/>
      <c r="Y154" s="102"/>
      <c r="AA154" s="615"/>
      <c r="AC154" s="300"/>
      <c r="AD154" s="300"/>
      <c r="AE154" s="300"/>
      <c r="AF154" s="300"/>
      <c r="AG154" s="300"/>
      <c r="AJ154" s="300"/>
      <c r="AK154" s="300"/>
      <c r="AL154" s="300"/>
      <c r="AM154" s="300"/>
      <c r="AN154" s="300"/>
    </row>
    <row r="155" spans="1:59" ht="15" customHeight="1">
      <c r="F155" s="105"/>
      <c r="G155" s="105"/>
      <c r="H155" s="98"/>
      <c r="I155" s="218"/>
      <c r="J155" s="218"/>
      <c r="K155" s="218"/>
      <c r="L155" s="218"/>
      <c r="M155" s="218"/>
      <c r="N155" s="226"/>
      <c r="O155" s="226"/>
      <c r="P155" s="226"/>
      <c r="Q155" s="111"/>
      <c r="R155" s="111"/>
      <c r="S155" s="111"/>
      <c r="T155" s="230"/>
      <c r="U155" s="230"/>
      <c r="V155" s="230"/>
      <c r="W155" s="102"/>
      <c r="X155" s="102"/>
      <c r="Y155" s="102"/>
      <c r="AA155" s="615"/>
      <c r="AC155" s="300"/>
      <c r="AD155" s="300"/>
      <c r="AE155" s="300"/>
      <c r="AF155" s="300"/>
      <c r="AG155" s="300"/>
      <c r="AJ155" s="300"/>
      <c r="AK155" s="300"/>
      <c r="AL155" s="300"/>
      <c r="AM155" s="300"/>
      <c r="AN155" s="300"/>
    </row>
    <row r="156" spans="1:59" ht="15" customHeight="1">
      <c r="A156" s="297"/>
      <c r="B156" s="217"/>
      <c r="C156" s="217"/>
      <c r="D156" s="101"/>
      <c r="E156" s="101"/>
      <c r="F156" s="294"/>
      <c r="G156" s="295"/>
      <c r="H156" s="114" t="s">
        <v>763</v>
      </c>
      <c r="I156" s="221">
        <f t="shared" ref="I156" si="166">SUBTOTAL(9,I138:I155)</f>
        <v>35177.96</v>
      </c>
      <c r="J156" s="221">
        <f t="shared" ref="J156:T156" si="167">SUBTOTAL(9,J138:J155)</f>
        <v>8609.26</v>
      </c>
      <c r="K156" s="221">
        <f t="shared" ref="K156" si="168">SUBTOTAL(9,K138:K155)</f>
        <v>20848.93</v>
      </c>
      <c r="L156" s="221">
        <f t="shared" ref="L156" si="169">SUBTOTAL(9,L138:L155)</f>
        <v>29252.73</v>
      </c>
      <c r="M156" s="221">
        <f t="shared" si="167"/>
        <v>27922</v>
      </c>
      <c r="N156" s="221">
        <f t="shared" ref="N156" si="170">SUBTOTAL(9,N138:N155)</f>
        <v>19968.79</v>
      </c>
      <c r="O156" s="221">
        <f t="shared" si="167"/>
        <v>21813</v>
      </c>
      <c r="P156" s="221">
        <f t="shared" si="167"/>
        <v>-6109</v>
      </c>
      <c r="Q156" s="221">
        <f t="shared" si="167"/>
        <v>27929</v>
      </c>
      <c r="R156" s="221">
        <f t="shared" si="167"/>
        <v>1050</v>
      </c>
      <c r="S156" s="221">
        <f t="shared" si="167"/>
        <v>0</v>
      </c>
      <c r="T156" s="221">
        <f t="shared" si="167"/>
        <v>28979</v>
      </c>
      <c r="U156" s="99">
        <f>T156-M156</f>
        <v>1057</v>
      </c>
      <c r="V156" s="255">
        <f>IF(M156=0,"N/A",T156/M156-1)</f>
        <v>3.7855454480338002E-2</v>
      </c>
      <c r="W156" s="102"/>
      <c r="X156" s="102"/>
      <c r="Y156" s="102"/>
      <c r="AA156" s="615"/>
      <c r="AC156" s="92"/>
      <c r="AD156" s="92"/>
      <c r="AE156" s="92"/>
      <c r="AF156" s="92"/>
      <c r="AG156" s="92"/>
      <c r="AJ156" s="92"/>
      <c r="AK156" s="92"/>
      <c r="AL156" s="92"/>
      <c r="AM156" s="92"/>
      <c r="AN156" s="92"/>
    </row>
    <row r="157" spans="1:59" ht="15" customHeight="1" thickBot="1">
      <c r="A157" s="297"/>
      <c r="B157" s="217"/>
      <c r="C157" s="217"/>
      <c r="D157" s="101"/>
      <c r="E157" s="101"/>
      <c r="F157" s="294"/>
      <c r="G157" s="295"/>
      <c r="H157" s="98"/>
      <c r="I157" s="218"/>
      <c r="J157" s="218"/>
      <c r="K157" s="218"/>
      <c r="L157" s="218"/>
      <c r="M157" s="218"/>
      <c r="U157" s="212"/>
      <c r="V157" s="212"/>
      <c r="W157" s="102"/>
      <c r="X157" s="102"/>
      <c r="Y157" s="102"/>
      <c r="AA157" s="615"/>
      <c r="AC157" s="301"/>
      <c r="AD157" s="301"/>
      <c r="AE157" s="301"/>
      <c r="AF157" s="301"/>
      <c r="AG157" s="301"/>
      <c r="AJ157" s="301"/>
      <c r="AK157" s="301"/>
      <c r="AL157" s="301"/>
      <c r="AM157" s="301"/>
      <c r="AN157" s="301"/>
    </row>
    <row r="158" spans="1:59" s="105" customFormat="1" ht="24.75" customHeight="1" thickBot="1">
      <c r="A158" s="297"/>
      <c r="B158" s="217"/>
      <c r="C158" s="217"/>
      <c r="D158" s="101"/>
      <c r="E158" s="101"/>
      <c r="F158" s="294"/>
      <c r="G158" s="295"/>
      <c r="H158" s="665" t="s">
        <v>607</v>
      </c>
      <c r="I158" s="666"/>
      <c r="J158" s="666"/>
      <c r="K158" s="666"/>
      <c r="L158" s="666"/>
      <c r="M158" s="666"/>
      <c r="N158" s="666"/>
      <c r="O158" s="666"/>
      <c r="P158" s="666"/>
      <c r="Q158" s="666"/>
      <c r="R158" s="666"/>
      <c r="S158" s="666"/>
      <c r="T158" s="667"/>
      <c r="U158" s="247"/>
      <c r="V158" s="247"/>
      <c r="W158" s="102"/>
      <c r="X158" s="102"/>
      <c r="Y158" s="102"/>
      <c r="Z158" s="95"/>
      <c r="AA158" s="615"/>
      <c r="AB158" s="627"/>
      <c r="AC158" s="303"/>
      <c r="AD158" s="303"/>
      <c r="AE158" s="303"/>
      <c r="AF158" s="303"/>
      <c r="AG158" s="303"/>
      <c r="AH158" s="627"/>
      <c r="AI158" s="627"/>
      <c r="AJ158" s="303"/>
      <c r="AK158" s="303"/>
      <c r="AL158" s="303"/>
      <c r="AM158" s="303"/>
      <c r="AN158" s="303"/>
      <c r="AO158" s="196"/>
      <c r="AP158" s="196"/>
      <c r="AQ158" s="196"/>
      <c r="AR158" s="104"/>
      <c r="AS158" s="104"/>
      <c r="AT158" s="104"/>
      <c r="AU158" s="104"/>
      <c r="AV158" s="104"/>
      <c r="AW158" s="104"/>
      <c r="AX158" s="104"/>
      <c r="AY158" s="104"/>
      <c r="AZ158" s="104"/>
      <c r="BA158" s="104"/>
      <c r="BB158" s="104"/>
      <c r="BC158" s="104"/>
      <c r="BD158" s="104"/>
      <c r="BE158" s="104"/>
      <c r="BF158" s="104"/>
      <c r="BG158" s="104"/>
    </row>
    <row r="159" spans="1:59" ht="15" customHeight="1">
      <c r="A159" s="297"/>
      <c r="B159" s="217"/>
      <c r="C159" s="217"/>
      <c r="D159" s="101"/>
      <c r="E159" s="101"/>
      <c r="F159" s="294"/>
      <c r="G159" s="295"/>
      <c r="H159" s="225"/>
      <c r="I159" s="225"/>
      <c r="J159" s="225"/>
      <c r="K159" s="225"/>
      <c r="L159" s="225"/>
      <c r="M159" s="225"/>
      <c r="N159" s="225"/>
      <c r="O159" s="225"/>
      <c r="P159" s="225"/>
      <c r="Q159" s="225"/>
      <c r="R159" s="225"/>
      <c r="S159" s="225"/>
      <c r="T159" s="225"/>
      <c r="U159" s="225"/>
      <c r="V159" s="225"/>
      <c r="W159" s="102"/>
      <c r="X159" s="102"/>
      <c r="Y159" s="102"/>
      <c r="AA159" s="615"/>
      <c r="AC159" s="92"/>
      <c r="AD159" s="92"/>
      <c r="AE159" s="92"/>
      <c r="AF159" s="92"/>
      <c r="AG159" s="92"/>
      <c r="AJ159" s="92"/>
      <c r="AK159" s="92"/>
      <c r="AL159" s="92"/>
      <c r="AM159" s="92"/>
      <c r="AN159" s="92"/>
    </row>
    <row r="160" spans="1:59" ht="15" customHeight="1">
      <c r="A160" s="555" t="s">
        <v>2295</v>
      </c>
      <c r="B160" s="217" t="str">
        <f t="shared" ref="B160:B167" si="171">LEFT(A160,3)</f>
        <v>100</v>
      </c>
      <c r="C160" s="217" t="str">
        <f t="shared" ref="C160:C167" si="172">MID(A160,5,2)</f>
        <v>10</v>
      </c>
      <c r="D160" s="101" t="str">
        <f t="shared" ref="D160:D167" si="173">MID(A160,8,3)</f>
        <v>103</v>
      </c>
      <c r="E160" s="217" t="str">
        <f t="shared" ref="E160:E167" si="174">LEFT(A160,10)</f>
        <v>100-10-103</v>
      </c>
      <c r="F160" s="294" t="str">
        <f t="shared" ref="F160:F167" si="175">RIGHT(A160,5)</f>
        <v>50101</v>
      </c>
      <c r="G160" s="295" t="str">
        <f>VLOOKUP(F160,'GL Category'!A:C,3,FALSE)</f>
        <v>Personnel services</v>
      </c>
      <c r="H160" s="98" t="str">
        <f>VLOOKUP(F160,'GL Category'!A:C,2,FALSE)</f>
        <v>EXEMPT SALARIES</v>
      </c>
      <c r="I160" s="99">
        <f>SUMIF(Import!$B:$B,$A160,Import!D:D)</f>
        <v>94050.01</v>
      </c>
      <c r="J160" s="99">
        <f>SUMIF(Import!$B:$B,$A160,Import!E:E)</f>
        <v>129984.33</v>
      </c>
      <c r="K160" s="99">
        <f>SUMIF(Import!$B:$B,$A160,Import!F:F)</f>
        <v>171043.67</v>
      </c>
      <c r="L160" s="99">
        <f>SUMIF(Import!$B:$B,$A160,Import!G:G)</f>
        <v>182115.89</v>
      </c>
      <c r="M160" s="99">
        <f>SUMIF(Import!$B:$B,$A160,Import!H:H)</f>
        <v>176278</v>
      </c>
      <c r="N160" s="99">
        <f>SUMIF(Import!$B:$B,$A160,Import!I:I)</f>
        <v>134710.53</v>
      </c>
      <c r="O160" s="99">
        <f>SUMIF(Import!$B:$B,$A160,Import!J:J)</f>
        <v>176934</v>
      </c>
      <c r="P160" s="99">
        <f t="shared" ref="P160:P167" si="176">O160-M160</f>
        <v>656</v>
      </c>
      <c r="Q160" s="99">
        <f>SUMIF(Import!$B:$B,$A160,Import!K:K)</f>
        <v>183291</v>
      </c>
      <c r="R160" s="99">
        <f>SUMIF(Import!$B:$B,$A160,Import!L:L)</f>
        <v>0</v>
      </c>
      <c r="S160" s="99">
        <f>SUMIF(Import!$B:$B,$A160,Import!M:M)</f>
        <v>0</v>
      </c>
      <c r="T160" s="99">
        <f>SUMIF(Import!$B:$B,$A160,Import!N:N)</f>
        <v>183291</v>
      </c>
      <c r="U160" s="99">
        <f t="shared" ref="U160:U167" si="177">T160-M160</f>
        <v>7013</v>
      </c>
      <c r="V160" s="255">
        <f t="shared" ref="V160:V167" si="178">IF(M160=0,"N/A",T160/M160-1)</f>
        <v>3.9783750666560813E-2</v>
      </c>
      <c r="W160" s="102" t="s">
        <v>2295</v>
      </c>
      <c r="X160" s="102"/>
      <c r="Y160" s="102"/>
      <c r="AA160" s="615"/>
      <c r="AC160" s="301"/>
      <c r="AD160" s="301"/>
      <c r="AE160" s="301"/>
      <c r="AF160" s="301"/>
      <c r="AG160" s="301"/>
      <c r="AJ160" s="301"/>
      <c r="AK160" s="301"/>
      <c r="AL160" s="301"/>
      <c r="AM160" s="301"/>
      <c r="AN160" s="301"/>
    </row>
    <row r="161" spans="1:59" ht="15" customHeight="1">
      <c r="A161" s="555" t="s">
        <v>2296</v>
      </c>
      <c r="B161" s="217" t="str">
        <f t="shared" si="171"/>
        <v>100</v>
      </c>
      <c r="C161" s="217" t="str">
        <f t="shared" si="172"/>
        <v>10</v>
      </c>
      <c r="D161" s="101" t="str">
        <f t="shared" si="173"/>
        <v>103</v>
      </c>
      <c r="E161" s="217" t="str">
        <f t="shared" si="174"/>
        <v>100-10-103</v>
      </c>
      <c r="F161" s="294" t="str">
        <f t="shared" si="175"/>
        <v>50102</v>
      </c>
      <c r="G161" s="295" t="str">
        <f>VLOOKUP(F161,'GL Category'!A:C,3,FALSE)</f>
        <v>Personnel services</v>
      </c>
      <c r="H161" s="98" t="str">
        <f>VLOOKUP(F161,'GL Category'!A:C,2,FALSE)</f>
        <v>NON EXEMPT SALARIES</v>
      </c>
      <c r="I161" s="99">
        <f>SUMIF(Import!$B:$B,$A161,Import!D:D)</f>
        <v>57729.64</v>
      </c>
      <c r="J161" s="99">
        <f>SUMIF(Import!$B:$B,$A161,Import!E:E)</f>
        <v>29999.919999999998</v>
      </c>
      <c r="K161" s="99">
        <f>SUMIF(Import!$B:$B,$A161,Import!F:F)</f>
        <v>0</v>
      </c>
      <c r="L161" s="99">
        <f>SUMIF(Import!$B:$B,$A161,Import!G:G)</f>
        <v>0</v>
      </c>
      <c r="M161" s="99">
        <f>SUMIF(Import!$B:$B,$A161,Import!H:H)</f>
        <v>0</v>
      </c>
      <c r="N161" s="99">
        <f>SUMIF(Import!$B:$B,$A161,Import!I:I)</f>
        <v>0</v>
      </c>
      <c r="O161" s="99">
        <f>SUMIF(Import!$B:$B,$A161,Import!J:J)</f>
        <v>0</v>
      </c>
      <c r="P161" s="99">
        <f t="shared" si="176"/>
        <v>0</v>
      </c>
      <c r="Q161" s="99">
        <f>SUMIF(Import!$B:$B,$A161,Import!K:K)</f>
        <v>0</v>
      </c>
      <c r="R161" s="99">
        <f>SUMIF(Import!$B:$B,$A161,Import!L:L)</f>
        <v>0</v>
      </c>
      <c r="S161" s="99">
        <f>SUMIF(Import!$B:$B,$A161,Import!M:M)</f>
        <v>0</v>
      </c>
      <c r="T161" s="99">
        <f>SUMIF(Import!$B:$B,$A161,Import!N:N)</f>
        <v>0</v>
      </c>
      <c r="U161" s="99">
        <f t="shared" si="177"/>
        <v>0</v>
      </c>
      <c r="V161" s="255" t="str">
        <f t="shared" si="178"/>
        <v>N/A</v>
      </c>
      <c r="W161" s="102" t="s">
        <v>2296</v>
      </c>
      <c r="X161" s="102"/>
      <c r="Y161" s="102"/>
      <c r="AA161" s="615"/>
      <c r="AC161" s="300"/>
      <c r="AD161" s="300"/>
      <c r="AE161" s="300"/>
      <c r="AF161" s="300"/>
      <c r="AG161" s="300"/>
      <c r="AJ161" s="300"/>
      <c r="AK161" s="300"/>
      <c r="AL161" s="300"/>
      <c r="AM161" s="300"/>
      <c r="AN161" s="300"/>
    </row>
    <row r="162" spans="1:59" ht="15" customHeight="1">
      <c r="A162" s="555" t="s">
        <v>2297</v>
      </c>
      <c r="B162" s="217" t="str">
        <f t="shared" si="171"/>
        <v>100</v>
      </c>
      <c r="C162" s="217" t="str">
        <f t="shared" si="172"/>
        <v>10</v>
      </c>
      <c r="D162" s="101" t="str">
        <f t="shared" si="173"/>
        <v>103</v>
      </c>
      <c r="E162" s="217" t="str">
        <f t="shared" si="174"/>
        <v>100-10-103</v>
      </c>
      <c r="F162" s="294" t="str">
        <f t="shared" si="175"/>
        <v>50109</v>
      </c>
      <c r="G162" s="295" t="str">
        <f>VLOOKUP(F162,'GL Category'!A:C,3,FALSE)</f>
        <v>Personnel services</v>
      </c>
      <c r="H162" s="98" t="str">
        <f>VLOOKUP(F162,'GL Category'!A:C,2,FALSE)</f>
        <v>OVERTIME</v>
      </c>
      <c r="I162" s="99">
        <f>SUMIF(Import!$B:$B,$A162,Import!D:D)</f>
        <v>51.78</v>
      </c>
      <c r="J162" s="99">
        <f>SUMIF(Import!$B:$B,$A162,Import!E:E)</f>
        <v>349.03</v>
      </c>
      <c r="K162" s="99">
        <f>SUMIF(Import!$B:$B,$A162,Import!F:F)</f>
        <v>0</v>
      </c>
      <c r="L162" s="99">
        <f>SUMIF(Import!$B:$B,$A162,Import!G:G)</f>
        <v>0</v>
      </c>
      <c r="M162" s="99">
        <f>SUMIF(Import!$B:$B,$A162,Import!H:H)</f>
        <v>0</v>
      </c>
      <c r="N162" s="99">
        <f>SUMIF(Import!$B:$B,$A162,Import!I:I)</f>
        <v>0</v>
      </c>
      <c r="O162" s="99">
        <f>SUMIF(Import!$B:$B,$A162,Import!J:J)</f>
        <v>0</v>
      </c>
      <c r="P162" s="99">
        <f t="shared" si="176"/>
        <v>0</v>
      </c>
      <c r="Q162" s="99">
        <f>SUMIF(Import!$B:$B,$A162,Import!K:K)</f>
        <v>0</v>
      </c>
      <c r="R162" s="99">
        <f>SUMIF(Import!$B:$B,$A162,Import!L:L)</f>
        <v>0</v>
      </c>
      <c r="S162" s="99">
        <f>SUMIF(Import!$B:$B,$A162,Import!M:M)</f>
        <v>0</v>
      </c>
      <c r="T162" s="99">
        <f>SUMIF(Import!$B:$B,$A162,Import!N:N)</f>
        <v>0</v>
      </c>
      <c r="U162" s="99">
        <f t="shared" si="177"/>
        <v>0</v>
      </c>
      <c r="V162" s="255" t="str">
        <f t="shared" si="178"/>
        <v>N/A</v>
      </c>
      <c r="W162" s="102" t="s">
        <v>2297</v>
      </c>
      <c r="X162" s="102"/>
      <c r="Y162" s="102"/>
      <c r="AA162" s="615"/>
      <c r="AC162" s="300"/>
      <c r="AD162" s="300"/>
      <c r="AE162" s="300"/>
      <c r="AF162" s="300"/>
      <c r="AG162" s="300"/>
      <c r="AJ162" s="300"/>
      <c r="AK162" s="300"/>
      <c r="AL162" s="300"/>
      <c r="AM162" s="300"/>
      <c r="AN162" s="300"/>
    </row>
    <row r="163" spans="1:59" ht="15" customHeight="1">
      <c r="A163" s="555" t="s">
        <v>2298</v>
      </c>
      <c r="B163" s="217" t="str">
        <f t="shared" si="171"/>
        <v>100</v>
      </c>
      <c r="C163" s="217" t="str">
        <f t="shared" si="172"/>
        <v>10</v>
      </c>
      <c r="D163" s="101" t="str">
        <f t="shared" si="173"/>
        <v>103</v>
      </c>
      <c r="E163" s="217" t="str">
        <f t="shared" si="174"/>
        <v>100-10-103</v>
      </c>
      <c r="F163" s="294" t="str">
        <f t="shared" si="175"/>
        <v>50111</v>
      </c>
      <c r="G163" s="295" t="str">
        <f>VLOOKUP(F163,'GL Category'!A:C,3,FALSE)</f>
        <v>Personnel services</v>
      </c>
      <c r="H163" s="98" t="str">
        <f>VLOOKUP(F163,'GL Category'!A:C,2,FALSE)</f>
        <v>LONGEVITY PAY</v>
      </c>
      <c r="I163" s="99">
        <f>SUMIF(Import!$B:$B,$A163,Import!D:D)</f>
        <v>570</v>
      </c>
      <c r="J163" s="99">
        <f>SUMIF(Import!$B:$B,$A163,Import!E:E)</f>
        <v>690</v>
      </c>
      <c r="K163" s="99">
        <f>SUMIF(Import!$B:$B,$A163,Import!F:F)</f>
        <v>810</v>
      </c>
      <c r="L163" s="99">
        <f>SUMIF(Import!$B:$B,$A163,Import!G:G)</f>
        <v>930</v>
      </c>
      <c r="M163" s="99">
        <f>SUMIF(Import!$B:$B,$A163,Import!H:H)</f>
        <v>1197</v>
      </c>
      <c r="N163" s="99">
        <f>SUMIF(Import!$B:$B,$A163,Import!I:I)</f>
        <v>655</v>
      </c>
      <c r="O163" s="99">
        <f>SUMIF(Import!$B:$B,$A163,Import!J:J)</f>
        <v>655</v>
      </c>
      <c r="P163" s="99">
        <f t="shared" si="176"/>
        <v>-542</v>
      </c>
      <c r="Q163" s="99">
        <f>SUMIF(Import!$B:$B,$A163,Import!K:K)</f>
        <v>1319</v>
      </c>
      <c r="R163" s="99">
        <f>SUMIF(Import!$B:$B,$A163,Import!L:L)</f>
        <v>0</v>
      </c>
      <c r="S163" s="99">
        <f>SUMIF(Import!$B:$B,$A163,Import!M:M)</f>
        <v>0</v>
      </c>
      <c r="T163" s="99">
        <f>SUMIF(Import!$B:$B,$A163,Import!N:N)</f>
        <v>1319</v>
      </c>
      <c r="U163" s="99">
        <f t="shared" si="177"/>
        <v>122</v>
      </c>
      <c r="V163" s="255">
        <f t="shared" si="178"/>
        <v>0.10192147034252308</v>
      </c>
      <c r="W163" s="102" t="s">
        <v>2298</v>
      </c>
      <c r="X163" s="102"/>
      <c r="Y163" s="102"/>
      <c r="AA163" s="615"/>
      <c r="AC163" s="92"/>
      <c r="AD163" s="92"/>
      <c r="AE163" s="92"/>
      <c r="AF163" s="92"/>
      <c r="AG163" s="92"/>
      <c r="AJ163" s="92"/>
      <c r="AK163" s="92"/>
      <c r="AL163" s="92"/>
      <c r="AM163" s="92"/>
      <c r="AN163" s="92"/>
    </row>
    <row r="164" spans="1:59" ht="15" customHeight="1">
      <c r="A164" s="555" t="s">
        <v>2299</v>
      </c>
      <c r="B164" s="217" t="str">
        <f t="shared" si="171"/>
        <v>100</v>
      </c>
      <c r="C164" s="217" t="str">
        <f t="shared" si="172"/>
        <v>10</v>
      </c>
      <c r="D164" s="101" t="str">
        <f t="shared" si="173"/>
        <v>103</v>
      </c>
      <c r="E164" s="217" t="str">
        <f t="shared" si="174"/>
        <v>100-10-103</v>
      </c>
      <c r="F164" s="294" t="str">
        <f t="shared" si="175"/>
        <v>50610</v>
      </c>
      <c r="G164" s="295" t="str">
        <f>VLOOKUP(F164,'GL Category'!A:C,3,FALSE)</f>
        <v>Personnel services</v>
      </c>
      <c r="H164" s="98" t="str">
        <f>VLOOKUP(F164,'GL Category'!A:C,2,FALSE)</f>
        <v>SOCIAL SECURITY</v>
      </c>
      <c r="I164" s="99">
        <f>SUMIF(Import!$B:$B,$A164,Import!D:D)</f>
        <v>10615.86</v>
      </c>
      <c r="J164" s="99">
        <f>SUMIF(Import!$B:$B,$A164,Import!E:E)</f>
        <v>11550.5</v>
      </c>
      <c r="K164" s="99">
        <f>SUMIF(Import!$B:$B,$A164,Import!F:F)</f>
        <v>12195.71</v>
      </c>
      <c r="L164" s="99">
        <f>SUMIF(Import!$B:$B,$A164,Import!G:G)</f>
        <v>12938.14</v>
      </c>
      <c r="M164" s="99">
        <f>SUMIF(Import!$B:$B,$A164,Import!H:H)</f>
        <v>13670</v>
      </c>
      <c r="N164" s="99">
        <f>SUMIF(Import!$B:$B,$A164,Import!I:I)</f>
        <v>9707.19</v>
      </c>
      <c r="O164" s="99">
        <f>SUMIF(Import!$B:$B,$A164,Import!J:J)</f>
        <v>13041</v>
      </c>
      <c r="P164" s="99">
        <f t="shared" si="176"/>
        <v>-629</v>
      </c>
      <c r="Q164" s="99">
        <f>SUMIF(Import!$B:$B,$A164,Import!K:K)</f>
        <v>14210</v>
      </c>
      <c r="R164" s="99">
        <f>SUMIF(Import!$B:$B,$A164,Import!L:L)</f>
        <v>0</v>
      </c>
      <c r="S164" s="99">
        <f>SUMIF(Import!$B:$B,$A164,Import!M:M)</f>
        <v>0</v>
      </c>
      <c r="T164" s="99">
        <f>SUMIF(Import!$B:$B,$A164,Import!N:N)</f>
        <v>14210</v>
      </c>
      <c r="U164" s="99">
        <f t="shared" si="177"/>
        <v>540</v>
      </c>
      <c r="V164" s="255">
        <f t="shared" si="178"/>
        <v>3.9502560351133864E-2</v>
      </c>
      <c r="W164" s="102" t="s">
        <v>2299</v>
      </c>
      <c r="X164" s="102"/>
      <c r="Y164" s="102"/>
      <c r="AA164" s="615"/>
      <c r="AC164" s="301"/>
      <c r="AD164" s="301"/>
      <c r="AE164" s="301"/>
      <c r="AF164" s="301"/>
      <c r="AG164" s="301"/>
      <c r="AJ164" s="301"/>
      <c r="AK164" s="301"/>
      <c r="AL164" s="301"/>
      <c r="AM164" s="301"/>
      <c r="AN164" s="301"/>
    </row>
    <row r="165" spans="1:59" s="105" customFormat="1" ht="15" customHeight="1">
      <c r="A165" s="555" t="s">
        <v>2300</v>
      </c>
      <c r="B165" s="217" t="str">
        <f t="shared" si="171"/>
        <v>100</v>
      </c>
      <c r="C165" s="217" t="str">
        <f t="shared" si="172"/>
        <v>10</v>
      </c>
      <c r="D165" s="101" t="str">
        <f t="shared" si="173"/>
        <v>103</v>
      </c>
      <c r="E165" s="217" t="str">
        <f t="shared" si="174"/>
        <v>100-10-103</v>
      </c>
      <c r="F165" s="294" t="str">
        <f t="shared" si="175"/>
        <v>50620</v>
      </c>
      <c r="G165" s="295" t="str">
        <f>VLOOKUP(F165,'GL Category'!A:C,3,FALSE)</f>
        <v>Personnel services</v>
      </c>
      <c r="H165" s="98" t="str">
        <f>VLOOKUP(F165,'GL Category'!A:C,2,FALSE)</f>
        <v>HEALTH/LIFE INSURANCE</v>
      </c>
      <c r="I165" s="99">
        <f>SUMIF(Import!$B:$B,$A165,Import!D:D)</f>
        <v>43222.3</v>
      </c>
      <c r="J165" s="99">
        <f>SUMIF(Import!$B:$B,$A165,Import!E:E)</f>
        <v>33791.230000000003</v>
      </c>
      <c r="K165" s="99">
        <f>SUMIF(Import!$B:$B,$A165,Import!F:F)</f>
        <v>33611.75</v>
      </c>
      <c r="L165" s="99">
        <f>SUMIF(Import!$B:$B,$A165,Import!G:G)</f>
        <v>31412.23</v>
      </c>
      <c r="M165" s="99">
        <f>SUMIF(Import!$B:$B,$A165,Import!H:H)</f>
        <v>31331</v>
      </c>
      <c r="N165" s="99">
        <f>SUMIF(Import!$B:$B,$A165,Import!I:I)</f>
        <v>23782.83</v>
      </c>
      <c r="O165" s="99">
        <f>SUMIF(Import!$B:$B,$A165,Import!J:J)</f>
        <v>31988</v>
      </c>
      <c r="P165" s="99">
        <f t="shared" si="176"/>
        <v>657</v>
      </c>
      <c r="Q165" s="99">
        <f>SUMIF(Import!$B:$B,$A165,Import!K:K)</f>
        <v>31426</v>
      </c>
      <c r="R165" s="99">
        <f>SUMIF(Import!$B:$B,$A165,Import!L:L)</f>
        <v>0</v>
      </c>
      <c r="S165" s="99">
        <f>SUMIF(Import!$B:$B,$A165,Import!M:M)</f>
        <v>0</v>
      </c>
      <c r="T165" s="99">
        <f>SUMIF(Import!$B:$B,$A165,Import!N:N)</f>
        <v>31426</v>
      </c>
      <c r="U165" s="99">
        <f t="shared" si="177"/>
        <v>95</v>
      </c>
      <c r="V165" s="255">
        <f t="shared" si="178"/>
        <v>3.0321406913280669E-3</v>
      </c>
      <c r="W165" s="102" t="s">
        <v>2300</v>
      </c>
      <c r="X165" s="102"/>
      <c r="Y165" s="102"/>
      <c r="Z165" s="95"/>
      <c r="AA165" s="615"/>
      <c r="AB165" s="627"/>
      <c r="AC165" s="303"/>
      <c r="AD165" s="303"/>
      <c r="AE165" s="303"/>
      <c r="AF165" s="303"/>
      <c r="AG165" s="303"/>
      <c r="AH165" s="627"/>
      <c r="AI165" s="627"/>
      <c r="AJ165" s="303"/>
      <c r="AK165" s="303"/>
      <c r="AL165" s="303"/>
      <c r="AM165" s="303"/>
      <c r="AN165" s="303"/>
      <c r="AO165" s="196"/>
      <c r="AP165" s="196"/>
      <c r="AQ165" s="196"/>
      <c r="AR165" s="104"/>
      <c r="AS165" s="104"/>
      <c r="AT165" s="104"/>
      <c r="AU165" s="104"/>
      <c r="AV165" s="104"/>
      <c r="AW165" s="104"/>
      <c r="AX165" s="104"/>
      <c r="AY165" s="104"/>
      <c r="AZ165" s="104"/>
      <c r="BA165" s="104"/>
      <c r="BB165" s="104"/>
      <c r="BC165" s="104"/>
      <c r="BD165" s="104"/>
      <c r="BE165" s="104"/>
      <c r="BF165" s="104"/>
      <c r="BG165" s="104"/>
    </row>
    <row r="166" spans="1:59" ht="15" customHeight="1">
      <c r="A166" s="555" t="s">
        <v>2301</v>
      </c>
      <c r="B166" s="217" t="str">
        <f t="shared" si="171"/>
        <v>100</v>
      </c>
      <c r="C166" s="217" t="str">
        <f t="shared" si="172"/>
        <v>10</v>
      </c>
      <c r="D166" s="101" t="str">
        <f t="shared" si="173"/>
        <v>103</v>
      </c>
      <c r="E166" s="217" t="str">
        <f t="shared" si="174"/>
        <v>100-10-103</v>
      </c>
      <c r="F166" s="294" t="str">
        <f t="shared" si="175"/>
        <v>50630</v>
      </c>
      <c r="G166" s="295" t="str">
        <f>VLOOKUP(F166,'GL Category'!A:C,3,FALSE)</f>
        <v>Personnel services</v>
      </c>
      <c r="H166" s="98" t="str">
        <f>VLOOKUP(F166,'GL Category'!A:C,2,FALSE)</f>
        <v>WORKER COMPENSATION</v>
      </c>
      <c r="I166" s="99">
        <f>SUMIF(Import!$B:$B,$A166,Import!D:D)</f>
        <v>104.45</v>
      </c>
      <c r="J166" s="99">
        <f>SUMIF(Import!$B:$B,$A166,Import!E:E)</f>
        <v>97.3</v>
      </c>
      <c r="K166" s="99">
        <f>SUMIF(Import!$B:$B,$A166,Import!F:F)</f>
        <v>111.73</v>
      </c>
      <c r="L166" s="99">
        <f>SUMIF(Import!$B:$B,$A166,Import!G:G)</f>
        <v>202.03</v>
      </c>
      <c r="M166" s="99">
        <f>SUMIF(Import!$B:$B,$A166,Import!H:H)</f>
        <v>255</v>
      </c>
      <c r="N166" s="99">
        <f>SUMIF(Import!$B:$B,$A166,Import!I:I)</f>
        <v>254.79</v>
      </c>
      <c r="O166" s="99">
        <f>SUMIF(Import!$B:$B,$A166,Import!J:J)</f>
        <v>255</v>
      </c>
      <c r="P166" s="99">
        <f t="shared" si="176"/>
        <v>0</v>
      </c>
      <c r="Q166" s="99">
        <f>SUMIF(Import!$B:$B,$A166,Import!K:K)</f>
        <v>256</v>
      </c>
      <c r="R166" s="99">
        <f>SUMIF(Import!$B:$B,$A166,Import!L:L)</f>
        <v>0</v>
      </c>
      <c r="S166" s="99">
        <f>SUMIF(Import!$B:$B,$A166,Import!M:M)</f>
        <v>0</v>
      </c>
      <c r="T166" s="99">
        <f>SUMIF(Import!$B:$B,$A166,Import!N:N)</f>
        <v>256</v>
      </c>
      <c r="U166" s="99">
        <f t="shared" si="177"/>
        <v>1</v>
      </c>
      <c r="V166" s="255">
        <f t="shared" si="178"/>
        <v>3.9215686274509665E-3</v>
      </c>
      <c r="W166" s="102" t="s">
        <v>2301</v>
      </c>
      <c r="X166" s="102"/>
      <c r="Y166" s="102"/>
      <c r="AA166" s="615"/>
      <c r="AC166" s="300"/>
      <c r="AD166" s="300"/>
      <c r="AE166" s="300"/>
      <c r="AF166" s="300"/>
      <c r="AG166" s="300"/>
      <c r="AJ166" s="300"/>
      <c r="AK166" s="300"/>
      <c r="AL166" s="300"/>
      <c r="AM166" s="300"/>
      <c r="AN166" s="300"/>
    </row>
    <row r="167" spans="1:59" ht="15" customHeight="1">
      <c r="A167" s="555" t="s">
        <v>2302</v>
      </c>
      <c r="B167" s="217" t="str">
        <f t="shared" si="171"/>
        <v>100</v>
      </c>
      <c r="C167" s="217" t="str">
        <f t="shared" si="172"/>
        <v>10</v>
      </c>
      <c r="D167" s="101" t="str">
        <f t="shared" si="173"/>
        <v>103</v>
      </c>
      <c r="E167" s="217" t="str">
        <f t="shared" si="174"/>
        <v>100-10-103</v>
      </c>
      <c r="F167" s="294" t="str">
        <f t="shared" si="175"/>
        <v>50650</v>
      </c>
      <c r="G167" s="295" t="str">
        <f>VLOOKUP(F167,'GL Category'!A:C,3,FALSE)</f>
        <v>Personnel services</v>
      </c>
      <c r="H167" s="98" t="str">
        <f>VLOOKUP(F167,'GL Category'!A:C,2,FALSE)</f>
        <v>RETIREMENT</v>
      </c>
      <c r="I167" s="99">
        <f>SUMIF(Import!$B:$B,$A167,Import!D:D)</f>
        <v>24207.62</v>
      </c>
      <c r="J167" s="99">
        <f>SUMIF(Import!$B:$B,$A167,Import!E:E)</f>
        <v>26021.58</v>
      </c>
      <c r="K167" s="99">
        <f>SUMIF(Import!$B:$B,$A167,Import!F:F)</f>
        <v>27822.23</v>
      </c>
      <c r="L167" s="99">
        <f>SUMIF(Import!$B:$B,$A167,Import!G:G)</f>
        <v>29665.040000000001</v>
      </c>
      <c r="M167" s="99">
        <f>SUMIF(Import!$B:$B,$A167,Import!H:H)</f>
        <v>29526</v>
      </c>
      <c r="N167" s="99">
        <f>SUMIF(Import!$B:$B,$A167,Import!I:I)</f>
        <v>22485.75</v>
      </c>
      <c r="O167" s="99">
        <f>SUMIF(Import!$B:$B,$A167,Import!J:J)</f>
        <v>29492</v>
      </c>
      <c r="P167" s="99">
        <f t="shared" si="176"/>
        <v>-34</v>
      </c>
      <c r="Q167" s="99">
        <f>SUMIF(Import!$B:$B,$A167,Import!K:K)</f>
        <v>31448</v>
      </c>
      <c r="R167" s="99">
        <f>SUMIF(Import!$B:$B,$A167,Import!L:L)</f>
        <v>0</v>
      </c>
      <c r="S167" s="99">
        <f>SUMIF(Import!$B:$B,$A167,Import!M:M)</f>
        <v>0</v>
      </c>
      <c r="T167" s="99">
        <f>SUMIF(Import!$B:$B,$A167,Import!N:N)</f>
        <v>31448</v>
      </c>
      <c r="U167" s="99">
        <f t="shared" si="177"/>
        <v>1922</v>
      </c>
      <c r="V167" s="255">
        <f t="shared" si="178"/>
        <v>6.5095170358328236E-2</v>
      </c>
      <c r="W167" s="102" t="s">
        <v>2302</v>
      </c>
      <c r="X167" s="102"/>
      <c r="Y167" s="102"/>
      <c r="AA167" s="615"/>
      <c r="AC167" s="300"/>
      <c r="AD167" s="300"/>
      <c r="AE167" s="300"/>
      <c r="AF167" s="300"/>
      <c r="AG167" s="300"/>
      <c r="AJ167" s="300"/>
      <c r="AK167" s="300"/>
      <c r="AL167" s="300"/>
      <c r="AM167" s="300"/>
      <c r="AN167" s="300"/>
    </row>
    <row r="168" spans="1:59" ht="15" customHeight="1">
      <c r="A168" s="297"/>
      <c r="B168" s="217"/>
      <c r="C168" s="217"/>
      <c r="D168" s="101"/>
      <c r="E168" s="101"/>
      <c r="F168" s="294"/>
      <c r="G168" s="295"/>
      <c r="H168" s="107" t="str">
        <f>UPPER(G167)&amp;" TOTAL"</f>
        <v>PERSONNEL SERVICES TOTAL</v>
      </c>
      <c r="I168" s="108">
        <f t="shared" ref="I168" si="179">SUBTOTAL(9,I160:I167)</f>
        <v>230551.65999999997</v>
      </c>
      <c r="J168" s="108">
        <f t="shared" ref="J168:P168" si="180">SUBTOTAL(9,J160:J167)</f>
        <v>232483.89</v>
      </c>
      <c r="K168" s="108">
        <f t="shared" ref="K168" si="181">SUBTOTAL(9,K160:K167)</f>
        <v>245595.09000000003</v>
      </c>
      <c r="L168" s="108">
        <f t="shared" ref="L168" si="182">SUBTOTAL(9,L160:L167)</f>
        <v>257263.33000000005</v>
      </c>
      <c r="M168" s="108">
        <f t="shared" si="180"/>
        <v>252257</v>
      </c>
      <c r="N168" s="108">
        <f t="shared" ref="N168" si="183">SUBTOTAL(9,N160:N167)</f>
        <v>191596.09</v>
      </c>
      <c r="O168" s="108">
        <f t="shared" si="180"/>
        <v>252365</v>
      </c>
      <c r="P168" s="108">
        <f t="shared" si="180"/>
        <v>108</v>
      </c>
      <c r="Q168" s="108">
        <f t="shared" ref="Q168:T168" si="184">SUBTOTAL(9,Q160:Q167)</f>
        <v>261950</v>
      </c>
      <c r="R168" s="108">
        <f t="shared" si="184"/>
        <v>0</v>
      </c>
      <c r="S168" s="108">
        <f t="shared" si="184"/>
        <v>0</v>
      </c>
      <c r="T168" s="108">
        <f t="shared" si="184"/>
        <v>261950</v>
      </c>
      <c r="U168" s="99">
        <f>T168-M168</f>
        <v>9693</v>
      </c>
      <c r="V168" s="255">
        <f>IF(M168=0,"N/A",T168/M168-1)</f>
        <v>3.8425098213330067E-2</v>
      </c>
      <c r="W168" s="102"/>
      <c r="X168" s="102"/>
      <c r="Y168" s="102"/>
      <c r="AA168" s="615"/>
      <c r="AC168" s="300"/>
      <c r="AD168" s="300"/>
      <c r="AE168" s="300"/>
      <c r="AF168" s="300"/>
      <c r="AG168" s="300"/>
      <c r="AJ168" s="300"/>
      <c r="AK168" s="300"/>
      <c r="AL168" s="300"/>
      <c r="AM168" s="300"/>
      <c r="AN168" s="300"/>
    </row>
    <row r="169" spans="1:59" ht="15" customHeight="1">
      <c r="A169" s="297"/>
      <c r="B169" s="217"/>
      <c r="C169" s="217"/>
      <c r="D169" s="101"/>
      <c r="E169" s="101"/>
      <c r="F169" s="294"/>
      <c r="G169" s="295"/>
      <c r="H169" s="232"/>
      <c r="I169" s="233"/>
      <c r="J169" s="233"/>
      <c r="K169" s="233"/>
      <c r="L169" s="233"/>
      <c r="M169" s="233"/>
      <c r="N169" s="233"/>
      <c r="O169" s="233"/>
      <c r="P169" s="233"/>
      <c r="Q169" s="233"/>
      <c r="R169" s="233"/>
      <c r="S169" s="233"/>
      <c r="T169" s="233"/>
      <c r="U169" s="233"/>
      <c r="V169" s="233"/>
      <c r="W169" s="102"/>
      <c r="X169" s="102"/>
      <c r="Y169" s="102"/>
      <c r="AA169" s="615"/>
      <c r="AC169" s="300"/>
      <c r="AD169" s="300"/>
      <c r="AE169" s="300"/>
      <c r="AF169" s="300"/>
      <c r="AG169" s="300"/>
      <c r="AJ169" s="300"/>
      <c r="AK169" s="300"/>
      <c r="AL169" s="300"/>
      <c r="AM169" s="300"/>
      <c r="AN169" s="300"/>
    </row>
    <row r="170" spans="1:59" ht="15" customHeight="1">
      <c r="A170" s="555" t="s">
        <v>2303</v>
      </c>
      <c r="B170" s="217" t="str">
        <f t="shared" ref="B170:B172" si="185">LEFT(A170,3)</f>
        <v>100</v>
      </c>
      <c r="C170" s="217" t="str">
        <f t="shared" ref="C170:C172" si="186">MID(A170,5,2)</f>
        <v>10</v>
      </c>
      <c r="D170" s="101" t="str">
        <f t="shared" ref="D170:D172" si="187">MID(A170,8,3)</f>
        <v>103</v>
      </c>
      <c r="E170" s="217" t="str">
        <f t="shared" ref="E170:E172" si="188">LEFT(A170,10)</f>
        <v>100-10-103</v>
      </c>
      <c r="F170" s="294" t="str">
        <f t="shared" ref="F170:F172" si="189">RIGHT(A170,5)</f>
        <v>51210</v>
      </c>
      <c r="G170" s="295" t="str">
        <f>VLOOKUP(F170,'GL Category'!A:C,3,FALSE)</f>
        <v>Operations &amp; maintenance</v>
      </c>
      <c r="H170" s="98" t="str">
        <f>VLOOKUP(F170,'GL Category'!A:C,2,FALSE)</f>
        <v>OFFICE SUPPLIES</v>
      </c>
      <c r="I170" s="99">
        <f>SUMIF(Import!$B:$B,$A170,Import!D:D)</f>
        <v>737.88</v>
      </c>
      <c r="J170" s="99">
        <f>SUMIF(Import!$B:$B,$A170,Import!E:E)</f>
        <v>470.29</v>
      </c>
      <c r="K170" s="99">
        <f>SUMIF(Import!$B:$B,$A170,Import!F:F)</f>
        <v>747.65</v>
      </c>
      <c r="L170" s="99">
        <f>SUMIF(Import!$B:$B,$A170,Import!G:G)</f>
        <v>817.91</v>
      </c>
      <c r="M170" s="99">
        <f>SUMIF(Import!$B:$B,$A170,Import!H:H)</f>
        <v>750</v>
      </c>
      <c r="N170" s="99">
        <f>SUMIF(Import!$B:$B,$A170,Import!I:I)</f>
        <v>666.14</v>
      </c>
      <c r="O170" s="99">
        <f>SUMIF(Import!$B:$B,$A170,Import!J:J)</f>
        <v>750</v>
      </c>
      <c r="P170" s="99">
        <f t="shared" ref="P170:P172" si="190">O170-M170</f>
        <v>0</v>
      </c>
      <c r="Q170" s="99">
        <f>SUMIF(Import!$B:$B,$A170,Import!K:K)</f>
        <v>750</v>
      </c>
      <c r="R170" s="99">
        <f>SUMIF(Import!$B:$B,$A170,Import!L:L)</f>
        <v>0</v>
      </c>
      <c r="S170" s="99">
        <f>SUMIF(Import!$B:$B,$A170,Import!M:M)</f>
        <v>0</v>
      </c>
      <c r="T170" s="99">
        <f>SUMIF(Import!$B:$B,$A170,Import!N:N)</f>
        <v>750</v>
      </c>
      <c r="U170" s="99">
        <f t="shared" ref="U170:U172" si="191">T170-M170</f>
        <v>0</v>
      </c>
      <c r="V170" s="255">
        <f t="shared" ref="V170:V172" si="192">IF(M170=0,"N/A",T170/M170-1)</f>
        <v>0</v>
      </c>
      <c r="W170" s="102" t="s">
        <v>2303</v>
      </c>
      <c r="X170" s="102"/>
      <c r="Y170" s="102"/>
      <c r="AA170" s="615"/>
      <c r="AC170" s="300"/>
      <c r="AD170" s="300"/>
      <c r="AE170" s="300"/>
      <c r="AF170" s="300"/>
      <c r="AG170" s="300"/>
      <c r="AJ170" s="300"/>
      <c r="AK170" s="300"/>
      <c r="AL170" s="300"/>
      <c r="AM170" s="300"/>
      <c r="AN170" s="300"/>
    </row>
    <row r="171" spans="1:59" ht="15" customHeight="1">
      <c r="A171" s="555" t="s">
        <v>2304</v>
      </c>
      <c r="B171" s="217" t="str">
        <f t="shared" si="185"/>
        <v>100</v>
      </c>
      <c r="C171" s="217" t="str">
        <f t="shared" si="186"/>
        <v>10</v>
      </c>
      <c r="D171" s="101" t="str">
        <f t="shared" si="187"/>
        <v>103</v>
      </c>
      <c r="E171" s="217" t="str">
        <f t="shared" si="188"/>
        <v>100-10-103</v>
      </c>
      <c r="F171" s="294" t="str">
        <f t="shared" si="189"/>
        <v>51285</v>
      </c>
      <c r="G171" s="295" t="str">
        <f>VLOOKUP(F171,'GL Category'!A:C,3,FALSE)</f>
        <v>Operations &amp; maintenance</v>
      </c>
      <c r="H171" s="98" t="str">
        <f>VLOOKUP(F171,'GL Category'!A:C,2,FALSE)</f>
        <v>WEARING APPAREL</v>
      </c>
      <c r="I171" s="99">
        <f>SUMIF(Import!$B:$B,$A171,Import!D:D)</f>
        <v>276.76</v>
      </c>
      <c r="J171" s="99">
        <f>SUMIF(Import!$B:$B,$A171,Import!E:E)</f>
        <v>214.3</v>
      </c>
      <c r="K171" s="99">
        <f>SUMIF(Import!$B:$B,$A171,Import!F:F)</f>
        <v>203.11</v>
      </c>
      <c r="L171" s="99">
        <f>SUMIF(Import!$B:$B,$A171,Import!G:G)</f>
        <v>267.88</v>
      </c>
      <c r="M171" s="99">
        <f>SUMIF(Import!$B:$B,$A171,Import!H:H)</f>
        <v>250</v>
      </c>
      <c r="N171" s="99">
        <f>SUMIF(Import!$B:$B,$A171,Import!I:I)</f>
        <v>0</v>
      </c>
      <c r="O171" s="99">
        <f>SUMIF(Import!$B:$B,$A171,Import!J:J)</f>
        <v>200</v>
      </c>
      <c r="P171" s="99">
        <f t="shared" si="190"/>
        <v>-50</v>
      </c>
      <c r="Q171" s="99">
        <f>SUMIF(Import!$B:$B,$A171,Import!K:K)</f>
        <v>250</v>
      </c>
      <c r="R171" s="99">
        <f>SUMIF(Import!$B:$B,$A171,Import!L:L)</f>
        <v>0</v>
      </c>
      <c r="S171" s="99">
        <f>SUMIF(Import!$B:$B,$A171,Import!M:M)</f>
        <v>0</v>
      </c>
      <c r="T171" s="99">
        <f>SUMIF(Import!$B:$B,$A171,Import!N:N)</f>
        <v>250</v>
      </c>
      <c r="U171" s="99">
        <f t="shared" si="191"/>
        <v>0</v>
      </c>
      <c r="V171" s="255">
        <f t="shared" si="192"/>
        <v>0</v>
      </c>
      <c r="W171" s="102" t="s">
        <v>2304</v>
      </c>
      <c r="X171" s="102"/>
      <c r="Y171" s="102"/>
      <c r="AA171" s="615"/>
      <c r="AC171" s="92"/>
      <c r="AD171" s="92"/>
      <c r="AE171" s="92"/>
      <c r="AF171" s="92"/>
      <c r="AG171" s="92"/>
      <c r="AJ171" s="92"/>
      <c r="AK171" s="92"/>
      <c r="AL171" s="92"/>
      <c r="AM171" s="92"/>
      <c r="AN171" s="92"/>
    </row>
    <row r="172" spans="1:59" ht="15" customHeight="1">
      <c r="A172" s="555" t="s">
        <v>2305</v>
      </c>
      <c r="B172" s="217" t="str">
        <f t="shared" si="185"/>
        <v>100</v>
      </c>
      <c r="C172" s="217" t="str">
        <f t="shared" si="186"/>
        <v>10</v>
      </c>
      <c r="D172" s="101" t="str">
        <f t="shared" si="187"/>
        <v>103</v>
      </c>
      <c r="E172" s="217" t="str">
        <f t="shared" si="188"/>
        <v>100-10-103</v>
      </c>
      <c r="F172" s="294" t="str">
        <f t="shared" si="189"/>
        <v>51299</v>
      </c>
      <c r="G172" s="295" t="str">
        <f>VLOOKUP(F172,'GL Category'!A:C,3,FALSE)</f>
        <v>Operations &amp; maintenance</v>
      </c>
      <c r="H172" s="98" t="str">
        <f>VLOOKUP(F172,'GL Category'!A:C,2,FALSE)</f>
        <v>MISCELLANEOUS SUPPLIES</v>
      </c>
      <c r="I172" s="99">
        <f>SUMIF(Import!$B:$B,$A172,Import!D:D)</f>
        <v>0</v>
      </c>
      <c r="J172" s="99">
        <f>SUMIF(Import!$B:$B,$A172,Import!E:E)</f>
        <v>0</v>
      </c>
      <c r="K172" s="99">
        <f>SUMIF(Import!$B:$B,$A172,Import!F:F)</f>
        <v>0</v>
      </c>
      <c r="L172" s="99">
        <f>SUMIF(Import!$B:$B,$A172,Import!G:G)</f>
        <v>0</v>
      </c>
      <c r="M172" s="99">
        <f>SUMIF(Import!$B:$B,$A172,Import!H:H)</f>
        <v>0</v>
      </c>
      <c r="N172" s="99">
        <f>SUMIF(Import!$B:$B,$A172,Import!I:I)</f>
        <v>0</v>
      </c>
      <c r="O172" s="99">
        <f>SUMIF(Import!$B:$B,$A172,Import!J:J)</f>
        <v>0</v>
      </c>
      <c r="P172" s="99">
        <f t="shared" si="190"/>
        <v>0</v>
      </c>
      <c r="Q172" s="99">
        <f>SUMIF(Import!$B:$B,$A172,Import!K:K)</f>
        <v>0</v>
      </c>
      <c r="R172" s="99">
        <f>SUMIF(Import!$B:$B,$A172,Import!L:L)</f>
        <v>0</v>
      </c>
      <c r="S172" s="99">
        <f>SUMIF(Import!$B:$B,$A172,Import!M:M)</f>
        <v>0</v>
      </c>
      <c r="T172" s="99">
        <f>SUMIF(Import!$B:$B,$A172,Import!N:N)</f>
        <v>0</v>
      </c>
      <c r="U172" s="99">
        <f t="shared" si="191"/>
        <v>0</v>
      </c>
      <c r="V172" s="255" t="str">
        <f t="shared" si="192"/>
        <v>N/A</v>
      </c>
      <c r="W172" s="102" t="s">
        <v>2305</v>
      </c>
      <c r="X172" s="102"/>
      <c r="Y172" s="102"/>
      <c r="AA172" s="615"/>
      <c r="AC172" s="92"/>
      <c r="AD172" s="92"/>
      <c r="AE172" s="92"/>
      <c r="AF172" s="92"/>
      <c r="AG172" s="92"/>
      <c r="AJ172" s="92"/>
      <c r="AK172" s="92"/>
      <c r="AL172" s="92"/>
      <c r="AM172" s="92"/>
      <c r="AN172" s="92"/>
    </row>
    <row r="173" spans="1:59" ht="25.35" customHeight="1">
      <c r="A173" s="297"/>
      <c r="B173" s="217"/>
      <c r="C173" s="217"/>
      <c r="D173" s="101"/>
      <c r="E173" s="101"/>
      <c r="F173" s="294"/>
      <c r="G173" s="295"/>
      <c r="H173" s="107" t="str">
        <f>UPPER(G172)&amp;" TOTAL"</f>
        <v>OPERATIONS &amp; MAINTENANCE TOTAL</v>
      </c>
      <c r="I173" s="108">
        <f t="shared" ref="I173:T173" si="193">SUBTOTAL(9,I170:I172)</f>
        <v>1014.64</v>
      </c>
      <c r="J173" s="108">
        <f t="shared" si="193"/>
        <v>684.59</v>
      </c>
      <c r="K173" s="108">
        <f t="shared" si="193"/>
        <v>950.76</v>
      </c>
      <c r="L173" s="108">
        <f t="shared" si="193"/>
        <v>1085.79</v>
      </c>
      <c r="M173" s="108">
        <f t="shared" si="193"/>
        <v>1000</v>
      </c>
      <c r="N173" s="108">
        <f t="shared" si="193"/>
        <v>666.14</v>
      </c>
      <c r="O173" s="108">
        <f t="shared" si="193"/>
        <v>950</v>
      </c>
      <c r="P173" s="108">
        <f t="shared" si="193"/>
        <v>-50</v>
      </c>
      <c r="Q173" s="108">
        <f t="shared" si="193"/>
        <v>1000</v>
      </c>
      <c r="R173" s="108">
        <f t="shared" si="193"/>
        <v>0</v>
      </c>
      <c r="S173" s="108">
        <f t="shared" si="193"/>
        <v>0</v>
      </c>
      <c r="T173" s="108">
        <f t="shared" si="193"/>
        <v>1000</v>
      </c>
      <c r="U173" s="233"/>
      <c r="V173" s="233"/>
      <c r="W173" s="102"/>
      <c r="X173" s="102"/>
      <c r="Y173" s="102"/>
      <c r="AA173" s="615"/>
      <c r="AC173" s="301"/>
      <c r="AD173" s="301"/>
      <c r="AE173" s="301"/>
      <c r="AF173" s="301"/>
      <c r="AG173" s="301"/>
      <c r="AJ173" s="301"/>
      <c r="AK173" s="301"/>
      <c r="AL173" s="301"/>
      <c r="AM173" s="301"/>
      <c r="AN173" s="301"/>
    </row>
    <row r="174" spans="1:59" ht="15" customHeight="1">
      <c r="A174" s="297"/>
      <c r="B174" s="217"/>
      <c r="C174" s="217"/>
      <c r="D174" s="101"/>
      <c r="E174" s="101"/>
      <c r="F174" s="294"/>
      <c r="G174" s="295"/>
      <c r="H174" s="98"/>
      <c r="I174" s="218"/>
      <c r="J174" s="218"/>
      <c r="K174" s="218"/>
      <c r="L174" s="218"/>
      <c r="M174" s="218"/>
      <c r="N174" s="226"/>
      <c r="O174" s="226"/>
      <c r="P174" s="226"/>
      <c r="Q174" s="111"/>
      <c r="R174" s="111"/>
      <c r="S174" s="111"/>
      <c r="T174" s="111"/>
      <c r="U174" s="111"/>
      <c r="V174" s="111"/>
      <c r="W174" s="102"/>
      <c r="X174" s="102"/>
      <c r="Y174" s="102"/>
      <c r="AA174" s="615"/>
      <c r="AC174" s="300"/>
      <c r="AD174" s="300"/>
      <c r="AE174" s="300"/>
      <c r="AF174" s="300"/>
      <c r="AG174" s="300"/>
      <c r="AJ174" s="300"/>
      <c r="AK174" s="300"/>
      <c r="AL174" s="300"/>
      <c r="AM174" s="300"/>
      <c r="AN174" s="300"/>
    </row>
    <row r="175" spans="1:59" ht="15" customHeight="1">
      <c r="A175" s="555" t="s">
        <v>2306</v>
      </c>
      <c r="B175" s="217" t="str">
        <f t="shared" ref="B175:B181" si="194">LEFT(A175,3)</f>
        <v>100</v>
      </c>
      <c r="C175" s="217" t="str">
        <f t="shared" ref="C175:C181" si="195">MID(A175,5,2)</f>
        <v>10</v>
      </c>
      <c r="D175" s="101" t="str">
        <f t="shared" ref="D175:D181" si="196">MID(A175,8,3)</f>
        <v>103</v>
      </c>
      <c r="E175" s="217" t="str">
        <f t="shared" ref="E175:E181" si="197">LEFT(A175,10)</f>
        <v>100-10-103</v>
      </c>
      <c r="F175" s="294" t="str">
        <f t="shared" ref="F175:F181" si="198">RIGHT(A175,5)</f>
        <v>53501</v>
      </c>
      <c r="G175" s="295" t="str">
        <f>VLOOKUP(F175,'GL Category'!A:C,3,FALSE)</f>
        <v>Services &amp; other</v>
      </c>
      <c r="H175" s="98" t="str">
        <f>VLOOKUP(F175,'GL Category'!A:C,2,FALSE)</f>
        <v>ELECTION SERVICES</v>
      </c>
      <c r="I175" s="99">
        <f>SUMIF(Import!$B:$B,$A175,Import!D:D)</f>
        <v>825.05</v>
      </c>
      <c r="J175" s="99">
        <f>SUMIF(Import!$B:$B,$A175,Import!E:E)</f>
        <v>12235.07</v>
      </c>
      <c r="K175" s="99">
        <f>SUMIF(Import!$B:$B,$A175,Import!F:F)</f>
        <v>11225.04</v>
      </c>
      <c r="L175" s="99">
        <f>SUMIF(Import!$B:$B,$A175,Import!G:G)</f>
        <v>10794.48</v>
      </c>
      <c r="M175" s="99">
        <f>SUMIF(Import!$B:$B,$A175,Import!H:H)</f>
        <v>42000</v>
      </c>
      <c r="N175" s="99">
        <f>SUMIF(Import!$B:$B,$A175,Import!I:I)</f>
        <v>33235.42</v>
      </c>
      <c r="O175" s="99">
        <f>SUMIF(Import!$B:$B,$A175,Import!J:J)</f>
        <v>58235</v>
      </c>
      <c r="P175" s="99">
        <f t="shared" ref="P175:P181" si="199">O175-M175</f>
        <v>16235</v>
      </c>
      <c r="Q175" s="99">
        <f>SUMIF(Import!$B:$B,$A175,Import!K:K)</f>
        <v>30000</v>
      </c>
      <c r="R175" s="99">
        <f>SUMIF(Import!$B:$B,$A175,Import!L:L)</f>
        <v>0</v>
      </c>
      <c r="S175" s="99">
        <f>SUMIF(Import!$B:$B,$A175,Import!M:M)</f>
        <v>0</v>
      </c>
      <c r="T175" s="99">
        <f>SUMIF(Import!$B:$B,$A175,Import!N:N)</f>
        <v>30000</v>
      </c>
      <c r="U175" s="99">
        <f t="shared" ref="U175:U181" si="200">T175-M175</f>
        <v>-12000</v>
      </c>
      <c r="V175" s="255">
        <f t="shared" ref="V175:V181" si="201">IF(M175=0,"N/A",T175/M175-1)</f>
        <v>-0.2857142857142857</v>
      </c>
      <c r="W175" s="102" t="s">
        <v>2306</v>
      </c>
      <c r="X175" s="102"/>
      <c r="Y175" s="102"/>
      <c r="AA175" s="615"/>
      <c r="AC175" s="92"/>
      <c r="AD175" s="92"/>
      <c r="AE175" s="92"/>
      <c r="AF175" s="92"/>
      <c r="AG175" s="92"/>
      <c r="AJ175" s="92"/>
      <c r="AK175" s="92"/>
      <c r="AL175" s="92"/>
      <c r="AM175" s="92"/>
      <c r="AN175" s="92"/>
    </row>
    <row r="176" spans="1:59" ht="15" customHeight="1">
      <c r="A176" s="555" t="s">
        <v>2307</v>
      </c>
      <c r="B176" s="217" t="str">
        <f t="shared" si="194"/>
        <v>100</v>
      </c>
      <c r="C176" s="217" t="str">
        <f t="shared" si="195"/>
        <v>10</v>
      </c>
      <c r="D176" s="101" t="str">
        <f t="shared" si="196"/>
        <v>103</v>
      </c>
      <c r="E176" s="217" t="str">
        <f t="shared" si="197"/>
        <v>100-10-103</v>
      </c>
      <c r="F176" s="294" t="str">
        <f t="shared" si="198"/>
        <v>53599</v>
      </c>
      <c r="G176" s="295" t="str">
        <f>VLOOKUP(F176,'GL Category'!A:C,3,FALSE)</f>
        <v>Services &amp; other</v>
      </c>
      <c r="H176" s="98" t="str">
        <f>VLOOKUP(F176,'GL Category'!A:C,2,FALSE)</f>
        <v>MISCELLANEOUS SERVICES</v>
      </c>
      <c r="I176" s="99">
        <f>SUMIF(Import!$B:$B,$A176,Import!D:D)</f>
        <v>0</v>
      </c>
      <c r="J176" s="99">
        <f>SUMIF(Import!$B:$B,$A176,Import!E:E)</f>
        <v>0</v>
      </c>
      <c r="K176" s="99">
        <f>SUMIF(Import!$B:$B,$A176,Import!F:F)</f>
        <v>0</v>
      </c>
      <c r="L176" s="99">
        <f>SUMIF(Import!$B:$B,$A176,Import!G:G)</f>
        <v>0</v>
      </c>
      <c r="M176" s="99">
        <f>SUMIF(Import!$B:$B,$A176,Import!H:H)</f>
        <v>0</v>
      </c>
      <c r="N176" s="99">
        <f>SUMIF(Import!$B:$B,$A176,Import!I:I)</f>
        <v>0</v>
      </c>
      <c r="O176" s="99">
        <f>SUMIF(Import!$B:$B,$A176,Import!J:J)</f>
        <v>0</v>
      </c>
      <c r="P176" s="99">
        <f t="shared" si="199"/>
        <v>0</v>
      </c>
      <c r="Q176" s="99">
        <f>SUMIF(Import!$B:$B,$A176,Import!K:K)</f>
        <v>0</v>
      </c>
      <c r="R176" s="99">
        <f>SUMIF(Import!$B:$B,$A176,Import!L:L)</f>
        <v>0</v>
      </c>
      <c r="S176" s="99">
        <f>SUMIF(Import!$B:$B,$A176,Import!M:M)</f>
        <v>0</v>
      </c>
      <c r="T176" s="99">
        <f>SUMIF(Import!$B:$B,$A176,Import!N:N)</f>
        <v>0</v>
      </c>
      <c r="U176" s="99">
        <f t="shared" si="200"/>
        <v>0</v>
      </c>
      <c r="V176" s="255" t="str">
        <f t="shared" si="201"/>
        <v>N/A</v>
      </c>
      <c r="W176" s="102" t="s">
        <v>2307</v>
      </c>
      <c r="X176" s="102"/>
      <c r="Y176" s="102"/>
      <c r="AA176" s="615"/>
      <c r="AC176" s="301"/>
      <c r="AD176" s="301"/>
      <c r="AE176" s="301"/>
      <c r="AF176" s="301"/>
      <c r="AG176" s="301"/>
      <c r="AJ176" s="301"/>
      <c r="AK176" s="301"/>
      <c r="AL176" s="301"/>
      <c r="AM176" s="301"/>
      <c r="AN176" s="301"/>
    </row>
    <row r="177" spans="1:59" ht="15" customHeight="1">
      <c r="A177" s="555" t="s">
        <v>2308</v>
      </c>
      <c r="B177" s="217" t="str">
        <f t="shared" si="194"/>
        <v>100</v>
      </c>
      <c r="C177" s="217" t="str">
        <f t="shared" si="195"/>
        <v>10</v>
      </c>
      <c r="D177" s="101" t="str">
        <f t="shared" si="196"/>
        <v>103</v>
      </c>
      <c r="E177" s="217" t="str">
        <f t="shared" si="197"/>
        <v>100-10-103</v>
      </c>
      <c r="F177" s="294" t="str">
        <f t="shared" si="198"/>
        <v>53510</v>
      </c>
      <c r="G177" s="295" t="str">
        <f>VLOOKUP(F177,'GL Category'!A:C,3,FALSE)</f>
        <v>Services &amp; other</v>
      </c>
      <c r="H177" s="98" t="str">
        <f>VLOOKUP(F177,'GL Category'!A:C,2,FALSE)</f>
        <v>DUES &amp; SUBSCRIPTIONS</v>
      </c>
      <c r="I177" s="99">
        <f>SUMIF(Import!$B:$B,$A177,Import!D:D)</f>
        <v>1009</v>
      </c>
      <c r="J177" s="99">
        <f>SUMIF(Import!$B:$B,$A177,Import!E:E)</f>
        <v>884</v>
      </c>
      <c r="K177" s="99">
        <f>SUMIF(Import!$B:$B,$A177,Import!F:F)</f>
        <v>1139.8</v>
      </c>
      <c r="L177" s="99">
        <f>SUMIF(Import!$B:$B,$A177,Import!G:G)</f>
        <v>1136.8900000000001</v>
      </c>
      <c r="M177" s="99">
        <f>SUMIF(Import!$B:$B,$A177,Import!H:H)</f>
        <v>1119</v>
      </c>
      <c r="N177" s="99">
        <f>SUMIF(Import!$B:$B,$A177,Import!I:I)</f>
        <v>727</v>
      </c>
      <c r="O177" s="99">
        <f>SUMIF(Import!$B:$B,$A177,Import!J:J)</f>
        <v>1119</v>
      </c>
      <c r="P177" s="99">
        <f t="shared" si="199"/>
        <v>0</v>
      </c>
      <c r="Q177" s="99">
        <f>SUMIF(Import!$B:$B,$A177,Import!K:K)</f>
        <v>1119</v>
      </c>
      <c r="R177" s="99">
        <f>SUMIF(Import!$B:$B,$A177,Import!L:L)</f>
        <v>0</v>
      </c>
      <c r="S177" s="99">
        <f>SUMIF(Import!$B:$B,$A177,Import!M:M)</f>
        <v>0</v>
      </c>
      <c r="T177" s="99">
        <f>SUMIF(Import!$B:$B,$A177,Import!N:N)</f>
        <v>1119</v>
      </c>
      <c r="U177" s="99">
        <f t="shared" si="200"/>
        <v>0</v>
      </c>
      <c r="V177" s="255">
        <f t="shared" si="201"/>
        <v>0</v>
      </c>
      <c r="W177" s="102" t="s">
        <v>2308</v>
      </c>
      <c r="X177" s="102"/>
      <c r="Y177" s="102"/>
      <c r="AA177" s="615"/>
      <c r="AC177" s="91"/>
      <c r="AD177" s="91"/>
      <c r="AE177" s="91"/>
      <c r="AF177" s="91"/>
      <c r="AG177" s="91"/>
      <c r="AJ177" s="91"/>
      <c r="AK177" s="91"/>
      <c r="AL177" s="91"/>
      <c r="AM177" s="91"/>
      <c r="AN177" s="91"/>
    </row>
    <row r="178" spans="1:59" ht="15" customHeight="1">
      <c r="A178" s="555" t="s">
        <v>2309</v>
      </c>
      <c r="B178" s="217" t="str">
        <f t="shared" si="194"/>
        <v>100</v>
      </c>
      <c r="C178" s="217" t="str">
        <f t="shared" si="195"/>
        <v>10</v>
      </c>
      <c r="D178" s="101" t="str">
        <f t="shared" si="196"/>
        <v>103</v>
      </c>
      <c r="E178" s="217" t="str">
        <f t="shared" si="197"/>
        <v>100-10-103</v>
      </c>
      <c r="F178" s="294" t="str">
        <f t="shared" si="198"/>
        <v>53515</v>
      </c>
      <c r="G178" s="295" t="str">
        <f>VLOOKUP(F178,'GL Category'!A:C,3,FALSE)</f>
        <v>Services &amp; other</v>
      </c>
      <c r="H178" s="98" t="str">
        <f>VLOOKUP(F178,'GL Category'!A:C,2,FALSE)</f>
        <v>TRAVEL, TRAINING &amp; EDUCATION</v>
      </c>
      <c r="I178" s="99">
        <f>SUMIF(Import!$B:$B,$A178,Import!D:D)</f>
        <v>3277.48</v>
      </c>
      <c r="J178" s="99">
        <f>SUMIF(Import!$B:$B,$A178,Import!E:E)</f>
        <v>2355</v>
      </c>
      <c r="K178" s="99">
        <f>SUMIF(Import!$B:$B,$A178,Import!F:F)</f>
        <v>5761.45</v>
      </c>
      <c r="L178" s="99">
        <f>SUMIF(Import!$B:$B,$A178,Import!G:G)</f>
        <v>4809.3100000000004</v>
      </c>
      <c r="M178" s="99">
        <f>SUMIF(Import!$B:$B,$A178,Import!H:H)</f>
        <v>8099</v>
      </c>
      <c r="N178" s="99">
        <f>SUMIF(Import!$B:$B,$A178,Import!I:I)</f>
        <v>4529.9799999999996</v>
      </c>
      <c r="O178" s="99">
        <f>SUMIF(Import!$B:$B,$A178,Import!J:J)</f>
        <v>4000</v>
      </c>
      <c r="P178" s="99">
        <f t="shared" si="199"/>
        <v>-4099</v>
      </c>
      <c r="Q178" s="99">
        <f>SUMIF(Import!$B:$B,$A178,Import!K:K)</f>
        <v>8099</v>
      </c>
      <c r="R178" s="99">
        <f>SUMIF(Import!$B:$B,$A178,Import!L:L)</f>
        <v>0</v>
      </c>
      <c r="S178" s="99">
        <f>SUMIF(Import!$B:$B,$A178,Import!M:M)</f>
        <v>0</v>
      </c>
      <c r="T178" s="99">
        <f>SUMIF(Import!$B:$B,$A178,Import!N:N)</f>
        <v>8099</v>
      </c>
      <c r="U178" s="99">
        <f t="shared" si="200"/>
        <v>0</v>
      </c>
      <c r="V178" s="255">
        <f t="shared" si="201"/>
        <v>0</v>
      </c>
      <c r="W178" s="102" t="s">
        <v>2309</v>
      </c>
      <c r="X178" s="102"/>
      <c r="Y178" s="102"/>
      <c r="AA178" s="615"/>
    </row>
    <row r="179" spans="1:59" s="75" customFormat="1" ht="15" customHeight="1">
      <c r="A179" s="555" t="s">
        <v>2310</v>
      </c>
      <c r="B179" s="217" t="str">
        <f t="shared" si="194"/>
        <v>100</v>
      </c>
      <c r="C179" s="217" t="str">
        <f t="shared" si="195"/>
        <v>10</v>
      </c>
      <c r="D179" s="101" t="str">
        <f t="shared" si="196"/>
        <v>103</v>
      </c>
      <c r="E179" s="217" t="str">
        <f t="shared" si="197"/>
        <v>100-10-103</v>
      </c>
      <c r="F179" s="294" t="str">
        <f t="shared" si="198"/>
        <v>53522</v>
      </c>
      <c r="G179" s="295" t="str">
        <f>VLOOKUP(F179,'GL Category'!A:C,3,FALSE)</f>
        <v>Services &amp; other</v>
      </c>
      <c r="H179" s="98" t="str">
        <f>VLOOKUP(F179,'GL Category'!A:C,2,FALSE)</f>
        <v>ADVERTISING &amp; RECORDING</v>
      </c>
      <c r="I179" s="99">
        <f>SUMIF(Import!$B:$B,$A179,Import!D:D)</f>
        <v>12856.6</v>
      </c>
      <c r="J179" s="99">
        <f>SUMIF(Import!$B:$B,$A179,Import!E:E)</f>
        <v>12567.79</v>
      </c>
      <c r="K179" s="99">
        <f>SUMIF(Import!$B:$B,$A179,Import!F:F)</f>
        <v>15567.44</v>
      </c>
      <c r="L179" s="99">
        <f>SUMIF(Import!$B:$B,$A179,Import!G:G)</f>
        <v>10154.4</v>
      </c>
      <c r="M179" s="99">
        <f>SUMIF(Import!$B:$B,$A179,Import!H:H)</f>
        <v>14750</v>
      </c>
      <c r="N179" s="99">
        <f>SUMIF(Import!$B:$B,$A179,Import!I:I)</f>
        <v>11178.74</v>
      </c>
      <c r="O179" s="99">
        <f>SUMIF(Import!$B:$B,$A179,Import!J:J)</f>
        <v>14750</v>
      </c>
      <c r="P179" s="99">
        <f t="shared" si="199"/>
        <v>0</v>
      </c>
      <c r="Q179" s="99">
        <f>SUMIF(Import!$B:$B,$A179,Import!K:K)</f>
        <v>14750</v>
      </c>
      <c r="R179" s="99">
        <f>SUMIF(Import!$B:$B,$A179,Import!L:L)</f>
        <v>0</v>
      </c>
      <c r="S179" s="99">
        <f>SUMIF(Import!$B:$B,$A179,Import!M:M)</f>
        <v>0</v>
      </c>
      <c r="T179" s="99">
        <f>SUMIF(Import!$B:$B,$A179,Import!N:N)</f>
        <v>14750</v>
      </c>
      <c r="U179" s="99">
        <f t="shared" si="200"/>
        <v>0</v>
      </c>
      <c r="V179" s="255">
        <f t="shared" si="201"/>
        <v>0</v>
      </c>
      <c r="W179" s="102" t="s">
        <v>2310</v>
      </c>
      <c r="X179" s="102"/>
      <c r="Y179" s="102"/>
      <c r="Z179" s="614"/>
      <c r="AA179" s="615"/>
      <c r="AB179" s="624"/>
      <c r="AC179" s="623"/>
      <c r="AD179" s="623"/>
      <c r="AE179" s="623"/>
      <c r="AF179" s="623"/>
      <c r="AG179" s="623"/>
      <c r="AH179" s="623"/>
      <c r="AI179" s="624"/>
      <c r="AJ179" s="307"/>
      <c r="AK179" s="307"/>
      <c r="AL179" s="307"/>
      <c r="AM179" s="307"/>
      <c r="AN179" s="307"/>
      <c r="AO179" s="192"/>
      <c r="AP179" s="192"/>
      <c r="AQ179" s="192"/>
      <c r="AR179" s="115"/>
      <c r="AS179" s="115"/>
      <c r="AT179" s="115"/>
      <c r="AU179" s="115"/>
      <c r="AV179" s="115"/>
      <c r="AW179" s="115"/>
      <c r="AX179" s="115"/>
      <c r="AY179" s="115"/>
      <c r="AZ179" s="115"/>
      <c r="BA179" s="115"/>
      <c r="BB179" s="115"/>
      <c r="BC179" s="115"/>
      <c r="BD179" s="115"/>
      <c r="BE179" s="74"/>
      <c r="BF179" s="74"/>
      <c r="BG179" s="74"/>
    </row>
    <row r="180" spans="1:59" ht="15" customHeight="1">
      <c r="A180" s="555" t="s">
        <v>2311</v>
      </c>
      <c r="B180" s="217" t="str">
        <f t="shared" si="194"/>
        <v>100</v>
      </c>
      <c r="C180" s="217" t="str">
        <f t="shared" si="195"/>
        <v>10</v>
      </c>
      <c r="D180" s="101" t="str">
        <f t="shared" si="196"/>
        <v>103</v>
      </c>
      <c r="E180" s="217" t="str">
        <f t="shared" si="197"/>
        <v>100-10-103</v>
      </c>
      <c r="F180" s="294" t="str">
        <f t="shared" si="198"/>
        <v>53541</v>
      </c>
      <c r="G180" s="295" t="str">
        <f>VLOOKUP(F180,'GL Category'!A:C,3,FALSE)</f>
        <v>Services &amp; other</v>
      </c>
      <c r="H180" s="98" t="str">
        <f>VLOOKUP(F180,'GL Category'!A:C,2,FALSE)</f>
        <v>WEBSITE/TECHNOLOGY SERVICES</v>
      </c>
      <c r="I180" s="99">
        <f>SUMIF(Import!$B:$B,$A180,Import!D:D)</f>
        <v>5584</v>
      </c>
      <c r="J180" s="99">
        <f>SUMIF(Import!$B:$B,$A180,Import!E:E)</f>
        <v>8070.48</v>
      </c>
      <c r="K180" s="99">
        <f>SUMIF(Import!$B:$B,$A180,Import!F:F)</f>
        <v>8925.07</v>
      </c>
      <c r="L180" s="99">
        <f>SUMIF(Import!$B:$B,$A180,Import!G:G)</f>
        <v>23839.99</v>
      </c>
      <c r="M180" s="99">
        <f>SUMIF(Import!$B:$B,$A180,Import!H:H)</f>
        <v>10000</v>
      </c>
      <c r="N180" s="99">
        <f>SUMIF(Import!$B:$B,$A180,Import!I:I)</f>
        <v>11537.51</v>
      </c>
      <c r="O180" s="99">
        <f>SUMIF(Import!$B:$B,$A180,Import!J:J)</f>
        <v>12000</v>
      </c>
      <c r="P180" s="99">
        <f t="shared" si="199"/>
        <v>2000</v>
      </c>
      <c r="Q180" s="99">
        <f>SUMIF(Import!$B:$B,$A180,Import!K:K)</f>
        <v>10000</v>
      </c>
      <c r="R180" s="99">
        <f>SUMIF(Import!$B:$B,$A180,Import!L:L)</f>
        <v>1100</v>
      </c>
      <c r="S180" s="99">
        <f>SUMIF(Import!$B:$B,$A180,Import!M:M)</f>
        <v>10000</v>
      </c>
      <c r="T180" s="99">
        <f>SUMIF(Import!$B:$B,$A180,Import!N:N)</f>
        <v>21100</v>
      </c>
      <c r="U180" s="99">
        <f t="shared" si="200"/>
        <v>11100</v>
      </c>
      <c r="V180" s="255">
        <f t="shared" si="201"/>
        <v>1.1099999999999999</v>
      </c>
      <c r="W180" s="102" t="s">
        <v>2311</v>
      </c>
      <c r="X180" s="102"/>
      <c r="Y180" s="102"/>
      <c r="AA180" s="615"/>
      <c r="AC180" s="300"/>
      <c r="AD180" s="300"/>
      <c r="AE180" s="300"/>
      <c r="AF180" s="300"/>
      <c r="AG180" s="300"/>
      <c r="AJ180" s="300"/>
      <c r="AK180" s="300"/>
      <c r="AL180" s="300"/>
      <c r="AM180" s="300"/>
      <c r="AN180" s="300"/>
    </row>
    <row r="181" spans="1:59" ht="15" customHeight="1">
      <c r="A181" s="555" t="s">
        <v>2312</v>
      </c>
      <c r="B181" s="217" t="str">
        <f t="shared" si="194"/>
        <v>100</v>
      </c>
      <c r="C181" s="217" t="str">
        <f t="shared" si="195"/>
        <v>10</v>
      </c>
      <c r="D181" s="101" t="str">
        <f t="shared" si="196"/>
        <v>103</v>
      </c>
      <c r="E181" s="217" t="str">
        <f t="shared" si="197"/>
        <v>100-10-103</v>
      </c>
      <c r="F181" s="294" t="str">
        <f t="shared" si="198"/>
        <v>55119</v>
      </c>
      <c r="G181" s="295" t="str">
        <f>VLOOKUP(F181,'GL Category'!A:C,3,FALSE)</f>
        <v>Services &amp; other</v>
      </c>
      <c r="H181" s="98" t="str">
        <f>VLOOKUP(F181,'GL Category'!A:C,2,FALSE)</f>
        <v>OFFICE EQUIP LEASE EXP-CITY</v>
      </c>
      <c r="I181" s="99">
        <f>SUMIF(Import!$B:$B,$A181,Import!D:D)</f>
        <v>15077</v>
      </c>
      <c r="J181" s="99">
        <f>SUMIF(Import!$B:$B,$A181,Import!E:E)</f>
        <v>16998</v>
      </c>
      <c r="K181" s="99">
        <f>SUMIF(Import!$B:$B,$A181,Import!F:F)</f>
        <v>16943</v>
      </c>
      <c r="L181" s="99">
        <f>SUMIF(Import!$B:$B,$A181,Import!G:G)</f>
        <v>22059</v>
      </c>
      <c r="M181" s="99">
        <f>SUMIF(Import!$B:$B,$A181,Import!H:H)</f>
        <v>15570</v>
      </c>
      <c r="N181" s="99">
        <f>SUMIF(Import!$B:$B,$A181,Import!I:I)</f>
        <v>11677.5</v>
      </c>
      <c r="O181" s="99">
        <f>SUMIF(Import!$B:$B,$A181,Import!J:J)</f>
        <v>15570</v>
      </c>
      <c r="P181" s="99">
        <f t="shared" si="199"/>
        <v>0</v>
      </c>
      <c r="Q181" s="99">
        <f>SUMIF(Import!$B:$B,$A181,Import!K:K)</f>
        <v>16474</v>
      </c>
      <c r="R181" s="99">
        <f>SUMIF(Import!$B:$B,$A181,Import!L:L)</f>
        <v>0</v>
      </c>
      <c r="S181" s="99">
        <f>SUMIF(Import!$B:$B,$A181,Import!M:M)</f>
        <v>0</v>
      </c>
      <c r="T181" s="99">
        <f>SUMIF(Import!$B:$B,$A181,Import!N:N)</f>
        <v>16474</v>
      </c>
      <c r="U181" s="99">
        <f t="shared" si="200"/>
        <v>904</v>
      </c>
      <c r="V181" s="255">
        <f t="shared" si="201"/>
        <v>5.8060372511239633E-2</v>
      </c>
      <c r="W181" s="102" t="s">
        <v>2312</v>
      </c>
      <c r="X181" s="102"/>
      <c r="Y181" s="102"/>
      <c r="AA181" s="615"/>
      <c r="AC181" s="300"/>
      <c r="AD181" s="300"/>
      <c r="AE181" s="300"/>
      <c r="AF181" s="300"/>
      <c r="AG181" s="300"/>
      <c r="AJ181" s="300"/>
      <c r="AK181" s="300"/>
      <c r="AL181" s="300"/>
      <c r="AM181" s="300"/>
      <c r="AN181" s="300"/>
    </row>
    <row r="182" spans="1:59" ht="15" customHeight="1">
      <c r="A182" s="297"/>
      <c r="B182" s="217"/>
      <c r="C182" s="217"/>
      <c r="D182" s="101"/>
      <c r="E182" s="101"/>
      <c r="F182" s="294"/>
      <c r="G182" s="295"/>
      <c r="H182" s="107" t="str">
        <f>UPPER(G181)&amp;" TOTAL"</f>
        <v>SERVICES &amp; OTHER TOTAL</v>
      </c>
      <c r="I182" s="108">
        <f t="shared" ref="I182" si="202">SUBTOTAL(9,I175:I181)</f>
        <v>38629.130000000005</v>
      </c>
      <c r="J182" s="108">
        <f t="shared" ref="J182:T182" si="203">SUBTOTAL(9,J175:J181)</f>
        <v>53110.34</v>
      </c>
      <c r="K182" s="108">
        <f t="shared" ref="K182" si="204">SUBTOTAL(9,K175:K181)</f>
        <v>59561.8</v>
      </c>
      <c r="L182" s="108">
        <f t="shared" ref="L182" si="205">SUBTOTAL(9,L175:L181)</f>
        <v>72794.070000000007</v>
      </c>
      <c r="M182" s="108">
        <f t="shared" si="203"/>
        <v>91538</v>
      </c>
      <c r="N182" s="108">
        <f t="shared" ref="N182" si="206">SUBTOTAL(9,N175:N181)</f>
        <v>72886.149999999994</v>
      </c>
      <c r="O182" s="108">
        <f t="shared" si="203"/>
        <v>105674</v>
      </c>
      <c r="P182" s="108">
        <f t="shared" si="203"/>
        <v>14136</v>
      </c>
      <c r="Q182" s="108">
        <f t="shared" si="203"/>
        <v>80442</v>
      </c>
      <c r="R182" s="108">
        <f t="shared" si="203"/>
        <v>1100</v>
      </c>
      <c r="S182" s="108">
        <f t="shared" si="203"/>
        <v>10000</v>
      </c>
      <c r="T182" s="108">
        <f t="shared" si="203"/>
        <v>91542</v>
      </c>
      <c r="U182" s="99">
        <f>T182-M182</f>
        <v>4</v>
      </c>
      <c r="V182" s="255">
        <f>IF(M182=0,"N/A",T182/M182-1)</f>
        <v>4.3697699316114225E-5</v>
      </c>
      <c r="W182" s="102"/>
      <c r="X182" s="102"/>
      <c r="Y182" s="102"/>
      <c r="AA182" s="615"/>
      <c r="AC182" s="300"/>
      <c r="AD182" s="300"/>
      <c r="AE182" s="300"/>
      <c r="AF182" s="300"/>
      <c r="AG182" s="300"/>
      <c r="AJ182" s="300"/>
      <c r="AK182" s="300"/>
      <c r="AL182" s="300"/>
      <c r="AM182" s="300"/>
      <c r="AN182" s="300"/>
    </row>
    <row r="183" spans="1:59" s="105" customFormat="1" ht="15" customHeight="1">
      <c r="A183" s="297"/>
      <c r="B183" s="217"/>
      <c r="C183" s="217"/>
      <c r="D183" s="101"/>
      <c r="E183" s="101"/>
      <c r="F183" s="294"/>
      <c r="G183" s="295"/>
      <c r="H183" s="98"/>
      <c r="I183" s="218"/>
      <c r="J183" s="218"/>
      <c r="K183" s="218"/>
      <c r="L183" s="218"/>
      <c r="M183" s="218"/>
      <c r="N183" s="226"/>
      <c r="O183" s="226"/>
      <c r="P183" s="226"/>
      <c r="Q183" s="111"/>
      <c r="R183" s="111"/>
      <c r="S183" s="111"/>
      <c r="T183" s="111"/>
      <c r="U183" s="111"/>
      <c r="V183" s="111"/>
      <c r="W183" s="102"/>
      <c r="X183" s="102"/>
      <c r="Y183" s="102"/>
      <c r="Z183" s="95"/>
      <c r="AA183" s="615"/>
      <c r="AB183" s="627"/>
      <c r="AC183" s="303"/>
      <c r="AD183" s="303"/>
      <c r="AE183" s="303"/>
      <c r="AF183" s="303"/>
      <c r="AG183" s="303"/>
      <c r="AH183" s="627"/>
      <c r="AI183" s="627"/>
      <c r="AJ183" s="303"/>
      <c r="AK183" s="303"/>
      <c r="AL183" s="303"/>
      <c r="AM183" s="303"/>
      <c r="AN183" s="303"/>
      <c r="AO183" s="196"/>
      <c r="AP183" s="196"/>
      <c r="AQ183" s="196"/>
      <c r="AR183" s="104"/>
      <c r="AS183" s="104"/>
      <c r="AT183" s="104"/>
      <c r="AU183" s="104"/>
      <c r="AV183" s="104"/>
      <c r="AW183" s="104"/>
      <c r="AX183" s="104"/>
      <c r="AY183" s="104"/>
      <c r="AZ183" s="104"/>
      <c r="BA183" s="104"/>
      <c r="BB183" s="104"/>
      <c r="BC183" s="104"/>
      <c r="BD183" s="104"/>
      <c r="BE183" s="104"/>
      <c r="BF183" s="104"/>
      <c r="BG183" s="104"/>
    </row>
    <row r="184" spans="1:59" ht="15" customHeight="1">
      <c r="A184" s="297"/>
      <c r="B184" s="217"/>
      <c r="C184" s="217"/>
      <c r="D184" s="101"/>
      <c r="E184" s="101"/>
      <c r="F184" s="294"/>
      <c r="G184" s="295"/>
      <c r="H184" s="114" t="s">
        <v>763</v>
      </c>
      <c r="I184" s="221">
        <f t="shared" ref="I184:T184" si="207">SUBTOTAL(9,I160:I183)</f>
        <v>270195.43</v>
      </c>
      <c r="J184" s="221">
        <f t="shared" si="207"/>
        <v>286278.82</v>
      </c>
      <c r="K184" s="221">
        <f t="shared" si="207"/>
        <v>306107.65000000002</v>
      </c>
      <c r="L184" s="221">
        <f t="shared" si="207"/>
        <v>331143.19000000006</v>
      </c>
      <c r="M184" s="221">
        <f t="shared" si="207"/>
        <v>344795</v>
      </c>
      <c r="N184" s="221">
        <f t="shared" si="207"/>
        <v>265148.38</v>
      </c>
      <c r="O184" s="221">
        <f t="shared" si="207"/>
        <v>358989</v>
      </c>
      <c r="P184" s="221">
        <f t="shared" si="207"/>
        <v>14194</v>
      </c>
      <c r="Q184" s="221">
        <f t="shared" si="207"/>
        <v>343392</v>
      </c>
      <c r="R184" s="221">
        <f t="shared" si="207"/>
        <v>1100</v>
      </c>
      <c r="S184" s="221">
        <f t="shared" si="207"/>
        <v>10000</v>
      </c>
      <c r="T184" s="221">
        <f t="shared" si="207"/>
        <v>354492</v>
      </c>
      <c r="U184" s="99">
        <f>T184-M184</f>
        <v>9697</v>
      </c>
      <c r="V184" s="255">
        <f>IF(M184=0,"N/A",T184/M184-1)</f>
        <v>2.8123957714004E-2</v>
      </c>
      <c r="W184" s="102"/>
      <c r="X184" s="102"/>
      <c r="Y184" s="102"/>
      <c r="AA184" s="615"/>
      <c r="AC184" s="92"/>
      <c r="AD184" s="92"/>
      <c r="AE184" s="92"/>
      <c r="AF184" s="92"/>
      <c r="AG184" s="92"/>
      <c r="AJ184" s="92"/>
      <c r="AK184" s="92"/>
      <c r="AL184" s="92"/>
      <c r="AM184" s="92"/>
      <c r="AN184" s="92"/>
    </row>
    <row r="185" spans="1:59" ht="15" customHeight="1" thickBot="1">
      <c r="A185" s="297"/>
      <c r="B185" s="217"/>
      <c r="C185" s="217"/>
      <c r="D185" s="101"/>
      <c r="E185" s="101"/>
      <c r="F185" s="294"/>
      <c r="G185" s="295"/>
      <c r="H185" s="89"/>
      <c r="I185" s="223"/>
      <c r="J185" s="223"/>
      <c r="K185" s="223"/>
      <c r="L185" s="223"/>
      <c r="M185" s="223"/>
      <c r="N185" s="234"/>
      <c r="O185" s="234"/>
      <c r="P185" s="234"/>
      <c r="Q185" s="223"/>
      <c r="R185" s="223"/>
      <c r="S185" s="223"/>
      <c r="T185" s="223"/>
      <c r="U185" s="223"/>
      <c r="V185" s="223"/>
      <c r="W185" s="102"/>
      <c r="X185" s="102"/>
      <c r="Y185" s="102"/>
      <c r="AA185" s="615"/>
      <c r="AC185" s="301"/>
      <c r="AD185" s="301"/>
      <c r="AE185" s="301"/>
      <c r="AF185" s="301"/>
      <c r="AG185" s="301"/>
      <c r="AJ185" s="301"/>
      <c r="AK185" s="301"/>
      <c r="AL185" s="301"/>
      <c r="AM185" s="301"/>
      <c r="AN185" s="301"/>
    </row>
    <row r="186" spans="1:59" ht="25.5" customHeight="1" thickBot="1">
      <c r="A186" s="297"/>
      <c r="B186" s="217"/>
      <c r="C186" s="217"/>
      <c r="D186" s="101"/>
      <c r="E186" s="101"/>
      <c r="F186" s="294"/>
      <c r="G186" s="295"/>
      <c r="H186" s="665" t="s">
        <v>608</v>
      </c>
      <c r="I186" s="666"/>
      <c r="J186" s="666"/>
      <c r="K186" s="666"/>
      <c r="L186" s="666"/>
      <c r="M186" s="666"/>
      <c r="N186" s="666"/>
      <c r="O186" s="666"/>
      <c r="P186" s="666"/>
      <c r="Q186" s="666"/>
      <c r="R186" s="666"/>
      <c r="S186" s="666"/>
      <c r="T186" s="667"/>
      <c r="U186" s="247"/>
      <c r="V186" s="247"/>
      <c r="W186" s="102"/>
      <c r="X186" s="102"/>
      <c r="Y186" s="102"/>
      <c r="AA186" s="615"/>
      <c r="AC186" s="300"/>
      <c r="AD186" s="300"/>
      <c r="AE186" s="300"/>
      <c r="AF186" s="300"/>
      <c r="AG186" s="300"/>
      <c r="AJ186" s="300"/>
      <c r="AK186" s="300"/>
      <c r="AL186" s="300"/>
      <c r="AM186" s="300"/>
      <c r="AN186" s="300"/>
    </row>
    <row r="187" spans="1:59" ht="15" customHeight="1">
      <c r="A187" s="297"/>
      <c r="B187" s="217"/>
      <c r="C187" s="217"/>
      <c r="D187" s="101"/>
      <c r="E187" s="101"/>
      <c r="F187" s="294"/>
      <c r="G187" s="295"/>
      <c r="H187" s="225"/>
      <c r="I187" s="225"/>
      <c r="J187" s="225"/>
      <c r="K187" s="225"/>
      <c r="L187" s="225"/>
      <c r="M187" s="225"/>
      <c r="N187" s="225"/>
      <c r="O187" s="225"/>
      <c r="P187" s="225"/>
      <c r="Q187" s="225"/>
      <c r="R187" s="225"/>
      <c r="S187" s="225"/>
      <c r="T187" s="225"/>
      <c r="U187" s="225"/>
      <c r="V187" s="225"/>
      <c r="W187" s="102"/>
      <c r="X187" s="102"/>
      <c r="Y187" s="102"/>
      <c r="AA187" s="615"/>
      <c r="AC187" s="300"/>
      <c r="AD187" s="300"/>
      <c r="AE187" s="300"/>
      <c r="AF187" s="300"/>
      <c r="AG187" s="300"/>
      <c r="AJ187" s="300"/>
      <c r="AK187" s="300"/>
      <c r="AL187" s="300"/>
      <c r="AM187" s="300"/>
      <c r="AN187" s="300"/>
    </row>
    <row r="188" spans="1:59" s="105" customFormat="1" ht="15" customHeight="1">
      <c r="A188" s="555" t="s">
        <v>2313</v>
      </c>
      <c r="B188" s="217" t="str">
        <f t="shared" ref="B188:B193" si="208">LEFT(A188,3)</f>
        <v>100</v>
      </c>
      <c r="C188" s="217" t="str">
        <f t="shared" ref="C188:C193" si="209">MID(A188,5,2)</f>
        <v>10</v>
      </c>
      <c r="D188" s="101" t="str">
        <f t="shared" ref="D188:D193" si="210">MID(A188,8,3)</f>
        <v>104</v>
      </c>
      <c r="E188" s="217" t="str">
        <f t="shared" ref="E188:E193" si="211">LEFT(A188,10)</f>
        <v>100-10-104</v>
      </c>
      <c r="F188" s="294" t="str">
        <f t="shared" ref="F188:F193" si="212">RIGHT(A188,5)</f>
        <v>50101</v>
      </c>
      <c r="G188" s="295" t="str">
        <f>VLOOKUP(F188,'GL Category'!A:C,3,FALSE)</f>
        <v>Personnel services</v>
      </c>
      <c r="H188" s="98" t="str">
        <f>VLOOKUP(F188,'GL Category'!A:C,2,FALSE)</f>
        <v>EXEMPT SALARIES</v>
      </c>
      <c r="I188" s="99">
        <f>SUMIF(Import!$B:$B,$A188,Import!D:D)</f>
        <v>67311.350000000006</v>
      </c>
      <c r="J188" s="99">
        <f>SUMIF(Import!$B:$B,$A188,Import!E:E)</f>
        <v>99974.97</v>
      </c>
      <c r="K188" s="99">
        <f>SUMIF(Import!$B:$B,$A188,Import!F:F)</f>
        <v>153573.31</v>
      </c>
      <c r="L188" s="99">
        <f>SUMIF(Import!$B:$B,$A188,Import!G:G)</f>
        <v>159850.06</v>
      </c>
      <c r="M188" s="99">
        <f>SUMIF(Import!$B:$B,$A188,Import!H:H)</f>
        <v>165724</v>
      </c>
      <c r="N188" s="99">
        <f>SUMIF(Import!$B:$B,$A188,Import!I:I)</f>
        <v>102334.89</v>
      </c>
      <c r="O188" s="99">
        <f>SUMIF(Import!$B:$B,$A188,Import!J:J)</f>
        <v>149841</v>
      </c>
      <c r="P188" s="99">
        <f t="shared" ref="P188:P193" si="213">O188-M188</f>
        <v>-15883</v>
      </c>
      <c r="Q188" s="99">
        <f>SUMIF(Import!$B:$B,$A188,Import!K:K)</f>
        <v>173057</v>
      </c>
      <c r="R188" s="99">
        <f>SUMIF(Import!$B:$B,$A188,Import!L:L)</f>
        <v>0</v>
      </c>
      <c r="S188" s="99">
        <f>SUMIF(Import!$B:$B,$A188,Import!M:M)</f>
        <v>0</v>
      </c>
      <c r="T188" s="99">
        <f>SUMIF(Import!$B:$B,$A188,Import!N:N)</f>
        <v>173057</v>
      </c>
      <c r="U188" s="99">
        <f t="shared" ref="U188:U193" si="214">T188-M188</f>
        <v>7333</v>
      </c>
      <c r="V188" s="255">
        <f t="shared" ref="V188:V193" si="215">IF(M188=0,"N/A",T188/M188-1)</f>
        <v>4.4248268204967189E-2</v>
      </c>
      <c r="W188" s="102" t="s">
        <v>2313</v>
      </c>
      <c r="X188" s="102"/>
      <c r="Y188" s="102"/>
      <c r="Z188" s="95"/>
      <c r="AA188" s="615"/>
      <c r="AB188" s="627"/>
      <c r="AC188" s="303"/>
      <c r="AD188" s="303"/>
      <c r="AE188" s="303"/>
      <c r="AF188" s="303"/>
      <c r="AG188" s="303"/>
      <c r="AH188" s="627"/>
      <c r="AI188" s="627"/>
      <c r="AJ188" s="303"/>
      <c r="AK188" s="303"/>
      <c r="AL188" s="303"/>
      <c r="AM188" s="303"/>
      <c r="AN188" s="303"/>
      <c r="AO188" s="196"/>
      <c r="AP188" s="196"/>
      <c r="AQ188" s="196"/>
      <c r="AR188" s="104"/>
      <c r="AS188" s="104"/>
      <c r="AT188" s="104"/>
      <c r="AU188" s="104"/>
      <c r="AV188" s="104"/>
      <c r="AW188" s="104"/>
      <c r="AX188" s="104"/>
      <c r="AY188" s="104"/>
      <c r="AZ188" s="104"/>
      <c r="BA188" s="104"/>
      <c r="BB188" s="104"/>
      <c r="BC188" s="104"/>
      <c r="BD188" s="104"/>
      <c r="BE188" s="104"/>
      <c r="BF188" s="104"/>
      <c r="BG188" s="104"/>
    </row>
    <row r="189" spans="1:59" ht="15" customHeight="1">
      <c r="A189" s="555" t="s">
        <v>2314</v>
      </c>
      <c r="B189" s="217" t="str">
        <f t="shared" si="208"/>
        <v>100</v>
      </c>
      <c r="C189" s="217" t="str">
        <f t="shared" si="209"/>
        <v>10</v>
      </c>
      <c r="D189" s="101" t="str">
        <f t="shared" si="210"/>
        <v>104</v>
      </c>
      <c r="E189" s="217" t="str">
        <f t="shared" si="211"/>
        <v>100-10-104</v>
      </c>
      <c r="F189" s="294" t="str">
        <f t="shared" si="212"/>
        <v>50111</v>
      </c>
      <c r="G189" s="295" t="str">
        <f>VLOOKUP(F189,'GL Category'!A:C,3,FALSE)</f>
        <v>Personnel services</v>
      </c>
      <c r="H189" s="98" t="str">
        <f>VLOOKUP(F189,'GL Category'!A:C,2,FALSE)</f>
        <v>LONGEVITY PAY</v>
      </c>
      <c r="I189" s="99">
        <f>SUMIF(Import!$B:$B,$A189,Import!D:D)</f>
        <v>435</v>
      </c>
      <c r="J189" s="99">
        <f>SUMIF(Import!$B:$B,$A189,Import!E:E)</f>
        <v>495</v>
      </c>
      <c r="K189" s="99">
        <f>SUMIF(Import!$B:$B,$A189,Import!F:F)</f>
        <v>555</v>
      </c>
      <c r="L189" s="99">
        <f>SUMIF(Import!$B:$B,$A189,Import!G:G)</f>
        <v>700</v>
      </c>
      <c r="M189" s="99">
        <f>SUMIF(Import!$B:$B,$A189,Import!H:H)</f>
        <v>830</v>
      </c>
      <c r="N189" s="99">
        <f>SUMIF(Import!$B:$B,$A189,Import!I:I)</f>
        <v>820</v>
      </c>
      <c r="O189" s="99">
        <f>SUMIF(Import!$B:$B,$A189,Import!J:J)</f>
        <v>820</v>
      </c>
      <c r="P189" s="99">
        <f t="shared" si="213"/>
        <v>-10</v>
      </c>
      <c r="Q189" s="99">
        <f>SUMIF(Import!$B:$B,$A189,Import!K:K)</f>
        <v>848</v>
      </c>
      <c r="R189" s="99">
        <f>SUMIF(Import!$B:$B,$A189,Import!L:L)</f>
        <v>0</v>
      </c>
      <c r="S189" s="99">
        <f>SUMIF(Import!$B:$B,$A189,Import!M:M)</f>
        <v>0</v>
      </c>
      <c r="T189" s="99">
        <f>SUMIF(Import!$B:$B,$A189,Import!N:N)</f>
        <v>848</v>
      </c>
      <c r="U189" s="99">
        <f t="shared" si="214"/>
        <v>18</v>
      </c>
      <c r="V189" s="255">
        <f t="shared" si="215"/>
        <v>2.168674698795181E-2</v>
      </c>
      <c r="W189" s="102" t="s">
        <v>2314</v>
      </c>
      <c r="X189" s="102"/>
      <c r="Y189" s="102"/>
      <c r="AA189" s="615"/>
      <c r="AC189" s="92"/>
      <c r="AD189" s="92"/>
      <c r="AE189" s="92"/>
      <c r="AF189" s="92"/>
      <c r="AG189" s="92"/>
      <c r="AJ189" s="92"/>
      <c r="AK189" s="92"/>
      <c r="AL189" s="92"/>
      <c r="AM189" s="92"/>
      <c r="AN189" s="92"/>
    </row>
    <row r="190" spans="1:59" ht="15" customHeight="1">
      <c r="A190" s="555" t="s">
        <v>2315</v>
      </c>
      <c r="B190" s="217" t="str">
        <f t="shared" si="208"/>
        <v>100</v>
      </c>
      <c r="C190" s="217" t="str">
        <f t="shared" si="209"/>
        <v>10</v>
      </c>
      <c r="D190" s="101" t="str">
        <f t="shared" si="210"/>
        <v>104</v>
      </c>
      <c r="E190" s="217" t="str">
        <f t="shared" si="211"/>
        <v>100-10-104</v>
      </c>
      <c r="F190" s="294" t="str">
        <f t="shared" si="212"/>
        <v>50610</v>
      </c>
      <c r="G190" s="295" t="str">
        <f>VLOOKUP(F190,'GL Category'!A:C,3,FALSE)</f>
        <v>Personnel services</v>
      </c>
      <c r="H190" s="98" t="str">
        <f>VLOOKUP(F190,'GL Category'!A:C,2,FALSE)</f>
        <v>SOCIAL SECURITY</v>
      </c>
      <c r="I190" s="99">
        <f>SUMIF(Import!$B:$B,$A190,Import!D:D)</f>
        <v>4439.92</v>
      </c>
      <c r="J190" s="99">
        <f>SUMIF(Import!$B:$B,$A190,Import!E:E)</f>
        <v>6648.96</v>
      </c>
      <c r="K190" s="99">
        <f>SUMIF(Import!$B:$B,$A190,Import!F:F)</f>
        <v>10089.11</v>
      </c>
      <c r="L190" s="99">
        <f>SUMIF(Import!$B:$B,$A190,Import!G:G)</f>
        <v>11348.12</v>
      </c>
      <c r="M190" s="99">
        <f>SUMIF(Import!$B:$B,$A190,Import!H:H)</f>
        <v>12920</v>
      </c>
      <c r="N190" s="99">
        <f>SUMIF(Import!$B:$B,$A190,Import!I:I)</f>
        <v>7155.44</v>
      </c>
      <c r="O190" s="99">
        <f>SUMIF(Import!$B:$B,$A190,Import!J:J)</f>
        <v>10908</v>
      </c>
      <c r="P190" s="99">
        <f t="shared" si="213"/>
        <v>-2012</v>
      </c>
      <c r="Q190" s="99">
        <f>SUMIF(Import!$B:$B,$A190,Import!K:K)</f>
        <v>13420</v>
      </c>
      <c r="R190" s="99">
        <f>SUMIF(Import!$B:$B,$A190,Import!L:L)</f>
        <v>0</v>
      </c>
      <c r="S190" s="99">
        <f>SUMIF(Import!$B:$B,$A190,Import!M:M)</f>
        <v>0</v>
      </c>
      <c r="T190" s="99">
        <f>SUMIF(Import!$B:$B,$A190,Import!N:N)</f>
        <v>13420</v>
      </c>
      <c r="U190" s="99">
        <f t="shared" si="214"/>
        <v>500</v>
      </c>
      <c r="V190" s="255">
        <f t="shared" si="215"/>
        <v>3.8699690402476783E-2</v>
      </c>
      <c r="W190" s="102" t="s">
        <v>2315</v>
      </c>
      <c r="X190" s="102"/>
      <c r="Y190" s="102"/>
      <c r="AA190" s="615"/>
      <c r="AC190" s="301"/>
      <c r="AD190" s="301"/>
      <c r="AE190" s="301"/>
      <c r="AF190" s="301"/>
      <c r="AG190" s="301"/>
      <c r="AJ190" s="301"/>
      <c r="AK190" s="301"/>
      <c r="AL190" s="301"/>
      <c r="AM190" s="301"/>
      <c r="AN190" s="301"/>
    </row>
    <row r="191" spans="1:59" s="105" customFormat="1" ht="15" customHeight="1">
      <c r="A191" s="555" t="s">
        <v>2316</v>
      </c>
      <c r="B191" s="217" t="str">
        <f t="shared" si="208"/>
        <v>100</v>
      </c>
      <c r="C191" s="217" t="str">
        <f t="shared" si="209"/>
        <v>10</v>
      </c>
      <c r="D191" s="101" t="str">
        <f t="shared" si="210"/>
        <v>104</v>
      </c>
      <c r="E191" s="217" t="str">
        <f t="shared" si="211"/>
        <v>100-10-104</v>
      </c>
      <c r="F191" s="294" t="str">
        <f t="shared" si="212"/>
        <v>50620</v>
      </c>
      <c r="G191" s="295" t="str">
        <f>VLOOKUP(F191,'GL Category'!A:C,3,FALSE)</f>
        <v>Personnel services</v>
      </c>
      <c r="H191" s="98" t="str">
        <f>VLOOKUP(F191,'GL Category'!A:C,2,FALSE)</f>
        <v>HEALTH/LIFE INSURANCE</v>
      </c>
      <c r="I191" s="99">
        <f>SUMIF(Import!$B:$B,$A191,Import!D:D)</f>
        <v>16914.990000000002</v>
      </c>
      <c r="J191" s="99">
        <f>SUMIF(Import!$B:$B,$A191,Import!E:E)</f>
        <v>23279.07</v>
      </c>
      <c r="K191" s="99">
        <f>SUMIF(Import!$B:$B,$A191,Import!F:F)</f>
        <v>32434.880000000001</v>
      </c>
      <c r="L191" s="99">
        <f>SUMIF(Import!$B:$B,$A191,Import!G:G)</f>
        <v>33297.29</v>
      </c>
      <c r="M191" s="99">
        <f>SUMIF(Import!$B:$B,$A191,Import!H:H)</f>
        <v>32569</v>
      </c>
      <c r="N191" s="99">
        <f>SUMIF(Import!$B:$B,$A191,Import!I:I)</f>
        <v>19723.099999999999</v>
      </c>
      <c r="O191" s="99">
        <f>SUMIF(Import!$B:$B,$A191,Import!J:J)</f>
        <v>30775</v>
      </c>
      <c r="P191" s="99">
        <f t="shared" si="213"/>
        <v>-1794</v>
      </c>
      <c r="Q191" s="99">
        <f>SUMIF(Import!$B:$B,$A191,Import!K:K)</f>
        <v>35242</v>
      </c>
      <c r="R191" s="99">
        <f>SUMIF(Import!$B:$B,$A191,Import!L:L)</f>
        <v>0</v>
      </c>
      <c r="S191" s="99">
        <f>SUMIF(Import!$B:$B,$A191,Import!M:M)</f>
        <v>0</v>
      </c>
      <c r="T191" s="99">
        <f>SUMIF(Import!$B:$B,$A191,Import!N:N)</f>
        <v>35242</v>
      </c>
      <c r="U191" s="99">
        <f t="shared" si="214"/>
        <v>2673</v>
      </c>
      <c r="V191" s="255">
        <f t="shared" si="215"/>
        <v>8.207190887039828E-2</v>
      </c>
      <c r="W191" s="102" t="s">
        <v>2316</v>
      </c>
      <c r="X191" s="102"/>
      <c r="Y191" s="102"/>
      <c r="Z191" s="95"/>
      <c r="AA191" s="615"/>
      <c r="AB191" s="627"/>
      <c r="AC191" s="303"/>
      <c r="AD191" s="303"/>
      <c r="AE191" s="303"/>
      <c r="AF191" s="303"/>
      <c r="AG191" s="303"/>
      <c r="AH191" s="627"/>
      <c r="AI191" s="627"/>
      <c r="AJ191" s="303"/>
      <c r="AK191" s="303"/>
      <c r="AL191" s="303"/>
      <c r="AM191" s="303"/>
      <c r="AN191" s="303"/>
      <c r="AO191" s="196"/>
      <c r="AP191" s="196"/>
      <c r="AQ191" s="196"/>
      <c r="AR191" s="104"/>
      <c r="AS191" s="104"/>
      <c r="AT191" s="104"/>
      <c r="AU191" s="104"/>
      <c r="AV191" s="104"/>
      <c r="AW191" s="104"/>
      <c r="AX191" s="104"/>
      <c r="AY191" s="104"/>
      <c r="AZ191" s="104"/>
      <c r="BA191" s="104"/>
      <c r="BB191" s="104"/>
      <c r="BC191" s="104"/>
      <c r="BD191" s="104"/>
      <c r="BE191" s="104"/>
      <c r="BF191" s="104"/>
      <c r="BG191" s="104"/>
    </row>
    <row r="192" spans="1:59" ht="15" customHeight="1">
      <c r="A192" s="555" t="s">
        <v>2317</v>
      </c>
      <c r="B192" s="217" t="str">
        <f t="shared" si="208"/>
        <v>100</v>
      </c>
      <c r="C192" s="217" t="str">
        <f t="shared" si="209"/>
        <v>10</v>
      </c>
      <c r="D192" s="101" t="str">
        <f t="shared" si="210"/>
        <v>104</v>
      </c>
      <c r="E192" s="217" t="str">
        <f t="shared" si="211"/>
        <v>100-10-104</v>
      </c>
      <c r="F192" s="294" t="str">
        <f t="shared" si="212"/>
        <v>50630</v>
      </c>
      <c r="G192" s="295" t="str">
        <f>VLOOKUP(F192,'GL Category'!A:C,3,FALSE)</f>
        <v>Personnel services</v>
      </c>
      <c r="H192" s="98" t="str">
        <f>VLOOKUP(F192,'GL Category'!A:C,2,FALSE)</f>
        <v>WORKER COMPENSATION</v>
      </c>
      <c r="I192" s="99">
        <f>SUMIF(Import!$B:$B,$A192,Import!D:D)</f>
        <v>57.72</v>
      </c>
      <c r="J192" s="99">
        <f>SUMIF(Import!$B:$B,$A192,Import!E:E)</f>
        <v>53.96</v>
      </c>
      <c r="K192" s="99">
        <f>SUMIF(Import!$B:$B,$A192,Import!F:F)</f>
        <v>96.45</v>
      </c>
      <c r="L192" s="99">
        <f>SUMIF(Import!$B:$B,$A192,Import!G:G)</f>
        <v>183.58</v>
      </c>
      <c r="M192" s="99">
        <f>SUMIF(Import!$B:$B,$A192,Import!H:H)</f>
        <v>241</v>
      </c>
      <c r="N192" s="99">
        <f>SUMIF(Import!$B:$B,$A192,Import!I:I)</f>
        <v>240.81</v>
      </c>
      <c r="O192" s="99">
        <f>SUMIF(Import!$B:$B,$A192,Import!J:J)</f>
        <v>241</v>
      </c>
      <c r="P192" s="99">
        <f t="shared" si="213"/>
        <v>0</v>
      </c>
      <c r="Q192" s="99">
        <f>SUMIF(Import!$B:$B,$A192,Import!K:K)</f>
        <v>242</v>
      </c>
      <c r="R192" s="99">
        <f>SUMIF(Import!$B:$B,$A192,Import!L:L)</f>
        <v>0</v>
      </c>
      <c r="S192" s="99">
        <f>SUMIF(Import!$B:$B,$A192,Import!M:M)</f>
        <v>0</v>
      </c>
      <c r="T192" s="99">
        <f>SUMIF(Import!$B:$B,$A192,Import!N:N)</f>
        <v>242</v>
      </c>
      <c r="U192" s="99">
        <f t="shared" si="214"/>
        <v>1</v>
      </c>
      <c r="V192" s="255">
        <f t="shared" si="215"/>
        <v>4.1493775933609811E-3</v>
      </c>
      <c r="W192" s="102" t="s">
        <v>2317</v>
      </c>
      <c r="X192" s="102"/>
      <c r="Y192" s="102"/>
      <c r="AA192" s="615"/>
      <c r="AC192" s="300"/>
      <c r="AD192" s="300"/>
      <c r="AE192" s="300"/>
      <c r="AF192" s="300"/>
      <c r="AG192" s="300"/>
      <c r="AJ192" s="300"/>
      <c r="AK192" s="300"/>
      <c r="AL192" s="300"/>
      <c r="AM192" s="300"/>
      <c r="AN192" s="300"/>
    </row>
    <row r="193" spans="1:59" ht="15" customHeight="1">
      <c r="A193" s="555" t="s">
        <v>2318</v>
      </c>
      <c r="B193" s="217" t="str">
        <f t="shared" si="208"/>
        <v>100</v>
      </c>
      <c r="C193" s="217" t="str">
        <f t="shared" si="209"/>
        <v>10</v>
      </c>
      <c r="D193" s="101" t="str">
        <f t="shared" si="210"/>
        <v>104</v>
      </c>
      <c r="E193" s="217" t="str">
        <f t="shared" si="211"/>
        <v>100-10-104</v>
      </c>
      <c r="F193" s="294" t="str">
        <f t="shared" si="212"/>
        <v>50650</v>
      </c>
      <c r="G193" s="295" t="str">
        <f>VLOOKUP(F193,'GL Category'!A:C,3,FALSE)</f>
        <v>Personnel services</v>
      </c>
      <c r="H193" s="98" t="str">
        <f>VLOOKUP(F193,'GL Category'!A:C,2,FALSE)</f>
        <v>RETIREMENT</v>
      </c>
      <c r="I193" s="99">
        <f>SUMIF(Import!$B:$B,$A193,Import!D:D)</f>
        <v>10995.8</v>
      </c>
      <c r="J193" s="99">
        <f>SUMIF(Import!$B:$B,$A193,Import!E:E)</f>
        <v>16241.14</v>
      </c>
      <c r="K193" s="99">
        <f>SUMIF(Import!$B:$B,$A193,Import!F:F)</f>
        <v>24952.7</v>
      </c>
      <c r="L193" s="99">
        <f>SUMIF(Import!$B:$B,$A193,Import!G:G)</f>
        <v>26135.06</v>
      </c>
      <c r="M193" s="99">
        <f>SUMIF(Import!$B:$B,$A193,Import!H:H)</f>
        <v>27920</v>
      </c>
      <c r="N193" s="99">
        <f>SUMIF(Import!$B:$B,$A193,Import!I:I)</f>
        <v>17224.560000000001</v>
      </c>
      <c r="O193" s="99">
        <f>SUMIF(Import!$B:$B,$A193,Import!J:J)</f>
        <v>25103</v>
      </c>
      <c r="P193" s="99">
        <f t="shared" si="213"/>
        <v>-2817</v>
      </c>
      <c r="Q193" s="99">
        <f>SUMIF(Import!$B:$B,$A193,Import!K:K)</f>
        <v>29706</v>
      </c>
      <c r="R193" s="99">
        <f>SUMIF(Import!$B:$B,$A193,Import!L:L)</f>
        <v>0</v>
      </c>
      <c r="S193" s="99">
        <f>SUMIF(Import!$B:$B,$A193,Import!M:M)</f>
        <v>0</v>
      </c>
      <c r="T193" s="99">
        <f>SUMIF(Import!$B:$B,$A193,Import!N:N)</f>
        <v>29706</v>
      </c>
      <c r="U193" s="99">
        <f t="shared" si="214"/>
        <v>1786</v>
      </c>
      <c r="V193" s="255">
        <f t="shared" si="215"/>
        <v>6.3968481375358266E-2</v>
      </c>
      <c r="W193" s="102" t="s">
        <v>2318</v>
      </c>
      <c r="X193" s="102"/>
      <c r="Y193" s="102"/>
      <c r="AA193" s="615"/>
      <c r="AC193" s="300"/>
      <c r="AD193" s="300"/>
      <c r="AE193" s="300"/>
      <c r="AF193" s="300"/>
      <c r="AG193" s="300"/>
      <c r="AJ193" s="300"/>
      <c r="AK193" s="300"/>
      <c r="AL193" s="300"/>
      <c r="AM193" s="300"/>
      <c r="AN193" s="300"/>
    </row>
    <row r="194" spans="1:59" ht="15" customHeight="1">
      <c r="A194" s="297"/>
      <c r="B194" s="217"/>
      <c r="C194" s="217"/>
      <c r="D194" s="101"/>
      <c r="E194" s="101"/>
      <c r="F194" s="294"/>
      <c r="G194" s="295"/>
      <c r="H194" s="107" t="str">
        <f>UPPER(G193)&amp;" TOTAL"</f>
        <v>PERSONNEL SERVICES TOTAL</v>
      </c>
      <c r="I194" s="108">
        <f t="shared" ref="I194" si="216">SUBTOTAL(9,I188:I193)</f>
        <v>100154.78000000001</v>
      </c>
      <c r="J194" s="108">
        <f t="shared" ref="J194:P194" si="217">SUBTOTAL(9,J188:J193)</f>
        <v>146693.1</v>
      </c>
      <c r="K194" s="108">
        <f t="shared" ref="K194" si="218">SUBTOTAL(9,K188:K193)</f>
        <v>221701.45</v>
      </c>
      <c r="L194" s="108">
        <f t="shared" ref="L194" si="219">SUBTOTAL(9,L188:L193)</f>
        <v>231514.11</v>
      </c>
      <c r="M194" s="108">
        <f t="shared" si="217"/>
        <v>240204</v>
      </c>
      <c r="N194" s="108">
        <f t="shared" ref="N194" si="220">SUBTOTAL(9,N188:N193)</f>
        <v>147498.79999999999</v>
      </c>
      <c r="O194" s="108">
        <f t="shared" si="217"/>
        <v>217688</v>
      </c>
      <c r="P194" s="108">
        <f t="shared" si="217"/>
        <v>-22516</v>
      </c>
      <c r="Q194" s="108">
        <f t="shared" ref="Q194:T194" si="221">SUBTOTAL(9,Q188:Q193)</f>
        <v>252515</v>
      </c>
      <c r="R194" s="108">
        <f t="shared" si="221"/>
        <v>0</v>
      </c>
      <c r="S194" s="108">
        <f t="shared" si="221"/>
        <v>0</v>
      </c>
      <c r="T194" s="108">
        <f t="shared" si="221"/>
        <v>252515</v>
      </c>
      <c r="U194" s="99">
        <f>T194-M194</f>
        <v>12311</v>
      </c>
      <c r="V194" s="255">
        <f>IF(M194=0,"N/A",T194/M194-1)</f>
        <v>5.1252268904764309E-2</v>
      </c>
      <c r="W194" s="102"/>
      <c r="X194" s="102"/>
      <c r="Y194" s="102"/>
      <c r="AA194" s="615"/>
      <c r="AC194" s="300"/>
      <c r="AD194" s="300"/>
      <c r="AE194" s="300"/>
      <c r="AF194" s="300"/>
      <c r="AG194" s="300"/>
      <c r="AJ194" s="300"/>
      <c r="AK194" s="300"/>
      <c r="AL194" s="300"/>
      <c r="AM194" s="300"/>
      <c r="AN194" s="300"/>
    </row>
    <row r="195" spans="1:59" ht="15" customHeight="1">
      <c r="A195" s="297"/>
      <c r="B195" s="217"/>
      <c r="C195" s="217"/>
      <c r="D195" s="101"/>
      <c r="E195" s="101"/>
      <c r="F195" s="294"/>
      <c r="G195" s="295"/>
      <c r="H195" s="232"/>
      <c r="I195" s="233"/>
      <c r="J195" s="233"/>
      <c r="K195" s="233"/>
      <c r="L195" s="233"/>
      <c r="M195" s="233"/>
      <c r="N195" s="233"/>
      <c r="O195" s="233"/>
      <c r="P195" s="233"/>
      <c r="Q195" s="233"/>
      <c r="R195" s="233"/>
      <c r="S195" s="233"/>
      <c r="T195" s="233"/>
      <c r="U195" s="233"/>
      <c r="V195" s="233"/>
      <c r="W195" s="102"/>
      <c r="X195" s="102"/>
      <c r="Y195" s="102"/>
      <c r="AA195" s="615"/>
      <c r="AC195" s="300"/>
      <c r="AD195" s="300"/>
      <c r="AE195" s="300"/>
      <c r="AF195" s="300"/>
      <c r="AG195" s="300"/>
      <c r="AJ195" s="300"/>
      <c r="AK195" s="300"/>
      <c r="AL195" s="300"/>
      <c r="AM195" s="300"/>
      <c r="AN195" s="300"/>
    </row>
    <row r="196" spans="1:59" ht="15" customHeight="1">
      <c r="A196" s="555" t="s">
        <v>2319</v>
      </c>
      <c r="B196" s="217" t="str">
        <f t="shared" ref="B196" si="222">LEFT(A196,3)</f>
        <v>100</v>
      </c>
      <c r="C196" s="217" t="str">
        <f>MID(A196,5,2)</f>
        <v>10</v>
      </c>
      <c r="D196" s="101" t="str">
        <f>MID(A196,8,3)</f>
        <v>104</v>
      </c>
      <c r="E196" s="217" t="str">
        <f>LEFT(A196,10)</f>
        <v>100-10-104</v>
      </c>
      <c r="F196" s="294" t="str">
        <f>RIGHT(A196,5)</f>
        <v>51210</v>
      </c>
      <c r="G196" s="295" t="str">
        <f>VLOOKUP(F196,'GL Category'!A:C,3,FALSE)</f>
        <v>Operations &amp; maintenance</v>
      </c>
      <c r="H196" s="98" t="str">
        <f>VLOOKUP(F196,'GL Category'!A:C,2,FALSE)</f>
        <v>OFFICE SUPPLIES</v>
      </c>
      <c r="I196" s="99">
        <f>SUMIF(Import!$B:$B,$A196,Import!D:D)</f>
        <v>55.93</v>
      </c>
      <c r="J196" s="99">
        <f>SUMIF(Import!$B:$B,$A196,Import!E:E)</f>
        <v>113.44</v>
      </c>
      <c r="K196" s="99">
        <f>SUMIF(Import!$B:$B,$A196,Import!F:F)</f>
        <v>120</v>
      </c>
      <c r="L196" s="99">
        <f>SUMIF(Import!$B:$B,$A196,Import!G:G)</f>
        <v>0</v>
      </c>
      <c r="M196" s="99">
        <f>SUMIF(Import!$B:$B,$A196,Import!H:H)</f>
        <v>300</v>
      </c>
      <c r="N196" s="99">
        <f>SUMIF(Import!$B:$B,$A196,Import!I:I)</f>
        <v>0</v>
      </c>
      <c r="O196" s="99">
        <f>SUMIF(Import!$B:$B,$A196,Import!J:J)</f>
        <v>300</v>
      </c>
      <c r="P196" s="99">
        <f t="shared" ref="P196" si="223">O196-M196</f>
        <v>0</v>
      </c>
      <c r="Q196" s="99">
        <f>SUMIF(Import!$B:$B,$A196,Import!K:K)</f>
        <v>300</v>
      </c>
      <c r="R196" s="99">
        <f>SUMIF(Import!$B:$B,$A196,Import!L:L)</f>
        <v>0</v>
      </c>
      <c r="S196" s="99">
        <f>SUMIF(Import!$B:$B,$A196,Import!M:M)</f>
        <v>0</v>
      </c>
      <c r="T196" s="99">
        <f>SUMIF(Import!$B:$B,$A196,Import!N:N)</f>
        <v>300</v>
      </c>
      <c r="U196" s="99">
        <f t="shared" ref="U196" si="224">T196-M196</f>
        <v>0</v>
      </c>
      <c r="V196" s="255">
        <f t="shared" ref="V196" si="225">IF(M196=0,"N/A",T196/M196-1)</f>
        <v>0</v>
      </c>
      <c r="W196" s="102" t="s">
        <v>2319</v>
      </c>
      <c r="X196" s="102"/>
      <c r="Y196" s="102"/>
      <c r="AA196" s="615"/>
      <c r="AC196" s="92"/>
      <c r="AD196" s="92"/>
      <c r="AE196" s="92"/>
      <c r="AF196" s="92"/>
      <c r="AG196" s="92"/>
      <c r="AJ196" s="92"/>
      <c r="AK196" s="92"/>
      <c r="AL196" s="92"/>
      <c r="AM196" s="92"/>
      <c r="AN196" s="92"/>
    </row>
    <row r="197" spans="1:59" ht="23.1" customHeight="1">
      <c r="A197" s="297"/>
      <c r="B197" s="217"/>
      <c r="C197" s="217"/>
      <c r="D197" s="101"/>
      <c r="E197" s="101"/>
      <c r="F197" s="294"/>
      <c r="G197" s="295"/>
      <c r="H197" s="107" t="str">
        <f>UPPER(G196)&amp;" TOTAL"</f>
        <v>OPERATIONS &amp; MAINTENANCE TOTAL</v>
      </c>
      <c r="I197" s="108">
        <f t="shared" ref="I197" si="226">SUBTOTAL(9,I196:I196)</f>
        <v>55.93</v>
      </c>
      <c r="J197" s="108">
        <f t="shared" ref="J197:P197" si="227">SUBTOTAL(9,J196:J196)</f>
        <v>113.44</v>
      </c>
      <c r="K197" s="108">
        <f t="shared" ref="K197" si="228">SUBTOTAL(9,K196:K196)</f>
        <v>120</v>
      </c>
      <c r="L197" s="108">
        <f t="shared" ref="L197" si="229">SUBTOTAL(9,L196:L196)</f>
        <v>0</v>
      </c>
      <c r="M197" s="108">
        <f t="shared" si="227"/>
        <v>300</v>
      </c>
      <c r="N197" s="108">
        <f t="shared" ref="N197" si="230">SUBTOTAL(9,N196:N196)</f>
        <v>0</v>
      </c>
      <c r="O197" s="108">
        <f t="shared" si="227"/>
        <v>300</v>
      </c>
      <c r="P197" s="108">
        <f t="shared" si="227"/>
        <v>0</v>
      </c>
      <c r="Q197" s="108">
        <f t="shared" ref="Q197:T197" si="231">SUBTOTAL(9,Q196:Q196)</f>
        <v>300</v>
      </c>
      <c r="R197" s="108">
        <f t="shared" si="231"/>
        <v>0</v>
      </c>
      <c r="S197" s="108">
        <f t="shared" si="231"/>
        <v>0</v>
      </c>
      <c r="T197" s="108">
        <f t="shared" si="231"/>
        <v>300</v>
      </c>
      <c r="U197" s="99">
        <f>T197-M197</f>
        <v>0</v>
      </c>
      <c r="V197" s="255">
        <f>IF(M197=0,"N/A",T197/M197-1)</f>
        <v>0</v>
      </c>
      <c r="W197" s="102"/>
      <c r="X197" s="102"/>
      <c r="Y197" s="102"/>
      <c r="AA197" s="615"/>
      <c r="AC197" s="300"/>
      <c r="AD197" s="300"/>
      <c r="AE197" s="300"/>
      <c r="AF197" s="300"/>
      <c r="AG197" s="300"/>
      <c r="AJ197" s="300"/>
      <c r="AK197" s="300"/>
      <c r="AL197" s="300"/>
      <c r="AM197" s="300"/>
      <c r="AN197" s="300"/>
    </row>
    <row r="198" spans="1:59" ht="15" customHeight="1">
      <c r="A198" s="297"/>
      <c r="B198" s="217"/>
      <c r="C198" s="217"/>
      <c r="D198" s="101"/>
      <c r="E198" s="101"/>
      <c r="F198" s="294"/>
      <c r="G198" s="295"/>
      <c r="H198" s="98"/>
      <c r="I198" s="218"/>
      <c r="J198" s="218"/>
      <c r="K198" s="218"/>
      <c r="L198" s="218"/>
      <c r="M198" s="218"/>
      <c r="N198" s="226"/>
      <c r="O198" s="226"/>
      <c r="P198" s="226"/>
      <c r="Q198" s="111"/>
      <c r="R198" s="111"/>
      <c r="S198" s="111"/>
      <c r="T198" s="111"/>
      <c r="U198" s="111"/>
      <c r="V198" s="111"/>
      <c r="W198" s="102"/>
      <c r="X198" s="102"/>
      <c r="Y198" s="102"/>
      <c r="AA198" s="615"/>
      <c r="AC198" s="92"/>
      <c r="AD198" s="92"/>
      <c r="AE198" s="92"/>
      <c r="AF198" s="92"/>
      <c r="AG198" s="92"/>
      <c r="AJ198" s="92"/>
      <c r="AK198" s="92"/>
      <c r="AL198" s="92"/>
      <c r="AM198" s="92"/>
      <c r="AN198" s="92"/>
    </row>
    <row r="199" spans="1:59" ht="15" customHeight="1">
      <c r="A199" s="555" t="s">
        <v>2320</v>
      </c>
      <c r="B199" s="217" t="str">
        <f t="shared" ref="B199:B205" si="232">LEFT(A199,3)</f>
        <v>100</v>
      </c>
      <c r="C199" s="217" t="str">
        <f t="shared" ref="C199:C205" si="233">MID(A199,5,2)</f>
        <v>10</v>
      </c>
      <c r="D199" s="101" t="str">
        <f t="shared" ref="D199:D205" si="234">MID(A199,8,3)</f>
        <v>104</v>
      </c>
      <c r="E199" s="217" t="str">
        <f t="shared" ref="E199:E205" si="235">LEFT(A199,10)</f>
        <v>100-10-104</v>
      </c>
      <c r="F199" s="294" t="str">
        <f t="shared" ref="F199:F205" si="236">RIGHT(A199,5)</f>
        <v>53505</v>
      </c>
      <c r="G199" s="295" t="str">
        <f>VLOOKUP(F199,'GL Category'!A:C,3,FALSE)</f>
        <v>Services &amp; other</v>
      </c>
      <c r="H199" s="98" t="str">
        <f>VLOOKUP(F199,'GL Category'!A:C,2,FALSE)</f>
        <v>PUBLIC EDUCATION SERVICES</v>
      </c>
      <c r="I199" s="99">
        <f>SUMIF(Import!$B:$B,$A199,Import!D:D)</f>
        <v>0</v>
      </c>
      <c r="J199" s="99">
        <f>SUMIF(Import!$B:$B,$A199,Import!E:E)</f>
        <v>2643.05</v>
      </c>
      <c r="K199" s="99">
        <f>SUMIF(Import!$B:$B,$A199,Import!F:F)</f>
        <v>9209.3700000000008</v>
      </c>
      <c r="L199" s="99">
        <f>SUMIF(Import!$B:$B,$A199,Import!G:G)</f>
        <v>11430.05</v>
      </c>
      <c r="M199" s="99">
        <f>SUMIF(Import!$B:$B,$A199,Import!H:H)</f>
        <v>15500</v>
      </c>
      <c r="N199" s="99">
        <f>SUMIF(Import!$B:$B,$A199,Import!I:I)</f>
        <v>10234</v>
      </c>
      <c r="O199" s="99">
        <f>SUMIF(Import!$B:$B,$A199,Import!J:J)</f>
        <v>15500</v>
      </c>
      <c r="P199" s="99">
        <f t="shared" ref="P199:P205" si="237">O199-M199</f>
        <v>0</v>
      </c>
      <c r="Q199" s="99">
        <f>SUMIF(Import!$B:$B,$A199,Import!K:K)</f>
        <v>15500</v>
      </c>
      <c r="R199" s="99">
        <f>SUMIF(Import!$B:$B,$A199,Import!L:L)</f>
        <v>0</v>
      </c>
      <c r="S199" s="99">
        <f>SUMIF(Import!$B:$B,$A199,Import!M:M)</f>
        <v>0</v>
      </c>
      <c r="T199" s="99">
        <f>SUMIF(Import!$B:$B,$A199,Import!N:N)</f>
        <v>15500</v>
      </c>
      <c r="U199" s="99">
        <f t="shared" ref="U199:U205" si="238">T199-M199</f>
        <v>0</v>
      </c>
      <c r="V199" s="255">
        <f t="shared" ref="V199:V205" si="239">IF(M199=0,"N/A",T199/M199-1)</f>
        <v>0</v>
      </c>
      <c r="W199" s="102" t="s">
        <v>2320</v>
      </c>
      <c r="X199" s="102"/>
      <c r="Y199" s="102"/>
      <c r="AA199" s="615"/>
      <c r="AC199" s="301"/>
      <c r="AD199" s="301"/>
      <c r="AE199" s="301"/>
      <c r="AF199" s="301"/>
      <c r="AG199" s="301"/>
      <c r="AJ199" s="301"/>
      <c r="AK199" s="301"/>
      <c r="AL199" s="301"/>
      <c r="AM199" s="301"/>
      <c r="AN199" s="301"/>
    </row>
    <row r="200" spans="1:59" ht="15" customHeight="1">
      <c r="A200" s="555" t="s">
        <v>2321</v>
      </c>
      <c r="B200" s="217" t="str">
        <f t="shared" si="232"/>
        <v>100</v>
      </c>
      <c r="C200" s="217" t="str">
        <f t="shared" si="233"/>
        <v>10</v>
      </c>
      <c r="D200" s="101" t="str">
        <f t="shared" si="234"/>
        <v>104</v>
      </c>
      <c r="E200" s="217" t="str">
        <f t="shared" si="235"/>
        <v>100-10-104</v>
      </c>
      <c r="F200" s="294" t="str">
        <f t="shared" si="236"/>
        <v>53599</v>
      </c>
      <c r="G200" s="295" t="str">
        <f>VLOOKUP(F200,'GL Category'!A:C,3,FALSE)</f>
        <v>Services &amp; other</v>
      </c>
      <c r="H200" s="98" t="str">
        <f>VLOOKUP(F200,'GL Category'!A:C,2,FALSE)</f>
        <v>MISCELLANEOUS SERVICES</v>
      </c>
      <c r="I200" s="99">
        <f>SUMIF(Import!$B:$B,$A200,Import!D:D)</f>
        <v>0</v>
      </c>
      <c r="J200" s="99">
        <f>SUMIF(Import!$B:$B,$A200,Import!E:E)</f>
        <v>0</v>
      </c>
      <c r="K200" s="99">
        <f>SUMIF(Import!$B:$B,$A200,Import!F:F)</f>
        <v>0</v>
      </c>
      <c r="L200" s="99">
        <f>SUMIF(Import!$B:$B,$A200,Import!G:G)</f>
        <v>0</v>
      </c>
      <c r="M200" s="99">
        <f>SUMIF(Import!$B:$B,$A200,Import!H:H)</f>
        <v>0</v>
      </c>
      <c r="N200" s="99">
        <f>SUMIF(Import!$B:$B,$A200,Import!I:I)</f>
        <v>0</v>
      </c>
      <c r="O200" s="99">
        <f>SUMIF(Import!$B:$B,$A200,Import!J:J)</f>
        <v>0</v>
      </c>
      <c r="P200" s="99">
        <f t="shared" si="237"/>
        <v>0</v>
      </c>
      <c r="Q200" s="99">
        <f>SUMIF(Import!$B:$B,$A200,Import!K:K)</f>
        <v>0</v>
      </c>
      <c r="R200" s="99">
        <f>SUMIF(Import!$B:$B,$A200,Import!L:L)</f>
        <v>0</v>
      </c>
      <c r="S200" s="99">
        <f>SUMIF(Import!$B:$B,$A200,Import!M:M)</f>
        <v>0</v>
      </c>
      <c r="T200" s="99">
        <f>SUMIF(Import!$B:$B,$A200,Import!N:N)</f>
        <v>0</v>
      </c>
      <c r="U200" s="99">
        <f t="shared" si="238"/>
        <v>0</v>
      </c>
      <c r="V200" s="255" t="str">
        <f t="shared" si="239"/>
        <v>N/A</v>
      </c>
      <c r="W200" s="102" t="s">
        <v>2321</v>
      </c>
      <c r="X200" s="102"/>
      <c r="Y200" s="102"/>
      <c r="AA200" s="615"/>
      <c r="AC200" s="92"/>
      <c r="AD200" s="92"/>
      <c r="AE200" s="92"/>
      <c r="AF200" s="92"/>
      <c r="AG200" s="92"/>
      <c r="AJ200" s="92"/>
      <c r="AK200" s="92"/>
      <c r="AL200" s="92"/>
      <c r="AM200" s="92"/>
      <c r="AN200" s="92"/>
    </row>
    <row r="201" spans="1:59" ht="15" customHeight="1">
      <c r="A201" s="555" t="s">
        <v>2322</v>
      </c>
      <c r="B201" s="217" t="str">
        <f t="shared" si="232"/>
        <v>100</v>
      </c>
      <c r="C201" s="217" t="str">
        <f t="shared" si="233"/>
        <v>10</v>
      </c>
      <c r="D201" s="101" t="str">
        <f t="shared" si="234"/>
        <v>104</v>
      </c>
      <c r="E201" s="217" t="str">
        <f t="shared" si="235"/>
        <v>100-10-104</v>
      </c>
      <c r="F201" s="294" t="str">
        <f t="shared" si="236"/>
        <v>53510</v>
      </c>
      <c r="G201" s="295" t="str">
        <f>VLOOKUP(F201,'GL Category'!A:C,3,FALSE)</f>
        <v>Services &amp; other</v>
      </c>
      <c r="H201" s="98" t="str">
        <f>VLOOKUP(F201,'GL Category'!A:C,2,FALSE)</f>
        <v>DUES &amp; SUBSCRIPTIONS</v>
      </c>
      <c r="I201" s="99">
        <f>SUMIF(Import!$B:$B,$A201,Import!D:D)</f>
        <v>635</v>
      </c>
      <c r="J201" s="99">
        <f>SUMIF(Import!$B:$B,$A201,Import!E:E)</f>
        <v>914</v>
      </c>
      <c r="K201" s="99">
        <f>SUMIF(Import!$B:$B,$A201,Import!F:F)</f>
        <v>900</v>
      </c>
      <c r="L201" s="99">
        <f>SUMIF(Import!$B:$B,$A201,Import!G:G)</f>
        <v>1509.99</v>
      </c>
      <c r="M201" s="99">
        <f>SUMIF(Import!$B:$B,$A201,Import!H:H)</f>
        <v>1755</v>
      </c>
      <c r="N201" s="99">
        <f>SUMIF(Import!$B:$B,$A201,Import!I:I)</f>
        <v>570</v>
      </c>
      <c r="O201" s="99">
        <f>SUMIF(Import!$B:$B,$A201,Import!J:J)</f>
        <v>1355</v>
      </c>
      <c r="P201" s="99">
        <f t="shared" si="237"/>
        <v>-400</v>
      </c>
      <c r="Q201" s="99">
        <f>SUMIF(Import!$B:$B,$A201,Import!K:K)</f>
        <v>1755</v>
      </c>
      <c r="R201" s="99">
        <f>SUMIF(Import!$B:$B,$A201,Import!L:L)</f>
        <v>0</v>
      </c>
      <c r="S201" s="99">
        <f>SUMIF(Import!$B:$B,$A201,Import!M:M)</f>
        <v>0</v>
      </c>
      <c r="T201" s="99">
        <f>SUMIF(Import!$B:$B,$A201,Import!N:N)</f>
        <v>1755</v>
      </c>
      <c r="U201" s="99">
        <f t="shared" si="238"/>
        <v>0</v>
      </c>
      <c r="V201" s="255">
        <f t="shared" si="239"/>
        <v>0</v>
      </c>
      <c r="W201" s="102" t="s">
        <v>2322</v>
      </c>
      <c r="X201" s="102"/>
      <c r="Y201" s="102"/>
      <c r="AA201" s="615"/>
    </row>
    <row r="202" spans="1:59" s="75" customFormat="1" ht="15" customHeight="1">
      <c r="A202" s="555" t="s">
        <v>2323</v>
      </c>
      <c r="B202" s="217" t="str">
        <f t="shared" si="232"/>
        <v>100</v>
      </c>
      <c r="C202" s="217" t="str">
        <f t="shared" si="233"/>
        <v>10</v>
      </c>
      <c r="D202" s="101" t="str">
        <f t="shared" si="234"/>
        <v>104</v>
      </c>
      <c r="E202" s="217" t="str">
        <f t="shared" si="235"/>
        <v>100-10-104</v>
      </c>
      <c r="F202" s="294" t="str">
        <f t="shared" si="236"/>
        <v>53515</v>
      </c>
      <c r="G202" s="295" t="str">
        <f>VLOOKUP(F202,'GL Category'!A:C,3,FALSE)</f>
        <v>Services &amp; other</v>
      </c>
      <c r="H202" s="98" t="str">
        <f>VLOOKUP(F202,'GL Category'!A:C,2,FALSE)</f>
        <v>TRAVEL, TRAINING &amp; EDUCATION</v>
      </c>
      <c r="I202" s="99">
        <f>SUMIF(Import!$B:$B,$A202,Import!D:D)</f>
        <v>695</v>
      </c>
      <c r="J202" s="99">
        <f>SUMIF(Import!$B:$B,$A202,Import!E:E)</f>
        <v>0</v>
      </c>
      <c r="K202" s="99">
        <f>SUMIF(Import!$B:$B,$A202,Import!F:F)</f>
        <v>6675.8</v>
      </c>
      <c r="L202" s="99">
        <f>SUMIF(Import!$B:$B,$A202,Import!G:G)</f>
        <v>6662.52</v>
      </c>
      <c r="M202" s="99">
        <f>SUMIF(Import!$B:$B,$A202,Import!H:H)</f>
        <v>10625</v>
      </c>
      <c r="N202" s="99">
        <f>SUMIF(Import!$B:$B,$A202,Import!I:I)</f>
        <v>1601.93</v>
      </c>
      <c r="O202" s="99">
        <f>SUMIF(Import!$B:$B,$A202,Import!J:J)</f>
        <v>7000</v>
      </c>
      <c r="P202" s="99">
        <f t="shared" si="237"/>
        <v>-3625</v>
      </c>
      <c r="Q202" s="99">
        <f>SUMIF(Import!$B:$B,$A202,Import!K:K)</f>
        <v>10625</v>
      </c>
      <c r="R202" s="99">
        <f>SUMIF(Import!$B:$B,$A202,Import!L:L)</f>
        <v>0</v>
      </c>
      <c r="S202" s="99">
        <f>SUMIF(Import!$B:$B,$A202,Import!M:M)</f>
        <v>0</v>
      </c>
      <c r="T202" s="99">
        <f>SUMIF(Import!$B:$B,$A202,Import!N:N)</f>
        <v>10625</v>
      </c>
      <c r="U202" s="99">
        <f t="shared" si="238"/>
        <v>0</v>
      </c>
      <c r="V202" s="255">
        <f t="shared" si="239"/>
        <v>0</v>
      </c>
      <c r="W202" s="102" t="s">
        <v>2323</v>
      </c>
      <c r="X202" s="102"/>
      <c r="Y202" s="102"/>
      <c r="Z202" s="614"/>
      <c r="AA202" s="615"/>
      <c r="AB202" s="624"/>
      <c r="AC202" s="623"/>
      <c r="AD202" s="623"/>
      <c r="AE202" s="623"/>
      <c r="AF202" s="623"/>
      <c r="AG202" s="623"/>
      <c r="AH202" s="623"/>
      <c r="AI202" s="624"/>
      <c r="AJ202" s="307"/>
      <c r="AK202" s="307"/>
      <c r="AL202" s="307"/>
      <c r="AM202" s="307"/>
      <c r="AN202" s="307"/>
      <c r="AO202" s="192"/>
      <c r="AP202" s="192"/>
      <c r="AQ202" s="192"/>
      <c r="AR202" s="115"/>
      <c r="AS202" s="115"/>
      <c r="AT202" s="115"/>
      <c r="AU202" s="115"/>
      <c r="AV202" s="115"/>
      <c r="AW202" s="115"/>
      <c r="AX202" s="115"/>
      <c r="AY202" s="115"/>
      <c r="AZ202" s="115"/>
      <c r="BA202" s="115"/>
      <c r="BB202" s="115"/>
      <c r="BC202" s="115"/>
      <c r="BD202" s="115"/>
      <c r="BE202" s="74"/>
      <c r="BF202" s="74"/>
      <c r="BG202" s="74"/>
    </row>
    <row r="203" spans="1:59" ht="15" customHeight="1">
      <c r="A203" s="555" t="s">
        <v>2324</v>
      </c>
      <c r="B203" s="217" t="str">
        <f t="shared" si="232"/>
        <v>100</v>
      </c>
      <c r="C203" s="217" t="str">
        <f t="shared" si="233"/>
        <v>10</v>
      </c>
      <c r="D203" s="101" t="str">
        <f t="shared" si="234"/>
        <v>104</v>
      </c>
      <c r="E203" s="217" t="str">
        <f t="shared" si="235"/>
        <v>100-10-104</v>
      </c>
      <c r="F203" s="294" t="str">
        <f t="shared" si="236"/>
        <v>53534</v>
      </c>
      <c r="G203" s="295" t="str">
        <f>VLOOKUP(F203,'GL Category'!A:C,3,FALSE)</f>
        <v>Services &amp; other</v>
      </c>
      <c r="H203" s="98" t="str">
        <f>VLOOKUP(F203,'GL Category'!A:C,2,FALSE)</f>
        <v>MARKETING &amp; PROMOTIONAL</v>
      </c>
      <c r="I203" s="99">
        <f>SUMIF(Import!$B:$B,$A203,Import!D:D)</f>
        <v>2296.2199999999998</v>
      </c>
      <c r="J203" s="99">
        <f>SUMIF(Import!$B:$B,$A203,Import!E:E)</f>
        <v>2939.64</v>
      </c>
      <c r="K203" s="99">
        <f>SUMIF(Import!$B:$B,$A203,Import!F:F)</f>
        <v>4307.26</v>
      </c>
      <c r="L203" s="99">
        <f>SUMIF(Import!$B:$B,$A203,Import!G:G)</f>
        <v>4370.3999999999996</v>
      </c>
      <c r="M203" s="99">
        <f>SUMIF(Import!$B:$B,$A203,Import!H:H)</f>
        <v>5000</v>
      </c>
      <c r="N203" s="99">
        <f>SUMIF(Import!$B:$B,$A203,Import!I:I)</f>
        <v>3481</v>
      </c>
      <c r="O203" s="99">
        <f>SUMIF(Import!$B:$B,$A203,Import!J:J)</f>
        <v>5000</v>
      </c>
      <c r="P203" s="99">
        <f t="shared" si="237"/>
        <v>0</v>
      </c>
      <c r="Q203" s="99">
        <f>SUMIF(Import!$B:$B,$A203,Import!K:K)</f>
        <v>5000</v>
      </c>
      <c r="R203" s="99">
        <f>SUMIF(Import!$B:$B,$A203,Import!L:L)</f>
        <v>80000</v>
      </c>
      <c r="S203" s="99">
        <f>SUMIF(Import!$B:$B,$A203,Import!M:M)</f>
        <v>0</v>
      </c>
      <c r="T203" s="99">
        <f>SUMIF(Import!$B:$B,$A203,Import!N:N)</f>
        <v>85000</v>
      </c>
      <c r="U203" s="99">
        <f t="shared" si="238"/>
        <v>80000</v>
      </c>
      <c r="V203" s="255">
        <f t="shared" si="239"/>
        <v>16</v>
      </c>
      <c r="W203" s="102" t="s">
        <v>2324</v>
      </c>
      <c r="X203" s="102"/>
      <c r="Y203" s="102"/>
      <c r="AA203" s="615"/>
      <c r="AC203" s="300"/>
      <c r="AD203" s="300"/>
      <c r="AE203" s="300"/>
      <c r="AF203" s="300"/>
      <c r="AG203" s="300"/>
      <c r="AJ203" s="300"/>
      <c r="AK203" s="300"/>
      <c r="AL203" s="300"/>
      <c r="AM203" s="300"/>
      <c r="AN203" s="300"/>
    </row>
    <row r="204" spans="1:59" ht="15" customHeight="1">
      <c r="A204" s="555" t="s">
        <v>2325</v>
      </c>
      <c r="B204" s="217" t="str">
        <f t="shared" si="232"/>
        <v>100</v>
      </c>
      <c r="C204" s="217" t="str">
        <f t="shared" si="233"/>
        <v>10</v>
      </c>
      <c r="D204" s="101" t="str">
        <f t="shared" si="234"/>
        <v>104</v>
      </c>
      <c r="E204" s="217" t="str">
        <f t="shared" si="235"/>
        <v>100-10-104</v>
      </c>
      <c r="F204" s="294" t="str">
        <f t="shared" si="236"/>
        <v>53541</v>
      </c>
      <c r="G204" s="295" t="str">
        <f>VLOOKUP(F204,'GL Category'!A:C,3,FALSE)</f>
        <v>Services &amp; other</v>
      </c>
      <c r="H204" s="98" t="str">
        <f>VLOOKUP(F204,'GL Category'!A:C,2,FALSE)</f>
        <v>WEBSITE/TECHNOLOGY SERVICES</v>
      </c>
      <c r="I204" s="99">
        <f>SUMIF(Import!$B:$B,$A204,Import!D:D)</f>
        <v>42828</v>
      </c>
      <c r="J204" s="99">
        <f>SUMIF(Import!$B:$B,$A204,Import!E:E)</f>
        <v>43691.57</v>
      </c>
      <c r="K204" s="99">
        <f>SUMIF(Import!$B:$B,$A204,Import!F:F)</f>
        <v>40770.93</v>
      </c>
      <c r="L204" s="99">
        <f>SUMIF(Import!$B:$B,$A204,Import!G:G)</f>
        <v>48644.58</v>
      </c>
      <c r="M204" s="99">
        <f>SUMIF(Import!$B:$B,$A204,Import!H:H)</f>
        <v>50043</v>
      </c>
      <c r="N204" s="99">
        <f>SUMIF(Import!$B:$B,$A204,Import!I:I)</f>
        <v>50642.8</v>
      </c>
      <c r="O204" s="99">
        <f>SUMIF(Import!$B:$B,$A204,Import!J:J)</f>
        <v>50043</v>
      </c>
      <c r="P204" s="99">
        <f t="shared" si="237"/>
        <v>0</v>
      </c>
      <c r="Q204" s="99">
        <f>SUMIF(Import!$B:$B,$A204,Import!K:K)</f>
        <v>50043</v>
      </c>
      <c r="R204" s="99">
        <f>SUMIF(Import!$B:$B,$A204,Import!L:L)</f>
        <v>35000</v>
      </c>
      <c r="S204" s="99">
        <f>SUMIF(Import!$B:$B,$A204,Import!M:M)</f>
        <v>0</v>
      </c>
      <c r="T204" s="99">
        <f>SUMIF(Import!$B:$B,$A204,Import!N:N)</f>
        <v>85043</v>
      </c>
      <c r="U204" s="99">
        <f t="shared" si="238"/>
        <v>35000</v>
      </c>
      <c r="V204" s="255">
        <f t="shared" si="239"/>
        <v>0.69939851727514335</v>
      </c>
      <c r="W204" s="102" t="s">
        <v>2325</v>
      </c>
      <c r="X204" s="102"/>
      <c r="Y204" s="102"/>
      <c r="AA204" s="615"/>
      <c r="AC204" s="300"/>
      <c r="AD204" s="300"/>
      <c r="AE204" s="300"/>
      <c r="AF204" s="300"/>
      <c r="AG204" s="300"/>
      <c r="AJ204" s="300"/>
      <c r="AK204" s="300"/>
      <c r="AL204" s="300"/>
      <c r="AM204" s="300"/>
      <c r="AN204" s="300"/>
    </row>
    <row r="205" spans="1:59" ht="15" customHeight="1">
      <c r="A205" s="555" t="s">
        <v>2326</v>
      </c>
      <c r="B205" s="217" t="str">
        <f t="shared" si="232"/>
        <v>100</v>
      </c>
      <c r="C205" s="217" t="str">
        <f t="shared" si="233"/>
        <v>10</v>
      </c>
      <c r="D205" s="101" t="str">
        <f t="shared" si="234"/>
        <v>104</v>
      </c>
      <c r="E205" s="217" t="str">
        <f t="shared" si="235"/>
        <v>100-10-104</v>
      </c>
      <c r="F205" s="294" t="str">
        <f t="shared" si="236"/>
        <v>55119</v>
      </c>
      <c r="G205" s="295" t="str">
        <f>VLOOKUP(F205,'GL Category'!A:C,3,FALSE)</f>
        <v>Services &amp; other</v>
      </c>
      <c r="H205" s="98" t="str">
        <f>VLOOKUP(F205,'GL Category'!A:C,2,FALSE)</f>
        <v>OFFICE EQUIP LEASE EXP-CITY</v>
      </c>
      <c r="I205" s="99">
        <f>SUMIF(Import!$B:$B,$A205,Import!D:D)</f>
        <v>7830</v>
      </c>
      <c r="J205" s="99">
        <f>SUMIF(Import!$B:$B,$A205,Import!E:E)</f>
        <v>8664</v>
      </c>
      <c r="K205" s="99">
        <f>SUMIF(Import!$B:$B,$A205,Import!F:F)</f>
        <v>9361</v>
      </c>
      <c r="L205" s="99">
        <f>SUMIF(Import!$B:$B,$A205,Import!G:G)</f>
        <v>9896</v>
      </c>
      <c r="M205" s="99">
        <f>SUMIF(Import!$B:$B,$A205,Import!H:H)</f>
        <v>18800</v>
      </c>
      <c r="N205" s="99">
        <f>SUMIF(Import!$B:$B,$A205,Import!I:I)</f>
        <v>14100</v>
      </c>
      <c r="O205" s="99">
        <f>SUMIF(Import!$B:$B,$A205,Import!J:J)</f>
        <v>18800</v>
      </c>
      <c r="P205" s="99">
        <f t="shared" si="237"/>
        <v>0</v>
      </c>
      <c r="Q205" s="99">
        <f>SUMIF(Import!$B:$B,$A205,Import!K:K)</f>
        <v>19704</v>
      </c>
      <c r="R205" s="99">
        <f>SUMIF(Import!$B:$B,$A205,Import!L:L)</f>
        <v>0</v>
      </c>
      <c r="S205" s="99">
        <f>SUMIF(Import!$B:$B,$A205,Import!M:M)</f>
        <v>0</v>
      </c>
      <c r="T205" s="99">
        <f>SUMIF(Import!$B:$B,$A205,Import!N:N)</f>
        <v>19704</v>
      </c>
      <c r="U205" s="99">
        <f t="shared" si="238"/>
        <v>904</v>
      </c>
      <c r="V205" s="255">
        <f t="shared" si="239"/>
        <v>4.8085106382978804E-2</v>
      </c>
      <c r="W205" s="102" t="s">
        <v>2326</v>
      </c>
      <c r="X205" s="102"/>
      <c r="Y205" s="102"/>
      <c r="AA205" s="615"/>
      <c r="AC205" s="300"/>
      <c r="AD205" s="300"/>
      <c r="AE205" s="300"/>
      <c r="AF205" s="300"/>
      <c r="AG205" s="300"/>
      <c r="AJ205" s="300"/>
      <c r="AK205" s="300"/>
      <c r="AL205" s="300"/>
      <c r="AM205" s="300"/>
      <c r="AN205" s="300"/>
    </row>
    <row r="206" spans="1:59" ht="15" customHeight="1">
      <c r="A206" s="297"/>
      <c r="B206" s="217"/>
      <c r="C206" s="217"/>
      <c r="D206" s="101"/>
      <c r="E206" s="101"/>
      <c r="F206" s="294"/>
      <c r="G206" s="295"/>
      <c r="H206" s="107" t="str">
        <f>UPPER(G205)&amp;" TOTAL"</f>
        <v>SERVICES &amp; OTHER TOTAL</v>
      </c>
      <c r="I206" s="108">
        <f t="shared" ref="I206" si="240">SUBTOTAL(9,I199:I205)</f>
        <v>54284.22</v>
      </c>
      <c r="J206" s="108">
        <f t="shared" ref="J206:T206" si="241">SUBTOTAL(9,J199:J205)</f>
        <v>58852.26</v>
      </c>
      <c r="K206" s="108">
        <f t="shared" ref="K206" si="242">SUBTOTAL(9,K199:K205)</f>
        <v>71224.36</v>
      </c>
      <c r="L206" s="108">
        <f t="shared" ref="L206" si="243">SUBTOTAL(9,L199:L205)</f>
        <v>82513.540000000008</v>
      </c>
      <c r="M206" s="108">
        <f t="shared" si="241"/>
        <v>101723</v>
      </c>
      <c r="N206" s="108">
        <f t="shared" ref="N206" si="244">SUBTOTAL(9,N199:N205)</f>
        <v>80629.73000000001</v>
      </c>
      <c r="O206" s="108">
        <f t="shared" si="241"/>
        <v>97698</v>
      </c>
      <c r="P206" s="108">
        <f t="shared" si="241"/>
        <v>-4025</v>
      </c>
      <c r="Q206" s="108">
        <f t="shared" si="241"/>
        <v>102627</v>
      </c>
      <c r="R206" s="108">
        <f t="shared" si="241"/>
        <v>115000</v>
      </c>
      <c r="S206" s="108">
        <f t="shared" si="241"/>
        <v>0</v>
      </c>
      <c r="T206" s="108">
        <f t="shared" si="241"/>
        <v>217627</v>
      </c>
      <c r="U206" s="99">
        <f>T206-M206</f>
        <v>115904</v>
      </c>
      <c r="V206" s="255">
        <f>IF(M206=0,"N/A",T206/M206-1)</f>
        <v>1.1394080001572897</v>
      </c>
      <c r="W206" s="102"/>
      <c r="X206" s="102"/>
      <c r="Y206" s="102"/>
      <c r="AA206" s="615"/>
      <c r="AC206" s="301"/>
      <c r="AD206" s="301"/>
      <c r="AE206" s="301"/>
      <c r="AF206" s="301"/>
      <c r="AG206" s="301"/>
      <c r="AJ206" s="301"/>
      <c r="AK206" s="301"/>
      <c r="AL206" s="301"/>
      <c r="AM206" s="301"/>
      <c r="AN206" s="301"/>
    </row>
    <row r="207" spans="1:59" ht="15" customHeight="1">
      <c r="A207" s="297"/>
      <c r="B207" s="217"/>
      <c r="C207" s="217"/>
      <c r="D207" s="101"/>
      <c r="E207" s="101"/>
      <c r="F207" s="294"/>
      <c r="G207" s="295"/>
      <c r="H207" s="98"/>
      <c r="I207" s="218"/>
      <c r="J207" s="218"/>
      <c r="K207" s="218"/>
      <c r="L207" s="218"/>
      <c r="M207" s="218"/>
      <c r="N207" s="226"/>
      <c r="O207" s="226"/>
      <c r="P207" s="226"/>
      <c r="Q207" s="111"/>
      <c r="R207" s="111"/>
      <c r="S207" s="111"/>
      <c r="T207" s="111"/>
      <c r="U207" s="111"/>
      <c r="V207" s="111"/>
      <c r="W207" s="102"/>
      <c r="X207" s="102"/>
      <c r="Y207" s="102"/>
      <c r="AA207" s="615"/>
      <c r="AC207" s="300"/>
      <c r="AD207" s="300"/>
      <c r="AE207" s="300"/>
      <c r="AF207" s="300"/>
      <c r="AG207" s="300"/>
      <c r="AJ207" s="300"/>
      <c r="AK207" s="300"/>
      <c r="AL207" s="300"/>
      <c r="AM207" s="300"/>
      <c r="AN207" s="300"/>
    </row>
    <row r="208" spans="1:59" ht="15" customHeight="1">
      <c r="A208" s="297"/>
      <c r="B208" s="217"/>
      <c r="C208" s="217"/>
      <c r="D208" s="101"/>
      <c r="E208" s="101"/>
      <c r="F208" s="294"/>
      <c r="G208" s="295"/>
      <c r="H208" s="114" t="s">
        <v>763</v>
      </c>
      <c r="I208" s="108">
        <f t="shared" ref="I208" si="245">SUBTOTAL(9,I188:I207)</f>
        <v>154494.93</v>
      </c>
      <c r="J208" s="108">
        <f t="shared" ref="J208:T208" si="246">SUBTOTAL(9,J188:J207)</f>
        <v>205658.80000000002</v>
      </c>
      <c r="K208" s="108">
        <f t="shared" ref="K208" si="247">SUBTOTAL(9,K188:K207)</f>
        <v>293045.81</v>
      </c>
      <c r="L208" s="108">
        <f t="shared" ref="L208" si="248">SUBTOTAL(9,L188:L207)</f>
        <v>314027.64999999997</v>
      </c>
      <c r="M208" s="108">
        <f t="shared" si="246"/>
        <v>342227</v>
      </c>
      <c r="N208" s="108">
        <f t="shared" ref="N208" si="249">SUBTOTAL(9,N188:N207)</f>
        <v>228128.52999999997</v>
      </c>
      <c r="O208" s="108">
        <f t="shared" si="246"/>
        <v>315686</v>
      </c>
      <c r="P208" s="108">
        <f t="shared" si="246"/>
        <v>-26541</v>
      </c>
      <c r="Q208" s="108">
        <f t="shared" si="246"/>
        <v>355442</v>
      </c>
      <c r="R208" s="108">
        <f t="shared" si="246"/>
        <v>115000</v>
      </c>
      <c r="S208" s="108">
        <f t="shared" si="246"/>
        <v>0</v>
      </c>
      <c r="T208" s="108">
        <f t="shared" si="246"/>
        <v>470442</v>
      </c>
      <c r="U208" s="99">
        <f>T208-M208</f>
        <v>128215</v>
      </c>
      <c r="V208" s="255">
        <f>IF(M208=0,"N/A",T208/M208-1)</f>
        <v>0.3746489902900707</v>
      </c>
      <c r="W208" s="102"/>
      <c r="X208" s="102"/>
      <c r="Y208" s="102"/>
      <c r="AA208" s="615"/>
      <c r="AC208" s="300"/>
      <c r="AD208" s="300"/>
      <c r="AE208" s="300"/>
      <c r="AF208" s="300"/>
      <c r="AG208" s="300"/>
      <c r="AJ208" s="300"/>
      <c r="AK208" s="300"/>
      <c r="AL208" s="300"/>
      <c r="AM208" s="300"/>
      <c r="AN208" s="300"/>
    </row>
    <row r="209" spans="1:59" ht="15" customHeight="1" thickBot="1">
      <c r="A209" s="297"/>
      <c r="B209" s="217"/>
      <c r="C209" s="217"/>
      <c r="D209" s="101"/>
      <c r="E209" s="101"/>
      <c r="F209" s="294"/>
      <c r="G209" s="295"/>
      <c r="H209" s="98"/>
      <c r="I209" s="218"/>
      <c r="J209" s="218"/>
      <c r="K209" s="218"/>
      <c r="L209" s="218"/>
      <c r="M209" s="218"/>
      <c r="U209" s="99"/>
      <c r="V209" s="255"/>
      <c r="W209" s="102"/>
      <c r="X209" s="102"/>
      <c r="Y209" s="102"/>
      <c r="AA209" s="615"/>
      <c r="AC209" s="94"/>
      <c r="AD209" s="94"/>
      <c r="AE209" s="94"/>
      <c r="AF209" s="94"/>
      <c r="AG209" s="94"/>
      <c r="AJ209" s="94"/>
      <c r="AK209" s="94"/>
      <c r="AL209" s="94"/>
      <c r="AM209" s="94"/>
      <c r="AN209" s="94"/>
    </row>
    <row r="210" spans="1:59" ht="27" customHeight="1" thickBot="1">
      <c r="A210" s="297"/>
      <c r="B210" s="217"/>
      <c r="C210" s="217"/>
      <c r="D210" s="101"/>
      <c r="E210" s="101"/>
      <c r="F210" s="294"/>
      <c r="G210" s="295"/>
      <c r="H210" s="665" t="s">
        <v>609</v>
      </c>
      <c r="I210" s="666"/>
      <c r="J210" s="666"/>
      <c r="K210" s="666"/>
      <c r="L210" s="666"/>
      <c r="M210" s="666"/>
      <c r="N210" s="666"/>
      <c r="O210" s="666"/>
      <c r="P210" s="666"/>
      <c r="Q210" s="666"/>
      <c r="R210" s="666"/>
      <c r="S210" s="666"/>
      <c r="T210" s="667"/>
      <c r="U210" s="247"/>
      <c r="V210" s="247"/>
      <c r="W210" s="102"/>
      <c r="X210" s="102"/>
      <c r="Y210" s="102"/>
      <c r="AA210" s="615"/>
      <c r="AC210" s="301"/>
      <c r="AD210" s="301"/>
      <c r="AE210" s="301"/>
      <c r="AF210" s="301"/>
      <c r="AG210" s="301"/>
      <c r="AJ210" s="301"/>
      <c r="AK210" s="301"/>
      <c r="AL210" s="301"/>
      <c r="AM210" s="301"/>
      <c r="AN210" s="301"/>
    </row>
    <row r="211" spans="1:59" s="105" customFormat="1" ht="15" customHeight="1">
      <c r="A211" s="297"/>
      <c r="B211" s="217"/>
      <c r="C211" s="217"/>
      <c r="D211" s="101"/>
      <c r="E211" s="101"/>
      <c r="F211" s="294"/>
      <c r="G211" s="295"/>
      <c r="H211" s="225"/>
      <c r="I211" s="225"/>
      <c r="J211" s="225"/>
      <c r="K211" s="225"/>
      <c r="L211" s="225"/>
      <c r="M211" s="225"/>
      <c r="N211" s="225"/>
      <c r="O211" s="225"/>
      <c r="P211" s="225"/>
      <c r="Q211" s="225"/>
      <c r="R211" s="225"/>
      <c r="S211" s="225"/>
      <c r="T211" s="225"/>
      <c r="U211" s="225"/>
      <c r="V211" s="225"/>
      <c r="W211" s="102"/>
      <c r="X211" s="102"/>
      <c r="Y211" s="102"/>
      <c r="Z211" s="95"/>
      <c r="AA211" s="615"/>
      <c r="AB211" s="627"/>
      <c r="AC211" s="303"/>
      <c r="AD211" s="303"/>
      <c r="AE211" s="303"/>
      <c r="AF211" s="303"/>
      <c r="AG211" s="303"/>
      <c r="AH211" s="627"/>
      <c r="AI211" s="627"/>
      <c r="AJ211" s="303"/>
      <c r="AK211" s="303"/>
      <c r="AL211" s="303"/>
      <c r="AM211" s="303"/>
      <c r="AN211" s="303"/>
      <c r="AO211" s="196"/>
      <c r="AP211" s="196"/>
      <c r="AQ211" s="196"/>
      <c r="AR211" s="104"/>
      <c r="AS211" s="104"/>
      <c r="AT211" s="104"/>
      <c r="AU211" s="104"/>
      <c r="AV211" s="104"/>
      <c r="AW211" s="104"/>
      <c r="AX211" s="104"/>
      <c r="AY211" s="104"/>
      <c r="AZ211" s="104"/>
      <c r="BA211" s="104"/>
      <c r="BB211" s="104"/>
      <c r="BC211" s="104"/>
      <c r="BD211" s="104"/>
      <c r="BE211" s="104"/>
      <c r="BF211" s="104"/>
      <c r="BG211" s="104"/>
    </row>
    <row r="212" spans="1:59" ht="15" customHeight="1">
      <c r="A212" s="555" t="s">
        <v>2327</v>
      </c>
      <c r="B212" s="217" t="str">
        <f t="shared" ref="B212:B216" si="250">LEFT(A212,3)</f>
        <v>100</v>
      </c>
      <c r="C212" s="217" t="str">
        <f t="shared" ref="C212:C216" si="251">MID(A212,5,2)</f>
        <v>10</v>
      </c>
      <c r="D212" s="101" t="str">
        <f t="shared" ref="D212:D216" si="252">MID(A212,8,3)</f>
        <v>105</v>
      </c>
      <c r="E212" s="217" t="str">
        <f t="shared" ref="E212:E216" si="253">LEFT(A212,10)</f>
        <v>100-10-105</v>
      </c>
      <c r="F212" s="294" t="str">
        <f t="shared" ref="F212:F216" si="254">RIGHT(A212,5)</f>
        <v>50109</v>
      </c>
      <c r="G212" s="295" t="str">
        <f>VLOOKUP(F212,'GL Category'!A:C,3,FALSE)</f>
        <v>Personnel services</v>
      </c>
      <c r="H212" s="98" t="str">
        <f>VLOOKUP(F212,'GL Category'!A:C,2,FALSE)</f>
        <v>OVERTIME</v>
      </c>
      <c r="I212" s="99">
        <f>SUMIF(Import!$B:$B,$A212,Import!D:D)</f>
        <v>729.21</v>
      </c>
      <c r="J212" s="99">
        <f>SUMIF(Import!$B:$B,$A212,Import!E:E)</f>
        <v>10670.14</v>
      </c>
      <c r="K212" s="99">
        <f>SUMIF(Import!$B:$B,$A212,Import!F:F)</f>
        <v>0</v>
      </c>
      <c r="L212" s="99">
        <f>SUMIF(Import!$B:$B,$A212,Import!G:G)</f>
        <v>0</v>
      </c>
      <c r="M212" s="99">
        <f>SUMIF(Import!$B:$B,$A212,Import!H:H)</f>
        <v>18340</v>
      </c>
      <c r="N212" s="99">
        <f>SUMIF(Import!$B:$B,$A212,Import!I:I)</f>
        <v>0</v>
      </c>
      <c r="O212" s="99">
        <f>SUMIF(Import!$B:$B,$A212,Import!J:J)</f>
        <v>0</v>
      </c>
      <c r="P212" s="99">
        <f t="shared" ref="P212:P216" si="255">O212-M212</f>
        <v>-18340</v>
      </c>
      <c r="Q212" s="99">
        <f>SUMIF(Import!$B:$B,$A212,Import!K:K)</f>
        <v>18340</v>
      </c>
      <c r="R212" s="99">
        <f>SUMIF(Import!$B:$B,$A212,Import!L:L)</f>
        <v>0</v>
      </c>
      <c r="S212" s="99">
        <f>SUMIF(Import!$B:$B,$A212,Import!M:M)</f>
        <v>0</v>
      </c>
      <c r="T212" s="99">
        <f>SUMIF(Import!$B:$B,$A212,Import!N:N)</f>
        <v>18340</v>
      </c>
      <c r="U212" s="99">
        <f t="shared" ref="U212:U216" si="256">T212-M212</f>
        <v>0</v>
      </c>
      <c r="V212" s="255">
        <f t="shared" ref="V212:V216" si="257">IF(M212=0,"N/A",T212/M212-1)</f>
        <v>0</v>
      </c>
      <c r="W212" s="102" t="s">
        <v>2327</v>
      </c>
      <c r="X212" s="102"/>
      <c r="Y212" s="102"/>
      <c r="AA212" s="615"/>
      <c r="AC212" s="300"/>
      <c r="AD212" s="300"/>
      <c r="AE212" s="300"/>
      <c r="AF212" s="300"/>
      <c r="AG212" s="300"/>
      <c r="AJ212" s="300"/>
      <c r="AK212" s="300"/>
      <c r="AL212" s="300"/>
      <c r="AM212" s="300"/>
      <c r="AN212" s="300"/>
    </row>
    <row r="213" spans="1:59" ht="15" customHeight="1">
      <c r="A213" s="555" t="s">
        <v>2328</v>
      </c>
      <c r="B213" s="217" t="str">
        <f t="shared" si="250"/>
        <v>100</v>
      </c>
      <c r="C213" s="217" t="str">
        <f t="shared" si="251"/>
        <v>10</v>
      </c>
      <c r="D213" s="101" t="str">
        <f t="shared" si="252"/>
        <v>105</v>
      </c>
      <c r="E213" s="217" t="str">
        <f t="shared" si="253"/>
        <v>100-10-105</v>
      </c>
      <c r="F213" s="294" t="str">
        <f t="shared" si="254"/>
        <v>50610</v>
      </c>
      <c r="G213" s="295" t="str">
        <f>VLOOKUP(F213,'GL Category'!A:C,3,FALSE)</f>
        <v>Personnel services</v>
      </c>
      <c r="H213" s="98" t="str">
        <f>VLOOKUP(F213,'GL Category'!A:C,2,FALSE)</f>
        <v>SOCIAL SECURITY</v>
      </c>
      <c r="I213" s="99">
        <f>SUMIF(Import!$B:$B,$A213,Import!D:D)</f>
        <v>53.18</v>
      </c>
      <c r="J213" s="99">
        <f>SUMIF(Import!$B:$B,$A213,Import!E:E)</f>
        <v>788.65</v>
      </c>
      <c r="K213" s="99">
        <f>SUMIF(Import!$B:$B,$A213,Import!F:F)</f>
        <v>0</v>
      </c>
      <c r="L213" s="99">
        <f>SUMIF(Import!$B:$B,$A213,Import!G:G)</f>
        <v>0</v>
      </c>
      <c r="M213" s="99">
        <f>SUMIF(Import!$B:$B,$A213,Import!H:H)</f>
        <v>1410</v>
      </c>
      <c r="N213" s="99">
        <f>SUMIF(Import!$B:$B,$A213,Import!I:I)</f>
        <v>0</v>
      </c>
      <c r="O213" s="99">
        <f>SUMIF(Import!$B:$B,$A213,Import!J:J)</f>
        <v>498</v>
      </c>
      <c r="P213" s="99">
        <f t="shared" si="255"/>
        <v>-912</v>
      </c>
      <c r="Q213" s="99">
        <f>SUMIF(Import!$B:$B,$A213,Import!K:K)</f>
        <v>1410</v>
      </c>
      <c r="R213" s="99">
        <f>SUMIF(Import!$B:$B,$A213,Import!L:L)</f>
        <v>0</v>
      </c>
      <c r="S213" s="99">
        <f>SUMIF(Import!$B:$B,$A213,Import!M:M)</f>
        <v>0</v>
      </c>
      <c r="T213" s="99">
        <f>SUMIF(Import!$B:$B,$A213,Import!N:N)</f>
        <v>1410</v>
      </c>
      <c r="U213" s="99">
        <f t="shared" si="256"/>
        <v>0</v>
      </c>
      <c r="V213" s="255">
        <f t="shared" si="257"/>
        <v>0</v>
      </c>
      <c r="W213" s="102" t="s">
        <v>2328</v>
      </c>
      <c r="X213" s="102"/>
      <c r="Y213" s="102"/>
      <c r="AA213" s="615"/>
      <c r="AC213" s="300"/>
      <c r="AD213" s="300"/>
      <c r="AE213" s="300"/>
      <c r="AF213" s="300"/>
      <c r="AG213" s="300"/>
      <c r="AJ213" s="300"/>
      <c r="AK213" s="300"/>
      <c r="AL213" s="300"/>
      <c r="AM213" s="300"/>
      <c r="AN213" s="300"/>
    </row>
    <row r="214" spans="1:59" s="105" customFormat="1" ht="15" customHeight="1">
      <c r="A214" s="555" t="s">
        <v>2329</v>
      </c>
      <c r="B214" s="217" t="str">
        <f t="shared" si="250"/>
        <v>100</v>
      </c>
      <c r="C214" s="217" t="str">
        <f t="shared" si="251"/>
        <v>10</v>
      </c>
      <c r="D214" s="101" t="str">
        <f t="shared" si="252"/>
        <v>105</v>
      </c>
      <c r="E214" s="217" t="str">
        <f t="shared" si="253"/>
        <v>100-10-105</v>
      </c>
      <c r="F214" s="294" t="str">
        <f t="shared" si="254"/>
        <v>50620</v>
      </c>
      <c r="G214" s="295" t="str">
        <f>VLOOKUP(F214,'GL Category'!A:C,3,FALSE)</f>
        <v>Personnel services</v>
      </c>
      <c r="H214" s="98" t="str">
        <f>VLOOKUP(F214,'GL Category'!A:C,2,FALSE)</f>
        <v>HEALTH/LIFE INSURANCE</v>
      </c>
      <c r="I214" s="99">
        <f>SUMIF(Import!$B:$B,$A214,Import!D:D)</f>
        <v>126.43</v>
      </c>
      <c r="J214" s="99">
        <f>SUMIF(Import!$B:$B,$A214,Import!E:E)</f>
        <v>1467.12</v>
      </c>
      <c r="K214" s="99">
        <f>SUMIF(Import!$B:$B,$A214,Import!F:F)</f>
        <v>0</v>
      </c>
      <c r="L214" s="99">
        <f>SUMIF(Import!$B:$B,$A214,Import!G:G)</f>
        <v>0</v>
      </c>
      <c r="M214" s="99">
        <f>SUMIF(Import!$B:$B,$A214,Import!H:H)</f>
        <v>33</v>
      </c>
      <c r="N214" s="99">
        <f>SUMIF(Import!$B:$B,$A214,Import!I:I)</f>
        <v>0</v>
      </c>
      <c r="O214" s="99">
        <f>SUMIF(Import!$B:$B,$A214,Import!J:J)</f>
        <v>13</v>
      </c>
      <c r="P214" s="99">
        <f t="shared" si="255"/>
        <v>-20</v>
      </c>
      <c r="Q214" s="99">
        <f>SUMIF(Import!$B:$B,$A214,Import!K:K)</f>
        <v>33</v>
      </c>
      <c r="R214" s="99">
        <f>SUMIF(Import!$B:$B,$A214,Import!L:L)</f>
        <v>0</v>
      </c>
      <c r="S214" s="99">
        <f>SUMIF(Import!$B:$B,$A214,Import!M:M)</f>
        <v>0</v>
      </c>
      <c r="T214" s="99">
        <f>SUMIF(Import!$B:$B,$A214,Import!N:N)</f>
        <v>33</v>
      </c>
      <c r="U214" s="99">
        <f t="shared" si="256"/>
        <v>0</v>
      </c>
      <c r="V214" s="255">
        <f t="shared" si="257"/>
        <v>0</v>
      </c>
      <c r="W214" s="102" t="s">
        <v>2329</v>
      </c>
      <c r="X214" s="102"/>
      <c r="Y214" s="102"/>
      <c r="Z214" s="95"/>
      <c r="AA214" s="615"/>
      <c r="AB214" s="627"/>
      <c r="AC214" s="303"/>
      <c r="AD214" s="303"/>
      <c r="AE214" s="303"/>
      <c r="AF214" s="303"/>
      <c r="AG214" s="303"/>
      <c r="AH214" s="627"/>
      <c r="AI214" s="627"/>
      <c r="AJ214" s="303"/>
      <c r="AK214" s="303"/>
      <c r="AL214" s="303"/>
      <c r="AM214" s="303"/>
      <c r="AN214" s="303"/>
      <c r="AO214" s="196"/>
      <c r="AP214" s="196"/>
      <c r="AQ214" s="196"/>
      <c r="AR214" s="104"/>
      <c r="AS214" s="104"/>
      <c r="AT214" s="104"/>
      <c r="AU214" s="104"/>
      <c r="AV214" s="104"/>
      <c r="AW214" s="104"/>
      <c r="AX214" s="104"/>
      <c r="AY214" s="104"/>
      <c r="AZ214" s="104"/>
      <c r="BA214" s="104"/>
      <c r="BB214" s="104"/>
      <c r="BC214" s="104"/>
      <c r="BD214" s="104"/>
      <c r="BE214" s="104"/>
      <c r="BF214" s="104"/>
      <c r="BG214" s="104"/>
    </row>
    <row r="215" spans="1:59" ht="15" customHeight="1">
      <c r="A215" s="555" t="s">
        <v>2330</v>
      </c>
      <c r="B215" s="217" t="str">
        <f t="shared" si="250"/>
        <v>100</v>
      </c>
      <c r="C215" s="217" t="str">
        <f t="shared" si="251"/>
        <v>10</v>
      </c>
      <c r="D215" s="101" t="str">
        <f t="shared" si="252"/>
        <v>105</v>
      </c>
      <c r="E215" s="217" t="str">
        <f t="shared" si="253"/>
        <v>100-10-105</v>
      </c>
      <c r="F215" s="294" t="str">
        <f t="shared" si="254"/>
        <v>50630</v>
      </c>
      <c r="G215" s="295" t="str">
        <f>VLOOKUP(F215,'GL Category'!A:C,3,FALSE)</f>
        <v>Personnel services</v>
      </c>
      <c r="H215" s="98" t="str">
        <f>VLOOKUP(F215,'GL Category'!A:C,2,FALSE)</f>
        <v>WORKER COMPENSATION</v>
      </c>
      <c r="I215" s="99">
        <f>SUMIF(Import!$B:$B,$A215,Import!D:D)</f>
        <v>117.27</v>
      </c>
      <c r="J215" s="99">
        <f>SUMIF(Import!$B:$B,$A215,Import!E:E)</f>
        <v>115.88</v>
      </c>
      <c r="K215" s="99">
        <f>SUMIF(Import!$B:$B,$A215,Import!F:F)</f>
        <v>125.09</v>
      </c>
      <c r="L215" s="99">
        <f>SUMIF(Import!$B:$B,$A215,Import!G:G)</f>
        <v>219.55</v>
      </c>
      <c r="M215" s="99">
        <f>SUMIF(Import!$B:$B,$A215,Import!H:H)</f>
        <v>278</v>
      </c>
      <c r="N215" s="99">
        <f>SUMIF(Import!$B:$B,$A215,Import!I:I)</f>
        <v>277.77</v>
      </c>
      <c r="O215" s="99">
        <f>SUMIF(Import!$B:$B,$A215,Import!J:J)</f>
        <v>278</v>
      </c>
      <c r="P215" s="99">
        <f t="shared" si="255"/>
        <v>0</v>
      </c>
      <c r="Q215" s="99">
        <f>SUMIF(Import!$B:$B,$A215,Import!K:K)</f>
        <v>289</v>
      </c>
      <c r="R215" s="99">
        <f>SUMIF(Import!$B:$B,$A215,Import!L:L)</f>
        <v>0</v>
      </c>
      <c r="S215" s="99">
        <f>SUMIF(Import!$B:$B,$A215,Import!M:M)</f>
        <v>0</v>
      </c>
      <c r="T215" s="99">
        <f>SUMIF(Import!$B:$B,$A215,Import!N:N)</f>
        <v>289</v>
      </c>
      <c r="U215" s="99">
        <f t="shared" si="256"/>
        <v>11</v>
      </c>
      <c r="V215" s="255">
        <f t="shared" si="257"/>
        <v>3.9568345323740983E-2</v>
      </c>
      <c r="W215" s="102" t="s">
        <v>2330</v>
      </c>
      <c r="X215" s="102"/>
      <c r="Y215" s="102"/>
      <c r="AA215" s="615"/>
      <c r="AC215" s="94"/>
      <c r="AD215" s="94"/>
      <c r="AE215" s="94"/>
      <c r="AF215" s="94"/>
      <c r="AG215" s="94"/>
      <c r="AJ215" s="94"/>
      <c r="AK215" s="94"/>
      <c r="AL215" s="94"/>
      <c r="AM215" s="94"/>
      <c r="AN215" s="94"/>
    </row>
    <row r="216" spans="1:59" ht="15" customHeight="1">
      <c r="A216" s="555" t="s">
        <v>2331</v>
      </c>
      <c r="B216" s="217" t="str">
        <f t="shared" si="250"/>
        <v>100</v>
      </c>
      <c r="C216" s="217" t="str">
        <f t="shared" si="251"/>
        <v>10</v>
      </c>
      <c r="D216" s="101" t="str">
        <f t="shared" si="252"/>
        <v>105</v>
      </c>
      <c r="E216" s="217" t="str">
        <f t="shared" si="253"/>
        <v>100-10-105</v>
      </c>
      <c r="F216" s="294" t="str">
        <f t="shared" si="254"/>
        <v>50650</v>
      </c>
      <c r="G216" s="295" t="str">
        <f>VLOOKUP(F216,'GL Category'!A:C,3,FALSE)</f>
        <v>Personnel services</v>
      </c>
      <c r="H216" s="98" t="str">
        <f>VLOOKUP(F216,'GL Category'!A:C,2,FALSE)</f>
        <v>RETIREMENT</v>
      </c>
      <c r="I216" s="99">
        <f>SUMIF(Import!$B:$B,$A216,Import!D:D)</f>
        <v>113.69</v>
      </c>
      <c r="J216" s="99">
        <f>SUMIF(Import!$B:$B,$A216,Import!E:E)</f>
        <v>1730.69</v>
      </c>
      <c r="K216" s="99">
        <f>SUMIF(Import!$B:$B,$A216,Import!F:F)</f>
        <v>0</v>
      </c>
      <c r="L216" s="99">
        <f>SUMIF(Import!$B:$B,$A216,Import!G:G)</f>
        <v>0</v>
      </c>
      <c r="M216" s="99">
        <f>SUMIF(Import!$B:$B,$A216,Import!H:H)</f>
        <v>3033</v>
      </c>
      <c r="N216" s="99">
        <f>SUMIF(Import!$B:$B,$A216,Import!I:I)</f>
        <v>0</v>
      </c>
      <c r="O216" s="99">
        <f>SUMIF(Import!$B:$B,$A216,Import!J:J)</f>
        <v>1085</v>
      </c>
      <c r="P216" s="99">
        <f t="shared" si="255"/>
        <v>-1948</v>
      </c>
      <c r="Q216" s="99">
        <f>SUMIF(Import!$B:$B,$A216,Import!K:K)</f>
        <v>3107</v>
      </c>
      <c r="R216" s="99">
        <f>SUMIF(Import!$B:$B,$A216,Import!L:L)</f>
        <v>0</v>
      </c>
      <c r="S216" s="99">
        <f>SUMIF(Import!$B:$B,$A216,Import!M:M)</f>
        <v>0</v>
      </c>
      <c r="T216" s="99">
        <f>SUMIF(Import!$B:$B,$A216,Import!N:N)</f>
        <v>3107</v>
      </c>
      <c r="U216" s="99">
        <f t="shared" si="256"/>
        <v>74</v>
      </c>
      <c r="V216" s="255">
        <f t="shared" si="257"/>
        <v>2.4398285525881969E-2</v>
      </c>
      <c r="W216" s="102" t="s">
        <v>2331</v>
      </c>
      <c r="X216" s="102"/>
      <c r="Y216" s="102"/>
      <c r="AA216" s="615"/>
      <c r="AC216" s="301"/>
      <c r="AD216" s="301"/>
      <c r="AE216" s="301"/>
      <c r="AF216" s="301"/>
      <c r="AG216" s="301"/>
      <c r="AJ216" s="301"/>
      <c r="AK216" s="301"/>
      <c r="AL216" s="301"/>
      <c r="AM216" s="301"/>
      <c r="AN216" s="301"/>
    </row>
    <row r="217" spans="1:59" ht="15" customHeight="1">
      <c r="A217" s="297"/>
      <c r="B217" s="217"/>
      <c r="C217" s="217"/>
      <c r="D217" s="101"/>
      <c r="E217" s="101"/>
      <c r="F217" s="294"/>
      <c r="G217" s="295"/>
      <c r="H217" s="107" t="str">
        <f>UPPER(G216)&amp;" TOTAL"</f>
        <v>PERSONNEL SERVICES TOTAL</v>
      </c>
      <c r="I217" s="108">
        <f t="shared" ref="I217" si="258">SUBTOTAL(9,I212:I216)</f>
        <v>1139.78</v>
      </c>
      <c r="J217" s="108">
        <f t="shared" ref="J217:T217" si="259">SUBTOTAL(9,J212:J216)</f>
        <v>14772.48</v>
      </c>
      <c r="K217" s="108">
        <f t="shared" ref="K217" si="260">SUBTOTAL(9,K212:K216)</f>
        <v>125.09</v>
      </c>
      <c r="L217" s="108">
        <f t="shared" ref="L217" si="261">SUBTOTAL(9,L212:L216)</f>
        <v>219.55</v>
      </c>
      <c r="M217" s="108">
        <f t="shared" si="259"/>
        <v>23094</v>
      </c>
      <c r="N217" s="109">
        <f t="shared" ref="N217" si="262">SUBTOTAL(9,N212:N216)</f>
        <v>277.77</v>
      </c>
      <c r="O217" s="109">
        <f t="shared" si="259"/>
        <v>1874</v>
      </c>
      <c r="P217" s="109">
        <f t="shared" si="259"/>
        <v>-21220</v>
      </c>
      <c r="Q217" s="109">
        <f t="shared" si="259"/>
        <v>23179</v>
      </c>
      <c r="R217" s="109">
        <f t="shared" si="259"/>
        <v>0</v>
      </c>
      <c r="S217" s="109">
        <f t="shared" si="259"/>
        <v>0</v>
      </c>
      <c r="T217" s="109">
        <f t="shared" si="259"/>
        <v>23179</v>
      </c>
      <c r="U217" s="99">
        <f>T217-M217</f>
        <v>85</v>
      </c>
      <c r="V217" s="255">
        <f>IF(M217=0,"N/A",T217/M217-1)</f>
        <v>3.6806096821684342E-3</v>
      </c>
      <c r="W217" s="102"/>
      <c r="X217" s="102"/>
      <c r="Y217" s="102"/>
      <c r="AA217" s="615"/>
      <c r="AC217" s="300"/>
      <c r="AD217" s="300"/>
      <c r="AE217" s="300"/>
      <c r="AF217" s="300"/>
      <c r="AG217" s="300"/>
      <c r="AJ217" s="300"/>
      <c r="AK217" s="300"/>
      <c r="AL217" s="300"/>
      <c r="AM217" s="300"/>
      <c r="AN217" s="300"/>
    </row>
    <row r="218" spans="1:59" ht="15" customHeight="1">
      <c r="A218" s="297"/>
      <c r="B218" s="217"/>
      <c r="C218" s="217"/>
      <c r="D218" s="101"/>
      <c r="E218" s="101"/>
      <c r="F218" s="294"/>
      <c r="G218" s="295"/>
      <c r="H218" s="98"/>
      <c r="I218" s="106"/>
      <c r="J218" s="106"/>
      <c r="K218" s="106"/>
      <c r="L218" s="106"/>
      <c r="M218" s="106"/>
      <c r="N218" s="110"/>
      <c r="O218" s="110"/>
      <c r="P218" s="110"/>
      <c r="Q218" s="111"/>
      <c r="R218" s="111"/>
      <c r="S218" s="111"/>
      <c r="T218" s="111"/>
      <c r="U218" s="111"/>
      <c r="V218" s="111"/>
      <c r="W218" s="102"/>
      <c r="X218" s="102"/>
      <c r="Y218" s="102"/>
      <c r="AA218" s="615"/>
      <c r="AC218" s="300"/>
      <c r="AD218" s="300"/>
      <c r="AE218" s="300"/>
      <c r="AF218" s="300"/>
      <c r="AG218" s="300"/>
      <c r="AJ218" s="300"/>
      <c r="AK218" s="300"/>
      <c r="AL218" s="300"/>
      <c r="AM218" s="300"/>
      <c r="AN218" s="300"/>
    </row>
    <row r="219" spans="1:59" ht="15" customHeight="1">
      <c r="A219" s="555" t="s">
        <v>2332</v>
      </c>
      <c r="B219" s="217" t="str">
        <f t="shared" ref="B219:B220" si="263">LEFT(A219,3)</f>
        <v>100</v>
      </c>
      <c r="C219" s="217" t="str">
        <f t="shared" ref="C219:C220" si="264">MID(A219,5,2)</f>
        <v>10</v>
      </c>
      <c r="D219" s="101" t="str">
        <f t="shared" ref="D219:D220" si="265">MID(A219,8,3)</f>
        <v>105</v>
      </c>
      <c r="E219" s="217" t="str">
        <f t="shared" ref="E219:E220" si="266">LEFT(A219,10)</f>
        <v>100-10-105</v>
      </c>
      <c r="F219" s="294" t="str">
        <f t="shared" ref="F219:F220" si="267">RIGHT(A219,5)</f>
        <v>51263</v>
      </c>
      <c r="G219" s="295" t="e">
        <f>VLOOKUP(F219,'GL Category'!A:C,3,FALSE)</f>
        <v>#N/A</v>
      </c>
      <c r="H219" s="98" t="e">
        <f>VLOOKUP(F219,'GL Category'!A:C,2,FALSE)</f>
        <v>#N/A</v>
      </c>
      <c r="I219" s="99">
        <f>SUMIF(Import!$B:$B,$A219,Import!D:D)</f>
        <v>0</v>
      </c>
      <c r="J219" s="99">
        <f>SUMIF(Import!$B:$B,$A219,Import!E:E)</f>
        <v>0</v>
      </c>
      <c r="K219" s="99">
        <f>SUMIF(Import!$B:$B,$A219,Import!F:F)</f>
        <v>0</v>
      </c>
      <c r="L219" s="99">
        <f>SUMIF(Import!$B:$B,$A219,Import!G:G)</f>
        <v>0</v>
      </c>
      <c r="M219" s="99">
        <f>SUMIF(Import!$B:$B,$A219,Import!H:H)</f>
        <v>0</v>
      </c>
      <c r="N219" s="99">
        <f>SUMIF(Import!$B:$B,$A219,Import!I:I)</f>
        <v>0</v>
      </c>
      <c r="O219" s="99">
        <f>SUMIF(Import!$B:$B,$A219,Import!J:J)</f>
        <v>0</v>
      </c>
      <c r="P219" s="99">
        <f t="shared" ref="P219:P220" si="268">O219-M219</f>
        <v>0</v>
      </c>
      <c r="Q219" s="99">
        <f>SUMIF(Import!$B:$B,$A219,Import!K:K)</f>
        <v>0</v>
      </c>
      <c r="R219" s="99">
        <f>SUMIF(Import!$B:$B,$A219,Import!L:L)</f>
        <v>0</v>
      </c>
      <c r="S219" s="99">
        <f>SUMIF(Import!$B:$B,$A219,Import!M:M)</f>
        <v>0</v>
      </c>
      <c r="T219" s="99">
        <f>SUMIF(Import!$B:$B,$A219,Import!N:N)</f>
        <v>0</v>
      </c>
      <c r="U219" s="99">
        <f t="shared" ref="U219:U220" si="269">T219-M219</f>
        <v>0</v>
      </c>
      <c r="V219" s="255" t="str">
        <f t="shared" ref="V219:V220" si="270">IF(M219=0,"N/A",T219/M219-1)</f>
        <v>N/A</v>
      </c>
      <c r="W219" s="102" t="s">
        <v>2332</v>
      </c>
      <c r="X219" s="102"/>
      <c r="Y219" s="102"/>
      <c r="AA219" s="615"/>
      <c r="AC219" s="300"/>
      <c r="AD219" s="300"/>
      <c r="AE219" s="300"/>
      <c r="AF219" s="300"/>
      <c r="AG219" s="300"/>
      <c r="AJ219" s="300"/>
      <c r="AK219" s="300"/>
      <c r="AL219" s="300"/>
      <c r="AM219" s="300"/>
      <c r="AN219" s="300"/>
    </row>
    <row r="220" spans="1:59" ht="15" customHeight="1">
      <c r="A220" s="555" t="s">
        <v>2333</v>
      </c>
      <c r="B220" s="217" t="str">
        <f t="shared" si="263"/>
        <v>100</v>
      </c>
      <c r="C220" s="217" t="str">
        <f t="shared" si="264"/>
        <v>10</v>
      </c>
      <c r="D220" s="101" t="str">
        <f t="shared" si="265"/>
        <v>105</v>
      </c>
      <c r="E220" s="217" t="str">
        <f t="shared" si="266"/>
        <v>100-10-105</v>
      </c>
      <c r="F220" s="294" t="str">
        <f t="shared" si="267"/>
        <v>51210</v>
      </c>
      <c r="G220" s="295" t="str">
        <f>VLOOKUP(F220,'GL Category'!A:C,3,FALSE)</f>
        <v>Operations &amp; maintenance</v>
      </c>
      <c r="H220" s="98" t="str">
        <f>VLOOKUP(F220,'GL Category'!A:C,2,FALSE)</f>
        <v>OFFICE SUPPLIES</v>
      </c>
      <c r="I220" s="99">
        <f>SUMIF(Import!$B:$B,$A220,Import!D:D)</f>
        <v>0</v>
      </c>
      <c r="J220" s="99">
        <f>SUMIF(Import!$B:$B,$A220,Import!E:E)</f>
        <v>0</v>
      </c>
      <c r="K220" s="99">
        <f>SUMIF(Import!$B:$B,$A220,Import!F:F)</f>
        <v>0</v>
      </c>
      <c r="L220" s="99">
        <f>SUMIF(Import!$B:$B,$A220,Import!G:G)</f>
        <v>0</v>
      </c>
      <c r="M220" s="99">
        <f>SUMIF(Import!$B:$B,$A220,Import!H:H)</f>
        <v>0</v>
      </c>
      <c r="N220" s="99">
        <f>SUMIF(Import!$B:$B,$A220,Import!I:I)</f>
        <v>0</v>
      </c>
      <c r="O220" s="99">
        <f>SUMIF(Import!$B:$B,$A220,Import!J:J)</f>
        <v>0</v>
      </c>
      <c r="P220" s="99">
        <f t="shared" si="268"/>
        <v>0</v>
      </c>
      <c r="Q220" s="99">
        <f>SUMIF(Import!$B:$B,$A220,Import!K:K)</f>
        <v>0</v>
      </c>
      <c r="R220" s="99">
        <f>SUMIF(Import!$B:$B,$A220,Import!L:L)</f>
        <v>0</v>
      </c>
      <c r="S220" s="99">
        <f>SUMIF(Import!$B:$B,$A220,Import!M:M)</f>
        <v>0</v>
      </c>
      <c r="T220" s="99">
        <f>SUMIF(Import!$B:$B,$A220,Import!N:N)</f>
        <v>0</v>
      </c>
      <c r="U220" s="99">
        <f t="shared" si="269"/>
        <v>0</v>
      </c>
      <c r="V220" s="255" t="str">
        <f t="shared" si="270"/>
        <v>N/A</v>
      </c>
      <c r="W220" s="102" t="s">
        <v>2333</v>
      </c>
      <c r="X220" s="102"/>
      <c r="Y220" s="102"/>
      <c r="AA220" s="615"/>
      <c r="AC220" s="300"/>
      <c r="AD220" s="300"/>
      <c r="AE220" s="300"/>
      <c r="AF220" s="300"/>
      <c r="AG220" s="300"/>
      <c r="AJ220" s="300"/>
      <c r="AK220" s="300"/>
      <c r="AL220" s="300"/>
      <c r="AM220" s="300"/>
      <c r="AN220" s="300"/>
    </row>
    <row r="221" spans="1:59" ht="25.35" customHeight="1">
      <c r="A221" s="297"/>
      <c r="B221" s="217"/>
      <c r="C221" s="217"/>
      <c r="D221" s="101"/>
      <c r="E221" s="101"/>
      <c r="F221" s="294"/>
      <c r="G221" s="295"/>
      <c r="H221" s="107" t="str">
        <f>UPPER(G220)&amp;" TOTAL"</f>
        <v>OPERATIONS &amp; MAINTENANCE TOTAL</v>
      </c>
      <c r="I221" s="108">
        <f>SUBTOTAL(9,I219:I220)</f>
        <v>0</v>
      </c>
      <c r="J221" s="108">
        <f>SUBTOTAL(9,J219:J220)</f>
        <v>0</v>
      </c>
      <c r="K221" s="108">
        <f>SUBTOTAL(9,K219:K220)</f>
        <v>0</v>
      </c>
      <c r="L221" s="108">
        <f>SUBTOTAL(9,L219:L220)</f>
        <v>0</v>
      </c>
      <c r="M221" s="108">
        <f t="shared" ref="M221" si="271">SUBTOTAL(9,M219:M220)</f>
        <v>0</v>
      </c>
      <c r="N221" s="108">
        <f>SUBTOTAL(9,N219:N220)</f>
        <v>0</v>
      </c>
      <c r="O221" s="108">
        <f>SUBTOTAL(9,O219:O220)</f>
        <v>0</v>
      </c>
      <c r="P221" s="108">
        <f>SUBTOTAL(9,P219:P220)</f>
        <v>0</v>
      </c>
      <c r="Q221" s="108">
        <f t="shared" ref="Q221:T221" si="272">SUBTOTAL(9,Q219:Q220)</f>
        <v>0</v>
      </c>
      <c r="R221" s="108">
        <f t="shared" si="272"/>
        <v>0</v>
      </c>
      <c r="S221" s="108">
        <f t="shared" si="272"/>
        <v>0</v>
      </c>
      <c r="T221" s="108">
        <f t="shared" si="272"/>
        <v>0</v>
      </c>
      <c r="U221" s="99">
        <f>T221-M221</f>
        <v>0</v>
      </c>
      <c r="V221" s="255" t="str">
        <f>IF(M221=0,"N/A",T221/M221-1)</f>
        <v>N/A</v>
      </c>
      <c r="W221" s="102"/>
      <c r="X221" s="102"/>
      <c r="Y221" s="102"/>
      <c r="AA221" s="615"/>
      <c r="AC221" s="300"/>
      <c r="AD221" s="300"/>
      <c r="AE221" s="300"/>
      <c r="AF221" s="300"/>
      <c r="AG221" s="300"/>
      <c r="AJ221" s="300"/>
      <c r="AK221" s="300"/>
      <c r="AL221" s="300"/>
      <c r="AM221" s="300"/>
      <c r="AN221" s="300"/>
    </row>
    <row r="222" spans="1:59" ht="15" customHeight="1">
      <c r="A222" s="297"/>
      <c r="B222" s="217"/>
      <c r="C222" s="217"/>
      <c r="D222" s="101"/>
      <c r="E222" s="101"/>
      <c r="F222" s="294"/>
      <c r="G222" s="295"/>
      <c r="H222" s="98"/>
      <c r="I222" s="106"/>
      <c r="J222" s="106"/>
      <c r="K222" s="106"/>
      <c r="L222" s="106"/>
      <c r="M222" s="106"/>
      <c r="N222" s="110"/>
      <c r="O222" s="110"/>
      <c r="P222" s="110"/>
      <c r="Q222" s="111"/>
      <c r="R222" s="111"/>
      <c r="S222" s="111"/>
      <c r="T222" s="111"/>
      <c r="U222" s="111"/>
      <c r="V222" s="111"/>
      <c r="W222" s="102"/>
      <c r="X222" s="102"/>
      <c r="Y222" s="102"/>
      <c r="AA222" s="615"/>
      <c r="AC222" s="94"/>
      <c r="AD222" s="94"/>
      <c r="AE222" s="94"/>
      <c r="AF222" s="94"/>
      <c r="AG222" s="94"/>
      <c r="AJ222" s="94"/>
      <c r="AK222" s="94"/>
      <c r="AL222" s="94"/>
      <c r="AM222" s="94"/>
      <c r="AN222" s="94"/>
    </row>
    <row r="223" spans="1:59" ht="15" customHeight="1">
      <c r="A223" s="555" t="s">
        <v>2334</v>
      </c>
      <c r="B223" s="217" t="str">
        <f t="shared" ref="B223:B225" si="273">LEFT(A223,3)</f>
        <v>100</v>
      </c>
      <c r="C223" s="217" t="str">
        <f t="shared" ref="C223:C225" si="274">MID(A223,5,2)</f>
        <v>10</v>
      </c>
      <c r="D223" s="101" t="str">
        <f t="shared" ref="D223:D225" si="275">MID(A223,8,3)</f>
        <v>105</v>
      </c>
      <c r="E223" s="217" t="str">
        <f t="shared" ref="E223:E225" si="276">LEFT(A223,10)</f>
        <v>100-10-105</v>
      </c>
      <c r="F223" s="294" t="str">
        <f t="shared" ref="F223:F225" si="277">RIGHT(A223,5)</f>
        <v>53599</v>
      </c>
      <c r="G223" s="295" t="str">
        <f>VLOOKUP(F223,'GL Category'!A:C,3,FALSE)</f>
        <v>Services &amp; other</v>
      </c>
      <c r="H223" s="98" t="str">
        <f>VLOOKUP(F223,'GL Category'!A:C,2,FALSE)</f>
        <v>MISCELLANEOUS SERVICES</v>
      </c>
      <c r="I223" s="99">
        <f>SUMIF(Import!$B:$B,$A223,Import!D:D)</f>
        <v>106919.06</v>
      </c>
      <c r="J223" s="99">
        <f>SUMIF(Import!$B:$B,$A223,Import!E:E)</f>
        <v>109005</v>
      </c>
      <c r="K223" s="99">
        <f>SUMIF(Import!$B:$B,$A223,Import!F:F)</f>
        <v>115869</v>
      </c>
      <c r="L223" s="99">
        <f>SUMIF(Import!$B:$B,$A223,Import!G:G)</f>
        <v>118253.8</v>
      </c>
      <c r="M223" s="99">
        <f>SUMIF(Import!$B:$B,$A223,Import!H:H)</f>
        <v>125745</v>
      </c>
      <c r="N223" s="99">
        <f>SUMIF(Import!$B:$B,$A223,Import!I:I)</f>
        <v>110057.5</v>
      </c>
      <c r="O223" s="99">
        <f>SUMIF(Import!$B:$B,$A223,Import!J:J)</f>
        <v>125745</v>
      </c>
      <c r="P223" s="99">
        <f t="shared" ref="P223:P225" si="278">O223-M223</f>
        <v>0</v>
      </c>
      <c r="Q223" s="99">
        <f>SUMIF(Import!$B:$B,$A223,Import!K:K)</f>
        <v>125745</v>
      </c>
      <c r="R223" s="99">
        <f>SUMIF(Import!$B:$B,$A223,Import!L:L)</f>
        <v>10471</v>
      </c>
      <c r="S223" s="99">
        <f>SUMIF(Import!$B:$B,$A223,Import!M:M)</f>
        <v>0</v>
      </c>
      <c r="T223" s="99">
        <f>SUMIF(Import!$B:$B,$A223,Import!N:N)</f>
        <v>136216</v>
      </c>
      <c r="U223" s="99">
        <f t="shared" ref="U223:U225" si="279">T223-M223</f>
        <v>10471</v>
      </c>
      <c r="V223" s="255">
        <f t="shared" ref="V223:V225" si="280">IF(M223=0,"N/A",T223/M223-1)</f>
        <v>8.3271700664042214E-2</v>
      </c>
      <c r="W223" s="102" t="s">
        <v>2334</v>
      </c>
      <c r="X223" s="102"/>
      <c r="Y223" s="102"/>
      <c r="AA223" s="615"/>
      <c r="AC223" s="301"/>
      <c r="AD223" s="301"/>
      <c r="AE223" s="301"/>
      <c r="AF223" s="301"/>
      <c r="AG223" s="301"/>
      <c r="AJ223" s="301"/>
      <c r="AK223" s="301"/>
      <c r="AL223" s="301"/>
      <c r="AM223" s="301"/>
      <c r="AN223" s="301"/>
    </row>
    <row r="224" spans="1:59" ht="15" customHeight="1">
      <c r="A224" s="555" t="s">
        <v>2335</v>
      </c>
      <c r="B224" s="217" t="str">
        <f t="shared" si="273"/>
        <v>100</v>
      </c>
      <c r="C224" s="217" t="str">
        <f t="shared" si="274"/>
        <v>10</v>
      </c>
      <c r="D224" s="101" t="str">
        <f t="shared" si="275"/>
        <v>105</v>
      </c>
      <c r="E224" s="217" t="str">
        <f t="shared" si="276"/>
        <v>100-10-105</v>
      </c>
      <c r="F224" s="294" t="str">
        <f t="shared" si="277"/>
        <v>53510</v>
      </c>
      <c r="G224" s="295" t="str">
        <f>VLOOKUP(F224,'GL Category'!A:C,3,FALSE)</f>
        <v>Services &amp; other</v>
      </c>
      <c r="H224" s="98" t="str">
        <f>VLOOKUP(F224,'GL Category'!A:C,2,FALSE)</f>
        <v>DUES &amp; SUBSCRIPTIONS</v>
      </c>
      <c r="I224" s="99">
        <f>SUMIF(Import!$B:$B,$A224,Import!D:D)</f>
        <v>0</v>
      </c>
      <c r="J224" s="99">
        <f>SUMIF(Import!$B:$B,$A224,Import!E:E)</f>
        <v>0</v>
      </c>
      <c r="K224" s="99">
        <f>SUMIF(Import!$B:$B,$A224,Import!F:F)</f>
        <v>0</v>
      </c>
      <c r="L224" s="99">
        <f>SUMIF(Import!$B:$B,$A224,Import!G:G)</f>
        <v>0</v>
      </c>
      <c r="M224" s="99">
        <f>SUMIF(Import!$B:$B,$A224,Import!H:H)</f>
        <v>0</v>
      </c>
      <c r="N224" s="99">
        <f>SUMIF(Import!$B:$B,$A224,Import!I:I)</f>
        <v>0</v>
      </c>
      <c r="O224" s="99">
        <f>SUMIF(Import!$B:$B,$A224,Import!J:J)</f>
        <v>0</v>
      </c>
      <c r="P224" s="99">
        <f t="shared" si="278"/>
        <v>0</v>
      </c>
      <c r="Q224" s="99">
        <f>SUMIF(Import!$B:$B,$A224,Import!K:K)</f>
        <v>0</v>
      </c>
      <c r="R224" s="99">
        <f>SUMIF(Import!$B:$B,$A224,Import!L:L)</f>
        <v>0</v>
      </c>
      <c r="S224" s="99">
        <f>SUMIF(Import!$B:$B,$A224,Import!M:M)</f>
        <v>0</v>
      </c>
      <c r="T224" s="99">
        <f>SUMIF(Import!$B:$B,$A224,Import!N:N)</f>
        <v>0</v>
      </c>
      <c r="U224" s="99">
        <f t="shared" si="279"/>
        <v>0</v>
      </c>
      <c r="V224" s="255" t="str">
        <f t="shared" si="280"/>
        <v>N/A</v>
      </c>
      <c r="W224" s="102" t="s">
        <v>2335</v>
      </c>
      <c r="X224" s="102"/>
      <c r="Y224" s="102"/>
      <c r="AA224" s="615"/>
      <c r="AC224" s="301"/>
      <c r="AD224" s="301"/>
      <c r="AE224" s="301"/>
      <c r="AF224" s="301"/>
      <c r="AG224" s="301"/>
      <c r="AJ224" s="301"/>
      <c r="AK224" s="301"/>
      <c r="AL224" s="301"/>
      <c r="AM224" s="301"/>
      <c r="AN224" s="301"/>
    </row>
    <row r="225" spans="1:59" ht="15" customHeight="1">
      <c r="A225" s="555" t="s">
        <v>2336</v>
      </c>
      <c r="B225" s="217" t="str">
        <f t="shared" si="273"/>
        <v>100</v>
      </c>
      <c r="C225" s="217" t="str">
        <f t="shared" si="274"/>
        <v>10</v>
      </c>
      <c r="D225" s="101" t="str">
        <f t="shared" si="275"/>
        <v>105</v>
      </c>
      <c r="E225" s="217" t="str">
        <f t="shared" si="276"/>
        <v>100-10-105</v>
      </c>
      <c r="F225" s="294" t="str">
        <f t="shared" si="277"/>
        <v>53534</v>
      </c>
      <c r="G225" s="295" t="str">
        <f>VLOOKUP(F225,'GL Category'!A:C,3,FALSE)</f>
        <v>Services &amp; other</v>
      </c>
      <c r="H225" s="98" t="str">
        <f>VLOOKUP(F225,'GL Category'!A:C,2,FALSE)</f>
        <v>MARKETING &amp; PROMOTIONAL</v>
      </c>
      <c r="I225" s="99">
        <f>SUMIF(Import!$B:$B,$A225,Import!D:D)</f>
        <v>0</v>
      </c>
      <c r="J225" s="99">
        <f>SUMIF(Import!$B:$B,$A225,Import!E:E)</f>
        <v>0</v>
      </c>
      <c r="K225" s="99">
        <f>SUMIF(Import!$B:$B,$A225,Import!F:F)</f>
        <v>0</v>
      </c>
      <c r="L225" s="99">
        <f>SUMIF(Import!$B:$B,$A225,Import!G:G)</f>
        <v>0</v>
      </c>
      <c r="M225" s="99">
        <f>SUMIF(Import!$B:$B,$A225,Import!H:H)</f>
        <v>0</v>
      </c>
      <c r="N225" s="99">
        <f>SUMIF(Import!$B:$B,$A225,Import!I:I)</f>
        <v>0</v>
      </c>
      <c r="O225" s="99">
        <f>SUMIF(Import!$B:$B,$A225,Import!J:J)</f>
        <v>0</v>
      </c>
      <c r="P225" s="99">
        <f t="shared" si="278"/>
        <v>0</v>
      </c>
      <c r="Q225" s="99">
        <f>SUMIF(Import!$B:$B,$A225,Import!K:K)</f>
        <v>0</v>
      </c>
      <c r="R225" s="99">
        <f>SUMIF(Import!$B:$B,$A225,Import!L:L)</f>
        <v>0</v>
      </c>
      <c r="S225" s="99">
        <f>SUMIF(Import!$B:$B,$A225,Import!M:M)</f>
        <v>0</v>
      </c>
      <c r="T225" s="99">
        <f>SUMIF(Import!$B:$B,$A225,Import!N:N)</f>
        <v>0</v>
      </c>
      <c r="U225" s="99">
        <f t="shared" si="279"/>
        <v>0</v>
      </c>
      <c r="V225" s="255" t="str">
        <f t="shared" si="280"/>
        <v>N/A</v>
      </c>
      <c r="W225" s="102" t="s">
        <v>2336</v>
      </c>
      <c r="X225" s="102"/>
      <c r="Y225" s="102"/>
      <c r="Z225" s="617"/>
      <c r="AA225" s="615"/>
    </row>
    <row r="226" spans="1:59" s="75" customFormat="1" ht="15" customHeight="1">
      <c r="A226" s="224"/>
      <c r="B226" s="224"/>
      <c r="C226" s="224"/>
      <c r="D226" s="224"/>
      <c r="E226" s="224"/>
      <c r="F226" s="224"/>
      <c r="G226" s="224"/>
      <c r="H226" s="107" t="str">
        <f>UPPER(G225)&amp;" TOTAL"</f>
        <v>SERVICES &amp; OTHER TOTAL</v>
      </c>
      <c r="I226" s="108">
        <f t="shared" ref="I226" si="281">SUBTOTAL(9,I223:I225)</f>
        <v>106919.06</v>
      </c>
      <c r="J226" s="108">
        <f t="shared" ref="J226:P226" si="282">SUBTOTAL(9,J223:J225)</f>
        <v>109005</v>
      </c>
      <c r="K226" s="108">
        <f t="shared" ref="K226" si="283">SUBTOTAL(9,K223:K225)</f>
        <v>115869</v>
      </c>
      <c r="L226" s="108">
        <f t="shared" ref="L226" si="284">SUBTOTAL(9,L223:L225)</f>
        <v>118253.8</v>
      </c>
      <c r="M226" s="108">
        <f t="shared" si="282"/>
        <v>125745</v>
      </c>
      <c r="N226" s="109">
        <f t="shared" ref="N226" si="285">SUBTOTAL(9,N223:N225)</f>
        <v>110057.5</v>
      </c>
      <c r="O226" s="109">
        <f t="shared" si="282"/>
        <v>125745</v>
      </c>
      <c r="P226" s="109">
        <f t="shared" si="282"/>
        <v>0</v>
      </c>
      <c r="Q226" s="109">
        <f t="shared" ref="Q226:T226" si="286">SUBTOTAL(9,Q223:Q225)</f>
        <v>125745</v>
      </c>
      <c r="R226" s="109">
        <f t="shared" si="286"/>
        <v>10471</v>
      </c>
      <c r="S226" s="109">
        <f t="shared" si="286"/>
        <v>0</v>
      </c>
      <c r="T226" s="109">
        <f t="shared" si="286"/>
        <v>136216</v>
      </c>
      <c r="U226" s="99">
        <f>T226-M226</f>
        <v>10471</v>
      </c>
      <c r="V226" s="255">
        <f>IF(M226=0,"N/A",T226/M226-1)</f>
        <v>8.3271700664042214E-2</v>
      </c>
      <c r="W226" s="102"/>
      <c r="X226" s="102"/>
      <c r="Y226" s="102"/>
      <c r="Z226" s="614"/>
      <c r="AA226" s="615"/>
      <c r="AB226" s="624"/>
      <c r="AC226" s="625"/>
      <c r="AD226" s="625"/>
      <c r="AE226" s="625"/>
      <c r="AF226" s="625"/>
      <c r="AG226" s="625"/>
      <c r="AH226" s="623"/>
      <c r="AI226" s="624"/>
      <c r="AJ226" s="626"/>
      <c r="AK226" s="626"/>
      <c r="AL226" s="626"/>
      <c r="AM226" s="626"/>
      <c r="AN226" s="626"/>
      <c r="AO226" s="626"/>
      <c r="AP226" s="626"/>
      <c r="AQ226" s="626"/>
      <c r="AR226" s="115"/>
      <c r="AS226" s="115"/>
      <c r="AT226" s="115"/>
      <c r="AU226" s="115"/>
      <c r="AV226" s="115"/>
      <c r="AW226" s="115"/>
      <c r="AX226" s="115"/>
      <c r="AY226" s="115"/>
      <c r="AZ226" s="115"/>
      <c r="BA226" s="115"/>
      <c r="BB226" s="115"/>
      <c r="BC226" s="115"/>
      <c r="BD226" s="115"/>
      <c r="BE226" s="74"/>
      <c r="BF226" s="74"/>
      <c r="BG226" s="74"/>
    </row>
    <row r="227" spans="1:59" ht="15" customHeight="1">
      <c r="A227" s="297"/>
      <c r="B227" s="217"/>
      <c r="C227" s="217"/>
      <c r="D227" s="101"/>
      <c r="E227" s="101"/>
      <c r="F227" s="294"/>
      <c r="G227" s="295"/>
      <c r="H227" s="98"/>
      <c r="I227" s="106"/>
      <c r="J227" s="106"/>
      <c r="K227" s="106"/>
      <c r="L227" s="106"/>
      <c r="M227" s="106"/>
      <c r="N227" s="110"/>
      <c r="O227" s="110"/>
      <c r="P227" s="110"/>
      <c r="Q227" s="111"/>
      <c r="R227" s="111"/>
      <c r="S227" s="111"/>
      <c r="T227" s="111"/>
      <c r="U227" s="111"/>
      <c r="V227" s="111"/>
      <c r="W227" s="102"/>
      <c r="X227" s="102"/>
      <c r="Y227" s="102"/>
      <c r="AA227" s="615"/>
      <c r="AC227" s="300"/>
      <c r="AD227" s="300"/>
      <c r="AE227" s="300"/>
      <c r="AF227" s="300"/>
      <c r="AG227" s="300"/>
      <c r="AJ227" s="300"/>
      <c r="AK227" s="300"/>
      <c r="AL227" s="300"/>
      <c r="AM227" s="300"/>
      <c r="AN227" s="300"/>
      <c r="AO227" s="300"/>
      <c r="AP227" s="300"/>
      <c r="AQ227" s="300"/>
    </row>
    <row r="228" spans="1:59" ht="15" customHeight="1">
      <c r="A228" s="297"/>
      <c r="B228" s="217"/>
      <c r="C228" s="217"/>
      <c r="D228" s="101"/>
      <c r="E228" s="101"/>
      <c r="F228" s="294"/>
      <c r="G228" s="295"/>
      <c r="H228" s="114" t="s">
        <v>763</v>
      </c>
      <c r="I228" s="108">
        <f t="shared" ref="I228" si="287">SUBTOTAL(9,I212:I227)</f>
        <v>108058.84</v>
      </c>
      <c r="J228" s="108">
        <f t="shared" ref="J228:T228" si="288">SUBTOTAL(9,J212:J227)</f>
        <v>123777.48</v>
      </c>
      <c r="K228" s="108">
        <f t="shared" ref="K228" si="289">SUBTOTAL(9,K212:K227)</f>
        <v>115994.09</v>
      </c>
      <c r="L228" s="108">
        <f t="shared" ref="L228" si="290">SUBTOTAL(9,L212:L227)</f>
        <v>118473.35</v>
      </c>
      <c r="M228" s="108">
        <f t="shared" si="288"/>
        <v>148839</v>
      </c>
      <c r="N228" s="108">
        <f t="shared" ref="N228" si="291">SUBTOTAL(9,N212:N227)</f>
        <v>110335.27</v>
      </c>
      <c r="O228" s="108">
        <f t="shared" si="288"/>
        <v>127619</v>
      </c>
      <c r="P228" s="108">
        <f t="shared" si="288"/>
        <v>-21220</v>
      </c>
      <c r="Q228" s="108">
        <f t="shared" si="288"/>
        <v>148924</v>
      </c>
      <c r="R228" s="108">
        <f t="shared" si="288"/>
        <v>10471</v>
      </c>
      <c r="S228" s="108">
        <f t="shared" si="288"/>
        <v>0</v>
      </c>
      <c r="T228" s="108">
        <f t="shared" si="288"/>
        <v>159395</v>
      </c>
      <c r="U228" s="99">
        <f>T228-M228</f>
        <v>10556</v>
      </c>
      <c r="V228" s="255">
        <f>IF(M228=0,"N/A",T228/M228-1)</f>
        <v>7.0922271716418406E-2</v>
      </c>
      <c r="W228" s="102"/>
      <c r="X228" s="102"/>
      <c r="Y228" s="102"/>
      <c r="AA228" s="615"/>
      <c r="AC228" s="300"/>
      <c r="AD228" s="300"/>
      <c r="AE228" s="300"/>
      <c r="AF228" s="300"/>
      <c r="AG228" s="300"/>
      <c r="AJ228" s="300"/>
      <c r="AK228" s="300"/>
      <c r="AL228" s="300"/>
      <c r="AM228" s="300"/>
      <c r="AN228" s="300"/>
      <c r="AO228" s="300"/>
      <c r="AP228" s="300"/>
      <c r="AQ228" s="300"/>
    </row>
    <row r="229" spans="1:59" ht="15" customHeight="1" thickBot="1">
      <c r="A229" s="297"/>
      <c r="B229" s="217"/>
      <c r="C229" s="217"/>
      <c r="D229" s="101"/>
      <c r="E229" s="101"/>
      <c r="F229" s="294"/>
      <c r="G229" s="295"/>
      <c r="H229" s="89"/>
      <c r="I229" s="233"/>
      <c r="J229" s="233"/>
      <c r="K229" s="233"/>
      <c r="L229" s="233"/>
      <c r="M229" s="233"/>
      <c r="N229" s="233"/>
      <c r="O229" s="233"/>
      <c r="P229" s="233"/>
      <c r="Q229" s="233"/>
      <c r="R229" s="233"/>
      <c r="S229" s="233"/>
      <c r="T229" s="233"/>
      <c r="U229" s="233"/>
      <c r="V229" s="233"/>
      <c r="W229" s="102"/>
      <c r="X229" s="102"/>
      <c r="Y229" s="102"/>
      <c r="AA229" s="615"/>
      <c r="AC229" s="300"/>
      <c r="AD229" s="300"/>
      <c r="AE229" s="300"/>
      <c r="AF229" s="300"/>
      <c r="AG229" s="300"/>
      <c r="AJ229" s="300"/>
      <c r="AK229" s="300"/>
      <c r="AL229" s="300"/>
      <c r="AM229" s="300"/>
      <c r="AN229" s="300"/>
      <c r="AO229" s="300"/>
      <c r="AP229" s="300"/>
      <c r="AQ229" s="300"/>
    </row>
    <row r="230" spans="1:59" s="105" customFormat="1" ht="21" customHeight="1" thickBot="1">
      <c r="A230" s="297"/>
      <c r="B230" s="217"/>
      <c r="C230" s="217"/>
      <c r="D230" s="101"/>
      <c r="E230" s="101"/>
      <c r="F230" s="294"/>
      <c r="G230" s="295"/>
      <c r="H230" s="668" t="s">
        <v>604</v>
      </c>
      <c r="I230" s="669"/>
      <c r="J230" s="669"/>
      <c r="K230" s="669"/>
      <c r="L230" s="669"/>
      <c r="M230" s="669"/>
      <c r="N230" s="669"/>
      <c r="O230" s="669"/>
      <c r="P230" s="669"/>
      <c r="Q230" s="669"/>
      <c r="R230" s="669"/>
      <c r="S230" s="669"/>
      <c r="T230" s="670"/>
      <c r="U230" s="252"/>
      <c r="V230" s="252"/>
      <c r="W230" s="102"/>
      <c r="X230" s="102"/>
      <c r="Y230" s="102"/>
      <c r="Z230" s="95"/>
      <c r="AA230" s="615"/>
      <c r="AB230" s="627"/>
      <c r="AC230" s="202"/>
      <c r="AD230" s="202"/>
      <c r="AE230" s="202"/>
      <c r="AF230" s="202"/>
      <c r="AG230" s="202"/>
      <c r="AH230" s="627"/>
      <c r="AI230" s="627"/>
      <c r="AJ230" s="202"/>
      <c r="AK230" s="202"/>
      <c r="AL230" s="202"/>
      <c r="AM230" s="202"/>
      <c r="AN230" s="202"/>
      <c r="AO230" s="196"/>
      <c r="AP230" s="196"/>
      <c r="AQ230" s="196"/>
      <c r="AR230" s="104"/>
      <c r="AS230" s="104"/>
      <c r="AT230" s="104"/>
      <c r="AU230" s="104"/>
      <c r="AV230" s="104"/>
      <c r="AW230" s="104"/>
      <c r="AX230" s="104"/>
      <c r="AY230" s="104"/>
      <c r="AZ230" s="104"/>
      <c r="BA230" s="104"/>
      <c r="BB230" s="104"/>
      <c r="BC230" s="104"/>
      <c r="BD230" s="104"/>
      <c r="BE230" s="104"/>
      <c r="BF230" s="104"/>
      <c r="BG230" s="104"/>
    </row>
    <row r="231" spans="1:59" s="105" customFormat="1" ht="15" customHeight="1">
      <c r="A231" s="297"/>
      <c r="B231" s="217"/>
      <c r="C231" s="217"/>
      <c r="D231" s="101"/>
      <c r="E231" s="101"/>
      <c r="F231" s="294"/>
      <c r="G231" s="295"/>
      <c r="H231" s="225"/>
      <c r="I231" s="225"/>
      <c r="J231" s="225"/>
      <c r="K231" s="225"/>
      <c r="L231" s="225"/>
      <c r="M231" s="225"/>
      <c r="N231" s="225"/>
      <c r="O231" s="225"/>
      <c r="P231" s="225"/>
      <c r="Q231" s="225"/>
      <c r="R231" s="225"/>
      <c r="S231" s="225"/>
      <c r="T231" s="225"/>
      <c r="U231" s="225"/>
      <c r="V231" s="225"/>
      <c r="W231" s="102"/>
      <c r="X231" s="102"/>
      <c r="Y231" s="102"/>
      <c r="Z231" s="95"/>
      <c r="AA231" s="615"/>
      <c r="AB231" s="627"/>
      <c r="AC231" s="110"/>
      <c r="AD231" s="110"/>
      <c r="AE231" s="110"/>
      <c r="AF231" s="110"/>
      <c r="AG231" s="110"/>
      <c r="AH231" s="627"/>
      <c r="AI231" s="627"/>
      <c r="AJ231" s="110"/>
      <c r="AK231" s="110"/>
      <c r="AL231" s="110"/>
      <c r="AM231" s="110"/>
      <c r="AN231" s="110"/>
      <c r="AO231" s="196"/>
      <c r="AP231" s="196"/>
      <c r="AQ231" s="196"/>
      <c r="AR231" s="104"/>
      <c r="AS231" s="104"/>
      <c r="AT231" s="104"/>
      <c r="AU231" s="104"/>
      <c r="AV231" s="104"/>
      <c r="AW231" s="104"/>
      <c r="AX231" s="104"/>
      <c r="AY231" s="104"/>
      <c r="AZ231" s="104"/>
      <c r="BA231" s="104"/>
      <c r="BB231" s="104"/>
      <c r="BC231" s="104"/>
      <c r="BD231" s="104"/>
      <c r="BE231" s="104"/>
      <c r="BF231" s="104"/>
      <c r="BG231" s="104"/>
    </row>
    <row r="232" spans="1:59" s="105" customFormat="1" ht="15" customHeight="1">
      <c r="A232" s="296"/>
      <c r="B232" s="217"/>
      <c r="C232" s="217">
        <v>10</v>
      </c>
      <c r="D232" s="101"/>
      <c r="F232" s="294" t="s">
        <v>129</v>
      </c>
      <c r="G232" s="295" t="str">
        <f>VLOOKUP(F232,'GL Category'!A:C,3,FALSE)</f>
        <v>Personnel services</v>
      </c>
      <c r="H232" s="98" t="str">
        <f>VLOOKUP(F232,'GL Category'!A:C,2,FALSE)</f>
        <v>EXEMPT SALARIES</v>
      </c>
      <c r="I232" s="99">
        <f t="shared" ref="I232:O241" si="292">SUMIFS(I$1:I$226,$C$1:$C$226,$C232,$F$1:$F$226,$F232)</f>
        <v>467259.66000000003</v>
      </c>
      <c r="J232" s="99">
        <f t="shared" si="292"/>
        <v>544453.23</v>
      </c>
      <c r="K232" s="99">
        <f t="shared" si="292"/>
        <v>637464.18999999994</v>
      </c>
      <c r="L232" s="99">
        <f t="shared" si="292"/>
        <v>679827.3</v>
      </c>
      <c r="M232" s="99">
        <f t="shared" si="292"/>
        <v>692264</v>
      </c>
      <c r="N232" s="99">
        <f t="shared" si="292"/>
        <v>465789.03</v>
      </c>
      <c r="O232" s="99">
        <f t="shared" si="292"/>
        <v>661678</v>
      </c>
      <c r="P232" s="99">
        <f t="shared" ref="P232:P241" si="293">O232-M232</f>
        <v>-30586</v>
      </c>
      <c r="Q232" s="99">
        <f t="shared" ref="Q232:T241" si="294">SUMIFS(Q$1:Q$226,$C$1:$C$226,$C232,$F$1:$F$226,$F232)</f>
        <v>694463</v>
      </c>
      <c r="R232" s="99">
        <f t="shared" si="294"/>
        <v>0</v>
      </c>
      <c r="S232" s="99">
        <f t="shared" si="294"/>
        <v>0</v>
      </c>
      <c r="T232" s="99">
        <f t="shared" si="294"/>
        <v>694463</v>
      </c>
      <c r="U232" s="99">
        <f t="shared" ref="U232:U242" si="295">T232-M232</f>
        <v>2199</v>
      </c>
      <c r="V232" s="255">
        <f t="shared" ref="V232:V242" si="296">IF(M232=0,"N/A",T232/M232-1)</f>
        <v>3.1765338079114969E-3</v>
      </c>
      <c r="W232" s="102"/>
      <c r="X232" s="102"/>
      <c r="Y232" s="102">
        <f t="shared" ref="Y232:Y241" si="297">T232-X232</f>
        <v>694463</v>
      </c>
      <c r="Z232" s="309">
        <f>Y232*(1+VLOOKUP($F232,'GL Category'!$A:$H,4,FALSE))</f>
        <v>718769.20499999996</v>
      </c>
      <c r="AA232" s="615"/>
      <c r="AB232" s="622">
        <f t="shared" ref="AB232:AB241" si="298">Z232+AA232</f>
        <v>718769.20499999996</v>
      </c>
      <c r="AC232" s="633">
        <f>AB232*(1+VLOOKUP($F232,'GL Category'!$A:$H,5,FALSE))</f>
        <v>743926.12717499991</v>
      </c>
      <c r="AD232" s="307"/>
      <c r="AE232" s="622">
        <f t="shared" ref="AE232:AE241" si="299">AC232+AD232</f>
        <v>743926.12717499991</v>
      </c>
      <c r="AF232" s="633">
        <f>AE232*(1+VLOOKUP($F232,'GL Category'!$A:$H,6,FALSE))</f>
        <v>769963.54162612488</v>
      </c>
      <c r="AG232" s="307"/>
      <c r="AH232" s="622">
        <f t="shared" ref="AH232:AH241" si="300">AF232+AG232</f>
        <v>769963.54162612488</v>
      </c>
      <c r="AI232" s="633">
        <f>AH232*(1+VLOOKUP($F232,'GL Category'!$A:$H,7,FALSE))</f>
        <v>796912.26558303914</v>
      </c>
      <c r="AJ232" s="307"/>
      <c r="AK232" s="622">
        <f t="shared" ref="AK232:AK241" si="301">AI232+AJ232</f>
        <v>796912.26558303914</v>
      </c>
      <c r="AL232" s="633">
        <f>AK232*(1+VLOOKUP($F232,'GL Category'!$A:$H,8,FALSE))</f>
        <v>824804.19487844547</v>
      </c>
      <c r="AM232" s="307"/>
      <c r="AN232" s="622">
        <f t="shared" ref="AN232:AN241" si="302">AL232+AM232</f>
        <v>824804.19487844547</v>
      </c>
      <c r="AO232" s="196"/>
      <c r="AP232" s="196"/>
      <c r="AQ232" s="196"/>
      <c r="AR232" s="104"/>
      <c r="AS232" s="104"/>
      <c r="AT232" s="104"/>
      <c r="AU232" s="104"/>
      <c r="AV232" s="104"/>
      <c r="AW232" s="104"/>
      <c r="AX232" s="104"/>
      <c r="AY232" s="104"/>
      <c r="AZ232" s="104"/>
      <c r="BA232" s="104"/>
      <c r="BB232" s="104"/>
      <c r="BC232" s="104"/>
      <c r="BD232" s="104"/>
      <c r="BE232" s="104"/>
      <c r="BF232" s="104"/>
      <c r="BG232" s="104"/>
    </row>
    <row r="233" spans="1:59" s="105" customFormat="1" ht="15" customHeight="1">
      <c r="A233" s="296"/>
      <c r="B233" s="217"/>
      <c r="C233" s="217">
        <v>10</v>
      </c>
      <c r="D233" s="101"/>
      <c r="E233" s="101"/>
      <c r="F233" s="294" t="s">
        <v>131</v>
      </c>
      <c r="G233" s="295" t="str">
        <f>VLOOKUP(F233,'GL Category'!A:C,3,FALSE)</f>
        <v>Personnel services</v>
      </c>
      <c r="H233" s="98" t="str">
        <f>VLOOKUP(F233,'GL Category'!A:C,2,FALSE)</f>
        <v>NON EXEMPT SALARIES</v>
      </c>
      <c r="I233" s="99">
        <f t="shared" si="292"/>
        <v>133090.22</v>
      </c>
      <c r="J233" s="99">
        <f t="shared" si="292"/>
        <v>72657.72</v>
      </c>
      <c r="K233" s="99">
        <f t="shared" si="292"/>
        <v>44842.93</v>
      </c>
      <c r="L233" s="99">
        <f t="shared" si="292"/>
        <v>46807.619999999995</v>
      </c>
      <c r="M233" s="99">
        <f t="shared" si="292"/>
        <v>48650</v>
      </c>
      <c r="N233" s="99">
        <f t="shared" si="292"/>
        <v>37305.839999999997</v>
      </c>
      <c r="O233" s="99">
        <f t="shared" si="292"/>
        <v>48964</v>
      </c>
      <c r="P233" s="99">
        <f t="shared" si="293"/>
        <v>314</v>
      </c>
      <c r="Q233" s="99">
        <f t="shared" si="294"/>
        <v>50809</v>
      </c>
      <c r="R233" s="99">
        <f t="shared" si="294"/>
        <v>0</v>
      </c>
      <c r="S233" s="99">
        <f t="shared" si="294"/>
        <v>0</v>
      </c>
      <c r="T233" s="99">
        <f t="shared" si="294"/>
        <v>50809</v>
      </c>
      <c r="U233" s="99">
        <f t="shared" si="295"/>
        <v>2159</v>
      </c>
      <c r="V233" s="255">
        <f t="shared" si="296"/>
        <v>4.4378211716341154E-2</v>
      </c>
      <c r="W233" s="102"/>
      <c r="X233" s="102"/>
      <c r="Y233" s="102">
        <f t="shared" si="297"/>
        <v>50809</v>
      </c>
      <c r="Z233" s="309">
        <f>Y233*(1+VLOOKUP($F233,'GL Category'!$A:$H,4,FALSE))</f>
        <v>52587.314999999995</v>
      </c>
      <c r="AA233" s="615"/>
      <c r="AB233" s="622">
        <f t="shared" si="298"/>
        <v>52587.314999999995</v>
      </c>
      <c r="AC233" s="633">
        <f>AB233*(1+VLOOKUP($F233,'GL Category'!$A:$H,5,FALSE))</f>
        <v>54427.871024999993</v>
      </c>
      <c r="AD233" s="307"/>
      <c r="AE233" s="622">
        <f t="shared" si="299"/>
        <v>54427.871024999993</v>
      </c>
      <c r="AF233" s="633">
        <f>AE233*(1+VLOOKUP($F233,'GL Category'!$A:$H,6,FALSE))</f>
        <v>56332.846510874988</v>
      </c>
      <c r="AG233" s="307"/>
      <c r="AH233" s="622">
        <f t="shared" si="300"/>
        <v>56332.846510874988</v>
      </c>
      <c r="AI233" s="633">
        <f>AH233*(1+VLOOKUP($F233,'GL Category'!$A:$H,7,FALSE))</f>
        <v>58304.49613875561</v>
      </c>
      <c r="AJ233" s="307"/>
      <c r="AK233" s="622">
        <f t="shared" si="301"/>
        <v>58304.49613875561</v>
      </c>
      <c r="AL233" s="633">
        <f>AK233*(1+VLOOKUP($F233,'GL Category'!$A:$H,8,FALSE))</f>
        <v>60345.153503612055</v>
      </c>
      <c r="AM233" s="307"/>
      <c r="AN233" s="622">
        <f t="shared" si="302"/>
        <v>60345.153503612055</v>
      </c>
      <c r="AO233" s="196"/>
      <c r="AP233" s="196"/>
      <c r="AQ233" s="196"/>
      <c r="AR233" s="104"/>
      <c r="AS233" s="104"/>
      <c r="AT233" s="104"/>
      <c r="AU233" s="104"/>
      <c r="AV233" s="104"/>
      <c r="AW233" s="104"/>
      <c r="AX233" s="104"/>
      <c r="AY233" s="104"/>
      <c r="AZ233" s="104"/>
      <c r="BA233" s="104"/>
      <c r="BB233" s="104"/>
      <c r="BC233" s="104"/>
      <c r="BD233" s="104"/>
      <c r="BE233" s="104"/>
      <c r="BF233" s="104"/>
      <c r="BG233" s="104"/>
    </row>
    <row r="234" spans="1:59" s="105" customFormat="1" ht="15" customHeight="1">
      <c r="A234" s="296"/>
      <c r="B234" s="217"/>
      <c r="C234" s="217">
        <v>10</v>
      </c>
      <c r="D234" s="101"/>
      <c r="E234" s="101"/>
      <c r="F234" s="294" t="s">
        <v>133</v>
      </c>
      <c r="G234" s="295" t="str">
        <f>VLOOKUP(F234,'GL Category'!A:C,3,FALSE)</f>
        <v>Personnel services</v>
      </c>
      <c r="H234" s="98" t="str">
        <f>VLOOKUP(F234,'GL Category'!A:C,2,FALSE)</f>
        <v>OVERTIME</v>
      </c>
      <c r="I234" s="99">
        <f t="shared" si="292"/>
        <v>3200.4900000000002</v>
      </c>
      <c r="J234" s="99">
        <f t="shared" si="292"/>
        <v>12989.699999999999</v>
      </c>
      <c r="K234" s="99">
        <f t="shared" si="292"/>
        <v>2143.35</v>
      </c>
      <c r="L234" s="99">
        <f t="shared" si="292"/>
        <v>2563.3500000000004</v>
      </c>
      <c r="M234" s="99">
        <f t="shared" si="292"/>
        <v>23440</v>
      </c>
      <c r="N234" s="99">
        <f t="shared" si="292"/>
        <v>1055.25</v>
      </c>
      <c r="O234" s="99">
        <f t="shared" si="292"/>
        <v>1622</v>
      </c>
      <c r="P234" s="99">
        <f t="shared" si="293"/>
        <v>-21818</v>
      </c>
      <c r="Q234" s="99">
        <f t="shared" si="294"/>
        <v>23440</v>
      </c>
      <c r="R234" s="99">
        <f t="shared" si="294"/>
        <v>0</v>
      </c>
      <c r="S234" s="99">
        <f t="shared" si="294"/>
        <v>0</v>
      </c>
      <c r="T234" s="99">
        <f t="shared" si="294"/>
        <v>23440</v>
      </c>
      <c r="U234" s="99">
        <f t="shared" si="295"/>
        <v>0</v>
      </c>
      <c r="V234" s="255">
        <f t="shared" si="296"/>
        <v>0</v>
      </c>
      <c r="W234" s="102"/>
      <c r="X234" s="102"/>
      <c r="Y234" s="102">
        <f t="shared" si="297"/>
        <v>23440</v>
      </c>
      <c r="Z234" s="309">
        <f>Y234*(1+VLOOKUP($F234,'GL Category'!$A:$H,4,FALSE))</f>
        <v>24260.399999999998</v>
      </c>
      <c r="AA234" s="615"/>
      <c r="AB234" s="622">
        <f t="shared" si="298"/>
        <v>24260.399999999998</v>
      </c>
      <c r="AC234" s="633">
        <f>AB234*(1+VLOOKUP($F234,'GL Category'!$A:$H,5,FALSE))</f>
        <v>25109.513999999996</v>
      </c>
      <c r="AD234" s="307"/>
      <c r="AE234" s="622">
        <f t="shared" si="299"/>
        <v>25109.513999999996</v>
      </c>
      <c r="AF234" s="633">
        <f>AE234*(1+VLOOKUP($F234,'GL Category'!$A:$H,6,FALSE))</f>
        <v>25988.346989999995</v>
      </c>
      <c r="AG234" s="307"/>
      <c r="AH234" s="622">
        <f t="shared" si="300"/>
        <v>25988.346989999995</v>
      </c>
      <c r="AI234" s="633">
        <f>AH234*(1+VLOOKUP($F234,'GL Category'!$A:$H,7,FALSE))</f>
        <v>26897.939134649991</v>
      </c>
      <c r="AJ234" s="307"/>
      <c r="AK234" s="622">
        <f t="shared" si="301"/>
        <v>26897.939134649991</v>
      </c>
      <c r="AL234" s="633">
        <f>AK234*(1+VLOOKUP($F234,'GL Category'!$A:$H,8,FALSE))</f>
        <v>27839.367004362739</v>
      </c>
      <c r="AM234" s="307"/>
      <c r="AN234" s="622">
        <f t="shared" si="302"/>
        <v>27839.367004362739</v>
      </c>
      <c r="AO234" s="196"/>
      <c r="AP234" s="196"/>
      <c r="AQ234" s="196"/>
      <c r="AR234" s="104"/>
      <c r="AS234" s="104"/>
      <c r="AT234" s="104"/>
      <c r="AU234" s="104"/>
      <c r="AV234" s="104"/>
      <c r="AW234" s="104"/>
      <c r="AX234" s="104"/>
      <c r="AY234" s="104"/>
      <c r="AZ234" s="104"/>
      <c r="BA234" s="104"/>
      <c r="BB234" s="104"/>
      <c r="BC234" s="104"/>
      <c r="BD234" s="104"/>
      <c r="BE234" s="104"/>
      <c r="BF234" s="104"/>
      <c r="BG234" s="104"/>
    </row>
    <row r="235" spans="1:59" s="105" customFormat="1" ht="15" customHeight="1">
      <c r="A235" s="296"/>
      <c r="B235" s="217"/>
      <c r="C235" s="217">
        <v>10</v>
      </c>
      <c r="D235" s="101"/>
      <c r="E235" s="101"/>
      <c r="F235" s="294" t="s">
        <v>134</v>
      </c>
      <c r="G235" s="295" t="str">
        <f>VLOOKUP(F235,'GL Category'!A:C,3,FALSE)</f>
        <v>Personnel services</v>
      </c>
      <c r="H235" s="98" t="str">
        <f>VLOOKUP(F235,'GL Category'!A:C,2,FALSE)</f>
        <v>PART-TIME WAGES</v>
      </c>
      <c r="I235" s="99">
        <f t="shared" si="292"/>
        <v>0</v>
      </c>
      <c r="J235" s="99">
        <f t="shared" si="292"/>
        <v>2671.12</v>
      </c>
      <c r="K235" s="99">
        <f t="shared" si="292"/>
        <v>0</v>
      </c>
      <c r="L235" s="99">
        <f t="shared" si="292"/>
        <v>0</v>
      </c>
      <c r="M235" s="99">
        <f t="shared" si="292"/>
        <v>0</v>
      </c>
      <c r="N235" s="99">
        <f t="shared" si="292"/>
        <v>0</v>
      </c>
      <c r="O235" s="99">
        <f t="shared" si="292"/>
        <v>0</v>
      </c>
      <c r="P235" s="99">
        <f t="shared" si="293"/>
        <v>0</v>
      </c>
      <c r="Q235" s="99">
        <f t="shared" si="294"/>
        <v>0</v>
      </c>
      <c r="R235" s="99">
        <f t="shared" si="294"/>
        <v>0</v>
      </c>
      <c r="S235" s="99">
        <f t="shared" si="294"/>
        <v>0</v>
      </c>
      <c r="T235" s="99">
        <f t="shared" si="294"/>
        <v>0</v>
      </c>
      <c r="U235" s="99">
        <f t="shared" si="295"/>
        <v>0</v>
      </c>
      <c r="V235" s="255" t="str">
        <f t="shared" si="296"/>
        <v>N/A</v>
      </c>
      <c r="W235" s="102"/>
      <c r="X235" s="102"/>
      <c r="Y235" s="102">
        <f t="shared" si="297"/>
        <v>0</v>
      </c>
      <c r="Z235" s="309">
        <f>Y235*(1+VLOOKUP($F235,'GL Category'!$A:$H,4,FALSE))</f>
        <v>0</v>
      </c>
      <c r="AA235" s="615"/>
      <c r="AB235" s="622">
        <f t="shared" si="298"/>
        <v>0</v>
      </c>
      <c r="AC235" s="633">
        <f>AB235*(1+VLOOKUP($F235,'GL Category'!$A:$H,5,FALSE))</f>
        <v>0</v>
      </c>
      <c r="AD235" s="307"/>
      <c r="AE235" s="622">
        <f t="shared" si="299"/>
        <v>0</v>
      </c>
      <c r="AF235" s="633">
        <f>AE235*(1+VLOOKUP($F235,'GL Category'!$A:$H,6,FALSE))</f>
        <v>0</v>
      </c>
      <c r="AG235" s="307"/>
      <c r="AH235" s="622">
        <f t="shared" si="300"/>
        <v>0</v>
      </c>
      <c r="AI235" s="633">
        <f>AH235*(1+VLOOKUP($F235,'GL Category'!$A:$H,7,FALSE))</f>
        <v>0</v>
      </c>
      <c r="AJ235" s="307"/>
      <c r="AK235" s="622">
        <f t="shared" si="301"/>
        <v>0</v>
      </c>
      <c r="AL235" s="633">
        <f>AK235*(1+VLOOKUP($F235,'GL Category'!$A:$H,8,FALSE))</f>
        <v>0</v>
      </c>
      <c r="AM235" s="307"/>
      <c r="AN235" s="622">
        <f t="shared" si="302"/>
        <v>0</v>
      </c>
      <c r="AO235" s="196"/>
      <c r="AP235" s="196"/>
      <c r="AQ235" s="196"/>
      <c r="AR235" s="104"/>
      <c r="AS235" s="104"/>
      <c r="AT235" s="104"/>
      <c r="AU235" s="104"/>
      <c r="AV235" s="104"/>
      <c r="AW235" s="104"/>
      <c r="AX235" s="104"/>
      <c r="AY235" s="104"/>
      <c r="AZ235" s="104"/>
      <c r="BA235" s="104"/>
      <c r="BB235" s="104"/>
      <c r="BC235" s="104"/>
      <c r="BD235" s="104"/>
      <c r="BE235" s="104"/>
      <c r="BF235" s="104"/>
      <c r="BG235" s="104"/>
    </row>
    <row r="236" spans="1:59" s="105" customFormat="1" ht="15" customHeight="1">
      <c r="A236" s="296"/>
      <c r="B236" s="217"/>
      <c r="C236" s="217">
        <v>10</v>
      </c>
      <c r="D236" s="101"/>
      <c r="E236" s="101"/>
      <c r="F236" s="294" t="s">
        <v>136</v>
      </c>
      <c r="G236" s="295" t="str">
        <f>VLOOKUP(F236,'GL Category'!A:C,3,FALSE)</f>
        <v>Personnel services</v>
      </c>
      <c r="H236" s="98" t="str">
        <f>VLOOKUP(F236,'GL Category'!A:C,2,FALSE)</f>
        <v>LONGEVITY PAY</v>
      </c>
      <c r="I236" s="99">
        <f t="shared" si="292"/>
        <v>3075</v>
      </c>
      <c r="J236" s="99">
        <f t="shared" si="292"/>
        <v>3535</v>
      </c>
      <c r="K236" s="99">
        <f t="shared" si="292"/>
        <v>3795</v>
      </c>
      <c r="L236" s="99">
        <f t="shared" si="292"/>
        <v>3760</v>
      </c>
      <c r="M236" s="99">
        <f t="shared" si="292"/>
        <v>4466</v>
      </c>
      <c r="N236" s="99">
        <f t="shared" si="292"/>
        <v>3925</v>
      </c>
      <c r="O236" s="99">
        <f t="shared" si="292"/>
        <v>3925</v>
      </c>
      <c r="P236" s="99">
        <f>O236-M236</f>
        <v>-541</v>
      </c>
      <c r="Q236" s="99">
        <f t="shared" si="294"/>
        <v>3628</v>
      </c>
      <c r="R236" s="99">
        <f t="shared" si="294"/>
        <v>0</v>
      </c>
      <c r="S236" s="99">
        <f t="shared" si="294"/>
        <v>0</v>
      </c>
      <c r="T236" s="99">
        <f t="shared" si="294"/>
        <v>3628</v>
      </c>
      <c r="U236" s="99">
        <f t="shared" si="295"/>
        <v>-838</v>
      </c>
      <c r="V236" s="255">
        <f t="shared" si="296"/>
        <v>-0.18763994626063596</v>
      </c>
      <c r="W236" s="102"/>
      <c r="X236" s="102"/>
      <c r="Y236" s="102">
        <f t="shared" si="297"/>
        <v>3628</v>
      </c>
      <c r="Z236" s="309">
        <f>Y236*(1+VLOOKUP($F236,'GL Category'!$A:$H,4,FALSE))</f>
        <v>3754.9799999999996</v>
      </c>
      <c r="AA236" s="615"/>
      <c r="AB236" s="622">
        <f t="shared" si="298"/>
        <v>3754.9799999999996</v>
      </c>
      <c r="AC236" s="633">
        <f>AB236*(1+VLOOKUP($F236,'GL Category'!$A:$H,5,FALSE))</f>
        <v>3886.4042999999992</v>
      </c>
      <c r="AD236" s="307"/>
      <c r="AE236" s="622">
        <f t="shared" si="299"/>
        <v>3886.4042999999992</v>
      </c>
      <c r="AF236" s="633">
        <f>AE236*(1+VLOOKUP($F236,'GL Category'!$A:$H,6,FALSE))</f>
        <v>4022.4284504999987</v>
      </c>
      <c r="AG236" s="307"/>
      <c r="AH236" s="622">
        <f t="shared" si="300"/>
        <v>4022.4284504999987</v>
      </c>
      <c r="AI236" s="633">
        <f>AH236*(1+VLOOKUP($F236,'GL Category'!$A:$H,7,FALSE))</f>
        <v>4163.2134462674985</v>
      </c>
      <c r="AJ236" s="307"/>
      <c r="AK236" s="622">
        <f t="shared" si="301"/>
        <v>4163.2134462674985</v>
      </c>
      <c r="AL236" s="633">
        <f>AK236*(1+VLOOKUP($F236,'GL Category'!$A:$H,8,FALSE))</f>
        <v>4308.9259168868603</v>
      </c>
      <c r="AM236" s="307"/>
      <c r="AN236" s="622">
        <f t="shared" si="302"/>
        <v>4308.9259168868603</v>
      </c>
      <c r="AO236" s="196"/>
      <c r="AP236" s="196"/>
      <c r="AQ236" s="196"/>
      <c r="AR236" s="104"/>
      <c r="AS236" s="104"/>
      <c r="AT236" s="104"/>
      <c r="AU236" s="104"/>
      <c r="AV236" s="104"/>
      <c r="AW236" s="104"/>
      <c r="AX236" s="104"/>
      <c r="AY236" s="104"/>
      <c r="AZ236" s="104"/>
      <c r="BA236" s="104"/>
      <c r="BB236" s="104"/>
      <c r="BC236" s="104"/>
      <c r="BD236" s="104"/>
      <c r="BE236" s="104"/>
      <c r="BF236" s="104"/>
      <c r="BG236" s="104"/>
    </row>
    <row r="237" spans="1:59" s="105" customFormat="1" ht="15" customHeight="1">
      <c r="A237" s="296"/>
      <c r="B237" s="217"/>
      <c r="C237" s="217">
        <v>10</v>
      </c>
      <c r="D237" s="101"/>
      <c r="E237" s="101"/>
      <c r="F237" s="294" t="s">
        <v>139</v>
      </c>
      <c r="G237" s="295" t="str">
        <f>VLOOKUP(F237,'GL Category'!A:C,3,FALSE)</f>
        <v>Personnel services</v>
      </c>
      <c r="H237" s="98" t="str">
        <f>VLOOKUP(F237,'GL Category'!A:C,2,FALSE)</f>
        <v>AUTO ALLOWANCE</v>
      </c>
      <c r="I237" s="99">
        <f t="shared" si="292"/>
        <v>7200</v>
      </c>
      <c r="J237" s="99">
        <f t="shared" si="292"/>
        <v>7200</v>
      </c>
      <c r="K237" s="99">
        <f t="shared" si="292"/>
        <v>7200</v>
      </c>
      <c r="L237" s="99">
        <f t="shared" si="292"/>
        <v>7524</v>
      </c>
      <c r="M237" s="99">
        <f t="shared" si="292"/>
        <v>7200</v>
      </c>
      <c r="N237" s="99">
        <f t="shared" si="292"/>
        <v>2976</v>
      </c>
      <c r="O237" s="99">
        <f t="shared" si="292"/>
        <v>2976</v>
      </c>
      <c r="P237" s="99">
        <f>O237-M237</f>
        <v>-4224</v>
      </c>
      <c r="Q237" s="99">
        <f t="shared" si="294"/>
        <v>0</v>
      </c>
      <c r="R237" s="99">
        <f t="shared" si="294"/>
        <v>0</v>
      </c>
      <c r="S237" s="99">
        <f t="shared" si="294"/>
        <v>0</v>
      </c>
      <c r="T237" s="99">
        <f t="shared" si="294"/>
        <v>0</v>
      </c>
      <c r="U237" s="99">
        <f t="shared" si="295"/>
        <v>-7200</v>
      </c>
      <c r="V237" s="255">
        <f t="shared" si="296"/>
        <v>-1</v>
      </c>
      <c r="W237" s="102"/>
      <c r="X237" s="102"/>
      <c r="Y237" s="102">
        <f t="shared" si="297"/>
        <v>0</v>
      </c>
      <c r="Z237" s="309">
        <f>Y237*(1+VLOOKUP($F237,'GL Category'!$A:$H,4,FALSE))</f>
        <v>0</v>
      </c>
      <c r="AA237" s="615"/>
      <c r="AB237" s="622">
        <f t="shared" si="298"/>
        <v>0</v>
      </c>
      <c r="AC237" s="633">
        <f>AB237*(1+VLOOKUP($F237,'GL Category'!$A:$H,5,FALSE))</f>
        <v>0</v>
      </c>
      <c r="AD237" s="307"/>
      <c r="AE237" s="622">
        <f t="shared" si="299"/>
        <v>0</v>
      </c>
      <c r="AF237" s="633">
        <f>AE237*(1+VLOOKUP($F237,'GL Category'!$A:$H,6,FALSE))</f>
        <v>0</v>
      </c>
      <c r="AG237" s="307"/>
      <c r="AH237" s="622">
        <f t="shared" si="300"/>
        <v>0</v>
      </c>
      <c r="AI237" s="633">
        <f>AH237*(1+VLOOKUP($F237,'GL Category'!$A:$H,7,FALSE))</f>
        <v>0</v>
      </c>
      <c r="AJ237" s="307"/>
      <c r="AK237" s="622">
        <f t="shared" si="301"/>
        <v>0</v>
      </c>
      <c r="AL237" s="633">
        <f>AK237*(1+VLOOKUP($F237,'GL Category'!$A:$H,8,FALSE))</f>
        <v>0</v>
      </c>
      <c r="AM237" s="307"/>
      <c r="AN237" s="622">
        <f t="shared" si="302"/>
        <v>0</v>
      </c>
      <c r="AO237" s="196"/>
      <c r="AP237" s="196"/>
      <c r="AQ237" s="196"/>
      <c r="AR237" s="104"/>
      <c r="AS237" s="104"/>
      <c r="AT237" s="104"/>
      <c r="AU237" s="104"/>
      <c r="AV237" s="104"/>
      <c r="AW237" s="104"/>
      <c r="AX237" s="104"/>
      <c r="AY237" s="104"/>
      <c r="AZ237" s="104"/>
      <c r="BA237" s="104"/>
      <c r="BB237" s="104"/>
      <c r="BC237" s="104"/>
      <c r="BD237" s="104"/>
      <c r="BE237" s="104"/>
      <c r="BF237" s="104"/>
      <c r="BG237" s="104"/>
    </row>
    <row r="238" spans="1:59" s="105" customFormat="1" ht="15" customHeight="1">
      <c r="A238" s="296"/>
      <c r="B238" s="217"/>
      <c r="C238" s="217">
        <v>10</v>
      </c>
      <c r="D238" s="101"/>
      <c r="E238" s="101"/>
      <c r="F238" s="294" t="s">
        <v>140</v>
      </c>
      <c r="G238" s="295" t="str">
        <f>VLOOKUP(F238,'GL Category'!A:C,3,FALSE)</f>
        <v>Personnel services</v>
      </c>
      <c r="H238" s="98" t="str">
        <f>VLOOKUP(F238,'GL Category'!A:C,2,FALSE)</f>
        <v>SOCIAL SECURITY</v>
      </c>
      <c r="I238" s="99">
        <f t="shared" si="292"/>
        <v>37316.620000000003</v>
      </c>
      <c r="J238" s="99">
        <f t="shared" si="292"/>
        <v>39456.460000000006</v>
      </c>
      <c r="K238" s="99">
        <f t="shared" si="292"/>
        <v>42644.869999999995</v>
      </c>
      <c r="L238" s="99">
        <f t="shared" si="292"/>
        <v>47202.82</v>
      </c>
      <c r="M238" s="99">
        <f t="shared" si="292"/>
        <v>50510</v>
      </c>
      <c r="N238" s="99">
        <f t="shared" si="292"/>
        <v>33270.950000000004</v>
      </c>
      <c r="O238" s="99">
        <f t="shared" si="292"/>
        <v>47289</v>
      </c>
      <c r="P238" s="99">
        <f t="shared" si="293"/>
        <v>-3221</v>
      </c>
      <c r="Q238" s="99">
        <f t="shared" si="294"/>
        <v>51620</v>
      </c>
      <c r="R238" s="99">
        <f t="shared" si="294"/>
        <v>0</v>
      </c>
      <c r="S238" s="99">
        <f t="shared" si="294"/>
        <v>0</v>
      </c>
      <c r="T238" s="99">
        <f t="shared" si="294"/>
        <v>51620</v>
      </c>
      <c r="U238" s="99">
        <f t="shared" si="295"/>
        <v>1110</v>
      </c>
      <c r="V238" s="255">
        <f t="shared" si="296"/>
        <v>2.1975846367056073E-2</v>
      </c>
      <c r="W238" s="102"/>
      <c r="X238" s="102"/>
      <c r="Y238" s="102">
        <f t="shared" si="297"/>
        <v>51620</v>
      </c>
      <c r="Z238" s="309">
        <f>Y238*(1+VLOOKUP($F238,'GL Category'!$A:$H,4,FALSE))</f>
        <v>53426.7</v>
      </c>
      <c r="AA238" s="615"/>
      <c r="AB238" s="622">
        <f t="shared" si="298"/>
        <v>53426.7</v>
      </c>
      <c r="AC238" s="633">
        <f>AB238*(1+VLOOKUP($F238,'GL Category'!$A:$H,5,FALSE))</f>
        <v>55296.634499999993</v>
      </c>
      <c r="AD238" s="307"/>
      <c r="AE238" s="622">
        <f t="shared" si="299"/>
        <v>55296.634499999993</v>
      </c>
      <c r="AF238" s="633">
        <f>AE238*(1+VLOOKUP($F238,'GL Category'!$A:$H,6,FALSE))</f>
        <v>57232.016707499992</v>
      </c>
      <c r="AG238" s="307"/>
      <c r="AH238" s="622">
        <f t="shared" si="300"/>
        <v>57232.016707499992</v>
      </c>
      <c r="AI238" s="633">
        <f>AH238*(1+VLOOKUP($F238,'GL Category'!$A:$H,7,FALSE))</f>
        <v>59235.137292262487</v>
      </c>
      <c r="AJ238" s="307"/>
      <c r="AK238" s="622">
        <f t="shared" si="301"/>
        <v>59235.137292262487</v>
      </c>
      <c r="AL238" s="633">
        <f>AK238*(1+VLOOKUP($F238,'GL Category'!$A:$H,8,FALSE))</f>
        <v>61308.367097491668</v>
      </c>
      <c r="AM238" s="307"/>
      <c r="AN238" s="622">
        <f t="shared" si="302"/>
        <v>61308.367097491668</v>
      </c>
      <c r="AO238" s="196"/>
      <c r="AP238" s="196"/>
      <c r="AQ238" s="196"/>
      <c r="AR238" s="104"/>
      <c r="AS238" s="104"/>
      <c r="AT238" s="104"/>
      <c r="AU238" s="104"/>
      <c r="AV238" s="104"/>
      <c r="AW238" s="104"/>
      <c r="AX238" s="104"/>
      <c r="AY238" s="104"/>
      <c r="AZ238" s="104"/>
      <c r="BA238" s="104"/>
      <c r="BB238" s="104"/>
      <c r="BC238" s="104"/>
      <c r="BD238" s="104"/>
      <c r="BE238" s="104"/>
      <c r="BF238" s="104"/>
      <c r="BG238" s="104"/>
    </row>
    <row r="239" spans="1:59" s="105" customFormat="1" ht="15" customHeight="1">
      <c r="A239" s="296"/>
      <c r="B239" s="217"/>
      <c r="C239" s="217">
        <v>10</v>
      </c>
      <c r="D239" s="101"/>
      <c r="E239" s="101"/>
      <c r="F239" s="294" t="s">
        <v>141</v>
      </c>
      <c r="G239" s="295" t="str">
        <f>VLOOKUP(F239,'GL Category'!A:C,3,FALSE)</f>
        <v>Personnel services</v>
      </c>
      <c r="H239" s="98" t="str">
        <f>VLOOKUP(F239,'GL Category'!A:C,2,FALSE)</f>
        <v>HEALTH/LIFE INSURANCE</v>
      </c>
      <c r="I239" s="99">
        <f t="shared" si="292"/>
        <v>134284.87</v>
      </c>
      <c r="J239" s="99">
        <f t="shared" si="292"/>
        <v>117156.18</v>
      </c>
      <c r="K239" s="99">
        <f t="shared" si="292"/>
        <v>114890.43000000001</v>
      </c>
      <c r="L239" s="99">
        <f t="shared" si="292"/>
        <v>107782.29000000001</v>
      </c>
      <c r="M239" s="99">
        <f t="shared" si="292"/>
        <v>105796</v>
      </c>
      <c r="N239" s="99">
        <f t="shared" si="292"/>
        <v>71325.649999999994</v>
      </c>
      <c r="O239" s="99">
        <f t="shared" si="292"/>
        <v>104574</v>
      </c>
      <c r="P239" s="99">
        <f t="shared" si="293"/>
        <v>-1222</v>
      </c>
      <c r="Q239" s="99">
        <f t="shared" si="294"/>
        <v>113057</v>
      </c>
      <c r="R239" s="99">
        <f t="shared" si="294"/>
        <v>0</v>
      </c>
      <c r="S239" s="99">
        <f t="shared" si="294"/>
        <v>0</v>
      </c>
      <c r="T239" s="99">
        <f t="shared" si="294"/>
        <v>113057</v>
      </c>
      <c r="U239" s="99">
        <f t="shared" si="295"/>
        <v>7261</v>
      </c>
      <c r="V239" s="255">
        <f t="shared" si="296"/>
        <v>6.8632084388823733E-2</v>
      </c>
      <c r="W239" s="102"/>
      <c r="X239" s="102"/>
      <c r="Y239" s="102">
        <f t="shared" si="297"/>
        <v>113057</v>
      </c>
      <c r="Z239" s="309">
        <f>Y239*(1+VLOOKUP($F239,'GL Category'!$A:$H,4,FALSE))</f>
        <v>117013.995</v>
      </c>
      <c r="AA239" s="615"/>
      <c r="AB239" s="622">
        <f t="shared" si="298"/>
        <v>117013.995</v>
      </c>
      <c r="AC239" s="633">
        <f>AB239*(1+VLOOKUP($F239,'GL Category'!$A:$H,5,FALSE))</f>
        <v>121109.48482499999</v>
      </c>
      <c r="AD239" s="307"/>
      <c r="AE239" s="622">
        <f t="shared" si="299"/>
        <v>121109.48482499999</v>
      </c>
      <c r="AF239" s="633">
        <f>AE239*(1+VLOOKUP($F239,'GL Category'!$A:$H,6,FALSE))</f>
        <v>125348.31679387498</v>
      </c>
      <c r="AG239" s="307"/>
      <c r="AH239" s="622">
        <f t="shared" si="300"/>
        <v>125348.31679387498</v>
      </c>
      <c r="AI239" s="633">
        <f>AH239*(1+VLOOKUP($F239,'GL Category'!$A:$H,7,FALSE))</f>
        <v>129735.5078816606</v>
      </c>
      <c r="AJ239" s="307"/>
      <c r="AK239" s="622">
        <f t="shared" si="301"/>
        <v>129735.5078816606</v>
      </c>
      <c r="AL239" s="633">
        <f>AK239*(1+VLOOKUP($F239,'GL Category'!$A:$H,8,FALSE))</f>
        <v>134276.25065751871</v>
      </c>
      <c r="AM239" s="307"/>
      <c r="AN239" s="622">
        <f t="shared" si="302"/>
        <v>134276.25065751871</v>
      </c>
      <c r="AO239" s="196"/>
      <c r="AP239" s="196"/>
      <c r="AQ239" s="196"/>
      <c r="AR239" s="104"/>
      <c r="AS239" s="104"/>
      <c r="AT239" s="104"/>
      <c r="AU239" s="104"/>
      <c r="AV239" s="104"/>
      <c r="AW239" s="104"/>
      <c r="AX239" s="104"/>
      <c r="AY239" s="104"/>
      <c r="AZ239" s="104"/>
      <c r="BA239" s="104"/>
      <c r="BB239" s="104"/>
      <c r="BC239" s="104"/>
      <c r="BD239" s="104"/>
      <c r="BE239" s="104"/>
      <c r="BF239" s="104"/>
      <c r="BG239" s="104"/>
    </row>
    <row r="240" spans="1:59" s="105" customFormat="1" ht="15" customHeight="1">
      <c r="A240" s="296"/>
      <c r="B240" s="217"/>
      <c r="C240" s="217">
        <v>10</v>
      </c>
      <c r="D240" s="101"/>
      <c r="E240" s="101"/>
      <c r="F240" s="294" t="s">
        <v>143</v>
      </c>
      <c r="G240" s="295" t="str">
        <f>VLOOKUP(F240,'GL Category'!A:C,3,FALSE)</f>
        <v>Personnel services</v>
      </c>
      <c r="H240" s="98" t="str">
        <f>VLOOKUP(F240,'GL Category'!A:C,2,FALSE)</f>
        <v>WORKER COMPENSATION</v>
      </c>
      <c r="I240" s="99">
        <f t="shared" si="292"/>
        <v>550.63</v>
      </c>
      <c r="J240" s="99">
        <f t="shared" si="292"/>
        <v>520.12999999999988</v>
      </c>
      <c r="K240" s="99">
        <f t="shared" si="292"/>
        <v>594.91</v>
      </c>
      <c r="L240" s="99">
        <f t="shared" si="292"/>
        <v>1074.71</v>
      </c>
      <c r="M240" s="99">
        <f t="shared" si="292"/>
        <v>1390</v>
      </c>
      <c r="N240" s="99">
        <f t="shared" si="292"/>
        <v>1388.86</v>
      </c>
      <c r="O240" s="99">
        <f t="shared" si="292"/>
        <v>1390</v>
      </c>
      <c r="P240" s="99">
        <f t="shared" si="293"/>
        <v>0</v>
      </c>
      <c r="Q240" s="99">
        <f t="shared" si="294"/>
        <v>1356</v>
      </c>
      <c r="R240" s="99">
        <f t="shared" si="294"/>
        <v>0</v>
      </c>
      <c r="S240" s="99">
        <f t="shared" si="294"/>
        <v>0</v>
      </c>
      <c r="T240" s="99">
        <f t="shared" si="294"/>
        <v>1356</v>
      </c>
      <c r="U240" s="99">
        <f t="shared" si="295"/>
        <v>-34</v>
      </c>
      <c r="V240" s="255">
        <f t="shared" si="296"/>
        <v>-2.4460431654676262E-2</v>
      </c>
      <c r="W240" s="102"/>
      <c r="X240" s="102"/>
      <c r="Y240" s="102">
        <f t="shared" si="297"/>
        <v>1356</v>
      </c>
      <c r="Z240" s="309">
        <f>Y240*(1+VLOOKUP($F240,'GL Category'!$A:$H,4,FALSE))</f>
        <v>1403.4599999999998</v>
      </c>
      <c r="AA240" s="615"/>
      <c r="AB240" s="622">
        <f t="shared" si="298"/>
        <v>1403.4599999999998</v>
      </c>
      <c r="AC240" s="633">
        <f>AB240*(1+VLOOKUP($F240,'GL Category'!$A:$H,5,FALSE))</f>
        <v>1452.5810999999997</v>
      </c>
      <c r="AD240" s="307"/>
      <c r="AE240" s="622">
        <f t="shared" si="299"/>
        <v>1452.5810999999997</v>
      </c>
      <c r="AF240" s="633">
        <f>AE240*(1+VLOOKUP($F240,'GL Category'!$A:$H,6,FALSE))</f>
        <v>1503.4214384999996</v>
      </c>
      <c r="AG240" s="307"/>
      <c r="AH240" s="622">
        <f t="shared" si="300"/>
        <v>1503.4214384999996</v>
      </c>
      <c r="AI240" s="633">
        <f>AH240*(1+VLOOKUP($F240,'GL Category'!$A:$H,7,FALSE))</f>
        <v>1556.0411888474994</v>
      </c>
      <c r="AJ240" s="307"/>
      <c r="AK240" s="622">
        <f t="shared" si="301"/>
        <v>1556.0411888474994</v>
      </c>
      <c r="AL240" s="633">
        <f>AK240*(1+VLOOKUP($F240,'GL Category'!$A:$H,8,FALSE))</f>
        <v>1610.5026304571618</v>
      </c>
      <c r="AM240" s="307"/>
      <c r="AN240" s="622">
        <f t="shared" si="302"/>
        <v>1610.5026304571618</v>
      </c>
      <c r="AO240" s="196"/>
      <c r="AP240" s="196"/>
      <c r="AQ240" s="196"/>
      <c r="AR240" s="104"/>
      <c r="AS240" s="104"/>
      <c r="AT240" s="104"/>
      <c r="AU240" s="104"/>
      <c r="AV240" s="104"/>
      <c r="AW240" s="104"/>
      <c r="AX240" s="104"/>
      <c r="AY240" s="104"/>
      <c r="AZ240" s="104"/>
      <c r="BA240" s="104"/>
      <c r="BB240" s="104"/>
      <c r="BC240" s="104"/>
      <c r="BD240" s="104"/>
      <c r="BE240" s="104"/>
      <c r="BF240" s="104"/>
      <c r="BG240" s="104"/>
    </row>
    <row r="241" spans="1:59" s="105" customFormat="1" ht="15" customHeight="1">
      <c r="A241" s="296"/>
      <c r="B241" s="217"/>
      <c r="C241" s="217">
        <v>10</v>
      </c>
      <c r="D241" s="101"/>
      <c r="E241" s="101"/>
      <c r="F241" s="294" t="s">
        <v>147</v>
      </c>
      <c r="G241" s="295" t="str">
        <f>VLOOKUP(F241,'GL Category'!A:C,3,FALSE)</f>
        <v>Personnel services</v>
      </c>
      <c r="H241" s="98" t="str">
        <f>VLOOKUP(F241,'GL Category'!A:C,2,FALSE)</f>
        <v>RETIREMENT</v>
      </c>
      <c r="I241" s="99">
        <f t="shared" si="292"/>
        <v>101248.36</v>
      </c>
      <c r="J241" s="99">
        <f t="shared" si="292"/>
        <v>107289.01</v>
      </c>
      <c r="K241" s="99">
        <f t="shared" si="292"/>
        <v>116474.94</v>
      </c>
      <c r="L241" s="99">
        <f t="shared" si="292"/>
        <v>124160.22</v>
      </c>
      <c r="M241" s="99">
        <f t="shared" si="292"/>
        <v>129269</v>
      </c>
      <c r="N241" s="99">
        <f t="shared" si="292"/>
        <v>87421.47</v>
      </c>
      <c r="O241" s="99">
        <f t="shared" si="292"/>
        <v>123299</v>
      </c>
      <c r="P241" s="99">
        <f t="shared" si="293"/>
        <v>-5970</v>
      </c>
      <c r="Q241" s="99">
        <f t="shared" si="294"/>
        <v>131431</v>
      </c>
      <c r="R241" s="99">
        <f t="shared" si="294"/>
        <v>0</v>
      </c>
      <c r="S241" s="99">
        <f t="shared" si="294"/>
        <v>0</v>
      </c>
      <c r="T241" s="99">
        <f t="shared" si="294"/>
        <v>131431</v>
      </c>
      <c r="U241" s="99">
        <f t="shared" si="295"/>
        <v>2162</v>
      </c>
      <c r="V241" s="255">
        <f t="shared" si="296"/>
        <v>1.6724814147243361E-2</v>
      </c>
      <c r="W241" s="102"/>
      <c r="X241" s="102"/>
      <c r="Y241" s="102">
        <f t="shared" si="297"/>
        <v>131431</v>
      </c>
      <c r="Z241" s="309">
        <f>Y241*(1+VLOOKUP($F241,'GL Category'!$A:$H,4,FALSE))</f>
        <v>136031.08499999999</v>
      </c>
      <c r="AA241" s="615"/>
      <c r="AB241" s="622">
        <f t="shared" si="298"/>
        <v>136031.08499999999</v>
      </c>
      <c r="AC241" s="633">
        <f>AB241*(1+VLOOKUP($F241,'GL Category'!$A:$H,5,FALSE))</f>
        <v>140792.17297499999</v>
      </c>
      <c r="AD241" s="307"/>
      <c r="AE241" s="622">
        <f t="shared" si="299"/>
        <v>140792.17297499999</v>
      </c>
      <c r="AF241" s="633">
        <f>AE241*(1+VLOOKUP($F241,'GL Category'!$A:$H,6,FALSE))</f>
        <v>145719.89902912499</v>
      </c>
      <c r="AG241" s="307"/>
      <c r="AH241" s="622">
        <f t="shared" si="300"/>
        <v>145719.89902912499</v>
      </c>
      <c r="AI241" s="633">
        <f>AH241*(1+VLOOKUP($F241,'GL Category'!$A:$H,7,FALSE))</f>
        <v>150820.09549514437</v>
      </c>
      <c r="AJ241" s="307"/>
      <c r="AK241" s="622">
        <f t="shared" si="301"/>
        <v>150820.09549514437</v>
      </c>
      <c r="AL241" s="633">
        <f>AK241*(1+VLOOKUP($F241,'GL Category'!$A:$H,8,FALSE))</f>
        <v>156098.7988374744</v>
      </c>
      <c r="AM241" s="307"/>
      <c r="AN241" s="622">
        <f t="shared" si="302"/>
        <v>156098.7988374744</v>
      </c>
      <c r="AO241" s="196"/>
      <c r="AP241" s="196"/>
      <c r="AQ241" s="196"/>
      <c r="AR241" s="104"/>
      <c r="AS241" s="104"/>
      <c r="AT241" s="104"/>
      <c r="AU241" s="104"/>
      <c r="AV241" s="104"/>
      <c r="AW241" s="104"/>
      <c r="AX241" s="104"/>
      <c r="AY241" s="104"/>
      <c r="AZ241" s="104"/>
      <c r="BA241" s="104"/>
      <c r="BB241" s="104"/>
      <c r="BC241" s="104"/>
      <c r="BD241" s="104"/>
      <c r="BE241" s="104"/>
      <c r="BF241" s="104"/>
      <c r="BG241" s="104"/>
    </row>
    <row r="242" spans="1:59" ht="15" customHeight="1">
      <c r="A242" s="297"/>
      <c r="B242" s="217"/>
      <c r="C242" s="217"/>
      <c r="D242" s="101"/>
      <c r="E242" s="101"/>
      <c r="F242" s="294"/>
      <c r="G242" s="295"/>
      <c r="H242" s="107" t="str">
        <f>UPPER(G241)&amp;" TOTAL"</f>
        <v>PERSONNEL SERVICES TOTAL</v>
      </c>
      <c r="I242" s="108">
        <f t="shared" ref="I242" si="303">SUBTOTAL(9,I232:I241)</f>
        <v>887225.85</v>
      </c>
      <c r="J242" s="108">
        <f t="shared" ref="J242:P242" si="304">SUBTOTAL(9,J232:J241)</f>
        <v>907928.54999999993</v>
      </c>
      <c r="K242" s="108">
        <f t="shared" ref="K242" si="305">SUBTOTAL(9,K232:K241)</f>
        <v>970050.62000000011</v>
      </c>
      <c r="L242" s="108">
        <f t="shared" ref="L242" si="306">SUBTOTAL(9,L232:L241)</f>
        <v>1020702.3099999999</v>
      </c>
      <c r="M242" s="108">
        <f t="shared" si="304"/>
        <v>1062985</v>
      </c>
      <c r="N242" s="109">
        <f t="shared" ref="N242" si="307">SUBTOTAL(9,N232:N241)</f>
        <v>704458.04999999993</v>
      </c>
      <c r="O242" s="109">
        <f t="shared" si="304"/>
        <v>995717</v>
      </c>
      <c r="P242" s="109">
        <f t="shared" si="304"/>
        <v>-67268</v>
      </c>
      <c r="Q242" s="109">
        <f t="shared" ref="Q242:T242" si="308">SUBTOTAL(9,Q232:Q241)</f>
        <v>1069804</v>
      </c>
      <c r="R242" s="109">
        <f t="shared" si="308"/>
        <v>0</v>
      </c>
      <c r="S242" s="109">
        <f t="shared" si="308"/>
        <v>0</v>
      </c>
      <c r="T242" s="109">
        <f t="shared" si="308"/>
        <v>1069804</v>
      </c>
      <c r="U242" s="99">
        <f t="shared" si="295"/>
        <v>6819</v>
      </c>
      <c r="V242" s="255">
        <f t="shared" si="296"/>
        <v>6.4149541150628764E-3</v>
      </c>
      <c r="W242" s="102"/>
      <c r="X242" s="102"/>
      <c r="Y242" s="102"/>
      <c r="AA242" s="615"/>
      <c r="AC242" s="301"/>
      <c r="AD242" s="301"/>
      <c r="AE242" s="301"/>
      <c r="AF242" s="301"/>
      <c r="AG242" s="301"/>
      <c r="AJ242" s="301"/>
      <c r="AK242" s="301"/>
      <c r="AL242" s="301"/>
      <c r="AM242" s="301"/>
      <c r="AN242" s="301"/>
    </row>
    <row r="243" spans="1:59" ht="15" customHeight="1">
      <c r="A243" s="297"/>
      <c r="B243" s="217"/>
      <c r="C243" s="217"/>
      <c r="D243" s="101"/>
      <c r="E243" s="101"/>
      <c r="F243" s="294"/>
      <c r="G243" s="295"/>
      <c r="H243" s="98"/>
      <c r="I243" s="106"/>
      <c r="J243" s="106"/>
      <c r="K243" s="106"/>
      <c r="L243" s="106"/>
      <c r="M243" s="106"/>
      <c r="N243" s="110"/>
      <c r="O243" s="110"/>
      <c r="P243" s="110"/>
      <c r="Q243" s="111"/>
      <c r="R243" s="99"/>
      <c r="S243" s="99"/>
      <c r="T243" s="111"/>
      <c r="U243" s="111"/>
      <c r="V243" s="111"/>
      <c r="W243" s="102"/>
      <c r="X243" s="102"/>
      <c r="Y243" s="102"/>
      <c r="AA243" s="615"/>
      <c r="AC243" s="92"/>
      <c r="AD243" s="92"/>
      <c r="AE243" s="92"/>
      <c r="AF243" s="92"/>
      <c r="AG243" s="92"/>
      <c r="AJ243" s="92"/>
      <c r="AK243" s="92"/>
      <c r="AL243" s="92"/>
      <c r="AM243" s="92"/>
      <c r="AN243" s="92"/>
      <c r="AO243" s="307"/>
      <c r="AP243" s="307"/>
    </row>
    <row r="244" spans="1:59" ht="15" customHeight="1">
      <c r="A244" s="296"/>
      <c r="B244" s="217"/>
      <c r="C244" s="217">
        <v>10</v>
      </c>
      <c r="D244" s="101"/>
      <c r="E244" s="101"/>
      <c r="F244" s="294" t="s">
        <v>148</v>
      </c>
      <c r="G244" s="295" t="str">
        <f>VLOOKUP(F244,'GL Category'!A:C,3,FALSE)</f>
        <v>Operations &amp; maintenance</v>
      </c>
      <c r="H244" s="98" t="str">
        <f>VLOOKUP(F244,'GL Category'!A:C,2,FALSE)</f>
        <v>OFFICE SUPPLIES</v>
      </c>
      <c r="I244" s="99">
        <f t="shared" ref="I244:O251" si="309">SUMIFS(I$1:I$226,$C$1:$C$226,$C244,$F$1:$F$226,$F244)</f>
        <v>2302.3999999999996</v>
      </c>
      <c r="J244" s="99">
        <f t="shared" si="309"/>
        <v>1662.62</v>
      </c>
      <c r="K244" s="99">
        <f t="shared" si="309"/>
        <v>3144.72</v>
      </c>
      <c r="L244" s="99">
        <f t="shared" si="309"/>
        <v>3149.85</v>
      </c>
      <c r="M244" s="99">
        <f t="shared" si="309"/>
        <v>4050</v>
      </c>
      <c r="N244" s="99">
        <f t="shared" si="309"/>
        <v>1180.58</v>
      </c>
      <c r="O244" s="99">
        <f t="shared" si="309"/>
        <v>2150</v>
      </c>
      <c r="P244" s="99">
        <f t="shared" ref="P244:P251" si="310">O244-M244</f>
        <v>-1900</v>
      </c>
      <c r="Q244" s="99">
        <f t="shared" ref="Q244:T251" si="311">SUMIFS(Q$1:Q$226,$C$1:$C$226,$C244,$F$1:$F$226,$F244)</f>
        <v>4050</v>
      </c>
      <c r="R244" s="99">
        <f t="shared" si="311"/>
        <v>0</v>
      </c>
      <c r="S244" s="99">
        <f t="shared" si="311"/>
        <v>0</v>
      </c>
      <c r="T244" s="99">
        <f t="shared" si="311"/>
        <v>4050</v>
      </c>
      <c r="U244" s="99">
        <f t="shared" ref="U244:U252" si="312">T244-M244</f>
        <v>0</v>
      </c>
      <c r="V244" s="255">
        <f t="shared" ref="V244:V252" si="313">IF(M244=0,"N/A",T244/M244-1)</f>
        <v>0</v>
      </c>
      <c r="W244" s="102"/>
      <c r="X244" s="102"/>
      <c r="Y244" s="102">
        <f t="shared" ref="Y244:Y251" si="314">T244-X244</f>
        <v>4050</v>
      </c>
      <c r="Z244" s="309">
        <f>Y244*(1+VLOOKUP($F244,'GL Category'!$A:$H,4,FALSE))</f>
        <v>4131</v>
      </c>
      <c r="AA244" s="615"/>
      <c r="AB244" s="622">
        <f t="shared" ref="AB244:AB251" si="315">Z244+AA244</f>
        <v>4131</v>
      </c>
      <c r="AC244" s="633">
        <f>AB244*(1+VLOOKUP($F244,'GL Category'!$A:$H,5,FALSE))</f>
        <v>4213.62</v>
      </c>
      <c r="AE244" s="622">
        <f t="shared" ref="AE244:AE251" si="316">AC244+AD244</f>
        <v>4213.62</v>
      </c>
      <c r="AF244" s="633">
        <f>AE244*(1+VLOOKUP($F244,'GL Category'!$A:$H,6,FALSE))</f>
        <v>4297.8923999999997</v>
      </c>
      <c r="AH244" s="622">
        <f t="shared" ref="AH244:AH251" si="317">AF244+AG244</f>
        <v>4297.8923999999997</v>
      </c>
      <c r="AI244" s="633">
        <f>AH244*(1+VLOOKUP($F244,'GL Category'!$A:$H,7,FALSE))</f>
        <v>4383.8502479999997</v>
      </c>
      <c r="AK244" s="622">
        <f t="shared" ref="AK244:AK251" si="318">AI244+AJ244</f>
        <v>4383.8502479999997</v>
      </c>
      <c r="AL244" s="633">
        <f>AK244*(1+VLOOKUP($F244,'GL Category'!$A:$H,8,FALSE))</f>
        <v>4471.5272529599997</v>
      </c>
      <c r="AN244" s="622">
        <f t="shared" ref="AN244:AN251" si="319">AL244+AM244</f>
        <v>4471.5272529599997</v>
      </c>
    </row>
    <row r="245" spans="1:59" s="75" customFormat="1" ht="15" customHeight="1">
      <c r="A245" s="296"/>
      <c r="B245" s="217"/>
      <c r="C245" s="217">
        <v>10</v>
      </c>
      <c r="D245" s="101"/>
      <c r="E245" s="101"/>
      <c r="F245" s="294" t="s">
        <v>159</v>
      </c>
      <c r="G245" s="295" t="str">
        <f>VLOOKUP(F245,'GL Category'!A:C,3,FALSE)</f>
        <v>Operations &amp; maintenance</v>
      </c>
      <c r="H245" s="98" t="str">
        <f>VLOOKUP(F245,'GL Category'!A:C,2,FALSE)</f>
        <v>SMALL TOOLS &amp; EQUIPMENT</v>
      </c>
      <c r="I245" s="99">
        <f t="shared" si="309"/>
        <v>0</v>
      </c>
      <c r="J245" s="99">
        <f t="shared" si="309"/>
        <v>0</v>
      </c>
      <c r="K245" s="99">
        <f t="shared" si="309"/>
        <v>0</v>
      </c>
      <c r="L245" s="99">
        <f t="shared" si="309"/>
        <v>0</v>
      </c>
      <c r="M245" s="99">
        <f t="shared" si="309"/>
        <v>0</v>
      </c>
      <c r="N245" s="99">
        <f t="shared" si="309"/>
        <v>0</v>
      </c>
      <c r="O245" s="99">
        <f t="shared" si="309"/>
        <v>0</v>
      </c>
      <c r="P245" s="99">
        <f t="shared" si="310"/>
        <v>0</v>
      </c>
      <c r="Q245" s="99">
        <f t="shared" si="311"/>
        <v>0</v>
      </c>
      <c r="R245" s="99">
        <f t="shared" si="311"/>
        <v>0</v>
      </c>
      <c r="S245" s="99">
        <f t="shared" si="311"/>
        <v>0</v>
      </c>
      <c r="T245" s="99">
        <f t="shared" si="311"/>
        <v>0</v>
      </c>
      <c r="U245" s="99">
        <f t="shared" si="312"/>
        <v>0</v>
      </c>
      <c r="V245" s="255" t="str">
        <f t="shared" si="313"/>
        <v>N/A</v>
      </c>
      <c r="W245" s="102"/>
      <c r="X245" s="102"/>
      <c r="Y245" s="102">
        <f t="shared" si="314"/>
        <v>0</v>
      </c>
      <c r="Z245" s="309">
        <f>Y245*(1+VLOOKUP($F245,'GL Category'!$A:$H,4,FALSE))</f>
        <v>0</v>
      </c>
      <c r="AA245" s="615"/>
      <c r="AB245" s="622">
        <f t="shared" si="315"/>
        <v>0</v>
      </c>
      <c r="AC245" s="633">
        <f>AB245*(1+VLOOKUP($F245,'GL Category'!$A:$H,5,FALSE))</f>
        <v>0</v>
      </c>
      <c r="AD245" s="307"/>
      <c r="AE245" s="622">
        <f t="shared" si="316"/>
        <v>0</v>
      </c>
      <c r="AF245" s="633">
        <f>AE245*(1+VLOOKUP($F245,'GL Category'!$A:$H,6,FALSE))</f>
        <v>0</v>
      </c>
      <c r="AG245" s="307"/>
      <c r="AH245" s="622">
        <f t="shared" si="317"/>
        <v>0</v>
      </c>
      <c r="AI245" s="633">
        <f>AH245*(1+VLOOKUP($F245,'GL Category'!$A:$H,7,FALSE))</f>
        <v>0</v>
      </c>
      <c r="AJ245" s="307"/>
      <c r="AK245" s="622">
        <f t="shared" si="318"/>
        <v>0</v>
      </c>
      <c r="AL245" s="633">
        <f>AK245*(1+VLOOKUP($F245,'GL Category'!$A:$H,8,FALSE))</f>
        <v>0</v>
      </c>
      <c r="AM245" s="307"/>
      <c r="AN245" s="622">
        <f t="shared" si="319"/>
        <v>0</v>
      </c>
      <c r="AO245" s="192"/>
      <c r="AP245" s="192"/>
      <c r="AQ245" s="192"/>
      <c r="AR245" s="115"/>
      <c r="AS245" s="115"/>
      <c r="AT245" s="115"/>
      <c r="AU245" s="115"/>
      <c r="AV245" s="115"/>
      <c r="AW245" s="115"/>
      <c r="AX245" s="115"/>
      <c r="AY245" s="115"/>
      <c r="AZ245" s="115"/>
      <c r="BA245" s="115"/>
      <c r="BB245" s="115"/>
      <c r="BC245" s="115"/>
      <c r="BD245" s="115"/>
      <c r="BE245" s="74"/>
      <c r="BF245" s="74"/>
      <c r="BG245" s="74"/>
    </row>
    <row r="246" spans="1:59" ht="15" customHeight="1">
      <c r="A246" s="296"/>
      <c r="B246" s="217"/>
      <c r="C246" s="217">
        <v>10</v>
      </c>
      <c r="D246" s="101"/>
      <c r="E246" s="101"/>
      <c r="F246" s="294" t="s">
        <v>162</v>
      </c>
      <c r="G246" s="295" t="str">
        <f>VLOOKUP(F246,'GL Category'!A:C,3,FALSE)</f>
        <v>Operations &amp; maintenance</v>
      </c>
      <c r="H246" s="98" t="str">
        <f>VLOOKUP(F246,'GL Category'!A:C,2,FALSE)</f>
        <v>MEETING SPONSORSHIP/SUPPLIES</v>
      </c>
      <c r="I246" s="99">
        <f t="shared" si="309"/>
        <v>1653.95</v>
      </c>
      <c r="J246" s="99">
        <f t="shared" si="309"/>
        <v>2110</v>
      </c>
      <c r="K246" s="99">
        <f t="shared" si="309"/>
        <v>4938.3900000000003</v>
      </c>
      <c r="L246" s="99">
        <f t="shared" si="309"/>
        <v>6399.61</v>
      </c>
      <c r="M246" s="99">
        <f t="shared" si="309"/>
        <v>5200</v>
      </c>
      <c r="N246" s="99">
        <f t="shared" si="309"/>
        <v>3667</v>
      </c>
      <c r="O246" s="99">
        <f t="shared" si="309"/>
        <v>5200</v>
      </c>
      <c r="P246" s="99">
        <f t="shared" si="310"/>
        <v>0</v>
      </c>
      <c r="Q246" s="99">
        <f t="shared" si="311"/>
        <v>5200</v>
      </c>
      <c r="R246" s="99">
        <f t="shared" si="311"/>
        <v>0</v>
      </c>
      <c r="S246" s="99">
        <f t="shared" si="311"/>
        <v>0</v>
      </c>
      <c r="T246" s="99">
        <f t="shared" si="311"/>
        <v>5200</v>
      </c>
      <c r="U246" s="99">
        <f t="shared" si="312"/>
        <v>0</v>
      </c>
      <c r="V246" s="255">
        <f t="shared" si="313"/>
        <v>0</v>
      </c>
      <c r="W246" s="102"/>
      <c r="X246" s="102"/>
      <c r="Y246" s="102">
        <f t="shared" si="314"/>
        <v>5200</v>
      </c>
      <c r="Z246" s="309">
        <f>Y246*(1+VLOOKUP($F246,'GL Category'!$A:$H,4,FALSE))</f>
        <v>5304</v>
      </c>
      <c r="AA246" s="615"/>
      <c r="AB246" s="622">
        <f t="shared" si="315"/>
        <v>5304</v>
      </c>
      <c r="AC246" s="633">
        <f>AB246*(1+VLOOKUP($F246,'GL Category'!$A:$H,5,FALSE))</f>
        <v>5410.08</v>
      </c>
      <c r="AE246" s="622">
        <f t="shared" si="316"/>
        <v>5410.08</v>
      </c>
      <c r="AF246" s="633">
        <f>AE246*(1+VLOOKUP($F246,'GL Category'!$A:$H,6,FALSE))</f>
        <v>5518.2816000000003</v>
      </c>
      <c r="AH246" s="622">
        <f t="shared" si="317"/>
        <v>5518.2816000000003</v>
      </c>
      <c r="AI246" s="633">
        <f>AH246*(1+VLOOKUP($F246,'GL Category'!$A:$H,7,FALSE))</f>
        <v>5628.6472320000003</v>
      </c>
      <c r="AK246" s="622">
        <f t="shared" si="318"/>
        <v>5628.6472320000003</v>
      </c>
      <c r="AL246" s="633">
        <f>AK246*(1+VLOOKUP($F246,'GL Category'!$A:$H,8,FALSE))</f>
        <v>5741.2201766400003</v>
      </c>
      <c r="AN246" s="622">
        <f t="shared" si="319"/>
        <v>5741.2201766400003</v>
      </c>
    </row>
    <row r="247" spans="1:59" ht="15" customHeight="1">
      <c r="A247" s="296"/>
      <c r="B247" s="217"/>
      <c r="C247" s="217">
        <v>10</v>
      </c>
      <c r="D247" s="101"/>
      <c r="E247" s="101"/>
      <c r="F247" s="294" t="s">
        <v>228</v>
      </c>
      <c r="G247" s="295" t="str">
        <f>VLOOKUP(F247,'GL Category'!A:C,3,FALSE)</f>
        <v>Operations &amp; maintenance</v>
      </c>
      <c r="H247" s="98" t="str">
        <f>VLOOKUP(F247,'GL Category'!A:C,2,FALSE)</f>
        <v>ART PROGRAM EXPENSES</v>
      </c>
      <c r="I247" s="99">
        <f t="shared" si="309"/>
        <v>25314.69</v>
      </c>
      <c r="J247" s="99">
        <f t="shared" si="309"/>
        <v>4485.07</v>
      </c>
      <c r="K247" s="99">
        <f t="shared" si="309"/>
        <v>14088.4</v>
      </c>
      <c r="L247" s="99">
        <f t="shared" si="309"/>
        <v>20117.96</v>
      </c>
      <c r="M247" s="99">
        <f t="shared" si="309"/>
        <v>17950</v>
      </c>
      <c r="N247" s="99">
        <f t="shared" si="309"/>
        <v>15681.2</v>
      </c>
      <c r="O247" s="99">
        <f t="shared" si="309"/>
        <v>17000</v>
      </c>
      <c r="P247" s="99">
        <f t="shared" si="310"/>
        <v>-950</v>
      </c>
      <c r="Q247" s="99">
        <f t="shared" si="311"/>
        <v>17950</v>
      </c>
      <c r="R247" s="99">
        <f t="shared" si="311"/>
        <v>1050</v>
      </c>
      <c r="S247" s="99">
        <f t="shared" si="311"/>
        <v>0</v>
      </c>
      <c r="T247" s="99">
        <f t="shared" si="311"/>
        <v>19000</v>
      </c>
      <c r="U247" s="99">
        <f t="shared" si="312"/>
        <v>1050</v>
      </c>
      <c r="V247" s="255">
        <f t="shared" si="313"/>
        <v>5.8495821727019504E-2</v>
      </c>
      <c r="W247" s="102"/>
      <c r="X247" s="102"/>
      <c r="Y247" s="102">
        <f t="shared" si="314"/>
        <v>19000</v>
      </c>
      <c r="Z247" s="309">
        <f>Y247*(1+VLOOKUP($F247,'GL Category'!$A:$H,4,FALSE))</f>
        <v>19380</v>
      </c>
      <c r="AA247" s="615"/>
      <c r="AB247" s="622">
        <f t="shared" si="315"/>
        <v>19380</v>
      </c>
      <c r="AC247" s="633">
        <f>AB247*(1+VLOOKUP($F247,'GL Category'!$A:$H,5,FALSE))</f>
        <v>19767.599999999999</v>
      </c>
      <c r="AE247" s="622">
        <f t="shared" si="316"/>
        <v>19767.599999999999</v>
      </c>
      <c r="AF247" s="633">
        <f>AE247*(1+VLOOKUP($F247,'GL Category'!$A:$H,6,FALSE))</f>
        <v>20162.951999999997</v>
      </c>
      <c r="AH247" s="622">
        <f t="shared" si="317"/>
        <v>20162.951999999997</v>
      </c>
      <c r="AI247" s="633">
        <f>AH247*(1+VLOOKUP($F247,'GL Category'!$A:$H,7,FALSE))</f>
        <v>20566.211039999998</v>
      </c>
      <c r="AK247" s="622">
        <f t="shared" si="318"/>
        <v>20566.211039999998</v>
      </c>
      <c r="AL247" s="633">
        <f>AK247*(1+VLOOKUP($F247,'GL Category'!$A:$H,8,FALSE))</f>
        <v>20977.535260799999</v>
      </c>
      <c r="AN247" s="622">
        <f t="shared" si="319"/>
        <v>20977.535260799999</v>
      </c>
    </row>
    <row r="248" spans="1:59" ht="15" customHeight="1">
      <c r="A248" s="296"/>
      <c r="B248" s="217"/>
      <c r="C248" s="217">
        <v>10</v>
      </c>
      <c r="D248" s="101"/>
      <c r="E248" s="101"/>
      <c r="F248" s="294" t="s">
        <v>164</v>
      </c>
      <c r="G248" s="295" t="str">
        <f>VLOOKUP(F248,'GL Category'!A:C,3,FALSE)</f>
        <v>Operations &amp; maintenance</v>
      </c>
      <c r="H248" s="98" t="str">
        <f>VLOOKUP(F248,'GL Category'!A:C,2,FALSE)</f>
        <v>BUILDING MATERIALS &amp; SUPPLIES</v>
      </c>
      <c r="I248" s="99">
        <f t="shared" si="309"/>
        <v>0</v>
      </c>
      <c r="J248" s="99">
        <f t="shared" si="309"/>
        <v>0</v>
      </c>
      <c r="K248" s="99">
        <f t="shared" si="309"/>
        <v>0</v>
      </c>
      <c r="L248" s="99">
        <f t="shared" si="309"/>
        <v>0</v>
      </c>
      <c r="M248" s="99">
        <f t="shared" si="309"/>
        <v>0</v>
      </c>
      <c r="N248" s="99">
        <f t="shared" si="309"/>
        <v>0</v>
      </c>
      <c r="O248" s="99">
        <f t="shared" si="309"/>
        <v>0</v>
      </c>
      <c r="P248" s="99">
        <f t="shared" si="310"/>
        <v>0</v>
      </c>
      <c r="Q248" s="99">
        <f t="shared" si="311"/>
        <v>0</v>
      </c>
      <c r="R248" s="99">
        <f t="shared" si="311"/>
        <v>0</v>
      </c>
      <c r="S248" s="99">
        <f t="shared" si="311"/>
        <v>0</v>
      </c>
      <c r="T248" s="99">
        <f t="shared" si="311"/>
        <v>0</v>
      </c>
      <c r="U248" s="99">
        <f t="shared" si="312"/>
        <v>0</v>
      </c>
      <c r="V248" s="255" t="str">
        <f t="shared" si="313"/>
        <v>N/A</v>
      </c>
      <c r="W248" s="102"/>
      <c r="X248" s="102"/>
      <c r="Y248" s="102">
        <f t="shared" si="314"/>
        <v>0</v>
      </c>
      <c r="Z248" s="309">
        <f>Y248*(1+VLOOKUP($F248,'GL Category'!$A:$H,4,FALSE))</f>
        <v>0</v>
      </c>
      <c r="AA248" s="615"/>
      <c r="AB248" s="622">
        <f t="shared" si="315"/>
        <v>0</v>
      </c>
      <c r="AC248" s="633">
        <f>AB248*(1+VLOOKUP($F248,'GL Category'!$A:$H,5,FALSE))</f>
        <v>0</v>
      </c>
      <c r="AE248" s="622">
        <f t="shared" si="316"/>
        <v>0</v>
      </c>
      <c r="AF248" s="633">
        <f>AE248*(1+VLOOKUP($F248,'GL Category'!$A:$H,6,FALSE))</f>
        <v>0</v>
      </c>
      <c r="AH248" s="622">
        <f t="shared" si="317"/>
        <v>0</v>
      </c>
      <c r="AI248" s="633">
        <f>AH248*(1+VLOOKUP($F248,'GL Category'!$A:$H,7,FALSE))</f>
        <v>0</v>
      </c>
      <c r="AK248" s="622">
        <f t="shared" si="318"/>
        <v>0</v>
      </c>
      <c r="AL248" s="633">
        <f>AK248*(1+VLOOKUP($F248,'GL Category'!$A:$H,8,FALSE))</f>
        <v>0</v>
      </c>
      <c r="AN248" s="622">
        <f t="shared" si="319"/>
        <v>0</v>
      </c>
    </row>
    <row r="249" spans="1:59" ht="15" customHeight="1">
      <c r="A249" s="296"/>
      <c r="B249" s="217"/>
      <c r="C249" s="217">
        <v>10</v>
      </c>
      <c r="D249" s="101"/>
      <c r="E249" s="101"/>
      <c r="F249" s="294" t="s">
        <v>166</v>
      </c>
      <c r="G249" s="295" t="str">
        <f>VLOOKUP(F249,'GL Category'!A:C,3,FALSE)</f>
        <v>Operations &amp; maintenance</v>
      </c>
      <c r="H249" s="98" t="str">
        <f>VLOOKUP(F249,'GL Category'!A:C,2,FALSE)</f>
        <v>WEARING APPAREL</v>
      </c>
      <c r="I249" s="99">
        <f t="shared" si="309"/>
        <v>598.97</v>
      </c>
      <c r="J249" s="99">
        <f t="shared" si="309"/>
        <v>255.83</v>
      </c>
      <c r="K249" s="99">
        <f t="shared" si="309"/>
        <v>322.63</v>
      </c>
      <c r="L249" s="99">
        <f t="shared" si="309"/>
        <v>345.58</v>
      </c>
      <c r="M249" s="99">
        <f t="shared" si="309"/>
        <v>850</v>
      </c>
      <c r="N249" s="99">
        <f t="shared" si="309"/>
        <v>86.4</v>
      </c>
      <c r="O249" s="99">
        <f t="shared" si="309"/>
        <v>300</v>
      </c>
      <c r="P249" s="99">
        <f t="shared" si="310"/>
        <v>-550</v>
      </c>
      <c r="Q249" s="99">
        <f t="shared" si="311"/>
        <v>850</v>
      </c>
      <c r="R249" s="99">
        <f t="shared" si="311"/>
        <v>0</v>
      </c>
      <c r="S249" s="99">
        <f t="shared" si="311"/>
        <v>0</v>
      </c>
      <c r="T249" s="99">
        <f t="shared" si="311"/>
        <v>850</v>
      </c>
      <c r="U249" s="99">
        <f t="shared" si="312"/>
        <v>0</v>
      </c>
      <c r="V249" s="255">
        <f t="shared" si="313"/>
        <v>0</v>
      </c>
      <c r="W249" s="102"/>
      <c r="X249" s="102"/>
      <c r="Y249" s="102">
        <f t="shared" si="314"/>
        <v>850</v>
      </c>
      <c r="Z249" s="309">
        <f>Y249*(1+VLOOKUP($F249,'GL Category'!$A:$H,4,FALSE))</f>
        <v>867</v>
      </c>
      <c r="AA249" s="615"/>
      <c r="AB249" s="622">
        <f t="shared" si="315"/>
        <v>867</v>
      </c>
      <c r="AC249" s="633">
        <f>AB249*(1+VLOOKUP($F249,'GL Category'!$A:$H,5,FALSE))</f>
        <v>884.34</v>
      </c>
      <c r="AE249" s="622">
        <f t="shared" si="316"/>
        <v>884.34</v>
      </c>
      <c r="AF249" s="633">
        <f>AE249*(1+VLOOKUP($F249,'GL Category'!$A:$H,6,FALSE))</f>
        <v>902.02680000000009</v>
      </c>
      <c r="AH249" s="622">
        <f t="shared" si="317"/>
        <v>902.02680000000009</v>
      </c>
      <c r="AI249" s="633">
        <f>AH249*(1+VLOOKUP($F249,'GL Category'!$A:$H,7,FALSE))</f>
        <v>920.06733600000007</v>
      </c>
      <c r="AK249" s="622">
        <f t="shared" si="318"/>
        <v>920.06733600000007</v>
      </c>
      <c r="AL249" s="633">
        <f>AK249*(1+VLOOKUP($F249,'GL Category'!$A:$H,8,FALSE))</f>
        <v>938.46868272000006</v>
      </c>
      <c r="AN249" s="622">
        <f t="shared" si="319"/>
        <v>938.46868272000006</v>
      </c>
    </row>
    <row r="250" spans="1:59" ht="15" customHeight="1">
      <c r="A250" s="296"/>
      <c r="B250" s="217"/>
      <c r="C250" s="217">
        <v>10</v>
      </c>
      <c r="D250" s="101"/>
      <c r="E250" s="101"/>
      <c r="F250" s="294" t="s">
        <v>168</v>
      </c>
      <c r="G250" s="295" t="str">
        <f>VLOOKUP(F250,'GL Category'!A:C,3,FALSE)</f>
        <v>Operations &amp; maintenance</v>
      </c>
      <c r="H250" s="98" t="str">
        <f>VLOOKUP(F250,'GL Category'!A:C,2,FALSE)</f>
        <v>MISCELLANEOUS SUPPLIES</v>
      </c>
      <c r="I250" s="99">
        <f t="shared" si="309"/>
        <v>0</v>
      </c>
      <c r="J250" s="99">
        <f t="shared" si="309"/>
        <v>70</v>
      </c>
      <c r="K250" s="99">
        <f t="shared" si="309"/>
        <v>0</v>
      </c>
      <c r="L250" s="99">
        <f t="shared" si="309"/>
        <v>0</v>
      </c>
      <c r="M250" s="99">
        <f t="shared" si="309"/>
        <v>0</v>
      </c>
      <c r="N250" s="99">
        <f t="shared" si="309"/>
        <v>0</v>
      </c>
      <c r="O250" s="99">
        <f t="shared" si="309"/>
        <v>0</v>
      </c>
      <c r="P250" s="99">
        <f t="shared" ref="P250" si="320">O250-M250</f>
        <v>0</v>
      </c>
      <c r="Q250" s="99">
        <f t="shared" si="311"/>
        <v>0</v>
      </c>
      <c r="R250" s="99">
        <f t="shared" si="311"/>
        <v>0</v>
      </c>
      <c r="S250" s="99">
        <f t="shared" si="311"/>
        <v>0</v>
      </c>
      <c r="T250" s="99">
        <f t="shared" si="311"/>
        <v>0</v>
      </c>
      <c r="U250" s="99">
        <f t="shared" si="312"/>
        <v>0</v>
      </c>
      <c r="V250" s="255" t="str">
        <f t="shared" si="313"/>
        <v>N/A</v>
      </c>
      <c r="W250" s="102"/>
      <c r="X250" s="102"/>
      <c r="Y250" s="102">
        <f t="shared" si="314"/>
        <v>0</v>
      </c>
      <c r="Z250" s="309">
        <f>Y250*(1+VLOOKUP($F250,'GL Category'!$A:$H,4,FALSE))</f>
        <v>0</v>
      </c>
      <c r="AA250" s="615"/>
      <c r="AB250" s="622">
        <f t="shared" si="315"/>
        <v>0</v>
      </c>
      <c r="AC250" s="633">
        <f>AB250*(1+VLOOKUP($F250,'GL Category'!$A:$H,5,FALSE))</f>
        <v>0</v>
      </c>
      <c r="AE250" s="622">
        <f t="shared" si="316"/>
        <v>0</v>
      </c>
      <c r="AF250" s="633">
        <f>AE250*(1+VLOOKUP($F250,'GL Category'!$A:$H,6,FALSE))</f>
        <v>0</v>
      </c>
      <c r="AH250" s="622">
        <f t="shared" si="317"/>
        <v>0</v>
      </c>
      <c r="AI250" s="633">
        <f>AH250*(1+VLOOKUP($F250,'GL Category'!$A:$H,7,FALSE))</f>
        <v>0</v>
      </c>
      <c r="AK250" s="622">
        <f t="shared" si="318"/>
        <v>0</v>
      </c>
      <c r="AL250" s="633">
        <f>AK250*(1+VLOOKUP($F250,'GL Category'!$A:$H,8,FALSE))</f>
        <v>0</v>
      </c>
      <c r="AN250" s="622">
        <f t="shared" si="319"/>
        <v>0</v>
      </c>
    </row>
    <row r="251" spans="1:59" ht="15" customHeight="1">
      <c r="A251" s="296"/>
      <c r="B251" s="217"/>
      <c r="C251" s="217">
        <v>10</v>
      </c>
      <c r="D251" s="101"/>
      <c r="E251" s="101"/>
      <c r="F251" s="294" t="s">
        <v>178</v>
      </c>
      <c r="G251" s="295" t="str">
        <f>VLOOKUP(F251,'GL Category'!A:C,3,FALSE)</f>
        <v>Operations &amp; maintenance</v>
      </c>
      <c r="H251" s="98" t="str">
        <f>VLOOKUP(F251,'GL Category'!A:C,2,FALSE)</f>
        <v>SOFTWARE LICENSE &amp; MAINTENANCE</v>
      </c>
      <c r="I251" s="99">
        <f t="shared" si="309"/>
        <v>0</v>
      </c>
      <c r="J251" s="99">
        <f t="shared" si="309"/>
        <v>0</v>
      </c>
      <c r="K251" s="99">
        <f t="shared" si="309"/>
        <v>0</v>
      </c>
      <c r="L251" s="99">
        <f t="shared" si="309"/>
        <v>0</v>
      </c>
      <c r="M251" s="99">
        <f t="shared" si="309"/>
        <v>0</v>
      </c>
      <c r="N251" s="99">
        <f t="shared" si="309"/>
        <v>0</v>
      </c>
      <c r="O251" s="99">
        <f t="shared" si="309"/>
        <v>0</v>
      </c>
      <c r="P251" s="99">
        <f t="shared" si="310"/>
        <v>0</v>
      </c>
      <c r="Q251" s="99">
        <f t="shared" si="311"/>
        <v>0</v>
      </c>
      <c r="R251" s="99">
        <f t="shared" si="311"/>
        <v>0</v>
      </c>
      <c r="S251" s="99">
        <f t="shared" si="311"/>
        <v>0</v>
      </c>
      <c r="T251" s="99">
        <f t="shared" si="311"/>
        <v>0</v>
      </c>
      <c r="U251" s="99">
        <f t="shared" si="312"/>
        <v>0</v>
      </c>
      <c r="V251" s="255" t="str">
        <f t="shared" si="313"/>
        <v>N/A</v>
      </c>
      <c r="W251" s="102"/>
      <c r="X251" s="102"/>
      <c r="Y251" s="102">
        <f t="shared" si="314"/>
        <v>0</v>
      </c>
      <c r="Z251" s="309">
        <f>Y251*(1+VLOOKUP($F251,'GL Category'!$A:$H,4,FALSE))</f>
        <v>0</v>
      </c>
      <c r="AA251" s="615"/>
      <c r="AB251" s="622">
        <f t="shared" si="315"/>
        <v>0</v>
      </c>
      <c r="AC251" s="633">
        <f>AB251*(1+VLOOKUP($F251,'GL Category'!$A:$H,5,FALSE))</f>
        <v>0</v>
      </c>
      <c r="AE251" s="622">
        <f t="shared" si="316"/>
        <v>0</v>
      </c>
      <c r="AF251" s="633">
        <f>AE251*(1+VLOOKUP($F251,'GL Category'!$A:$H,6,FALSE))</f>
        <v>0</v>
      </c>
      <c r="AH251" s="622">
        <f t="shared" si="317"/>
        <v>0</v>
      </c>
      <c r="AI251" s="633">
        <f>AH251*(1+VLOOKUP($F251,'GL Category'!$A:$H,7,FALSE))</f>
        <v>0</v>
      </c>
      <c r="AK251" s="622">
        <f t="shared" si="318"/>
        <v>0</v>
      </c>
      <c r="AL251" s="633">
        <f>AK251*(1+VLOOKUP($F251,'GL Category'!$A:$H,8,FALSE))</f>
        <v>0</v>
      </c>
      <c r="AN251" s="622">
        <f t="shared" si="319"/>
        <v>0</v>
      </c>
    </row>
    <row r="252" spans="1:59" ht="30" customHeight="1">
      <c r="A252" s="297"/>
      <c r="B252" s="217"/>
      <c r="C252" s="217"/>
      <c r="D252" s="101"/>
      <c r="E252" s="101"/>
      <c r="F252" s="294"/>
      <c r="G252" s="295"/>
      <c r="H252" s="107" t="str">
        <f>UPPER(G251)&amp;" TOTAL"</f>
        <v>OPERATIONS &amp; MAINTENANCE TOTAL</v>
      </c>
      <c r="I252" s="108">
        <f t="shared" ref="I252:T252" si="321">SUBTOTAL(9,I244:I251)</f>
        <v>29870.01</v>
      </c>
      <c r="J252" s="108">
        <f t="shared" si="321"/>
        <v>8583.5199999999986</v>
      </c>
      <c r="K252" s="108">
        <f t="shared" si="321"/>
        <v>22494.140000000003</v>
      </c>
      <c r="L252" s="108">
        <f t="shared" si="321"/>
        <v>30013</v>
      </c>
      <c r="M252" s="108">
        <f t="shared" si="321"/>
        <v>28050</v>
      </c>
      <c r="N252" s="108">
        <f t="shared" si="321"/>
        <v>20615.18</v>
      </c>
      <c r="O252" s="108">
        <f t="shared" si="321"/>
        <v>24650</v>
      </c>
      <c r="P252" s="108">
        <f t="shared" si="321"/>
        <v>-3400</v>
      </c>
      <c r="Q252" s="108">
        <f t="shared" si="321"/>
        <v>28050</v>
      </c>
      <c r="R252" s="108">
        <f t="shared" si="321"/>
        <v>1050</v>
      </c>
      <c r="S252" s="108">
        <f t="shared" si="321"/>
        <v>0</v>
      </c>
      <c r="T252" s="108">
        <f t="shared" si="321"/>
        <v>29100</v>
      </c>
      <c r="U252" s="99">
        <f t="shared" si="312"/>
        <v>1050</v>
      </c>
      <c r="V252" s="255">
        <f t="shared" si="313"/>
        <v>3.7433155080213831E-2</v>
      </c>
      <c r="W252" s="102"/>
      <c r="X252" s="102"/>
      <c r="Y252" s="102"/>
      <c r="AA252" s="615"/>
      <c r="AC252" s="94"/>
      <c r="AD252" s="94"/>
      <c r="AE252" s="94"/>
      <c r="AF252" s="94"/>
      <c r="AG252" s="94"/>
      <c r="AJ252" s="94"/>
      <c r="AK252" s="94"/>
      <c r="AL252" s="94"/>
      <c r="AM252" s="94"/>
      <c r="AN252" s="94"/>
    </row>
    <row r="253" spans="1:59" s="105" customFormat="1" ht="15" customHeight="1">
      <c r="A253" s="297"/>
      <c r="B253" s="217"/>
      <c r="C253" s="217"/>
      <c r="D253" s="101"/>
      <c r="E253" s="101"/>
      <c r="F253" s="294"/>
      <c r="G253" s="295"/>
      <c r="H253" s="98"/>
      <c r="I253" s="106"/>
      <c r="J253" s="106"/>
      <c r="K253" s="106"/>
      <c r="L253" s="106"/>
      <c r="M253" s="106"/>
      <c r="N253" s="110"/>
      <c r="O253" s="110"/>
      <c r="P253" s="110"/>
      <c r="Q253" s="111"/>
      <c r="R253" s="99"/>
      <c r="S253" s="99"/>
      <c r="T253" s="111"/>
      <c r="U253" s="111"/>
      <c r="V253" s="111"/>
      <c r="W253" s="102"/>
      <c r="X253" s="102"/>
      <c r="Y253" s="102"/>
      <c r="Z253" s="95"/>
      <c r="AA253" s="615"/>
      <c r="AB253" s="627"/>
      <c r="AC253" s="112"/>
      <c r="AD253" s="112"/>
      <c r="AE253" s="112"/>
      <c r="AF253" s="112"/>
      <c r="AG253" s="112"/>
      <c r="AH253" s="627"/>
      <c r="AI253" s="627"/>
      <c r="AJ253" s="112"/>
      <c r="AK253" s="112"/>
      <c r="AL253" s="112"/>
      <c r="AM253" s="112"/>
      <c r="AN253" s="112"/>
      <c r="AO253" s="196"/>
      <c r="AP253" s="196"/>
      <c r="AQ253" s="196"/>
      <c r="AR253" s="104"/>
      <c r="AS253" s="104"/>
      <c r="AT253" s="104"/>
      <c r="AU253" s="104"/>
      <c r="AV253" s="104"/>
      <c r="AW253" s="104"/>
      <c r="AX253" s="104"/>
      <c r="AY253" s="104"/>
      <c r="AZ253" s="104"/>
      <c r="BA253" s="104"/>
      <c r="BB253" s="104"/>
      <c r="BC253" s="104"/>
      <c r="BD253" s="104"/>
      <c r="BE253" s="104"/>
      <c r="BF253" s="104"/>
      <c r="BG253" s="104"/>
    </row>
    <row r="254" spans="1:59" s="105" customFormat="1" ht="15" customHeight="1">
      <c r="A254" s="296"/>
      <c r="B254" s="217"/>
      <c r="C254" s="217">
        <v>10</v>
      </c>
      <c r="D254" s="101"/>
      <c r="E254" s="101"/>
      <c r="F254" s="294" t="s">
        <v>182</v>
      </c>
      <c r="G254" s="295" t="str">
        <f>VLOOKUP(F254,'GL Category'!A:C,3,FALSE)</f>
        <v>Services &amp; other</v>
      </c>
      <c r="H254" s="98" t="str">
        <f>VLOOKUP(F254,'GL Category'!A:C,2,FALSE)</f>
        <v>ELECTION SERVICES</v>
      </c>
      <c r="I254" s="99">
        <f t="shared" ref="I254:O268" si="322">SUMIFS(I$1:I$226,$C$1:$C$226,$C254,$F$1:$F$226,$F254)</f>
        <v>825.05</v>
      </c>
      <c r="J254" s="99">
        <f t="shared" si="322"/>
        <v>12235.07</v>
      </c>
      <c r="K254" s="99">
        <f t="shared" si="322"/>
        <v>11225.04</v>
      </c>
      <c r="L254" s="99">
        <f t="shared" si="322"/>
        <v>10794.48</v>
      </c>
      <c r="M254" s="99">
        <f t="shared" si="322"/>
        <v>42000</v>
      </c>
      <c r="N254" s="99">
        <f t="shared" si="322"/>
        <v>33235.42</v>
      </c>
      <c r="O254" s="99">
        <f t="shared" si="322"/>
        <v>58235</v>
      </c>
      <c r="P254" s="99">
        <f t="shared" ref="P254:P268" si="323">O254-M254</f>
        <v>16235</v>
      </c>
      <c r="Q254" s="99">
        <f t="shared" ref="Q254:T268" si="324">SUMIFS(Q$1:Q$226,$C$1:$C$226,$C254,$F$1:$F$226,$F254)</f>
        <v>30000</v>
      </c>
      <c r="R254" s="99">
        <f t="shared" si="324"/>
        <v>0</v>
      </c>
      <c r="S254" s="99">
        <f t="shared" si="324"/>
        <v>0</v>
      </c>
      <c r="T254" s="99">
        <f t="shared" si="324"/>
        <v>30000</v>
      </c>
      <c r="U254" s="99">
        <f t="shared" ref="U254:U269" si="325">T254-M254</f>
        <v>-12000</v>
      </c>
      <c r="V254" s="255">
        <f t="shared" ref="V254:V269" si="326">IF(M254=0,"N/A",T254/M254-1)</f>
        <v>-0.2857142857142857</v>
      </c>
      <c r="W254" s="102"/>
      <c r="X254" s="102"/>
      <c r="Y254" s="102">
        <f t="shared" ref="Y254:Y268" si="327">T254-X254</f>
        <v>30000</v>
      </c>
      <c r="Z254" s="309">
        <f>Y254*(1+VLOOKUP($F254,'GL Category'!$A:$H,4,FALSE))</f>
        <v>30900</v>
      </c>
      <c r="AA254" s="615"/>
      <c r="AB254" s="622">
        <f t="shared" ref="AB254:AB268" si="328">Z254+AA254</f>
        <v>30900</v>
      </c>
      <c r="AC254" s="633">
        <f>AB254*(1+VLOOKUP($F254,'GL Category'!$A:$H,5,FALSE))</f>
        <v>31827</v>
      </c>
      <c r="AD254" s="307"/>
      <c r="AE254" s="622">
        <f t="shared" ref="AE254:AE268" si="329">AC254+AD254</f>
        <v>31827</v>
      </c>
      <c r="AF254" s="633">
        <f>AE254*(1+VLOOKUP($F254,'GL Category'!$A:$H,6,FALSE))</f>
        <v>32781.81</v>
      </c>
      <c r="AG254" s="307"/>
      <c r="AH254" s="622">
        <f t="shared" ref="AH254:AH268" si="330">AF254+AG254</f>
        <v>32781.81</v>
      </c>
      <c r="AI254" s="633">
        <f>AH254*(1+VLOOKUP($F254,'GL Category'!$A:$H,7,FALSE))</f>
        <v>33765.264299999995</v>
      </c>
      <c r="AJ254" s="307"/>
      <c r="AK254" s="622">
        <f t="shared" ref="AK254:AK268" si="331">AI254+AJ254</f>
        <v>33765.264299999995</v>
      </c>
      <c r="AL254" s="633">
        <f>AK254*(1+VLOOKUP($F254,'GL Category'!$A:$H,8,FALSE))</f>
        <v>34778.222228999999</v>
      </c>
      <c r="AM254" s="307"/>
      <c r="AN254" s="622">
        <f t="shared" ref="AN254:AN268" si="332">AL254+AM254</f>
        <v>34778.222228999999</v>
      </c>
      <c r="AO254" s="196"/>
      <c r="AP254" s="196"/>
      <c r="AQ254" s="196"/>
      <c r="AR254" s="104"/>
      <c r="AS254" s="104"/>
      <c r="AT254" s="104"/>
      <c r="AU254" s="104"/>
      <c r="AV254" s="104"/>
      <c r="AW254" s="104"/>
      <c r="AX254" s="104"/>
      <c r="AY254" s="104"/>
      <c r="AZ254" s="104"/>
      <c r="BA254" s="104"/>
      <c r="BB254" s="104"/>
      <c r="BC254" s="104"/>
      <c r="BD254" s="104"/>
      <c r="BE254" s="104"/>
      <c r="BF254" s="104"/>
      <c r="BG254" s="104"/>
    </row>
    <row r="255" spans="1:59" s="105" customFormat="1" ht="15" customHeight="1">
      <c r="A255" s="296"/>
      <c r="B255" s="217"/>
      <c r="C255" s="217">
        <v>10</v>
      </c>
      <c r="D255" s="101"/>
      <c r="E255" s="101"/>
      <c r="F255" s="294" t="s">
        <v>184</v>
      </c>
      <c r="G255" s="295" t="str">
        <f>VLOOKUP(F255,'GL Category'!A:C,3,FALSE)</f>
        <v>Services &amp; other</v>
      </c>
      <c r="H255" s="98" t="str">
        <f>VLOOKUP(F255,'GL Category'!A:C,2,FALSE)</f>
        <v>PUBLIC EDUCATION SERVICES</v>
      </c>
      <c r="I255" s="99">
        <f t="shared" si="322"/>
        <v>0</v>
      </c>
      <c r="J255" s="99">
        <f t="shared" si="322"/>
        <v>2643.05</v>
      </c>
      <c r="K255" s="99">
        <f t="shared" si="322"/>
        <v>9209.3700000000008</v>
      </c>
      <c r="L255" s="99">
        <f t="shared" si="322"/>
        <v>11430.05</v>
      </c>
      <c r="M255" s="99">
        <f t="shared" si="322"/>
        <v>15500</v>
      </c>
      <c r="N255" s="99">
        <f t="shared" si="322"/>
        <v>10234</v>
      </c>
      <c r="O255" s="99">
        <f t="shared" si="322"/>
        <v>15500</v>
      </c>
      <c r="P255" s="99">
        <f t="shared" si="323"/>
        <v>0</v>
      </c>
      <c r="Q255" s="99">
        <f t="shared" si="324"/>
        <v>15500</v>
      </c>
      <c r="R255" s="99">
        <f t="shared" si="324"/>
        <v>0</v>
      </c>
      <c r="S255" s="99">
        <f t="shared" si="324"/>
        <v>0</v>
      </c>
      <c r="T255" s="99">
        <f t="shared" si="324"/>
        <v>15500</v>
      </c>
      <c r="U255" s="99">
        <f t="shared" si="325"/>
        <v>0</v>
      </c>
      <c r="V255" s="255">
        <f t="shared" si="326"/>
        <v>0</v>
      </c>
      <c r="W255" s="102"/>
      <c r="X255" s="102"/>
      <c r="Y255" s="102">
        <f t="shared" si="327"/>
        <v>15500</v>
      </c>
      <c r="Z255" s="309">
        <f>Y255*(1+VLOOKUP($F255,'GL Category'!$A:$H,4,FALSE))</f>
        <v>15965</v>
      </c>
      <c r="AA255" s="615"/>
      <c r="AB255" s="622">
        <f t="shared" si="328"/>
        <v>15965</v>
      </c>
      <c r="AC255" s="633">
        <f>AB255*(1+VLOOKUP($F255,'GL Category'!$A:$H,5,FALSE))</f>
        <v>16443.95</v>
      </c>
      <c r="AD255" s="307"/>
      <c r="AE255" s="622">
        <f t="shared" si="329"/>
        <v>16443.95</v>
      </c>
      <c r="AF255" s="633">
        <f>AE255*(1+VLOOKUP($F255,'GL Category'!$A:$H,6,FALSE))</f>
        <v>16937.268500000002</v>
      </c>
      <c r="AG255" s="307"/>
      <c r="AH255" s="622">
        <f t="shared" si="330"/>
        <v>16937.268500000002</v>
      </c>
      <c r="AI255" s="633">
        <f>AH255*(1+VLOOKUP($F255,'GL Category'!$A:$H,7,FALSE))</f>
        <v>17445.386555000001</v>
      </c>
      <c r="AJ255" s="307"/>
      <c r="AK255" s="622">
        <f t="shared" si="331"/>
        <v>17445.386555000001</v>
      </c>
      <c r="AL255" s="633">
        <f>AK255*(1+VLOOKUP($F255,'GL Category'!$A:$H,8,FALSE))</f>
        <v>17968.748151650001</v>
      </c>
      <c r="AM255" s="307"/>
      <c r="AN255" s="622">
        <f t="shared" si="332"/>
        <v>17968.748151650001</v>
      </c>
      <c r="AO255" s="196"/>
      <c r="AP255" s="196"/>
      <c r="AQ255" s="196"/>
      <c r="AR255" s="104"/>
      <c r="AS255" s="104"/>
      <c r="AT255" s="104"/>
      <c r="AU255" s="104"/>
      <c r="AV255" s="104"/>
      <c r="AW255" s="104"/>
      <c r="AX255" s="104"/>
      <c r="AY255" s="104"/>
      <c r="AZ255" s="104"/>
      <c r="BA255" s="104"/>
      <c r="BB255" s="104"/>
      <c r="BC255" s="104"/>
      <c r="BD255" s="104"/>
      <c r="BE255" s="104"/>
      <c r="BF255" s="104"/>
      <c r="BG255" s="104"/>
    </row>
    <row r="256" spans="1:59" s="105" customFormat="1" ht="15" customHeight="1">
      <c r="A256" s="296"/>
      <c r="B256" s="217"/>
      <c r="C256" s="217">
        <v>10</v>
      </c>
      <c r="D256" s="101"/>
      <c r="E256" s="101"/>
      <c r="F256" s="294" t="s">
        <v>186</v>
      </c>
      <c r="G256" s="295" t="str">
        <f>VLOOKUP(F256,'GL Category'!A:C,3,FALSE)</f>
        <v>Services &amp; other</v>
      </c>
      <c r="H256" s="98" t="str">
        <f>VLOOKUP(F256,'GL Category'!A:C,2,FALSE)</f>
        <v>ATTORNEY &amp; LEGAL SERVICES</v>
      </c>
      <c r="I256" s="99">
        <f t="shared" si="322"/>
        <v>158823.95000000001</v>
      </c>
      <c r="J256" s="99">
        <f t="shared" si="322"/>
        <v>198615.71</v>
      </c>
      <c r="K256" s="99">
        <f t="shared" si="322"/>
        <v>251841.44</v>
      </c>
      <c r="L256" s="99">
        <f t="shared" si="322"/>
        <v>194554.28</v>
      </c>
      <c r="M256" s="99">
        <f t="shared" si="322"/>
        <v>225000</v>
      </c>
      <c r="N256" s="99">
        <f t="shared" si="322"/>
        <v>172994.24</v>
      </c>
      <c r="O256" s="99">
        <f t="shared" si="322"/>
        <v>195000</v>
      </c>
      <c r="P256" s="99">
        <f t="shared" si="323"/>
        <v>-30000</v>
      </c>
      <c r="Q256" s="99">
        <f t="shared" si="324"/>
        <v>225000</v>
      </c>
      <c r="R256" s="99">
        <f t="shared" si="324"/>
        <v>0</v>
      </c>
      <c r="S256" s="99">
        <f t="shared" si="324"/>
        <v>0</v>
      </c>
      <c r="T256" s="99">
        <f t="shared" si="324"/>
        <v>225000</v>
      </c>
      <c r="U256" s="99">
        <f t="shared" si="325"/>
        <v>0</v>
      </c>
      <c r="V256" s="255">
        <f t="shared" si="326"/>
        <v>0</v>
      </c>
      <c r="W256" s="102"/>
      <c r="X256" s="102"/>
      <c r="Y256" s="102">
        <f t="shared" si="327"/>
        <v>225000</v>
      </c>
      <c r="Z256" s="309">
        <f>Y256*(1+VLOOKUP($F256,'GL Category'!$A:$H,4,FALSE))</f>
        <v>231750</v>
      </c>
      <c r="AA256" s="615"/>
      <c r="AB256" s="622">
        <f t="shared" si="328"/>
        <v>231750</v>
      </c>
      <c r="AC256" s="633">
        <f>AB256*(1+VLOOKUP($F256,'GL Category'!$A:$H,5,FALSE))</f>
        <v>238702.5</v>
      </c>
      <c r="AD256" s="307"/>
      <c r="AE256" s="622">
        <f t="shared" si="329"/>
        <v>238702.5</v>
      </c>
      <c r="AF256" s="633">
        <f>AE256*(1+VLOOKUP($F256,'GL Category'!$A:$H,6,FALSE))</f>
        <v>245863.57500000001</v>
      </c>
      <c r="AG256" s="307"/>
      <c r="AH256" s="622">
        <f t="shared" si="330"/>
        <v>245863.57500000001</v>
      </c>
      <c r="AI256" s="633">
        <f>AH256*(1+VLOOKUP($F256,'GL Category'!$A:$H,7,FALSE))</f>
        <v>253239.48225000003</v>
      </c>
      <c r="AJ256" s="307"/>
      <c r="AK256" s="622">
        <f t="shared" si="331"/>
        <v>253239.48225000003</v>
      </c>
      <c r="AL256" s="633">
        <f>AK256*(1+VLOOKUP($F256,'GL Category'!$A:$H,8,FALSE))</f>
        <v>260836.66671750005</v>
      </c>
      <c r="AM256" s="307"/>
      <c r="AN256" s="622">
        <f t="shared" si="332"/>
        <v>260836.66671750005</v>
      </c>
      <c r="AO256" s="196"/>
      <c r="AP256" s="196"/>
      <c r="AQ256" s="196"/>
      <c r="AR256" s="104"/>
      <c r="AS256" s="104"/>
      <c r="AT256" s="104"/>
      <c r="AU256" s="104"/>
      <c r="AV256" s="104"/>
      <c r="AW256" s="104"/>
      <c r="AX256" s="104"/>
      <c r="AY256" s="104"/>
      <c r="AZ256" s="104"/>
      <c r="BA256" s="104"/>
      <c r="BB256" s="104"/>
      <c r="BC256" s="104"/>
      <c r="BD256" s="104"/>
      <c r="BE256" s="104"/>
      <c r="BF256" s="104"/>
      <c r="BG256" s="104"/>
    </row>
    <row r="257" spans="1:59" s="105" customFormat="1" ht="15" customHeight="1">
      <c r="A257" s="296"/>
      <c r="B257" s="217"/>
      <c r="C257" s="217">
        <v>10</v>
      </c>
      <c r="D257" s="101"/>
      <c r="E257" s="101"/>
      <c r="F257" s="556" t="s">
        <v>237</v>
      </c>
      <c r="G257" s="295" t="str">
        <f>VLOOKUP(F257,'GL Category'!A:C,3,FALSE)</f>
        <v>Services &amp; other</v>
      </c>
      <c r="H257" s="98" t="str">
        <f>VLOOKUP(F257,'GL Category'!A:C,2,FALSE)</f>
        <v>MISCELLANEOUS SERVICES</v>
      </c>
      <c r="I257" s="99">
        <f t="shared" si="322"/>
        <v>108497.93</v>
      </c>
      <c r="J257" s="99">
        <f t="shared" si="322"/>
        <v>110169.32</v>
      </c>
      <c r="K257" s="99">
        <f t="shared" si="322"/>
        <v>118596.92</v>
      </c>
      <c r="L257" s="99">
        <f t="shared" si="322"/>
        <v>121145.94</v>
      </c>
      <c r="M257" s="99">
        <f t="shared" si="322"/>
        <v>127695</v>
      </c>
      <c r="N257" s="99">
        <f t="shared" si="322"/>
        <v>111699.65</v>
      </c>
      <c r="O257" s="99">
        <f t="shared" si="322"/>
        <v>127695</v>
      </c>
      <c r="P257" s="99">
        <f t="shared" si="323"/>
        <v>0</v>
      </c>
      <c r="Q257" s="99">
        <f t="shared" si="324"/>
        <v>127695</v>
      </c>
      <c r="R257" s="99">
        <f t="shared" si="324"/>
        <v>10471</v>
      </c>
      <c r="S257" s="99">
        <f t="shared" si="324"/>
        <v>0</v>
      </c>
      <c r="T257" s="99">
        <f t="shared" si="324"/>
        <v>138166</v>
      </c>
      <c r="U257" s="99">
        <f t="shared" si="325"/>
        <v>10471</v>
      </c>
      <c r="V257" s="255">
        <f t="shared" si="326"/>
        <v>8.2000078311601943E-2</v>
      </c>
      <c r="W257" s="102"/>
      <c r="X257" s="102"/>
      <c r="Y257" s="102">
        <f t="shared" si="327"/>
        <v>138166</v>
      </c>
      <c r="Z257" s="309">
        <f>Y257*(1+VLOOKUP($F257,'GL Category'!$A:$H,4,FALSE))</f>
        <v>142310.98000000001</v>
      </c>
      <c r="AA257" s="615"/>
      <c r="AB257" s="622">
        <f t="shared" si="328"/>
        <v>142310.98000000001</v>
      </c>
      <c r="AC257" s="633">
        <f>AB257*(1+VLOOKUP($F257,'GL Category'!$A:$H,5,FALSE))</f>
        <v>146580.30940000003</v>
      </c>
      <c r="AD257" s="615"/>
      <c r="AE257" s="622">
        <f t="shared" si="329"/>
        <v>146580.30940000003</v>
      </c>
      <c r="AF257" s="633">
        <f>AE257*(1+VLOOKUP($F257,'GL Category'!$A:$H,6,FALSE))</f>
        <v>150977.71868200004</v>
      </c>
      <c r="AG257" s="615"/>
      <c r="AH257" s="622">
        <f t="shared" si="330"/>
        <v>150977.71868200004</v>
      </c>
      <c r="AI257" s="633">
        <f>AH257*(1+VLOOKUP($F257,'GL Category'!$A:$H,7,FALSE))</f>
        <v>155507.05024246004</v>
      </c>
      <c r="AJ257" s="615"/>
      <c r="AK257" s="622">
        <f t="shared" si="331"/>
        <v>155507.05024246004</v>
      </c>
      <c r="AL257" s="633">
        <f>AK257*(1+VLOOKUP($F257,'GL Category'!$A:$H,8,FALSE))</f>
        <v>160172.26174973385</v>
      </c>
      <c r="AM257" s="615"/>
      <c r="AN257" s="622">
        <f t="shared" si="332"/>
        <v>160172.26174973385</v>
      </c>
      <c r="AO257" s="196"/>
      <c r="AP257" s="196"/>
      <c r="AQ257" s="196"/>
      <c r="AR257" s="104"/>
      <c r="AS257" s="104"/>
      <c r="AT257" s="104"/>
      <c r="AU257" s="104"/>
      <c r="AV257" s="104"/>
      <c r="AW257" s="104"/>
      <c r="AX257" s="104"/>
      <c r="AY257" s="104"/>
      <c r="AZ257" s="104"/>
      <c r="BA257" s="104"/>
      <c r="BB257" s="104"/>
      <c r="BC257" s="104"/>
      <c r="BD257" s="104"/>
      <c r="BE257" s="104"/>
      <c r="BF257" s="104"/>
      <c r="BG257" s="104"/>
    </row>
    <row r="258" spans="1:59" s="105" customFormat="1" ht="15" customHeight="1">
      <c r="A258" s="296"/>
      <c r="B258" s="217"/>
      <c r="C258" s="217">
        <v>10</v>
      </c>
      <c r="D258" s="101"/>
      <c r="E258" s="101"/>
      <c r="F258" s="294" t="s">
        <v>189</v>
      </c>
      <c r="G258" s="295" t="str">
        <f>VLOOKUP(F258,'GL Category'!A:C,3,FALSE)</f>
        <v>Services &amp; other</v>
      </c>
      <c r="H258" s="98" t="str">
        <f>VLOOKUP(F258,'GL Category'!A:C,2,FALSE)</f>
        <v>DUES &amp; SUBSCRIPTIONS</v>
      </c>
      <c r="I258" s="99">
        <f t="shared" si="322"/>
        <v>29515.439999999999</v>
      </c>
      <c r="J258" s="99">
        <f t="shared" si="322"/>
        <v>33322.400000000001</v>
      </c>
      <c r="K258" s="99">
        <f t="shared" si="322"/>
        <v>24221.739999999998</v>
      </c>
      <c r="L258" s="99">
        <f t="shared" si="322"/>
        <v>29149.920000000002</v>
      </c>
      <c r="M258" s="99">
        <f t="shared" si="322"/>
        <v>35049</v>
      </c>
      <c r="N258" s="99">
        <f t="shared" si="322"/>
        <v>25470.09</v>
      </c>
      <c r="O258" s="99">
        <f t="shared" si="322"/>
        <v>27474</v>
      </c>
      <c r="P258" s="99">
        <f t="shared" si="323"/>
        <v>-7575</v>
      </c>
      <c r="Q258" s="99">
        <f t="shared" si="324"/>
        <v>35049</v>
      </c>
      <c r="R258" s="99">
        <f t="shared" si="324"/>
        <v>0</v>
      </c>
      <c r="S258" s="99">
        <f t="shared" si="324"/>
        <v>0</v>
      </c>
      <c r="T258" s="99">
        <f t="shared" si="324"/>
        <v>35049</v>
      </c>
      <c r="U258" s="99">
        <f t="shared" si="325"/>
        <v>0</v>
      </c>
      <c r="V258" s="255">
        <f t="shared" si="326"/>
        <v>0</v>
      </c>
      <c r="W258" s="102"/>
      <c r="X258" s="102"/>
      <c r="Y258" s="102">
        <f t="shared" si="327"/>
        <v>35049</v>
      </c>
      <c r="Z258" s="309">
        <f>Y258*(1+VLOOKUP($F258,'GL Category'!$A:$H,4,FALSE))</f>
        <v>36100.47</v>
      </c>
      <c r="AA258" s="615"/>
      <c r="AB258" s="622">
        <f t="shared" si="328"/>
        <v>36100.47</v>
      </c>
      <c r="AC258" s="633">
        <f>AB258*(1+VLOOKUP($F258,'GL Category'!$A:$H,5,FALSE))</f>
        <v>37183.484100000001</v>
      </c>
      <c r="AD258" s="307"/>
      <c r="AE258" s="622">
        <f t="shared" si="329"/>
        <v>37183.484100000001</v>
      </c>
      <c r="AF258" s="633">
        <f>AE258*(1+VLOOKUP($F258,'GL Category'!$A:$H,6,FALSE))</f>
        <v>38298.988623000005</v>
      </c>
      <c r="AG258" s="307"/>
      <c r="AH258" s="622">
        <f t="shared" si="330"/>
        <v>38298.988623000005</v>
      </c>
      <c r="AI258" s="633">
        <f>AH258*(1+VLOOKUP($F258,'GL Category'!$A:$H,7,FALSE))</f>
        <v>39447.958281690007</v>
      </c>
      <c r="AJ258" s="307"/>
      <c r="AK258" s="622">
        <f t="shared" si="331"/>
        <v>39447.958281690007</v>
      </c>
      <c r="AL258" s="633">
        <f>AK258*(1+VLOOKUP($F258,'GL Category'!$A:$H,8,FALSE))</f>
        <v>40631.39703014071</v>
      </c>
      <c r="AM258" s="307"/>
      <c r="AN258" s="622">
        <f t="shared" si="332"/>
        <v>40631.39703014071</v>
      </c>
      <c r="AO258" s="196"/>
      <c r="AP258" s="196"/>
      <c r="AQ258" s="196"/>
      <c r="AR258" s="104"/>
      <c r="AS258" s="104"/>
      <c r="AT258" s="104"/>
      <c r="AU258" s="104"/>
      <c r="AV258" s="104"/>
      <c r="AW258" s="104"/>
      <c r="AX258" s="104"/>
      <c r="AY258" s="104"/>
      <c r="AZ258" s="104"/>
      <c r="BA258" s="104"/>
      <c r="BB258" s="104"/>
      <c r="BC258" s="104"/>
      <c r="BD258" s="104"/>
      <c r="BE258" s="104"/>
      <c r="BF258" s="104"/>
      <c r="BG258" s="104"/>
    </row>
    <row r="259" spans="1:59" s="105" customFormat="1" ht="15" customHeight="1">
      <c r="A259" s="296"/>
      <c r="B259" s="217"/>
      <c r="C259" s="217">
        <v>10</v>
      </c>
      <c r="D259" s="101"/>
      <c r="E259" s="101"/>
      <c r="F259" s="556" t="s">
        <v>264</v>
      </c>
      <c r="G259" s="295" t="str">
        <f>VLOOKUP(F259,'GL Category'!A:C,3,FALSE)</f>
        <v>Services &amp; other</v>
      </c>
      <c r="H259" s="98" t="str">
        <f>VLOOKUP(F259,'GL Category'!A:C,2,FALSE)</f>
        <v>TRAVEL, TRAINING &amp; EDUCATION</v>
      </c>
      <c r="I259" s="99">
        <f t="shared" si="322"/>
        <v>7844</v>
      </c>
      <c r="J259" s="99">
        <f t="shared" si="322"/>
        <v>2438</v>
      </c>
      <c r="K259" s="99">
        <f t="shared" si="322"/>
        <v>16582.32</v>
      </c>
      <c r="L259" s="99">
        <f t="shared" si="322"/>
        <v>18689.310000000001</v>
      </c>
      <c r="M259" s="99">
        <f t="shared" si="322"/>
        <v>27379</v>
      </c>
      <c r="N259" s="99">
        <f t="shared" si="322"/>
        <v>11335.68</v>
      </c>
      <c r="O259" s="99">
        <f t="shared" si="322"/>
        <v>16000</v>
      </c>
      <c r="P259" s="99">
        <f t="shared" si="323"/>
        <v>-11379</v>
      </c>
      <c r="Q259" s="99">
        <f t="shared" si="324"/>
        <v>27379</v>
      </c>
      <c r="R259" s="99">
        <f t="shared" si="324"/>
        <v>0</v>
      </c>
      <c r="S259" s="99">
        <f t="shared" si="324"/>
        <v>0</v>
      </c>
      <c r="T259" s="99">
        <f t="shared" si="324"/>
        <v>27379</v>
      </c>
      <c r="U259" s="99">
        <f t="shared" si="325"/>
        <v>0</v>
      </c>
      <c r="V259" s="255">
        <f t="shared" si="326"/>
        <v>0</v>
      </c>
      <c r="W259" s="102"/>
      <c r="X259" s="102"/>
      <c r="Y259" s="102">
        <f t="shared" si="327"/>
        <v>27379</v>
      </c>
      <c r="Z259" s="309">
        <f>Y259*(1+VLOOKUP($F259,'GL Category'!$A:$H,4,FALSE))</f>
        <v>28200.37</v>
      </c>
      <c r="AA259" s="615"/>
      <c r="AB259" s="622">
        <f t="shared" si="328"/>
        <v>28200.37</v>
      </c>
      <c r="AC259" s="633">
        <f>AB259*(1+VLOOKUP($F259,'GL Category'!$A:$H,5,FALSE))</f>
        <v>29046.381099999999</v>
      </c>
      <c r="AD259" s="307"/>
      <c r="AE259" s="622">
        <f t="shared" si="329"/>
        <v>29046.381099999999</v>
      </c>
      <c r="AF259" s="633">
        <f>AE259*(1+VLOOKUP($F259,'GL Category'!$A:$H,6,FALSE))</f>
        <v>29917.772532999999</v>
      </c>
      <c r="AG259" s="307"/>
      <c r="AH259" s="622">
        <f t="shared" si="330"/>
        <v>29917.772532999999</v>
      </c>
      <c r="AI259" s="633">
        <f>AH259*(1+VLOOKUP($F259,'GL Category'!$A:$H,7,FALSE))</f>
        <v>30815.305708989999</v>
      </c>
      <c r="AJ259" s="307"/>
      <c r="AK259" s="622">
        <f t="shared" si="331"/>
        <v>30815.305708989999</v>
      </c>
      <c r="AL259" s="633">
        <f>AK259*(1+VLOOKUP($F259,'GL Category'!$A:$H,8,FALSE))</f>
        <v>31739.7648802597</v>
      </c>
      <c r="AM259" s="307"/>
      <c r="AN259" s="622">
        <f t="shared" si="332"/>
        <v>31739.7648802597</v>
      </c>
      <c r="AO259" s="196"/>
      <c r="AP259" s="196"/>
      <c r="AQ259" s="196"/>
      <c r="AR259" s="104"/>
      <c r="AS259" s="104"/>
      <c r="AT259" s="104"/>
      <c r="AU259" s="104"/>
      <c r="AV259" s="104"/>
      <c r="AW259" s="104"/>
      <c r="AX259" s="104"/>
      <c r="AY259" s="104"/>
      <c r="AZ259" s="104"/>
      <c r="BA259" s="104"/>
      <c r="BB259" s="104"/>
      <c r="BC259" s="104"/>
      <c r="BD259" s="104"/>
      <c r="BE259" s="104"/>
      <c r="BF259" s="104"/>
      <c r="BG259" s="104"/>
    </row>
    <row r="260" spans="1:59" s="105" customFormat="1" ht="15" customHeight="1">
      <c r="A260" s="296"/>
      <c r="B260" s="217"/>
      <c r="C260" s="217">
        <v>10</v>
      </c>
      <c r="D260" s="101"/>
      <c r="E260" s="101"/>
      <c r="F260" s="294" t="s">
        <v>192</v>
      </c>
      <c r="G260" s="295" t="str">
        <f>VLOOKUP(F260,'GL Category'!A:C,3,FALSE)</f>
        <v>Services &amp; other</v>
      </c>
      <c r="H260" s="98" t="str">
        <f>VLOOKUP(F260,'GL Category'!A:C,2,FALSE)</f>
        <v>CONSULTING SERVICES</v>
      </c>
      <c r="I260" s="99">
        <f t="shared" si="322"/>
        <v>0</v>
      </c>
      <c r="J260" s="99">
        <f t="shared" si="322"/>
        <v>0</v>
      </c>
      <c r="K260" s="99">
        <f t="shared" si="322"/>
        <v>0</v>
      </c>
      <c r="L260" s="99">
        <f t="shared" si="322"/>
        <v>0</v>
      </c>
      <c r="M260" s="99">
        <f t="shared" si="322"/>
        <v>0</v>
      </c>
      <c r="N260" s="99">
        <f t="shared" si="322"/>
        <v>0</v>
      </c>
      <c r="O260" s="99">
        <f t="shared" si="322"/>
        <v>0</v>
      </c>
      <c r="P260" s="99">
        <f t="shared" si="323"/>
        <v>0</v>
      </c>
      <c r="Q260" s="99">
        <f t="shared" si="324"/>
        <v>0</v>
      </c>
      <c r="R260" s="99">
        <f t="shared" si="324"/>
        <v>0</v>
      </c>
      <c r="S260" s="99">
        <f t="shared" si="324"/>
        <v>0</v>
      </c>
      <c r="T260" s="99">
        <f t="shared" si="324"/>
        <v>0</v>
      </c>
      <c r="U260" s="99">
        <f t="shared" si="325"/>
        <v>0</v>
      </c>
      <c r="V260" s="255" t="str">
        <f t="shared" si="326"/>
        <v>N/A</v>
      </c>
      <c r="W260" s="102"/>
      <c r="X260" s="102"/>
      <c r="Y260" s="102">
        <f t="shared" si="327"/>
        <v>0</v>
      </c>
      <c r="Z260" s="309">
        <f>Y260*(1+VLOOKUP($F260,'GL Category'!$A:$H,4,FALSE))</f>
        <v>0</v>
      </c>
      <c r="AA260" s="615"/>
      <c r="AB260" s="622">
        <f t="shared" si="328"/>
        <v>0</v>
      </c>
      <c r="AC260" s="633">
        <f>AB260*(1+VLOOKUP($F260,'GL Category'!$A:$H,5,FALSE))</f>
        <v>0</v>
      </c>
      <c r="AD260" s="307"/>
      <c r="AE260" s="622">
        <f t="shared" si="329"/>
        <v>0</v>
      </c>
      <c r="AF260" s="633">
        <f>AE260*(1+VLOOKUP($F260,'GL Category'!$A:$H,6,FALSE))</f>
        <v>0</v>
      </c>
      <c r="AG260" s="307"/>
      <c r="AH260" s="622">
        <f t="shared" si="330"/>
        <v>0</v>
      </c>
      <c r="AI260" s="633">
        <f>AH260*(1+VLOOKUP($F260,'GL Category'!$A:$H,7,FALSE))</f>
        <v>0</v>
      </c>
      <c r="AJ260" s="307"/>
      <c r="AK260" s="622">
        <f t="shared" si="331"/>
        <v>0</v>
      </c>
      <c r="AL260" s="633">
        <f>AK260*(1+VLOOKUP($F260,'GL Category'!$A:$H,8,FALSE))</f>
        <v>0</v>
      </c>
      <c r="AM260" s="307"/>
      <c r="AN260" s="622">
        <f t="shared" si="332"/>
        <v>0</v>
      </c>
      <c r="AO260" s="196"/>
      <c r="AP260" s="196"/>
      <c r="AQ260" s="196"/>
      <c r="AR260" s="104"/>
      <c r="AS260" s="104"/>
      <c r="AT260" s="104"/>
      <c r="AU260" s="104"/>
      <c r="AV260" s="104"/>
      <c r="AW260" s="104"/>
      <c r="AX260" s="104"/>
      <c r="AY260" s="104"/>
      <c r="AZ260" s="104"/>
      <c r="BA260" s="104"/>
      <c r="BB260" s="104"/>
      <c r="BC260" s="104"/>
      <c r="BD260" s="104"/>
      <c r="BE260" s="104"/>
      <c r="BF260" s="104"/>
      <c r="BG260" s="104"/>
    </row>
    <row r="261" spans="1:59" s="105" customFormat="1" ht="15" customHeight="1">
      <c r="A261" s="296"/>
      <c r="B261" s="217"/>
      <c r="C261" s="217">
        <v>10</v>
      </c>
      <c r="D261" s="101"/>
      <c r="E261" s="101"/>
      <c r="F261" s="294" t="s">
        <v>194</v>
      </c>
      <c r="G261" s="295" t="str">
        <f>VLOOKUP(F261,'GL Category'!A:C,3,FALSE)</f>
        <v>Services &amp; other</v>
      </c>
      <c r="H261" s="98" t="str">
        <f>VLOOKUP(F261,'GL Category'!A:C,2,FALSE)</f>
        <v>MEDICAL SERVICES</v>
      </c>
      <c r="I261" s="99">
        <f t="shared" si="322"/>
        <v>0</v>
      </c>
      <c r="J261" s="99">
        <f t="shared" si="322"/>
        <v>0</v>
      </c>
      <c r="K261" s="99">
        <f t="shared" si="322"/>
        <v>0</v>
      </c>
      <c r="L261" s="99">
        <f t="shared" si="322"/>
        <v>0</v>
      </c>
      <c r="M261" s="99">
        <f t="shared" si="322"/>
        <v>0</v>
      </c>
      <c r="N261" s="99">
        <f t="shared" si="322"/>
        <v>0</v>
      </c>
      <c r="O261" s="99">
        <f t="shared" si="322"/>
        <v>0</v>
      </c>
      <c r="P261" s="99">
        <f t="shared" si="323"/>
        <v>0</v>
      </c>
      <c r="Q261" s="99">
        <f t="shared" si="324"/>
        <v>0</v>
      </c>
      <c r="R261" s="99">
        <f t="shared" si="324"/>
        <v>0</v>
      </c>
      <c r="S261" s="99">
        <f t="shared" si="324"/>
        <v>0</v>
      </c>
      <c r="T261" s="99">
        <f t="shared" si="324"/>
        <v>0</v>
      </c>
      <c r="U261" s="99">
        <f t="shared" si="325"/>
        <v>0</v>
      </c>
      <c r="V261" s="255" t="str">
        <f t="shared" si="326"/>
        <v>N/A</v>
      </c>
      <c r="W261" s="102"/>
      <c r="X261" s="102"/>
      <c r="Y261" s="102">
        <f t="shared" si="327"/>
        <v>0</v>
      </c>
      <c r="Z261" s="309">
        <f>Y261*(1+VLOOKUP($F261,'GL Category'!$A:$H,4,FALSE))</f>
        <v>0</v>
      </c>
      <c r="AA261" s="615"/>
      <c r="AB261" s="622">
        <f t="shared" si="328"/>
        <v>0</v>
      </c>
      <c r="AC261" s="633">
        <f>AB261*(1+VLOOKUP($F261,'GL Category'!$A:$H,5,FALSE))</f>
        <v>0</v>
      </c>
      <c r="AD261" s="307"/>
      <c r="AE261" s="622">
        <f t="shared" si="329"/>
        <v>0</v>
      </c>
      <c r="AF261" s="633">
        <f>AE261*(1+VLOOKUP($F261,'GL Category'!$A:$H,6,FALSE))</f>
        <v>0</v>
      </c>
      <c r="AG261" s="307"/>
      <c r="AH261" s="622">
        <f t="shared" si="330"/>
        <v>0</v>
      </c>
      <c r="AI261" s="633">
        <f>AH261*(1+VLOOKUP($F261,'GL Category'!$A:$H,7,FALSE))</f>
        <v>0</v>
      </c>
      <c r="AJ261" s="307"/>
      <c r="AK261" s="622">
        <f t="shared" si="331"/>
        <v>0</v>
      </c>
      <c r="AL261" s="633">
        <f>AK261*(1+VLOOKUP($F261,'GL Category'!$A:$H,8,FALSE))</f>
        <v>0</v>
      </c>
      <c r="AM261" s="307"/>
      <c r="AN261" s="622">
        <f t="shared" si="332"/>
        <v>0</v>
      </c>
      <c r="AO261" s="196"/>
      <c r="AP261" s="196"/>
      <c r="AQ261" s="196"/>
      <c r="AR261" s="104"/>
      <c r="AS261" s="104"/>
      <c r="AT261" s="104"/>
      <c r="AU261" s="104"/>
      <c r="AV261" s="104"/>
      <c r="AW261" s="104"/>
      <c r="AX261" s="104"/>
      <c r="AY261" s="104"/>
      <c r="AZ261" s="104"/>
      <c r="BA261" s="104"/>
      <c r="BB261" s="104"/>
      <c r="BC261" s="104"/>
      <c r="BD261" s="104"/>
      <c r="BE261" s="104"/>
      <c r="BF261" s="104"/>
      <c r="BG261" s="104"/>
    </row>
    <row r="262" spans="1:59" s="105" customFormat="1" ht="15" customHeight="1">
      <c r="A262" s="296"/>
      <c r="B262" s="217"/>
      <c r="C262" s="217">
        <v>10</v>
      </c>
      <c r="D262" s="101"/>
      <c r="E262" s="101"/>
      <c r="F262" s="294" t="s">
        <v>196</v>
      </c>
      <c r="G262" s="295" t="str">
        <f>VLOOKUP(F262,'GL Category'!A:C,3,FALSE)</f>
        <v>Services &amp; other</v>
      </c>
      <c r="H262" s="98" t="str">
        <f>VLOOKUP(F262,'GL Category'!A:C,2,FALSE)</f>
        <v>ADVERTISING &amp; RECORDING</v>
      </c>
      <c r="I262" s="99">
        <f t="shared" si="322"/>
        <v>12856.6</v>
      </c>
      <c r="J262" s="99">
        <f t="shared" si="322"/>
        <v>12567.79</v>
      </c>
      <c r="K262" s="99">
        <f t="shared" si="322"/>
        <v>15567.44</v>
      </c>
      <c r="L262" s="99">
        <f t="shared" si="322"/>
        <v>10154.4</v>
      </c>
      <c r="M262" s="99">
        <f t="shared" si="322"/>
        <v>14750</v>
      </c>
      <c r="N262" s="99">
        <f t="shared" si="322"/>
        <v>11178.74</v>
      </c>
      <c r="O262" s="99">
        <f t="shared" si="322"/>
        <v>14750</v>
      </c>
      <c r="P262" s="99">
        <f t="shared" si="323"/>
        <v>0</v>
      </c>
      <c r="Q262" s="99">
        <f t="shared" si="324"/>
        <v>14750</v>
      </c>
      <c r="R262" s="99">
        <f t="shared" si="324"/>
        <v>0</v>
      </c>
      <c r="S262" s="99">
        <f t="shared" si="324"/>
        <v>0</v>
      </c>
      <c r="T262" s="99">
        <f t="shared" si="324"/>
        <v>14750</v>
      </c>
      <c r="U262" s="99">
        <f t="shared" si="325"/>
        <v>0</v>
      </c>
      <c r="V262" s="255">
        <f t="shared" si="326"/>
        <v>0</v>
      </c>
      <c r="W262" s="102"/>
      <c r="X262" s="102"/>
      <c r="Y262" s="102">
        <f t="shared" si="327"/>
        <v>14750</v>
      </c>
      <c r="Z262" s="309">
        <f>Y262*(1+VLOOKUP($F262,'GL Category'!$A:$H,4,FALSE))</f>
        <v>15192.5</v>
      </c>
      <c r="AA262" s="615"/>
      <c r="AB262" s="622">
        <f t="shared" si="328"/>
        <v>15192.5</v>
      </c>
      <c r="AC262" s="633">
        <f>AB262*(1+VLOOKUP($F262,'GL Category'!$A:$H,5,FALSE))</f>
        <v>15648.275</v>
      </c>
      <c r="AD262" s="307"/>
      <c r="AE262" s="622">
        <f t="shared" si="329"/>
        <v>15648.275</v>
      </c>
      <c r="AF262" s="633">
        <f>AE262*(1+VLOOKUP($F262,'GL Category'!$A:$H,6,FALSE))</f>
        <v>16117.723250000001</v>
      </c>
      <c r="AG262" s="307"/>
      <c r="AH262" s="622">
        <f t="shared" si="330"/>
        <v>16117.723250000001</v>
      </c>
      <c r="AI262" s="633">
        <f>AH262*(1+VLOOKUP($F262,'GL Category'!$A:$H,7,FALSE))</f>
        <v>16601.254947500001</v>
      </c>
      <c r="AJ262" s="307"/>
      <c r="AK262" s="622">
        <f t="shared" si="331"/>
        <v>16601.254947500001</v>
      </c>
      <c r="AL262" s="633">
        <f>AK262*(1+VLOOKUP($F262,'GL Category'!$A:$H,8,FALSE))</f>
        <v>17099.292595925002</v>
      </c>
      <c r="AM262" s="307"/>
      <c r="AN262" s="622">
        <f t="shared" si="332"/>
        <v>17099.292595925002</v>
      </c>
      <c r="AO262" s="196"/>
      <c r="AP262" s="196"/>
      <c r="AQ262" s="196"/>
      <c r="AR262" s="104"/>
      <c r="AS262" s="104"/>
      <c r="AT262" s="104"/>
      <c r="AU262" s="104"/>
      <c r="AV262" s="104"/>
      <c r="AW262" s="104"/>
      <c r="AX262" s="104"/>
      <c r="AY262" s="104"/>
      <c r="AZ262" s="104"/>
      <c r="BA262" s="104"/>
      <c r="BB262" s="104"/>
      <c r="BC262" s="104"/>
      <c r="BD262" s="104"/>
      <c r="BE262" s="104"/>
      <c r="BF262" s="104"/>
      <c r="BG262" s="104"/>
    </row>
    <row r="263" spans="1:59" s="105" customFormat="1" ht="15" customHeight="1">
      <c r="A263" s="296"/>
      <c r="B263" s="217"/>
      <c r="C263" s="217">
        <v>10</v>
      </c>
      <c r="D263" s="101"/>
      <c r="E263" s="101"/>
      <c r="F263" s="294" t="s">
        <v>201</v>
      </c>
      <c r="G263" s="295" t="str">
        <f>VLOOKUP(F263,'GL Category'!A:C,3,FALSE)</f>
        <v>Services &amp; other</v>
      </c>
      <c r="H263" s="98" t="str">
        <f>VLOOKUP(F263,'GL Category'!A:C,2,FALSE)</f>
        <v>MARKETING &amp; PROMOTIONAL</v>
      </c>
      <c r="I263" s="99">
        <f t="shared" si="322"/>
        <v>7442.3799999999992</v>
      </c>
      <c r="J263" s="99">
        <f t="shared" si="322"/>
        <v>4394.8500000000004</v>
      </c>
      <c r="K263" s="99">
        <f t="shared" si="322"/>
        <v>5706.21</v>
      </c>
      <c r="L263" s="99">
        <f t="shared" si="322"/>
        <v>7366.3099999999995</v>
      </c>
      <c r="M263" s="99">
        <f t="shared" si="322"/>
        <v>9000</v>
      </c>
      <c r="N263" s="99">
        <f t="shared" si="322"/>
        <v>5683</v>
      </c>
      <c r="O263" s="99">
        <f t="shared" si="322"/>
        <v>6600</v>
      </c>
      <c r="P263" s="99">
        <f t="shared" si="323"/>
        <v>-2400</v>
      </c>
      <c r="Q263" s="99">
        <f t="shared" si="324"/>
        <v>9000</v>
      </c>
      <c r="R263" s="99">
        <f t="shared" si="324"/>
        <v>80000</v>
      </c>
      <c r="S263" s="99">
        <f t="shared" si="324"/>
        <v>0</v>
      </c>
      <c r="T263" s="99">
        <f t="shared" si="324"/>
        <v>89000</v>
      </c>
      <c r="U263" s="99">
        <f t="shared" si="325"/>
        <v>80000</v>
      </c>
      <c r="V263" s="255">
        <f t="shared" si="326"/>
        <v>8.8888888888888893</v>
      </c>
      <c r="W263" s="102"/>
      <c r="X263" s="102">
        <v>65000</v>
      </c>
      <c r="Y263" s="102">
        <f t="shared" si="327"/>
        <v>24000</v>
      </c>
      <c r="Z263" s="309">
        <f>Y263*(1+VLOOKUP($F263,'GL Category'!$A:$H,4,FALSE))</f>
        <v>24720</v>
      </c>
      <c r="AA263" s="615"/>
      <c r="AB263" s="622">
        <f t="shared" si="328"/>
        <v>24720</v>
      </c>
      <c r="AC263" s="633">
        <f>AB263*(1+VLOOKUP($F263,'GL Category'!$A:$H,5,FALSE))</f>
        <v>25461.600000000002</v>
      </c>
      <c r="AD263" s="307"/>
      <c r="AE263" s="622">
        <f t="shared" si="329"/>
        <v>25461.600000000002</v>
      </c>
      <c r="AF263" s="633">
        <f>AE263*(1+VLOOKUP($F263,'GL Category'!$A:$H,6,FALSE))</f>
        <v>26225.448000000004</v>
      </c>
      <c r="AG263" s="307"/>
      <c r="AH263" s="622">
        <f t="shared" si="330"/>
        <v>26225.448000000004</v>
      </c>
      <c r="AI263" s="633">
        <f>AH263*(1+VLOOKUP($F263,'GL Category'!$A:$H,7,FALSE))</f>
        <v>27012.211440000006</v>
      </c>
      <c r="AJ263" s="307"/>
      <c r="AK263" s="622">
        <f t="shared" si="331"/>
        <v>27012.211440000006</v>
      </c>
      <c r="AL263" s="633">
        <f>AK263*(1+VLOOKUP($F263,'GL Category'!$A:$H,8,FALSE))</f>
        <v>27822.577783200006</v>
      </c>
      <c r="AM263" s="307"/>
      <c r="AN263" s="622">
        <f t="shared" si="332"/>
        <v>27822.577783200006</v>
      </c>
      <c r="AO263" s="196"/>
      <c r="AP263" s="196"/>
      <c r="AQ263" s="196"/>
      <c r="AR263" s="104"/>
      <c r="AS263" s="104"/>
      <c r="AT263" s="104"/>
      <c r="AU263" s="104"/>
      <c r="AV263" s="104"/>
      <c r="AW263" s="104"/>
      <c r="AX263" s="104"/>
      <c r="AY263" s="104"/>
      <c r="AZ263" s="104"/>
      <c r="BA263" s="104"/>
      <c r="BB263" s="104"/>
      <c r="BC263" s="104"/>
      <c r="BD263" s="104"/>
      <c r="BE263" s="104"/>
      <c r="BF263" s="104"/>
      <c r="BG263" s="104"/>
    </row>
    <row r="264" spans="1:59" s="105" customFormat="1" ht="15" customHeight="1">
      <c r="A264" s="296"/>
      <c r="B264" s="217"/>
      <c r="C264" s="217">
        <v>10</v>
      </c>
      <c r="D264" s="101"/>
      <c r="E264" s="101"/>
      <c r="F264" s="294" t="s">
        <v>202</v>
      </c>
      <c r="G264" s="295" t="str">
        <f>VLOOKUP(F264,'GL Category'!A:C,3,FALSE)</f>
        <v>Services &amp; other</v>
      </c>
      <c r="H264" s="98" t="str">
        <f>VLOOKUP(F264,'GL Category'!A:C,2,FALSE)</f>
        <v>PRINTING &amp; BINDING SERVICES</v>
      </c>
      <c r="I264" s="99">
        <f t="shared" si="322"/>
        <v>0</v>
      </c>
      <c r="J264" s="99">
        <f t="shared" si="322"/>
        <v>0</v>
      </c>
      <c r="K264" s="99">
        <f t="shared" si="322"/>
        <v>0</v>
      </c>
      <c r="L264" s="99">
        <f t="shared" si="322"/>
        <v>0</v>
      </c>
      <c r="M264" s="99">
        <f t="shared" si="322"/>
        <v>0</v>
      </c>
      <c r="N264" s="99">
        <f t="shared" si="322"/>
        <v>0</v>
      </c>
      <c r="O264" s="99">
        <f t="shared" si="322"/>
        <v>0</v>
      </c>
      <c r="P264" s="99">
        <f t="shared" si="323"/>
        <v>0</v>
      </c>
      <c r="Q264" s="99">
        <f t="shared" si="324"/>
        <v>0</v>
      </c>
      <c r="R264" s="99">
        <f t="shared" si="324"/>
        <v>0</v>
      </c>
      <c r="S264" s="99">
        <f t="shared" si="324"/>
        <v>0</v>
      </c>
      <c r="T264" s="99">
        <f t="shared" si="324"/>
        <v>0</v>
      </c>
      <c r="U264" s="99">
        <f t="shared" si="325"/>
        <v>0</v>
      </c>
      <c r="V264" s="255" t="str">
        <f t="shared" si="326"/>
        <v>N/A</v>
      </c>
      <c r="W264" s="102"/>
      <c r="X264" s="102"/>
      <c r="Y264" s="102">
        <f t="shared" si="327"/>
        <v>0</v>
      </c>
      <c r="Z264" s="309">
        <f>Y264*(1+VLOOKUP($F264,'GL Category'!$A:$H,4,FALSE))</f>
        <v>0</v>
      </c>
      <c r="AA264" s="615"/>
      <c r="AB264" s="622">
        <f t="shared" si="328"/>
        <v>0</v>
      </c>
      <c r="AC264" s="633">
        <f>AB264*(1+VLOOKUP($F264,'GL Category'!$A:$H,5,FALSE))</f>
        <v>0</v>
      </c>
      <c r="AD264" s="307"/>
      <c r="AE264" s="622">
        <f t="shared" si="329"/>
        <v>0</v>
      </c>
      <c r="AF264" s="633">
        <f>AE264*(1+VLOOKUP($F264,'GL Category'!$A:$H,6,FALSE))</f>
        <v>0</v>
      </c>
      <c r="AG264" s="307"/>
      <c r="AH264" s="622">
        <f t="shared" si="330"/>
        <v>0</v>
      </c>
      <c r="AI264" s="633">
        <f>AH264*(1+VLOOKUP($F264,'GL Category'!$A:$H,7,FALSE))</f>
        <v>0</v>
      </c>
      <c r="AJ264" s="307"/>
      <c r="AK264" s="622">
        <f t="shared" si="331"/>
        <v>0</v>
      </c>
      <c r="AL264" s="633">
        <f>AK264*(1+VLOOKUP($F264,'GL Category'!$A:$H,8,FALSE))</f>
        <v>0</v>
      </c>
      <c r="AM264" s="307"/>
      <c r="AN264" s="622">
        <f t="shared" si="332"/>
        <v>0</v>
      </c>
      <c r="AO264" s="196"/>
      <c r="AP264" s="196"/>
      <c r="AQ264" s="196"/>
      <c r="AR264" s="104"/>
      <c r="AS264" s="104"/>
      <c r="AT264" s="104"/>
      <c r="AU264" s="104"/>
      <c r="AV264" s="104"/>
      <c r="AW264" s="104"/>
      <c r="AX264" s="104"/>
      <c r="AY264" s="104"/>
      <c r="AZ264" s="104"/>
      <c r="BA264" s="104"/>
      <c r="BB264" s="104"/>
      <c r="BC264" s="104"/>
      <c r="BD264" s="104"/>
      <c r="BE264" s="104"/>
      <c r="BF264" s="104"/>
      <c r="BG264" s="104"/>
    </row>
    <row r="265" spans="1:59" s="105" customFormat="1" ht="15" customHeight="1">
      <c r="A265" s="296"/>
      <c r="B265" s="217"/>
      <c r="C265" s="217">
        <v>10</v>
      </c>
      <c r="D265" s="101"/>
      <c r="E265" s="101"/>
      <c r="F265" s="294" t="s">
        <v>259</v>
      </c>
      <c r="G265" s="295" t="str">
        <f>VLOOKUP(F265,'GL Category'!A:C,3,FALSE)</f>
        <v>Services &amp; other</v>
      </c>
      <c r="H265" s="98" t="str">
        <f>VLOOKUP(F265,'GL Category'!A:C,2,FALSE)</f>
        <v>WEBSITE/TECHNOLOGY SERVICES</v>
      </c>
      <c r="I265" s="99">
        <f t="shared" si="322"/>
        <v>48412</v>
      </c>
      <c r="J265" s="99">
        <f t="shared" si="322"/>
        <v>51762.05</v>
      </c>
      <c r="K265" s="99">
        <f t="shared" si="322"/>
        <v>49696</v>
      </c>
      <c r="L265" s="99">
        <f t="shared" si="322"/>
        <v>72484.570000000007</v>
      </c>
      <c r="M265" s="99">
        <f t="shared" si="322"/>
        <v>60043</v>
      </c>
      <c r="N265" s="99">
        <f t="shared" si="322"/>
        <v>62180.310000000005</v>
      </c>
      <c r="O265" s="99">
        <f t="shared" si="322"/>
        <v>62043</v>
      </c>
      <c r="P265" s="99">
        <f>O265-M265</f>
        <v>2000</v>
      </c>
      <c r="Q265" s="99">
        <f t="shared" si="324"/>
        <v>60043</v>
      </c>
      <c r="R265" s="99">
        <f t="shared" si="324"/>
        <v>36100</v>
      </c>
      <c r="S265" s="99">
        <f t="shared" si="324"/>
        <v>10000</v>
      </c>
      <c r="T265" s="99">
        <f t="shared" si="324"/>
        <v>106143</v>
      </c>
      <c r="U265" s="99">
        <f t="shared" si="325"/>
        <v>46100</v>
      </c>
      <c r="V265" s="255">
        <f t="shared" si="326"/>
        <v>0.76778308878636969</v>
      </c>
      <c r="W265" s="102"/>
      <c r="X265" s="102">
        <v>10000</v>
      </c>
      <c r="Y265" s="102">
        <f t="shared" si="327"/>
        <v>96143</v>
      </c>
      <c r="Z265" s="309">
        <f>Y265*(1+VLOOKUP($F265,'GL Category'!$A:$H,4,FALSE))</f>
        <v>99027.290000000008</v>
      </c>
      <c r="AA265" s="615"/>
      <c r="AB265" s="622">
        <f t="shared" si="328"/>
        <v>99027.290000000008</v>
      </c>
      <c r="AC265" s="633">
        <f>AB265*(1+VLOOKUP($F265,'GL Category'!$A:$H,5,FALSE))</f>
        <v>101998.10870000001</v>
      </c>
      <c r="AD265" s="307"/>
      <c r="AE265" s="622">
        <f t="shared" si="329"/>
        <v>101998.10870000001</v>
      </c>
      <c r="AF265" s="633">
        <f>AE265*(1+VLOOKUP($F265,'GL Category'!$A:$H,6,FALSE))</f>
        <v>105058.05196100002</v>
      </c>
      <c r="AG265" s="307"/>
      <c r="AH265" s="622">
        <f t="shared" si="330"/>
        <v>105058.05196100002</v>
      </c>
      <c r="AI265" s="633">
        <f>AH265*(1+VLOOKUP($F265,'GL Category'!$A:$H,7,FALSE))</f>
        <v>108209.79351983003</v>
      </c>
      <c r="AJ265" s="307"/>
      <c r="AK265" s="622">
        <f t="shared" si="331"/>
        <v>108209.79351983003</v>
      </c>
      <c r="AL265" s="633">
        <f>AK265*(1+VLOOKUP($F265,'GL Category'!$A:$H,8,FALSE))</f>
        <v>111456.08732542493</v>
      </c>
      <c r="AM265" s="307"/>
      <c r="AN265" s="622">
        <f t="shared" si="332"/>
        <v>111456.08732542493</v>
      </c>
      <c r="AO265" s="196"/>
      <c r="AP265" s="196"/>
      <c r="AQ265" s="196"/>
      <c r="AR265" s="104"/>
      <c r="AS265" s="104"/>
      <c r="AT265" s="104"/>
      <c r="AU265" s="104"/>
      <c r="AV265" s="104"/>
      <c r="AW265" s="104"/>
      <c r="AX265" s="104"/>
      <c r="AY265" s="104"/>
      <c r="AZ265" s="104"/>
      <c r="BA265" s="104"/>
      <c r="BB265" s="104"/>
      <c r="BC265" s="104"/>
      <c r="BD265" s="104"/>
      <c r="BE265" s="104"/>
      <c r="BF265" s="104"/>
      <c r="BG265" s="104"/>
    </row>
    <row r="266" spans="1:59" s="105" customFormat="1" ht="15" customHeight="1">
      <c r="A266" s="296"/>
      <c r="B266" s="217"/>
      <c r="C266" s="217">
        <v>10</v>
      </c>
      <c r="D266" s="101"/>
      <c r="E266" s="101"/>
      <c r="F266" s="294" t="s">
        <v>206</v>
      </c>
      <c r="G266" s="295" t="str">
        <f>VLOOKUP(F266,'GL Category'!A:C,3,FALSE)</f>
        <v>Services &amp; other</v>
      </c>
      <c r="H266" s="98" t="str">
        <f>VLOOKUP(F266,'GL Category'!A:C,2,FALSE)</f>
        <v>FREIGHT &amp; EXPRESS SERVICES</v>
      </c>
      <c r="I266" s="99">
        <f t="shared" si="322"/>
        <v>0</v>
      </c>
      <c r="J266" s="99">
        <f t="shared" si="322"/>
        <v>0</v>
      </c>
      <c r="K266" s="99">
        <f t="shared" si="322"/>
        <v>0</v>
      </c>
      <c r="L266" s="99">
        <f t="shared" si="322"/>
        <v>0</v>
      </c>
      <c r="M266" s="99">
        <f t="shared" si="322"/>
        <v>0</v>
      </c>
      <c r="N266" s="99">
        <f t="shared" si="322"/>
        <v>0</v>
      </c>
      <c r="O266" s="99">
        <f t="shared" si="322"/>
        <v>0</v>
      </c>
      <c r="P266" s="99">
        <f t="shared" si="323"/>
        <v>0</v>
      </c>
      <c r="Q266" s="99">
        <f t="shared" si="324"/>
        <v>0</v>
      </c>
      <c r="R266" s="99">
        <f t="shared" si="324"/>
        <v>0</v>
      </c>
      <c r="S266" s="99">
        <f t="shared" si="324"/>
        <v>0</v>
      </c>
      <c r="T266" s="99">
        <f t="shared" si="324"/>
        <v>0</v>
      </c>
      <c r="U266" s="99">
        <f t="shared" si="325"/>
        <v>0</v>
      </c>
      <c r="V266" s="255" t="str">
        <f t="shared" si="326"/>
        <v>N/A</v>
      </c>
      <c r="W266" s="102"/>
      <c r="X266" s="102"/>
      <c r="Y266" s="102">
        <f t="shared" si="327"/>
        <v>0</v>
      </c>
      <c r="Z266" s="309">
        <f>Y266*(1+VLOOKUP($F266,'GL Category'!$A:$H,4,FALSE))</f>
        <v>0</v>
      </c>
      <c r="AA266" s="615"/>
      <c r="AB266" s="622">
        <f t="shared" si="328"/>
        <v>0</v>
      </c>
      <c r="AC266" s="633">
        <f>AB266*(1+VLOOKUP($F266,'GL Category'!$A:$H,5,FALSE))</f>
        <v>0</v>
      </c>
      <c r="AD266" s="307"/>
      <c r="AE266" s="622">
        <f t="shared" si="329"/>
        <v>0</v>
      </c>
      <c r="AF266" s="633">
        <f>AE266*(1+VLOOKUP($F266,'GL Category'!$A:$H,6,FALSE))</f>
        <v>0</v>
      </c>
      <c r="AG266" s="307"/>
      <c r="AH266" s="622">
        <f t="shared" si="330"/>
        <v>0</v>
      </c>
      <c r="AI266" s="633">
        <f>AH266*(1+VLOOKUP($F266,'GL Category'!$A:$H,7,FALSE))</f>
        <v>0</v>
      </c>
      <c r="AJ266" s="307"/>
      <c r="AK266" s="622">
        <f t="shared" si="331"/>
        <v>0</v>
      </c>
      <c r="AL266" s="633">
        <f>AK266*(1+VLOOKUP($F266,'GL Category'!$A:$H,8,FALSE))</f>
        <v>0</v>
      </c>
      <c r="AM266" s="307"/>
      <c r="AN266" s="622">
        <f t="shared" si="332"/>
        <v>0</v>
      </c>
      <c r="AO266" s="196"/>
      <c r="AP266" s="196"/>
      <c r="AQ266" s="196"/>
      <c r="AR266" s="104"/>
      <c r="AS266" s="104"/>
      <c r="AT266" s="104"/>
      <c r="AU266" s="104"/>
      <c r="AV266" s="104"/>
      <c r="AW266" s="104"/>
      <c r="AX266" s="104"/>
      <c r="AY266" s="104"/>
      <c r="AZ266" s="104"/>
      <c r="BA266" s="104"/>
      <c r="BB266" s="104"/>
      <c r="BC266" s="104"/>
      <c r="BD266" s="104"/>
      <c r="BE266" s="104"/>
      <c r="BF266" s="104"/>
      <c r="BG266" s="104"/>
    </row>
    <row r="267" spans="1:59" s="105" customFormat="1" ht="15" customHeight="1">
      <c r="A267" s="296"/>
      <c r="B267" s="217"/>
      <c r="C267" s="217">
        <v>10</v>
      </c>
      <c r="D267" s="101"/>
      <c r="E267" s="101"/>
      <c r="F267" s="294" t="s">
        <v>208</v>
      </c>
      <c r="G267" s="295" t="str">
        <f>VLOOKUP(F267,'GL Category'!A:C,3,FALSE)</f>
        <v>Services &amp; other</v>
      </c>
      <c r="H267" s="98" t="str">
        <f>VLOOKUP(F267,'GL Category'!A:C,2,FALSE)</f>
        <v>GENERAL INSURANCE</v>
      </c>
      <c r="I267" s="99">
        <f t="shared" si="322"/>
        <v>0</v>
      </c>
      <c r="J267" s="99">
        <f t="shared" si="322"/>
        <v>0</v>
      </c>
      <c r="K267" s="99">
        <f t="shared" si="322"/>
        <v>0</v>
      </c>
      <c r="L267" s="99">
        <f t="shared" si="322"/>
        <v>0</v>
      </c>
      <c r="M267" s="99">
        <f t="shared" si="322"/>
        <v>0</v>
      </c>
      <c r="N267" s="99">
        <f t="shared" si="322"/>
        <v>0</v>
      </c>
      <c r="O267" s="99">
        <f t="shared" si="322"/>
        <v>0</v>
      </c>
      <c r="P267" s="99">
        <f t="shared" si="323"/>
        <v>0</v>
      </c>
      <c r="Q267" s="99">
        <f t="shared" si="324"/>
        <v>0</v>
      </c>
      <c r="R267" s="99">
        <f t="shared" si="324"/>
        <v>0</v>
      </c>
      <c r="S267" s="99">
        <f t="shared" si="324"/>
        <v>0</v>
      </c>
      <c r="T267" s="99">
        <f t="shared" si="324"/>
        <v>0</v>
      </c>
      <c r="U267" s="99">
        <f t="shared" si="325"/>
        <v>0</v>
      </c>
      <c r="V267" s="255" t="str">
        <f t="shared" si="326"/>
        <v>N/A</v>
      </c>
      <c r="W267" s="102"/>
      <c r="X267" s="102"/>
      <c r="Y267" s="102">
        <f t="shared" si="327"/>
        <v>0</v>
      </c>
      <c r="Z267" s="309">
        <f>Y267*(1+VLOOKUP($F267,'GL Category'!$A:$H,4,FALSE))</f>
        <v>0</v>
      </c>
      <c r="AA267" s="615"/>
      <c r="AB267" s="622">
        <f t="shared" si="328"/>
        <v>0</v>
      </c>
      <c r="AC267" s="633">
        <f>AB267*(1+VLOOKUP($F267,'GL Category'!$A:$H,5,FALSE))</f>
        <v>0</v>
      </c>
      <c r="AD267" s="307"/>
      <c r="AE267" s="622">
        <f t="shared" si="329"/>
        <v>0</v>
      </c>
      <c r="AF267" s="633">
        <f>AE267*(1+VLOOKUP($F267,'GL Category'!$A:$H,6,FALSE))</f>
        <v>0</v>
      </c>
      <c r="AG267" s="307"/>
      <c r="AH267" s="622">
        <f t="shared" si="330"/>
        <v>0</v>
      </c>
      <c r="AI267" s="633">
        <f>AH267*(1+VLOOKUP($F267,'GL Category'!$A:$H,7,FALSE))</f>
        <v>0</v>
      </c>
      <c r="AJ267" s="307"/>
      <c r="AK267" s="622">
        <f t="shared" si="331"/>
        <v>0</v>
      </c>
      <c r="AL267" s="633">
        <f>AK267*(1+VLOOKUP($F267,'GL Category'!$A:$H,8,FALSE))</f>
        <v>0</v>
      </c>
      <c r="AM267" s="307"/>
      <c r="AN267" s="622">
        <f t="shared" si="332"/>
        <v>0</v>
      </c>
      <c r="AO267" s="196"/>
      <c r="AP267" s="196"/>
      <c r="AQ267" s="196"/>
      <c r="AR267" s="104"/>
      <c r="AS267" s="104"/>
      <c r="AT267" s="104"/>
      <c r="AU267" s="104"/>
      <c r="AV267" s="104"/>
      <c r="AW267" s="104"/>
      <c r="AX267" s="104"/>
      <c r="AY267" s="104"/>
      <c r="AZ267" s="104"/>
      <c r="BA267" s="104"/>
      <c r="BB267" s="104"/>
      <c r="BC267" s="104"/>
      <c r="BD267" s="104"/>
      <c r="BE267" s="104"/>
      <c r="BF267" s="104"/>
      <c r="BG267" s="104"/>
    </row>
    <row r="268" spans="1:59" s="105" customFormat="1" ht="15" customHeight="1">
      <c r="A268" s="296"/>
      <c r="B268" s="217"/>
      <c r="C268" s="217">
        <v>10</v>
      </c>
      <c r="D268" s="101"/>
      <c r="E268" s="101"/>
      <c r="F268" s="556" t="s">
        <v>3122</v>
      </c>
      <c r="G268" s="295" t="str">
        <f>VLOOKUP(F268,'GL Category'!A:C,3,FALSE)</f>
        <v>Services &amp; other</v>
      </c>
      <c r="H268" s="98" t="str">
        <f>VLOOKUP(F268,'GL Category'!A:C,2,FALSE)</f>
        <v>OFFICE EQUIP LEASE EXP-CITY</v>
      </c>
      <c r="I268" s="99">
        <f t="shared" si="322"/>
        <v>68925</v>
      </c>
      <c r="J268" s="99">
        <f t="shared" si="322"/>
        <v>74552</v>
      </c>
      <c r="K268" s="99">
        <f t="shared" si="322"/>
        <v>76056</v>
      </c>
      <c r="L268" s="99">
        <f t="shared" si="322"/>
        <v>81476</v>
      </c>
      <c r="M268" s="99">
        <f t="shared" si="322"/>
        <v>64920</v>
      </c>
      <c r="N268" s="99">
        <f t="shared" si="322"/>
        <v>48690</v>
      </c>
      <c r="O268" s="99">
        <f t="shared" si="322"/>
        <v>64920</v>
      </c>
      <c r="P268" s="99">
        <f t="shared" si="323"/>
        <v>0</v>
      </c>
      <c r="Q268" s="99">
        <f t="shared" si="324"/>
        <v>69117</v>
      </c>
      <c r="R268" s="99">
        <f t="shared" si="324"/>
        <v>0</v>
      </c>
      <c r="S268" s="99">
        <f t="shared" si="324"/>
        <v>0</v>
      </c>
      <c r="T268" s="99">
        <f t="shared" si="324"/>
        <v>69117</v>
      </c>
      <c r="U268" s="99">
        <f t="shared" si="325"/>
        <v>4197</v>
      </c>
      <c r="V268" s="255">
        <f t="shared" si="326"/>
        <v>6.4648798521256934E-2</v>
      </c>
      <c r="W268" s="102"/>
      <c r="X268" s="102"/>
      <c r="Y268" s="102">
        <f t="shared" si="327"/>
        <v>69117</v>
      </c>
      <c r="Z268" s="309">
        <f>Y268*(1+VLOOKUP($F268,'GL Category'!$A:$H,4,FALSE))</f>
        <v>71190.509999999995</v>
      </c>
      <c r="AA268" s="615"/>
      <c r="AB268" s="622">
        <f t="shared" si="328"/>
        <v>71190.509999999995</v>
      </c>
      <c r="AC268" s="633">
        <f>AB268*(1+VLOOKUP($F268,'GL Category'!$A:$H,5,FALSE))</f>
        <v>73326.225299999991</v>
      </c>
      <c r="AD268" s="307"/>
      <c r="AE268" s="622">
        <f t="shared" si="329"/>
        <v>73326.225299999991</v>
      </c>
      <c r="AF268" s="633">
        <f>AE268*(1+VLOOKUP($F268,'GL Category'!$A:$H,6,FALSE))</f>
        <v>75526.012058999986</v>
      </c>
      <c r="AG268" s="307"/>
      <c r="AH268" s="622">
        <f t="shared" si="330"/>
        <v>75526.012058999986</v>
      </c>
      <c r="AI268" s="633">
        <f>AH268*(1+VLOOKUP($F268,'GL Category'!$A:$H,7,FALSE))</f>
        <v>77791.792420769983</v>
      </c>
      <c r="AJ268" s="307"/>
      <c r="AK268" s="622">
        <f t="shared" si="331"/>
        <v>77791.792420769983</v>
      </c>
      <c r="AL268" s="633">
        <f>AK268*(1+VLOOKUP($F268,'GL Category'!$A:$H,8,FALSE))</f>
        <v>80125.546193393078</v>
      </c>
      <c r="AM268" s="307"/>
      <c r="AN268" s="622">
        <f t="shared" si="332"/>
        <v>80125.546193393078</v>
      </c>
      <c r="AO268" s="196"/>
      <c r="AP268" s="196"/>
      <c r="AQ268" s="196"/>
      <c r="AR268" s="104"/>
      <c r="AS268" s="104"/>
      <c r="AT268" s="104"/>
      <c r="AU268" s="104"/>
      <c r="AV268" s="104"/>
      <c r="AW268" s="104"/>
      <c r="AX268" s="104"/>
      <c r="AY268" s="104"/>
      <c r="AZ268" s="104"/>
      <c r="BA268" s="104"/>
      <c r="BB268" s="104"/>
      <c r="BC268" s="104"/>
      <c r="BD268" s="104"/>
      <c r="BE268" s="104"/>
      <c r="BF268" s="104"/>
      <c r="BG268" s="104"/>
    </row>
    <row r="269" spans="1:59" s="105" customFormat="1" ht="15" customHeight="1">
      <c r="A269" s="297"/>
      <c r="B269" s="217"/>
      <c r="C269" s="217"/>
      <c r="D269" s="101"/>
      <c r="E269" s="101"/>
      <c r="F269" s="294"/>
      <c r="G269" s="295"/>
      <c r="H269" s="107" t="str">
        <f>UPPER(G268)&amp;" TOTAL"</f>
        <v>SERVICES &amp; OTHER TOTAL</v>
      </c>
      <c r="I269" s="108">
        <f t="shared" ref="I269" si="333">SUBTOTAL(9,I254:I268)</f>
        <v>443142.35</v>
      </c>
      <c r="J269" s="108">
        <f t="shared" ref="J269:T269" si="334">SUBTOTAL(9,J254:J268)</f>
        <v>502700.24</v>
      </c>
      <c r="K269" s="108">
        <f t="shared" ref="K269" si="335">SUBTOTAL(9,K254:K268)</f>
        <v>578702.48</v>
      </c>
      <c r="L269" s="108">
        <f t="shared" ref="L269" si="336">SUBTOTAL(9,L254:L268)</f>
        <v>557245.26</v>
      </c>
      <c r="M269" s="108">
        <f t="shared" si="334"/>
        <v>621336</v>
      </c>
      <c r="N269" s="108">
        <f t="shared" ref="N269" si="337">SUBTOTAL(9,N254:N268)</f>
        <v>492701.12999999995</v>
      </c>
      <c r="O269" s="108">
        <f t="shared" si="334"/>
        <v>588217</v>
      </c>
      <c r="P269" s="108">
        <f t="shared" si="334"/>
        <v>-33119</v>
      </c>
      <c r="Q269" s="108">
        <f t="shared" si="334"/>
        <v>613533</v>
      </c>
      <c r="R269" s="108">
        <f t="shared" si="334"/>
        <v>126571</v>
      </c>
      <c r="S269" s="108">
        <f t="shared" si="334"/>
        <v>10000</v>
      </c>
      <c r="T269" s="108">
        <f t="shared" si="334"/>
        <v>750104</v>
      </c>
      <c r="U269" s="99">
        <f t="shared" si="325"/>
        <v>128768</v>
      </c>
      <c r="V269" s="255">
        <f t="shared" si="326"/>
        <v>0.20724374573499693</v>
      </c>
      <c r="W269" s="102"/>
      <c r="X269" s="102"/>
      <c r="Y269" s="102"/>
      <c r="Z269" s="95"/>
      <c r="AA269" s="615"/>
      <c r="AB269" s="627"/>
      <c r="AC269" s="303"/>
      <c r="AD269" s="303"/>
      <c r="AE269" s="303"/>
      <c r="AF269" s="303"/>
      <c r="AG269" s="303"/>
      <c r="AH269" s="627"/>
      <c r="AI269" s="627"/>
      <c r="AJ269" s="303"/>
      <c r="AK269" s="303"/>
      <c r="AL269" s="303"/>
      <c r="AM269" s="303"/>
      <c r="AN269" s="303"/>
      <c r="AO269" s="196"/>
      <c r="AP269" s="196"/>
      <c r="AQ269" s="196"/>
      <c r="AR269" s="104"/>
      <c r="AS269" s="104"/>
      <c r="AT269" s="104"/>
      <c r="AU269" s="104"/>
      <c r="AV269" s="104"/>
      <c r="AW269" s="104"/>
      <c r="AX269" s="104"/>
      <c r="AY269" s="104"/>
      <c r="AZ269" s="104"/>
      <c r="BA269" s="104"/>
      <c r="BB269" s="104"/>
      <c r="BC269" s="104"/>
      <c r="BD269" s="104"/>
      <c r="BE269" s="104"/>
      <c r="BF269" s="104"/>
      <c r="BG269" s="104"/>
    </row>
    <row r="270" spans="1:59" s="105" customFormat="1" ht="15" customHeight="1">
      <c r="A270" s="297"/>
      <c r="B270" s="217"/>
      <c r="C270" s="217"/>
      <c r="D270" s="101"/>
      <c r="E270" s="101"/>
      <c r="F270" s="294"/>
      <c r="G270" s="295"/>
      <c r="H270" s="98"/>
      <c r="I270" s="106"/>
      <c r="J270" s="106"/>
      <c r="K270" s="106"/>
      <c r="L270" s="106"/>
      <c r="M270" s="106"/>
      <c r="N270" s="110"/>
      <c r="O270" s="110"/>
      <c r="P270" s="110"/>
      <c r="Q270" s="111"/>
      <c r="R270" s="99"/>
      <c r="S270" s="99">
        <f>AB231</f>
        <v>0</v>
      </c>
      <c r="T270" s="111"/>
      <c r="U270" s="111"/>
      <c r="V270" s="111"/>
      <c r="W270" s="102"/>
      <c r="X270" s="102"/>
      <c r="Y270" s="102"/>
      <c r="Z270" s="95"/>
      <c r="AA270" s="615"/>
      <c r="AB270" s="627"/>
      <c r="AC270" s="303"/>
      <c r="AD270" s="303"/>
      <c r="AE270" s="303"/>
      <c r="AF270" s="303"/>
      <c r="AG270" s="303"/>
      <c r="AH270" s="627"/>
      <c r="AI270" s="627"/>
      <c r="AJ270" s="303"/>
      <c r="AK270" s="303"/>
      <c r="AL270" s="303"/>
      <c r="AM270" s="303"/>
      <c r="AN270" s="303"/>
      <c r="AO270" s="196"/>
      <c r="AP270" s="196"/>
      <c r="AQ270" s="196"/>
      <c r="AR270" s="104"/>
      <c r="AS270" s="104"/>
      <c r="AT270" s="104"/>
      <c r="AU270" s="104"/>
      <c r="AV270" s="104"/>
      <c r="AW270" s="104"/>
      <c r="AX270" s="104"/>
      <c r="AY270" s="104"/>
      <c r="AZ270" s="104"/>
      <c r="BA270" s="104"/>
      <c r="BB270" s="104"/>
      <c r="BC270" s="104"/>
      <c r="BD270" s="104"/>
      <c r="BE270" s="104"/>
      <c r="BF270" s="104"/>
      <c r="BG270" s="104"/>
    </row>
    <row r="271" spans="1:59" s="105" customFormat="1" ht="15" customHeight="1">
      <c r="A271" s="296"/>
      <c r="B271" s="217"/>
      <c r="C271" s="217">
        <v>10</v>
      </c>
      <c r="D271" s="101"/>
      <c r="E271" s="101"/>
      <c r="F271" s="294" t="s">
        <v>222</v>
      </c>
      <c r="G271" s="295" t="str">
        <f>VLOOKUP(F271,'GL Category'!A:C,2,FALSE)</f>
        <v>OFFICE MACHINERY &amp; EQUIPMENT</v>
      </c>
      <c r="H271" s="98" t="str">
        <f>VLOOKUP(F271,'GL Category'!A:C,2,FALSE)</f>
        <v>OFFICE MACHINERY &amp; EQUIPMENT</v>
      </c>
      <c r="I271" s="99">
        <f t="shared" ref="I271:O271" si="338">SUMIFS(I$1:I$226,$C$1:$C$226,$C271,$F$1:$F$226,$F271)</f>
        <v>0</v>
      </c>
      <c r="J271" s="99">
        <f t="shared" si="338"/>
        <v>0</v>
      </c>
      <c r="K271" s="99">
        <f t="shared" si="338"/>
        <v>0</v>
      </c>
      <c r="L271" s="99">
        <f t="shared" si="338"/>
        <v>0</v>
      </c>
      <c r="M271" s="99">
        <f t="shared" si="338"/>
        <v>0</v>
      </c>
      <c r="N271" s="99">
        <f t="shared" si="338"/>
        <v>0</v>
      </c>
      <c r="O271" s="99">
        <f t="shared" si="338"/>
        <v>0</v>
      </c>
      <c r="P271" s="99">
        <f>O271-M271</f>
        <v>0</v>
      </c>
      <c r="Q271" s="99">
        <f>SUMIFS(Q$1:Q$226,$C$1:$C$226,$C271,$F$1:$F$226,$F271)</f>
        <v>0</v>
      </c>
      <c r="R271" s="99">
        <f>SUMIFS(R$1:R$226,$C$1:$C$226,$C271,$F$1:$F$226,$F271)</f>
        <v>0</v>
      </c>
      <c r="S271" s="99">
        <f>SUMIFS(S$1:S$226,$C$1:$C$226,$C271,$F$1:$F$226,$F271)</f>
        <v>0</v>
      </c>
      <c r="T271" s="99">
        <f>SUMIFS(T$1:T$226,$C$1:$C$226,$C271,$F$1:$F$226,$F271)</f>
        <v>0</v>
      </c>
      <c r="U271" s="99">
        <f>T271-M271</f>
        <v>0</v>
      </c>
      <c r="V271" s="255" t="str">
        <f>IF(M271=0,"N/A",T271/M271-1)</f>
        <v>N/A</v>
      </c>
      <c r="W271" s="102"/>
      <c r="X271" s="102"/>
      <c r="Y271" s="102">
        <f t="shared" ref="Y271" si="339">T271-X271</f>
        <v>0</v>
      </c>
      <c r="Z271" s="309">
        <f>Y271*(1+VLOOKUP($F271,'GL Category'!$A:$H,4,FALSE))</f>
        <v>0</v>
      </c>
      <c r="AA271" s="615"/>
      <c r="AB271" s="622">
        <f>Z271+AA271</f>
        <v>0</v>
      </c>
      <c r="AC271" s="633">
        <f>AB271*(1+VLOOKUP($F271,'GL Category'!$A:$H,5,FALSE))</f>
        <v>0</v>
      </c>
      <c r="AD271" s="307"/>
      <c r="AE271" s="622">
        <f>AC271+AD271</f>
        <v>0</v>
      </c>
      <c r="AF271" s="633">
        <f>AE271*(1+VLOOKUP($F271,'GL Category'!$A:$H,6,FALSE))</f>
        <v>0</v>
      </c>
      <c r="AG271" s="307"/>
      <c r="AH271" s="622">
        <f>AF271+AG271</f>
        <v>0</v>
      </c>
      <c r="AI271" s="633">
        <f>AH271*(1+VLOOKUP($F271,'GL Category'!$A:$H,7,FALSE))</f>
        <v>0</v>
      </c>
      <c r="AJ271" s="307"/>
      <c r="AK271" s="622">
        <f>AI271+AJ271</f>
        <v>0</v>
      </c>
      <c r="AL271" s="633">
        <f>AK271*(1+VLOOKUP($F271,'GL Category'!$A:$H,8,FALSE))</f>
        <v>0</v>
      </c>
      <c r="AM271" s="307"/>
      <c r="AN271" s="622">
        <f>AL271+AM271</f>
        <v>0</v>
      </c>
      <c r="AO271" s="196"/>
      <c r="AP271" s="196"/>
      <c r="AQ271" s="196"/>
      <c r="AR271" s="104"/>
      <c r="AS271" s="104"/>
      <c r="AT271" s="104"/>
      <c r="AU271" s="104"/>
      <c r="AV271" s="104"/>
      <c r="AW271" s="104"/>
      <c r="AX271" s="104"/>
      <c r="AY271" s="104"/>
      <c r="AZ271" s="104"/>
      <c r="BA271" s="104"/>
      <c r="BB271" s="104"/>
      <c r="BC271" s="104"/>
      <c r="BD271" s="104"/>
      <c r="BE271" s="104"/>
      <c r="BF271" s="104"/>
      <c r="BG271" s="104"/>
    </row>
    <row r="272" spans="1:59" s="105" customFormat="1" ht="27" customHeight="1">
      <c r="A272" s="297"/>
      <c r="B272" s="217"/>
      <c r="C272" s="217"/>
      <c r="D272" s="101"/>
      <c r="E272" s="101"/>
      <c r="F272" s="294"/>
      <c r="G272" s="295"/>
      <c r="H272" s="107" t="str">
        <f>UPPER(G271)&amp;" TOTAL"</f>
        <v>OFFICE MACHINERY &amp; EQUIPMENT TOTAL</v>
      </c>
      <c r="I272" s="108">
        <f t="shared" ref="I272" si="340">SUBTOTAL(9,I271:I271)</f>
        <v>0</v>
      </c>
      <c r="J272" s="108">
        <f t="shared" ref="J272:P272" si="341">SUBTOTAL(9,J271:J271)</f>
        <v>0</v>
      </c>
      <c r="K272" s="108">
        <f t="shared" ref="K272" si="342">SUBTOTAL(9,K271:K271)</f>
        <v>0</v>
      </c>
      <c r="L272" s="108">
        <f t="shared" ref="L272" si="343">SUBTOTAL(9,L271:L271)</f>
        <v>0</v>
      </c>
      <c r="M272" s="108">
        <f t="shared" si="341"/>
        <v>0</v>
      </c>
      <c r="N272" s="109">
        <f t="shared" ref="N272" si="344">SUBTOTAL(9,N271:N271)</f>
        <v>0</v>
      </c>
      <c r="O272" s="109">
        <f t="shared" si="341"/>
        <v>0</v>
      </c>
      <c r="P272" s="109">
        <f t="shared" si="341"/>
        <v>0</v>
      </c>
      <c r="Q272" s="109">
        <f t="shared" ref="Q272:T272" si="345">SUBTOTAL(9,Q271:Q271)</f>
        <v>0</v>
      </c>
      <c r="R272" s="109">
        <f t="shared" si="345"/>
        <v>0</v>
      </c>
      <c r="S272" s="109">
        <f t="shared" si="345"/>
        <v>0</v>
      </c>
      <c r="T272" s="109">
        <f t="shared" si="345"/>
        <v>0</v>
      </c>
      <c r="U272" s="99">
        <f>T272-M272</f>
        <v>0</v>
      </c>
      <c r="V272" s="255" t="str">
        <f>IF(M272=0,"N/A",T272/M272-1)</f>
        <v>N/A</v>
      </c>
      <c r="W272" s="102"/>
      <c r="X272" s="102"/>
      <c r="Y272" s="102"/>
      <c r="Z272" s="95"/>
      <c r="AA272" s="615"/>
      <c r="AB272" s="627"/>
      <c r="AC272" s="112"/>
      <c r="AD272" s="112"/>
      <c r="AE272" s="112"/>
      <c r="AF272" s="112"/>
      <c r="AG272" s="112"/>
      <c r="AH272" s="627"/>
      <c r="AI272" s="627"/>
      <c r="AJ272" s="112"/>
      <c r="AK272" s="112"/>
      <c r="AL272" s="112"/>
      <c r="AM272" s="112"/>
      <c r="AN272" s="112"/>
      <c r="AO272" s="196"/>
      <c r="AP272" s="196"/>
      <c r="AQ272" s="196"/>
      <c r="AR272" s="104"/>
      <c r="AS272" s="104"/>
      <c r="AT272" s="104"/>
      <c r="AU272" s="104"/>
      <c r="AV272" s="104"/>
      <c r="AW272" s="104"/>
      <c r="AX272" s="104"/>
      <c r="AY272" s="104"/>
      <c r="AZ272" s="104"/>
      <c r="BA272" s="104"/>
      <c r="BB272" s="104"/>
      <c r="BC272" s="104"/>
      <c r="BD272" s="104"/>
      <c r="BE272" s="104"/>
      <c r="BF272" s="104"/>
      <c r="BG272" s="104"/>
    </row>
    <row r="273" spans="1:59" s="105" customFormat="1" ht="15" customHeight="1">
      <c r="A273" s="297"/>
      <c r="B273" s="217"/>
      <c r="C273" s="217"/>
      <c r="D273" s="101"/>
      <c r="E273" s="101"/>
      <c r="F273" s="294"/>
      <c r="G273" s="295"/>
      <c r="H273" s="98"/>
      <c r="I273" s="106"/>
      <c r="J273" s="106"/>
      <c r="K273" s="106"/>
      <c r="L273" s="106"/>
      <c r="M273" s="106"/>
      <c r="N273" s="110"/>
      <c r="O273" s="110"/>
      <c r="P273" s="110"/>
      <c r="Q273" s="111"/>
      <c r="R273" s="99"/>
      <c r="S273" s="99"/>
      <c r="T273" s="111"/>
      <c r="U273" s="111"/>
      <c r="V273" s="111"/>
      <c r="W273" s="102"/>
      <c r="X273" s="102"/>
      <c r="Y273" s="102"/>
      <c r="Z273" s="95"/>
      <c r="AA273" s="615"/>
      <c r="AB273" s="627"/>
      <c r="AC273" s="233"/>
      <c r="AD273" s="233"/>
      <c r="AE273" s="233"/>
      <c r="AF273" s="233"/>
      <c r="AG273" s="233"/>
      <c r="AH273" s="627"/>
      <c r="AI273" s="627"/>
      <c r="AJ273" s="233"/>
      <c r="AK273" s="233"/>
      <c r="AL273" s="233"/>
      <c r="AM273" s="233"/>
      <c r="AN273" s="233"/>
      <c r="AO273" s="196"/>
      <c r="AP273" s="196"/>
      <c r="AQ273" s="196"/>
      <c r="AR273" s="104"/>
      <c r="AS273" s="104"/>
      <c r="AT273" s="104"/>
      <c r="AU273" s="104"/>
      <c r="AV273" s="104"/>
      <c r="AW273" s="104"/>
      <c r="AX273" s="104"/>
      <c r="AY273" s="104"/>
      <c r="AZ273" s="104"/>
      <c r="BA273" s="104"/>
      <c r="BB273" s="104"/>
      <c r="BC273" s="104"/>
      <c r="BD273" s="104"/>
      <c r="BE273" s="104"/>
      <c r="BF273" s="104"/>
      <c r="BG273" s="104"/>
    </row>
    <row r="274" spans="1:59" ht="15" customHeight="1">
      <c r="A274" s="297"/>
      <c r="B274" s="217"/>
      <c r="C274" s="217"/>
      <c r="D274" s="101"/>
      <c r="E274" s="101"/>
      <c r="F274" s="294"/>
      <c r="G274" s="295"/>
      <c r="H274" s="114" t="s">
        <v>51</v>
      </c>
      <c r="I274" s="108">
        <f t="shared" ref="I274:T274" si="346">SUBTOTAL(9,I232:I273)</f>
        <v>1360238.2099999997</v>
      </c>
      <c r="J274" s="108">
        <f t="shared" si="346"/>
        <v>1419212.31</v>
      </c>
      <c r="K274" s="108">
        <f t="shared" si="346"/>
        <v>1571247.24</v>
      </c>
      <c r="L274" s="108">
        <f t="shared" si="346"/>
        <v>1607960.57</v>
      </c>
      <c r="M274" s="108">
        <f t="shared" si="346"/>
        <v>1712371</v>
      </c>
      <c r="N274" s="108">
        <f t="shared" si="346"/>
        <v>1217774.3599999999</v>
      </c>
      <c r="O274" s="108">
        <f t="shared" si="346"/>
        <v>1608584</v>
      </c>
      <c r="P274" s="108">
        <f t="shared" si="346"/>
        <v>-103787</v>
      </c>
      <c r="Q274" s="108">
        <f t="shared" si="346"/>
        <v>1711387</v>
      </c>
      <c r="R274" s="108">
        <f t="shared" si="346"/>
        <v>127621</v>
      </c>
      <c r="S274" s="108">
        <f t="shared" si="346"/>
        <v>10000</v>
      </c>
      <c r="T274" s="108">
        <f t="shared" si="346"/>
        <v>1849008</v>
      </c>
      <c r="U274" s="99">
        <f>T274-M274</f>
        <v>136637</v>
      </c>
      <c r="V274" s="255">
        <f>IF(M274=0,"N/A",T274/M274-1)</f>
        <v>7.9794039959798502E-2</v>
      </c>
      <c r="W274" s="102"/>
      <c r="X274" s="102"/>
      <c r="Y274" s="102"/>
      <c r="AA274" s="615"/>
      <c r="AC274" s="300"/>
      <c r="AD274" s="300"/>
      <c r="AE274" s="300"/>
      <c r="AF274" s="300"/>
      <c r="AG274" s="300"/>
      <c r="AJ274" s="300"/>
      <c r="AK274" s="300"/>
      <c r="AL274" s="300"/>
      <c r="AM274" s="300"/>
      <c r="AN274" s="300"/>
    </row>
    <row r="275" spans="1:59" ht="15" customHeight="1" thickBot="1">
      <c r="A275" s="297"/>
      <c r="B275" s="217"/>
      <c r="C275" s="217"/>
      <c r="D275" s="101"/>
      <c r="E275" s="101"/>
      <c r="F275" s="294"/>
      <c r="G275" s="295"/>
      <c r="H275" s="98"/>
      <c r="I275" s="218"/>
      <c r="J275" s="218"/>
      <c r="K275" s="218"/>
      <c r="L275" s="218"/>
      <c r="M275" s="218"/>
      <c r="U275" s="212"/>
      <c r="V275" s="212"/>
      <c r="W275" s="102"/>
      <c r="X275" s="102"/>
      <c r="Y275" s="102"/>
      <c r="AA275" s="615"/>
      <c r="AC275" s="300"/>
      <c r="AD275" s="300"/>
      <c r="AE275" s="300"/>
      <c r="AF275" s="300"/>
      <c r="AG275" s="300"/>
      <c r="AJ275" s="300"/>
      <c r="AK275" s="300"/>
      <c r="AL275" s="300"/>
      <c r="AM275" s="300"/>
      <c r="AN275" s="300"/>
    </row>
    <row r="276" spans="1:59" s="105" customFormat="1" ht="23.25" customHeight="1" thickBot="1">
      <c r="A276" s="297"/>
      <c r="B276" s="217"/>
      <c r="C276" s="217"/>
      <c r="D276" s="101"/>
      <c r="E276" s="101"/>
      <c r="F276" s="294"/>
      <c r="G276" s="295"/>
      <c r="H276" s="668" t="s">
        <v>610</v>
      </c>
      <c r="I276" s="669"/>
      <c r="J276" s="669"/>
      <c r="K276" s="669"/>
      <c r="L276" s="669"/>
      <c r="M276" s="669"/>
      <c r="N276" s="669"/>
      <c r="O276" s="669"/>
      <c r="P276" s="669"/>
      <c r="Q276" s="669"/>
      <c r="R276" s="669"/>
      <c r="S276" s="669"/>
      <c r="T276" s="670"/>
      <c r="U276" s="252"/>
      <c r="V276" s="252"/>
      <c r="W276" s="102"/>
      <c r="X276" s="102"/>
      <c r="Y276" s="102"/>
      <c r="Z276" s="95"/>
      <c r="AA276" s="615"/>
      <c r="AB276" s="627"/>
      <c r="AC276" s="202"/>
      <c r="AD276" s="202"/>
      <c r="AE276" s="202"/>
      <c r="AF276" s="202"/>
      <c r="AG276" s="202"/>
      <c r="AH276" s="627"/>
      <c r="AI276" s="627"/>
      <c r="AJ276" s="202"/>
      <c r="AK276" s="202"/>
      <c r="AL276" s="202"/>
      <c r="AM276" s="202"/>
      <c r="AN276" s="202"/>
      <c r="AO276" s="196"/>
      <c r="AP276" s="196"/>
      <c r="AQ276" s="196"/>
      <c r="AR276" s="104"/>
      <c r="AS276" s="104"/>
      <c r="AT276" s="104"/>
      <c r="AU276" s="104"/>
      <c r="AV276" s="104"/>
      <c r="AW276" s="104"/>
      <c r="AX276" s="104"/>
      <c r="AY276" s="104"/>
      <c r="AZ276" s="104"/>
      <c r="BA276" s="104"/>
      <c r="BB276" s="104"/>
      <c r="BC276" s="104"/>
      <c r="BD276" s="104"/>
      <c r="BE276" s="104"/>
      <c r="BF276" s="104"/>
      <c r="BG276" s="104"/>
    </row>
    <row r="277" spans="1:59" s="105" customFormat="1" ht="15" customHeight="1">
      <c r="A277" s="297"/>
      <c r="B277" s="217"/>
      <c r="C277" s="217"/>
      <c r="D277" s="101"/>
      <c r="E277" s="101"/>
      <c r="F277" s="294"/>
      <c r="G277" s="295"/>
      <c r="H277" s="225"/>
      <c r="I277" s="225"/>
      <c r="J277" s="225"/>
      <c r="K277" s="225"/>
      <c r="L277" s="225"/>
      <c r="M277" s="225"/>
      <c r="N277" s="225"/>
      <c r="O277" s="225"/>
      <c r="P277" s="225"/>
      <c r="Q277" s="225"/>
      <c r="R277" s="225"/>
      <c r="S277" s="225"/>
      <c r="T277" s="225"/>
      <c r="U277" s="225"/>
      <c r="V277" s="225"/>
      <c r="W277" s="102"/>
      <c r="X277" s="102"/>
      <c r="Y277" s="102"/>
      <c r="Z277" s="95"/>
      <c r="AA277" s="615"/>
      <c r="AB277" s="627"/>
      <c r="AC277" s="110"/>
      <c r="AD277" s="110"/>
      <c r="AE277" s="110"/>
      <c r="AF277" s="110"/>
      <c r="AG277" s="110"/>
      <c r="AH277" s="627"/>
      <c r="AI277" s="627"/>
      <c r="AJ277" s="110"/>
      <c r="AK277" s="110"/>
      <c r="AL277" s="110"/>
      <c r="AM277" s="110"/>
      <c r="AN277" s="110"/>
      <c r="AO277" s="196"/>
      <c r="AP277" s="196"/>
      <c r="AQ277" s="196"/>
      <c r="AR277" s="104"/>
      <c r="AS277" s="104"/>
      <c r="AT277" s="104"/>
      <c r="AU277" s="104"/>
      <c r="AV277" s="104"/>
      <c r="AW277" s="104"/>
      <c r="AX277" s="104"/>
      <c r="AY277" s="104"/>
      <c r="AZ277" s="104"/>
      <c r="BA277" s="104"/>
      <c r="BB277" s="104"/>
      <c r="BC277" s="104"/>
      <c r="BD277" s="104"/>
      <c r="BE277" s="104"/>
      <c r="BF277" s="104"/>
      <c r="BG277" s="104"/>
    </row>
    <row r="278" spans="1:59" s="105" customFormat="1" ht="15" customHeight="1">
      <c r="A278" s="555" t="s">
        <v>2337</v>
      </c>
      <c r="B278" s="217" t="str">
        <f t="shared" ref="B278:B285" si="347">LEFT(A278,3)</f>
        <v>100</v>
      </c>
      <c r="C278" s="217" t="str">
        <f t="shared" ref="C278:C285" si="348">MID(A278,5,2)</f>
        <v>11</v>
      </c>
      <c r="D278" s="101" t="str">
        <f t="shared" ref="D278:D285" si="349">MID(A278,8,3)</f>
        <v>111</v>
      </c>
      <c r="E278" s="217" t="str">
        <f t="shared" ref="E278:E285" si="350">LEFT(A278,10)</f>
        <v>100-11-111</v>
      </c>
      <c r="F278" s="294" t="str">
        <f t="shared" ref="F278:F285" si="351">RIGHT(A278,5)</f>
        <v>50101</v>
      </c>
      <c r="G278" s="295" t="str">
        <f>VLOOKUP(F278,'GL Category'!A:C,3,FALSE)</f>
        <v>Personnel services</v>
      </c>
      <c r="H278" s="98" t="str">
        <f>VLOOKUP(F278,'GL Category'!A:C,2,FALSE)</f>
        <v>EXEMPT SALARIES</v>
      </c>
      <c r="I278" s="99">
        <f>SUMIF(Import!$B:$B,$A278,Import!D:D)</f>
        <v>78136</v>
      </c>
      <c r="J278" s="99">
        <f>SUMIF(Import!$B:$B,$A278,Import!E:E)</f>
        <v>80328.34</v>
      </c>
      <c r="K278" s="99">
        <f>SUMIF(Import!$B:$B,$A278,Import!F:F)</f>
        <v>84258.09</v>
      </c>
      <c r="L278" s="99">
        <f>SUMIF(Import!$B:$B,$A278,Import!G:G)</f>
        <v>87702.01</v>
      </c>
      <c r="M278" s="99">
        <f>SUMIF(Import!$B:$B,$A278,Import!H:H)</f>
        <v>90928</v>
      </c>
      <c r="N278" s="99">
        <f>SUMIF(Import!$B:$B,$A278,Import!I:I)</f>
        <v>69699.740000000005</v>
      </c>
      <c r="O278" s="99">
        <f>SUMIF(Import!$B:$B,$A278,Import!J:J)</f>
        <v>91492</v>
      </c>
      <c r="P278" s="99">
        <f t="shared" ref="P278:P285" si="352">O278-M278</f>
        <v>564</v>
      </c>
      <c r="Q278" s="99">
        <f>SUMIF(Import!$B:$B,$A278,Import!K:K)</f>
        <v>94599</v>
      </c>
      <c r="R278" s="99">
        <f>SUMIF(Import!$B:$B,$A278,Import!L:L)</f>
        <v>0</v>
      </c>
      <c r="S278" s="99">
        <f>SUMIF(Import!$B:$B,$A278,Import!M:M)</f>
        <v>0</v>
      </c>
      <c r="T278" s="99">
        <f>SUMIF(Import!$B:$B,$A278,Import!N:N)</f>
        <v>94599</v>
      </c>
      <c r="U278" s="99">
        <f t="shared" ref="U278:U285" si="353">T278-M278</f>
        <v>3671</v>
      </c>
      <c r="V278" s="255">
        <f t="shared" ref="V278:V285" si="354">IF(M278=0,"N/A",T278/M278-1)</f>
        <v>4.0372602498680354E-2</v>
      </c>
      <c r="W278" s="102" t="s">
        <v>2337</v>
      </c>
      <c r="X278" s="102"/>
      <c r="Y278" s="102">
        <f t="shared" ref="Y278:Y285" si="355">T278-X278</f>
        <v>94599</v>
      </c>
      <c r="Z278" s="309">
        <f>Y278*(1+VLOOKUP($F278,'GL Category'!$A:$H,4,FALSE))</f>
        <v>97909.964999999997</v>
      </c>
      <c r="AA278" s="615"/>
      <c r="AB278" s="622">
        <f t="shared" ref="AB278:AB285" si="356">Z278+AA278</f>
        <v>97909.964999999997</v>
      </c>
      <c r="AC278" s="633">
        <f>AB278*(1+VLOOKUP($F278,'GL Category'!$A:$H,5,FALSE))</f>
        <v>101336.81377499999</v>
      </c>
      <c r="AD278" s="307"/>
      <c r="AE278" s="622">
        <f t="shared" ref="AE278:AE285" si="357">AC278+AD278</f>
        <v>101336.81377499999</v>
      </c>
      <c r="AF278" s="633">
        <f>AE278*(1+VLOOKUP($F278,'GL Category'!$A:$H,6,FALSE))</f>
        <v>104883.60225712498</v>
      </c>
      <c r="AG278" s="307"/>
      <c r="AH278" s="622">
        <f t="shared" ref="AH278:AH285" si="358">AF278+AG278</f>
        <v>104883.60225712498</v>
      </c>
      <c r="AI278" s="633">
        <f>AH278*(1+VLOOKUP($F278,'GL Category'!$A:$H,7,FALSE))</f>
        <v>108554.52833612435</v>
      </c>
      <c r="AJ278" s="307"/>
      <c r="AK278" s="622">
        <f t="shared" ref="AK278:AK285" si="359">AI278+AJ278</f>
        <v>108554.52833612435</v>
      </c>
      <c r="AL278" s="633">
        <f>AK278*(1+VLOOKUP($F278,'GL Category'!$A:$H,8,FALSE))</f>
        <v>112353.9368278887</v>
      </c>
      <c r="AM278" s="307"/>
      <c r="AN278" s="622">
        <f t="shared" ref="AN278:AN285" si="360">AL278+AM278</f>
        <v>112353.9368278887</v>
      </c>
      <c r="AO278" s="196"/>
      <c r="AP278" s="196"/>
      <c r="AQ278" s="196"/>
      <c r="AR278" s="104"/>
      <c r="AS278" s="104"/>
      <c r="AT278" s="104"/>
      <c r="AU278" s="104"/>
      <c r="AV278" s="104"/>
      <c r="AW278" s="104"/>
      <c r="AX278" s="104"/>
      <c r="AY278" s="104"/>
      <c r="AZ278" s="104"/>
      <c r="BA278" s="104"/>
      <c r="BB278" s="104"/>
      <c r="BC278" s="104"/>
      <c r="BD278" s="104"/>
      <c r="BE278" s="104"/>
      <c r="BF278" s="104"/>
      <c r="BG278" s="104"/>
    </row>
    <row r="279" spans="1:59" s="105" customFormat="1" ht="15" customHeight="1">
      <c r="A279" s="555" t="s">
        <v>2338</v>
      </c>
      <c r="B279" s="217" t="str">
        <f t="shared" si="347"/>
        <v>100</v>
      </c>
      <c r="C279" s="217" t="str">
        <f t="shared" si="348"/>
        <v>11</v>
      </c>
      <c r="D279" s="101" t="str">
        <f t="shared" si="349"/>
        <v>111</v>
      </c>
      <c r="E279" s="217" t="str">
        <f t="shared" si="350"/>
        <v>100-11-111</v>
      </c>
      <c r="F279" s="294" t="str">
        <f t="shared" si="351"/>
        <v>50102</v>
      </c>
      <c r="G279" s="295" t="str">
        <f>VLOOKUP(F279,'GL Category'!A:C,3,FALSE)</f>
        <v>Personnel services</v>
      </c>
      <c r="H279" s="98" t="str">
        <f>VLOOKUP(F279,'GL Category'!A:C,2,FALSE)</f>
        <v>NON EXEMPT SALARIES</v>
      </c>
      <c r="I279" s="99">
        <f>SUMIF(Import!$B:$B,$A279,Import!D:D)</f>
        <v>79484.12</v>
      </c>
      <c r="J279" s="99">
        <f>SUMIF(Import!$B:$B,$A279,Import!E:E)</f>
        <v>81749.22</v>
      </c>
      <c r="K279" s="99">
        <f>SUMIF(Import!$B:$B,$A279,Import!F:F)</f>
        <v>82571.22</v>
      </c>
      <c r="L279" s="99">
        <f>SUMIF(Import!$B:$B,$A279,Import!G:G)</f>
        <v>83800.56</v>
      </c>
      <c r="M279" s="99">
        <f>SUMIF(Import!$B:$B,$A279,Import!H:H)</f>
        <v>85259</v>
      </c>
      <c r="N279" s="99">
        <f>SUMIF(Import!$B:$B,$A279,Import!I:I)</f>
        <v>65449.21</v>
      </c>
      <c r="O279" s="99">
        <f>SUMIF(Import!$B:$B,$A279,Import!J:J)</f>
        <v>85917</v>
      </c>
      <c r="P279" s="99">
        <f t="shared" si="352"/>
        <v>658</v>
      </c>
      <c r="Q279" s="99">
        <f>SUMIF(Import!$B:$B,$A279,Import!K:K)</f>
        <v>89490</v>
      </c>
      <c r="R279" s="99">
        <f>SUMIF(Import!$B:$B,$A279,Import!L:L)</f>
        <v>0</v>
      </c>
      <c r="S279" s="99">
        <f>SUMIF(Import!$B:$B,$A279,Import!M:M)</f>
        <v>0</v>
      </c>
      <c r="T279" s="99">
        <f>SUMIF(Import!$B:$B,$A279,Import!N:N)</f>
        <v>89490</v>
      </c>
      <c r="U279" s="99">
        <f t="shared" si="353"/>
        <v>4231</v>
      </c>
      <c r="V279" s="255">
        <f t="shared" si="354"/>
        <v>4.9625259503395469E-2</v>
      </c>
      <c r="W279" s="102" t="s">
        <v>2338</v>
      </c>
      <c r="X279" s="102"/>
      <c r="Y279" s="102">
        <f t="shared" si="355"/>
        <v>89490</v>
      </c>
      <c r="Z279" s="309">
        <f>Y279*(1+VLOOKUP($F279,'GL Category'!$A:$H,4,FALSE))</f>
        <v>92622.15</v>
      </c>
      <c r="AA279" s="615"/>
      <c r="AB279" s="622">
        <f t="shared" si="356"/>
        <v>92622.15</v>
      </c>
      <c r="AC279" s="633">
        <f>AB279*(1+VLOOKUP($F279,'GL Category'!$A:$H,5,FALSE))</f>
        <v>95863.925249999986</v>
      </c>
      <c r="AD279" s="307"/>
      <c r="AE279" s="622">
        <f t="shared" si="357"/>
        <v>95863.925249999986</v>
      </c>
      <c r="AF279" s="633">
        <f>AE279*(1+VLOOKUP($F279,'GL Category'!$A:$H,6,FALSE))</f>
        <v>99219.162633749977</v>
      </c>
      <c r="AG279" s="307"/>
      <c r="AH279" s="622">
        <f t="shared" si="358"/>
        <v>99219.162633749977</v>
      </c>
      <c r="AI279" s="633">
        <f>AH279*(1+VLOOKUP($F279,'GL Category'!$A:$H,7,FALSE))</f>
        <v>102691.83332593122</v>
      </c>
      <c r="AJ279" s="307"/>
      <c r="AK279" s="622">
        <f t="shared" si="359"/>
        <v>102691.83332593122</v>
      </c>
      <c r="AL279" s="633">
        <f>AK279*(1+VLOOKUP($F279,'GL Category'!$A:$H,8,FALSE))</f>
        <v>106286.04749233881</v>
      </c>
      <c r="AM279" s="307"/>
      <c r="AN279" s="622">
        <f t="shared" si="360"/>
        <v>106286.04749233881</v>
      </c>
      <c r="AO279" s="196"/>
      <c r="AP279" s="196"/>
      <c r="AQ279" s="196"/>
      <c r="AR279" s="104"/>
      <c r="AS279" s="104"/>
      <c r="AT279" s="104"/>
      <c r="AU279" s="104"/>
      <c r="AV279" s="104"/>
      <c r="AW279" s="104"/>
      <c r="AX279" s="104"/>
      <c r="AY279" s="104"/>
      <c r="AZ279" s="104"/>
      <c r="BA279" s="104"/>
      <c r="BB279" s="104"/>
      <c r="BC279" s="104"/>
      <c r="BD279" s="104"/>
      <c r="BE279" s="104"/>
      <c r="BF279" s="104"/>
      <c r="BG279" s="104"/>
    </row>
    <row r="280" spans="1:59" s="105" customFormat="1" ht="15" customHeight="1">
      <c r="A280" s="555" t="s">
        <v>2339</v>
      </c>
      <c r="B280" s="217" t="str">
        <f t="shared" si="347"/>
        <v>100</v>
      </c>
      <c r="C280" s="217" t="str">
        <f t="shared" si="348"/>
        <v>11</v>
      </c>
      <c r="D280" s="101" t="str">
        <f t="shared" si="349"/>
        <v>111</v>
      </c>
      <c r="E280" s="217" t="str">
        <f t="shared" si="350"/>
        <v>100-11-111</v>
      </c>
      <c r="F280" s="294" t="str">
        <f t="shared" si="351"/>
        <v>50109</v>
      </c>
      <c r="G280" s="295" t="str">
        <f>VLOOKUP(F280,'GL Category'!A:C,3,FALSE)</f>
        <v>Personnel services</v>
      </c>
      <c r="H280" s="98" t="str">
        <f>VLOOKUP(F280,'GL Category'!A:C,2,FALSE)</f>
        <v>OVERTIME</v>
      </c>
      <c r="I280" s="99">
        <f>SUMIF(Import!$B:$B,$A280,Import!D:D)</f>
        <v>1210.3800000000001</v>
      </c>
      <c r="J280" s="99">
        <f>SUMIF(Import!$B:$B,$A280,Import!E:E)</f>
        <v>2365.2399999999998</v>
      </c>
      <c r="K280" s="99">
        <f>SUMIF(Import!$B:$B,$A280,Import!F:F)</f>
        <v>2747.62</v>
      </c>
      <c r="L280" s="99">
        <f>SUMIF(Import!$B:$B,$A280,Import!G:G)</f>
        <v>2847.46</v>
      </c>
      <c r="M280" s="99">
        <f>SUMIF(Import!$B:$B,$A280,Import!H:H)</f>
        <v>3000</v>
      </c>
      <c r="N280" s="99">
        <f>SUMIF(Import!$B:$B,$A280,Import!I:I)</f>
        <v>569.02</v>
      </c>
      <c r="O280" s="99">
        <f>SUMIF(Import!$B:$B,$A280,Import!J:J)</f>
        <v>197</v>
      </c>
      <c r="P280" s="99">
        <f t="shared" si="352"/>
        <v>-2803</v>
      </c>
      <c r="Q280" s="99">
        <f>SUMIF(Import!$B:$B,$A280,Import!K:K)</f>
        <v>3000</v>
      </c>
      <c r="R280" s="99">
        <f>SUMIF(Import!$B:$B,$A280,Import!L:L)</f>
        <v>0</v>
      </c>
      <c r="S280" s="99">
        <f>SUMIF(Import!$B:$B,$A280,Import!M:M)</f>
        <v>0</v>
      </c>
      <c r="T280" s="99">
        <f>SUMIF(Import!$B:$B,$A280,Import!N:N)</f>
        <v>3000</v>
      </c>
      <c r="U280" s="99">
        <f t="shared" si="353"/>
        <v>0</v>
      </c>
      <c r="V280" s="255">
        <f t="shared" si="354"/>
        <v>0</v>
      </c>
      <c r="W280" s="102" t="s">
        <v>2339</v>
      </c>
      <c r="X280" s="102"/>
      <c r="Y280" s="102">
        <f t="shared" si="355"/>
        <v>3000</v>
      </c>
      <c r="Z280" s="309">
        <f>Y280*(1+VLOOKUP($F280,'GL Category'!$A:$H,4,FALSE))</f>
        <v>3104.9999999999995</v>
      </c>
      <c r="AA280" s="615"/>
      <c r="AB280" s="622">
        <f t="shared" si="356"/>
        <v>3104.9999999999995</v>
      </c>
      <c r="AC280" s="633">
        <f>AB280*(1+VLOOKUP($F280,'GL Category'!$A:$H,5,FALSE))</f>
        <v>3213.6749999999993</v>
      </c>
      <c r="AD280" s="307"/>
      <c r="AE280" s="622">
        <f t="shared" si="357"/>
        <v>3213.6749999999993</v>
      </c>
      <c r="AF280" s="633">
        <f>AE280*(1+VLOOKUP($F280,'GL Category'!$A:$H,6,FALSE))</f>
        <v>3326.153624999999</v>
      </c>
      <c r="AG280" s="307"/>
      <c r="AH280" s="622">
        <f t="shared" si="358"/>
        <v>3326.153624999999</v>
      </c>
      <c r="AI280" s="633">
        <f>AH280*(1+VLOOKUP($F280,'GL Category'!$A:$H,7,FALSE))</f>
        <v>3442.5690018749988</v>
      </c>
      <c r="AJ280" s="307"/>
      <c r="AK280" s="622">
        <f t="shared" si="359"/>
        <v>3442.5690018749988</v>
      </c>
      <c r="AL280" s="633">
        <f>AK280*(1+VLOOKUP($F280,'GL Category'!$A:$H,8,FALSE))</f>
        <v>3563.0589169406235</v>
      </c>
      <c r="AM280" s="307"/>
      <c r="AN280" s="622">
        <f t="shared" si="360"/>
        <v>3563.0589169406235</v>
      </c>
      <c r="AO280" s="196"/>
      <c r="AP280" s="196"/>
      <c r="AQ280" s="196"/>
      <c r="AR280" s="104"/>
      <c r="AS280" s="104"/>
      <c r="AT280" s="104"/>
      <c r="AU280" s="104"/>
      <c r="AV280" s="104"/>
      <c r="AW280" s="104"/>
      <c r="AX280" s="104"/>
      <c r="AY280" s="104"/>
      <c r="AZ280" s="104"/>
      <c r="BA280" s="104"/>
      <c r="BB280" s="104"/>
      <c r="BC280" s="104"/>
      <c r="BD280" s="104"/>
      <c r="BE280" s="104"/>
      <c r="BF280" s="104"/>
      <c r="BG280" s="104"/>
    </row>
    <row r="281" spans="1:59" s="105" customFormat="1" ht="15" customHeight="1">
      <c r="A281" s="555" t="s">
        <v>2340</v>
      </c>
      <c r="B281" s="217" t="str">
        <f t="shared" si="347"/>
        <v>100</v>
      </c>
      <c r="C281" s="217" t="str">
        <f t="shared" si="348"/>
        <v>11</v>
      </c>
      <c r="D281" s="101" t="str">
        <f t="shared" si="349"/>
        <v>111</v>
      </c>
      <c r="E281" s="217" t="str">
        <f t="shared" si="350"/>
        <v>100-11-111</v>
      </c>
      <c r="F281" s="294" t="str">
        <f t="shared" si="351"/>
        <v>50111</v>
      </c>
      <c r="G281" s="295" t="str">
        <f>VLOOKUP(F281,'GL Category'!A:C,3,FALSE)</f>
        <v>Personnel services</v>
      </c>
      <c r="H281" s="98" t="str">
        <f>VLOOKUP(F281,'GL Category'!A:C,2,FALSE)</f>
        <v>LONGEVITY PAY</v>
      </c>
      <c r="I281" s="99">
        <f>SUMIF(Import!$B:$B,$A281,Import!D:D)</f>
        <v>1630</v>
      </c>
      <c r="J281" s="99">
        <f>SUMIF(Import!$B:$B,$A281,Import!E:E)</f>
        <v>1810</v>
      </c>
      <c r="K281" s="99">
        <f>SUMIF(Import!$B:$B,$A281,Import!F:F)</f>
        <v>1990</v>
      </c>
      <c r="L281" s="99">
        <f>SUMIF(Import!$B:$B,$A281,Import!G:G)</f>
        <v>1895</v>
      </c>
      <c r="M281" s="99">
        <f>SUMIF(Import!$B:$B,$A281,Import!H:H)</f>
        <v>2044</v>
      </c>
      <c r="N281" s="99">
        <f>SUMIF(Import!$B:$B,$A281,Import!I:I)</f>
        <v>2015</v>
      </c>
      <c r="O281" s="99">
        <f>SUMIF(Import!$B:$B,$A281,Import!J:J)</f>
        <v>2015</v>
      </c>
      <c r="P281" s="99">
        <f t="shared" si="352"/>
        <v>-29</v>
      </c>
      <c r="Q281" s="99">
        <f>SUMIF(Import!$B:$B,$A281,Import!K:K)</f>
        <v>2275</v>
      </c>
      <c r="R281" s="99">
        <f>SUMIF(Import!$B:$B,$A281,Import!L:L)</f>
        <v>0</v>
      </c>
      <c r="S281" s="99">
        <f>SUMIF(Import!$B:$B,$A281,Import!M:M)</f>
        <v>0</v>
      </c>
      <c r="T281" s="99">
        <f>SUMIF(Import!$B:$B,$A281,Import!N:N)</f>
        <v>2275</v>
      </c>
      <c r="U281" s="99">
        <f t="shared" si="353"/>
        <v>231</v>
      </c>
      <c r="V281" s="255">
        <f t="shared" si="354"/>
        <v>0.11301369863013688</v>
      </c>
      <c r="W281" s="102" t="s">
        <v>2340</v>
      </c>
      <c r="X281" s="102"/>
      <c r="Y281" s="102">
        <f t="shared" si="355"/>
        <v>2275</v>
      </c>
      <c r="Z281" s="309">
        <f>Y281*(1+VLOOKUP($F281,'GL Category'!$A:$H,4,FALSE))</f>
        <v>2354.625</v>
      </c>
      <c r="AA281" s="615"/>
      <c r="AB281" s="622">
        <f t="shared" si="356"/>
        <v>2354.625</v>
      </c>
      <c r="AC281" s="633">
        <f>AB281*(1+VLOOKUP($F281,'GL Category'!$A:$H,5,FALSE))</f>
        <v>2437.0368749999998</v>
      </c>
      <c r="AD281" s="307"/>
      <c r="AE281" s="622">
        <f t="shared" si="357"/>
        <v>2437.0368749999998</v>
      </c>
      <c r="AF281" s="633">
        <f>AE281*(1+VLOOKUP($F281,'GL Category'!$A:$H,6,FALSE))</f>
        <v>2522.3331656249998</v>
      </c>
      <c r="AG281" s="307"/>
      <c r="AH281" s="622">
        <f t="shared" si="358"/>
        <v>2522.3331656249998</v>
      </c>
      <c r="AI281" s="633">
        <f>AH281*(1+VLOOKUP($F281,'GL Category'!$A:$H,7,FALSE))</f>
        <v>2610.6148264218746</v>
      </c>
      <c r="AJ281" s="307"/>
      <c r="AK281" s="622">
        <f t="shared" si="359"/>
        <v>2610.6148264218746</v>
      </c>
      <c r="AL281" s="633">
        <f>AK281*(1+VLOOKUP($F281,'GL Category'!$A:$H,8,FALSE))</f>
        <v>2701.9863453466401</v>
      </c>
      <c r="AM281" s="307"/>
      <c r="AN281" s="622">
        <f t="shared" si="360"/>
        <v>2701.9863453466401</v>
      </c>
      <c r="AO281" s="196"/>
      <c r="AP281" s="196"/>
      <c r="AQ281" s="196"/>
      <c r="AR281" s="104"/>
      <c r="AS281" s="104"/>
      <c r="AT281" s="104"/>
      <c r="AU281" s="104"/>
      <c r="AV281" s="104"/>
      <c r="AW281" s="104"/>
      <c r="AX281" s="104"/>
      <c r="AY281" s="104"/>
      <c r="AZ281" s="104"/>
      <c r="BA281" s="104"/>
      <c r="BB281" s="104"/>
      <c r="BC281" s="104"/>
      <c r="BD281" s="104"/>
      <c r="BE281" s="104"/>
      <c r="BF281" s="104"/>
      <c r="BG281" s="104"/>
    </row>
    <row r="282" spans="1:59" s="105" customFormat="1" ht="15" customHeight="1">
      <c r="A282" s="555" t="s">
        <v>2341</v>
      </c>
      <c r="B282" s="217" t="str">
        <f t="shared" si="347"/>
        <v>100</v>
      </c>
      <c r="C282" s="217" t="str">
        <f t="shared" si="348"/>
        <v>11</v>
      </c>
      <c r="D282" s="101" t="str">
        <f t="shared" si="349"/>
        <v>111</v>
      </c>
      <c r="E282" s="217" t="str">
        <f t="shared" si="350"/>
        <v>100-11-111</v>
      </c>
      <c r="F282" s="294" t="str">
        <f t="shared" si="351"/>
        <v>50610</v>
      </c>
      <c r="G282" s="295" t="str">
        <f>VLOOKUP(F282,'GL Category'!A:C,3,FALSE)</f>
        <v>Personnel services</v>
      </c>
      <c r="H282" s="98" t="str">
        <f>VLOOKUP(F282,'GL Category'!A:C,2,FALSE)</f>
        <v>SOCIAL SECURITY</v>
      </c>
      <c r="I282" s="99">
        <f>SUMIF(Import!$B:$B,$A282,Import!D:D)</f>
        <v>11775.76</v>
      </c>
      <c r="J282" s="99">
        <f>SUMIF(Import!$B:$B,$A282,Import!E:E)</f>
        <v>12184.57</v>
      </c>
      <c r="K282" s="99">
        <f>SUMIF(Import!$B:$B,$A282,Import!F:F)</f>
        <v>12579.3</v>
      </c>
      <c r="L282" s="99">
        <f>SUMIF(Import!$B:$B,$A282,Import!G:G)</f>
        <v>11786.51</v>
      </c>
      <c r="M282" s="99">
        <f>SUMIF(Import!$B:$B,$A282,Import!H:H)</f>
        <v>14120</v>
      </c>
      <c r="N282" s="99">
        <f>SUMIF(Import!$B:$B,$A282,Import!I:I)</f>
        <v>10302.07</v>
      </c>
      <c r="O282" s="99">
        <f>SUMIF(Import!$B:$B,$A282,Import!J:J)</f>
        <v>13607</v>
      </c>
      <c r="P282" s="99">
        <f t="shared" si="352"/>
        <v>-513</v>
      </c>
      <c r="Q282" s="99">
        <f>SUMIF(Import!$B:$B,$A282,Import!K:K)</f>
        <v>14740</v>
      </c>
      <c r="R282" s="99">
        <f>SUMIF(Import!$B:$B,$A282,Import!L:L)</f>
        <v>0</v>
      </c>
      <c r="S282" s="99">
        <f>SUMIF(Import!$B:$B,$A282,Import!M:M)</f>
        <v>0</v>
      </c>
      <c r="T282" s="99">
        <f>SUMIF(Import!$B:$B,$A282,Import!N:N)</f>
        <v>14740</v>
      </c>
      <c r="U282" s="99">
        <f t="shared" si="353"/>
        <v>620</v>
      </c>
      <c r="V282" s="255">
        <f t="shared" si="354"/>
        <v>4.3909348441926399E-2</v>
      </c>
      <c r="W282" s="102" t="s">
        <v>2341</v>
      </c>
      <c r="X282" s="102"/>
      <c r="Y282" s="102">
        <f t="shared" si="355"/>
        <v>14740</v>
      </c>
      <c r="Z282" s="309">
        <f>Y282*(1+VLOOKUP($F282,'GL Category'!$A:$H,4,FALSE))</f>
        <v>15255.9</v>
      </c>
      <c r="AA282" s="615"/>
      <c r="AB282" s="622">
        <f t="shared" si="356"/>
        <v>15255.9</v>
      </c>
      <c r="AC282" s="633">
        <f>AB282*(1+VLOOKUP($F282,'GL Category'!$A:$H,5,FALSE))</f>
        <v>15789.856499999998</v>
      </c>
      <c r="AD282" s="307"/>
      <c r="AE282" s="622">
        <f t="shared" si="357"/>
        <v>15789.856499999998</v>
      </c>
      <c r="AF282" s="633">
        <f>AE282*(1+VLOOKUP($F282,'GL Category'!$A:$H,6,FALSE))</f>
        <v>16342.501477499996</v>
      </c>
      <c r="AG282" s="307"/>
      <c r="AH282" s="622">
        <f t="shared" si="358"/>
        <v>16342.501477499996</v>
      </c>
      <c r="AI282" s="633">
        <f>AH282*(1+VLOOKUP($F282,'GL Category'!$A:$H,7,FALSE))</f>
        <v>16914.489029212495</v>
      </c>
      <c r="AJ282" s="307"/>
      <c r="AK282" s="622">
        <f t="shared" si="359"/>
        <v>16914.489029212495</v>
      </c>
      <c r="AL282" s="633">
        <f>AK282*(1+VLOOKUP($F282,'GL Category'!$A:$H,8,FALSE))</f>
        <v>17506.496145234931</v>
      </c>
      <c r="AM282" s="307"/>
      <c r="AN282" s="622">
        <f t="shared" si="360"/>
        <v>17506.496145234931</v>
      </c>
      <c r="AO282" s="196"/>
      <c r="AP282" s="196"/>
      <c r="AQ282" s="196"/>
      <c r="AR282" s="104"/>
      <c r="AS282" s="104"/>
      <c r="AT282" s="104"/>
      <c r="AU282" s="104"/>
      <c r="AV282" s="104"/>
      <c r="AW282" s="104"/>
      <c r="AX282" s="104"/>
      <c r="AY282" s="104"/>
      <c r="AZ282" s="104"/>
      <c r="BA282" s="104"/>
      <c r="BB282" s="104"/>
      <c r="BC282" s="104"/>
      <c r="BD282" s="104"/>
      <c r="BE282" s="104"/>
      <c r="BF282" s="104"/>
      <c r="BG282" s="104"/>
    </row>
    <row r="283" spans="1:59" s="105" customFormat="1" ht="15" customHeight="1">
      <c r="A283" s="555" t="s">
        <v>2342</v>
      </c>
      <c r="B283" s="217" t="str">
        <f t="shared" si="347"/>
        <v>100</v>
      </c>
      <c r="C283" s="217" t="str">
        <f t="shared" si="348"/>
        <v>11</v>
      </c>
      <c r="D283" s="101" t="str">
        <f t="shared" si="349"/>
        <v>111</v>
      </c>
      <c r="E283" s="217" t="str">
        <f t="shared" si="350"/>
        <v>100-11-111</v>
      </c>
      <c r="F283" s="294" t="str">
        <f t="shared" si="351"/>
        <v>50620</v>
      </c>
      <c r="G283" s="295" t="str">
        <f>VLOOKUP(F283,'GL Category'!A:C,3,FALSE)</f>
        <v>Personnel services</v>
      </c>
      <c r="H283" s="98" t="str">
        <f>VLOOKUP(F283,'GL Category'!A:C,2,FALSE)</f>
        <v>HEALTH/LIFE INSURANCE</v>
      </c>
      <c r="I283" s="99">
        <f>SUMIF(Import!$B:$B,$A283,Import!D:D)</f>
        <v>38763.699999999997</v>
      </c>
      <c r="J283" s="99">
        <f>SUMIF(Import!$B:$B,$A283,Import!E:E)</f>
        <v>40723.93</v>
      </c>
      <c r="K283" s="99">
        <f>SUMIF(Import!$B:$B,$A283,Import!F:F)</f>
        <v>39390.959999999999</v>
      </c>
      <c r="L283" s="99">
        <f>SUMIF(Import!$B:$B,$A283,Import!G:G)</f>
        <v>37729.589999999997</v>
      </c>
      <c r="M283" s="99">
        <f>SUMIF(Import!$B:$B,$A283,Import!H:H)</f>
        <v>33003</v>
      </c>
      <c r="N283" s="99">
        <f>SUMIF(Import!$B:$B,$A283,Import!I:I)</f>
        <v>25272.04</v>
      </c>
      <c r="O283" s="99">
        <f>SUMIF(Import!$B:$B,$A283,Import!J:J)</f>
        <v>34173</v>
      </c>
      <c r="P283" s="99">
        <f t="shared" si="352"/>
        <v>1170</v>
      </c>
      <c r="Q283" s="99">
        <f>SUMIF(Import!$B:$B,$A283,Import!K:K)</f>
        <v>33320</v>
      </c>
      <c r="R283" s="99">
        <f>SUMIF(Import!$B:$B,$A283,Import!L:L)</f>
        <v>0</v>
      </c>
      <c r="S283" s="99">
        <f>SUMIF(Import!$B:$B,$A283,Import!M:M)</f>
        <v>0</v>
      </c>
      <c r="T283" s="99">
        <f>SUMIF(Import!$B:$B,$A283,Import!N:N)</f>
        <v>33320</v>
      </c>
      <c r="U283" s="99">
        <f t="shared" si="353"/>
        <v>317</v>
      </c>
      <c r="V283" s="255">
        <f t="shared" si="354"/>
        <v>9.6051874072053955E-3</v>
      </c>
      <c r="W283" s="102" t="s">
        <v>2342</v>
      </c>
      <c r="X283" s="102"/>
      <c r="Y283" s="102">
        <f t="shared" si="355"/>
        <v>33320</v>
      </c>
      <c r="Z283" s="309">
        <f>Y283*(1+VLOOKUP($F283,'GL Category'!$A:$H,4,FALSE))</f>
        <v>34486.199999999997</v>
      </c>
      <c r="AA283" s="615"/>
      <c r="AB283" s="622">
        <f t="shared" si="356"/>
        <v>34486.199999999997</v>
      </c>
      <c r="AC283" s="633">
        <f>AB283*(1+VLOOKUP($F283,'GL Category'!$A:$H,5,FALSE))</f>
        <v>35693.216999999997</v>
      </c>
      <c r="AD283" s="307"/>
      <c r="AE283" s="622">
        <f t="shared" si="357"/>
        <v>35693.216999999997</v>
      </c>
      <c r="AF283" s="633">
        <f>AE283*(1+VLOOKUP($F283,'GL Category'!$A:$H,6,FALSE))</f>
        <v>36942.479594999997</v>
      </c>
      <c r="AG283" s="307"/>
      <c r="AH283" s="622">
        <f t="shared" si="358"/>
        <v>36942.479594999997</v>
      </c>
      <c r="AI283" s="633">
        <f>AH283*(1+VLOOKUP($F283,'GL Category'!$A:$H,7,FALSE))</f>
        <v>38235.466380824997</v>
      </c>
      <c r="AJ283" s="307"/>
      <c r="AK283" s="622">
        <f t="shared" si="359"/>
        <v>38235.466380824997</v>
      </c>
      <c r="AL283" s="633">
        <f>AK283*(1+VLOOKUP($F283,'GL Category'!$A:$H,8,FALSE))</f>
        <v>39573.707704153872</v>
      </c>
      <c r="AM283" s="307"/>
      <c r="AN283" s="622">
        <f t="shared" si="360"/>
        <v>39573.707704153872</v>
      </c>
      <c r="AO283" s="196"/>
      <c r="AP283" s="196"/>
      <c r="AQ283" s="196"/>
      <c r="AR283" s="104"/>
      <c r="AS283" s="104"/>
      <c r="AT283" s="104"/>
      <c r="AU283" s="104"/>
      <c r="AV283" s="104"/>
      <c r="AW283" s="104"/>
      <c r="AX283" s="104"/>
      <c r="AY283" s="104"/>
      <c r="AZ283" s="104"/>
      <c r="BA283" s="104"/>
      <c r="BB283" s="104"/>
      <c r="BC283" s="104"/>
      <c r="BD283" s="104"/>
      <c r="BE283" s="104"/>
      <c r="BF283" s="104"/>
      <c r="BG283" s="104"/>
    </row>
    <row r="284" spans="1:59" s="105" customFormat="1" ht="15" customHeight="1">
      <c r="A284" s="555" t="s">
        <v>2343</v>
      </c>
      <c r="B284" s="217" t="str">
        <f t="shared" si="347"/>
        <v>100</v>
      </c>
      <c r="C284" s="217" t="str">
        <f t="shared" si="348"/>
        <v>11</v>
      </c>
      <c r="D284" s="101" t="str">
        <f t="shared" si="349"/>
        <v>111</v>
      </c>
      <c r="E284" s="217" t="str">
        <f t="shared" si="350"/>
        <v>100-11-111</v>
      </c>
      <c r="F284" s="294" t="str">
        <f t="shared" si="351"/>
        <v>50630</v>
      </c>
      <c r="G284" s="295" t="str">
        <f>VLOOKUP(F284,'GL Category'!A:C,3,FALSE)</f>
        <v>Personnel services</v>
      </c>
      <c r="H284" s="98" t="str">
        <f>VLOOKUP(F284,'GL Category'!A:C,2,FALSE)</f>
        <v>WORKER COMPENSATION</v>
      </c>
      <c r="I284" s="99">
        <f>SUMIF(Import!$B:$B,$A284,Import!D:D)</f>
        <v>1329.4</v>
      </c>
      <c r="J284" s="99">
        <f>SUMIF(Import!$B:$B,$A284,Import!E:E)</f>
        <v>1361.37</v>
      </c>
      <c r="K284" s="99">
        <f>SUMIF(Import!$B:$B,$A284,Import!F:F)</f>
        <v>1542.19</v>
      </c>
      <c r="L284" s="99">
        <f>SUMIF(Import!$B:$B,$A284,Import!G:G)</f>
        <v>2809.01</v>
      </c>
      <c r="M284" s="99">
        <f>SUMIF(Import!$B:$B,$A284,Import!H:H)</f>
        <v>3545</v>
      </c>
      <c r="N284" s="99">
        <f>SUMIF(Import!$B:$B,$A284,Import!I:I)</f>
        <v>3542.11</v>
      </c>
      <c r="O284" s="99">
        <f>SUMIF(Import!$B:$B,$A284,Import!J:J)</f>
        <v>3542</v>
      </c>
      <c r="P284" s="99">
        <f t="shared" si="352"/>
        <v>-3</v>
      </c>
      <c r="Q284" s="99">
        <f>SUMIF(Import!$B:$B,$A284,Import!K:K)</f>
        <v>3568</v>
      </c>
      <c r="R284" s="99">
        <f>SUMIF(Import!$B:$B,$A284,Import!L:L)</f>
        <v>0</v>
      </c>
      <c r="S284" s="99">
        <f>SUMIF(Import!$B:$B,$A284,Import!M:M)</f>
        <v>0</v>
      </c>
      <c r="T284" s="99">
        <f>SUMIF(Import!$B:$B,$A284,Import!N:N)</f>
        <v>3568</v>
      </c>
      <c r="U284" s="99">
        <f t="shared" si="353"/>
        <v>23</v>
      </c>
      <c r="V284" s="255">
        <f t="shared" si="354"/>
        <v>6.4880112834979631E-3</v>
      </c>
      <c r="W284" s="102" t="s">
        <v>2343</v>
      </c>
      <c r="X284" s="102"/>
      <c r="Y284" s="102">
        <f t="shared" si="355"/>
        <v>3568</v>
      </c>
      <c r="Z284" s="309">
        <f>Y284*(1+VLOOKUP($F284,'GL Category'!$A:$H,4,FALSE))</f>
        <v>3692.8799999999997</v>
      </c>
      <c r="AA284" s="615"/>
      <c r="AB284" s="622">
        <f t="shared" si="356"/>
        <v>3692.8799999999997</v>
      </c>
      <c r="AC284" s="633">
        <f>AB284*(1+VLOOKUP($F284,'GL Category'!$A:$H,5,FALSE))</f>
        <v>3822.1307999999995</v>
      </c>
      <c r="AD284" s="307"/>
      <c r="AE284" s="622">
        <f t="shared" si="357"/>
        <v>3822.1307999999995</v>
      </c>
      <c r="AF284" s="633">
        <f>AE284*(1+VLOOKUP($F284,'GL Category'!$A:$H,6,FALSE))</f>
        <v>3955.905377999999</v>
      </c>
      <c r="AG284" s="307"/>
      <c r="AH284" s="622">
        <f t="shared" si="358"/>
        <v>3955.905377999999</v>
      </c>
      <c r="AI284" s="633">
        <f>AH284*(1+VLOOKUP($F284,'GL Category'!$A:$H,7,FALSE))</f>
        <v>4094.3620662299986</v>
      </c>
      <c r="AJ284" s="307"/>
      <c r="AK284" s="622">
        <f t="shared" si="359"/>
        <v>4094.3620662299986</v>
      </c>
      <c r="AL284" s="633">
        <f>AK284*(1+VLOOKUP($F284,'GL Category'!$A:$H,8,FALSE))</f>
        <v>4237.6647385480483</v>
      </c>
      <c r="AM284" s="307"/>
      <c r="AN284" s="622">
        <f t="shared" si="360"/>
        <v>4237.6647385480483</v>
      </c>
      <c r="AO284" s="196"/>
      <c r="AP284" s="196"/>
      <c r="AQ284" s="196"/>
      <c r="AR284" s="104"/>
      <c r="AS284" s="104"/>
      <c r="AT284" s="104"/>
      <c r="AU284" s="104"/>
      <c r="AV284" s="104"/>
      <c r="AW284" s="104"/>
      <c r="AX284" s="104"/>
      <c r="AY284" s="104"/>
      <c r="AZ284" s="104"/>
      <c r="BA284" s="104"/>
      <c r="BB284" s="104"/>
      <c r="BC284" s="104"/>
      <c r="BD284" s="104"/>
      <c r="BE284" s="104"/>
      <c r="BF284" s="104"/>
      <c r="BG284" s="104"/>
    </row>
    <row r="285" spans="1:59" s="105" customFormat="1" ht="15" customHeight="1">
      <c r="A285" s="555" t="s">
        <v>2344</v>
      </c>
      <c r="B285" s="217" t="str">
        <f t="shared" si="347"/>
        <v>100</v>
      </c>
      <c r="C285" s="217" t="str">
        <f t="shared" si="348"/>
        <v>11</v>
      </c>
      <c r="D285" s="101" t="str">
        <f t="shared" si="349"/>
        <v>111</v>
      </c>
      <c r="E285" s="217" t="str">
        <f t="shared" si="350"/>
        <v>100-11-111</v>
      </c>
      <c r="F285" s="294" t="str">
        <f t="shared" si="351"/>
        <v>50650</v>
      </c>
      <c r="G285" s="295" t="str">
        <f>VLOOKUP(F285,'GL Category'!A:C,3,FALSE)</f>
        <v>Personnel services</v>
      </c>
      <c r="H285" s="98" t="str">
        <f>VLOOKUP(F285,'GL Category'!A:C,2,FALSE)</f>
        <v>RETIREMENT</v>
      </c>
      <c r="I285" s="99">
        <f>SUMIF(Import!$B:$B,$A285,Import!D:D)</f>
        <v>25488.47</v>
      </c>
      <c r="J285" s="99">
        <f>SUMIF(Import!$B:$B,$A285,Import!E:E)</f>
        <v>26870.35</v>
      </c>
      <c r="K285" s="99">
        <f>SUMIF(Import!$B:$B,$A285,Import!F:F)</f>
        <v>27776.3</v>
      </c>
      <c r="L285" s="99">
        <f>SUMIF(Import!$B:$B,$A285,Import!G:G)</f>
        <v>28841.98</v>
      </c>
      <c r="M285" s="99">
        <f>SUMIF(Import!$B:$B,$A285,Import!H:H)</f>
        <v>30489</v>
      </c>
      <c r="N285" s="99">
        <f>SUMIF(Import!$B:$B,$A285,Import!I:I)</f>
        <v>23153.88</v>
      </c>
      <c r="O285" s="99">
        <f>SUMIF(Import!$B:$B,$A285,Import!J:J)</f>
        <v>30200</v>
      </c>
      <c r="P285" s="99">
        <f t="shared" si="352"/>
        <v>-289</v>
      </c>
      <c r="Q285" s="99">
        <f>SUMIF(Import!$B:$B,$A285,Import!K:K)</f>
        <v>32604</v>
      </c>
      <c r="R285" s="99">
        <f>SUMIF(Import!$B:$B,$A285,Import!L:L)</f>
        <v>0</v>
      </c>
      <c r="S285" s="99">
        <f>SUMIF(Import!$B:$B,$A285,Import!M:M)</f>
        <v>0</v>
      </c>
      <c r="T285" s="99">
        <f>SUMIF(Import!$B:$B,$A285,Import!N:N)</f>
        <v>32604</v>
      </c>
      <c r="U285" s="99">
        <f t="shared" si="353"/>
        <v>2115</v>
      </c>
      <c r="V285" s="255">
        <f t="shared" si="354"/>
        <v>6.9369280724195681E-2</v>
      </c>
      <c r="W285" s="102" t="s">
        <v>2344</v>
      </c>
      <c r="X285" s="102"/>
      <c r="Y285" s="102">
        <f t="shared" si="355"/>
        <v>32604</v>
      </c>
      <c r="Z285" s="309">
        <f>Y285*(1+VLOOKUP($F285,'GL Category'!$A:$H,4,FALSE))</f>
        <v>33745.14</v>
      </c>
      <c r="AA285" s="615"/>
      <c r="AB285" s="622">
        <f t="shared" si="356"/>
        <v>33745.14</v>
      </c>
      <c r="AC285" s="633">
        <f>AB285*(1+VLOOKUP($F285,'GL Category'!$A:$H,5,FALSE))</f>
        <v>34926.219899999996</v>
      </c>
      <c r="AD285" s="307"/>
      <c r="AE285" s="622">
        <f t="shared" si="357"/>
        <v>34926.219899999996</v>
      </c>
      <c r="AF285" s="633">
        <f>AE285*(1+VLOOKUP($F285,'GL Category'!$A:$H,6,FALSE))</f>
        <v>36148.637596499997</v>
      </c>
      <c r="AG285" s="307"/>
      <c r="AH285" s="622">
        <f t="shared" si="358"/>
        <v>36148.637596499997</v>
      </c>
      <c r="AI285" s="633">
        <f>AH285*(1+VLOOKUP($F285,'GL Category'!$A:$H,7,FALSE))</f>
        <v>37413.839912377494</v>
      </c>
      <c r="AJ285" s="307"/>
      <c r="AK285" s="622">
        <f t="shared" si="359"/>
        <v>37413.839912377494</v>
      </c>
      <c r="AL285" s="633">
        <f>AK285*(1+VLOOKUP($F285,'GL Category'!$A:$H,8,FALSE))</f>
        <v>38723.324309310701</v>
      </c>
      <c r="AM285" s="307"/>
      <c r="AN285" s="622">
        <f t="shared" si="360"/>
        <v>38723.324309310701</v>
      </c>
      <c r="AO285" s="196"/>
      <c r="AP285" s="196"/>
      <c r="AQ285" s="196"/>
      <c r="AR285" s="104"/>
      <c r="AS285" s="104"/>
      <c r="AT285" s="104"/>
      <c r="AU285" s="104"/>
      <c r="AV285" s="104"/>
      <c r="AW285" s="104"/>
      <c r="AX285" s="104"/>
      <c r="AY285" s="104"/>
      <c r="AZ285" s="104"/>
      <c r="BA285" s="104"/>
      <c r="BB285" s="104"/>
      <c r="BC285" s="104"/>
      <c r="BD285" s="104"/>
      <c r="BE285" s="104"/>
      <c r="BF285" s="104"/>
      <c r="BG285" s="104"/>
    </row>
    <row r="286" spans="1:59" ht="15" customHeight="1">
      <c r="A286" s="297"/>
      <c r="B286" s="217"/>
      <c r="C286" s="217"/>
      <c r="D286" s="101"/>
      <c r="E286" s="101"/>
      <c r="F286" s="294"/>
      <c r="G286" s="295"/>
      <c r="H286" s="107" t="str">
        <f>UPPER(G285)&amp;" TOTAL"</f>
        <v>PERSONNEL SERVICES TOTAL</v>
      </c>
      <c r="I286" s="108">
        <f t="shared" ref="I286" si="361">SUBTOTAL(9,I278:I285)</f>
        <v>237817.83000000002</v>
      </c>
      <c r="J286" s="108">
        <f t="shared" ref="J286:P286" si="362">SUBTOTAL(9,J278:J285)</f>
        <v>247393.02</v>
      </c>
      <c r="K286" s="108">
        <f t="shared" ref="K286" si="363">SUBTOTAL(9,K278:K285)</f>
        <v>252855.67999999996</v>
      </c>
      <c r="L286" s="108">
        <f t="shared" ref="L286" si="364">SUBTOTAL(9,L278:L285)</f>
        <v>257412.12000000002</v>
      </c>
      <c r="M286" s="108">
        <f t="shared" si="362"/>
        <v>262388</v>
      </c>
      <c r="N286" s="109">
        <f t="shared" ref="N286" si="365">SUBTOTAL(9,N278:N285)</f>
        <v>200003.07</v>
      </c>
      <c r="O286" s="109">
        <f t="shared" si="362"/>
        <v>261143</v>
      </c>
      <c r="P286" s="109">
        <f t="shared" si="362"/>
        <v>-1245</v>
      </c>
      <c r="Q286" s="109">
        <f t="shared" ref="Q286:T286" si="366">SUBTOTAL(9,Q278:Q285)</f>
        <v>273596</v>
      </c>
      <c r="R286" s="109">
        <f t="shared" si="366"/>
        <v>0</v>
      </c>
      <c r="S286" s="109">
        <f t="shared" si="366"/>
        <v>0</v>
      </c>
      <c r="T286" s="109">
        <f t="shared" si="366"/>
        <v>273596</v>
      </c>
      <c r="U286" s="99">
        <f>T286-M286</f>
        <v>11208</v>
      </c>
      <c r="V286" s="255">
        <f>IF(M286=0,"N/A",T286/M286-1)</f>
        <v>4.2715368080857408E-2</v>
      </c>
      <c r="W286" s="102"/>
      <c r="X286" s="102"/>
      <c r="Y286" s="102"/>
      <c r="AA286" s="615"/>
      <c r="AC286" s="301"/>
      <c r="AD286" s="301"/>
      <c r="AE286" s="301"/>
      <c r="AF286" s="301"/>
      <c r="AG286" s="301"/>
      <c r="AJ286" s="301"/>
      <c r="AK286" s="301"/>
      <c r="AL286" s="301"/>
      <c r="AM286" s="301"/>
      <c r="AN286" s="301"/>
    </row>
    <row r="287" spans="1:59" ht="15" customHeight="1">
      <c r="A287" s="297"/>
      <c r="B287" s="217"/>
      <c r="C287" s="217"/>
      <c r="D287" s="101"/>
      <c r="E287" s="101"/>
      <c r="F287" s="294"/>
      <c r="G287" s="295"/>
      <c r="H287" s="98"/>
      <c r="I287" s="106"/>
      <c r="J287" s="106"/>
      <c r="K287" s="106"/>
      <c r="L287" s="106"/>
      <c r="M287" s="106"/>
      <c r="N287" s="110"/>
      <c r="O287" s="110"/>
      <c r="P287" s="110"/>
      <c r="Q287" s="111"/>
      <c r="R287" s="99"/>
      <c r="S287" s="99"/>
      <c r="T287" s="111"/>
      <c r="U287" s="111"/>
      <c r="V287" s="111"/>
      <c r="W287" s="102"/>
      <c r="X287" s="102"/>
      <c r="Y287" s="102"/>
      <c r="AA287" s="615"/>
      <c r="AC287" s="92"/>
      <c r="AD287" s="92"/>
      <c r="AE287" s="92"/>
      <c r="AF287" s="92"/>
      <c r="AG287" s="92"/>
      <c r="AJ287" s="92"/>
      <c r="AK287" s="92"/>
      <c r="AL287" s="92"/>
      <c r="AM287" s="92"/>
      <c r="AN287" s="92"/>
      <c r="AO287" s="307"/>
      <c r="AP287" s="307"/>
    </row>
    <row r="288" spans="1:59" ht="15" customHeight="1">
      <c r="A288" s="555" t="s">
        <v>2345</v>
      </c>
      <c r="B288" s="217" t="str">
        <f t="shared" ref="B288:B298" si="367">LEFT(A288,3)</f>
        <v>100</v>
      </c>
      <c r="C288" s="217" t="str">
        <f t="shared" ref="C288:C298" si="368">MID(A288,5,2)</f>
        <v>11</v>
      </c>
      <c r="D288" s="101" t="str">
        <f t="shared" ref="D288:D298" si="369">MID(A288,8,3)</f>
        <v>111</v>
      </c>
      <c r="E288" s="217" t="str">
        <f t="shared" ref="E288:E298" si="370">LEFT(A288,10)</f>
        <v>100-11-111</v>
      </c>
      <c r="F288" s="294" t="str">
        <f t="shared" ref="F288:F298" si="371">RIGHT(A288,5)</f>
        <v>51210</v>
      </c>
      <c r="G288" s="295" t="str">
        <f>VLOOKUP(F288,'GL Category'!A:C,3,FALSE)</f>
        <v>Operations &amp; maintenance</v>
      </c>
      <c r="H288" s="98" t="str">
        <f>VLOOKUP(F288,'GL Category'!A:C,2,FALSE)</f>
        <v>OFFICE SUPPLIES</v>
      </c>
      <c r="I288" s="99">
        <f>SUMIF(Import!$B:$B,$A288,Import!D:D)</f>
        <v>16895.7</v>
      </c>
      <c r="J288" s="99">
        <f>SUMIF(Import!$B:$B,$A288,Import!E:E)</f>
        <v>3995.15</v>
      </c>
      <c r="K288" s="99">
        <f>SUMIF(Import!$B:$B,$A288,Import!F:F)</f>
        <v>2389.44</v>
      </c>
      <c r="L288" s="99">
        <f>SUMIF(Import!$B:$B,$A288,Import!G:G)</f>
        <v>2673</v>
      </c>
      <c r="M288" s="99">
        <f>SUMIF(Import!$B:$B,$A288,Import!H:H)</f>
        <v>7000</v>
      </c>
      <c r="N288" s="99">
        <f>SUMIF(Import!$B:$B,$A288,Import!I:I)</f>
        <v>1161.7</v>
      </c>
      <c r="O288" s="99">
        <f>SUMIF(Import!$B:$B,$A288,Import!J:J)</f>
        <v>2501</v>
      </c>
      <c r="P288" s="99">
        <f t="shared" ref="P288:P298" si="372">O288-M288</f>
        <v>-4499</v>
      </c>
      <c r="Q288" s="99">
        <f>SUMIF(Import!$B:$B,$A288,Import!K:K)</f>
        <v>7000</v>
      </c>
      <c r="R288" s="99">
        <f>SUMIF(Import!$B:$B,$A288,Import!L:L)</f>
        <v>0</v>
      </c>
      <c r="S288" s="99">
        <f>SUMIF(Import!$B:$B,$A288,Import!M:M)</f>
        <v>0</v>
      </c>
      <c r="T288" s="99">
        <f>SUMIF(Import!$B:$B,$A288,Import!N:N)</f>
        <v>7000</v>
      </c>
      <c r="U288" s="99">
        <f t="shared" ref="U288:U298" si="373">T288-M288</f>
        <v>0</v>
      </c>
      <c r="V288" s="255">
        <f t="shared" ref="V288:V298" si="374">IF(M288=0,"N/A",T288/M288-1)</f>
        <v>0</v>
      </c>
      <c r="W288" s="102" t="s">
        <v>2345</v>
      </c>
      <c r="X288" s="102"/>
      <c r="Y288" s="102">
        <f t="shared" ref="Y288:Y298" si="375">T288-X288</f>
        <v>7000</v>
      </c>
      <c r="Z288" s="309">
        <f>Y288*(1+VLOOKUP($F288,'GL Category'!$A:$H,4,FALSE))</f>
        <v>7140</v>
      </c>
      <c r="AA288" s="615"/>
      <c r="AB288" s="622">
        <f t="shared" ref="AB288:AB298" si="376">Z288+AA288</f>
        <v>7140</v>
      </c>
      <c r="AC288" s="633">
        <f>AB288*(1+VLOOKUP($F288,'GL Category'!$A:$H,5,FALSE))</f>
        <v>7282.8</v>
      </c>
      <c r="AE288" s="622">
        <f t="shared" ref="AE288:AE298" si="377">AC288+AD288</f>
        <v>7282.8</v>
      </c>
      <c r="AF288" s="633">
        <f>AE288*(1+VLOOKUP($F288,'GL Category'!$A:$H,6,FALSE))</f>
        <v>7428.4560000000001</v>
      </c>
      <c r="AH288" s="622">
        <f t="shared" ref="AH288:AH298" si="378">AF288+AG288</f>
        <v>7428.4560000000001</v>
      </c>
      <c r="AI288" s="633">
        <f>AH288*(1+VLOOKUP($F288,'GL Category'!$A:$H,7,FALSE))</f>
        <v>7577.0251200000002</v>
      </c>
      <c r="AK288" s="622">
        <f t="shared" ref="AK288:AK298" si="379">AI288+AJ288</f>
        <v>7577.0251200000002</v>
      </c>
      <c r="AL288" s="633">
        <f>AK288*(1+VLOOKUP($F288,'GL Category'!$A:$H,8,FALSE))</f>
        <v>7728.5656224000004</v>
      </c>
      <c r="AN288" s="622">
        <f t="shared" ref="AN288:AN298" si="380">AL288+AM288</f>
        <v>7728.5656224000004</v>
      </c>
    </row>
    <row r="289" spans="1:59" s="75" customFormat="1" ht="15" customHeight="1">
      <c r="A289" s="555" t="s">
        <v>2346</v>
      </c>
      <c r="B289" s="217" t="str">
        <f t="shared" si="367"/>
        <v>100</v>
      </c>
      <c r="C289" s="217" t="str">
        <f t="shared" si="368"/>
        <v>11</v>
      </c>
      <c r="D289" s="101" t="str">
        <f t="shared" si="369"/>
        <v>111</v>
      </c>
      <c r="E289" s="217" t="str">
        <f t="shared" si="370"/>
        <v>100-11-111</v>
      </c>
      <c r="F289" s="294" t="str">
        <f t="shared" si="371"/>
        <v>51225</v>
      </c>
      <c r="G289" s="295" t="str">
        <f>VLOOKUP(F289,'GL Category'!A:C,3,FALSE)</f>
        <v>Operations &amp; maintenance</v>
      </c>
      <c r="H289" s="98" t="str">
        <f>VLOOKUP(F289,'GL Category'!A:C,2,FALSE)</f>
        <v>JANITORIAL SUPPLIES</v>
      </c>
      <c r="I289" s="99">
        <f>SUMIF(Import!$B:$B,$A289,Import!D:D)</f>
        <v>8642.34</v>
      </c>
      <c r="J289" s="99">
        <f>SUMIF(Import!$B:$B,$A289,Import!E:E)</f>
        <v>6656.59</v>
      </c>
      <c r="K289" s="99">
        <f>SUMIF(Import!$B:$B,$A289,Import!F:F)</f>
        <v>6380.67</v>
      </c>
      <c r="L289" s="99">
        <f>SUMIF(Import!$B:$B,$A289,Import!G:G)</f>
        <v>7190.24</v>
      </c>
      <c r="M289" s="99">
        <f>SUMIF(Import!$B:$B,$A289,Import!H:H)</f>
        <v>11000</v>
      </c>
      <c r="N289" s="99">
        <f>SUMIF(Import!$B:$B,$A289,Import!I:I)</f>
        <v>3719.48</v>
      </c>
      <c r="O289" s="99">
        <f>SUMIF(Import!$B:$B,$A289,Import!J:J)</f>
        <v>8000</v>
      </c>
      <c r="P289" s="99">
        <f t="shared" si="372"/>
        <v>-3000</v>
      </c>
      <c r="Q289" s="99">
        <f>SUMIF(Import!$B:$B,$A289,Import!K:K)</f>
        <v>11000</v>
      </c>
      <c r="R289" s="99">
        <f>SUMIF(Import!$B:$B,$A289,Import!L:L)</f>
        <v>0</v>
      </c>
      <c r="S289" s="99">
        <f>SUMIF(Import!$B:$B,$A289,Import!M:M)</f>
        <v>0</v>
      </c>
      <c r="T289" s="99">
        <f>SUMIF(Import!$B:$B,$A289,Import!N:N)</f>
        <v>11000</v>
      </c>
      <c r="U289" s="99">
        <f t="shared" si="373"/>
        <v>0</v>
      </c>
      <c r="V289" s="255">
        <f t="shared" si="374"/>
        <v>0</v>
      </c>
      <c r="W289" s="102" t="s">
        <v>2346</v>
      </c>
      <c r="X289" s="102"/>
      <c r="Y289" s="102">
        <f t="shared" si="375"/>
        <v>11000</v>
      </c>
      <c r="Z289" s="309">
        <f>Y289*(1+VLOOKUP($F289,'GL Category'!$A:$H,4,FALSE))</f>
        <v>11220</v>
      </c>
      <c r="AA289" s="615"/>
      <c r="AB289" s="622">
        <f t="shared" si="376"/>
        <v>11220</v>
      </c>
      <c r="AC289" s="633">
        <f>AB289*(1+VLOOKUP($F289,'GL Category'!$A:$H,5,FALSE))</f>
        <v>11444.4</v>
      </c>
      <c r="AD289" s="307"/>
      <c r="AE289" s="622">
        <f t="shared" si="377"/>
        <v>11444.4</v>
      </c>
      <c r="AF289" s="633">
        <f>AE289*(1+VLOOKUP($F289,'GL Category'!$A:$H,6,FALSE))</f>
        <v>11673.288</v>
      </c>
      <c r="AG289" s="307"/>
      <c r="AH289" s="622">
        <f t="shared" si="378"/>
        <v>11673.288</v>
      </c>
      <c r="AI289" s="633">
        <f>AH289*(1+VLOOKUP($F289,'GL Category'!$A:$H,7,FALSE))</f>
        <v>11906.753760000001</v>
      </c>
      <c r="AJ289" s="307"/>
      <c r="AK289" s="622">
        <f t="shared" si="379"/>
        <v>11906.753760000001</v>
      </c>
      <c r="AL289" s="633">
        <f>AK289*(1+VLOOKUP($F289,'GL Category'!$A:$H,8,FALSE))</f>
        <v>12144.888835200001</v>
      </c>
      <c r="AM289" s="307"/>
      <c r="AN289" s="622">
        <f t="shared" si="380"/>
        <v>12144.888835200001</v>
      </c>
      <c r="AO289" s="192"/>
      <c r="AP289" s="192"/>
      <c r="AQ289" s="192"/>
      <c r="AR289" s="115"/>
      <c r="AS289" s="115"/>
      <c r="AT289" s="115"/>
      <c r="AU289" s="115"/>
      <c r="AV289" s="115"/>
      <c r="AW289" s="115"/>
      <c r="AX289" s="115"/>
      <c r="AY289" s="115"/>
      <c r="AZ289" s="115"/>
      <c r="BA289" s="115"/>
      <c r="BB289" s="115"/>
      <c r="BC289" s="115"/>
      <c r="BD289" s="115"/>
      <c r="BE289" s="74"/>
      <c r="BF289" s="74"/>
      <c r="BG289" s="74"/>
    </row>
    <row r="290" spans="1:59" ht="15" customHeight="1">
      <c r="A290" s="555" t="s">
        <v>2347</v>
      </c>
      <c r="B290" s="217" t="str">
        <f t="shared" si="367"/>
        <v>100</v>
      </c>
      <c r="C290" s="217" t="str">
        <f t="shared" si="368"/>
        <v>11</v>
      </c>
      <c r="D290" s="101" t="str">
        <f t="shared" si="369"/>
        <v>111</v>
      </c>
      <c r="E290" s="217" t="str">
        <f t="shared" si="370"/>
        <v>100-11-111</v>
      </c>
      <c r="F290" s="294" t="str">
        <f t="shared" si="371"/>
        <v>51245</v>
      </c>
      <c r="G290" s="295" t="str">
        <f>VLOOKUP(F290,'GL Category'!A:C,3,FALSE)</f>
        <v>Operations &amp; maintenance</v>
      </c>
      <c r="H290" s="98" t="str">
        <f>VLOOKUP(F290,'GL Category'!A:C,2,FALSE)</f>
        <v>SMALL TOOLS &amp; EQUIPMENT</v>
      </c>
      <c r="I290" s="99">
        <f>SUMIF(Import!$B:$B,$A290,Import!D:D)</f>
        <v>2320.94</v>
      </c>
      <c r="J290" s="99">
        <f>SUMIF(Import!$B:$B,$A290,Import!E:E)</f>
        <v>3568.31</v>
      </c>
      <c r="K290" s="99">
        <f>SUMIF(Import!$B:$B,$A290,Import!F:F)</f>
        <v>1918.49</v>
      </c>
      <c r="L290" s="99">
        <f>SUMIF(Import!$B:$B,$A290,Import!G:G)</f>
        <v>3018.67</v>
      </c>
      <c r="M290" s="99">
        <f>SUMIF(Import!$B:$B,$A290,Import!H:H)</f>
        <v>5500</v>
      </c>
      <c r="N290" s="99">
        <f>SUMIF(Import!$B:$B,$A290,Import!I:I)</f>
        <v>1673.08</v>
      </c>
      <c r="O290" s="99">
        <f>SUMIF(Import!$B:$B,$A290,Import!J:J)</f>
        <v>5500</v>
      </c>
      <c r="P290" s="99">
        <f t="shared" si="372"/>
        <v>0</v>
      </c>
      <c r="Q290" s="99">
        <f>SUMIF(Import!$B:$B,$A290,Import!K:K)</f>
        <v>5500</v>
      </c>
      <c r="R290" s="99">
        <f>SUMIF(Import!$B:$B,$A290,Import!L:L)</f>
        <v>0</v>
      </c>
      <c r="S290" s="99">
        <f>SUMIF(Import!$B:$B,$A290,Import!M:M)</f>
        <v>0</v>
      </c>
      <c r="T290" s="99">
        <f>SUMIF(Import!$B:$B,$A290,Import!N:N)</f>
        <v>5500</v>
      </c>
      <c r="U290" s="99">
        <f t="shared" si="373"/>
        <v>0</v>
      </c>
      <c r="V290" s="255">
        <f t="shared" si="374"/>
        <v>0</v>
      </c>
      <c r="W290" s="102" t="s">
        <v>2347</v>
      </c>
      <c r="X290" s="102"/>
      <c r="Y290" s="102">
        <f t="shared" si="375"/>
        <v>5500</v>
      </c>
      <c r="Z290" s="309">
        <f>Y290*(1+VLOOKUP($F290,'GL Category'!$A:$H,4,FALSE))</f>
        <v>5610</v>
      </c>
      <c r="AA290" s="615"/>
      <c r="AB290" s="622">
        <f t="shared" si="376"/>
        <v>5610</v>
      </c>
      <c r="AC290" s="633">
        <f>AB290*(1+VLOOKUP($F290,'GL Category'!$A:$H,5,FALSE))</f>
        <v>5722.2</v>
      </c>
      <c r="AE290" s="622">
        <f t="shared" si="377"/>
        <v>5722.2</v>
      </c>
      <c r="AF290" s="633">
        <f>AE290*(1+VLOOKUP($F290,'GL Category'!$A:$H,6,FALSE))</f>
        <v>5836.6440000000002</v>
      </c>
      <c r="AH290" s="622">
        <f t="shared" si="378"/>
        <v>5836.6440000000002</v>
      </c>
      <c r="AI290" s="633">
        <f>AH290*(1+VLOOKUP($F290,'GL Category'!$A:$H,7,FALSE))</f>
        <v>5953.3768800000007</v>
      </c>
      <c r="AK290" s="622">
        <f t="shared" si="379"/>
        <v>5953.3768800000007</v>
      </c>
      <c r="AL290" s="633">
        <f>AK290*(1+VLOOKUP($F290,'GL Category'!$A:$H,8,FALSE))</f>
        <v>6072.4444176000006</v>
      </c>
      <c r="AN290" s="622">
        <f t="shared" si="380"/>
        <v>6072.4444176000006</v>
      </c>
    </row>
    <row r="291" spans="1:59" ht="15" customHeight="1">
      <c r="A291" s="555" t="s">
        <v>2348</v>
      </c>
      <c r="B291" s="217" t="str">
        <f t="shared" si="367"/>
        <v>100</v>
      </c>
      <c r="C291" s="217" t="str">
        <f t="shared" si="368"/>
        <v>11</v>
      </c>
      <c r="D291" s="101" t="str">
        <f t="shared" si="369"/>
        <v>111</v>
      </c>
      <c r="E291" s="217" t="str">
        <f t="shared" si="370"/>
        <v>100-11-111</v>
      </c>
      <c r="F291" s="294" t="str">
        <f t="shared" si="371"/>
        <v>51255</v>
      </c>
      <c r="G291" s="295" t="str">
        <f>VLOOKUP(F291,'GL Category'!A:C,3,FALSE)</f>
        <v>Operations &amp; maintenance</v>
      </c>
      <c r="H291" s="98" t="str">
        <f>VLOOKUP(F291,'GL Category'!A:C,2,FALSE)</f>
        <v>FUEL/OILS/LUBRICANTS</v>
      </c>
      <c r="I291" s="99">
        <f>SUMIF(Import!$B:$B,$A291,Import!D:D)</f>
        <v>1551.07</v>
      </c>
      <c r="J291" s="99">
        <f>SUMIF(Import!$B:$B,$A291,Import!E:E)</f>
        <v>2134.35</v>
      </c>
      <c r="K291" s="99">
        <f>SUMIF(Import!$B:$B,$A291,Import!F:F)</f>
        <v>2553.9699999999998</v>
      </c>
      <c r="L291" s="99">
        <f>SUMIF(Import!$B:$B,$A291,Import!G:G)</f>
        <v>1626.31</v>
      </c>
      <c r="M291" s="99">
        <f>SUMIF(Import!$B:$B,$A291,Import!H:H)</f>
        <v>4000</v>
      </c>
      <c r="N291" s="99">
        <f>SUMIF(Import!$B:$B,$A291,Import!I:I)</f>
        <v>1066</v>
      </c>
      <c r="O291" s="99">
        <f>SUMIF(Import!$B:$B,$A291,Import!J:J)</f>
        <v>3500</v>
      </c>
      <c r="P291" s="99">
        <f t="shared" si="372"/>
        <v>-500</v>
      </c>
      <c r="Q291" s="99">
        <f>SUMIF(Import!$B:$B,$A291,Import!K:K)</f>
        <v>4000</v>
      </c>
      <c r="R291" s="99">
        <f>SUMIF(Import!$B:$B,$A291,Import!L:L)</f>
        <v>0</v>
      </c>
      <c r="S291" s="99">
        <f>SUMIF(Import!$B:$B,$A291,Import!M:M)</f>
        <v>0</v>
      </c>
      <c r="T291" s="99">
        <f>SUMIF(Import!$B:$B,$A291,Import!N:N)</f>
        <v>4000</v>
      </c>
      <c r="U291" s="99">
        <f t="shared" si="373"/>
        <v>0</v>
      </c>
      <c r="V291" s="255">
        <f t="shared" si="374"/>
        <v>0</v>
      </c>
      <c r="W291" s="102" t="s">
        <v>2348</v>
      </c>
      <c r="X291" s="102"/>
      <c r="Y291" s="102">
        <f t="shared" si="375"/>
        <v>4000</v>
      </c>
      <c r="Z291" s="309">
        <f>Y291*(1+VLOOKUP($F291,'GL Category'!$A:$H,4,FALSE))</f>
        <v>4080</v>
      </c>
      <c r="AA291" s="615"/>
      <c r="AB291" s="622">
        <f t="shared" si="376"/>
        <v>4080</v>
      </c>
      <c r="AC291" s="633">
        <f>AB291*(1+VLOOKUP($F291,'GL Category'!$A:$H,5,FALSE))</f>
        <v>4161.6000000000004</v>
      </c>
      <c r="AE291" s="622">
        <f t="shared" si="377"/>
        <v>4161.6000000000004</v>
      </c>
      <c r="AF291" s="633">
        <f>AE291*(1+VLOOKUP($F291,'GL Category'!$A:$H,6,FALSE))</f>
        <v>4244.8320000000003</v>
      </c>
      <c r="AH291" s="622">
        <f t="shared" si="378"/>
        <v>4244.8320000000003</v>
      </c>
      <c r="AI291" s="633">
        <f>AH291*(1+VLOOKUP($F291,'GL Category'!$A:$H,7,FALSE))</f>
        <v>4329.7286400000003</v>
      </c>
      <c r="AK291" s="622">
        <f t="shared" si="379"/>
        <v>4329.7286400000003</v>
      </c>
      <c r="AL291" s="633">
        <f>AK291*(1+VLOOKUP($F291,'GL Category'!$A:$H,8,FALSE))</f>
        <v>4416.3232128</v>
      </c>
      <c r="AN291" s="622">
        <f t="shared" si="380"/>
        <v>4416.3232128</v>
      </c>
    </row>
    <row r="292" spans="1:59" ht="15" customHeight="1">
      <c r="A292" s="555" t="s">
        <v>2349</v>
      </c>
      <c r="B292" s="217" t="str">
        <f t="shared" si="367"/>
        <v>100</v>
      </c>
      <c r="C292" s="217" t="str">
        <f t="shared" si="368"/>
        <v>11</v>
      </c>
      <c r="D292" s="101" t="str">
        <f t="shared" si="369"/>
        <v>111</v>
      </c>
      <c r="E292" s="217" t="str">
        <f t="shared" si="370"/>
        <v>100-11-111</v>
      </c>
      <c r="F292" s="294" t="str">
        <f t="shared" si="371"/>
        <v>51271</v>
      </c>
      <c r="G292" s="295" t="str">
        <f>VLOOKUP(F292,'GL Category'!A:C,3,FALSE)</f>
        <v>Operations &amp; maintenance</v>
      </c>
      <c r="H292" s="98" t="str">
        <f>VLOOKUP(F292,'GL Category'!A:C,2,FALSE)</f>
        <v>BUILDING MATERIALS &amp; SUPPLIES</v>
      </c>
      <c r="I292" s="99">
        <f>SUMIF(Import!$B:$B,$A292,Import!D:D)</f>
        <v>8191.13</v>
      </c>
      <c r="J292" s="99">
        <f>SUMIF(Import!$B:$B,$A292,Import!E:E)</f>
        <v>5019.24</v>
      </c>
      <c r="K292" s="99">
        <f>SUMIF(Import!$B:$B,$A292,Import!F:F)</f>
        <v>5629.53</v>
      </c>
      <c r="L292" s="99">
        <f>SUMIF(Import!$B:$B,$A292,Import!G:G)</f>
        <v>7250.62</v>
      </c>
      <c r="M292" s="99">
        <f>SUMIF(Import!$B:$B,$A292,Import!H:H)</f>
        <v>8000</v>
      </c>
      <c r="N292" s="99">
        <f>SUMIF(Import!$B:$B,$A292,Import!I:I)</f>
        <v>8092.64</v>
      </c>
      <c r="O292" s="99">
        <f>SUMIF(Import!$B:$B,$A292,Import!J:J)</f>
        <v>8000</v>
      </c>
      <c r="P292" s="99">
        <f t="shared" si="372"/>
        <v>0</v>
      </c>
      <c r="Q292" s="99">
        <f>SUMIF(Import!$B:$B,$A292,Import!K:K)</f>
        <v>8000</v>
      </c>
      <c r="R292" s="99">
        <f>SUMIF(Import!$B:$B,$A292,Import!L:L)</f>
        <v>0</v>
      </c>
      <c r="S292" s="99">
        <f>SUMIF(Import!$B:$B,$A292,Import!M:M)</f>
        <v>0</v>
      </c>
      <c r="T292" s="99">
        <f>SUMIF(Import!$B:$B,$A292,Import!N:N)</f>
        <v>8000</v>
      </c>
      <c r="U292" s="99">
        <f t="shared" si="373"/>
        <v>0</v>
      </c>
      <c r="V292" s="255">
        <f t="shared" si="374"/>
        <v>0</v>
      </c>
      <c r="W292" s="102" t="s">
        <v>2349</v>
      </c>
      <c r="X292" s="102"/>
      <c r="Y292" s="102">
        <f t="shared" si="375"/>
        <v>8000</v>
      </c>
      <c r="Z292" s="309">
        <f>Y292*(1+VLOOKUP($F292,'GL Category'!$A:$H,4,FALSE))</f>
        <v>8160</v>
      </c>
      <c r="AA292" s="615"/>
      <c r="AB292" s="622">
        <f t="shared" si="376"/>
        <v>8160</v>
      </c>
      <c r="AC292" s="633">
        <f>AB292*(1+VLOOKUP($F292,'GL Category'!$A:$H,5,FALSE))</f>
        <v>8323.2000000000007</v>
      </c>
      <c r="AE292" s="622">
        <f t="shared" si="377"/>
        <v>8323.2000000000007</v>
      </c>
      <c r="AF292" s="633">
        <f>AE292*(1+VLOOKUP($F292,'GL Category'!$A:$H,6,FALSE))</f>
        <v>8489.6640000000007</v>
      </c>
      <c r="AH292" s="622">
        <f t="shared" si="378"/>
        <v>8489.6640000000007</v>
      </c>
      <c r="AI292" s="633">
        <f>AH292*(1+VLOOKUP($F292,'GL Category'!$A:$H,7,FALSE))</f>
        <v>8659.4572800000005</v>
      </c>
      <c r="AK292" s="622">
        <f t="shared" si="379"/>
        <v>8659.4572800000005</v>
      </c>
      <c r="AL292" s="633">
        <f>AK292*(1+VLOOKUP($F292,'GL Category'!$A:$H,8,FALSE))</f>
        <v>8832.6464255999999</v>
      </c>
      <c r="AN292" s="622">
        <f t="shared" si="380"/>
        <v>8832.6464255999999</v>
      </c>
    </row>
    <row r="293" spans="1:59" ht="15" customHeight="1">
      <c r="A293" s="555" t="s">
        <v>2350</v>
      </c>
      <c r="B293" s="217" t="str">
        <f t="shared" si="367"/>
        <v>100</v>
      </c>
      <c r="C293" s="217" t="str">
        <f t="shared" si="368"/>
        <v>11</v>
      </c>
      <c r="D293" s="101" t="str">
        <f t="shared" si="369"/>
        <v>111</v>
      </c>
      <c r="E293" s="217" t="str">
        <f t="shared" si="370"/>
        <v>100-11-111</v>
      </c>
      <c r="F293" s="294" t="str">
        <f t="shared" si="371"/>
        <v>51285</v>
      </c>
      <c r="G293" s="295" t="str">
        <f>VLOOKUP(F293,'GL Category'!A:C,3,FALSE)</f>
        <v>Operations &amp; maintenance</v>
      </c>
      <c r="H293" s="98" t="str">
        <f>VLOOKUP(F293,'GL Category'!A:C,2,FALSE)</f>
        <v>WEARING APPAREL</v>
      </c>
      <c r="I293" s="99">
        <f>SUMIF(Import!$B:$B,$A293,Import!D:D)</f>
        <v>1274.68</v>
      </c>
      <c r="J293" s="99">
        <f>SUMIF(Import!$B:$B,$A293,Import!E:E)</f>
        <v>1462.25</v>
      </c>
      <c r="K293" s="99">
        <f>SUMIF(Import!$B:$B,$A293,Import!F:F)</f>
        <v>1113.94</v>
      </c>
      <c r="L293" s="99">
        <f>SUMIF(Import!$B:$B,$A293,Import!G:G)</f>
        <v>1489.83</v>
      </c>
      <c r="M293" s="99">
        <f>SUMIF(Import!$B:$B,$A293,Import!H:H)</f>
        <v>1750</v>
      </c>
      <c r="N293" s="99">
        <f>SUMIF(Import!$B:$B,$A293,Import!I:I)</f>
        <v>885.39</v>
      </c>
      <c r="O293" s="99">
        <f>SUMIF(Import!$B:$B,$A293,Import!J:J)</f>
        <v>1750</v>
      </c>
      <c r="P293" s="99">
        <f t="shared" si="372"/>
        <v>0</v>
      </c>
      <c r="Q293" s="99">
        <f>SUMIF(Import!$B:$B,$A293,Import!K:K)</f>
        <v>1750</v>
      </c>
      <c r="R293" s="99">
        <f>SUMIF(Import!$B:$B,$A293,Import!L:L)</f>
        <v>0</v>
      </c>
      <c r="S293" s="99">
        <f>SUMIF(Import!$B:$B,$A293,Import!M:M)</f>
        <v>0</v>
      </c>
      <c r="T293" s="99">
        <f>SUMIF(Import!$B:$B,$A293,Import!N:N)</f>
        <v>1750</v>
      </c>
      <c r="U293" s="99">
        <f t="shared" si="373"/>
        <v>0</v>
      </c>
      <c r="V293" s="255">
        <f t="shared" si="374"/>
        <v>0</v>
      </c>
      <c r="W293" s="102" t="s">
        <v>2350</v>
      </c>
      <c r="X293" s="102"/>
      <c r="Y293" s="102">
        <f t="shared" si="375"/>
        <v>1750</v>
      </c>
      <c r="Z293" s="309">
        <f>Y293*(1+VLOOKUP($F293,'GL Category'!$A:$H,4,FALSE))</f>
        <v>1785</v>
      </c>
      <c r="AA293" s="615"/>
      <c r="AB293" s="622">
        <f t="shared" si="376"/>
        <v>1785</v>
      </c>
      <c r="AC293" s="633">
        <f>AB293*(1+VLOOKUP($F293,'GL Category'!$A:$H,5,FALSE))</f>
        <v>1820.7</v>
      </c>
      <c r="AE293" s="622">
        <f t="shared" si="377"/>
        <v>1820.7</v>
      </c>
      <c r="AF293" s="633">
        <f>AE293*(1+VLOOKUP($F293,'GL Category'!$A:$H,6,FALSE))</f>
        <v>1857.114</v>
      </c>
      <c r="AH293" s="622">
        <f t="shared" si="378"/>
        <v>1857.114</v>
      </c>
      <c r="AI293" s="633">
        <f>AH293*(1+VLOOKUP($F293,'GL Category'!$A:$H,7,FALSE))</f>
        <v>1894.2562800000001</v>
      </c>
      <c r="AK293" s="622">
        <f t="shared" si="379"/>
        <v>1894.2562800000001</v>
      </c>
      <c r="AL293" s="633">
        <f>AK293*(1+VLOOKUP($F293,'GL Category'!$A:$H,8,FALSE))</f>
        <v>1932.1414056000001</v>
      </c>
      <c r="AN293" s="622">
        <f t="shared" si="380"/>
        <v>1932.1414056000001</v>
      </c>
    </row>
    <row r="294" spans="1:59" ht="15" customHeight="1">
      <c r="A294" s="555" t="s">
        <v>2351</v>
      </c>
      <c r="B294" s="217" t="str">
        <f t="shared" si="367"/>
        <v>100</v>
      </c>
      <c r="C294" s="217" t="str">
        <f t="shared" si="368"/>
        <v>11</v>
      </c>
      <c r="D294" s="101" t="str">
        <f t="shared" si="369"/>
        <v>111</v>
      </c>
      <c r="E294" s="217" t="str">
        <f t="shared" si="370"/>
        <v>100-11-111</v>
      </c>
      <c r="F294" s="294" t="str">
        <f t="shared" si="371"/>
        <v>51299</v>
      </c>
      <c r="G294" s="295" t="str">
        <f>VLOOKUP(F294,'GL Category'!A:C,3,FALSE)</f>
        <v>Operations &amp; maintenance</v>
      </c>
      <c r="H294" s="98" t="str">
        <f>VLOOKUP(F294,'GL Category'!A:C,2,FALSE)</f>
        <v>MISCELLANEOUS SUPPLIES</v>
      </c>
      <c r="I294" s="99">
        <f>SUMIF(Import!$B:$B,$A294,Import!D:D)</f>
        <v>1466.18</v>
      </c>
      <c r="J294" s="99">
        <f>SUMIF(Import!$B:$B,$A294,Import!E:E)</f>
        <v>915.99</v>
      </c>
      <c r="K294" s="99">
        <f>SUMIF(Import!$B:$B,$A294,Import!F:F)</f>
        <v>2650.73</v>
      </c>
      <c r="L294" s="99">
        <f>SUMIF(Import!$B:$B,$A294,Import!G:G)</f>
        <v>2438.31</v>
      </c>
      <c r="M294" s="99">
        <f>SUMIF(Import!$B:$B,$A294,Import!H:H)</f>
        <v>2500</v>
      </c>
      <c r="N294" s="99">
        <f>SUMIF(Import!$B:$B,$A294,Import!I:I)</f>
        <v>2209.16</v>
      </c>
      <c r="O294" s="99">
        <f>SUMIF(Import!$B:$B,$A294,Import!J:J)</f>
        <v>2500</v>
      </c>
      <c r="P294" s="99">
        <f t="shared" si="372"/>
        <v>0</v>
      </c>
      <c r="Q294" s="99">
        <f>SUMIF(Import!$B:$B,$A294,Import!K:K)</f>
        <v>2500</v>
      </c>
      <c r="R294" s="99">
        <f>SUMIF(Import!$B:$B,$A294,Import!L:L)</f>
        <v>0</v>
      </c>
      <c r="S294" s="99">
        <f>SUMIF(Import!$B:$B,$A294,Import!M:M)</f>
        <v>0</v>
      </c>
      <c r="T294" s="99">
        <f>SUMIF(Import!$B:$B,$A294,Import!N:N)</f>
        <v>2500</v>
      </c>
      <c r="U294" s="99">
        <f t="shared" si="373"/>
        <v>0</v>
      </c>
      <c r="V294" s="255">
        <f t="shared" si="374"/>
        <v>0</v>
      </c>
      <c r="W294" s="102" t="s">
        <v>2351</v>
      </c>
      <c r="X294" s="102"/>
      <c r="Y294" s="102">
        <f t="shared" si="375"/>
        <v>2500</v>
      </c>
      <c r="Z294" s="309">
        <f>Y294*(1+VLOOKUP($F294,'GL Category'!$A:$H,4,FALSE))</f>
        <v>2550</v>
      </c>
      <c r="AA294" s="615"/>
      <c r="AB294" s="622">
        <f t="shared" si="376"/>
        <v>2550</v>
      </c>
      <c r="AC294" s="633">
        <f>AB294*(1+VLOOKUP($F294,'GL Category'!$A:$H,5,FALSE))</f>
        <v>2601</v>
      </c>
      <c r="AE294" s="622">
        <f t="shared" si="377"/>
        <v>2601</v>
      </c>
      <c r="AF294" s="633">
        <f>AE294*(1+VLOOKUP($F294,'GL Category'!$A:$H,6,FALSE))</f>
        <v>2653.02</v>
      </c>
      <c r="AH294" s="622">
        <f t="shared" si="378"/>
        <v>2653.02</v>
      </c>
      <c r="AI294" s="633">
        <f>AH294*(1+VLOOKUP($F294,'GL Category'!$A:$H,7,FALSE))</f>
        <v>2706.0803999999998</v>
      </c>
      <c r="AK294" s="622">
        <f t="shared" si="379"/>
        <v>2706.0803999999998</v>
      </c>
      <c r="AL294" s="633">
        <f>AK294*(1+VLOOKUP($F294,'GL Category'!$A:$H,8,FALSE))</f>
        <v>2760.2020079999998</v>
      </c>
      <c r="AN294" s="622">
        <f t="shared" si="380"/>
        <v>2760.2020079999998</v>
      </c>
    </row>
    <row r="295" spans="1:59" ht="15" customHeight="1">
      <c r="A295" s="555" t="s">
        <v>2352</v>
      </c>
      <c r="B295" s="217" t="str">
        <f t="shared" si="367"/>
        <v>100</v>
      </c>
      <c r="C295" s="217" t="str">
        <f t="shared" si="368"/>
        <v>11</v>
      </c>
      <c r="D295" s="101" t="str">
        <f t="shared" si="369"/>
        <v>111</v>
      </c>
      <c r="E295" s="217" t="str">
        <f t="shared" si="370"/>
        <v>100-11-111</v>
      </c>
      <c r="F295" s="294" t="str">
        <f t="shared" si="371"/>
        <v>52310</v>
      </c>
      <c r="G295" s="295" t="str">
        <f>VLOOKUP(F295,'GL Category'!A:C,3,FALSE)</f>
        <v>Operations &amp; maintenance</v>
      </c>
      <c r="H295" s="98" t="str">
        <f>VLOOKUP(F295,'GL Category'!A:C,2,FALSE)</f>
        <v>BUILDING MAINTENANCE</v>
      </c>
      <c r="I295" s="99">
        <f>SUMIF(Import!$B:$B,$A295,Import!D:D)</f>
        <v>45015.05</v>
      </c>
      <c r="J295" s="99">
        <f>SUMIF(Import!$B:$B,$A295,Import!E:E)</f>
        <v>59087.83</v>
      </c>
      <c r="K295" s="99">
        <f>SUMIF(Import!$B:$B,$A295,Import!F:F)</f>
        <v>41449.300000000003</v>
      </c>
      <c r="L295" s="99">
        <f>SUMIF(Import!$B:$B,$A295,Import!G:G)</f>
        <v>31814.17</v>
      </c>
      <c r="M295" s="99">
        <f>SUMIF(Import!$B:$B,$A295,Import!H:H)</f>
        <v>49750</v>
      </c>
      <c r="N295" s="99">
        <f>SUMIF(Import!$B:$B,$A295,Import!I:I)</f>
        <v>47053.15</v>
      </c>
      <c r="O295" s="99">
        <f>SUMIF(Import!$B:$B,$A295,Import!J:J)</f>
        <v>47201</v>
      </c>
      <c r="P295" s="99">
        <f t="shared" si="372"/>
        <v>-2549</v>
      </c>
      <c r="Q295" s="99">
        <f>SUMIF(Import!$B:$B,$A295,Import!K:K)</f>
        <v>49750</v>
      </c>
      <c r="R295" s="99">
        <f>SUMIF(Import!$B:$B,$A295,Import!L:L)</f>
        <v>0</v>
      </c>
      <c r="S295" s="99">
        <f>SUMIF(Import!$B:$B,$A295,Import!M:M)</f>
        <v>0</v>
      </c>
      <c r="T295" s="99">
        <f>SUMIF(Import!$B:$B,$A295,Import!N:N)</f>
        <v>49750</v>
      </c>
      <c r="U295" s="99">
        <f t="shared" si="373"/>
        <v>0</v>
      </c>
      <c r="V295" s="255">
        <f t="shared" si="374"/>
        <v>0</v>
      </c>
      <c r="W295" s="102" t="s">
        <v>2352</v>
      </c>
      <c r="X295" s="102"/>
      <c r="Y295" s="102">
        <f t="shared" si="375"/>
        <v>49750</v>
      </c>
      <c r="Z295" s="309">
        <f>Y295*(1+VLOOKUP($F295,'GL Category'!$A:$H,4,FALSE))</f>
        <v>50745</v>
      </c>
      <c r="AA295" s="615"/>
      <c r="AB295" s="622">
        <f t="shared" si="376"/>
        <v>50745</v>
      </c>
      <c r="AC295" s="633">
        <f>AB295*(1+VLOOKUP($F295,'GL Category'!$A:$H,5,FALSE))</f>
        <v>51759.9</v>
      </c>
      <c r="AE295" s="622">
        <f t="shared" si="377"/>
        <v>51759.9</v>
      </c>
      <c r="AF295" s="633">
        <f>AE295*(1+VLOOKUP($F295,'GL Category'!$A:$H,6,FALSE))</f>
        <v>52795.098000000005</v>
      </c>
      <c r="AH295" s="622">
        <f t="shared" si="378"/>
        <v>52795.098000000005</v>
      </c>
      <c r="AI295" s="633">
        <f>AH295*(1+VLOOKUP($F295,'GL Category'!$A:$H,7,FALSE))</f>
        <v>53850.999960000008</v>
      </c>
      <c r="AK295" s="622">
        <f t="shared" si="379"/>
        <v>53850.999960000008</v>
      </c>
      <c r="AL295" s="633">
        <f>AK295*(1+VLOOKUP($F295,'GL Category'!$A:$H,8,FALSE))</f>
        <v>54928.019959200006</v>
      </c>
      <c r="AN295" s="622">
        <f t="shared" si="380"/>
        <v>54928.019959200006</v>
      </c>
    </row>
    <row r="296" spans="1:59" ht="15" customHeight="1">
      <c r="A296" s="555" t="s">
        <v>2353</v>
      </c>
      <c r="B296" s="217" t="str">
        <f t="shared" si="367"/>
        <v>100</v>
      </c>
      <c r="C296" s="217" t="str">
        <f t="shared" si="368"/>
        <v>11</v>
      </c>
      <c r="D296" s="101" t="str">
        <f t="shared" si="369"/>
        <v>111</v>
      </c>
      <c r="E296" s="217" t="str">
        <f t="shared" si="370"/>
        <v>100-11-111</v>
      </c>
      <c r="F296" s="294" t="str">
        <f t="shared" si="371"/>
        <v>52460</v>
      </c>
      <c r="G296" s="295" t="str">
        <f>VLOOKUP(F296,'GL Category'!A:C,3,FALSE)</f>
        <v>Operations &amp; maintenance</v>
      </c>
      <c r="H296" s="98" t="str">
        <f>VLOOKUP(F296,'GL Category'!A:C,2,FALSE)</f>
        <v>VEHICLE MAINTENANCE</v>
      </c>
      <c r="I296" s="99">
        <f>SUMIF(Import!$B:$B,$A296,Import!D:D)</f>
        <v>1076.17</v>
      </c>
      <c r="J296" s="99">
        <f>SUMIF(Import!$B:$B,$A296,Import!E:E)</f>
        <v>0</v>
      </c>
      <c r="K296" s="99">
        <f>SUMIF(Import!$B:$B,$A296,Import!F:F)</f>
        <v>0</v>
      </c>
      <c r="L296" s="99">
        <f>SUMIF(Import!$B:$B,$A296,Import!G:G)</f>
        <v>1154.32</v>
      </c>
      <c r="M296" s="99">
        <f>SUMIF(Import!$B:$B,$A296,Import!H:H)</f>
        <v>0</v>
      </c>
      <c r="N296" s="99">
        <f>SUMIF(Import!$B:$B,$A296,Import!I:I)</f>
        <v>0</v>
      </c>
      <c r="O296" s="99">
        <f>SUMIF(Import!$B:$B,$A296,Import!J:J)</f>
        <v>0</v>
      </c>
      <c r="P296" s="99">
        <f t="shared" si="372"/>
        <v>0</v>
      </c>
      <c r="Q296" s="99">
        <f>SUMIF(Import!$B:$B,$A296,Import!K:K)</f>
        <v>0</v>
      </c>
      <c r="R296" s="99">
        <f>SUMIF(Import!$B:$B,$A296,Import!L:L)</f>
        <v>0</v>
      </c>
      <c r="S296" s="99">
        <f>SUMIF(Import!$B:$B,$A296,Import!M:M)</f>
        <v>0</v>
      </c>
      <c r="T296" s="99">
        <f>SUMIF(Import!$B:$B,$A296,Import!N:N)</f>
        <v>0</v>
      </c>
      <c r="U296" s="99">
        <f t="shared" si="373"/>
        <v>0</v>
      </c>
      <c r="V296" s="255" t="str">
        <f t="shared" si="374"/>
        <v>N/A</v>
      </c>
      <c r="W296" s="102" t="s">
        <v>2353</v>
      </c>
      <c r="X296" s="102"/>
      <c r="Y296" s="102">
        <f t="shared" si="375"/>
        <v>0</v>
      </c>
      <c r="Z296" s="309">
        <f>Y296*(1+VLOOKUP($F296,'GL Category'!$A:$H,4,FALSE))</f>
        <v>0</v>
      </c>
      <c r="AA296" s="615"/>
      <c r="AB296" s="622">
        <f t="shared" si="376"/>
        <v>0</v>
      </c>
      <c r="AC296" s="633">
        <f>AB296*(1+VLOOKUP($F296,'GL Category'!$A:$H,5,FALSE))</f>
        <v>0</v>
      </c>
      <c r="AE296" s="622">
        <f t="shared" si="377"/>
        <v>0</v>
      </c>
      <c r="AF296" s="633">
        <f>AE296*(1+VLOOKUP($F296,'GL Category'!$A:$H,6,FALSE))</f>
        <v>0</v>
      </c>
      <c r="AH296" s="622">
        <f t="shared" si="378"/>
        <v>0</v>
      </c>
      <c r="AI296" s="633">
        <f>AH296*(1+VLOOKUP($F296,'GL Category'!$A:$H,7,FALSE))</f>
        <v>0</v>
      </c>
      <c r="AK296" s="622">
        <f t="shared" si="379"/>
        <v>0</v>
      </c>
      <c r="AL296" s="633">
        <f>AK296*(1+VLOOKUP($F296,'GL Category'!$A:$H,8,FALSE))</f>
        <v>0</v>
      </c>
      <c r="AN296" s="622">
        <f t="shared" si="380"/>
        <v>0</v>
      </c>
    </row>
    <row r="297" spans="1:59" ht="15" customHeight="1">
      <c r="A297" s="555" t="s">
        <v>2354</v>
      </c>
      <c r="B297" s="217" t="str">
        <f t="shared" si="367"/>
        <v>100</v>
      </c>
      <c r="C297" s="217" t="str">
        <f t="shared" si="368"/>
        <v>11</v>
      </c>
      <c r="D297" s="101" t="str">
        <f t="shared" si="369"/>
        <v>111</v>
      </c>
      <c r="E297" s="217" t="str">
        <f t="shared" si="370"/>
        <v>100-11-111</v>
      </c>
      <c r="F297" s="294" t="str">
        <f t="shared" si="371"/>
        <v>52470</v>
      </c>
      <c r="G297" s="295" t="str">
        <f>VLOOKUP(F297,'GL Category'!A:C,3,FALSE)</f>
        <v>Operations &amp; maintenance</v>
      </c>
      <c r="H297" s="98" t="str">
        <f>VLOOKUP(F297,'GL Category'!A:C,2,FALSE)</f>
        <v>EQUIPMENT MAINTENANCE</v>
      </c>
      <c r="I297" s="99">
        <f>SUMIF(Import!$B:$B,$A297,Import!D:D)</f>
        <v>0</v>
      </c>
      <c r="J297" s="99">
        <f>SUMIF(Import!$B:$B,$A297,Import!E:E)</f>
        <v>503</v>
      </c>
      <c r="K297" s="99">
        <f>SUMIF(Import!$B:$B,$A297,Import!F:F)</f>
        <v>0</v>
      </c>
      <c r="L297" s="99">
        <f>SUMIF(Import!$B:$B,$A297,Import!G:G)</f>
        <v>0</v>
      </c>
      <c r="M297" s="99">
        <f>SUMIF(Import!$B:$B,$A297,Import!H:H)</f>
        <v>0</v>
      </c>
      <c r="N297" s="99">
        <f>SUMIF(Import!$B:$B,$A297,Import!I:I)</f>
        <v>0</v>
      </c>
      <c r="O297" s="99">
        <f>SUMIF(Import!$B:$B,$A297,Import!J:J)</f>
        <v>0</v>
      </c>
      <c r="P297" s="99">
        <f t="shared" si="372"/>
        <v>0</v>
      </c>
      <c r="Q297" s="99">
        <f>SUMIF(Import!$B:$B,$A297,Import!K:K)</f>
        <v>0</v>
      </c>
      <c r="R297" s="99">
        <f>SUMIF(Import!$B:$B,$A297,Import!L:L)</f>
        <v>0</v>
      </c>
      <c r="S297" s="99">
        <f>SUMIF(Import!$B:$B,$A297,Import!M:M)</f>
        <v>0</v>
      </c>
      <c r="T297" s="99">
        <f>SUMIF(Import!$B:$B,$A297,Import!N:N)</f>
        <v>0</v>
      </c>
      <c r="U297" s="99">
        <f t="shared" si="373"/>
        <v>0</v>
      </c>
      <c r="V297" s="255" t="str">
        <f t="shared" si="374"/>
        <v>N/A</v>
      </c>
      <c r="W297" s="102" t="s">
        <v>2354</v>
      </c>
      <c r="X297" s="102"/>
      <c r="Y297" s="102">
        <f t="shared" si="375"/>
        <v>0</v>
      </c>
      <c r="Z297" s="309">
        <f>Y297*(1+VLOOKUP($F297,'GL Category'!$A:$H,4,FALSE))</f>
        <v>0</v>
      </c>
      <c r="AA297" s="615"/>
      <c r="AB297" s="622">
        <f t="shared" si="376"/>
        <v>0</v>
      </c>
      <c r="AC297" s="633">
        <f>AB297*(1+VLOOKUP($F297,'GL Category'!$A:$H,5,FALSE))</f>
        <v>0</v>
      </c>
      <c r="AE297" s="622">
        <f t="shared" si="377"/>
        <v>0</v>
      </c>
      <c r="AF297" s="633">
        <f>AE297*(1+VLOOKUP($F297,'GL Category'!$A:$H,6,FALSE))</f>
        <v>0</v>
      </c>
      <c r="AH297" s="622">
        <f t="shared" si="378"/>
        <v>0</v>
      </c>
      <c r="AI297" s="633">
        <f>AH297*(1+VLOOKUP($F297,'GL Category'!$A:$H,7,FALSE))</f>
        <v>0</v>
      </c>
      <c r="AK297" s="622">
        <f t="shared" si="379"/>
        <v>0</v>
      </c>
      <c r="AL297" s="633">
        <f>AK297*(1+VLOOKUP($F297,'GL Category'!$A:$H,8,FALSE))</f>
        <v>0</v>
      </c>
      <c r="AN297" s="622">
        <f t="shared" si="380"/>
        <v>0</v>
      </c>
    </row>
    <row r="298" spans="1:59" ht="15" customHeight="1">
      <c r="A298" s="555" t="s">
        <v>2355</v>
      </c>
      <c r="B298" s="217" t="str">
        <f t="shared" si="367"/>
        <v>100</v>
      </c>
      <c r="C298" s="217" t="str">
        <f t="shared" si="368"/>
        <v>11</v>
      </c>
      <c r="D298" s="101" t="str">
        <f t="shared" si="369"/>
        <v>111</v>
      </c>
      <c r="E298" s="217" t="str">
        <f t="shared" si="370"/>
        <v>100-11-111</v>
      </c>
      <c r="F298" s="294" t="str">
        <f t="shared" si="371"/>
        <v>52490</v>
      </c>
      <c r="G298" s="295" t="str">
        <f>VLOOKUP(F298,'GL Category'!A:C,3,FALSE)</f>
        <v>Operations &amp; maintenance</v>
      </c>
      <c r="H298" s="98" t="str">
        <f>VLOOKUP(F298,'GL Category'!A:C,2,FALSE)</f>
        <v>A/C &amp; HEATING MAINTENANCE</v>
      </c>
      <c r="I298" s="99">
        <f>SUMIF(Import!$B:$B,$A298,Import!D:D)</f>
        <v>21824.92</v>
      </c>
      <c r="J298" s="99">
        <f>SUMIF(Import!$B:$B,$A298,Import!E:E)</f>
        <v>32609.87</v>
      </c>
      <c r="K298" s="99">
        <f>SUMIF(Import!$B:$B,$A298,Import!F:F)</f>
        <v>33286.18</v>
      </c>
      <c r="L298" s="99">
        <f>SUMIF(Import!$B:$B,$A298,Import!G:G)</f>
        <v>24560.240000000002</v>
      </c>
      <c r="M298" s="99">
        <f>SUMIF(Import!$B:$B,$A298,Import!H:H)</f>
        <v>50000</v>
      </c>
      <c r="N298" s="99">
        <f>SUMIF(Import!$B:$B,$A298,Import!I:I)</f>
        <v>31716.240000000002</v>
      </c>
      <c r="O298" s="99">
        <f>SUMIF(Import!$B:$B,$A298,Import!J:J)</f>
        <v>50000</v>
      </c>
      <c r="P298" s="99">
        <f t="shared" si="372"/>
        <v>0</v>
      </c>
      <c r="Q298" s="99">
        <f>SUMIF(Import!$B:$B,$A298,Import!K:K)</f>
        <v>50000</v>
      </c>
      <c r="R298" s="99">
        <f>SUMIF(Import!$B:$B,$A298,Import!L:L)</f>
        <v>0</v>
      </c>
      <c r="S298" s="99">
        <f>SUMIF(Import!$B:$B,$A298,Import!M:M)</f>
        <v>0</v>
      </c>
      <c r="T298" s="99">
        <f>SUMIF(Import!$B:$B,$A298,Import!N:N)</f>
        <v>50000</v>
      </c>
      <c r="U298" s="99">
        <f t="shared" si="373"/>
        <v>0</v>
      </c>
      <c r="V298" s="255">
        <f t="shared" si="374"/>
        <v>0</v>
      </c>
      <c r="W298" s="102" t="s">
        <v>2355</v>
      </c>
      <c r="X298" s="102"/>
      <c r="Y298" s="102">
        <f t="shared" si="375"/>
        <v>50000</v>
      </c>
      <c r="Z298" s="309">
        <f>Y298*(1+VLOOKUP($F298,'GL Category'!$A:$H,4,FALSE))</f>
        <v>51000</v>
      </c>
      <c r="AA298" s="615"/>
      <c r="AB298" s="622">
        <f t="shared" si="376"/>
        <v>51000</v>
      </c>
      <c r="AC298" s="633">
        <f>AB298*(1+VLOOKUP($F298,'GL Category'!$A:$H,5,FALSE))</f>
        <v>52020</v>
      </c>
      <c r="AE298" s="622">
        <f t="shared" si="377"/>
        <v>52020</v>
      </c>
      <c r="AF298" s="633">
        <f>AE298*(1+VLOOKUP($F298,'GL Category'!$A:$H,6,FALSE))</f>
        <v>53060.4</v>
      </c>
      <c r="AH298" s="622">
        <f t="shared" si="378"/>
        <v>53060.4</v>
      </c>
      <c r="AI298" s="633">
        <f>AH298*(1+VLOOKUP($F298,'GL Category'!$A:$H,7,FALSE))</f>
        <v>54121.608</v>
      </c>
      <c r="AK298" s="622">
        <f t="shared" si="379"/>
        <v>54121.608</v>
      </c>
      <c r="AL298" s="633">
        <f>AK298*(1+VLOOKUP($F298,'GL Category'!$A:$H,8,FALSE))</f>
        <v>55204.040160000004</v>
      </c>
      <c r="AN298" s="622">
        <f t="shared" si="380"/>
        <v>55204.040160000004</v>
      </c>
    </row>
    <row r="299" spans="1:59" ht="28.35" customHeight="1">
      <c r="A299" s="297"/>
      <c r="B299" s="217"/>
      <c r="C299" s="217"/>
      <c r="D299" s="101"/>
      <c r="E299" s="101"/>
      <c r="F299" s="294"/>
      <c r="G299" s="295"/>
      <c r="H299" s="107" t="str">
        <f>UPPER(G298)&amp;" TOTAL"</f>
        <v>OPERATIONS &amp; MAINTENANCE TOTAL</v>
      </c>
      <c r="I299" s="108">
        <f t="shared" ref="I299" si="381">SUBTOTAL(9,I288:I298)</f>
        <v>108258.18</v>
      </c>
      <c r="J299" s="108">
        <f t="shared" ref="J299:T299" si="382">SUBTOTAL(9,J288:J298)</f>
        <v>115952.58</v>
      </c>
      <c r="K299" s="108">
        <f t="shared" ref="K299" si="383">SUBTOTAL(9,K288:K298)</f>
        <v>97372.25</v>
      </c>
      <c r="L299" s="108">
        <f t="shared" ref="L299" si="384">SUBTOTAL(9,L288:L298)</f>
        <v>83215.709999999992</v>
      </c>
      <c r="M299" s="108">
        <f t="shared" si="382"/>
        <v>139500</v>
      </c>
      <c r="N299" s="108">
        <f t="shared" ref="N299" si="385">SUBTOTAL(9,N288:N298)</f>
        <v>97576.840000000011</v>
      </c>
      <c r="O299" s="108">
        <f t="shared" si="382"/>
        <v>128952</v>
      </c>
      <c r="P299" s="108">
        <f t="shared" si="382"/>
        <v>-10548</v>
      </c>
      <c r="Q299" s="108">
        <f t="shared" si="382"/>
        <v>139500</v>
      </c>
      <c r="R299" s="108">
        <f t="shared" si="382"/>
        <v>0</v>
      </c>
      <c r="S299" s="108">
        <f t="shared" si="382"/>
        <v>0</v>
      </c>
      <c r="T299" s="108">
        <f t="shared" si="382"/>
        <v>139500</v>
      </c>
      <c r="U299" s="99">
        <f>T299-M299</f>
        <v>0</v>
      </c>
      <c r="V299" s="255">
        <f>IF(M299=0,"N/A",T299/M299-1)</f>
        <v>0</v>
      </c>
      <c r="W299" s="102"/>
      <c r="X299" s="102"/>
      <c r="Y299" s="102"/>
      <c r="AA299" s="615"/>
      <c r="AC299" s="94"/>
      <c r="AD299" s="94"/>
      <c r="AE299" s="94"/>
      <c r="AF299" s="94"/>
      <c r="AG299" s="94"/>
      <c r="AJ299" s="94"/>
      <c r="AK299" s="94"/>
      <c r="AL299" s="94"/>
      <c r="AM299" s="94"/>
      <c r="AN299" s="94"/>
    </row>
    <row r="300" spans="1:59" s="105" customFormat="1" ht="15" customHeight="1">
      <c r="A300" s="297"/>
      <c r="B300" s="217"/>
      <c r="C300" s="217"/>
      <c r="D300" s="101"/>
      <c r="E300" s="101"/>
      <c r="F300" s="294"/>
      <c r="G300" s="295"/>
      <c r="H300" s="98"/>
      <c r="I300" s="106"/>
      <c r="J300" s="106"/>
      <c r="K300" s="106"/>
      <c r="L300" s="106"/>
      <c r="M300" s="106"/>
      <c r="N300" s="110"/>
      <c r="O300" s="110"/>
      <c r="P300" s="110"/>
      <c r="Q300" s="111"/>
      <c r="R300" s="99"/>
      <c r="S300" s="99"/>
      <c r="T300" s="111"/>
      <c r="U300" s="111"/>
      <c r="V300" s="111"/>
      <c r="W300" s="102"/>
      <c r="X300" s="102"/>
      <c r="Y300" s="102"/>
      <c r="Z300" s="95"/>
      <c r="AA300" s="615"/>
      <c r="AB300" s="627"/>
      <c r="AC300" s="112"/>
      <c r="AD300" s="112"/>
      <c r="AE300" s="112"/>
      <c r="AF300" s="112"/>
      <c r="AG300" s="112"/>
      <c r="AH300" s="627"/>
      <c r="AI300" s="627"/>
      <c r="AJ300" s="112"/>
      <c r="AK300" s="112"/>
      <c r="AL300" s="112"/>
      <c r="AM300" s="112"/>
      <c r="AN300" s="112"/>
      <c r="AO300" s="196"/>
      <c r="AP300" s="196"/>
      <c r="AQ300" s="196"/>
      <c r="AR300" s="104"/>
      <c r="AS300" s="104"/>
      <c r="AT300" s="104"/>
      <c r="AU300" s="104"/>
      <c r="AV300" s="104"/>
      <c r="AW300" s="104"/>
      <c r="AX300" s="104"/>
      <c r="AY300" s="104"/>
      <c r="AZ300" s="104"/>
      <c r="BA300" s="104"/>
      <c r="BB300" s="104"/>
      <c r="BC300" s="104"/>
      <c r="BD300" s="104"/>
      <c r="BE300" s="104"/>
      <c r="BF300" s="104"/>
      <c r="BG300" s="104"/>
    </row>
    <row r="301" spans="1:59" s="105" customFormat="1" ht="15" customHeight="1">
      <c r="A301" s="555" t="s">
        <v>2357</v>
      </c>
      <c r="B301" s="217" t="str">
        <f t="shared" ref="B301:B309" si="386">LEFT(A301,3)</f>
        <v>100</v>
      </c>
      <c r="C301" s="217" t="str">
        <f t="shared" ref="C301:C309" si="387">MID(A301,5,2)</f>
        <v>11</v>
      </c>
      <c r="D301" s="101" t="str">
        <f t="shared" ref="D301:D309" si="388">MID(A301,8,3)</f>
        <v>111</v>
      </c>
      <c r="E301" s="217" t="str">
        <f t="shared" ref="E301:E309" si="389">LEFT(A301,10)</f>
        <v>100-11-111</v>
      </c>
      <c r="F301" s="294" t="str">
        <f t="shared" ref="F301:F309" si="390">RIGHT(A301,5)</f>
        <v>53515</v>
      </c>
      <c r="G301" s="295" t="str">
        <f>VLOOKUP(F301,'GL Category'!A:C,3,FALSE)</f>
        <v>Services &amp; other</v>
      </c>
      <c r="H301" s="98" t="str">
        <f>VLOOKUP(F301,'GL Category'!A:C,2,FALSE)</f>
        <v>TRAVEL, TRAINING &amp; EDUCATION</v>
      </c>
      <c r="I301" s="99">
        <f>SUMIF(Import!$B:$B,$A301,Import!D:D)</f>
        <v>0</v>
      </c>
      <c r="J301" s="99">
        <f>SUMIF(Import!$B:$B,$A301,Import!E:E)</f>
        <v>0</v>
      </c>
      <c r="K301" s="99">
        <f>SUMIF(Import!$B:$B,$A301,Import!F:F)</f>
        <v>0</v>
      </c>
      <c r="L301" s="99">
        <f>SUMIF(Import!$B:$B,$A301,Import!G:G)</f>
        <v>0</v>
      </c>
      <c r="M301" s="99">
        <f>SUMIF(Import!$B:$B,$A301,Import!H:H)</f>
        <v>0</v>
      </c>
      <c r="N301" s="99">
        <f>SUMIF(Import!$B:$B,$A301,Import!I:I)</f>
        <v>100</v>
      </c>
      <c r="O301" s="99">
        <f>SUMIF(Import!$B:$B,$A301,Import!J:J)</f>
        <v>100</v>
      </c>
      <c r="P301" s="99">
        <f t="shared" ref="P301:P309" si="391">O301-M301</f>
        <v>100</v>
      </c>
      <c r="Q301" s="99">
        <f>SUMIF(Import!$B:$B,$A301,Import!K:K)</f>
        <v>100</v>
      </c>
      <c r="R301" s="99">
        <f>SUMIF(Import!$B:$B,$A301,Import!L:L)</f>
        <v>0</v>
      </c>
      <c r="S301" s="99">
        <f>SUMIF(Import!$B:$B,$A301,Import!M:M)</f>
        <v>0</v>
      </c>
      <c r="T301" s="99">
        <f>SUMIF(Import!$B:$B,$A301,Import!N:N)</f>
        <v>100</v>
      </c>
      <c r="U301" s="99">
        <f t="shared" ref="U301:U309" si="392">T301-M301</f>
        <v>100</v>
      </c>
      <c r="V301" s="255" t="str">
        <f t="shared" ref="V301:V309" si="393">IF(M301=0,"N/A",T301/M301-1)</f>
        <v>N/A</v>
      </c>
      <c r="W301" s="102" t="s">
        <v>2357</v>
      </c>
      <c r="X301" s="102"/>
      <c r="Y301" s="102">
        <f t="shared" ref="Y301:Y309" si="394">T301-X301</f>
        <v>100</v>
      </c>
      <c r="Z301" s="309">
        <f>Y301*(1+VLOOKUP($F301,'GL Category'!$A:$H,4,FALSE))</f>
        <v>103</v>
      </c>
      <c r="AA301" s="615"/>
      <c r="AB301" s="622">
        <f t="shared" ref="AB301:AB309" si="395">Z301+AA301</f>
        <v>103</v>
      </c>
      <c r="AC301" s="633">
        <f>AB301*(1+VLOOKUP($F301,'GL Category'!$A:$H,5,FALSE))</f>
        <v>106.09</v>
      </c>
      <c r="AD301" s="307"/>
      <c r="AE301" s="622">
        <f t="shared" ref="AE301:AE309" si="396">AC301+AD301</f>
        <v>106.09</v>
      </c>
      <c r="AF301" s="633">
        <f>AE301*(1+VLOOKUP($F301,'GL Category'!$A:$H,6,FALSE))</f>
        <v>109.2727</v>
      </c>
      <c r="AG301" s="307"/>
      <c r="AH301" s="622">
        <f t="shared" ref="AH301:AH309" si="397">AF301+AG301</f>
        <v>109.2727</v>
      </c>
      <c r="AI301" s="633">
        <f>AH301*(1+VLOOKUP($F301,'GL Category'!$A:$H,7,FALSE))</f>
        <v>112.550881</v>
      </c>
      <c r="AJ301" s="307"/>
      <c r="AK301" s="622">
        <f t="shared" ref="AK301:AK309" si="398">AI301+AJ301</f>
        <v>112.550881</v>
      </c>
      <c r="AL301" s="633">
        <f>AK301*(1+VLOOKUP($F301,'GL Category'!$A:$H,8,FALSE))</f>
        <v>115.92740743</v>
      </c>
      <c r="AM301" s="307"/>
      <c r="AN301" s="622">
        <f t="shared" ref="AN301:AN309" si="399">AL301+AM301</f>
        <v>115.92740743</v>
      </c>
      <c r="AO301" s="196"/>
      <c r="AP301" s="196"/>
      <c r="AQ301" s="196"/>
      <c r="AR301" s="104"/>
      <c r="AS301" s="104"/>
      <c r="AT301" s="104"/>
      <c r="AU301" s="104"/>
      <c r="AV301" s="104"/>
      <c r="AW301" s="104"/>
      <c r="AX301" s="104"/>
      <c r="AY301" s="104"/>
      <c r="AZ301" s="104"/>
      <c r="BA301" s="104"/>
      <c r="BB301" s="104"/>
      <c r="BC301" s="104"/>
      <c r="BD301" s="104"/>
      <c r="BE301" s="104"/>
      <c r="BF301" s="104"/>
      <c r="BG301" s="104"/>
    </row>
    <row r="302" spans="1:59" s="105" customFormat="1" ht="15" customHeight="1">
      <c r="A302" s="555" t="s">
        <v>2358</v>
      </c>
      <c r="B302" s="217" t="str">
        <f t="shared" si="386"/>
        <v>100</v>
      </c>
      <c r="C302" s="217" t="str">
        <f t="shared" si="387"/>
        <v>11</v>
      </c>
      <c r="D302" s="101" t="str">
        <f t="shared" si="388"/>
        <v>111</v>
      </c>
      <c r="E302" s="217" t="str">
        <f t="shared" si="389"/>
        <v>100-11-111</v>
      </c>
      <c r="F302" s="294" t="str">
        <f t="shared" si="390"/>
        <v>53524</v>
      </c>
      <c r="G302" s="295" t="str">
        <f>VLOOKUP(F302,'GL Category'!A:C,3,FALSE)</f>
        <v>Services &amp; other</v>
      </c>
      <c r="H302" s="98" t="str">
        <f>VLOOKUP(F302,'GL Category'!A:C,2,FALSE)</f>
        <v>EQUIPMENT RENTAL</v>
      </c>
      <c r="I302" s="99">
        <f>SUMIF(Import!$B:$B,$A302,Import!D:D)</f>
        <v>0</v>
      </c>
      <c r="J302" s="99">
        <f>SUMIF(Import!$B:$B,$A302,Import!E:E)</f>
        <v>1346.82</v>
      </c>
      <c r="K302" s="99">
        <f>SUMIF(Import!$B:$B,$A302,Import!F:F)</f>
        <v>0</v>
      </c>
      <c r="L302" s="99">
        <f>SUMIF(Import!$B:$B,$A302,Import!G:G)</f>
        <v>598.79</v>
      </c>
      <c r="M302" s="99">
        <f>SUMIF(Import!$B:$B,$A302,Import!H:H)</f>
        <v>2500</v>
      </c>
      <c r="N302" s="99">
        <f>SUMIF(Import!$B:$B,$A302,Import!I:I)</f>
        <v>4361.38</v>
      </c>
      <c r="O302" s="99">
        <f>SUMIF(Import!$B:$B,$A302,Import!J:J)</f>
        <v>4000</v>
      </c>
      <c r="P302" s="99">
        <f t="shared" si="391"/>
        <v>1500</v>
      </c>
      <c r="Q302" s="99">
        <f>SUMIF(Import!$B:$B,$A302,Import!K:K)</f>
        <v>2500</v>
      </c>
      <c r="R302" s="99">
        <f>SUMIF(Import!$B:$B,$A302,Import!L:L)</f>
        <v>0</v>
      </c>
      <c r="S302" s="99">
        <f>SUMIF(Import!$B:$B,$A302,Import!M:M)</f>
        <v>0</v>
      </c>
      <c r="T302" s="99">
        <f>SUMIF(Import!$B:$B,$A302,Import!N:N)</f>
        <v>2500</v>
      </c>
      <c r="U302" s="99">
        <f t="shared" si="392"/>
        <v>0</v>
      </c>
      <c r="V302" s="255">
        <f t="shared" si="393"/>
        <v>0</v>
      </c>
      <c r="W302" s="102" t="s">
        <v>2358</v>
      </c>
      <c r="X302" s="102"/>
      <c r="Y302" s="102">
        <f t="shared" si="394"/>
        <v>2500</v>
      </c>
      <c r="Z302" s="309">
        <f>Y302*(1+VLOOKUP($F302,'GL Category'!$A:$H,4,FALSE))</f>
        <v>2575</v>
      </c>
      <c r="AA302" s="615"/>
      <c r="AB302" s="622">
        <f t="shared" si="395"/>
        <v>2575</v>
      </c>
      <c r="AC302" s="633">
        <f>AB302*(1+VLOOKUP($F302,'GL Category'!$A:$H,5,FALSE))</f>
        <v>2652.25</v>
      </c>
      <c r="AD302" s="307"/>
      <c r="AE302" s="622">
        <f t="shared" si="396"/>
        <v>2652.25</v>
      </c>
      <c r="AF302" s="633">
        <f>AE302*(1+VLOOKUP($F302,'GL Category'!$A:$H,6,FALSE))</f>
        <v>2731.8175000000001</v>
      </c>
      <c r="AG302" s="307"/>
      <c r="AH302" s="622">
        <f t="shared" si="397"/>
        <v>2731.8175000000001</v>
      </c>
      <c r="AI302" s="633">
        <f>AH302*(1+VLOOKUP($F302,'GL Category'!$A:$H,7,FALSE))</f>
        <v>2813.7720250000002</v>
      </c>
      <c r="AJ302" s="307"/>
      <c r="AK302" s="622">
        <f t="shared" si="398"/>
        <v>2813.7720250000002</v>
      </c>
      <c r="AL302" s="633">
        <f>AK302*(1+VLOOKUP($F302,'GL Category'!$A:$H,8,FALSE))</f>
        <v>2898.1851857500001</v>
      </c>
      <c r="AM302" s="307"/>
      <c r="AN302" s="622">
        <f t="shared" si="399"/>
        <v>2898.1851857500001</v>
      </c>
      <c r="AO302" s="196"/>
      <c r="AP302" s="196"/>
      <c r="AQ302" s="196"/>
      <c r="AR302" s="104"/>
      <c r="AS302" s="104"/>
      <c r="AT302" s="104"/>
      <c r="AU302" s="104"/>
      <c r="AV302" s="104"/>
      <c r="AW302" s="104"/>
      <c r="AX302" s="104"/>
      <c r="AY302" s="104"/>
      <c r="AZ302" s="104"/>
      <c r="BA302" s="104"/>
      <c r="BB302" s="104"/>
      <c r="BC302" s="104"/>
      <c r="BD302" s="104"/>
      <c r="BE302" s="104"/>
      <c r="BF302" s="104"/>
      <c r="BG302" s="104"/>
    </row>
    <row r="303" spans="1:59" s="105" customFormat="1" ht="15" customHeight="1">
      <c r="A303" s="555" t="s">
        <v>2359</v>
      </c>
      <c r="B303" s="217" t="str">
        <f t="shared" si="386"/>
        <v>100</v>
      </c>
      <c r="C303" s="217" t="str">
        <f t="shared" si="387"/>
        <v>11</v>
      </c>
      <c r="D303" s="101" t="str">
        <f t="shared" si="388"/>
        <v>111</v>
      </c>
      <c r="E303" s="217" t="str">
        <f t="shared" si="389"/>
        <v>100-11-111</v>
      </c>
      <c r="F303" s="294" t="str">
        <f t="shared" si="390"/>
        <v>53529</v>
      </c>
      <c r="G303" s="295" t="str">
        <f>VLOOKUP(F303,'GL Category'!A:C,3,FALSE)</f>
        <v>Services &amp; other</v>
      </c>
      <c r="H303" s="98" t="str">
        <f>VLOOKUP(F303,'GL Category'!A:C,2,FALSE)</f>
        <v>JANITORIAL SERVICES</v>
      </c>
      <c r="I303" s="99">
        <f>SUMIF(Import!$B:$B,$A303,Import!D:D)</f>
        <v>16707.599999999999</v>
      </c>
      <c r="J303" s="99">
        <f>SUMIF(Import!$B:$B,$A303,Import!E:E)</f>
        <v>19413.45</v>
      </c>
      <c r="K303" s="99">
        <f>SUMIF(Import!$B:$B,$A303,Import!F:F)</f>
        <v>19800</v>
      </c>
      <c r="L303" s="99">
        <f>SUMIF(Import!$B:$B,$A303,Import!G:G)</f>
        <v>21960</v>
      </c>
      <c r="M303" s="99">
        <f>SUMIF(Import!$B:$B,$A303,Import!H:H)</f>
        <v>25800</v>
      </c>
      <c r="N303" s="99">
        <f>SUMIF(Import!$B:$B,$A303,Import!I:I)</f>
        <v>14850</v>
      </c>
      <c r="O303" s="99">
        <f>SUMIF(Import!$B:$B,$A303,Import!J:J)</f>
        <v>24000</v>
      </c>
      <c r="P303" s="99">
        <f t="shared" si="391"/>
        <v>-1800</v>
      </c>
      <c r="Q303" s="99">
        <f>SUMIF(Import!$B:$B,$A303,Import!K:K)</f>
        <v>25800</v>
      </c>
      <c r="R303" s="99">
        <f>SUMIF(Import!$B:$B,$A303,Import!L:L)</f>
        <v>0</v>
      </c>
      <c r="S303" s="99">
        <f>SUMIF(Import!$B:$B,$A303,Import!M:M)</f>
        <v>0</v>
      </c>
      <c r="T303" s="99">
        <f>SUMIF(Import!$B:$B,$A303,Import!N:N)</f>
        <v>25800</v>
      </c>
      <c r="U303" s="99">
        <f t="shared" si="392"/>
        <v>0</v>
      </c>
      <c r="V303" s="255">
        <f t="shared" si="393"/>
        <v>0</v>
      </c>
      <c r="W303" s="102" t="s">
        <v>2359</v>
      </c>
      <c r="X303" s="102"/>
      <c r="Y303" s="102">
        <f t="shared" si="394"/>
        <v>25800</v>
      </c>
      <c r="Z303" s="309">
        <f>Y303*(1+VLOOKUP($F303,'GL Category'!$A:$H,4,FALSE))</f>
        <v>26574</v>
      </c>
      <c r="AA303" s="615"/>
      <c r="AB303" s="622">
        <f t="shared" si="395"/>
        <v>26574</v>
      </c>
      <c r="AC303" s="633">
        <f>AB303*(1+VLOOKUP($F303,'GL Category'!$A:$H,5,FALSE))</f>
        <v>27371.22</v>
      </c>
      <c r="AD303" s="307"/>
      <c r="AE303" s="622">
        <f t="shared" si="396"/>
        <v>27371.22</v>
      </c>
      <c r="AF303" s="633">
        <f>AE303*(1+VLOOKUP($F303,'GL Category'!$A:$H,6,FALSE))</f>
        <v>28192.356600000003</v>
      </c>
      <c r="AG303" s="307"/>
      <c r="AH303" s="622">
        <f t="shared" si="397"/>
        <v>28192.356600000003</v>
      </c>
      <c r="AI303" s="633">
        <f>AH303*(1+VLOOKUP($F303,'GL Category'!$A:$H,7,FALSE))</f>
        <v>29038.127298000003</v>
      </c>
      <c r="AJ303" s="307"/>
      <c r="AK303" s="622">
        <f t="shared" si="398"/>
        <v>29038.127298000003</v>
      </c>
      <c r="AL303" s="633">
        <f>AK303*(1+VLOOKUP($F303,'GL Category'!$A:$H,8,FALSE))</f>
        <v>29909.271116940003</v>
      </c>
      <c r="AM303" s="307"/>
      <c r="AN303" s="622">
        <f t="shared" si="399"/>
        <v>29909.271116940003</v>
      </c>
      <c r="AO303" s="196"/>
      <c r="AP303" s="196"/>
      <c r="AQ303" s="196"/>
      <c r="AR303" s="104"/>
      <c r="AS303" s="104"/>
      <c r="AT303" s="104"/>
      <c r="AU303" s="104"/>
      <c r="AV303" s="104"/>
      <c r="AW303" s="104"/>
      <c r="AX303" s="104"/>
      <c r="AY303" s="104"/>
      <c r="AZ303" s="104"/>
      <c r="BA303" s="104"/>
      <c r="BB303" s="104"/>
      <c r="BC303" s="104"/>
      <c r="BD303" s="104"/>
      <c r="BE303" s="104"/>
      <c r="BF303" s="104"/>
      <c r="BG303" s="104"/>
    </row>
    <row r="304" spans="1:59" s="105" customFormat="1" ht="15" customHeight="1">
      <c r="A304" s="555" t="s">
        <v>2360</v>
      </c>
      <c r="B304" s="217" t="str">
        <f t="shared" si="386"/>
        <v>100</v>
      </c>
      <c r="C304" s="217" t="str">
        <f t="shared" si="387"/>
        <v>11</v>
      </c>
      <c r="D304" s="101" t="str">
        <f t="shared" si="388"/>
        <v>111</v>
      </c>
      <c r="E304" s="217" t="str">
        <f t="shared" si="389"/>
        <v>100-11-111</v>
      </c>
      <c r="F304" s="294" t="str">
        <f t="shared" si="390"/>
        <v>53570</v>
      </c>
      <c r="G304" s="295" t="str">
        <f>VLOOKUP(F304,'GL Category'!A:C,3,FALSE)</f>
        <v>Services &amp; other</v>
      </c>
      <c r="H304" s="98" t="str">
        <f>VLOOKUP(F304,'GL Category'!A:C,2,FALSE)</f>
        <v>TELEPHONE/COMMUNICATIONS</v>
      </c>
      <c r="I304" s="99">
        <f>SUMIF(Import!$B:$B,$A304,Import!D:D)</f>
        <v>0</v>
      </c>
      <c r="J304" s="99">
        <f>SUMIF(Import!$B:$B,$A304,Import!E:E)</f>
        <v>0</v>
      </c>
      <c r="K304" s="99">
        <f>SUMIF(Import!$B:$B,$A304,Import!F:F)</f>
        <v>0</v>
      </c>
      <c r="L304" s="99">
        <f>SUMIF(Import!$B:$B,$A304,Import!G:G)</f>
        <v>0</v>
      </c>
      <c r="M304" s="99">
        <f>SUMIF(Import!$B:$B,$A304,Import!H:H)</f>
        <v>0</v>
      </c>
      <c r="N304" s="99">
        <f>SUMIF(Import!$B:$B,$A304,Import!I:I)</f>
        <v>0</v>
      </c>
      <c r="O304" s="99">
        <f>SUMIF(Import!$B:$B,$A304,Import!J:J)</f>
        <v>0</v>
      </c>
      <c r="P304" s="99">
        <f t="shared" si="391"/>
        <v>0</v>
      </c>
      <c r="Q304" s="99">
        <f>SUMIF(Import!$B:$B,$A304,Import!K:K)</f>
        <v>0</v>
      </c>
      <c r="R304" s="99">
        <f>SUMIF(Import!$B:$B,$A304,Import!L:L)</f>
        <v>0</v>
      </c>
      <c r="S304" s="99">
        <f>SUMIF(Import!$B:$B,$A304,Import!M:M)</f>
        <v>0</v>
      </c>
      <c r="T304" s="99">
        <f>SUMIF(Import!$B:$B,$A304,Import!N:N)</f>
        <v>0</v>
      </c>
      <c r="U304" s="99">
        <f t="shared" si="392"/>
        <v>0</v>
      </c>
      <c r="V304" s="255" t="str">
        <f t="shared" si="393"/>
        <v>N/A</v>
      </c>
      <c r="W304" s="102" t="s">
        <v>2360</v>
      </c>
      <c r="X304" s="102"/>
      <c r="Y304" s="102">
        <f t="shared" si="394"/>
        <v>0</v>
      </c>
      <c r="Z304" s="309">
        <f>Y304*(1+VLOOKUP($F304,'GL Category'!$A:$H,4,FALSE))</f>
        <v>0</v>
      </c>
      <c r="AA304" s="615"/>
      <c r="AB304" s="622">
        <f t="shared" si="395"/>
        <v>0</v>
      </c>
      <c r="AC304" s="633">
        <f>AB304*(1+VLOOKUP($F304,'GL Category'!$A:$H,5,FALSE))</f>
        <v>0</v>
      </c>
      <c r="AD304" s="307"/>
      <c r="AE304" s="622">
        <f t="shared" si="396"/>
        <v>0</v>
      </c>
      <c r="AF304" s="633">
        <f>AE304*(1+VLOOKUP($F304,'GL Category'!$A:$H,6,FALSE))</f>
        <v>0</v>
      </c>
      <c r="AG304" s="307"/>
      <c r="AH304" s="622">
        <f t="shared" si="397"/>
        <v>0</v>
      </c>
      <c r="AI304" s="633">
        <f>AH304*(1+VLOOKUP($F304,'GL Category'!$A:$H,7,FALSE))</f>
        <v>0</v>
      </c>
      <c r="AJ304" s="307"/>
      <c r="AK304" s="622">
        <f t="shared" si="398"/>
        <v>0</v>
      </c>
      <c r="AL304" s="633">
        <f>AK304*(1+VLOOKUP($F304,'GL Category'!$A:$H,8,FALSE))</f>
        <v>0</v>
      </c>
      <c r="AM304" s="307"/>
      <c r="AN304" s="622">
        <f t="shared" si="399"/>
        <v>0</v>
      </c>
      <c r="AO304" s="196"/>
      <c r="AP304" s="196"/>
      <c r="AQ304" s="196"/>
      <c r="AR304" s="104"/>
      <c r="AS304" s="104"/>
      <c r="AT304" s="104"/>
      <c r="AU304" s="104"/>
      <c r="AV304" s="104"/>
      <c r="AW304" s="104"/>
      <c r="AX304" s="104"/>
      <c r="AY304" s="104"/>
      <c r="AZ304" s="104"/>
      <c r="BA304" s="104"/>
      <c r="BB304" s="104"/>
      <c r="BC304" s="104"/>
      <c r="BD304" s="104"/>
      <c r="BE304" s="104"/>
      <c r="BF304" s="104"/>
      <c r="BG304" s="104"/>
    </row>
    <row r="305" spans="1:59" s="105" customFormat="1" ht="15" customHeight="1">
      <c r="A305" s="555" t="s">
        <v>2361</v>
      </c>
      <c r="B305" s="217" t="str">
        <f t="shared" si="386"/>
        <v>100</v>
      </c>
      <c r="C305" s="217" t="str">
        <f t="shared" si="387"/>
        <v>11</v>
      </c>
      <c r="D305" s="101" t="str">
        <f t="shared" si="388"/>
        <v>111</v>
      </c>
      <c r="E305" s="217" t="str">
        <f t="shared" si="389"/>
        <v>100-11-111</v>
      </c>
      <c r="F305" s="294" t="str">
        <f t="shared" si="390"/>
        <v>53572</v>
      </c>
      <c r="G305" s="295" t="str">
        <f>VLOOKUP(F305,'GL Category'!A:C,3,FALSE)</f>
        <v>Services &amp; other</v>
      </c>
      <c r="H305" s="98" t="str">
        <f>VLOOKUP(F305,'GL Category'!A:C,2,FALSE)</f>
        <v>ELECTRICAL UTILITY SERVICE</v>
      </c>
      <c r="I305" s="99">
        <f>SUMIF(Import!$B:$B,$A305,Import!D:D)</f>
        <v>81955.039999999994</v>
      </c>
      <c r="J305" s="99">
        <f>SUMIF(Import!$B:$B,$A305,Import!E:E)</f>
        <v>114614.98</v>
      </c>
      <c r="K305" s="99">
        <f>SUMIF(Import!$B:$B,$A305,Import!F:F)</f>
        <v>88856.76</v>
      </c>
      <c r="L305" s="99">
        <f>SUMIF(Import!$B:$B,$A305,Import!G:G)</f>
        <v>98446.91</v>
      </c>
      <c r="M305" s="99">
        <f>SUMIF(Import!$B:$B,$A305,Import!H:H)</f>
        <v>99760</v>
      </c>
      <c r="N305" s="99">
        <f>SUMIF(Import!$B:$B,$A305,Import!I:I)</f>
        <v>58672.18</v>
      </c>
      <c r="O305" s="99">
        <f>SUMIF(Import!$B:$B,$A305,Import!J:J)</f>
        <v>99760</v>
      </c>
      <c r="P305" s="99">
        <f t="shared" si="391"/>
        <v>0</v>
      </c>
      <c r="Q305" s="99">
        <f>SUMIF(Import!$B:$B,$A305,Import!K:K)</f>
        <v>99760</v>
      </c>
      <c r="R305" s="99">
        <f>SUMIF(Import!$B:$B,$A305,Import!L:L)</f>
        <v>0</v>
      </c>
      <c r="S305" s="99">
        <f>SUMIF(Import!$B:$B,$A305,Import!M:M)</f>
        <v>0</v>
      </c>
      <c r="T305" s="99">
        <f>SUMIF(Import!$B:$B,$A305,Import!N:N)</f>
        <v>99760</v>
      </c>
      <c r="U305" s="99">
        <f t="shared" si="392"/>
        <v>0</v>
      </c>
      <c r="V305" s="255">
        <f t="shared" si="393"/>
        <v>0</v>
      </c>
      <c r="W305" s="102" t="s">
        <v>2361</v>
      </c>
      <c r="X305" s="102"/>
      <c r="Y305" s="102">
        <f t="shared" si="394"/>
        <v>99760</v>
      </c>
      <c r="Z305" s="309">
        <f>Y305*(1+VLOOKUP($F305,'GL Category'!$A:$H,4,FALSE))</f>
        <v>102752.8</v>
      </c>
      <c r="AA305" s="615"/>
      <c r="AB305" s="622">
        <f t="shared" si="395"/>
        <v>102752.8</v>
      </c>
      <c r="AC305" s="633">
        <f>AB305*(1+VLOOKUP($F305,'GL Category'!$A:$H,5,FALSE))</f>
        <v>105835.38400000001</v>
      </c>
      <c r="AD305" s="307"/>
      <c r="AE305" s="622">
        <f t="shared" si="396"/>
        <v>105835.38400000001</v>
      </c>
      <c r="AF305" s="633">
        <f>AE305*(1+VLOOKUP($F305,'GL Category'!$A:$H,6,FALSE))</f>
        <v>109010.44552000001</v>
      </c>
      <c r="AG305" s="307"/>
      <c r="AH305" s="622">
        <f t="shared" si="397"/>
        <v>109010.44552000001</v>
      </c>
      <c r="AI305" s="633">
        <f>AH305*(1+VLOOKUP($F305,'GL Category'!$A:$H,7,FALSE))</f>
        <v>112280.75888560001</v>
      </c>
      <c r="AJ305" s="307"/>
      <c r="AK305" s="622">
        <f t="shared" si="398"/>
        <v>112280.75888560001</v>
      </c>
      <c r="AL305" s="633">
        <f>AK305*(1+VLOOKUP($F305,'GL Category'!$A:$H,8,FALSE))</f>
        <v>115649.18165216802</v>
      </c>
      <c r="AM305" s="307"/>
      <c r="AN305" s="622">
        <f t="shared" si="399"/>
        <v>115649.18165216802</v>
      </c>
      <c r="AO305" s="196"/>
      <c r="AP305" s="196"/>
      <c r="AQ305" s="196"/>
      <c r="AR305" s="104"/>
      <c r="AS305" s="104"/>
      <c r="AT305" s="104"/>
      <c r="AU305" s="104"/>
      <c r="AV305" s="104"/>
      <c r="AW305" s="104"/>
      <c r="AX305" s="104"/>
      <c r="AY305" s="104"/>
      <c r="AZ305" s="104"/>
      <c r="BA305" s="104"/>
      <c r="BB305" s="104"/>
      <c r="BC305" s="104"/>
      <c r="BD305" s="104"/>
      <c r="BE305" s="104"/>
      <c r="BF305" s="104"/>
      <c r="BG305" s="104"/>
    </row>
    <row r="306" spans="1:59" s="105" customFormat="1" ht="15" customHeight="1">
      <c r="A306" s="555" t="s">
        <v>2362</v>
      </c>
      <c r="B306" s="217" t="str">
        <f t="shared" si="386"/>
        <v>100</v>
      </c>
      <c r="C306" s="217" t="str">
        <f t="shared" si="387"/>
        <v>11</v>
      </c>
      <c r="D306" s="101" t="str">
        <f t="shared" si="388"/>
        <v>111</v>
      </c>
      <c r="E306" s="217" t="str">
        <f t="shared" si="389"/>
        <v>100-11-111</v>
      </c>
      <c r="F306" s="294" t="str">
        <f t="shared" si="390"/>
        <v>53574</v>
      </c>
      <c r="G306" s="295" t="str">
        <f>VLOOKUP(F306,'GL Category'!A:C,3,FALSE)</f>
        <v>Services &amp; other</v>
      </c>
      <c r="H306" s="98" t="str">
        <f>VLOOKUP(F306,'GL Category'!A:C,2,FALSE)</f>
        <v>WATER/SEWER UTILITY SERVICE</v>
      </c>
      <c r="I306" s="99">
        <f>SUMIF(Import!$B:$B,$A306,Import!D:D)</f>
        <v>3059.66</v>
      </c>
      <c r="J306" s="99">
        <f>SUMIF(Import!$B:$B,$A306,Import!E:E)</f>
        <v>2995.83</v>
      </c>
      <c r="K306" s="99">
        <f>SUMIF(Import!$B:$B,$A306,Import!F:F)</f>
        <v>2509.4</v>
      </c>
      <c r="L306" s="99">
        <f>SUMIF(Import!$B:$B,$A306,Import!G:G)</f>
        <v>2790.72</v>
      </c>
      <c r="M306" s="99">
        <f>SUMIF(Import!$B:$B,$A306,Import!H:H)</f>
        <v>3750</v>
      </c>
      <c r="N306" s="99">
        <f>SUMIF(Import!$B:$B,$A306,Import!I:I)</f>
        <v>2473.15</v>
      </c>
      <c r="O306" s="99">
        <f>SUMIF(Import!$B:$B,$A306,Import!J:J)</f>
        <v>3000</v>
      </c>
      <c r="P306" s="99">
        <f t="shared" si="391"/>
        <v>-750</v>
      </c>
      <c r="Q306" s="99">
        <f>SUMIF(Import!$B:$B,$A306,Import!K:K)</f>
        <v>3750</v>
      </c>
      <c r="R306" s="99">
        <f>SUMIF(Import!$B:$B,$A306,Import!L:L)</f>
        <v>0</v>
      </c>
      <c r="S306" s="99">
        <f>SUMIF(Import!$B:$B,$A306,Import!M:M)</f>
        <v>0</v>
      </c>
      <c r="T306" s="99">
        <f>SUMIF(Import!$B:$B,$A306,Import!N:N)</f>
        <v>3750</v>
      </c>
      <c r="U306" s="99">
        <f t="shared" si="392"/>
        <v>0</v>
      </c>
      <c r="V306" s="255">
        <f t="shared" si="393"/>
        <v>0</v>
      </c>
      <c r="W306" s="102" t="s">
        <v>2362</v>
      </c>
      <c r="X306" s="102"/>
      <c r="Y306" s="102">
        <f t="shared" si="394"/>
        <v>3750</v>
      </c>
      <c r="Z306" s="309">
        <f>Y306*(1+VLOOKUP($F306,'GL Category'!$A:$H,4,FALSE))</f>
        <v>3862.5</v>
      </c>
      <c r="AA306" s="615"/>
      <c r="AB306" s="622">
        <f t="shared" si="395"/>
        <v>3862.5</v>
      </c>
      <c r="AC306" s="633">
        <f>AB306*(1+VLOOKUP($F306,'GL Category'!$A:$H,5,FALSE))</f>
        <v>3978.375</v>
      </c>
      <c r="AD306" s="307"/>
      <c r="AE306" s="622">
        <f t="shared" si="396"/>
        <v>3978.375</v>
      </c>
      <c r="AF306" s="633">
        <f>AE306*(1+VLOOKUP($F306,'GL Category'!$A:$H,6,FALSE))</f>
        <v>4097.7262499999997</v>
      </c>
      <c r="AG306" s="307"/>
      <c r="AH306" s="622">
        <f t="shared" si="397"/>
        <v>4097.7262499999997</v>
      </c>
      <c r="AI306" s="633">
        <f>AH306*(1+VLOOKUP($F306,'GL Category'!$A:$H,7,FALSE))</f>
        <v>4220.6580374999994</v>
      </c>
      <c r="AJ306" s="307"/>
      <c r="AK306" s="622">
        <f t="shared" si="398"/>
        <v>4220.6580374999994</v>
      </c>
      <c r="AL306" s="633">
        <f>AK306*(1+VLOOKUP($F306,'GL Category'!$A:$H,8,FALSE))</f>
        <v>4347.2777786249999</v>
      </c>
      <c r="AM306" s="307"/>
      <c r="AN306" s="622">
        <f t="shared" si="399"/>
        <v>4347.2777786249999</v>
      </c>
      <c r="AO306" s="196"/>
      <c r="AP306" s="196"/>
      <c r="AQ306" s="196"/>
      <c r="AR306" s="104"/>
      <c r="AS306" s="104"/>
      <c r="AT306" s="104"/>
      <c r="AU306" s="104"/>
      <c r="AV306" s="104"/>
      <c r="AW306" s="104"/>
      <c r="AX306" s="104"/>
      <c r="AY306" s="104"/>
      <c r="AZ306" s="104"/>
      <c r="BA306" s="104"/>
      <c r="BB306" s="104"/>
      <c r="BC306" s="104"/>
      <c r="BD306" s="104"/>
      <c r="BE306" s="104"/>
      <c r="BF306" s="104"/>
      <c r="BG306" s="104"/>
    </row>
    <row r="307" spans="1:59" s="105" customFormat="1" ht="15" customHeight="1">
      <c r="A307" s="555" t="s">
        <v>2356</v>
      </c>
      <c r="B307" s="217" t="str">
        <f t="shared" si="386"/>
        <v>100</v>
      </c>
      <c r="C307" s="217" t="str">
        <f t="shared" si="387"/>
        <v>11</v>
      </c>
      <c r="D307" s="101" t="str">
        <f t="shared" si="388"/>
        <v>111</v>
      </c>
      <c r="E307" s="217" t="str">
        <f t="shared" si="389"/>
        <v>100-11-111</v>
      </c>
      <c r="F307" s="294" t="str">
        <f t="shared" si="390"/>
        <v>53599</v>
      </c>
      <c r="G307" s="295" t="str">
        <f>VLOOKUP(F307,'GL Category'!A:C,3,FALSE)</f>
        <v>Services &amp; other</v>
      </c>
      <c r="H307" s="98" t="str">
        <f>VLOOKUP(F307,'GL Category'!A:C,2,FALSE)</f>
        <v>MISCELLANEOUS SERVICES</v>
      </c>
      <c r="I307" s="99">
        <f>SUMIF(Import!$B:$B,$A307,Import!D:D)</f>
        <v>45514.7</v>
      </c>
      <c r="J307" s="99">
        <f>SUMIF(Import!$B:$B,$A307,Import!E:E)</f>
        <v>21891.75</v>
      </c>
      <c r="K307" s="99">
        <f>SUMIF(Import!$B:$B,$A307,Import!F:F)</f>
        <v>21535.21</v>
      </c>
      <c r="L307" s="99">
        <f>SUMIF(Import!$B:$B,$A307,Import!G:G)</f>
        <v>42982.67</v>
      </c>
      <c r="M307" s="99">
        <f>SUMIF(Import!$B:$B,$A307,Import!H:H)</f>
        <v>38500</v>
      </c>
      <c r="N307" s="99">
        <f>SUMIF(Import!$B:$B,$A307,Import!I:I)</f>
        <v>37598.85</v>
      </c>
      <c r="O307" s="99">
        <f>SUMIF(Import!$B:$B,$A307,Import!J:J)</f>
        <v>38500</v>
      </c>
      <c r="P307" s="99">
        <f t="shared" si="391"/>
        <v>0</v>
      </c>
      <c r="Q307" s="99">
        <f>SUMIF(Import!$B:$B,$A307,Import!K:K)</f>
        <v>38500</v>
      </c>
      <c r="R307" s="99">
        <f>SUMIF(Import!$B:$B,$A307,Import!L:L)</f>
        <v>0</v>
      </c>
      <c r="S307" s="99">
        <f>SUMIF(Import!$B:$B,$A307,Import!M:M)</f>
        <v>0</v>
      </c>
      <c r="T307" s="99">
        <f>SUMIF(Import!$B:$B,$A307,Import!N:N)</f>
        <v>38500</v>
      </c>
      <c r="U307" s="99">
        <f t="shared" si="392"/>
        <v>0</v>
      </c>
      <c r="V307" s="255">
        <f t="shared" si="393"/>
        <v>0</v>
      </c>
      <c r="W307" s="102" t="s">
        <v>2356</v>
      </c>
      <c r="X307" s="102"/>
      <c r="Y307" s="102">
        <f t="shared" si="394"/>
        <v>38500</v>
      </c>
      <c r="Z307" s="309">
        <f>Y307*(1+VLOOKUP($F307,'GL Category'!$A:$H,4,FALSE))</f>
        <v>39655</v>
      </c>
      <c r="AA307" s="615"/>
      <c r="AB307" s="622">
        <f t="shared" si="395"/>
        <v>39655</v>
      </c>
      <c r="AC307" s="633">
        <f>AB307*(1+VLOOKUP($F307,'GL Category'!$A:$H,5,FALSE))</f>
        <v>40844.65</v>
      </c>
      <c r="AD307" s="615"/>
      <c r="AE307" s="622">
        <f t="shared" si="396"/>
        <v>40844.65</v>
      </c>
      <c r="AF307" s="633">
        <f>AE307*(1+VLOOKUP($F307,'GL Category'!$A:$H,6,FALSE))</f>
        <v>42069.989500000003</v>
      </c>
      <c r="AG307" s="615"/>
      <c r="AH307" s="622">
        <f t="shared" si="397"/>
        <v>42069.989500000003</v>
      </c>
      <c r="AI307" s="633">
        <f>AH307*(1+VLOOKUP($F307,'GL Category'!$A:$H,7,FALSE))</f>
        <v>43332.089185000004</v>
      </c>
      <c r="AJ307" s="615"/>
      <c r="AK307" s="622">
        <f t="shared" si="398"/>
        <v>43332.089185000004</v>
      </c>
      <c r="AL307" s="633">
        <f>AK307*(1+VLOOKUP($F307,'GL Category'!$A:$H,8,FALSE))</f>
        <v>44632.051860550004</v>
      </c>
      <c r="AM307" s="615"/>
      <c r="AN307" s="622">
        <f t="shared" si="399"/>
        <v>44632.051860550004</v>
      </c>
      <c r="AO307" s="196"/>
      <c r="AP307" s="196"/>
      <c r="AQ307" s="196"/>
      <c r="AR307" s="104"/>
      <c r="AS307" s="104"/>
      <c r="AT307" s="104"/>
      <c r="AU307" s="104"/>
      <c r="AV307" s="104"/>
      <c r="AW307" s="104"/>
      <c r="AX307" s="104"/>
      <c r="AY307" s="104"/>
      <c r="AZ307" s="104"/>
      <c r="BA307" s="104"/>
      <c r="BB307" s="104"/>
      <c r="BC307" s="104"/>
      <c r="BD307" s="104"/>
      <c r="BE307" s="104"/>
      <c r="BF307" s="104"/>
      <c r="BG307" s="104"/>
    </row>
    <row r="308" spans="1:59" s="105" customFormat="1" ht="15" customHeight="1">
      <c r="A308" s="555" t="s">
        <v>2363</v>
      </c>
      <c r="B308" s="217" t="str">
        <f t="shared" si="386"/>
        <v>100</v>
      </c>
      <c r="C308" s="217" t="str">
        <f t="shared" si="387"/>
        <v>11</v>
      </c>
      <c r="D308" s="101" t="str">
        <f t="shared" si="388"/>
        <v>111</v>
      </c>
      <c r="E308" s="217" t="str">
        <f t="shared" si="389"/>
        <v>100-11-111</v>
      </c>
      <c r="F308" s="294" t="str">
        <f t="shared" si="390"/>
        <v>55175</v>
      </c>
      <c r="G308" s="295" t="str">
        <f>VLOOKUP(F308,'GL Category'!A:C,3,FALSE)</f>
        <v>Services &amp; other</v>
      </c>
      <c r="H308" s="98" t="str">
        <f>VLOOKUP(F308,'GL Category'!A:C,2,FALSE)</f>
        <v>VEHICLE/EQUIP LEASE EXP-CITY</v>
      </c>
      <c r="I308" s="99">
        <f>SUMIF(Import!$B:$B,$A308,Import!D:D)</f>
        <v>10254</v>
      </c>
      <c r="J308" s="99">
        <f>SUMIF(Import!$B:$B,$A308,Import!E:E)</f>
        <v>9543</v>
      </c>
      <c r="K308" s="99">
        <f>SUMIF(Import!$B:$B,$A308,Import!F:F)</f>
        <v>9265</v>
      </c>
      <c r="L308" s="99">
        <f>SUMIF(Import!$B:$B,$A308,Import!G:G)</f>
        <v>12841</v>
      </c>
      <c r="M308" s="99">
        <f>SUMIF(Import!$B:$B,$A308,Import!H:H)</f>
        <v>13545</v>
      </c>
      <c r="N308" s="99">
        <f>SUMIF(Import!$B:$B,$A308,Import!I:I)</f>
        <v>10158.75</v>
      </c>
      <c r="O308" s="99">
        <f>SUMIF(Import!$B:$B,$A308,Import!J:J)</f>
        <v>13545</v>
      </c>
      <c r="P308" s="99">
        <f t="shared" si="391"/>
        <v>0</v>
      </c>
      <c r="Q308" s="99">
        <f>SUMIF(Import!$B:$B,$A308,Import!K:K)</f>
        <v>14130</v>
      </c>
      <c r="R308" s="99">
        <f>SUMIF(Import!$B:$B,$A308,Import!L:L)</f>
        <v>0</v>
      </c>
      <c r="S308" s="99">
        <f>SUMIF(Import!$B:$B,$A308,Import!M:M)</f>
        <v>0</v>
      </c>
      <c r="T308" s="99">
        <f>SUMIF(Import!$B:$B,$A308,Import!N:N)</f>
        <v>14130</v>
      </c>
      <c r="U308" s="99">
        <f t="shared" si="392"/>
        <v>585</v>
      </c>
      <c r="V308" s="255">
        <f t="shared" si="393"/>
        <v>4.3189368770764069E-2</v>
      </c>
      <c r="W308" s="102" t="s">
        <v>2363</v>
      </c>
      <c r="X308" s="102"/>
      <c r="Y308" s="102">
        <f t="shared" si="394"/>
        <v>14130</v>
      </c>
      <c r="Z308" s="309">
        <f>Y308*(1+VLOOKUP($F308,'GL Category'!$A:$H,4,FALSE))</f>
        <v>14553.9</v>
      </c>
      <c r="AA308" s="615"/>
      <c r="AB308" s="622">
        <f t="shared" si="395"/>
        <v>14553.9</v>
      </c>
      <c r="AC308" s="633">
        <f>AB308*(1+VLOOKUP($F308,'GL Category'!$A:$H,5,FALSE))</f>
        <v>14990.517</v>
      </c>
      <c r="AD308" s="307"/>
      <c r="AE308" s="622">
        <f t="shared" si="396"/>
        <v>14990.517</v>
      </c>
      <c r="AF308" s="633">
        <f>AE308*(1+VLOOKUP($F308,'GL Category'!$A:$H,6,FALSE))</f>
        <v>15440.23251</v>
      </c>
      <c r="AG308" s="307"/>
      <c r="AH308" s="622">
        <f t="shared" si="397"/>
        <v>15440.23251</v>
      </c>
      <c r="AI308" s="633">
        <f>AH308*(1+VLOOKUP($F308,'GL Category'!$A:$H,7,FALSE))</f>
        <v>15903.439485299999</v>
      </c>
      <c r="AJ308" s="307"/>
      <c r="AK308" s="622">
        <f t="shared" si="398"/>
        <v>15903.439485299999</v>
      </c>
      <c r="AL308" s="633">
        <f>AK308*(1+VLOOKUP($F308,'GL Category'!$A:$H,8,FALSE))</f>
        <v>16380.542669859</v>
      </c>
      <c r="AM308" s="307"/>
      <c r="AN308" s="622">
        <f t="shared" si="399"/>
        <v>16380.542669859</v>
      </c>
      <c r="AO308" s="196"/>
      <c r="AP308" s="196"/>
      <c r="AQ308" s="196"/>
      <c r="AR308" s="104"/>
      <c r="AS308" s="104"/>
      <c r="AT308" s="104"/>
      <c r="AU308" s="104"/>
      <c r="AV308" s="104"/>
      <c r="AW308" s="104"/>
      <c r="AX308" s="104"/>
      <c r="AY308" s="104"/>
      <c r="AZ308" s="104"/>
      <c r="BA308" s="104"/>
      <c r="BB308" s="104"/>
      <c r="BC308" s="104"/>
      <c r="BD308" s="104"/>
      <c r="BE308" s="104"/>
      <c r="BF308" s="104"/>
      <c r="BG308" s="104"/>
    </row>
    <row r="309" spans="1:59" s="105" customFormat="1" ht="15" customHeight="1">
      <c r="A309" s="555" t="s">
        <v>2364</v>
      </c>
      <c r="B309" s="217" t="str">
        <f t="shared" si="386"/>
        <v>100</v>
      </c>
      <c r="C309" s="217" t="str">
        <f t="shared" si="387"/>
        <v>11</v>
      </c>
      <c r="D309" s="101" t="str">
        <f t="shared" si="388"/>
        <v>111</v>
      </c>
      <c r="E309" s="217" t="str">
        <f t="shared" si="389"/>
        <v>100-11-111</v>
      </c>
      <c r="F309" s="294" t="str">
        <f t="shared" si="390"/>
        <v>55119</v>
      </c>
      <c r="G309" s="295" t="str">
        <f>VLOOKUP(F309,'GL Category'!A:C,3,FALSE)</f>
        <v>Services &amp; other</v>
      </c>
      <c r="H309" s="98" t="str">
        <f>VLOOKUP(F309,'GL Category'!A:C,2,FALSE)</f>
        <v>OFFICE EQUIP LEASE EXP-CITY</v>
      </c>
      <c r="I309" s="99">
        <f>SUMIF(Import!$B:$B,$A309,Import!D:D)</f>
        <v>24474</v>
      </c>
      <c r="J309" s="99">
        <f>SUMIF(Import!$B:$B,$A309,Import!E:E)</f>
        <v>26650</v>
      </c>
      <c r="K309" s="99">
        <f>SUMIF(Import!$B:$B,$A309,Import!F:F)</f>
        <v>26478</v>
      </c>
      <c r="L309" s="99">
        <f>SUMIF(Import!$B:$B,$A309,Import!G:G)</f>
        <v>26835</v>
      </c>
      <c r="M309" s="99">
        <f>SUMIF(Import!$B:$B,$A309,Import!H:H)</f>
        <v>23060</v>
      </c>
      <c r="N309" s="99">
        <f>SUMIF(Import!$B:$B,$A309,Import!I:I)</f>
        <v>17295</v>
      </c>
      <c r="O309" s="99">
        <f>SUMIF(Import!$B:$B,$A309,Import!J:J)</f>
        <v>23060</v>
      </c>
      <c r="P309" s="99">
        <f t="shared" si="391"/>
        <v>0</v>
      </c>
      <c r="Q309" s="99">
        <f>SUMIF(Import!$B:$B,$A309,Import!K:K)</f>
        <v>23766</v>
      </c>
      <c r="R309" s="99">
        <f>SUMIF(Import!$B:$B,$A309,Import!L:L)</f>
        <v>0</v>
      </c>
      <c r="S309" s="99">
        <f>SUMIF(Import!$B:$B,$A309,Import!M:M)</f>
        <v>0</v>
      </c>
      <c r="T309" s="99">
        <f>SUMIF(Import!$B:$B,$A309,Import!N:N)</f>
        <v>23766</v>
      </c>
      <c r="U309" s="99">
        <f t="shared" si="392"/>
        <v>706</v>
      </c>
      <c r="V309" s="255">
        <f t="shared" si="393"/>
        <v>3.0615784908933241E-2</v>
      </c>
      <c r="W309" s="102" t="s">
        <v>2364</v>
      </c>
      <c r="X309" s="102"/>
      <c r="Y309" s="102">
        <f t="shared" si="394"/>
        <v>23766</v>
      </c>
      <c r="Z309" s="309">
        <f>Y309*(1+VLOOKUP($F309,'GL Category'!$A:$H,4,FALSE))</f>
        <v>24478.98</v>
      </c>
      <c r="AA309" s="615"/>
      <c r="AB309" s="622">
        <f t="shared" si="395"/>
        <v>24478.98</v>
      </c>
      <c r="AC309" s="633">
        <f>AB309*(1+VLOOKUP($F309,'GL Category'!$A:$H,5,FALSE))</f>
        <v>25213.349399999999</v>
      </c>
      <c r="AD309" s="307"/>
      <c r="AE309" s="622">
        <f t="shared" si="396"/>
        <v>25213.349399999999</v>
      </c>
      <c r="AF309" s="633">
        <f>AE309*(1+VLOOKUP($F309,'GL Category'!$A:$H,6,FALSE))</f>
        <v>25969.749882</v>
      </c>
      <c r="AG309" s="307"/>
      <c r="AH309" s="622">
        <f t="shared" si="397"/>
        <v>25969.749882</v>
      </c>
      <c r="AI309" s="633">
        <f>AH309*(1+VLOOKUP($F309,'GL Category'!$A:$H,7,FALSE))</f>
        <v>26748.842378460002</v>
      </c>
      <c r="AJ309" s="307"/>
      <c r="AK309" s="622">
        <f t="shared" si="398"/>
        <v>26748.842378460002</v>
      </c>
      <c r="AL309" s="633">
        <f>AK309*(1+VLOOKUP($F309,'GL Category'!$A:$H,8,FALSE))</f>
        <v>27551.307649813803</v>
      </c>
      <c r="AM309" s="307"/>
      <c r="AN309" s="622">
        <f t="shared" si="399"/>
        <v>27551.307649813803</v>
      </c>
      <c r="AO309" s="196"/>
      <c r="AP309" s="196"/>
      <c r="AQ309" s="196"/>
      <c r="AR309" s="104"/>
      <c r="AS309" s="104"/>
      <c r="AT309" s="104"/>
      <c r="AU309" s="104"/>
      <c r="AV309" s="104"/>
      <c r="AW309" s="104"/>
      <c r="AX309" s="104"/>
      <c r="AY309" s="104"/>
      <c r="AZ309" s="104"/>
      <c r="BA309" s="104"/>
      <c r="BB309" s="104"/>
      <c r="BC309" s="104"/>
      <c r="BD309" s="104"/>
      <c r="BE309" s="104"/>
      <c r="BF309" s="104"/>
      <c r="BG309" s="104"/>
    </row>
    <row r="310" spans="1:59" s="105" customFormat="1" ht="15" customHeight="1">
      <c r="A310" s="297"/>
      <c r="B310" s="217"/>
      <c r="C310" s="217"/>
      <c r="D310" s="101"/>
      <c r="E310" s="101"/>
      <c r="F310" s="294"/>
      <c r="G310" s="295"/>
      <c r="H310" s="107" t="str">
        <f>UPPER(G309)&amp;" TOTAL"</f>
        <v>SERVICES &amp; OTHER TOTAL</v>
      </c>
      <c r="I310" s="108">
        <f t="shared" ref="I310" si="400">SUBTOTAL(9,I301:I309)</f>
        <v>181965</v>
      </c>
      <c r="J310" s="108">
        <f t="shared" ref="J310:T310" si="401">SUBTOTAL(9,J301:J309)</f>
        <v>196455.83</v>
      </c>
      <c r="K310" s="108">
        <f t="shared" ref="K310" si="402">SUBTOTAL(9,K301:K309)</f>
        <v>168444.37</v>
      </c>
      <c r="L310" s="108">
        <f t="shared" ref="L310" si="403">SUBTOTAL(9,L301:L309)</f>
        <v>206455.09000000003</v>
      </c>
      <c r="M310" s="108">
        <f t="shared" si="401"/>
        <v>206915</v>
      </c>
      <c r="N310" s="108">
        <f t="shared" ref="N310" si="404">SUBTOTAL(9,N301:N309)</f>
        <v>145509.31</v>
      </c>
      <c r="O310" s="108">
        <f t="shared" si="401"/>
        <v>205965</v>
      </c>
      <c r="P310" s="108">
        <f t="shared" si="401"/>
        <v>-950</v>
      </c>
      <c r="Q310" s="108">
        <f t="shared" si="401"/>
        <v>208306</v>
      </c>
      <c r="R310" s="108">
        <f t="shared" si="401"/>
        <v>0</v>
      </c>
      <c r="S310" s="108">
        <f t="shared" si="401"/>
        <v>0</v>
      </c>
      <c r="T310" s="108">
        <f t="shared" si="401"/>
        <v>208306</v>
      </c>
      <c r="U310" s="99">
        <f>T310-M310</f>
        <v>1391</v>
      </c>
      <c r="V310" s="255">
        <f>IF(M310=0,"N/A",T310/M310-1)</f>
        <v>6.7225672377546619E-3</v>
      </c>
      <c r="W310" s="102"/>
      <c r="X310" s="102"/>
      <c r="Y310" s="102"/>
      <c r="Z310" s="95"/>
      <c r="AA310" s="615"/>
      <c r="AB310" s="627"/>
      <c r="AC310" s="303"/>
      <c r="AD310" s="303"/>
      <c r="AE310" s="303"/>
      <c r="AF310" s="303"/>
      <c r="AG310" s="303"/>
      <c r="AH310" s="627"/>
      <c r="AI310" s="627"/>
      <c r="AJ310" s="303"/>
      <c r="AK310" s="303"/>
      <c r="AL310" s="303"/>
      <c r="AM310" s="303"/>
      <c r="AN310" s="303"/>
      <c r="AO310" s="196"/>
      <c r="AP310" s="196"/>
      <c r="AQ310" s="196"/>
      <c r="AR310" s="104"/>
      <c r="AS310" s="104"/>
      <c r="AT310" s="104"/>
      <c r="AU310" s="104"/>
      <c r="AV310" s="104"/>
      <c r="AW310" s="104"/>
      <c r="AX310" s="104"/>
      <c r="AY310" s="104"/>
      <c r="AZ310" s="104"/>
      <c r="BA310" s="104"/>
      <c r="BB310" s="104"/>
      <c r="BC310" s="104"/>
      <c r="BD310" s="104"/>
      <c r="BE310" s="104"/>
      <c r="BF310" s="104"/>
      <c r="BG310" s="104"/>
    </row>
    <row r="311" spans="1:59" s="105" customFormat="1" ht="15" customHeight="1">
      <c r="A311" s="297"/>
      <c r="B311" s="217"/>
      <c r="C311" s="217"/>
      <c r="D311" s="101"/>
      <c r="E311" s="101"/>
      <c r="F311" s="294"/>
      <c r="G311" s="295"/>
      <c r="H311" s="98"/>
      <c r="I311" s="106"/>
      <c r="J311" s="106"/>
      <c r="K311" s="106"/>
      <c r="L311" s="106"/>
      <c r="M311" s="106"/>
      <c r="N311" s="110"/>
      <c r="O311" s="110"/>
      <c r="P311" s="110"/>
      <c r="Q311" s="111"/>
      <c r="R311" s="99"/>
      <c r="S311" s="99">
        <f>AB277</f>
        <v>0</v>
      </c>
      <c r="T311" s="111"/>
      <c r="U311" s="111"/>
      <c r="V311" s="111"/>
      <c r="W311" s="102"/>
      <c r="X311" s="102"/>
      <c r="Y311" s="102"/>
      <c r="Z311" s="95"/>
      <c r="AA311" s="615"/>
      <c r="AB311" s="627"/>
      <c r="AC311" s="303"/>
      <c r="AD311" s="303"/>
      <c r="AE311" s="303"/>
      <c r="AF311" s="303"/>
      <c r="AG311" s="303"/>
      <c r="AH311" s="627"/>
      <c r="AI311" s="627"/>
      <c r="AJ311" s="303"/>
      <c r="AK311" s="303"/>
      <c r="AL311" s="303"/>
      <c r="AM311" s="303"/>
      <c r="AN311" s="303"/>
      <c r="AO311" s="196"/>
      <c r="AP311" s="196"/>
      <c r="AQ311" s="196"/>
      <c r="AR311" s="104"/>
      <c r="AS311" s="104"/>
      <c r="AT311" s="104"/>
      <c r="AU311" s="104"/>
      <c r="AV311" s="104"/>
      <c r="AW311" s="104"/>
      <c r="AX311" s="104"/>
      <c r="AY311" s="104"/>
      <c r="AZ311" s="104"/>
      <c r="BA311" s="104"/>
      <c r="BB311" s="104"/>
      <c r="BC311" s="104"/>
      <c r="BD311" s="104"/>
      <c r="BE311" s="104"/>
      <c r="BF311" s="104"/>
      <c r="BG311" s="104"/>
    </row>
    <row r="312" spans="1:59" s="105" customFormat="1" ht="15" customHeight="1">
      <c r="A312" s="555" t="s">
        <v>2365</v>
      </c>
      <c r="B312" s="217" t="str">
        <f t="shared" ref="B312" si="405">LEFT(A312,3)</f>
        <v>100</v>
      </c>
      <c r="C312" s="217" t="str">
        <f t="shared" ref="C312" si="406">MID(A312,5,2)</f>
        <v>11</v>
      </c>
      <c r="D312" s="101" t="str">
        <f t="shared" ref="D312" si="407">MID(A312,8,3)</f>
        <v>111</v>
      </c>
      <c r="E312" s="217" t="str">
        <f t="shared" ref="E312" si="408">LEFT(A312,10)</f>
        <v>100-11-111</v>
      </c>
      <c r="F312" s="294" t="str">
        <f t="shared" ref="F312" si="409">RIGHT(A312,5)</f>
        <v>58835</v>
      </c>
      <c r="G312" s="295" t="str">
        <f>VLOOKUP(F312,'GL Category'!A:C,3,FALSE)</f>
        <v>Capital Outlay</v>
      </c>
      <c r="H312" s="98" t="str">
        <f>VLOOKUP(F312,'GL Category'!A:C,2,FALSE)</f>
        <v>OFFICE MACHINERY &amp; EQUIPMENT</v>
      </c>
      <c r="I312" s="99">
        <f>SUMIF(Import!$B:$B,$A312,Import!D:D)</f>
        <v>0</v>
      </c>
      <c r="J312" s="99">
        <f>SUMIF(Import!$B:$B,$A312,Import!E:E)</f>
        <v>0</v>
      </c>
      <c r="K312" s="99">
        <f>SUMIF(Import!$B:$B,$A312,Import!F:F)</f>
        <v>0</v>
      </c>
      <c r="L312" s="99">
        <f>SUMIF(Import!$B:$B,$A312,Import!G:G)</f>
        <v>0</v>
      </c>
      <c r="M312" s="99">
        <f>SUMIF(Import!$B:$B,$A312,Import!H:H)</f>
        <v>0</v>
      </c>
      <c r="N312" s="99">
        <f>SUMIF(Import!$B:$B,$A312,Import!I:I)</f>
        <v>0</v>
      </c>
      <c r="O312" s="99">
        <f>SUMIF(Import!$B:$B,$A312,Import!J:J)</f>
        <v>0</v>
      </c>
      <c r="P312" s="99">
        <f t="shared" ref="P312" si="410">O312-M312</f>
        <v>0</v>
      </c>
      <c r="Q312" s="99">
        <f>SUMIF(Import!$B:$B,$A312,Import!K:K)</f>
        <v>0</v>
      </c>
      <c r="R312" s="99">
        <f>SUMIF(Import!$B:$B,$A312,Import!L:L)</f>
        <v>0</v>
      </c>
      <c r="S312" s="99">
        <f>SUMIF(Import!$B:$B,$A312,Import!M:M)</f>
        <v>0</v>
      </c>
      <c r="T312" s="99">
        <f>SUMIF(Import!$B:$B,$A312,Import!N:N)</f>
        <v>0</v>
      </c>
      <c r="U312" s="99">
        <f t="shared" ref="U312" si="411">T312-M312</f>
        <v>0</v>
      </c>
      <c r="V312" s="255" t="str">
        <f t="shared" ref="V312" si="412">IF(M312=0,"N/A",T312/M312-1)</f>
        <v>N/A</v>
      </c>
      <c r="W312" s="102" t="s">
        <v>2365</v>
      </c>
      <c r="X312" s="102"/>
      <c r="Y312" s="102">
        <f t="shared" ref="Y312" si="413">T312-X312</f>
        <v>0</v>
      </c>
      <c r="Z312" s="309">
        <f>Y312*(1+VLOOKUP($F312,'GL Category'!$A:$H,4,FALSE))</f>
        <v>0</v>
      </c>
      <c r="AA312" s="615"/>
      <c r="AB312" s="622">
        <f>Z312+AA312</f>
        <v>0</v>
      </c>
      <c r="AC312" s="633">
        <f>AB312*(1+VLOOKUP($F312,'GL Category'!$A:$H,5,FALSE))</f>
        <v>0</v>
      </c>
      <c r="AD312" s="307"/>
      <c r="AE312" s="622">
        <f>AC312+AD312</f>
        <v>0</v>
      </c>
      <c r="AF312" s="633">
        <f>AE312*(1+VLOOKUP($F312,'GL Category'!$A:$H,6,FALSE))</f>
        <v>0</v>
      </c>
      <c r="AG312" s="307"/>
      <c r="AH312" s="622">
        <f>AF312+AG312</f>
        <v>0</v>
      </c>
      <c r="AI312" s="633">
        <f>AH312*(1+VLOOKUP($F312,'GL Category'!$A:$H,7,FALSE))</f>
        <v>0</v>
      </c>
      <c r="AJ312" s="307"/>
      <c r="AK312" s="622">
        <f>AI312+AJ312</f>
        <v>0</v>
      </c>
      <c r="AL312" s="633">
        <f>AK312*(1+VLOOKUP($F312,'GL Category'!$A:$H,8,FALSE))</f>
        <v>0</v>
      </c>
      <c r="AM312" s="307"/>
      <c r="AN312" s="622">
        <f>AL312+AM312</f>
        <v>0</v>
      </c>
      <c r="AO312" s="196"/>
      <c r="AP312" s="196"/>
      <c r="AQ312" s="196"/>
      <c r="AR312" s="104"/>
      <c r="AS312" s="104"/>
      <c r="AT312" s="104"/>
      <c r="AU312" s="104"/>
      <c r="AV312" s="104"/>
      <c r="AW312" s="104"/>
      <c r="AX312" s="104"/>
      <c r="AY312" s="104"/>
      <c r="AZ312" s="104"/>
      <c r="BA312" s="104"/>
      <c r="BB312" s="104"/>
      <c r="BC312" s="104"/>
      <c r="BD312" s="104"/>
      <c r="BE312" s="104"/>
      <c r="BF312" s="104"/>
      <c r="BG312" s="104"/>
    </row>
    <row r="313" spans="1:59" s="105" customFormat="1" ht="15" customHeight="1">
      <c r="A313" s="297"/>
      <c r="B313" s="217"/>
      <c r="C313" s="217"/>
      <c r="D313" s="101"/>
      <c r="E313" s="101"/>
      <c r="F313" s="294"/>
      <c r="G313" s="295"/>
      <c r="H313" s="107" t="str">
        <f>UPPER(G312)&amp;" TOTAL"</f>
        <v>CAPITAL OUTLAY TOTAL</v>
      </c>
      <c r="I313" s="108">
        <f t="shared" ref="I313" si="414">SUBTOTAL(9,I312:I312)</f>
        <v>0</v>
      </c>
      <c r="J313" s="108">
        <f t="shared" ref="J313:P313" si="415">SUBTOTAL(9,J312:J312)</f>
        <v>0</v>
      </c>
      <c r="K313" s="108">
        <f t="shared" ref="K313" si="416">SUBTOTAL(9,K312:K312)</f>
        <v>0</v>
      </c>
      <c r="L313" s="108">
        <f t="shared" ref="L313" si="417">SUBTOTAL(9,L312:L312)</f>
        <v>0</v>
      </c>
      <c r="M313" s="108">
        <f t="shared" si="415"/>
        <v>0</v>
      </c>
      <c r="N313" s="109">
        <f t="shared" ref="N313" si="418">SUBTOTAL(9,N312:N312)</f>
        <v>0</v>
      </c>
      <c r="O313" s="109">
        <f t="shared" si="415"/>
        <v>0</v>
      </c>
      <c r="P313" s="109">
        <f t="shared" si="415"/>
        <v>0</v>
      </c>
      <c r="Q313" s="109">
        <f t="shared" ref="Q313:T313" si="419">SUBTOTAL(9,Q312:Q312)</f>
        <v>0</v>
      </c>
      <c r="R313" s="109">
        <f t="shared" si="419"/>
        <v>0</v>
      </c>
      <c r="S313" s="109">
        <f t="shared" si="419"/>
        <v>0</v>
      </c>
      <c r="T313" s="109">
        <f t="shared" si="419"/>
        <v>0</v>
      </c>
      <c r="U313" s="99">
        <f>T313-M313</f>
        <v>0</v>
      </c>
      <c r="V313" s="255" t="str">
        <f>IF(M313=0,"N/A",T313/M313-1)</f>
        <v>N/A</v>
      </c>
      <c r="W313" s="102"/>
      <c r="X313" s="102"/>
      <c r="Y313" s="102"/>
      <c r="Z313" s="95"/>
      <c r="AA313" s="615"/>
      <c r="AB313" s="627"/>
      <c r="AC313" s="112"/>
      <c r="AD313" s="112"/>
      <c r="AE313" s="112"/>
      <c r="AF313" s="112"/>
      <c r="AG313" s="112"/>
      <c r="AH313" s="627"/>
      <c r="AI313" s="627"/>
      <c r="AJ313" s="112"/>
      <c r="AK313" s="112"/>
      <c r="AL313" s="112"/>
      <c r="AM313" s="112"/>
      <c r="AN313" s="112"/>
      <c r="AO313" s="196"/>
      <c r="AP313" s="196"/>
      <c r="AQ313" s="196"/>
      <c r="AR313" s="104"/>
      <c r="AS313" s="104"/>
      <c r="AT313" s="104"/>
      <c r="AU313" s="104"/>
      <c r="AV313" s="104"/>
      <c r="AW313" s="104"/>
      <c r="AX313" s="104"/>
      <c r="AY313" s="104"/>
      <c r="AZ313" s="104"/>
      <c r="BA313" s="104"/>
      <c r="BB313" s="104"/>
      <c r="BC313" s="104"/>
      <c r="BD313" s="104"/>
      <c r="BE313" s="104"/>
      <c r="BF313" s="104"/>
      <c r="BG313" s="104"/>
    </row>
    <row r="314" spans="1:59" s="105" customFormat="1" ht="15" customHeight="1">
      <c r="A314" s="297"/>
      <c r="B314" s="217"/>
      <c r="C314" s="217"/>
      <c r="D314" s="101"/>
      <c r="E314" s="101"/>
      <c r="F314" s="294"/>
      <c r="G314" s="295"/>
      <c r="H314" s="98"/>
      <c r="I314" s="106"/>
      <c r="J314" s="106"/>
      <c r="K314" s="106"/>
      <c r="L314" s="106"/>
      <c r="M314" s="106"/>
      <c r="N314" s="110"/>
      <c r="O314" s="110"/>
      <c r="P314" s="110"/>
      <c r="Q314" s="111"/>
      <c r="R314" s="99"/>
      <c r="S314" s="99"/>
      <c r="T314" s="111"/>
      <c r="U314" s="111"/>
      <c r="V314" s="111"/>
      <c r="W314" s="102"/>
      <c r="X314" s="102"/>
      <c r="Y314" s="102"/>
      <c r="Z314" s="95"/>
      <c r="AA314" s="615"/>
      <c r="AB314" s="627"/>
      <c r="AC314" s="233"/>
      <c r="AD314" s="233"/>
      <c r="AE314" s="233"/>
      <c r="AF314" s="233"/>
      <c r="AG314" s="233"/>
      <c r="AH314" s="627"/>
      <c r="AI314" s="627"/>
      <c r="AJ314" s="233"/>
      <c r="AK314" s="233"/>
      <c r="AL314" s="233"/>
      <c r="AM314" s="233"/>
      <c r="AN314" s="233"/>
      <c r="AO314" s="196"/>
      <c r="AP314" s="196"/>
      <c r="AQ314" s="196"/>
      <c r="AR314" s="104"/>
      <c r="AS314" s="104"/>
      <c r="AT314" s="104"/>
      <c r="AU314" s="104"/>
      <c r="AV314" s="104"/>
      <c r="AW314" s="104"/>
      <c r="AX314" s="104"/>
      <c r="AY314" s="104"/>
      <c r="AZ314" s="104"/>
      <c r="BA314" s="104"/>
      <c r="BB314" s="104"/>
      <c r="BC314" s="104"/>
      <c r="BD314" s="104"/>
      <c r="BE314" s="104"/>
      <c r="BF314" s="104"/>
      <c r="BG314" s="104"/>
    </row>
    <row r="315" spans="1:59" ht="15" customHeight="1">
      <c r="A315" s="297"/>
      <c r="B315" s="217"/>
      <c r="C315" s="217"/>
      <c r="D315" s="101"/>
      <c r="E315" s="101"/>
      <c r="F315" s="294"/>
      <c r="G315" s="295"/>
      <c r="H315" s="114" t="s">
        <v>51</v>
      </c>
      <c r="I315" s="108">
        <f t="shared" ref="I315" si="420">SUBTOTAL(9,I278:I314)</f>
        <v>528041.01</v>
      </c>
      <c r="J315" s="108">
        <f t="shared" ref="J315:T315" si="421">SUBTOTAL(9,J278:J314)</f>
        <v>559801.42999999993</v>
      </c>
      <c r="K315" s="108">
        <f t="shared" ref="K315" si="422">SUBTOTAL(9,K278:K314)</f>
        <v>518672.3</v>
      </c>
      <c r="L315" s="108">
        <f t="shared" ref="L315" si="423">SUBTOTAL(9,L278:L314)</f>
        <v>547082.91999999993</v>
      </c>
      <c r="M315" s="108">
        <f t="shared" si="421"/>
        <v>608803</v>
      </c>
      <c r="N315" s="108">
        <f t="shared" ref="N315" si="424">SUBTOTAL(9,N278:N314)</f>
        <v>443089.22000000003</v>
      </c>
      <c r="O315" s="108">
        <f t="shared" si="421"/>
        <v>596060</v>
      </c>
      <c r="P315" s="108">
        <f t="shared" si="421"/>
        <v>-12743</v>
      </c>
      <c r="Q315" s="108">
        <f t="shared" si="421"/>
        <v>621402</v>
      </c>
      <c r="R315" s="108">
        <f t="shared" si="421"/>
        <v>0</v>
      </c>
      <c r="S315" s="108">
        <f t="shared" si="421"/>
        <v>0</v>
      </c>
      <c r="T315" s="108">
        <f t="shared" si="421"/>
        <v>621402</v>
      </c>
      <c r="U315" s="99">
        <f>T315-M315</f>
        <v>12599</v>
      </c>
      <c r="V315" s="255">
        <f>IF(M315=0,"N/A",T315/M315-1)</f>
        <v>2.0694707483373209E-2</v>
      </c>
      <c r="W315" s="102"/>
      <c r="X315" s="102"/>
      <c r="Y315" s="102"/>
      <c r="AA315" s="615"/>
      <c r="AC315" s="300"/>
      <c r="AD315" s="300"/>
      <c r="AE315" s="300"/>
      <c r="AF315" s="300"/>
      <c r="AG315" s="300"/>
      <c r="AJ315" s="300"/>
      <c r="AK315" s="300"/>
      <c r="AL315" s="300"/>
      <c r="AM315" s="300"/>
      <c r="AN315" s="300"/>
    </row>
    <row r="316" spans="1:59" ht="15" customHeight="1" thickBot="1">
      <c r="A316" s="297"/>
      <c r="B316" s="217"/>
      <c r="C316" s="217"/>
      <c r="D316" s="101"/>
      <c r="E316" s="101"/>
      <c r="F316" s="294"/>
      <c r="G316" s="295"/>
      <c r="H316" s="98"/>
      <c r="I316" s="218"/>
      <c r="J316" s="218"/>
      <c r="K316" s="218"/>
      <c r="L316" s="218"/>
      <c r="M316" s="218"/>
      <c r="U316" s="212"/>
      <c r="V316" s="212"/>
      <c r="W316" s="102"/>
      <c r="X316" s="102"/>
      <c r="Y316" s="102"/>
      <c r="AA316" s="615"/>
      <c r="AC316" s="300"/>
      <c r="AD316" s="300"/>
      <c r="AE316" s="300"/>
      <c r="AF316" s="300"/>
      <c r="AG316" s="300"/>
      <c r="AJ316" s="300"/>
      <c r="AK316" s="300"/>
      <c r="AL316" s="300"/>
      <c r="AM316" s="300"/>
      <c r="AN316" s="300"/>
    </row>
    <row r="317" spans="1:59" ht="23.25" customHeight="1" thickBot="1">
      <c r="A317" s="297"/>
      <c r="B317" s="217"/>
      <c r="C317" s="217"/>
      <c r="D317" s="101"/>
      <c r="E317" s="101"/>
      <c r="F317" s="294"/>
      <c r="G317" s="295"/>
      <c r="H317" s="668" t="s">
        <v>611</v>
      </c>
      <c r="I317" s="669"/>
      <c r="J317" s="669"/>
      <c r="K317" s="669"/>
      <c r="L317" s="669"/>
      <c r="M317" s="669"/>
      <c r="N317" s="669"/>
      <c r="O317" s="669"/>
      <c r="P317" s="669"/>
      <c r="Q317" s="669"/>
      <c r="R317" s="669"/>
      <c r="S317" s="669"/>
      <c r="T317" s="670"/>
      <c r="U317" s="252"/>
      <c r="V317" s="252"/>
      <c r="W317" s="102"/>
      <c r="X317" s="102"/>
      <c r="Y317" s="102"/>
      <c r="AA317" s="615"/>
      <c r="AC317" s="300"/>
      <c r="AD317" s="300"/>
      <c r="AE317" s="300"/>
      <c r="AF317" s="300"/>
      <c r="AG317" s="300"/>
      <c r="AJ317" s="300"/>
      <c r="AK317" s="300"/>
      <c r="AL317" s="300"/>
      <c r="AM317" s="300"/>
      <c r="AN317" s="300"/>
    </row>
    <row r="318" spans="1:59" ht="15" customHeight="1">
      <c r="A318" s="297"/>
      <c r="B318" s="217"/>
      <c r="C318" s="217"/>
      <c r="D318" s="101"/>
      <c r="E318" s="101"/>
      <c r="F318" s="294"/>
      <c r="G318" s="295"/>
      <c r="H318" s="225"/>
      <c r="I318" s="225"/>
      <c r="J318" s="225"/>
      <c r="K318" s="225"/>
      <c r="L318" s="225"/>
      <c r="M318" s="225"/>
      <c r="N318" s="225"/>
      <c r="O318" s="225"/>
      <c r="P318" s="225"/>
      <c r="Q318" s="225"/>
      <c r="R318" s="225"/>
      <c r="S318" s="225"/>
      <c r="T318" s="225"/>
      <c r="U318" s="225"/>
      <c r="V318" s="225"/>
      <c r="W318" s="102"/>
      <c r="X318" s="102"/>
      <c r="Y318" s="102"/>
      <c r="AA318" s="615"/>
      <c r="AC318" s="300"/>
      <c r="AD318" s="300"/>
      <c r="AE318" s="300"/>
      <c r="AF318" s="300"/>
      <c r="AG318" s="300"/>
      <c r="AJ318" s="300"/>
      <c r="AK318" s="300"/>
      <c r="AL318" s="300"/>
      <c r="AM318" s="300"/>
      <c r="AN318" s="300"/>
    </row>
    <row r="319" spans="1:59" ht="15" customHeight="1">
      <c r="A319" s="555" t="s">
        <v>2366</v>
      </c>
      <c r="B319" s="217" t="str">
        <f t="shared" ref="B319:B322" si="425">LEFT(A319,3)</f>
        <v>100</v>
      </c>
      <c r="C319" s="217" t="str">
        <f t="shared" ref="C319:C322" si="426">MID(A319,5,2)</f>
        <v>12</v>
      </c>
      <c r="D319" s="101" t="str">
        <f t="shared" ref="D319:D322" si="427">MID(A319,8,3)</f>
        <v>121</v>
      </c>
      <c r="E319" s="217" t="str">
        <f t="shared" ref="E319:E322" si="428">LEFT(A319,10)</f>
        <v>100-12-121</v>
      </c>
      <c r="F319" s="294" t="str">
        <f t="shared" ref="F319:F322" si="429">RIGHT(A319,5)</f>
        <v>51210</v>
      </c>
      <c r="G319" s="295" t="str">
        <f>VLOOKUP(F319,'GL Category'!A:C,3,FALSE)</f>
        <v>Operations &amp; maintenance</v>
      </c>
      <c r="H319" s="98" t="str">
        <f>VLOOKUP(F319,'GL Category'!A:C,2,FALSE)</f>
        <v>OFFICE SUPPLIES</v>
      </c>
      <c r="I319" s="99">
        <f>SUMIF(Import!$B:$B,$A319,Import!D:D)</f>
        <v>585.70000000000005</v>
      </c>
      <c r="J319" s="99">
        <f>SUMIF(Import!$B:$B,$A319,Import!E:E)</f>
        <v>1124.45</v>
      </c>
      <c r="K319" s="99">
        <f>SUMIF(Import!$B:$B,$A319,Import!F:F)</f>
        <v>1067.74</v>
      </c>
      <c r="L319" s="99">
        <f>SUMIF(Import!$B:$B,$A319,Import!G:G)</f>
        <v>377.11</v>
      </c>
      <c r="M319" s="99">
        <f>SUMIF(Import!$B:$B,$A319,Import!H:H)</f>
        <v>1500</v>
      </c>
      <c r="N319" s="99">
        <f>SUMIF(Import!$B:$B,$A319,Import!I:I)</f>
        <v>1102.19</v>
      </c>
      <c r="O319" s="99">
        <f>SUMIF(Import!$B:$B,$A319,Import!J:J)</f>
        <v>150</v>
      </c>
      <c r="P319" s="99">
        <f t="shared" ref="P319:P322" si="430">O319-M319</f>
        <v>-1350</v>
      </c>
      <c r="Q319" s="99">
        <f>SUMIF(Import!$B:$B,$A319,Import!K:K)</f>
        <v>1500</v>
      </c>
      <c r="R319" s="99">
        <f>SUMIF(Import!$B:$B,$A319,Import!L:L)</f>
        <v>0</v>
      </c>
      <c r="S319" s="99">
        <f>SUMIF(Import!$B:$B,$A319,Import!M:M)</f>
        <v>0</v>
      </c>
      <c r="T319" s="99">
        <f>SUMIF(Import!$B:$B,$A319,Import!N:N)</f>
        <v>1500</v>
      </c>
      <c r="U319" s="99">
        <f t="shared" ref="U319:U322" si="431">T319-M319</f>
        <v>0</v>
      </c>
      <c r="V319" s="255">
        <f t="shared" ref="V319:V322" si="432">IF(M319=0,"N/A",T319/M319-1)</f>
        <v>0</v>
      </c>
      <c r="W319" s="102" t="s">
        <v>2366</v>
      </c>
      <c r="X319" s="102"/>
      <c r="Y319" s="102">
        <f t="shared" ref="Y319:Y322" si="433">T319-X319</f>
        <v>1500</v>
      </c>
      <c r="Z319" s="309">
        <f>Y319*(1+VLOOKUP($F319,'GL Category'!$A:$H,4,FALSE))</f>
        <v>1530</v>
      </c>
      <c r="AA319" s="615"/>
      <c r="AB319" s="622">
        <f t="shared" ref="AB319:AB322" si="434">Z319+AA319</f>
        <v>1530</v>
      </c>
      <c r="AC319" s="633">
        <f>AB319*(1+VLOOKUP($F319,'GL Category'!$A:$H,5,FALSE))</f>
        <v>1560.6000000000001</v>
      </c>
      <c r="AE319" s="622">
        <f t="shared" ref="AE319:AE322" si="435">AC319+AD319</f>
        <v>1560.6000000000001</v>
      </c>
      <c r="AF319" s="633">
        <f>AE319*(1+VLOOKUP($F319,'GL Category'!$A:$H,6,FALSE))</f>
        <v>1591.8120000000001</v>
      </c>
      <c r="AH319" s="622">
        <f t="shared" ref="AH319:AH322" si="436">AF319+AG319</f>
        <v>1591.8120000000001</v>
      </c>
      <c r="AI319" s="633">
        <f>AH319*(1+VLOOKUP($F319,'GL Category'!$A:$H,7,FALSE))</f>
        <v>1623.6482400000002</v>
      </c>
      <c r="AK319" s="622">
        <f t="shared" ref="AK319:AK322" si="437">AI319+AJ319</f>
        <v>1623.6482400000002</v>
      </c>
      <c r="AL319" s="633">
        <f>AK319*(1+VLOOKUP($F319,'GL Category'!$A:$H,8,FALSE))</f>
        <v>1656.1212048000002</v>
      </c>
      <c r="AN319" s="622">
        <f t="shared" ref="AN319:AN322" si="438">AL319+AM319</f>
        <v>1656.1212048000002</v>
      </c>
    </row>
    <row r="320" spans="1:59" ht="15" customHeight="1">
      <c r="A320" s="555" t="s">
        <v>2367</v>
      </c>
      <c r="B320" s="217" t="str">
        <f t="shared" si="425"/>
        <v>100</v>
      </c>
      <c r="C320" s="217" t="str">
        <f t="shared" si="426"/>
        <v>12</v>
      </c>
      <c r="D320" s="101" t="str">
        <f t="shared" si="427"/>
        <v>121</v>
      </c>
      <c r="E320" s="217" t="str">
        <f t="shared" si="428"/>
        <v>100-12-121</v>
      </c>
      <c r="F320" s="294" t="str">
        <f t="shared" si="429"/>
        <v>51257</v>
      </c>
      <c r="G320" s="295" t="str">
        <f>VLOOKUP(F320,'GL Category'!A:C,3,FALSE)</f>
        <v>Operations &amp; maintenance</v>
      </c>
      <c r="H320" s="98" t="str">
        <f>VLOOKUP(F320,'GL Category'!A:C,2,FALSE)</f>
        <v>MEETING SPONSORSHIP/SUPPLIES</v>
      </c>
      <c r="I320" s="99">
        <f>SUMIF(Import!$B:$B,$A320,Import!D:D)</f>
        <v>8483.8700000000008</v>
      </c>
      <c r="J320" s="99">
        <f>SUMIF(Import!$B:$B,$A320,Import!E:E)</f>
        <v>10347.36</v>
      </c>
      <c r="K320" s="99">
        <f>SUMIF(Import!$B:$B,$A320,Import!F:F)</f>
        <v>10245.26</v>
      </c>
      <c r="L320" s="99">
        <f>SUMIF(Import!$B:$B,$A320,Import!G:G)</f>
        <v>15447.78</v>
      </c>
      <c r="M320" s="99">
        <f>SUMIF(Import!$B:$B,$A320,Import!H:H)</f>
        <v>18200</v>
      </c>
      <c r="N320" s="99">
        <f>SUMIF(Import!$B:$B,$A320,Import!I:I)</f>
        <v>8231.74</v>
      </c>
      <c r="O320" s="99">
        <f>SUMIF(Import!$B:$B,$A320,Import!J:J)</f>
        <v>11000</v>
      </c>
      <c r="P320" s="99">
        <f t="shared" si="430"/>
        <v>-7200</v>
      </c>
      <c r="Q320" s="99">
        <f>SUMIF(Import!$B:$B,$A320,Import!K:K)</f>
        <v>18200</v>
      </c>
      <c r="R320" s="99">
        <f>SUMIF(Import!$B:$B,$A320,Import!L:L)</f>
        <v>0</v>
      </c>
      <c r="S320" s="99">
        <f>SUMIF(Import!$B:$B,$A320,Import!M:M)</f>
        <v>0</v>
      </c>
      <c r="T320" s="99">
        <f>SUMIF(Import!$B:$B,$A320,Import!N:N)</f>
        <v>18200</v>
      </c>
      <c r="U320" s="99">
        <f t="shared" si="431"/>
        <v>0</v>
      </c>
      <c r="V320" s="255">
        <f t="shared" si="432"/>
        <v>0</v>
      </c>
      <c r="W320" s="102" t="s">
        <v>2367</v>
      </c>
      <c r="X320" s="102"/>
      <c r="Y320" s="102">
        <f t="shared" si="433"/>
        <v>18200</v>
      </c>
      <c r="Z320" s="309">
        <f>Y320*(1+VLOOKUP($F320,'GL Category'!$A:$H,4,FALSE))</f>
        <v>18564</v>
      </c>
      <c r="AA320" s="615"/>
      <c r="AB320" s="622">
        <f t="shared" si="434"/>
        <v>18564</v>
      </c>
      <c r="AC320" s="633">
        <f>AB320*(1+VLOOKUP($F320,'GL Category'!$A:$H,5,FALSE))</f>
        <v>18935.28</v>
      </c>
      <c r="AE320" s="622">
        <f t="shared" si="435"/>
        <v>18935.28</v>
      </c>
      <c r="AF320" s="633">
        <f>AE320*(1+VLOOKUP($F320,'GL Category'!$A:$H,6,FALSE))</f>
        <v>19313.9856</v>
      </c>
      <c r="AH320" s="622">
        <f t="shared" si="436"/>
        <v>19313.9856</v>
      </c>
      <c r="AI320" s="633">
        <f>AH320*(1+VLOOKUP($F320,'GL Category'!$A:$H,7,FALSE))</f>
        <v>19700.265312</v>
      </c>
      <c r="AK320" s="622">
        <f t="shared" si="437"/>
        <v>19700.265312</v>
      </c>
      <c r="AL320" s="633">
        <f>AK320*(1+VLOOKUP($F320,'GL Category'!$A:$H,8,FALSE))</f>
        <v>20094.27061824</v>
      </c>
      <c r="AN320" s="622">
        <f t="shared" si="438"/>
        <v>20094.27061824</v>
      </c>
    </row>
    <row r="321" spans="1:59" ht="15" customHeight="1">
      <c r="A321" s="555" t="s">
        <v>2368</v>
      </c>
      <c r="B321" s="217" t="str">
        <f t="shared" si="425"/>
        <v>100</v>
      </c>
      <c r="C321" s="217" t="str">
        <f t="shared" si="426"/>
        <v>12</v>
      </c>
      <c r="D321" s="101" t="str">
        <f t="shared" si="427"/>
        <v>121</v>
      </c>
      <c r="E321" s="217" t="str">
        <f t="shared" si="428"/>
        <v>100-12-121</v>
      </c>
      <c r="F321" s="294" t="str">
        <f t="shared" si="429"/>
        <v>51285</v>
      </c>
      <c r="G321" s="295" t="str">
        <f>VLOOKUP(F321,'GL Category'!A:C,3,FALSE)</f>
        <v>Operations &amp; maintenance</v>
      </c>
      <c r="H321" s="98" t="str">
        <f>VLOOKUP(F321,'GL Category'!A:C,2,FALSE)</f>
        <v>WEARING APPAREL</v>
      </c>
      <c r="I321" s="99">
        <f>SUMIF(Import!$B:$B,$A321,Import!D:D)</f>
        <v>438.9</v>
      </c>
      <c r="J321" s="99">
        <f>SUMIF(Import!$B:$B,$A321,Import!E:E)</f>
        <v>945.76</v>
      </c>
      <c r="K321" s="99">
        <f>SUMIF(Import!$B:$B,$A321,Import!F:F)</f>
        <v>1088.3900000000001</v>
      </c>
      <c r="L321" s="99">
        <f>SUMIF(Import!$B:$B,$A321,Import!G:G)</f>
        <v>2842.57</v>
      </c>
      <c r="M321" s="99">
        <f>SUMIF(Import!$B:$B,$A321,Import!H:H)</f>
        <v>1000</v>
      </c>
      <c r="N321" s="99">
        <f>SUMIF(Import!$B:$B,$A321,Import!I:I)</f>
        <v>231.78</v>
      </c>
      <c r="O321" s="99">
        <f>SUMIF(Import!$B:$B,$A321,Import!J:J)</f>
        <v>600</v>
      </c>
      <c r="P321" s="99">
        <f t="shared" si="430"/>
        <v>-400</v>
      </c>
      <c r="Q321" s="99">
        <f>SUMIF(Import!$B:$B,$A321,Import!K:K)</f>
        <v>1000</v>
      </c>
      <c r="R321" s="99">
        <f>SUMIF(Import!$B:$B,$A321,Import!L:L)</f>
        <v>0</v>
      </c>
      <c r="S321" s="99">
        <f>SUMIF(Import!$B:$B,$A321,Import!M:M)</f>
        <v>0</v>
      </c>
      <c r="T321" s="99">
        <f>SUMIF(Import!$B:$B,$A321,Import!N:N)</f>
        <v>1000</v>
      </c>
      <c r="U321" s="99">
        <f t="shared" si="431"/>
        <v>0</v>
      </c>
      <c r="V321" s="255">
        <f t="shared" si="432"/>
        <v>0</v>
      </c>
      <c r="W321" s="102" t="s">
        <v>2368</v>
      </c>
      <c r="X321" s="102"/>
      <c r="Y321" s="102">
        <f t="shared" si="433"/>
        <v>1000</v>
      </c>
      <c r="Z321" s="309">
        <f>Y321*(1+VLOOKUP($F321,'GL Category'!$A:$H,4,FALSE))</f>
        <v>1020</v>
      </c>
      <c r="AA321" s="615"/>
      <c r="AB321" s="622">
        <f t="shared" si="434"/>
        <v>1020</v>
      </c>
      <c r="AC321" s="633">
        <f>AB321*(1+VLOOKUP($F321,'GL Category'!$A:$H,5,FALSE))</f>
        <v>1040.4000000000001</v>
      </c>
      <c r="AE321" s="622">
        <f t="shared" si="435"/>
        <v>1040.4000000000001</v>
      </c>
      <c r="AF321" s="633">
        <f>AE321*(1+VLOOKUP($F321,'GL Category'!$A:$H,6,FALSE))</f>
        <v>1061.2080000000001</v>
      </c>
      <c r="AH321" s="622">
        <f t="shared" si="436"/>
        <v>1061.2080000000001</v>
      </c>
      <c r="AI321" s="633">
        <f>AH321*(1+VLOOKUP($F321,'GL Category'!$A:$H,7,FALSE))</f>
        <v>1082.4321600000001</v>
      </c>
      <c r="AK321" s="622">
        <f t="shared" si="437"/>
        <v>1082.4321600000001</v>
      </c>
      <c r="AL321" s="633">
        <f>AK321*(1+VLOOKUP($F321,'GL Category'!$A:$H,8,FALSE))</f>
        <v>1104.0808032</v>
      </c>
      <c r="AN321" s="622">
        <f t="shared" si="438"/>
        <v>1104.0808032</v>
      </c>
    </row>
    <row r="322" spans="1:59" ht="15" customHeight="1">
      <c r="A322" s="555" t="s">
        <v>2369</v>
      </c>
      <c r="B322" s="217" t="str">
        <f t="shared" si="425"/>
        <v>100</v>
      </c>
      <c r="C322" s="217" t="str">
        <f t="shared" si="426"/>
        <v>12</v>
      </c>
      <c r="D322" s="101" t="str">
        <f t="shared" si="427"/>
        <v>121</v>
      </c>
      <c r="E322" s="217" t="str">
        <f t="shared" si="428"/>
        <v>100-12-121</v>
      </c>
      <c r="F322" s="294" t="str">
        <f t="shared" si="429"/>
        <v>51299</v>
      </c>
      <c r="G322" s="295" t="str">
        <f>VLOOKUP(F322,'GL Category'!A:C,3,FALSE)</f>
        <v>Operations &amp; maintenance</v>
      </c>
      <c r="H322" s="98" t="str">
        <f>VLOOKUP(F322,'GL Category'!A:C,2,FALSE)</f>
        <v>MISCELLANEOUS SUPPLIES</v>
      </c>
      <c r="I322" s="99">
        <f>SUMIF(Import!$B:$B,$A322,Import!D:D)</f>
        <v>389.32</v>
      </c>
      <c r="J322" s="99">
        <f>SUMIF(Import!$B:$B,$A322,Import!E:E)</f>
        <v>458.87</v>
      </c>
      <c r="K322" s="99">
        <f>SUMIF(Import!$B:$B,$A322,Import!F:F)</f>
        <v>196.39</v>
      </c>
      <c r="L322" s="99">
        <f>SUMIF(Import!$B:$B,$A322,Import!G:G)</f>
        <v>0</v>
      </c>
      <c r="M322" s="99">
        <f>SUMIF(Import!$B:$B,$A322,Import!H:H)</f>
        <v>0</v>
      </c>
      <c r="N322" s="99">
        <f>SUMIF(Import!$B:$B,$A322,Import!I:I)</f>
        <v>0</v>
      </c>
      <c r="O322" s="99">
        <f>SUMIF(Import!$B:$B,$A322,Import!J:J)</f>
        <v>0</v>
      </c>
      <c r="P322" s="99">
        <f t="shared" si="430"/>
        <v>0</v>
      </c>
      <c r="Q322" s="99">
        <f>SUMIF(Import!$B:$B,$A322,Import!K:K)</f>
        <v>0</v>
      </c>
      <c r="R322" s="99">
        <f>SUMIF(Import!$B:$B,$A322,Import!L:L)</f>
        <v>0</v>
      </c>
      <c r="S322" s="99">
        <f>SUMIF(Import!$B:$B,$A322,Import!M:M)</f>
        <v>0</v>
      </c>
      <c r="T322" s="99">
        <f>SUMIF(Import!$B:$B,$A322,Import!N:N)</f>
        <v>0</v>
      </c>
      <c r="U322" s="99">
        <f t="shared" si="431"/>
        <v>0</v>
      </c>
      <c r="V322" s="255" t="str">
        <f t="shared" si="432"/>
        <v>N/A</v>
      </c>
      <c r="W322" s="102" t="s">
        <v>2369</v>
      </c>
      <c r="X322" s="102"/>
      <c r="Y322" s="102">
        <f t="shared" si="433"/>
        <v>0</v>
      </c>
      <c r="Z322" s="309">
        <f>Y322*(1+VLOOKUP($F322,'GL Category'!$A:$H,4,FALSE))</f>
        <v>0</v>
      </c>
      <c r="AA322" s="615"/>
      <c r="AB322" s="622">
        <f t="shared" si="434"/>
        <v>0</v>
      </c>
      <c r="AC322" s="633">
        <f>AB322*(1+VLOOKUP($F322,'GL Category'!$A:$H,5,FALSE))</f>
        <v>0</v>
      </c>
      <c r="AE322" s="622">
        <f t="shared" si="435"/>
        <v>0</v>
      </c>
      <c r="AF322" s="633">
        <f>AE322*(1+VLOOKUP($F322,'GL Category'!$A:$H,6,FALSE))</f>
        <v>0</v>
      </c>
      <c r="AH322" s="622">
        <f t="shared" si="436"/>
        <v>0</v>
      </c>
      <c r="AI322" s="633">
        <f>AH322*(1+VLOOKUP($F322,'GL Category'!$A:$H,7,FALSE))</f>
        <v>0</v>
      </c>
      <c r="AK322" s="622">
        <f t="shared" si="437"/>
        <v>0</v>
      </c>
      <c r="AL322" s="633">
        <f>AK322*(1+VLOOKUP($F322,'GL Category'!$A:$H,8,FALSE))</f>
        <v>0</v>
      </c>
      <c r="AN322" s="622">
        <f t="shared" si="438"/>
        <v>0</v>
      </c>
    </row>
    <row r="323" spans="1:59" ht="31.35" customHeight="1">
      <c r="A323" s="297"/>
      <c r="B323" s="217"/>
      <c r="C323" s="217"/>
      <c r="D323" s="101"/>
      <c r="E323" s="101"/>
      <c r="F323" s="294"/>
      <c r="G323" s="295"/>
      <c r="H323" s="107" t="str">
        <f>UPPER(G322)&amp;" TOTAL"</f>
        <v>OPERATIONS &amp; MAINTENANCE TOTAL</v>
      </c>
      <c r="I323" s="108">
        <f t="shared" ref="I323" si="439">SUBTOTAL(9,I319:I322)</f>
        <v>9897.7900000000009</v>
      </c>
      <c r="J323" s="108">
        <f t="shared" ref="J323:P323" si="440">SUBTOTAL(9,J319:J322)</f>
        <v>12876.440000000002</v>
      </c>
      <c r="K323" s="108">
        <f t="shared" ref="K323" si="441">SUBTOTAL(9,K319:K322)</f>
        <v>12597.779999999999</v>
      </c>
      <c r="L323" s="108">
        <f t="shared" ref="L323" si="442">SUBTOTAL(9,L319:L322)</f>
        <v>18667.460000000003</v>
      </c>
      <c r="M323" s="108">
        <f t="shared" si="440"/>
        <v>20700</v>
      </c>
      <c r="N323" s="109">
        <f t="shared" ref="N323" si="443">SUBTOTAL(9,N319:N322)</f>
        <v>9565.7100000000009</v>
      </c>
      <c r="O323" s="109">
        <f t="shared" si="440"/>
        <v>11750</v>
      </c>
      <c r="P323" s="109">
        <f t="shared" si="440"/>
        <v>-8950</v>
      </c>
      <c r="Q323" s="109">
        <f t="shared" ref="Q323:T323" si="444">SUBTOTAL(9,Q319:Q322)</f>
        <v>20700</v>
      </c>
      <c r="R323" s="109">
        <f t="shared" si="444"/>
        <v>0</v>
      </c>
      <c r="S323" s="109">
        <f t="shared" si="444"/>
        <v>0</v>
      </c>
      <c r="T323" s="109">
        <f t="shared" si="444"/>
        <v>20700</v>
      </c>
      <c r="U323" s="99">
        <f>T323-M323</f>
        <v>0</v>
      </c>
      <c r="V323" s="255">
        <f>IF(M323=0,"N/A",T323/M323-1)</f>
        <v>0</v>
      </c>
      <c r="W323" s="102"/>
      <c r="X323" s="102"/>
      <c r="Y323" s="102"/>
      <c r="Z323" s="88"/>
      <c r="AA323" s="615"/>
      <c r="AC323" s="93"/>
      <c r="AD323" s="93"/>
      <c r="AE323" s="93"/>
      <c r="AF323" s="93"/>
      <c r="AG323" s="93"/>
      <c r="AJ323" s="93"/>
      <c r="AK323" s="93"/>
      <c r="AL323" s="93"/>
      <c r="AM323" s="93"/>
      <c r="AN323" s="93"/>
    </row>
    <row r="324" spans="1:59" ht="15" customHeight="1">
      <c r="A324" s="297"/>
      <c r="B324" s="217"/>
      <c r="C324" s="217"/>
      <c r="D324" s="101"/>
      <c r="E324" s="101"/>
      <c r="F324" s="294"/>
      <c r="G324" s="295"/>
      <c r="H324" s="98"/>
      <c r="I324" s="106"/>
      <c r="J324" s="106"/>
      <c r="K324" s="106"/>
      <c r="L324" s="106"/>
      <c r="M324" s="106"/>
      <c r="N324" s="112"/>
      <c r="O324" s="112"/>
      <c r="P324" s="112"/>
      <c r="Q324" s="113"/>
      <c r="R324" s="113"/>
      <c r="S324" s="113"/>
      <c r="T324" s="113"/>
      <c r="U324" s="113"/>
      <c r="V324" s="113"/>
      <c r="W324" s="102"/>
      <c r="X324" s="102"/>
      <c r="Y324" s="102"/>
      <c r="Z324" s="88"/>
      <c r="AA324" s="615"/>
      <c r="AC324" s="304"/>
      <c r="AD324" s="304"/>
      <c r="AE324" s="304"/>
      <c r="AF324" s="304"/>
      <c r="AG324" s="304"/>
      <c r="AJ324" s="304"/>
      <c r="AK324" s="304"/>
      <c r="AL324" s="304"/>
      <c r="AM324" s="304"/>
      <c r="AN324" s="304"/>
    </row>
    <row r="325" spans="1:59" ht="15" customHeight="1">
      <c r="A325" s="555" t="s">
        <v>2370</v>
      </c>
      <c r="B325" s="217" t="str">
        <f t="shared" ref="B325:B327" si="445">LEFT(A325,3)</f>
        <v>100</v>
      </c>
      <c r="C325" s="217" t="str">
        <f t="shared" ref="C325:C327" si="446">MID(A325,5,2)</f>
        <v>12</v>
      </c>
      <c r="D325" s="101" t="str">
        <f t="shared" ref="D325:D327" si="447">MID(A325,8,3)</f>
        <v>121</v>
      </c>
      <c r="E325" s="217" t="str">
        <f t="shared" ref="E325:E327" si="448">LEFT(A325,10)</f>
        <v>100-12-121</v>
      </c>
      <c r="F325" s="294" t="str">
        <f t="shared" ref="F325:F327" si="449">RIGHT(A325,5)</f>
        <v>53510</v>
      </c>
      <c r="G325" s="295" t="str">
        <f>VLOOKUP(F325,'GL Category'!A:C,3,FALSE)</f>
        <v>Services &amp; other</v>
      </c>
      <c r="H325" s="98" t="str">
        <f>VLOOKUP(F325,'GL Category'!A:C,2,FALSE)</f>
        <v>DUES &amp; SUBSCRIPTIONS</v>
      </c>
      <c r="I325" s="99">
        <f>SUMIF(Import!$B:$B,$A325,Import!D:D)</f>
        <v>940</v>
      </c>
      <c r="J325" s="99">
        <f>SUMIF(Import!$B:$B,$A325,Import!E:E)</f>
        <v>525</v>
      </c>
      <c r="K325" s="99">
        <f>SUMIF(Import!$B:$B,$A325,Import!F:F)</f>
        <v>1600</v>
      </c>
      <c r="L325" s="99">
        <f>SUMIF(Import!$B:$B,$A325,Import!G:G)</f>
        <v>3690</v>
      </c>
      <c r="M325" s="99">
        <f>SUMIF(Import!$B:$B,$A325,Import!H:H)</f>
        <v>1570</v>
      </c>
      <c r="N325" s="99">
        <f>SUMIF(Import!$B:$B,$A325,Import!I:I)</f>
        <v>1350</v>
      </c>
      <c r="O325" s="99">
        <f>SUMIF(Import!$B:$B,$A325,Import!J:J)</f>
        <v>1570</v>
      </c>
      <c r="P325" s="99">
        <f t="shared" ref="P325:P327" si="450">O325-M325</f>
        <v>0</v>
      </c>
      <c r="Q325" s="99">
        <f>SUMIF(Import!$B:$B,$A325,Import!K:K)</f>
        <v>3020</v>
      </c>
      <c r="R325" s="99">
        <f>SUMIF(Import!$B:$B,$A325,Import!L:L)</f>
        <v>0</v>
      </c>
      <c r="S325" s="99">
        <f>SUMIF(Import!$B:$B,$A325,Import!M:M)</f>
        <v>0</v>
      </c>
      <c r="T325" s="99">
        <f>SUMIF(Import!$B:$B,$A325,Import!N:N)</f>
        <v>3020</v>
      </c>
      <c r="U325" s="99">
        <f t="shared" ref="U325:U327" si="451">T325-M325</f>
        <v>1450</v>
      </c>
      <c r="V325" s="255">
        <f t="shared" ref="V325:V327" si="452">IF(M325=0,"N/A",T325/M325-1)</f>
        <v>0.92356687898089174</v>
      </c>
      <c r="W325" s="102" t="s">
        <v>2370</v>
      </c>
      <c r="X325" s="102"/>
      <c r="Y325" s="102">
        <f t="shared" ref="Y325:Y327" si="453">T325-X325</f>
        <v>3020</v>
      </c>
      <c r="Z325" s="309">
        <f>Y325*(1+VLOOKUP($F325,'GL Category'!$A:$H,4,FALSE))</f>
        <v>3110.6</v>
      </c>
      <c r="AA325" s="615"/>
      <c r="AB325" s="622">
        <f t="shared" ref="AB325:AB327" si="454">Z325+AA325</f>
        <v>3110.6</v>
      </c>
      <c r="AC325" s="633">
        <f>AB325*(1+VLOOKUP($F325,'GL Category'!$A:$H,5,FALSE))</f>
        <v>3203.9180000000001</v>
      </c>
      <c r="AE325" s="622">
        <f t="shared" ref="AE325:AE327" si="455">AC325+AD325</f>
        <v>3203.9180000000001</v>
      </c>
      <c r="AF325" s="633">
        <f>AE325*(1+VLOOKUP($F325,'GL Category'!$A:$H,6,FALSE))</f>
        <v>3300.0355400000003</v>
      </c>
      <c r="AH325" s="622">
        <f t="shared" ref="AH325:AH327" si="456">AF325+AG325</f>
        <v>3300.0355400000003</v>
      </c>
      <c r="AI325" s="633">
        <f>AH325*(1+VLOOKUP($F325,'GL Category'!$A:$H,7,FALSE))</f>
        <v>3399.0366062000003</v>
      </c>
      <c r="AK325" s="622">
        <f t="shared" ref="AK325:AK327" si="457">AI325+AJ325</f>
        <v>3399.0366062000003</v>
      </c>
      <c r="AL325" s="633">
        <f>AK325*(1+VLOOKUP($F325,'GL Category'!$A:$H,8,FALSE))</f>
        <v>3501.0077043860006</v>
      </c>
      <c r="AN325" s="622">
        <f t="shared" ref="AN325:AN327" si="458">AL325+AM325</f>
        <v>3501.0077043860006</v>
      </c>
    </row>
    <row r="326" spans="1:59" s="105" customFormat="1" ht="15" customHeight="1">
      <c r="A326" s="555" t="s">
        <v>2371</v>
      </c>
      <c r="B326" s="217" t="str">
        <f t="shared" si="445"/>
        <v>100</v>
      </c>
      <c r="C326" s="217" t="str">
        <f t="shared" si="446"/>
        <v>12</v>
      </c>
      <c r="D326" s="101" t="str">
        <f t="shared" si="447"/>
        <v>121</v>
      </c>
      <c r="E326" s="217" t="str">
        <f t="shared" si="448"/>
        <v>100-12-121</v>
      </c>
      <c r="F326" s="294" t="str">
        <f t="shared" si="449"/>
        <v>53515</v>
      </c>
      <c r="G326" s="295" t="str">
        <f>VLOOKUP(F326,'GL Category'!A:C,3,FALSE)</f>
        <v>Services &amp; other</v>
      </c>
      <c r="H326" s="98" t="str">
        <f>VLOOKUP(F326,'GL Category'!A:C,2,FALSE)</f>
        <v>TRAVEL, TRAINING &amp; EDUCATION</v>
      </c>
      <c r="I326" s="99">
        <f>SUMIF(Import!$B:$B,$A326,Import!D:D)</f>
        <v>10519.38</v>
      </c>
      <c r="J326" s="99">
        <f>SUMIF(Import!$B:$B,$A326,Import!E:E)</f>
        <v>18180.990000000002</v>
      </c>
      <c r="K326" s="99">
        <f>SUMIF(Import!$B:$B,$A326,Import!F:F)</f>
        <v>6389.04</v>
      </c>
      <c r="L326" s="99">
        <f>SUMIF(Import!$B:$B,$A326,Import!G:G)</f>
        <v>7455.84</v>
      </c>
      <c r="M326" s="99">
        <f>SUMIF(Import!$B:$B,$A326,Import!H:H)</f>
        <v>18400</v>
      </c>
      <c r="N326" s="99">
        <f>SUMIF(Import!$B:$B,$A326,Import!I:I)</f>
        <v>1105</v>
      </c>
      <c r="O326" s="99">
        <f>SUMIF(Import!$B:$B,$A326,Import!J:J)</f>
        <v>2000</v>
      </c>
      <c r="P326" s="99">
        <f t="shared" si="450"/>
        <v>-16400</v>
      </c>
      <c r="Q326" s="99">
        <f>SUMIF(Import!$B:$B,$A326,Import!K:K)</f>
        <v>16900</v>
      </c>
      <c r="R326" s="99">
        <f>SUMIF(Import!$B:$B,$A326,Import!L:L)</f>
        <v>0</v>
      </c>
      <c r="S326" s="99">
        <f>SUMIF(Import!$B:$B,$A326,Import!M:M)</f>
        <v>0</v>
      </c>
      <c r="T326" s="99">
        <f>SUMIF(Import!$B:$B,$A326,Import!N:N)</f>
        <v>16900</v>
      </c>
      <c r="U326" s="99">
        <f t="shared" si="451"/>
        <v>-1500</v>
      </c>
      <c r="V326" s="255">
        <f t="shared" si="452"/>
        <v>-8.1521739130434812E-2</v>
      </c>
      <c r="W326" s="102" t="s">
        <v>2371</v>
      </c>
      <c r="X326" s="102"/>
      <c r="Y326" s="102">
        <f t="shared" si="453"/>
        <v>16900</v>
      </c>
      <c r="Z326" s="309">
        <f>Y326*(1+VLOOKUP($F326,'GL Category'!$A:$H,4,FALSE))</f>
        <v>17407</v>
      </c>
      <c r="AA326" s="615"/>
      <c r="AB326" s="622">
        <f t="shared" si="454"/>
        <v>17407</v>
      </c>
      <c r="AC326" s="633">
        <f>AB326*(1+VLOOKUP($F326,'GL Category'!$A:$H,5,FALSE))</f>
        <v>17929.21</v>
      </c>
      <c r="AD326" s="615"/>
      <c r="AE326" s="622">
        <f t="shared" si="455"/>
        <v>17929.21</v>
      </c>
      <c r="AF326" s="633">
        <f>AE326*(1+VLOOKUP($F326,'GL Category'!$A:$H,6,FALSE))</f>
        <v>18467.086299999999</v>
      </c>
      <c r="AG326" s="615"/>
      <c r="AH326" s="622">
        <f t="shared" si="456"/>
        <v>18467.086299999999</v>
      </c>
      <c r="AI326" s="633">
        <f>AH326*(1+VLOOKUP($F326,'GL Category'!$A:$H,7,FALSE))</f>
        <v>19021.098889000001</v>
      </c>
      <c r="AJ326" s="615"/>
      <c r="AK326" s="622">
        <f t="shared" si="457"/>
        <v>19021.098889000001</v>
      </c>
      <c r="AL326" s="633">
        <f>AK326*(1+VLOOKUP($F326,'GL Category'!$A:$H,8,FALSE))</f>
        <v>19591.731855670001</v>
      </c>
      <c r="AM326" s="615"/>
      <c r="AN326" s="622">
        <f t="shared" si="458"/>
        <v>19591.731855670001</v>
      </c>
      <c r="AO326" s="196"/>
      <c r="AP326" s="196"/>
      <c r="AQ326" s="196"/>
      <c r="AR326" s="104"/>
      <c r="AS326" s="104"/>
      <c r="AT326" s="104"/>
      <c r="AU326" s="104"/>
      <c r="AV326" s="104"/>
      <c r="AW326" s="104"/>
      <c r="AX326" s="104"/>
      <c r="AY326" s="104"/>
      <c r="AZ326" s="104"/>
      <c r="BA326" s="104"/>
      <c r="BB326" s="104"/>
      <c r="BC326" s="104"/>
      <c r="BD326" s="104"/>
      <c r="BE326" s="104"/>
      <c r="BF326" s="104"/>
      <c r="BG326" s="104"/>
    </row>
    <row r="327" spans="1:59" s="105" customFormat="1" ht="15" customHeight="1">
      <c r="A327" s="555" t="s">
        <v>2372</v>
      </c>
      <c r="B327" s="217" t="str">
        <f t="shared" si="445"/>
        <v>100</v>
      </c>
      <c r="C327" s="217" t="str">
        <f t="shared" si="446"/>
        <v>12</v>
      </c>
      <c r="D327" s="101" t="str">
        <f t="shared" si="447"/>
        <v>121</v>
      </c>
      <c r="E327" s="217" t="str">
        <f t="shared" si="448"/>
        <v>100-12-121</v>
      </c>
      <c r="F327" s="294" t="str">
        <f t="shared" si="449"/>
        <v>55119</v>
      </c>
      <c r="G327" s="295" t="str">
        <f>VLOOKUP(F327,'GL Category'!A:C,3,FALSE)</f>
        <v>Services &amp; other</v>
      </c>
      <c r="H327" s="98" t="str">
        <f>VLOOKUP(F327,'GL Category'!A:C,2,FALSE)</f>
        <v>OFFICE EQUIP LEASE EXP-CITY</v>
      </c>
      <c r="I327" s="99">
        <f>SUMIF(Import!$B:$B,$A327,Import!D:D)</f>
        <v>14340</v>
      </c>
      <c r="J327" s="99">
        <f>SUMIF(Import!$B:$B,$A327,Import!E:E)</f>
        <v>15114</v>
      </c>
      <c r="K327" s="99">
        <f>SUMIF(Import!$B:$B,$A327,Import!F:F)</f>
        <v>15979</v>
      </c>
      <c r="L327" s="99">
        <f>SUMIF(Import!$B:$B,$A327,Import!G:G)</f>
        <v>15938</v>
      </c>
      <c r="M327" s="99">
        <f>SUMIF(Import!$B:$B,$A327,Import!H:H)</f>
        <v>17420</v>
      </c>
      <c r="N327" s="99">
        <f>SUMIF(Import!$B:$B,$A327,Import!I:I)</f>
        <v>13065</v>
      </c>
      <c r="O327" s="99">
        <f>SUMIF(Import!$B:$B,$A327,Import!J:J)</f>
        <v>17420</v>
      </c>
      <c r="P327" s="99">
        <f t="shared" si="450"/>
        <v>0</v>
      </c>
      <c r="Q327" s="99">
        <f>SUMIF(Import!$B:$B,$A327,Import!K:K)</f>
        <v>17906</v>
      </c>
      <c r="R327" s="99">
        <f>SUMIF(Import!$B:$B,$A327,Import!L:L)</f>
        <v>0</v>
      </c>
      <c r="S327" s="99">
        <f>SUMIF(Import!$B:$B,$A327,Import!M:M)</f>
        <v>0</v>
      </c>
      <c r="T327" s="99">
        <f>SUMIF(Import!$B:$B,$A327,Import!N:N)</f>
        <v>17906</v>
      </c>
      <c r="U327" s="99">
        <f t="shared" si="451"/>
        <v>486</v>
      </c>
      <c r="V327" s="255">
        <f t="shared" si="452"/>
        <v>2.7898966704936745E-2</v>
      </c>
      <c r="W327" s="102" t="s">
        <v>2372</v>
      </c>
      <c r="X327" s="102"/>
      <c r="Y327" s="102">
        <f t="shared" si="453"/>
        <v>17906</v>
      </c>
      <c r="Z327" s="309">
        <f>Y327*(1+VLOOKUP($F327,'GL Category'!$A:$H,4,FALSE))</f>
        <v>18443.18</v>
      </c>
      <c r="AA327" s="615"/>
      <c r="AB327" s="622">
        <f t="shared" si="454"/>
        <v>18443.18</v>
      </c>
      <c r="AC327" s="633">
        <f>AB327*(1+VLOOKUP($F327,'GL Category'!$A:$H,5,FALSE))</f>
        <v>18996.475399999999</v>
      </c>
      <c r="AD327" s="307"/>
      <c r="AE327" s="622">
        <f t="shared" si="455"/>
        <v>18996.475399999999</v>
      </c>
      <c r="AF327" s="633">
        <f>AE327*(1+VLOOKUP($F327,'GL Category'!$A:$H,6,FALSE))</f>
        <v>19566.369662000001</v>
      </c>
      <c r="AG327" s="307"/>
      <c r="AH327" s="622">
        <f t="shared" si="456"/>
        <v>19566.369662000001</v>
      </c>
      <c r="AI327" s="633">
        <f>AH327*(1+VLOOKUP($F327,'GL Category'!$A:$H,7,FALSE))</f>
        <v>20153.36075186</v>
      </c>
      <c r="AJ327" s="307"/>
      <c r="AK327" s="622">
        <f t="shared" si="457"/>
        <v>20153.36075186</v>
      </c>
      <c r="AL327" s="633">
        <f>AK327*(1+VLOOKUP($F327,'GL Category'!$A:$H,8,FALSE))</f>
        <v>20757.9615744158</v>
      </c>
      <c r="AM327" s="307"/>
      <c r="AN327" s="622">
        <f t="shared" si="458"/>
        <v>20757.9615744158</v>
      </c>
      <c r="AO327" s="196"/>
      <c r="AP327" s="196"/>
      <c r="AQ327" s="196"/>
      <c r="AR327" s="104"/>
      <c r="AS327" s="104"/>
      <c r="AT327" s="104"/>
      <c r="AU327" s="104"/>
      <c r="AV327" s="104"/>
      <c r="AW327" s="104"/>
      <c r="AX327" s="104"/>
      <c r="AY327" s="104"/>
      <c r="AZ327" s="104"/>
      <c r="BA327" s="104"/>
      <c r="BB327" s="104"/>
      <c r="BC327" s="104"/>
      <c r="BD327" s="104"/>
      <c r="BE327" s="104"/>
      <c r="BF327" s="104"/>
      <c r="BG327" s="104"/>
    </row>
    <row r="328" spans="1:59" s="105" customFormat="1" ht="15" customHeight="1">
      <c r="H328" s="107" t="str">
        <f>UPPER(G327)&amp;" TOTAL"</f>
        <v>SERVICES &amp; OTHER TOTAL</v>
      </c>
      <c r="I328" s="109">
        <f t="shared" ref="I328" si="459">SUBTOTAL(9,I325:I327)</f>
        <v>25799.379999999997</v>
      </c>
      <c r="J328" s="109">
        <f t="shared" ref="J328:T328" si="460">SUBTOTAL(9,J325:J327)</f>
        <v>33819.990000000005</v>
      </c>
      <c r="K328" s="109">
        <f t="shared" ref="K328" si="461">SUBTOTAL(9,K325:K327)</f>
        <v>23968.04</v>
      </c>
      <c r="L328" s="109">
        <f t="shared" ref="L328" si="462">SUBTOTAL(9,L325:L327)</f>
        <v>27083.84</v>
      </c>
      <c r="M328" s="109">
        <f t="shared" si="460"/>
        <v>37390</v>
      </c>
      <c r="N328" s="109">
        <f t="shared" ref="N328" si="463">SUBTOTAL(9,N325:N327)</f>
        <v>15520</v>
      </c>
      <c r="O328" s="109">
        <f t="shared" si="460"/>
        <v>20990</v>
      </c>
      <c r="P328" s="109">
        <f t="shared" si="460"/>
        <v>-16400</v>
      </c>
      <c r="Q328" s="109">
        <f t="shared" si="460"/>
        <v>37826</v>
      </c>
      <c r="R328" s="109">
        <f t="shared" si="460"/>
        <v>0</v>
      </c>
      <c r="S328" s="109">
        <f t="shared" si="460"/>
        <v>0</v>
      </c>
      <c r="T328" s="109">
        <f t="shared" si="460"/>
        <v>37826</v>
      </c>
      <c r="U328" s="99">
        <f>T328-M328</f>
        <v>436</v>
      </c>
      <c r="V328" s="255">
        <f>IF(M328=0,"N/A",T328/M328-1)</f>
        <v>1.1660871890879942E-2</v>
      </c>
      <c r="W328" s="102"/>
      <c r="X328" s="102"/>
      <c r="Y328" s="102"/>
      <c r="Z328" s="95"/>
      <c r="AA328" s="615"/>
      <c r="AB328" s="627"/>
      <c r="AC328" s="303"/>
      <c r="AD328" s="303"/>
      <c r="AE328" s="303"/>
      <c r="AF328" s="303"/>
      <c r="AG328" s="303"/>
      <c r="AH328" s="627"/>
      <c r="AI328" s="627"/>
      <c r="AJ328" s="303"/>
      <c r="AK328" s="303"/>
      <c r="AL328" s="303"/>
      <c r="AM328" s="303"/>
      <c r="AN328" s="303"/>
      <c r="AO328" s="196"/>
      <c r="AP328" s="196"/>
      <c r="AQ328" s="196"/>
      <c r="AR328" s="104"/>
      <c r="AS328" s="104"/>
      <c r="AT328" s="104"/>
      <c r="AU328" s="104"/>
      <c r="AV328" s="104"/>
      <c r="AW328" s="104"/>
      <c r="AX328" s="104"/>
      <c r="AY328" s="104"/>
      <c r="AZ328" s="104"/>
      <c r="BA328" s="104"/>
      <c r="BB328" s="104"/>
      <c r="BC328" s="104"/>
      <c r="BD328" s="104"/>
      <c r="BE328" s="104"/>
      <c r="BF328" s="104"/>
      <c r="BG328" s="104"/>
    </row>
    <row r="329" spans="1:59" s="105" customFormat="1" ht="15" customHeight="1">
      <c r="A329" s="297"/>
      <c r="B329" s="217"/>
      <c r="C329" s="217"/>
      <c r="D329" s="101"/>
      <c r="E329" s="101"/>
      <c r="F329" s="294"/>
      <c r="G329" s="295"/>
      <c r="H329" s="98"/>
      <c r="I329" s="106"/>
      <c r="J329" s="106"/>
      <c r="K329" s="106"/>
      <c r="L329" s="106"/>
      <c r="M329" s="106"/>
      <c r="N329" s="112"/>
      <c r="O329" s="112"/>
      <c r="P329" s="112"/>
      <c r="Q329" s="113"/>
      <c r="R329" s="113"/>
      <c r="S329" s="113"/>
      <c r="T329" s="113"/>
      <c r="U329" s="113"/>
      <c r="V329" s="113"/>
      <c r="W329" s="102"/>
      <c r="X329" s="102"/>
      <c r="Y329" s="102"/>
      <c r="Z329" s="95"/>
      <c r="AA329" s="615"/>
      <c r="AB329" s="627"/>
      <c r="AC329" s="303"/>
      <c r="AD329" s="303"/>
      <c r="AE329" s="303"/>
      <c r="AF329" s="303"/>
      <c r="AG329" s="303"/>
      <c r="AH329" s="627"/>
      <c r="AI329" s="627"/>
      <c r="AJ329" s="303"/>
      <c r="AK329" s="303"/>
      <c r="AL329" s="303"/>
      <c r="AM329" s="303"/>
      <c r="AN329" s="303"/>
      <c r="AO329" s="196"/>
      <c r="AP329" s="196"/>
      <c r="AQ329" s="196"/>
      <c r="AR329" s="104"/>
      <c r="AS329" s="104"/>
      <c r="AT329" s="104"/>
      <c r="AU329" s="104"/>
      <c r="AV329" s="104"/>
      <c r="AW329" s="104"/>
      <c r="AX329" s="104"/>
      <c r="AY329" s="104"/>
      <c r="AZ329" s="104"/>
      <c r="BA329" s="104"/>
      <c r="BB329" s="104"/>
      <c r="BC329" s="104"/>
      <c r="BD329" s="104"/>
      <c r="BE329" s="104"/>
      <c r="BF329" s="104"/>
      <c r="BG329" s="104"/>
    </row>
    <row r="330" spans="1:59" ht="15" customHeight="1">
      <c r="A330" s="297"/>
      <c r="B330" s="217"/>
      <c r="C330" s="217"/>
      <c r="D330" s="101"/>
      <c r="E330" s="101"/>
      <c r="F330" s="294"/>
      <c r="G330" s="295"/>
      <c r="H330" s="114" t="s">
        <v>51</v>
      </c>
      <c r="I330" s="108">
        <f t="shared" ref="I330" si="464">SUBTOTAL(9,I319:I329)</f>
        <v>35697.17</v>
      </c>
      <c r="J330" s="108">
        <f t="shared" ref="J330:T330" si="465">SUBTOTAL(9,J319:J329)</f>
        <v>46696.430000000008</v>
      </c>
      <c r="K330" s="108">
        <f t="shared" ref="K330" si="466">SUBTOTAL(9,K319:K329)</f>
        <v>36565.82</v>
      </c>
      <c r="L330" s="108">
        <f t="shared" ref="L330" si="467">SUBTOTAL(9,L319:L329)</f>
        <v>45751.3</v>
      </c>
      <c r="M330" s="108">
        <f t="shared" si="465"/>
        <v>58090</v>
      </c>
      <c r="N330" s="108">
        <f t="shared" ref="N330" si="468">SUBTOTAL(9,N319:N329)</f>
        <v>25085.71</v>
      </c>
      <c r="O330" s="108">
        <f t="shared" si="465"/>
        <v>32740</v>
      </c>
      <c r="P330" s="108">
        <f t="shared" si="465"/>
        <v>-25350</v>
      </c>
      <c r="Q330" s="108">
        <f t="shared" si="465"/>
        <v>58526</v>
      </c>
      <c r="R330" s="108">
        <f t="shared" si="465"/>
        <v>0</v>
      </c>
      <c r="S330" s="108">
        <f t="shared" si="465"/>
        <v>0</v>
      </c>
      <c r="T330" s="108">
        <f t="shared" si="465"/>
        <v>58526</v>
      </c>
      <c r="U330" s="99">
        <f>T330-M330</f>
        <v>436</v>
      </c>
      <c r="V330" s="255">
        <f>IF(M330=0,"N/A",T330/M330-1)</f>
        <v>7.5055947667412859E-3</v>
      </c>
      <c r="W330" s="102"/>
      <c r="X330" s="102"/>
      <c r="Y330" s="102"/>
      <c r="Z330" s="88"/>
      <c r="AA330" s="615"/>
      <c r="AC330" s="304"/>
      <c r="AD330" s="304"/>
      <c r="AE330" s="304"/>
      <c r="AF330" s="304"/>
      <c r="AG330" s="304"/>
      <c r="AJ330" s="304"/>
      <c r="AK330" s="304"/>
      <c r="AL330" s="304"/>
      <c r="AM330" s="304"/>
      <c r="AN330" s="304"/>
    </row>
    <row r="331" spans="1:59" ht="15" customHeight="1" thickBot="1">
      <c r="A331" s="297"/>
      <c r="B331" s="217"/>
      <c r="C331" s="217"/>
      <c r="D331" s="101"/>
      <c r="E331" s="101"/>
      <c r="F331" s="294"/>
      <c r="G331" s="295"/>
      <c r="H331" s="98"/>
      <c r="I331" s="106"/>
      <c r="J331" s="106"/>
      <c r="K331" s="106"/>
      <c r="L331" s="106"/>
      <c r="M331" s="106"/>
      <c r="N331" s="112"/>
      <c r="O331" s="112"/>
      <c r="P331" s="112"/>
      <c r="Q331" s="113"/>
      <c r="R331" s="113"/>
      <c r="S331" s="113"/>
      <c r="T331" s="113"/>
      <c r="U331" s="99"/>
      <c r="V331" s="255"/>
      <c r="W331" s="102"/>
      <c r="X331" s="102"/>
      <c r="Y331" s="102"/>
      <c r="Z331" s="88"/>
      <c r="AA331" s="615"/>
      <c r="AC331" s="304"/>
      <c r="AD331" s="304"/>
      <c r="AE331" s="304"/>
      <c r="AF331" s="304"/>
      <c r="AG331" s="304"/>
      <c r="AJ331" s="304"/>
      <c r="AK331" s="304"/>
      <c r="AL331" s="304"/>
      <c r="AM331" s="304"/>
      <c r="AN331" s="304"/>
    </row>
    <row r="332" spans="1:59" ht="25.5" customHeight="1" thickBot="1">
      <c r="A332" s="297"/>
      <c r="B332" s="217"/>
      <c r="C332" s="217"/>
      <c r="D332" s="101"/>
      <c r="E332" s="101"/>
      <c r="F332" s="294"/>
      <c r="G332" s="295"/>
      <c r="H332" s="665" t="s">
        <v>612</v>
      </c>
      <c r="I332" s="666"/>
      <c r="J332" s="666"/>
      <c r="K332" s="666"/>
      <c r="L332" s="666"/>
      <c r="M332" s="666"/>
      <c r="N332" s="666"/>
      <c r="O332" s="666"/>
      <c r="P332" s="666"/>
      <c r="Q332" s="666"/>
      <c r="R332" s="666"/>
      <c r="S332" s="666"/>
      <c r="T332" s="667"/>
      <c r="U332" s="247"/>
      <c r="V332" s="247"/>
      <c r="W332" s="102"/>
      <c r="X332" s="102"/>
      <c r="Y332" s="102"/>
      <c r="Z332" s="88"/>
      <c r="AA332" s="615"/>
      <c r="AC332" s="94"/>
      <c r="AD332" s="94"/>
      <c r="AE332" s="94"/>
      <c r="AF332" s="94"/>
      <c r="AG332" s="94"/>
      <c r="AJ332" s="94"/>
      <c r="AK332" s="94"/>
      <c r="AL332" s="94"/>
      <c r="AM332" s="94"/>
      <c r="AN332" s="94"/>
    </row>
    <row r="333" spans="1:59" ht="15" customHeight="1">
      <c r="A333" s="297"/>
      <c r="B333" s="217"/>
      <c r="C333" s="217"/>
      <c r="D333" s="101"/>
      <c r="E333" s="101"/>
      <c r="F333" s="294"/>
      <c r="G333" s="295"/>
      <c r="H333" s="225"/>
      <c r="I333" s="225"/>
      <c r="J333" s="225"/>
      <c r="K333" s="225"/>
      <c r="L333" s="225"/>
      <c r="M333" s="225"/>
      <c r="N333" s="225"/>
      <c r="O333" s="225"/>
      <c r="P333" s="225"/>
      <c r="Q333" s="225"/>
      <c r="R333" s="225"/>
      <c r="S333" s="225"/>
      <c r="T333" s="225"/>
      <c r="U333" s="225"/>
      <c r="V333" s="225"/>
      <c r="W333" s="102"/>
      <c r="X333" s="102"/>
      <c r="Y333" s="102"/>
      <c r="Z333" s="88"/>
      <c r="AA333" s="615"/>
      <c r="AC333" s="93"/>
      <c r="AD333" s="93"/>
      <c r="AE333" s="93"/>
      <c r="AF333" s="93"/>
      <c r="AG333" s="93"/>
      <c r="AJ333" s="93"/>
      <c r="AK333" s="93"/>
      <c r="AL333" s="93"/>
      <c r="AM333" s="93"/>
      <c r="AN333" s="93"/>
    </row>
    <row r="334" spans="1:59" ht="15" customHeight="1">
      <c r="A334" s="555" t="s">
        <v>2373</v>
      </c>
      <c r="B334" s="217" t="str">
        <f t="shared" ref="B334:B343" si="469">LEFT(A334,3)</f>
        <v>100</v>
      </c>
      <c r="C334" s="217" t="str">
        <f t="shared" ref="C334:C343" si="470">MID(A334,5,2)</f>
        <v>13</v>
      </c>
      <c r="D334" s="101" t="str">
        <f t="shared" ref="D334:D343" si="471">MID(A334,8,3)</f>
        <v>131</v>
      </c>
      <c r="E334" s="217" t="str">
        <f t="shared" ref="E334:E343" si="472">LEFT(A334,10)</f>
        <v>100-13-131</v>
      </c>
      <c r="F334" s="294" t="str">
        <f t="shared" ref="F334:F343" si="473">RIGHT(A334,5)</f>
        <v>50101</v>
      </c>
      <c r="G334" s="295" t="str">
        <f>VLOOKUP(F334,'GL Category'!A:C,3,FALSE)</f>
        <v>Personnel services</v>
      </c>
      <c r="H334" s="98" t="str">
        <f>VLOOKUP(F334,'GL Category'!A:C,2,FALSE)</f>
        <v>EXEMPT SALARIES</v>
      </c>
      <c r="I334" s="99">
        <f>SUMIF(Import!$B:$B,$A334,Import!D:D)</f>
        <v>346634.6</v>
      </c>
      <c r="J334" s="99">
        <f>SUMIF(Import!$B:$B,$A334,Import!E:E)</f>
        <v>354357.1</v>
      </c>
      <c r="K334" s="99">
        <f>SUMIF(Import!$B:$B,$A334,Import!F:F)</f>
        <v>481850.25</v>
      </c>
      <c r="L334" s="99">
        <f>SUMIF(Import!$B:$B,$A334,Import!G:G)</f>
        <v>574075.67000000004</v>
      </c>
      <c r="M334" s="99">
        <f>SUMIF(Import!$B:$B,$A334,Import!H:H)</f>
        <v>570486</v>
      </c>
      <c r="N334" s="99">
        <f>SUMIF(Import!$B:$B,$A334,Import!I:I)</f>
        <v>450875.58</v>
      </c>
      <c r="O334" s="99">
        <f>SUMIF(Import!$B:$B,$A334,Import!J:J)</f>
        <v>583088</v>
      </c>
      <c r="P334" s="99">
        <f t="shared" ref="P334:P343" si="474">O334-M334</f>
        <v>12602</v>
      </c>
      <c r="Q334" s="99">
        <f>SUMIF(Import!$B:$B,$A334,Import!K:K)</f>
        <v>593513</v>
      </c>
      <c r="R334" s="99">
        <f>SUMIF(Import!$B:$B,$A334,Import!L:L)</f>
        <v>0</v>
      </c>
      <c r="S334" s="99">
        <f>SUMIF(Import!$B:$B,$A334,Import!M:M)</f>
        <v>0</v>
      </c>
      <c r="T334" s="99">
        <f>SUMIF(Import!$B:$B,$A334,Import!N:N)</f>
        <v>593513</v>
      </c>
      <c r="U334" s="99">
        <f t="shared" ref="U334:U343" si="475">T334-M334</f>
        <v>23027</v>
      </c>
      <c r="V334" s="255">
        <f t="shared" ref="V334:V343" si="476">IF(M334=0,"N/A",T334/M334-1)</f>
        <v>4.0363830137812418E-2</v>
      </c>
      <c r="W334" s="102" t="s">
        <v>2373</v>
      </c>
      <c r="X334" s="102"/>
      <c r="Y334" s="102"/>
      <c r="Z334" s="88"/>
      <c r="AA334" s="615"/>
      <c r="AC334" s="304"/>
      <c r="AD334" s="304"/>
      <c r="AE334" s="304"/>
      <c r="AF334" s="304"/>
      <c r="AG334" s="304"/>
      <c r="AJ334" s="304"/>
      <c r="AK334" s="304"/>
      <c r="AL334" s="304"/>
      <c r="AM334" s="304"/>
      <c r="AN334" s="304"/>
    </row>
    <row r="335" spans="1:59" ht="15" customHeight="1">
      <c r="A335" s="555" t="s">
        <v>2374</v>
      </c>
      <c r="B335" s="217" t="str">
        <f t="shared" si="469"/>
        <v>100</v>
      </c>
      <c r="C335" s="217" t="str">
        <f t="shared" si="470"/>
        <v>13</v>
      </c>
      <c r="D335" s="101" t="str">
        <f t="shared" si="471"/>
        <v>131</v>
      </c>
      <c r="E335" s="217" t="str">
        <f t="shared" si="472"/>
        <v>100-13-131</v>
      </c>
      <c r="F335" s="294" t="str">
        <f t="shared" si="473"/>
        <v>50102</v>
      </c>
      <c r="G335" s="295" t="str">
        <f>VLOOKUP(F335,'GL Category'!A:C,3,FALSE)</f>
        <v>Personnel services</v>
      </c>
      <c r="H335" s="98" t="str">
        <f>VLOOKUP(F335,'GL Category'!A:C,2,FALSE)</f>
        <v>NON EXEMPT SALARIES</v>
      </c>
      <c r="I335" s="99">
        <f>SUMIF(Import!$B:$B,$A335,Import!D:D)</f>
        <v>203096.88</v>
      </c>
      <c r="J335" s="99">
        <f>SUMIF(Import!$B:$B,$A335,Import!E:E)</f>
        <v>151207.07999999999</v>
      </c>
      <c r="K335" s="99">
        <f>SUMIF(Import!$B:$B,$A335,Import!F:F)</f>
        <v>94234.58</v>
      </c>
      <c r="L335" s="99">
        <f>SUMIF(Import!$B:$B,$A335,Import!G:G)</f>
        <v>36488.559999999998</v>
      </c>
      <c r="M335" s="99">
        <f>SUMIF(Import!$B:$B,$A335,Import!H:H)</f>
        <v>47487</v>
      </c>
      <c r="N335" s="99">
        <f>SUMIF(Import!$B:$B,$A335,Import!I:I)</f>
        <v>36381.94</v>
      </c>
      <c r="O335" s="99">
        <f>SUMIF(Import!$B:$B,$A335,Import!J:J)</f>
        <v>47760</v>
      </c>
      <c r="P335" s="99">
        <f t="shared" si="474"/>
        <v>273</v>
      </c>
      <c r="Q335" s="99">
        <f>SUMIF(Import!$B:$B,$A335,Import!K:K)</f>
        <v>49615</v>
      </c>
      <c r="R335" s="99">
        <f>SUMIF(Import!$B:$B,$A335,Import!L:L)</f>
        <v>0</v>
      </c>
      <c r="S335" s="99">
        <f>SUMIF(Import!$B:$B,$A335,Import!M:M)</f>
        <v>0</v>
      </c>
      <c r="T335" s="99">
        <f>SUMIF(Import!$B:$B,$A335,Import!N:N)</f>
        <v>49615</v>
      </c>
      <c r="U335" s="99">
        <f t="shared" si="475"/>
        <v>2128</v>
      </c>
      <c r="V335" s="255">
        <f t="shared" si="476"/>
        <v>4.4812264409206826E-2</v>
      </c>
      <c r="W335" s="102" t="s">
        <v>2374</v>
      </c>
      <c r="X335" s="102"/>
      <c r="Y335" s="102"/>
      <c r="Z335" s="88"/>
      <c r="AA335" s="615"/>
      <c r="AC335" s="94"/>
      <c r="AD335" s="94"/>
      <c r="AE335" s="94"/>
      <c r="AF335" s="94"/>
      <c r="AG335" s="94"/>
      <c r="AJ335" s="94"/>
      <c r="AK335" s="94"/>
      <c r="AL335" s="94"/>
      <c r="AM335" s="94"/>
      <c r="AN335" s="94"/>
    </row>
    <row r="336" spans="1:59" ht="15" customHeight="1">
      <c r="A336" s="555" t="s">
        <v>2375</v>
      </c>
      <c r="B336" s="217" t="str">
        <f t="shared" si="469"/>
        <v>100</v>
      </c>
      <c r="C336" s="217" t="str">
        <f t="shared" si="470"/>
        <v>13</v>
      </c>
      <c r="D336" s="101" t="str">
        <f t="shared" si="471"/>
        <v>131</v>
      </c>
      <c r="E336" s="217" t="str">
        <f t="shared" si="472"/>
        <v>100-13-131</v>
      </c>
      <c r="F336" s="294" t="str">
        <f t="shared" si="473"/>
        <v>50109</v>
      </c>
      <c r="G336" s="295" t="str">
        <f>VLOOKUP(F336,'GL Category'!A:C,3,FALSE)</f>
        <v>Personnel services</v>
      </c>
      <c r="H336" s="98" t="str">
        <f>VLOOKUP(F336,'GL Category'!A:C,2,FALSE)</f>
        <v>OVERTIME</v>
      </c>
      <c r="I336" s="99">
        <f>SUMIF(Import!$B:$B,$A336,Import!D:D)</f>
        <v>1642.36</v>
      </c>
      <c r="J336" s="99">
        <f>SUMIF(Import!$B:$B,$A336,Import!E:E)</f>
        <v>11264.28</v>
      </c>
      <c r="K336" s="99">
        <f>SUMIF(Import!$B:$B,$A336,Import!F:F)</f>
        <v>1826.14</v>
      </c>
      <c r="L336" s="99">
        <f>SUMIF(Import!$B:$B,$A336,Import!G:G)</f>
        <v>279.36</v>
      </c>
      <c r="M336" s="99">
        <f>SUMIF(Import!$B:$B,$A336,Import!H:H)</f>
        <v>3500</v>
      </c>
      <c r="N336" s="99">
        <f>SUMIF(Import!$B:$B,$A336,Import!I:I)</f>
        <v>255</v>
      </c>
      <c r="O336" s="99">
        <f>SUMIF(Import!$B:$B,$A336,Import!J:J)</f>
        <v>197</v>
      </c>
      <c r="P336" s="99">
        <f t="shared" si="474"/>
        <v>-3303</v>
      </c>
      <c r="Q336" s="99">
        <f>SUMIF(Import!$B:$B,$A336,Import!K:K)</f>
        <v>3500</v>
      </c>
      <c r="R336" s="99">
        <f>SUMIF(Import!$B:$B,$A336,Import!L:L)</f>
        <v>0</v>
      </c>
      <c r="S336" s="99">
        <f>SUMIF(Import!$B:$B,$A336,Import!M:M)</f>
        <v>0</v>
      </c>
      <c r="T336" s="99">
        <f>SUMIF(Import!$B:$B,$A336,Import!N:N)</f>
        <v>3500</v>
      </c>
      <c r="U336" s="99">
        <f t="shared" si="475"/>
        <v>0</v>
      </c>
      <c r="V336" s="255">
        <f t="shared" si="476"/>
        <v>0</v>
      </c>
      <c r="W336" s="102" t="s">
        <v>2375</v>
      </c>
      <c r="X336" s="102"/>
      <c r="Y336" s="102"/>
      <c r="Z336" s="88"/>
      <c r="AA336" s="615"/>
      <c r="AC336" s="93"/>
      <c r="AD336" s="93"/>
      <c r="AE336" s="93"/>
      <c r="AF336" s="93"/>
      <c r="AG336" s="93"/>
      <c r="AJ336" s="93"/>
      <c r="AK336" s="93"/>
      <c r="AL336" s="93"/>
      <c r="AM336" s="93"/>
      <c r="AN336" s="93"/>
    </row>
    <row r="337" spans="1:43" ht="15" customHeight="1">
      <c r="A337" s="555" t="s">
        <v>2376</v>
      </c>
      <c r="B337" s="217" t="str">
        <f t="shared" si="469"/>
        <v>100</v>
      </c>
      <c r="C337" s="217" t="str">
        <f t="shared" si="470"/>
        <v>13</v>
      </c>
      <c r="D337" s="101" t="str">
        <f t="shared" si="471"/>
        <v>131</v>
      </c>
      <c r="E337" s="217" t="str">
        <f t="shared" si="472"/>
        <v>100-13-131</v>
      </c>
      <c r="F337" s="294" t="str">
        <f t="shared" si="473"/>
        <v>50110</v>
      </c>
      <c r="G337" s="295" t="str">
        <f>VLOOKUP(F337,'GL Category'!A:C,3,FALSE)</f>
        <v>Personnel services</v>
      </c>
      <c r="H337" s="98" t="str">
        <f>VLOOKUP(F337,'GL Category'!A:C,2,FALSE)</f>
        <v>PART-TIME WAGES</v>
      </c>
      <c r="I337" s="99">
        <f>SUMIF(Import!$B:$B,$A337,Import!D:D)</f>
        <v>0</v>
      </c>
      <c r="J337" s="99">
        <f>SUMIF(Import!$B:$B,$A337,Import!E:E)</f>
        <v>0</v>
      </c>
      <c r="K337" s="99">
        <f>SUMIF(Import!$B:$B,$A337,Import!F:F)</f>
        <v>0</v>
      </c>
      <c r="L337" s="99">
        <f>SUMIF(Import!$B:$B,$A337,Import!G:G)</f>
        <v>0</v>
      </c>
      <c r="M337" s="99">
        <f>SUMIF(Import!$B:$B,$A337,Import!H:H)</f>
        <v>0</v>
      </c>
      <c r="N337" s="99">
        <f>SUMIF(Import!$B:$B,$A337,Import!I:I)</f>
        <v>0</v>
      </c>
      <c r="O337" s="99">
        <f>SUMIF(Import!$B:$B,$A337,Import!J:J)</f>
        <v>0</v>
      </c>
      <c r="P337" s="99">
        <f t="shared" si="474"/>
        <v>0</v>
      </c>
      <c r="Q337" s="99">
        <f>SUMIF(Import!$B:$B,$A337,Import!K:K)</f>
        <v>0</v>
      </c>
      <c r="R337" s="99">
        <f>SUMIF(Import!$B:$B,$A337,Import!L:L)</f>
        <v>0</v>
      </c>
      <c r="S337" s="99">
        <f>SUMIF(Import!$B:$B,$A337,Import!M:M)</f>
        <v>0</v>
      </c>
      <c r="T337" s="99">
        <f>SUMIF(Import!$B:$B,$A337,Import!N:N)</f>
        <v>0</v>
      </c>
      <c r="U337" s="99">
        <f t="shared" si="475"/>
        <v>0</v>
      </c>
      <c r="V337" s="255" t="str">
        <f t="shared" si="476"/>
        <v>N/A</v>
      </c>
      <c r="W337" s="102" t="s">
        <v>2376</v>
      </c>
      <c r="X337" s="102"/>
      <c r="Y337" s="102"/>
      <c r="Z337" s="88"/>
      <c r="AA337" s="615"/>
      <c r="AC337" s="93"/>
      <c r="AD337" s="93"/>
      <c r="AE337" s="93"/>
      <c r="AF337" s="93"/>
      <c r="AG337" s="93"/>
      <c r="AJ337" s="93"/>
      <c r="AK337" s="93"/>
      <c r="AL337" s="93"/>
      <c r="AM337" s="93"/>
      <c r="AN337" s="93"/>
    </row>
    <row r="338" spans="1:43" ht="15" customHeight="1">
      <c r="A338" s="555" t="s">
        <v>2377</v>
      </c>
      <c r="B338" s="217" t="str">
        <f t="shared" si="469"/>
        <v>100</v>
      </c>
      <c r="C338" s="217" t="str">
        <f t="shared" si="470"/>
        <v>13</v>
      </c>
      <c r="D338" s="101" t="str">
        <f t="shared" si="471"/>
        <v>131</v>
      </c>
      <c r="E338" s="217" t="str">
        <f t="shared" si="472"/>
        <v>100-13-131</v>
      </c>
      <c r="F338" s="294" t="str">
        <f t="shared" si="473"/>
        <v>50111</v>
      </c>
      <c r="G338" s="295" t="str">
        <f>VLOOKUP(F338,'GL Category'!A:C,3,FALSE)</f>
        <v>Personnel services</v>
      </c>
      <c r="H338" s="98" t="str">
        <f>VLOOKUP(F338,'GL Category'!A:C,2,FALSE)</f>
        <v>LONGEVITY PAY</v>
      </c>
      <c r="I338" s="99">
        <f>SUMIF(Import!$B:$B,$A338,Import!D:D)</f>
        <v>4955</v>
      </c>
      <c r="J338" s="99">
        <f>SUMIF(Import!$B:$B,$A338,Import!E:E)</f>
        <v>5110</v>
      </c>
      <c r="K338" s="99">
        <f>SUMIF(Import!$B:$B,$A338,Import!F:F)</f>
        <v>5350</v>
      </c>
      <c r="L338" s="99">
        <f>SUMIF(Import!$B:$B,$A338,Import!G:G)</f>
        <v>4425</v>
      </c>
      <c r="M338" s="99">
        <f>SUMIF(Import!$B:$B,$A338,Import!H:H)</f>
        <v>4124</v>
      </c>
      <c r="N338" s="99">
        <f>SUMIF(Import!$B:$B,$A338,Import!I:I)</f>
        <v>3800</v>
      </c>
      <c r="O338" s="99">
        <f>SUMIF(Import!$B:$B,$A338,Import!J:J)</f>
        <v>3800</v>
      </c>
      <c r="P338" s="99">
        <f t="shared" si="474"/>
        <v>-324</v>
      </c>
      <c r="Q338" s="99">
        <f>SUMIF(Import!$B:$B,$A338,Import!K:K)</f>
        <v>4551</v>
      </c>
      <c r="R338" s="99">
        <f>SUMIF(Import!$B:$B,$A338,Import!L:L)</f>
        <v>0</v>
      </c>
      <c r="S338" s="99">
        <f>SUMIF(Import!$B:$B,$A338,Import!M:M)</f>
        <v>0</v>
      </c>
      <c r="T338" s="99">
        <f>SUMIF(Import!$B:$B,$A338,Import!N:N)</f>
        <v>4551</v>
      </c>
      <c r="U338" s="99">
        <f t="shared" si="475"/>
        <v>427</v>
      </c>
      <c r="V338" s="255">
        <f t="shared" si="476"/>
        <v>0.10354025218234719</v>
      </c>
      <c r="W338" s="102" t="s">
        <v>2377</v>
      </c>
      <c r="X338" s="102"/>
      <c r="Y338" s="102"/>
      <c r="Z338" s="88"/>
      <c r="AA338" s="615"/>
    </row>
    <row r="339" spans="1:43" ht="15" customHeight="1">
      <c r="A339" s="555" t="s">
        <v>2378</v>
      </c>
      <c r="B339" s="217" t="str">
        <f t="shared" si="469"/>
        <v>100</v>
      </c>
      <c r="C339" s="217" t="str">
        <f t="shared" si="470"/>
        <v>13</v>
      </c>
      <c r="D339" s="101" t="str">
        <f t="shared" si="471"/>
        <v>131</v>
      </c>
      <c r="E339" s="217" t="str">
        <f t="shared" si="472"/>
        <v>100-13-131</v>
      </c>
      <c r="F339" s="294" t="str">
        <f t="shared" si="473"/>
        <v>50112</v>
      </c>
      <c r="G339" s="295" t="str">
        <f>VLOOKUP(F339,'GL Category'!A:C,3,FALSE)</f>
        <v>Personnel services</v>
      </c>
      <c r="H339" s="98" t="str">
        <f>VLOOKUP(F339,'GL Category'!A:C,2,FALSE)</f>
        <v>TEMPORARY/SEASONAL WAGES</v>
      </c>
      <c r="I339" s="99">
        <f>SUMIF(Import!$B:$B,$A339,Import!D:D)</f>
        <v>0</v>
      </c>
      <c r="J339" s="99">
        <f>SUMIF(Import!$B:$B,$A339,Import!E:E)</f>
        <v>0</v>
      </c>
      <c r="K339" s="99">
        <f>SUMIF(Import!$B:$B,$A339,Import!F:F)</f>
        <v>0</v>
      </c>
      <c r="L339" s="99">
        <f>SUMIF(Import!$B:$B,$A339,Import!G:G)</f>
        <v>0</v>
      </c>
      <c r="M339" s="99">
        <f>SUMIF(Import!$B:$B,$A339,Import!H:H)</f>
        <v>0</v>
      </c>
      <c r="N339" s="99">
        <f>SUMIF(Import!$B:$B,$A339,Import!I:I)</f>
        <v>0</v>
      </c>
      <c r="O339" s="99">
        <f>SUMIF(Import!$B:$B,$A339,Import!J:J)</f>
        <v>0</v>
      </c>
      <c r="P339" s="99">
        <f t="shared" si="474"/>
        <v>0</v>
      </c>
      <c r="Q339" s="99">
        <f>SUMIF(Import!$B:$B,$A339,Import!K:K)</f>
        <v>0</v>
      </c>
      <c r="R339" s="99">
        <f>SUMIF(Import!$B:$B,$A339,Import!L:L)</f>
        <v>0</v>
      </c>
      <c r="S339" s="99">
        <f>SUMIF(Import!$B:$B,$A339,Import!M:M)</f>
        <v>0</v>
      </c>
      <c r="T339" s="99">
        <f>SUMIF(Import!$B:$B,$A339,Import!N:N)</f>
        <v>0</v>
      </c>
      <c r="U339" s="99">
        <f t="shared" si="475"/>
        <v>0</v>
      </c>
      <c r="V339" s="255" t="str">
        <f t="shared" si="476"/>
        <v>N/A</v>
      </c>
      <c r="W339" s="102" t="s">
        <v>2378</v>
      </c>
      <c r="X339" s="102"/>
      <c r="Y339" s="102"/>
      <c r="Z339" s="88"/>
      <c r="AA339" s="615"/>
    </row>
    <row r="340" spans="1:43" ht="15" customHeight="1">
      <c r="A340" s="555" t="s">
        <v>2379</v>
      </c>
      <c r="B340" s="217" t="str">
        <f t="shared" si="469"/>
        <v>100</v>
      </c>
      <c r="C340" s="217" t="str">
        <f t="shared" si="470"/>
        <v>13</v>
      </c>
      <c r="D340" s="101" t="str">
        <f t="shared" si="471"/>
        <v>131</v>
      </c>
      <c r="E340" s="217" t="str">
        <f t="shared" si="472"/>
        <v>100-13-131</v>
      </c>
      <c r="F340" s="294" t="str">
        <f t="shared" si="473"/>
        <v>50610</v>
      </c>
      <c r="G340" s="295" t="str">
        <f>VLOOKUP(F340,'GL Category'!A:C,3,FALSE)</f>
        <v>Personnel services</v>
      </c>
      <c r="H340" s="98" t="str">
        <f>VLOOKUP(F340,'GL Category'!A:C,2,FALSE)</f>
        <v>SOCIAL SECURITY</v>
      </c>
      <c r="I340" s="99">
        <f>SUMIF(Import!$B:$B,$A340,Import!D:D)</f>
        <v>41014.54</v>
      </c>
      <c r="J340" s="99">
        <f>SUMIF(Import!$B:$B,$A340,Import!E:E)</f>
        <v>39841.01</v>
      </c>
      <c r="K340" s="99">
        <f>SUMIF(Import!$B:$B,$A340,Import!F:F)</f>
        <v>40424.47</v>
      </c>
      <c r="L340" s="99">
        <f>SUMIF(Import!$B:$B,$A340,Import!G:G)</f>
        <v>44690.37</v>
      </c>
      <c r="M340" s="99">
        <f>SUMIF(Import!$B:$B,$A340,Import!H:H)</f>
        <v>46520</v>
      </c>
      <c r="N340" s="99">
        <f>SUMIF(Import!$B:$B,$A340,Import!I:I)</f>
        <v>36342.089999999997</v>
      </c>
      <c r="O340" s="99">
        <f>SUMIF(Import!$B:$B,$A340,Import!J:J)</f>
        <v>46882</v>
      </c>
      <c r="P340" s="99">
        <f t="shared" si="474"/>
        <v>362</v>
      </c>
      <c r="Q340" s="99">
        <f>SUMIF(Import!$B:$B,$A340,Import!K:K)</f>
        <v>48200</v>
      </c>
      <c r="R340" s="99">
        <f>SUMIF(Import!$B:$B,$A340,Import!L:L)</f>
        <v>0</v>
      </c>
      <c r="S340" s="99">
        <f>SUMIF(Import!$B:$B,$A340,Import!M:M)</f>
        <v>0</v>
      </c>
      <c r="T340" s="99">
        <f>SUMIF(Import!$B:$B,$A340,Import!N:N)</f>
        <v>48200</v>
      </c>
      <c r="U340" s="99">
        <f t="shared" si="475"/>
        <v>1680</v>
      </c>
      <c r="V340" s="255">
        <f t="shared" si="476"/>
        <v>3.6113499570077368E-2</v>
      </c>
      <c r="W340" s="102" t="s">
        <v>2379</v>
      </c>
      <c r="X340" s="102"/>
      <c r="Y340" s="102"/>
      <c r="Z340" s="88"/>
      <c r="AA340" s="615"/>
      <c r="AC340" s="304"/>
      <c r="AD340" s="304"/>
      <c r="AE340" s="304"/>
      <c r="AF340" s="304"/>
      <c r="AG340" s="304"/>
      <c r="AJ340" s="304"/>
      <c r="AK340" s="304"/>
      <c r="AL340" s="304"/>
      <c r="AM340" s="304"/>
      <c r="AN340" s="304"/>
    </row>
    <row r="341" spans="1:43" ht="15" customHeight="1">
      <c r="A341" s="555" t="s">
        <v>2380</v>
      </c>
      <c r="B341" s="217" t="str">
        <f t="shared" si="469"/>
        <v>100</v>
      </c>
      <c r="C341" s="217" t="str">
        <f t="shared" si="470"/>
        <v>13</v>
      </c>
      <c r="D341" s="101" t="str">
        <f t="shared" si="471"/>
        <v>131</v>
      </c>
      <c r="E341" s="217" t="str">
        <f t="shared" si="472"/>
        <v>100-13-131</v>
      </c>
      <c r="F341" s="294" t="str">
        <f t="shared" si="473"/>
        <v>50620</v>
      </c>
      <c r="G341" s="295" t="str">
        <f>VLOOKUP(F341,'GL Category'!A:C,3,FALSE)</f>
        <v>Personnel services</v>
      </c>
      <c r="H341" s="98" t="str">
        <f>VLOOKUP(F341,'GL Category'!A:C,2,FALSE)</f>
        <v>HEALTH/LIFE INSURANCE</v>
      </c>
      <c r="I341" s="99">
        <f>SUMIF(Import!$B:$B,$A341,Import!D:D)</f>
        <v>83716.539999999994</v>
      </c>
      <c r="J341" s="99">
        <f>SUMIF(Import!$B:$B,$A341,Import!E:E)</f>
        <v>84189.6</v>
      </c>
      <c r="K341" s="99">
        <f>SUMIF(Import!$B:$B,$A341,Import!F:F)</f>
        <v>101689.97</v>
      </c>
      <c r="L341" s="99">
        <f>SUMIF(Import!$B:$B,$A341,Import!G:G)</f>
        <v>112953.14</v>
      </c>
      <c r="M341" s="99">
        <f>SUMIF(Import!$B:$B,$A341,Import!H:H)</f>
        <v>112611</v>
      </c>
      <c r="N341" s="99">
        <f>SUMIF(Import!$B:$B,$A341,Import!I:I)</f>
        <v>85907.24</v>
      </c>
      <c r="O341" s="99">
        <f>SUMIF(Import!$B:$B,$A341,Import!J:J)</f>
        <v>115506</v>
      </c>
      <c r="P341" s="99">
        <f t="shared" si="474"/>
        <v>2895</v>
      </c>
      <c r="Q341" s="99">
        <f>SUMIF(Import!$B:$B,$A341,Import!K:K)</f>
        <v>112996</v>
      </c>
      <c r="R341" s="99">
        <f>SUMIF(Import!$B:$B,$A341,Import!L:L)</f>
        <v>0</v>
      </c>
      <c r="S341" s="99">
        <f>SUMIF(Import!$B:$B,$A341,Import!M:M)</f>
        <v>0</v>
      </c>
      <c r="T341" s="99">
        <f>SUMIF(Import!$B:$B,$A341,Import!N:N)</f>
        <v>112996</v>
      </c>
      <c r="U341" s="99">
        <f t="shared" si="475"/>
        <v>385</v>
      </c>
      <c r="V341" s="255">
        <f t="shared" si="476"/>
        <v>3.4188489579169978E-3</v>
      </c>
      <c r="W341" s="102" t="s">
        <v>2380</v>
      </c>
      <c r="X341" s="102"/>
      <c r="Y341" s="102"/>
      <c r="Z341" s="88"/>
      <c r="AA341" s="615"/>
      <c r="AC341" s="304"/>
      <c r="AD341" s="304"/>
      <c r="AE341" s="304"/>
      <c r="AF341" s="304"/>
      <c r="AG341" s="304"/>
      <c r="AJ341" s="304"/>
      <c r="AK341" s="304"/>
      <c r="AL341" s="304"/>
      <c r="AM341" s="304"/>
      <c r="AN341" s="304"/>
    </row>
    <row r="342" spans="1:43" ht="15" customHeight="1">
      <c r="A342" s="555" t="s">
        <v>2381</v>
      </c>
      <c r="B342" s="217" t="str">
        <f t="shared" si="469"/>
        <v>100</v>
      </c>
      <c r="C342" s="217" t="str">
        <f t="shared" si="470"/>
        <v>13</v>
      </c>
      <c r="D342" s="101" t="str">
        <f t="shared" si="471"/>
        <v>131</v>
      </c>
      <c r="E342" s="217" t="str">
        <f t="shared" si="472"/>
        <v>100-13-131</v>
      </c>
      <c r="F342" s="294" t="str">
        <f t="shared" si="473"/>
        <v>50630</v>
      </c>
      <c r="G342" s="295" t="str">
        <f>VLOOKUP(F342,'GL Category'!A:C,3,FALSE)</f>
        <v>Personnel services</v>
      </c>
      <c r="H342" s="98" t="str">
        <f>VLOOKUP(F342,'GL Category'!A:C,2,FALSE)</f>
        <v>WORKER COMPENSATION</v>
      </c>
      <c r="I342" s="99">
        <f>SUMIF(Import!$B:$B,$A342,Import!D:D)</f>
        <v>373.81</v>
      </c>
      <c r="J342" s="99">
        <f>SUMIF(Import!$B:$B,$A342,Import!E:E)</f>
        <v>343.22</v>
      </c>
      <c r="K342" s="99">
        <f>SUMIF(Import!$B:$B,$A342,Import!F:F)</f>
        <v>264.81</v>
      </c>
      <c r="L342" s="99">
        <f>SUMIF(Import!$B:$B,$A342,Import!G:G)</f>
        <v>691.87</v>
      </c>
      <c r="M342" s="99">
        <f>SUMIF(Import!$B:$B,$A342,Import!H:H)</f>
        <v>897</v>
      </c>
      <c r="N342" s="99">
        <f>SUMIF(Import!$B:$B,$A342,Import!I:I)</f>
        <v>896.26</v>
      </c>
      <c r="O342" s="99">
        <f>SUMIF(Import!$B:$B,$A342,Import!J:J)</f>
        <v>896</v>
      </c>
      <c r="P342" s="99">
        <f t="shared" si="474"/>
        <v>-1</v>
      </c>
      <c r="Q342" s="99">
        <f>SUMIF(Import!$B:$B,$A342,Import!K:K)</f>
        <v>910</v>
      </c>
      <c r="R342" s="99">
        <f>SUMIF(Import!$B:$B,$A342,Import!L:L)</f>
        <v>0</v>
      </c>
      <c r="S342" s="99">
        <f>SUMIF(Import!$B:$B,$A342,Import!M:M)</f>
        <v>0</v>
      </c>
      <c r="T342" s="99">
        <f>SUMIF(Import!$B:$B,$A342,Import!N:N)</f>
        <v>910</v>
      </c>
      <c r="U342" s="99">
        <f t="shared" si="475"/>
        <v>13</v>
      </c>
      <c r="V342" s="255">
        <f t="shared" si="476"/>
        <v>1.449275362318847E-2</v>
      </c>
      <c r="W342" s="102" t="s">
        <v>2381</v>
      </c>
      <c r="X342" s="102"/>
      <c r="Y342" s="102"/>
      <c r="Z342" s="88"/>
      <c r="AA342" s="615"/>
      <c r="AC342" s="304"/>
      <c r="AD342" s="304"/>
      <c r="AE342" s="304"/>
      <c r="AF342" s="304"/>
      <c r="AG342" s="304"/>
      <c r="AJ342" s="304"/>
      <c r="AK342" s="304"/>
      <c r="AL342" s="304"/>
      <c r="AM342" s="304"/>
      <c r="AN342" s="304"/>
    </row>
    <row r="343" spans="1:43" ht="15" customHeight="1">
      <c r="A343" s="555" t="s">
        <v>2382</v>
      </c>
      <c r="B343" s="217" t="str">
        <f t="shared" si="469"/>
        <v>100</v>
      </c>
      <c r="C343" s="217" t="str">
        <f t="shared" si="470"/>
        <v>13</v>
      </c>
      <c r="D343" s="101" t="str">
        <f t="shared" si="471"/>
        <v>131</v>
      </c>
      <c r="E343" s="217" t="str">
        <f t="shared" si="472"/>
        <v>100-13-131</v>
      </c>
      <c r="F343" s="294" t="str">
        <f t="shared" si="473"/>
        <v>50650</v>
      </c>
      <c r="G343" s="295" t="str">
        <f>VLOOKUP(F343,'GL Category'!A:C,3,FALSE)</f>
        <v>Personnel services</v>
      </c>
      <c r="H343" s="98" t="str">
        <f>VLOOKUP(F343,'GL Category'!A:C,2,FALSE)</f>
        <v>RETIREMENT</v>
      </c>
      <c r="I343" s="99">
        <f>SUMIF(Import!$B:$B,$A343,Import!D:D)</f>
        <v>87583.51</v>
      </c>
      <c r="J343" s="99">
        <f>SUMIF(Import!$B:$B,$A343,Import!E:E)</f>
        <v>88131.99</v>
      </c>
      <c r="K343" s="99">
        <f>SUMIF(Import!$B:$B,$A343,Import!F:F)</f>
        <v>90638.56</v>
      </c>
      <c r="L343" s="99">
        <f>SUMIF(Import!$B:$B,$A343,Import!G:G)</f>
        <v>99686.13</v>
      </c>
      <c r="M343" s="99">
        <f>SUMIF(Import!$B:$B,$A343,Import!H:H)</f>
        <v>103816</v>
      </c>
      <c r="N343" s="99">
        <f>SUMIF(Import!$B:$B,$A343,Import!I:I)</f>
        <v>81852.710000000006</v>
      </c>
      <c r="O343" s="99">
        <f>SUMIF(Import!$B:$B,$A343,Import!J:J)</f>
        <v>106236</v>
      </c>
      <c r="P343" s="99">
        <f t="shared" si="474"/>
        <v>2420</v>
      </c>
      <c r="Q343" s="99">
        <f>SUMIF(Import!$B:$B,$A343,Import!K:K)</f>
        <v>111880</v>
      </c>
      <c r="R343" s="99">
        <f>SUMIF(Import!$B:$B,$A343,Import!L:L)</f>
        <v>0</v>
      </c>
      <c r="S343" s="99">
        <f>SUMIF(Import!$B:$B,$A343,Import!M:M)</f>
        <v>0</v>
      </c>
      <c r="T343" s="99">
        <f>SUMIF(Import!$B:$B,$A343,Import!N:N)</f>
        <v>111880</v>
      </c>
      <c r="U343" s="99">
        <f t="shared" si="475"/>
        <v>8064</v>
      </c>
      <c r="V343" s="255">
        <f t="shared" si="476"/>
        <v>7.7675888109732583E-2</v>
      </c>
      <c r="W343" s="102" t="s">
        <v>2382</v>
      </c>
      <c r="X343" s="102"/>
      <c r="Y343" s="102"/>
      <c r="Z343" s="88"/>
      <c r="AA343" s="615"/>
      <c r="AC343" s="304"/>
      <c r="AD343" s="304"/>
      <c r="AE343" s="304"/>
      <c r="AF343" s="304"/>
      <c r="AG343" s="304"/>
      <c r="AJ343" s="304"/>
      <c r="AK343" s="304"/>
      <c r="AL343" s="304"/>
      <c r="AM343" s="304"/>
      <c r="AN343" s="304"/>
    </row>
    <row r="344" spans="1:43" ht="15" customHeight="1">
      <c r="A344" s="297"/>
      <c r="B344" s="217"/>
      <c r="C344" s="217"/>
      <c r="D344" s="101"/>
      <c r="E344" s="101"/>
      <c r="F344" s="294"/>
      <c r="G344" s="295"/>
      <c r="H344" s="107" t="str">
        <f>UPPER(G343)&amp;" TOTAL"</f>
        <v>PERSONNEL SERVICES TOTAL</v>
      </c>
      <c r="I344" s="108">
        <f t="shared" ref="I344" si="477">SUBTOTAL(9,I334:I343)</f>
        <v>769017.24000000011</v>
      </c>
      <c r="J344" s="108">
        <f t="shared" ref="J344:P344" si="478">SUBTOTAL(9,J334:J343)</f>
        <v>734444.27999999991</v>
      </c>
      <c r="K344" s="108">
        <f t="shared" ref="K344" si="479">SUBTOTAL(9,K334:K343)</f>
        <v>816278.78</v>
      </c>
      <c r="L344" s="108">
        <f t="shared" ref="L344" si="480">SUBTOTAL(9,L334:L343)</f>
        <v>873290.1</v>
      </c>
      <c r="M344" s="108">
        <f t="shared" si="478"/>
        <v>889441</v>
      </c>
      <c r="N344" s="109">
        <f t="shared" ref="N344" si="481">SUBTOTAL(9,N334:N343)</f>
        <v>696310.82</v>
      </c>
      <c r="O344" s="109">
        <f t="shared" si="478"/>
        <v>904365</v>
      </c>
      <c r="P344" s="109">
        <f t="shared" si="478"/>
        <v>14924</v>
      </c>
      <c r="Q344" s="109">
        <f t="shared" ref="Q344:T344" si="482">SUBTOTAL(9,Q334:Q343)</f>
        <v>925165</v>
      </c>
      <c r="R344" s="109">
        <f t="shared" si="482"/>
        <v>0</v>
      </c>
      <c r="S344" s="109">
        <f t="shared" si="482"/>
        <v>0</v>
      </c>
      <c r="T344" s="109">
        <f t="shared" si="482"/>
        <v>925165</v>
      </c>
      <c r="U344" s="99">
        <f>T344-M344</f>
        <v>35724</v>
      </c>
      <c r="V344" s="255">
        <f>IF(M344=0,"N/A",T344/M344-1)</f>
        <v>4.0164552792147035E-2</v>
      </c>
      <c r="W344" s="102"/>
      <c r="X344" s="102"/>
      <c r="Y344" s="102"/>
      <c r="Z344" s="88"/>
      <c r="AA344" s="615"/>
      <c r="AC344" s="304"/>
      <c r="AD344" s="304"/>
      <c r="AE344" s="304"/>
      <c r="AF344" s="304"/>
      <c r="AG344" s="304"/>
      <c r="AJ344" s="304"/>
      <c r="AK344" s="304"/>
      <c r="AL344" s="304"/>
      <c r="AM344" s="304"/>
      <c r="AN344" s="304"/>
    </row>
    <row r="345" spans="1:43" ht="15" customHeight="1">
      <c r="A345" s="297"/>
      <c r="B345" s="217"/>
      <c r="C345" s="217"/>
      <c r="D345" s="101"/>
      <c r="E345" s="101"/>
      <c r="F345" s="294"/>
      <c r="G345" s="295"/>
      <c r="H345" s="98"/>
      <c r="I345" s="106"/>
      <c r="J345" s="106"/>
      <c r="K345" s="106"/>
      <c r="L345" s="106"/>
      <c r="M345" s="106"/>
      <c r="N345" s="112"/>
      <c r="O345" s="112"/>
      <c r="P345" s="112"/>
      <c r="Q345" s="113"/>
      <c r="R345" s="113"/>
      <c r="S345" s="113"/>
      <c r="T345" s="113"/>
      <c r="U345" s="113"/>
      <c r="V345" s="113"/>
      <c r="W345" s="102"/>
      <c r="X345" s="102"/>
      <c r="Y345" s="102"/>
      <c r="Z345" s="88"/>
      <c r="AA345" s="615"/>
      <c r="AC345" s="304"/>
      <c r="AD345" s="304"/>
      <c r="AE345" s="304"/>
      <c r="AF345" s="304"/>
      <c r="AG345" s="304"/>
      <c r="AJ345" s="304"/>
      <c r="AK345" s="304"/>
      <c r="AL345" s="304"/>
      <c r="AM345" s="304"/>
      <c r="AN345" s="304"/>
    </row>
    <row r="346" spans="1:43" ht="15" customHeight="1">
      <c r="A346" s="555" t="s">
        <v>2383</v>
      </c>
      <c r="B346" s="217" t="str">
        <f t="shared" ref="B346:B347" si="483">LEFT(A346,3)</f>
        <v>100</v>
      </c>
      <c r="C346" s="217" t="str">
        <f t="shared" ref="C346:C347" si="484">MID(A346,5,2)</f>
        <v>13</v>
      </c>
      <c r="D346" s="101" t="str">
        <f t="shared" ref="D346:D347" si="485">MID(A346,8,3)</f>
        <v>131</v>
      </c>
      <c r="E346" s="217" t="str">
        <f t="shared" ref="E346:E347" si="486">LEFT(A346,10)</f>
        <v>100-13-131</v>
      </c>
      <c r="F346" s="294" t="str">
        <f t="shared" ref="F346:F347" si="487">RIGHT(A346,5)</f>
        <v>51210</v>
      </c>
      <c r="G346" s="295" t="str">
        <f>VLOOKUP(F346,'GL Category'!A:C,3,FALSE)</f>
        <v>Operations &amp; maintenance</v>
      </c>
      <c r="H346" s="98" t="str">
        <f>VLOOKUP(F346,'GL Category'!A:C,2,FALSE)</f>
        <v>OFFICE SUPPLIES</v>
      </c>
      <c r="I346" s="99">
        <f>SUMIF(Import!$B:$B,$A346,Import!D:D)</f>
        <v>1363.94</v>
      </c>
      <c r="J346" s="99">
        <f>SUMIF(Import!$B:$B,$A346,Import!E:E)</f>
        <v>1845.95</v>
      </c>
      <c r="K346" s="99">
        <f>SUMIF(Import!$B:$B,$A346,Import!F:F)</f>
        <v>1921.11</v>
      </c>
      <c r="L346" s="99">
        <f>SUMIF(Import!$B:$B,$A346,Import!G:G)</f>
        <v>1810.79</v>
      </c>
      <c r="M346" s="99">
        <f>SUMIF(Import!$B:$B,$A346,Import!H:H)</f>
        <v>2200</v>
      </c>
      <c r="N346" s="99">
        <f>SUMIF(Import!$B:$B,$A346,Import!I:I)</f>
        <v>1039.04</v>
      </c>
      <c r="O346" s="99">
        <f>SUMIF(Import!$B:$B,$A346,Import!J:J)</f>
        <v>2100</v>
      </c>
      <c r="P346" s="99">
        <f t="shared" ref="P346:P347" si="488">O346-M346</f>
        <v>-100</v>
      </c>
      <c r="Q346" s="99">
        <f>SUMIF(Import!$B:$B,$A346,Import!K:K)</f>
        <v>2100</v>
      </c>
      <c r="R346" s="99">
        <f>SUMIF(Import!$B:$B,$A346,Import!L:L)</f>
        <v>0</v>
      </c>
      <c r="S346" s="99">
        <f>SUMIF(Import!$B:$B,$A346,Import!M:M)</f>
        <v>0</v>
      </c>
      <c r="T346" s="99">
        <f>SUMIF(Import!$B:$B,$A346,Import!N:N)</f>
        <v>2100</v>
      </c>
      <c r="U346" s="99">
        <f t="shared" ref="U346:U347" si="489">T346-M346</f>
        <v>-100</v>
      </c>
      <c r="V346" s="255">
        <f t="shared" ref="V346:V347" si="490">IF(M346=0,"N/A",T346/M346-1)</f>
        <v>-4.5454545454545414E-2</v>
      </c>
      <c r="W346" s="102" t="s">
        <v>2383</v>
      </c>
      <c r="X346" s="102"/>
      <c r="Y346" s="102"/>
      <c r="Z346" s="88"/>
      <c r="AA346" s="615"/>
      <c r="AC346" s="304"/>
      <c r="AD346" s="304"/>
      <c r="AE346" s="304"/>
      <c r="AF346" s="304"/>
      <c r="AG346" s="304"/>
      <c r="AJ346" s="304"/>
      <c r="AK346" s="304"/>
      <c r="AL346" s="304"/>
      <c r="AM346" s="304"/>
      <c r="AN346" s="304"/>
    </row>
    <row r="347" spans="1:43" s="115" customFormat="1" ht="15" customHeight="1">
      <c r="A347" s="555" t="s">
        <v>2384</v>
      </c>
      <c r="B347" s="217" t="str">
        <f t="shared" si="483"/>
        <v>100</v>
      </c>
      <c r="C347" s="217" t="str">
        <f t="shared" si="484"/>
        <v>13</v>
      </c>
      <c r="D347" s="101" t="str">
        <f t="shared" si="485"/>
        <v>131</v>
      </c>
      <c r="E347" s="217" t="str">
        <f t="shared" si="486"/>
        <v>100-13-131</v>
      </c>
      <c r="F347" s="294" t="str">
        <f t="shared" si="487"/>
        <v>51285</v>
      </c>
      <c r="G347" s="295" t="str">
        <f>VLOOKUP(F347,'GL Category'!A:C,3,FALSE)</f>
        <v>Operations &amp; maintenance</v>
      </c>
      <c r="H347" s="98" t="str">
        <f>VLOOKUP(F347,'GL Category'!A:C,2,FALSE)</f>
        <v>WEARING APPAREL</v>
      </c>
      <c r="I347" s="99">
        <f>SUMIF(Import!$B:$B,$A347,Import!D:D)</f>
        <v>404.21</v>
      </c>
      <c r="J347" s="99">
        <f>SUMIF(Import!$B:$B,$A347,Import!E:E)</f>
        <v>613.53</v>
      </c>
      <c r="K347" s="99">
        <f>SUMIF(Import!$B:$B,$A347,Import!F:F)</f>
        <v>333.21</v>
      </c>
      <c r="L347" s="99">
        <f>SUMIF(Import!$B:$B,$A347,Import!G:G)</f>
        <v>638.67999999999995</v>
      </c>
      <c r="M347" s="99">
        <f>SUMIF(Import!$B:$B,$A347,Import!H:H)</f>
        <v>600</v>
      </c>
      <c r="N347" s="99">
        <f>SUMIF(Import!$B:$B,$A347,Import!I:I)</f>
        <v>0</v>
      </c>
      <c r="O347" s="99">
        <f>SUMIF(Import!$B:$B,$A347,Import!J:J)</f>
        <v>700</v>
      </c>
      <c r="P347" s="99">
        <f t="shared" si="488"/>
        <v>100</v>
      </c>
      <c r="Q347" s="99">
        <f>SUMIF(Import!$B:$B,$A347,Import!K:K)</f>
        <v>700</v>
      </c>
      <c r="R347" s="99">
        <f>SUMIF(Import!$B:$B,$A347,Import!L:L)</f>
        <v>0</v>
      </c>
      <c r="S347" s="99">
        <f>SUMIF(Import!$B:$B,$A347,Import!M:M)</f>
        <v>0</v>
      </c>
      <c r="T347" s="99">
        <f>SUMIF(Import!$B:$B,$A347,Import!N:N)</f>
        <v>700</v>
      </c>
      <c r="U347" s="99">
        <f t="shared" si="489"/>
        <v>100</v>
      </c>
      <c r="V347" s="255">
        <f t="shared" si="490"/>
        <v>0.16666666666666674</v>
      </c>
      <c r="W347" s="102" t="s">
        <v>2384</v>
      </c>
      <c r="X347" s="102"/>
      <c r="Y347" s="102"/>
      <c r="Z347" s="192"/>
      <c r="AA347" s="615"/>
      <c r="AB347" s="307"/>
      <c r="AC347" s="300"/>
      <c r="AD347" s="300"/>
      <c r="AE347" s="300"/>
      <c r="AF347" s="300"/>
      <c r="AG347" s="300"/>
      <c r="AH347" s="307"/>
      <c r="AI347" s="307"/>
      <c r="AJ347" s="300"/>
      <c r="AK347" s="300"/>
      <c r="AL347" s="300"/>
      <c r="AM347" s="300"/>
      <c r="AN347" s="300"/>
      <c r="AO347" s="192"/>
      <c r="AP347" s="192"/>
      <c r="AQ347" s="192"/>
    </row>
    <row r="348" spans="1:43" s="115" customFormat="1" ht="26.4" customHeight="1">
      <c r="A348" s="297"/>
      <c r="B348" s="217"/>
      <c r="C348" s="217"/>
      <c r="D348" s="101"/>
      <c r="E348" s="101"/>
      <c r="F348" s="294"/>
      <c r="G348" s="295"/>
      <c r="H348" s="107" t="str">
        <f>UPPER(G347)&amp;" TOTAL"</f>
        <v>OPERATIONS &amp; MAINTENANCE TOTAL</v>
      </c>
      <c r="I348" s="108">
        <f t="shared" ref="I348" si="491">SUBTOTAL(9,I346:I347)</f>
        <v>1768.15</v>
      </c>
      <c r="J348" s="108">
        <f t="shared" ref="J348:T348" si="492">SUBTOTAL(9,J346:J347)</f>
        <v>2459.48</v>
      </c>
      <c r="K348" s="108">
        <f t="shared" ref="K348" si="493">SUBTOTAL(9,K346:K347)</f>
        <v>2254.3199999999997</v>
      </c>
      <c r="L348" s="108">
        <f t="shared" ref="L348" si="494">SUBTOTAL(9,L346:L347)</f>
        <v>2449.4699999999998</v>
      </c>
      <c r="M348" s="108">
        <f t="shared" si="492"/>
        <v>2800</v>
      </c>
      <c r="N348" s="108">
        <f t="shared" ref="N348" si="495">SUBTOTAL(9,N346:N347)</f>
        <v>1039.04</v>
      </c>
      <c r="O348" s="108">
        <f t="shared" si="492"/>
        <v>2800</v>
      </c>
      <c r="P348" s="108">
        <f t="shared" si="492"/>
        <v>0</v>
      </c>
      <c r="Q348" s="108">
        <f t="shared" si="492"/>
        <v>2800</v>
      </c>
      <c r="R348" s="108">
        <f t="shared" si="492"/>
        <v>0</v>
      </c>
      <c r="S348" s="108">
        <f t="shared" si="492"/>
        <v>0</v>
      </c>
      <c r="T348" s="108">
        <f t="shared" si="492"/>
        <v>2800</v>
      </c>
      <c r="U348" s="99">
        <f>T348-M348</f>
        <v>0</v>
      </c>
      <c r="V348" s="255">
        <f>IF(M348=0,"N/A",T348/M348-1)</f>
        <v>0</v>
      </c>
      <c r="W348" s="102"/>
      <c r="X348" s="102"/>
      <c r="Y348" s="102"/>
      <c r="Z348" s="192"/>
      <c r="AA348" s="615"/>
      <c r="AB348" s="307"/>
      <c r="AC348" s="300"/>
      <c r="AD348" s="300"/>
      <c r="AE348" s="300"/>
      <c r="AF348" s="300"/>
      <c r="AG348" s="300"/>
      <c r="AH348" s="307"/>
      <c r="AI348" s="307"/>
      <c r="AJ348" s="300"/>
      <c r="AK348" s="300"/>
      <c r="AL348" s="300"/>
      <c r="AM348" s="300"/>
      <c r="AN348" s="300"/>
      <c r="AO348" s="192"/>
      <c r="AP348" s="192"/>
      <c r="AQ348" s="192"/>
    </row>
    <row r="349" spans="1:43" s="115" customFormat="1" ht="15" customHeight="1">
      <c r="A349" s="297"/>
      <c r="B349" s="217"/>
      <c r="C349" s="217"/>
      <c r="D349" s="101"/>
      <c r="E349" s="101"/>
      <c r="F349" s="294"/>
      <c r="G349" s="295"/>
      <c r="H349" s="98"/>
      <c r="I349" s="106"/>
      <c r="J349" s="106"/>
      <c r="K349" s="106"/>
      <c r="L349" s="106"/>
      <c r="M349" s="106"/>
      <c r="N349" s="112"/>
      <c r="O349" s="112"/>
      <c r="P349" s="112"/>
      <c r="Q349" s="113"/>
      <c r="R349" s="113"/>
      <c r="S349" s="113"/>
      <c r="T349" s="113"/>
      <c r="U349" s="113"/>
      <c r="V349" s="113"/>
      <c r="W349" s="102"/>
      <c r="X349" s="102"/>
      <c r="Y349" s="102"/>
      <c r="Z349" s="192"/>
      <c r="AA349" s="615"/>
      <c r="AB349" s="307"/>
      <c r="AC349" s="94"/>
      <c r="AD349" s="94"/>
      <c r="AE349" s="94"/>
      <c r="AF349" s="94"/>
      <c r="AG349" s="94"/>
      <c r="AH349" s="307"/>
      <c r="AI349" s="307"/>
      <c r="AJ349" s="94"/>
      <c r="AK349" s="94"/>
      <c r="AL349" s="94"/>
      <c r="AM349" s="94"/>
      <c r="AN349" s="94"/>
      <c r="AO349" s="192"/>
      <c r="AP349" s="192"/>
      <c r="AQ349" s="192"/>
    </row>
    <row r="350" spans="1:43" s="115" customFormat="1" ht="15" customHeight="1">
      <c r="A350" s="555" t="s">
        <v>2386</v>
      </c>
      <c r="B350" s="217" t="str">
        <f t="shared" ref="B350:B357" si="496">LEFT(A350,3)</f>
        <v>100</v>
      </c>
      <c r="C350" s="217" t="str">
        <f t="shared" ref="C350:C357" si="497">MID(A350,5,2)</f>
        <v>13</v>
      </c>
      <c r="D350" s="101" t="str">
        <f t="shared" ref="D350:D357" si="498">MID(A350,8,3)</f>
        <v>131</v>
      </c>
      <c r="E350" s="217" t="str">
        <f t="shared" ref="E350:E357" si="499">LEFT(A350,10)</f>
        <v>100-13-131</v>
      </c>
      <c r="F350" s="294" t="str">
        <f t="shared" ref="F350:F357" si="500">RIGHT(A350,5)</f>
        <v>53510</v>
      </c>
      <c r="G350" s="295" t="str">
        <f>VLOOKUP(F350,'GL Category'!A:C,3,FALSE)</f>
        <v>Services &amp; other</v>
      </c>
      <c r="H350" s="98" t="str">
        <f>VLOOKUP(F350,'GL Category'!A:C,2,FALSE)</f>
        <v>DUES &amp; SUBSCRIPTIONS</v>
      </c>
      <c r="I350" s="99">
        <f>SUMIF(Import!$B:$B,$A350,Import!D:D)</f>
        <v>2728</v>
      </c>
      <c r="J350" s="99">
        <f>SUMIF(Import!$B:$B,$A350,Import!E:E)</f>
        <v>2224</v>
      </c>
      <c r="K350" s="99">
        <f>SUMIF(Import!$B:$B,$A350,Import!F:F)</f>
        <v>2379</v>
      </c>
      <c r="L350" s="99">
        <f>SUMIF(Import!$B:$B,$A350,Import!G:G)</f>
        <v>1700</v>
      </c>
      <c r="M350" s="99">
        <f>SUMIF(Import!$B:$B,$A350,Import!H:H)</f>
        <v>3000</v>
      </c>
      <c r="N350" s="99">
        <f>SUMIF(Import!$B:$B,$A350,Import!I:I)</f>
        <v>2808.71</v>
      </c>
      <c r="O350" s="99">
        <f>SUMIF(Import!$B:$B,$A350,Import!J:J)</f>
        <v>2920</v>
      </c>
      <c r="P350" s="99">
        <f t="shared" ref="P350:P357" si="501">O350-M350</f>
        <v>-80</v>
      </c>
      <c r="Q350" s="99">
        <f>SUMIF(Import!$B:$B,$A350,Import!K:K)</f>
        <v>2920</v>
      </c>
      <c r="R350" s="99">
        <f>SUMIF(Import!$B:$B,$A350,Import!L:L)</f>
        <v>0</v>
      </c>
      <c r="S350" s="99">
        <f>SUMIF(Import!$B:$B,$A350,Import!M:M)</f>
        <v>0</v>
      </c>
      <c r="T350" s="99">
        <f>SUMIF(Import!$B:$B,$A350,Import!N:N)</f>
        <v>2920</v>
      </c>
      <c r="U350" s="99">
        <f t="shared" ref="U350:U357" si="502">T350-M350</f>
        <v>-80</v>
      </c>
      <c r="V350" s="255">
        <f t="shared" ref="V350:V357" si="503">IF(M350=0,"N/A",T350/M350-1)</f>
        <v>-2.6666666666666616E-2</v>
      </c>
      <c r="W350" s="102" t="s">
        <v>2386</v>
      </c>
      <c r="X350" s="102"/>
      <c r="Y350" s="102"/>
      <c r="Z350" s="192"/>
      <c r="AA350" s="615"/>
      <c r="AB350" s="307"/>
      <c r="AC350" s="300"/>
      <c r="AD350" s="300"/>
      <c r="AE350" s="300"/>
      <c r="AF350" s="300"/>
      <c r="AG350" s="300"/>
      <c r="AH350" s="307"/>
      <c r="AI350" s="307"/>
      <c r="AJ350" s="300"/>
      <c r="AK350" s="300"/>
      <c r="AL350" s="300"/>
      <c r="AM350" s="300"/>
      <c r="AN350" s="300"/>
      <c r="AO350" s="192"/>
      <c r="AP350" s="192"/>
      <c r="AQ350" s="192"/>
    </row>
    <row r="351" spans="1:43" s="115" customFormat="1" ht="15" customHeight="1">
      <c r="A351" s="555" t="s">
        <v>2387</v>
      </c>
      <c r="B351" s="217" t="str">
        <f t="shared" si="496"/>
        <v>100</v>
      </c>
      <c r="C351" s="217" t="str">
        <f t="shared" si="497"/>
        <v>13</v>
      </c>
      <c r="D351" s="101" t="str">
        <f t="shared" si="498"/>
        <v>131</v>
      </c>
      <c r="E351" s="217" t="str">
        <f t="shared" si="499"/>
        <v>100-13-131</v>
      </c>
      <c r="F351" s="294" t="str">
        <f t="shared" si="500"/>
        <v>53515</v>
      </c>
      <c r="G351" s="295" t="str">
        <f>VLOOKUP(F351,'GL Category'!A:C,3,FALSE)</f>
        <v>Services &amp; other</v>
      </c>
      <c r="H351" s="98" t="str">
        <f>VLOOKUP(F351,'GL Category'!A:C,2,FALSE)</f>
        <v>TRAVEL, TRAINING &amp; EDUCATION</v>
      </c>
      <c r="I351" s="99">
        <f>SUMIF(Import!$B:$B,$A351,Import!D:D)</f>
        <v>5473.21</v>
      </c>
      <c r="J351" s="99">
        <f>SUMIF(Import!$B:$B,$A351,Import!E:E)</f>
        <v>1343.26</v>
      </c>
      <c r="K351" s="99">
        <f>SUMIF(Import!$B:$B,$A351,Import!F:F)</f>
        <v>11361.51</v>
      </c>
      <c r="L351" s="99">
        <f>SUMIF(Import!$B:$B,$A351,Import!G:G)</f>
        <v>16635.419999999998</v>
      </c>
      <c r="M351" s="99">
        <f>SUMIF(Import!$B:$B,$A351,Import!H:H)</f>
        <v>13105</v>
      </c>
      <c r="N351" s="99">
        <f>SUMIF(Import!$B:$B,$A351,Import!I:I)</f>
        <v>14154.98</v>
      </c>
      <c r="O351" s="99">
        <f>SUMIF(Import!$B:$B,$A351,Import!J:J)</f>
        <v>13105</v>
      </c>
      <c r="P351" s="99">
        <f t="shared" si="501"/>
        <v>0</v>
      </c>
      <c r="Q351" s="99">
        <f>SUMIF(Import!$B:$B,$A351,Import!K:K)</f>
        <v>13105</v>
      </c>
      <c r="R351" s="99">
        <f>SUMIF(Import!$B:$B,$A351,Import!L:L)</f>
        <v>0</v>
      </c>
      <c r="S351" s="99">
        <f>SUMIF(Import!$B:$B,$A351,Import!M:M)</f>
        <v>0</v>
      </c>
      <c r="T351" s="99">
        <f>SUMIF(Import!$B:$B,$A351,Import!N:N)</f>
        <v>13105</v>
      </c>
      <c r="U351" s="99">
        <f t="shared" si="502"/>
        <v>0</v>
      </c>
      <c r="V351" s="255">
        <f t="shared" si="503"/>
        <v>0</v>
      </c>
      <c r="W351" s="102" t="s">
        <v>2387</v>
      </c>
      <c r="X351" s="102"/>
      <c r="Y351" s="102"/>
      <c r="Z351" s="192"/>
      <c r="AA351" s="615"/>
      <c r="AB351" s="307"/>
      <c r="AC351" s="300"/>
      <c r="AD351" s="300"/>
      <c r="AE351" s="300"/>
      <c r="AF351" s="300"/>
      <c r="AG351" s="300"/>
      <c r="AH351" s="307"/>
      <c r="AI351" s="307"/>
      <c r="AJ351" s="300"/>
      <c r="AK351" s="300"/>
      <c r="AL351" s="300"/>
      <c r="AM351" s="300"/>
      <c r="AN351" s="300"/>
      <c r="AO351" s="192"/>
      <c r="AP351" s="192"/>
      <c r="AQ351" s="192"/>
    </row>
    <row r="352" spans="1:43" s="115" customFormat="1" ht="15" customHeight="1">
      <c r="A352" s="555" t="s">
        <v>2388</v>
      </c>
      <c r="B352" s="217" t="str">
        <f t="shared" si="496"/>
        <v>100</v>
      </c>
      <c r="C352" s="217" t="str">
        <f t="shared" si="497"/>
        <v>13</v>
      </c>
      <c r="D352" s="101" t="str">
        <f t="shared" si="498"/>
        <v>131</v>
      </c>
      <c r="E352" s="217" t="str">
        <f t="shared" si="499"/>
        <v>100-13-131</v>
      </c>
      <c r="F352" s="294" t="str">
        <f t="shared" si="500"/>
        <v>53513</v>
      </c>
      <c r="G352" s="295" t="str">
        <f>VLOOKUP(F352,'GL Category'!A:C,3,FALSE)</f>
        <v>Services &amp; other</v>
      </c>
      <c r="H352" s="98" t="str">
        <f>VLOOKUP(F352,'GL Category'!A:C,2,FALSE)</f>
        <v>CONSULTING SERVICES</v>
      </c>
      <c r="I352" s="99">
        <f>SUMIF(Import!$B:$B,$A352,Import!D:D)</f>
        <v>2465</v>
      </c>
      <c r="J352" s="99">
        <f>SUMIF(Import!$B:$B,$A352,Import!E:E)</f>
        <v>33588.75</v>
      </c>
      <c r="K352" s="99">
        <f>SUMIF(Import!$B:$B,$A352,Import!F:F)</f>
        <v>54933.2</v>
      </c>
      <c r="L352" s="99">
        <f>SUMIF(Import!$B:$B,$A352,Import!G:G)</f>
        <v>50538.65</v>
      </c>
      <c r="M352" s="99">
        <f>SUMIF(Import!$B:$B,$A352,Import!H:H)</f>
        <v>56000</v>
      </c>
      <c r="N352" s="99">
        <f>SUMIF(Import!$B:$B,$A352,Import!I:I)</f>
        <v>12553.12</v>
      </c>
      <c r="O352" s="99">
        <f>SUMIF(Import!$B:$B,$A352,Import!J:J)</f>
        <v>56000</v>
      </c>
      <c r="P352" s="99">
        <f t="shared" si="501"/>
        <v>0</v>
      </c>
      <c r="Q352" s="99">
        <f>SUMIF(Import!$B:$B,$A352,Import!K:K)</f>
        <v>56000</v>
      </c>
      <c r="R352" s="99">
        <f>SUMIF(Import!$B:$B,$A352,Import!L:L)</f>
        <v>0</v>
      </c>
      <c r="S352" s="99">
        <f>SUMIF(Import!$B:$B,$A352,Import!M:M)</f>
        <v>0</v>
      </c>
      <c r="T352" s="99">
        <f>SUMIF(Import!$B:$B,$A352,Import!N:N)</f>
        <v>56000</v>
      </c>
      <c r="U352" s="99">
        <f t="shared" si="502"/>
        <v>0</v>
      </c>
      <c r="V352" s="255">
        <f t="shared" si="503"/>
        <v>0</v>
      </c>
      <c r="W352" s="102" t="s">
        <v>2388</v>
      </c>
      <c r="X352" s="102"/>
      <c r="Y352" s="102"/>
      <c r="Z352" s="192"/>
      <c r="AA352" s="615"/>
      <c r="AB352" s="307"/>
      <c r="AC352" s="300"/>
      <c r="AD352" s="300"/>
      <c r="AE352" s="300"/>
      <c r="AF352" s="300"/>
      <c r="AG352" s="300"/>
      <c r="AH352" s="307"/>
      <c r="AI352" s="307"/>
      <c r="AJ352" s="300"/>
      <c r="AK352" s="300"/>
      <c r="AL352" s="300"/>
      <c r="AM352" s="300"/>
      <c r="AN352" s="300"/>
      <c r="AO352" s="192"/>
      <c r="AP352" s="192"/>
      <c r="AQ352" s="192"/>
    </row>
    <row r="353" spans="1:47" s="115" customFormat="1" ht="15" customHeight="1">
      <c r="A353" s="555" t="s">
        <v>2389</v>
      </c>
      <c r="B353" s="217" t="str">
        <f t="shared" si="496"/>
        <v>100</v>
      </c>
      <c r="C353" s="217" t="str">
        <f t="shared" si="497"/>
        <v>13</v>
      </c>
      <c r="D353" s="101" t="str">
        <f t="shared" si="498"/>
        <v>131</v>
      </c>
      <c r="E353" s="217" t="str">
        <f t="shared" si="499"/>
        <v>100-13-131</v>
      </c>
      <c r="F353" s="294" t="str">
        <f t="shared" si="500"/>
        <v>53516</v>
      </c>
      <c r="G353" s="295" t="str">
        <f>VLOOKUP(F353,'GL Category'!A:C,3,FALSE)</f>
        <v>Services &amp; other</v>
      </c>
      <c r="H353" s="98" t="str">
        <f>VLOOKUP(F353,'GL Category'!A:C,2,FALSE)</f>
        <v>AUDIT &amp; ACCOUNTING SERVICES</v>
      </c>
      <c r="I353" s="99">
        <f>SUMIF(Import!$B:$B,$A353,Import!D:D)</f>
        <v>107012.88</v>
      </c>
      <c r="J353" s="99">
        <f>SUMIF(Import!$B:$B,$A353,Import!E:E)</f>
        <v>112686.3</v>
      </c>
      <c r="K353" s="99">
        <f>SUMIF(Import!$B:$B,$A353,Import!F:F)</f>
        <v>137009.64000000001</v>
      </c>
      <c r="L353" s="99">
        <f>SUMIF(Import!$B:$B,$A353,Import!G:G)</f>
        <v>106274.45</v>
      </c>
      <c r="M353" s="99">
        <f>SUMIF(Import!$B:$B,$A353,Import!H:H)</f>
        <v>85000</v>
      </c>
      <c r="N353" s="99">
        <f>SUMIF(Import!$B:$B,$A353,Import!I:I)</f>
        <v>93047.99</v>
      </c>
      <c r="O353" s="99">
        <f>SUMIF(Import!$B:$B,$A353,Import!J:J)</f>
        <v>95000</v>
      </c>
      <c r="P353" s="99">
        <f t="shared" si="501"/>
        <v>10000</v>
      </c>
      <c r="Q353" s="99">
        <f>SUMIF(Import!$B:$B,$A353,Import!K:K)</f>
        <v>90000</v>
      </c>
      <c r="R353" s="99">
        <f>SUMIF(Import!$B:$B,$A353,Import!L:L)</f>
        <v>0</v>
      </c>
      <c r="S353" s="99">
        <f>SUMIF(Import!$B:$B,$A353,Import!M:M)</f>
        <v>0</v>
      </c>
      <c r="T353" s="99">
        <f>SUMIF(Import!$B:$B,$A353,Import!N:N)</f>
        <v>90000</v>
      </c>
      <c r="U353" s="99">
        <f t="shared" si="502"/>
        <v>5000</v>
      </c>
      <c r="V353" s="255">
        <f t="shared" si="503"/>
        <v>5.8823529411764719E-2</v>
      </c>
      <c r="W353" s="102" t="s">
        <v>2389</v>
      </c>
      <c r="X353" s="102"/>
      <c r="Y353" s="102"/>
      <c r="Z353" s="192"/>
      <c r="AA353" s="615"/>
      <c r="AB353" s="307"/>
      <c r="AC353" s="300"/>
      <c r="AD353" s="300"/>
      <c r="AE353" s="300"/>
      <c r="AF353" s="300"/>
      <c r="AG353" s="300"/>
      <c r="AH353" s="307"/>
      <c r="AI353" s="307"/>
      <c r="AJ353" s="300"/>
      <c r="AK353" s="300"/>
      <c r="AL353" s="300"/>
      <c r="AM353" s="300"/>
      <c r="AN353" s="300"/>
      <c r="AO353" s="192"/>
      <c r="AP353" s="192"/>
      <c r="AQ353" s="192"/>
    </row>
    <row r="354" spans="1:47" s="115" customFormat="1" ht="15" customHeight="1">
      <c r="A354" s="555" t="s">
        <v>2390</v>
      </c>
      <c r="B354" s="217" t="str">
        <f t="shared" si="496"/>
        <v>100</v>
      </c>
      <c r="C354" s="217" t="str">
        <f t="shared" si="497"/>
        <v>13</v>
      </c>
      <c r="D354" s="101" t="str">
        <f t="shared" si="498"/>
        <v>131</v>
      </c>
      <c r="E354" s="217" t="str">
        <f t="shared" si="499"/>
        <v>100-13-131</v>
      </c>
      <c r="F354" s="294" t="str">
        <f t="shared" si="500"/>
        <v>53540</v>
      </c>
      <c r="G354" s="295" t="str">
        <f>VLOOKUP(F354,'GL Category'!A:C,3,FALSE)</f>
        <v>Services &amp; other</v>
      </c>
      <c r="H354" s="98" t="str">
        <f>VLOOKUP(F354,'GL Category'!A:C,2,FALSE)</f>
        <v>PRINTING &amp; BINDING SERVICES</v>
      </c>
      <c r="I354" s="99">
        <f>SUMIF(Import!$B:$B,$A354,Import!D:D)</f>
        <v>1062.1500000000001</v>
      </c>
      <c r="J354" s="99">
        <f>SUMIF(Import!$B:$B,$A354,Import!E:E)</f>
        <v>1451.9</v>
      </c>
      <c r="K354" s="99">
        <f>SUMIF(Import!$B:$B,$A354,Import!F:F)</f>
        <v>1782.12</v>
      </c>
      <c r="L354" s="99">
        <f>SUMIF(Import!$B:$B,$A354,Import!G:G)</f>
        <v>1290.8699999999999</v>
      </c>
      <c r="M354" s="99">
        <f>SUMIF(Import!$B:$B,$A354,Import!H:H)</f>
        <v>1400</v>
      </c>
      <c r="N354" s="99">
        <f>SUMIF(Import!$B:$B,$A354,Import!I:I)</f>
        <v>606.97</v>
      </c>
      <c r="O354" s="99">
        <f>SUMIF(Import!$B:$B,$A354,Import!J:J)</f>
        <v>1400</v>
      </c>
      <c r="P354" s="99">
        <f t="shared" si="501"/>
        <v>0</v>
      </c>
      <c r="Q354" s="99">
        <f>SUMIF(Import!$B:$B,$A354,Import!K:K)</f>
        <v>1400</v>
      </c>
      <c r="R354" s="99">
        <f>SUMIF(Import!$B:$B,$A354,Import!L:L)</f>
        <v>0</v>
      </c>
      <c r="S354" s="99">
        <f>SUMIF(Import!$B:$B,$A354,Import!M:M)</f>
        <v>0</v>
      </c>
      <c r="T354" s="99">
        <f>SUMIF(Import!$B:$B,$A354,Import!N:N)</f>
        <v>1400</v>
      </c>
      <c r="U354" s="99">
        <f t="shared" si="502"/>
        <v>0</v>
      </c>
      <c r="V354" s="255">
        <f t="shared" si="503"/>
        <v>0</v>
      </c>
      <c r="W354" s="102" t="s">
        <v>2390</v>
      </c>
      <c r="X354" s="102"/>
      <c r="Y354" s="102"/>
      <c r="Z354" s="192"/>
      <c r="AA354" s="615"/>
      <c r="AB354" s="307"/>
      <c r="AC354" s="300"/>
      <c r="AD354" s="300"/>
      <c r="AE354" s="300"/>
      <c r="AF354" s="300"/>
      <c r="AG354" s="300"/>
      <c r="AH354" s="307"/>
      <c r="AI354" s="307"/>
      <c r="AJ354" s="300"/>
      <c r="AK354" s="300"/>
      <c r="AL354" s="300"/>
      <c r="AM354" s="300"/>
      <c r="AN354" s="300"/>
      <c r="AO354" s="192"/>
      <c r="AP354" s="192"/>
      <c r="AQ354" s="192"/>
    </row>
    <row r="355" spans="1:47" s="115" customFormat="1" ht="15" customHeight="1">
      <c r="A355" s="555" t="s">
        <v>2385</v>
      </c>
      <c r="B355" s="217" t="str">
        <f t="shared" si="496"/>
        <v>100</v>
      </c>
      <c r="C355" s="217" t="str">
        <f t="shared" si="497"/>
        <v>13</v>
      </c>
      <c r="D355" s="101" t="str">
        <f t="shared" si="498"/>
        <v>131</v>
      </c>
      <c r="E355" s="217" t="str">
        <f t="shared" si="499"/>
        <v>100-13-131</v>
      </c>
      <c r="F355" s="294" t="str">
        <f t="shared" si="500"/>
        <v>53599</v>
      </c>
      <c r="G355" s="295" t="str">
        <f>VLOOKUP(F355,'GL Category'!A:C,3,FALSE)</f>
        <v>Services &amp; other</v>
      </c>
      <c r="H355" s="98" t="str">
        <f>VLOOKUP(F355,'GL Category'!A:C,2,FALSE)</f>
        <v>MISCELLANEOUS SERVICES</v>
      </c>
      <c r="I355" s="99">
        <f>SUMIF(Import!$B:$B,$A355,Import!D:D)</f>
        <v>42443.34</v>
      </c>
      <c r="J355" s="99">
        <f>SUMIF(Import!$B:$B,$A355,Import!E:E)</f>
        <v>44085</v>
      </c>
      <c r="K355" s="99">
        <f>SUMIF(Import!$B:$B,$A355,Import!F:F)</f>
        <v>0</v>
      </c>
      <c r="L355" s="99">
        <f>SUMIF(Import!$B:$B,$A355,Import!G:G)</f>
        <v>0</v>
      </c>
      <c r="M355" s="99">
        <f>SUMIF(Import!$B:$B,$A355,Import!H:H)</f>
        <v>0</v>
      </c>
      <c r="N355" s="99">
        <f>SUMIF(Import!$B:$B,$A355,Import!I:I)</f>
        <v>0</v>
      </c>
      <c r="O355" s="99">
        <f>SUMIF(Import!$B:$B,$A355,Import!J:J)</f>
        <v>0</v>
      </c>
      <c r="P355" s="99">
        <f t="shared" si="501"/>
        <v>0</v>
      </c>
      <c r="Q355" s="99">
        <f>SUMIF(Import!$B:$B,$A355,Import!K:K)</f>
        <v>0</v>
      </c>
      <c r="R355" s="99">
        <f>SUMIF(Import!$B:$B,$A355,Import!L:L)</f>
        <v>0</v>
      </c>
      <c r="S355" s="99">
        <f>SUMIF(Import!$B:$B,$A355,Import!M:M)</f>
        <v>0</v>
      </c>
      <c r="T355" s="99">
        <f>SUMIF(Import!$B:$B,$A355,Import!N:N)</f>
        <v>0</v>
      </c>
      <c r="U355" s="99">
        <f t="shared" si="502"/>
        <v>0</v>
      </c>
      <c r="V355" s="255" t="str">
        <f t="shared" si="503"/>
        <v>N/A</v>
      </c>
      <c r="W355" s="102" t="s">
        <v>2385</v>
      </c>
      <c r="X355" s="102"/>
      <c r="Y355" s="102"/>
      <c r="Z355" s="192"/>
      <c r="AA355" s="615"/>
      <c r="AB355" s="307"/>
      <c r="AC355" s="300"/>
      <c r="AD355" s="300"/>
      <c r="AE355" s="300"/>
      <c r="AF355" s="300"/>
      <c r="AG355" s="300"/>
      <c r="AH355" s="307"/>
      <c r="AI355" s="307"/>
      <c r="AJ355" s="300"/>
      <c r="AK355" s="300"/>
      <c r="AL355" s="300"/>
      <c r="AM355" s="300"/>
      <c r="AN355" s="300"/>
      <c r="AO355" s="192"/>
      <c r="AP355" s="192"/>
      <c r="AQ355" s="192"/>
    </row>
    <row r="356" spans="1:47" s="115" customFormat="1" ht="15" customHeight="1">
      <c r="A356" s="555" t="s">
        <v>2391</v>
      </c>
      <c r="B356" s="217" t="str">
        <f t="shared" si="496"/>
        <v>100</v>
      </c>
      <c r="C356" s="217" t="str">
        <f t="shared" si="497"/>
        <v>13</v>
      </c>
      <c r="D356" s="101" t="str">
        <f t="shared" si="498"/>
        <v>131</v>
      </c>
      <c r="E356" s="217" t="str">
        <f t="shared" si="499"/>
        <v>100-13-131</v>
      </c>
      <c r="F356" s="294" t="str">
        <f t="shared" si="500"/>
        <v>53585</v>
      </c>
      <c r="G356" s="295" t="str">
        <f>VLOOKUP(F356,'GL Category'!A:C,3,FALSE)</f>
        <v>Services &amp; other</v>
      </c>
      <c r="H356" s="98" t="str">
        <f>VLOOKUP(F356,'GL Category'!A:C,2,FALSE)</f>
        <v>BANKING SERVICES CHARGES</v>
      </c>
      <c r="I356" s="99">
        <f>SUMIF(Import!$B:$B,$A356,Import!D:D)</f>
        <v>12588.43</v>
      </c>
      <c r="J356" s="99">
        <f>SUMIF(Import!$B:$B,$A356,Import!E:E)</f>
        <v>23858.95</v>
      </c>
      <c r="K356" s="99">
        <f>SUMIF(Import!$B:$B,$A356,Import!F:F)</f>
        <v>22372.81</v>
      </c>
      <c r="L356" s="99">
        <f>SUMIF(Import!$B:$B,$A356,Import!G:G)</f>
        <v>1685.95</v>
      </c>
      <c r="M356" s="99">
        <f>SUMIF(Import!$B:$B,$A356,Import!H:H)</f>
        <v>16000</v>
      </c>
      <c r="N356" s="99">
        <f>SUMIF(Import!$B:$B,$A356,Import!I:I)</f>
        <v>3673.13</v>
      </c>
      <c r="O356" s="99">
        <f>SUMIF(Import!$B:$B,$A356,Import!J:J)</f>
        <v>11000</v>
      </c>
      <c r="P356" s="99">
        <f t="shared" si="501"/>
        <v>-5000</v>
      </c>
      <c r="Q356" s="99">
        <f>SUMIF(Import!$B:$B,$A356,Import!K:K)</f>
        <v>11000</v>
      </c>
      <c r="R356" s="99">
        <f>SUMIF(Import!$B:$B,$A356,Import!L:L)</f>
        <v>0</v>
      </c>
      <c r="S356" s="99">
        <f>SUMIF(Import!$B:$B,$A356,Import!M:M)</f>
        <v>0</v>
      </c>
      <c r="T356" s="99">
        <f>SUMIF(Import!$B:$B,$A356,Import!N:N)</f>
        <v>11000</v>
      </c>
      <c r="U356" s="99">
        <f t="shared" si="502"/>
        <v>-5000</v>
      </c>
      <c r="V356" s="255">
        <f t="shared" si="503"/>
        <v>-0.3125</v>
      </c>
      <c r="W356" s="102" t="s">
        <v>2391</v>
      </c>
      <c r="X356" s="102"/>
      <c r="Y356" s="102"/>
      <c r="Z356" s="192"/>
      <c r="AA356" s="615"/>
      <c r="AB356" s="307"/>
      <c r="AC356" s="300"/>
      <c r="AD356" s="300"/>
      <c r="AE356" s="300"/>
      <c r="AF356" s="300"/>
      <c r="AG356" s="300"/>
      <c r="AH356" s="307"/>
      <c r="AI356" s="307"/>
      <c r="AJ356" s="300"/>
      <c r="AK356" s="300"/>
      <c r="AL356" s="300"/>
      <c r="AM356" s="300"/>
      <c r="AN356" s="300"/>
      <c r="AO356" s="192"/>
      <c r="AP356" s="192"/>
      <c r="AQ356" s="192"/>
    </row>
    <row r="357" spans="1:47" s="115" customFormat="1" ht="15" customHeight="1">
      <c r="A357" s="555" t="s">
        <v>2392</v>
      </c>
      <c r="B357" s="217" t="str">
        <f t="shared" si="496"/>
        <v>100</v>
      </c>
      <c r="C357" s="217" t="str">
        <f t="shared" si="497"/>
        <v>13</v>
      </c>
      <c r="D357" s="101" t="str">
        <f t="shared" si="498"/>
        <v>131</v>
      </c>
      <c r="E357" s="217" t="str">
        <f t="shared" si="499"/>
        <v>100-13-131</v>
      </c>
      <c r="F357" s="294" t="str">
        <f t="shared" si="500"/>
        <v>55119</v>
      </c>
      <c r="G357" s="295" t="str">
        <f>VLOOKUP(F357,'GL Category'!A:C,3,FALSE)</f>
        <v>Services &amp; other</v>
      </c>
      <c r="H357" s="98" t="str">
        <f>VLOOKUP(F357,'GL Category'!A:C,2,FALSE)</f>
        <v>OFFICE EQUIP LEASE EXP-CITY</v>
      </c>
      <c r="I357" s="99">
        <f>SUMIF(Import!$B:$B,$A357,Import!D:D)</f>
        <v>198510</v>
      </c>
      <c r="J357" s="99">
        <f>SUMIF(Import!$B:$B,$A357,Import!E:E)</f>
        <v>96879</v>
      </c>
      <c r="K357" s="99">
        <f>SUMIF(Import!$B:$B,$A357,Import!F:F)</f>
        <v>92025</v>
      </c>
      <c r="L357" s="99">
        <f>SUMIF(Import!$B:$B,$A357,Import!G:G)</f>
        <v>94183</v>
      </c>
      <c r="M357" s="99">
        <f>SUMIF(Import!$B:$B,$A357,Import!H:H)</f>
        <v>95980</v>
      </c>
      <c r="N357" s="99">
        <f>SUMIF(Import!$B:$B,$A357,Import!I:I)</f>
        <v>71985</v>
      </c>
      <c r="O357" s="99">
        <f>SUMIF(Import!$B:$B,$A357,Import!J:J)</f>
        <v>95980</v>
      </c>
      <c r="P357" s="99">
        <f t="shared" si="501"/>
        <v>0</v>
      </c>
      <c r="Q357" s="99">
        <f>SUMIF(Import!$B:$B,$A357,Import!K:K)</f>
        <v>119161</v>
      </c>
      <c r="R357" s="99">
        <f>SUMIF(Import!$B:$B,$A357,Import!L:L)</f>
        <v>0</v>
      </c>
      <c r="S357" s="99">
        <f>SUMIF(Import!$B:$B,$A357,Import!M:M)</f>
        <v>0</v>
      </c>
      <c r="T357" s="99">
        <f>SUMIF(Import!$B:$B,$A357,Import!N:N)</f>
        <v>119161</v>
      </c>
      <c r="U357" s="99">
        <f t="shared" si="502"/>
        <v>23181</v>
      </c>
      <c r="V357" s="255">
        <f t="shared" si="503"/>
        <v>0.2415190664721818</v>
      </c>
      <c r="W357" s="102" t="s">
        <v>2392</v>
      </c>
      <c r="X357" s="102"/>
      <c r="Y357" s="102"/>
      <c r="Z357" s="192"/>
      <c r="AA357" s="615"/>
      <c r="AB357" s="307"/>
      <c r="AC357" s="300"/>
      <c r="AD357" s="300"/>
      <c r="AE357" s="300"/>
      <c r="AF357" s="300"/>
      <c r="AG357" s="300"/>
      <c r="AH357" s="307"/>
      <c r="AI357" s="307"/>
      <c r="AJ357" s="300"/>
      <c r="AK357" s="300"/>
      <c r="AL357" s="300"/>
      <c r="AM357" s="300"/>
      <c r="AN357" s="300"/>
      <c r="AO357" s="192"/>
      <c r="AP357" s="192"/>
      <c r="AQ357" s="192"/>
    </row>
    <row r="358" spans="1:47" s="115" customFormat="1" ht="15" customHeight="1">
      <c r="A358" s="297"/>
      <c r="B358" s="217"/>
      <c r="C358" s="217"/>
      <c r="D358" s="101"/>
      <c r="E358" s="101"/>
      <c r="F358" s="294"/>
      <c r="G358" s="295"/>
      <c r="H358" s="107" t="str">
        <f>UPPER(G357)&amp;" TOTAL"</f>
        <v>SERVICES &amp; OTHER TOTAL</v>
      </c>
      <c r="I358" s="108">
        <f t="shared" ref="I358" si="504">SUBTOTAL(9,I350:I357)</f>
        <v>372283.01</v>
      </c>
      <c r="J358" s="108">
        <f t="shared" ref="J358:T358" si="505">SUBTOTAL(9,J350:J357)</f>
        <v>316117.16000000003</v>
      </c>
      <c r="K358" s="108">
        <f t="shared" ref="K358" si="506">SUBTOTAL(9,K350:K357)</f>
        <v>321863.28000000003</v>
      </c>
      <c r="L358" s="108">
        <f t="shared" ref="L358" si="507">SUBTOTAL(9,L350:L357)</f>
        <v>272308.34000000003</v>
      </c>
      <c r="M358" s="108">
        <f t="shared" si="505"/>
        <v>270485</v>
      </c>
      <c r="N358" s="108">
        <f t="shared" ref="N358" si="508">SUBTOTAL(9,N350:N357)</f>
        <v>198829.90000000002</v>
      </c>
      <c r="O358" s="108">
        <f t="shared" si="505"/>
        <v>275405</v>
      </c>
      <c r="P358" s="108">
        <f t="shared" si="505"/>
        <v>4920</v>
      </c>
      <c r="Q358" s="108">
        <f t="shared" si="505"/>
        <v>293586</v>
      </c>
      <c r="R358" s="108">
        <f t="shared" si="505"/>
        <v>0</v>
      </c>
      <c r="S358" s="108">
        <f t="shared" si="505"/>
        <v>0</v>
      </c>
      <c r="T358" s="108">
        <f t="shared" si="505"/>
        <v>293586</v>
      </c>
      <c r="U358" s="99">
        <f>T358-M358</f>
        <v>23101</v>
      </c>
      <c r="V358" s="255">
        <f>IF(M358=0,"N/A",T358/M358-1)</f>
        <v>8.5405845056102825E-2</v>
      </c>
      <c r="W358" s="102"/>
      <c r="X358" s="102"/>
      <c r="Y358" s="102"/>
      <c r="Z358" s="192"/>
      <c r="AA358" s="615"/>
      <c r="AB358" s="307"/>
      <c r="AC358" s="300"/>
      <c r="AD358" s="300"/>
      <c r="AE358" s="300"/>
      <c r="AF358" s="300"/>
      <c r="AG358" s="300"/>
      <c r="AH358" s="307"/>
      <c r="AI358" s="307"/>
      <c r="AJ358" s="300"/>
      <c r="AK358" s="300"/>
      <c r="AL358" s="300"/>
      <c r="AM358" s="300"/>
      <c r="AN358" s="300"/>
      <c r="AO358" s="192"/>
      <c r="AP358" s="192"/>
      <c r="AQ358" s="192"/>
    </row>
    <row r="359" spans="1:47" s="115" customFormat="1" ht="15" customHeight="1">
      <c r="A359" s="297"/>
      <c r="B359" s="217"/>
      <c r="C359" s="217"/>
      <c r="D359" s="101"/>
      <c r="E359" s="101"/>
      <c r="F359" s="294"/>
      <c r="G359" s="295"/>
      <c r="H359" s="98"/>
      <c r="I359" s="106"/>
      <c r="J359" s="106"/>
      <c r="K359" s="106"/>
      <c r="L359" s="106"/>
      <c r="M359" s="106"/>
      <c r="N359" s="112"/>
      <c r="O359" s="112"/>
      <c r="P359" s="112"/>
      <c r="Q359" s="113"/>
      <c r="R359" s="113"/>
      <c r="S359" s="113"/>
      <c r="T359" s="113"/>
      <c r="U359" s="113"/>
      <c r="V359" s="113"/>
      <c r="W359" s="102"/>
      <c r="X359" s="102"/>
      <c r="Y359" s="102"/>
      <c r="Z359" s="192"/>
      <c r="AA359" s="615"/>
      <c r="AB359" s="307"/>
      <c r="AC359" s="300"/>
      <c r="AD359" s="300"/>
      <c r="AE359" s="300"/>
      <c r="AF359" s="300"/>
      <c r="AG359" s="300"/>
      <c r="AH359" s="307"/>
      <c r="AI359" s="307"/>
      <c r="AJ359" s="300"/>
      <c r="AK359" s="300"/>
      <c r="AL359" s="300"/>
      <c r="AM359" s="300"/>
      <c r="AN359" s="300"/>
      <c r="AO359" s="192"/>
      <c r="AP359" s="192"/>
      <c r="AQ359" s="192"/>
    </row>
    <row r="360" spans="1:47" s="115" customFormat="1" ht="15" customHeight="1">
      <c r="A360" s="297"/>
      <c r="B360" s="217"/>
      <c r="C360" s="217"/>
      <c r="D360" s="101"/>
      <c r="E360" s="101"/>
      <c r="F360" s="294"/>
      <c r="G360" s="295"/>
      <c r="H360" s="114" t="s">
        <v>763</v>
      </c>
      <c r="I360" s="108">
        <f t="shared" ref="I360" si="509">SUBTOTAL(9,I334:I359)</f>
        <v>1143068.3999999999</v>
      </c>
      <c r="J360" s="108">
        <f t="shared" ref="J360:T360" si="510">SUBTOTAL(9,J334:J359)</f>
        <v>1053020.92</v>
      </c>
      <c r="K360" s="108">
        <f t="shared" ref="K360" si="511">SUBTOTAL(9,K334:K359)</f>
        <v>1140396.3799999999</v>
      </c>
      <c r="L360" s="108">
        <f t="shared" ref="L360" si="512">SUBTOTAL(9,L334:L359)</f>
        <v>1148047.9100000001</v>
      </c>
      <c r="M360" s="108">
        <f t="shared" si="510"/>
        <v>1162726</v>
      </c>
      <c r="N360" s="108">
        <f t="shared" ref="N360" si="513">SUBTOTAL(9,N334:N359)</f>
        <v>896179.75999999989</v>
      </c>
      <c r="O360" s="108">
        <f t="shared" si="510"/>
        <v>1182570</v>
      </c>
      <c r="P360" s="108">
        <f t="shared" si="510"/>
        <v>19844</v>
      </c>
      <c r="Q360" s="108">
        <f t="shared" si="510"/>
        <v>1221551</v>
      </c>
      <c r="R360" s="108">
        <f t="shared" si="510"/>
        <v>0</v>
      </c>
      <c r="S360" s="108">
        <f t="shared" si="510"/>
        <v>0</v>
      </c>
      <c r="T360" s="108">
        <f t="shared" si="510"/>
        <v>1221551</v>
      </c>
      <c r="U360" s="99">
        <f>T360-M360</f>
        <v>58825</v>
      </c>
      <c r="V360" s="255">
        <f>IF(M360=0,"N/A",T360/M360-1)</f>
        <v>5.0592314956404261E-2</v>
      </c>
      <c r="W360" s="102"/>
      <c r="X360" s="102"/>
      <c r="Y360" s="102"/>
      <c r="Z360" s="192"/>
      <c r="AA360" s="615"/>
      <c r="AB360" s="307"/>
      <c r="AC360" s="300"/>
      <c r="AD360" s="300"/>
      <c r="AE360" s="300"/>
      <c r="AF360" s="300"/>
      <c r="AG360" s="300"/>
      <c r="AH360" s="307"/>
      <c r="AI360" s="307"/>
      <c r="AJ360" s="300"/>
      <c r="AK360" s="300"/>
      <c r="AL360" s="300"/>
      <c r="AM360" s="300"/>
      <c r="AN360" s="300"/>
      <c r="AO360" s="192"/>
      <c r="AP360" s="192"/>
      <c r="AQ360" s="192"/>
    </row>
    <row r="361" spans="1:47" s="115" customFormat="1" ht="15" customHeight="1" thickBot="1">
      <c r="A361" s="297"/>
      <c r="B361" s="217"/>
      <c r="C361" s="217"/>
      <c r="D361" s="101"/>
      <c r="E361" s="101"/>
      <c r="F361" s="294"/>
      <c r="G361" s="295"/>
      <c r="H361" s="98"/>
      <c r="I361" s="106"/>
      <c r="J361" s="106"/>
      <c r="K361" s="106"/>
      <c r="L361" s="106"/>
      <c r="M361" s="106"/>
      <c r="N361" s="112"/>
      <c r="O361" s="112"/>
      <c r="P361" s="112"/>
      <c r="Q361" s="113"/>
      <c r="R361" s="113"/>
      <c r="S361" s="113"/>
      <c r="T361" s="113"/>
      <c r="U361" s="113"/>
      <c r="V361" s="113"/>
      <c r="W361" s="102"/>
      <c r="X361" s="102"/>
      <c r="Y361" s="102"/>
      <c r="Z361" s="192"/>
      <c r="AA361" s="615"/>
      <c r="AB361" s="307"/>
      <c r="AC361" s="300"/>
      <c r="AD361" s="300"/>
      <c r="AE361" s="300"/>
      <c r="AF361" s="300"/>
      <c r="AG361" s="300"/>
      <c r="AH361" s="307"/>
      <c r="AI361" s="307"/>
      <c r="AJ361" s="300"/>
      <c r="AK361" s="300"/>
      <c r="AL361" s="300"/>
      <c r="AM361" s="300"/>
      <c r="AN361" s="300"/>
      <c r="AO361" s="192"/>
      <c r="AP361" s="192"/>
      <c r="AQ361" s="192"/>
    </row>
    <row r="362" spans="1:47" s="115" customFormat="1" ht="25.5" customHeight="1" thickBot="1">
      <c r="A362" s="297"/>
      <c r="B362" s="217"/>
      <c r="C362" s="217"/>
      <c r="D362" s="101"/>
      <c r="E362" s="101"/>
      <c r="F362" s="294"/>
      <c r="G362" s="295"/>
      <c r="H362" s="665" t="s">
        <v>467</v>
      </c>
      <c r="I362" s="666"/>
      <c r="J362" s="666"/>
      <c r="K362" s="666"/>
      <c r="L362" s="666"/>
      <c r="M362" s="666"/>
      <c r="N362" s="666"/>
      <c r="O362" s="666"/>
      <c r="P362" s="666"/>
      <c r="Q362" s="666"/>
      <c r="R362" s="666"/>
      <c r="S362" s="666"/>
      <c r="T362" s="667"/>
      <c r="U362" s="247"/>
      <c r="V362" s="247"/>
      <c r="W362" s="102"/>
      <c r="X362" s="102"/>
      <c r="Y362" s="102"/>
      <c r="Z362" s="192"/>
      <c r="AA362" s="615"/>
      <c r="AB362" s="307"/>
      <c r="AC362" s="300"/>
      <c r="AD362" s="300"/>
      <c r="AE362" s="300"/>
      <c r="AF362" s="300"/>
      <c r="AG362" s="300"/>
      <c r="AH362" s="307"/>
      <c r="AI362" s="307"/>
      <c r="AJ362" s="300"/>
      <c r="AK362" s="300"/>
      <c r="AL362" s="300"/>
      <c r="AM362" s="300"/>
      <c r="AN362" s="300"/>
      <c r="AO362" s="192"/>
      <c r="AP362" s="192"/>
      <c r="AQ362" s="192"/>
    </row>
    <row r="363" spans="1:47" s="115" customFormat="1" ht="15" customHeight="1">
      <c r="A363" s="297"/>
      <c r="B363" s="217"/>
      <c r="C363" s="217"/>
      <c r="D363" s="101"/>
      <c r="E363" s="101"/>
      <c r="F363" s="294"/>
      <c r="G363" s="295"/>
      <c r="H363" s="225"/>
      <c r="I363" s="225"/>
      <c r="J363" s="225"/>
      <c r="K363" s="225"/>
      <c r="L363" s="225"/>
      <c r="M363" s="225"/>
      <c r="N363" s="225"/>
      <c r="O363" s="225"/>
      <c r="P363" s="225"/>
      <c r="Q363" s="225"/>
      <c r="R363" s="225"/>
      <c r="S363" s="225"/>
      <c r="T363" s="225"/>
      <c r="U363" s="225"/>
      <c r="V363" s="225"/>
      <c r="W363" s="102"/>
      <c r="X363" s="102"/>
      <c r="Y363" s="102"/>
      <c r="Z363" s="192"/>
      <c r="AA363" s="615"/>
      <c r="AB363" s="307"/>
      <c r="AC363" s="94"/>
      <c r="AD363" s="94"/>
      <c r="AE363" s="94"/>
      <c r="AF363" s="94"/>
      <c r="AG363" s="94"/>
      <c r="AH363" s="307"/>
      <c r="AI363" s="307"/>
      <c r="AJ363" s="94"/>
      <c r="AK363" s="94"/>
      <c r="AL363" s="94"/>
      <c r="AM363" s="94"/>
      <c r="AN363" s="94"/>
      <c r="AO363" s="192"/>
      <c r="AP363" s="192"/>
      <c r="AQ363" s="192"/>
    </row>
    <row r="364" spans="1:47" ht="15" customHeight="1">
      <c r="A364" s="555" t="s">
        <v>2393</v>
      </c>
      <c r="B364" s="217" t="str">
        <f t="shared" ref="B364" si="514">LEFT(A364,3)</f>
        <v>100</v>
      </c>
      <c r="C364" s="217" t="str">
        <f t="shared" ref="C364" si="515">MID(A364,5,2)</f>
        <v>13</v>
      </c>
      <c r="D364" s="101" t="str">
        <f t="shared" ref="D364" si="516">MID(A364,8,3)</f>
        <v>139</v>
      </c>
      <c r="E364" s="217" t="str">
        <f t="shared" ref="E364" si="517">LEFT(A364,10)</f>
        <v>100-13-139</v>
      </c>
      <c r="F364" s="294" t="str">
        <f t="shared" ref="F364" si="518">RIGHT(A364,5)</f>
        <v>51210</v>
      </c>
      <c r="G364" s="295" t="str">
        <f>VLOOKUP(F364,'GL Category'!A:C,3,FALSE)</f>
        <v>Operations &amp; maintenance</v>
      </c>
      <c r="H364" s="98" t="str">
        <f>VLOOKUP(F364,'GL Category'!A:C,2,FALSE)</f>
        <v>OFFICE SUPPLIES</v>
      </c>
      <c r="I364" s="99">
        <f>SUMIF(Import!$B:$B,$A364,Import!D:D)</f>
        <v>0</v>
      </c>
      <c r="J364" s="99">
        <f>SUMIF(Import!$B:$B,$A364,Import!E:E)</f>
        <v>0</v>
      </c>
      <c r="K364" s="99">
        <f>SUMIF(Import!$B:$B,$A364,Import!F:F)</f>
        <v>0</v>
      </c>
      <c r="L364" s="99">
        <f>SUMIF(Import!$B:$B,$A364,Import!G:G)</f>
        <v>0</v>
      </c>
      <c r="M364" s="99">
        <f>SUMIF(Import!$B:$B,$A364,Import!H:H)</f>
        <v>0</v>
      </c>
      <c r="N364" s="99">
        <f>SUMIF(Import!$B:$B,$A364,Import!I:I)</f>
        <v>0</v>
      </c>
      <c r="O364" s="99">
        <f>SUMIF(Import!$B:$B,$A364,Import!J:J)</f>
        <v>0</v>
      </c>
      <c r="P364" s="99">
        <f t="shared" ref="P364" si="519">O364-M364</f>
        <v>0</v>
      </c>
      <c r="Q364" s="99">
        <f>SUMIF(Import!$B:$B,$A364,Import!K:K)</f>
        <v>0</v>
      </c>
      <c r="R364" s="99">
        <f>SUMIF(Import!$B:$B,$A364,Import!L:L)</f>
        <v>0</v>
      </c>
      <c r="S364" s="99">
        <f>SUMIF(Import!$B:$B,$A364,Import!M:M)</f>
        <v>0</v>
      </c>
      <c r="T364" s="99">
        <f>SUMIF(Import!$B:$B,$A364,Import!N:N)</f>
        <v>0</v>
      </c>
      <c r="U364" s="99">
        <f t="shared" ref="U364" si="520">T364-M364</f>
        <v>0</v>
      </c>
      <c r="V364" s="255" t="str">
        <f t="shared" ref="V364" si="521">IF(M364=0,"N/A",T364/M364-1)</f>
        <v>N/A</v>
      </c>
      <c r="W364" s="102" t="s">
        <v>2393</v>
      </c>
      <c r="X364" s="102"/>
      <c r="Y364" s="102"/>
      <c r="AA364" s="615"/>
      <c r="AC364" s="92"/>
      <c r="AD364" s="92"/>
      <c r="AE364" s="92"/>
      <c r="AF364" s="92"/>
      <c r="AG364" s="92"/>
      <c r="AJ364" s="92"/>
      <c r="AK364" s="92"/>
      <c r="AL364" s="92"/>
      <c r="AM364" s="92"/>
      <c r="AN364" s="92"/>
    </row>
    <row r="365" spans="1:47" ht="25.35" customHeight="1">
      <c r="A365" s="297"/>
      <c r="B365" s="217"/>
      <c r="C365" s="217"/>
      <c r="D365" s="101"/>
      <c r="E365" s="101"/>
      <c r="F365" s="294"/>
      <c r="G365" s="295"/>
      <c r="H365" s="107" t="str">
        <f>UPPER(G364)&amp;" TOTAL"</f>
        <v>OPERATIONS &amp; MAINTENANCE TOTAL</v>
      </c>
      <c r="I365" s="108">
        <f t="shared" ref="I365" si="522">SUBTOTAL(9,I364:I364)</f>
        <v>0</v>
      </c>
      <c r="J365" s="108">
        <f t="shared" ref="J365:T365" si="523">SUBTOTAL(9,J364:J364)</f>
        <v>0</v>
      </c>
      <c r="K365" s="108">
        <f t="shared" ref="K365" si="524">SUBTOTAL(9,K364:K364)</f>
        <v>0</v>
      </c>
      <c r="L365" s="108">
        <f t="shared" ref="L365" si="525">SUBTOTAL(9,L364:L364)</f>
        <v>0</v>
      </c>
      <c r="M365" s="108">
        <f t="shared" si="523"/>
        <v>0</v>
      </c>
      <c r="N365" s="109">
        <f t="shared" ref="N365" si="526">SUBTOTAL(9,N364:N364)</f>
        <v>0</v>
      </c>
      <c r="O365" s="109">
        <f t="shared" si="523"/>
        <v>0</v>
      </c>
      <c r="P365" s="108">
        <f t="shared" si="523"/>
        <v>0</v>
      </c>
      <c r="Q365" s="109">
        <f t="shared" si="523"/>
        <v>0</v>
      </c>
      <c r="R365" s="109">
        <f t="shared" si="523"/>
        <v>0</v>
      </c>
      <c r="S365" s="109">
        <f t="shared" si="523"/>
        <v>0</v>
      </c>
      <c r="T365" s="109">
        <f t="shared" si="523"/>
        <v>0</v>
      </c>
      <c r="U365" s="99">
        <f>T365-M365</f>
        <v>0</v>
      </c>
      <c r="V365" s="255" t="str">
        <f>IF(M365=0,"N/A",T365/M365-1)</f>
        <v>N/A</v>
      </c>
      <c r="W365" s="102"/>
      <c r="X365" s="102"/>
      <c r="Y365" s="102"/>
      <c r="Z365" s="88"/>
      <c r="AA365" s="615"/>
      <c r="AC365" s="304"/>
      <c r="AD365" s="304"/>
      <c r="AE365" s="304"/>
      <c r="AF365" s="304"/>
      <c r="AG365" s="304"/>
      <c r="AJ365" s="304"/>
      <c r="AK365" s="304"/>
      <c r="AL365" s="304"/>
      <c r="AM365" s="304"/>
      <c r="AN365" s="304"/>
      <c r="AO365" s="304"/>
      <c r="AP365" s="304"/>
      <c r="AQ365" s="304"/>
      <c r="AR365" s="304"/>
      <c r="AS365" s="304"/>
      <c r="AT365" s="304"/>
      <c r="AU365" s="304"/>
    </row>
    <row r="366" spans="1:47" ht="15" customHeight="1">
      <c r="A366" s="297"/>
      <c r="B366" s="217"/>
      <c r="C366" s="217"/>
      <c r="D366" s="101"/>
      <c r="E366" s="101"/>
      <c r="F366" s="294"/>
      <c r="G366" s="295"/>
      <c r="H366" s="98"/>
      <c r="I366" s="106"/>
      <c r="J366" s="106"/>
      <c r="K366" s="106"/>
      <c r="L366" s="106"/>
      <c r="M366" s="106"/>
      <c r="N366" s="112"/>
      <c r="O366" s="112"/>
      <c r="P366" s="112"/>
      <c r="Q366" s="113"/>
      <c r="T366" s="113"/>
      <c r="U366" s="113"/>
      <c r="V366" s="113"/>
      <c r="W366" s="102"/>
      <c r="X366" s="102"/>
      <c r="Y366" s="102"/>
      <c r="Z366" s="88"/>
      <c r="AA366" s="615"/>
      <c r="AC366" s="304"/>
      <c r="AD366" s="304"/>
      <c r="AE366" s="304"/>
      <c r="AF366" s="304"/>
      <c r="AG366" s="304"/>
      <c r="AJ366" s="304"/>
      <c r="AK366" s="304"/>
      <c r="AL366" s="304"/>
      <c r="AM366" s="304"/>
      <c r="AN366" s="304"/>
      <c r="AO366" s="304"/>
      <c r="AP366" s="304"/>
      <c r="AQ366" s="304"/>
      <c r="AR366" s="304"/>
      <c r="AS366" s="304"/>
      <c r="AT366" s="304"/>
      <c r="AU366" s="304"/>
    </row>
    <row r="367" spans="1:47" ht="15" customHeight="1">
      <c r="A367" s="555" t="s">
        <v>2394</v>
      </c>
      <c r="B367" s="217" t="str">
        <f t="shared" ref="B367:B371" si="527">LEFT(A367,3)</f>
        <v>100</v>
      </c>
      <c r="C367" s="217" t="str">
        <f t="shared" ref="C367:C371" si="528">MID(A367,5,2)</f>
        <v>13</v>
      </c>
      <c r="D367" s="101" t="str">
        <f t="shared" ref="D367:D371" si="529">MID(A367,8,3)</f>
        <v>139</v>
      </c>
      <c r="E367" s="217" t="str">
        <f t="shared" ref="E367:E371" si="530">LEFT(A367,10)</f>
        <v>100-13-139</v>
      </c>
      <c r="F367" s="294" t="str">
        <f t="shared" ref="F367:F371" si="531">RIGHT(A367,5)</f>
        <v>53599</v>
      </c>
      <c r="G367" s="295" t="str">
        <f>VLOOKUP(F367,'GL Category'!A:C,3,FALSE)</f>
        <v>Services &amp; other</v>
      </c>
      <c r="H367" s="98" t="str">
        <f>VLOOKUP(F367,'GL Category'!A:C,2,FALSE)</f>
        <v>MISCELLANEOUS SERVICES</v>
      </c>
      <c r="I367" s="99">
        <f>SUMIF(Import!$B:$B,$A367,Import!D:D)</f>
        <v>17325.419999999998</v>
      </c>
      <c r="J367" s="99">
        <f>SUMIF(Import!$B:$B,$A367,Import!E:E)</f>
        <v>17409.7</v>
      </c>
      <c r="K367" s="99">
        <f>SUMIF(Import!$B:$B,$A367,Import!F:F)</f>
        <v>16837.38</v>
      </c>
      <c r="L367" s="99">
        <f>SUMIF(Import!$B:$B,$A367,Import!G:G)</f>
        <v>17648.900000000001</v>
      </c>
      <c r="M367" s="99">
        <f>SUMIF(Import!$B:$B,$A367,Import!H:H)</f>
        <v>19160</v>
      </c>
      <c r="N367" s="99">
        <f>SUMIF(Import!$B:$B,$A367,Import!I:I)</f>
        <v>17692.919999999998</v>
      </c>
      <c r="O367" s="99">
        <f>SUMIF(Import!$B:$B,$A367,Import!J:J)</f>
        <v>19160</v>
      </c>
      <c r="P367" s="99">
        <f t="shared" ref="P367:P371" si="532">O367-M367</f>
        <v>0</v>
      </c>
      <c r="Q367" s="99">
        <f>SUMIF(Import!$B:$B,$A367,Import!K:K)</f>
        <v>19160</v>
      </c>
      <c r="R367" s="99">
        <f>SUMIF(Import!$B:$B,$A367,Import!L:L)</f>
        <v>0</v>
      </c>
      <c r="S367" s="99">
        <f>SUMIF(Import!$B:$B,$A367,Import!M:M)</f>
        <v>0</v>
      </c>
      <c r="T367" s="99">
        <f>SUMIF(Import!$B:$B,$A367,Import!N:N)</f>
        <v>19160</v>
      </c>
      <c r="U367" s="99">
        <f t="shared" ref="U367:U371" si="533">T367-M367</f>
        <v>0</v>
      </c>
      <c r="V367" s="255">
        <f t="shared" ref="V367:V371" si="534">IF(M367=0,"N/A",T367/M367-1)</f>
        <v>0</v>
      </c>
      <c r="W367" s="102" t="s">
        <v>2394</v>
      </c>
      <c r="X367" s="102"/>
      <c r="Y367" s="102"/>
      <c r="Z367" s="88"/>
      <c r="AA367" s="615"/>
      <c r="AC367" s="304"/>
      <c r="AD367" s="304"/>
      <c r="AE367" s="304"/>
      <c r="AF367" s="304"/>
      <c r="AG367" s="304"/>
      <c r="AJ367" s="304"/>
      <c r="AK367" s="304"/>
      <c r="AL367" s="304"/>
      <c r="AM367" s="304"/>
      <c r="AN367" s="304"/>
      <c r="AO367" s="304"/>
      <c r="AP367" s="304"/>
      <c r="AQ367" s="304"/>
      <c r="AR367" s="304"/>
      <c r="AS367" s="304"/>
      <c r="AT367" s="304"/>
      <c r="AU367" s="304"/>
    </row>
    <row r="368" spans="1:47" ht="15" customHeight="1">
      <c r="A368" s="555" t="s">
        <v>2395</v>
      </c>
      <c r="B368" s="217" t="str">
        <f t="shared" si="527"/>
        <v>100</v>
      </c>
      <c r="C368" s="217" t="str">
        <f t="shared" si="528"/>
        <v>13</v>
      </c>
      <c r="D368" s="101" t="str">
        <f t="shared" si="529"/>
        <v>139</v>
      </c>
      <c r="E368" s="217" t="str">
        <f t="shared" si="530"/>
        <v>100-13-139</v>
      </c>
      <c r="F368" s="294" t="str">
        <f t="shared" si="531"/>
        <v>53510</v>
      </c>
      <c r="G368" s="295" t="str">
        <f>VLOOKUP(F368,'GL Category'!A:C,3,FALSE)</f>
        <v>Services &amp; other</v>
      </c>
      <c r="H368" s="98" t="str">
        <f>VLOOKUP(F368,'GL Category'!A:C,2,FALSE)</f>
        <v>DUES &amp; SUBSCRIPTIONS</v>
      </c>
      <c r="I368" s="99">
        <f>SUMIF(Import!$B:$B,$A368,Import!D:D)</f>
        <v>0</v>
      </c>
      <c r="J368" s="99">
        <f>SUMIF(Import!$B:$B,$A368,Import!E:E)</f>
        <v>0</v>
      </c>
      <c r="K368" s="99">
        <f>SUMIF(Import!$B:$B,$A368,Import!F:F)</f>
        <v>0</v>
      </c>
      <c r="L368" s="99">
        <f>SUMIF(Import!$B:$B,$A368,Import!G:G)</f>
        <v>0</v>
      </c>
      <c r="M368" s="99">
        <f>SUMIF(Import!$B:$B,$A368,Import!H:H)</f>
        <v>0</v>
      </c>
      <c r="N368" s="99">
        <f>SUMIF(Import!$B:$B,$A368,Import!I:I)</f>
        <v>0</v>
      </c>
      <c r="O368" s="99">
        <f>SUMIF(Import!$B:$B,$A368,Import!J:J)</f>
        <v>0</v>
      </c>
      <c r="P368" s="99">
        <f t="shared" si="532"/>
        <v>0</v>
      </c>
      <c r="Q368" s="99">
        <f>SUMIF(Import!$B:$B,$A368,Import!K:K)</f>
        <v>0</v>
      </c>
      <c r="R368" s="99">
        <f>SUMIF(Import!$B:$B,$A368,Import!L:L)</f>
        <v>0</v>
      </c>
      <c r="S368" s="99">
        <f>SUMIF(Import!$B:$B,$A368,Import!M:M)</f>
        <v>0</v>
      </c>
      <c r="T368" s="99">
        <f>SUMIF(Import!$B:$B,$A368,Import!N:N)</f>
        <v>0</v>
      </c>
      <c r="U368" s="99">
        <f t="shared" si="533"/>
        <v>0</v>
      </c>
      <c r="V368" s="255" t="str">
        <f t="shared" si="534"/>
        <v>N/A</v>
      </c>
      <c r="W368" s="102" t="s">
        <v>2395</v>
      </c>
      <c r="X368" s="102"/>
      <c r="Y368" s="102"/>
      <c r="Z368" s="88"/>
      <c r="AA368" s="615"/>
      <c r="AC368" s="304"/>
      <c r="AD368" s="304"/>
      <c r="AE368" s="304"/>
      <c r="AF368" s="304"/>
      <c r="AG368" s="304"/>
      <c r="AJ368" s="304"/>
      <c r="AK368" s="304"/>
      <c r="AL368" s="304"/>
      <c r="AM368" s="304"/>
      <c r="AN368" s="304"/>
      <c r="AO368" s="304"/>
      <c r="AP368" s="304"/>
      <c r="AQ368" s="304"/>
      <c r="AR368" s="304"/>
      <c r="AS368" s="304"/>
      <c r="AT368" s="304"/>
      <c r="AU368" s="304"/>
    </row>
    <row r="369" spans="1:47" ht="15" customHeight="1">
      <c r="A369" s="555" t="s">
        <v>2396</v>
      </c>
      <c r="B369" s="217" t="str">
        <f t="shared" si="527"/>
        <v>100</v>
      </c>
      <c r="C369" s="217" t="str">
        <f t="shared" si="528"/>
        <v>13</v>
      </c>
      <c r="D369" s="101" t="str">
        <f t="shared" si="529"/>
        <v>139</v>
      </c>
      <c r="E369" s="217" t="str">
        <f t="shared" si="530"/>
        <v>100-13-139</v>
      </c>
      <c r="F369" s="294" t="str">
        <f t="shared" si="531"/>
        <v>53515</v>
      </c>
      <c r="G369" s="295" t="str">
        <f>VLOOKUP(F369,'GL Category'!A:C,3,FALSE)</f>
        <v>Services &amp; other</v>
      </c>
      <c r="H369" s="98" t="str">
        <f>VLOOKUP(F369,'GL Category'!A:C,2,FALSE)</f>
        <v>TRAVEL, TRAINING &amp; EDUCATION</v>
      </c>
      <c r="I369" s="99">
        <f>SUMIF(Import!$B:$B,$A369,Import!D:D)</f>
        <v>0</v>
      </c>
      <c r="J369" s="99">
        <f>SUMIF(Import!$B:$B,$A369,Import!E:E)</f>
        <v>0</v>
      </c>
      <c r="K369" s="99">
        <f>SUMIF(Import!$B:$B,$A369,Import!F:F)</f>
        <v>0</v>
      </c>
      <c r="L369" s="99">
        <f>SUMIF(Import!$B:$B,$A369,Import!G:G)</f>
        <v>0</v>
      </c>
      <c r="M369" s="99">
        <f>SUMIF(Import!$B:$B,$A369,Import!H:H)</f>
        <v>0</v>
      </c>
      <c r="N369" s="99">
        <f>SUMIF(Import!$B:$B,$A369,Import!I:I)</f>
        <v>0</v>
      </c>
      <c r="O369" s="99">
        <f>SUMIF(Import!$B:$B,$A369,Import!J:J)</f>
        <v>0</v>
      </c>
      <c r="P369" s="99">
        <f t="shared" si="532"/>
        <v>0</v>
      </c>
      <c r="Q369" s="99">
        <f>SUMIF(Import!$B:$B,$A369,Import!K:K)</f>
        <v>0</v>
      </c>
      <c r="R369" s="99">
        <f>SUMIF(Import!$B:$B,$A369,Import!L:L)</f>
        <v>0</v>
      </c>
      <c r="S369" s="99">
        <f>SUMIF(Import!$B:$B,$A369,Import!M:M)</f>
        <v>0</v>
      </c>
      <c r="T369" s="99">
        <f>SUMIF(Import!$B:$B,$A369,Import!N:N)</f>
        <v>0</v>
      </c>
      <c r="U369" s="99">
        <f t="shared" si="533"/>
        <v>0</v>
      </c>
      <c r="V369" s="255" t="str">
        <f t="shared" si="534"/>
        <v>N/A</v>
      </c>
      <c r="W369" s="102" t="s">
        <v>2396</v>
      </c>
      <c r="X369" s="102"/>
      <c r="Y369" s="102"/>
      <c r="Z369" s="88"/>
      <c r="AA369" s="615"/>
      <c r="AC369" s="304"/>
      <c r="AD369" s="304"/>
      <c r="AE369" s="304"/>
      <c r="AF369" s="304"/>
      <c r="AG369" s="304"/>
      <c r="AJ369" s="304"/>
      <c r="AK369" s="304"/>
      <c r="AL369" s="304"/>
      <c r="AM369" s="304"/>
      <c r="AN369" s="304"/>
      <c r="AO369" s="304"/>
      <c r="AP369" s="304"/>
      <c r="AQ369" s="304"/>
      <c r="AR369" s="304"/>
      <c r="AS369" s="304"/>
      <c r="AT369" s="304"/>
      <c r="AU369" s="304"/>
    </row>
    <row r="370" spans="1:47" ht="15" customHeight="1">
      <c r="A370" s="555" t="s">
        <v>2397</v>
      </c>
      <c r="B370" s="217" t="str">
        <f t="shared" si="527"/>
        <v>100</v>
      </c>
      <c r="C370" s="217" t="str">
        <f t="shared" si="528"/>
        <v>13</v>
      </c>
      <c r="D370" s="101" t="str">
        <f t="shared" si="529"/>
        <v>139</v>
      </c>
      <c r="E370" s="217" t="str">
        <f t="shared" si="530"/>
        <v>100-13-139</v>
      </c>
      <c r="F370" s="294" t="str">
        <f t="shared" si="531"/>
        <v>53518</v>
      </c>
      <c r="G370" s="295" t="str">
        <f>VLOOKUP(F370,'GL Category'!A:C,3,FALSE)</f>
        <v>Services &amp; other</v>
      </c>
      <c r="H370" s="98" t="str">
        <f>VLOOKUP(F370,'GL Category'!A:C,2,FALSE)</f>
        <v>TAX APPRAISAL SERVICES</v>
      </c>
      <c r="I370" s="99">
        <f>SUMIF(Import!$B:$B,$A370,Import!D:D)</f>
        <v>115007.26</v>
      </c>
      <c r="J370" s="99">
        <f>SUMIF(Import!$B:$B,$A370,Import!E:E)</f>
        <v>112864.34</v>
      </c>
      <c r="K370" s="99">
        <f>SUMIF(Import!$B:$B,$A370,Import!F:F)</f>
        <v>113098.16</v>
      </c>
      <c r="L370" s="99">
        <f>SUMIF(Import!$B:$B,$A370,Import!G:G)</f>
        <v>111807.99</v>
      </c>
      <c r="M370" s="99">
        <f>SUMIF(Import!$B:$B,$A370,Import!H:H)</f>
        <v>120000</v>
      </c>
      <c r="N370" s="99">
        <f>SUMIF(Import!$B:$B,$A370,Import!I:I)</f>
        <v>118043.37</v>
      </c>
      <c r="O370" s="99">
        <f>SUMIF(Import!$B:$B,$A370,Import!J:J)</f>
        <v>120000</v>
      </c>
      <c r="P370" s="99">
        <f t="shared" si="532"/>
        <v>0</v>
      </c>
      <c r="Q370" s="99">
        <f>SUMIF(Import!$B:$B,$A370,Import!K:K)</f>
        <v>137601</v>
      </c>
      <c r="R370" s="99">
        <f>SUMIF(Import!$B:$B,$A370,Import!L:L)</f>
        <v>0</v>
      </c>
      <c r="S370" s="99">
        <f>SUMIF(Import!$B:$B,$A370,Import!M:M)</f>
        <v>0</v>
      </c>
      <c r="T370" s="99">
        <f>SUMIF(Import!$B:$B,$A370,Import!N:N)</f>
        <v>137601</v>
      </c>
      <c r="U370" s="99">
        <f t="shared" si="533"/>
        <v>17601</v>
      </c>
      <c r="V370" s="255">
        <f t="shared" si="534"/>
        <v>0.14667500000000011</v>
      </c>
      <c r="W370" s="102" t="s">
        <v>2397</v>
      </c>
      <c r="X370" s="102"/>
      <c r="Y370" s="102"/>
      <c r="Z370" s="88"/>
      <c r="AA370" s="615"/>
      <c r="AC370" s="304"/>
      <c r="AD370" s="304"/>
      <c r="AE370" s="304"/>
      <c r="AF370" s="304"/>
      <c r="AG370" s="304"/>
      <c r="AJ370" s="304"/>
      <c r="AK370" s="304"/>
      <c r="AL370" s="304"/>
      <c r="AM370" s="304"/>
      <c r="AN370" s="304"/>
      <c r="AO370" s="304"/>
      <c r="AP370" s="304"/>
      <c r="AQ370" s="304"/>
      <c r="AR370" s="304"/>
      <c r="AS370" s="304"/>
      <c r="AT370" s="304"/>
      <c r="AU370" s="304"/>
    </row>
    <row r="371" spans="1:47" ht="15" customHeight="1">
      <c r="A371" s="555" t="s">
        <v>2398</v>
      </c>
      <c r="B371" s="217" t="str">
        <f t="shared" si="527"/>
        <v>100</v>
      </c>
      <c r="C371" s="217" t="str">
        <f t="shared" si="528"/>
        <v>13</v>
      </c>
      <c r="D371" s="101" t="str">
        <f t="shared" si="529"/>
        <v>139</v>
      </c>
      <c r="E371" s="217" t="str">
        <f t="shared" si="530"/>
        <v>100-13-139</v>
      </c>
      <c r="F371" s="294" t="str">
        <f t="shared" si="531"/>
        <v>55119</v>
      </c>
      <c r="G371" s="295" t="str">
        <f>VLOOKUP(F371,'GL Category'!A:C,3,FALSE)</f>
        <v>Services &amp; other</v>
      </c>
      <c r="H371" s="98" t="str">
        <f>VLOOKUP(F371,'GL Category'!A:C,2,FALSE)</f>
        <v>OFFICE EQUIP LEASE EXP-CITY</v>
      </c>
      <c r="I371" s="99">
        <f>SUMIF(Import!$B:$B,$A371,Import!D:D)</f>
        <v>0</v>
      </c>
      <c r="J371" s="99">
        <f>SUMIF(Import!$B:$B,$A371,Import!E:E)</f>
        <v>0</v>
      </c>
      <c r="K371" s="99">
        <f>SUMIF(Import!$B:$B,$A371,Import!F:F)</f>
        <v>0</v>
      </c>
      <c r="L371" s="99">
        <f>SUMIF(Import!$B:$B,$A371,Import!G:G)</f>
        <v>0</v>
      </c>
      <c r="M371" s="99">
        <f>SUMIF(Import!$B:$B,$A371,Import!H:H)</f>
        <v>0</v>
      </c>
      <c r="N371" s="99">
        <f>SUMIF(Import!$B:$B,$A371,Import!I:I)</f>
        <v>0</v>
      </c>
      <c r="O371" s="99">
        <f>SUMIF(Import!$B:$B,$A371,Import!J:J)</f>
        <v>0</v>
      </c>
      <c r="P371" s="99">
        <f t="shared" si="532"/>
        <v>0</v>
      </c>
      <c r="Q371" s="99">
        <f>SUMIF(Import!$B:$B,$A371,Import!K:K)</f>
        <v>0</v>
      </c>
      <c r="R371" s="99">
        <f>SUMIF(Import!$B:$B,$A371,Import!L:L)</f>
        <v>0</v>
      </c>
      <c r="S371" s="99">
        <f>SUMIF(Import!$B:$B,$A371,Import!M:M)</f>
        <v>0</v>
      </c>
      <c r="T371" s="99">
        <f>SUMIF(Import!$B:$B,$A371,Import!N:N)</f>
        <v>0</v>
      </c>
      <c r="U371" s="99">
        <f t="shared" si="533"/>
        <v>0</v>
      </c>
      <c r="V371" s="255" t="str">
        <f t="shared" si="534"/>
        <v>N/A</v>
      </c>
      <c r="W371" s="102" t="s">
        <v>2398</v>
      </c>
      <c r="X371" s="102"/>
      <c r="Y371" s="102"/>
      <c r="Z371" s="88"/>
      <c r="AA371" s="615"/>
      <c r="AC371" s="304"/>
      <c r="AD371" s="304"/>
      <c r="AE371" s="304"/>
      <c r="AF371" s="304"/>
      <c r="AG371" s="304"/>
      <c r="AJ371" s="304"/>
      <c r="AK371" s="304"/>
      <c r="AL371" s="304"/>
      <c r="AM371" s="304"/>
      <c r="AN371" s="304"/>
      <c r="AO371" s="304"/>
      <c r="AP371" s="304"/>
      <c r="AQ371" s="304"/>
      <c r="AR371" s="304"/>
      <c r="AS371" s="304"/>
      <c r="AT371" s="304"/>
      <c r="AU371" s="304"/>
    </row>
    <row r="372" spans="1:47" ht="15" customHeight="1">
      <c r="A372" s="297"/>
      <c r="B372" s="217"/>
      <c r="C372" s="217"/>
      <c r="D372" s="101"/>
      <c r="E372" s="101"/>
      <c r="F372" s="294"/>
      <c r="G372" s="295"/>
      <c r="H372" s="107" t="str">
        <f>UPPER(G371)&amp;" TOTAL"</f>
        <v>SERVICES &amp; OTHER TOTAL</v>
      </c>
      <c r="I372" s="108">
        <f t="shared" ref="I372" si="535">SUBTOTAL(9,I367:I371)</f>
        <v>132332.68</v>
      </c>
      <c r="J372" s="108">
        <f t="shared" ref="J372:P372" si="536">SUBTOTAL(9,J367:J371)</f>
        <v>130274.04</v>
      </c>
      <c r="K372" s="108">
        <f t="shared" ref="K372" si="537">SUBTOTAL(9,K367:K371)</f>
        <v>129935.54000000001</v>
      </c>
      <c r="L372" s="108">
        <f t="shared" ref="L372" si="538">SUBTOTAL(9,L367:L371)</f>
        <v>129456.89000000001</v>
      </c>
      <c r="M372" s="108">
        <f t="shared" si="536"/>
        <v>139160</v>
      </c>
      <c r="N372" s="109">
        <f t="shared" ref="N372" si="539">SUBTOTAL(9,N367:N371)</f>
        <v>135736.28999999998</v>
      </c>
      <c r="O372" s="109">
        <f t="shared" si="536"/>
        <v>139160</v>
      </c>
      <c r="P372" s="108">
        <f t="shared" si="536"/>
        <v>0</v>
      </c>
      <c r="Q372" s="109">
        <f t="shared" ref="Q372:T372" si="540">SUBTOTAL(9,Q367:Q371)</f>
        <v>156761</v>
      </c>
      <c r="R372" s="109">
        <f t="shared" si="540"/>
        <v>0</v>
      </c>
      <c r="S372" s="109">
        <f t="shared" si="540"/>
        <v>0</v>
      </c>
      <c r="T372" s="109">
        <f t="shared" si="540"/>
        <v>156761</v>
      </c>
      <c r="U372" s="99">
        <f>T372-M372</f>
        <v>17601</v>
      </c>
      <c r="V372" s="255">
        <f>IF(M372=0,"N/A",T372/M372-1)</f>
        <v>0.12648031043403285</v>
      </c>
      <c r="W372" s="102"/>
      <c r="X372" s="102"/>
      <c r="Y372" s="102"/>
      <c r="Z372" s="88"/>
      <c r="AA372" s="615"/>
      <c r="AC372" s="304"/>
      <c r="AD372" s="304"/>
      <c r="AE372" s="304"/>
      <c r="AF372" s="304"/>
      <c r="AG372" s="304"/>
      <c r="AJ372" s="304"/>
      <c r="AK372" s="304"/>
      <c r="AL372" s="304"/>
      <c r="AM372" s="304"/>
      <c r="AN372" s="304"/>
      <c r="AO372" s="304"/>
      <c r="AP372" s="304"/>
      <c r="AQ372" s="304"/>
      <c r="AR372" s="304"/>
      <c r="AS372" s="304"/>
      <c r="AT372" s="304"/>
      <c r="AU372" s="304"/>
    </row>
    <row r="373" spans="1:47" s="115" customFormat="1" ht="15" customHeight="1">
      <c r="A373" s="297"/>
      <c r="B373" s="217"/>
      <c r="C373" s="217"/>
      <c r="D373" s="101"/>
      <c r="E373" s="101"/>
      <c r="F373" s="294"/>
      <c r="G373" s="295"/>
      <c r="H373" s="98"/>
      <c r="I373" s="106"/>
      <c r="J373" s="106"/>
      <c r="K373" s="106"/>
      <c r="L373" s="106"/>
      <c r="M373" s="106"/>
      <c r="N373" s="112"/>
      <c r="O373" s="112"/>
      <c r="P373" s="112"/>
      <c r="Q373" s="113"/>
      <c r="R373" s="113"/>
      <c r="S373" s="113"/>
      <c r="T373" s="113"/>
      <c r="U373" s="113"/>
      <c r="V373" s="113"/>
      <c r="W373" s="102"/>
      <c r="X373" s="102"/>
      <c r="Y373" s="102"/>
      <c r="Z373" s="192"/>
      <c r="AA373" s="615"/>
      <c r="AB373" s="307"/>
      <c r="AC373" s="93"/>
      <c r="AD373" s="93"/>
      <c r="AE373" s="93"/>
      <c r="AF373" s="93"/>
      <c r="AG373" s="93"/>
      <c r="AH373" s="307"/>
      <c r="AI373" s="307"/>
      <c r="AJ373" s="93"/>
      <c r="AK373" s="93"/>
      <c r="AL373" s="93"/>
      <c r="AM373" s="93"/>
      <c r="AN373" s="93"/>
      <c r="AO373" s="93"/>
      <c r="AP373" s="93"/>
      <c r="AQ373" s="93"/>
      <c r="AR373" s="93"/>
      <c r="AS373" s="93"/>
      <c r="AT373" s="93"/>
      <c r="AU373" s="93"/>
    </row>
    <row r="374" spans="1:47" s="115" customFormat="1" ht="15" customHeight="1">
      <c r="A374" s="297"/>
      <c r="B374" s="217"/>
      <c r="C374" s="217"/>
      <c r="D374" s="101"/>
      <c r="E374" s="101"/>
      <c r="F374" s="294"/>
      <c r="G374" s="295"/>
      <c r="H374" s="114" t="s">
        <v>763</v>
      </c>
      <c r="I374" s="108">
        <f t="shared" ref="I374" si="541">SUBTOTAL(9,I364:I372)</f>
        <v>132332.68</v>
      </c>
      <c r="J374" s="108">
        <f t="shared" ref="J374:T374" si="542">SUBTOTAL(9,J364:J372)</f>
        <v>130274.04</v>
      </c>
      <c r="K374" s="108">
        <f t="shared" ref="K374" si="543">SUBTOTAL(9,K364:K372)</f>
        <v>129935.54000000001</v>
      </c>
      <c r="L374" s="108">
        <f t="shared" ref="L374" si="544">SUBTOTAL(9,L364:L372)</f>
        <v>129456.89000000001</v>
      </c>
      <c r="M374" s="108">
        <f t="shared" si="542"/>
        <v>139160</v>
      </c>
      <c r="N374" s="108">
        <f t="shared" ref="N374" si="545">SUBTOTAL(9,N364:N372)</f>
        <v>135736.28999999998</v>
      </c>
      <c r="O374" s="108">
        <f t="shared" si="542"/>
        <v>139160</v>
      </c>
      <c r="P374" s="108">
        <f t="shared" si="542"/>
        <v>0</v>
      </c>
      <c r="Q374" s="108">
        <f t="shared" si="542"/>
        <v>156761</v>
      </c>
      <c r="R374" s="108">
        <f t="shared" si="542"/>
        <v>0</v>
      </c>
      <c r="S374" s="108">
        <f t="shared" si="542"/>
        <v>0</v>
      </c>
      <c r="T374" s="108">
        <f t="shared" si="542"/>
        <v>156761</v>
      </c>
      <c r="U374" s="99">
        <f>T374-M374</f>
        <v>17601</v>
      </c>
      <c r="V374" s="255">
        <f>IF(M374=0,"N/A",T374/M374-1)</f>
        <v>0.12648031043403285</v>
      </c>
      <c r="W374" s="102"/>
      <c r="X374" s="102"/>
      <c r="Y374" s="102"/>
      <c r="Z374" s="192"/>
      <c r="AA374" s="615"/>
      <c r="AB374" s="307"/>
      <c r="AC374" s="300"/>
      <c r="AD374" s="300"/>
      <c r="AE374" s="300"/>
      <c r="AF374" s="300"/>
      <c r="AG374" s="300"/>
      <c r="AH374" s="307"/>
      <c r="AI374" s="307"/>
      <c r="AJ374" s="300"/>
      <c r="AK374" s="300"/>
      <c r="AL374" s="300"/>
      <c r="AM374" s="300"/>
      <c r="AN374" s="300"/>
      <c r="AO374" s="300"/>
      <c r="AP374" s="300"/>
      <c r="AQ374" s="300"/>
      <c r="AR374" s="300"/>
      <c r="AS374" s="300"/>
      <c r="AT374" s="300"/>
      <c r="AU374" s="300"/>
    </row>
    <row r="375" spans="1:47" ht="15" customHeight="1" thickBot="1">
      <c r="A375" s="297"/>
      <c r="B375" s="217"/>
      <c r="C375" s="217"/>
      <c r="D375" s="101"/>
      <c r="E375" s="101"/>
      <c r="F375" s="294"/>
      <c r="G375" s="295"/>
      <c r="H375" s="98"/>
      <c r="I375" s="106"/>
      <c r="J375" s="106"/>
      <c r="K375" s="106"/>
      <c r="L375" s="106"/>
      <c r="M375" s="106"/>
      <c r="N375" s="112"/>
      <c r="O375" s="112"/>
      <c r="P375" s="112"/>
      <c r="Q375" s="113"/>
      <c r="R375" s="113"/>
      <c r="S375" s="113"/>
      <c r="T375" s="113"/>
      <c r="U375" s="99">
        <f>T375-M375</f>
        <v>0</v>
      </c>
      <c r="V375" s="255" t="str">
        <f>IF(M375=0,"N/A",T375/M375-1)</f>
        <v>N/A</v>
      </c>
      <c r="W375" s="102"/>
      <c r="X375" s="102"/>
      <c r="Y375" s="102"/>
      <c r="Z375" s="88"/>
      <c r="AA375" s="615"/>
      <c r="AC375" s="304"/>
      <c r="AD375" s="304"/>
      <c r="AE375" s="304"/>
      <c r="AF375" s="304"/>
      <c r="AG375" s="304"/>
      <c r="AJ375" s="304"/>
      <c r="AK375" s="304"/>
      <c r="AL375" s="304"/>
      <c r="AM375" s="304"/>
      <c r="AN375" s="304"/>
    </row>
    <row r="376" spans="1:47" ht="25.5" customHeight="1" thickBot="1">
      <c r="A376" s="297"/>
      <c r="B376" s="217"/>
      <c r="C376" s="217"/>
      <c r="D376" s="101"/>
      <c r="E376" s="101"/>
      <c r="F376" s="294"/>
      <c r="G376" s="295"/>
      <c r="H376" s="668" t="s">
        <v>613</v>
      </c>
      <c r="I376" s="669"/>
      <c r="J376" s="669"/>
      <c r="K376" s="669"/>
      <c r="L376" s="669"/>
      <c r="M376" s="669"/>
      <c r="N376" s="669"/>
      <c r="O376" s="669"/>
      <c r="P376" s="669"/>
      <c r="Q376" s="669"/>
      <c r="R376" s="669"/>
      <c r="S376" s="669"/>
      <c r="T376" s="670"/>
      <c r="U376" s="252"/>
      <c r="V376" s="252"/>
      <c r="W376" s="102"/>
      <c r="X376" s="102"/>
      <c r="Y376" s="102"/>
      <c r="Z376" s="88"/>
      <c r="AA376" s="615"/>
      <c r="AC376" s="94"/>
      <c r="AD376" s="94"/>
      <c r="AE376" s="94"/>
      <c r="AF376" s="94"/>
      <c r="AG376" s="94"/>
      <c r="AJ376" s="94"/>
      <c r="AK376" s="94"/>
      <c r="AL376" s="94"/>
      <c r="AM376" s="94"/>
      <c r="AN376" s="94"/>
    </row>
    <row r="377" spans="1:47" ht="15" customHeight="1">
      <c r="A377" s="297"/>
      <c r="B377" s="217"/>
      <c r="C377" s="217"/>
      <c r="D377" s="101"/>
      <c r="E377" s="101"/>
      <c r="F377" s="294"/>
      <c r="G377" s="295"/>
      <c r="H377" s="225"/>
      <c r="I377" s="225"/>
      <c r="J377" s="225"/>
      <c r="K377" s="225"/>
      <c r="L377" s="225"/>
      <c r="M377" s="225"/>
      <c r="N377" s="225"/>
      <c r="O377" s="225"/>
      <c r="P377" s="225"/>
      <c r="Q377" s="225"/>
      <c r="R377" s="225"/>
      <c r="S377" s="225"/>
      <c r="T377" s="225"/>
      <c r="U377" s="225"/>
      <c r="V377" s="225"/>
      <c r="W377" s="102"/>
      <c r="X377" s="102"/>
      <c r="Y377" s="102"/>
      <c r="Z377" s="88"/>
      <c r="AA377" s="615"/>
      <c r="AC377" s="93"/>
      <c r="AD377" s="93"/>
      <c r="AE377" s="93"/>
      <c r="AF377" s="93"/>
      <c r="AG377" s="93"/>
      <c r="AJ377" s="93"/>
      <c r="AK377" s="93"/>
      <c r="AL377" s="93"/>
      <c r="AM377" s="93"/>
      <c r="AN377" s="93"/>
    </row>
    <row r="378" spans="1:47" ht="15" customHeight="1">
      <c r="A378" s="296"/>
      <c r="B378" s="217"/>
      <c r="C378" s="217">
        <v>13</v>
      </c>
      <c r="D378" s="101"/>
      <c r="E378" s="101"/>
      <c r="F378" s="294" t="s">
        <v>129</v>
      </c>
      <c r="G378" s="295" t="str">
        <f>VLOOKUP(F378,'GL Category'!A:C,3,FALSE)</f>
        <v>Personnel services</v>
      </c>
      <c r="H378" s="98" t="str">
        <f>VLOOKUP(F378,'GL Category'!A:C,2,FALSE)</f>
        <v>EXEMPT SALARIES</v>
      </c>
      <c r="I378" s="99">
        <f>SUMIFS(I$1:I372,$C$1:$C372,$C378,$F$1:$F372,$F378)</f>
        <v>346634.6</v>
      </c>
      <c r="J378" s="99">
        <f>SUMIFS(J$1:J372,$C$1:$C372,$C378,$F$1:$F372,$F378)</f>
        <v>354357.1</v>
      </c>
      <c r="K378" s="99">
        <f>SUMIFS(K$1:K372,$C$1:$C372,$C378,$F$1:$F372,$F378)</f>
        <v>481850.25</v>
      </c>
      <c r="L378" s="99">
        <f>SUMIFS(L$1:L372,$C$1:$C372,$C378,$F$1:$F372,$F378)</f>
        <v>574075.67000000004</v>
      </c>
      <c r="M378" s="99">
        <f>SUMIFS(M$1:M372,$C$1:$C372,$C378,$F$1:$F372,$F378)</f>
        <v>570486</v>
      </c>
      <c r="N378" s="99">
        <f>SUMIFS(N$1:N372,$C$1:$C372,$C378,$F$1:$F372,$F378)</f>
        <v>450875.58</v>
      </c>
      <c r="O378" s="99">
        <f>SUMIFS(O$1:O372,$C$1:$C372,$C378,$F$1:$F372,$F378)</f>
        <v>583088</v>
      </c>
      <c r="P378" s="99">
        <f t="shared" ref="P378:P389" si="546">O378-M378</f>
        <v>12602</v>
      </c>
      <c r="Q378" s="99">
        <f>SUMIFS(Q$1:Q372,$C$1:$C372,$C378,$F$1:$F372,$F378)</f>
        <v>593513</v>
      </c>
      <c r="R378" s="99">
        <f>SUMIFS(R$1:R372,$C$1:$C372,$C378,$F$1:$F372,$F378)</f>
        <v>0</v>
      </c>
      <c r="S378" s="99">
        <f>SUMIFS(S$1:S372,$C$1:$C372,$C378,$F$1:$F372,$F378)</f>
        <v>0</v>
      </c>
      <c r="T378" s="99">
        <f>SUMIFS(T$1:T372,$C$1:$C372,$C378,$F$1:$F372,$F378)</f>
        <v>593513</v>
      </c>
      <c r="U378" s="99">
        <f t="shared" ref="U378:U390" si="547">T378-M378</f>
        <v>23027</v>
      </c>
      <c r="V378" s="255">
        <f t="shared" ref="V378:V390" si="548">IF(M378=0,"N/A",T378/M378-1)</f>
        <v>4.0363830137812418E-2</v>
      </c>
      <c r="W378" s="102"/>
      <c r="X378" s="102"/>
      <c r="Y378" s="102">
        <f t="shared" ref="Y378:Y389" si="549">T378-X378</f>
        <v>593513</v>
      </c>
      <c r="Z378" s="309">
        <f>Y378*(1+VLOOKUP($F378,'GL Category'!$A:$H,4,FALSE))</f>
        <v>614285.95499999996</v>
      </c>
      <c r="AA378" s="615"/>
      <c r="AB378" s="622">
        <f t="shared" ref="AB378:AB389" si="550">Z378+AA378</f>
        <v>614285.95499999996</v>
      </c>
      <c r="AC378" s="633">
        <f>AB378*(1+VLOOKUP($F378,'GL Category'!$A:$H,5,FALSE))</f>
        <v>635785.96342499997</v>
      </c>
      <c r="AE378" s="622">
        <f t="shared" ref="AE378:AE389" si="551">AC378+AD378</f>
        <v>635785.96342499997</v>
      </c>
      <c r="AF378" s="633">
        <f>AE378*(1+VLOOKUP($F378,'GL Category'!$A:$H,6,FALSE))</f>
        <v>658038.47214487486</v>
      </c>
      <c r="AH378" s="622">
        <f t="shared" ref="AH378:AH389" si="552">AF378+AG378</f>
        <v>658038.47214487486</v>
      </c>
      <c r="AI378" s="633">
        <f>AH378*(1+VLOOKUP($F378,'GL Category'!$A:$H,7,FALSE))</f>
        <v>681069.81866994547</v>
      </c>
      <c r="AK378" s="622">
        <f t="shared" ref="AK378:AK389" si="553">AI378+AJ378</f>
        <v>681069.81866994547</v>
      </c>
      <c r="AL378" s="633">
        <f>AK378*(1+VLOOKUP($F378,'GL Category'!$A:$H,8,FALSE))</f>
        <v>704907.26232339349</v>
      </c>
      <c r="AN378" s="622">
        <f t="shared" ref="AN378:AN389" si="554">AL378+AM378</f>
        <v>704907.26232339349</v>
      </c>
    </row>
    <row r="379" spans="1:47" ht="15" customHeight="1">
      <c r="A379" s="296"/>
      <c r="B379" s="217"/>
      <c r="C379" s="217">
        <v>13</v>
      </c>
      <c r="D379" s="101"/>
      <c r="E379" s="101"/>
      <c r="F379" s="294" t="s">
        <v>131</v>
      </c>
      <c r="G379" s="295" t="str">
        <f>VLOOKUP(F379,'GL Category'!A:C,3,FALSE)</f>
        <v>Personnel services</v>
      </c>
      <c r="H379" s="98" t="str">
        <f>VLOOKUP(F379,'GL Category'!A:C,2,FALSE)</f>
        <v>NON EXEMPT SALARIES</v>
      </c>
      <c r="I379" s="99">
        <f>SUMIFS(I$1:I373,$C$1:$C373,$C379,$F$1:$F373,$F379)</f>
        <v>203096.88</v>
      </c>
      <c r="J379" s="99">
        <f>SUMIFS(J$1:J373,$C$1:$C373,$C379,$F$1:$F373,$F379)</f>
        <v>151207.07999999999</v>
      </c>
      <c r="K379" s="99">
        <f>SUMIFS(K$1:K373,$C$1:$C373,$C379,$F$1:$F373,$F379)</f>
        <v>94234.58</v>
      </c>
      <c r="L379" s="99">
        <f>SUMIFS(L$1:L373,$C$1:$C373,$C379,$F$1:$F373,$F379)</f>
        <v>36488.559999999998</v>
      </c>
      <c r="M379" s="99">
        <f>SUMIFS(M$1:M373,$C$1:$C373,$C379,$F$1:$F373,$F379)</f>
        <v>47487</v>
      </c>
      <c r="N379" s="99">
        <f>SUMIFS(N$1:N373,$C$1:$C373,$C379,$F$1:$F373,$F379)</f>
        <v>36381.94</v>
      </c>
      <c r="O379" s="99">
        <f>SUMIFS(O$1:O373,$C$1:$C373,$C379,$F$1:$F373,$F379)</f>
        <v>47760</v>
      </c>
      <c r="P379" s="99">
        <f t="shared" si="546"/>
        <v>273</v>
      </c>
      <c r="Q379" s="99">
        <f>SUMIFS(Q$1:Q373,$C$1:$C373,$C379,$F$1:$F373,$F379)</f>
        <v>49615</v>
      </c>
      <c r="R379" s="99">
        <f>SUMIFS(R$1:R373,$C$1:$C373,$C379,$F$1:$F373,$F379)</f>
        <v>0</v>
      </c>
      <c r="S379" s="99">
        <f>SUMIFS(S$1:S373,$C$1:$C373,$C379,$F$1:$F373,$F379)</f>
        <v>0</v>
      </c>
      <c r="T379" s="99">
        <f>SUMIFS(T$1:T373,$C$1:$C373,$C379,$F$1:$F373,$F379)</f>
        <v>49615</v>
      </c>
      <c r="U379" s="99">
        <f t="shared" si="547"/>
        <v>2128</v>
      </c>
      <c r="V379" s="255">
        <f t="shared" si="548"/>
        <v>4.4812264409206826E-2</v>
      </c>
      <c r="W379" s="102"/>
      <c r="X379" s="102"/>
      <c r="Y379" s="102">
        <f t="shared" si="549"/>
        <v>49615</v>
      </c>
      <c r="Z379" s="309">
        <f>Y379*(1+VLOOKUP($F379,'GL Category'!$A:$H,4,FALSE))</f>
        <v>51351.524999999994</v>
      </c>
      <c r="AA379" s="615"/>
      <c r="AB379" s="622">
        <f t="shared" si="550"/>
        <v>51351.524999999994</v>
      </c>
      <c r="AC379" s="633">
        <f>AB379*(1+VLOOKUP($F379,'GL Category'!$A:$H,5,FALSE))</f>
        <v>53148.82837499999</v>
      </c>
      <c r="AE379" s="622">
        <f t="shared" si="551"/>
        <v>53148.82837499999</v>
      </c>
      <c r="AF379" s="633">
        <f>AE379*(1+VLOOKUP($F379,'GL Category'!$A:$H,6,FALSE))</f>
        <v>55009.037368124984</v>
      </c>
      <c r="AH379" s="622">
        <f t="shared" si="552"/>
        <v>55009.037368124984</v>
      </c>
      <c r="AI379" s="633">
        <f>AH379*(1+VLOOKUP($F379,'GL Category'!$A:$H,7,FALSE))</f>
        <v>56934.353676009356</v>
      </c>
      <c r="AK379" s="622">
        <f t="shared" si="553"/>
        <v>56934.353676009356</v>
      </c>
      <c r="AL379" s="633">
        <f>AK379*(1+VLOOKUP($F379,'GL Category'!$A:$H,8,FALSE))</f>
        <v>58927.05605466968</v>
      </c>
      <c r="AN379" s="622">
        <f t="shared" si="554"/>
        <v>58927.05605466968</v>
      </c>
    </row>
    <row r="380" spans="1:47" ht="15" customHeight="1">
      <c r="A380" s="296"/>
      <c r="B380" s="217"/>
      <c r="C380" s="217">
        <v>13</v>
      </c>
      <c r="D380" s="101"/>
      <c r="E380" s="101"/>
      <c r="F380" s="294" t="s">
        <v>133</v>
      </c>
      <c r="G380" s="295" t="str">
        <f>VLOOKUP(F380,'GL Category'!A:C,3,FALSE)</f>
        <v>Personnel services</v>
      </c>
      <c r="H380" s="98" t="str">
        <f>VLOOKUP(F380,'GL Category'!A:C,2,FALSE)</f>
        <v>OVERTIME</v>
      </c>
      <c r="I380" s="99">
        <f>SUMIFS(I$1:I374,$C$1:$C374,$C380,$F$1:$F374,$F380)</f>
        <v>1642.36</v>
      </c>
      <c r="J380" s="99">
        <f>SUMIFS(J$1:J374,$C$1:$C374,$C380,$F$1:$F374,$F380)</f>
        <v>11264.28</v>
      </c>
      <c r="K380" s="99">
        <f>SUMIFS(K$1:K374,$C$1:$C374,$C380,$F$1:$F374,$F380)</f>
        <v>1826.14</v>
      </c>
      <c r="L380" s="99">
        <f>SUMIFS(L$1:L374,$C$1:$C374,$C380,$F$1:$F374,$F380)</f>
        <v>279.36</v>
      </c>
      <c r="M380" s="99">
        <f>SUMIFS(M$1:M374,$C$1:$C374,$C380,$F$1:$F374,$F380)</f>
        <v>3500</v>
      </c>
      <c r="N380" s="99">
        <f>SUMIFS(N$1:N374,$C$1:$C374,$C380,$F$1:$F374,$F380)</f>
        <v>255</v>
      </c>
      <c r="O380" s="99">
        <f>SUMIFS(O$1:O374,$C$1:$C374,$C380,$F$1:$F374,$F380)</f>
        <v>197</v>
      </c>
      <c r="P380" s="99">
        <f t="shared" si="546"/>
        <v>-3303</v>
      </c>
      <c r="Q380" s="99">
        <f>SUMIFS(Q$1:Q374,$C$1:$C374,$C380,$F$1:$F374,$F380)</f>
        <v>3500</v>
      </c>
      <c r="R380" s="99">
        <f>SUMIFS(R$1:R374,$C$1:$C374,$C380,$F$1:$F374,$F380)</f>
        <v>0</v>
      </c>
      <c r="S380" s="99">
        <f>SUMIFS(S$1:S374,$C$1:$C374,$C380,$F$1:$F374,$F380)</f>
        <v>0</v>
      </c>
      <c r="T380" s="99">
        <f>SUMIFS(T$1:T374,$C$1:$C374,$C380,$F$1:$F374,$F380)</f>
        <v>3500</v>
      </c>
      <c r="U380" s="99">
        <f t="shared" si="547"/>
        <v>0</v>
      </c>
      <c r="V380" s="255">
        <f t="shared" si="548"/>
        <v>0</v>
      </c>
      <c r="W380" s="102"/>
      <c r="X380" s="102"/>
      <c r="Y380" s="102">
        <f t="shared" si="549"/>
        <v>3500</v>
      </c>
      <c r="Z380" s="309">
        <f>Y380*(1+VLOOKUP($F380,'GL Category'!$A:$H,4,FALSE))</f>
        <v>3622.4999999999995</v>
      </c>
      <c r="AA380" s="615"/>
      <c r="AB380" s="622">
        <f t="shared" si="550"/>
        <v>3622.4999999999995</v>
      </c>
      <c r="AC380" s="633">
        <f>AB380*(1+VLOOKUP($F380,'GL Category'!$A:$H,5,FALSE))</f>
        <v>3749.2874999999995</v>
      </c>
      <c r="AE380" s="622">
        <f t="shared" si="551"/>
        <v>3749.2874999999995</v>
      </c>
      <c r="AF380" s="633">
        <f>AE380*(1+VLOOKUP($F380,'GL Category'!$A:$H,6,FALSE))</f>
        <v>3880.5125624999991</v>
      </c>
      <c r="AH380" s="622">
        <f t="shared" si="552"/>
        <v>3880.5125624999991</v>
      </c>
      <c r="AI380" s="633">
        <f>AH380*(1+VLOOKUP($F380,'GL Category'!$A:$H,7,FALSE))</f>
        <v>4016.330502187499</v>
      </c>
      <c r="AK380" s="622">
        <f t="shared" si="553"/>
        <v>4016.330502187499</v>
      </c>
      <c r="AL380" s="633">
        <f>AK380*(1+VLOOKUP($F380,'GL Category'!$A:$H,8,FALSE))</f>
        <v>4156.9020697640608</v>
      </c>
      <c r="AN380" s="622">
        <f t="shared" si="554"/>
        <v>4156.9020697640608</v>
      </c>
    </row>
    <row r="381" spans="1:47" ht="15" customHeight="1">
      <c r="A381" s="296"/>
      <c r="B381" s="217"/>
      <c r="C381" s="217">
        <v>13</v>
      </c>
      <c r="D381" s="101"/>
      <c r="E381" s="101"/>
      <c r="F381" s="294" t="s">
        <v>134</v>
      </c>
      <c r="G381" s="295" t="str">
        <f>VLOOKUP(F381,'GL Category'!A:C,3,FALSE)</f>
        <v>Personnel services</v>
      </c>
      <c r="H381" s="98" t="str">
        <f>VLOOKUP(F381,'GL Category'!A:C,2,FALSE)</f>
        <v>PART-TIME WAGES</v>
      </c>
      <c r="I381" s="99">
        <f>SUMIFS(I$1:I375,$C$1:$C375,$C381,$F$1:$F375,$F381)</f>
        <v>0</v>
      </c>
      <c r="J381" s="99">
        <f>SUMIFS(J$1:J375,$C$1:$C375,$C381,$F$1:$F375,$F381)</f>
        <v>0</v>
      </c>
      <c r="K381" s="99">
        <f>SUMIFS(K$1:K375,$C$1:$C375,$C381,$F$1:$F375,$F381)</f>
        <v>0</v>
      </c>
      <c r="L381" s="99">
        <f>SUMIFS(L$1:L375,$C$1:$C375,$C381,$F$1:$F375,$F381)</f>
        <v>0</v>
      </c>
      <c r="M381" s="99">
        <f>SUMIFS(M$1:M375,$C$1:$C375,$C381,$F$1:$F375,$F381)</f>
        <v>0</v>
      </c>
      <c r="N381" s="99">
        <f>SUMIFS(N$1:N375,$C$1:$C375,$C381,$F$1:$F375,$F381)</f>
        <v>0</v>
      </c>
      <c r="O381" s="99">
        <f>SUMIFS(O$1:O375,$C$1:$C375,$C381,$F$1:$F375,$F381)</f>
        <v>0</v>
      </c>
      <c r="P381" s="99">
        <f t="shared" si="546"/>
        <v>0</v>
      </c>
      <c r="Q381" s="99">
        <f>SUMIFS(Q$1:Q375,$C$1:$C375,$C381,$F$1:$F375,$F381)</f>
        <v>0</v>
      </c>
      <c r="R381" s="99">
        <f>SUMIFS(R$1:R375,$C$1:$C375,$C381,$F$1:$F375,$F381)</f>
        <v>0</v>
      </c>
      <c r="S381" s="99">
        <f>SUMIFS(S$1:S375,$C$1:$C375,$C381,$F$1:$F375,$F381)</f>
        <v>0</v>
      </c>
      <c r="T381" s="99">
        <f>SUMIFS(T$1:T375,$C$1:$C375,$C381,$F$1:$F375,$F381)</f>
        <v>0</v>
      </c>
      <c r="U381" s="99">
        <f t="shared" si="547"/>
        <v>0</v>
      </c>
      <c r="V381" s="255" t="str">
        <f t="shared" si="548"/>
        <v>N/A</v>
      </c>
      <c r="W381" s="102"/>
      <c r="X381" s="102"/>
      <c r="Y381" s="102">
        <f t="shared" si="549"/>
        <v>0</v>
      </c>
      <c r="Z381" s="309">
        <f>Y381*(1+VLOOKUP($F381,'GL Category'!$A:$H,4,FALSE))</f>
        <v>0</v>
      </c>
      <c r="AA381" s="615"/>
      <c r="AB381" s="622">
        <f t="shared" si="550"/>
        <v>0</v>
      </c>
      <c r="AC381" s="633">
        <f>AB381*(1+VLOOKUP($F381,'GL Category'!$A:$H,5,FALSE))</f>
        <v>0</v>
      </c>
      <c r="AE381" s="622">
        <f t="shared" si="551"/>
        <v>0</v>
      </c>
      <c r="AF381" s="633">
        <f>AE381*(1+VLOOKUP($F381,'GL Category'!$A:$H,6,FALSE))</f>
        <v>0</v>
      </c>
      <c r="AH381" s="622">
        <f t="shared" si="552"/>
        <v>0</v>
      </c>
      <c r="AI381" s="633">
        <f>AH381*(1+VLOOKUP($F381,'GL Category'!$A:$H,7,FALSE))</f>
        <v>0</v>
      </c>
      <c r="AK381" s="622">
        <f t="shared" si="553"/>
        <v>0</v>
      </c>
      <c r="AL381" s="633">
        <f>AK381*(1+VLOOKUP($F381,'GL Category'!$A:$H,8,FALSE))</f>
        <v>0</v>
      </c>
      <c r="AN381" s="622">
        <f t="shared" si="554"/>
        <v>0</v>
      </c>
    </row>
    <row r="382" spans="1:47" ht="15" customHeight="1">
      <c r="A382" s="296"/>
      <c r="B382" s="217"/>
      <c r="C382" s="217">
        <v>13</v>
      </c>
      <c r="D382" s="101"/>
      <c r="E382" s="101"/>
      <c r="F382" s="294" t="s">
        <v>136</v>
      </c>
      <c r="G382" s="295" t="str">
        <f>VLOOKUP(F382,'GL Category'!A:C,3,FALSE)</f>
        <v>Personnel services</v>
      </c>
      <c r="H382" s="98" t="str">
        <f>VLOOKUP(F382,'GL Category'!A:C,2,FALSE)</f>
        <v>LONGEVITY PAY</v>
      </c>
      <c r="I382" s="99">
        <f>SUMIFS(I$1:I375,$C$1:$C375,$C382,$F$1:$F375,$F382)</f>
        <v>4955</v>
      </c>
      <c r="J382" s="99">
        <f>SUMIFS(J$1:J375,$C$1:$C375,$C382,$F$1:$F375,$F382)</f>
        <v>5110</v>
      </c>
      <c r="K382" s="99">
        <f>SUMIFS(K$1:K375,$C$1:$C375,$C382,$F$1:$F375,$F382)</f>
        <v>5350</v>
      </c>
      <c r="L382" s="99">
        <f>SUMIFS(L$1:L375,$C$1:$C375,$C382,$F$1:$F375,$F382)</f>
        <v>4425</v>
      </c>
      <c r="M382" s="99">
        <f>SUMIFS(M$1:M375,$C$1:$C375,$C382,$F$1:$F375,$F382)</f>
        <v>4124</v>
      </c>
      <c r="N382" s="99">
        <f>SUMIFS(N$1:N375,$C$1:$C375,$C382,$F$1:$F375,$F382)</f>
        <v>3800</v>
      </c>
      <c r="O382" s="99">
        <f>SUMIFS(O$1:O375,$C$1:$C375,$C382,$F$1:$F375,$F382)</f>
        <v>3800</v>
      </c>
      <c r="P382" s="99">
        <f t="shared" ref="P382" si="555">O382-M382</f>
        <v>-324</v>
      </c>
      <c r="Q382" s="99">
        <f>SUMIFS(Q$1:Q375,$C$1:$C375,$C382,$F$1:$F375,$F382)</f>
        <v>4551</v>
      </c>
      <c r="R382" s="99">
        <f>SUMIFS(R$1:R375,$C$1:$C375,$C382,$F$1:$F375,$F382)</f>
        <v>0</v>
      </c>
      <c r="S382" s="99">
        <f>SUMIFS(S$1:S375,$C$1:$C375,$C382,$F$1:$F375,$F382)</f>
        <v>0</v>
      </c>
      <c r="T382" s="99">
        <f>SUMIFS(T$1:T375,$C$1:$C375,$C382,$F$1:$F375,$F382)</f>
        <v>4551</v>
      </c>
      <c r="U382" s="99">
        <f t="shared" si="547"/>
        <v>427</v>
      </c>
      <c r="V382" s="255">
        <f t="shared" si="548"/>
        <v>0.10354025218234719</v>
      </c>
      <c r="W382" s="102"/>
      <c r="X382" s="102"/>
      <c r="Y382" s="102">
        <f t="shared" si="549"/>
        <v>4551</v>
      </c>
      <c r="Z382" s="309">
        <f>Y382*(1+VLOOKUP($F382,'GL Category'!$A:$H,4,FALSE))</f>
        <v>4710.2849999999999</v>
      </c>
      <c r="AA382" s="615"/>
      <c r="AB382" s="622">
        <f t="shared" si="550"/>
        <v>4710.2849999999999</v>
      </c>
      <c r="AC382" s="633">
        <f>AB382*(1+VLOOKUP($F382,'GL Category'!$A:$H,5,FALSE))</f>
        <v>4875.1449749999992</v>
      </c>
      <c r="AE382" s="622">
        <f t="shared" si="551"/>
        <v>4875.1449749999992</v>
      </c>
      <c r="AF382" s="633">
        <f>AE382*(1+VLOOKUP($F382,'GL Category'!$A:$H,6,FALSE))</f>
        <v>5045.775049124999</v>
      </c>
      <c r="AH382" s="622">
        <f t="shared" si="552"/>
        <v>5045.775049124999</v>
      </c>
      <c r="AI382" s="633">
        <f>AH382*(1+VLOOKUP($F382,'GL Category'!$A:$H,7,FALSE))</f>
        <v>5222.3771758443736</v>
      </c>
      <c r="AK382" s="622">
        <f t="shared" si="553"/>
        <v>5222.3771758443736</v>
      </c>
      <c r="AL382" s="633">
        <f>AK382*(1+VLOOKUP($F382,'GL Category'!$A:$H,8,FALSE))</f>
        <v>5405.160376998926</v>
      </c>
      <c r="AN382" s="622">
        <f t="shared" si="554"/>
        <v>5405.160376998926</v>
      </c>
    </row>
    <row r="383" spans="1:47" ht="15" customHeight="1">
      <c r="A383" s="296"/>
      <c r="B383" s="217"/>
      <c r="C383" s="217">
        <v>13</v>
      </c>
      <c r="D383" s="101"/>
      <c r="E383" s="101"/>
      <c r="F383" s="294" t="s">
        <v>249</v>
      </c>
      <c r="G383" s="295" t="str">
        <f>VLOOKUP(F383,'GL Category'!A:C,3,FALSE)</f>
        <v>Personnel services</v>
      </c>
      <c r="H383" s="98" t="str">
        <f>VLOOKUP(F383,'GL Category'!A:C,2,FALSE)</f>
        <v>TEMPORARY/SEASONAL WAGES</v>
      </c>
      <c r="I383" s="99">
        <f>SUMIFS(I$1:I376,$C$1:$C376,$C383,$F$1:$F376,$F383)</f>
        <v>0</v>
      </c>
      <c r="J383" s="99">
        <f>SUMIFS(J$1:J376,$C$1:$C376,$C383,$F$1:$F376,$F383)</f>
        <v>0</v>
      </c>
      <c r="K383" s="99">
        <f>SUMIFS(K$1:K376,$C$1:$C376,$C383,$F$1:$F376,$F383)</f>
        <v>0</v>
      </c>
      <c r="L383" s="99">
        <f>SUMIFS(L$1:L376,$C$1:$C376,$C383,$F$1:$F376,$F383)</f>
        <v>0</v>
      </c>
      <c r="M383" s="99">
        <f>SUMIFS(M$1:M376,$C$1:$C376,$C383,$F$1:$F376,$F383)</f>
        <v>0</v>
      </c>
      <c r="N383" s="99">
        <f>SUMIFS(N$1:N376,$C$1:$C376,$C383,$F$1:$F376,$F383)</f>
        <v>0</v>
      </c>
      <c r="O383" s="99">
        <f>SUMIFS(O$1:O376,$C$1:$C376,$C383,$F$1:$F376,$F383)</f>
        <v>0</v>
      </c>
      <c r="P383" s="99">
        <f t="shared" si="546"/>
        <v>0</v>
      </c>
      <c r="Q383" s="99">
        <f>SUMIFS(Q$1:Q376,$C$1:$C376,$C383,$F$1:$F376,$F383)</f>
        <v>0</v>
      </c>
      <c r="R383" s="99">
        <f>SUMIFS(R$1:R376,$C$1:$C376,$C383,$F$1:$F376,$F383)</f>
        <v>0</v>
      </c>
      <c r="S383" s="99">
        <f>SUMIFS(S$1:S376,$C$1:$C376,$C383,$F$1:$F376,$F383)</f>
        <v>0</v>
      </c>
      <c r="T383" s="99">
        <f>SUMIFS(T$1:T376,$C$1:$C376,$C383,$F$1:$F376,$F383)</f>
        <v>0</v>
      </c>
      <c r="U383" s="99">
        <f t="shared" si="547"/>
        <v>0</v>
      </c>
      <c r="V383" s="255" t="str">
        <f t="shared" si="548"/>
        <v>N/A</v>
      </c>
      <c r="W383" s="102"/>
      <c r="X383" s="102"/>
      <c r="Y383" s="102">
        <f t="shared" si="549"/>
        <v>0</v>
      </c>
      <c r="Z383" s="309">
        <f>Y383*(1+VLOOKUP($F383,'GL Category'!$A:$H,4,FALSE))</f>
        <v>0</v>
      </c>
      <c r="AA383" s="615"/>
      <c r="AB383" s="622">
        <f t="shared" si="550"/>
        <v>0</v>
      </c>
      <c r="AC383" s="633">
        <f>AB383*(1+VLOOKUP($F383,'GL Category'!$A:$H,5,FALSE))</f>
        <v>0</v>
      </c>
      <c r="AE383" s="622">
        <f t="shared" si="551"/>
        <v>0</v>
      </c>
      <c r="AF383" s="633">
        <f>AE383*(1+VLOOKUP($F383,'GL Category'!$A:$H,6,FALSE))</f>
        <v>0</v>
      </c>
      <c r="AH383" s="622">
        <f t="shared" si="552"/>
        <v>0</v>
      </c>
      <c r="AI383" s="633">
        <f>AH383*(1+VLOOKUP($F383,'GL Category'!$A:$H,7,FALSE))</f>
        <v>0</v>
      </c>
      <c r="AK383" s="622">
        <f t="shared" si="553"/>
        <v>0</v>
      </c>
      <c r="AL383" s="633">
        <f>AK383*(1+VLOOKUP($F383,'GL Category'!$A:$H,8,FALSE))</f>
        <v>0</v>
      </c>
      <c r="AN383" s="622">
        <f t="shared" si="554"/>
        <v>0</v>
      </c>
    </row>
    <row r="384" spans="1:47" ht="15" customHeight="1">
      <c r="A384" s="296"/>
      <c r="B384" s="217"/>
      <c r="C384" s="217">
        <v>13</v>
      </c>
      <c r="D384" s="101"/>
      <c r="E384" s="101"/>
      <c r="F384" s="294" t="s">
        <v>139</v>
      </c>
      <c r="G384" s="295" t="str">
        <f>VLOOKUP(F384,'GL Category'!A:C,3,FALSE)</f>
        <v>Personnel services</v>
      </c>
      <c r="H384" s="98" t="str">
        <f>VLOOKUP(F384,'GL Category'!A:C,2,FALSE)</f>
        <v>AUTO ALLOWANCE</v>
      </c>
      <c r="I384" s="99">
        <f>SUMIFS(I$1:I378,$C$1:$C378,$C384,$F$1:$F378,$F384)</f>
        <v>0</v>
      </c>
      <c r="J384" s="99">
        <f>SUMIFS(J$1:J378,$C$1:$C378,$C384,$F$1:$F378,$F384)</f>
        <v>0</v>
      </c>
      <c r="K384" s="99">
        <f>SUMIFS(K$1:K378,$C$1:$C378,$C384,$F$1:$F378,$F384)</f>
        <v>0</v>
      </c>
      <c r="L384" s="99">
        <f>SUMIFS(L$1:L378,$C$1:$C378,$C384,$F$1:$F378,$F384)</f>
        <v>0</v>
      </c>
      <c r="M384" s="99">
        <f>SUMIFS(M$1:M378,$C$1:$C378,$C384,$F$1:$F378,$F384)</f>
        <v>0</v>
      </c>
      <c r="N384" s="99">
        <f>SUMIFS(N$1:N378,$C$1:$C378,$C384,$F$1:$F378,$F384)</f>
        <v>0</v>
      </c>
      <c r="O384" s="99">
        <f>SUMIFS(O$1:O378,$C$1:$C378,$C384,$F$1:$F378,$F384)</f>
        <v>0</v>
      </c>
      <c r="P384" s="99">
        <f t="shared" si="546"/>
        <v>0</v>
      </c>
      <c r="Q384" s="99">
        <f>SUMIFS(Q$1:Q378,$C$1:$C378,$C384,$F$1:$F378,$F384)</f>
        <v>0</v>
      </c>
      <c r="R384" s="99">
        <f>SUMIFS(R$1:R378,$C$1:$C378,$C384,$F$1:$F378,$F384)</f>
        <v>0</v>
      </c>
      <c r="S384" s="99">
        <f>SUMIFS(S$1:S378,$C$1:$C378,$C384,$F$1:$F378,$F384)</f>
        <v>0</v>
      </c>
      <c r="T384" s="99">
        <f>SUMIFS(T$1:T378,$C$1:$C378,$C384,$F$1:$F378,$F384)</f>
        <v>0</v>
      </c>
      <c r="U384" s="99">
        <f t="shared" si="547"/>
        <v>0</v>
      </c>
      <c r="V384" s="255" t="str">
        <f t="shared" si="548"/>
        <v>N/A</v>
      </c>
      <c r="W384" s="102"/>
      <c r="X384" s="102"/>
      <c r="Y384" s="102">
        <f t="shared" si="549"/>
        <v>0</v>
      </c>
      <c r="Z384" s="309">
        <f>Y384*(1+VLOOKUP($F384,'GL Category'!$A:$H,4,FALSE))</f>
        <v>0</v>
      </c>
      <c r="AA384" s="615"/>
      <c r="AB384" s="622">
        <f t="shared" si="550"/>
        <v>0</v>
      </c>
      <c r="AC384" s="633">
        <f>AB384*(1+VLOOKUP($F384,'GL Category'!$A:$H,5,FALSE))</f>
        <v>0</v>
      </c>
      <c r="AE384" s="622">
        <f t="shared" si="551"/>
        <v>0</v>
      </c>
      <c r="AF384" s="633">
        <f>AE384*(1+VLOOKUP($F384,'GL Category'!$A:$H,6,FALSE))</f>
        <v>0</v>
      </c>
      <c r="AH384" s="622">
        <f t="shared" si="552"/>
        <v>0</v>
      </c>
      <c r="AI384" s="633">
        <f>AH384*(1+VLOOKUP($F384,'GL Category'!$A:$H,7,FALSE))</f>
        <v>0</v>
      </c>
      <c r="AK384" s="622">
        <f t="shared" si="553"/>
        <v>0</v>
      </c>
      <c r="AL384" s="633">
        <f>AK384*(1+VLOOKUP($F384,'GL Category'!$A:$H,8,FALSE))</f>
        <v>0</v>
      </c>
      <c r="AN384" s="622">
        <f t="shared" si="554"/>
        <v>0</v>
      </c>
    </row>
    <row r="385" spans="1:43" ht="15" customHeight="1">
      <c r="A385" s="296"/>
      <c r="B385" s="217"/>
      <c r="C385" s="217">
        <v>13</v>
      </c>
      <c r="D385" s="101"/>
      <c r="E385" s="101"/>
      <c r="F385" s="294" t="s">
        <v>127</v>
      </c>
      <c r="G385" s="295" t="str">
        <f>VLOOKUP(F385,'GL Category'!A:C,3,FALSE)</f>
        <v>Personnel services</v>
      </c>
      <c r="H385" s="98" t="str">
        <f>VLOOKUP(F385,'GL Category'!A:C,2,FALSE)</f>
        <v>COMMUNICATIONS ALLOWANCE</v>
      </c>
      <c r="I385" s="99">
        <f>SUMIFS(I$1:I379,$C$1:$C379,$C385,$F$1:$F379,$F385)</f>
        <v>0</v>
      </c>
      <c r="J385" s="99">
        <f>SUMIFS(J$1:J379,$C$1:$C379,$C385,$F$1:$F379,$F385)</f>
        <v>0</v>
      </c>
      <c r="K385" s="99">
        <f>SUMIFS(K$1:K379,$C$1:$C379,$C385,$F$1:$F379,$F385)</f>
        <v>0</v>
      </c>
      <c r="L385" s="99">
        <f>SUMIFS(L$1:L379,$C$1:$C379,$C385,$F$1:$F379,$F385)</f>
        <v>0</v>
      </c>
      <c r="M385" s="99">
        <f>SUMIFS(M$1:M379,$C$1:$C379,$C385,$F$1:$F379,$F385)</f>
        <v>0</v>
      </c>
      <c r="N385" s="99">
        <f>SUMIFS(N$1:N379,$C$1:$C379,$C385,$F$1:$F379,$F385)</f>
        <v>0</v>
      </c>
      <c r="O385" s="99">
        <f>SUMIFS(O$1:O379,$C$1:$C379,$C385,$F$1:$F379,$F385)</f>
        <v>0</v>
      </c>
      <c r="P385" s="99">
        <f t="shared" si="546"/>
        <v>0</v>
      </c>
      <c r="Q385" s="99">
        <f>SUMIFS(Q$1:Q379,$C$1:$C379,$C385,$F$1:$F379,$F385)</f>
        <v>0</v>
      </c>
      <c r="R385" s="99">
        <f>SUMIFS(R$1:R379,$C$1:$C379,$C385,$F$1:$F379,$F385)</f>
        <v>0</v>
      </c>
      <c r="S385" s="99">
        <f>SUMIFS(S$1:S379,$C$1:$C379,$C385,$F$1:$F379,$F385)</f>
        <v>0</v>
      </c>
      <c r="T385" s="99">
        <f>SUMIFS(T$1:T379,$C$1:$C379,$C385,$F$1:$F379,$F385)</f>
        <v>0</v>
      </c>
      <c r="U385" s="99">
        <f t="shared" si="547"/>
        <v>0</v>
      </c>
      <c r="V385" s="255" t="str">
        <f t="shared" si="548"/>
        <v>N/A</v>
      </c>
      <c r="W385" s="102"/>
      <c r="X385" s="102"/>
      <c r="Y385" s="102">
        <f t="shared" si="549"/>
        <v>0</v>
      </c>
      <c r="Z385" s="309">
        <f>Y385*(1+VLOOKUP($F385,'GL Category'!$A:$H,4,FALSE))</f>
        <v>0</v>
      </c>
      <c r="AA385" s="615"/>
      <c r="AB385" s="622">
        <f t="shared" si="550"/>
        <v>0</v>
      </c>
      <c r="AC385" s="633">
        <f>AB385*(1+VLOOKUP($F385,'GL Category'!$A:$H,5,FALSE))</f>
        <v>0</v>
      </c>
      <c r="AE385" s="622">
        <f t="shared" si="551"/>
        <v>0</v>
      </c>
      <c r="AF385" s="633">
        <f>AE385*(1+VLOOKUP($F385,'GL Category'!$A:$H,6,FALSE))</f>
        <v>0</v>
      </c>
      <c r="AH385" s="622">
        <f t="shared" si="552"/>
        <v>0</v>
      </c>
      <c r="AI385" s="633">
        <f>AH385*(1+VLOOKUP($F385,'GL Category'!$A:$H,7,FALSE))</f>
        <v>0</v>
      </c>
      <c r="AK385" s="622">
        <f t="shared" si="553"/>
        <v>0</v>
      </c>
      <c r="AL385" s="633">
        <f>AK385*(1+VLOOKUP($F385,'GL Category'!$A:$H,8,FALSE))</f>
        <v>0</v>
      </c>
      <c r="AN385" s="622">
        <f t="shared" si="554"/>
        <v>0</v>
      </c>
    </row>
    <row r="386" spans="1:43" ht="15" customHeight="1">
      <c r="A386" s="296"/>
      <c r="B386" s="217"/>
      <c r="C386" s="217">
        <v>13</v>
      </c>
      <c r="D386" s="101"/>
      <c r="E386" s="101"/>
      <c r="F386" s="294" t="s">
        <v>140</v>
      </c>
      <c r="G386" s="295" t="str">
        <f>VLOOKUP(F386,'GL Category'!A:C,3,FALSE)</f>
        <v>Personnel services</v>
      </c>
      <c r="H386" s="98" t="str">
        <f>VLOOKUP(F386,'GL Category'!A:C,2,FALSE)</f>
        <v>SOCIAL SECURITY</v>
      </c>
      <c r="I386" s="99">
        <f>SUMIFS(I$1:I380,$C$1:$C380,$C386,$F$1:$F380,$F386)</f>
        <v>41014.54</v>
      </c>
      <c r="J386" s="99">
        <f>SUMIFS(J$1:J380,$C$1:$C380,$C386,$F$1:$F380,$F386)</f>
        <v>39841.01</v>
      </c>
      <c r="K386" s="99">
        <f>SUMIFS(K$1:K380,$C$1:$C380,$C386,$F$1:$F380,$F386)</f>
        <v>40424.47</v>
      </c>
      <c r="L386" s="99">
        <f>SUMIFS(L$1:L380,$C$1:$C380,$C386,$F$1:$F380,$F386)</f>
        <v>44690.37</v>
      </c>
      <c r="M386" s="99">
        <f>SUMIFS(M$1:M380,$C$1:$C380,$C386,$F$1:$F380,$F386)</f>
        <v>46520</v>
      </c>
      <c r="N386" s="99">
        <f>SUMIFS(N$1:N380,$C$1:$C380,$C386,$F$1:$F380,$F386)</f>
        <v>36342.089999999997</v>
      </c>
      <c r="O386" s="99">
        <f>SUMIFS(O$1:O380,$C$1:$C380,$C386,$F$1:$F380,$F386)</f>
        <v>46882</v>
      </c>
      <c r="P386" s="99">
        <f t="shared" si="546"/>
        <v>362</v>
      </c>
      <c r="Q386" s="99">
        <f>SUMIFS(Q$1:Q380,$C$1:$C380,$C386,$F$1:$F380,$F386)</f>
        <v>48200</v>
      </c>
      <c r="R386" s="99">
        <f>SUMIFS(R$1:R380,$C$1:$C380,$C386,$F$1:$F380,$F386)</f>
        <v>0</v>
      </c>
      <c r="S386" s="99">
        <f>SUMIFS(S$1:S380,$C$1:$C380,$C386,$F$1:$F380,$F386)</f>
        <v>0</v>
      </c>
      <c r="T386" s="99">
        <f>SUMIFS(T$1:T380,$C$1:$C380,$C386,$F$1:$F380,$F386)</f>
        <v>48200</v>
      </c>
      <c r="U386" s="99">
        <f t="shared" si="547"/>
        <v>1680</v>
      </c>
      <c r="V386" s="255">
        <f t="shared" si="548"/>
        <v>3.6113499570077368E-2</v>
      </c>
      <c r="W386" s="102"/>
      <c r="X386" s="102"/>
      <c r="Y386" s="102">
        <f t="shared" si="549"/>
        <v>48200</v>
      </c>
      <c r="Z386" s="309">
        <f>Y386*(1+VLOOKUP($F386,'GL Category'!$A:$H,4,FALSE))</f>
        <v>49886.999999999993</v>
      </c>
      <c r="AA386" s="615"/>
      <c r="AB386" s="622">
        <f t="shared" si="550"/>
        <v>49886.999999999993</v>
      </c>
      <c r="AC386" s="633">
        <f>AB386*(1+VLOOKUP($F386,'GL Category'!$A:$H,5,FALSE))</f>
        <v>51633.044999999991</v>
      </c>
      <c r="AE386" s="622">
        <f t="shared" si="551"/>
        <v>51633.044999999991</v>
      </c>
      <c r="AF386" s="633">
        <f>AE386*(1+VLOOKUP($F386,'GL Category'!$A:$H,6,FALSE))</f>
        <v>53440.201574999985</v>
      </c>
      <c r="AH386" s="622">
        <f t="shared" si="552"/>
        <v>53440.201574999985</v>
      </c>
      <c r="AI386" s="633">
        <f>AH386*(1+VLOOKUP($F386,'GL Category'!$A:$H,7,FALSE))</f>
        <v>55310.608630124982</v>
      </c>
      <c r="AK386" s="622">
        <f t="shared" si="553"/>
        <v>55310.608630124982</v>
      </c>
      <c r="AL386" s="633">
        <f>AK386*(1+VLOOKUP($F386,'GL Category'!$A:$H,8,FALSE))</f>
        <v>57246.479932179354</v>
      </c>
      <c r="AN386" s="622">
        <f t="shared" si="554"/>
        <v>57246.479932179354</v>
      </c>
    </row>
    <row r="387" spans="1:43" ht="15" customHeight="1">
      <c r="A387" s="296"/>
      <c r="B387" s="217"/>
      <c r="C387" s="217">
        <v>13</v>
      </c>
      <c r="D387" s="101"/>
      <c r="E387" s="101"/>
      <c r="F387" s="294" t="s">
        <v>141</v>
      </c>
      <c r="G387" s="295" t="str">
        <f>VLOOKUP(F387,'GL Category'!A:C,3,FALSE)</f>
        <v>Personnel services</v>
      </c>
      <c r="H387" s="98" t="str">
        <f>VLOOKUP(F387,'GL Category'!A:C,2,FALSE)</f>
        <v>HEALTH/LIFE INSURANCE</v>
      </c>
      <c r="I387" s="99">
        <f>SUMIFS(I$1:I381,$C$1:$C381,$C387,$F$1:$F381,$F387)</f>
        <v>83716.539999999994</v>
      </c>
      <c r="J387" s="99">
        <f>SUMIFS(J$1:J381,$C$1:$C381,$C387,$F$1:$F381,$F387)</f>
        <v>84189.6</v>
      </c>
      <c r="K387" s="99">
        <f>SUMIFS(K$1:K381,$C$1:$C381,$C387,$F$1:$F381,$F387)</f>
        <v>101689.97</v>
      </c>
      <c r="L387" s="99">
        <f>SUMIFS(L$1:L381,$C$1:$C381,$C387,$F$1:$F381,$F387)</f>
        <v>112953.14</v>
      </c>
      <c r="M387" s="99">
        <f>SUMIFS(M$1:M381,$C$1:$C381,$C387,$F$1:$F381,$F387)</f>
        <v>112611</v>
      </c>
      <c r="N387" s="99">
        <f>SUMIFS(N$1:N381,$C$1:$C381,$C387,$F$1:$F381,$F387)</f>
        <v>85907.24</v>
      </c>
      <c r="O387" s="99">
        <f>SUMIFS(O$1:O381,$C$1:$C381,$C387,$F$1:$F381,$F387)</f>
        <v>115506</v>
      </c>
      <c r="P387" s="99">
        <f t="shared" si="546"/>
        <v>2895</v>
      </c>
      <c r="Q387" s="99">
        <f>SUMIFS(Q$1:Q381,$C$1:$C381,$C387,$F$1:$F381,$F387)</f>
        <v>112996</v>
      </c>
      <c r="R387" s="99">
        <f>SUMIFS(R$1:R381,$C$1:$C381,$C387,$F$1:$F381,$F387)</f>
        <v>0</v>
      </c>
      <c r="S387" s="99">
        <f>SUMIFS(S$1:S381,$C$1:$C381,$C387,$F$1:$F381,$F387)</f>
        <v>0</v>
      </c>
      <c r="T387" s="99">
        <f>SUMIFS(T$1:T381,$C$1:$C381,$C387,$F$1:$F381,$F387)</f>
        <v>112996</v>
      </c>
      <c r="U387" s="99">
        <f t="shared" si="547"/>
        <v>385</v>
      </c>
      <c r="V387" s="255">
        <f t="shared" si="548"/>
        <v>3.4188489579169978E-3</v>
      </c>
      <c r="W387" s="102"/>
      <c r="X387" s="102"/>
      <c r="Y387" s="102">
        <f t="shared" si="549"/>
        <v>112996</v>
      </c>
      <c r="Z387" s="309">
        <f>Y387*(1+VLOOKUP($F387,'GL Category'!$A:$H,4,FALSE))</f>
        <v>116950.85999999999</v>
      </c>
      <c r="AA387" s="615"/>
      <c r="AB387" s="622">
        <f t="shared" si="550"/>
        <v>116950.85999999999</v>
      </c>
      <c r="AC387" s="633">
        <f>AB387*(1+VLOOKUP($F387,'GL Category'!$A:$H,5,FALSE))</f>
        <v>121044.14009999998</v>
      </c>
      <c r="AE387" s="622">
        <f t="shared" si="551"/>
        <v>121044.14009999998</v>
      </c>
      <c r="AF387" s="633">
        <f>AE387*(1+VLOOKUP($F387,'GL Category'!$A:$H,6,FALSE))</f>
        <v>125280.68500349997</v>
      </c>
      <c r="AH387" s="622">
        <f t="shared" si="552"/>
        <v>125280.68500349997</v>
      </c>
      <c r="AI387" s="633">
        <f>AH387*(1+VLOOKUP($F387,'GL Category'!$A:$H,7,FALSE))</f>
        <v>129665.50897862246</v>
      </c>
      <c r="AK387" s="622">
        <f t="shared" si="553"/>
        <v>129665.50897862246</v>
      </c>
      <c r="AL387" s="633">
        <f>AK387*(1+VLOOKUP($F387,'GL Category'!$A:$H,8,FALSE))</f>
        <v>134203.80179287423</v>
      </c>
      <c r="AN387" s="622">
        <f t="shared" si="554"/>
        <v>134203.80179287423</v>
      </c>
    </row>
    <row r="388" spans="1:43" ht="15" customHeight="1">
      <c r="A388" s="296"/>
      <c r="B388" s="217"/>
      <c r="C388" s="217">
        <v>13</v>
      </c>
      <c r="D388" s="101"/>
      <c r="E388" s="101"/>
      <c r="F388" s="294" t="s">
        <v>143</v>
      </c>
      <c r="G388" s="295" t="str">
        <f>VLOOKUP(F388,'GL Category'!A:C,3,FALSE)</f>
        <v>Personnel services</v>
      </c>
      <c r="H388" s="98" t="str">
        <f>VLOOKUP(F388,'GL Category'!A:C,2,FALSE)</f>
        <v>WORKER COMPENSATION</v>
      </c>
      <c r="I388" s="99">
        <f>SUMIFS(I$1:I383,$C$1:$C383,$C388,$F$1:$F383,$F388)</f>
        <v>373.81</v>
      </c>
      <c r="J388" s="99">
        <f>SUMIFS(J$1:J383,$C$1:$C383,$C388,$F$1:$F383,$F388)</f>
        <v>343.22</v>
      </c>
      <c r="K388" s="99">
        <f>SUMIFS(K$1:K383,$C$1:$C383,$C388,$F$1:$F383,$F388)</f>
        <v>264.81</v>
      </c>
      <c r="L388" s="99">
        <f>SUMIFS(L$1:L383,$C$1:$C383,$C388,$F$1:$F383,$F388)</f>
        <v>691.87</v>
      </c>
      <c r="M388" s="99">
        <f>SUMIFS(M$1:M383,$C$1:$C383,$C388,$F$1:$F383,$F388)</f>
        <v>897</v>
      </c>
      <c r="N388" s="99">
        <f>SUMIFS(N$1:N383,$C$1:$C383,$C388,$F$1:$F383,$F388)</f>
        <v>896.26</v>
      </c>
      <c r="O388" s="99">
        <f>SUMIFS(O$1:O383,$C$1:$C383,$C388,$F$1:$F383,$F388)</f>
        <v>896</v>
      </c>
      <c r="P388" s="99">
        <f t="shared" si="546"/>
        <v>-1</v>
      </c>
      <c r="Q388" s="99">
        <f>SUMIFS(Q$1:Q383,$C$1:$C383,$C388,$F$1:$F383,$F388)</f>
        <v>910</v>
      </c>
      <c r="R388" s="99">
        <f>SUMIFS(R$1:R383,$C$1:$C383,$C388,$F$1:$F383,$F388)</f>
        <v>0</v>
      </c>
      <c r="S388" s="99">
        <f>SUMIFS(S$1:S383,$C$1:$C383,$C388,$F$1:$F383,$F388)</f>
        <v>0</v>
      </c>
      <c r="T388" s="99">
        <f>SUMIFS(T$1:T383,$C$1:$C383,$C388,$F$1:$F383,$F388)</f>
        <v>910</v>
      </c>
      <c r="U388" s="99">
        <f t="shared" si="547"/>
        <v>13</v>
      </c>
      <c r="V388" s="255">
        <f t="shared" si="548"/>
        <v>1.449275362318847E-2</v>
      </c>
      <c r="W388" s="102"/>
      <c r="X388" s="102"/>
      <c r="Y388" s="102">
        <f t="shared" si="549"/>
        <v>910</v>
      </c>
      <c r="Z388" s="309">
        <f>Y388*(1+VLOOKUP($F388,'GL Category'!$A:$H,4,FALSE))</f>
        <v>941.84999999999991</v>
      </c>
      <c r="AA388" s="615"/>
      <c r="AB388" s="622">
        <f t="shared" si="550"/>
        <v>941.84999999999991</v>
      </c>
      <c r="AC388" s="633">
        <f>AB388*(1+VLOOKUP($F388,'GL Category'!$A:$H,5,FALSE))</f>
        <v>974.81474999999978</v>
      </c>
      <c r="AE388" s="622">
        <f t="shared" si="551"/>
        <v>974.81474999999978</v>
      </c>
      <c r="AF388" s="633">
        <f>AE388*(1+VLOOKUP($F388,'GL Category'!$A:$H,6,FALSE))</f>
        <v>1008.9332662499997</v>
      </c>
      <c r="AH388" s="622">
        <f t="shared" si="552"/>
        <v>1008.9332662499997</v>
      </c>
      <c r="AI388" s="633">
        <f>AH388*(1+VLOOKUP($F388,'GL Category'!$A:$H,7,FALSE))</f>
        <v>1044.2459305687496</v>
      </c>
      <c r="AK388" s="622">
        <f t="shared" si="553"/>
        <v>1044.2459305687496</v>
      </c>
      <c r="AL388" s="633">
        <f>AK388*(1+VLOOKUP($F388,'GL Category'!$A:$H,8,FALSE))</f>
        <v>1080.7945381386558</v>
      </c>
      <c r="AN388" s="622">
        <f t="shared" si="554"/>
        <v>1080.7945381386558</v>
      </c>
    </row>
    <row r="389" spans="1:43" ht="15" customHeight="1">
      <c r="A389" s="296"/>
      <c r="B389" s="217"/>
      <c r="C389" s="217">
        <v>13</v>
      </c>
      <c r="D389" s="101"/>
      <c r="E389" s="101"/>
      <c r="F389" s="294" t="s">
        <v>147</v>
      </c>
      <c r="G389" s="295" t="str">
        <f>VLOOKUP(F389,'GL Category'!A:C,3,FALSE)</f>
        <v>Personnel services</v>
      </c>
      <c r="H389" s="98" t="str">
        <f>VLOOKUP(F389,'GL Category'!A:C,2,FALSE)</f>
        <v>RETIREMENT</v>
      </c>
      <c r="I389" s="99">
        <f>SUMIFS(I$1:I383,$C$1:$C383,$C389,$F$1:$F383,$F389)</f>
        <v>87583.51</v>
      </c>
      <c r="J389" s="99">
        <f>SUMIFS(J$1:J383,$C$1:$C383,$C389,$F$1:$F383,$F389)</f>
        <v>88131.99</v>
      </c>
      <c r="K389" s="99">
        <f>SUMIFS(K$1:K383,$C$1:$C383,$C389,$F$1:$F383,$F389)</f>
        <v>90638.56</v>
      </c>
      <c r="L389" s="99">
        <f>SUMIFS(L$1:L383,$C$1:$C383,$C389,$F$1:$F383,$F389)</f>
        <v>99686.13</v>
      </c>
      <c r="M389" s="99">
        <f>SUMIFS(M$1:M383,$C$1:$C383,$C389,$F$1:$F383,$F389)</f>
        <v>103816</v>
      </c>
      <c r="N389" s="99">
        <f>SUMIFS(N$1:N383,$C$1:$C383,$C389,$F$1:$F383,$F389)</f>
        <v>81852.710000000006</v>
      </c>
      <c r="O389" s="99">
        <f>SUMIFS(O$1:O383,$C$1:$C383,$C389,$F$1:$F383,$F389)</f>
        <v>106236</v>
      </c>
      <c r="P389" s="99">
        <f t="shared" si="546"/>
        <v>2420</v>
      </c>
      <c r="Q389" s="99">
        <f>SUMIFS(Q$1:Q383,$C$1:$C383,$C389,$F$1:$F383,$F389)</f>
        <v>111880</v>
      </c>
      <c r="R389" s="99">
        <f>SUMIFS(R$1:R383,$C$1:$C383,$C389,$F$1:$F383,$F389)</f>
        <v>0</v>
      </c>
      <c r="S389" s="99">
        <f>SUMIFS(S$1:S383,$C$1:$C383,$C389,$F$1:$F383,$F389)</f>
        <v>0</v>
      </c>
      <c r="T389" s="99">
        <f>SUMIFS(T$1:T383,$C$1:$C383,$C389,$F$1:$F383,$F389)</f>
        <v>111880</v>
      </c>
      <c r="U389" s="99">
        <f t="shared" si="547"/>
        <v>8064</v>
      </c>
      <c r="V389" s="255">
        <f t="shared" si="548"/>
        <v>7.7675888109732583E-2</v>
      </c>
      <c r="W389" s="102"/>
      <c r="X389" s="102"/>
      <c r="Y389" s="102">
        <f t="shared" si="549"/>
        <v>111880</v>
      </c>
      <c r="Z389" s="309">
        <f>Y389*(1+VLOOKUP($F389,'GL Category'!$A:$H,4,FALSE))</f>
        <v>115795.79999999999</v>
      </c>
      <c r="AA389" s="615"/>
      <c r="AB389" s="622">
        <f t="shared" si="550"/>
        <v>115795.79999999999</v>
      </c>
      <c r="AC389" s="633">
        <f>AB389*(1+VLOOKUP($F389,'GL Category'!$A:$H,5,FALSE))</f>
        <v>119848.65299999998</v>
      </c>
      <c r="AE389" s="622">
        <f t="shared" si="551"/>
        <v>119848.65299999998</v>
      </c>
      <c r="AF389" s="633">
        <f>AE389*(1+VLOOKUP($F389,'GL Category'!$A:$H,6,FALSE))</f>
        <v>124043.35585499997</v>
      </c>
      <c r="AH389" s="622">
        <f t="shared" si="552"/>
        <v>124043.35585499997</v>
      </c>
      <c r="AI389" s="633">
        <f>AH389*(1+VLOOKUP($F389,'GL Category'!$A:$H,7,FALSE))</f>
        <v>128384.87330992497</v>
      </c>
      <c r="AK389" s="622">
        <f t="shared" si="553"/>
        <v>128384.87330992497</v>
      </c>
      <c r="AL389" s="633">
        <f>AK389*(1+VLOOKUP($F389,'GL Category'!$A:$H,8,FALSE))</f>
        <v>132878.34387577232</v>
      </c>
      <c r="AN389" s="622">
        <f t="shared" si="554"/>
        <v>132878.34387577232</v>
      </c>
    </row>
    <row r="390" spans="1:43" ht="15" customHeight="1">
      <c r="A390" s="297"/>
      <c r="B390" s="217"/>
      <c r="C390" s="217"/>
      <c r="D390" s="101"/>
      <c r="E390" s="101"/>
      <c r="F390" s="294"/>
      <c r="G390" s="295"/>
      <c r="H390" s="107" t="str">
        <f>UPPER(G389)&amp;" TOTAL"</f>
        <v>PERSONNEL SERVICES TOTAL</v>
      </c>
      <c r="I390" s="108">
        <f t="shared" ref="I390:T390" si="556">SUBTOTAL(9,I378:I389)</f>
        <v>769017.24000000011</v>
      </c>
      <c r="J390" s="108">
        <f t="shared" si="556"/>
        <v>734444.27999999991</v>
      </c>
      <c r="K390" s="108">
        <f t="shared" si="556"/>
        <v>816278.78</v>
      </c>
      <c r="L390" s="108">
        <f t="shared" si="556"/>
        <v>873290.1</v>
      </c>
      <c r="M390" s="108">
        <f t="shared" si="556"/>
        <v>889441</v>
      </c>
      <c r="N390" s="109">
        <f t="shared" si="556"/>
        <v>696310.82</v>
      </c>
      <c r="O390" s="109">
        <f t="shared" si="556"/>
        <v>904365</v>
      </c>
      <c r="P390" s="109">
        <f t="shared" si="556"/>
        <v>14924</v>
      </c>
      <c r="Q390" s="109">
        <f t="shared" si="556"/>
        <v>925165</v>
      </c>
      <c r="R390" s="109">
        <f t="shared" si="556"/>
        <v>0</v>
      </c>
      <c r="S390" s="109">
        <f t="shared" si="556"/>
        <v>0</v>
      </c>
      <c r="T390" s="109">
        <f t="shared" si="556"/>
        <v>925165</v>
      </c>
      <c r="U390" s="99">
        <f t="shared" si="547"/>
        <v>35724</v>
      </c>
      <c r="V390" s="255">
        <f t="shared" si="548"/>
        <v>4.0164552792147035E-2</v>
      </c>
      <c r="W390" s="102"/>
      <c r="X390" s="102"/>
      <c r="Y390" s="102"/>
      <c r="Z390" s="88"/>
      <c r="AA390" s="615"/>
      <c r="AC390" s="304"/>
      <c r="AD390" s="304"/>
      <c r="AE390" s="304"/>
      <c r="AF390" s="304"/>
      <c r="AG390" s="304"/>
      <c r="AJ390" s="304"/>
      <c r="AK390" s="304"/>
      <c r="AL390" s="304"/>
      <c r="AM390" s="304"/>
      <c r="AN390" s="304"/>
    </row>
    <row r="391" spans="1:43" ht="15" customHeight="1">
      <c r="A391" s="297"/>
      <c r="B391" s="217"/>
      <c r="C391" s="217"/>
      <c r="D391" s="101"/>
      <c r="E391" s="101"/>
      <c r="F391" s="294"/>
      <c r="G391" s="295"/>
      <c r="H391" s="98"/>
      <c r="I391" s="106"/>
      <c r="J391" s="106"/>
      <c r="K391" s="106"/>
      <c r="L391" s="106"/>
      <c r="M391" s="106"/>
      <c r="N391" s="112"/>
      <c r="O391" s="112"/>
      <c r="P391" s="112"/>
      <c r="Q391" s="113"/>
      <c r="R391" s="113"/>
      <c r="S391" s="113"/>
      <c r="T391" s="113"/>
      <c r="U391" s="113"/>
      <c r="V391" s="113"/>
      <c r="W391" s="102"/>
      <c r="X391" s="102"/>
      <c r="Y391" s="102"/>
      <c r="Z391" s="88"/>
      <c r="AA391" s="615"/>
      <c r="AC391" s="304"/>
      <c r="AD391" s="304"/>
      <c r="AE391" s="304"/>
      <c r="AF391" s="304"/>
      <c r="AG391" s="304"/>
      <c r="AJ391" s="304"/>
      <c r="AK391" s="304"/>
      <c r="AL391" s="304"/>
      <c r="AM391" s="304"/>
      <c r="AN391" s="304"/>
    </row>
    <row r="392" spans="1:43" ht="15" customHeight="1">
      <c r="A392" s="296"/>
      <c r="B392" s="217"/>
      <c r="C392" s="217">
        <v>13</v>
      </c>
      <c r="D392" s="101"/>
      <c r="E392" s="101"/>
      <c r="F392" s="294" t="s">
        <v>148</v>
      </c>
      <c r="G392" s="295" t="str">
        <f>VLOOKUP(F392,'GL Category'!A:C,3,FALSE)</f>
        <v>Operations &amp; maintenance</v>
      </c>
      <c r="H392" s="98" t="str">
        <f>VLOOKUP(F392,'GL Category'!A:C,2,FALSE)</f>
        <v>OFFICE SUPPLIES</v>
      </c>
      <c r="I392" s="99">
        <f>SUMIFS(I$1:I386,$C$1:$C386,$C392,$F$1:$F386,$F392)</f>
        <v>1363.94</v>
      </c>
      <c r="J392" s="99">
        <f>SUMIFS(J$1:J386,$C$1:$C386,$C392,$F$1:$F386,$F392)</f>
        <v>1845.95</v>
      </c>
      <c r="K392" s="99">
        <f>SUMIFS(K$1:K386,$C$1:$C386,$C392,$F$1:$F386,$F392)</f>
        <v>1921.11</v>
      </c>
      <c r="L392" s="99">
        <f>SUMIFS(L$1:L386,$C$1:$C386,$C392,$F$1:$F386,$F392)</f>
        <v>1810.79</v>
      </c>
      <c r="M392" s="99">
        <f>SUMIFS(M$1:M386,$C$1:$C386,$C392,$F$1:$F386,$F392)</f>
        <v>2200</v>
      </c>
      <c r="N392" s="99">
        <f>SUMIFS(N$1:N386,$C$1:$C386,$C392,$F$1:$F386,$F392)</f>
        <v>1039.04</v>
      </c>
      <c r="O392" s="99">
        <f>SUMIFS(O$1:O386,$C$1:$C386,$C392,$F$1:$F386,$F392)</f>
        <v>2100</v>
      </c>
      <c r="P392" s="99">
        <f t="shared" ref="P392:P401" si="557">O392-M392</f>
        <v>-100</v>
      </c>
      <c r="Q392" s="99">
        <f>SUMIFS(Q$1:Q386,$C$1:$C386,$C392,$F$1:$F386,$F392)</f>
        <v>2100</v>
      </c>
      <c r="R392" s="99">
        <f>SUMIFS(R$1:R386,$C$1:$C386,$C392,$F$1:$F386,$F392)</f>
        <v>0</v>
      </c>
      <c r="S392" s="99">
        <f>SUMIFS(S$1:S386,$C$1:$C386,$C392,$F$1:$F386,$F392)</f>
        <v>0</v>
      </c>
      <c r="T392" s="99">
        <f>SUMIFS(T$1:T386,$C$1:$C386,$C392,$F$1:$F386,$F392)</f>
        <v>2100</v>
      </c>
      <c r="U392" s="99">
        <f t="shared" ref="U392:U402" si="558">T392-M392</f>
        <v>-100</v>
      </c>
      <c r="V392" s="255">
        <f t="shared" ref="V392:V402" si="559">IF(M392=0,"N/A",T392/M392-1)</f>
        <v>-4.5454545454545414E-2</v>
      </c>
      <c r="W392" s="102"/>
      <c r="X392" s="102"/>
      <c r="Y392" s="102">
        <f t="shared" ref="Y392:Y401" si="560">T392-X392</f>
        <v>2100</v>
      </c>
      <c r="Z392" s="309">
        <f>Y392*(1+VLOOKUP($F392,'GL Category'!$A:$H,4,FALSE))</f>
        <v>2142</v>
      </c>
      <c r="AA392" s="615"/>
      <c r="AB392" s="622">
        <f t="shared" ref="AB392:AB401" si="561">Z392+AA392</f>
        <v>2142</v>
      </c>
      <c r="AC392" s="633">
        <f>AB392*(1+VLOOKUP($F392,'GL Category'!$A:$H,5,FALSE))</f>
        <v>2184.84</v>
      </c>
      <c r="AE392" s="622">
        <f t="shared" ref="AE392:AE401" si="562">AC392+AD392</f>
        <v>2184.84</v>
      </c>
      <c r="AF392" s="633">
        <f>AE392*(1+VLOOKUP($F392,'GL Category'!$A:$H,6,FALSE))</f>
        <v>2228.5368000000003</v>
      </c>
      <c r="AH392" s="622">
        <f t="shared" ref="AH392:AH401" si="563">AF392+AG392</f>
        <v>2228.5368000000003</v>
      </c>
      <c r="AI392" s="633">
        <f>AH392*(1+VLOOKUP($F392,'GL Category'!$A:$H,7,FALSE))</f>
        <v>2273.1075360000004</v>
      </c>
      <c r="AK392" s="622">
        <f t="shared" ref="AK392:AK401" si="564">AI392+AJ392</f>
        <v>2273.1075360000004</v>
      </c>
      <c r="AL392" s="633">
        <f>AK392*(1+VLOOKUP($F392,'GL Category'!$A:$H,8,FALSE))</f>
        <v>2318.5696867200004</v>
      </c>
      <c r="AN392" s="622">
        <f t="shared" ref="AN392:AN401" si="565">AL392+AM392</f>
        <v>2318.5696867200004</v>
      </c>
    </row>
    <row r="393" spans="1:43" ht="15" customHeight="1">
      <c r="A393" s="296"/>
      <c r="B393" s="217"/>
      <c r="C393" s="217">
        <v>13</v>
      </c>
      <c r="D393" s="101"/>
      <c r="E393" s="101"/>
      <c r="F393" s="294" t="s">
        <v>150</v>
      </c>
      <c r="G393" s="295" t="str">
        <f>VLOOKUP(F393,'GL Category'!A:C,3,FALSE)</f>
        <v>Operations &amp; maintenance</v>
      </c>
      <c r="H393" s="98" t="str">
        <f>VLOOKUP(F393,'GL Category'!A:C,2,FALSE)</f>
        <v>POSTAGE SUPPLIES</v>
      </c>
      <c r="I393" s="99">
        <f>SUMIFS(I$1:I386,$C$1:$C386,$C393,$F$1:$F386,$F393)</f>
        <v>0</v>
      </c>
      <c r="J393" s="99">
        <f>SUMIFS(J$1:J386,$C$1:$C386,$C393,$F$1:$F386,$F393)</f>
        <v>0</v>
      </c>
      <c r="K393" s="99">
        <f>SUMIFS(K$1:K386,$C$1:$C386,$C393,$F$1:$F386,$F393)</f>
        <v>0</v>
      </c>
      <c r="L393" s="99">
        <f>SUMIFS(L$1:L386,$C$1:$C386,$C393,$F$1:$F386,$F393)</f>
        <v>0</v>
      </c>
      <c r="M393" s="99">
        <f>SUMIFS(M$1:M386,$C$1:$C386,$C393,$F$1:$F386,$F393)</f>
        <v>0</v>
      </c>
      <c r="N393" s="99">
        <f>SUMIFS(N$1:N386,$C$1:$C386,$C393,$F$1:$F386,$F393)</f>
        <v>0</v>
      </c>
      <c r="O393" s="99">
        <f>SUMIFS(O$1:O386,$C$1:$C386,$C393,$F$1:$F386,$F393)</f>
        <v>0</v>
      </c>
      <c r="P393" s="99">
        <f t="shared" ref="P393" si="566">O393-M393</f>
        <v>0</v>
      </c>
      <c r="Q393" s="99">
        <f>SUMIFS(Q$1:Q386,$C$1:$C386,$C393,$F$1:$F386,$F393)</f>
        <v>0</v>
      </c>
      <c r="R393" s="99">
        <f>SUMIFS(R$1:R386,$C$1:$C386,$C393,$F$1:$F386,$F393)</f>
        <v>0</v>
      </c>
      <c r="S393" s="99">
        <f>SUMIFS(S$1:S386,$C$1:$C386,$C393,$F$1:$F386,$F393)</f>
        <v>0</v>
      </c>
      <c r="T393" s="99">
        <f>SUMIFS(T$1:T386,$C$1:$C386,$C393,$F$1:$F386,$F393)</f>
        <v>0</v>
      </c>
      <c r="U393" s="99">
        <f t="shared" si="558"/>
        <v>0</v>
      </c>
      <c r="V393" s="255" t="str">
        <f t="shared" si="559"/>
        <v>N/A</v>
      </c>
      <c r="W393" s="102"/>
      <c r="X393" s="102"/>
      <c r="Y393" s="102">
        <f t="shared" si="560"/>
        <v>0</v>
      </c>
      <c r="Z393" s="309">
        <f>Y393*(1+VLOOKUP($F393,'GL Category'!$A:$H,4,FALSE))</f>
        <v>0</v>
      </c>
      <c r="AA393" s="615"/>
      <c r="AB393" s="622">
        <f t="shared" si="561"/>
        <v>0</v>
      </c>
      <c r="AC393" s="633">
        <f>AB393*(1+VLOOKUP($F393,'GL Category'!$A:$H,5,FALSE))</f>
        <v>0</v>
      </c>
      <c r="AE393" s="622">
        <f t="shared" si="562"/>
        <v>0</v>
      </c>
      <c r="AF393" s="633">
        <f>AE393*(1+VLOOKUP($F393,'GL Category'!$A:$H,6,FALSE))</f>
        <v>0</v>
      </c>
      <c r="AH393" s="622">
        <f t="shared" si="563"/>
        <v>0</v>
      </c>
      <c r="AI393" s="633">
        <f>AH393*(1+VLOOKUP($F393,'GL Category'!$A:$H,7,FALSE))</f>
        <v>0</v>
      </c>
      <c r="AK393" s="622">
        <f t="shared" si="564"/>
        <v>0</v>
      </c>
      <c r="AL393" s="633">
        <f>AK393*(1+VLOOKUP($F393,'GL Category'!$A:$H,8,FALSE))</f>
        <v>0</v>
      </c>
      <c r="AN393" s="622">
        <f t="shared" si="565"/>
        <v>0</v>
      </c>
    </row>
    <row r="394" spans="1:43" ht="15" customHeight="1">
      <c r="A394" s="296"/>
      <c r="B394" s="217"/>
      <c r="C394" s="217">
        <v>13</v>
      </c>
      <c r="D394" s="101"/>
      <c r="E394" s="101"/>
      <c r="F394" s="294" t="s">
        <v>251</v>
      </c>
      <c r="G394" s="295" t="str">
        <f>VLOOKUP(F394,'GL Category'!A:C,3,FALSE)</f>
        <v>Operations &amp; maintenance</v>
      </c>
      <c r="H394" s="98" t="str">
        <f>VLOOKUP(F394,'GL Category'!A:C,2,FALSE)</f>
        <v>MEDICAL SUPPLIES</v>
      </c>
      <c r="I394" s="99">
        <f>SUMIFS(I$1:I387,$C$1:$C387,$C394,$F$1:$F387,$F394)</f>
        <v>0</v>
      </c>
      <c r="J394" s="99">
        <f>SUMIFS(J$1:J387,$C$1:$C387,$C394,$F$1:$F387,$F394)</f>
        <v>0</v>
      </c>
      <c r="K394" s="99">
        <f>SUMIFS(K$1:K387,$C$1:$C387,$C394,$F$1:$F387,$F394)</f>
        <v>0</v>
      </c>
      <c r="L394" s="99">
        <f>SUMIFS(L$1:L387,$C$1:$C387,$C394,$F$1:$F387,$F394)</f>
        <v>0</v>
      </c>
      <c r="M394" s="99">
        <f>SUMIFS(M$1:M387,$C$1:$C387,$C394,$F$1:$F387,$F394)</f>
        <v>0</v>
      </c>
      <c r="N394" s="99">
        <f>SUMIFS(N$1:N387,$C$1:$C387,$C394,$F$1:$F387,$F394)</f>
        <v>0</v>
      </c>
      <c r="O394" s="99">
        <f>SUMIFS(O$1:O387,$C$1:$C387,$C394,$F$1:$F387,$F394)</f>
        <v>0</v>
      </c>
      <c r="P394" s="99">
        <f t="shared" si="557"/>
        <v>0</v>
      </c>
      <c r="Q394" s="99">
        <f>SUMIFS(Q$1:Q387,$C$1:$C387,$C394,$F$1:$F387,$F394)</f>
        <v>0</v>
      </c>
      <c r="R394" s="99">
        <f>SUMIFS(R$1:R387,$C$1:$C387,$C394,$F$1:$F387,$F394)</f>
        <v>0</v>
      </c>
      <c r="S394" s="99">
        <f>SUMIFS(S$1:S387,$C$1:$C387,$C394,$F$1:$F387,$F394)</f>
        <v>0</v>
      </c>
      <c r="T394" s="99">
        <f>SUMIFS(T$1:T387,$C$1:$C387,$C394,$F$1:$F387,$F394)</f>
        <v>0</v>
      </c>
      <c r="U394" s="99">
        <f t="shared" si="558"/>
        <v>0</v>
      </c>
      <c r="V394" s="255" t="str">
        <f t="shared" si="559"/>
        <v>N/A</v>
      </c>
      <c r="W394" s="102"/>
      <c r="X394" s="102"/>
      <c r="Y394" s="102">
        <f t="shared" si="560"/>
        <v>0</v>
      </c>
      <c r="Z394" s="309">
        <f>Y394*(1+VLOOKUP($F394,'GL Category'!$A:$H,4,FALSE))</f>
        <v>0</v>
      </c>
      <c r="AA394" s="615"/>
      <c r="AB394" s="622">
        <f t="shared" si="561"/>
        <v>0</v>
      </c>
      <c r="AC394" s="633">
        <f>AB394*(1+VLOOKUP($F394,'GL Category'!$A:$H,5,FALSE))</f>
        <v>0</v>
      </c>
      <c r="AE394" s="622">
        <f t="shared" si="562"/>
        <v>0</v>
      </c>
      <c r="AF394" s="633">
        <f>AE394*(1+VLOOKUP($F394,'GL Category'!$A:$H,6,FALSE))</f>
        <v>0</v>
      </c>
      <c r="AH394" s="622">
        <f t="shared" si="563"/>
        <v>0</v>
      </c>
      <c r="AI394" s="633">
        <f>AH394*(1+VLOOKUP($F394,'GL Category'!$A:$H,7,FALSE))</f>
        <v>0</v>
      </c>
      <c r="AK394" s="622">
        <f t="shared" si="564"/>
        <v>0</v>
      </c>
      <c r="AL394" s="633">
        <f>AK394*(1+VLOOKUP($F394,'GL Category'!$A:$H,8,FALSE))</f>
        <v>0</v>
      </c>
      <c r="AN394" s="622">
        <f t="shared" si="565"/>
        <v>0</v>
      </c>
    </row>
    <row r="395" spans="1:43" ht="15" customHeight="1">
      <c r="A395" s="296"/>
      <c r="B395" s="217"/>
      <c r="C395" s="217">
        <v>13</v>
      </c>
      <c r="D395" s="101"/>
      <c r="E395" s="101"/>
      <c r="F395" s="294" t="s">
        <v>156</v>
      </c>
      <c r="G395" s="295" t="str">
        <f>VLOOKUP(F395,'GL Category'!A:C,3,FALSE)</f>
        <v>Operations &amp; maintenance</v>
      </c>
      <c r="H395" s="98" t="str">
        <f>VLOOKUP(F395,'GL Category'!A:C,2,FALSE)</f>
        <v>COMPUTER SUPPLIES</v>
      </c>
      <c r="I395" s="99">
        <f>SUMIFS(I$1:I388,$C$1:$C388,$C395,$F$1:$F388,$F395)</f>
        <v>0</v>
      </c>
      <c r="J395" s="99">
        <f>SUMIFS(J$1:J388,$C$1:$C388,$C395,$F$1:$F388,$F395)</f>
        <v>0</v>
      </c>
      <c r="K395" s="99">
        <f>SUMIFS(K$1:K388,$C$1:$C388,$C395,$F$1:$F388,$F395)</f>
        <v>0</v>
      </c>
      <c r="L395" s="99">
        <f>SUMIFS(L$1:L388,$C$1:$C388,$C395,$F$1:$F388,$F395)</f>
        <v>0</v>
      </c>
      <c r="M395" s="99">
        <f>SUMIFS(M$1:M388,$C$1:$C388,$C395,$F$1:$F388,$F395)</f>
        <v>0</v>
      </c>
      <c r="N395" s="99">
        <f>SUMIFS(N$1:N388,$C$1:$C388,$C395,$F$1:$F388,$F395)</f>
        <v>0</v>
      </c>
      <c r="O395" s="99">
        <f>SUMIFS(O$1:O388,$C$1:$C388,$C395,$F$1:$F388,$F395)</f>
        <v>0</v>
      </c>
      <c r="P395" s="99">
        <f t="shared" si="557"/>
        <v>0</v>
      </c>
      <c r="Q395" s="99">
        <f>SUMIFS(Q$1:Q388,$C$1:$C388,$C395,$F$1:$F388,$F395)</f>
        <v>0</v>
      </c>
      <c r="R395" s="99">
        <f>SUMIFS(R$1:R388,$C$1:$C388,$C395,$F$1:$F388,$F395)</f>
        <v>0</v>
      </c>
      <c r="S395" s="99">
        <f>SUMIFS(S$1:S388,$C$1:$C388,$C395,$F$1:$F388,$F395)</f>
        <v>0</v>
      </c>
      <c r="T395" s="99">
        <f>SUMIFS(T$1:T388,$C$1:$C388,$C395,$F$1:$F388,$F395)</f>
        <v>0</v>
      </c>
      <c r="U395" s="99">
        <f t="shared" si="558"/>
        <v>0</v>
      </c>
      <c r="V395" s="255" t="str">
        <f t="shared" si="559"/>
        <v>N/A</v>
      </c>
      <c r="W395" s="102"/>
      <c r="X395" s="102"/>
      <c r="Y395" s="102">
        <f t="shared" si="560"/>
        <v>0</v>
      </c>
      <c r="Z395" s="309">
        <f>Y395*(1+VLOOKUP($F395,'GL Category'!$A:$H,4,FALSE))</f>
        <v>0</v>
      </c>
      <c r="AA395" s="615"/>
      <c r="AB395" s="622">
        <f t="shared" si="561"/>
        <v>0</v>
      </c>
      <c r="AC395" s="633">
        <f>AB395*(1+VLOOKUP($F395,'GL Category'!$A:$H,5,FALSE))</f>
        <v>0</v>
      </c>
      <c r="AE395" s="622">
        <f t="shared" si="562"/>
        <v>0</v>
      </c>
      <c r="AF395" s="633">
        <f>AE395*(1+VLOOKUP($F395,'GL Category'!$A:$H,6,FALSE))</f>
        <v>0</v>
      </c>
      <c r="AH395" s="622">
        <f t="shared" si="563"/>
        <v>0</v>
      </c>
      <c r="AI395" s="633">
        <f>AH395*(1+VLOOKUP($F395,'GL Category'!$A:$H,7,FALSE))</f>
        <v>0</v>
      </c>
      <c r="AK395" s="622">
        <f t="shared" si="564"/>
        <v>0</v>
      </c>
      <c r="AL395" s="633">
        <f>AK395*(1+VLOOKUP($F395,'GL Category'!$A:$H,8,FALSE))</f>
        <v>0</v>
      </c>
      <c r="AN395" s="622">
        <f t="shared" si="565"/>
        <v>0</v>
      </c>
    </row>
    <row r="396" spans="1:43" s="115" customFormat="1" ht="15" customHeight="1">
      <c r="A396" s="296"/>
      <c r="B396" s="217"/>
      <c r="C396" s="217">
        <v>13</v>
      </c>
      <c r="D396" s="101"/>
      <c r="E396" s="101"/>
      <c r="F396" s="294" t="s">
        <v>159</v>
      </c>
      <c r="G396" s="295" t="str">
        <f>VLOOKUP(F396,'GL Category'!A:C,3,FALSE)</f>
        <v>Operations &amp; maintenance</v>
      </c>
      <c r="H396" s="98" t="str">
        <f>VLOOKUP(F396,'GL Category'!A:C,2,FALSE)</f>
        <v>SMALL TOOLS &amp; EQUIPMENT</v>
      </c>
      <c r="I396" s="99">
        <f>SUMIFS(I$1:I390,$C$1:$C390,$C396,$F$1:$F390,$F396)</f>
        <v>0</v>
      </c>
      <c r="J396" s="99">
        <f>SUMIFS(J$1:J390,$C$1:$C390,$C396,$F$1:$F390,$F396)</f>
        <v>0</v>
      </c>
      <c r="K396" s="99">
        <f>SUMIFS(K$1:K390,$C$1:$C390,$C396,$F$1:$F390,$F396)</f>
        <v>0</v>
      </c>
      <c r="L396" s="99">
        <f>SUMIFS(L$1:L390,$C$1:$C390,$C396,$F$1:$F390,$F396)</f>
        <v>0</v>
      </c>
      <c r="M396" s="99">
        <f>SUMIFS(M$1:M390,$C$1:$C390,$C396,$F$1:$F390,$F396)</f>
        <v>0</v>
      </c>
      <c r="N396" s="99">
        <f>SUMIFS(N$1:N390,$C$1:$C390,$C396,$F$1:$F390,$F396)</f>
        <v>0</v>
      </c>
      <c r="O396" s="99">
        <f>SUMIFS(O$1:O390,$C$1:$C390,$C396,$F$1:$F390,$F396)</f>
        <v>0</v>
      </c>
      <c r="P396" s="99">
        <f t="shared" si="557"/>
        <v>0</v>
      </c>
      <c r="Q396" s="99">
        <f>SUMIFS(Q$1:Q390,$C$1:$C390,$C396,$F$1:$F390,$F396)</f>
        <v>0</v>
      </c>
      <c r="R396" s="99">
        <f>SUMIFS(R$1:R390,$C$1:$C390,$C396,$F$1:$F390,$F396)</f>
        <v>0</v>
      </c>
      <c r="S396" s="99">
        <f>SUMIFS(S$1:S390,$C$1:$C390,$C396,$F$1:$F390,$F396)</f>
        <v>0</v>
      </c>
      <c r="T396" s="99">
        <f>SUMIFS(T$1:T390,$C$1:$C390,$C396,$F$1:$F390,$F396)</f>
        <v>0</v>
      </c>
      <c r="U396" s="99">
        <f t="shared" si="558"/>
        <v>0</v>
      </c>
      <c r="V396" s="255" t="str">
        <f t="shared" si="559"/>
        <v>N/A</v>
      </c>
      <c r="W396" s="102"/>
      <c r="X396" s="102"/>
      <c r="Y396" s="102">
        <f t="shared" si="560"/>
        <v>0</v>
      </c>
      <c r="Z396" s="309">
        <f>Y396*(1+VLOOKUP($F396,'GL Category'!$A:$H,4,FALSE))</f>
        <v>0</v>
      </c>
      <c r="AA396" s="615"/>
      <c r="AB396" s="622">
        <f t="shared" si="561"/>
        <v>0</v>
      </c>
      <c r="AC396" s="633">
        <f>AB396*(1+VLOOKUP($F396,'GL Category'!$A:$H,5,FALSE))</f>
        <v>0</v>
      </c>
      <c r="AD396" s="307"/>
      <c r="AE396" s="622">
        <f t="shared" si="562"/>
        <v>0</v>
      </c>
      <c r="AF396" s="633">
        <f>AE396*(1+VLOOKUP($F396,'GL Category'!$A:$H,6,FALSE))</f>
        <v>0</v>
      </c>
      <c r="AG396" s="307"/>
      <c r="AH396" s="622">
        <f t="shared" si="563"/>
        <v>0</v>
      </c>
      <c r="AI396" s="633">
        <f>AH396*(1+VLOOKUP($F396,'GL Category'!$A:$H,7,FALSE))</f>
        <v>0</v>
      </c>
      <c r="AJ396" s="307"/>
      <c r="AK396" s="622">
        <f t="shared" si="564"/>
        <v>0</v>
      </c>
      <c r="AL396" s="633">
        <f>AK396*(1+VLOOKUP($F396,'GL Category'!$A:$H,8,FALSE))</f>
        <v>0</v>
      </c>
      <c r="AM396" s="307"/>
      <c r="AN396" s="622">
        <f t="shared" si="565"/>
        <v>0</v>
      </c>
      <c r="AO396" s="192"/>
      <c r="AP396" s="192"/>
      <c r="AQ396" s="192"/>
    </row>
    <row r="397" spans="1:43" s="115" customFormat="1" ht="15" customHeight="1">
      <c r="A397" s="296"/>
      <c r="B397" s="217"/>
      <c r="C397" s="217">
        <v>13</v>
      </c>
      <c r="D397" s="101"/>
      <c r="E397" s="101"/>
      <c r="F397" s="294" t="s">
        <v>166</v>
      </c>
      <c r="G397" s="295" t="str">
        <f>VLOOKUP(F397,'GL Category'!A:C,3,FALSE)</f>
        <v>Operations &amp; maintenance</v>
      </c>
      <c r="H397" s="98" t="str">
        <f>VLOOKUP(F397,'GL Category'!A:C,2,FALSE)</f>
        <v>WEARING APPAREL</v>
      </c>
      <c r="I397" s="99">
        <f>SUMIFS(I$1:I391,$C$1:$C391,$C397,$F$1:$F391,$F397)</f>
        <v>404.21</v>
      </c>
      <c r="J397" s="99">
        <f>SUMIFS(J$1:J391,$C$1:$C391,$C397,$F$1:$F391,$F397)</f>
        <v>613.53</v>
      </c>
      <c r="K397" s="99">
        <f>SUMIFS(K$1:K391,$C$1:$C391,$C397,$F$1:$F391,$F397)</f>
        <v>333.21</v>
      </c>
      <c r="L397" s="99">
        <f>SUMIFS(L$1:L391,$C$1:$C391,$C397,$F$1:$F391,$F397)</f>
        <v>638.67999999999995</v>
      </c>
      <c r="M397" s="99">
        <f>SUMIFS(M$1:M391,$C$1:$C391,$C397,$F$1:$F391,$F397)</f>
        <v>600</v>
      </c>
      <c r="N397" s="99">
        <f>SUMIFS(N$1:N391,$C$1:$C391,$C397,$F$1:$F391,$F397)</f>
        <v>0</v>
      </c>
      <c r="O397" s="99">
        <f>SUMIFS(O$1:O391,$C$1:$C391,$C397,$F$1:$F391,$F397)</f>
        <v>700</v>
      </c>
      <c r="P397" s="99">
        <f t="shared" si="557"/>
        <v>100</v>
      </c>
      <c r="Q397" s="99">
        <f>SUMIFS(Q$1:Q391,$C$1:$C391,$C397,$F$1:$F391,$F397)</f>
        <v>700</v>
      </c>
      <c r="R397" s="99">
        <f>SUMIFS(R$1:R391,$C$1:$C391,$C397,$F$1:$F391,$F397)</f>
        <v>0</v>
      </c>
      <c r="S397" s="99">
        <f>SUMIFS(S$1:S391,$C$1:$C391,$C397,$F$1:$F391,$F397)</f>
        <v>0</v>
      </c>
      <c r="T397" s="99">
        <f>SUMIFS(T$1:T391,$C$1:$C391,$C397,$F$1:$F391,$F397)</f>
        <v>700</v>
      </c>
      <c r="U397" s="99">
        <f t="shared" si="558"/>
        <v>100</v>
      </c>
      <c r="V397" s="255">
        <f t="shared" si="559"/>
        <v>0.16666666666666674</v>
      </c>
      <c r="W397" s="102"/>
      <c r="X397" s="102"/>
      <c r="Y397" s="102">
        <f t="shared" si="560"/>
        <v>700</v>
      </c>
      <c r="Z397" s="309">
        <f>Y397*(1+VLOOKUP($F397,'GL Category'!$A:$H,4,FALSE))</f>
        <v>714</v>
      </c>
      <c r="AA397" s="615"/>
      <c r="AB397" s="622">
        <f t="shared" si="561"/>
        <v>714</v>
      </c>
      <c r="AC397" s="633">
        <f>AB397*(1+VLOOKUP($F397,'GL Category'!$A:$H,5,FALSE))</f>
        <v>728.28</v>
      </c>
      <c r="AD397" s="307"/>
      <c r="AE397" s="622">
        <f t="shared" si="562"/>
        <v>728.28</v>
      </c>
      <c r="AF397" s="633">
        <f>AE397*(1+VLOOKUP($F397,'GL Category'!$A:$H,6,FALSE))</f>
        <v>742.84559999999999</v>
      </c>
      <c r="AG397" s="307"/>
      <c r="AH397" s="622">
        <f t="shared" si="563"/>
        <v>742.84559999999999</v>
      </c>
      <c r="AI397" s="633">
        <f>AH397*(1+VLOOKUP($F397,'GL Category'!$A:$H,7,FALSE))</f>
        <v>757.70251199999996</v>
      </c>
      <c r="AJ397" s="307"/>
      <c r="AK397" s="622">
        <f t="shared" si="564"/>
        <v>757.70251199999996</v>
      </c>
      <c r="AL397" s="633">
        <f>AK397*(1+VLOOKUP($F397,'GL Category'!$A:$H,8,FALSE))</f>
        <v>772.85656224000002</v>
      </c>
      <c r="AM397" s="307"/>
      <c r="AN397" s="622">
        <f t="shared" si="565"/>
        <v>772.85656224000002</v>
      </c>
      <c r="AO397" s="192"/>
      <c r="AP397" s="192"/>
      <c r="AQ397" s="192"/>
    </row>
    <row r="398" spans="1:43" s="115" customFormat="1" ht="15" customHeight="1">
      <c r="A398" s="296"/>
      <c r="B398" s="217"/>
      <c r="C398" s="217">
        <v>13</v>
      </c>
      <c r="D398" s="101"/>
      <c r="E398" s="101"/>
      <c r="F398" s="294" t="s">
        <v>253</v>
      </c>
      <c r="G398" s="295" t="str">
        <f>VLOOKUP(F398,'GL Category'!A:C,3,FALSE)</f>
        <v>Operations &amp; maintenance</v>
      </c>
      <c r="H398" s="98" t="str">
        <f>VLOOKUP(F398,'GL Category'!A:C,2,FALSE)</f>
        <v>TRAINING SUPPLIES</v>
      </c>
      <c r="I398" s="99">
        <f>SUMIFS(I$1:I392,$C$1:$C392,$C398,$F$1:$F392,$F398)</f>
        <v>0</v>
      </c>
      <c r="J398" s="99">
        <f>SUMIFS(J$1:J392,$C$1:$C392,$C398,$F$1:$F392,$F398)</f>
        <v>0</v>
      </c>
      <c r="K398" s="99">
        <f>SUMIFS(K$1:K392,$C$1:$C392,$C398,$F$1:$F392,$F398)</f>
        <v>0</v>
      </c>
      <c r="L398" s="99">
        <f>SUMIFS(L$1:L392,$C$1:$C392,$C398,$F$1:$F392,$F398)</f>
        <v>0</v>
      </c>
      <c r="M398" s="99">
        <f>SUMIFS(M$1:M392,$C$1:$C392,$C398,$F$1:$F392,$F398)</f>
        <v>0</v>
      </c>
      <c r="N398" s="99">
        <f>SUMIFS(N$1:N392,$C$1:$C392,$C398,$F$1:$F392,$F398)</f>
        <v>0</v>
      </c>
      <c r="O398" s="99">
        <f>SUMIFS(O$1:O392,$C$1:$C392,$C398,$F$1:$F392,$F398)</f>
        <v>0</v>
      </c>
      <c r="P398" s="99">
        <f t="shared" si="557"/>
        <v>0</v>
      </c>
      <c r="Q398" s="99">
        <f>SUMIFS(Q$1:Q392,$C$1:$C392,$C398,$F$1:$F392,$F398)</f>
        <v>0</v>
      </c>
      <c r="R398" s="99">
        <f>SUMIFS(R$1:R392,$C$1:$C392,$C398,$F$1:$F392,$F398)</f>
        <v>0</v>
      </c>
      <c r="S398" s="99">
        <f>SUMIFS(S$1:S392,$C$1:$C392,$C398,$F$1:$F392,$F398)</f>
        <v>0</v>
      </c>
      <c r="T398" s="99">
        <f>SUMIFS(T$1:T392,$C$1:$C392,$C398,$F$1:$F392,$F398)</f>
        <v>0</v>
      </c>
      <c r="U398" s="99">
        <f t="shared" si="558"/>
        <v>0</v>
      </c>
      <c r="V398" s="255" t="str">
        <f t="shared" si="559"/>
        <v>N/A</v>
      </c>
      <c r="W398" s="102"/>
      <c r="X398" s="102"/>
      <c r="Y398" s="102">
        <f t="shared" si="560"/>
        <v>0</v>
      </c>
      <c r="Z398" s="309">
        <f>Y398*(1+VLOOKUP($F398,'GL Category'!$A:$H,4,FALSE))</f>
        <v>0</v>
      </c>
      <c r="AA398" s="615"/>
      <c r="AB398" s="622">
        <f t="shared" si="561"/>
        <v>0</v>
      </c>
      <c r="AC398" s="633">
        <f>AB398*(1+VLOOKUP($F398,'GL Category'!$A:$H,5,FALSE))</f>
        <v>0</v>
      </c>
      <c r="AD398" s="307"/>
      <c r="AE398" s="622">
        <f t="shared" si="562"/>
        <v>0</v>
      </c>
      <c r="AF398" s="633">
        <f>AE398*(1+VLOOKUP($F398,'GL Category'!$A:$H,6,FALSE))</f>
        <v>0</v>
      </c>
      <c r="AG398" s="307"/>
      <c r="AH398" s="622">
        <f t="shared" si="563"/>
        <v>0</v>
      </c>
      <c r="AI398" s="633">
        <f>AH398*(1+VLOOKUP($F398,'GL Category'!$A:$H,7,FALSE))</f>
        <v>0</v>
      </c>
      <c r="AJ398" s="307"/>
      <c r="AK398" s="622">
        <f t="shared" si="564"/>
        <v>0</v>
      </c>
      <c r="AL398" s="633">
        <f>AK398*(1+VLOOKUP($F398,'GL Category'!$A:$H,8,FALSE))</f>
        <v>0</v>
      </c>
      <c r="AM398" s="307"/>
      <c r="AN398" s="622">
        <f t="shared" si="565"/>
        <v>0</v>
      </c>
      <c r="AO398" s="192"/>
      <c r="AP398" s="192"/>
      <c r="AQ398" s="192"/>
    </row>
    <row r="399" spans="1:43" s="115" customFormat="1" ht="15" customHeight="1">
      <c r="A399" s="296"/>
      <c r="B399" s="217"/>
      <c r="C399" s="217">
        <v>13</v>
      </c>
      <c r="D399" s="101"/>
      <c r="E399" s="101"/>
      <c r="F399" s="294" t="s">
        <v>168</v>
      </c>
      <c r="G399" s="295" t="str">
        <f>VLOOKUP(F399,'GL Category'!A:C,3,FALSE)</f>
        <v>Operations &amp; maintenance</v>
      </c>
      <c r="H399" s="98" t="str">
        <f>VLOOKUP(F399,'GL Category'!A:C,2,FALSE)</f>
        <v>MISCELLANEOUS SUPPLIES</v>
      </c>
      <c r="I399" s="99">
        <f>SUMIFS(I$1:I394,$C$1:$C394,$C399,$F$1:$F394,$F399)</f>
        <v>0</v>
      </c>
      <c r="J399" s="99">
        <f>SUMIFS(J$1:J394,$C$1:$C394,$C399,$F$1:$F394,$F399)</f>
        <v>0</v>
      </c>
      <c r="K399" s="99">
        <f>SUMIFS(K$1:K394,$C$1:$C394,$C399,$F$1:$F394,$F399)</f>
        <v>0</v>
      </c>
      <c r="L399" s="99">
        <f>SUMIFS(L$1:L394,$C$1:$C394,$C399,$F$1:$F394,$F399)</f>
        <v>0</v>
      </c>
      <c r="M399" s="99">
        <f>SUMIFS(M$1:M394,$C$1:$C394,$C399,$F$1:$F394,$F399)</f>
        <v>0</v>
      </c>
      <c r="N399" s="99">
        <f>SUMIFS(N$1:N394,$C$1:$C394,$C399,$F$1:$F394,$F399)</f>
        <v>0</v>
      </c>
      <c r="O399" s="99">
        <f>SUMIFS(O$1:O394,$C$1:$C394,$C399,$F$1:$F394,$F399)</f>
        <v>0</v>
      </c>
      <c r="P399" s="99">
        <f t="shared" si="557"/>
        <v>0</v>
      </c>
      <c r="Q399" s="99">
        <f>SUMIFS(Q$1:Q394,$C$1:$C394,$C399,$F$1:$F394,$F399)</f>
        <v>0</v>
      </c>
      <c r="R399" s="99">
        <f>SUMIFS(R$1:R394,$C$1:$C394,$C399,$F$1:$F394,$F399)</f>
        <v>0</v>
      </c>
      <c r="S399" s="99">
        <f>SUMIFS(S$1:S394,$C$1:$C394,$C399,$F$1:$F394,$F399)</f>
        <v>0</v>
      </c>
      <c r="T399" s="99">
        <f>SUMIFS(T$1:T394,$C$1:$C394,$C399,$F$1:$F394,$F399)</f>
        <v>0</v>
      </c>
      <c r="U399" s="99">
        <f t="shared" si="558"/>
        <v>0</v>
      </c>
      <c r="V399" s="255" t="str">
        <f t="shared" si="559"/>
        <v>N/A</v>
      </c>
      <c r="W399" s="102"/>
      <c r="X399" s="102"/>
      <c r="Y399" s="102">
        <f t="shared" si="560"/>
        <v>0</v>
      </c>
      <c r="Z399" s="309">
        <f>Y399*(1+VLOOKUP($F399,'GL Category'!$A:$H,4,FALSE))</f>
        <v>0</v>
      </c>
      <c r="AA399" s="615"/>
      <c r="AB399" s="622">
        <f t="shared" si="561"/>
        <v>0</v>
      </c>
      <c r="AC399" s="633">
        <f>AB399*(1+VLOOKUP($F399,'GL Category'!$A:$H,5,FALSE))</f>
        <v>0</v>
      </c>
      <c r="AD399" s="307"/>
      <c r="AE399" s="622">
        <f t="shared" si="562"/>
        <v>0</v>
      </c>
      <c r="AF399" s="633">
        <f>AE399*(1+VLOOKUP($F399,'GL Category'!$A:$H,6,FALSE))</f>
        <v>0</v>
      </c>
      <c r="AG399" s="307"/>
      <c r="AH399" s="622">
        <f t="shared" si="563"/>
        <v>0</v>
      </c>
      <c r="AI399" s="633">
        <f>AH399*(1+VLOOKUP($F399,'GL Category'!$A:$H,7,FALSE))</f>
        <v>0</v>
      </c>
      <c r="AJ399" s="307"/>
      <c r="AK399" s="622">
        <f t="shared" si="564"/>
        <v>0</v>
      </c>
      <c r="AL399" s="633">
        <f>AK399*(1+VLOOKUP($F399,'GL Category'!$A:$H,8,FALSE))</f>
        <v>0</v>
      </c>
      <c r="AM399" s="307"/>
      <c r="AN399" s="622">
        <f t="shared" si="565"/>
        <v>0</v>
      </c>
      <c r="AO399" s="192"/>
      <c r="AP399" s="192"/>
      <c r="AQ399" s="192"/>
    </row>
    <row r="400" spans="1:43" s="115" customFormat="1" ht="15" customHeight="1">
      <c r="A400" s="296"/>
      <c r="B400" s="217"/>
      <c r="C400" s="217">
        <v>13</v>
      </c>
      <c r="D400" s="101"/>
      <c r="E400" s="101"/>
      <c r="F400" s="294" t="s">
        <v>176</v>
      </c>
      <c r="G400" s="295" t="str">
        <f>VLOOKUP(F400,'GL Category'!A:C,3,FALSE)</f>
        <v>Operations &amp; maintenance</v>
      </c>
      <c r="H400" s="98" t="str">
        <f>VLOOKUP(F400,'GL Category'!A:C,2,FALSE)</f>
        <v>OFFICE EQUIPMENT MAINTENANCE</v>
      </c>
      <c r="I400" s="99">
        <f>SUMIFS(I$1:I395,$C$1:$C395,$C400,$F$1:$F395,$F400)</f>
        <v>0</v>
      </c>
      <c r="J400" s="99">
        <f>SUMIFS(J$1:J395,$C$1:$C395,$C400,$F$1:$F395,$F400)</f>
        <v>0</v>
      </c>
      <c r="K400" s="99">
        <f>SUMIFS(K$1:K395,$C$1:$C395,$C400,$F$1:$F395,$F400)</f>
        <v>0</v>
      </c>
      <c r="L400" s="99">
        <f>SUMIFS(L$1:L395,$C$1:$C395,$C400,$F$1:$F395,$F400)</f>
        <v>0</v>
      </c>
      <c r="M400" s="99">
        <f>SUMIFS(M$1:M395,$C$1:$C395,$C400,$F$1:$F395,$F400)</f>
        <v>0</v>
      </c>
      <c r="N400" s="99">
        <f>SUMIFS(N$1:N395,$C$1:$C395,$C400,$F$1:$F395,$F400)</f>
        <v>0</v>
      </c>
      <c r="O400" s="99">
        <f>SUMIFS(O$1:O395,$C$1:$C395,$C400,$F$1:$F395,$F400)</f>
        <v>0</v>
      </c>
      <c r="P400" s="99">
        <f t="shared" si="557"/>
        <v>0</v>
      </c>
      <c r="Q400" s="99">
        <f>SUMIFS(Q$1:Q395,$C$1:$C395,$C400,$F$1:$F395,$F400)</f>
        <v>0</v>
      </c>
      <c r="R400" s="99">
        <f>SUMIFS(R$1:R395,$C$1:$C395,$C400,$F$1:$F395,$F400)</f>
        <v>0</v>
      </c>
      <c r="S400" s="99">
        <f>SUMIFS(S$1:S395,$C$1:$C395,$C400,$F$1:$F395,$F400)</f>
        <v>0</v>
      </c>
      <c r="T400" s="99">
        <f>SUMIFS(T$1:T395,$C$1:$C395,$C400,$F$1:$F395,$F400)</f>
        <v>0</v>
      </c>
      <c r="U400" s="99">
        <f t="shared" si="558"/>
        <v>0</v>
      </c>
      <c r="V400" s="255" t="str">
        <f t="shared" si="559"/>
        <v>N/A</v>
      </c>
      <c r="W400" s="102"/>
      <c r="X400" s="102"/>
      <c r="Y400" s="102">
        <f t="shared" si="560"/>
        <v>0</v>
      </c>
      <c r="Z400" s="309">
        <f>Y400*(1+VLOOKUP($F400,'GL Category'!$A:$H,4,FALSE))</f>
        <v>0</v>
      </c>
      <c r="AA400" s="615"/>
      <c r="AB400" s="622">
        <f t="shared" si="561"/>
        <v>0</v>
      </c>
      <c r="AC400" s="633">
        <f>AB400*(1+VLOOKUP($F400,'GL Category'!$A:$H,5,FALSE))</f>
        <v>0</v>
      </c>
      <c r="AD400" s="307"/>
      <c r="AE400" s="622">
        <f t="shared" si="562"/>
        <v>0</v>
      </c>
      <c r="AF400" s="633">
        <f>AE400*(1+VLOOKUP($F400,'GL Category'!$A:$H,6,FALSE))</f>
        <v>0</v>
      </c>
      <c r="AG400" s="307"/>
      <c r="AH400" s="622">
        <f t="shared" si="563"/>
        <v>0</v>
      </c>
      <c r="AI400" s="633">
        <f>AH400*(1+VLOOKUP($F400,'GL Category'!$A:$H,7,FALSE))</f>
        <v>0</v>
      </c>
      <c r="AJ400" s="307"/>
      <c r="AK400" s="622">
        <f t="shared" si="564"/>
        <v>0</v>
      </c>
      <c r="AL400" s="633">
        <f>AK400*(1+VLOOKUP($F400,'GL Category'!$A:$H,8,FALSE))</f>
        <v>0</v>
      </c>
      <c r="AM400" s="307"/>
      <c r="AN400" s="622">
        <f t="shared" si="565"/>
        <v>0</v>
      </c>
      <c r="AO400" s="192"/>
      <c r="AP400" s="192"/>
      <c r="AQ400" s="192"/>
    </row>
    <row r="401" spans="1:43" s="115" customFormat="1" ht="26.4">
      <c r="A401" s="296"/>
      <c r="B401" s="217"/>
      <c r="C401" s="217">
        <v>13</v>
      </c>
      <c r="D401" s="101"/>
      <c r="E401" s="101"/>
      <c r="F401" s="294" t="s">
        <v>178</v>
      </c>
      <c r="G401" s="295" t="str">
        <f>VLOOKUP(F401,'GL Category'!A:C,3,FALSE)</f>
        <v>Operations &amp; maintenance</v>
      </c>
      <c r="H401" s="98" t="str">
        <f>VLOOKUP(F401,'GL Category'!A:C,2,FALSE)</f>
        <v>SOFTWARE LICENSE &amp; MAINTENANCE</v>
      </c>
      <c r="I401" s="99">
        <f>SUMIFS(I$1:I395,$C$1:$C395,$C401,$F$1:$F395,$F401)</f>
        <v>0</v>
      </c>
      <c r="J401" s="99">
        <f>SUMIFS(J$1:J395,$C$1:$C395,$C401,$F$1:$F395,$F401)</f>
        <v>0</v>
      </c>
      <c r="K401" s="99">
        <f>SUMIFS(K$1:K395,$C$1:$C395,$C401,$F$1:$F395,$F401)</f>
        <v>0</v>
      </c>
      <c r="L401" s="99">
        <f>SUMIFS(L$1:L395,$C$1:$C395,$C401,$F$1:$F395,$F401)</f>
        <v>0</v>
      </c>
      <c r="M401" s="99">
        <f>SUMIFS(M$1:M395,$C$1:$C395,$C401,$F$1:$F395,$F401)</f>
        <v>0</v>
      </c>
      <c r="N401" s="99">
        <f>SUMIFS(N$1:N395,$C$1:$C395,$C401,$F$1:$F395,$F401)</f>
        <v>0</v>
      </c>
      <c r="O401" s="99">
        <f>SUMIFS(O$1:O395,$C$1:$C395,$C401,$F$1:$F395,$F401)</f>
        <v>0</v>
      </c>
      <c r="P401" s="99">
        <f t="shared" si="557"/>
        <v>0</v>
      </c>
      <c r="Q401" s="99">
        <f>SUMIFS(Q$1:Q395,$C$1:$C395,$C401,$F$1:$F395,$F401)</f>
        <v>0</v>
      </c>
      <c r="R401" s="99">
        <f>SUMIFS(R$1:R395,$C$1:$C395,$C401,$F$1:$F395,$F401)</f>
        <v>0</v>
      </c>
      <c r="S401" s="99">
        <f>SUMIFS(S$1:S395,$C$1:$C395,$C401,$F$1:$F395,$F401)</f>
        <v>0</v>
      </c>
      <c r="T401" s="99">
        <f>SUMIFS(T$1:T395,$C$1:$C395,$C401,$F$1:$F395,$F401)</f>
        <v>0</v>
      </c>
      <c r="U401" s="99">
        <f t="shared" si="558"/>
        <v>0</v>
      </c>
      <c r="V401" s="255" t="str">
        <f t="shared" si="559"/>
        <v>N/A</v>
      </c>
      <c r="W401" s="102"/>
      <c r="X401" s="102"/>
      <c r="Y401" s="102">
        <f t="shared" si="560"/>
        <v>0</v>
      </c>
      <c r="Z401" s="309">
        <f>Y401*(1+VLOOKUP($F401,'GL Category'!$A:$H,4,FALSE))</f>
        <v>0</v>
      </c>
      <c r="AA401" s="615"/>
      <c r="AB401" s="622">
        <f t="shared" si="561"/>
        <v>0</v>
      </c>
      <c r="AC401" s="633">
        <f>AB401*(1+VLOOKUP($F401,'GL Category'!$A:$H,5,FALSE))</f>
        <v>0</v>
      </c>
      <c r="AD401" s="307"/>
      <c r="AE401" s="622">
        <f t="shared" si="562"/>
        <v>0</v>
      </c>
      <c r="AF401" s="633">
        <f>AE401*(1+VLOOKUP($F401,'GL Category'!$A:$H,6,FALSE))</f>
        <v>0</v>
      </c>
      <c r="AG401" s="307"/>
      <c r="AH401" s="622">
        <f t="shared" si="563"/>
        <v>0</v>
      </c>
      <c r="AI401" s="633">
        <f>AH401*(1+VLOOKUP($F401,'GL Category'!$A:$H,7,FALSE))</f>
        <v>0</v>
      </c>
      <c r="AJ401" s="307"/>
      <c r="AK401" s="622">
        <f t="shared" si="564"/>
        <v>0</v>
      </c>
      <c r="AL401" s="633">
        <f>AK401*(1+VLOOKUP($F401,'GL Category'!$A:$H,8,FALSE))</f>
        <v>0</v>
      </c>
      <c r="AM401" s="307"/>
      <c r="AN401" s="622">
        <f t="shared" si="565"/>
        <v>0</v>
      </c>
      <c r="AO401" s="192"/>
      <c r="AP401" s="192"/>
      <c r="AQ401" s="192"/>
    </row>
    <row r="402" spans="1:43" s="115" customFormat="1" ht="28.35" customHeight="1">
      <c r="A402" s="297"/>
      <c r="B402" s="217"/>
      <c r="C402" s="217"/>
      <c r="D402" s="101"/>
      <c r="E402" s="101"/>
      <c r="F402" s="294"/>
      <c r="G402" s="295"/>
      <c r="H402" s="107" t="str">
        <f>UPPER(G401)&amp;" TOTAL"</f>
        <v>OPERATIONS &amp; MAINTENANCE TOTAL</v>
      </c>
      <c r="I402" s="108">
        <f t="shared" ref="I402:T402" si="567">SUBTOTAL(9,I392:I401)</f>
        <v>1768.15</v>
      </c>
      <c r="J402" s="108">
        <f t="shared" si="567"/>
        <v>2459.48</v>
      </c>
      <c r="K402" s="108">
        <f t="shared" si="567"/>
        <v>2254.3199999999997</v>
      </c>
      <c r="L402" s="108">
        <f t="shared" si="567"/>
        <v>2449.4699999999998</v>
      </c>
      <c r="M402" s="108">
        <f t="shared" si="567"/>
        <v>2800</v>
      </c>
      <c r="N402" s="108">
        <f t="shared" si="567"/>
        <v>1039.04</v>
      </c>
      <c r="O402" s="108">
        <f t="shared" si="567"/>
        <v>2800</v>
      </c>
      <c r="P402" s="108">
        <f t="shared" si="567"/>
        <v>0</v>
      </c>
      <c r="Q402" s="108">
        <f t="shared" si="567"/>
        <v>2800</v>
      </c>
      <c r="R402" s="108">
        <f t="shared" si="567"/>
        <v>0</v>
      </c>
      <c r="S402" s="108">
        <f t="shared" si="567"/>
        <v>0</v>
      </c>
      <c r="T402" s="108">
        <f t="shared" si="567"/>
        <v>2800</v>
      </c>
      <c r="U402" s="99">
        <f t="shared" si="558"/>
        <v>0</v>
      </c>
      <c r="V402" s="255">
        <f t="shared" si="559"/>
        <v>0</v>
      </c>
      <c r="W402" s="102"/>
      <c r="X402" s="102"/>
      <c r="Y402" s="102"/>
      <c r="Z402" s="192"/>
      <c r="AA402" s="615"/>
      <c r="AB402" s="307"/>
      <c r="AC402" s="300"/>
      <c r="AD402" s="300"/>
      <c r="AE402" s="300"/>
      <c r="AF402" s="300"/>
      <c r="AG402" s="300"/>
      <c r="AH402" s="307"/>
      <c r="AI402" s="307"/>
      <c r="AJ402" s="300"/>
      <c r="AK402" s="300"/>
      <c r="AL402" s="300"/>
      <c r="AM402" s="300"/>
      <c r="AN402" s="300"/>
      <c r="AO402" s="192"/>
      <c r="AP402" s="192"/>
      <c r="AQ402" s="192"/>
    </row>
    <row r="403" spans="1:43" s="115" customFormat="1" ht="15" customHeight="1">
      <c r="A403" s="297"/>
      <c r="B403" s="217"/>
      <c r="C403" s="217"/>
      <c r="D403" s="101"/>
      <c r="E403" s="101"/>
      <c r="F403" s="294"/>
      <c r="G403" s="295"/>
      <c r="H403" s="98"/>
      <c r="I403" s="106"/>
      <c r="J403" s="106"/>
      <c r="K403" s="106"/>
      <c r="L403" s="106"/>
      <c r="M403" s="106"/>
      <c r="N403" s="112"/>
      <c r="O403" s="112"/>
      <c r="P403" s="112"/>
      <c r="Q403" s="113"/>
      <c r="R403" s="113"/>
      <c r="S403" s="113"/>
      <c r="T403" s="113"/>
      <c r="U403" s="113"/>
      <c r="V403" s="113"/>
      <c r="W403" s="102"/>
      <c r="X403" s="102"/>
      <c r="Y403" s="102"/>
      <c r="Z403" s="192"/>
      <c r="AA403" s="615"/>
      <c r="AB403" s="307"/>
      <c r="AC403" s="94"/>
      <c r="AD403" s="94"/>
      <c r="AE403" s="94"/>
      <c r="AF403" s="94"/>
      <c r="AG403" s="94"/>
      <c r="AH403" s="307"/>
      <c r="AI403" s="307"/>
      <c r="AJ403" s="94"/>
      <c r="AK403" s="94"/>
      <c r="AL403" s="94"/>
      <c r="AM403" s="94"/>
      <c r="AN403" s="94"/>
      <c r="AO403" s="192"/>
      <c r="AP403" s="192"/>
      <c r="AQ403" s="192"/>
    </row>
    <row r="404" spans="1:43" s="115" customFormat="1" ht="15" customHeight="1">
      <c r="A404" s="296"/>
      <c r="B404" s="217"/>
      <c r="C404" s="217">
        <v>13</v>
      </c>
      <c r="D404" s="101"/>
      <c r="E404" s="101"/>
      <c r="F404" s="556" t="s">
        <v>237</v>
      </c>
      <c r="G404" s="295" t="str">
        <f>VLOOKUP(F404,'GL Category'!A:C,3,FALSE)</f>
        <v>Services &amp; other</v>
      </c>
      <c r="H404" s="98" t="str">
        <f>VLOOKUP(F404,'GL Category'!A:C,2,FALSE)</f>
        <v>MISCELLANEOUS SERVICES</v>
      </c>
      <c r="I404" s="99">
        <f>SUMIFS(I$1:I398,$C$1:$C398,$C404,$F$1:$F398,$F404)</f>
        <v>59768.759999999995</v>
      </c>
      <c r="J404" s="99">
        <f>SUMIFS(J$1:J398,$C$1:$C398,$C404,$F$1:$F398,$F404)</f>
        <v>61494.7</v>
      </c>
      <c r="K404" s="99">
        <f>SUMIFS(K$1:K398,$C$1:$C398,$C404,$F$1:$F398,$F404)</f>
        <v>16837.38</v>
      </c>
      <c r="L404" s="99">
        <f>SUMIFS(L$1:L398,$C$1:$C398,$C404,$F$1:$F398,$F404)</f>
        <v>17648.900000000001</v>
      </c>
      <c r="M404" s="99">
        <f>SUMIFS(M$1:M398,$C$1:$C398,$C404,$F$1:$F398,$F404)</f>
        <v>19160</v>
      </c>
      <c r="N404" s="99">
        <f>SUMIFS(N$1:N398,$C$1:$C398,$C404,$F$1:$F398,$F404)</f>
        <v>17692.919999999998</v>
      </c>
      <c r="O404" s="99">
        <f>SUMIFS(O$1:O398,$C$1:$C398,$C404,$F$1:$F398,$F404)</f>
        <v>19160</v>
      </c>
      <c r="P404" s="99">
        <f t="shared" ref="P404:P416" si="568">O404-M404</f>
        <v>0</v>
      </c>
      <c r="Q404" s="99">
        <f>SUMIFS(Q$1:Q398,$C$1:$C398,$C404,$F$1:$F398,$F404)</f>
        <v>19160</v>
      </c>
      <c r="R404" s="99">
        <f>SUMIFS(R$1:R398,$C$1:$C398,$C404,$F$1:$F398,$F404)</f>
        <v>0</v>
      </c>
      <c r="S404" s="99">
        <f>SUMIFS(S$1:S398,$C$1:$C398,$C404,$F$1:$F398,$F404)</f>
        <v>0</v>
      </c>
      <c r="T404" s="99">
        <f>SUMIFS(T$1:T398,$C$1:$C398,$C404,$F$1:$F398,$F404)</f>
        <v>19160</v>
      </c>
      <c r="U404" s="99">
        <f t="shared" ref="U404:U417" si="569">T404-M404</f>
        <v>0</v>
      </c>
      <c r="V404" s="255">
        <f t="shared" ref="V404:V417" si="570">IF(M404=0,"N/A",T404/M404-1)</f>
        <v>0</v>
      </c>
      <c r="W404" s="102"/>
      <c r="X404" s="102"/>
      <c r="Y404" s="102">
        <f t="shared" ref="Y404" si="571">T404-X404</f>
        <v>19160</v>
      </c>
      <c r="Z404" s="309">
        <f>Y404*(1+VLOOKUP($F404,'GL Category'!$A:$H,4,FALSE))</f>
        <v>19734.8</v>
      </c>
      <c r="AA404" s="615"/>
      <c r="AB404" s="622">
        <f t="shared" ref="AB404" si="572">Z404+AA404</f>
        <v>19734.8</v>
      </c>
      <c r="AC404" s="633">
        <f>AB404*(1+VLOOKUP($F404,'GL Category'!$A:$H,5,FALSE))</f>
        <v>20326.844000000001</v>
      </c>
      <c r="AD404" s="615"/>
      <c r="AE404" s="622">
        <f t="shared" ref="AE404" si="573">AC404+AD404</f>
        <v>20326.844000000001</v>
      </c>
      <c r="AF404" s="633">
        <f>AE404*(1+VLOOKUP($F404,'GL Category'!$A:$H,6,FALSE))</f>
        <v>20936.64932</v>
      </c>
      <c r="AG404" s="615"/>
      <c r="AH404" s="622">
        <f t="shared" ref="AH404" si="574">AF404+AG404</f>
        <v>20936.64932</v>
      </c>
      <c r="AI404" s="633">
        <f>AH404*(1+VLOOKUP($F404,'GL Category'!$A:$H,7,FALSE))</f>
        <v>21564.748799600002</v>
      </c>
      <c r="AJ404" s="615"/>
      <c r="AK404" s="622">
        <f t="shared" ref="AK404" si="575">AI404+AJ404</f>
        <v>21564.748799600002</v>
      </c>
      <c r="AL404" s="633">
        <f>AK404*(1+VLOOKUP($F404,'GL Category'!$A:$H,8,FALSE))</f>
        <v>22211.691263588003</v>
      </c>
      <c r="AM404" s="615"/>
      <c r="AN404" s="622">
        <f t="shared" ref="AN404" si="576">AL404+AM404</f>
        <v>22211.691263588003</v>
      </c>
      <c r="AO404" s="192"/>
      <c r="AP404" s="192"/>
      <c r="AQ404" s="192"/>
    </row>
    <row r="405" spans="1:43" s="115" customFormat="1" ht="15" customHeight="1">
      <c r="A405" s="296"/>
      <c r="B405" s="217"/>
      <c r="C405" s="217">
        <v>13</v>
      </c>
      <c r="D405" s="101"/>
      <c r="E405" s="101"/>
      <c r="F405" s="294" t="s">
        <v>189</v>
      </c>
      <c r="G405" s="295" t="str">
        <f>VLOOKUP(F405,'GL Category'!A:C,3,FALSE)</f>
        <v>Services &amp; other</v>
      </c>
      <c r="H405" s="98" t="str">
        <f>VLOOKUP(F405,'GL Category'!A:C,2,FALSE)</f>
        <v>DUES &amp; SUBSCRIPTIONS</v>
      </c>
      <c r="I405" s="99">
        <f>SUMIFS(I$1:I399,$C$1:$C399,$C405,$F$1:$F399,$F405)</f>
        <v>2728</v>
      </c>
      <c r="J405" s="99">
        <f>SUMIFS(J$1:J399,$C$1:$C399,$C405,$F$1:$F399,$F405)</f>
        <v>2224</v>
      </c>
      <c r="K405" s="99">
        <f>SUMIFS(K$1:K399,$C$1:$C399,$C405,$F$1:$F399,$F405)</f>
        <v>2379</v>
      </c>
      <c r="L405" s="99">
        <f>SUMIFS(L$1:L399,$C$1:$C399,$C405,$F$1:$F399,$F405)</f>
        <v>1700</v>
      </c>
      <c r="M405" s="99">
        <f>SUMIFS(M$1:M399,$C$1:$C399,$C405,$F$1:$F399,$F405)</f>
        <v>3000</v>
      </c>
      <c r="N405" s="99">
        <f>SUMIFS(N$1:N399,$C$1:$C399,$C405,$F$1:$F399,$F405)</f>
        <v>2808.71</v>
      </c>
      <c r="O405" s="99">
        <f>SUMIFS(O$1:O399,$C$1:$C399,$C405,$F$1:$F399,$F405)</f>
        <v>2920</v>
      </c>
      <c r="P405" s="99">
        <f t="shared" si="568"/>
        <v>-80</v>
      </c>
      <c r="Q405" s="99">
        <f>SUMIFS(Q$1:Q399,$C$1:$C399,$C405,$F$1:$F399,$F405)</f>
        <v>2920</v>
      </c>
      <c r="R405" s="99">
        <f>SUMIFS(R$1:R399,$C$1:$C399,$C405,$F$1:$F399,$F405)</f>
        <v>0</v>
      </c>
      <c r="S405" s="99">
        <f>SUMIFS(S$1:S399,$C$1:$C399,$C405,$F$1:$F399,$F405)</f>
        <v>0</v>
      </c>
      <c r="T405" s="99">
        <f>SUMIFS(T$1:T399,$C$1:$C399,$C405,$F$1:$F399,$F405)</f>
        <v>2920</v>
      </c>
      <c r="U405" s="99">
        <f t="shared" si="569"/>
        <v>-80</v>
      </c>
      <c r="V405" s="255">
        <f t="shared" si="570"/>
        <v>-2.6666666666666616E-2</v>
      </c>
      <c r="W405" s="102"/>
      <c r="X405" s="102"/>
      <c r="Y405" s="102">
        <f t="shared" ref="Y405:Y416" si="577">T405-X405</f>
        <v>2920</v>
      </c>
      <c r="Z405" s="309">
        <f>Y405*(1+VLOOKUP($F405,'GL Category'!$A:$H,4,FALSE))</f>
        <v>3007.6</v>
      </c>
      <c r="AA405" s="615"/>
      <c r="AB405" s="622">
        <f t="shared" ref="AB405:AB416" si="578">Z405+AA405</f>
        <v>3007.6</v>
      </c>
      <c r="AC405" s="633">
        <f>AB405*(1+VLOOKUP($F405,'GL Category'!$A:$H,5,FALSE))</f>
        <v>3097.828</v>
      </c>
      <c r="AD405" s="307"/>
      <c r="AE405" s="622">
        <f t="shared" ref="AE405:AE416" si="579">AC405+AD405</f>
        <v>3097.828</v>
      </c>
      <c r="AF405" s="633">
        <f>AE405*(1+VLOOKUP($F405,'GL Category'!$A:$H,6,FALSE))</f>
        <v>3190.7628399999999</v>
      </c>
      <c r="AG405" s="307"/>
      <c r="AH405" s="622">
        <f t="shared" ref="AH405:AH416" si="580">AF405+AG405</f>
        <v>3190.7628399999999</v>
      </c>
      <c r="AI405" s="633">
        <f>AH405*(1+VLOOKUP($F405,'GL Category'!$A:$H,7,FALSE))</f>
        <v>3286.4857252000002</v>
      </c>
      <c r="AJ405" s="307"/>
      <c r="AK405" s="622">
        <f t="shared" ref="AK405:AK416" si="581">AI405+AJ405</f>
        <v>3286.4857252000002</v>
      </c>
      <c r="AL405" s="633">
        <f>AK405*(1+VLOOKUP($F405,'GL Category'!$A:$H,8,FALSE))</f>
        <v>3385.0802969560004</v>
      </c>
      <c r="AM405" s="307"/>
      <c r="AN405" s="622">
        <f t="shared" ref="AN405:AN416" si="582">AL405+AM405</f>
        <v>3385.0802969560004</v>
      </c>
      <c r="AO405" s="192"/>
      <c r="AP405" s="192"/>
      <c r="AQ405" s="192"/>
    </row>
    <row r="406" spans="1:43" s="115" customFormat="1" ht="15" customHeight="1">
      <c r="A406" s="296"/>
      <c r="B406" s="217"/>
      <c r="C406" s="217">
        <v>13</v>
      </c>
      <c r="D406" s="101"/>
      <c r="E406" s="101"/>
      <c r="F406" s="556" t="s">
        <v>264</v>
      </c>
      <c r="G406" s="295" t="str">
        <f>VLOOKUP(F406,'GL Category'!A:C,3,FALSE)</f>
        <v>Services &amp; other</v>
      </c>
      <c r="H406" s="98" t="str">
        <f>VLOOKUP(F406,'GL Category'!A:C,2,FALSE)</f>
        <v>TRAVEL, TRAINING &amp; EDUCATION</v>
      </c>
      <c r="I406" s="99">
        <f>SUMIFS(I$1:I400,$C$1:$C400,$C406,$F$1:$F400,$F406)</f>
        <v>5473.21</v>
      </c>
      <c r="J406" s="99">
        <f>SUMIFS(J$1:J400,$C$1:$C400,$C406,$F$1:$F400,$F406)</f>
        <v>1343.26</v>
      </c>
      <c r="K406" s="99">
        <f>SUMIFS(K$1:K400,$C$1:$C400,$C406,$F$1:$F400,$F406)</f>
        <v>11361.51</v>
      </c>
      <c r="L406" s="99">
        <f>SUMIFS(L$1:L400,$C$1:$C400,$C406,$F$1:$F400,$F406)</f>
        <v>16635.419999999998</v>
      </c>
      <c r="M406" s="99">
        <f>SUMIFS(M$1:M400,$C$1:$C400,$C406,$F$1:$F400,$F406)</f>
        <v>13105</v>
      </c>
      <c r="N406" s="99">
        <f>SUMIFS(N$1:N400,$C$1:$C400,$C406,$F$1:$F400,$F406)</f>
        <v>14154.98</v>
      </c>
      <c r="O406" s="99">
        <f>SUMIFS(O$1:O400,$C$1:$C400,$C406,$F$1:$F400,$F406)</f>
        <v>13105</v>
      </c>
      <c r="P406" s="99">
        <f t="shared" si="568"/>
        <v>0</v>
      </c>
      <c r="Q406" s="99">
        <f>SUMIFS(Q$1:Q400,$C$1:$C400,$C406,$F$1:$F400,$F406)</f>
        <v>13105</v>
      </c>
      <c r="R406" s="99">
        <f>SUMIFS(R$1:R400,$C$1:$C400,$C406,$F$1:$F400,$F406)</f>
        <v>0</v>
      </c>
      <c r="S406" s="99">
        <f>SUMIFS(S$1:S400,$C$1:$C400,$C406,$F$1:$F400,$F406)</f>
        <v>0</v>
      </c>
      <c r="T406" s="99">
        <f>SUMIFS(T$1:T400,$C$1:$C400,$C406,$F$1:$F400,$F406)</f>
        <v>13105</v>
      </c>
      <c r="U406" s="99">
        <f t="shared" si="569"/>
        <v>0</v>
      </c>
      <c r="V406" s="255">
        <f t="shared" si="570"/>
        <v>0</v>
      </c>
      <c r="W406" s="102"/>
      <c r="X406" s="102"/>
      <c r="Y406" s="102">
        <f t="shared" si="577"/>
        <v>13105</v>
      </c>
      <c r="Z406" s="309">
        <f>Y406*(1+VLOOKUP($F406,'GL Category'!$A:$H,4,FALSE))</f>
        <v>13498.15</v>
      </c>
      <c r="AA406" s="615"/>
      <c r="AB406" s="622">
        <f t="shared" si="578"/>
        <v>13498.15</v>
      </c>
      <c r="AC406" s="633">
        <f>AB406*(1+VLOOKUP($F406,'GL Category'!$A:$H,5,FALSE))</f>
        <v>13903.094499999999</v>
      </c>
      <c r="AD406" s="307"/>
      <c r="AE406" s="622">
        <f t="shared" si="579"/>
        <v>13903.094499999999</v>
      </c>
      <c r="AF406" s="633">
        <f>AE406*(1+VLOOKUP($F406,'GL Category'!$A:$H,6,FALSE))</f>
        <v>14320.187334999999</v>
      </c>
      <c r="AG406" s="307"/>
      <c r="AH406" s="622">
        <f t="shared" si="580"/>
        <v>14320.187334999999</v>
      </c>
      <c r="AI406" s="633">
        <f>AH406*(1+VLOOKUP($F406,'GL Category'!$A:$H,7,FALSE))</f>
        <v>14749.792955049999</v>
      </c>
      <c r="AJ406" s="307"/>
      <c r="AK406" s="622">
        <f t="shared" si="581"/>
        <v>14749.792955049999</v>
      </c>
      <c r="AL406" s="633">
        <f>AK406*(1+VLOOKUP($F406,'GL Category'!$A:$H,8,FALSE))</f>
        <v>15192.286743701499</v>
      </c>
      <c r="AM406" s="307"/>
      <c r="AN406" s="622">
        <f t="shared" si="582"/>
        <v>15192.286743701499</v>
      </c>
      <c r="AO406" s="192"/>
      <c r="AP406" s="192"/>
      <c r="AQ406" s="192"/>
    </row>
    <row r="407" spans="1:43" s="115" customFormat="1" ht="15" customHeight="1">
      <c r="A407" s="296"/>
      <c r="B407" s="217"/>
      <c r="C407" s="217">
        <v>13</v>
      </c>
      <c r="D407" s="101"/>
      <c r="E407" s="101"/>
      <c r="F407" s="294" t="s">
        <v>192</v>
      </c>
      <c r="G407" s="295" t="str">
        <f>VLOOKUP(F407,'GL Category'!A:C,3,FALSE)</f>
        <v>Services &amp; other</v>
      </c>
      <c r="H407" s="98" t="str">
        <f>VLOOKUP(F407,'GL Category'!A:C,2,FALSE)</f>
        <v>CONSULTING SERVICES</v>
      </c>
      <c r="I407" s="99">
        <f>SUMIFS(I$1:I401,$C$1:$C401,$C407,$F$1:$F401,$F407)</f>
        <v>2465</v>
      </c>
      <c r="J407" s="99">
        <f>SUMIFS(J$1:J401,$C$1:$C401,$C407,$F$1:$F401,$F407)</f>
        <v>33588.75</v>
      </c>
      <c r="K407" s="99">
        <f>SUMIFS(K$1:K401,$C$1:$C401,$C407,$F$1:$F401,$F407)</f>
        <v>54933.2</v>
      </c>
      <c r="L407" s="99">
        <f>SUMIFS(L$1:L401,$C$1:$C401,$C407,$F$1:$F401,$F407)</f>
        <v>50538.65</v>
      </c>
      <c r="M407" s="99">
        <f>SUMIFS(M$1:M401,$C$1:$C401,$C407,$F$1:$F401,$F407)</f>
        <v>56000</v>
      </c>
      <c r="N407" s="99">
        <f>SUMIFS(N$1:N401,$C$1:$C401,$C407,$F$1:$F401,$F407)</f>
        <v>12553.12</v>
      </c>
      <c r="O407" s="99">
        <f>SUMIFS(O$1:O401,$C$1:$C401,$C407,$F$1:$F401,$F407)</f>
        <v>56000</v>
      </c>
      <c r="P407" s="99">
        <f t="shared" si="568"/>
        <v>0</v>
      </c>
      <c r="Q407" s="99">
        <f>SUMIFS(Q$1:Q401,$C$1:$C401,$C407,$F$1:$F401,$F407)</f>
        <v>56000</v>
      </c>
      <c r="R407" s="99">
        <f>SUMIFS(R$1:R401,$C$1:$C401,$C407,$F$1:$F401,$F407)</f>
        <v>0</v>
      </c>
      <c r="S407" s="99">
        <f>SUMIFS(S$1:S401,$C$1:$C401,$C407,$F$1:$F401,$F407)</f>
        <v>0</v>
      </c>
      <c r="T407" s="99">
        <f>SUMIFS(T$1:T401,$C$1:$C401,$C407,$F$1:$F401,$F407)</f>
        <v>56000</v>
      </c>
      <c r="U407" s="99">
        <f t="shared" si="569"/>
        <v>0</v>
      </c>
      <c r="V407" s="255">
        <f t="shared" si="570"/>
        <v>0</v>
      </c>
      <c r="W407" s="102"/>
      <c r="X407" s="102"/>
      <c r="Y407" s="102">
        <f t="shared" si="577"/>
        <v>56000</v>
      </c>
      <c r="Z407" s="309">
        <f>Y407*(1+VLOOKUP($F407,'GL Category'!$A:$H,4,FALSE))</f>
        <v>57680</v>
      </c>
      <c r="AA407" s="615"/>
      <c r="AB407" s="622">
        <f t="shared" si="578"/>
        <v>57680</v>
      </c>
      <c r="AC407" s="633">
        <f>AB407*(1+VLOOKUP($F407,'GL Category'!$A:$H,5,FALSE))</f>
        <v>59410.400000000001</v>
      </c>
      <c r="AD407" s="307"/>
      <c r="AE407" s="622">
        <f t="shared" si="579"/>
        <v>59410.400000000001</v>
      </c>
      <c r="AF407" s="633">
        <f>AE407*(1+VLOOKUP($F407,'GL Category'!$A:$H,6,FALSE))</f>
        <v>61192.712</v>
      </c>
      <c r="AG407" s="307"/>
      <c r="AH407" s="622">
        <f t="shared" si="580"/>
        <v>61192.712</v>
      </c>
      <c r="AI407" s="633">
        <f>AH407*(1+VLOOKUP($F407,'GL Category'!$A:$H,7,FALSE))</f>
        <v>63028.49336</v>
      </c>
      <c r="AJ407" s="307"/>
      <c r="AK407" s="622">
        <f t="shared" si="581"/>
        <v>63028.49336</v>
      </c>
      <c r="AL407" s="633">
        <f>AK407*(1+VLOOKUP($F407,'GL Category'!$A:$H,8,FALSE))</f>
        <v>64919.3481608</v>
      </c>
      <c r="AM407" s="307"/>
      <c r="AN407" s="622">
        <f t="shared" si="582"/>
        <v>64919.3481608</v>
      </c>
      <c r="AO407" s="192"/>
      <c r="AP407" s="192"/>
      <c r="AQ407" s="192"/>
    </row>
    <row r="408" spans="1:43" s="115" customFormat="1" ht="15" customHeight="1">
      <c r="A408" s="296"/>
      <c r="B408" s="217"/>
      <c r="C408" s="217">
        <v>13</v>
      </c>
      <c r="D408" s="101"/>
      <c r="E408" s="101"/>
      <c r="F408" s="294" t="s">
        <v>245</v>
      </c>
      <c r="G408" s="295" t="str">
        <f>VLOOKUP(F408,'GL Category'!A:C,3,FALSE)</f>
        <v>Services &amp; other</v>
      </c>
      <c r="H408" s="98" t="str">
        <f>VLOOKUP(F408,'GL Category'!A:C,2,FALSE)</f>
        <v>AUDIT &amp; ACCOUNTING SERVICES</v>
      </c>
      <c r="I408" s="99">
        <f>SUMIFS(I$1:I402,$C$1:$C402,$C408,$F$1:$F402,$F408)</f>
        <v>107012.88</v>
      </c>
      <c r="J408" s="99">
        <f>SUMIFS(J$1:J402,$C$1:$C402,$C408,$F$1:$F402,$F408)</f>
        <v>112686.3</v>
      </c>
      <c r="K408" s="99">
        <f>SUMIFS(K$1:K402,$C$1:$C402,$C408,$F$1:$F402,$F408)</f>
        <v>137009.64000000001</v>
      </c>
      <c r="L408" s="99">
        <f>SUMIFS(L$1:L402,$C$1:$C402,$C408,$F$1:$F402,$F408)</f>
        <v>106274.45</v>
      </c>
      <c r="M408" s="99">
        <f>SUMIFS(M$1:M402,$C$1:$C402,$C408,$F$1:$F402,$F408)</f>
        <v>85000</v>
      </c>
      <c r="N408" s="99">
        <f>SUMIFS(N$1:N402,$C$1:$C402,$C408,$F$1:$F402,$F408)</f>
        <v>93047.99</v>
      </c>
      <c r="O408" s="99">
        <f>SUMIFS(O$1:O402,$C$1:$C402,$C408,$F$1:$F402,$F408)</f>
        <v>95000</v>
      </c>
      <c r="P408" s="99">
        <f t="shared" si="568"/>
        <v>10000</v>
      </c>
      <c r="Q408" s="99">
        <f>SUMIFS(Q$1:Q402,$C$1:$C402,$C408,$F$1:$F402,$F408)</f>
        <v>90000</v>
      </c>
      <c r="R408" s="99">
        <f>SUMIFS(R$1:R402,$C$1:$C402,$C408,$F$1:$F402,$F408)</f>
        <v>0</v>
      </c>
      <c r="S408" s="99">
        <f>SUMIFS(S$1:S402,$C$1:$C402,$C408,$F$1:$F402,$F408)</f>
        <v>0</v>
      </c>
      <c r="T408" s="99">
        <f>SUMIFS(T$1:T402,$C$1:$C402,$C408,$F$1:$F402,$F408)</f>
        <v>90000</v>
      </c>
      <c r="U408" s="99">
        <f t="shared" si="569"/>
        <v>5000</v>
      </c>
      <c r="V408" s="255">
        <f t="shared" si="570"/>
        <v>5.8823529411764719E-2</v>
      </c>
      <c r="W408" s="102"/>
      <c r="X408" s="102"/>
      <c r="Y408" s="102">
        <f t="shared" si="577"/>
        <v>90000</v>
      </c>
      <c r="Z408" s="309">
        <f>Y408*(1+VLOOKUP($F408,'GL Category'!$A:$H,4,FALSE))</f>
        <v>92700</v>
      </c>
      <c r="AA408" s="615"/>
      <c r="AB408" s="622">
        <f t="shared" si="578"/>
        <v>92700</v>
      </c>
      <c r="AC408" s="633">
        <f>AB408*(1+VLOOKUP($F408,'GL Category'!$A:$H,5,FALSE))</f>
        <v>95481</v>
      </c>
      <c r="AD408" s="307"/>
      <c r="AE408" s="622">
        <f t="shared" si="579"/>
        <v>95481</v>
      </c>
      <c r="AF408" s="633">
        <f>AE408*(1+VLOOKUP($F408,'GL Category'!$A:$H,6,FALSE))</f>
        <v>98345.430000000008</v>
      </c>
      <c r="AG408" s="307"/>
      <c r="AH408" s="622">
        <f t="shared" si="580"/>
        <v>98345.430000000008</v>
      </c>
      <c r="AI408" s="633">
        <f>AH408*(1+VLOOKUP($F408,'GL Category'!$A:$H,7,FALSE))</f>
        <v>101295.79290000001</v>
      </c>
      <c r="AJ408" s="307"/>
      <c r="AK408" s="622">
        <f t="shared" si="581"/>
        <v>101295.79290000001</v>
      </c>
      <c r="AL408" s="633">
        <f>AK408*(1+VLOOKUP($F408,'GL Category'!$A:$H,8,FALSE))</f>
        <v>104334.66668700002</v>
      </c>
      <c r="AM408" s="307"/>
      <c r="AN408" s="622">
        <f t="shared" si="582"/>
        <v>104334.66668700002</v>
      </c>
      <c r="AO408" s="192"/>
      <c r="AP408" s="192"/>
      <c r="AQ408" s="192"/>
    </row>
    <row r="409" spans="1:43" s="115" customFormat="1" ht="15" customHeight="1">
      <c r="A409" s="296"/>
      <c r="B409" s="217"/>
      <c r="C409" s="217">
        <v>13</v>
      </c>
      <c r="D409" s="101"/>
      <c r="E409" s="101"/>
      <c r="F409" s="294" t="s">
        <v>255</v>
      </c>
      <c r="G409" s="295" t="str">
        <f>VLOOKUP(F409,'GL Category'!A:C,3,FALSE)</f>
        <v>Services &amp; other</v>
      </c>
      <c r="H409" s="98" t="str">
        <f>VLOOKUP(F409,'GL Category'!A:C,2,FALSE)</f>
        <v>TAX APPRAISAL SERVICES</v>
      </c>
      <c r="I409" s="99">
        <f>SUMIFS(I$1:I403,$C$1:$C403,$C409,$F$1:$F403,$F409)</f>
        <v>115007.26</v>
      </c>
      <c r="J409" s="99">
        <f>SUMIFS(J$1:J403,$C$1:$C403,$C409,$F$1:$F403,$F409)</f>
        <v>112864.34</v>
      </c>
      <c r="K409" s="99">
        <f>SUMIFS(K$1:K403,$C$1:$C403,$C409,$F$1:$F403,$F409)</f>
        <v>113098.16</v>
      </c>
      <c r="L409" s="99">
        <f>SUMIFS(L$1:L403,$C$1:$C403,$C409,$F$1:$F403,$F409)</f>
        <v>111807.99</v>
      </c>
      <c r="M409" s="99">
        <f>SUMIFS(M$1:M403,$C$1:$C403,$C409,$F$1:$F403,$F409)</f>
        <v>120000</v>
      </c>
      <c r="N409" s="99">
        <f>SUMIFS(N$1:N403,$C$1:$C403,$C409,$F$1:$F403,$F409)</f>
        <v>118043.37</v>
      </c>
      <c r="O409" s="99">
        <f>SUMIFS(O$1:O403,$C$1:$C403,$C409,$F$1:$F403,$F409)</f>
        <v>120000</v>
      </c>
      <c r="P409" s="99">
        <f t="shared" si="568"/>
        <v>0</v>
      </c>
      <c r="Q409" s="99">
        <f>SUMIFS(Q$1:Q403,$C$1:$C403,$C409,$F$1:$F403,$F409)</f>
        <v>137601</v>
      </c>
      <c r="R409" s="99">
        <f>SUMIFS(R$1:R403,$C$1:$C403,$C409,$F$1:$F403,$F409)</f>
        <v>0</v>
      </c>
      <c r="S409" s="99">
        <f>SUMIFS(S$1:S403,$C$1:$C403,$C409,$F$1:$F403,$F409)</f>
        <v>0</v>
      </c>
      <c r="T409" s="99">
        <f>SUMIFS(T$1:T403,$C$1:$C403,$C409,$F$1:$F403,$F409)</f>
        <v>137601</v>
      </c>
      <c r="U409" s="99">
        <f t="shared" si="569"/>
        <v>17601</v>
      </c>
      <c r="V409" s="255">
        <f t="shared" si="570"/>
        <v>0.14667500000000011</v>
      </c>
      <c r="W409" s="102"/>
      <c r="X409" s="102"/>
      <c r="Y409" s="102">
        <f t="shared" si="577"/>
        <v>137601</v>
      </c>
      <c r="Z409" s="309">
        <f>Y409*(1+VLOOKUP($F409,'GL Category'!$A:$H,4,FALSE))</f>
        <v>141729.03</v>
      </c>
      <c r="AA409" s="615"/>
      <c r="AB409" s="622">
        <f t="shared" si="578"/>
        <v>141729.03</v>
      </c>
      <c r="AC409" s="633">
        <f>AB409*(1+VLOOKUP($F409,'GL Category'!$A:$H,5,FALSE))</f>
        <v>145980.90090000001</v>
      </c>
      <c r="AD409" s="307"/>
      <c r="AE409" s="622">
        <f t="shared" si="579"/>
        <v>145980.90090000001</v>
      </c>
      <c r="AF409" s="633">
        <f>AE409*(1+VLOOKUP($F409,'GL Category'!$A:$H,6,FALSE))</f>
        <v>150360.32792700001</v>
      </c>
      <c r="AG409" s="307"/>
      <c r="AH409" s="622">
        <f t="shared" si="580"/>
        <v>150360.32792700001</v>
      </c>
      <c r="AI409" s="633">
        <f>AH409*(1+VLOOKUP($F409,'GL Category'!$A:$H,7,FALSE))</f>
        <v>154871.13776481</v>
      </c>
      <c r="AJ409" s="307"/>
      <c r="AK409" s="622">
        <f t="shared" si="581"/>
        <v>154871.13776481</v>
      </c>
      <c r="AL409" s="633">
        <f>AK409*(1+VLOOKUP($F409,'GL Category'!$A:$H,8,FALSE))</f>
        <v>159517.27189775431</v>
      </c>
      <c r="AM409" s="307"/>
      <c r="AN409" s="622">
        <f t="shared" si="582"/>
        <v>159517.27189775431</v>
      </c>
      <c r="AO409" s="192"/>
      <c r="AP409" s="192"/>
      <c r="AQ409" s="192"/>
    </row>
    <row r="410" spans="1:43" s="115" customFormat="1" ht="15" customHeight="1">
      <c r="A410" s="296"/>
      <c r="B410" s="217"/>
      <c r="C410" s="217">
        <v>13</v>
      </c>
      <c r="D410" s="101"/>
      <c r="E410" s="101"/>
      <c r="F410" s="294" t="s">
        <v>257</v>
      </c>
      <c r="G410" s="295" t="str">
        <f>VLOOKUP(F410,'GL Category'!A:C,3,FALSE)</f>
        <v>Services &amp; other</v>
      </c>
      <c r="H410" s="98" t="str">
        <f>VLOOKUP(F410,'GL Category'!A:C,2,FALSE)</f>
        <v>EMPLOYEE ACTIVITIES</v>
      </c>
      <c r="I410" s="99">
        <f>SUMIFS(I$1:I404,$C$1:$C404,$C410,$F$1:$F404,$F410)</f>
        <v>0</v>
      </c>
      <c r="J410" s="99">
        <f>SUMIFS(J$1:J404,$C$1:$C404,$C410,$F$1:$F404,$F410)</f>
        <v>0</v>
      </c>
      <c r="K410" s="99">
        <f>SUMIFS(K$1:K404,$C$1:$C404,$C410,$F$1:$F404,$F410)</f>
        <v>0</v>
      </c>
      <c r="L410" s="99">
        <f>SUMIFS(L$1:L404,$C$1:$C404,$C410,$F$1:$F404,$F410)</f>
        <v>0</v>
      </c>
      <c r="M410" s="99">
        <f>SUMIFS(M$1:M404,$C$1:$C404,$C410,$F$1:$F404,$F410)</f>
        <v>0</v>
      </c>
      <c r="N410" s="99">
        <f>SUMIFS(N$1:N404,$C$1:$C404,$C410,$F$1:$F404,$F410)</f>
        <v>0</v>
      </c>
      <c r="O410" s="99">
        <f>SUMIFS(O$1:O404,$C$1:$C404,$C410,$F$1:$F404,$F410)</f>
        <v>0</v>
      </c>
      <c r="P410" s="99">
        <f t="shared" si="568"/>
        <v>0</v>
      </c>
      <c r="Q410" s="99">
        <f>SUMIFS(Q$1:Q404,$C$1:$C404,$C410,$F$1:$F404,$F410)</f>
        <v>0</v>
      </c>
      <c r="R410" s="99">
        <f>SUMIFS(R$1:R404,$C$1:$C404,$C410,$F$1:$F404,$F410)</f>
        <v>0</v>
      </c>
      <c r="S410" s="99">
        <f>SUMIFS(S$1:S404,$C$1:$C404,$C410,$F$1:$F404,$F410)</f>
        <v>0</v>
      </c>
      <c r="T410" s="99">
        <f>SUMIFS(T$1:T404,$C$1:$C404,$C410,$F$1:$F404,$F410)</f>
        <v>0</v>
      </c>
      <c r="U410" s="99">
        <f t="shared" si="569"/>
        <v>0</v>
      </c>
      <c r="V410" s="255" t="str">
        <f t="shared" si="570"/>
        <v>N/A</v>
      </c>
      <c r="W410" s="102"/>
      <c r="X410" s="102"/>
      <c r="Y410" s="102">
        <f t="shared" si="577"/>
        <v>0</v>
      </c>
      <c r="Z410" s="309">
        <f>Y410*(1+VLOOKUP($F410,'GL Category'!$A:$H,4,FALSE))</f>
        <v>0</v>
      </c>
      <c r="AA410" s="615"/>
      <c r="AB410" s="622">
        <f t="shared" si="578"/>
        <v>0</v>
      </c>
      <c r="AC410" s="633">
        <f>AB410*(1+VLOOKUP($F410,'GL Category'!$A:$H,5,FALSE))</f>
        <v>0</v>
      </c>
      <c r="AD410" s="307"/>
      <c r="AE410" s="622">
        <f t="shared" si="579"/>
        <v>0</v>
      </c>
      <c r="AF410" s="633">
        <f>AE410*(1+VLOOKUP($F410,'GL Category'!$A:$H,6,FALSE))</f>
        <v>0</v>
      </c>
      <c r="AG410" s="307"/>
      <c r="AH410" s="622">
        <f t="shared" si="580"/>
        <v>0</v>
      </c>
      <c r="AI410" s="633">
        <f>AH410*(1+VLOOKUP($F410,'GL Category'!$A:$H,7,FALSE))</f>
        <v>0</v>
      </c>
      <c r="AJ410" s="307"/>
      <c r="AK410" s="622">
        <f t="shared" si="581"/>
        <v>0</v>
      </c>
      <c r="AL410" s="633">
        <f>AK410*(1+VLOOKUP($F410,'GL Category'!$A:$H,8,FALSE))</f>
        <v>0</v>
      </c>
      <c r="AM410" s="307"/>
      <c r="AN410" s="622">
        <f t="shared" si="582"/>
        <v>0</v>
      </c>
      <c r="AO410" s="192"/>
      <c r="AP410" s="192"/>
      <c r="AQ410" s="192"/>
    </row>
    <row r="411" spans="1:43" s="115" customFormat="1" ht="15" customHeight="1">
      <c r="A411" s="296"/>
      <c r="B411" s="217"/>
      <c r="C411" s="217">
        <v>13</v>
      </c>
      <c r="D411" s="101"/>
      <c r="E411" s="101"/>
      <c r="F411" s="294" t="s">
        <v>199</v>
      </c>
      <c r="G411" s="295" t="str">
        <f>VLOOKUP(F411,'GL Category'!A:C,3,FALSE)</f>
        <v>Services &amp; other</v>
      </c>
      <c r="H411" s="98" t="str">
        <f>VLOOKUP(F411,'GL Category'!A:C,2,FALSE)</f>
        <v>EMPLOYEE RECRUITING/TESTING</v>
      </c>
      <c r="I411" s="99">
        <f>SUMIFS(I$1:I405,$C$1:$C405,$C411,$F$1:$F405,$F411)</f>
        <v>0</v>
      </c>
      <c r="J411" s="99">
        <f>SUMIFS(J$1:J405,$C$1:$C405,$C411,$F$1:$F405,$F411)</f>
        <v>0</v>
      </c>
      <c r="K411" s="99">
        <f>SUMIFS(K$1:K405,$C$1:$C405,$C411,$F$1:$F405,$F411)</f>
        <v>0</v>
      </c>
      <c r="L411" s="99">
        <f>SUMIFS(L$1:L405,$C$1:$C405,$C411,$F$1:$F405,$F411)</f>
        <v>0</v>
      </c>
      <c r="M411" s="99">
        <f>SUMIFS(M$1:M405,$C$1:$C405,$C411,$F$1:$F405,$F411)</f>
        <v>0</v>
      </c>
      <c r="N411" s="99">
        <f>SUMIFS(N$1:N405,$C$1:$C405,$C411,$F$1:$F405,$F411)</f>
        <v>0</v>
      </c>
      <c r="O411" s="99">
        <f>SUMIFS(O$1:O405,$C$1:$C405,$C411,$F$1:$F405,$F411)</f>
        <v>0</v>
      </c>
      <c r="P411" s="99">
        <f t="shared" si="568"/>
        <v>0</v>
      </c>
      <c r="Q411" s="99">
        <f>SUMIFS(Q$1:Q405,$C$1:$C405,$C411,$F$1:$F405,$F411)</f>
        <v>0</v>
      </c>
      <c r="R411" s="99">
        <f>SUMIFS(R$1:R405,$C$1:$C405,$C411,$F$1:$F405,$F411)</f>
        <v>0</v>
      </c>
      <c r="S411" s="99">
        <f>SUMIFS(S$1:S405,$C$1:$C405,$C411,$F$1:$F405,$F411)</f>
        <v>0</v>
      </c>
      <c r="T411" s="99">
        <f>SUMIFS(T$1:T405,$C$1:$C405,$C411,$F$1:$F405,$F411)</f>
        <v>0</v>
      </c>
      <c r="U411" s="99">
        <f t="shared" si="569"/>
        <v>0</v>
      </c>
      <c r="V411" s="255" t="str">
        <f t="shared" si="570"/>
        <v>N/A</v>
      </c>
      <c r="W411" s="102"/>
      <c r="X411" s="102"/>
      <c r="Y411" s="102">
        <f t="shared" si="577"/>
        <v>0</v>
      </c>
      <c r="Z411" s="309">
        <f>Y411*(1+VLOOKUP($F411,'GL Category'!$A:$H,4,FALSE))</f>
        <v>0</v>
      </c>
      <c r="AA411" s="615"/>
      <c r="AB411" s="622">
        <f t="shared" si="578"/>
        <v>0</v>
      </c>
      <c r="AC411" s="633">
        <f>AB411*(1+VLOOKUP($F411,'GL Category'!$A:$H,5,FALSE))</f>
        <v>0</v>
      </c>
      <c r="AD411" s="307"/>
      <c r="AE411" s="622">
        <f t="shared" si="579"/>
        <v>0</v>
      </c>
      <c r="AF411" s="633">
        <f>AE411*(1+VLOOKUP($F411,'GL Category'!$A:$H,6,FALSE))</f>
        <v>0</v>
      </c>
      <c r="AG411" s="307"/>
      <c r="AH411" s="622">
        <f t="shared" si="580"/>
        <v>0</v>
      </c>
      <c r="AI411" s="633">
        <f>AH411*(1+VLOOKUP($F411,'GL Category'!$A:$H,7,FALSE))</f>
        <v>0</v>
      </c>
      <c r="AJ411" s="307"/>
      <c r="AK411" s="622">
        <f t="shared" si="581"/>
        <v>0</v>
      </c>
      <c r="AL411" s="633">
        <f>AK411*(1+VLOOKUP($F411,'GL Category'!$A:$H,8,FALSE))</f>
        <v>0</v>
      </c>
      <c r="AM411" s="307"/>
      <c r="AN411" s="622">
        <f t="shared" si="582"/>
        <v>0</v>
      </c>
      <c r="AO411" s="192"/>
      <c r="AP411" s="192"/>
      <c r="AQ411" s="192"/>
    </row>
    <row r="412" spans="1:43" s="115" customFormat="1" ht="15" customHeight="1">
      <c r="A412" s="296"/>
      <c r="B412" s="217"/>
      <c r="C412" s="217">
        <v>13</v>
      </c>
      <c r="D412" s="101"/>
      <c r="E412" s="101"/>
      <c r="F412" s="294" t="s">
        <v>202</v>
      </c>
      <c r="G412" s="295" t="str">
        <f>VLOOKUP(F412,'GL Category'!A:C,3,FALSE)</f>
        <v>Services &amp; other</v>
      </c>
      <c r="H412" s="98" t="str">
        <f>VLOOKUP(F412,'GL Category'!A:C,2,FALSE)</f>
        <v>PRINTING &amp; BINDING SERVICES</v>
      </c>
      <c r="I412" s="99">
        <f>SUMIFS(I$1:I406,$C$1:$C406,$C412,$F$1:$F406,$F412)</f>
        <v>1062.1500000000001</v>
      </c>
      <c r="J412" s="99">
        <f>SUMIFS(J$1:J406,$C$1:$C406,$C412,$F$1:$F406,$F412)</f>
        <v>1451.9</v>
      </c>
      <c r="K412" s="99">
        <f>SUMIFS(K$1:K406,$C$1:$C406,$C412,$F$1:$F406,$F412)</f>
        <v>1782.12</v>
      </c>
      <c r="L412" s="99">
        <f>SUMIFS(L$1:L406,$C$1:$C406,$C412,$F$1:$F406,$F412)</f>
        <v>1290.8699999999999</v>
      </c>
      <c r="M412" s="99">
        <f>SUMIFS(M$1:M406,$C$1:$C406,$C412,$F$1:$F406,$F412)</f>
        <v>1400</v>
      </c>
      <c r="N412" s="99">
        <f>SUMIFS(N$1:N406,$C$1:$C406,$C412,$F$1:$F406,$F412)</f>
        <v>606.97</v>
      </c>
      <c r="O412" s="99">
        <f>SUMIFS(O$1:O406,$C$1:$C406,$C412,$F$1:$F406,$F412)</f>
        <v>1400</v>
      </c>
      <c r="P412" s="99">
        <f t="shared" si="568"/>
        <v>0</v>
      </c>
      <c r="Q412" s="99">
        <f>SUMIFS(Q$1:Q406,$C$1:$C406,$C412,$F$1:$F406,$F412)</f>
        <v>1400</v>
      </c>
      <c r="R412" s="99">
        <f>SUMIFS(R$1:R406,$C$1:$C406,$C412,$F$1:$F406,$F412)</f>
        <v>0</v>
      </c>
      <c r="S412" s="99">
        <f>SUMIFS(S$1:S406,$C$1:$C406,$C412,$F$1:$F406,$F412)</f>
        <v>0</v>
      </c>
      <c r="T412" s="99">
        <f>SUMIFS(T$1:T406,$C$1:$C406,$C412,$F$1:$F406,$F412)</f>
        <v>1400</v>
      </c>
      <c r="U412" s="99">
        <f t="shared" si="569"/>
        <v>0</v>
      </c>
      <c r="V412" s="255">
        <f t="shared" si="570"/>
        <v>0</v>
      </c>
      <c r="W412" s="102"/>
      <c r="X412" s="102"/>
      <c r="Y412" s="102">
        <f t="shared" si="577"/>
        <v>1400</v>
      </c>
      <c r="Z412" s="309">
        <f>Y412*(1+VLOOKUP($F412,'GL Category'!$A:$H,4,FALSE))</f>
        <v>1442</v>
      </c>
      <c r="AA412" s="615"/>
      <c r="AB412" s="622">
        <f t="shared" si="578"/>
        <v>1442</v>
      </c>
      <c r="AC412" s="633">
        <f>AB412*(1+VLOOKUP($F412,'GL Category'!$A:$H,5,FALSE))</f>
        <v>1485.26</v>
      </c>
      <c r="AD412" s="307"/>
      <c r="AE412" s="622">
        <f t="shared" si="579"/>
        <v>1485.26</v>
      </c>
      <c r="AF412" s="633">
        <f>AE412*(1+VLOOKUP($F412,'GL Category'!$A:$H,6,FALSE))</f>
        <v>1529.8178</v>
      </c>
      <c r="AG412" s="307"/>
      <c r="AH412" s="622">
        <f t="shared" si="580"/>
        <v>1529.8178</v>
      </c>
      <c r="AI412" s="633">
        <f>AH412*(1+VLOOKUP($F412,'GL Category'!$A:$H,7,FALSE))</f>
        <v>1575.7123340000001</v>
      </c>
      <c r="AJ412" s="307"/>
      <c r="AK412" s="622">
        <f t="shared" si="581"/>
        <v>1575.7123340000001</v>
      </c>
      <c r="AL412" s="633">
        <f>AK412*(1+VLOOKUP($F412,'GL Category'!$A:$H,8,FALSE))</f>
        <v>1622.98370402</v>
      </c>
      <c r="AM412" s="307"/>
      <c r="AN412" s="622">
        <f t="shared" si="582"/>
        <v>1622.98370402</v>
      </c>
      <c r="AO412" s="192"/>
      <c r="AP412" s="192"/>
      <c r="AQ412" s="192"/>
    </row>
    <row r="413" spans="1:43" s="115" customFormat="1" ht="15" customHeight="1">
      <c r="A413" s="296"/>
      <c r="B413" s="217"/>
      <c r="C413" s="217">
        <v>13</v>
      </c>
      <c r="D413" s="101"/>
      <c r="E413" s="101"/>
      <c r="F413" s="294" t="s">
        <v>206</v>
      </c>
      <c r="G413" s="295" t="str">
        <f>VLOOKUP(F413,'GL Category'!A:C,3,FALSE)</f>
        <v>Services &amp; other</v>
      </c>
      <c r="H413" s="98" t="str">
        <f>VLOOKUP(F413,'GL Category'!A:C,2,FALSE)</f>
        <v>FREIGHT &amp; EXPRESS SERVICES</v>
      </c>
      <c r="I413" s="99">
        <f>SUMIFS(I$1:I407,$C$1:$C407,$C413,$F$1:$F407,$F413)</f>
        <v>0</v>
      </c>
      <c r="J413" s="99">
        <f>SUMIFS(J$1:J407,$C$1:$C407,$C413,$F$1:$F407,$F413)</f>
        <v>0</v>
      </c>
      <c r="K413" s="99">
        <f>SUMIFS(K$1:K407,$C$1:$C407,$C413,$F$1:$F407,$F413)</f>
        <v>0</v>
      </c>
      <c r="L413" s="99">
        <f>SUMIFS(L$1:L407,$C$1:$C407,$C413,$F$1:$F407,$F413)</f>
        <v>0</v>
      </c>
      <c r="M413" s="99">
        <f>SUMIFS(M$1:M407,$C$1:$C407,$C413,$F$1:$F407,$F413)</f>
        <v>0</v>
      </c>
      <c r="N413" s="99">
        <f>SUMIFS(N$1:N407,$C$1:$C407,$C413,$F$1:$F407,$F413)</f>
        <v>0</v>
      </c>
      <c r="O413" s="99">
        <f>SUMIFS(O$1:O407,$C$1:$C407,$C413,$F$1:$F407,$F413)</f>
        <v>0</v>
      </c>
      <c r="P413" s="99">
        <f t="shared" si="568"/>
        <v>0</v>
      </c>
      <c r="Q413" s="99">
        <f>SUMIFS(Q$1:Q407,$C$1:$C407,$C413,$F$1:$F407,$F413)</f>
        <v>0</v>
      </c>
      <c r="R413" s="99">
        <f>SUMIFS(R$1:R407,$C$1:$C407,$C413,$F$1:$F407,$F413)</f>
        <v>0</v>
      </c>
      <c r="S413" s="99">
        <f>SUMIFS(S$1:S407,$C$1:$C407,$C413,$F$1:$F407,$F413)</f>
        <v>0</v>
      </c>
      <c r="T413" s="99">
        <f>SUMIFS(T$1:T407,$C$1:$C407,$C413,$F$1:$F407,$F413)</f>
        <v>0</v>
      </c>
      <c r="U413" s="99">
        <f t="shared" si="569"/>
        <v>0</v>
      </c>
      <c r="V413" s="255" t="str">
        <f t="shared" si="570"/>
        <v>N/A</v>
      </c>
      <c r="W413" s="102"/>
      <c r="X413" s="102"/>
      <c r="Y413" s="102">
        <f t="shared" si="577"/>
        <v>0</v>
      </c>
      <c r="Z413" s="309">
        <f>Y413*(1+VLOOKUP($F413,'GL Category'!$A:$H,4,FALSE))</f>
        <v>0</v>
      </c>
      <c r="AA413" s="615"/>
      <c r="AB413" s="622">
        <f t="shared" si="578"/>
        <v>0</v>
      </c>
      <c r="AC413" s="633">
        <f>AB413*(1+VLOOKUP($F413,'GL Category'!$A:$H,5,FALSE))</f>
        <v>0</v>
      </c>
      <c r="AD413" s="307"/>
      <c r="AE413" s="622">
        <f t="shared" si="579"/>
        <v>0</v>
      </c>
      <c r="AF413" s="633">
        <f>AE413*(1+VLOOKUP($F413,'GL Category'!$A:$H,6,FALSE))</f>
        <v>0</v>
      </c>
      <c r="AG413" s="307"/>
      <c r="AH413" s="622">
        <f t="shared" si="580"/>
        <v>0</v>
      </c>
      <c r="AI413" s="633">
        <f>AH413*(1+VLOOKUP($F413,'GL Category'!$A:$H,7,FALSE))</f>
        <v>0</v>
      </c>
      <c r="AJ413" s="307"/>
      <c r="AK413" s="622">
        <f t="shared" si="581"/>
        <v>0</v>
      </c>
      <c r="AL413" s="633">
        <f>AK413*(1+VLOOKUP($F413,'GL Category'!$A:$H,8,FALSE))</f>
        <v>0</v>
      </c>
      <c r="AM413" s="307"/>
      <c r="AN413" s="622">
        <f t="shared" si="582"/>
        <v>0</v>
      </c>
      <c r="AO413" s="192"/>
      <c r="AP413" s="192"/>
      <c r="AQ413" s="192"/>
    </row>
    <row r="414" spans="1:43" s="115" customFormat="1" ht="15" customHeight="1">
      <c r="A414" s="296"/>
      <c r="B414" s="217"/>
      <c r="C414" s="217">
        <v>13</v>
      </c>
      <c r="D414" s="101"/>
      <c r="E414" s="101"/>
      <c r="F414" s="294" t="s">
        <v>210</v>
      </c>
      <c r="G414" s="295" t="str">
        <f>VLOOKUP(F414,'GL Category'!A:C,3,FALSE)</f>
        <v>Services &amp; other</v>
      </c>
      <c r="H414" s="98" t="str">
        <f>VLOOKUP(F414,'GL Category'!A:C,2,FALSE)</f>
        <v>TELEPHONE/COMMUNICATIONS</v>
      </c>
      <c r="I414" s="99">
        <f>SUMIFS(I$1:I408,$C$1:$C408,$C414,$F$1:$F408,$F414)</f>
        <v>0</v>
      </c>
      <c r="J414" s="99">
        <f>SUMIFS(J$1:J408,$C$1:$C408,$C414,$F$1:$F408,$F414)</f>
        <v>0</v>
      </c>
      <c r="K414" s="99">
        <f>SUMIFS(K$1:K408,$C$1:$C408,$C414,$F$1:$F408,$F414)</f>
        <v>0</v>
      </c>
      <c r="L414" s="99">
        <f>SUMIFS(L$1:L408,$C$1:$C408,$C414,$F$1:$F408,$F414)</f>
        <v>0</v>
      </c>
      <c r="M414" s="99">
        <f>SUMIFS(M$1:M408,$C$1:$C408,$C414,$F$1:$F408,$F414)</f>
        <v>0</v>
      </c>
      <c r="N414" s="99">
        <f>SUMIFS(N$1:N408,$C$1:$C408,$C414,$F$1:$F408,$F414)</f>
        <v>0</v>
      </c>
      <c r="O414" s="99">
        <f>SUMIFS(O$1:O408,$C$1:$C408,$C414,$F$1:$F408,$F414)</f>
        <v>0</v>
      </c>
      <c r="P414" s="99">
        <f t="shared" si="568"/>
        <v>0</v>
      </c>
      <c r="Q414" s="99">
        <f>SUMIFS(Q$1:Q408,$C$1:$C408,$C414,$F$1:$F408,$F414)</f>
        <v>0</v>
      </c>
      <c r="R414" s="99">
        <f>SUMIFS(R$1:R408,$C$1:$C408,$C414,$F$1:$F408,$F414)</f>
        <v>0</v>
      </c>
      <c r="S414" s="99">
        <f>SUMIFS(S$1:S408,$C$1:$C408,$C414,$F$1:$F408,$F414)</f>
        <v>0</v>
      </c>
      <c r="T414" s="99">
        <f>SUMIFS(T$1:T408,$C$1:$C408,$C414,$F$1:$F408,$F414)</f>
        <v>0</v>
      </c>
      <c r="U414" s="99">
        <f t="shared" si="569"/>
        <v>0</v>
      </c>
      <c r="V414" s="255" t="str">
        <f t="shared" si="570"/>
        <v>N/A</v>
      </c>
      <c r="W414" s="102"/>
      <c r="X414" s="102"/>
      <c r="Y414" s="102">
        <f t="shared" si="577"/>
        <v>0</v>
      </c>
      <c r="Z414" s="309">
        <f>Y414*(1+VLOOKUP($F414,'GL Category'!$A:$H,4,FALSE))</f>
        <v>0</v>
      </c>
      <c r="AA414" s="615"/>
      <c r="AB414" s="622">
        <f t="shared" si="578"/>
        <v>0</v>
      </c>
      <c r="AC414" s="633">
        <f>AB414*(1+VLOOKUP($F414,'GL Category'!$A:$H,5,FALSE))</f>
        <v>0</v>
      </c>
      <c r="AD414" s="307"/>
      <c r="AE414" s="622">
        <f t="shared" si="579"/>
        <v>0</v>
      </c>
      <c r="AF414" s="633">
        <f>AE414*(1+VLOOKUP($F414,'GL Category'!$A:$H,6,FALSE))</f>
        <v>0</v>
      </c>
      <c r="AG414" s="307"/>
      <c r="AH414" s="622">
        <f t="shared" si="580"/>
        <v>0</v>
      </c>
      <c r="AI414" s="633">
        <f>AH414*(1+VLOOKUP($F414,'GL Category'!$A:$H,7,FALSE))</f>
        <v>0</v>
      </c>
      <c r="AJ414" s="307"/>
      <c r="AK414" s="622">
        <f t="shared" si="581"/>
        <v>0</v>
      </c>
      <c r="AL414" s="633">
        <f>AK414*(1+VLOOKUP($F414,'GL Category'!$A:$H,8,FALSE))</f>
        <v>0</v>
      </c>
      <c r="AM414" s="307"/>
      <c r="AN414" s="622">
        <f t="shared" si="582"/>
        <v>0</v>
      </c>
      <c r="AO414" s="192"/>
      <c r="AP414" s="192"/>
      <c r="AQ414" s="192"/>
    </row>
    <row r="415" spans="1:43" s="115" customFormat="1" ht="15" customHeight="1">
      <c r="A415" s="296"/>
      <c r="B415" s="217"/>
      <c r="C415" s="217">
        <v>13</v>
      </c>
      <c r="D415" s="101"/>
      <c r="E415" s="101"/>
      <c r="F415" s="294" t="s">
        <v>218</v>
      </c>
      <c r="G415" s="295" t="str">
        <f>VLOOKUP(F415,'GL Category'!A:C,3,FALSE)</f>
        <v>Services &amp; other</v>
      </c>
      <c r="H415" s="98" t="str">
        <f>VLOOKUP(F415,'GL Category'!A:C,2,FALSE)</f>
        <v>BANKING SERVICES CHARGES</v>
      </c>
      <c r="I415" s="99">
        <f>SUMIFS(I$1:I409,$C$1:$C409,$C415,$F$1:$F409,$F415)</f>
        <v>12588.43</v>
      </c>
      <c r="J415" s="99">
        <f>SUMIFS(J$1:J409,$C$1:$C409,$C415,$F$1:$F409,$F415)</f>
        <v>23858.95</v>
      </c>
      <c r="K415" s="99">
        <f>SUMIFS(K$1:K409,$C$1:$C409,$C415,$F$1:$F409,$F415)</f>
        <v>22372.81</v>
      </c>
      <c r="L415" s="99">
        <f>SUMIFS(L$1:L409,$C$1:$C409,$C415,$F$1:$F409,$F415)</f>
        <v>1685.95</v>
      </c>
      <c r="M415" s="99">
        <f>SUMIFS(M$1:M409,$C$1:$C409,$C415,$F$1:$F409,$F415)</f>
        <v>16000</v>
      </c>
      <c r="N415" s="99">
        <f>SUMIFS(N$1:N409,$C$1:$C409,$C415,$F$1:$F409,$F415)</f>
        <v>3673.13</v>
      </c>
      <c r="O415" s="99">
        <f>SUMIFS(O$1:O409,$C$1:$C409,$C415,$F$1:$F409,$F415)</f>
        <v>11000</v>
      </c>
      <c r="P415" s="99">
        <f t="shared" si="568"/>
        <v>-5000</v>
      </c>
      <c r="Q415" s="99">
        <f>SUMIFS(Q$1:Q409,$C$1:$C409,$C415,$F$1:$F409,$F415)</f>
        <v>11000</v>
      </c>
      <c r="R415" s="99">
        <f>SUMIFS(R$1:R409,$C$1:$C409,$C415,$F$1:$F409,$F415)</f>
        <v>0</v>
      </c>
      <c r="S415" s="99">
        <f>SUMIFS(S$1:S409,$C$1:$C409,$C415,$F$1:$F409,$F415)</f>
        <v>0</v>
      </c>
      <c r="T415" s="99">
        <f>SUMIFS(T$1:T409,$C$1:$C409,$C415,$F$1:$F409,$F415)</f>
        <v>11000</v>
      </c>
      <c r="U415" s="99">
        <f t="shared" si="569"/>
        <v>-5000</v>
      </c>
      <c r="V415" s="255">
        <f t="shared" si="570"/>
        <v>-0.3125</v>
      </c>
      <c r="W415" s="102"/>
      <c r="X415" s="102"/>
      <c r="Y415" s="102">
        <f t="shared" si="577"/>
        <v>11000</v>
      </c>
      <c r="Z415" s="309">
        <f>Y415*(1+VLOOKUP($F415,'GL Category'!$A:$H,4,FALSE))</f>
        <v>11330</v>
      </c>
      <c r="AA415" s="615"/>
      <c r="AB415" s="622">
        <f t="shared" si="578"/>
        <v>11330</v>
      </c>
      <c r="AC415" s="633">
        <f>AB415*(1+VLOOKUP($F415,'GL Category'!$A:$H,5,FALSE))</f>
        <v>11669.9</v>
      </c>
      <c r="AD415" s="307"/>
      <c r="AE415" s="622">
        <f t="shared" si="579"/>
        <v>11669.9</v>
      </c>
      <c r="AF415" s="633">
        <f>AE415*(1+VLOOKUP($F415,'GL Category'!$A:$H,6,FALSE))</f>
        <v>12019.996999999999</v>
      </c>
      <c r="AG415" s="307"/>
      <c r="AH415" s="622">
        <f t="shared" si="580"/>
        <v>12019.996999999999</v>
      </c>
      <c r="AI415" s="633">
        <f>AH415*(1+VLOOKUP($F415,'GL Category'!$A:$H,7,FALSE))</f>
        <v>12380.59691</v>
      </c>
      <c r="AJ415" s="307"/>
      <c r="AK415" s="622">
        <f t="shared" si="581"/>
        <v>12380.59691</v>
      </c>
      <c r="AL415" s="633">
        <f>AK415*(1+VLOOKUP($F415,'GL Category'!$A:$H,8,FALSE))</f>
        <v>12752.0148173</v>
      </c>
      <c r="AM415" s="307"/>
      <c r="AN415" s="622">
        <f t="shared" si="582"/>
        <v>12752.0148173</v>
      </c>
      <c r="AO415" s="192"/>
      <c r="AP415" s="192"/>
      <c r="AQ415" s="192"/>
    </row>
    <row r="416" spans="1:43" s="115" customFormat="1" ht="15" customHeight="1">
      <c r="A416" s="296"/>
      <c r="B416" s="217"/>
      <c r="C416" s="217">
        <v>13</v>
      </c>
      <c r="D416" s="101"/>
      <c r="E416" s="101"/>
      <c r="F416" s="556" t="s">
        <v>3122</v>
      </c>
      <c r="G416" s="295" t="str">
        <f>VLOOKUP(F416,'GL Category'!A:C,3,FALSE)</f>
        <v>Services &amp; other</v>
      </c>
      <c r="H416" s="98" t="str">
        <f>VLOOKUP(F416,'GL Category'!A:C,2,FALSE)</f>
        <v>OFFICE EQUIP LEASE EXP-CITY</v>
      </c>
      <c r="I416" s="99">
        <f>SUMIFS(I$1:I410,$C$1:$C410,$C416,$F$1:$F410,$F416)</f>
        <v>198510</v>
      </c>
      <c r="J416" s="99">
        <f>SUMIFS(J$1:J410,$C$1:$C410,$C416,$F$1:$F410,$F416)</f>
        <v>96879</v>
      </c>
      <c r="K416" s="99">
        <f>SUMIFS(K$1:K410,$C$1:$C410,$C416,$F$1:$F410,$F416)</f>
        <v>92025</v>
      </c>
      <c r="L416" s="99">
        <f>SUMIFS(L$1:L410,$C$1:$C410,$C416,$F$1:$F410,$F416)</f>
        <v>94183</v>
      </c>
      <c r="M416" s="99">
        <f>SUMIFS(M$1:M410,$C$1:$C410,$C416,$F$1:$F410,$F416)</f>
        <v>95980</v>
      </c>
      <c r="N416" s="99">
        <f>SUMIFS(N$1:N410,$C$1:$C410,$C416,$F$1:$F410,$F416)</f>
        <v>71985</v>
      </c>
      <c r="O416" s="99">
        <f>SUMIFS(O$1:O410,$C$1:$C410,$C416,$F$1:$F410,$F416)</f>
        <v>95980</v>
      </c>
      <c r="P416" s="99">
        <f t="shared" si="568"/>
        <v>0</v>
      </c>
      <c r="Q416" s="99">
        <f>SUMIFS(Q$1:Q410,$C$1:$C410,$C416,$F$1:$F410,$F416)</f>
        <v>119161</v>
      </c>
      <c r="R416" s="99">
        <f>SUMIFS(R$1:R410,$C$1:$C410,$C416,$F$1:$F410,$F416)</f>
        <v>0</v>
      </c>
      <c r="S416" s="99">
        <f>SUMIFS(S$1:S410,$C$1:$C410,$C416,$F$1:$F410,$F416)</f>
        <v>0</v>
      </c>
      <c r="T416" s="99">
        <f>SUMIFS(T$1:T410,$C$1:$C410,$C416,$F$1:$F410,$F416)</f>
        <v>119161</v>
      </c>
      <c r="U416" s="99">
        <f t="shared" si="569"/>
        <v>23181</v>
      </c>
      <c r="V416" s="255">
        <f t="shared" si="570"/>
        <v>0.2415190664721818</v>
      </c>
      <c r="W416" s="102"/>
      <c r="X416" s="102"/>
      <c r="Y416" s="102">
        <f t="shared" si="577"/>
        <v>119161</v>
      </c>
      <c r="Z416" s="309">
        <f>Y416*(1+VLOOKUP($F416,'GL Category'!$A:$H,4,FALSE))</f>
        <v>122735.83</v>
      </c>
      <c r="AA416" s="615"/>
      <c r="AB416" s="622">
        <f t="shared" si="578"/>
        <v>122735.83</v>
      </c>
      <c r="AC416" s="633">
        <f>AB416*(1+VLOOKUP($F416,'GL Category'!$A:$H,5,FALSE))</f>
        <v>126417.90490000001</v>
      </c>
      <c r="AD416" s="307"/>
      <c r="AE416" s="622">
        <f t="shared" si="579"/>
        <v>126417.90490000001</v>
      </c>
      <c r="AF416" s="633">
        <f>AE416*(1+VLOOKUP($F416,'GL Category'!$A:$H,6,FALSE))</f>
        <v>130210.44204700002</v>
      </c>
      <c r="AG416" s="307"/>
      <c r="AH416" s="622">
        <f t="shared" si="580"/>
        <v>130210.44204700002</v>
      </c>
      <c r="AI416" s="633">
        <f>AH416*(1+VLOOKUP($F416,'GL Category'!$A:$H,7,FALSE))</f>
        <v>134116.75530841004</v>
      </c>
      <c r="AJ416" s="307"/>
      <c r="AK416" s="622">
        <f t="shared" si="581"/>
        <v>134116.75530841004</v>
      </c>
      <c r="AL416" s="633">
        <f>AK416*(1+VLOOKUP($F416,'GL Category'!$A:$H,8,FALSE))</f>
        <v>138140.25796766233</v>
      </c>
      <c r="AM416" s="307"/>
      <c r="AN416" s="622">
        <f t="shared" si="582"/>
        <v>138140.25796766233</v>
      </c>
      <c r="AO416" s="192"/>
      <c r="AP416" s="192"/>
      <c r="AQ416" s="192"/>
    </row>
    <row r="417" spans="1:59" s="115" customFormat="1" ht="15" customHeight="1">
      <c r="A417" s="297"/>
      <c r="B417" s="217"/>
      <c r="C417" s="217"/>
      <c r="D417" s="101"/>
      <c r="E417" s="101"/>
      <c r="F417" s="294"/>
      <c r="G417" s="295"/>
      <c r="H417" s="107" t="str">
        <f>UPPER(G416)&amp;" TOTAL"</f>
        <v>SERVICES &amp; OTHER TOTAL</v>
      </c>
      <c r="I417" s="108">
        <f t="shared" ref="I417" si="583">SUBTOTAL(9,I404:I416)</f>
        <v>504615.69</v>
      </c>
      <c r="J417" s="108">
        <f t="shared" ref="J417:T417" si="584">SUBTOTAL(9,J404:J416)</f>
        <v>446391.2</v>
      </c>
      <c r="K417" s="108">
        <f t="shared" ref="K417" si="585">SUBTOTAL(9,K404:K416)</f>
        <v>451798.82</v>
      </c>
      <c r="L417" s="108">
        <f t="shared" ref="L417" si="586">SUBTOTAL(9,L404:L416)</f>
        <v>401765.23</v>
      </c>
      <c r="M417" s="108">
        <f t="shared" si="584"/>
        <v>409645</v>
      </c>
      <c r="N417" s="108">
        <f t="shared" ref="N417" si="587">SUBTOTAL(9,N404:N416)</f>
        <v>334566.19</v>
      </c>
      <c r="O417" s="108">
        <f t="shared" si="584"/>
        <v>414565</v>
      </c>
      <c r="P417" s="108">
        <f t="shared" si="584"/>
        <v>4920</v>
      </c>
      <c r="Q417" s="108">
        <f t="shared" si="584"/>
        <v>450347</v>
      </c>
      <c r="R417" s="108">
        <f t="shared" si="584"/>
        <v>0</v>
      </c>
      <c r="S417" s="108">
        <f t="shared" si="584"/>
        <v>0</v>
      </c>
      <c r="T417" s="108">
        <f t="shared" si="584"/>
        <v>450347</v>
      </c>
      <c r="U417" s="99">
        <f t="shared" si="569"/>
        <v>40702</v>
      </c>
      <c r="V417" s="255">
        <f t="shared" si="570"/>
        <v>9.9359201259627161E-2</v>
      </c>
      <c r="W417" s="102"/>
      <c r="X417" s="102"/>
      <c r="Y417" s="102"/>
      <c r="Z417" s="192"/>
      <c r="AA417" s="615"/>
      <c r="AB417" s="307"/>
      <c r="AC417" s="300"/>
      <c r="AD417" s="300"/>
      <c r="AE417" s="300"/>
      <c r="AF417" s="300"/>
      <c r="AG417" s="300"/>
      <c r="AH417" s="307"/>
      <c r="AI417" s="307"/>
      <c r="AJ417" s="300"/>
      <c r="AK417" s="300"/>
      <c r="AL417" s="300"/>
      <c r="AM417" s="300"/>
      <c r="AN417" s="300"/>
      <c r="AO417" s="192"/>
      <c r="AP417" s="192"/>
      <c r="AQ417" s="192"/>
    </row>
    <row r="418" spans="1:59" s="115" customFormat="1" ht="15" customHeight="1">
      <c r="A418" s="297"/>
      <c r="B418" s="217"/>
      <c r="C418" s="217"/>
      <c r="D418" s="101"/>
      <c r="E418" s="101"/>
      <c r="F418" s="294"/>
      <c r="G418" s="295"/>
      <c r="H418" s="98"/>
      <c r="I418" s="106"/>
      <c r="J418" s="106"/>
      <c r="K418" s="106"/>
      <c r="L418" s="106"/>
      <c r="M418" s="106"/>
      <c r="N418" s="112"/>
      <c r="O418" s="112"/>
      <c r="P418" s="112"/>
      <c r="Q418" s="113"/>
      <c r="R418" s="113"/>
      <c r="S418" s="113"/>
      <c r="T418" s="113"/>
      <c r="U418" s="113"/>
      <c r="V418" s="113"/>
      <c r="W418" s="102"/>
      <c r="X418" s="102"/>
      <c r="Y418" s="102"/>
      <c r="Z418" s="192"/>
      <c r="AA418" s="615"/>
      <c r="AB418" s="307"/>
      <c r="AC418" s="300"/>
      <c r="AD418" s="300"/>
      <c r="AE418" s="300"/>
      <c r="AF418" s="300"/>
      <c r="AG418" s="300"/>
      <c r="AH418" s="307"/>
      <c r="AI418" s="307"/>
      <c r="AJ418" s="300"/>
      <c r="AK418" s="300"/>
      <c r="AL418" s="300"/>
      <c r="AM418" s="300"/>
      <c r="AN418" s="300"/>
      <c r="AO418" s="192"/>
      <c r="AP418" s="192"/>
      <c r="AQ418" s="192"/>
    </row>
    <row r="419" spans="1:59" s="115" customFormat="1" ht="15" customHeight="1">
      <c r="A419" s="297"/>
      <c r="B419" s="217"/>
      <c r="C419" s="217"/>
      <c r="D419" s="101"/>
      <c r="E419" s="101"/>
      <c r="F419" s="294"/>
      <c r="G419" s="295"/>
      <c r="H419" s="114" t="s">
        <v>51</v>
      </c>
      <c r="I419" s="108">
        <f t="shared" ref="I419:T419" si="588">SUBTOTAL(9,I378:I418)</f>
        <v>1275401.0799999998</v>
      </c>
      <c r="J419" s="108">
        <f t="shared" si="588"/>
        <v>1183294.9599999997</v>
      </c>
      <c r="K419" s="108">
        <f t="shared" si="588"/>
        <v>1270331.9200000002</v>
      </c>
      <c r="L419" s="108">
        <f t="shared" si="588"/>
        <v>1277504.8000000003</v>
      </c>
      <c r="M419" s="108">
        <f t="shared" si="588"/>
        <v>1301886</v>
      </c>
      <c r="N419" s="108">
        <f t="shared" si="588"/>
        <v>1031916.0499999999</v>
      </c>
      <c r="O419" s="108">
        <f t="shared" si="588"/>
        <v>1321730</v>
      </c>
      <c r="P419" s="108">
        <f t="shared" si="588"/>
        <v>19844</v>
      </c>
      <c r="Q419" s="108">
        <f t="shared" si="588"/>
        <v>1378312</v>
      </c>
      <c r="R419" s="108">
        <f t="shared" si="588"/>
        <v>0</v>
      </c>
      <c r="S419" s="108">
        <f t="shared" si="588"/>
        <v>0</v>
      </c>
      <c r="T419" s="108">
        <f t="shared" si="588"/>
        <v>1378312</v>
      </c>
      <c r="U419" s="99">
        <f>T419-M419</f>
        <v>76426</v>
      </c>
      <c r="V419" s="255">
        <f>IF(M419=0,"N/A",T419/M419-1)</f>
        <v>5.8704064718416271E-2</v>
      </c>
      <c r="W419" s="102"/>
      <c r="X419" s="102"/>
      <c r="Y419" s="102"/>
      <c r="Z419" s="192"/>
      <c r="AA419" s="615"/>
      <c r="AB419" s="307"/>
      <c r="AC419" s="300"/>
      <c r="AD419" s="300"/>
      <c r="AE419" s="300"/>
      <c r="AF419" s="300"/>
      <c r="AG419" s="300"/>
      <c r="AH419" s="307"/>
      <c r="AI419" s="307"/>
      <c r="AJ419" s="300"/>
      <c r="AK419" s="300"/>
      <c r="AL419" s="300"/>
      <c r="AM419" s="300"/>
      <c r="AN419" s="300"/>
      <c r="AO419" s="192"/>
      <c r="AP419" s="192"/>
      <c r="AQ419" s="192"/>
    </row>
    <row r="420" spans="1:59" s="115" customFormat="1" ht="15" customHeight="1" thickBot="1">
      <c r="A420" s="297"/>
      <c r="B420" s="217"/>
      <c r="C420" s="217"/>
      <c r="D420" s="101"/>
      <c r="E420" s="101"/>
      <c r="F420" s="294"/>
      <c r="G420" s="295"/>
      <c r="H420" s="98"/>
      <c r="I420" s="218"/>
      <c r="J420" s="218"/>
      <c r="K420" s="218"/>
      <c r="L420" s="218"/>
      <c r="M420" s="218"/>
      <c r="N420" s="96"/>
      <c r="O420" s="96"/>
      <c r="P420" s="96"/>
      <c r="Q420" s="212"/>
      <c r="R420" s="212"/>
      <c r="S420" s="212"/>
      <c r="T420" s="212"/>
      <c r="U420" s="212"/>
      <c r="V420" s="212"/>
      <c r="W420" s="102"/>
      <c r="X420" s="102"/>
      <c r="Y420" s="102"/>
      <c r="Z420" s="192"/>
      <c r="AA420" s="615"/>
      <c r="AB420" s="307"/>
      <c r="AC420" s="300"/>
      <c r="AD420" s="300"/>
      <c r="AE420" s="300"/>
      <c r="AF420" s="300"/>
      <c r="AG420" s="300"/>
      <c r="AH420" s="307"/>
      <c r="AI420" s="307"/>
      <c r="AJ420" s="300"/>
      <c r="AK420" s="300"/>
      <c r="AL420" s="300"/>
      <c r="AM420" s="300"/>
      <c r="AN420" s="300"/>
      <c r="AO420" s="300"/>
      <c r="AP420" s="300"/>
      <c r="AQ420" s="300"/>
      <c r="AR420" s="300"/>
      <c r="AS420" s="300"/>
      <c r="AT420" s="300"/>
      <c r="AU420" s="300"/>
    </row>
    <row r="421" spans="1:59" s="115" customFormat="1" ht="15" customHeight="1" thickBot="1">
      <c r="A421" s="297"/>
      <c r="B421" s="217"/>
      <c r="C421" s="217"/>
      <c r="D421" s="101"/>
      <c r="E421" s="101"/>
      <c r="F421" s="294"/>
      <c r="G421" s="295"/>
      <c r="H421" s="668" t="s">
        <v>52</v>
      </c>
      <c r="I421" s="669"/>
      <c r="J421" s="669"/>
      <c r="K421" s="669"/>
      <c r="L421" s="669"/>
      <c r="M421" s="669"/>
      <c r="N421" s="669"/>
      <c r="O421" s="669"/>
      <c r="P421" s="669"/>
      <c r="Q421" s="669"/>
      <c r="R421" s="669"/>
      <c r="S421" s="669"/>
      <c r="T421" s="670"/>
      <c r="U421" s="252"/>
      <c r="V421" s="252"/>
      <c r="W421" s="102"/>
      <c r="X421" s="102"/>
      <c r="Y421" s="102"/>
      <c r="Z421" s="192"/>
      <c r="AA421" s="615"/>
      <c r="AB421" s="307"/>
      <c r="AC421" s="300"/>
      <c r="AD421" s="300"/>
      <c r="AE421" s="300"/>
      <c r="AF421" s="300"/>
      <c r="AG421" s="300"/>
      <c r="AH421" s="307"/>
      <c r="AI421" s="307"/>
      <c r="AJ421" s="300"/>
      <c r="AK421" s="300"/>
      <c r="AL421" s="300"/>
      <c r="AM421" s="300"/>
      <c r="AN421" s="300"/>
      <c r="AO421" s="300"/>
      <c r="AP421" s="300"/>
      <c r="AQ421" s="300"/>
      <c r="AR421" s="300"/>
      <c r="AS421" s="300"/>
      <c r="AT421" s="300"/>
      <c r="AU421" s="300"/>
    </row>
    <row r="422" spans="1:59" ht="15" customHeight="1">
      <c r="A422" s="297"/>
      <c r="B422" s="217"/>
      <c r="C422" s="217"/>
      <c r="D422" s="101"/>
      <c r="E422" s="101"/>
      <c r="F422" s="294"/>
      <c r="G422" s="295"/>
      <c r="H422" s="225"/>
      <c r="I422" s="225"/>
      <c r="J422" s="225"/>
      <c r="K422" s="225"/>
      <c r="L422" s="225"/>
      <c r="M422" s="225"/>
      <c r="N422" s="225"/>
      <c r="O422" s="225"/>
      <c r="P422" s="225"/>
      <c r="Q422" s="225"/>
      <c r="R422" s="225"/>
      <c r="S422" s="225"/>
      <c r="T422" s="225"/>
      <c r="U422" s="225"/>
      <c r="V422" s="225"/>
      <c r="W422" s="102"/>
      <c r="X422" s="102"/>
      <c r="Y422" s="102"/>
      <c r="AA422" s="615"/>
      <c r="AC422" s="94"/>
      <c r="AD422" s="94"/>
      <c r="AE422" s="94"/>
      <c r="AF422" s="94"/>
      <c r="AG422" s="94"/>
      <c r="AJ422" s="94"/>
      <c r="AK422" s="94"/>
      <c r="AL422" s="94"/>
      <c r="AM422" s="94"/>
      <c r="AN422" s="94"/>
      <c r="AO422" s="94"/>
      <c r="AP422" s="94"/>
      <c r="AQ422" s="94"/>
      <c r="AR422" s="94"/>
      <c r="AS422" s="94"/>
      <c r="AT422" s="94"/>
      <c r="AU422" s="94"/>
    </row>
    <row r="423" spans="1:59" ht="15" customHeight="1">
      <c r="A423" s="555" t="s">
        <v>2399</v>
      </c>
      <c r="B423" s="217" t="str">
        <f t="shared" ref="B423:B431" si="589">LEFT(A423,3)</f>
        <v>100</v>
      </c>
      <c r="C423" s="217" t="str">
        <f t="shared" ref="C423:C431" si="590">MID(A423,5,2)</f>
        <v>16</v>
      </c>
      <c r="D423" s="101" t="str">
        <f t="shared" ref="D423:D431" si="591">MID(A423,8,3)</f>
        <v>161</v>
      </c>
      <c r="E423" s="217" t="str">
        <f t="shared" ref="E423:E431" si="592">LEFT(A423,10)</f>
        <v>100-16-161</v>
      </c>
      <c r="F423" s="294" t="str">
        <f t="shared" ref="F423:F431" si="593">RIGHT(A423,5)</f>
        <v>50101</v>
      </c>
      <c r="G423" s="295" t="str">
        <f>VLOOKUP(F423,'GL Category'!A:C,3,FALSE)</f>
        <v>Personnel services</v>
      </c>
      <c r="H423" s="98" t="str">
        <f>VLOOKUP(F423,'GL Category'!A:C,2,FALSE)</f>
        <v>EXEMPT SALARIES</v>
      </c>
      <c r="I423" s="99">
        <f>SUMIF(Import!$B:$B,$A423,Import!D:D)</f>
        <v>0</v>
      </c>
      <c r="J423" s="99">
        <f>SUMIF(Import!$B:$B,$A423,Import!E:E)</f>
        <v>0</v>
      </c>
      <c r="K423" s="99">
        <f>SUMIF(Import!$B:$B,$A423,Import!F:F)</f>
        <v>0</v>
      </c>
      <c r="L423" s="99">
        <f>SUMIF(Import!$B:$B,$A423,Import!G:G)</f>
        <v>0</v>
      </c>
      <c r="M423" s="99">
        <f>SUMIF(Import!$B:$B,$A423,Import!H:H)</f>
        <v>0</v>
      </c>
      <c r="N423" s="99">
        <f>SUMIF(Import!$B:$B,$A423,Import!I:I)</f>
        <v>0</v>
      </c>
      <c r="O423" s="99">
        <f>SUMIF(Import!$B:$B,$A423,Import!J:J)</f>
        <v>0</v>
      </c>
      <c r="P423" s="99">
        <f t="shared" ref="P423:P431" si="594">O423-M423</f>
        <v>0</v>
      </c>
      <c r="Q423" s="99">
        <f>SUMIF(Import!$B:$B,$A423,Import!K:K)</f>
        <v>0</v>
      </c>
      <c r="R423" s="99">
        <f>SUMIF(Import!$B:$B,$A423,Import!L:L)</f>
        <v>0</v>
      </c>
      <c r="S423" s="99">
        <f>SUMIF(Import!$B:$B,$A423,Import!M:M)</f>
        <v>0</v>
      </c>
      <c r="T423" s="99">
        <f>SUMIF(Import!$B:$B,$A423,Import!N:N)</f>
        <v>0</v>
      </c>
      <c r="U423" s="99">
        <f t="shared" ref="U423:U431" si="595">T423-M423</f>
        <v>0</v>
      </c>
      <c r="V423" s="255" t="str">
        <f t="shared" ref="V423:V431" si="596">IF(M423=0,"N/A",T423/M423-1)</f>
        <v>N/A</v>
      </c>
      <c r="W423" s="102" t="s">
        <v>2399</v>
      </c>
      <c r="X423" s="102"/>
      <c r="Y423" s="102">
        <f t="shared" ref="Y423:Y431" si="597">T423-X423</f>
        <v>0</v>
      </c>
      <c r="Z423" s="309">
        <f>Y423*(1+VLOOKUP($F423,'GL Category'!$A:$H,4,FALSE))</f>
        <v>0</v>
      </c>
      <c r="AA423" s="615"/>
      <c r="AB423" s="622">
        <f t="shared" ref="AB423:AB431" si="598">Z423+AA423</f>
        <v>0</v>
      </c>
      <c r="AC423" s="633">
        <f>AB423*(1+VLOOKUP($F423,'GL Category'!$A:$H,5,FALSE))</f>
        <v>0</v>
      </c>
      <c r="AE423" s="622">
        <f t="shared" ref="AE423:AE431" si="599">AC423+AD423</f>
        <v>0</v>
      </c>
      <c r="AF423" s="633">
        <f>AE423*(1+VLOOKUP($F423,'GL Category'!$A:$H,6,FALSE))</f>
        <v>0</v>
      </c>
      <c r="AH423" s="622">
        <f t="shared" ref="AH423:AH431" si="600">AF423+AG423</f>
        <v>0</v>
      </c>
      <c r="AI423" s="633">
        <f>AH423*(1+VLOOKUP($F423,'GL Category'!$A:$H,7,FALSE))</f>
        <v>0</v>
      </c>
      <c r="AK423" s="622">
        <f t="shared" ref="AK423:AK431" si="601">AI423+AJ423</f>
        <v>0</v>
      </c>
      <c r="AL423" s="633">
        <f>AK423*(1+VLOOKUP($F423,'GL Category'!$A:$H,8,FALSE))</f>
        <v>0</v>
      </c>
      <c r="AN423" s="622">
        <f t="shared" ref="AN423:AN431" si="602">AL423+AM423</f>
        <v>0</v>
      </c>
      <c r="AO423" s="93"/>
      <c r="AP423" s="93"/>
      <c r="AQ423" s="93"/>
      <c r="AR423" s="93"/>
      <c r="AS423" s="93"/>
      <c r="AT423" s="93"/>
      <c r="AU423" s="93"/>
    </row>
    <row r="424" spans="1:59" s="75" customFormat="1" ht="15" customHeight="1">
      <c r="A424" s="555" t="s">
        <v>2400</v>
      </c>
      <c r="B424" s="217" t="str">
        <f t="shared" si="589"/>
        <v>100</v>
      </c>
      <c r="C424" s="217" t="str">
        <f t="shared" si="590"/>
        <v>16</v>
      </c>
      <c r="D424" s="101" t="str">
        <f t="shared" si="591"/>
        <v>161</v>
      </c>
      <c r="E424" s="217" t="str">
        <f t="shared" si="592"/>
        <v>100-16-161</v>
      </c>
      <c r="F424" s="294" t="str">
        <f t="shared" si="593"/>
        <v>50102</v>
      </c>
      <c r="G424" s="295" t="str">
        <f>VLOOKUP(F424,'GL Category'!A:C,3,FALSE)</f>
        <v>Personnel services</v>
      </c>
      <c r="H424" s="98" t="str">
        <f>VLOOKUP(F424,'GL Category'!A:C,2,FALSE)</f>
        <v>NON EXEMPT SALARIES</v>
      </c>
      <c r="I424" s="99">
        <f>SUMIF(Import!$B:$B,$A424,Import!D:D)</f>
        <v>0</v>
      </c>
      <c r="J424" s="99">
        <f>SUMIF(Import!$B:$B,$A424,Import!E:E)</f>
        <v>0</v>
      </c>
      <c r="K424" s="99">
        <f>SUMIF(Import!$B:$B,$A424,Import!F:F)</f>
        <v>0</v>
      </c>
      <c r="L424" s="99">
        <f>SUMIF(Import!$B:$B,$A424,Import!G:G)</f>
        <v>0</v>
      </c>
      <c r="M424" s="99">
        <f>SUMIF(Import!$B:$B,$A424,Import!H:H)</f>
        <v>0</v>
      </c>
      <c r="N424" s="99">
        <f>SUMIF(Import!$B:$B,$A424,Import!I:I)</f>
        <v>0</v>
      </c>
      <c r="O424" s="99">
        <f>SUMIF(Import!$B:$B,$A424,Import!J:J)</f>
        <v>0</v>
      </c>
      <c r="P424" s="99">
        <f t="shared" si="594"/>
        <v>0</v>
      </c>
      <c r="Q424" s="99">
        <f>SUMIF(Import!$B:$B,$A424,Import!K:K)</f>
        <v>0</v>
      </c>
      <c r="R424" s="99">
        <f>SUMIF(Import!$B:$B,$A424,Import!L:L)</f>
        <v>0</v>
      </c>
      <c r="S424" s="99">
        <f>SUMIF(Import!$B:$B,$A424,Import!M:M)</f>
        <v>0</v>
      </c>
      <c r="T424" s="99">
        <f>SUMIF(Import!$B:$B,$A424,Import!N:N)</f>
        <v>0</v>
      </c>
      <c r="U424" s="99">
        <f t="shared" si="595"/>
        <v>0</v>
      </c>
      <c r="V424" s="255" t="str">
        <f t="shared" si="596"/>
        <v>N/A</v>
      </c>
      <c r="W424" s="102" t="s">
        <v>2400</v>
      </c>
      <c r="X424" s="102"/>
      <c r="Y424" s="102">
        <f t="shared" si="597"/>
        <v>0</v>
      </c>
      <c r="Z424" s="309">
        <f>Y424*(1+VLOOKUP($F424,'GL Category'!$A:$H,4,FALSE))</f>
        <v>0</v>
      </c>
      <c r="AA424" s="615"/>
      <c r="AB424" s="622">
        <f t="shared" si="598"/>
        <v>0</v>
      </c>
      <c r="AC424" s="633">
        <f>AB424*(1+VLOOKUP($F424,'GL Category'!$A:$H,5,FALSE))</f>
        <v>0</v>
      </c>
      <c r="AD424" s="307"/>
      <c r="AE424" s="622">
        <f t="shared" si="599"/>
        <v>0</v>
      </c>
      <c r="AF424" s="633">
        <f>AE424*(1+VLOOKUP($F424,'GL Category'!$A:$H,6,FALSE))</f>
        <v>0</v>
      </c>
      <c r="AG424" s="307"/>
      <c r="AH424" s="622">
        <f t="shared" si="600"/>
        <v>0</v>
      </c>
      <c r="AI424" s="633">
        <f>AH424*(1+VLOOKUP($F424,'GL Category'!$A:$H,7,FALSE))</f>
        <v>0</v>
      </c>
      <c r="AJ424" s="307"/>
      <c r="AK424" s="622">
        <f t="shared" si="601"/>
        <v>0</v>
      </c>
      <c r="AL424" s="633">
        <f>AK424*(1+VLOOKUP($F424,'GL Category'!$A:$H,8,FALSE))</f>
        <v>0</v>
      </c>
      <c r="AM424" s="307"/>
      <c r="AN424" s="622">
        <f t="shared" si="602"/>
        <v>0</v>
      </c>
      <c r="AO424" s="626"/>
      <c r="AP424" s="626"/>
      <c r="AQ424" s="626"/>
      <c r="AR424" s="115"/>
      <c r="AS424" s="115"/>
      <c r="AT424" s="115"/>
      <c r="AU424" s="115"/>
      <c r="AV424" s="115"/>
      <c r="AW424" s="115"/>
      <c r="AX424" s="115"/>
      <c r="AY424" s="115"/>
      <c r="AZ424" s="115"/>
      <c r="BA424" s="115"/>
      <c r="BB424" s="115"/>
      <c r="BC424" s="115"/>
      <c r="BD424" s="115"/>
      <c r="BE424" s="74"/>
      <c r="BF424" s="74"/>
      <c r="BG424" s="74"/>
    </row>
    <row r="425" spans="1:59" ht="15" customHeight="1">
      <c r="A425" s="555" t="s">
        <v>2401</v>
      </c>
      <c r="B425" s="217" t="str">
        <f t="shared" si="589"/>
        <v>100</v>
      </c>
      <c r="C425" s="217" t="str">
        <f t="shared" si="590"/>
        <v>16</v>
      </c>
      <c r="D425" s="101" t="str">
        <f t="shared" si="591"/>
        <v>161</v>
      </c>
      <c r="E425" s="217" t="str">
        <f t="shared" si="592"/>
        <v>100-16-161</v>
      </c>
      <c r="F425" s="294" t="str">
        <f t="shared" si="593"/>
        <v>50109</v>
      </c>
      <c r="G425" s="295" t="str">
        <f>VLOOKUP(F425,'GL Category'!A:C,3,FALSE)</f>
        <v>Personnel services</v>
      </c>
      <c r="H425" s="98" t="str">
        <f>VLOOKUP(F425,'GL Category'!A:C,2,FALSE)</f>
        <v>OVERTIME</v>
      </c>
      <c r="I425" s="99">
        <f>SUMIF(Import!$B:$B,$A425,Import!D:D)</f>
        <v>0</v>
      </c>
      <c r="J425" s="99">
        <f>SUMIF(Import!$B:$B,$A425,Import!E:E)</f>
        <v>0</v>
      </c>
      <c r="K425" s="99">
        <f>SUMIF(Import!$B:$B,$A425,Import!F:F)</f>
        <v>0</v>
      </c>
      <c r="L425" s="99">
        <f>SUMIF(Import!$B:$B,$A425,Import!G:G)</f>
        <v>0</v>
      </c>
      <c r="M425" s="99">
        <f>SUMIF(Import!$B:$B,$A425,Import!H:H)</f>
        <v>0</v>
      </c>
      <c r="N425" s="99">
        <f>SUMIF(Import!$B:$B,$A425,Import!I:I)</f>
        <v>0</v>
      </c>
      <c r="O425" s="99">
        <f>SUMIF(Import!$B:$B,$A425,Import!J:J)</f>
        <v>0</v>
      </c>
      <c r="P425" s="99">
        <f t="shared" si="594"/>
        <v>0</v>
      </c>
      <c r="Q425" s="99">
        <f>SUMIF(Import!$B:$B,$A425,Import!K:K)</f>
        <v>0</v>
      </c>
      <c r="R425" s="99">
        <f>SUMIF(Import!$B:$B,$A425,Import!L:L)</f>
        <v>0</v>
      </c>
      <c r="S425" s="99">
        <f>SUMIF(Import!$B:$B,$A425,Import!M:M)</f>
        <v>0</v>
      </c>
      <c r="T425" s="99">
        <f>SUMIF(Import!$B:$B,$A425,Import!N:N)</f>
        <v>0</v>
      </c>
      <c r="U425" s="99">
        <f t="shared" si="595"/>
        <v>0</v>
      </c>
      <c r="V425" s="255" t="str">
        <f t="shared" si="596"/>
        <v>N/A</v>
      </c>
      <c r="W425" s="102" t="s">
        <v>2401</v>
      </c>
      <c r="X425" s="102"/>
      <c r="Y425" s="102">
        <f t="shared" si="597"/>
        <v>0</v>
      </c>
      <c r="Z425" s="309">
        <f>Y425*(1+VLOOKUP($F425,'GL Category'!$A:$H,4,FALSE))</f>
        <v>0</v>
      </c>
      <c r="AA425" s="615"/>
      <c r="AB425" s="622">
        <f t="shared" si="598"/>
        <v>0</v>
      </c>
      <c r="AC425" s="633">
        <f>AB425*(1+VLOOKUP($F425,'GL Category'!$A:$H,5,FALSE))</f>
        <v>0</v>
      </c>
      <c r="AE425" s="622">
        <f t="shared" si="599"/>
        <v>0</v>
      </c>
      <c r="AF425" s="633">
        <f>AE425*(1+VLOOKUP($F425,'GL Category'!$A:$H,6,FALSE))</f>
        <v>0</v>
      </c>
      <c r="AH425" s="622">
        <f t="shared" si="600"/>
        <v>0</v>
      </c>
      <c r="AI425" s="633">
        <f>AH425*(1+VLOOKUP($F425,'GL Category'!$A:$H,7,FALSE))</f>
        <v>0</v>
      </c>
      <c r="AK425" s="622">
        <f t="shared" si="601"/>
        <v>0</v>
      </c>
      <c r="AL425" s="633">
        <f>AK425*(1+VLOOKUP($F425,'GL Category'!$A:$H,8,FALSE))</f>
        <v>0</v>
      </c>
      <c r="AN425" s="622">
        <f t="shared" si="602"/>
        <v>0</v>
      </c>
      <c r="AO425" s="304"/>
      <c r="AP425" s="304"/>
      <c r="AQ425" s="304"/>
    </row>
    <row r="426" spans="1:59" s="75" customFormat="1" ht="15" customHeight="1">
      <c r="A426" s="555" t="s">
        <v>2402</v>
      </c>
      <c r="B426" s="217" t="str">
        <f t="shared" si="589"/>
        <v>100</v>
      </c>
      <c r="C426" s="217" t="str">
        <f t="shared" si="590"/>
        <v>16</v>
      </c>
      <c r="D426" s="101" t="str">
        <f t="shared" si="591"/>
        <v>161</v>
      </c>
      <c r="E426" s="217" t="str">
        <f t="shared" si="592"/>
        <v>100-16-161</v>
      </c>
      <c r="F426" s="294" t="str">
        <f t="shared" si="593"/>
        <v>50111</v>
      </c>
      <c r="G426" s="295" t="str">
        <f>VLOOKUP(F426,'GL Category'!A:C,3,FALSE)</f>
        <v>Personnel services</v>
      </c>
      <c r="H426" s="98" t="str">
        <f>VLOOKUP(F426,'GL Category'!A:C,2,FALSE)</f>
        <v>LONGEVITY PAY</v>
      </c>
      <c r="I426" s="99">
        <f>SUMIF(Import!$B:$B,$A426,Import!D:D)</f>
        <v>0</v>
      </c>
      <c r="J426" s="99">
        <f>SUMIF(Import!$B:$B,$A426,Import!E:E)</f>
        <v>0</v>
      </c>
      <c r="K426" s="99">
        <f>SUMIF(Import!$B:$B,$A426,Import!F:F)</f>
        <v>0</v>
      </c>
      <c r="L426" s="99">
        <f>SUMIF(Import!$B:$B,$A426,Import!G:G)</f>
        <v>0</v>
      </c>
      <c r="M426" s="99">
        <f>SUMIF(Import!$B:$B,$A426,Import!H:H)</f>
        <v>0</v>
      </c>
      <c r="N426" s="99">
        <f>SUMIF(Import!$B:$B,$A426,Import!I:I)</f>
        <v>0</v>
      </c>
      <c r="O426" s="99">
        <f>SUMIF(Import!$B:$B,$A426,Import!J:J)</f>
        <v>0</v>
      </c>
      <c r="P426" s="99">
        <f t="shared" si="594"/>
        <v>0</v>
      </c>
      <c r="Q426" s="99">
        <f>SUMIF(Import!$B:$B,$A426,Import!K:K)</f>
        <v>0</v>
      </c>
      <c r="R426" s="99">
        <f>SUMIF(Import!$B:$B,$A426,Import!L:L)</f>
        <v>0</v>
      </c>
      <c r="S426" s="99">
        <f>SUMIF(Import!$B:$B,$A426,Import!M:M)</f>
        <v>0</v>
      </c>
      <c r="T426" s="99">
        <f>SUMIF(Import!$B:$B,$A426,Import!N:N)</f>
        <v>0</v>
      </c>
      <c r="U426" s="99">
        <f t="shared" si="595"/>
        <v>0</v>
      </c>
      <c r="V426" s="255" t="str">
        <f t="shared" si="596"/>
        <v>N/A</v>
      </c>
      <c r="W426" s="102" t="s">
        <v>2402</v>
      </c>
      <c r="X426" s="102"/>
      <c r="Y426" s="102">
        <f t="shared" si="597"/>
        <v>0</v>
      </c>
      <c r="Z426" s="309">
        <f>Y426*(1+VLOOKUP($F426,'GL Category'!$A:$H,4,FALSE))</f>
        <v>0</v>
      </c>
      <c r="AA426" s="615"/>
      <c r="AB426" s="622">
        <f t="shared" si="598"/>
        <v>0</v>
      </c>
      <c r="AC426" s="633">
        <f>AB426*(1+VLOOKUP($F426,'GL Category'!$A:$H,5,FALSE))</f>
        <v>0</v>
      </c>
      <c r="AD426" s="307"/>
      <c r="AE426" s="622">
        <f t="shared" si="599"/>
        <v>0</v>
      </c>
      <c r="AF426" s="633">
        <f>AE426*(1+VLOOKUP($F426,'GL Category'!$A:$H,6,FALSE))</f>
        <v>0</v>
      </c>
      <c r="AG426" s="307"/>
      <c r="AH426" s="622">
        <f t="shared" si="600"/>
        <v>0</v>
      </c>
      <c r="AI426" s="633">
        <f>AH426*(1+VLOOKUP($F426,'GL Category'!$A:$H,7,FALSE))</f>
        <v>0</v>
      </c>
      <c r="AJ426" s="307"/>
      <c r="AK426" s="622">
        <f t="shared" si="601"/>
        <v>0</v>
      </c>
      <c r="AL426" s="633">
        <f>AK426*(1+VLOOKUP($F426,'GL Category'!$A:$H,8,FALSE))</f>
        <v>0</v>
      </c>
      <c r="AM426" s="307"/>
      <c r="AN426" s="622">
        <f t="shared" si="602"/>
        <v>0</v>
      </c>
      <c r="AO426" s="626"/>
      <c r="AP426" s="626"/>
      <c r="AQ426" s="626"/>
      <c r="AR426" s="115"/>
      <c r="AS426" s="115"/>
      <c r="AT426" s="115"/>
      <c r="AU426" s="115"/>
      <c r="AV426" s="115"/>
      <c r="AW426" s="115"/>
      <c r="AX426" s="115"/>
      <c r="AY426" s="115"/>
      <c r="AZ426" s="115"/>
      <c r="BA426" s="115"/>
      <c r="BB426" s="115"/>
      <c r="BC426" s="115"/>
      <c r="BD426" s="115"/>
      <c r="BE426" s="74"/>
      <c r="BF426" s="74"/>
      <c r="BG426" s="74"/>
    </row>
    <row r="427" spans="1:59" s="75" customFormat="1" ht="15" customHeight="1">
      <c r="A427" s="555" t="s">
        <v>2403</v>
      </c>
      <c r="B427" s="217" t="str">
        <f t="shared" si="589"/>
        <v>100</v>
      </c>
      <c r="C427" s="217" t="str">
        <f t="shared" si="590"/>
        <v>16</v>
      </c>
      <c r="D427" s="101" t="str">
        <f t="shared" si="591"/>
        <v>161</v>
      </c>
      <c r="E427" s="217" t="str">
        <f t="shared" si="592"/>
        <v>100-16-161</v>
      </c>
      <c r="F427" s="294" t="str">
        <f t="shared" si="593"/>
        <v>50115</v>
      </c>
      <c r="G427" s="295" t="str">
        <f>VLOOKUP(F427,'GL Category'!A:C,3,FALSE)</f>
        <v>Personnel services</v>
      </c>
      <c r="H427" s="98" t="str">
        <f>VLOOKUP(F427,'GL Category'!A:C,2,FALSE)</f>
        <v>INCENTIVE/CERTIFICATION PAY</v>
      </c>
      <c r="I427" s="99">
        <f>SUMIF(Import!$B:$B,$A427,Import!D:D)</f>
        <v>0</v>
      </c>
      <c r="J427" s="99">
        <f>SUMIF(Import!$B:$B,$A427,Import!E:E)</f>
        <v>0</v>
      </c>
      <c r="K427" s="99">
        <f>SUMIF(Import!$B:$B,$A427,Import!F:F)</f>
        <v>0</v>
      </c>
      <c r="L427" s="99">
        <f>SUMIF(Import!$B:$B,$A427,Import!G:G)</f>
        <v>0</v>
      </c>
      <c r="M427" s="99">
        <f>SUMIF(Import!$B:$B,$A427,Import!H:H)</f>
        <v>0</v>
      </c>
      <c r="N427" s="99">
        <f>SUMIF(Import!$B:$B,$A427,Import!I:I)</f>
        <v>0</v>
      </c>
      <c r="O427" s="99">
        <f>SUMIF(Import!$B:$B,$A427,Import!J:J)</f>
        <v>0</v>
      </c>
      <c r="P427" s="99">
        <f t="shared" si="594"/>
        <v>0</v>
      </c>
      <c r="Q427" s="99">
        <f>SUMIF(Import!$B:$B,$A427,Import!K:K)</f>
        <v>0</v>
      </c>
      <c r="R427" s="99">
        <f>SUMIF(Import!$B:$B,$A427,Import!L:L)</f>
        <v>0</v>
      </c>
      <c r="S427" s="99">
        <f>SUMIF(Import!$B:$B,$A427,Import!M:M)</f>
        <v>0</v>
      </c>
      <c r="T427" s="99">
        <f>SUMIF(Import!$B:$B,$A427,Import!N:N)</f>
        <v>0</v>
      </c>
      <c r="U427" s="99">
        <f t="shared" si="595"/>
        <v>0</v>
      </c>
      <c r="V427" s="255" t="str">
        <f t="shared" si="596"/>
        <v>N/A</v>
      </c>
      <c r="W427" s="102" t="s">
        <v>2403</v>
      </c>
      <c r="X427" s="102"/>
      <c r="Y427" s="102">
        <f t="shared" si="597"/>
        <v>0</v>
      </c>
      <c r="Z427" s="309">
        <f>Y427*(1+VLOOKUP($F427,'GL Category'!$A:$H,4,FALSE))</f>
        <v>0</v>
      </c>
      <c r="AA427" s="615"/>
      <c r="AB427" s="622">
        <f t="shared" si="598"/>
        <v>0</v>
      </c>
      <c r="AC427" s="633">
        <f>AB427*(1+VLOOKUP($F427,'GL Category'!$A:$H,5,FALSE))</f>
        <v>0</v>
      </c>
      <c r="AD427" s="307"/>
      <c r="AE427" s="622">
        <f t="shared" si="599"/>
        <v>0</v>
      </c>
      <c r="AF427" s="633">
        <f>AE427*(1+VLOOKUP($F427,'GL Category'!$A:$H,6,FALSE))</f>
        <v>0</v>
      </c>
      <c r="AG427" s="307"/>
      <c r="AH427" s="622">
        <f t="shared" si="600"/>
        <v>0</v>
      </c>
      <c r="AI427" s="633">
        <f>AH427*(1+VLOOKUP($F427,'GL Category'!$A:$H,7,FALSE))</f>
        <v>0</v>
      </c>
      <c r="AJ427" s="307"/>
      <c r="AK427" s="622">
        <f t="shared" si="601"/>
        <v>0</v>
      </c>
      <c r="AL427" s="633">
        <f>AK427*(1+VLOOKUP($F427,'GL Category'!$A:$H,8,FALSE))</f>
        <v>0</v>
      </c>
      <c r="AM427" s="307"/>
      <c r="AN427" s="622">
        <f t="shared" si="602"/>
        <v>0</v>
      </c>
      <c r="AO427" s="626"/>
      <c r="AP427" s="626"/>
      <c r="AQ427" s="626"/>
      <c r="AR427" s="115"/>
      <c r="AS427" s="115"/>
      <c r="AT427" s="115"/>
      <c r="AU427" s="115"/>
      <c r="AV427" s="115"/>
      <c r="AW427" s="115"/>
      <c r="AX427" s="115"/>
      <c r="AY427" s="115"/>
      <c r="AZ427" s="115"/>
      <c r="BA427" s="115"/>
      <c r="BB427" s="115"/>
      <c r="BC427" s="115"/>
      <c r="BD427" s="115"/>
      <c r="BE427" s="74"/>
      <c r="BF427" s="74"/>
      <c r="BG427" s="74"/>
    </row>
    <row r="428" spans="1:59" ht="15" customHeight="1">
      <c r="A428" s="555" t="s">
        <v>2404</v>
      </c>
      <c r="B428" s="217" t="str">
        <f t="shared" si="589"/>
        <v>100</v>
      </c>
      <c r="C428" s="217" t="str">
        <f t="shared" si="590"/>
        <v>16</v>
      </c>
      <c r="D428" s="101" t="str">
        <f t="shared" si="591"/>
        <v>161</v>
      </c>
      <c r="E428" s="217" t="str">
        <f t="shared" si="592"/>
        <v>100-16-161</v>
      </c>
      <c r="F428" s="294" t="str">
        <f t="shared" si="593"/>
        <v>50610</v>
      </c>
      <c r="G428" s="295" t="str">
        <f>VLOOKUP(F428,'GL Category'!A:C,3,FALSE)</f>
        <v>Personnel services</v>
      </c>
      <c r="H428" s="98" t="str">
        <f>VLOOKUP(F428,'GL Category'!A:C,2,FALSE)</f>
        <v>SOCIAL SECURITY</v>
      </c>
      <c r="I428" s="99">
        <f>SUMIF(Import!$B:$B,$A428,Import!D:D)</f>
        <v>0</v>
      </c>
      <c r="J428" s="99">
        <f>SUMIF(Import!$B:$B,$A428,Import!E:E)</f>
        <v>0</v>
      </c>
      <c r="K428" s="99">
        <f>SUMIF(Import!$B:$B,$A428,Import!F:F)</f>
        <v>0</v>
      </c>
      <c r="L428" s="99">
        <f>SUMIF(Import!$B:$B,$A428,Import!G:G)</f>
        <v>0</v>
      </c>
      <c r="M428" s="99">
        <f>SUMIF(Import!$B:$B,$A428,Import!H:H)</f>
        <v>0</v>
      </c>
      <c r="N428" s="99">
        <f>SUMIF(Import!$B:$B,$A428,Import!I:I)</f>
        <v>0</v>
      </c>
      <c r="O428" s="99">
        <f>SUMIF(Import!$B:$B,$A428,Import!J:J)</f>
        <v>0</v>
      </c>
      <c r="P428" s="99">
        <f t="shared" si="594"/>
        <v>0</v>
      </c>
      <c r="Q428" s="99">
        <f>SUMIF(Import!$B:$B,$A428,Import!K:K)</f>
        <v>0</v>
      </c>
      <c r="R428" s="99">
        <f>SUMIF(Import!$B:$B,$A428,Import!L:L)</f>
        <v>0</v>
      </c>
      <c r="S428" s="99">
        <f>SUMIF(Import!$B:$B,$A428,Import!M:M)</f>
        <v>0</v>
      </c>
      <c r="T428" s="99">
        <f>SUMIF(Import!$B:$B,$A428,Import!N:N)</f>
        <v>0</v>
      </c>
      <c r="U428" s="99">
        <f t="shared" si="595"/>
        <v>0</v>
      </c>
      <c r="V428" s="255" t="str">
        <f t="shared" si="596"/>
        <v>N/A</v>
      </c>
      <c r="W428" s="102" t="s">
        <v>2404</v>
      </c>
      <c r="X428" s="102"/>
      <c r="Y428" s="102">
        <f t="shared" si="597"/>
        <v>0</v>
      </c>
      <c r="Z428" s="309">
        <f>Y428*(1+VLOOKUP($F428,'GL Category'!$A:$H,4,FALSE))</f>
        <v>0</v>
      </c>
      <c r="AA428" s="615"/>
      <c r="AB428" s="622">
        <f t="shared" si="598"/>
        <v>0</v>
      </c>
      <c r="AC428" s="633">
        <f>AB428*(1+VLOOKUP($F428,'GL Category'!$A:$H,5,FALSE))</f>
        <v>0</v>
      </c>
      <c r="AE428" s="622">
        <f t="shared" si="599"/>
        <v>0</v>
      </c>
      <c r="AF428" s="633">
        <f>AE428*(1+VLOOKUP($F428,'GL Category'!$A:$H,6,FALSE))</f>
        <v>0</v>
      </c>
      <c r="AH428" s="622">
        <f t="shared" si="600"/>
        <v>0</v>
      </c>
      <c r="AI428" s="633">
        <f>AH428*(1+VLOOKUP($F428,'GL Category'!$A:$H,7,FALSE))</f>
        <v>0</v>
      </c>
      <c r="AK428" s="622">
        <f t="shared" si="601"/>
        <v>0</v>
      </c>
      <c r="AL428" s="633">
        <f>AK428*(1+VLOOKUP($F428,'GL Category'!$A:$H,8,FALSE))</f>
        <v>0</v>
      </c>
      <c r="AN428" s="622">
        <f t="shared" si="602"/>
        <v>0</v>
      </c>
      <c r="AO428" s="304"/>
      <c r="AP428" s="304"/>
      <c r="AQ428" s="304"/>
    </row>
    <row r="429" spans="1:59" ht="15" customHeight="1">
      <c r="A429" s="555" t="s">
        <v>2405</v>
      </c>
      <c r="B429" s="217" t="str">
        <f t="shared" si="589"/>
        <v>100</v>
      </c>
      <c r="C429" s="217" t="str">
        <f t="shared" si="590"/>
        <v>16</v>
      </c>
      <c r="D429" s="101" t="str">
        <f t="shared" si="591"/>
        <v>161</v>
      </c>
      <c r="E429" s="217" t="str">
        <f t="shared" si="592"/>
        <v>100-16-161</v>
      </c>
      <c r="F429" s="294" t="str">
        <f t="shared" si="593"/>
        <v>50620</v>
      </c>
      <c r="G429" s="295" t="str">
        <f>VLOOKUP(F429,'GL Category'!A:C,3,FALSE)</f>
        <v>Personnel services</v>
      </c>
      <c r="H429" s="98" t="str">
        <f>VLOOKUP(F429,'GL Category'!A:C,2,FALSE)</f>
        <v>HEALTH/LIFE INSURANCE</v>
      </c>
      <c r="I429" s="99">
        <f>SUMIF(Import!$B:$B,$A429,Import!D:D)</f>
        <v>0</v>
      </c>
      <c r="J429" s="99">
        <f>SUMIF(Import!$B:$B,$A429,Import!E:E)</f>
        <v>0</v>
      </c>
      <c r="K429" s="99">
        <f>SUMIF(Import!$B:$B,$A429,Import!F:F)</f>
        <v>0</v>
      </c>
      <c r="L429" s="99">
        <f>SUMIF(Import!$B:$B,$A429,Import!G:G)</f>
        <v>0</v>
      </c>
      <c r="M429" s="99">
        <f>SUMIF(Import!$B:$B,$A429,Import!H:H)</f>
        <v>0</v>
      </c>
      <c r="N429" s="99">
        <f>SUMIF(Import!$B:$B,$A429,Import!I:I)</f>
        <v>0</v>
      </c>
      <c r="O429" s="99">
        <f>SUMIF(Import!$B:$B,$A429,Import!J:J)</f>
        <v>0</v>
      </c>
      <c r="P429" s="99">
        <f t="shared" si="594"/>
        <v>0</v>
      </c>
      <c r="Q429" s="99">
        <f>SUMIF(Import!$B:$B,$A429,Import!K:K)</f>
        <v>0</v>
      </c>
      <c r="R429" s="99">
        <f>SUMIF(Import!$B:$B,$A429,Import!L:L)</f>
        <v>0</v>
      </c>
      <c r="S429" s="99">
        <f>SUMIF(Import!$B:$B,$A429,Import!M:M)</f>
        <v>0</v>
      </c>
      <c r="T429" s="99">
        <f>SUMIF(Import!$B:$B,$A429,Import!N:N)</f>
        <v>0</v>
      </c>
      <c r="U429" s="99">
        <f t="shared" si="595"/>
        <v>0</v>
      </c>
      <c r="V429" s="255" t="str">
        <f t="shared" si="596"/>
        <v>N/A</v>
      </c>
      <c r="W429" s="102" t="s">
        <v>2405</v>
      </c>
      <c r="X429" s="102"/>
      <c r="Y429" s="102">
        <f t="shared" si="597"/>
        <v>0</v>
      </c>
      <c r="Z429" s="309">
        <f>Y429*(1+VLOOKUP($F429,'GL Category'!$A:$H,4,FALSE))</f>
        <v>0</v>
      </c>
      <c r="AA429" s="615"/>
      <c r="AB429" s="622">
        <f t="shared" si="598"/>
        <v>0</v>
      </c>
      <c r="AC429" s="633">
        <f>AB429*(1+VLOOKUP($F429,'GL Category'!$A:$H,5,FALSE))</f>
        <v>0</v>
      </c>
      <c r="AE429" s="622">
        <f t="shared" si="599"/>
        <v>0</v>
      </c>
      <c r="AF429" s="633">
        <f>AE429*(1+VLOOKUP($F429,'GL Category'!$A:$H,6,FALSE))</f>
        <v>0</v>
      </c>
      <c r="AH429" s="622">
        <f t="shared" si="600"/>
        <v>0</v>
      </c>
      <c r="AI429" s="633">
        <f>AH429*(1+VLOOKUP($F429,'GL Category'!$A:$H,7,FALSE))</f>
        <v>0</v>
      </c>
      <c r="AK429" s="622">
        <f t="shared" si="601"/>
        <v>0</v>
      </c>
      <c r="AL429" s="633">
        <f>AK429*(1+VLOOKUP($F429,'GL Category'!$A:$H,8,FALSE))</f>
        <v>0</v>
      </c>
      <c r="AN429" s="622">
        <f t="shared" si="602"/>
        <v>0</v>
      </c>
      <c r="AO429" s="304"/>
      <c r="AP429" s="304"/>
      <c r="AQ429" s="304"/>
    </row>
    <row r="430" spans="1:59" ht="15" customHeight="1">
      <c r="A430" s="555" t="s">
        <v>2406</v>
      </c>
      <c r="B430" s="217" t="str">
        <f t="shared" si="589"/>
        <v>100</v>
      </c>
      <c r="C430" s="217" t="str">
        <f t="shared" si="590"/>
        <v>16</v>
      </c>
      <c r="D430" s="101" t="str">
        <f t="shared" si="591"/>
        <v>161</v>
      </c>
      <c r="E430" s="217" t="str">
        <f t="shared" si="592"/>
        <v>100-16-161</v>
      </c>
      <c r="F430" s="294" t="str">
        <f t="shared" si="593"/>
        <v>50630</v>
      </c>
      <c r="G430" s="295" t="str">
        <f>VLOOKUP(F430,'GL Category'!A:C,3,FALSE)</f>
        <v>Personnel services</v>
      </c>
      <c r="H430" s="98" t="str">
        <f>VLOOKUP(F430,'GL Category'!A:C,2,FALSE)</f>
        <v>WORKER COMPENSATION</v>
      </c>
      <c r="I430" s="99">
        <f>SUMIF(Import!$B:$B,$A430,Import!D:D)</f>
        <v>0</v>
      </c>
      <c r="J430" s="99">
        <f>SUMIF(Import!$B:$B,$A430,Import!E:E)</f>
        <v>0</v>
      </c>
      <c r="K430" s="99">
        <f>SUMIF(Import!$B:$B,$A430,Import!F:F)</f>
        <v>0</v>
      </c>
      <c r="L430" s="99">
        <f>SUMIF(Import!$B:$B,$A430,Import!G:G)</f>
        <v>0</v>
      </c>
      <c r="M430" s="99">
        <f>SUMIF(Import!$B:$B,$A430,Import!H:H)</f>
        <v>0</v>
      </c>
      <c r="N430" s="99">
        <f>SUMIF(Import!$B:$B,$A430,Import!I:I)</f>
        <v>0</v>
      </c>
      <c r="O430" s="99">
        <f>SUMIF(Import!$B:$B,$A430,Import!J:J)</f>
        <v>0</v>
      </c>
      <c r="P430" s="99">
        <f t="shared" si="594"/>
        <v>0</v>
      </c>
      <c r="Q430" s="99">
        <f>SUMIF(Import!$B:$B,$A430,Import!K:K)</f>
        <v>0</v>
      </c>
      <c r="R430" s="99">
        <f>SUMIF(Import!$B:$B,$A430,Import!L:L)</f>
        <v>0</v>
      </c>
      <c r="S430" s="99">
        <f>SUMIF(Import!$B:$B,$A430,Import!M:M)</f>
        <v>0</v>
      </c>
      <c r="T430" s="99">
        <f>SUMIF(Import!$B:$B,$A430,Import!N:N)</f>
        <v>0</v>
      </c>
      <c r="U430" s="99">
        <f t="shared" si="595"/>
        <v>0</v>
      </c>
      <c r="V430" s="255" t="str">
        <f t="shared" si="596"/>
        <v>N/A</v>
      </c>
      <c r="W430" s="102" t="s">
        <v>2406</v>
      </c>
      <c r="X430" s="102"/>
      <c r="Y430" s="102">
        <f t="shared" si="597"/>
        <v>0</v>
      </c>
      <c r="Z430" s="309">
        <f>Y430*(1+VLOOKUP($F430,'GL Category'!$A:$H,4,FALSE))</f>
        <v>0</v>
      </c>
      <c r="AA430" s="615"/>
      <c r="AB430" s="622">
        <f t="shared" si="598"/>
        <v>0</v>
      </c>
      <c r="AC430" s="633">
        <f>AB430*(1+VLOOKUP($F430,'GL Category'!$A:$H,5,FALSE))</f>
        <v>0</v>
      </c>
      <c r="AE430" s="622">
        <f t="shared" si="599"/>
        <v>0</v>
      </c>
      <c r="AF430" s="633">
        <f>AE430*(1+VLOOKUP($F430,'GL Category'!$A:$H,6,FALSE))</f>
        <v>0</v>
      </c>
      <c r="AH430" s="622">
        <f t="shared" si="600"/>
        <v>0</v>
      </c>
      <c r="AI430" s="633">
        <f>AH430*(1+VLOOKUP($F430,'GL Category'!$A:$H,7,FALSE))</f>
        <v>0</v>
      </c>
      <c r="AK430" s="622">
        <f t="shared" si="601"/>
        <v>0</v>
      </c>
      <c r="AL430" s="633">
        <f>AK430*(1+VLOOKUP($F430,'GL Category'!$A:$H,8,FALSE))</f>
        <v>0</v>
      </c>
      <c r="AN430" s="622">
        <f t="shared" si="602"/>
        <v>0</v>
      </c>
      <c r="AO430" s="304"/>
      <c r="AP430" s="304"/>
      <c r="AQ430" s="304"/>
    </row>
    <row r="431" spans="1:59" ht="15" customHeight="1">
      <c r="A431" s="555" t="s">
        <v>2407</v>
      </c>
      <c r="B431" s="217" t="str">
        <f t="shared" si="589"/>
        <v>100</v>
      </c>
      <c r="C431" s="217" t="str">
        <f t="shared" si="590"/>
        <v>16</v>
      </c>
      <c r="D431" s="101" t="str">
        <f t="shared" si="591"/>
        <v>161</v>
      </c>
      <c r="E431" s="217" t="str">
        <f t="shared" si="592"/>
        <v>100-16-161</v>
      </c>
      <c r="F431" s="294" t="str">
        <f t="shared" si="593"/>
        <v>50650</v>
      </c>
      <c r="G431" s="295" t="str">
        <f>VLOOKUP(F431,'GL Category'!A:C,3,FALSE)</f>
        <v>Personnel services</v>
      </c>
      <c r="H431" s="98" t="str">
        <f>VLOOKUP(F431,'GL Category'!A:C,2,FALSE)</f>
        <v>RETIREMENT</v>
      </c>
      <c r="I431" s="99">
        <f>SUMIF(Import!$B:$B,$A431,Import!D:D)</f>
        <v>0</v>
      </c>
      <c r="J431" s="99">
        <f>SUMIF(Import!$B:$B,$A431,Import!E:E)</f>
        <v>0</v>
      </c>
      <c r="K431" s="99">
        <f>SUMIF(Import!$B:$B,$A431,Import!F:F)</f>
        <v>0</v>
      </c>
      <c r="L431" s="99">
        <f>SUMIF(Import!$B:$B,$A431,Import!G:G)</f>
        <v>0</v>
      </c>
      <c r="M431" s="99">
        <f>SUMIF(Import!$B:$B,$A431,Import!H:H)</f>
        <v>0</v>
      </c>
      <c r="N431" s="99">
        <f>SUMIF(Import!$B:$B,$A431,Import!I:I)</f>
        <v>0</v>
      </c>
      <c r="O431" s="99">
        <f>SUMIF(Import!$B:$B,$A431,Import!J:J)</f>
        <v>0</v>
      </c>
      <c r="P431" s="99">
        <f t="shared" si="594"/>
        <v>0</v>
      </c>
      <c r="Q431" s="99">
        <f>SUMIF(Import!$B:$B,$A431,Import!K:K)</f>
        <v>0</v>
      </c>
      <c r="R431" s="99">
        <f>SUMIF(Import!$B:$B,$A431,Import!L:L)</f>
        <v>0</v>
      </c>
      <c r="S431" s="99">
        <f>SUMIF(Import!$B:$B,$A431,Import!M:M)</f>
        <v>0</v>
      </c>
      <c r="T431" s="99">
        <f>SUMIF(Import!$B:$B,$A431,Import!N:N)</f>
        <v>0</v>
      </c>
      <c r="U431" s="99">
        <f t="shared" si="595"/>
        <v>0</v>
      </c>
      <c r="V431" s="255" t="str">
        <f t="shared" si="596"/>
        <v>N/A</v>
      </c>
      <c r="W431" s="102" t="s">
        <v>2407</v>
      </c>
      <c r="X431" s="102"/>
      <c r="Y431" s="102">
        <f t="shared" si="597"/>
        <v>0</v>
      </c>
      <c r="Z431" s="309">
        <f>Y431*(1+VLOOKUP($F431,'GL Category'!$A:$H,4,FALSE))</f>
        <v>0</v>
      </c>
      <c r="AA431" s="615"/>
      <c r="AB431" s="622">
        <f t="shared" si="598"/>
        <v>0</v>
      </c>
      <c r="AC431" s="633">
        <f>AB431*(1+VLOOKUP($F431,'GL Category'!$A:$H,5,FALSE))</f>
        <v>0</v>
      </c>
      <c r="AE431" s="622">
        <f t="shared" si="599"/>
        <v>0</v>
      </c>
      <c r="AF431" s="633">
        <f>AE431*(1+VLOOKUP($F431,'GL Category'!$A:$H,6,FALSE))</f>
        <v>0</v>
      </c>
      <c r="AH431" s="622">
        <f t="shared" si="600"/>
        <v>0</v>
      </c>
      <c r="AI431" s="633">
        <f>AH431*(1+VLOOKUP($F431,'GL Category'!$A:$H,7,FALSE))</f>
        <v>0</v>
      </c>
      <c r="AK431" s="622">
        <f t="shared" si="601"/>
        <v>0</v>
      </c>
      <c r="AL431" s="633">
        <f>AK431*(1+VLOOKUP($F431,'GL Category'!$A:$H,8,FALSE))</f>
        <v>0</v>
      </c>
      <c r="AN431" s="622">
        <f t="shared" si="602"/>
        <v>0</v>
      </c>
      <c r="AO431" s="304"/>
      <c r="AP431" s="304"/>
      <c r="AQ431" s="304"/>
    </row>
    <row r="432" spans="1:59" ht="15" customHeight="1">
      <c r="A432" s="297"/>
      <c r="B432" s="217"/>
      <c r="C432" s="217"/>
      <c r="D432" s="101"/>
      <c r="E432" s="101"/>
      <c r="F432" s="294"/>
      <c r="G432" s="295"/>
      <c r="H432" s="107" t="str">
        <f>UPPER(G431)&amp;" TOTAL"</f>
        <v>PERSONNEL SERVICES TOTAL</v>
      </c>
      <c r="I432" s="108">
        <f t="shared" ref="I432" si="603">SUBTOTAL(9,I423:I431)</f>
        <v>0</v>
      </c>
      <c r="J432" s="108">
        <f t="shared" ref="J432:P432" si="604">SUBTOTAL(9,J423:J431)</f>
        <v>0</v>
      </c>
      <c r="K432" s="108">
        <f t="shared" ref="K432" si="605">SUBTOTAL(9,K423:K431)</f>
        <v>0</v>
      </c>
      <c r="L432" s="108">
        <f t="shared" ref="L432" si="606">SUBTOTAL(9,L423:L431)</f>
        <v>0</v>
      </c>
      <c r="M432" s="108">
        <f t="shared" si="604"/>
        <v>0</v>
      </c>
      <c r="N432" s="109">
        <f t="shared" ref="N432" si="607">SUBTOTAL(9,N423:N431)</f>
        <v>0</v>
      </c>
      <c r="O432" s="109">
        <f t="shared" si="604"/>
        <v>0</v>
      </c>
      <c r="P432" s="109">
        <f t="shared" si="604"/>
        <v>0</v>
      </c>
      <c r="Q432" s="109">
        <f t="shared" ref="Q432:T432" si="608">SUBTOTAL(9,Q423:Q431)</f>
        <v>0</v>
      </c>
      <c r="R432" s="109">
        <f t="shared" si="608"/>
        <v>0</v>
      </c>
      <c r="S432" s="109">
        <f t="shared" si="608"/>
        <v>0</v>
      </c>
      <c r="T432" s="109">
        <f t="shared" si="608"/>
        <v>0</v>
      </c>
      <c r="U432" s="99">
        <f>T432-M432</f>
        <v>0</v>
      </c>
      <c r="V432" s="255" t="str">
        <f>IF(M432=0,"N/A",T432/M432-1)</f>
        <v>N/A</v>
      </c>
      <c r="W432" s="102"/>
      <c r="X432" s="102"/>
      <c r="Y432" s="102"/>
      <c r="AA432" s="615"/>
      <c r="AC432" s="94"/>
      <c r="AD432" s="94"/>
      <c r="AE432" s="94"/>
      <c r="AF432" s="94"/>
      <c r="AG432" s="94"/>
      <c r="AJ432" s="94"/>
      <c r="AK432" s="94"/>
      <c r="AL432" s="94"/>
      <c r="AM432" s="94"/>
      <c r="AN432" s="94"/>
      <c r="AO432" s="94"/>
      <c r="AP432" s="94"/>
      <c r="AQ432" s="94"/>
    </row>
    <row r="433" spans="1:46" s="115" customFormat="1" ht="15" customHeight="1">
      <c r="A433" s="297"/>
      <c r="B433" s="217"/>
      <c r="C433" s="217"/>
      <c r="D433" s="101"/>
      <c r="E433" s="101"/>
      <c r="F433" s="294"/>
      <c r="G433" s="295"/>
      <c r="H433" s="98"/>
      <c r="I433" s="106"/>
      <c r="J433" s="106"/>
      <c r="K433" s="106"/>
      <c r="L433" s="106"/>
      <c r="M433" s="106"/>
      <c r="N433" s="112"/>
      <c r="O433" s="112"/>
      <c r="P433" s="112"/>
      <c r="Q433" s="113"/>
      <c r="R433" s="212"/>
      <c r="S433" s="212"/>
      <c r="T433" s="113"/>
      <c r="U433" s="113"/>
      <c r="V433" s="113"/>
      <c r="W433" s="102"/>
      <c r="X433" s="102"/>
      <c r="Y433" s="102"/>
      <c r="Z433" s="192"/>
      <c r="AA433" s="615"/>
      <c r="AB433" s="307"/>
      <c r="AC433" s="300"/>
      <c r="AD433" s="300"/>
      <c r="AE433" s="300"/>
      <c r="AF433" s="300"/>
      <c r="AG433" s="300"/>
      <c r="AH433" s="307"/>
      <c r="AI433" s="307"/>
      <c r="AJ433" s="300"/>
      <c r="AK433" s="300"/>
      <c r="AL433" s="300"/>
      <c r="AM433" s="300"/>
      <c r="AN433" s="300"/>
      <c r="AO433" s="300"/>
      <c r="AP433" s="300"/>
      <c r="AQ433" s="300"/>
    </row>
    <row r="434" spans="1:46" ht="15" customHeight="1">
      <c r="A434" s="555" t="s">
        <v>2408</v>
      </c>
      <c r="B434" s="217" t="str">
        <f t="shared" ref="B434:B437" si="609">LEFT(A434,3)</f>
        <v>100</v>
      </c>
      <c r="C434" s="217" t="str">
        <f t="shared" ref="C434:C437" si="610">MID(A434,5,2)</f>
        <v>16</v>
      </c>
      <c r="D434" s="101" t="str">
        <f t="shared" ref="D434:D437" si="611">MID(A434,8,3)</f>
        <v>161</v>
      </c>
      <c r="E434" s="217" t="str">
        <f t="shared" ref="E434:E437" si="612">LEFT(A434,10)</f>
        <v>100-16-161</v>
      </c>
      <c r="F434" s="294" t="str">
        <f t="shared" ref="F434:F437" si="613">RIGHT(A434,5)</f>
        <v>51210</v>
      </c>
      <c r="G434" s="295" t="str">
        <f>VLOOKUP(F434,'GL Category'!A:C,3,FALSE)</f>
        <v>Operations &amp; maintenance</v>
      </c>
      <c r="H434" s="98" t="str">
        <f>VLOOKUP(F434,'GL Category'!A:C,2,FALSE)</f>
        <v>OFFICE SUPPLIES</v>
      </c>
      <c r="I434" s="99">
        <f>SUMIF(Import!$B:$B,$A434,Import!D:D)</f>
        <v>0</v>
      </c>
      <c r="J434" s="99">
        <f>SUMIF(Import!$B:$B,$A434,Import!E:E)</f>
        <v>0</v>
      </c>
      <c r="K434" s="99">
        <f>SUMIF(Import!$B:$B,$A434,Import!F:F)</f>
        <v>0</v>
      </c>
      <c r="L434" s="99">
        <f>SUMIF(Import!$B:$B,$A434,Import!G:G)</f>
        <v>0</v>
      </c>
      <c r="M434" s="99">
        <f>SUMIF(Import!$B:$B,$A434,Import!H:H)</f>
        <v>0</v>
      </c>
      <c r="N434" s="99">
        <f>SUMIF(Import!$B:$B,$A434,Import!I:I)</f>
        <v>0</v>
      </c>
      <c r="O434" s="99">
        <f>SUMIF(Import!$B:$B,$A434,Import!J:J)</f>
        <v>0</v>
      </c>
      <c r="P434" s="99">
        <f t="shared" ref="P434:P437" si="614">O434-M434</f>
        <v>0</v>
      </c>
      <c r="Q434" s="99">
        <f>SUMIF(Import!$B:$B,$A434,Import!K:K)</f>
        <v>0</v>
      </c>
      <c r="R434" s="99">
        <f>SUMIF(Import!$B:$B,$A434,Import!L:L)</f>
        <v>0</v>
      </c>
      <c r="S434" s="99">
        <f>SUMIF(Import!$B:$B,$A434,Import!M:M)</f>
        <v>0</v>
      </c>
      <c r="T434" s="99">
        <f>SUMIF(Import!$B:$B,$A434,Import!N:N)</f>
        <v>0</v>
      </c>
      <c r="U434" s="99">
        <f t="shared" ref="U434:U437" si="615">T434-M434</f>
        <v>0</v>
      </c>
      <c r="V434" s="255" t="str">
        <f t="shared" ref="V434:V437" si="616">IF(M434=0,"N/A",T434/M434-1)</f>
        <v>N/A</v>
      </c>
      <c r="W434" s="102" t="s">
        <v>2408</v>
      </c>
      <c r="X434" s="102"/>
      <c r="Y434" s="102">
        <f t="shared" ref="Y434:Y437" si="617">T434-X434</f>
        <v>0</v>
      </c>
      <c r="Z434" s="309">
        <f>Y434*(1+VLOOKUP($F434,'GL Category'!$A:$H,4,FALSE))</f>
        <v>0</v>
      </c>
      <c r="AA434" s="615"/>
      <c r="AB434" s="622">
        <f t="shared" ref="AB434:AB437" si="618">Z434+AA434</f>
        <v>0</v>
      </c>
      <c r="AC434" s="633">
        <f>AB434*(1+VLOOKUP($F434,'GL Category'!$A:$H,5,FALSE))</f>
        <v>0</v>
      </c>
      <c r="AE434" s="622">
        <f t="shared" ref="AE434:AE437" si="619">AC434+AD434</f>
        <v>0</v>
      </c>
      <c r="AF434" s="633">
        <f>AE434*(1+VLOOKUP($F434,'GL Category'!$A:$H,6,FALSE))</f>
        <v>0</v>
      </c>
      <c r="AH434" s="622">
        <f t="shared" ref="AH434:AH437" si="620">AF434+AG434</f>
        <v>0</v>
      </c>
      <c r="AI434" s="633">
        <f>AH434*(1+VLOOKUP($F434,'GL Category'!$A:$H,7,FALSE))</f>
        <v>0</v>
      </c>
      <c r="AK434" s="622">
        <f t="shared" ref="AK434:AK437" si="621">AI434+AJ434</f>
        <v>0</v>
      </c>
      <c r="AL434" s="633">
        <f>AK434*(1+VLOOKUP($F434,'GL Category'!$A:$H,8,FALSE))</f>
        <v>0</v>
      </c>
      <c r="AN434" s="622">
        <f t="shared" ref="AN434:AN437" si="622">AL434+AM434</f>
        <v>0</v>
      </c>
      <c r="AO434" s="304"/>
      <c r="AP434" s="304"/>
      <c r="AQ434" s="304"/>
    </row>
    <row r="435" spans="1:46" ht="15" customHeight="1">
      <c r="A435" s="555" t="s">
        <v>2409</v>
      </c>
      <c r="B435" s="217" t="str">
        <f t="shared" si="609"/>
        <v>100</v>
      </c>
      <c r="C435" s="217" t="str">
        <f t="shared" si="610"/>
        <v>16</v>
      </c>
      <c r="D435" s="101" t="str">
        <f t="shared" si="611"/>
        <v>161</v>
      </c>
      <c r="E435" s="217" t="str">
        <f t="shared" si="612"/>
        <v>100-16-161</v>
      </c>
      <c r="F435" s="294" t="str">
        <f t="shared" si="613"/>
        <v>52310</v>
      </c>
      <c r="G435" s="295" t="str">
        <f>VLOOKUP(F435,'GL Category'!A:C,3,FALSE)</f>
        <v>Operations &amp; maintenance</v>
      </c>
      <c r="H435" s="98" t="str">
        <f>VLOOKUP(F435,'GL Category'!A:C,2,FALSE)</f>
        <v>BUILDING MAINTENANCE</v>
      </c>
      <c r="I435" s="99">
        <f>SUMIF(Import!$B:$B,$A435,Import!D:D)</f>
        <v>0</v>
      </c>
      <c r="J435" s="99">
        <f>SUMIF(Import!$B:$B,$A435,Import!E:E)</f>
        <v>0</v>
      </c>
      <c r="K435" s="99">
        <f>SUMIF(Import!$B:$B,$A435,Import!F:F)</f>
        <v>0</v>
      </c>
      <c r="L435" s="99">
        <f>SUMIF(Import!$B:$B,$A435,Import!G:G)</f>
        <v>0</v>
      </c>
      <c r="M435" s="99">
        <f>SUMIF(Import!$B:$B,$A435,Import!H:H)</f>
        <v>0</v>
      </c>
      <c r="N435" s="99">
        <f>SUMIF(Import!$B:$B,$A435,Import!I:I)</f>
        <v>0</v>
      </c>
      <c r="O435" s="99">
        <f>SUMIF(Import!$B:$B,$A435,Import!J:J)</f>
        <v>0</v>
      </c>
      <c r="P435" s="99">
        <f t="shared" si="614"/>
        <v>0</v>
      </c>
      <c r="Q435" s="99">
        <f>SUMIF(Import!$B:$B,$A435,Import!K:K)</f>
        <v>0</v>
      </c>
      <c r="R435" s="99">
        <f>SUMIF(Import!$B:$B,$A435,Import!L:L)</f>
        <v>0</v>
      </c>
      <c r="S435" s="99">
        <f>SUMIF(Import!$B:$B,$A435,Import!M:M)</f>
        <v>0</v>
      </c>
      <c r="T435" s="99">
        <f>SUMIF(Import!$B:$B,$A435,Import!N:N)</f>
        <v>0</v>
      </c>
      <c r="U435" s="99">
        <f t="shared" si="615"/>
        <v>0</v>
      </c>
      <c r="V435" s="255" t="str">
        <f t="shared" si="616"/>
        <v>N/A</v>
      </c>
      <c r="W435" s="102" t="s">
        <v>2409</v>
      </c>
      <c r="X435" s="102"/>
      <c r="Y435" s="102">
        <f t="shared" si="617"/>
        <v>0</v>
      </c>
      <c r="Z435" s="309">
        <f>Y435*(1+VLOOKUP($F435,'GL Category'!$A:$H,4,FALSE))</f>
        <v>0</v>
      </c>
      <c r="AA435" s="615"/>
      <c r="AB435" s="622">
        <f t="shared" si="618"/>
        <v>0</v>
      </c>
      <c r="AC435" s="633">
        <f>AB435*(1+VLOOKUP($F435,'GL Category'!$A:$H,5,FALSE))</f>
        <v>0</v>
      </c>
      <c r="AE435" s="622">
        <f t="shared" si="619"/>
        <v>0</v>
      </c>
      <c r="AF435" s="633">
        <f>AE435*(1+VLOOKUP($F435,'GL Category'!$A:$H,6,FALSE))</f>
        <v>0</v>
      </c>
      <c r="AH435" s="622">
        <f t="shared" si="620"/>
        <v>0</v>
      </c>
      <c r="AI435" s="633">
        <f>AH435*(1+VLOOKUP($F435,'GL Category'!$A:$H,7,FALSE))</f>
        <v>0</v>
      </c>
      <c r="AK435" s="622">
        <f t="shared" si="621"/>
        <v>0</v>
      </c>
      <c r="AL435" s="633">
        <f>AK435*(1+VLOOKUP($F435,'GL Category'!$A:$H,8,FALSE))</f>
        <v>0</v>
      </c>
      <c r="AN435" s="622">
        <f t="shared" si="622"/>
        <v>0</v>
      </c>
      <c r="AO435" s="304"/>
      <c r="AP435" s="304"/>
      <c r="AQ435" s="304"/>
    </row>
    <row r="436" spans="1:46" ht="15" customHeight="1">
      <c r="A436" s="555" t="s">
        <v>3203</v>
      </c>
      <c r="B436" s="217" t="str">
        <f t="shared" si="609"/>
        <v>100</v>
      </c>
      <c r="C436" s="217" t="str">
        <f t="shared" si="610"/>
        <v>16</v>
      </c>
      <c r="D436" s="101" t="str">
        <f t="shared" si="611"/>
        <v>161</v>
      </c>
      <c r="E436" s="217" t="str">
        <f t="shared" si="612"/>
        <v>100-16-161</v>
      </c>
      <c r="F436" s="294" t="str">
        <f t="shared" si="613"/>
        <v>52485</v>
      </c>
      <c r="G436" s="295" t="str">
        <f>VLOOKUP(F436,'GL Category'!A:C,3,FALSE)</f>
        <v>Operations &amp; maintenance</v>
      </c>
      <c r="H436" s="98" t="str">
        <f>VLOOKUP(F436,'GL Category'!A:C,2,FALSE)</f>
        <v>SOFTWARE LICENSE &amp; MAINTENANCE</v>
      </c>
      <c r="I436" s="99">
        <f>SUMIF(Import!$B:$B,$A436,Import!D:D)</f>
        <v>0</v>
      </c>
      <c r="J436" s="99">
        <f>SUMIF(Import!$B:$B,$A436,Import!E:E)</f>
        <v>0</v>
      </c>
      <c r="K436" s="99">
        <f>SUMIF(Import!$B:$B,$A436,Import!F:F)</f>
        <v>0</v>
      </c>
      <c r="L436" s="99">
        <f>SUMIF(Import!$B:$B,$A436,Import!G:G)</f>
        <v>0</v>
      </c>
      <c r="M436" s="99">
        <f>SUMIF(Import!$B:$B,$A436,Import!H:H)</f>
        <v>0</v>
      </c>
      <c r="N436" s="99">
        <f>SUMIF(Import!$B:$B,$A436,Import!I:I)</f>
        <v>0</v>
      </c>
      <c r="O436" s="99">
        <f>SUMIF(Import!$B:$B,$A436,Import!J:J)</f>
        <v>0</v>
      </c>
      <c r="P436" s="99">
        <f t="shared" si="614"/>
        <v>0</v>
      </c>
      <c r="Q436" s="99">
        <f>SUMIF(Import!$B:$B,$A436,Import!K:K)</f>
        <v>0</v>
      </c>
      <c r="R436" s="99">
        <f>SUMIF(Import!$B:$B,$A436,Import!L:L)</f>
        <v>0</v>
      </c>
      <c r="S436" s="99">
        <f>SUMIF(Import!$B:$B,$A436,Import!M:M)</f>
        <v>0</v>
      </c>
      <c r="T436" s="99">
        <f>SUMIF(Import!$B:$B,$A436,Import!N:N)</f>
        <v>0</v>
      </c>
      <c r="U436" s="99">
        <f t="shared" si="615"/>
        <v>0</v>
      </c>
      <c r="V436" s="255" t="str">
        <f t="shared" si="616"/>
        <v>N/A</v>
      </c>
      <c r="W436" s="102" t="s">
        <v>2410</v>
      </c>
      <c r="X436" s="102"/>
      <c r="Y436" s="102">
        <f t="shared" si="617"/>
        <v>0</v>
      </c>
      <c r="Z436" s="309">
        <f>Y436*(1+VLOOKUP($F436,'GL Category'!$A:$H,4,FALSE))</f>
        <v>0</v>
      </c>
      <c r="AA436" s="615"/>
      <c r="AB436" s="622">
        <f t="shared" si="618"/>
        <v>0</v>
      </c>
      <c r="AC436" s="633">
        <f>AB436*(1+VLOOKUP($F436,'GL Category'!$A:$H,5,FALSE))</f>
        <v>0</v>
      </c>
      <c r="AE436" s="622">
        <f t="shared" si="619"/>
        <v>0</v>
      </c>
      <c r="AF436" s="633">
        <f>AE436*(1+VLOOKUP($F436,'GL Category'!$A:$H,6,FALSE))</f>
        <v>0</v>
      </c>
      <c r="AH436" s="622">
        <f t="shared" si="620"/>
        <v>0</v>
      </c>
      <c r="AI436" s="633">
        <f>AH436*(1+VLOOKUP($F436,'GL Category'!$A:$H,7,FALSE))</f>
        <v>0</v>
      </c>
      <c r="AK436" s="622">
        <f t="shared" si="621"/>
        <v>0</v>
      </c>
      <c r="AL436" s="633">
        <f>AK436*(1+VLOOKUP($F436,'GL Category'!$A:$H,8,FALSE))</f>
        <v>0</v>
      </c>
      <c r="AN436" s="622">
        <f t="shared" si="622"/>
        <v>0</v>
      </c>
      <c r="AO436" s="304"/>
      <c r="AP436" s="304"/>
      <c r="AQ436" s="304"/>
    </row>
    <row r="437" spans="1:46" ht="15" customHeight="1">
      <c r="A437" s="555" t="s">
        <v>2411</v>
      </c>
      <c r="B437" s="217" t="str">
        <f t="shared" si="609"/>
        <v>100</v>
      </c>
      <c r="C437" s="217" t="str">
        <f t="shared" si="610"/>
        <v>16</v>
      </c>
      <c r="D437" s="101" t="str">
        <f t="shared" si="611"/>
        <v>161</v>
      </c>
      <c r="E437" s="217" t="str">
        <f t="shared" si="612"/>
        <v>100-16-161</v>
      </c>
      <c r="F437" s="294" t="str">
        <f t="shared" si="613"/>
        <v>52490</v>
      </c>
      <c r="G437" s="295" t="str">
        <f>VLOOKUP(F437,'GL Category'!A:C,3,FALSE)</f>
        <v>Operations &amp; maintenance</v>
      </c>
      <c r="H437" s="98" t="str">
        <f>VLOOKUP(F437,'GL Category'!A:C,2,FALSE)</f>
        <v>A/C &amp; HEATING MAINTENANCE</v>
      </c>
      <c r="I437" s="99">
        <f>SUMIF(Import!$B:$B,$A437,Import!D:D)</f>
        <v>0</v>
      </c>
      <c r="J437" s="99">
        <f>SUMIF(Import!$B:$B,$A437,Import!E:E)</f>
        <v>0</v>
      </c>
      <c r="K437" s="99">
        <f>SUMIF(Import!$B:$B,$A437,Import!F:F)</f>
        <v>0</v>
      </c>
      <c r="L437" s="99">
        <f>SUMIF(Import!$B:$B,$A437,Import!G:G)</f>
        <v>0</v>
      </c>
      <c r="M437" s="99">
        <f>SUMIF(Import!$B:$B,$A437,Import!H:H)</f>
        <v>0</v>
      </c>
      <c r="N437" s="99">
        <f>SUMIF(Import!$B:$B,$A437,Import!I:I)</f>
        <v>0</v>
      </c>
      <c r="O437" s="99">
        <f>SUMIF(Import!$B:$B,$A437,Import!J:J)</f>
        <v>0</v>
      </c>
      <c r="P437" s="99">
        <f t="shared" si="614"/>
        <v>0</v>
      </c>
      <c r="Q437" s="99">
        <f>SUMIF(Import!$B:$B,$A437,Import!K:K)</f>
        <v>0</v>
      </c>
      <c r="R437" s="99">
        <f>SUMIF(Import!$B:$B,$A437,Import!L:L)</f>
        <v>0</v>
      </c>
      <c r="S437" s="99">
        <f>SUMIF(Import!$B:$B,$A437,Import!M:M)</f>
        <v>0</v>
      </c>
      <c r="T437" s="99">
        <f>SUMIF(Import!$B:$B,$A437,Import!N:N)</f>
        <v>0</v>
      </c>
      <c r="U437" s="99">
        <f t="shared" si="615"/>
        <v>0</v>
      </c>
      <c r="V437" s="255" t="str">
        <f t="shared" si="616"/>
        <v>N/A</v>
      </c>
      <c r="W437" s="102" t="s">
        <v>2411</v>
      </c>
      <c r="X437" s="102"/>
      <c r="Y437" s="102">
        <f t="shared" si="617"/>
        <v>0</v>
      </c>
      <c r="Z437" s="309">
        <f>Y437*(1+VLOOKUP($F437,'GL Category'!$A:$H,4,FALSE))</f>
        <v>0</v>
      </c>
      <c r="AA437" s="615"/>
      <c r="AB437" s="622">
        <f t="shared" si="618"/>
        <v>0</v>
      </c>
      <c r="AC437" s="633">
        <f>AB437*(1+VLOOKUP($F437,'GL Category'!$A:$H,5,FALSE))</f>
        <v>0</v>
      </c>
      <c r="AE437" s="622">
        <f t="shared" si="619"/>
        <v>0</v>
      </c>
      <c r="AF437" s="633">
        <f>AE437*(1+VLOOKUP($F437,'GL Category'!$A:$H,6,FALSE))</f>
        <v>0</v>
      </c>
      <c r="AH437" s="622">
        <f t="shared" si="620"/>
        <v>0</v>
      </c>
      <c r="AI437" s="633">
        <f>AH437*(1+VLOOKUP($F437,'GL Category'!$A:$H,7,FALSE))</f>
        <v>0</v>
      </c>
      <c r="AK437" s="622">
        <f t="shared" si="621"/>
        <v>0</v>
      </c>
      <c r="AL437" s="633">
        <f>AK437*(1+VLOOKUP($F437,'GL Category'!$A:$H,8,FALSE))</f>
        <v>0</v>
      </c>
      <c r="AN437" s="622">
        <f t="shared" si="622"/>
        <v>0</v>
      </c>
      <c r="AO437" s="304"/>
      <c r="AP437" s="304"/>
      <c r="AQ437" s="304"/>
    </row>
    <row r="438" spans="1:46" ht="29.1" customHeight="1">
      <c r="A438" s="297"/>
      <c r="B438" s="217"/>
      <c r="C438" s="217"/>
      <c r="D438" s="101"/>
      <c r="E438" s="101"/>
      <c r="F438" s="294"/>
      <c r="G438" s="295"/>
      <c r="H438" s="107" t="str">
        <f>UPPER(G434)&amp;" TOTAL"</f>
        <v>OPERATIONS &amp; MAINTENANCE TOTAL</v>
      </c>
      <c r="I438" s="108">
        <f t="shared" ref="I438:O438" si="623">SUBTOTAL(9,I429:I434)</f>
        <v>0</v>
      </c>
      <c r="J438" s="108">
        <f t="shared" si="623"/>
        <v>0</v>
      </c>
      <c r="K438" s="108">
        <f t="shared" si="623"/>
        <v>0</v>
      </c>
      <c r="L438" s="108">
        <f t="shared" ref="L438" si="624">SUBTOTAL(9,L429:L434)</f>
        <v>0</v>
      </c>
      <c r="M438" s="108">
        <f t="shared" si="623"/>
        <v>0</v>
      </c>
      <c r="N438" s="109">
        <f t="shared" si="623"/>
        <v>0</v>
      </c>
      <c r="O438" s="109">
        <f t="shared" si="623"/>
        <v>0</v>
      </c>
      <c r="P438" s="109">
        <f t="shared" ref="P438" si="625">O438-M438</f>
        <v>0</v>
      </c>
      <c r="Q438" s="109">
        <f>SUBTOTAL(9,Q429:Q434)</f>
        <v>0</v>
      </c>
      <c r="R438" s="109">
        <f>SUBTOTAL(9,R429:R434)</f>
        <v>0</v>
      </c>
      <c r="S438" s="109">
        <f>SUBTOTAL(9,S429:S434)</f>
        <v>0</v>
      </c>
      <c r="T438" s="109">
        <f>SUBTOTAL(9,T429:T434)</f>
        <v>0</v>
      </c>
      <c r="U438" s="99">
        <f>T438-M438</f>
        <v>0</v>
      </c>
      <c r="V438" s="255" t="str">
        <f>IF(M438=0,"N/A",T438/M438-1)</f>
        <v>N/A</v>
      </c>
      <c r="W438" s="102"/>
      <c r="X438" s="102"/>
      <c r="Y438" s="102"/>
      <c r="AA438" s="615"/>
      <c r="AC438" s="94"/>
      <c r="AD438" s="94"/>
      <c r="AE438" s="94"/>
      <c r="AF438" s="94"/>
      <c r="AG438" s="94"/>
      <c r="AJ438" s="94"/>
      <c r="AK438" s="94"/>
      <c r="AL438" s="94"/>
      <c r="AM438" s="94"/>
      <c r="AN438" s="94"/>
      <c r="AO438" s="94"/>
      <c r="AP438" s="94"/>
      <c r="AQ438" s="94"/>
    </row>
    <row r="439" spans="1:46" s="115" customFormat="1" ht="15" customHeight="1">
      <c r="A439" s="297"/>
      <c r="B439" s="217"/>
      <c r="C439" s="217"/>
      <c r="D439" s="101"/>
      <c r="E439" s="101"/>
      <c r="F439" s="294"/>
      <c r="G439" s="295"/>
      <c r="H439" s="98"/>
      <c r="I439" s="106"/>
      <c r="J439" s="106"/>
      <c r="K439" s="106"/>
      <c r="L439" s="106"/>
      <c r="M439" s="106"/>
      <c r="N439" s="112"/>
      <c r="O439" s="112"/>
      <c r="P439" s="112"/>
      <c r="Q439" s="113"/>
      <c r="R439" s="212"/>
      <c r="S439" s="212"/>
      <c r="T439" s="113"/>
      <c r="U439" s="113"/>
      <c r="V439" s="113"/>
      <c r="W439" s="102"/>
      <c r="X439" s="102"/>
      <c r="Y439" s="102"/>
      <c r="Z439" s="192"/>
      <c r="AA439" s="615"/>
      <c r="AB439" s="307"/>
      <c r="AC439" s="300"/>
      <c r="AD439" s="300"/>
      <c r="AE439" s="300"/>
      <c r="AF439" s="300"/>
      <c r="AG439" s="300"/>
      <c r="AH439" s="307"/>
      <c r="AI439" s="307"/>
      <c r="AJ439" s="300"/>
      <c r="AK439" s="300"/>
      <c r="AL439" s="300"/>
      <c r="AM439" s="300"/>
      <c r="AN439" s="300"/>
      <c r="AO439" s="300"/>
      <c r="AP439" s="300"/>
      <c r="AQ439" s="300"/>
    </row>
    <row r="440" spans="1:46" s="115" customFormat="1" ht="15" customHeight="1">
      <c r="A440" s="555" t="s">
        <v>2412</v>
      </c>
      <c r="B440" s="217" t="str">
        <f t="shared" ref="B440:B446" si="626">LEFT(A440,3)</f>
        <v>100</v>
      </c>
      <c r="C440" s="217" t="str">
        <f t="shared" ref="C440:C446" si="627">MID(A440,5,2)</f>
        <v>16</v>
      </c>
      <c r="D440" s="101" t="str">
        <f t="shared" ref="D440:D446" si="628">MID(A440,8,3)</f>
        <v>161</v>
      </c>
      <c r="E440" s="217" t="str">
        <f t="shared" ref="E440:E446" si="629">LEFT(A440,10)</f>
        <v>100-16-161</v>
      </c>
      <c r="F440" s="294" t="str">
        <f t="shared" ref="F440:F446" si="630">RIGHT(A440,5)</f>
        <v>53507</v>
      </c>
      <c r="G440" s="295" t="str">
        <f>VLOOKUP(F440,'GL Category'!A:C,3,FALSE)</f>
        <v>Services &amp; other</v>
      </c>
      <c r="H440" s="590" t="str">
        <f>VLOOKUP(F440,'GL Category'!A:C,2,FALSE)</f>
        <v>ATTORNEY &amp; LEGAL SERVICES</v>
      </c>
      <c r="I440" s="561">
        <f>SUMIF(Import!$B:$B,$A440,Import!D:D)</f>
        <v>23842.5</v>
      </c>
      <c r="J440" s="561">
        <f>SUMIF(Import!$B:$B,$A440,Import!E:E)</f>
        <v>30483.75</v>
      </c>
      <c r="K440" s="561">
        <f>SUMIF(Import!$B:$B,$A440,Import!F:F)</f>
        <v>65806</v>
      </c>
      <c r="L440" s="561">
        <f>SUMIF(Import!$B:$B,$A440,Import!G:G)</f>
        <v>52382.5</v>
      </c>
      <c r="M440" s="561">
        <f>SUMIF(Import!$B:$B,$A440,Import!H:H)</f>
        <v>55000</v>
      </c>
      <c r="N440" s="561">
        <f>SUMIF(Import!$B:$B,$A440,Import!I:I)</f>
        <v>55150</v>
      </c>
      <c r="O440" s="561">
        <f>SUMIF(Import!$B:$B,$A440,Import!J:J)</f>
        <v>55000</v>
      </c>
      <c r="P440" s="561">
        <f t="shared" ref="P440:P446" si="631">O440-M440</f>
        <v>0</v>
      </c>
      <c r="Q440" s="561">
        <f>SUMIF(Import!$B:$B,$A440,Import!K:K)</f>
        <v>55000</v>
      </c>
      <c r="R440" s="561">
        <f>SUMIF(Import!$B:$B,$A440,Import!L:L)</f>
        <v>0</v>
      </c>
      <c r="S440" s="561">
        <f>SUMIF(Import!$B:$B,$A440,Import!M:M)</f>
        <v>0</v>
      </c>
      <c r="T440" s="561">
        <f>SUMIF(Import!$B:$B,$A440,Import!N:N)</f>
        <v>55000</v>
      </c>
      <c r="U440" s="561">
        <f t="shared" ref="U440:U446" si="632">T440-M440</f>
        <v>0</v>
      </c>
      <c r="V440" s="255">
        <f t="shared" ref="V440:V446" si="633">IF(M440=0,"N/A",T440/M440-1)</f>
        <v>0</v>
      </c>
      <c r="W440" s="102" t="s">
        <v>2412</v>
      </c>
      <c r="X440" s="102"/>
      <c r="Y440" s="102">
        <f t="shared" ref="Y440:Y446" si="634">T440-X440</f>
        <v>55000</v>
      </c>
      <c r="Z440" s="309">
        <f>Y440*(1+VLOOKUP($F440,'GL Category'!$A:$H,4,FALSE))</f>
        <v>56650</v>
      </c>
      <c r="AA440" s="615"/>
      <c r="AB440" s="622">
        <f t="shared" ref="AB440:AB446" si="635">Z440+AA440</f>
        <v>56650</v>
      </c>
      <c r="AC440" s="633">
        <f>AB440*(1+VLOOKUP($F440,'GL Category'!$A:$H,5,FALSE))</f>
        <v>58349.5</v>
      </c>
      <c r="AD440" s="307"/>
      <c r="AE440" s="622">
        <f t="shared" ref="AE440:AE446" si="636">AC440+AD440</f>
        <v>58349.5</v>
      </c>
      <c r="AF440" s="633">
        <f>AE440*(1+VLOOKUP($F440,'GL Category'!$A:$H,6,FALSE))</f>
        <v>60099.985000000001</v>
      </c>
      <c r="AG440" s="307"/>
      <c r="AH440" s="622">
        <f t="shared" ref="AH440:AH446" si="637">AF440+AG440</f>
        <v>60099.985000000001</v>
      </c>
      <c r="AI440" s="633">
        <f>AH440*(1+VLOOKUP($F440,'GL Category'!$A:$H,7,FALSE))</f>
        <v>61902.984550000001</v>
      </c>
      <c r="AJ440" s="307"/>
      <c r="AK440" s="622">
        <f t="shared" ref="AK440:AK446" si="638">AI440+AJ440</f>
        <v>61902.984550000001</v>
      </c>
      <c r="AL440" s="633">
        <f>AK440*(1+VLOOKUP($F440,'GL Category'!$A:$H,8,FALSE))</f>
        <v>63760.074086500004</v>
      </c>
      <c r="AM440" s="307"/>
      <c r="AN440" s="622">
        <f t="shared" ref="AN440:AN446" si="639">AL440+AM440</f>
        <v>63760.074086500004</v>
      </c>
      <c r="AO440" s="300"/>
      <c r="AP440" s="300"/>
      <c r="AQ440" s="300"/>
    </row>
    <row r="441" spans="1:46" ht="15" customHeight="1">
      <c r="A441" s="555" t="s">
        <v>2414</v>
      </c>
      <c r="B441" s="217" t="str">
        <f t="shared" si="626"/>
        <v>100</v>
      </c>
      <c r="C441" s="217" t="str">
        <f t="shared" si="627"/>
        <v>16</v>
      </c>
      <c r="D441" s="101" t="str">
        <f t="shared" si="628"/>
        <v>161</v>
      </c>
      <c r="E441" s="217" t="str">
        <f t="shared" si="629"/>
        <v>100-16-161</v>
      </c>
      <c r="F441" s="294" t="str">
        <f t="shared" si="630"/>
        <v>53510</v>
      </c>
      <c r="G441" s="295" t="str">
        <f>VLOOKUP(F441,'GL Category'!A:C,3,FALSE)</f>
        <v>Services &amp; other</v>
      </c>
      <c r="H441" s="98" t="str">
        <f>VLOOKUP(F441,'GL Category'!A:C,2,FALSE)</f>
        <v>DUES &amp; SUBSCRIPTIONS</v>
      </c>
      <c r="I441" s="99">
        <f>SUMIF(Import!$B:$B,$A441,Import!D:D)</f>
        <v>0</v>
      </c>
      <c r="J441" s="99">
        <f>SUMIF(Import!$B:$B,$A441,Import!E:E)</f>
        <v>0</v>
      </c>
      <c r="K441" s="99">
        <f>SUMIF(Import!$B:$B,$A441,Import!F:F)</f>
        <v>0</v>
      </c>
      <c r="L441" s="99">
        <f>SUMIF(Import!$B:$B,$A441,Import!G:G)</f>
        <v>0</v>
      </c>
      <c r="M441" s="99">
        <f>SUMIF(Import!$B:$B,$A441,Import!H:H)</f>
        <v>0</v>
      </c>
      <c r="N441" s="99">
        <f>SUMIF(Import!$B:$B,$A441,Import!I:I)</f>
        <v>0</v>
      </c>
      <c r="O441" s="99">
        <f>SUMIF(Import!$B:$B,$A441,Import!J:J)</f>
        <v>0</v>
      </c>
      <c r="P441" s="99">
        <f t="shared" si="631"/>
        <v>0</v>
      </c>
      <c r="Q441" s="99">
        <f>SUMIF(Import!$B:$B,$A441,Import!K:K)</f>
        <v>0</v>
      </c>
      <c r="R441" s="99">
        <f>SUMIF(Import!$B:$B,$A441,Import!L:L)</f>
        <v>0</v>
      </c>
      <c r="S441" s="99">
        <f>SUMIF(Import!$B:$B,$A441,Import!M:M)</f>
        <v>0</v>
      </c>
      <c r="T441" s="99">
        <f>SUMIF(Import!$B:$B,$A441,Import!N:N)</f>
        <v>0</v>
      </c>
      <c r="U441" s="99">
        <f t="shared" si="632"/>
        <v>0</v>
      </c>
      <c r="V441" s="255" t="str">
        <f t="shared" si="633"/>
        <v>N/A</v>
      </c>
      <c r="W441" s="102" t="s">
        <v>2414</v>
      </c>
      <c r="X441" s="102"/>
      <c r="Y441" s="102">
        <f t="shared" si="634"/>
        <v>0</v>
      </c>
      <c r="Z441" s="309">
        <f>Y441*(1+VLOOKUP($F441,'GL Category'!$A:$H,4,FALSE))</f>
        <v>0</v>
      </c>
      <c r="AA441" s="615"/>
      <c r="AB441" s="622">
        <f t="shared" si="635"/>
        <v>0</v>
      </c>
      <c r="AC441" s="633">
        <f>AB441*(1+VLOOKUP($F441,'GL Category'!$A:$H,5,FALSE))</f>
        <v>0</v>
      </c>
      <c r="AE441" s="622">
        <f t="shared" si="636"/>
        <v>0</v>
      </c>
      <c r="AF441" s="633">
        <f>AE441*(1+VLOOKUP($F441,'GL Category'!$A:$H,6,FALSE))</f>
        <v>0</v>
      </c>
      <c r="AH441" s="622">
        <f t="shared" si="637"/>
        <v>0</v>
      </c>
      <c r="AI441" s="633">
        <f>AH441*(1+VLOOKUP($F441,'GL Category'!$A:$H,7,FALSE))</f>
        <v>0</v>
      </c>
      <c r="AK441" s="622">
        <f t="shared" si="638"/>
        <v>0</v>
      </c>
      <c r="AL441" s="633">
        <f>AK441*(1+VLOOKUP($F441,'GL Category'!$A:$H,8,FALSE))</f>
        <v>0</v>
      </c>
      <c r="AN441" s="622">
        <f t="shared" si="639"/>
        <v>0</v>
      </c>
      <c r="AO441" s="304"/>
      <c r="AP441" s="304"/>
      <c r="AQ441" s="304"/>
      <c r="AR441" s="304"/>
      <c r="AS441" s="304"/>
      <c r="AT441" s="304"/>
    </row>
    <row r="442" spans="1:46" ht="15" customHeight="1">
      <c r="A442" s="555" t="s">
        <v>2415</v>
      </c>
      <c r="B442" s="217" t="str">
        <f t="shared" si="626"/>
        <v>100</v>
      </c>
      <c r="C442" s="217" t="str">
        <f t="shared" si="627"/>
        <v>16</v>
      </c>
      <c r="D442" s="101" t="str">
        <f t="shared" si="628"/>
        <v>161</v>
      </c>
      <c r="E442" s="217" t="str">
        <f t="shared" si="629"/>
        <v>100-16-161</v>
      </c>
      <c r="F442" s="294" t="str">
        <f t="shared" si="630"/>
        <v>53515</v>
      </c>
      <c r="G442" s="295" t="str">
        <f>VLOOKUP(F442,'GL Category'!A:C,3,FALSE)</f>
        <v>Services &amp; other</v>
      </c>
      <c r="H442" s="98" t="str">
        <f>VLOOKUP(F442,'GL Category'!A:C,2,FALSE)</f>
        <v>TRAVEL, TRAINING &amp; EDUCATION</v>
      </c>
      <c r="I442" s="99">
        <f>SUMIF(Import!$B:$B,$A442,Import!D:D)</f>
        <v>0</v>
      </c>
      <c r="J442" s="99">
        <f>SUMIF(Import!$B:$B,$A442,Import!E:E)</f>
        <v>0</v>
      </c>
      <c r="K442" s="99">
        <f>SUMIF(Import!$B:$B,$A442,Import!F:F)</f>
        <v>0</v>
      </c>
      <c r="L442" s="99">
        <f>SUMIF(Import!$B:$B,$A442,Import!G:G)</f>
        <v>0</v>
      </c>
      <c r="M442" s="99">
        <f>SUMIF(Import!$B:$B,$A442,Import!H:H)</f>
        <v>0</v>
      </c>
      <c r="N442" s="99">
        <f>SUMIF(Import!$B:$B,$A442,Import!I:I)</f>
        <v>0</v>
      </c>
      <c r="O442" s="99">
        <f>SUMIF(Import!$B:$B,$A442,Import!J:J)</f>
        <v>0</v>
      </c>
      <c r="P442" s="99">
        <f t="shared" si="631"/>
        <v>0</v>
      </c>
      <c r="Q442" s="99">
        <f>SUMIF(Import!$B:$B,$A442,Import!K:K)</f>
        <v>0</v>
      </c>
      <c r="R442" s="99">
        <f>SUMIF(Import!$B:$B,$A442,Import!L:L)</f>
        <v>0</v>
      </c>
      <c r="S442" s="99">
        <f>SUMIF(Import!$B:$B,$A442,Import!M:M)</f>
        <v>0</v>
      </c>
      <c r="T442" s="99">
        <f>SUMIF(Import!$B:$B,$A442,Import!N:N)</f>
        <v>0</v>
      </c>
      <c r="U442" s="99">
        <f t="shared" si="632"/>
        <v>0</v>
      </c>
      <c r="V442" s="255" t="str">
        <f t="shared" si="633"/>
        <v>N/A</v>
      </c>
      <c r="W442" s="102" t="s">
        <v>2415</v>
      </c>
      <c r="X442" s="102"/>
      <c r="Y442" s="102">
        <f t="shared" si="634"/>
        <v>0</v>
      </c>
      <c r="Z442" s="309">
        <f>Y442*(1+VLOOKUP($F442,'GL Category'!$A:$H,4,FALSE))</f>
        <v>0</v>
      </c>
      <c r="AA442" s="615"/>
      <c r="AB442" s="622">
        <f t="shared" si="635"/>
        <v>0</v>
      </c>
      <c r="AC442" s="633">
        <f>AB442*(1+VLOOKUP($F442,'GL Category'!$A:$H,5,FALSE))</f>
        <v>0</v>
      </c>
      <c r="AE442" s="622">
        <f t="shared" si="636"/>
        <v>0</v>
      </c>
      <c r="AF442" s="633">
        <f>AE442*(1+VLOOKUP($F442,'GL Category'!$A:$H,6,FALSE))</f>
        <v>0</v>
      </c>
      <c r="AH442" s="622">
        <f t="shared" si="637"/>
        <v>0</v>
      </c>
      <c r="AI442" s="633">
        <f>AH442*(1+VLOOKUP($F442,'GL Category'!$A:$H,7,FALSE))</f>
        <v>0</v>
      </c>
      <c r="AK442" s="622">
        <f t="shared" si="638"/>
        <v>0</v>
      </c>
      <c r="AL442" s="633">
        <f>AK442*(1+VLOOKUP($F442,'GL Category'!$A:$H,8,FALSE))</f>
        <v>0</v>
      </c>
      <c r="AN442" s="622">
        <f t="shared" si="639"/>
        <v>0</v>
      </c>
      <c r="AO442" s="304"/>
      <c r="AP442" s="304"/>
      <c r="AQ442" s="304"/>
      <c r="AR442" s="304"/>
      <c r="AS442" s="304"/>
      <c r="AT442" s="304"/>
    </row>
    <row r="443" spans="1:46" ht="15" customHeight="1">
      <c r="A443" s="555" t="s">
        <v>2416</v>
      </c>
      <c r="B443" s="217" t="str">
        <f t="shared" si="626"/>
        <v>100</v>
      </c>
      <c r="C443" s="217" t="str">
        <f t="shared" si="627"/>
        <v>16</v>
      </c>
      <c r="D443" s="101" t="str">
        <f t="shared" si="628"/>
        <v>161</v>
      </c>
      <c r="E443" s="217" t="str">
        <f t="shared" si="629"/>
        <v>100-16-161</v>
      </c>
      <c r="F443" s="294" t="str">
        <f t="shared" si="630"/>
        <v>53524</v>
      </c>
      <c r="G443" s="295" t="str">
        <f>VLOOKUP(F443,'GL Category'!A:C,3,FALSE)</f>
        <v>Services &amp; other</v>
      </c>
      <c r="H443" s="98" t="str">
        <f>VLOOKUP(F443,'GL Category'!A:C,2,FALSE)</f>
        <v>EQUIPMENT RENTAL</v>
      </c>
      <c r="I443" s="99">
        <f>SUMIF(Import!$B:$B,$A443,Import!D:D)</f>
        <v>0</v>
      </c>
      <c r="J443" s="99">
        <f>SUMIF(Import!$B:$B,$A443,Import!E:E)</f>
        <v>0</v>
      </c>
      <c r="K443" s="99">
        <f>SUMIF(Import!$B:$B,$A443,Import!F:F)</f>
        <v>0</v>
      </c>
      <c r="L443" s="99">
        <f>SUMIF(Import!$B:$B,$A443,Import!G:G)</f>
        <v>0</v>
      </c>
      <c r="M443" s="99">
        <f>SUMIF(Import!$B:$B,$A443,Import!H:H)</f>
        <v>0</v>
      </c>
      <c r="N443" s="99">
        <f>SUMIF(Import!$B:$B,$A443,Import!I:I)</f>
        <v>0</v>
      </c>
      <c r="O443" s="99">
        <f>SUMIF(Import!$B:$B,$A443,Import!J:J)</f>
        <v>0</v>
      </c>
      <c r="P443" s="99">
        <f t="shared" si="631"/>
        <v>0</v>
      </c>
      <c r="Q443" s="99">
        <f>SUMIF(Import!$B:$B,$A443,Import!K:K)</f>
        <v>0</v>
      </c>
      <c r="R443" s="99">
        <f>SUMIF(Import!$B:$B,$A443,Import!L:L)</f>
        <v>0</v>
      </c>
      <c r="S443" s="99">
        <f>SUMIF(Import!$B:$B,$A443,Import!M:M)</f>
        <v>0</v>
      </c>
      <c r="T443" s="99">
        <f>SUMIF(Import!$B:$B,$A443,Import!N:N)</f>
        <v>0</v>
      </c>
      <c r="U443" s="99">
        <f t="shared" si="632"/>
        <v>0</v>
      </c>
      <c r="V443" s="255" t="str">
        <f t="shared" si="633"/>
        <v>N/A</v>
      </c>
      <c r="W443" s="102" t="s">
        <v>2416</v>
      </c>
      <c r="X443" s="102"/>
      <c r="Y443" s="102">
        <f t="shared" si="634"/>
        <v>0</v>
      </c>
      <c r="Z443" s="309">
        <f>Y443*(1+VLOOKUP($F443,'GL Category'!$A:$H,4,FALSE))</f>
        <v>0</v>
      </c>
      <c r="AA443" s="615"/>
      <c r="AB443" s="622">
        <f t="shared" si="635"/>
        <v>0</v>
      </c>
      <c r="AC443" s="633">
        <f>AB443*(1+VLOOKUP($F443,'GL Category'!$A:$H,5,FALSE))</f>
        <v>0</v>
      </c>
      <c r="AE443" s="622">
        <f t="shared" si="636"/>
        <v>0</v>
      </c>
      <c r="AF443" s="633">
        <f>AE443*(1+VLOOKUP($F443,'GL Category'!$A:$H,6,FALSE))</f>
        <v>0</v>
      </c>
      <c r="AH443" s="622">
        <f t="shared" si="637"/>
        <v>0</v>
      </c>
      <c r="AI443" s="633">
        <f>AH443*(1+VLOOKUP($F443,'GL Category'!$A:$H,7,FALSE))</f>
        <v>0</v>
      </c>
      <c r="AK443" s="622">
        <f t="shared" si="638"/>
        <v>0</v>
      </c>
      <c r="AL443" s="633">
        <f>AK443*(1+VLOOKUP($F443,'GL Category'!$A:$H,8,FALSE))</f>
        <v>0</v>
      </c>
      <c r="AN443" s="622">
        <f t="shared" si="639"/>
        <v>0</v>
      </c>
      <c r="AO443" s="304"/>
      <c r="AP443" s="304"/>
      <c r="AQ443" s="304"/>
      <c r="AR443" s="304"/>
      <c r="AS443" s="304"/>
      <c r="AT443" s="304"/>
    </row>
    <row r="444" spans="1:46" s="115" customFormat="1" ht="15" customHeight="1">
      <c r="A444" s="555" t="s">
        <v>2413</v>
      </c>
      <c r="B444" s="217" t="str">
        <f t="shared" si="626"/>
        <v>100</v>
      </c>
      <c r="C444" s="217" t="str">
        <f t="shared" si="627"/>
        <v>16</v>
      </c>
      <c r="D444" s="101" t="str">
        <f t="shared" si="628"/>
        <v>161</v>
      </c>
      <c r="E444" s="217" t="str">
        <f t="shared" si="629"/>
        <v>100-16-161</v>
      </c>
      <c r="F444" s="294" t="str">
        <f t="shared" si="630"/>
        <v>53599</v>
      </c>
      <c r="G444" s="295" t="str">
        <f>VLOOKUP(F444,'GL Category'!A:C,3,FALSE)</f>
        <v>Services &amp; other</v>
      </c>
      <c r="H444" s="98" t="str">
        <f>VLOOKUP(F444,'GL Category'!A:C,2,FALSE)</f>
        <v>MISCELLANEOUS SERVICES</v>
      </c>
      <c r="I444" s="99">
        <f>SUMIF(Import!$B:$B,$A444,Import!D:D)</f>
        <v>386180</v>
      </c>
      <c r="J444" s="99">
        <f>SUMIF(Import!$B:$B,$A444,Import!E:E)</f>
        <v>448661</v>
      </c>
      <c r="K444" s="99">
        <f>SUMIF(Import!$B:$B,$A444,Import!F:F)</f>
        <v>474260</v>
      </c>
      <c r="L444" s="99">
        <f>SUMIF(Import!$B:$B,$A444,Import!G:G)</f>
        <v>447616</v>
      </c>
      <c r="M444" s="99">
        <f>SUMIF(Import!$B:$B,$A444,Import!H:H)</f>
        <v>524463</v>
      </c>
      <c r="N444" s="99">
        <f>SUMIF(Import!$B:$B,$A444,Import!I:I)</f>
        <v>399326</v>
      </c>
      <c r="O444" s="99">
        <f>SUMIF(Import!$B:$B,$A444,Import!J:J)</f>
        <v>524463</v>
      </c>
      <c r="P444" s="99">
        <f t="shared" si="631"/>
        <v>0</v>
      </c>
      <c r="Q444" s="99">
        <f>SUMIF(Import!$B:$B,$A444,Import!K:K)</f>
        <v>480148</v>
      </c>
      <c r="R444" s="99">
        <f>SUMIF(Import!$B:$B,$A444,Import!L:L)</f>
        <v>0</v>
      </c>
      <c r="S444" s="99">
        <f>SUMIF(Import!$B:$B,$A444,Import!M:M)</f>
        <v>0</v>
      </c>
      <c r="T444" s="99">
        <f>SUMIF(Import!$B:$B,$A444,Import!N:N)</f>
        <v>480148</v>
      </c>
      <c r="U444" s="99">
        <f t="shared" si="632"/>
        <v>-44315</v>
      </c>
      <c r="V444" s="255">
        <f t="shared" si="633"/>
        <v>-8.4495951096645538E-2</v>
      </c>
      <c r="W444" s="102" t="s">
        <v>2413</v>
      </c>
      <c r="X444" s="102"/>
      <c r="Y444" s="102">
        <f t="shared" si="634"/>
        <v>480148</v>
      </c>
      <c r="Z444" s="309">
        <f>Y444*(1+VLOOKUP($F444,'GL Category'!$A:$H,4,FALSE))</f>
        <v>494552.44</v>
      </c>
      <c r="AA444" s="615"/>
      <c r="AB444" s="622">
        <f t="shared" si="635"/>
        <v>494552.44</v>
      </c>
      <c r="AC444" s="633">
        <f>AB444*(1+VLOOKUP($F444,'GL Category'!$A:$H,5,FALSE))</f>
        <v>509389.01319999999</v>
      </c>
      <c r="AD444" s="615"/>
      <c r="AE444" s="622">
        <f t="shared" si="636"/>
        <v>509389.01319999999</v>
      </c>
      <c r="AF444" s="633">
        <f>AE444*(1+VLOOKUP($F444,'GL Category'!$A:$H,6,FALSE))</f>
        <v>524670.68359599996</v>
      </c>
      <c r="AG444" s="615"/>
      <c r="AH444" s="622">
        <f t="shared" si="637"/>
        <v>524670.68359599996</v>
      </c>
      <c r="AI444" s="633">
        <f>AH444*(1+VLOOKUP($F444,'GL Category'!$A:$H,7,FALSE))</f>
        <v>540410.80410387996</v>
      </c>
      <c r="AJ444" s="615"/>
      <c r="AK444" s="622">
        <f t="shared" si="638"/>
        <v>540410.80410387996</v>
      </c>
      <c r="AL444" s="633">
        <f>AK444*(1+VLOOKUP($F444,'GL Category'!$A:$H,8,FALSE))</f>
        <v>556623.1282269964</v>
      </c>
      <c r="AM444" s="615"/>
      <c r="AN444" s="622">
        <f t="shared" si="639"/>
        <v>556623.1282269964</v>
      </c>
      <c r="AO444" s="300"/>
      <c r="AP444" s="300"/>
      <c r="AQ444" s="300"/>
    </row>
    <row r="445" spans="1:46" ht="15" customHeight="1">
      <c r="A445" s="555" t="s">
        <v>2417</v>
      </c>
      <c r="B445" s="217" t="str">
        <f t="shared" si="626"/>
        <v>100</v>
      </c>
      <c r="C445" s="217" t="str">
        <f t="shared" si="627"/>
        <v>16</v>
      </c>
      <c r="D445" s="101" t="str">
        <f t="shared" si="628"/>
        <v>161</v>
      </c>
      <c r="E445" s="217" t="str">
        <f t="shared" si="629"/>
        <v>100-16-161</v>
      </c>
      <c r="F445" s="294" t="str">
        <f t="shared" si="630"/>
        <v>53580</v>
      </c>
      <c r="G445" s="295" t="str">
        <f>VLOOKUP(F445,'GL Category'!A:C,3,FALSE)</f>
        <v>Services &amp; other</v>
      </c>
      <c r="H445" s="98" t="str">
        <f>VLOOKUP(F445,'GL Category'!A:C,2,FALSE)</f>
        <v>CONTRIBUTION TO OTHER ENTITY</v>
      </c>
      <c r="I445" s="99">
        <f>SUMIF(Import!$B:$B,$A445,Import!D:D)</f>
        <v>0</v>
      </c>
      <c r="J445" s="99">
        <f>SUMIF(Import!$B:$B,$A445,Import!E:E)</f>
        <v>0</v>
      </c>
      <c r="K445" s="99">
        <f>SUMIF(Import!$B:$B,$A445,Import!F:F)</f>
        <v>0</v>
      </c>
      <c r="L445" s="99">
        <f>SUMIF(Import!$B:$B,$A445,Import!G:G)</f>
        <v>0</v>
      </c>
      <c r="M445" s="99">
        <f>SUMIF(Import!$B:$B,$A445,Import!H:H)</f>
        <v>0</v>
      </c>
      <c r="N445" s="99">
        <f>SUMIF(Import!$B:$B,$A445,Import!I:I)</f>
        <v>0</v>
      </c>
      <c r="O445" s="99">
        <f>SUMIF(Import!$B:$B,$A445,Import!J:J)</f>
        <v>0</v>
      </c>
      <c r="P445" s="99">
        <f t="shared" si="631"/>
        <v>0</v>
      </c>
      <c r="Q445" s="99">
        <f>SUMIF(Import!$B:$B,$A445,Import!K:K)</f>
        <v>0</v>
      </c>
      <c r="R445" s="99">
        <f>SUMIF(Import!$B:$B,$A445,Import!L:L)</f>
        <v>0</v>
      </c>
      <c r="S445" s="99">
        <f>SUMIF(Import!$B:$B,$A445,Import!M:M)</f>
        <v>0</v>
      </c>
      <c r="T445" s="99">
        <f>SUMIF(Import!$B:$B,$A445,Import!N:N)</f>
        <v>0</v>
      </c>
      <c r="U445" s="99">
        <f t="shared" si="632"/>
        <v>0</v>
      </c>
      <c r="V445" s="255" t="str">
        <f t="shared" si="633"/>
        <v>N/A</v>
      </c>
      <c r="W445" s="102" t="s">
        <v>2417</v>
      </c>
      <c r="X445" s="102"/>
      <c r="Y445" s="102">
        <f t="shared" si="634"/>
        <v>0</v>
      </c>
      <c r="Z445" s="309">
        <f>Y445*(1+VLOOKUP($F445,'GL Category'!$A:$H,4,FALSE))</f>
        <v>0</v>
      </c>
      <c r="AA445" s="615"/>
      <c r="AB445" s="622">
        <f t="shared" si="635"/>
        <v>0</v>
      </c>
      <c r="AC445" s="633">
        <f>AB445*(1+VLOOKUP($F445,'GL Category'!$A:$H,5,FALSE))</f>
        <v>0</v>
      </c>
      <c r="AE445" s="622">
        <f t="shared" si="636"/>
        <v>0</v>
      </c>
      <c r="AF445" s="633">
        <f>AE445*(1+VLOOKUP($F445,'GL Category'!$A:$H,6,FALSE))</f>
        <v>0</v>
      </c>
      <c r="AH445" s="622">
        <f t="shared" si="637"/>
        <v>0</v>
      </c>
      <c r="AI445" s="633">
        <f>AH445*(1+VLOOKUP($F445,'GL Category'!$A:$H,7,FALSE))</f>
        <v>0</v>
      </c>
      <c r="AK445" s="622">
        <f t="shared" si="638"/>
        <v>0</v>
      </c>
      <c r="AL445" s="633">
        <f>AK445*(1+VLOOKUP($F445,'GL Category'!$A:$H,8,FALSE))</f>
        <v>0</v>
      </c>
      <c r="AN445" s="622">
        <f t="shared" si="639"/>
        <v>0</v>
      </c>
      <c r="AO445" s="304"/>
      <c r="AP445" s="304"/>
      <c r="AQ445" s="304"/>
      <c r="AR445" s="304"/>
      <c r="AS445" s="304"/>
      <c r="AT445" s="304"/>
    </row>
    <row r="446" spans="1:46" ht="15" customHeight="1">
      <c r="A446" s="555" t="s">
        <v>2418</v>
      </c>
      <c r="B446" s="217" t="str">
        <f t="shared" si="626"/>
        <v>100</v>
      </c>
      <c r="C446" s="217" t="str">
        <f t="shared" si="627"/>
        <v>16</v>
      </c>
      <c r="D446" s="101" t="str">
        <f t="shared" si="628"/>
        <v>161</v>
      </c>
      <c r="E446" s="217" t="str">
        <f t="shared" si="629"/>
        <v>100-16-161</v>
      </c>
      <c r="F446" s="294" t="str">
        <f t="shared" si="630"/>
        <v>55119</v>
      </c>
      <c r="G446" s="295" t="str">
        <f>VLOOKUP(F446,'GL Category'!A:C,3,FALSE)</f>
        <v>Services &amp; other</v>
      </c>
      <c r="H446" s="98" t="str">
        <f>VLOOKUP(F446,'GL Category'!A:C,2,FALSE)</f>
        <v>OFFICE EQUIP LEASE EXP-CITY</v>
      </c>
      <c r="I446" s="99">
        <f>SUMIF(Import!$B:$B,$A446,Import!D:D)</f>
        <v>7300</v>
      </c>
      <c r="J446" s="99">
        <f>SUMIF(Import!$B:$B,$A446,Import!E:E)</f>
        <v>7300</v>
      </c>
      <c r="K446" s="99">
        <f>SUMIF(Import!$B:$B,$A446,Import!F:F)</f>
        <v>7300</v>
      </c>
      <c r="L446" s="99">
        <f>SUMIF(Import!$B:$B,$A446,Import!G:G)</f>
        <v>7300</v>
      </c>
      <c r="M446" s="99">
        <f>SUMIF(Import!$B:$B,$A446,Import!H:H)</f>
        <v>7300</v>
      </c>
      <c r="N446" s="99">
        <f>SUMIF(Import!$B:$B,$A446,Import!I:I)</f>
        <v>5475</v>
      </c>
      <c r="O446" s="99">
        <f>SUMIF(Import!$B:$B,$A446,Import!J:J)</f>
        <v>7300</v>
      </c>
      <c r="P446" s="99">
        <f t="shared" si="631"/>
        <v>0</v>
      </c>
      <c r="Q446" s="99">
        <f>SUMIF(Import!$B:$B,$A446,Import!K:K)</f>
        <v>7300</v>
      </c>
      <c r="R446" s="99">
        <f>SUMIF(Import!$B:$B,$A446,Import!L:L)</f>
        <v>0</v>
      </c>
      <c r="S446" s="99">
        <f>SUMIF(Import!$B:$B,$A446,Import!M:M)</f>
        <v>0</v>
      </c>
      <c r="T446" s="99">
        <f>SUMIF(Import!$B:$B,$A446,Import!N:N)</f>
        <v>7300</v>
      </c>
      <c r="U446" s="99">
        <f t="shared" si="632"/>
        <v>0</v>
      </c>
      <c r="V446" s="255">
        <f t="shared" si="633"/>
        <v>0</v>
      </c>
      <c r="W446" s="102" t="s">
        <v>2418</v>
      </c>
      <c r="X446" s="102"/>
      <c r="Y446" s="102">
        <f t="shared" si="634"/>
        <v>7300</v>
      </c>
      <c r="Z446" s="309">
        <f>Y446*(1+VLOOKUP($F446,'GL Category'!$A:$H,4,FALSE))</f>
        <v>7519</v>
      </c>
      <c r="AA446" s="615"/>
      <c r="AB446" s="622">
        <f t="shared" si="635"/>
        <v>7519</v>
      </c>
      <c r="AC446" s="633">
        <f>AB446*(1+VLOOKUP($F446,'GL Category'!$A:$H,5,FALSE))</f>
        <v>7744.5700000000006</v>
      </c>
      <c r="AE446" s="622">
        <f t="shared" si="636"/>
        <v>7744.5700000000006</v>
      </c>
      <c r="AF446" s="633">
        <f>AE446*(1+VLOOKUP($F446,'GL Category'!$A:$H,6,FALSE))</f>
        <v>7976.9071000000013</v>
      </c>
      <c r="AH446" s="622">
        <f t="shared" si="637"/>
        <v>7976.9071000000013</v>
      </c>
      <c r="AI446" s="633">
        <f>AH446*(1+VLOOKUP($F446,'GL Category'!$A:$H,7,FALSE))</f>
        <v>8216.2143130000022</v>
      </c>
      <c r="AK446" s="622">
        <f t="shared" si="638"/>
        <v>8216.2143130000022</v>
      </c>
      <c r="AL446" s="633">
        <f>AK446*(1+VLOOKUP($F446,'GL Category'!$A:$H,8,FALSE))</f>
        <v>8462.7007423900031</v>
      </c>
      <c r="AN446" s="622">
        <f t="shared" si="639"/>
        <v>8462.7007423900031</v>
      </c>
      <c r="AO446" s="304"/>
      <c r="AP446" s="304"/>
      <c r="AQ446" s="304"/>
      <c r="AR446" s="304"/>
      <c r="AS446" s="304"/>
      <c r="AT446" s="304"/>
    </row>
    <row r="447" spans="1:46" ht="15" customHeight="1">
      <c r="A447" s="297"/>
      <c r="B447" s="217"/>
      <c r="C447" s="217"/>
      <c r="D447" s="101"/>
      <c r="E447" s="101"/>
      <c r="F447" s="294"/>
      <c r="G447" s="295"/>
      <c r="H447" s="107" t="str">
        <f>UPPER(G446)&amp;" TOTAL"</f>
        <v>SERVICES &amp; OTHER TOTAL</v>
      </c>
      <c r="I447" s="108">
        <f t="shared" ref="I447" si="640">SUBTOTAL(9,I440:I446)</f>
        <v>417322.5</v>
      </c>
      <c r="J447" s="108">
        <f t="shared" ref="J447:T447" si="641">SUBTOTAL(9,J440:J446)</f>
        <v>486444.75</v>
      </c>
      <c r="K447" s="108">
        <f t="shared" ref="K447" si="642">SUBTOTAL(9,K440:K446)</f>
        <v>547366</v>
      </c>
      <c r="L447" s="108">
        <f t="shared" ref="L447" si="643">SUBTOTAL(9,L440:L446)</f>
        <v>507298.5</v>
      </c>
      <c r="M447" s="108">
        <f t="shared" si="641"/>
        <v>586763</v>
      </c>
      <c r="N447" s="108">
        <f t="shared" si="641"/>
        <v>459951</v>
      </c>
      <c r="O447" s="108">
        <f t="shared" si="641"/>
        <v>586763</v>
      </c>
      <c r="P447" s="108">
        <f t="shared" si="641"/>
        <v>0</v>
      </c>
      <c r="Q447" s="108">
        <f t="shared" si="641"/>
        <v>542448</v>
      </c>
      <c r="R447" s="108">
        <f t="shared" si="641"/>
        <v>0</v>
      </c>
      <c r="S447" s="108">
        <f t="shared" si="641"/>
        <v>0</v>
      </c>
      <c r="T447" s="108">
        <f t="shared" si="641"/>
        <v>542448</v>
      </c>
      <c r="U447" s="99">
        <f>T447-M447</f>
        <v>-44315</v>
      </c>
      <c r="V447" s="255">
        <f>IF(M447=0,"N/A",T447/M447-1)</f>
        <v>-7.552453034700557E-2</v>
      </c>
      <c r="W447" s="102"/>
      <c r="X447" s="102"/>
      <c r="Y447" s="102"/>
      <c r="Z447" s="88"/>
      <c r="AA447" s="615"/>
      <c r="AC447" s="304"/>
      <c r="AD447" s="304"/>
      <c r="AE447" s="304"/>
      <c r="AF447" s="304"/>
      <c r="AG447" s="304"/>
      <c r="AJ447" s="304"/>
      <c r="AK447" s="304"/>
      <c r="AL447" s="304"/>
      <c r="AM447" s="304"/>
      <c r="AN447" s="304"/>
      <c r="AO447" s="304"/>
      <c r="AP447" s="304"/>
      <c r="AQ447" s="304"/>
      <c r="AR447" s="304"/>
      <c r="AS447" s="304"/>
      <c r="AT447" s="304"/>
    </row>
    <row r="448" spans="1:46" ht="15" customHeight="1">
      <c r="A448" s="297"/>
      <c r="B448" s="217"/>
      <c r="C448" s="217"/>
      <c r="D448" s="101"/>
      <c r="E448" s="101"/>
      <c r="F448" s="294"/>
      <c r="G448" s="295"/>
      <c r="H448" s="98"/>
      <c r="I448" s="106"/>
      <c r="J448" s="106"/>
      <c r="K448" s="106"/>
      <c r="L448" s="106"/>
      <c r="M448" s="106"/>
      <c r="N448" s="112"/>
      <c r="O448" s="112"/>
      <c r="P448" s="112"/>
      <c r="Q448" s="113"/>
      <c r="T448" s="113"/>
      <c r="U448" s="113"/>
      <c r="V448" s="113"/>
      <c r="W448" s="102"/>
      <c r="X448" s="102"/>
      <c r="Y448" s="102"/>
      <c r="Z448" s="88"/>
      <c r="AA448" s="615"/>
      <c r="AC448" s="304"/>
      <c r="AD448" s="304"/>
      <c r="AE448" s="304"/>
      <c r="AF448" s="304"/>
      <c r="AG448" s="304"/>
      <c r="AJ448" s="304"/>
      <c r="AK448" s="304"/>
      <c r="AL448" s="304"/>
      <c r="AM448" s="304"/>
      <c r="AN448" s="304"/>
      <c r="AO448" s="304"/>
      <c r="AP448" s="304"/>
      <c r="AQ448" s="304"/>
      <c r="AR448" s="304"/>
      <c r="AS448" s="304"/>
      <c r="AT448" s="304"/>
    </row>
    <row r="449" spans="1:46" ht="15" customHeight="1">
      <c r="A449" s="555" t="s">
        <v>2419</v>
      </c>
      <c r="B449" s="217" t="str">
        <f t="shared" ref="B449" si="644">LEFT(A449,3)</f>
        <v>100</v>
      </c>
      <c r="C449" s="217" t="str">
        <f t="shared" ref="C449" si="645">MID(A449,5,2)</f>
        <v>16</v>
      </c>
      <c r="D449" s="101" t="str">
        <f t="shared" ref="D449" si="646">MID(A449,8,3)</f>
        <v>165</v>
      </c>
      <c r="E449" s="217" t="str">
        <f t="shared" ref="E449" si="647">LEFT(A449,10)</f>
        <v>100-16-165</v>
      </c>
      <c r="F449" s="294" t="str">
        <f t="shared" ref="F449" si="648">RIGHT(A449,5)</f>
        <v>59114</v>
      </c>
      <c r="G449" s="295" t="str">
        <f>VLOOKUP(F449,'GL Category'!A:C,3,FALSE)</f>
        <v>Transfers to other funds</v>
      </c>
      <c r="H449" s="98" t="str">
        <f>VLOOKUP(F449,'GL Category'!A:C,2,FALSE)</f>
        <v>TRANSFER TO MC SPEC REV</v>
      </c>
      <c r="I449" s="99">
        <f>SUMIF(Import!$B:$B,$A449,Import!D:D)</f>
        <v>0</v>
      </c>
      <c r="J449" s="99">
        <f>SUMIF(Import!$B:$B,$A449,Import!E:E)</f>
        <v>0</v>
      </c>
      <c r="K449" s="99">
        <f>SUMIF(Import!$B:$B,$A449,Import!F:F)</f>
        <v>0</v>
      </c>
      <c r="L449" s="99">
        <f>SUMIF(Import!$B:$B,$A449,Import!G:G)</f>
        <v>0</v>
      </c>
      <c r="M449" s="99">
        <f>SUMIF(Import!$B:$B,$A449,Import!H:H)</f>
        <v>0</v>
      </c>
      <c r="N449" s="99">
        <f>SUMIF(Import!$B:$B,$A449,Import!I:I)</f>
        <v>0</v>
      </c>
      <c r="O449" s="99">
        <f>SUMIF(Import!$B:$B,$A449,Import!J:J)</f>
        <v>0</v>
      </c>
      <c r="P449" s="99">
        <f t="shared" ref="P449" si="649">O449-M449</f>
        <v>0</v>
      </c>
      <c r="Q449" s="99">
        <f>SUMIF(Import!$B:$B,$A449,Import!K:K)</f>
        <v>0</v>
      </c>
      <c r="R449" s="99">
        <f>SUMIF(Import!$B:$B,$A449,Import!L:L)</f>
        <v>0</v>
      </c>
      <c r="S449" s="99">
        <f>SUMIF(Import!$B:$B,$A449,Import!M:M)</f>
        <v>0</v>
      </c>
      <c r="T449" s="99">
        <f>SUMIF(Import!$B:$B,$A449,Import!N:N)</f>
        <v>0</v>
      </c>
      <c r="U449" s="99">
        <f t="shared" ref="U449" si="650">T449-M449</f>
        <v>0</v>
      </c>
      <c r="V449" s="255" t="str">
        <f t="shared" ref="V449" si="651">IF(M449=0,"N/A",T449/M449-1)</f>
        <v>N/A</v>
      </c>
      <c r="W449" s="102" t="s">
        <v>2419</v>
      </c>
      <c r="X449" s="102"/>
      <c r="Y449" s="102">
        <f t="shared" ref="Y449" si="652">T449-X449</f>
        <v>0</v>
      </c>
      <c r="Z449" s="309">
        <f>Y449*(1+VLOOKUP($F449,'GL Category'!$A:$H,4,FALSE))</f>
        <v>0</v>
      </c>
      <c r="AA449" s="615"/>
      <c r="AB449" s="622">
        <f>Z449+AA449</f>
        <v>0</v>
      </c>
      <c r="AC449" s="633">
        <f>AB449*(1+VLOOKUP($F449,'GL Category'!$A:$H,5,FALSE))</f>
        <v>0</v>
      </c>
      <c r="AE449" s="622">
        <f>AC449+AD449</f>
        <v>0</v>
      </c>
      <c r="AF449" s="633">
        <f>AE449*(1+VLOOKUP($F449,'GL Category'!$A:$H,6,FALSE))</f>
        <v>0</v>
      </c>
      <c r="AH449" s="622">
        <f>AF449+AG449</f>
        <v>0</v>
      </c>
      <c r="AI449" s="633">
        <f>AH449*(1+VLOOKUP($F449,'GL Category'!$A:$H,7,FALSE))</f>
        <v>0</v>
      </c>
      <c r="AK449" s="622">
        <f>AI449+AJ449</f>
        <v>0</v>
      </c>
      <c r="AL449" s="633">
        <f>AK449*(1+VLOOKUP($F449,'GL Category'!$A:$H,8,FALSE))</f>
        <v>0</v>
      </c>
      <c r="AN449" s="622">
        <f>AL449+AM449</f>
        <v>0</v>
      </c>
      <c r="AO449" s="304"/>
      <c r="AP449" s="304"/>
      <c r="AQ449" s="304"/>
      <c r="AR449" s="304"/>
      <c r="AS449" s="304"/>
      <c r="AT449" s="304"/>
    </row>
    <row r="450" spans="1:46" ht="15" customHeight="1">
      <c r="A450" s="297"/>
      <c r="B450" s="217"/>
      <c r="C450" s="217"/>
      <c r="D450" s="101"/>
      <c r="E450" s="101"/>
      <c r="F450" s="294"/>
      <c r="G450" s="295"/>
      <c r="H450" s="107" t="str">
        <f>UPPER(G449)&amp;" TOTAL"</f>
        <v>TRANSFERS TO OTHER FUNDS TOTAL</v>
      </c>
      <c r="I450" s="108">
        <f t="shared" ref="I450" si="653">SUBTOTAL(9,I449)</f>
        <v>0</v>
      </c>
      <c r="J450" s="108">
        <f t="shared" ref="J450:O450" si="654">SUBTOTAL(9,J449)</f>
        <v>0</v>
      </c>
      <c r="K450" s="108">
        <f t="shared" ref="K450" si="655">SUBTOTAL(9,K449)</f>
        <v>0</v>
      </c>
      <c r="L450" s="108">
        <f t="shared" ref="L450" si="656">SUBTOTAL(9,L449)</f>
        <v>0</v>
      </c>
      <c r="M450" s="108">
        <f t="shared" si="654"/>
        <v>0</v>
      </c>
      <c r="N450" s="108">
        <f t="shared" ref="N450" si="657">SUBTOTAL(9,N449)</f>
        <v>0</v>
      </c>
      <c r="O450" s="108">
        <f t="shared" si="654"/>
        <v>0</v>
      </c>
      <c r="P450" s="108">
        <f>SUBTOTAL(9,P449)</f>
        <v>0</v>
      </c>
      <c r="Q450" s="108">
        <f t="shared" ref="Q450:T450" si="658">SUBTOTAL(9,Q449)</f>
        <v>0</v>
      </c>
      <c r="R450" s="108">
        <f t="shared" si="658"/>
        <v>0</v>
      </c>
      <c r="S450" s="108">
        <f t="shared" si="658"/>
        <v>0</v>
      </c>
      <c r="T450" s="108">
        <f t="shared" si="658"/>
        <v>0</v>
      </c>
      <c r="U450" s="99">
        <f>T450-M450</f>
        <v>0</v>
      </c>
      <c r="V450" s="255" t="str">
        <f>IF(M450=0,"N/A",T450/M450-1)</f>
        <v>N/A</v>
      </c>
      <c r="W450" s="102"/>
      <c r="X450" s="102"/>
      <c r="Y450" s="102"/>
      <c r="Z450" s="88"/>
      <c r="AA450" s="615"/>
      <c r="AC450" s="304"/>
      <c r="AD450" s="304"/>
      <c r="AE450" s="304"/>
      <c r="AF450" s="304"/>
      <c r="AG450" s="304"/>
      <c r="AJ450" s="304"/>
      <c r="AK450" s="304"/>
      <c r="AL450" s="304"/>
      <c r="AM450" s="304"/>
      <c r="AN450" s="304"/>
      <c r="AO450" s="304"/>
      <c r="AP450" s="304"/>
      <c r="AQ450" s="304"/>
      <c r="AR450" s="304"/>
      <c r="AS450" s="304"/>
      <c r="AT450" s="304"/>
    </row>
    <row r="451" spans="1:46" ht="15" customHeight="1">
      <c r="A451" s="297"/>
      <c r="B451" s="217"/>
      <c r="C451" s="217"/>
      <c r="D451" s="101"/>
      <c r="E451" s="101"/>
      <c r="F451" s="294"/>
      <c r="G451" s="295"/>
      <c r="H451" s="98"/>
      <c r="I451" s="106"/>
      <c r="J451" s="106"/>
      <c r="K451" s="106"/>
      <c r="L451" s="106"/>
      <c r="M451" s="106"/>
      <c r="N451" s="112"/>
      <c r="O451" s="112"/>
      <c r="P451" s="112"/>
      <c r="Q451" s="113"/>
      <c r="T451" s="113"/>
      <c r="U451" s="113"/>
      <c r="V451" s="113"/>
      <c r="W451" s="102"/>
      <c r="X451" s="102"/>
      <c r="Y451" s="102"/>
      <c r="Z451" s="88"/>
      <c r="AA451" s="615"/>
      <c r="AC451" s="304"/>
      <c r="AD451" s="304"/>
      <c r="AE451" s="304"/>
      <c r="AF451" s="304"/>
      <c r="AG451" s="304"/>
      <c r="AJ451" s="304"/>
      <c r="AK451" s="304"/>
      <c r="AL451" s="304"/>
      <c r="AM451" s="304"/>
      <c r="AN451" s="304"/>
      <c r="AO451" s="304"/>
      <c r="AP451" s="304"/>
      <c r="AQ451" s="304"/>
      <c r="AR451" s="304"/>
      <c r="AS451" s="304"/>
      <c r="AT451" s="304"/>
    </row>
    <row r="452" spans="1:46" s="115" customFormat="1" ht="15" customHeight="1">
      <c r="A452" s="297"/>
      <c r="B452" s="217"/>
      <c r="C452" s="217"/>
      <c r="D452" s="101"/>
      <c r="E452" s="101"/>
      <c r="F452" s="294"/>
      <c r="G452" s="295"/>
      <c r="H452" s="114" t="s">
        <v>51</v>
      </c>
      <c r="I452" s="108">
        <f t="shared" ref="I452" si="659">SUBTOTAL(9,I423:I450)</f>
        <v>417322.5</v>
      </c>
      <c r="J452" s="108">
        <f t="shared" ref="J452:T452" si="660">SUBTOTAL(9,J423:J450)</f>
        <v>486444.75</v>
      </c>
      <c r="K452" s="108">
        <f t="shared" ref="K452" si="661">SUBTOTAL(9,K423:K450)</f>
        <v>547366</v>
      </c>
      <c r="L452" s="108">
        <f t="shared" ref="L452" si="662">SUBTOTAL(9,L423:L450)</f>
        <v>507298.5</v>
      </c>
      <c r="M452" s="108">
        <f t="shared" si="660"/>
        <v>586763</v>
      </c>
      <c r="N452" s="108">
        <f t="shared" si="660"/>
        <v>459951</v>
      </c>
      <c r="O452" s="108">
        <f t="shared" si="660"/>
        <v>586763</v>
      </c>
      <c r="P452" s="108">
        <f t="shared" si="660"/>
        <v>0</v>
      </c>
      <c r="Q452" s="108">
        <f t="shared" si="660"/>
        <v>542448</v>
      </c>
      <c r="R452" s="108">
        <f t="shared" si="660"/>
        <v>0</v>
      </c>
      <c r="S452" s="108">
        <f t="shared" si="660"/>
        <v>0</v>
      </c>
      <c r="T452" s="108">
        <f t="shared" si="660"/>
        <v>542448</v>
      </c>
      <c r="U452" s="99">
        <f>T452-M452</f>
        <v>-44315</v>
      </c>
      <c r="V452" s="255">
        <f>IF(M452=0,"N/A",T452/M452-1)</f>
        <v>-7.552453034700557E-2</v>
      </c>
      <c r="W452" s="102"/>
      <c r="X452" s="102"/>
      <c r="Y452" s="102"/>
      <c r="Z452" s="192"/>
      <c r="AA452" s="615"/>
      <c r="AB452" s="307"/>
      <c r="AC452" s="300"/>
      <c r="AD452" s="300"/>
      <c r="AE452" s="300"/>
      <c r="AF452" s="300"/>
      <c r="AG452" s="300"/>
      <c r="AH452" s="307"/>
      <c r="AI452" s="307"/>
      <c r="AJ452" s="300"/>
      <c r="AK452" s="300"/>
      <c r="AL452" s="300"/>
      <c r="AM452" s="300"/>
      <c r="AN452" s="300"/>
      <c r="AO452" s="300"/>
      <c r="AP452" s="300"/>
      <c r="AQ452" s="300"/>
      <c r="AR452" s="300"/>
      <c r="AS452" s="300"/>
      <c r="AT452" s="300"/>
    </row>
    <row r="453" spans="1:46" s="115" customFormat="1" ht="15" customHeight="1">
      <c r="A453" s="297"/>
      <c r="B453" s="217"/>
      <c r="C453" s="217"/>
      <c r="D453" s="101"/>
      <c r="E453" s="101"/>
      <c r="F453" s="294"/>
      <c r="G453" s="295"/>
      <c r="H453" s="98"/>
      <c r="I453" s="218"/>
      <c r="J453" s="218"/>
      <c r="K453" s="218"/>
      <c r="L453" s="218"/>
      <c r="M453" s="218"/>
      <c r="N453" s="96"/>
      <c r="O453" s="96"/>
      <c r="P453" s="96"/>
      <c r="Q453" s="212"/>
      <c r="R453" s="212"/>
      <c r="S453" s="212"/>
      <c r="T453" s="212"/>
      <c r="U453" s="212"/>
      <c r="V453" s="212"/>
      <c r="W453" s="102"/>
      <c r="X453" s="102"/>
      <c r="Y453" s="102"/>
      <c r="Z453" s="192"/>
      <c r="AA453" s="615"/>
      <c r="AB453" s="307"/>
      <c r="AC453" s="94"/>
      <c r="AD453" s="94"/>
      <c r="AE453" s="94"/>
      <c r="AF453" s="94"/>
      <c r="AG453" s="94"/>
      <c r="AH453" s="307"/>
      <c r="AI453" s="307"/>
      <c r="AJ453" s="94"/>
      <c r="AK453" s="94"/>
      <c r="AL453" s="94"/>
      <c r="AM453" s="94"/>
      <c r="AN453" s="94"/>
      <c r="AO453" s="94"/>
      <c r="AP453" s="94"/>
      <c r="AQ453" s="94"/>
      <c r="AR453" s="94"/>
      <c r="AS453" s="94"/>
      <c r="AT453" s="94"/>
    </row>
    <row r="454" spans="1:46" s="115" customFormat="1" ht="15" customHeight="1" thickBot="1">
      <c r="A454" s="297"/>
      <c r="B454" s="217"/>
      <c r="C454" s="217"/>
      <c r="D454" s="101"/>
      <c r="E454" s="101"/>
      <c r="F454" s="294"/>
      <c r="G454" s="295"/>
      <c r="H454" s="98"/>
      <c r="I454" s="218"/>
      <c r="J454" s="218"/>
      <c r="K454" s="218"/>
      <c r="L454" s="218"/>
      <c r="M454" s="218"/>
      <c r="N454" s="96"/>
      <c r="O454" s="96"/>
      <c r="P454" s="96"/>
      <c r="Q454" s="212"/>
      <c r="R454" s="212"/>
      <c r="S454" s="212"/>
      <c r="T454" s="212"/>
      <c r="U454" s="212"/>
      <c r="V454" s="212"/>
      <c r="W454" s="102"/>
      <c r="X454" s="102"/>
      <c r="Y454" s="102"/>
      <c r="Z454" s="192"/>
      <c r="AA454" s="615"/>
      <c r="AB454" s="307"/>
      <c r="AC454" s="93"/>
      <c r="AD454" s="93"/>
      <c r="AE454" s="93"/>
      <c r="AF454" s="93"/>
      <c r="AG454" s="93"/>
      <c r="AH454" s="307"/>
      <c r="AI454" s="307"/>
      <c r="AJ454" s="93"/>
      <c r="AK454" s="93"/>
      <c r="AL454" s="93"/>
      <c r="AM454" s="93"/>
      <c r="AN454" s="93"/>
      <c r="AO454" s="93"/>
      <c r="AP454" s="93"/>
      <c r="AQ454" s="93"/>
      <c r="AR454" s="93"/>
      <c r="AS454" s="93"/>
      <c r="AT454" s="93"/>
    </row>
    <row r="455" spans="1:46" s="115" customFormat="1" ht="22.35" customHeight="1" thickBot="1">
      <c r="A455" s="297"/>
      <c r="B455" s="217"/>
      <c r="C455" s="217"/>
      <c r="D455" s="101"/>
      <c r="E455" s="101"/>
      <c r="F455" s="294"/>
      <c r="G455" s="295"/>
      <c r="H455" s="665" t="s">
        <v>614</v>
      </c>
      <c r="I455" s="666"/>
      <c r="J455" s="666"/>
      <c r="K455" s="666"/>
      <c r="L455" s="666"/>
      <c r="M455" s="666"/>
      <c r="N455" s="666"/>
      <c r="O455" s="666"/>
      <c r="P455" s="666"/>
      <c r="Q455" s="666"/>
      <c r="R455" s="666"/>
      <c r="S455" s="666"/>
      <c r="T455" s="667"/>
      <c r="U455" s="247"/>
      <c r="V455" s="247"/>
      <c r="W455" s="102"/>
      <c r="X455" s="102"/>
      <c r="Y455" s="102"/>
      <c r="Z455" s="192"/>
      <c r="AA455" s="615"/>
      <c r="AB455" s="307"/>
      <c r="AC455" s="300"/>
      <c r="AD455" s="300"/>
      <c r="AE455" s="300"/>
      <c r="AF455" s="300"/>
      <c r="AG455" s="300"/>
      <c r="AH455" s="307"/>
      <c r="AI455" s="307"/>
      <c r="AJ455" s="300"/>
      <c r="AK455" s="300"/>
      <c r="AL455" s="300"/>
      <c r="AM455" s="300"/>
      <c r="AN455" s="300"/>
      <c r="AO455" s="300"/>
      <c r="AP455" s="300"/>
      <c r="AQ455" s="300"/>
      <c r="AR455" s="300"/>
      <c r="AS455" s="300"/>
      <c r="AT455" s="300"/>
    </row>
    <row r="456" spans="1:46" s="115" customFormat="1" ht="15" customHeight="1">
      <c r="A456" s="297"/>
      <c r="B456" s="217"/>
      <c r="C456" s="217"/>
      <c r="D456" s="101"/>
      <c r="E456" s="101"/>
      <c r="F456" s="294"/>
      <c r="G456" s="295"/>
      <c r="H456" s="225"/>
      <c r="I456" s="225"/>
      <c r="J456" s="225"/>
      <c r="K456" s="225"/>
      <c r="L456" s="225"/>
      <c r="M456" s="225"/>
      <c r="N456" s="225"/>
      <c r="O456" s="225"/>
      <c r="P456" s="225"/>
      <c r="Q456" s="225"/>
      <c r="R456" s="225"/>
      <c r="S456" s="225"/>
      <c r="T456" s="225"/>
      <c r="U456" s="225"/>
      <c r="V456" s="225"/>
      <c r="W456" s="102"/>
      <c r="X456" s="102"/>
      <c r="Y456" s="102"/>
      <c r="Z456" s="192"/>
      <c r="AA456" s="615"/>
      <c r="AB456" s="307"/>
      <c r="AC456" s="300"/>
      <c r="AD456" s="300"/>
      <c r="AE456" s="300"/>
      <c r="AF456" s="300"/>
      <c r="AG456" s="300"/>
      <c r="AH456" s="307"/>
      <c r="AI456" s="307"/>
      <c r="AJ456" s="300"/>
      <c r="AK456" s="300"/>
      <c r="AL456" s="300"/>
      <c r="AM456" s="300"/>
      <c r="AN456" s="300"/>
      <c r="AO456" s="300"/>
      <c r="AP456" s="300"/>
      <c r="AQ456" s="300"/>
      <c r="AR456" s="300"/>
      <c r="AS456" s="300"/>
      <c r="AT456" s="300"/>
    </row>
    <row r="457" spans="1:46" s="115" customFormat="1" ht="15" customHeight="1">
      <c r="A457" s="555" t="s">
        <v>2420</v>
      </c>
      <c r="B457" s="217" t="str">
        <f t="shared" ref="B457:B466" si="663">LEFT(A457,3)</f>
        <v>100</v>
      </c>
      <c r="C457" s="217" t="str">
        <f t="shared" ref="C457:C466" si="664">MID(A457,5,2)</f>
        <v>17</v>
      </c>
      <c r="D457" s="101" t="str">
        <f t="shared" ref="D457:D466" si="665">MID(A457,8,3)</f>
        <v>171</v>
      </c>
      <c r="E457" s="217" t="str">
        <f t="shared" ref="E457:E466" si="666">LEFT(A457,10)</f>
        <v>100-17-171</v>
      </c>
      <c r="F457" s="294" t="str">
        <f t="shared" ref="F457:F466" si="667">RIGHT(A457,5)</f>
        <v>50101</v>
      </c>
      <c r="G457" s="295" t="str">
        <f>VLOOKUP(F457,'GL Category'!A:C,3,FALSE)</f>
        <v>Personnel services</v>
      </c>
      <c r="H457" s="98" t="str">
        <f>VLOOKUP(F457,'GL Category'!A:C,2,FALSE)</f>
        <v>EXEMPT SALARIES</v>
      </c>
      <c r="I457" s="99">
        <f>SUMIF(Import!$B:$B,$A457,Import!D:D)</f>
        <v>276237.42</v>
      </c>
      <c r="J457" s="99">
        <f>SUMIF(Import!$B:$B,$A457,Import!E:E)</f>
        <v>248840.41</v>
      </c>
      <c r="K457" s="99">
        <f>SUMIF(Import!$B:$B,$A457,Import!F:F)</f>
        <v>242160.95</v>
      </c>
      <c r="L457" s="99">
        <f>SUMIF(Import!$B:$B,$A457,Import!G:G)</f>
        <v>343216.07</v>
      </c>
      <c r="M457" s="99">
        <f>SUMIF(Import!$B:$B,$A457,Import!H:H)</f>
        <v>307483</v>
      </c>
      <c r="N457" s="99">
        <f>SUMIF(Import!$B:$B,$A457,Import!I:I)</f>
        <v>235604.2</v>
      </c>
      <c r="O457" s="99">
        <f>SUMIF(Import!$B:$B,$A457,Import!J:J)</f>
        <v>309283</v>
      </c>
      <c r="P457" s="99">
        <f t="shared" ref="P457:P466" si="668">O457-M457</f>
        <v>1800</v>
      </c>
      <c r="Q457" s="99">
        <f>SUMIF(Import!$B:$B,$A457,Import!K:K)</f>
        <v>319837</v>
      </c>
      <c r="R457" s="99">
        <f>SUMIF(Import!$B:$B,$A457,Import!L:L)</f>
        <v>0</v>
      </c>
      <c r="S457" s="99">
        <f>SUMIF(Import!$B:$B,$A457,Import!M:M)</f>
        <v>0</v>
      </c>
      <c r="T457" s="99">
        <f>SUMIF(Import!$B:$B,$A457,Import!N:N)</f>
        <v>319837</v>
      </c>
      <c r="U457" s="99">
        <f t="shared" ref="U457:U466" si="669">T457-M457</f>
        <v>12354</v>
      </c>
      <c r="V457" s="255">
        <f t="shared" ref="V457:V466" si="670">IF(M457=0,"N/A",T457/M457-1)</f>
        <v>4.0177830969517103E-2</v>
      </c>
      <c r="W457" s="102" t="s">
        <v>2420</v>
      </c>
      <c r="X457" s="102"/>
      <c r="Y457" s="102"/>
      <c r="Z457" s="192"/>
      <c r="AA457" s="615"/>
      <c r="AB457" s="307"/>
      <c r="AC457" s="300"/>
      <c r="AD457" s="300"/>
      <c r="AE457" s="300"/>
      <c r="AF457" s="300"/>
      <c r="AG457" s="300"/>
      <c r="AH457" s="307"/>
      <c r="AI457" s="307"/>
      <c r="AJ457" s="300"/>
      <c r="AK457" s="300"/>
      <c r="AL457" s="300"/>
      <c r="AM457" s="300"/>
      <c r="AN457" s="300"/>
      <c r="AO457" s="300"/>
      <c r="AP457" s="300"/>
      <c r="AQ457" s="300"/>
      <c r="AR457" s="300"/>
      <c r="AS457" s="300"/>
      <c r="AT457" s="300"/>
    </row>
    <row r="458" spans="1:46" s="115" customFormat="1" ht="15" customHeight="1">
      <c r="A458" s="555" t="s">
        <v>2421</v>
      </c>
      <c r="B458" s="217" t="str">
        <f t="shared" si="663"/>
        <v>100</v>
      </c>
      <c r="C458" s="217" t="str">
        <f t="shared" si="664"/>
        <v>17</v>
      </c>
      <c r="D458" s="101" t="str">
        <f t="shared" si="665"/>
        <v>171</v>
      </c>
      <c r="E458" s="217" t="str">
        <f t="shared" si="666"/>
        <v>100-17-171</v>
      </c>
      <c r="F458" s="294" t="str">
        <f t="shared" si="667"/>
        <v>50102</v>
      </c>
      <c r="G458" s="295" t="str">
        <f>VLOOKUP(F458,'GL Category'!A:C,3,FALSE)</f>
        <v>Personnel services</v>
      </c>
      <c r="H458" s="98" t="str">
        <f>VLOOKUP(F458,'GL Category'!A:C,2,FALSE)</f>
        <v>NON EXEMPT SALARIES</v>
      </c>
      <c r="I458" s="99">
        <f>SUMIF(Import!$B:$B,$A458,Import!D:D)</f>
        <v>45596.98</v>
      </c>
      <c r="J458" s="99">
        <f>SUMIF(Import!$B:$B,$A458,Import!E:E)</f>
        <v>47663.9</v>
      </c>
      <c r="K458" s="99">
        <f>SUMIF(Import!$B:$B,$A458,Import!F:F)</f>
        <v>24746.06</v>
      </c>
      <c r="L458" s="99">
        <f>SUMIF(Import!$B:$B,$A458,Import!G:G)</f>
        <v>11200.29</v>
      </c>
      <c r="M458" s="99">
        <f>SUMIF(Import!$B:$B,$A458,Import!H:H)</f>
        <v>43203</v>
      </c>
      <c r="N458" s="99">
        <f>SUMIF(Import!$B:$B,$A458,Import!I:I)</f>
        <v>32142.959999999999</v>
      </c>
      <c r="O458" s="99">
        <f>SUMIF(Import!$B:$B,$A458,Import!J:J)</f>
        <v>42196</v>
      </c>
      <c r="P458" s="99">
        <f t="shared" si="668"/>
        <v>-1007</v>
      </c>
      <c r="Q458" s="99">
        <f>SUMIF(Import!$B:$B,$A458,Import!K:K)</f>
        <v>43975</v>
      </c>
      <c r="R458" s="99">
        <f>SUMIF(Import!$B:$B,$A458,Import!L:L)</f>
        <v>0</v>
      </c>
      <c r="S458" s="99">
        <f>SUMIF(Import!$B:$B,$A458,Import!M:M)</f>
        <v>0</v>
      </c>
      <c r="T458" s="99">
        <f>SUMIF(Import!$B:$B,$A458,Import!N:N)</f>
        <v>43975</v>
      </c>
      <c r="U458" s="99">
        <f t="shared" si="669"/>
        <v>772</v>
      </c>
      <c r="V458" s="255">
        <f t="shared" si="670"/>
        <v>1.7869129458602417E-2</v>
      </c>
      <c r="W458" s="102" t="s">
        <v>2421</v>
      </c>
      <c r="X458" s="102"/>
      <c r="Y458" s="102"/>
      <c r="Z458" s="192"/>
      <c r="AA458" s="615"/>
      <c r="AB458" s="307"/>
      <c r="AC458" s="300"/>
      <c r="AD458" s="300"/>
      <c r="AE458" s="300"/>
      <c r="AF458" s="300"/>
      <c r="AG458" s="300"/>
      <c r="AH458" s="307"/>
      <c r="AI458" s="307"/>
      <c r="AJ458" s="300"/>
      <c r="AK458" s="300"/>
      <c r="AL458" s="300"/>
      <c r="AM458" s="300"/>
      <c r="AN458" s="300"/>
      <c r="AO458" s="300"/>
      <c r="AP458" s="300"/>
      <c r="AQ458" s="300"/>
      <c r="AR458" s="300"/>
      <c r="AS458" s="300"/>
      <c r="AT458" s="300"/>
    </row>
    <row r="459" spans="1:46" s="115" customFormat="1" ht="15" customHeight="1">
      <c r="A459" s="555" t="s">
        <v>2422</v>
      </c>
      <c r="B459" s="217" t="str">
        <f t="shared" si="663"/>
        <v>100</v>
      </c>
      <c r="C459" s="217" t="str">
        <f t="shared" si="664"/>
        <v>17</v>
      </c>
      <c r="D459" s="101" t="str">
        <f t="shared" si="665"/>
        <v>171</v>
      </c>
      <c r="E459" s="217" t="str">
        <f t="shared" si="666"/>
        <v>100-17-171</v>
      </c>
      <c r="F459" s="294" t="str">
        <f t="shared" si="667"/>
        <v>50109</v>
      </c>
      <c r="G459" s="295" t="str">
        <f>VLOOKUP(F459,'GL Category'!A:C,3,FALSE)</f>
        <v>Personnel services</v>
      </c>
      <c r="H459" s="98" t="str">
        <f>VLOOKUP(F459,'GL Category'!A:C,2,FALSE)</f>
        <v>OVERTIME</v>
      </c>
      <c r="I459" s="99">
        <f>SUMIF(Import!$B:$B,$A459,Import!D:D)</f>
        <v>492.18</v>
      </c>
      <c r="J459" s="99">
        <f>SUMIF(Import!$B:$B,$A459,Import!E:E)</f>
        <v>2171.0100000000002</v>
      </c>
      <c r="K459" s="99">
        <f>SUMIF(Import!$B:$B,$A459,Import!F:F)</f>
        <v>3626.64</v>
      </c>
      <c r="L459" s="99">
        <f>SUMIF(Import!$B:$B,$A459,Import!G:G)</f>
        <v>0</v>
      </c>
      <c r="M459" s="99">
        <f>SUMIF(Import!$B:$B,$A459,Import!H:H)</f>
        <v>500</v>
      </c>
      <c r="N459" s="99">
        <f>SUMIF(Import!$B:$B,$A459,Import!I:I)</f>
        <v>0</v>
      </c>
      <c r="O459" s="99">
        <f>SUMIF(Import!$B:$B,$A459,Import!J:J)</f>
        <v>0</v>
      </c>
      <c r="P459" s="99">
        <f t="shared" si="668"/>
        <v>-500</v>
      </c>
      <c r="Q459" s="99">
        <f>SUMIF(Import!$B:$B,$A459,Import!K:K)</f>
        <v>500</v>
      </c>
      <c r="R459" s="99">
        <f>SUMIF(Import!$B:$B,$A459,Import!L:L)</f>
        <v>0</v>
      </c>
      <c r="S459" s="99">
        <f>SUMIF(Import!$B:$B,$A459,Import!M:M)</f>
        <v>0</v>
      </c>
      <c r="T459" s="99">
        <f>SUMIF(Import!$B:$B,$A459,Import!N:N)</f>
        <v>500</v>
      </c>
      <c r="U459" s="99">
        <f t="shared" si="669"/>
        <v>0</v>
      </c>
      <c r="V459" s="255">
        <f t="shared" si="670"/>
        <v>0</v>
      </c>
      <c r="W459" s="102" t="s">
        <v>2422</v>
      </c>
      <c r="X459" s="102"/>
      <c r="Y459" s="102"/>
      <c r="Z459" s="192"/>
      <c r="AA459" s="615"/>
      <c r="AB459" s="307"/>
      <c r="AC459" s="94"/>
      <c r="AD459" s="94"/>
      <c r="AE459" s="94"/>
      <c r="AF459" s="94"/>
      <c r="AG459" s="94"/>
      <c r="AH459" s="307"/>
      <c r="AI459" s="307"/>
      <c r="AJ459" s="94"/>
      <c r="AK459" s="94"/>
      <c r="AL459" s="94"/>
      <c r="AM459" s="94"/>
      <c r="AN459" s="94"/>
      <c r="AO459" s="94"/>
      <c r="AP459" s="94"/>
      <c r="AQ459" s="94"/>
      <c r="AR459" s="94"/>
      <c r="AS459" s="94"/>
      <c r="AT459" s="94"/>
    </row>
    <row r="460" spans="1:46" s="115" customFormat="1" ht="15" customHeight="1">
      <c r="A460" s="555" t="s">
        <v>2423</v>
      </c>
      <c r="B460" s="217" t="str">
        <f t="shared" si="663"/>
        <v>100</v>
      </c>
      <c r="C460" s="217" t="str">
        <f t="shared" si="664"/>
        <v>17</v>
      </c>
      <c r="D460" s="101" t="str">
        <f t="shared" si="665"/>
        <v>171</v>
      </c>
      <c r="E460" s="217" t="str">
        <f t="shared" si="666"/>
        <v>100-17-171</v>
      </c>
      <c r="F460" s="294" t="str">
        <f t="shared" si="667"/>
        <v>50110</v>
      </c>
      <c r="G460" s="295" t="str">
        <f>VLOOKUP(F460,'GL Category'!A:C,3,FALSE)</f>
        <v>Personnel services</v>
      </c>
      <c r="H460" s="98" t="str">
        <f>VLOOKUP(F460,'GL Category'!A:C,2,FALSE)</f>
        <v>PART-TIME WAGES</v>
      </c>
      <c r="I460" s="99">
        <f>SUMIF(Import!$B:$B,$A460,Import!D:D)</f>
        <v>8270.86</v>
      </c>
      <c r="J460" s="99">
        <f>SUMIF(Import!$B:$B,$A460,Import!E:E)</f>
        <v>9270.19</v>
      </c>
      <c r="K460" s="99">
        <f>SUMIF(Import!$B:$B,$A460,Import!F:F)</f>
        <v>20360.88</v>
      </c>
      <c r="L460" s="99">
        <f>SUMIF(Import!$B:$B,$A460,Import!G:G)</f>
        <v>22192.94</v>
      </c>
      <c r="M460" s="99">
        <f>SUMIF(Import!$B:$B,$A460,Import!H:H)</f>
        <v>28091</v>
      </c>
      <c r="N460" s="99">
        <f>SUMIF(Import!$B:$B,$A460,Import!I:I)</f>
        <v>19507.240000000002</v>
      </c>
      <c r="O460" s="99">
        <f>SUMIF(Import!$B:$B,$A460,Import!J:J)</f>
        <v>26850</v>
      </c>
      <c r="P460" s="99">
        <f t="shared" si="668"/>
        <v>-1241</v>
      </c>
      <c r="Q460" s="99">
        <f>SUMIF(Import!$B:$B,$A460,Import!K:K)</f>
        <v>29276</v>
      </c>
      <c r="R460" s="99">
        <f>SUMIF(Import!$B:$B,$A460,Import!L:L)</f>
        <v>0</v>
      </c>
      <c r="S460" s="99">
        <f>SUMIF(Import!$B:$B,$A460,Import!M:M)</f>
        <v>0</v>
      </c>
      <c r="T460" s="99">
        <f>SUMIF(Import!$B:$B,$A460,Import!N:N)</f>
        <v>29276</v>
      </c>
      <c r="U460" s="99">
        <f t="shared" si="669"/>
        <v>1185</v>
      </c>
      <c r="V460" s="255">
        <f t="shared" si="670"/>
        <v>4.2184329500551732E-2</v>
      </c>
      <c r="W460" s="102" t="s">
        <v>2423</v>
      </c>
      <c r="X460" s="102"/>
      <c r="Y460" s="102"/>
      <c r="Z460" s="192"/>
      <c r="AA460" s="615"/>
      <c r="AB460" s="307"/>
      <c r="AC460" s="93"/>
      <c r="AD460" s="93"/>
      <c r="AE460" s="93"/>
      <c r="AF460" s="93"/>
      <c r="AG460" s="93"/>
      <c r="AH460" s="307"/>
      <c r="AI460" s="307"/>
      <c r="AJ460" s="93"/>
      <c r="AK460" s="93"/>
      <c r="AL460" s="93"/>
      <c r="AM460" s="93"/>
      <c r="AN460" s="93"/>
      <c r="AO460" s="93"/>
      <c r="AP460" s="93"/>
      <c r="AQ460" s="93"/>
      <c r="AR460" s="93"/>
      <c r="AS460" s="93"/>
      <c r="AT460" s="93"/>
    </row>
    <row r="461" spans="1:46" s="115" customFormat="1" ht="15" customHeight="1">
      <c r="A461" s="555" t="s">
        <v>2424</v>
      </c>
      <c r="B461" s="217" t="str">
        <f t="shared" si="663"/>
        <v>100</v>
      </c>
      <c r="C461" s="217" t="str">
        <f t="shared" si="664"/>
        <v>17</v>
      </c>
      <c r="D461" s="101" t="str">
        <f t="shared" si="665"/>
        <v>171</v>
      </c>
      <c r="E461" s="217" t="str">
        <f t="shared" si="666"/>
        <v>100-17-171</v>
      </c>
      <c r="F461" s="294" t="str">
        <f t="shared" si="667"/>
        <v>50111</v>
      </c>
      <c r="G461" s="295" t="str">
        <f>VLOOKUP(F461,'GL Category'!A:C,3,FALSE)</f>
        <v>Personnel services</v>
      </c>
      <c r="H461" s="98" t="str">
        <f>VLOOKUP(F461,'GL Category'!A:C,2,FALSE)</f>
        <v>LONGEVITY PAY</v>
      </c>
      <c r="I461" s="99">
        <f>SUMIF(Import!$B:$B,$A461,Import!D:D)</f>
        <v>2645</v>
      </c>
      <c r="J461" s="99">
        <f>SUMIF(Import!$B:$B,$A461,Import!E:E)</f>
        <v>2885</v>
      </c>
      <c r="K461" s="99">
        <f>SUMIF(Import!$B:$B,$A461,Import!F:F)</f>
        <v>2005</v>
      </c>
      <c r="L461" s="99">
        <f>SUMIF(Import!$B:$B,$A461,Import!G:G)</f>
        <v>2195</v>
      </c>
      <c r="M461" s="99">
        <f>SUMIF(Import!$B:$B,$A461,Import!H:H)</f>
        <v>1511</v>
      </c>
      <c r="N461" s="99">
        <f>SUMIF(Import!$B:$B,$A461,Import!I:I)</f>
        <v>1425</v>
      </c>
      <c r="O461" s="99">
        <f>SUMIF(Import!$B:$B,$A461,Import!J:J)</f>
        <v>1425</v>
      </c>
      <c r="P461" s="99">
        <f t="shared" si="668"/>
        <v>-86</v>
      </c>
      <c r="Q461" s="99">
        <f>SUMIF(Import!$B:$B,$A461,Import!K:K)</f>
        <v>2144</v>
      </c>
      <c r="R461" s="99">
        <f>SUMIF(Import!$B:$B,$A461,Import!L:L)</f>
        <v>0</v>
      </c>
      <c r="S461" s="99">
        <f>SUMIF(Import!$B:$B,$A461,Import!M:M)</f>
        <v>0</v>
      </c>
      <c r="T461" s="99">
        <f>SUMIF(Import!$B:$B,$A461,Import!N:N)</f>
        <v>2144</v>
      </c>
      <c r="U461" s="99">
        <f t="shared" si="669"/>
        <v>633</v>
      </c>
      <c r="V461" s="255">
        <f t="shared" si="670"/>
        <v>0.41892786234281942</v>
      </c>
      <c r="W461" s="102" t="s">
        <v>2424</v>
      </c>
      <c r="X461" s="102"/>
      <c r="Y461" s="102"/>
      <c r="Z461" s="192"/>
      <c r="AA461" s="615"/>
      <c r="AB461" s="307"/>
      <c r="AC461" s="300"/>
      <c r="AD461" s="300"/>
      <c r="AE461" s="300"/>
      <c r="AF461" s="300"/>
      <c r="AG461" s="300"/>
      <c r="AH461" s="307"/>
      <c r="AI461" s="307"/>
      <c r="AJ461" s="300"/>
      <c r="AK461" s="300"/>
      <c r="AL461" s="300"/>
      <c r="AM461" s="300"/>
      <c r="AN461" s="300"/>
      <c r="AO461" s="300"/>
      <c r="AP461" s="300"/>
      <c r="AQ461" s="300"/>
      <c r="AR461" s="300"/>
      <c r="AS461" s="300"/>
      <c r="AT461" s="300"/>
    </row>
    <row r="462" spans="1:46" s="115" customFormat="1" ht="15" customHeight="1">
      <c r="A462" s="555" t="s">
        <v>2425</v>
      </c>
      <c r="B462" s="217" t="str">
        <f t="shared" si="663"/>
        <v>100</v>
      </c>
      <c r="C462" s="217" t="str">
        <f t="shared" si="664"/>
        <v>17</v>
      </c>
      <c r="D462" s="101" t="str">
        <f t="shared" si="665"/>
        <v>171</v>
      </c>
      <c r="E462" s="217" t="str">
        <f t="shared" si="666"/>
        <v>100-17-171</v>
      </c>
      <c r="F462" s="294" t="str">
        <f t="shared" si="667"/>
        <v>50112</v>
      </c>
      <c r="G462" s="295" t="str">
        <f>VLOOKUP(F462,'GL Category'!A:C,3,FALSE)</f>
        <v>Personnel services</v>
      </c>
      <c r="H462" s="98" t="str">
        <f>VLOOKUP(F462,'GL Category'!A:C,2,FALSE)</f>
        <v>TEMPORARY/SEASONAL WAGES</v>
      </c>
      <c r="I462" s="99">
        <f>SUMIF(Import!$B:$B,$A462,Import!D:D)</f>
        <v>0</v>
      </c>
      <c r="J462" s="99">
        <f>SUMIF(Import!$B:$B,$A462,Import!E:E)</f>
        <v>0</v>
      </c>
      <c r="K462" s="99">
        <f>SUMIF(Import!$B:$B,$A462,Import!F:F)</f>
        <v>0</v>
      </c>
      <c r="L462" s="99">
        <f>SUMIF(Import!$B:$B,$A462,Import!G:G)</f>
        <v>0</v>
      </c>
      <c r="M462" s="99">
        <f>SUMIF(Import!$B:$B,$A462,Import!H:H)</f>
        <v>0</v>
      </c>
      <c r="N462" s="99">
        <f>SUMIF(Import!$B:$B,$A462,Import!I:I)</f>
        <v>0</v>
      </c>
      <c r="O462" s="99">
        <f>SUMIF(Import!$B:$B,$A462,Import!J:J)</f>
        <v>0</v>
      </c>
      <c r="P462" s="99">
        <f t="shared" si="668"/>
        <v>0</v>
      </c>
      <c r="Q462" s="99">
        <f>SUMIF(Import!$B:$B,$A462,Import!K:K)</f>
        <v>0</v>
      </c>
      <c r="R462" s="99">
        <f>SUMIF(Import!$B:$B,$A462,Import!L:L)</f>
        <v>0</v>
      </c>
      <c r="S462" s="99">
        <f>SUMIF(Import!$B:$B,$A462,Import!M:M)</f>
        <v>0</v>
      </c>
      <c r="T462" s="99">
        <f>SUMIF(Import!$B:$B,$A462,Import!N:N)</f>
        <v>0</v>
      </c>
      <c r="U462" s="99">
        <f t="shared" si="669"/>
        <v>0</v>
      </c>
      <c r="V462" s="255" t="str">
        <f t="shared" si="670"/>
        <v>N/A</v>
      </c>
      <c r="W462" s="102" t="s">
        <v>2425</v>
      </c>
      <c r="X462" s="102"/>
      <c r="Y462" s="102"/>
      <c r="Z462" s="192"/>
      <c r="AA462" s="615"/>
      <c r="AB462" s="307"/>
      <c r="AC462" s="300"/>
      <c r="AD462" s="300"/>
      <c r="AE462" s="300"/>
      <c r="AF462" s="300"/>
      <c r="AG462" s="300"/>
      <c r="AH462" s="307"/>
      <c r="AI462" s="307"/>
      <c r="AJ462" s="300"/>
      <c r="AK462" s="300"/>
      <c r="AL462" s="300"/>
      <c r="AM462" s="300"/>
      <c r="AN462" s="300"/>
      <c r="AO462" s="300"/>
      <c r="AP462" s="300"/>
      <c r="AQ462" s="300"/>
      <c r="AR462" s="300"/>
      <c r="AS462" s="300"/>
      <c r="AT462" s="300"/>
    </row>
    <row r="463" spans="1:46" s="115" customFormat="1" ht="15" customHeight="1">
      <c r="A463" s="555" t="s">
        <v>2426</v>
      </c>
      <c r="B463" s="217" t="str">
        <f t="shared" si="663"/>
        <v>100</v>
      </c>
      <c r="C463" s="217" t="str">
        <f t="shared" si="664"/>
        <v>17</v>
      </c>
      <c r="D463" s="101" t="str">
        <f t="shared" si="665"/>
        <v>171</v>
      </c>
      <c r="E463" s="217" t="str">
        <f t="shared" si="666"/>
        <v>100-17-171</v>
      </c>
      <c r="F463" s="294" t="str">
        <f t="shared" si="667"/>
        <v>50610</v>
      </c>
      <c r="G463" s="295" t="str">
        <f>VLOOKUP(F463,'GL Category'!A:C,3,FALSE)</f>
        <v>Personnel services</v>
      </c>
      <c r="H463" s="98" t="str">
        <f>VLOOKUP(F463,'GL Category'!A:C,2,FALSE)</f>
        <v>SOCIAL SECURITY</v>
      </c>
      <c r="I463" s="99">
        <f>SUMIF(Import!$B:$B,$A463,Import!D:D)</f>
        <v>23593.26</v>
      </c>
      <c r="J463" s="99">
        <f>SUMIF(Import!$B:$B,$A463,Import!E:E)</f>
        <v>22106.16</v>
      </c>
      <c r="K463" s="99">
        <f>SUMIF(Import!$B:$B,$A463,Import!F:F)</f>
        <v>20415.18</v>
      </c>
      <c r="L463" s="99">
        <f>SUMIF(Import!$B:$B,$A463,Import!G:G)</f>
        <v>26527.56</v>
      </c>
      <c r="M463" s="99">
        <f>SUMIF(Import!$B:$B,$A463,Import!H:H)</f>
        <v>29290</v>
      </c>
      <c r="N463" s="99">
        <f>SUMIF(Import!$B:$B,$A463,Import!I:I)</f>
        <v>21135.62</v>
      </c>
      <c r="O463" s="99">
        <f>SUMIF(Import!$B:$B,$A463,Import!J:J)</f>
        <v>28028</v>
      </c>
      <c r="P463" s="99">
        <f t="shared" si="668"/>
        <v>-1262</v>
      </c>
      <c r="Q463" s="99">
        <f>SUMIF(Import!$B:$B,$A463,Import!K:K)</f>
        <v>30100</v>
      </c>
      <c r="R463" s="99">
        <f>SUMIF(Import!$B:$B,$A463,Import!L:L)</f>
        <v>0</v>
      </c>
      <c r="S463" s="99">
        <f>SUMIF(Import!$B:$B,$A463,Import!M:M)</f>
        <v>0</v>
      </c>
      <c r="T463" s="99">
        <f>SUMIF(Import!$B:$B,$A463,Import!N:N)</f>
        <v>30100</v>
      </c>
      <c r="U463" s="99">
        <f t="shared" si="669"/>
        <v>810</v>
      </c>
      <c r="V463" s="255">
        <f t="shared" si="670"/>
        <v>2.7654489586889763E-2</v>
      </c>
      <c r="W463" s="102" t="s">
        <v>2426</v>
      </c>
      <c r="X463" s="102"/>
      <c r="Y463" s="102"/>
      <c r="Z463" s="192"/>
      <c r="AA463" s="615"/>
      <c r="AB463" s="307"/>
      <c r="AC463" s="300"/>
      <c r="AD463" s="300"/>
      <c r="AE463" s="300"/>
      <c r="AF463" s="300"/>
      <c r="AG463" s="300"/>
      <c r="AH463" s="307"/>
      <c r="AI463" s="307"/>
      <c r="AJ463" s="300"/>
      <c r="AK463" s="300"/>
      <c r="AL463" s="300"/>
      <c r="AM463" s="300"/>
      <c r="AN463" s="300"/>
      <c r="AO463" s="300"/>
      <c r="AP463" s="300"/>
      <c r="AQ463" s="300"/>
      <c r="AR463" s="300"/>
      <c r="AS463" s="300"/>
      <c r="AT463" s="300"/>
    </row>
    <row r="464" spans="1:46" s="115" customFormat="1" ht="15" customHeight="1">
      <c r="A464" s="555" t="s">
        <v>2427</v>
      </c>
      <c r="B464" s="217" t="str">
        <f t="shared" si="663"/>
        <v>100</v>
      </c>
      <c r="C464" s="217" t="str">
        <f t="shared" si="664"/>
        <v>17</v>
      </c>
      <c r="D464" s="101" t="str">
        <f t="shared" si="665"/>
        <v>171</v>
      </c>
      <c r="E464" s="217" t="str">
        <f t="shared" si="666"/>
        <v>100-17-171</v>
      </c>
      <c r="F464" s="294" t="str">
        <f t="shared" si="667"/>
        <v>50620</v>
      </c>
      <c r="G464" s="295" t="str">
        <f>VLOOKUP(F464,'GL Category'!A:C,3,FALSE)</f>
        <v>Personnel services</v>
      </c>
      <c r="H464" s="98" t="str">
        <f>VLOOKUP(F464,'GL Category'!A:C,2,FALSE)</f>
        <v>HEALTH/LIFE INSURANCE</v>
      </c>
      <c r="I464" s="99">
        <f>SUMIF(Import!$B:$B,$A464,Import!D:D)</f>
        <v>63840.98</v>
      </c>
      <c r="J464" s="99">
        <f>SUMIF(Import!$B:$B,$A464,Import!E:E)</f>
        <v>62100.29</v>
      </c>
      <c r="K464" s="99">
        <f>SUMIF(Import!$B:$B,$A464,Import!F:F)</f>
        <v>70814.58</v>
      </c>
      <c r="L464" s="99">
        <f>SUMIF(Import!$B:$B,$A464,Import!G:G)</f>
        <v>81364.28</v>
      </c>
      <c r="M464" s="99">
        <f>SUMIF(Import!$B:$B,$A464,Import!H:H)</f>
        <v>79672</v>
      </c>
      <c r="N464" s="99">
        <f>SUMIF(Import!$B:$B,$A464,Import!I:I)</f>
        <v>64206.46</v>
      </c>
      <c r="O464" s="99">
        <f>SUMIF(Import!$B:$B,$A464,Import!J:J)</f>
        <v>86392</v>
      </c>
      <c r="P464" s="99">
        <f t="shared" si="668"/>
        <v>6720</v>
      </c>
      <c r="Q464" s="99">
        <f>SUMIF(Import!$B:$B,$A464,Import!K:K)</f>
        <v>84224</v>
      </c>
      <c r="R464" s="99">
        <f>SUMIF(Import!$B:$B,$A464,Import!L:L)</f>
        <v>0</v>
      </c>
      <c r="S464" s="99">
        <f>SUMIF(Import!$B:$B,$A464,Import!M:M)</f>
        <v>0</v>
      </c>
      <c r="T464" s="99">
        <f>SUMIF(Import!$B:$B,$A464,Import!N:N)</f>
        <v>84224</v>
      </c>
      <c r="U464" s="99">
        <f t="shared" si="669"/>
        <v>4552</v>
      </c>
      <c r="V464" s="255">
        <f t="shared" si="670"/>
        <v>5.7134250426749578E-2</v>
      </c>
      <c r="W464" s="102" t="s">
        <v>2427</v>
      </c>
      <c r="X464" s="102"/>
      <c r="Y464" s="102"/>
      <c r="Z464" s="192"/>
      <c r="AA464" s="615"/>
      <c r="AB464" s="307"/>
      <c r="AC464" s="300"/>
      <c r="AD464" s="300"/>
      <c r="AE464" s="300"/>
      <c r="AF464" s="300"/>
      <c r="AG464" s="300"/>
      <c r="AH464" s="307"/>
      <c r="AI464" s="307"/>
      <c r="AJ464" s="300"/>
      <c r="AK464" s="300"/>
      <c r="AL464" s="300"/>
      <c r="AM464" s="300"/>
      <c r="AN464" s="300"/>
      <c r="AO464" s="300"/>
      <c r="AP464" s="300"/>
      <c r="AQ464" s="300"/>
      <c r="AR464" s="300"/>
      <c r="AS464" s="300"/>
      <c r="AT464" s="300"/>
    </row>
    <row r="465" spans="1:46" s="115" customFormat="1" ht="15" customHeight="1">
      <c r="A465" s="555" t="s">
        <v>2428</v>
      </c>
      <c r="B465" s="217" t="str">
        <f t="shared" si="663"/>
        <v>100</v>
      </c>
      <c r="C465" s="217" t="str">
        <f t="shared" si="664"/>
        <v>17</v>
      </c>
      <c r="D465" s="101" t="str">
        <f t="shared" si="665"/>
        <v>171</v>
      </c>
      <c r="E465" s="217" t="str">
        <f t="shared" si="666"/>
        <v>100-17-171</v>
      </c>
      <c r="F465" s="294" t="str">
        <f t="shared" si="667"/>
        <v>50630</v>
      </c>
      <c r="G465" s="295" t="str">
        <f>VLOOKUP(F465,'GL Category'!A:C,3,FALSE)</f>
        <v>Personnel services</v>
      </c>
      <c r="H465" s="98" t="str">
        <f>VLOOKUP(F465,'GL Category'!A:C,2,FALSE)</f>
        <v>WORKER COMPENSATION</v>
      </c>
      <c r="I465" s="99">
        <f>SUMIF(Import!$B:$B,$A465,Import!D:D)</f>
        <v>239.13</v>
      </c>
      <c r="J465" s="99">
        <f>SUMIF(Import!$B:$B,$A465,Import!E:E)</f>
        <v>217.61</v>
      </c>
      <c r="K465" s="99">
        <f>SUMIF(Import!$B:$B,$A465,Import!F:F)</f>
        <v>238.73</v>
      </c>
      <c r="L465" s="99">
        <f>SUMIF(Import!$B:$B,$A465,Import!G:G)</f>
        <v>431.73</v>
      </c>
      <c r="M465" s="99">
        <f>SUMIF(Import!$B:$B,$A465,Import!H:H)</f>
        <v>548</v>
      </c>
      <c r="N465" s="99">
        <f>SUMIF(Import!$B:$B,$A465,Import!I:I)</f>
        <v>547.54999999999995</v>
      </c>
      <c r="O465" s="99">
        <f>SUMIF(Import!$B:$B,$A465,Import!J:J)</f>
        <v>548</v>
      </c>
      <c r="P465" s="99">
        <f t="shared" si="668"/>
        <v>0</v>
      </c>
      <c r="Q465" s="99">
        <f>SUMIF(Import!$B:$B,$A465,Import!K:K)</f>
        <v>549</v>
      </c>
      <c r="R465" s="99">
        <f>SUMIF(Import!$B:$B,$A465,Import!L:L)</f>
        <v>0</v>
      </c>
      <c r="S465" s="99">
        <f>SUMIF(Import!$B:$B,$A465,Import!M:M)</f>
        <v>0</v>
      </c>
      <c r="T465" s="99">
        <f>SUMIF(Import!$B:$B,$A465,Import!N:N)</f>
        <v>549</v>
      </c>
      <c r="U465" s="99">
        <f t="shared" si="669"/>
        <v>1</v>
      </c>
      <c r="V465" s="255">
        <f t="shared" si="670"/>
        <v>1.8248175182482562E-3</v>
      </c>
      <c r="W465" s="102" t="s">
        <v>2428</v>
      </c>
      <c r="X465" s="102"/>
      <c r="Y465" s="102"/>
      <c r="Z465" s="192"/>
      <c r="AA465" s="615"/>
      <c r="AB465" s="307"/>
      <c r="AC465" s="300"/>
      <c r="AD465" s="300"/>
      <c r="AE465" s="300"/>
      <c r="AF465" s="300"/>
      <c r="AG465" s="300"/>
      <c r="AH465" s="307"/>
      <c r="AI465" s="307"/>
      <c r="AJ465" s="300"/>
      <c r="AK465" s="300"/>
      <c r="AL465" s="300"/>
      <c r="AM465" s="300"/>
      <c r="AN465" s="300"/>
      <c r="AO465" s="300"/>
      <c r="AP465" s="300"/>
      <c r="AQ465" s="300"/>
      <c r="AR465" s="300"/>
      <c r="AS465" s="300"/>
      <c r="AT465" s="300"/>
    </row>
    <row r="466" spans="1:46" s="115" customFormat="1" ht="15" customHeight="1">
      <c r="A466" s="555" t="s">
        <v>2429</v>
      </c>
      <c r="B466" s="217" t="str">
        <f t="shared" si="663"/>
        <v>100</v>
      </c>
      <c r="C466" s="217" t="str">
        <f t="shared" si="664"/>
        <v>17</v>
      </c>
      <c r="D466" s="101" t="str">
        <f t="shared" si="665"/>
        <v>171</v>
      </c>
      <c r="E466" s="217" t="str">
        <f t="shared" si="666"/>
        <v>100-17-171</v>
      </c>
      <c r="F466" s="294" t="str">
        <f t="shared" si="667"/>
        <v>50650</v>
      </c>
      <c r="G466" s="295" t="str">
        <f>VLOOKUP(F466,'GL Category'!A:C,3,FALSE)</f>
        <v>Personnel services</v>
      </c>
      <c r="H466" s="98" t="str">
        <f>VLOOKUP(F466,'GL Category'!A:C,2,FALSE)</f>
        <v>RETIREMENT</v>
      </c>
      <c r="I466" s="99">
        <f>SUMIF(Import!$B:$B,$A466,Import!D:D)</f>
        <v>51624.82</v>
      </c>
      <c r="J466" s="99">
        <f>SUMIF(Import!$B:$B,$A466,Import!E:E)</f>
        <v>48592.56</v>
      </c>
      <c r="K466" s="99">
        <f>SUMIF(Import!$B:$B,$A466,Import!F:F)</f>
        <v>44116.29</v>
      </c>
      <c r="L466" s="99">
        <f>SUMIF(Import!$B:$B,$A466,Import!G:G)</f>
        <v>56933.32</v>
      </c>
      <c r="M466" s="99">
        <f>SUMIF(Import!$B:$B,$A466,Import!H:H)</f>
        <v>58741</v>
      </c>
      <c r="N466" s="99">
        <f>SUMIF(Import!$B:$B,$A466,Import!I:I)</f>
        <v>44792.29</v>
      </c>
      <c r="O466" s="99">
        <f>SUMIF(Import!$B:$B,$A466,Import!J:J)</f>
        <v>58696</v>
      </c>
      <c r="P466" s="99">
        <f t="shared" si="668"/>
        <v>-45</v>
      </c>
      <c r="Q466" s="99">
        <f>SUMIF(Import!$B:$B,$A466,Import!K:K)</f>
        <v>62492</v>
      </c>
      <c r="R466" s="99">
        <f>SUMIF(Import!$B:$B,$A466,Import!L:L)</f>
        <v>0</v>
      </c>
      <c r="S466" s="99">
        <f>SUMIF(Import!$B:$B,$A466,Import!M:M)</f>
        <v>0</v>
      </c>
      <c r="T466" s="99">
        <f>SUMIF(Import!$B:$B,$A466,Import!N:N)</f>
        <v>62492</v>
      </c>
      <c r="U466" s="99">
        <f t="shared" si="669"/>
        <v>3751</v>
      </c>
      <c r="V466" s="255">
        <f t="shared" si="670"/>
        <v>6.3856590796887991E-2</v>
      </c>
      <c r="W466" s="102" t="s">
        <v>2429</v>
      </c>
      <c r="X466" s="102"/>
      <c r="Y466" s="102"/>
      <c r="Z466" s="192"/>
      <c r="AA466" s="615"/>
      <c r="AB466" s="307"/>
      <c r="AC466" s="93"/>
      <c r="AD466" s="93"/>
      <c r="AE466" s="93"/>
      <c r="AF466" s="93"/>
      <c r="AG466" s="93"/>
      <c r="AH466" s="307"/>
      <c r="AI466" s="307"/>
      <c r="AJ466" s="93"/>
      <c r="AK466" s="93"/>
      <c r="AL466" s="93"/>
      <c r="AM466" s="93"/>
      <c r="AN466" s="93"/>
      <c r="AO466" s="93"/>
      <c r="AP466" s="93"/>
      <c r="AQ466" s="93"/>
      <c r="AR466" s="93"/>
      <c r="AS466" s="93"/>
      <c r="AT466" s="93"/>
    </row>
    <row r="467" spans="1:46" s="115" customFormat="1" ht="15" customHeight="1">
      <c r="A467" s="297"/>
      <c r="B467" s="217"/>
      <c r="C467" s="217"/>
      <c r="D467" s="101"/>
      <c r="E467" s="101"/>
      <c r="F467" s="294"/>
      <c r="G467" s="295"/>
      <c r="H467" s="107" t="str">
        <f>UPPER(G466)&amp;" TOTAL"</f>
        <v>PERSONNEL SERVICES TOTAL</v>
      </c>
      <c r="I467" s="108">
        <f t="shared" ref="I467" si="671">SUBTOTAL(9,I457:I466)</f>
        <v>472540.62999999995</v>
      </c>
      <c r="J467" s="108">
        <f t="shared" ref="J467:P467" si="672">SUBTOTAL(9,J457:J466)</f>
        <v>443847.12999999995</v>
      </c>
      <c r="K467" s="108">
        <f t="shared" ref="K467" si="673">SUBTOTAL(9,K457:K466)</f>
        <v>428484.31</v>
      </c>
      <c r="L467" s="108">
        <f t="shared" ref="L467" si="674">SUBTOTAL(9,L457:L466)</f>
        <v>544061.18999999994</v>
      </c>
      <c r="M467" s="108">
        <f t="shared" si="672"/>
        <v>549039</v>
      </c>
      <c r="N467" s="109">
        <f t="shared" ref="N467" si="675">SUBTOTAL(9,N457:N466)</f>
        <v>419361.32</v>
      </c>
      <c r="O467" s="109">
        <f t="shared" si="672"/>
        <v>553418</v>
      </c>
      <c r="P467" s="109">
        <f t="shared" si="672"/>
        <v>4379</v>
      </c>
      <c r="Q467" s="109">
        <f t="shared" ref="Q467:T467" si="676">SUBTOTAL(9,Q457:Q466)</f>
        <v>573097</v>
      </c>
      <c r="R467" s="109">
        <f t="shared" si="676"/>
        <v>0</v>
      </c>
      <c r="S467" s="109">
        <f t="shared" si="676"/>
        <v>0</v>
      </c>
      <c r="T467" s="109">
        <f t="shared" si="676"/>
        <v>573097</v>
      </c>
      <c r="U467" s="99">
        <f>T467-M467</f>
        <v>24058</v>
      </c>
      <c r="V467" s="255">
        <f>IF(M467=0,"N/A",T467/M467-1)</f>
        <v>4.3818380843619442E-2</v>
      </c>
      <c r="W467" s="102"/>
      <c r="X467" s="102"/>
      <c r="Y467" s="102"/>
      <c r="Z467" s="192"/>
      <c r="AA467" s="615"/>
      <c r="AB467" s="307"/>
      <c r="AC467" s="300"/>
      <c r="AD467" s="300"/>
      <c r="AE467" s="300"/>
      <c r="AF467" s="300"/>
      <c r="AG467" s="300"/>
      <c r="AH467" s="307"/>
      <c r="AI467" s="307"/>
      <c r="AJ467" s="300"/>
      <c r="AK467" s="300"/>
      <c r="AL467" s="300"/>
      <c r="AM467" s="300"/>
      <c r="AN467" s="300"/>
      <c r="AO467" s="300"/>
      <c r="AP467" s="300"/>
      <c r="AQ467" s="300"/>
      <c r="AR467" s="300"/>
      <c r="AS467" s="300"/>
      <c r="AT467" s="300"/>
    </row>
    <row r="468" spans="1:46" s="115" customFormat="1" ht="15" customHeight="1">
      <c r="A468" s="297"/>
      <c r="B468" s="217"/>
      <c r="C468" s="217"/>
      <c r="D468" s="101"/>
      <c r="E468" s="101"/>
      <c r="F468" s="294"/>
      <c r="G468" s="295"/>
      <c r="H468" s="98"/>
      <c r="I468" s="106"/>
      <c r="J468" s="106"/>
      <c r="K468" s="106"/>
      <c r="L468" s="106"/>
      <c r="M468" s="106"/>
      <c r="N468" s="112"/>
      <c r="O468" s="112"/>
      <c r="P468" s="112"/>
      <c r="Q468" s="113"/>
      <c r="R468" s="212"/>
      <c r="S468" s="212"/>
      <c r="T468" s="113"/>
      <c r="U468" s="113"/>
      <c r="V468" s="113"/>
      <c r="W468" s="102"/>
      <c r="X468" s="102"/>
      <c r="Y468" s="102"/>
      <c r="Z468" s="192"/>
      <c r="AA468" s="615"/>
      <c r="AB468" s="307"/>
      <c r="AC468" s="300"/>
      <c r="AD468" s="300"/>
      <c r="AE468" s="300"/>
      <c r="AF468" s="300"/>
      <c r="AG468" s="300"/>
      <c r="AH468" s="307"/>
      <c r="AI468" s="307"/>
      <c r="AJ468" s="300"/>
      <c r="AK468" s="300"/>
      <c r="AL468" s="300"/>
      <c r="AM468" s="300"/>
      <c r="AN468" s="300"/>
      <c r="AO468" s="300"/>
      <c r="AP468" s="300"/>
      <c r="AQ468" s="300"/>
      <c r="AR468" s="300"/>
      <c r="AS468" s="300"/>
      <c r="AT468" s="300"/>
    </row>
    <row r="469" spans="1:46" s="115" customFormat="1" ht="15" customHeight="1">
      <c r="A469" s="555" t="s">
        <v>2430</v>
      </c>
      <c r="B469" s="217" t="str">
        <f t="shared" ref="B469:B471" si="677">LEFT(A469,3)</f>
        <v>100</v>
      </c>
      <c r="C469" s="217" t="str">
        <f t="shared" ref="C469:C471" si="678">MID(A469,5,2)</f>
        <v>17</v>
      </c>
      <c r="D469" s="101" t="str">
        <f t="shared" ref="D469:D471" si="679">MID(A469,8,3)</f>
        <v>171</v>
      </c>
      <c r="E469" s="217" t="str">
        <f t="shared" ref="E469:E471" si="680">LEFT(A469,10)</f>
        <v>100-17-171</v>
      </c>
      <c r="F469" s="294" t="str">
        <f t="shared" ref="F469:F471" si="681">RIGHT(A469,5)</f>
        <v>51210</v>
      </c>
      <c r="G469" s="295" t="str">
        <f>VLOOKUP(F469,'GL Category'!A:C,3,FALSE)</f>
        <v>Operations &amp; maintenance</v>
      </c>
      <c r="H469" s="98" t="str">
        <f>VLOOKUP(F469,'GL Category'!A:C,2,FALSE)</f>
        <v>OFFICE SUPPLIES</v>
      </c>
      <c r="I469" s="99">
        <f>SUMIF(Import!$B:$B,$A469,Import!D:D)</f>
        <v>2525.71</v>
      </c>
      <c r="J469" s="99">
        <f>SUMIF(Import!$B:$B,$A469,Import!E:E)</f>
        <v>1781.3999999999999</v>
      </c>
      <c r="K469" s="99">
        <f>SUMIF(Import!$B:$B,$A469,Import!F:F)</f>
        <v>2341.16</v>
      </c>
      <c r="L469" s="99">
        <f>SUMIF(Import!$B:$B,$A469,Import!G:G)</f>
        <v>3494.79</v>
      </c>
      <c r="M469" s="99">
        <f>SUMIF(Import!$B:$B,$A469,Import!H:H)</f>
        <v>2520</v>
      </c>
      <c r="N469" s="99">
        <f>SUMIF(Import!$B:$B,$A469,Import!I:I)</f>
        <v>1124.24</v>
      </c>
      <c r="O469" s="99">
        <f>SUMIF(Import!$B:$B,$A469,Import!J:J)</f>
        <v>2270</v>
      </c>
      <c r="P469" s="99">
        <f t="shared" ref="P469:P471" si="682">O469-M469</f>
        <v>-250</v>
      </c>
      <c r="Q469" s="99">
        <f>SUMIF(Import!$B:$B,$A469,Import!K:K)</f>
        <v>2520</v>
      </c>
      <c r="R469" s="99">
        <f>SUMIF(Import!$B:$B,$A469,Import!L:L)</f>
        <v>0</v>
      </c>
      <c r="S469" s="99">
        <f>SUMIF(Import!$B:$B,$A469,Import!M:M)</f>
        <v>0</v>
      </c>
      <c r="T469" s="99">
        <f>SUMIF(Import!$B:$B,$A469,Import!N:N)</f>
        <v>2520</v>
      </c>
      <c r="U469" s="99">
        <f t="shared" ref="U469:U471" si="683">T469-M469</f>
        <v>0</v>
      </c>
      <c r="V469" s="255">
        <f t="shared" ref="V469:V471" si="684">IF(M469=0,"N/A",T469/M469-1)</f>
        <v>0</v>
      </c>
      <c r="W469" s="102" t="s">
        <v>2430</v>
      </c>
      <c r="X469" s="102"/>
      <c r="Y469" s="102"/>
      <c r="Z469" s="192"/>
      <c r="AA469" s="615"/>
      <c r="AB469" s="307"/>
      <c r="AC469" s="300"/>
      <c r="AD469" s="300"/>
      <c r="AE469" s="300"/>
      <c r="AF469" s="300"/>
      <c r="AG469" s="300"/>
      <c r="AH469" s="307"/>
      <c r="AI469" s="307"/>
      <c r="AJ469" s="300"/>
      <c r="AK469" s="300"/>
      <c r="AL469" s="300"/>
      <c r="AM469" s="300"/>
      <c r="AN469" s="300"/>
      <c r="AO469" s="300"/>
      <c r="AP469" s="300"/>
      <c r="AQ469" s="300"/>
      <c r="AR469" s="300"/>
      <c r="AS469" s="300"/>
      <c r="AT469" s="300"/>
    </row>
    <row r="470" spans="1:46" s="115" customFormat="1" ht="15" customHeight="1">
      <c r="A470" s="555" t="s">
        <v>2431</v>
      </c>
      <c r="B470" s="217" t="str">
        <f t="shared" si="677"/>
        <v>100</v>
      </c>
      <c r="C470" s="217" t="str">
        <f t="shared" si="678"/>
        <v>17</v>
      </c>
      <c r="D470" s="101" t="str">
        <f t="shared" si="679"/>
        <v>171</v>
      </c>
      <c r="E470" s="217" t="str">
        <f t="shared" si="680"/>
        <v>100-17-171</v>
      </c>
      <c r="F470" s="294" t="str">
        <f t="shared" si="681"/>
        <v>51257</v>
      </c>
      <c r="G470" s="295" t="str">
        <f>VLOOKUP(F470,'GL Category'!A:C,3,FALSE)</f>
        <v>Operations &amp; maintenance</v>
      </c>
      <c r="H470" s="98" t="str">
        <f>VLOOKUP(F470,'GL Category'!A:C,2,FALSE)</f>
        <v>MEETING SPONSORSHIP/SUPPLIES</v>
      </c>
      <c r="I470" s="99">
        <f>SUMIF(Import!$B:$B,$A470,Import!D:D)</f>
        <v>4128.84</v>
      </c>
      <c r="J470" s="99">
        <f>SUMIF(Import!$B:$B,$A470,Import!E:E)</f>
        <v>3937.33</v>
      </c>
      <c r="K470" s="99">
        <f>SUMIF(Import!$B:$B,$A470,Import!F:F)</f>
        <v>4056.64</v>
      </c>
      <c r="L470" s="99">
        <f>SUMIF(Import!$B:$B,$A470,Import!G:G)</f>
        <v>2960.99</v>
      </c>
      <c r="M470" s="99">
        <f>SUMIF(Import!$B:$B,$A470,Import!H:H)</f>
        <v>6200</v>
      </c>
      <c r="N470" s="99">
        <f>SUMIF(Import!$B:$B,$A470,Import!I:I)</f>
        <v>1696.2</v>
      </c>
      <c r="O470" s="99">
        <f>SUMIF(Import!$B:$B,$A470,Import!J:J)</f>
        <v>6200</v>
      </c>
      <c r="P470" s="99">
        <f t="shared" si="682"/>
        <v>0</v>
      </c>
      <c r="Q470" s="99">
        <f>SUMIF(Import!$B:$B,$A470,Import!K:K)</f>
        <v>6200</v>
      </c>
      <c r="R470" s="99">
        <f>SUMIF(Import!$B:$B,$A470,Import!L:L)</f>
        <v>0</v>
      </c>
      <c r="S470" s="99">
        <f>SUMIF(Import!$B:$B,$A470,Import!M:M)</f>
        <v>0</v>
      </c>
      <c r="T470" s="99">
        <f>SUMIF(Import!$B:$B,$A470,Import!N:N)</f>
        <v>6200</v>
      </c>
      <c r="U470" s="99">
        <f t="shared" si="683"/>
        <v>0</v>
      </c>
      <c r="V470" s="255">
        <f t="shared" si="684"/>
        <v>0</v>
      </c>
      <c r="W470" s="102" t="s">
        <v>2431</v>
      </c>
      <c r="X470" s="102"/>
      <c r="Y470" s="102"/>
      <c r="Z470" s="192"/>
      <c r="AA470" s="615"/>
      <c r="AB470" s="307"/>
      <c r="AC470" s="300"/>
      <c r="AD470" s="300"/>
      <c r="AE470" s="300"/>
      <c r="AF470" s="300"/>
      <c r="AG470" s="300"/>
      <c r="AH470" s="307"/>
      <c r="AI470" s="307"/>
      <c r="AJ470" s="300"/>
      <c r="AK470" s="300"/>
      <c r="AL470" s="300"/>
      <c r="AM470" s="300"/>
      <c r="AN470" s="300"/>
      <c r="AO470" s="300"/>
      <c r="AP470" s="300"/>
      <c r="AQ470" s="300"/>
      <c r="AR470" s="300"/>
      <c r="AS470" s="300"/>
      <c r="AT470" s="300"/>
    </row>
    <row r="471" spans="1:46" s="115" customFormat="1" ht="15" customHeight="1">
      <c r="A471" s="555" t="s">
        <v>2432</v>
      </c>
      <c r="B471" s="217" t="str">
        <f t="shared" si="677"/>
        <v>100</v>
      </c>
      <c r="C471" s="217" t="str">
        <f t="shared" si="678"/>
        <v>17</v>
      </c>
      <c r="D471" s="101" t="str">
        <f t="shared" si="679"/>
        <v>171</v>
      </c>
      <c r="E471" s="217" t="str">
        <f t="shared" si="680"/>
        <v>100-17-171</v>
      </c>
      <c r="F471" s="294" t="str">
        <f t="shared" si="681"/>
        <v>51285</v>
      </c>
      <c r="G471" s="295" t="str">
        <f>VLOOKUP(F471,'GL Category'!A:C,3,FALSE)</f>
        <v>Operations &amp; maintenance</v>
      </c>
      <c r="H471" s="98" t="str">
        <f>VLOOKUP(F471,'GL Category'!A:C,2,FALSE)</f>
        <v>WEARING APPAREL</v>
      </c>
      <c r="I471" s="99">
        <f>SUMIF(Import!$B:$B,$A471,Import!D:D)</f>
        <v>184.81</v>
      </c>
      <c r="J471" s="99">
        <f>SUMIF(Import!$B:$B,$A471,Import!E:E)</f>
        <v>193.52</v>
      </c>
      <c r="K471" s="99">
        <f>SUMIF(Import!$B:$B,$A471,Import!F:F)</f>
        <v>188.43</v>
      </c>
      <c r="L471" s="99">
        <f>SUMIF(Import!$B:$B,$A471,Import!G:G)</f>
        <v>299.8</v>
      </c>
      <c r="M471" s="99">
        <f>SUMIF(Import!$B:$B,$A471,Import!H:H)</f>
        <v>600</v>
      </c>
      <c r="N471" s="99">
        <f>SUMIF(Import!$B:$B,$A471,Import!I:I)</f>
        <v>247.84</v>
      </c>
      <c r="O471" s="99">
        <f>SUMIF(Import!$B:$B,$A471,Import!J:J)</f>
        <v>600</v>
      </c>
      <c r="P471" s="99">
        <f t="shared" si="682"/>
        <v>0</v>
      </c>
      <c r="Q471" s="99">
        <f>SUMIF(Import!$B:$B,$A471,Import!K:K)</f>
        <v>600</v>
      </c>
      <c r="R471" s="99">
        <f>SUMIF(Import!$B:$B,$A471,Import!L:L)</f>
        <v>0</v>
      </c>
      <c r="S471" s="99">
        <f>SUMIF(Import!$B:$B,$A471,Import!M:M)</f>
        <v>0</v>
      </c>
      <c r="T471" s="99">
        <f>SUMIF(Import!$B:$B,$A471,Import!N:N)</f>
        <v>600</v>
      </c>
      <c r="U471" s="99">
        <f t="shared" si="683"/>
        <v>0</v>
      </c>
      <c r="V471" s="255">
        <f t="shared" si="684"/>
        <v>0</v>
      </c>
      <c r="W471" s="102" t="s">
        <v>2432</v>
      </c>
      <c r="X471" s="102"/>
      <c r="Y471" s="102"/>
      <c r="Z471" s="192"/>
      <c r="AA471" s="615"/>
      <c r="AB471" s="307"/>
      <c r="AC471" s="300"/>
      <c r="AD471" s="300"/>
      <c r="AE471" s="300"/>
      <c r="AF471" s="300"/>
      <c r="AG471" s="300"/>
      <c r="AH471" s="307"/>
      <c r="AI471" s="307"/>
      <c r="AJ471" s="300"/>
      <c r="AK471" s="300"/>
      <c r="AL471" s="300"/>
      <c r="AM471" s="300"/>
      <c r="AN471" s="300"/>
      <c r="AO471" s="300"/>
      <c r="AP471" s="300"/>
      <c r="AQ471" s="300"/>
      <c r="AR471" s="300"/>
      <c r="AS471" s="300"/>
      <c r="AT471" s="300"/>
    </row>
    <row r="472" spans="1:46" s="115" customFormat="1" ht="28.35" customHeight="1">
      <c r="A472" s="297"/>
      <c r="B472" s="217"/>
      <c r="C472" s="217"/>
      <c r="D472" s="101"/>
      <c r="E472" s="101"/>
      <c r="F472" s="294"/>
      <c r="G472" s="295"/>
      <c r="H472" s="107" t="str">
        <f>UPPER(G471)&amp;" TOTAL"</f>
        <v>OPERATIONS &amp; MAINTENANCE TOTAL</v>
      </c>
      <c r="I472" s="108">
        <f t="shared" ref="I472" si="685">SUBTOTAL(9,I469:I471)</f>
        <v>6839.3600000000006</v>
      </c>
      <c r="J472" s="108">
        <f t="shared" ref="J472:T472" si="686">SUBTOTAL(9,J469:J471)</f>
        <v>5912.25</v>
      </c>
      <c r="K472" s="108">
        <f t="shared" ref="K472" si="687">SUBTOTAL(9,K469:K471)</f>
        <v>6586.23</v>
      </c>
      <c r="L472" s="108">
        <f t="shared" ref="L472" si="688">SUBTOTAL(9,L469:L471)</f>
        <v>6755.58</v>
      </c>
      <c r="M472" s="108">
        <f t="shared" si="686"/>
        <v>9320</v>
      </c>
      <c r="N472" s="108">
        <f t="shared" ref="N472" si="689">SUBTOTAL(9,N469:N471)</f>
        <v>3068.28</v>
      </c>
      <c r="O472" s="108">
        <f t="shared" si="686"/>
        <v>9070</v>
      </c>
      <c r="P472" s="108">
        <f t="shared" si="686"/>
        <v>-250</v>
      </c>
      <c r="Q472" s="108">
        <f t="shared" si="686"/>
        <v>9320</v>
      </c>
      <c r="R472" s="108">
        <f t="shared" si="686"/>
        <v>0</v>
      </c>
      <c r="S472" s="108">
        <f t="shared" si="686"/>
        <v>0</v>
      </c>
      <c r="T472" s="108">
        <f t="shared" si="686"/>
        <v>9320</v>
      </c>
      <c r="U472" s="99">
        <f>T472-M472</f>
        <v>0</v>
      </c>
      <c r="V472" s="255">
        <f>IF(M472=0,"N/A",T472/M472-1)</f>
        <v>0</v>
      </c>
      <c r="W472" s="102"/>
      <c r="X472" s="102"/>
      <c r="Y472" s="102"/>
      <c r="Z472" s="192"/>
      <c r="AA472" s="615"/>
      <c r="AB472" s="307"/>
      <c r="AC472" s="300"/>
      <c r="AD472" s="300"/>
      <c r="AE472" s="300"/>
      <c r="AF472" s="300"/>
      <c r="AG472" s="300"/>
      <c r="AH472" s="307"/>
      <c r="AI472" s="307"/>
      <c r="AJ472" s="300"/>
      <c r="AK472" s="300"/>
      <c r="AL472" s="300"/>
      <c r="AM472" s="300"/>
      <c r="AN472" s="300"/>
      <c r="AO472" s="300"/>
      <c r="AP472" s="300"/>
      <c r="AQ472" s="300"/>
      <c r="AR472" s="300"/>
      <c r="AS472" s="300"/>
      <c r="AT472" s="300"/>
    </row>
    <row r="473" spans="1:46" s="115" customFormat="1" ht="15" customHeight="1">
      <c r="A473" s="297"/>
      <c r="B473" s="217"/>
      <c r="C473" s="217"/>
      <c r="D473" s="101"/>
      <c r="E473" s="101"/>
      <c r="F473" s="294"/>
      <c r="G473" s="295"/>
      <c r="H473" s="98"/>
      <c r="I473" s="106"/>
      <c r="J473" s="106"/>
      <c r="K473" s="106"/>
      <c r="L473" s="106"/>
      <c r="M473" s="106"/>
      <c r="N473" s="112"/>
      <c r="O473" s="112"/>
      <c r="P473" s="112"/>
      <c r="Q473" s="113"/>
      <c r="R473" s="212"/>
      <c r="S473" s="212"/>
      <c r="T473" s="113"/>
      <c r="U473" s="113"/>
      <c r="V473" s="113"/>
      <c r="W473" s="102"/>
      <c r="X473" s="102"/>
      <c r="Y473" s="102"/>
      <c r="Z473" s="192"/>
      <c r="AA473" s="615"/>
      <c r="AB473" s="307"/>
      <c r="AC473" s="300"/>
      <c r="AD473" s="300"/>
      <c r="AE473" s="300"/>
      <c r="AF473" s="300"/>
      <c r="AG473" s="300"/>
      <c r="AH473" s="307"/>
      <c r="AI473" s="307"/>
      <c r="AJ473" s="300"/>
      <c r="AK473" s="300"/>
      <c r="AL473" s="300"/>
      <c r="AM473" s="300"/>
      <c r="AN473" s="300"/>
      <c r="AO473" s="300"/>
      <c r="AP473" s="300"/>
      <c r="AQ473" s="300"/>
      <c r="AR473" s="300"/>
      <c r="AS473" s="300"/>
      <c r="AT473" s="300"/>
    </row>
    <row r="474" spans="1:46" ht="15" customHeight="1">
      <c r="A474" s="555" t="s">
        <v>2433</v>
      </c>
      <c r="B474" s="217" t="str">
        <f t="shared" ref="B474:B484" si="690">LEFT(A474,3)</f>
        <v>100</v>
      </c>
      <c r="C474" s="217" t="str">
        <f t="shared" ref="C474:C484" si="691">MID(A474,5,2)</f>
        <v>17</v>
      </c>
      <c r="D474" s="101" t="str">
        <f t="shared" ref="D474:D484" si="692">MID(A474,8,3)</f>
        <v>171</v>
      </c>
      <c r="E474" s="217" t="str">
        <f t="shared" ref="E474:E484" si="693">LEFT(A474,10)</f>
        <v>100-17-171</v>
      </c>
      <c r="F474" s="294" t="str">
        <f t="shared" ref="F474:F484" si="694">RIGHT(A474,5)</f>
        <v>53599</v>
      </c>
      <c r="G474" s="295" t="str">
        <f>VLOOKUP(F474,'GL Category'!A:C,3,FALSE)</f>
        <v>Services &amp; other</v>
      </c>
      <c r="H474" s="98" t="str">
        <f>VLOOKUP(F474,'GL Category'!A:C,2,FALSE)</f>
        <v>MISCELLANEOUS SERVICES</v>
      </c>
      <c r="I474" s="99">
        <f>SUMIF(Import!$B:$B,$A474,Import!D:D)</f>
        <v>67159.75</v>
      </c>
      <c r="J474" s="99">
        <f>SUMIF(Import!$B:$B,$A474,Import!E:E)</f>
        <v>75603.8</v>
      </c>
      <c r="K474" s="99">
        <f>SUMIF(Import!$B:$B,$A474,Import!F:F)</f>
        <v>3472.1</v>
      </c>
      <c r="L474" s="99">
        <f>SUMIF(Import!$B:$B,$A474,Import!G:G)</f>
        <v>3149.25</v>
      </c>
      <c r="M474" s="99">
        <f>SUMIF(Import!$B:$B,$A474,Import!H:H)</f>
        <v>11780</v>
      </c>
      <c r="N474" s="99">
        <f>SUMIF(Import!$B:$B,$A474,Import!I:I)</f>
        <v>485.1</v>
      </c>
      <c r="O474" s="99">
        <f>SUMIF(Import!$B:$B,$A474,Import!J:J)</f>
        <v>11780</v>
      </c>
      <c r="P474" s="99">
        <f t="shared" ref="P474:P484" si="695">O474-M474</f>
        <v>0</v>
      </c>
      <c r="Q474" s="99">
        <f>SUMIF(Import!$B:$B,$A474,Import!K:K)</f>
        <v>11780</v>
      </c>
      <c r="R474" s="99">
        <f>SUMIF(Import!$B:$B,$A474,Import!L:L)</f>
        <v>0</v>
      </c>
      <c r="S474" s="99">
        <f>SUMIF(Import!$B:$B,$A474,Import!M:M)</f>
        <v>0</v>
      </c>
      <c r="T474" s="99">
        <f>SUMIF(Import!$B:$B,$A474,Import!N:N)</f>
        <v>11780</v>
      </c>
      <c r="U474" s="99">
        <f t="shared" ref="U474:U484" si="696">T474-M474</f>
        <v>0</v>
      </c>
      <c r="V474" s="255">
        <f t="shared" ref="V474:V484" si="697">IF(M474=0,"N/A",T474/M474-1)</f>
        <v>0</v>
      </c>
      <c r="W474" s="102" t="s">
        <v>2433</v>
      </c>
      <c r="X474" s="102"/>
      <c r="Y474" s="102"/>
      <c r="AA474" s="615"/>
      <c r="AC474" s="93"/>
      <c r="AD474" s="93"/>
      <c r="AE474" s="93"/>
      <c r="AF474" s="93"/>
      <c r="AG474" s="93"/>
      <c r="AJ474" s="93"/>
      <c r="AK474" s="93"/>
      <c r="AL474" s="93"/>
      <c r="AM474" s="93"/>
      <c r="AN474" s="93"/>
      <c r="AO474" s="93"/>
      <c r="AP474" s="93"/>
      <c r="AQ474" s="93"/>
      <c r="AR474" s="93"/>
      <c r="AS474" s="93"/>
      <c r="AT474" s="93"/>
    </row>
    <row r="475" spans="1:46" ht="15" customHeight="1">
      <c r="A475" s="555" t="s">
        <v>2434</v>
      </c>
      <c r="B475" s="217" t="str">
        <f t="shared" si="690"/>
        <v>100</v>
      </c>
      <c r="C475" s="217" t="str">
        <f t="shared" si="691"/>
        <v>17</v>
      </c>
      <c r="D475" s="101" t="str">
        <f t="shared" si="692"/>
        <v>171</v>
      </c>
      <c r="E475" s="217" t="str">
        <f t="shared" si="693"/>
        <v>100-17-171</v>
      </c>
      <c r="F475" s="294" t="str">
        <f t="shared" si="694"/>
        <v>53510</v>
      </c>
      <c r="G475" s="295" t="str">
        <f>VLOOKUP(F475,'GL Category'!A:C,3,FALSE)</f>
        <v>Services &amp; other</v>
      </c>
      <c r="H475" s="98" t="str">
        <f>VLOOKUP(F475,'GL Category'!A:C,2,FALSE)</f>
        <v>DUES &amp; SUBSCRIPTIONS</v>
      </c>
      <c r="I475" s="99">
        <f>SUMIF(Import!$B:$B,$A475,Import!D:D)</f>
        <v>2095.9899999999998</v>
      </c>
      <c r="J475" s="99">
        <f>SUMIF(Import!$B:$B,$A475,Import!E:E)</f>
        <v>1522.99</v>
      </c>
      <c r="K475" s="99">
        <f>SUMIF(Import!$B:$B,$A475,Import!F:F)</f>
        <v>3661.6</v>
      </c>
      <c r="L475" s="99">
        <f>SUMIF(Import!$B:$B,$A475,Import!G:G)</f>
        <v>4071.95</v>
      </c>
      <c r="M475" s="99">
        <f>SUMIF(Import!$B:$B,$A475,Import!H:H)</f>
        <v>3945</v>
      </c>
      <c r="N475" s="99">
        <f>SUMIF(Import!$B:$B,$A475,Import!I:I)</f>
        <v>2893.15</v>
      </c>
      <c r="O475" s="99">
        <f>SUMIF(Import!$B:$B,$A475,Import!J:J)</f>
        <v>3945</v>
      </c>
      <c r="P475" s="99">
        <f t="shared" si="695"/>
        <v>0</v>
      </c>
      <c r="Q475" s="99">
        <f>SUMIF(Import!$B:$B,$A475,Import!K:K)</f>
        <v>3945</v>
      </c>
      <c r="R475" s="99">
        <f>SUMIF(Import!$B:$B,$A475,Import!L:L)</f>
        <v>0</v>
      </c>
      <c r="S475" s="99">
        <f>SUMIF(Import!$B:$B,$A475,Import!M:M)</f>
        <v>0</v>
      </c>
      <c r="T475" s="99">
        <f>SUMIF(Import!$B:$B,$A475,Import!N:N)</f>
        <v>3945</v>
      </c>
      <c r="U475" s="99">
        <f t="shared" si="696"/>
        <v>0</v>
      </c>
      <c r="V475" s="255">
        <f t="shared" si="697"/>
        <v>0</v>
      </c>
      <c r="W475" s="102" t="s">
        <v>2434</v>
      </c>
      <c r="X475" s="102"/>
      <c r="Y475" s="102"/>
      <c r="AA475" s="615"/>
      <c r="AC475" s="93"/>
      <c r="AD475" s="93"/>
      <c r="AE475" s="93"/>
      <c r="AF475" s="93"/>
      <c r="AG475" s="93"/>
      <c r="AJ475" s="93"/>
      <c r="AK475" s="93"/>
      <c r="AL475" s="93"/>
      <c r="AM475" s="93"/>
      <c r="AN475" s="93"/>
      <c r="AO475" s="93"/>
      <c r="AP475" s="93"/>
      <c r="AQ475" s="93"/>
      <c r="AR475" s="93"/>
      <c r="AS475" s="93"/>
      <c r="AT475" s="93"/>
    </row>
    <row r="476" spans="1:46" ht="15" customHeight="1">
      <c r="A476" s="555" t="s">
        <v>2435</v>
      </c>
      <c r="B476" s="217" t="str">
        <f t="shared" si="690"/>
        <v>100</v>
      </c>
      <c r="C476" s="217" t="str">
        <f t="shared" si="691"/>
        <v>17</v>
      </c>
      <c r="D476" s="101" t="str">
        <f t="shared" si="692"/>
        <v>171</v>
      </c>
      <c r="E476" s="217" t="str">
        <f t="shared" si="693"/>
        <v>100-17-171</v>
      </c>
      <c r="F476" s="294" t="str">
        <f t="shared" si="694"/>
        <v>53515</v>
      </c>
      <c r="G476" s="295" t="str">
        <f>VLOOKUP(F476,'GL Category'!A:C,3,FALSE)</f>
        <v>Services &amp; other</v>
      </c>
      <c r="H476" s="98" t="str">
        <f>VLOOKUP(F476,'GL Category'!A:C,2,FALSE)</f>
        <v>TRAVEL, TRAINING &amp; EDUCATION</v>
      </c>
      <c r="I476" s="99">
        <f>SUMIF(Import!$B:$B,$A476,Import!D:D)</f>
        <v>8640.86</v>
      </c>
      <c r="J476" s="99">
        <f>SUMIF(Import!$B:$B,$A476,Import!E:E)</f>
        <v>1570</v>
      </c>
      <c r="K476" s="99">
        <f>SUMIF(Import!$B:$B,$A476,Import!F:F)</f>
        <v>1649.36</v>
      </c>
      <c r="L476" s="99">
        <f>SUMIF(Import!$B:$B,$A476,Import!G:G)</f>
        <v>7333.68</v>
      </c>
      <c r="M476" s="99">
        <f>SUMIF(Import!$B:$B,$A476,Import!H:H)</f>
        <v>9186</v>
      </c>
      <c r="N476" s="99">
        <f>SUMIF(Import!$B:$B,$A476,Import!I:I)</f>
        <v>7695.08</v>
      </c>
      <c r="O476" s="99">
        <f>SUMIF(Import!$B:$B,$A476,Import!J:J)</f>
        <v>9186</v>
      </c>
      <c r="P476" s="99">
        <f t="shared" si="695"/>
        <v>0</v>
      </c>
      <c r="Q476" s="99">
        <f>SUMIF(Import!$B:$B,$A476,Import!K:K)</f>
        <v>9186</v>
      </c>
      <c r="R476" s="99">
        <f>SUMIF(Import!$B:$B,$A476,Import!L:L)</f>
        <v>0</v>
      </c>
      <c r="S476" s="99">
        <f>SUMIF(Import!$B:$B,$A476,Import!M:M)</f>
        <v>0</v>
      </c>
      <c r="T476" s="99">
        <f>SUMIF(Import!$B:$B,$A476,Import!N:N)</f>
        <v>9186</v>
      </c>
      <c r="U476" s="99">
        <f t="shared" si="696"/>
        <v>0</v>
      </c>
      <c r="V476" s="255">
        <f t="shared" si="697"/>
        <v>0</v>
      </c>
      <c r="W476" s="102" t="s">
        <v>2435</v>
      </c>
      <c r="X476" s="102"/>
      <c r="Y476" s="102"/>
      <c r="AA476" s="615"/>
      <c r="AC476" s="92"/>
      <c r="AD476" s="92"/>
      <c r="AE476" s="92"/>
      <c r="AF476" s="92"/>
      <c r="AG476" s="92"/>
      <c r="AJ476" s="92"/>
      <c r="AK476" s="92"/>
      <c r="AL476" s="92"/>
      <c r="AM476" s="92"/>
      <c r="AN476" s="92"/>
      <c r="AO476" s="92"/>
      <c r="AP476" s="92"/>
      <c r="AQ476" s="92"/>
      <c r="AR476" s="92"/>
      <c r="AS476" s="92"/>
      <c r="AT476" s="92"/>
    </row>
    <row r="477" spans="1:46" ht="15" customHeight="1">
      <c r="A477" s="555" t="s">
        <v>2436</v>
      </c>
      <c r="B477" s="217" t="str">
        <f t="shared" si="690"/>
        <v>100</v>
      </c>
      <c r="C477" s="217" t="str">
        <f t="shared" si="691"/>
        <v>17</v>
      </c>
      <c r="D477" s="101" t="str">
        <f t="shared" si="692"/>
        <v>171</v>
      </c>
      <c r="E477" s="217" t="str">
        <f t="shared" si="693"/>
        <v>100-17-171</v>
      </c>
      <c r="F477" s="294" t="str">
        <f t="shared" si="694"/>
        <v>53512</v>
      </c>
      <c r="G477" s="295" t="str">
        <f>VLOOKUP(F477,'GL Category'!A:C,3,FALSE)</f>
        <v>Services &amp; other</v>
      </c>
      <c r="H477" s="98" t="str">
        <f>VLOOKUP(F477,'GL Category'!A:C,2,FALSE)</f>
        <v>TUITION REIMBURSEMENT</v>
      </c>
      <c r="I477" s="99">
        <f>SUMIF(Import!$B:$B,$A477,Import!D:D)</f>
        <v>22956.86</v>
      </c>
      <c r="J477" s="99">
        <f>SUMIF(Import!$B:$B,$A477,Import!E:E)</f>
        <v>27443.49</v>
      </c>
      <c r="K477" s="99">
        <f>SUMIF(Import!$B:$B,$A477,Import!F:F)</f>
        <v>6359.46</v>
      </c>
      <c r="L477" s="99">
        <f>SUMIF(Import!$B:$B,$A477,Import!G:G)</f>
        <v>7194.42</v>
      </c>
      <c r="M477" s="99">
        <f>SUMIF(Import!$B:$B,$A477,Import!H:H)</f>
        <v>20000</v>
      </c>
      <c r="N477" s="99">
        <f>SUMIF(Import!$B:$B,$A477,Import!I:I)</f>
        <v>4668.54</v>
      </c>
      <c r="O477" s="99">
        <f>SUMIF(Import!$B:$B,$A477,Import!J:J)</f>
        <v>9000</v>
      </c>
      <c r="P477" s="99">
        <f t="shared" si="695"/>
        <v>-11000</v>
      </c>
      <c r="Q477" s="99">
        <f>SUMIF(Import!$B:$B,$A477,Import!K:K)</f>
        <v>20000</v>
      </c>
      <c r="R477" s="99">
        <f>SUMIF(Import!$B:$B,$A477,Import!L:L)</f>
        <v>0</v>
      </c>
      <c r="S477" s="99">
        <f>SUMIF(Import!$B:$B,$A477,Import!M:M)</f>
        <v>0</v>
      </c>
      <c r="T477" s="99">
        <f>SUMIF(Import!$B:$B,$A477,Import!N:N)</f>
        <v>20000</v>
      </c>
      <c r="U477" s="99">
        <f t="shared" si="696"/>
        <v>0</v>
      </c>
      <c r="V477" s="255">
        <f t="shared" si="697"/>
        <v>0</v>
      </c>
      <c r="W477" s="102" t="s">
        <v>2436</v>
      </c>
      <c r="X477" s="102"/>
      <c r="Y477" s="102"/>
      <c r="AA477" s="615"/>
      <c r="AC477" s="300"/>
      <c r="AD477" s="300"/>
      <c r="AE477" s="300"/>
      <c r="AF477" s="300"/>
      <c r="AG477" s="300"/>
      <c r="AJ477" s="300"/>
      <c r="AK477" s="300"/>
      <c r="AL477" s="300"/>
      <c r="AM477" s="300"/>
      <c r="AN477" s="300"/>
    </row>
    <row r="478" spans="1:46" ht="15" customHeight="1">
      <c r="A478" s="555" t="s">
        <v>2437</v>
      </c>
      <c r="B478" s="217" t="str">
        <f t="shared" si="690"/>
        <v>100</v>
      </c>
      <c r="C478" s="217" t="str">
        <f t="shared" si="691"/>
        <v>17</v>
      </c>
      <c r="D478" s="101" t="str">
        <f t="shared" si="692"/>
        <v>171</v>
      </c>
      <c r="E478" s="217" t="str">
        <f t="shared" si="693"/>
        <v>100-17-171</v>
      </c>
      <c r="F478" s="294" t="str">
        <f t="shared" si="694"/>
        <v>53517</v>
      </c>
      <c r="G478" s="295" t="str">
        <f>VLOOKUP(F478,'GL Category'!A:C,3,FALSE)</f>
        <v>Services &amp; other</v>
      </c>
      <c r="H478" s="98" t="str">
        <f>VLOOKUP(F478,'GL Category'!A:C,2,FALSE)</f>
        <v>MEDICAL SERVICES</v>
      </c>
      <c r="I478" s="99">
        <f>SUMIF(Import!$B:$B,$A478,Import!D:D)</f>
        <v>29896.41</v>
      </c>
      <c r="J478" s="99">
        <f>SUMIF(Import!$B:$B,$A478,Import!E:E)</f>
        <v>21061.33</v>
      </c>
      <c r="K478" s="99">
        <f>SUMIF(Import!$B:$B,$A478,Import!F:F)</f>
        <v>28655.42</v>
      </c>
      <c r="L478" s="99">
        <f>SUMIF(Import!$B:$B,$A478,Import!G:G)</f>
        <v>32827</v>
      </c>
      <c r="M478" s="99">
        <f>SUMIF(Import!$B:$B,$A478,Import!H:H)</f>
        <v>31263</v>
      </c>
      <c r="N478" s="99">
        <f>SUMIF(Import!$B:$B,$A478,Import!I:I)</f>
        <v>32200.240000000002</v>
      </c>
      <c r="O478" s="99">
        <f>SUMIF(Import!$B:$B,$A478,Import!J:J)</f>
        <v>31263</v>
      </c>
      <c r="P478" s="99">
        <f t="shared" si="695"/>
        <v>0</v>
      </c>
      <c r="Q478" s="99">
        <f>SUMIF(Import!$B:$B,$A478,Import!K:K)</f>
        <v>31263</v>
      </c>
      <c r="R478" s="99">
        <f>SUMIF(Import!$B:$B,$A478,Import!L:L)</f>
        <v>0</v>
      </c>
      <c r="S478" s="99">
        <f>SUMIF(Import!$B:$B,$A478,Import!M:M)</f>
        <v>0</v>
      </c>
      <c r="T478" s="99">
        <f>SUMIF(Import!$B:$B,$A478,Import!N:N)</f>
        <v>31263</v>
      </c>
      <c r="U478" s="99">
        <f t="shared" si="696"/>
        <v>0</v>
      </c>
      <c r="V478" s="255">
        <f t="shared" si="697"/>
        <v>0</v>
      </c>
      <c r="W478" s="102" t="s">
        <v>2437</v>
      </c>
      <c r="X478" s="102"/>
      <c r="Y478" s="102"/>
      <c r="AA478" s="615"/>
      <c r="AC478" s="300"/>
      <c r="AD478" s="300"/>
      <c r="AE478" s="300"/>
      <c r="AF478" s="300"/>
      <c r="AG478" s="300"/>
      <c r="AJ478" s="300"/>
      <c r="AK478" s="300"/>
      <c r="AL478" s="300"/>
      <c r="AM478" s="300"/>
      <c r="AN478" s="300"/>
    </row>
    <row r="479" spans="1:46" ht="15" customHeight="1">
      <c r="A479" s="555" t="s">
        <v>2438</v>
      </c>
      <c r="B479" s="217" t="str">
        <f t="shared" si="690"/>
        <v>100</v>
      </c>
      <c r="C479" s="217" t="str">
        <f t="shared" si="691"/>
        <v>17</v>
      </c>
      <c r="D479" s="101" t="str">
        <f t="shared" si="692"/>
        <v>171</v>
      </c>
      <c r="E479" s="217" t="str">
        <f t="shared" si="693"/>
        <v>100-17-171</v>
      </c>
      <c r="F479" s="294" t="str">
        <f t="shared" si="694"/>
        <v>53522</v>
      </c>
      <c r="G479" s="295" t="str">
        <f>VLOOKUP(F479,'GL Category'!A:C,3,FALSE)</f>
        <v>Services &amp; other</v>
      </c>
      <c r="H479" s="98" t="str">
        <f>VLOOKUP(F479,'GL Category'!A:C,2,FALSE)</f>
        <v>ADVERTISING &amp; RECORDING</v>
      </c>
      <c r="I479" s="99">
        <f>SUMIF(Import!$B:$B,$A479,Import!D:D)</f>
        <v>994</v>
      </c>
      <c r="J479" s="99">
        <f>SUMIF(Import!$B:$B,$A479,Import!E:E)</f>
        <v>1502.62</v>
      </c>
      <c r="K479" s="99">
        <f>SUMIF(Import!$B:$B,$A479,Import!F:F)</f>
        <v>1600.86</v>
      </c>
      <c r="L479" s="99">
        <f>SUMIF(Import!$B:$B,$A479,Import!G:G)</f>
        <v>1872.2</v>
      </c>
      <c r="M479" s="99">
        <f>SUMIF(Import!$B:$B,$A479,Import!H:H)</f>
        <v>2200</v>
      </c>
      <c r="N479" s="99">
        <f>SUMIF(Import!$B:$B,$A479,Import!I:I)</f>
        <v>0</v>
      </c>
      <c r="O479" s="99">
        <f>SUMIF(Import!$B:$B,$A479,Import!J:J)</f>
        <v>2200</v>
      </c>
      <c r="P479" s="99">
        <f t="shared" si="695"/>
        <v>0</v>
      </c>
      <c r="Q479" s="99">
        <f>SUMIF(Import!$B:$B,$A479,Import!K:K)</f>
        <v>2200</v>
      </c>
      <c r="R479" s="99">
        <f>SUMIF(Import!$B:$B,$A479,Import!L:L)</f>
        <v>0</v>
      </c>
      <c r="S479" s="99">
        <f>SUMIF(Import!$B:$B,$A479,Import!M:M)</f>
        <v>0</v>
      </c>
      <c r="T479" s="99">
        <f>SUMIF(Import!$B:$B,$A479,Import!N:N)</f>
        <v>2200</v>
      </c>
      <c r="U479" s="99">
        <f t="shared" si="696"/>
        <v>0</v>
      </c>
      <c r="V479" s="255">
        <f t="shared" si="697"/>
        <v>0</v>
      </c>
      <c r="W479" s="102" t="s">
        <v>2438</v>
      </c>
      <c r="X479" s="102"/>
      <c r="Y479" s="102"/>
      <c r="AA479" s="615"/>
      <c r="AC479" s="300"/>
      <c r="AD479" s="300"/>
      <c r="AE479" s="300"/>
      <c r="AF479" s="300"/>
      <c r="AG479" s="300"/>
      <c r="AJ479" s="300"/>
      <c r="AK479" s="300"/>
      <c r="AL479" s="300"/>
      <c r="AM479" s="300"/>
      <c r="AN479" s="300"/>
    </row>
    <row r="480" spans="1:46" ht="15" customHeight="1">
      <c r="A480" s="555" t="s">
        <v>2439</v>
      </c>
      <c r="B480" s="217" t="str">
        <f t="shared" si="690"/>
        <v>100</v>
      </c>
      <c r="C480" s="217" t="str">
        <f t="shared" si="691"/>
        <v>17</v>
      </c>
      <c r="D480" s="101" t="str">
        <f t="shared" si="692"/>
        <v>171</v>
      </c>
      <c r="E480" s="217" t="str">
        <f t="shared" si="693"/>
        <v>100-17-171</v>
      </c>
      <c r="F480" s="294" t="str">
        <f t="shared" si="694"/>
        <v>53527</v>
      </c>
      <c r="G480" s="295" t="str">
        <f>VLOOKUP(F480,'GL Category'!A:C,3,FALSE)</f>
        <v>Services &amp; other</v>
      </c>
      <c r="H480" s="98" t="str">
        <f>VLOOKUP(F480,'GL Category'!A:C,2,FALSE)</f>
        <v>EMPLOYEE ACTIVITIES</v>
      </c>
      <c r="I480" s="99">
        <f>SUMIF(Import!$B:$B,$A480,Import!D:D)</f>
        <v>113124.42</v>
      </c>
      <c r="J480" s="99">
        <f>SUMIF(Import!$B:$B,$A480,Import!E:E)</f>
        <v>117875.54</v>
      </c>
      <c r="K480" s="99">
        <f>SUMIF(Import!$B:$B,$A480,Import!F:F)</f>
        <v>126190.55</v>
      </c>
      <c r="L480" s="99">
        <f>SUMIF(Import!$B:$B,$A480,Import!G:G)</f>
        <v>126126.47</v>
      </c>
      <c r="M480" s="99">
        <f>SUMIF(Import!$B:$B,$A480,Import!H:H)</f>
        <v>125021</v>
      </c>
      <c r="N480" s="99">
        <f>SUMIF(Import!$B:$B,$A480,Import!I:I)</f>
        <v>82443.3</v>
      </c>
      <c r="O480" s="99">
        <f>SUMIF(Import!$B:$B,$A480,Import!J:J)</f>
        <v>125021</v>
      </c>
      <c r="P480" s="99">
        <f t="shared" si="695"/>
        <v>0</v>
      </c>
      <c r="Q480" s="99">
        <f>SUMIF(Import!$B:$B,$A480,Import!K:K)</f>
        <v>135021</v>
      </c>
      <c r="R480" s="99">
        <f>SUMIF(Import!$B:$B,$A480,Import!L:L)</f>
        <v>0</v>
      </c>
      <c r="S480" s="99">
        <f>SUMIF(Import!$B:$B,$A480,Import!M:M)</f>
        <v>0</v>
      </c>
      <c r="T480" s="99">
        <f>SUMIF(Import!$B:$B,$A480,Import!N:N)</f>
        <v>135021</v>
      </c>
      <c r="U480" s="99">
        <f t="shared" si="696"/>
        <v>10000</v>
      </c>
      <c r="V480" s="255">
        <f t="shared" si="697"/>
        <v>7.9986562257540639E-2</v>
      </c>
      <c r="W480" s="102" t="s">
        <v>2439</v>
      </c>
      <c r="X480" s="102"/>
      <c r="Y480" s="102"/>
      <c r="AA480" s="615"/>
      <c r="AC480" s="300"/>
      <c r="AD480" s="300"/>
      <c r="AE480" s="300"/>
      <c r="AF480" s="300"/>
      <c r="AG480" s="300"/>
      <c r="AJ480" s="300"/>
      <c r="AK480" s="300"/>
      <c r="AL480" s="300"/>
      <c r="AM480" s="300"/>
      <c r="AN480" s="300"/>
    </row>
    <row r="481" spans="1:43" ht="15" customHeight="1">
      <c r="A481" s="555" t="s">
        <v>2440</v>
      </c>
      <c r="B481" s="217" t="str">
        <f t="shared" si="690"/>
        <v>100</v>
      </c>
      <c r="C481" s="217" t="str">
        <f t="shared" si="691"/>
        <v>17</v>
      </c>
      <c r="D481" s="101" t="str">
        <f t="shared" si="692"/>
        <v>171</v>
      </c>
      <c r="E481" s="217" t="str">
        <f t="shared" si="693"/>
        <v>100-17-171</v>
      </c>
      <c r="F481" s="294" t="str">
        <f t="shared" si="694"/>
        <v>53533</v>
      </c>
      <c r="G481" s="295" t="str">
        <f>VLOOKUP(F481,'GL Category'!A:C,3,FALSE)</f>
        <v>Services &amp; other</v>
      </c>
      <c r="H481" s="98" t="str">
        <f>VLOOKUP(F481,'GL Category'!A:C,2,FALSE)</f>
        <v>EMPLOYEE RECRUITING/TESTING</v>
      </c>
      <c r="I481" s="99">
        <f>SUMIF(Import!$B:$B,$A481,Import!D:D)</f>
        <v>604</v>
      </c>
      <c r="J481" s="99">
        <f>SUMIF(Import!$B:$B,$A481,Import!E:E)</f>
        <v>1713.3</v>
      </c>
      <c r="K481" s="99">
        <f>SUMIF(Import!$B:$B,$A481,Import!F:F)</f>
        <v>6656.58</v>
      </c>
      <c r="L481" s="99">
        <f>SUMIF(Import!$B:$B,$A481,Import!G:G)</f>
        <v>12026.95</v>
      </c>
      <c r="M481" s="99">
        <f>SUMIF(Import!$B:$B,$A481,Import!H:H)</f>
        <v>5500</v>
      </c>
      <c r="N481" s="99">
        <f>SUMIF(Import!$B:$B,$A481,Import!I:I)</f>
        <v>17378.29</v>
      </c>
      <c r="O481" s="99">
        <f>SUMIF(Import!$B:$B,$A481,Import!J:J)</f>
        <v>18800</v>
      </c>
      <c r="P481" s="99">
        <f t="shared" si="695"/>
        <v>13300</v>
      </c>
      <c r="Q481" s="99">
        <f>SUMIF(Import!$B:$B,$A481,Import!K:K)</f>
        <v>5500</v>
      </c>
      <c r="R481" s="99">
        <f>SUMIF(Import!$B:$B,$A481,Import!L:L)</f>
        <v>0</v>
      </c>
      <c r="S481" s="99">
        <f>SUMIF(Import!$B:$B,$A481,Import!M:M)</f>
        <v>0</v>
      </c>
      <c r="T481" s="99">
        <f>SUMIF(Import!$B:$B,$A481,Import!N:N)</f>
        <v>5500</v>
      </c>
      <c r="U481" s="99">
        <f t="shared" si="696"/>
        <v>0</v>
      </c>
      <c r="V481" s="255">
        <f t="shared" si="697"/>
        <v>0</v>
      </c>
      <c r="W481" s="102" t="s">
        <v>2440</v>
      </c>
      <c r="X481" s="102"/>
      <c r="Y481" s="102"/>
      <c r="AA481" s="615"/>
      <c r="AC481" s="300"/>
      <c r="AD481" s="300"/>
      <c r="AE481" s="300"/>
      <c r="AF481" s="300"/>
      <c r="AG481" s="300"/>
      <c r="AJ481" s="300"/>
      <c r="AK481" s="300"/>
      <c r="AL481" s="300"/>
      <c r="AM481" s="300"/>
      <c r="AN481" s="300"/>
    </row>
    <row r="482" spans="1:43" ht="15" customHeight="1">
      <c r="A482" s="555" t="s">
        <v>2441</v>
      </c>
      <c r="B482" s="217" t="str">
        <f t="shared" si="690"/>
        <v>100</v>
      </c>
      <c r="C482" s="217" t="str">
        <f t="shared" si="691"/>
        <v>17</v>
      </c>
      <c r="D482" s="101" t="str">
        <f t="shared" si="692"/>
        <v>171</v>
      </c>
      <c r="E482" s="217" t="str">
        <f t="shared" si="693"/>
        <v>100-17-171</v>
      </c>
      <c r="F482" s="294" t="str">
        <f t="shared" si="694"/>
        <v>53546</v>
      </c>
      <c r="G482" s="295" t="str">
        <f>VLOOKUP(F482,'GL Category'!A:C,3,FALSE)</f>
        <v>Services &amp; other</v>
      </c>
      <c r="H482" s="98" t="str">
        <f>VLOOKUP(F482,'GL Category'!A:C,2,FALSE)</f>
        <v>WELLNESS ACTIVITIES</v>
      </c>
      <c r="I482" s="99">
        <f>SUMIF(Import!$B:$B,$A482,Import!D:D)</f>
        <v>19791.62</v>
      </c>
      <c r="J482" s="99">
        <f>SUMIF(Import!$B:$B,$A482,Import!E:E)</f>
        <v>0</v>
      </c>
      <c r="K482" s="99">
        <f>SUMIF(Import!$B:$B,$A482,Import!F:F)</f>
        <v>0</v>
      </c>
      <c r="L482" s="99">
        <f>SUMIF(Import!$B:$B,$A482,Import!G:G)</f>
        <v>0</v>
      </c>
      <c r="M482" s="99">
        <f>SUMIF(Import!$B:$B,$A482,Import!H:H)</f>
        <v>0</v>
      </c>
      <c r="N482" s="99">
        <f>SUMIF(Import!$B:$B,$A482,Import!I:I)</f>
        <v>0</v>
      </c>
      <c r="O482" s="99">
        <f>SUMIF(Import!$B:$B,$A482,Import!J:J)</f>
        <v>0</v>
      </c>
      <c r="P482" s="99">
        <f t="shared" si="695"/>
        <v>0</v>
      </c>
      <c r="Q482" s="99">
        <f>SUMIF(Import!$B:$B,$A482,Import!K:K)</f>
        <v>0</v>
      </c>
      <c r="R482" s="99">
        <f>SUMIF(Import!$B:$B,$A482,Import!L:L)</f>
        <v>0</v>
      </c>
      <c r="S482" s="99">
        <f>SUMIF(Import!$B:$B,$A482,Import!M:M)</f>
        <v>0</v>
      </c>
      <c r="T482" s="99">
        <f>SUMIF(Import!$B:$B,$A482,Import!N:N)</f>
        <v>0</v>
      </c>
      <c r="U482" s="99">
        <f t="shared" si="696"/>
        <v>0</v>
      </c>
      <c r="V482" s="255" t="str">
        <f t="shared" si="697"/>
        <v>N/A</v>
      </c>
      <c r="W482" s="102" t="s">
        <v>2441</v>
      </c>
      <c r="X482" s="102"/>
      <c r="Y482" s="102"/>
      <c r="AA482" s="615"/>
      <c r="AC482" s="300"/>
      <c r="AD482" s="300"/>
      <c r="AE482" s="300"/>
      <c r="AF482" s="300"/>
      <c r="AG482" s="300"/>
      <c r="AJ482" s="300"/>
      <c r="AK482" s="300"/>
      <c r="AL482" s="300"/>
      <c r="AM482" s="300"/>
      <c r="AN482" s="300"/>
    </row>
    <row r="483" spans="1:43" ht="15" customHeight="1">
      <c r="A483" s="555" t="s">
        <v>2442</v>
      </c>
      <c r="B483" s="217" t="str">
        <f t="shared" si="690"/>
        <v>100</v>
      </c>
      <c r="C483" s="217" t="str">
        <f t="shared" si="691"/>
        <v>17</v>
      </c>
      <c r="D483" s="101" t="str">
        <f t="shared" si="692"/>
        <v>171</v>
      </c>
      <c r="E483" s="217" t="str">
        <f t="shared" si="693"/>
        <v>100-17-171</v>
      </c>
      <c r="F483" s="294" t="str">
        <f t="shared" si="694"/>
        <v>53552</v>
      </c>
      <c r="G483" s="295" t="str">
        <f>VLOOKUP(F483,'GL Category'!A:C,3,FALSE)</f>
        <v>Services &amp; other</v>
      </c>
      <c r="H483" s="98" t="str">
        <f>VLOOKUP(F483,'GL Category'!A:C,2,FALSE)</f>
        <v>INVESTIGATIVE SERVICES</v>
      </c>
      <c r="I483" s="99">
        <f>SUMIF(Import!$B:$B,$A483,Import!D:D)</f>
        <v>2685.75</v>
      </c>
      <c r="J483" s="99">
        <f>SUMIF(Import!$B:$B,$A483,Import!E:E)</f>
        <v>3693.65</v>
      </c>
      <c r="K483" s="99">
        <f>SUMIF(Import!$B:$B,$A483,Import!F:F)</f>
        <v>5479.81</v>
      </c>
      <c r="L483" s="99">
        <f>SUMIF(Import!$B:$B,$A483,Import!G:G)</f>
        <v>8384.2999999999993</v>
      </c>
      <c r="M483" s="99">
        <f>SUMIF(Import!$B:$B,$A483,Import!H:H)</f>
        <v>8500</v>
      </c>
      <c r="N483" s="99">
        <f>SUMIF(Import!$B:$B,$A483,Import!I:I)</f>
        <v>2320</v>
      </c>
      <c r="O483" s="99">
        <f>SUMIF(Import!$B:$B,$A483,Import!J:J)</f>
        <v>8500</v>
      </c>
      <c r="P483" s="99">
        <f t="shared" si="695"/>
        <v>0</v>
      </c>
      <c r="Q483" s="99">
        <f>SUMIF(Import!$B:$B,$A483,Import!K:K)</f>
        <v>8500</v>
      </c>
      <c r="R483" s="99">
        <f>SUMIF(Import!$B:$B,$A483,Import!L:L)</f>
        <v>0</v>
      </c>
      <c r="S483" s="99">
        <f>SUMIF(Import!$B:$B,$A483,Import!M:M)</f>
        <v>0</v>
      </c>
      <c r="T483" s="99">
        <f>SUMIF(Import!$B:$B,$A483,Import!N:N)</f>
        <v>8500</v>
      </c>
      <c r="U483" s="99">
        <f t="shared" si="696"/>
        <v>0</v>
      </c>
      <c r="V483" s="255">
        <f t="shared" si="697"/>
        <v>0</v>
      </c>
      <c r="W483" s="102" t="s">
        <v>2442</v>
      </c>
      <c r="X483" s="102"/>
      <c r="Y483" s="102"/>
      <c r="AA483" s="615"/>
      <c r="AC483" s="300"/>
      <c r="AD483" s="300"/>
      <c r="AE483" s="300"/>
      <c r="AF483" s="300"/>
      <c r="AG483" s="300"/>
      <c r="AJ483" s="300"/>
      <c r="AK483" s="300"/>
      <c r="AL483" s="300"/>
      <c r="AM483" s="300"/>
      <c r="AN483" s="300"/>
    </row>
    <row r="484" spans="1:43" s="115" customFormat="1" ht="15" customHeight="1">
      <c r="A484" s="555" t="s">
        <v>2443</v>
      </c>
      <c r="B484" s="217" t="str">
        <f t="shared" si="690"/>
        <v>100</v>
      </c>
      <c r="C484" s="217" t="str">
        <f t="shared" si="691"/>
        <v>17</v>
      </c>
      <c r="D484" s="101" t="str">
        <f t="shared" si="692"/>
        <v>171</v>
      </c>
      <c r="E484" s="217" t="str">
        <f t="shared" si="693"/>
        <v>100-17-171</v>
      </c>
      <c r="F484" s="294" t="str">
        <f t="shared" si="694"/>
        <v>55119</v>
      </c>
      <c r="G484" s="295" t="str">
        <f>VLOOKUP(F484,'GL Category'!A:C,3,FALSE)</f>
        <v>Services &amp; other</v>
      </c>
      <c r="H484" s="98" t="str">
        <f>VLOOKUP(F484,'GL Category'!A:C,2,FALSE)</f>
        <v>OFFICE EQUIP LEASE EXP-CITY</v>
      </c>
      <c r="I484" s="99">
        <f>SUMIF(Import!$B:$B,$A484,Import!D:D)</f>
        <v>65295</v>
      </c>
      <c r="J484" s="99">
        <f>SUMIF(Import!$B:$B,$A484,Import!E:E)</f>
        <v>71647</v>
      </c>
      <c r="K484" s="99">
        <f>SUMIF(Import!$B:$B,$A484,Import!F:F)</f>
        <v>72603</v>
      </c>
      <c r="L484" s="99">
        <f>SUMIF(Import!$B:$B,$A484,Import!G:G)</f>
        <v>68942</v>
      </c>
      <c r="M484" s="99">
        <f>SUMIF(Import!$B:$B,$A484,Import!H:H)</f>
        <v>70030</v>
      </c>
      <c r="N484" s="99">
        <f>SUMIF(Import!$B:$B,$A484,Import!I:I)</f>
        <v>52522.5</v>
      </c>
      <c r="O484" s="99">
        <f>SUMIF(Import!$B:$B,$A484,Import!J:J)</f>
        <v>70030</v>
      </c>
      <c r="P484" s="99">
        <f t="shared" si="695"/>
        <v>0</v>
      </c>
      <c r="Q484" s="99">
        <f>SUMIF(Import!$B:$B,$A484,Import!K:K)</f>
        <v>80225</v>
      </c>
      <c r="R484" s="99">
        <f>SUMIF(Import!$B:$B,$A484,Import!L:L)</f>
        <v>0</v>
      </c>
      <c r="S484" s="99">
        <f>SUMIF(Import!$B:$B,$A484,Import!M:M)</f>
        <v>0</v>
      </c>
      <c r="T484" s="99">
        <f>SUMIF(Import!$B:$B,$A484,Import!N:N)</f>
        <v>80225</v>
      </c>
      <c r="U484" s="99">
        <f t="shared" si="696"/>
        <v>10195</v>
      </c>
      <c r="V484" s="255">
        <f t="shared" si="697"/>
        <v>0.14558046551477943</v>
      </c>
      <c r="W484" s="102" t="s">
        <v>2443</v>
      </c>
      <c r="X484" s="102"/>
      <c r="Y484" s="102"/>
      <c r="Z484" s="192"/>
      <c r="AA484" s="615"/>
      <c r="AB484" s="307"/>
      <c r="AC484" s="94"/>
      <c r="AD484" s="94"/>
      <c r="AE484" s="94"/>
      <c r="AF484" s="94"/>
      <c r="AG484" s="94"/>
      <c r="AH484" s="307"/>
      <c r="AI484" s="307"/>
      <c r="AJ484" s="94"/>
      <c r="AK484" s="94"/>
      <c r="AL484" s="94"/>
      <c r="AM484" s="94"/>
      <c r="AN484" s="94"/>
      <c r="AO484" s="192"/>
      <c r="AP484" s="192"/>
      <c r="AQ484" s="192"/>
    </row>
    <row r="485" spans="1:43" s="115" customFormat="1" ht="15" customHeight="1">
      <c r="A485" s="297"/>
      <c r="B485" s="217"/>
      <c r="C485" s="217"/>
      <c r="D485" s="101"/>
      <c r="E485" s="101"/>
      <c r="F485" s="294"/>
      <c r="G485" s="295"/>
      <c r="H485" s="107" t="str">
        <f>UPPER(G484)&amp;" TOTAL"</f>
        <v>SERVICES &amp; OTHER TOTAL</v>
      </c>
      <c r="I485" s="108">
        <f t="shared" ref="I485" si="698">SUBTOTAL(9,I474:I484)</f>
        <v>333244.65999999997</v>
      </c>
      <c r="J485" s="108">
        <f t="shared" ref="J485:T485" si="699">SUBTOTAL(9,J474:J484)</f>
        <v>323633.71999999997</v>
      </c>
      <c r="K485" s="108">
        <f t="shared" ref="K485" si="700">SUBTOTAL(9,K474:K484)</f>
        <v>256328.74</v>
      </c>
      <c r="L485" s="108">
        <f t="shared" ref="L485" si="701">SUBTOTAL(9,L474:L484)</f>
        <v>271928.21999999997</v>
      </c>
      <c r="M485" s="108">
        <f t="shared" si="699"/>
        <v>287425</v>
      </c>
      <c r="N485" s="108">
        <f t="shared" ref="N485" si="702">SUBTOTAL(9,N474:N484)</f>
        <v>202606.2</v>
      </c>
      <c r="O485" s="108">
        <f t="shared" si="699"/>
        <v>289725</v>
      </c>
      <c r="P485" s="108">
        <f t="shared" si="699"/>
        <v>2300</v>
      </c>
      <c r="Q485" s="108">
        <f t="shared" si="699"/>
        <v>307620</v>
      </c>
      <c r="R485" s="108">
        <f t="shared" si="699"/>
        <v>0</v>
      </c>
      <c r="S485" s="108">
        <f t="shared" si="699"/>
        <v>0</v>
      </c>
      <c r="T485" s="108">
        <f t="shared" si="699"/>
        <v>307620</v>
      </c>
      <c r="U485" s="99">
        <f>T485-M485</f>
        <v>20195</v>
      </c>
      <c r="V485" s="255">
        <f>IF(M485=0,"N/A",T485/M485-1)</f>
        <v>7.0261807428024792E-2</v>
      </c>
      <c r="W485" s="102"/>
      <c r="X485" s="102"/>
      <c r="Y485" s="102"/>
      <c r="Z485" s="192"/>
      <c r="AA485" s="615"/>
      <c r="AB485" s="307"/>
      <c r="AC485" s="93"/>
      <c r="AD485" s="93"/>
      <c r="AE485" s="93"/>
      <c r="AF485" s="93"/>
      <c r="AG485" s="93"/>
      <c r="AH485" s="307"/>
      <c r="AI485" s="307"/>
      <c r="AJ485" s="93"/>
      <c r="AK485" s="93"/>
      <c r="AL485" s="93"/>
      <c r="AM485" s="93"/>
      <c r="AN485" s="93"/>
      <c r="AO485" s="192"/>
      <c r="AP485" s="192"/>
      <c r="AQ485" s="192"/>
    </row>
    <row r="486" spans="1:43" s="115" customFormat="1" ht="15" customHeight="1">
      <c r="A486" s="297"/>
      <c r="B486" s="217"/>
      <c r="C486" s="217"/>
      <c r="D486" s="101"/>
      <c r="E486" s="101"/>
      <c r="F486" s="294"/>
      <c r="G486" s="295"/>
      <c r="H486" s="98"/>
      <c r="I486" s="106"/>
      <c r="J486" s="106"/>
      <c r="K486" s="106"/>
      <c r="L486" s="106"/>
      <c r="M486" s="106"/>
      <c r="N486" s="112"/>
      <c r="O486" s="112"/>
      <c r="P486" s="112"/>
      <c r="Q486" s="113"/>
      <c r="R486" s="212"/>
      <c r="S486" s="212"/>
      <c r="T486" s="113"/>
      <c r="U486" s="113"/>
      <c r="V486" s="113"/>
      <c r="W486" s="102"/>
      <c r="X486" s="102"/>
      <c r="Y486" s="102"/>
      <c r="Z486" s="192"/>
      <c r="AA486" s="615"/>
      <c r="AB486" s="307"/>
      <c r="AC486" s="300"/>
      <c r="AD486" s="300"/>
      <c r="AE486" s="300"/>
      <c r="AF486" s="300"/>
      <c r="AG486" s="300"/>
      <c r="AH486" s="307"/>
      <c r="AI486" s="307"/>
      <c r="AJ486" s="300"/>
      <c r="AK486" s="300"/>
      <c r="AL486" s="300"/>
      <c r="AM486" s="300"/>
      <c r="AN486" s="300"/>
      <c r="AO486" s="192"/>
      <c r="AP486" s="192"/>
      <c r="AQ486" s="192"/>
    </row>
    <row r="487" spans="1:43" s="115" customFormat="1" ht="15" customHeight="1">
      <c r="A487" s="297"/>
      <c r="B487" s="217"/>
      <c r="C487" s="217"/>
      <c r="D487" s="101"/>
      <c r="E487" s="101"/>
      <c r="F487" s="294"/>
      <c r="G487" s="295"/>
      <c r="H487" s="114" t="s">
        <v>763</v>
      </c>
      <c r="I487" s="108">
        <f t="shared" ref="I487" si="703">SUBTOTAL(9,I457:I486)</f>
        <v>812624.65</v>
      </c>
      <c r="J487" s="108">
        <f t="shared" ref="J487:T487" si="704">SUBTOTAL(9,J457:J486)</f>
        <v>773393.10000000009</v>
      </c>
      <c r="K487" s="108">
        <f t="shared" ref="K487" si="705">SUBTOTAL(9,K457:K486)</f>
        <v>691399.27999999991</v>
      </c>
      <c r="L487" s="108">
        <f t="shared" ref="L487" si="706">SUBTOTAL(9,L457:L486)</f>
        <v>822744.99</v>
      </c>
      <c r="M487" s="108">
        <f t="shared" si="704"/>
        <v>845784</v>
      </c>
      <c r="N487" s="108">
        <f t="shared" ref="N487" si="707">SUBTOTAL(9,N457:N486)</f>
        <v>625035.80000000005</v>
      </c>
      <c r="O487" s="108">
        <f t="shared" si="704"/>
        <v>852213</v>
      </c>
      <c r="P487" s="108">
        <f t="shared" si="704"/>
        <v>6429</v>
      </c>
      <c r="Q487" s="108">
        <f t="shared" si="704"/>
        <v>890037</v>
      </c>
      <c r="R487" s="108">
        <f t="shared" si="704"/>
        <v>0</v>
      </c>
      <c r="S487" s="108">
        <f t="shared" si="704"/>
        <v>0</v>
      </c>
      <c r="T487" s="108">
        <f t="shared" si="704"/>
        <v>890037</v>
      </c>
      <c r="U487" s="99">
        <f>T487-M487</f>
        <v>44253</v>
      </c>
      <c r="V487" s="255">
        <f>IF(M487=0,"N/A",T487/M487-1)</f>
        <v>5.2321869413467281E-2</v>
      </c>
      <c r="W487" s="102"/>
      <c r="X487" s="102"/>
      <c r="Y487" s="102"/>
      <c r="Z487" s="192"/>
      <c r="AA487" s="615"/>
      <c r="AB487" s="307"/>
      <c r="AC487" s="94"/>
      <c r="AD487" s="94"/>
      <c r="AE487" s="94"/>
      <c r="AF487" s="94"/>
      <c r="AG487" s="94"/>
      <c r="AH487" s="307"/>
      <c r="AI487" s="307"/>
      <c r="AJ487" s="94"/>
      <c r="AK487" s="94"/>
      <c r="AL487" s="94"/>
      <c r="AM487" s="94"/>
      <c r="AN487" s="94"/>
      <c r="AO487" s="192"/>
      <c r="AP487" s="192"/>
      <c r="AQ487" s="192"/>
    </row>
    <row r="488" spans="1:43" s="115" customFormat="1" ht="15" customHeight="1">
      <c r="A488" s="297"/>
      <c r="B488" s="217"/>
      <c r="C488" s="217"/>
      <c r="D488" s="101"/>
      <c r="E488" s="101"/>
      <c r="F488" s="294"/>
      <c r="G488" s="295"/>
      <c r="H488" s="98"/>
      <c r="I488" s="218"/>
      <c r="J488" s="218"/>
      <c r="K488" s="218"/>
      <c r="L488" s="218"/>
      <c r="M488" s="218"/>
      <c r="N488" s="96"/>
      <c r="O488" s="96"/>
      <c r="P488" s="96"/>
      <c r="Q488" s="212"/>
      <c r="R488" s="212"/>
      <c r="S488" s="212"/>
      <c r="T488" s="212"/>
      <c r="U488" s="212"/>
      <c r="V488" s="212"/>
      <c r="W488" s="102"/>
      <c r="X488" s="102"/>
      <c r="Y488" s="102"/>
      <c r="Z488" s="192"/>
      <c r="AA488" s="615"/>
      <c r="AB488" s="307"/>
      <c r="AC488" s="93"/>
      <c r="AD488" s="93"/>
      <c r="AE488" s="93"/>
      <c r="AF488" s="93"/>
      <c r="AG488" s="93"/>
      <c r="AH488" s="307"/>
      <c r="AI488" s="307"/>
      <c r="AJ488" s="93"/>
      <c r="AK488" s="93"/>
      <c r="AL488" s="93"/>
      <c r="AM488" s="93"/>
      <c r="AN488" s="93"/>
      <c r="AO488" s="192"/>
      <c r="AP488" s="192"/>
      <c r="AQ488" s="192"/>
    </row>
    <row r="489" spans="1:43" s="115" customFormat="1" ht="15" customHeight="1" thickBot="1">
      <c r="A489" s="297"/>
      <c r="B489" s="217"/>
      <c r="C489" s="217"/>
      <c r="D489" s="101"/>
      <c r="E489" s="101"/>
      <c r="F489" s="294"/>
      <c r="G489" s="295"/>
      <c r="H489" s="98"/>
      <c r="I489" s="218"/>
      <c r="J489" s="218"/>
      <c r="K489" s="218"/>
      <c r="L489" s="218"/>
      <c r="M489" s="218"/>
      <c r="N489" s="96"/>
      <c r="O489" s="96"/>
      <c r="P489" s="96"/>
      <c r="Q489" s="212"/>
      <c r="R489" s="212"/>
      <c r="S489" s="212"/>
      <c r="T489" s="212"/>
      <c r="U489" s="212"/>
      <c r="V489" s="212"/>
      <c r="W489" s="102"/>
      <c r="X489" s="102"/>
      <c r="Y489" s="102"/>
      <c r="Z489" s="192"/>
      <c r="AA489" s="615"/>
      <c r="AB489" s="307"/>
      <c r="AC489" s="300"/>
      <c r="AD489" s="300"/>
      <c r="AE489" s="300"/>
      <c r="AF489" s="300"/>
      <c r="AG489" s="300"/>
      <c r="AH489" s="307"/>
      <c r="AI489" s="307"/>
      <c r="AJ489" s="300"/>
      <c r="AK489" s="300"/>
      <c r="AL489" s="300"/>
      <c r="AM489" s="300"/>
      <c r="AN489" s="300"/>
      <c r="AO489" s="192"/>
      <c r="AP489" s="192"/>
      <c r="AQ489" s="192"/>
    </row>
    <row r="490" spans="1:43" s="115" customFormat="1" ht="15" customHeight="1" thickBot="1">
      <c r="A490" s="297"/>
      <c r="B490" s="217"/>
      <c r="C490" s="217"/>
      <c r="D490" s="101"/>
      <c r="E490" s="101"/>
      <c r="F490" s="294"/>
      <c r="G490" s="295"/>
      <c r="H490" s="665" t="s">
        <v>615</v>
      </c>
      <c r="I490" s="666"/>
      <c r="J490" s="666"/>
      <c r="K490" s="666"/>
      <c r="L490" s="666"/>
      <c r="M490" s="666"/>
      <c r="N490" s="666"/>
      <c r="O490" s="666"/>
      <c r="P490" s="666"/>
      <c r="Q490" s="666"/>
      <c r="R490" s="666"/>
      <c r="S490" s="666"/>
      <c r="T490" s="667"/>
      <c r="U490" s="99"/>
      <c r="V490" s="255"/>
      <c r="W490" s="102"/>
      <c r="X490" s="102"/>
      <c r="Y490" s="102"/>
      <c r="Z490" s="192"/>
      <c r="AA490" s="615"/>
      <c r="AB490" s="307"/>
      <c r="AC490" s="300"/>
      <c r="AD490" s="300"/>
      <c r="AE490" s="300"/>
      <c r="AF490" s="300"/>
      <c r="AG490" s="300"/>
      <c r="AH490" s="307"/>
      <c r="AI490" s="307"/>
      <c r="AJ490" s="300"/>
      <c r="AK490" s="300"/>
      <c r="AL490" s="300"/>
      <c r="AM490" s="300"/>
      <c r="AN490" s="300"/>
      <c r="AO490" s="192"/>
      <c r="AP490" s="192"/>
      <c r="AQ490" s="192"/>
    </row>
    <row r="491" spans="1:43" s="115" customFormat="1" ht="15" customHeight="1">
      <c r="A491" s="297"/>
      <c r="B491" s="217"/>
      <c r="C491" s="217"/>
      <c r="D491" s="101"/>
      <c r="E491" s="101"/>
      <c r="F491" s="294"/>
      <c r="G491" s="295"/>
      <c r="H491" s="225"/>
      <c r="I491" s="225"/>
      <c r="J491" s="225"/>
      <c r="K491" s="225"/>
      <c r="L491" s="225"/>
      <c r="M491" s="225"/>
      <c r="N491" s="225"/>
      <c r="O491" s="225"/>
      <c r="P491" s="225"/>
      <c r="Q491" s="225"/>
      <c r="R491" s="225"/>
      <c r="S491" s="225"/>
      <c r="T491" s="225"/>
      <c r="U491" s="99"/>
      <c r="V491" s="255"/>
      <c r="W491" s="102"/>
      <c r="X491" s="102"/>
      <c r="Y491" s="102"/>
      <c r="Z491" s="192"/>
      <c r="AA491" s="615"/>
      <c r="AB491" s="307"/>
      <c r="AC491" s="300"/>
      <c r="AD491" s="300"/>
      <c r="AE491" s="300"/>
      <c r="AF491" s="300"/>
      <c r="AG491" s="300"/>
      <c r="AH491" s="307"/>
      <c r="AI491" s="307"/>
      <c r="AJ491" s="300"/>
      <c r="AK491" s="300"/>
      <c r="AL491" s="300"/>
      <c r="AM491" s="300"/>
      <c r="AN491" s="300"/>
      <c r="AO491" s="192"/>
      <c r="AP491" s="192"/>
      <c r="AQ491" s="192"/>
    </row>
    <row r="492" spans="1:43" ht="15" customHeight="1">
      <c r="A492" s="555" t="s">
        <v>2444</v>
      </c>
      <c r="B492" s="217" t="str">
        <f t="shared" ref="B492" si="708">LEFT(A492,3)</f>
        <v>100</v>
      </c>
      <c r="C492" s="217" t="str">
        <f t="shared" ref="C492" si="709">MID(A492,5,2)</f>
        <v>17</v>
      </c>
      <c r="D492" s="101" t="str">
        <f t="shared" ref="D492" si="710">MID(A492,8,3)</f>
        <v>172</v>
      </c>
      <c r="E492" s="217" t="str">
        <f t="shared" ref="E492" si="711">LEFT(A492,10)</f>
        <v>100-17-172</v>
      </c>
      <c r="F492" s="294" t="str">
        <f t="shared" ref="F492" si="712">RIGHT(A492,5)</f>
        <v>50640</v>
      </c>
      <c r="G492" s="295" t="str">
        <f>VLOOKUP(F492,'GL Category'!A:C,3,FALSE)</f>
        <v>Personnel services</v>
      </c>
      <c r="H492" s="98" t="str">
        <f>VLOOKUP(F492,'GL Category'!A:C,2,FALSE)</f>
        <v>UNEMPLOYMENT INSURANCE</v>
      </c>
      <c r="I492" s="99">
        <f>SUMIF(Import!$B:$B,$A492,Import!D:D)</f>
        <v>0</v>
      </c>
      <c r="J492" s="99">
        <f>SUMIF(Import!$B:$B,$A492,Import!E:E)</f>
        <v>0</v>
      </c>
      <c r="K492" s="99">
        <f>SUMIF(Import!$B:$B,$A492,Import!F:F)</f>
        <v>0</v>
      </c>
      <c r="L492" s="99">
        <f>SUMIF(Import!$B:$B,$A492,Import!G:G)</f>
        <v>0</v>
      </c>
      <c r="M492" s="99">
        <f>SUMIF(Import!$B:$B,$A492,Import!H:H)</f>
        <v>0</v>
      </c>
      <c r="N492" s="99">
        <f>SUMIF(Import!$B:$B,$A492,Import!I:I)</f>
        <v>0</v>
      </c>
      <c r="O492" s="99">
        <f>SUMIF(Import!$B:$B,$A492,Import!J:J)</f>
        <v>0</v>
      </c>
      <c r="P492" s="99">
        <f t="shared" ref="P492" si="713">O492-M492</f>
        <v>0</v>
      </c>
      <c r="Q492" s="99">
        <f>SUMIF(Import!$B:$B,$A492,Import!K:K)</f>
        <v>0</v>
      </c>
      <c r="R492" s="99">
        <f>SUMIF(Import!$B:$B,$A492,Import!L:L)</f>
        <v>0</v>
      </c>
      <c r="S492" s="99">
        <f>SUMIF(Import!$B:$B,$A492,Import!M:M)</f>
        <v>0</v>
      </c>
      <c r="T492" s="99">
        <f>SUMIF(Import!$B:$B,$A492,Import!N:N)</f>
        <v>0</v>
      </c>
      <c r="U492" s="99">
        <f t="shared" ref="U492" si="714">T492-M492</f>
        <v>0</v>
      </c>
      <c r="V492" s="255" t="str">
        <f t="shared" ref="V492" si="715">IF(M492=0,"N/A",T492/M492-1)</f>
        <v>N/A</v>
      </c>
      <c r="W492" s="102" t="s">
        <v>2444</v>
      </c>
      <c r="X492" s="102"/>
      <c r="Y492" s="102"/>
      <c r="AA492" s="615"/>
      <c r="AC492" s="300"/>
      <c r="AD492" s="300"/>
      <c r="AE492" s="300"/>
      <c r="AF492" s="300"/>
      <c r="AG492" s="300"/>
      <c r="AJ492" s="300"/>
      <c r="AK492" s="300"/>
      <c r="AL492" s="300"/>
      <c r="AM492" s="300"/>
      <c r="AN492" s="300"/>
    </row>
    <row r="493" spans="1:43" ht="15" customHeight="1">
      <c r="A493" s="297"/>
      <c r="B493" s="217"/>
      <c r="C493" s="217"/>
      <c r="D493" s="101"/>
      <c r="E493" s="101"/>
      <c r="F493" s="294"/>
      <c r="G493" s="295"/>
      <c r="H493" s="107" t="str">
        <f>UPPER(G492)&amp;" TOTAL"</f>
        <v>PERSONNEL SERVICES TOTAL</v>
      </c>
      <c r="I493" s="108">
        <f t="shared" ref="I493" si="716">SUBTOTAL(9,I492:I492)</f>
        <v>0</v>
      </c>
      <c r="J493" s="108">
        <f t="shared" ref="J493:T493" si="717">SUBTOTAL(9,J492:J492)</f>
        <v>0</v>
      </c>
      <c r="K493" s="108">
        <f t="shared" ref="K493" si="718">SUBTOTAL(9,K492:K492)</f>
        <v>0</v>
      </c>
      <c r="L493" s="108">
        <f t="shared" ref="L493" si="719">SUBTOTAL(9,L492:L492)</f>
        <v>0</v>
      </c>
      <c r="M493" s="108">
        <f t="shared" si="717"/>
        <v>0</v>
      </c>
      <c r="N493" s="108">
        <f t="shared" ref="N493" si="720">SUBTOTAL(9,N492:N492)</f>
        <v>0</v>
      </c>
      <c r="O493" s="108">
        <f t="shared" si="717"/>
        <v>0</v>
      </c>
      <c r="P493" s="108">
        <f t="shared" si="717"/>
        <v>0</v>
      </c>
      <c r="Q493" s="108">
        <f t="shared" si="717"/>
        <v>0</v>
      </c>
      <c r="R493" s="108">
        <f t="shared" si="717"/>
        <v>0</v>
      </c>
      <c r="S493" s="108">
        <f t="shared" si="717"/>
        <v>0</v>
      </c>
      <c r="T493" s="108">
        <f t="shared" si="717"/>
        <v>0</v>
      </c>
      <c r="U493" s="99">
        <f>T493-M493</f>
        <v>0</v>
      </c>
      <c r="V493" s="255" t="str">
        <f>IF(M493=0,"N/A",T493/M493-1)</f>
        <v>N/A</v>
      </c>
      <c r="W493" s="102"/>
      <c r="X493" s="102"/>
      <c r="Y493" s="102"/>
      <c r="AA493" s="615"/>
      <c r="AC493" s="300"/>
      <c r="AD493" s="300"/>
      <c r="AE493" s="300"/>
      <c r="AF493" s="300"/>
      <c r="AG493" s="300"/>
      <c r="AJ493" s="300"/>
      <c r="AK493" s="300"/>
      <c r="AL493" s="300"/>
      <c r="AM493" s="300"/>
      <c r="AN493" s="300"/>
    </row>
    <row r="494" spans="1:43" ht="15" customHeight="1">
      <c r="A494" s="297"/>
      <c r="B494" s="217"/>
      <c r="C494" s="217"/>
      <c r="D494" s="101"/>
      <c r="E494" s="101"/>
      <c r="F494" s="294"/>
      <c r="G494" s="295"/>
      <c r="H494" s="98"/>
      <c r="I494" s="106"/>
      <c r="J494" s="106"/>
      <c r="K494" s="106"/>
      <c r="L494" s="106"/>
      <c r="M494" s="106"/>
      <c r="N494" s="112"/>
      <c r="O494" s="112"/>
      <c r="P494" s="112"/>
      <c r="Q494" s="113"/>
      <c r="T494" s="113"/>
      <c r="U494" s="113"/>
      <c r="V494" s="113"/>
      <c r="W494" s="102"/>
      <c r="X494" s="102"/>
      <c r="Y494" s="102"/>
      <c r="AA494" s="615"/>
      <c r="AC494" s="300"/>
      <c r="AD494" s="300"/>
      <c r="AE494" s="300"/>
      <c r="AF494" s="300"/>
      <c r="AG494" s="300"/>
      <c r="AJ494" s="300"/>
      <c r="AK494" s="300"/>
      <c r="AL494" s="300"/>
      <c r="AM494" s="300"/>
      <c r="AN494" s="300"/>
    </row>
    <row r="495" spans="1:43" ht="15" customHeight="1">
      <c r="A495" s="555" t="s">
        <v>2445</v>
      </c>
      <c r="B495" s="217" t="str">
        <f t="shared" ref="B495:B497" si="721">LEFT(A495,3)</f>
        <v>100</v>
      </c>
      <c r="C495" s="217" t="str">
        <f t="shared" ref="C495:C497" si="722">MID(A495,5,2)</f>
        <v>17</v>
      </c>
      <c r="D495" s="101" t="str">
        <f t="shared" ref="D495:D497" si="723">MID(A495,8,3)</f>
        <v>172</v>
      </c>
      <c r="E495" s="217" t="str">
        <f t="shared" ref="E495:E497" si="724">LEFT(A495,10)</f>
        <v>100-17-172</v>
      </c>
      <c r="F495" s="294" t="str">
        <f t="shared" ref="F495:F497" si="725">RIGHT(A495,5)</f>
        <v>51210</v>
      </c>
      <c r="G495" s="295" t="str">
        <f>VLOOKUP(F495,'GL Category'!A:C,3,FALSE)</f>
        <v>Operations &amp; maintenance</v>
      </c>
      <c r="H495" s="98" t="str">
        <f>VLOOKUP(F495,'GL Category'!A:C,2,FALSE)</f>
        <v>OFFICE SUPPLIES</v>
      </c>
      <c r="I495" s="99">
        <f>SUMIF(Import!$B:$B,$A495,Import!D:D)</f>
        <v>0</v>
      </c>
      <c r="J495" s="99">
        <f>SUMIF(Import!$B:$B,$A495,Import!E:E)</f>
        <v>0</v>
      </c>
      <c r="K495" s="99">
        <f>SUMIF(Import!$B:$B,$A495,Import!F:F)</f>
        <v>0</v>
      </c>
      <c r="L495" s="99">
        <f>SUMIF(Import!$B:$B,$A495,Import!G:G)</f>
        <v>0</v>
      </c>
      <c r="M495" s="99">
        <f>SUMIF(Import!$B:$B,$A495,Import!H:H)</f>
        <v>0</v>
      </c>
      <c r="N495" s="99">
        <f>SUMIF(Import!$B:$B,$A495,Import!I:I)</f>
        <v>0</v>
      </c>
      <c r="O495" s="99">
        <f>SUMIF(Import!$B:$B,$A495,Import!J:J)</f>
        <v>0</v>
      </c>
      <c r="P495" s="99">
        <f t="shared" ref="P495:P497" si="726">O495-M495</f>
        <v>0</v>
      </c>
      <c r="Q495" s="99">
        <f>SUMIF(Import!$B:$B,$A495,Import!K:K)</f>
        <v>0</v>
      </c>
      <c r="R495" s="99">
        <f>SUMIF(Import!$B:$B,$A495,Import!L:L)</f>
        <v>0</v>
      </c>
      <c r="S495" s="99">
        <f>SUMIF(Import!$B:$B,$A495,Import!M:M)</f>
        <v>0</v>
      </c>
      <c r="T495" s="99">
        <f>SUMIF(Import!$B:$B,$A495,Import!N:N)</f>
        <v>0</v>
      </c>
      <c r="U495" s="99">
        <f t="shared" ref="U495:U497" si="727">T495-M495</f>
        <v>0</v>
      </c>
      <c r="V495" s="255" t="str">
        <f t="shared" ref="V495:V497" si="728">IF(M495=0,"N/A",T495/M495-1)</f>
        <v>N/A</v>
      </c>
      <c r="W495" s="102" t="s">
        <v>2445</v>
      </c>
      <c r="X495" s="102"/>
      <c r="Y495" s="102"/>
      <c r="AA495" s="615"/>
      <c r="AC495" s="94"/>
      <c r="AD495" s="94"/>
      <c r="AE495" s="94"/>
      <c r="AF495" s="94"/>
      <c r="AG495" s="94"/>
      <c r="AJ495" s="94"/>
      <c r="AK495" s="94"/>
      <c r="AL495" s="94"/>
      <c r="AM495" s="94"/>
      <c r="AN495" s="94"/>
    </row>
    <row r="496" spans="1:43" ht="15" customHeight="1">
      <c r="A496" s="555" t="s">
        <v>2446</v>
      </c>
      <c r="B496" s="217" t="str">
        <f t="shared" si="721"/>
        <v>100</v>
      </c>
      <c r="C496" s="217" t="str">
        <f t="shared" si="722"/>
        <v>17</v>
      </c>
      <c r="D496" s="101" t="str">
        <f t="shared" si="723"/>
        <v>172</v>
      </c>
      <c r="E496" s="217" t="str">
        <f t="shared" si="724"/>
        <v>100-17-172</v>
      </c>
      <c r="F496" s="294" t="str">
        <f t="shared" si="725"/>
        <v>51257</v>
      </c>
      <c r="G496" s="295" t="str">
        <f>VLOOKUP(F496,'GL Category'!A:C,3,FALSE)</f>
        <v>Operations &amp; maintenance</v>
      </c>
      <c r="H496" s="98" t="str">
        <f>VLOOKUP(F496,'GL Category'!A:C,2,FALSE)</f>
        <v>MEETING SPONSORSHIP/SUPPLIES</v>
      </c>
      <c r="I496" s="99">
        <f>SUMIF(Import!$B:$B,$A496,Import!D:D)</f>
        <v>0</v>
      </c>
      <c r="J496" s="99">
        <f>SUMIF(Import!$B:$B,$A496,Import!E:E)</f>
        <v>0</v>
      </c>
      <c r="K496" s="99">
        <f>SUMIF(Import!$B:$B,$A496,Import!F:F)</f>
        <v>0</v>
      </c>
      <c r="L496" s="99">
        <f>SUMIF(Import!$B:$B,$A496,Import!G:G)</f>
        <v>0</v>
      </c>
      <c r="M496" s="99">
        <f>SUMIF(Import!$B:$B,$A496,Import!H:H)</f>
        <v>0</v>
      </c>
      <c r="N496" s="99">
        <f>SUMIF(Import!$B:$B,$A496,Import!I:I)</f>
        <v>0</v>
      </c>
      <c r="O496" s="99">
        <f>SUMIF(Import!$B:$B,$A496,Import!J:J)</f>
        <v>0</v>
      </c>
      <c r="P496" s="99">
        <f t="shared" si="726"/>
        <v>0</v>
      </c>
      <c r="Q496" s="99">
        <f>SUMIF(Import!$B:$B,$A496,Import!K:K)</f>
        <v>0</v>
      </c>
      <c r="R496" s="99">
        <f>SUMIF(Import!$B:$B,$A496,Import!L:L)</f>
        <v>0</v>
      </c>
      <c r="S496" s="99">
        <f>SUMIF(Import!$B:$B,$A496,Import!M:M)</f>
        <v>0</v>
      </c>
      <c r="T496" s="99">
        <f>SUMIF(Import!$B:$B,$A496,Import!N:N)</f>
        <v>0</v>
      </c>
      <c r="U496" s="99">
        <f t="shared" si="727"/>
        <v>0</v>
      </c>
      <c r="V496" s="255" t="str">
        <f t="shared" si="728"/>
        <v>N/A</v>
      </c>
      <c r="W496" s="102" t="s">
        <v>2446</v>
      </c>
      <c r="X496" s="102"/>
      <c r="Y496" s="102"/>
      <c r="AA496" s="615"/>
      <c r="AC496" s="300"/>
      <c r="AD496" s="300"/>
      <c r="AE496" s="300"/>
      <c r="AF496" s="300"/>
      <c r="AG496" s="300"/>
      <c r="AJ496" s="300"/>
      <c r="AK496" s="300"/>
      <c r="AL496" s="300"/>
      <c r="AM496" s="300"/>
      <c r="AN496" s="300"/>
    </row>
    <row r="497" spans="1:59" ht="15" customHeight="1">
      <c r="A497" s="555" t="s">
        <v>2447</v>
      </c>
      <c r="B497" s="217" t="str">
        <f t="shared" si="721"/>
        <v>100</v>
      </c>
      <c r="C497" s="217" t="str">
        <f t="shared" si="722"/>
        <v>17</v>
      </c>
      <c r="D497" s="101" t="str">
        <f t="shared" si="723"/>
        <v>172</v>
      </c>
      <c r="E497" s="217" t="str">
        <f t="shared" si="724"/>
        <v>100-17-172</v>
      </c>
      <c r="F497" s="294" t="str">
        <f t="shared" si="725"/>
        <v>51299</v>
      </c>
      <c r="G497" s="295" t="str">
        <f>VLOOKUP(F497,'GL Category'!A:C,3,FALSE)</f>
        <v>Operations &amp; maintenance</v>
      </c>
      <c r="H497" s="98" t="str">
        <f>VLOOKUP(F497,'GL Category'!A:C,2,FALSE)</f>
        <v>MISCELLANEOUS SUPPLIES</v>
      </c>
      <c r="I497" s="99">
        <f>SUMIF(Import!$B:$B,$A497,Import!D:D)</f>
        <v>0</v>
      </c>
      <c r="J497" s="99">
        <f>SUMIF(Import!$B:$B,$A497,Import!E:E)</f>
        <v>0</v>
      </c>
      <c r="K497" s="99">
        <f>SUMIF(Import!$B:$B,$A497,Import!F:F)</f>
        <v>0</v>
      </c>
      <c r="L497" s="99">
        <f>SUMIF(Import!$B:$B,$A497,Import!G:G)</f>
        <v>0</v>
      </c>
      <c r="M497" s="99">
        <f>SUMIF(Import!$B:$B,$A497,Import!H:H)</f>
        <v>0</v>
      </c>
      <c r="N497" s="99">
        <f>SUMIF(Import!$B:$B,$A497,Import!I:I)</f>
        <v>0</v>
      </c>
      <c r="O497" s="99">
        <f>SUMIF(Import!$B:$B,$A497,Import!J:J)</f>
        <v>0</v>
      </c>
      <c r="P497" s="99">
        <f t="shared" si="726"/>
        <v>0</v>
      </c>
      <c r="Q497" s="99">
        <f>SUMIF(Import!$B:$B,$A497,Import!K:K)</f>
        <v>0</v>
      </c>
      <c r="R497" s="99">
        <f>SUMIF(Import!$B:$B,$A497,Import!L:L)</f>
        <v>0</v>
      </c>
      <c r="S497" s="99">
        <f>SUMIF(Import!$B:$B,$A497,Import!M:M)</f>
        <v>0</v>
      </c>
      <c r="T497" s="99">
        <f>SUMIF(Import!$B:$B,$A497,Import!N:N)</f>
        <v>0</v>
      </c>
      <c r="U497" s="99">
        <f t="shared" si="727"/>
        <v>0</v>
      </c>
      <c r="V497" s="255" t="str">
        <f t="shared" si="728"/>
        <v>N/A</v>
      </c>
      <c r="W497" s="102" t="s">
        <v>2447</v>
      </c>
      <c r="X497" s="102"/>
      <c r="Y497" s="102"/>
      <c r="AA497" s="615"/>
      <c r="AC497" s="300"/>
      <c r="AD497" s="300"/>
      <c r="AE497" s="300"/>
      <c r="AF497" s="300"/>
      <c r="AG497" s="300"/>
      <c r="AJ497" s="300"/>
      <c r="AK497" s="300"/>
      <c r="AL497" s="300"/>
      <c r="AM497" s="300"/>
      <c r="AN497" s="300"/>
    </row>
    <row r="498" spans="1:59" ht="25.35" customHeight="1">
      <c r="A498" s="297"/>
      <c r="B498" s="217"/>
      <c r="C498" s="217"/>
      <c r="D498" s="101"/>
      <c r="E498" s="101"/>
      <c r="F498" s="294"/>
      <c r="G498" s="295"/>
      <c r="H498" s="107" t="str">
        <f>UPPER(G497)&amp;" TOTAL"</f>
        <v>OPERATIONS &amp; MAINTENANCE TOTAL</v>
      </c>
      <c r="I498" s="108">
        <f t="shared" ref="I498" si="729">SUBTOTAL(9,I495:I497)</f>
        <v>0</v>
      </c>
      <c r="J498" s="108">
        <f t="shared" ref="J498:T498" si="730">SUBTOTAL(9,J495:J497)</f>
        <v>0</v>
      </c>
      <c r="K498" s="108">
        <f t="shared" ref="K498" si="731">SUBTOTAL(9,K495:K497)</f>
        <v>0</v>
      </c>
      <c r="L498" s="108">
        <f t="shared" ref="L498" si="732">SUBTOTAL(9,L495:L497)</f>
        <v>0</v>
      </c>
      <c r="M498" s="108">
        <f t="shared" si="730"/>
        <v>0</v>
      </c>
      <c r="N498" s="109">
        <f t="shared" si="730"/>
        <v>0</v>
      </c>
      <c r="O498" s="109">
        <f t="shared" si="730"/>
        <v>0</v>
      </c>
      <c r="P498" s="109">
        <f t="shared" si="730"/>
        <v>0</v>
      </c>
      <c r="Q498" s="109">
        <f t="shared" si="730"/>
        <v>0</v>
      </c>
      <c r="R498" s="109">
        <f t="shared" si="730"/>
        <v>0</v>
      </c>
      <c r="S498" s="109">
        <f t="shared" si="730"/>
        <v>0</v>
      </c>
      <c r="T498" s="109">
        <f t="shared" si="730"/>
        <v>0</v>
      </c>
      <c r="U498" s="99">
        <f>T498-M498</f>
        <v>0</v>
      </c>
      <c r="V498" s="255" t="str">
        <f>IF(M498=0,"N/A",T498/M498-1)</f>
        <v>N/A</v>
      </c>
      <c r="W498" s="102"/>
      <c r="X498" s="102"/>
      <c r="Y498" s="102"/>
      <c r="AA498" s="615"/>
      <c r="AC498" s="94"/>
      <c r="AD498" s="94"/>
      <c r="AE498" s="94"/>
      <c r="AF498" s="94"/>
      <c r="AG498" s="94"/>
      <c r="AJ498" s="94"/>
      <c r="AK498" s="94"/>
      <c r="AL498" s="94"/>
      <c r="AM498" s="94"/>
      <c r="AN498" s="94"/>
    </row>
    <row r="499" spans="1:59" ht="15" customHeight="1">
      <c r="A499" s="297"/>
      <c r="B499" s="217"/>
      <c r="C499" s="217"/>
      <c r="D499" s="101"/>
      <c r="E499" s="101"/>
      <c r="F499" s="294"/>
      <c r="G499" s="295"/>
      <c r="H499" s="98"/>
      <c r="I499" s="106"/>
      <c r="J499" s="106"/>
      <c r="K499" s="106"/>
      <c r="L499" s="106"/>
      <c r="M499" s="106"/>
      <c r="N499" s="112"/>
      <c r="O499" s="112"/>
      <c r="P499" s="112"/>
      <c r="Q499" s="113"/>
      <c r="R499" s="99"/>
      <c r="S499" s="99"/>
      <c r="T499" s="113"/>
      <c r="U499" s="113"/>
      <c r="V499" s="113"/>
      <c r="W499" s="102"/>
      <c r="X499" s="102"/>
      <c r="Y499" s="102"/>
      <c r="AA499" s="615"/>
      <c r="AC499" s="93"/>
      <c r="AD499" s="93"/>
      <c r="AE499" s="93"/>
      <c r="AF499" s="93"/>
      <c r="AG499" s="93"/>
      <c r="AJ499" s="93"/>
      <c r="AK499" s="93"/>
      <c r="AL499" s="93"/>
      <c r="AM499" s="93"/>
      <c r="AN499" s="93"/>
    </row>
    <row r="500" spans="1:59" ht="15" customHeight="1">
      <c r="A500" s="555" t="s">
        <v>2449</v>
      </c>
      <c r="B500" s="217" t="str">
        <f t="shared" ref="B500:B508" si="733">LEFT(A500,3)</f>
        <v>100</v>
      </c>
      <c r="C500" s="217" t="str">
        <f t="shared" ref="C500:C508" si="734">MID(A500,5,2)</f>
        <v>17</v>
      </c>
      <c r="D500" s="101" t="str">
        <f t="shared" ref="D500:D508" si="735">MID(A500,8,3)</f>
        <v>172</v>
      </c>
      <c r="E500" s="217" t="str">
        <f t="shared" ref="E500:E508" si="736">LEFT(A500,10)</f>
        <v>100-17-172</v>
      </c>
      <c r="F500" s="294" t="str">
        <f t="shared" ref="F500:F508" si="737">RIGHT(A500,5)</f>
        <v>53510</v>
      </c>
      <c r="G500" s="295" t="str">
        <f>VLOOKUP(F500,'GL Category'!A:C,3,FALSE)</f>
        <v>Services &amp; other</v>
      </c>
      <c r="H500" s="98" t="str">
        <f>VLOOKUP(F500,'GL Category'!A:C,2,FALSE)</f>
        <v>DUES &amp; SUBSCRIPTIONS</v>
      </c>
      <c r="I500" s="99">
        <f>SUMIF(Import!$B:$B,$A500,Import!D:D)</f>
        <v>0</v>
      </c>
      <c r="J500" s="99">
        <f>SUMIF(Import!$B:$B,$A500,Import!E:E)</f>
        <v>0</v>
      </c>
      <c r="K500" s="99">
        <f>SUMIF(Import!$B:$B,$A500,Import!F:F)</f>
        <v>0</v>
      </c>
      <c r="L500" s="99">
        <f>SUMIF(Import!$B:$B,$A500,Import!G:G)</f>
        <v>0</v>
      </c>
      <c r="M500" s="99">
        <f>SUMIF(Import!$B:$B,$A500,Import!H:H)</f>
        <v>0</v>
      </c>
      <c r="N500" s="99">
        <f>SUMIF(Import!$B:$B,$A500,Import!I:I)</f>
        <v>0</v>
      </c>
      <c r="O500" s="99">
        <f>SUMIF(Import!$B:$B,$A500,Import!J:J)</f>
        <v>0</v>
      </c>
      <c r="P500" s="99">
        <f t="shared" ref="P500:P508" si="738">O500-M500</f>
        <v>0</v>
      </c>
      <c r="Q500" s="99">
        <f>SUMIF(Import!$B:$B,$A500,Import!K:K)</f>
        <v>0</v>
      </c>
      <c r="R500" s="99">
        <f>SUMIF(Import!$B:$B,$A500,Import!L:L)</f>
        <v>0</v>
      </c>
      <c r="S500" s="99">
        <f>SUMIF(Import!$B:$B,$A500,Import!M:M)</f>
        <v>0</v>
      </c>
      <c r="T500" s="99">
        <f>SUMIF(Import!$B:$B,$A500,Import!N:N)</f>
        <v>0</v>
      </c>
      <c r="U500" s="99">
        <f t="shared" ref="U500:U508" si="739">T500-M500</f>
        <v>0</v>
      </c>
      <c r="V500" s="255" t="str">
        <f t="shared" ref="V500:V508" si="740">IF(M500=0,"N/A",T500/M500-1)</f>
        <v>N/A</v>
      </c>
      <c r="W500" s="102" t="s">
        <v>2449</v>
      </c>
      <c r="X500" s="102"/>
      <c r="Y500" s="102"/>
      <c r="AA500" s="615"/>
    </row>
    <row r="501" spans="1:59" s="75" customFormat="1" ht="15" customHeight="1">
      <c r="A501" s="555" t="s">
        <v>2450</v>
      </c>
      <c r="B501" s="217" t="str">
        <f t="shared" si="733"/>
        <v>100</v>
      </c>
      <c r="C501" s="217" t="str">
        <f t="shared" si="734"/>
        <v>17</v>
      </c>
      <c r="D501" s="101" t="str">
        <f t="shared" si="735"/>
        <v>172</v>
      </c>
      <c r="E501" s="217" t="str">
        <f t="shared" si="736"/>
        <v>100-17-172</v>
      </c>
      <c r="F501" s="294" t="str">
        <f t="shared" si="737"/>
        <v>53515</v>
      </c>
      <c r="G501" s="295" t="str">
        <f>VLOOKUP(F501,'GL Category'!A:C,3,FALSE)</f>
        <v>Services &amp; other</v>
      </c>
      <c r="H501" s="98" t="str">
        <f>VLOOKUP(F501,'GL Category'!A:C,2,FALSE)</f>
        <v>TRAVEL, TRAINING &amp; EDUCATION</v>
      </c>
      <c r="I501" s="99">
        <f>SUMIF(Import!$B:$B,$A501,Import!D:D)</f>
        <v>0</v>
      </c>
      <c r="J501" s="99">
        <f>SUMIF(Import!$B:$B,$A501,Import!E:E)</f>
        <v>0</v>
      </c>
      <c r="K501" s="99">
        <f>SUMIF(Import!$B:$B,$A501,Import!F:F)</f>
        <v>0</v>
      </c>
      <c r="L501" s="99">
        <f>SUMIF(Import!$B:$B,$A501,Import!G:G)</f>
        <v>0</v>
      </c>
      <c r="M501" s="99">
        <f>SUMIF(Import!$B:$B,$A501,Import!H:H)</f>
        <v>0</v>
      </c>
      <c r="N501" s="99">
        <f>SUMIF(Import!$B:$B,$A501,Import!I:I)</f>
        <v>0</v>
      </c>
      <c r="O501" s="99">
        <f>SUMIF(Import!$B:$B,$A501,Import!J:J)</f>
        <v>0</v>
      </c>
      <c r="P501" s="99">
        <f t="shared" si="738"/>
        <v>0</v>
      </c>
      <c r="Q501" s="99">
        <f>SUMIF(Import!$B:$B,$A501,Import!K:K)</f>
        <v>0</v>
      </c>
      <c r="R501" s="99">
        <f>SUMIF(Import!$B:$B,$A501,Import!L:L)</f>
        <v>0</v>
      </c>
      <c r="S501" s="99">
        <f>SUMIF(Import!$B:$B,$A501,Import!M:M)</f>
        <v>0</v>
      </c>
      <c r="T501" s="99">
        <f>SUMIF(Import!$B:$B,$A501,Import!N:N)</f>
        <v>0</v>
      </c>
      <c r="U501" s="99">
        <f t="shared" si="739"/>
        <v>0</v>
      </c>
      <c r="V501" s="255" t="str">
        <f t="shared" si="740"/>
        <v>N/A</v>
      </c>
      <c r="W501" s="102" t="s">
        <v>2450</v>
      </c>
      <c r="X501" s="102"/>
      <c r="Y501" s="102"/>
      <c r="Z501" s="614"/>
      <c r="AA501" s="615"/>
      <c r="AB501" s="624"/>
      <c r="AC501" s="623"/>
      <c r="AD501" s="623"/>
      <c r="AE501" s="623"/>
      <c r="AF501" s="623"/>
      <c r="AG501" s="623"/>
      <c r="AH501" s="623"/>
      <c r="AI501" s="624"/>
      <c r="AJ501" s="307"/>
      <c r="AK501" s="307"/>
      <c r="AL501" s="307"/>
      <c r="AM501" s="307"/>
      <c r="AN501" s="307"/>
      <c r="AO501" s="192"/>
      <c r="AP501" s="192"/>
      <c r="AQ501" s="192"/>
      <c r="AR501" s="115"/>
      <c r="AS501" s="115"/>
      <c r="AT501" s="115"/>
      <c r="AU501" s="115"/>
      <c r="AV501" s="115"/>
      <c r="AW501" s="115"/>
      <c r="AX501" s="115"/>
      <c r="AY501" s="115"/>
      <c r="AZ501" s="115"/>
      <c r="BA501" s="115"/>
      <c r="BB501" s="115"/>
      <c r="BC501" s="115"/>
      <c r="BD501" s="115"/>
      <c r="BE501" s="74"/>
      <c r="BF501" s="74"/>
      <c r="BG501" s="74"/>
    </row>
    <row r="502" spans="1:59" s="75" customFormat="1" ht="15" customHeight="1">
      <c r="A502" s="555" t="s">
        <v>2451</v>
      </c>
      <c r="B502" s="217" t="str">
        <f t="shared" si="733"/>
        <v>100</v>
      </c>
      <c r="C502" s="217" t="str">
        <f t="shared" si="734"/>
        <v>17</v>
      </c>
      <c r="D502" s="101" t="str">
        <f t="shared" si="735"/>
        <v>172</v>
      </c>
      <c r="E502" s="217" t="str">
        <f t="shared" si="736"/>
        <v>100-17-172</v>
      </c>
      <c r="F502" s="294" t="str">
        <f t="shared" si="737"/>
        <v>53517</v>
      </c>
      <c r="G502" s="295" t="str">
        <f>VLOOKUP(F502,'GL Category'!A:C,3,FALSE)</f>
        <v>Services &amp; other</v>
      </c>
      <c r="H502" s="98" t="str">
        <f>VLOOKUP(F502,'GL Category'!A:C,2,FALSE)</f>
        <v>MEDICAL SERVICES</v>
      </c>
      <c r="I502" s="99">
        <f>SUMIF(Import!$B:$B,$A502,Import!D:D)</f>
        <v>0</v>
      </c>
      <c r="J502" s="99">
        <f>SUMIF(Import!$B:$B,$A502,Import!E:E)</f>
        <v>0</v>
      </c>
      <c r="K502" s="99">
        <f>SUMIF(Import!$B:$B,$A502,Import!F:F)</f>
        <v>0</v>
      </c>
      <c r="L502" s="99">
        <f>SUMIF(Import!$B:$B,$A502,Import!G:G)</f>
        <v>0</v>
      </c>
      <c r="M502" s="99">
        <f>SUMIF(Import!$B:$B,$A502,Import!H:H)</f>
        <v>0</v>
      </c>
      <c r="N502" s="99">
        <f>SUMIF(Import!$B:$B,$A502,Import!I:I)</f>
        <v>0</v>
      </c>
      <c r="O502" s="99">
        <f>SUMIF(Import!$B:$B,$A502,Import!J:J)</f>
        <v>0</v>
      </c>
      <c r="P502" s="99">
        <f t="shared" si="738"/>
        <v>0</v>
      </c>
      <c r="Q502" s="99">
        <f>SUMIF(Import!$B:$B,$A502,Import!K:K)</f>
        <v>0</v>
      </c>
      <c r="R502" s="99">
        <f>SUMIF(Import!$B:$B,$A502,Import!L:L)</f>
        <v>0</v>
      </c>
      <c r="S502" s="99">
        <f>SUMIF(Import!$B:$B,$A502,Import!M:M)</f>
        <v>0</v>
      </c>
      <c r="T502" s="99">
        <f>SUMIF(Import!$B:$B,$A502,Import!N:N)</f>
        <v>0</v>
      </c>
      <c r="U502" s="99">
        <f t="shared" si="739"/>
        <v>0</v>
      </c>
      <c r="V502" s="255" t="str">
        <f t="shared" si="740"/>
        <v>N/A</v>
      </c>
      <c r="W502" s="102" t="s">
        <v>2451</v>
      </c>
      <c r="X502" s="102"/>
      <c r="Y502" s="102"/>
      <c r="Z502" s="614"/>
      <c r="AA502" s="615"/>
      <c r="AB502" s="624"/>
      <c r="AC502" s="625"/>
      <c r="AD502" s="625"/>
      <c r="AE502" s="625"/>
      <c r="AF502" s="625"/>
      <c r="AG502" s="625"/>
      <c r="AH502" s="623"/>
      <c r="AI502" s="624"/>
      <c r="AJ502" s="626"/>
      <c r="AK502" s="626"/>
      <c r="AL502" s="626"/>
      <c r="AM502" s="626"/>
      <c r="AN502" s="626"/>
      <c r="AO502" s="192"/>
      <c r="AP502" s="192"/>
      <c r="AQ502" s="192"/>
      <c r="AR502" s="115"/>
      <c r="AS502" s="115"/>
      <c r="AT502" s="115"/>
      <c r="AU502" s="115"/>
      <c r="AV502" s="115"/>
      <c r="AW502" s="115"/>
      <c r="AX502" s="115"/>
      <c r="AY502" s="115"/>
      <c r="AZ502" s="115"/>
      <c r="BA502" s="115"/>
      <c r="BB502" s="115"/>
      <c r="BC502" s="115"/>
      <c r="BD502" s="115"/>
      <c r="BE502" s="74"/>
      <c r="BF502" s="74"/>
      <c r="BG502" s="74"/>
    </row>
    <row r="503" spans="1:59" s="115" customFormat="1" ht="15" customHeight="1">
      <c r="A503" s="555" t="s">
        <v>2452</v>
      </c>
      <c r="B503" s="217" t="str">
        <f t="shared" si="733"/>
        <v>100</v>
      </c>
      <c r="C503" s="217" t="str">
        <f t="shared" si="734"/>
        <v>17</v>
      </c>
      <c r="D503" s="101" t="str">
        <f t="shared" si="735"/>
        <v>172</v>
      </c>
      <c r="E503" s="217" t="str">
        <f t="shared" si="736"/>
        <v>100-17-172</v>
      </c>
      <c r="F503" s="294" t="str">
        <f t="shared" si="737"/>
        <v>53522</v>
      </c>
      <c r="G503" s="295" t="str">
        <f>VLOOKUP(F503,'GL Category'!A:C,3,FALSE)</f>
        <v>Services &amp; other</v>
      </c>
      <c r="H503" s="98" t="str">
        <f>VLOOKUP(F503,'GL Category'!A:C,2,FALSE)</f>
        <v>ADVERTISING &amp; RECORDING</v>
      </c>
      <c r="I503" s="99">
        <f>SUMIF(Import!$B:$B,$A503,Import!D:D)</f>
        <v>0</v>
      </c>
      <c r="J503" s="99">
        <f>SUMIF(Import!$B:$B,$A503,Import!E:E)</f>
        <v>0</v>
      </c>
      <c r="K503" s="99">
        <f>SUMIF(Import!$B:$B,$A503,Import!F:F)</f>
        <v>0</v>
      </c>
      <c r="L503" s="99">
        <f>SUMIF(Import!$B:$B,$A503,Import!G:G)</f>
        <v>0</v>
      </c>
      <c r="M503" s="99">
        <f>SUMIF(Import!$B:$B,$A503,Import!H:H)</f>
        <v>0</v>
      </c>
      <c r="N503" s="99">
        <f>SUMIF(Import!$B:$B,$A503,Import!I:I)</f>
        <v>0</v>
      </c>
      <c r="O503" s="99">
        <f>SUMIF(Import!$B:$B,$A503,Import!J:J)</f>
        <v>0</v>
      </c>
      <c r="P503" s="99">
        <f t="shared" si="738"/>
        <v>0</v>
      </c>
      <c r="Q503" s="99">
        <f>SUMIF(Import!$B:$B,$A503,Import!K:K)</f>
        <v>0</v>
      </c>
      <c r="R503" s="99">
        <f>SUMIF(Import!$B:$B,$A503,Import!L:L)</f>
        <v>0</v>
      </c>
      <c r="S503" s="99">
        <f>SUMIF(Import!$B:$B,$A503,Import!M:M)</f>
        <v>0</v>
      </c>
      <c r="T503" s="99">
        <f>SUMIF(Import!$B:$B,$A503,Import!N:N)</f>
        <v>0</v>
      </c>
      <c r="U503" s="99">
        <f t="shared" si="739"/>
        <v>0</v>
      </c>
      <c r="V503" s="255" t="str">
        <f t="shared" si="740"/>
        <v>N/A</v>
      </c>
      <c r="W503" s="102" t="s">
        <v>2452</v>
      </c>
      <c r="X503" s="102"/>
      <c r="Y503" s="102"/>
      <c r="Z503" s="192"/>
      <c r="AA503" s="615"/>
      <c r="AB503" s="307"/>
      <c r="AC503" s="300"/>
      <c r="AD503" s="300"/>
      <c r="AE503" s="300"/>
      <c r="AF503" s="300"/>
      <c r="AG503" s="300"/>
      <c r="AH503" s="307"/>
      <c r="AI503" s="307"/>
      <c r="AJ503" s="300"/>
      <c r="AK503" s="300"/>
      <c r="AL503" s="300"/>
      <c r="AM503" s="300"/>
      <c r="AN503" s="300"/>
      <c r="AO503" s="192"/>
      <c r="AP503" s="192"/>
      <c r="AQ503" s="192"/>
    </row>
    <row r="504" spans="1:59" s="115" customFormat="1" ht="15" customHeight="1">
      <c r="A504" s="555" t="s">
        <v>2453</v>
      </c>
      <c r="B504" s="217" t="str">
        <f t="shared" si="733"/>
        <v>100</v>
      </c>
      <c r="C504" s="217" t="str">
        <f t="shared" si="734"/>
        <v>17</v>
      </c>
      <c r="D504" s="101" t="str">
        <f t="shared" si="735"/>
        <v>172</v>
      </c>
      <c r="E504" s="217" t="str">
        <f t="shared" si="736"/>
        <v>100-17-172</v>
      </c>
      <c r="F504" s="294" t="str">
        <f t="shared" si="737"/>
        <v>53527</v>
      </c>
      <c r="G504" s="295" t="str">
        <f>VLOOKUP(F504,'GL Category'!A:C,3,FALSE)</f>
        <v>Services &amp; other</v>
      </c>
      <c r="H504" s="98" t="str">
        <f>VLOOKUP(F504,'GL Category'!A:C,2,FALSE)</f>
        <v>EMPLOYEE ACTIVITIES</v>
      </c>
      <c r="I504" s="99">
        <f>SUMIF(Import!$B:$B,$A504,Import!D:D)</f>
        <v>0</v>
      </c>
      <c r="J504" s="99">
        <f>SUMIF(Import!$B:$B,$A504,Import!E:E)</f>
        <v>0</v>
      </c>
      <c r="K504" s="99">
        <f>SUMIF(Import!$B:$B,$A504,Import!F:F)</f>
        <v>0</v>
      </c>
      <c r="L504" s="99">
        <f>SUMIF(Import!$B:$B,$A504,Import!G:G)</f>
        <v>0</v>
      </c>
      <c r="M504" s="99">
        <f>SUMIF(Import!$B:$B,$A504,Import!H:H)</f>
        <v>0</v>
      </c>
      <c r="N504" s="99">
        <f>SUMIF(Import!$B:$B,$A504,Import!I:I)</f>
        <v>0</v>
      </c>
      <c r="O504" s="99">
        <f>SUMIF(Import!$B:$B,$A504,Import!J:J)</f>
        <v>0</v>
      </c>
      <c r="P504" s="99">
        <f t="shared" si="738"/>
        <v>0</v>
      </c>
      <c r="Q504" s="99">
        <f>SUMIF(Import!$B:$B,$A504,Import!K:K)</f>
        <v>0</v>
      </c>
      <c r="R504" s="99">
        <f>SUMIF(Import!$B:$B,$A504,Import!L:L)</f>
        <v>0</v>
      </c>
      <c r="S504" s="99">
        <f>SUMIF(Import!$B:$B,$A504,Import!M:M)</f>
        <v>0</v>
      </c>
      <c r="T504" s="99">
        <f>SUMIF(Import!$B:$B,$A504,Import!N:N)</f>
        <v>0</v>
      </c>
      <c r="U504" s="99">
        <f t="shared" si="739"/>
        <v>0</v>
      </c>
      <c r="V504" s="255" t="str">
        <f t="shared" si="740"/>
        <v>N/A</v>
      </c>
      <c r="W504" s="102" t="s">
        <v>2453</v>
      </c>
      <c r="X504" s="102"/>
      <c r="Y504" s="102"/>
      <c r="Z504" s="192"/>
      <c r="AA504" s="615"/>
      <c r="AB504" s="307"/>
      <c r="AC504" s="300"/>
      <c r="AD504" s="300"/>
      <c r="AE504" s="300"/>
      <c r="AF504" s="300"/>
      <c r="AG504" s="300"/>
      <c r="AH504" s="307"/>
      <c r="AI504" s="307"/>
      <c r="AJ504" s="300"/>
      <c r="AK504" s="300"/>
      <c r="AL504" s="300"/>
      <c r="AM504" s="300"/>
      <c r="AN504" s="300"/>
      <c r="AO504" s="192"/>
      <c r="AP504" s="192"/>
      <c r="AQ504" s="192"/>
    </row>
    <row r="505" spans="1:59" s="115" customFormat="1" ht="15" customHeight="1">
      <c r="A505" s="555" t="s">
        <v>2454</v>
      </c>
      <c r="B505" s="217" t="str">
        <f t="shared" si="733"/>
        <v>100</v>
      </c>
      <c r="C505" s="217" t="str">
        <f t="shared" si="734"/>
        <v>17</v>
      </c>
      <c r="D505" s="101" t="str">
        <f t="shared" si="735"/>
        <v>172</v>
      </c>
      <c r="E505" s="217" t="str">
        <f t="shared" si="736"/>
        <v>100-17-172</v>
      </c>
      <c r="F505" s="294" t="str">
        <f t="shared" si="737"/>
        <v>53533</v>
      </c>
      <c r="G505" s="295" t="str">
        <f>VLOOKUP(F505,'GL Category'!A:C,3,FALSE)</f>
        <v>Services &amp; other</v>
      </c>
      <c r="H505" s="98" t="str">
        <f>VLOOKUP(F505,'GL Category'!A:C,2,FALSE)</f>
        <v>EMPLOYEE RECRUITING/TESTING</v>
      </c>
      <c r="I505" s="99">
        <f>SUMIF(Import!$B:$B,$A505,Import!D:D)</f>
        <v>0</v>
      </c>
      <c r="J505" s="99">
        <f>SUMIF(Import!$B:$B,$A505,Import!E:E)</f>
        <v>0</v>
      </c>
      <c r="K505" s="99">
        <f>SUMIF(Import!$B:$B,$A505,Import!F:F)</f>
        <v>0</v>
      </c>
      <c r="L505" s="99">
        <f>SUMIF(Import!$B:$B,$A505,Import!G:G)</f>
        <v>0</v>
      </c>
      <c r="M505" s="99">
        <f>SUMIF(Import!$B:$B,$A505,Import!H:H)</f>
        <v>0</v>
      </c>
      <c r="N505" s="99">
        <f>SUMIF(Import!$B:$B,$A505,Import!I:I)</f>
        <v>0</v>
      </c>
      <c r="O505" s="99">
        <f>SUMIF(Import!$B:$B,$A505,Import!J:J)</f>
        <v>0</v>
      </c>
      <c r="P505" s="99">
        <f t="shared" si="738"/>
        <v>0</v>
      </c>
      <c r="Q505" s="99">
        <f>SUMIF(Import!$B:$B,$A505,Import!K:K)</f>
        <v>0</v>
      </c>
      <c r="R505" s="99">
        <f>SUMIF(Import!$B:$B,$A505,Import!L:L)</f>
        <v>0</v>
      </c>
      <c r="S505" s="99">
        <f>SUMIF(Import!$B:$B,$A505,Import!M:M)</f>
        <v>0</v>
      </c>
      <c r="T505" s="99">
        <f>SUMIF(Import!$B:$B,$A505,Import!N:N)</f>
        <v>0</v>
      </c>
      <c r="U505" s="99">
        <f t="shared" si="739"/>
        <v>0</v>
      </c>
      <c r="V505" s="255" t="str">
        <f t="shared" si="740"/>
        <v>N/A</v>
      </c>
      <c r="W505" s="102" t="s">
        <v>2454</v>
      </c>
      <c r="X505" s="102"/>
      <c r="Y505" s="102"/>
      <c r="Z505" s="192"/>
      <c r="AA505" s="615"/>
      <c r="AB505" s="307"/>
      <c r="AC505" s="300"/>
      <c r="AD505" s="300"/>
      <c r="AE505" s="300"/>
      <c r="AF505" s="300"/>
      <c r="AG505" s="300"/>
      <c r="AH505" s="307"/>
      <c r="AI505" s="307"/>
      <c r="AJ505" s="300"/>
      <c r="AK505" s="300"/>
      <c r="AL505" s="300"/>
      <c r="AM505" s="300"/>
      <c r="AN505" s="300"/>
      <c r="AO505" s="192"/>
      <c r="AP505" s="192"/>
      <c r="AQ505" s="192"/>
    </row>
    <row r="506" spans="1:59" s="115" customFormat="1" ht="15" customHeight="1">
      <c r="A506" s="555" t="s">
        <v>2455</v>
      </c>
      <c r="B506" s="217" t="str">
        <f t="shared" si="733"/>
        <v>100</v>
      </c>
      <c r="C506" s="217" t="str">
        <f t="shared" si="734"/>
        <v>17</v>
      </c>
      <c r="D506" s="101" t="str">
        <f t="shared" si="735"/>
        <v>172</v>
      </c>
      <c r="E506" s="217" t="str">
        <f t="shared" si="736"/>
        <v>100-17-172</v>
      </c>
      <c r="F506" s="294" t="str">
        <f t="shared" si="737"/>
        <v>53552</v>
      </c>
      <c r="G506" s="295" t="str">
        <f>VLOOKUP(F506,'GL Category'!A:C,3,FALSE)</f>
        <v>Services &amp; other</v>
      </c>
      <c r="H506" s="98" t="str">
        <f>VLOOKUP(F506,'GL Category'!A:C,2,FALSE)</f>
        <v>INVESTIGATIVE SERVICES</v>
      </c>
      <c r="I506" s="99">
        <f>SUMIF(Import!$B:$B,$A506,Import!D:D)</f>
        <v>0</v>
      </c>
      <c r="J506" s="99">
        <f>SUMIF(Import!$B:$B,$A506,Import!E:E)</f>
        <v>0</v>
      </c>
      <c r="K506" s="99">
        <f>SUMIF(Import!$B:$B,$A506,Import!F:F)</f>
        <v>0</v>
      </c>
      <c r="L506" s="99">
        <f>SUMIF(Import!$B:$B,$A506,Import!G:G)</f>
        <v>0</v>
      </c>
      <c r="M506" s="99">
        <f>SUMIF(Import!$B:$B,$A506,Import!H:H)</f>
        <v>0</v>
      </c>
      <c r="N506" s="99">
        <f>SUMIF(Import!$B:$B,$A506,Import!I:I)</f>
        <v>0</v>
      </c>
      <c r="O506" s="99">
        <f>SUMIF(Import!$B:$B,$A506,Import!J:J)</f>
        <v>0</v>
      </c>
      <c r="P506" s="99">
        <f t="shared" si="738"/>
        <v>0</v>
      </c>
      <c r="Q506" s="99">
        <f>SUMIF(Import!$B:$B,$A506,Import!K:K)</f>
        <v>0</v>
      </c>
      <c r="R506" s="99">
        <f>SUMIF(Import!$B:$B,$A506,Import!L:L)</f>
        <v>0</v>
      </c>
      <c r="S506" s="99">
        <f>SUMIF(Import!$B:$B,$A506,Import!M:M)</f>
        <v>0</v>
      </c>
      <c r="T506" s="99">
        <f>SUMIF(Import!$B:$B,$A506,Import!N:N)</f>
        <v>0</v>
      </c>
      <c r="U506" s="99">
        <f t="shared" si="739"/>
        <v>0</v>
      </c>
      <c r="V506" s="255" t="str">
        <f t="shared" si="740"/>
        <v>N/A</v>
      </c>
      <c r="W506" s="102" t="s">
        <v>2455</v>
      </c>
      <c r="X506" s="102"/>
      <c r="Y506" s="102"/>
      <c r="Z506" s="192"/>
      <c r="AA506" s="615"/>
      <c r="AB506" s="307"/>
      <c r="AC506" s="300"/>
      <c r="AD506" s="300"/>
      <c r="AE506" s="300"/>
      <c r="AF506" s="300"/>
      <c r="AG506" s="300"/>
      <c r="AH506" s="307"/>
      <c r="AI506" s="307"/>
      <c r="AJ506" s="300"/>
      <c r="AK506" s="300"/>
      <c r="AL506" s="300"/>
      <c r="AM506" s="300"/>
      <c r="AN506" s="300"/>
      <c r="AO506" s="192"/>
      <c r="AP506" s="192"/>
      <c r="AQ506" s="192"/>
    </row>
    <row r="507" spans="1:59" s="115" customFormat="1" ht="15" customHeight="1">
      <c r="A507" s="555" t="s">
        <v>2448</v>
      </c>
      <c r="B507" s="217" t="str">
        <f t="shared" si="733"/>
        <v>100</v>
      </c>
      <c r="C507" s="217" t="str">
        <f t="shared" si="734"/>
        <v>17</v>
      </c>
      <c r="D507" s="101" t="str">
        <f t="shared" si="735"/>
        <v>172</v>
      </c>
      <c r="E507" s="217" t="str">
        <f t="shared" si="736"/>
        <v>100-17-172</v>
      </c>
      <c r="F507" s="294" t="str">
        <f t="shared" si="737"/>
        <v>53599</v>
      </c>
      <c r="G507" s="295" t="str">
        <f>VLOOKUP(F507,'GL Category'!A:C,3,FALSE)</f>
        <v>Services &amp; other</v>
      </c>
      <c r="H507" s="98" t="str">
        <f>VLOOKUP(F507,'GL Category'!A:C,2,FALSE)</f>
        <v>MISCELLANEOUS SERVICES</v>
      </c>
      <c r="I507" s="99">
        <f>SUMIF(Import!$B:$B,$A507,Import!D:D)</f>
        <v>0</v>
      </c>
      <c r="J507" s="99">
        <f>SUMIF(Import!$B:$B,$A507,Import!E:E)</f>
        <v>0</v>
      </c>
      <c r="K507" s="99">
        <f>SUMIF(Import!$B:$B,$A507,Import!F:F)</f>
        <v>0</v>
      </c>
      <c r="L507" s="99">
        <f>SUMIF(Import!$B:$B,$A507,Import!G:G)</f>
        <v>0</v>
      </c>
      <c r="M507" s="99">
        <f>SUMIF(Import!$B:$B,$A507,Import!H:H)</f>
        <v>0</v>
      </c>
      <c r="N507" s="99">
        <f>SUMIF(Import!$B:$B,$A507,Import!I:I)</f>
        <v>0</v>
      </c>
      <c r="O507" s="99">
        <f>SUMIF(Import!$B:$B,$A507,Import!J:J)</f>
        <v>0</v>
      </c>
      <c r="P507" s="99">
        <f t="shared" si="738"/>
        <v>0</v>
      </c>
      <c r="Q507" s="99">
        <f>SUMIF(Import!$B:$B,$A507,Import!K:K)</f>
        <v>0</v>
      </c>
      <c r="R507" s="99">
        <f>SUMIF(Import!$B:$B,$A507,Import!L:L)</f>
        <v>0</v>
      </c>
      <c r="S507" s="99">
        <f>SUMIF(Import!$B:$B,$A507,Import!M:M)</f>
        <v>0</v>
      </c>
      <c r="T507" s="99">
        <f>SUMIF(Import!$B:$B,$A507,Import!N:N)</f>
        <v>0</v>
      </c>
      <c r="U507" s="99">
        <f t="shared" si="739"/>
        <v>0</v>
      </c>
      <c r="V507" s="255" t="str">
        <f t="shared" si="740"/>
        <v>N/A</v>
      </c>
      <c r="W507" s="102" t="s">
        <v>2448</v>
      </c>
      <c r="X507" s="102"/>
      <c r="Y507" s="102"/>
      <c r="Z507" s="192"/>
      <c r="AA507" s="615"/>
      <c r="AB507" s="307"/>
      <c r="AC507" s="300"/>
      <c r="AD507" s="300"/>
      <c r="AE507" s="300"/>
      <c r="AF507" s="300"/>
      <c r="AG507" s="300"/>
      <c r="AH507" s="307"/>
      <c r="AI507" s="307"/>
      <c r="AJ507" s="300"/>
      <c r="AK507" s="300"/>
      <c r="AL507" s="300"/>
      <c r="AM507" s="300"/>
      <c r="AN507" s="300"/>
      <c r="AO507" s="192"/>
      <c r="AP507" s="192"/>
      <c r="AQ507" s="192"/>
    </row>
    <row r="508" spans="1:59" s="115" customFormat="1" ht="15" customHeight="1">
      <c r="A508" s="555" t="s">
        <v>2456</v>
      </c>
      <c r="B508" s="217" t="str">
        <f t="shared" si="733"/>
        <v>100</v>
      </c>
      <c r="C508" s="217" t="str">
        <f t="shared" si="734"/>
        <v>17</v>
      </c>
      <c r="D508" s="101" t="str">
        <f t="shared" si="735"/>
        <v>172</v>
      </c>
      <c r="E508" s="217" t="str">
        <f t="shared" si="736"/>
        <v>100-17-172</v>
      </c>
      <c r="F508" s="294" t="str">
        <f t="shared" si="737"/>
        <v>55119</v>
      </c>
      <c r="G508" s="295" t="str">
        <f>VLOOKUP(F508,'GL Category'!A:C,3,FALSE)</f>
        <v>Services &amp; other</v>
      </c>
      <c r="H508" s="98" t="str">
        <f>VLOOKUP(F508,'GL Category'!A:C,2,FALSE)</f>
        <v>OFFICE EQUIP LEASE EXP-CITY</v>
      </c>
      <c r="I508" s="99">
        <f>SUMIF(Import!$B:$B,$A508,Import!D:D)</f>
        <v>0</v>
      </c>
      <c r="J508" s="99">
        <f>SUMIF(Import!$B:$B,$A508,Import!E:E)</f>
        <v>0</v>
      </c>
      <c r="K508" s="99">
        <f>SUMIF(Import!$B:$B,$A508,Import!F:F)</f>
        <v>0</v>
      </c>
      <c r="L508" s="99">
        <f>SUMIF(Import!$B:$B,$A508,Import!G:G)</f>
        <v>0</v>
      </c>
      <c r="M508" s="99">
        <f>SUMIF(Import!$B:$B,$A508,Import!H:H)</f>
        <v>0</v>
      </c>
      <c r="N508" s="99">
        <f>SUMIF(Import!$B:$B,$A508,Import!I:I)</f>
        <v>0</v>
      </c>
      <c r="O508" s="99">
        <f>SUMIF(Import!$B:$B,$A508,Import!J:J)</f>
        <v>0</v>
      </c>
      <c r="P508" s="99">
        <f t="shared" si="738"/>
        <v>0</v>
      </c>
      <c r="Q508" s="99">
        <f>SUMIF(Import!$B:$B,$A508,Import!K:K)</f>
        <v>0</v>
      </c>
      <c r="R508" s="99">
        <f>SUMIF(Import!$B:$B,$A508,Import!L:L)</f>
        <v>0</v>
      </c>
      <c r="S508" s="99">
        <f>SUMIF(Import!$B:$B,$A508,Import!M:M)</f>
        <v>0</v>
      </c>
      <c r="T508" s="99">
        <f>SUMIF(Import!$B:$B,$A508,Import!N:N)</f>
        <v>0</v>
      </c>
      <c r="U508" s="99">
        <f t="shared" si="739"/>
        <v>0</v>
      </c>
      <c r="V508" s="255" t="str">
        <f t="shared" si="740"/>
        <v>N/A</v>
      </c>
      <c r="W508" s="102" t="s">
        <v>2456</v>
      </c>
      <c r="X508" s="102"/>
      <c r="Y508" s="102"/>
      <c r="Z508" s="192"/>
      <c r="AA508" s="615"/>
      <c r="AB508" s="307"/>
      <c r="AC508" s="300"/>
      <c r="AD508" s="300"/>
      <c r="AE508" s="300"/>
      <c r="AF508" s="300"/>
      <c r="AG508" s="300"/>
      <c r="AH508" s="307"/>
      <c r="AI508" s="307"/>
      <c r="AJ508" s="300"/>
      <c r="AK508" s="300"/>
      <c r="AL508" s="300"/>
      <c r="AM508" s="300"/>
      <c r="AN508" s="300"/>
      <c r="AO508" s="192"/>
      <c r="AP508" s="192"/>
      <c r="AQ508" s="192"/>
    </row>
    <row r="509" spans="1:59" s="115" customFormat="1" ht="15" customHeight="1">
      <c r="A509" s="297"/>
      <c r="B509" s="217"/>
      <c r="C509" s="217"/>
      <c r="D509" s="101"/>
      <c r="E509" s="101"/>
      <c r="F509" s="294"/>
      <c r="G509" s="295"/>
      <c r="H509" s="107" t="str">
        <f>UPPER(G508)&amp;" TOTAL"</f>
        <v>SERVICES &amp; OTHER TOTAL</v>
      </c>
      <c r="I509" s="108">
        <f t="shared" ref="I509" si="741">SUBTOTAL(9,I500:I508)</f>
        <v>0</v>
      </c>
      <c r="J509" s="108">
        <f t="shared" ref="J509:T509" si="742">SUBTOTAL(9,J500:J508)</f>
        <v>0</v>
      </c>
      <c r="K509" s="108">
        <f t="shared" ref="K509" si="743">SUBTOTAL(9,K500:K508)</f>
        <v>0</v>
      </c>
      <c r="L509" s="108">
        <f t="shared" ref="L509" si="744">SUBTOTAL(9,L500:L508)</f>
        <v>0</v>
      </c>
      <c r="M509" s="108">
        <f t="shared" si="742"/>
        <v>0</v>
      </c>
      <c r="N509" s="108">
        <f t="shared" ref="N509" si="745">SUBTOTAL(9,N500:N508)</f>
        <v>0</v>
      </c>
      <c r="O509" s="108">
        <f t="shared" si="742"/>
        <v>0</v>
      </c>
      <c r="P509" s="108">
        <f t="shared" si="742"/>
        <v>0</v>
      </c>
      <c r="Q509" s="108">
        <f t="shared" si="742"/>
        <v>0</v>
      </c>
      <c r="R509" s="108">
        <f t="shared" si="742"/>
        <v>0</v>
      </c>
      <c r="S509" s="108">
        <f t="shared" si="742"/>
        <v>0</v>
      </c>
      <c r="T509" s="108">
        <f t="shared" si="742"/>
        <v>0</v>
      </c>
      <c r="U509" s="99">
        <f>T509-M509</f>
        <v>0</v>
      </c>
      <c r="V509" s="255" t="str">
        <f>IF(M509=0,"N/A",T509/M509-1)</f>
        <v>N/A</v>
      </c>
      <c r="W509" s="102"/>
      <c r="X509" s="102"/>
      <c r="Y509" s="102"/>
      <c r="Z509" s="192"/>
      <c r="AA509" s="615"/>
      <c r="AB509" s="307"/>
      <c r="AC509" s="300"/>
      <c r="AD509" s="300"/>
      <c r="AE509" s="300"/>
      <c r="AF509" s="300"/>
      <c r="AG509" s="300"/>
      <c r="AH509" s="307"/>
      <c r="AI509" s="307"/>
      <c r="AJ509" s="300"/>
      <c r="AK509" s="300"/>
      <c r="AL509" s="300"/>
      <c r="AM509" s="300"/>
      <c r="AN509" s="300"/>
      <c r="AO509" s="192"/>
      <c r="AP509" s="192"/>
      <c r="AQ509" s="192"/>
    </row>
    <row r="510" spans="1:59" s="115" customFormat="1" ht="15" customHeight="1">
      <c r="A510" s="297"/>
      <c r="B510" s="217"/>
      <c r="C510" s="217"/>
      <c r="D510" s="101"/>
      <c r="E510" s="101"/>
      <c r="F510" s="294"/>
      <c r="G510" s="295"/>
      <c r="H510" s="98"/>
      <c r="I510" s="106"/>
      <c r="J510" s="106"/>
      <c r="K510" s="106"/>
      <c r="L510" s="106"/>
      <c r="M510" s="106"/>
      <c r="N510" s="112"/>
      <c r="O510" s="112"/>
      <c r="P510" s="112"/>
      <c r="Q510" s="113"/>
      <c r="R510" s="212"/>
      <c r="S510" s="212"/>
      <c r="T510" s="113"/>
      <c r="U510" s="113"/>
      <c r="V510" s="113"/>
      <c r="W510" s="102"/>
      <c r="X510" s="102"/>
      <c r="Y510" s="102"/>
      <c r="Z510" s="192"/>
      <c r="AA510" s="615"/>
      <c r="AB510" s="307"/>
      <c r="AC510" s="94"/>
      <c r="AD510" s="94"/>
      <c r="AE510" s="94"/>
      <c r="AF510" s="94"/>
      <c r="AG510" s="94"/>
      <c r="AH510" s="307"/>
      <c r="AI510" s="307"/>
      <c r="AJ510" s="94"/>
      <c r="AK510" s="94"/>
      <c r="AL510" s="94"/>
      <c r="AM510" s="94"/>
      <c r="AN510" s="94"/>
      <c r="AO510" s="192"/>
      <c r="AP510" s="192"/>
      <c r="AQ510" s="192"/>
    </row>
    <row r="511" spans="1:59" s="115" customFormat="1" ht="15" customHeight="1">
      <c r="A511" s="297"/>
      <c r="B511" s="217"/>
      <c r="C511" s="217"/>
      <c r="D511" s="101"/>
      <c r="E511" s="101"/>
      <c r="F511" s="294"/>
      <c r="G511" s="295"/>
      <c r="H511" s="114" t="s">
        <v>763</v>
      </c>
      <c r="I511" s="108">
        <f t="shared" ref="I511" si="746">SUBTOTAL(9,I493:I510)</f>
        <v>0</v>
      </c>
      <c r="J511" s="108">
        <f t="shared" ref="J511:T511" si="747">SUBTOTAL(9,J493:J510)</f>
        <v>0</v>
      </c>
      <c r="K511" s="108">
        <f t="shared" ref="K511" si="748">SUBTOTAL(9,K493:K510)</f>
        <v>0</v>
      </c>
      <c r="L511" s="108">
        <f t="shared" ref="L511" si="749">SUBTOTAL(9,L493:L510)</f>
        <v>0</v>
      </c>
      <c r="M511" s="108">
        <f t="shared" si="747"/>
        <v>0</v>
      </c>
      <c r="N511" s="108">
        <f t="shared" si="747"/>
        <v>0</v>
      </c>
      <c r="O511" s="108">
        <f t="shared" si="747"/>
        <v>0</v>
      </c>
      <c r="P511" s="108">
        <f t="shared" si="747"/>
        <v>0</v>
      </c>
      <c r="Q511" s="108">
        <f t="shared" si="747"/>
        <v>0</v>
      </c>
      <c r="R511" s="108">
        <f t="shared" si="747"/>
        <v>0</v>
      </c>
      <c r="S511" s="108">
        <f t="shared" si="747"/>
        <v>0</v>
      </c>
      <c r="T511" s="108">
        <f t="shared" si="747"/>
        <v>0</v>
      </c>
      <c r="U511" s="99">
        <f>T511-M511</f>
        <v>0</v>
      </c>
      <c r="V511" s="255" t="str">
        <f>IF(M511=0,"N/A",T511/M511-1)</f>
        <v>N/A</v>
      </c>
      <c r="W511" s="102"/>
      <c r="X511" s="102"/>
      <c r="Y511" s="102"/>
      <c r="Z511" s="192"/>
      <c r="AA511" s="615"/>
      <c r="AB511" s="307"/>
      <c r="AC511" s="300"/>
      <c r="AD511" s="300"/>
      <c r="AE511" s="300"/>
      <c r="AF511" s="300"/>
      <c r="AG511" s="300"/>
      <c r="AH511" s="307"/>
      <c r="AI511" s="307"/>
      <c r="AJ511" s="300"/>
      <c r="AK511" s="300"/>
      <c r="AL511" s="300"/>
      <c r="AM511" s="300"/>
      <c r="AN511" s="300"/>
      <c r="AO511" s="192"/>
      <c r="AP511" s="192"/>
      <c r="AQ511" s="192"/>
    </row>
    <row r="512" spans="1:59" s="115" customFormat="1" ht="15" customHeight="1" thickBot="1">
      <c r="A512" s="297"/>
      <c r="B512" s="217"/>
      <c r="C512" s="217"/>
      <c r="D512" s="101"/>
      <c r="E512" s="101"/>
      <c r="F512" s="294"/>
      <c r="G512" s="295"/>
      <c r="H512" s="98"/>
      <c r="I512" s="218"/>
      <c r="J512" s="218"/>
      <c r="K512" s="218"/>
      <c r="L512" s="218"/>
      <c r="M512" s="218"/>
      <c r="N512" s="96"/>
      <c r="O512" s="96"/>
      <c r="P512" s="96"/>
      <c r="Q512" s="212"/>
      <c r="R512" s="212"/>
      <c r="S512" s="212"/>
      <c r="T512" s="212"/>
      <c r="U512" s="212"/>
      <c r="V512" s="212"/>
      <c r="W512" s="102"/>
      <c r="X512" s="102"/>
      <c r="Y512" s="102"/>
      <c r="Z512" s="192"/>
      <c r="AA512" s="615"/>
      <c r="AB512" s="307"/>
      <c r="AC512" s="300"/>
      <c r="AD512" s="300"/>
      <c r="AE512" s="300"/>
      <c r="AF512" s="300"/>
      <c r="AG512" s="300"/>
      <c r="AH512" s="307"/>
      <c r="AI512" s="307"/>
      <c r="AJ512" s="300"/>
      <c r="AK512" s="300"/>
      <c r="AL512" s="300"/>
      <c r="AM512" s="300"/>
      <c r="AN512" s="300"/>
      <c r="AO512" s="192"/>
      <c r="AP512" s="192"/>
      <c r="AQ512" s="192"/>
    </row>
    <row r="513" spans="1:59" s="115" customFormat="1" ht="19.5" customHeight="1" thickBot="1">
      <c r="A513" s="297"/>
      <c r="B513" s="217"/>
      <c r="C513" s="217"/>
      <c r="D513" s="101"/>
      <c r="E513" s="101"/>
      <c r="F513" s="294"/>
      <c r="G513" s="295"/>
      <c r="H513" s="665" t="s">
        <v>616</v>
      </c>
      <c r="I513" s="666"/>
      <c r="J513" s="666"/>
      <c r="K513" s="666"/>
      <c r="L513" s="666"/>
      <c r="M513" s="666"/>
      <c r="N513" s="666"/>
      <c r="O513" s="666"/>
      <c r="P513" s="666"/>
      <c r="Q513" s="666"/>
      <c r="R513" s="666"/>
      <c r="S513" s="666"/>
      <c r="T513" s="667"/>
      <c r="U513" s="247"/>
      <c r="V513" s="247"/>
      <c r="W513" s="102"/>
      <c r="X513" s="102"/>
      <c r="Y513" s="102"/>
      <c r="Z513" s="192"/>
      <c r="AA513" s="615"/>
      <c r="AB513" s="307"/>
      <c r="AC513" s="300"/>
      <c r="AD513" s="300"/>
      <c r="AE513" s="300"/>
      <c r="AF513" s="300"/>
      <c r="AG513" s="300"/>
      <c r="AH513" s="307"/>
      <c r="AI513" s="307"/>
      <c r="AJ513" s="300"/>
      <c r="AK513" s="300"/>
      <c r="AL513" s="300"/>
      <c r="AM513" s="300"/>
      <c r="AN513" s="300"/>
      <c r="AO513" s="192"/>
      <c r="AP513" s="192"/>
      <c r="AQ513" s="192"/>
    </row>
    <row r="514" spans="1:59" s="115" customFormat="1" ht="15" customHeight="1">
      <c r="A514" s="297"/>
      <c r="B514" s="217"/>
      <c r="C514" s="217"/>
      <c r="D514" s="101"/>
      <c r="E514" s="101"/>
      <c r="F514" s="294"/>
      <c r="G514" s="295"/>
      <c r="H514" s="225"/>
      <c r="I514" s="225"/>
      <c r="J514" s="225"/>
      <c r="K514" s="225"/>
      <c r="L514" s="225"/>
      <c r="M514" s="225"/>
      <c r="N514" s="225"/>
      <c r="O514" s="225"/>
      <c r="P514" s="225"/>
      <c r="Q514" s="225"/>
      <c r="R514" s="225"/>
      <c r="S514" s="225"/>
      <c r="T514" s="225"/>
      <c r="U514" s="225"/>
      <c r="V514" s="225"/>
      <c r="W514" s="102"/>
      <c r="X514" s="102"/>
      <c r="Y514" s="102"/>
      <c r="Z514" s="192"/>
      <c r="AA514" s="615"/>
      <c r="AB514" s="307"/>
      <c r="AC514" s="300"/>
      <c r="AD514" s="300"/>
      <c r="AE514" s="300"/>
      <c r="AF514" s="300"/>
      <c r="AG514" s="300"/>
      <c r="AH514" s="307"/>
      <c r="AI514" s="307"/>
      <c r="AJ514" s="300"/>
      <c r="AK514" s="300"/>
      <c r="AL514" s="300"/>
      <c r="AM514" s="300"/>
      <c r="AN514" s="300"/>
      <c r="AO514" s="192"/>
      <c r="AP514" s="192"/>
      <c r="AQ514" s="192"/>
    </row>
    <row r="515" spans="1:59" s="115" customFormat="1" ht="15" customHeight="1">
      <c r="A515" s="555" t="s">
        <v>2457</v>
      </c>
      <c r="B515" s="217" t="str">
        <f t="shared" ref="B515:B520" si="750">LEFT(A515,3)</f>
        <v>100</v>
      </c>
      <c r="C515" s="217" t="str">
        <f t="shared" ref="C515:C520" si="751">MID(A515,5,2)</f>
        <v>17</v>
      </c>
      <c r="D515" s="101" t="str">
        <f t="shared" ref="D515:D520" si="752">MID(A515,8,3)</f>
        <v>175</v>
      </c>
      <c r="E515" s="217" t="str">
        <f t="shared" ref="E515:E520" si="753">LEFT(A515,10)</f>
        <v>100-17-175</v>
      </c>
      <c r="F515" s="294" t="str">
        <f t="shared" ref="F515:F520" si="754">RIGHT(A515,5)</f>
        <v>50101</v>
      </c>
      <c r="G515" s="295" t="str">
        <f>VLOOKUP(F515,'GL Category'!A:C,3,FALSE)</f>
        <v>Personnel services</v>
      </c>
      <c r="H515" s="98" t="str">
        <f>VLOOKUP(F515,'GL Category'!A:C,2,FALSE)</f>
        <v>EXEMPT SALARIES</v>
      </c>
      <c r="I515" s="99">
        <f>SUMIF(Import!$B:$B,$A515,Import!D:D)</f>
        <v>0</v>
      </c>
      <c r="J515" s="99">
        <f>SUMIF(Import!$B:$B,$A515,Import!E:E)</f>
        <v>0</v>
      </c>
      <c r="K515" s="99">
        <f>SUMIF(Import!$B:$B,$A515,Import!F:F)</f>
        <v>0</v>
      </c>
      <c r="L515" s="99">
        <f>SUMIF(Import!$B:$B,$A515,Import!G:G)</f>
        <v>0</v>
      </c>
      <c r="M515" s="99">
        <f>SUMIF(Import!$B:$B,$A515,Import!H:H)</f>
        <v>0</v>
      </c>
      <c r="N515" s="99">
        <f>SUMIF(Import!$B:$B,$A515,Import!I:I)</f>
        <v>0</v>
      </c>
      <c r="O515" s="99">
        <f>SUMIF(Import!$B:$B,$A515,Import!J:J)</f>
        <v>0</v>
      </c>
      <c r="P515" s="99">
        <f t="shared" ref="P515:P520" si="755">O515-M515</f>
        <v>0</v>
      </c>
      <c r="Q515" s="99">
        <f>SUMIF(Import!$B:$B,$A515,Import!K:K)</f>
        <v>0</v>
      </c>
      <c r="R515" s="99">
        <f>SUMIF(Import!$B:$B,$A515,Import!L:L)</f>
        <v>0</v>
      </c>
      <c r="S515" s="99">
        <f>SUMIF(Import!$B:$B,$A515,Import!M:M)</f>
        <v>0</v>
      </c>
      <c r="T515" s="99">
        <f>SUMIF(Import!$B:$B,$A515,Import!N:N)</f>
        <v>0</v>
      </c>
      <c r="U515" s="99">
        <f t="shared" ref="U515:U520" si="756">T515-M515</f>
        <v>0</v>
      </c>
      <c r="V515" s="255" t="str">
        <f t="shared" ref="V515:V520" si="757">IF(M515=0,"N/A",T515/M515-1)</f>
        <v>N/A</v>
      </c>
      <c r="W515" s="102" t="s">
        <v>2457</v>
      </c>
      <c r="X515" s="102"/>
      <c r="Y515" s="102"/>
      <c r="Z515" s="192"/>
      <c r="AA515" s="615"/>
      <c r="AB515" s="307"/>
      <c r="AC515" s="94"/>
      <c r="AD515" s="94"/>
      <c r="AE515" s="94"/>
      <c r="AF515" s="94"/>
      <c r="AG515" s="94"/>
      <c r="AH515" s="307"/>
      <c r="AI515" s="307"/>
      <c r="AJ515" s="94"/>
      <c r="AK515" s="94"/>
      <c r="AL515" s="94"/>
      <c r="AM515" s="94"/>
      <c r="AN515" s="94"/>
      <c r="AO515" s="192"/>
      <c r="AP515" s="192"/>
      <c r="AQ515" s="192"/>
    </row>
    <row r="516" spans="1:59" s="115" customFormat="1" ht="15" customHeight="1">
      <c r="A516" s="555" t="s">
        <v>2458</v>
      </c>
      <c r="B516" s="217" t="str">
        <f t="shared" si="750"/>
        <v>100</v>
      </c>
      <c r="C516" s="217" t="str">
        <f t="shared" si="751"/>
        <v>17</v>
      </c>
      <c r="D516" s="101" t="str">
        <f t="shared" si="752"/>
        <v>175</v>
      </c>
      <c r="E516" s="217" t="str">
        <f t="shared" si="753"/>
        <v>100-17-175</v>
      </c>
      <c r="F516" s="294" t="str">
        <f t="shared" si="754"/>
        <v>50111</v>
      </c>
      <c r="G516" s="295" t="str">
        <f>VLOOKUP(F516,'GL Category'!A:C,3,FALSE)</f>
        <v>Personnel services</v>
      </c>
      <c r="H516" s="98" t="str">
        <f>VLOOKUP(F516,'GL Category'!A:C,2,FALSE)</f>
        <v>LONGEVITY PAY</v>
      </c>
      <c r="I516" s="99">
        <f>SUMIF(Import!$B:$B,$A516,Import!D:D)</f>
        <v>0</v>
      </c>
      <c r="J516" s="99">
        <f>SUMIF(Import!$B:$B,$A516,Import!E:E)</f>
        <v>0</v>
      </c>
      <c r="K516" s="99">
        <f>SUMIF(Import!$B:$B,$A516,Import!F:F)</f>
        <v>0</v>
      </c>
      <c r="L516" s="99">
        <f>SUMIF(Import!$B:$B,$A516,Import!G:G)</f>
        <v>0</v>
      </c>
      <c r="M516" s="99">
        <f>SUMIF(Import!$B:$B,$A516,Import!H:H)</f>
        <v>0</v>
      </c>
      <c r="N516" s="99">
        <f>SUMIF(Import!$B:$B,$A516,Import!I:I)</f>
        <v>0</v>
      </c>
      <c r="O516" s="99">
        <f>SUMIF(Import!$B:$B,$A516,Import!J:J)</f>
        <v>0</v>
      </c>
      <c r="P516" s="99">
        <f t="shared" si="755"/>
        <v>0</v>
      </c>
      <c r="Q516" s="99">
        <f>SUMIF(Import!$B:$B,$A516,Import!K:K)</f>
        <v>0</v>
      </c>
      <c r="R516" s="99">
        <f>SUMIF(Import!$B:$B,$A516,Import!L:L)</f>
        <v>0</v>
      </c>
      <c r="S516" s="99">
        <f>SUMIF(Import!$B:$B,$A516,Import!M:M)</f>
        <v>0</v>
      </c>
      <c r="T516" s="99">
        <f>SUMIF(Import!$B:$B,$A516,Import!N:N)</f>
        <v>0</v>
      </c>
      <c r="U516" s="99">
        <f t="shared" si="756"/>
        <v>0</v>
      </c>
      <c r="V516" s="255" t="str">
        <f t="shared" si="757"/>
        <v>N/A</v>
      </c>
      <c r="W516" s="102" t="s">
        <v>2458</v>
      </c>
      <c r="X516" s="102"/>
      <c r="Y516" s="102"/>
      <c r="Z516" s="192"/>
      <c r="AA516" s="615"/>
      <c r="AB516" s="307"/>
      <c r="AC516" s="93"/>
      <c r="AD516" s="93"/>
      <c r="AE516" s="93"/>
      <c r="AF516" s="93"/>
      <c r="AG516" s="93"/>
      <c r="AH516" s="307"/>
      <c r="AI516" s="307"/>
      <c r="AJ516" s="93"/>
      <c r="AK516" s="93"/>
      <c r="AL516" s="93"/>
      <c r="AM516" s="93"/>
      <c r="AN516" s="93"/>
      <c r="AO516" s="192"/>
      <c r="AP516" s="192"/>
      <c r="AQ516" s="192"/>
    </row>
    <row r="517" spans="1:59" ht="15" customHeight="1">
      <c r="A517" s="555" t="s">
        <v>2459</v>
      </c>
      <c r="B517" s="217" t="str">
        <f t="shared" si="750"/>
        <v>100</v>
      </c>
      <c r="C517" s="217" t="str">
        <f t="shared" si="751"/>
        <v>17</v>
      </c>
      <c r="D517" s="101" t="str">
        <f t="shared" si="752"/>
        <v>175</v>
      </c>
      <c r="E517" s="217" t="str">
        <f t="shared" si="753"/>
        <v>100-17-175</v>
      </c>
      <c r="F517" s="294" t="str">
        <f t="shared" si="754"/>
        <v>50610</v>
      </c>
      <c r="G517" s="295" t="str">
        <f>VLOOKUP(F517,'GL Category'!A:C,3,FALSE)</f>
        <v>Personnel services</v>
      </c>
      <c r="H517" s="98" t="str">
        <f>VLOOKUP(F517,'GL Category'!A:C,2,FALSE)</f>
        <v>SOCIAL SECURITY</v>
      </c>
      <c r="I517" s="99">
        <f>SUMIF(Import!$B:$B,$A517,Import!D:D)</f>
        <v>0</v>
      </c>
      <c r="J517" s="99">
        <f>SUMIF(Import!$B:$B,$A517,Import!E:E)</f>
        <v>0</v>
      </c>
      <c r="K517" s="99">
        <f>SUMIF(Import!$B:$B,$A517,Import!F:F)</f>
        <v>0</v>
      </c>
      <c r="L517" s="99">
        <f>SUMIF(Import!$B:$B,$A517,Import!G:G)</f>
        <v>0</v>
      </c>
      <c r="M517" s="99">
        <f>SUMIF(Import!$B:$B,$A517,Import!H:H)</f>
        <v>0</v>
      </c>
      <c r="N517" s="99">
        <f>SUMIF(Import!$B:$B,$A517,Import!I:I)</f>
        <v>0</v>
      </c>
      <c r="O517" s="99">
        <f>SUMIF(Import!$B:$B,$A517,Import!J:J)</f>
        <v>0</v>
      </c>
      <c r="P517" s="99">
        <f t="shared" si="755"/>
        <v>0</v>
      </c>
      <c r="Q517" s="99">
        <f>SUMIF(Import!$B:$B,$A517,Import!K:K)</f>
        <v>0</v>
      </c>
      <c r="R517" s="99">
        <f>SUMIF(Import!$B:$B,$A517,Import!L:L)</f>
        <v>0</v>
      </c>
      <c r="S517" s="99">
        <f>SUMIF(Import!$B:$B,$A517,Import!M:M)</f>
        <v>0</v>
      </c>
      <c r="T517" s="99">
        <f>SUMIF(Import!$B:$B,$A517,Import!N:N)</f>
        <v>0</v>
      </c>
      <c r="U517" s="99">
        <f t="shared" si="756"/>
        <v>0</v>
      </c>
      <c r="V517" s="255" t="str">
        <f t="shared" si="757"/>
        <v>N/A</v>
      </c>
      <c r="W517" s="102" t="s">
        <v>2459</v>
      </c>
      <c r="X517" s="102"/>
      <c r="Y517" s="102"/>
      <c r="AA517" s="615"/>
      <c r="AC517" s="94"/>
      <c r="AD517" s="94"/>
      <c r="AE517" s="94"/>
      <c r="AF517" s="94"/>
      <c r="AG517" s="94"/>
      <c r="AJ517" s="94"/>
      <c r="AK517" s="94"/>
      <c r="AL517" s="94"/>
      <c r="AM517" s="94"/>
      <c r="AN517" s="94"/>
    </row>
    <row r="518" spans="1:59" ht="15" customHeight="1">
      <c r="A518" s="555" t="s">
        <v>2460</v>
      </c>
      <c r="B518" s="217" t="str">
        <f t="shared" si="750"/>
        <v>100</v>
      </c>
      <c r="C518" s="217" t="str">
        <f t="shared" si="751"/>
        <v>17</v>
      </c>
      <c r="D518" s="101" t="str">
        <f t="shared" si="752"/>
        <v>175</v>
      </c>
      <c r="E518" s="217" t="str">
        <f t="shared" si="753"/>
        <v>100-17-175</v>
      </c>
      <c r="F518" s="294" t="str">
        <f t="shared" si="754"/>
        <v>50620</v>
      </c>
      <c r="G518" s="295" t="str">
        <f>VLOOKUP(F518,'GL Category'!A:C,3,FALSE)</f>
        <v>Personnel services</v>
      </c>
      <c r="H518" s="98" t="str">
        <f>VLOOKUP(F518,'GL Category'!A:C,2,FALSE)</f>
        <v>HEALTH/LIFE INSURANCE</v>
      </c>
      <c r="I518" s="99">
        <f>SUMIF(Import!$B:$B,$A518,Import!D:D)</f>
        <v>0</v>
      </c>
      <c r="J518" s="99">
        <f>SUMIF(Import!$B:$B,$A518,Import!E:E)</f>
        <v>0</v>
      </c>
      <c r="K518" s="99">
        <f>SUMIF(Import!$B:$B,$A518,Import!F:F)</f>
        <v>0</v>
      </c>
      <c r="L518" s="99">
        <f>SUMIF(Import!$B:$B,$A518,Import!G:G)</f>
        <v>0</v>
      </c>
      <c r="M518" s="99">
        <f>SUMIF(Import!$B:$B,$A518,Import!H:H)</f>
        <v>0</v>
      </c>
      <c r="N518" s="99">
        <f>SUMIF(Import!$B:$B,$A518,Import!I:I)</f>
        <v>0</v>
      </c>
      <c r="O518" s="99">
        <f>SUMIF(Import!$B:$B,$A518,Import!J:J)</f>
        <v>0</v>
      </c>
      <c r="P518" s="99">
        <f t="shared" si="755"/>
        <v>0</v>
      </c>
      <c r="Q518" s="99">
        <f>SUMIF(Import!$B:$B,$A518,Import!K:K)</f>
        <v>0</v>
      </c>
      <c r="R518" s="99">
        <f>SUMIF(Import!$B:$B,$A518,Import!L:L)</f>
        <v>0</v>
      </c>
      <c r="S518" s="99">
        <f>SUMIF(Import!$B:$B,$A518,Import!M:M)</f>
        <v>0</v>
      </c>
      <c r="T518" s="99">
        <f>SUMIF(Import!$B:$B,$A518,Import!N:N)</f>
        <v>0</v>
      </c>
      <c r="U518" s="99">
        <f t="shared" si="756"/>
        <v>0</v>
      </c>
      <c r="V518" s="255" t="str">
        <f t="shared" si="757"/>
        <v>N/A</v>
      </c>
      <c r="W518" s="102" t="s">
        <v>2460</v>
      </c>
      <c r="X518" s="102"/>
      <c r="Y518" s="102"/>
      <c r="AA518" s="615"/>
      <c r="AC518" s="93"/>
      <c r="AD518" s="93"/>
      <c r="AE518" s="93"/>
      <c r="AF518" s="93"/>
      <c r="AG518" s="93"/>
      <c r="AJ518" s="93"/>
      <c r="AK518" s="93"/>
      <c r="AL518" s="93"/>
      <c r="AM518" s="93"/>
      <c r="AN518" s="93"/>
    </row>
    <row r="519" spans="1:59" ht="15" customHeight="1">
      <c r="A519" s="555" t="s">
        <v>2461</v>
      </c>
      <c r="B519" s="217" t="str">
        <f t="shared" si="750"/>
        <v>100</v>
      </c>
      <c r="C519" s="217" t="str">
        <f t="shared" si="751"/>
        <v>17</v>
      </c>
      <c r="D519" s="101" t="str">
        <f t="shared" si="752"/>
        <v>175</v>
      </c>
      <c r="E519" s="217" t="str">
        <f t="shared" si="753"/>
        <v>100-17-175</v>
      </c>
      <c r="F519" s="294" t="str">
        <f t="shared" si="754"/>
        <v>50630</v>
      </c>
      <c r="G519" s="295" t="str">
        <f>VLOOKUP(F519,'GL Category'!A:C,3,FALSE)</f>
        <v>Personnel services</v>
      </c>
      <c r="H519" s="98" t="str">
        <f>VLOOKUP(F519,'GL Category'!A:C,2,FALSE)</f>
        <v>WORKER COMPENSATION</v>
      </c>
      <c r="I519" s="99">
        <f>SUMIF(Import!$B:$B,$A519,Import!D:D)</f>
        <v>0</v>
      </c>
      <c r="J519" s="99">
        <f>SUMIF(Import!$B:$B,$A519,Import!E:E)</f>
        <v>0</v>
      </c>
      <c r="K519" s="99">
        <f>SUMIF(Import!$B:$B,$A519,Import!F:F)</f>
        <v>0</v>
      </c>
      <c r="L519" s="99">
        <f>SUMIF(Import!$B:$B,$A519,Import!G:G)</f>
        <v>0</v>
      </c>
      <c r="M519" s="99">
        <f>SUMIF(Import!$B:$B,$A519,Import!H:H)</f>
        <v>0</v>
      </c>
      <c r="N519" s="99">
        <f>SUMIF(Import!$B:$B,$A519,Import!I:I)</f>
        <v>0</v>
      </c>
      <c r="O519" s="99">
        <f>SUMIF(Import!$B:$B,$A519,Import!J:J)</f>
        <v>0</v>
      </c>
      <c r="P519" s="99">
        <f t="shared" si="755"/>
        <v>0</v>
      </c>
      <c r="Q519" s="99">
        <f>SUMIF(Import!$B:$B,$A519,Import!K:K)</f>
        <v>0</v>
      </c>
      <c r="R519" s="99">
        <f>SUMIF(Import!$B:$B,$A519,Import!L:L)</f>
        <v>0</v>
      </c>
      <c r="S519" s="99">
        <f>SUMIF(Import!$B:$B,$A519,Import!M:M)</f>
        <v>0</v>
      </c>
      <c r="T519" s="99">
        <f>SUMIF(Import!$B:$B,$A519,Import!N:N)</f>
        <v>0</v>
      </c>
      <c r="U519" s="99">
        <f t="shared" si="756"/>
        <v>0</v>
      </c>
      <c r="V519" s="255" t="str">
        <f t="shared" si="757"/>
        <v>N/A</v>
      </c>
      <c r="W519" s="102" t="s">
        <v>2461</v>
      </c>
      <c r="X519" s="102"/>
      <c r="Y519" s="102"/>
      <c r="AA519" s="615"/>
      <c r="AC519" s="92"/>
      <c r="AD519" s="92"/>
      <c r="AE519" s="92"/>
      <c r="AF519" s="92"/>
      <c r="AG519" s="92"/>
      <c r="AJ519" s="92"/>
      <c r="AK519" s="92"/>
      <c r="AL519" s="92"/>
      <c r="AM519" s="92"/>
      <c r="AN519" s="92"/>
    </row>
    <row r="520" spans="1:59" ht="15" customHeight="1">
      <c r="A520" s="555" t="s">
        <v>2462</v>
      </c>
      <c r="B520" s="217" t="str">
        <f t="shared" si="750"/>
        <v>100</v>
      </c>
      <c r="C520" s="217" t="str">
        <f t="shared" si="751"/>
        <v>17</v>
      </c>
      <c r="D520" s="101" t="str">
        <f t="shared" si="752"/>
        <v>175</v>
      </c>
      <c r="E520" s="217" t="str">
        <f t="shared" si="753"/>
        <v>100-17-175</v>
      </c>
      <c r="F520" s="294" t="str">
        <f t="shared" si="754"/>
        <v>50650</v>
      </c>
      <c r="G520" s="295" t="str">
        <f>VLOOKUP(F520,'GL Category'!A:C,3,FALSE)</f>
        <v>Personnel services</v>
      </c>
      <c r="H520" s="98" t="str">
        <f>VLOOKUP(F520,'GL Category'!A:C,2,FALSE)</f>
        <v>RETIREMENT</v>
      </c>
      <c r="I520" s="99">
        <f>SUMIF(Import!$B:$B,$A520,Import!D:D)</f>
        <v>0</v>
      </c>
      <c r="J520" s="99">
        <f>SUMIF(Import!$B:$B,$A520,Import!E:E)</f>
        <v>0</v>
      </c>
      <c r="K520" s="99">
        <f>SUMIF(Import!$B:$B,$A520,Import!F:F)</f>
        <v>0</v>
      </c>
      <c r="L520" s="99">
        <f>SUMIF(Import!$B:$B,$A520,Import!G:G)</f>
        <v>0</v>
      </c>
      <c r="M520" s="99">
        <f>SUMIF(Import!$B:$B,$A520,Import!H:H)</f>
        <v>0</v>
      </c>
      <c r="N520" s="99">
        <f>SUMIF(Import!$B:$B,$A520,Import!I:I)</f>
        <v>0</v>
      </c>
      <c r="O520" s="99">
        <f>SUMIF(Import!$B:$B,$A520,Import!J:J)</f>
        <v>0</v>
      </c>
      <c r="P520" s="99">
        <f t="shared" si="755"/>
        <v>0</v>
      </c>
      <c r="Q520" s="99">
        <f>SUMIF(Import!$B:$B,$A520,Import!K:K)</f>
        <v>0</v>
      </c>
      <c r="R520" s="99">
        <f>SUMIF(Import!$B:$B,$A520,Import!L:L)</f>
        <v>0</v>
      </c>
      <c r="S520" s="99">
        <f>SUMIF(Import!$B:$B,$A520,Import!M:M)</f>
        <v>0</v>
      </c>
      <c r="T520" s="99">
        <f>SUMIF(Import!$B:$B,$A520,Import!N:N)</f>
        <v>0</v>
      </c>
      <c r="U520" s="99">
        <f t="shared" si="756"/>
        <v>0</v>
      </c>
      <c r="V520" s="255" t="str">
        <f t="shared" si="757"/>
        <v>N/A</v>
      </c>
      <c r="W520" s="102" t="s">
        <v>2462</v>
      </c>
      <c r="X520" s="102"/>
      <c r="Y520" s="102"/>
      <c r="AA520" s="615"/>
    </row>
    <row r="521" spans="1:59" ht="15" customHeight="1">
      <c r="A521" s="297"/>
      <c r="B521" s="217"/>
      <c r="C521" s="217"/>
      <c r="D521" s="101"/>
      <c r="E521" s="101"/>
      <c r="F521" s="294"/>
      <c r="G521" s="295"/>
      <c r="H521" s="107" t="str">
        <f>UPPER(G520)&amp;" TOTAL"</f>
        <v>PERSONNEL SERVICES TOTAL</v>
      </c>
      <c r="I521" s="108">
        <f t="shared" ref="I521" si="758">SUBTOTAL(9,I515:I520)</f>
        <v>0</v>
      </c>
      <c r="J521" s="108">
        <f t="shared" ref="J521:P521" si="759">SUBTOTAL(9,J515:J520)</f>
        <v>0</v>
      </c>
      <c r="K521" s="108">
        <f t="shared" ref="K521" si="760">SUBTOTAL(9,K515:K520)</f>
        <v>0</v>
      </c>
      <c r="L521" s="108">
        <f t="shared" ref="L521" si="761">SUBTOTAL(9,L515:L520)</f>
        <v>0</v>
      </c>
      <c r="M521" s="108">
        <f t="shared" si="759"/>
        <v>0</v>
      </c>
      <c r="N521" s="109">
        <f t="shared" ref="N521" si="762">SUBTOTAL(9,N515:N520)</f>
        <v>0</v>
      </c>
      <c r="O521" s="109">
        <f t="shared" si="759"/>
        <v>0</v>
      </c>
      <c r="P521" s="109">
        <f t="shared" si="759"/>
        <v>0</v>
      </c>
      <c r="Q521" s="109">
        <f t="shared" ref="Q521:T521" si="763">SUBTOTAL(9,Q515:Q520)</f>
        <v>0</v>
      </c>
      <c r="R521" s="109">
        <f t="shared" si="763"/>
        <v>0</v>
      </c>
      <c r="S521" s="109">
        <f t="shared" si="763"/>
        <v>0</v>
      </c>
      <c r="T521" s="109">
        <f t="shared" si="763"/>
        <v>0</v>
      </c>
      <c r="U521" s="99">
        <f>T521-M521</f>
        <v>0</v>
      </c>
      <c r="V521" s="255" t="str">
        <f>IF(M521=0,"N/A",T521/M521-1)</f>
        <v>N/A</v>
      </c>
      <c r="W521" s="102"/>
      <c r="X521" s="102"/>
      <c r="Y521" s="102"/>
      <c r="AA521" s="615"/>
    </row>
    <row r="522" spans="1:59" s="75" customFormat="1" ht="15" customHeight="1">
      <c r="A522" s="297"/>
      <c r="B522" s="217"/>
      <c r="C522" s="217"/>
      <c r="D522" s="101"/>
      <c r="E522" s="101"/>
      <c r="F522" s="294"/>
      <c r="G522" s="295"/>
      <c r="H522" s="98"/>
      <c r="I522" s="106"/>
      <c r="J522" s="106"/>
      <c r="K522" s="106"/>
      <c r="L522" s="106"/>
      <c r="M522" s="106"/>
      <c r="N522" s="112"/>
      <c r="O522" s="112"/>
      <c r="P522" s="112"/>
      <c r="Q522" s="113"/>
      <c r="R522" s="113"/>
      <c r="S522" s="113"/>
      <c r="T522" s="113"/>
      <c r="U522" s="113"/>
      <c r="V522" s="113"/>
      <c r="W522" s="102"/>
      <c r="X522" s="102"/>
      <c r="Y522" s="102"/>
      <c r="Z522" s="614"/>
      <c r="AA522" s="615"/>
      <c r="AB522" s="624"/>
      <c r="AC522" s="623"/>
      <c r="AD522" s="623"/>
      <c r="AE522" s="623"/>
      <c r="AF522" s="623"/>
      <c r="AG522" s="623"/>
      <c r="AH522" s="623"/>
      <c r="AI522" s="624"/>
      <c r="AJ522" s="307"/>
      <c r="AK522" s="307"/>
      <c r="AL522" s="307"/>
      <c r="AM522" s="307"/>
      <c r="AN522" s="307"/>
      <c r="AO522" s="192"/>
      <c r="AP522" s="192"/>
      <c r="AQ522" s="192"/>
      <c r="AR522" s="115"/>
      <c r="AS522" s="115"/>
      <c r="AT522" s="115"/>
      <c r="AU522" s="115"/>
      <c r="AV522" s="115"/>
      <c r="AW522" s="115"/>
      <c r="AX522" s="115"/>
      <c r="AY522" s="115"/>
      <c r="AZ522" s="115"/>
      <c r="BA522" s="115"/>
      <c r="BB522" s="115"/>
      <c r="BC522" s="115"/>
      <c r="BD522" s="115"/>
      <c r="BE522" s="74"/>
      <c r="BF522" s="74"/>
      <c r="BG522" s="74"/>
    </row>
    <row r="523" spans="1:59" s="75" customFormat="1" ht="15" customHeight="1">
      <c r="A523" s="555" t="s">
        <v>2463</v>
      </c>
      <c r="B523" s="217" t="str">
        <f t="shared" ref="B523:B524" si="764">LEFT(A523,3)</f>
        <v>100</v>
      </c>
      <c r="C523" s="217" t="str">
        <f t="shared" ref="C523:C524" si="765">MID(A523,5,2)</f>
        <v>17</v>
      </c>
      <c r="D523" s="101" t="str">
        <f t="shared" ref="D523:D524" si="766">MID(A523,8,3)</f>
        <v>175</v>
      </c>
      <c r="E523" s="217" t="str">
        <f t="shared" ref="E523:E524" si="767">LEFT(A523,10)</f>
        <v>100-17-175</v>
      </c>
      <c r="F523" s="294" t="str">
        <f t="shared" ref="F523:F524" si="768">RIGHT(A523,5)</f>
        <v>51210</v>
      </c>
      <c r="G523" s="295" t="str">
        <f>VLOOKUP(F523,'GL Category'!A:C,3,FALSE)</f>
        <v>Operations &amp; maintenance</v>
      </c>
      <c r="H523" s="98" t="str">
        <f>VLOOKUP(F523,'GL Category'!A:C,2,FALSE)</f>
        <v>OFFICE SUPPLIES</v>
      </c>
      <c r="I523" s="99">
        <f>SUMIF(Import!$B:$B,$A523,Import!D:D)</f>
        <v>0</v>
      </c>
      <c r="J523" s="99">
        <f>SUMIF(Import!$B:$B,$A523,Import!E:E)</f>
        <v>0</v>
      </c>
      <c r="K523" s="99">
        <f>SUMIF(Import!$B:$B,$A523,Import!F:F)</f>
        <v>0</v>
      </c>
      <c r="L523" s="99">
        <f>SUMIF(Import!$B:$B,$A523,Import!G:G)</f>
        <v>0</v>
      </c>
      <c r="M523" s="99">
        <f>SUMIF(Import!$B:$B,$A523,Import!H:H)</f>
        <v>0</v>
      </c>
      <c r="N523" s="99">
        <f>SUMIF(Import!$B:$B,$A523,Import!I:I)</f>
        <v>0</v>
      </c>
      <c r="O523" s="99">
        <f>SUMIF(Import!$B:$B,$A523,Import!J:J)</f>
        <v>0</v>
      </c>
      <c r="P523" s="99">
        <f t="shared" ref="P523:P524" si="769">O523-M523</f>
        <v>0</v>
      </c>
      <c r="Q523" s="99">
        <f>SUMIF(Import!$B:$B,$A523,Import!K:K)</f>
        <v>0</v>
      </c>
      <c r="R523" s="99">
        <f>SUMIF(Import!$B:$B,$A523,Import!L:L)</f>
        <v>0</v>
      </c>
      <c r="S523" s="99">
        <f>SUMIF(Import!$B:$B,$A523,Import!M:M)</f>
        <v>0</v>
      </c>
      <c r="T523" s="99">
        <f>SUMIF(Import!$B:$B,$A523,Import!N:N)</f>
        <v>0</v>
      </c>
      <c r="U523" s="99">
        <f t="shared" ref="U523:U524" si="770">T523-M523</f>
        <v>0</v>
      </c>
      <c r="V523" s="255" t="str">
        <f t="shared" ref="V523:V524" si="771">IF(M523=0,"N/A",T523/M523-1)</f>
        <v>N/A</v>
      </c>
      <c r="W523" s="102" t="s">
        <v>2463</v>
      </c>
      <c r="X523" s="102"/>
      <c r="Y523" s="102"/>
      <c r="Z523" s="614"/>
      <c r="AA523" s="615"/>
      <c r="AB523" s="624"/>
      <c r="AC523" s="625"/>
      <c r="AD523" s="625"/>
      <c r="AE523" s="625"/>
      <c r="AF523" s="625"/>
      <c r="AG523" s="625"/>
      <c r="AH523" s="623"/>
      <c r="AI523" s="624"/>
      <c r="AJ523" s="626"/>
      <c r="AK523" s="626"/>
      <c r="AL523" s="626"/>
      <c r="AM523" s="626"/>
      <c r="AN523" s="626"/>
      <c r="AO523" s="192"/>
      <c r="AP523" s="192"/>
      <c r="AQ523" s="192"/>
      <c r="AR523" s="115"/>
      <c r="AS523" s="115"/>
      <c r="AT523" s="115"/>
      <c r="AU523" s="115"/>
      <c r="AV523" s="115"/>
      <c r="AW523" s="115"/>
      <c r="AX523" s="115"/>
      <c r="AY523" s="115"/>
      <c r="AZ523" s="115"/>
      <c r="BA523" s="115"/>
      <c r="BB523" s="115"/>
      <c r="BC523" s="115"/>
      <c r="BD523" s="115"/>
      <c r="BE523" s="74"/>
      <c r="BF523" s="74"/>
      <c r="BG523" s="74"/>
    </row>
    <row r="524" spans="1:59" ht="15" customHeight="1">
      <c r="A524" s="555" t="s">
        <v>2464</v>
      </c>
      <c r="B524" s="217" t="str">
        <f t="shared" si="764"/>
        <v>100</v>
      </c>
      <c r="C524" s="217" t="str">
        <f t="shared" si="765"/>
        <v>17</v>
      </c>
      <c r="D524" s="101" t="str">
        <f t="shared" si="766"/>
        <v>175</v>
      </c>
      <c r="E524" s="217" t="str">
        <f t="shared" si="767"/>
        <v>100-17-175</v>
      </c>
      <c r="F524" s="294" t="str">
        <f t="shared" si="768"/>
        <v>51257</v>
      </c>
      <c r="G524" s="295" t="str">
        <f>VLOOKUP(F524,'GL Category'!A:C,3,FALSE)</f>
        <v>Operations &amp; maintenance</v>
      </c>
      <c r="H524" s="98" t="str">
        <f>VLOOKUP(F524,'GL Category'!A:C,2,FALSE)</f>
        <v>MEETING SPONSORSHIP/SUPPLIES</v>
      </c>
      <c r="I524" s="99">
        <f>SUMIF(Import!$B:$B,$A524,Import!D:D)</f>
        <v>0</v>
      </c>
      <c r="J524" s="99">
        <f>SUMIF(Import!$B:$B,$A524,Import!E:E)</f>
        <v>0</v>
      </c>
      <c r="K524" s="99">
        <f>SUMIF(Import!$B:$B,$A524,Import!F:F)</f>
        <v>0</v>
      </c>
      <c r="L524" s="99">
        <f>SUMIF(Import!$B:$B,$A524,Import!G:G)</f>
        <v>0</v>
      </c>
      <c r="M524" s="99">
        <f>SUMIF(Import!$B:$B,$A524,Import!H:H)</f>
        <v>0</v>
      </c>
      <c r="N524" s="99">
        <f>SUMIF(Import!$B:$B,$A524,Import!I:I)</f>
        <v>0</v>
      </c>
      <c r="O524" s="99">
        <f>SUMIF(Import!$B:$B,$A524,Import!J:J)</f>
        <v>0</v>
      </c>
      <c r="P524" s="99">
        <f t="shared" si="769"/>
        <v>0</v>
      </c>
      <c r="Q524" s="99">
        <f>SUMIF(Import!$B:$B,$A524,Import!K:K)</f>
        <v>0</v>
      </c>
      <c r="R524" s="99">
        <f>SUMIF(Import!$B:$B,$A524,Import!L:L)</f>
        <v>0</v>
      </c>
      <c r="S524" s="99">
        <f>SUMIF(Import!$B:$B,$A524,Import!M:M)</f>
        <v>0</v>
      </c>
      <c r="T524" s="99">
        <f>SUMIF(Import!$B:$B,$A524,Import!N:N)</f>
        <v>0</v>
      </c>
      <c r="U524" s="99">
        <f t="shared" si="770"/>
        <v>0</v>
      </c>
      <c r="V524" s="255" t="str">
        <f t="shared" si="771"/>
        <v>N/A</v>
      </c>
      <c r="W524" s="102" t="s">
        <v>2464</v>
      </c>
      <c r="X524" s="102"/>
      <c r="Y524" s="102"/>
      <c r="AA524" s="615"/>
      <c r="AC524" s="300"/>
      <c r="AD524" s="300"/>
      <c r="AE524" s="300"/>
      <c r="AF524" s="300"/>
      <c r="AG524" s="300"/>
      <c r="AJ524" s="300"/>
      <c r="AK524" s="300"/>
      <c r="AL524" s="300"/>
      <c r="AM524" s="300"/>
      <c r="AN524" s="300"/>
    </row>
    <row r="525" spans="1:59" ht="26.1" customHeight="1">
      <c r="A525" s="297"/>
      <c r="B525" s="217"/>
      <c r="C525" s="217"/>
      <c r="D525" s="101"/>
      <c r="E525" s="101"/>
      <c r="F525" s="294"/>
      <c r="G525" s="295"/>
      <c r="H525" s="107" t="str">
        <f>UPPER(G524)&amp;" TOTAL"</f>
        <v>OPERATIONS &amp; MAINTENANCE TOTAL</v>
      </c>
      <c r="I525" s="108">
        <f t="shared" ref="I525" si="772">SUBTOTAL(9,I523:I524)</f>
        <v>0</v>
      </c>
      <c r="J525" s="108">
        <f t="shared" ref="J525:T525" si="773">SUBTOTAL(9,J523:J524)</f>
        <v>0</v>
      </c>
      <c r="K525" s="108">
        <f t="shared" ref="K525" si="774">SUBTOTAL(9,K523:K524)</f>
        <v>0</v>
      </c>
      <c r="L525" s="108">
        <f t="shared" ref="L525" si="775">SUBTOTAL(9,L523:L524)</f>
        <v>0</v>
      </c>
      <c r="M525" s="108">
        <f t="shared" si="773"/>
        <v>0</v>
      </c>
      <c r="N525" s="108">
        <f t="shared" ref="N525" si="776">SUBTOTAL(9,N523:N524)</f>
        <v>0</v>
      </c>
      <c r="O525" s="108">
        <f t="shared" si="773"/>
        <v>0</v>
      </c>
      <c r="P525" s="108">
        <f t="shared" si="773"/>
        <v>0</v>
      </c>
      <c r="Q525" s="108">
        <f t="shared" si="773"/>
        <v>0</v>
      </c>
      <c r="R525" s="108">
        <f t="shared" si="773"/>
        <v>0</v>
      </c>
      <c r="S525" s="108">
        <f t="shared" si="773"/>
        <v>0</v>
      </c>
      <c r="T525" s="108">
        <f t="shared" si="773"/>
        <v>0</v>
      </c>
      <c r="U525" s="99">
        <f>T525-M525</f>
        <v>0</v>
      </c>
      <c r="V525" s="255" t="str">
        <f>IF(M525=0,"N/A",T525/M525-1)</f>
        <v>N/A</v>
      </c>
      <c r="W525" s="102"/>
      <c r="X525" s="102"/>
      <c r="Y525" s="102"/>
      <c r="AA525" s="615"/>
      <c r="AC525" s="94"/>
      <c r="AD525" s="94"/>
      <c r="AE525" s="94"/>
      <c r="AF525" s="94"/>
      <c r="AG525" s="94"/>
      <c r="AJ525" s="94"/>
      <c r="AK525" s="94"/>
      <c r="AL525" s="94"/>
      <c r="AM525" s="94"/>
      <c r="AN525" s="94"/>
    </row>
    <row r="526" spans="1:59" s="115" customFormat="1" ht="15" customHeight="1">
      <c r="A526" s="297"/>
      <c r="B526" s="217"/>
      <c r="C526" s="217"/>
      <c r="D526" s="101"/>
      <c r="E526" s="101"/>
      <c r="F526" s="294"/>
      <c r="G526" s="295"/>
      <c r="H526" s="98"/>
      <c r="I526" s="106"/>
      <c r="J526" s="106"/>
      <c r="K526" s="106"/>
      <c r="L526" s="106"/>
      <c r="M526" s="106"/>
      <c r="N526" s="112"/>
      <c r="O526" s="112"/>
      <c r="P526" s="112"/>
      <c r="Q526" s="113"/>
      <c r="R526" s="113"/>
      <c r="S526" s="113"/>
      <c r="T526" s="113"/>
      <c r="U526" s="113"/>
      <c r="V526" s="113"/>
      <c r="W526" s="102"/>
      <c r="X526" s="102"/>
      <c r="Y526" s="102"/>
      <c r="Z526" s="192"/>
      <c r="AA526" s="615"/>
      <c r="AB526" s="307"/>
      <c r="AC526" s="93"/>
      <c r="AD526" s="93"/>
      <c r="AE526" s="93"/>
      <c r="AF526" s="93"/>
      <c r="AG526" s="93"/>
      <c r="AH526" s="307"/>
      <c r="AI526" s="307"/>
      <c r="AJ526" s="93"/>
      <c r="AK526" s="93"/>
      <c r="AL526" s="93"/>
      <c r="AM526" s="93"/>
      <c r="AN526" s="93"/>
      <c r="AO526" s="192"/>
      <c r="AP526" s="192"/>
      <c r="AQ526" s="192"/>
    </row>
    <row r="527" spans="1:59" s="115" customFormat="1" ht="15" customHeight="1">
      <c r="A527" s="555" t="s">
        <v>2465</v>
      </c>
      <c r="B527" s="217" t="str">
        <f t="shared" ref="B527:B530" si="777">LEFT(A527,3)</f>
        <v>100</v>
      </c>
      <c r="C527" s="217" t="str">
        <f t="shared" ref="C527:C530" si="778">MID(A527,5,2)</f>
        <v>17</v>
      </c>
      <c r="D527" s="101" t="str">
        <f t="shared" ref="D527:D530" si="779">MID(A527,8,3)</f>
        <v>175</v>
      </c>
      <c r="E527" s="217" t="str">
        <f t="shared" ref="E527:E530" si="780">LEFT(A527,10)</f>
        <v>100-17-175</v>
      </c>
      <c r="F527" s="294" t="str">
        <f t="shared" ref="F527:F530" si="781">RIGHT(A527,5)</f>
        <v>53599</v>
      </c>
      <c r="G527" s="295" t="str">
        <f>VLOOKUP(F527,'GL Category'!A:C,3,FALSE)</f>
        <v>Services &amp; other</v>
      </c>
      <c r="H527" s="98" t="str">
        <f>VLOOKUP(F527,'GL Category'!A:C,2,FALSE)</f>
        <v>MISCELLANEOUS SERVICES</v>
      </c>
      <c r="I527" s="99">
        <f>SUMIF(Import!$B:$B,$A527,Import!D:D)</f>
        <v>0</v>
      </c>
      <c r="J527" s="99">
        <f>SUMIF(Import!$B:$B,$A527,Import!E:E)</f>
        <v>0</v>
      </c>
      <c r="K527" s="99">
        <f>SUMIF(Import!$B:$B,$A527,Import!F:F)</f>
        <v>0</v>
      </c>
      <c r="L527" s="99">
        <f>SUMIF(Import!$B:$B,$A527,Import!G:G)</f>
        <v>0</v>
      </c>
      <c r="M527" s="99">
        <f>SUMIF(Import!$B:$B,$A527,Import!H:H)</f>
        <v>0</v>
      </c>
      <c r="N527" s="99">
        <f>SUMIF(Import!$B:$B,$A527,Import!I:I)</f>
        <v>0</v>
      </c>
      <c r="O527" s="99">
        <f>SUMIF(Import!$B:$B,$A527,Import!J:J)</f>
        <v>0</v>
      </c>
      <c r="P527" s="99">
        <f t="shared" ref="P527:P530" si="782">O527-M527</f>
        <v>0</v>
      </c>
      <c r="Q527" s="99">
        <f>SUMIF(Import!$B:$B,$A527,Import!K:K)</f>
        <v>0</v>
      </c>
      <c r="R527" s="99">
        <f>SUMIF(Import!$B:$B,$A527,Import!L:L)</f>
        <v>0</v>
      </c>
      <c r="S527" s="99">
        <f>SUMIF(Import!$B:$B,$A527,Import!M:M)</f>
        <v>0</v>
      </c>
      <c r="T527" s="99">
        <f>SUMIF(Import!$B:$B,$A527,Import!N:N)</f>
        <v>0</v>
      </c>
      <c r="U527" s="99">
        <f t="shared" ref="U527:U530" si="783">T527-M527</f>
        <v>0</v>
      </c>
      <c r="V527" s="255" t="str">
        <f t="shared" ref="V527:V530" si="784">IF(M527=0,"N/A",T527/M527-1)</f>
        <v>N/A</v>
      </c>
      <c r="W527" s="102" t="s">
        <v>2465</v>
      </c>
      <c r="X527" s="102"/>
      <c r="Y527" s="102"/>
      <c r="Z527" s="192"/>
      <c r="AA527" s="615"/>
      <c r="AB527" s="307"/>
      <c r="AC527" s="300"/>
      <c r="AD527" s="300"/>
      <c r="AE527" s="300"/>
      <c r="AF527" s="300"/>
      <c r="AG527" s="300"/>
      <c r="AH527" s="307"/>
      <c r="AI527" s="307"/>
      <c r="AJ527" s="300"/>
      <c r="AK527" s="300"/>
      <c r="AL527" s="300"/>
      <c r="AM527" s="300"/>
      <c r="AN527" s="300"/>
      <c r="AO527" s="192"/>
      <c r="AP527" s="192"/>
      <c r="AQ527" s="192"/>
    </row>
    <row r="528" spans="1:59" s="115" customFormat="1" ht="15" customHeight="1">
      <c r="A528" s="555" t="s">
        <v>2466</v>
      </c>
      <c r="B528" s="217" t="str">
        <f t="shared" si="777"/>
        <v>100</v>
      </c>
      <c r="C528" s="217" t="str">
        <f t="shared" si="778"/>
        <v>17</v>
      </c>
      <c r="D528" s="101" t="str">
        <f t="shared" si="779"/>
        <v>175</v>
      </c>
      <c r="E528" s="217" t="str">
        <f t="shared" si="780"/>
        <v>100-17-175</v>
      </c>
      <c r="F528" s="294" t="str">
        <f t="shared" si="781"/>
        <v>53510</v>
      </c>
      <c r="G528" s="295" t="str">
        <f>VLOOKUP(F528,'GL Category'!A:C,3,FALSE)</f>
        <v>Services &amp; other</v>
      </c>
      <c r="H528" s="98" t="str">
        <f>VLOOKUP(F528,'GL Category'!A:C,2,FALSE)</f>
        <v>DUES &amp; SUBSCRIPTIONS</v>
      </c>
      <c r="I528" s="99">
        <f>SUMIF(Import!$B:$B,$A528,Import!D:D)</f>
        <v>0</v>
      </c>
      <c r="J528" s="99">
        <f>SUMIF(Import!$B:$B,$A528,Import!E:E)</f>
        <v>0</v>
      </c>
      <c r="K528" s="99">
        <f>SUMIF(Import!$B:$B,$A528,Import!F:F)</f>
        <v>0</v>
      </c>
      <c r="L528" s="99">
        <f>SUMIF(Import!$B:$B,$A528,Import!G:G)</f>
        <v>0</v>
      </c>
      <c r="M528" s="99">
        <f>SUMIF(Import!$B:$B,$A528,Import!H:H)</f>
        <v>0</v>
      </c>
      <c r="N528" s="99">
        <f>SUMIF(Import!$B:$B,$A528,Import!I:I)</f>
        <v>0</v>
      </c>
      <c r="O528" s="99">
        <f>SUMIF(Import!$B:$B,$A528,Import!J:J)</f>
        <v>0</v>
      </c>
      <c r="P528" s="99">
        <f t="shared" si="782"/>
        <v>0</v>
      </c>
      <c r="Q528" s="99">
        <f>SUMIF(Import!$B:$B,$A528,Import!K:K)</f>
        <v>0</v>
      </c>
      <c r="R528" s="99">
        <f>SUMIF(Import!$B:$B,$A528,Import!L:L)</f>
        <v>0</v>
      </c>
      <c r="S528" s="99">
        <f>SUMIF(Import!$B:$B,$A528,Import!M:M)</f>
        <v>0</v>
      </c>
      <c r="T528" s="99">
        <f>SUMIF(Import!$B:$B,$A528,Import!N:N)</f>
        <v>0</v>
      </c>
      <c r="U528" s="99">
        <f t="shared" si="783"/>
        <v>0</v>
      </c>
      <c r="V528" s="255" t="str">
        <f t="shared" si="784"/>
        <v>N/A</v>
      </c>
      <c r="W528" s="102" t="s">
        <v>2466</v>
      </c>
      <c r="X528" s="102"/>
      <c r="Y528" s="102"/>
      <c r="Z528" s="192"/>
      <c r="AA528" s="615"/>
      <c r="AB528" s="307"/>
      <c r="AC528" s="300"/>
      <c r="AD528" s="300"/>
      <c r="AE528" s="300"/>
      <c r="AF528" s="300"/>
      <c r="AG528" s="300"/>
      <c r="AH528" s="307"/>
      <c r="AI528" s="307"/>
      <c r="AJ528" s="300"/>
      <c r="AK528" s="300"/>
      <c r="AL528" s="300"/>
      <c r="AM528" s="300"/>
      <c r="AN528" s="300"/>
      <c r="AO528" s="192"/>
      <c r="AP528" s="192"/>
      <c r="AQ528" s="192"/>
    </row>
    <row r="529" spans="1:59" s="115" customFormat="1" ht="15" customHeight="1">
      <c r="A529" s="555" t="s">
        <v>2467</v>
      </c>
      <c r="B529" s="217" t="str">
        <f t="shared" si="777"/>
        <v>100</v>
      </c>
      <c r="C529" s="217" t="str">
        <f t="shared" si="778"/>
        <v>17</v>
      </c>
      <c r="D529" s="101" t="str">
        <f t="shared" si="779"/>
        <v>175</v>
      </c>
      <c r="E529" s="217" t="str">
        <f t="shared" si="780"/>
        <v>100-17-175</v>
      </c>
      <c r="F529" s="294" t="str">
        <f t="shared" si="781"/>
        <v>53515</v>
      </c>
      <c r="G529" s="295" t="str">
        <f>VLOOKUP(F529,'GL Category'!A:C,3,FALSE)</f>
        <v>Services &amp; other</v>
      </c>
      <c r="H529" s="98" t="str">
        <f>VLOOKUP(F529,'GL Category'!A:C,2,FALSE)</f>
        <v>TRAVEL, TRAINING &amp; EDUCATION</v>
      </c>
      <c r="I529" s="99">
        <f>SUMIF(Import!$B:$B,$A529,Import!D:D)</f>
        <v>0</v>
      </c>
      <c r="J529" s="99">
        <f>SUMIF(Import!$B:$B,$A529,Import!E:E)</f>
        <v>0</v>
      </c>
      <c r="K529" s="99">
        <f>SUMIF(Import!$B:$B,$A529,Import!F:F)</f>
        <v>0</v>
      </c>
      <c r="L529" s="99">
        <f>SUMIF(Import!$B:$B,$A529,Import!G:G)</f>
        <v>0</v>
      </c>
      <c r="M529" s="99">
        <f>SUMIF(Import!$B:$B,$A529,Import!H:H)</f>
        <v>0</v>
      </c>
      <c r="N529" s="99">
        <f>SUMIF(Import!$B:$B,$A529,Import!I:I)</f>
        <v>0</v>
      </c>
      <c r="O529" s="99">
        <f>SUMIF(Import!$B:$B,$A529,Import!J:J)</f>
        <v>0</v>
      </c>
      <c r="P529" s="99">
        <f t="shared" si="782"/>
        <v>0</v>
      </c>
      <c r="Q529" s="99">
        <f>SUMIF(Import!$B:$B,$A529,Import!K:K)</f>
        <v>0</v>
      </c>
      <c r="R529" s="99">
        <f>SUMIF(Import!$B:$B,$A529,Import!L:L)</f>
        <v>0</v>
      </c>
      <c r="S529" s="99">
        <f>SUMIF(Import!$B:$B,$A529,Import!M:M)</f>
        <v>0</v>
      </c>
      <c r="T529" s="99">
        <f>SUMIF(Import!$B:$B,$A529,Import!N:N)</f>
        <v>0</v>
      </c>
      <c r="U529" s="99">
        <f t="shared" si="783"/>
        <v>0</v>
      </c>
      <c r="V529" s="255" t="str">
        <f t="shared" si="784"/>
        <v>N/A</v>
      </c>
      <c r="W529" s="102" t="s">
        <v>2467</v>
      </c>
      <c r="X529" s="102"/>
      <c r="Y529" s="102"/>
      <c r="Z529" s="192"/>
      <c r="AA529" s="615"/>
      <c r="AB529" s="307"/>
      <c r="AC529" s="92"/>
      <c r="AD529" s="92"/>
      <c r="AE529" s="92"/>
      <c r="AF529" s="92"/>
      <c r="AG529" s="92"/>
      <c r="AH529" s="307"/>
      <c r="AI529" s="307"/>
      <c r="AJ529" s="92"/>
      <c r="AK529" s="92"/>
      <c r="AL529" s="92"/>
      <c r="AM529" s="92"/>
      <c r="AN529" s="92"/>
      <c r="AO529" s="192"/>
      <c r="AP529" s="192"/>
      <c r="AQ529" s="192"/>
    </row>
    <row r="530" spans="1:59" s="115" customFormat="1" ht="15" customHeight="1">
      <c r="A530" s="555" t="s">
        <v>2468</v>
      </c>
      <c r="B530" s="217" t="str">
        <f t="shared" si="777"/>
        <v>100</v>
      </c>
      <c r="C530" s="217" t="str">
        <f t="shared" si="778"/>
        <v>17</v>
      </c>
      <c r="D530" s="101" t="str">
        <f t="shared" si="779"/>
        <v>175</v>
      </c>
      <c r="E530" s="217" t="str">
        <f t="shared" si="780"/>
        <v>100-17-175</v>
      </c>
      <c r="F530" s="294" t="str">
        <f t="shared" si="781"/>
        <v>55119</v>
      </c>
      <c r="G530" s="295" t="str">
        <f>VLOOKUP(F530,'GL Category'!A:C,3,FALSE)</f>
        <v>Services &amp; other</v>
      </c>
      <c r="H530" s="98" t="str">
        <f>VLOOKUP(F530,'GL Category'!A:C,2,FALSE)</f>
        <v>OFFICE EQUIP LEASE EXP-CITY</v>
      </c>
      <c r="I530" s="99">
        <f>SUMIF(Import!$B:$B,$A530,Import!D:D)</f>
        <v>0</v>
      </c>
      <c r="J530" s="99">
        <f>SUMIF(Import!$B:$B,$A530,Import!E:E)</f>
        <v>0</v>
      </c>
      <c r="K530" s="99">
        <f>SUMIF(Import!$B:$B,$A530,Import!F:F)</f>
        <v>0</v>
      </c>
      <c r="L530" s="99">
        <f>SUMIF(Import!$B:$B,$A530,Import!G:G)</f>
        <v>0</v>
      </c>
      <c r="M530" s="99">
        <f>SUMIF(Import!$B:$B,$A530,Import!H:H)</f>
        <v>0</v>
      </c>
      <c r="N530" s="99">
        <f>SUMIF(Import!$B:$B,$A530,Import!I:I)</f>
        <v>0</v>
      </c>
      <c r="O530" s="99">
        <f>SUMIF(Import!$B:$B,$A530,Import!J:J)</f>
        <v>0</v>
      </c>
      <c r="P530" s="99">
        <f t="shared" si="782"/>
        <v>0</v>
      </c>
      <c r="Q530" s="99">
        <f>SUMIF(Import!$B:$B,$A530,Import!K:K)</f>
        <v>0</v>
      </c>
      <c r="R530" s="99">
        <f>SUMIF(Import!$B:$B,$A530,Import!L:L)</f>
        <v>0</v>
      </c>
      <c r="S530" s="99">
        <f>SUMIF(Import!$B:$B,$A530,Import!M:M)</f>
        <v>0</v>
      </c>
      <c r="T530" s="99">
        <f>SUMIF(Import!$B:$B,$A530,Import!N:N)</f>
        <v>0</v>
      </c>
      <c r="U530" s="99">
        <f t="shared" si="783"/>
        <v>0</v>
      </c>
      <c r="V530" s="255" t="str">
        <f t="shared" si="784"/>
        <v>N/A</v>
      </c>
      <c r="W530" s="102" t="s">
        <v>2468</v>
      </c>
      <c r="X530" s="102"/>
      <c r="Y530" s="102"/>
      <c r="Z530" s="192"/>
      <c r="AA530" s="615"/>
      <c r="AB530" s="307"/>
      <c r="AC530" s="300"/>
      <c r="AD530" s="300"/>
      <c r="AE530" s="300"/>
      <c r="AF530" s="300"/>
      <c r="AG530" s="300"/>
      <c r="AH530" s="307"/>
      <c r="AI530" s="307"/>
      <c r="AJ530" s="300"/>
      <c r="AK530" s="300"/>
      <c r="AL530" s="300"/>
      <c r="AM530" s="300"/>
      <c r="AN530" s="300"/>
      <c r="AO530" s="192"/>
      <c r="AP530" s="192"/>
      <c r="AQ530" s="192"/>
    </row>
    <row r="531" spans="1:59" ht="15" customHeight="1">
      <c r="A531" s="297"/>
      <c r="B531" s="217"/>
      <c r="C531" s="217"/>
      <c r="D531" s="101"/>
      <c r="E531" s="101"/>
      <c r="F531" s="294"/>
      <c r="G531" s="295"/>
      <c r="H531" s="107" t="str">
        <f>UPPER(G530)&amp;" TOTAL"</f>
        <v>SERVICES &amp; OTHER TOTAL</v>
      </c>
      <c r="I531" s="108">
        <f t="shared" ref="I531" si="785">SUBTOTAL(9,I527:I530)</f>
        <v>0</v>
      </c>
      <c r="J531" s="108">
        <f t="shared" ref="J531:T531" si="786">SUBTOTAL(9,J527:J530)</f>
        <v>0</v>
      </c>
      <c r="K531" s="108">
        <f t="shared" ref="K531" si="787">SUBTOTAL(9,K527:K530)</f>
        <v>0</v>
      </c>
      <c r="L531" s="108">
        <f t="shared" ref="L531" si="788">SUBTOTAL(9,L527:L530)</f>
        <v>0</v>
      </c>
      <c r="M531" s="108">
        <f t="shared" si="786"/>
        <v>0</v>
      </c>
      <c r="N531" s="108">
        <f t="shared" ref="N531" si="789">SUBTOTAL(9,N527:N530)</f>
        <v>0</v>
      </c>
      <c r="O531" s="108">
        <f t="shared" si="786"/>
        <v>0</v>
      </c>
      <c r="P531" s="108">
        <f t="shared" si="786"/>
        <v>0</v>
      </c>
      <c r="Q531" s="108">
        <f t="shared" si="786"/>
        <v>0</v>
      </c>
      <c r="R531" s="108">
        <f t="shared" si="786"/>
        <v>0</v>
      </c>
      <c r="S531" s="108">
        <f t="shared" si="786"/>
        <v>0</v>
      </c>
      <c r="T531" s="108">
        <f t="shared" si="786"/>
        <v>0</v>
      </c>
      <c r="U531" s="99">
        <f>T531-M531</f>
        <v>0</v>
      </c>
      <c r="V531" s="255" t="str">
        <f>IF(M531=0,"N/A",T531/M531-1)</f>
        <v>N/A</v>
      </c>
      <c r="W531" s="102"/>
      <c r="X531" s="102"/>
      <c r="Y531" s="102"/>
      <c r="Z531" s="88"/>
      <c r="AA531" s="616"/>
      <c r="AB531" s="623"/>
      <c r="AC531" s="300"/>
      <c r="AD531" s="300"/>
      <c r="AE531" s="300"/>
      <c r="AF531" s="300"/>
      <c r="AG531" s="300"/>
      <c r="AH531" s="623"/>
      <c r="AI531" s="623"/>
      <c r="AJ531" s="300"/>
      <c r="AK531" s="300"/>
      <c r="AL531" s="300"/>
      <c r="AM531" s="300"/>
      <c r="AN531" s="300"/>
      <c r="AO531" s="88"/>
      <c r="AP531" s="88"/>
      <c r="AQ531" s="88"/>
      <c r="AR531" s="68"/>
      <c r="AS531" s="68"/>
      <c r="AT531" s="68"/>
      <c r="AU531" s="68"/>
      <c r="AV531" s="68"/>
      <c r="AW531" s="68"/>
      <c r="AX531" s="68"/>
      <c r="AY531" s="68"/>
      <c r="AZ531" s="68"/>
      <c r="BA531" s="68"/>
      <c r="BB531" s="68"/>
      <c r="BC531" s="68"/>
      <c r="BD531" s="68"/>
      <c r="BE531" s="68"/>
      <c r="BF531" s="68"/>
      <c r="BG531" s="68"/>
    </row>
    <row r="532" spans="1:59" s="115" customFormat="1" ht="15" customHeight="1">
      <c r="A532" s="297"/>
      <c r="B532" s="217"/>
      <c r="C532" s="217"/>
      <c r="D532" s="101"/>
      <c r="E532" s="101"/>
      <c r="F532" s="294"/>
      <c r="G532" s="295"/>
      <c r="H532" s="98"/>
      <c r="I532" s="106"/>
      <c r="J532" s="106"/>
      <c r="K532" s="106"/>
      <c r="L532" s="106"/>
      <c r="M532" s="106"/>
      <c r="N532" s="112"/>
      <c r="O532" s="112"/>
      <c r="P532" s="112"/>
      <c r="Q532" s="235"/>
      <c r="R532" s="235"/>
      <c r="S532" s="235"/>
      <c r="T532" s="113" t="e">
        <f>Q532+S532+#REF!</f>
        <v>#REF!</v>
      </c>
      <c r="U532" s="113"/>
      <c r="V532" s="113"/>
      <c r="W532" s="102"/>
      <c r="X532" s="102"/>
      <c r="Y532" s="102"/>
      <c r="Z532" s="192"/>
      <c r="AA532" s="615"/>
      <c r="AB532" s="307"/>
      <c r="AC532" s="300"/>
      <c r="AD532" s="300"/>
      <c r="AE532" s="300"/>
      <c r="AF532" s="300"/>
      <c r="AG532" s="300"/>
      <c r="AH532" s="307"/>
      <c r="AI532" s="307"/>
      <c r="AJ532" s="300"/>
      <c r="AK532" s="300"/>
      <c r="AL532" s="300"/>
      <c r="AM532" s="300"/>
      <c r="AN532" s="300"/>
      <c r="AO532" s="192"/>
      <c r="AP532" s="192"/>
      <c r="AQ532" s="192"/>
    </row>
    <row r="533" spans="1:59" s="115" customFormat="1" ht="15" customHeight="1">
      <c r="A533" s="297"/>
      <c r="B533" s="217"/>
      <c r="C533" s="217"/>
      <c r="D533" s="101"/>
      <c r="E533" s="101"/>
      <c r="F533" s="294"/>
      <c r="G533" s="295"/>
      <c r="H533" s="114" t="s">
        <v>763</v>
      </c>
      <c r="I533" s="108">
        <f t="shared" ref="I533" si="790">SUBTOTAL(9,I515:I531)</f>
        <v>0</v>
      </c>
      <c r="J533" s="108">
        <f t="shared" ref="J533:T533" si="791">SUBTOTAL(9,J515:J531)</f>
        <v>0</v>
      </c>
      <c r="K533" s="108">
        <f t="shared" ref="K533" si="792">SUBTOTAL(9,K515:K531)</f>
        <v>0</v>
      </c>
      <c r="L533" s="108">
        <f t="shared" ref="L533" si="793">SUBTOTAL(9,L515:L531)</f>
        <v>0</v>
      </c>
      <c r="M533" s="108">
        <f t="shared" si="791"/>
        <v>0</v>
      </c>
      <c r="N533" s="108">
        <f t="shared" ref="N533" si="794">SUBTOTAL(9,N515:N531)</f>
        <v>0</v>
      </c>
      <c r="O533" s="108">
        <f t="shared" si="791"/>
        <v>0</v>
      </c>
      <c r="P533" s="108">
        <f t="shared" si="791"/>
        <v>0</v>
      </c>
      <c r="Q533" s="108">
        <f t="shared" si="791"/>
        <v>0</v>
      </c>
      <c r="R533" s="108">
        <f t="shared" si="791"/>
        <v>0</v>
      </c>
      <c r="S533" s="108">
        <f t="shared" si="791"/>
        <v>0</v>
      </c>
      <c r="T533" s="108">
        <f t="shared" si="791"/>
        <v>0</v>
      </c>
      <c r="U533" s="99">
        <f>T533-M533</f>
        <v>0</v>
      </c>
      <c r="V533" s="255" t="str">
        <f>IF(M533=0,"N/A",T533/M533-1)</f>
        <v>N/A</v>
      </c>
      <c r="W533" s="102"/>
      <c r="X533" s="102"/>
      <c r="Y533" s="102"/>
      <c r="Z533" s="192"/>
      <c r="AA533" s="615"/>
      <c r="AB533" s="307"/>
      <c r="AC533" s="300"/>
      <c r="AD533" s="300"/>
      <c r="AE533" s="300"/>
      <c r="AF533" s="300"/>
      <c r="AG533" s="300"/>
      <c r="AH533" s="307"/>
      <c r="AI533" s="307"/>
      <c r="AJ533" s="300"/>
      <c r="AK533" s="300"/>
      <c r="AL533" s="300"/>
      <c r="AM533" s="300"/>
      <c r="AN533" s="300"/>
      <c r="AO533" s="192"/>
      <c r="AP533" s="192"/>
      <c r="AQ533" s="192"/>
    </row>
    <row r="534" spans="1:59" s="115" customFormat="1" ht="15" customHeight="1" thickBot="1">
      <c r="A534" s="297"/>
      <c r="B534" s="217"/>
      <c r="C534" s="217"/>
      <c r="D534" s="101"/>
      <c r="E534" s="101"/>
      <c r="F534" s="294"/>
      <c r="G534" s="295"/>
      <c r="H534" s="98"/>
      <c r="I534" s="218"/>
      <c r="J534" s="218"/>
      <c r="K534" s="218"/>
      <c r="L534" s="218"/>
      <c r="M534" s="218"/>
      <c r="N534" s="96"/>
      <c r="O534" s="96"/>
      <c r="P534" s="96"/>
      <c r="Q534" s="212"/>
      <c r="R534" s="212"/>
      <c r="S534" s="212"/>
      <c r="T534" s="212"/>
      <c r="U534" s="212"/>
      <c r="V534" s="212"/>
      <c r="W534" s="102"/>
      <c r="X534" s="102"/>
      <c r="Y534" s="102"/>
      <c r="Z534" s="192"/>
      <c r="AA534" s="615"/>
      <c r="AB534" s="307"/>
      <c r="AC534" s="93"/>
      <c r="AD534" s="93"/>
      <c r="AE534" s="93"/>
      <c r="AF534" s="93"/>
      <c r="AG534" s="93"/>
      <c r="AH534" s="307"/>
      <c r="AI534" s="307"/>
      <c r="AJ534" s="93"/>
      <c r="AK534" s="93"/>
      <c r="AL534" s="93"/>
      <c r="AM534" s="93"/>
      <c r="AN534" s="93"/>
      <c r="AO534" s="93"/>
      <c r="AP534" s="93"/>
      <c r="AQ534" s="93"/>
      <c r="AR534" s="93"/>
      <c r="AS534" s="93"/>
      <c r="AT534" s="93"/>
    </row>
    <row r="535" spans="1:59" s="115" customFormat="1" ht="21" customHeight="1" thickBot="1">
      <c r="A535" s="297"/>
      <c r="B535" s="217"/>
      <c r="C535" s="217"/>
      <c r="D535" s="101"/>
      <c r="E535" s="101"/>
      <c r="F535" s="294"/>
      <c r="G535" s="295"/>
      <c r="H535" s="668" t="s">
        <v>617</v>
      </c>
      <c r="I535" s="669"/>
      <c r="J535" s="669"/>
      <c r="K535" s="669"/>
      <c r="L535" s="669"/>
      <c r="M535" s="669"/>
      <c r="N535" s="669"/>
      <c r="O535" s="669"/>
      <c r="P535" s="669"/>
      <c r="Q535" s="669"/>
      <c r="R535" s="669"/>
      <c r="S535" s="669"/>
      <c r="T535" s="670"/>
      <c r="U535" s="252"/>
      <c r="V535" s="252"/>
      <c r="W535" s="102"/>
      <c r="X535" s="102"/>
      <c r="Y535" s="102"/>
      <c r="Z535" s="192"/>
      <c r="AA535" s="615"/>
      <c r="AB535" s="307"/>
      <c r="AC535" s="300"/>
      <c r="AD535" s="300"/>
      <c r="AE535" s="300"/>
      <c r="AF535" s="300"/>
      <c r="AG535" s="300"/>
      <c r="AH535" s="307"/>
      <c r="AI535" s="307"/>
      <c r="AJ535" s="300"/>
      <c r="AK535" s="300"/>
      <c r="AL535" s="300"/>
      <c r="AM535" s="300"/>
      <c r="AN535" s="300"/>
      <c r="AO535" s="300"/>
      <c r="AP535" s="300"/>
      <c r="AQ535" s="300"/>
      <c r="AR535" s="300"/>
      <c r="AS535" s="300"/>
      <c r="AT535" s="300"/>
    </row>
    <row r="536" spans="1:59" s="115" customFormat="1" ht="15" customHeight="1">
      <c r="A536" s="297"/>
      <c r="B536" s="217"/>
      <c r="C536" s="217"/>
      <c r="D536" s="101"/>
      <c r="E536" s="101"/>
      <c r="F536" s="294"/>
      <c r="G536" s="295"/>
      <c r="H536" s="225"/>
      <c r="I536" s="225"/>
      <c r="J536" s="225"/>
      <c r="K536" s="225"/>
      <c r="L536" s="225"/>
      <c r="M536" s="225"/>
      <c r="N536" s="225"/>
      <c r="O536" s="225"/>
      <c r="P536" s="225"/>
      <c r="Q536" s="225"/>
      <c r="R536" s="225"/>
      <c r="S536" s="225"/>
      <c r="T536" s="225"/>
      <c r="U536" s="225"/>
      <c r="V536" s="225"/>
      <c r="W536" s="102"/>
      <c r="X536" s="102"/>
      <c r="Y536" s="102"/>
      <c r="Z536" s="192"/>
      <c r="AA536" s="615"/>
      <c r="AB536" s="307"/>
      <c r="AC536" s="300"/>
      <c r="AD536" s="300"/>
      <c r="AE536" s="300"/>
      <c r="AF536" s="300"/>
      <c r="AG536" s="300"/>
      <c r="AH536" s="307"/>
      <c r="AI536" s="307"/>
      <c r="AJ536" s="300"/>
      <c r="AK536" s="300"/>
      <c r="AL536" s="300"/>
      <c r="AM536" s="300"/>
      <c r="AN536" s="300"/>
      <c r="AO536" s="300"/>
      <c r="AP536" s="300"/>
      <c r="AQ536" s="300"/>
      <c r="AR536" s="300"/>
      <c r="AS536" s="300"/>
      <c r="AT536" s="300"/>
    </row>
    <row r="537" spans="1:59" s="115" customFormat="1" ht="15" customHeight="1">
      <c r="A537" s="296"/>
      <c r="B537" s="217"/>
      <c r="C537" s="217">
        <v>17</v>
      </c>
      <c r="D537" s="101"/>
      <c r="E537" s="101"/>
      <c r="F537" s="294" t="s">
        <v>129</v>
      </c>
      <c r="G537" s="295" t="str">
        <f>VLOOKUP(F537,'GL Category'!A:C,3,FALSE)</f>
        <v>Personnel services</v>
      </c>
      <c r="H537" s="98" t="str">
        <f>VLOOKUP(F537,'GL Category'!A:C,2,FALSE)</f>
        <v>EXEMPT SALARIES</v>
      </c>
      <c r="I537" s="99">
        <f>SUMIFS(I$1:I531,$C$1:$C531,$C537,$F$1:$F531,$F537)</f>
        <v>276237.42</v>
      </c>
      <c r="J537" s="99">
        <f>SUMIFS(J$1:J531,$C$1:$C531,$C537,$F$1:$F531,$F537)</f>
        <v>248840.41</v>
      </c>
      <c r="K537" s="99">
        <f>SUMIFS(K$1:K531,$C$1:$C531,$C537,$F$1:$F531,$F537)</f>
        <v>242160.95</v>
      </c>
      <c r="L537" s="99">
        <f>SUMIFS(L$1:L531,$C$1:$C531,$C537,$F$1:$F531,$F537)</f>
        <v>343216.07</v>
      </c>
      <c r="M537" s="99">
        <f>SUMIFS(M$1:M531,$C$1:$C531,$C537,$F$1:$F531,$F537)</f>
        <v>307483</v>
      </c>
      <c r="N537" s="99">
        <f>SUMIFS(N$1:N531,$C$1:$C531,$C537,$F$1:$F531,$F537)</f>
        <v>235604.2</v>
      </c>
      <c r="O537" s="99">
        <f>SUMIFS(O$1:O531,$C$1:$C531,$C537,$F$1:$F531,$F537)</f>
        <v>309283</v>
      </c>
      <c r="P537" s="99">
        <f t="shared" ref="P537:P547" si="795">O537-M537</f>
        <v>1800</v>
      </c>
      <c r="Q537" s="99">
        <f>SUMIFS(Q$1:Q531,$C$1:$C531,$C537,$F$1:$F531,$F537)</f>
        <v>319837</v>
      </c>
      <c r="R537" s="99">
        <f>SUMIFS(R$1:R531,$C$1:$C531,$C537,$F$1:$F531,$F537)</f>
        <v>0</v>
      </c>
      <c r="S537" s="99">
        <f>SUMIFS(S$1:S531,$C$1:$C531,$C537,$F$1:$F531,$F537)</f>
        <v>0</v>
      </c>
      <c r="T537" s="99">
        <f>SUMIFS(T$1:T531,$C$1:$C531,$C537,$F$1:$F531,$F537)</f>
        <v>319837</v>
      </c>
      <c r="U537" s="99">
        <f t="shared" ref="U537:U548" si="796">T537-M537</f>
        <v>12354</v>
      </c>
      <c r="V537" s="255">
        <f t="shared" ref="V537:V548" si="797">IF(M537=0,"N/A",T537/M537-1)</f>
        <v>4.0177830969517103E-2</v>
      </c>
      <c r="W537" s="102"/>
      <c r="X537" s="102"/>
      <c r="Y537" s="102">
        <f t="shared" ref="Y537:Y547" si="798">T537-X537</f>
        <v>319837</v>
      </c>
      <c r="Z537" s="309">
        <f>Y537*(1+VLOOKUP($F537,'GL Category'!$A:$H,4,FALSE))</f>
        <v>331031.29499999998</v>
      </c>
      <c r="AA537" s="615"/>
      <c r="AB537" s="622">
        <f t="shared" ref="AB537:AB547" si="799">Z537+AA537</f>
        <v>331031.29499999998</v>
      </c>
      <c r="AC537" s="633">
        <f>AB537*(1+VLOOKUP($F537,'GL Category'!$A:$H,5,FALSE))</f>
        <v>342617.39032499999</v>
      </c>
      <c r="AD537" s="307"/>
      <c r="AE537" s="622">
        <f t="shared" ref="AE537:AE547" si="800">AC537+AD537</f>
        <v>342617.39032499999</v>
      </c>
      <c r="AF537" s="633">
        <f>AE537*(1+VLOOKUP($F537,'GL Category'!$A:$H,6,FALSE))</f>
        <v>354608.99898637494</v>
      </c>
      <c r="AG537" s="307"/>
      <c r="AH537" s="622">
        <f t="shared" ref="AH537:AH547" si="801">AF537+AG537</f>
        <v>354608.99898637494</v>
      </c>
      <c r="AI537" s="633">
        <f>AH537*(1+VLOOKUP($F537,'GL Category'!$A:$H,7,FALSE))</f>
        <v>367020.31395089801</v>
      </c>
      <c r="AJ537" s="307"/>
      <c r="AK537" s="622">
        <f t="shared" ref="AK537:AK547" si="802">AI537+AJ537</f>
        <v>367020.31395089801</v>
      </c>
      <c r="AL537" s="633">
        <f>AK537*(1+VLOOKUP($F537,'GL Category'!$A:$H,8,FALSE))</f>
        <v>379866.02493917942</v>
      </c>
      <c r="AM537" s="307"/>
      <c r="AN537" s="622">
        <f t="shared" ref="AN537:AN547" si="803">AL537+AM537</f>
        <v>379866.02493917942</v>
      </c>
      <c r="AO537" s="300"/>
      <c r="AP537" s="300"/>
      <c r="AQ537" s="300"/>
      <c r="AR537" s="300"/>
      <c r="AS537" s="300"/>
      <c r="AT537" s="300"/>
    </row>
    <row r="538" spans="1:59" s="115" customFormat="1" ht="15" customHeight="1">
      <c r="A538" s="296"/>
      <c r="B538" s="217"/>
      <c r="C538" s="217">
        <v>17</v>
      </c>
      <c r="D538" s="101"/>
      <c r="E538" s="101"/>
      <c r="F538" s="294" t="s">
        <v>131</v>
      </c>
      <c r="G538" s="295" t="str">
        <f>VLOOKUP(F538,'GL Category'!A:C,3,FALSE)</f>
        <v>Personnel services</v>
      </c>
      <c r="H538" s="98" t="str">
        <f>VLOOKUP(F538,'GL Category'!A:C,2,FALSE)</f>
        <v>NON EXEMPT SALARIES</v>
      </c>
      <c r="I538" s="99">
        <f>SUMIFS(I$1:I532,$C$1:$C532,$C538,$F$1:$F532,$F538)</f>
        <v>45596.98</v>
      </c>
      <c r="J538" s="99">
        <f>SUMIFS(J$1:J532,$C$1:$C532,$C538,$F$1:$F532,$F538)</f>
        <v>47663.9</v>
      </c>
      <c r="K538" s="99">
        <f>SUMIFS(K$1:K532,$C$1:$C532,$C538,$F$1:$F532,$F538)</f>
        <v>24746.06</v>
      </c>
      <c r="L538" s="99">
        <f>SUMIFS(L$1:L532,$C$1:$C532,$C538,$F$1:$F532,$F538)</f>
        <v>11200.29</v>
      </c>
      <c r="M538" s="99">
        <f>SUMIFS(M$1:M532,$C$1:$C532,$C538,$F$1:$F532,$F538)</f>
        <v>43203</v>
      </c>
      <c r="N538" s="99">
        <f>SUMIFS(N$1:N532,$C$1:$C532,$C538,$F$1:$F532,$F538)</f>
        <v>32142.959999999999</v>
      </c>
      <c r="O538" s="99">
        <f>SUMIFS(O$1:O532,$C$1:$C532,$C538,$F$1:$F532,$F538)</f>
        <v>42196</v>
      </c>
      <c r="P538" s="99">
        <f t="shared" si="795"/>
        <v>-1007</v>
      </c>
      <c r="Q538" s="99">
        <f>SUMIFS(Q$1:Q532,$C$1:$C532,$C538,$F$1:$F532,$F538)</f>
        <v>43975</v>
      </c>
      <c r="R538" s="99">
        <f>SUMIFS(R$1:R532,$C$1:$C532,$C538,$F$1:$F532,$F538)</f>
        <v>0</v>
      </c>
      <c r="S538" s="99">
        <f>SUMIFS(S$1:S532,$C$1:$C532,$C538,$F$1:$F532,$F538)</f>
        <v>0</v>
      </c>
      <c r="T538" s="99">
        <f>SUMIFS(T$1:T532,$C$1:$C532,$C538,$F$1:$F532,$F538)</f>
        <v>43975</v>
      </c>
      <c r="U538" s="99">
        <f t="shared" si="796"/>
        <v>772</v>
      </c>
      <c r="V538" s="255">
        <f t="shared" si="797"/>
        <v>1.7869129458602417E-2</v>
      </c>
      <c r="W538" s="102"/>
      <c r="X538" s="102"/>
      <c r="Y538" s="102">
        <f t="shared" si="798"/>
        <v>43975</v>
      </c>
      <c r="Z538" s="309">
        <f>Y538*(1+VLOOKUP($F538,'GL Category'!$A:$H,4,FALSE))</f>
        <v>45514.125</v>
      </c>
      <c r="AA538" s="615"/>
      <c r="AB538" s="622">
        <f t="shared" si="799"/>
        <v>45514.125</v>
      </c>
      <c r="AC538" s="633">
        <f>AB538*(1+VLOOKUP($F538,'GL Category'!$A:$H,5,FALSE))</f>
        <v>47107.119374999995</v>
      </c>
      <c r="AD538" s="307"/>
      <c r="AE538" s="622">
        <f t="shared" si="800"/>
        <v>47107.119374999995</v>
      </c>
      <c r="AF538" s="633">
        <f>AE538*(1+VLOOKUP($F538,'GL Category'!$A:$H,6,FALSE))</f>
        <v>48755.868553124994</v>
      </c>
      <c r="AG538" s="307"/>
      <c r="AH538" s="622">
        <f t="shared" si="801"/>
        <v>48755.868553124994</v>
      </c>
      <c r="AI538" s="633">
        <f>AH538*(1+VLOOKUP($F538,'GL Category'!$A:$H,7,FALSE))</f>
        <v>50462.323952484367</v>
      </c>
      <c r="AJ538" s="307"/>
      <c r="AK538" s="622">
        <f t="shared" si="802"/>
        <v>50462.323952484367</v>
      </c>
      <c r="AL538" s="633">
        <f>AK538*(1+VLOOKUP($F538,'GL Category'!$A:$H,8,FALSE))</f>
        <v>52228.505290821318</v>
      </c>
      <c r="AM538" s="307"/>
      <c r="AN538" s="622">
        <f t="shared" si="803"/>
        <v>52228.505290821318</v>
      </c>
      <c r="AO538" s="300"/>
      <c r="AP538" s="300"/>
      <c r="AQ538" s="300"/>
      <c r="AR538" s="300"/>
      <c r="AS538" s="300"/>
      <c r="AT538" s="300"/>
    </row>
    <row r="539" spans="1:59" s="115" customFormat="1" ht="15" customHeight="1">
      <c r="A539" s="296"/>
      <c r="B539" s="217"/>
      <c r="C539" s="217">
        <v>17</v>
      </c>
      <c r="D539" s="101"/>
      <c r="E539" s="101"/>
      <c r="F539" s="294" t="s">
        <v>133</v>
      </c>
      <c r="G539" s="295" t="str">
        <f>VLOOKUP(F539,'GL Category'!A:C,3,FALSE)</f>
        <v>Personnel services</v>
      </c>
      <c r="H539" s="98" t="str">
        <f>VLOOKUP(F539,'GL Category'!A:C,2,FALSE)</f>
        <v>OVERTIME</v>
      </c>
      <c r="I539" s="99">
        <f>SUMIFS(I$1:I533,$C$1:$C533,$C539,$F$1:$F533,$F539)</f>
        <v>492.18</v>
      </c>
      <c r="J539" s="99">
        <f>SUMIFS(J$1:J533,$C$1:$C533,$C539,$F$1:$F533,$F539)</f>
        <v>2171.0100000000002</v>
      </c>
      <c r="K539" s="99">
        <f>SUMIFS(K$1:K533,$C$1:$C533,$C539,$F$1:$F533,$F539)</f>
        <v>3626.64</v>
      </c>
      <c r="L539" s="99">
        <f>SUMIFS(L$1:L533,$C$1:$C533,$C539,$F$1:$F533,$F539)</f>
        <v>0</v>
      </c>
      <c r="M539" s="99">
        <f>SUMIFS(M$1:M533,$C$1:$C533,$C539,$F$1:$F533,$F539)</f>
        <v>500</v>
      </c>
      <c r="N539" s="99">
        <f>SUMIFS(N$1:N533,$C$1:$C533,$C539,$F$1:$F533,$F539)</f>
        <v>0</v>
      </c>
      <c r="O539" s="99">
        <f>SUMIFS(O$1:O533,$C$1:$C533,$C539,$F$1:$F533,$F539)</f>
        <v>0</v>
      </c>
      <c r="P539" s="99">
        <f t="shared" si="795"/>
        <v>-500</v>
      </c>
      <c r="Q539" s="99">
        <f>SUMIFS(Q$1:Q533,$C$1:$C533,$C539,$F$1:$F533,$F539)</f>
        <v>500</v>
      </c>
      <c r="R539" s="99">
        <f>SUMIFS(R$1:R533,$C$1:$C533,$C539,$F$1:$F533,$F539)</f>
        <v>0</v>
      </c>
      <c r="S539" s="99">
        <f>SUMIFS(S$1:S533,$C$1:$C533,$C539,$F$1:$F533,$F539)</f>
        <v>0</v>
      </c>
      <c r="T539" s="99">
        <f>SUMIFS(T$1:T533,$C$1:$C533,$C539,$F$1:$F533,$F539)</f>
        <v>500</v>
      </c>
      <c r="U539" s="99">
        <f t="shared" si="796"/>
        <v>0</v>
      </c>
      <c r="V539" s="255">
        <f t="shared" si="797"/>
        <v>0</v>
      </c>
      <c r="W539" s="102"/>
      <c r="X539" s="102"/>
      <c r="Y539" s="102">
        <f t="shared" si="798"/>
        <v>500</v>
      </c>
      <c r="Z539" s="309">
        <f>Y539*(1+VLOOKUP($F539,'GL Category'!$A:$H,4,FALSE))</f>
        <v>517.5</v>
      </c>
      <c r="AA539" s="615"/>
      <c r="AB539" s="622">
        <f t="shared" si="799"/>
        <v>517.5</v>
      </c>
      <c r="AC539" s="633">
        <f>AB539*(1+VLOOKUP($F539,'GL Category'!$A:$H,5,FALSE))</f>
        <v>535.61249999999995</v>
      </c>
      <c r="AD539" s="307"/>
      <c r="AE539" s="622">
        <f t="shared" si="800"/>
        <v>535.61249999999995</v>
      </c>
      <c r="AF539" s="633">
        <f>AE539*(1+VLOOKUP($F539,'GL Category'!$A:$H,6,FALSE))</f>
        <v>554.35893749999991</v>
      </c>
      <c r="AG539" s="307"/>
      <c r="AH539" s="622">
        <f t="shared" si="801"/>
        <v>554.35893749999991</v>
      </c>
      <c r="AI539" s="633">
        <f>AH539*(1+VLOOKUP($F539,'GL Category'!$A:$H,7,FALSE))</f>
        <v>573.76150031249983</v>
      </c>
      <c r="AJ539" s="307"/>
      <c r="AK539" s="622">
        <f t="shared" si="802"/>
        <v>573.76150031249983</v>
      </c>
      <c r="AL539" s="633">
        <f>AK539*(1+VLOOKUP($F539,'GL Category'!$A:$H,8,FALSE))</f>
        <v>593.84315282343732</v>
      </c>
      <c r="AM539" s="307"/>
      <c r="AN539" s="622">
        <f t="shared" si="803"/>
        <v>593.84315282343732</v>
      </c>
      <c r="AO539" s="94"/>
      <c r="AP539" s="94"/>
      <c r="AQ539" s="94"/>
      <c r="AR539" s="94"/>
      <c r="AS539" s="94"/>
      <c r="AT539" s="94"/>
    </row>
    <row r="540" spans="1:59" s="115" customFormat="1" ht="15" customHeight="1">
      <c r="A540" s="296"/>
      <c r="B540" s="217"/>
      <c r="C540" s="217">
        <v>17</v>
      </c>
      <c r="D540" s="101"/>
      <c r="E540" s="101"/>
      <c r="F540" s="294" t="s">
        <v>134</v>
      </c>
      <c r="G540" s="295" t="str">
        <f>VLOOKUP(F540,'GL Category'!A:C,3,FALSE)</f>
        <v>Personnel services</v>
      </c>
      <c r="H540" s="98" t="str">
        <f>VLOOKUP(F540,'GL Category'!A:C,2,FALSE)</f>
        <v>PART-TIME WAGES</v>
      </c>
      <c r="I540" s="99">
        <f>SUMIFS(I$1:I534,$C$1:$C534,$C540,$F$1:$F534,$F540)</f>
        <v>8270.86</v>
      </c>
      <c r="J540" s="99">
        <f>SUMIFS(J$1:J534,$C$1:$C534,$C540,$F$1:$F534,$F540)</f>
        <v>9270.19</v>
      </c>
      <c r="K540" s="99">
        <f>SUMIFS(K$1:K534,$C$1:$C534,$C540,$F$1:$F534,$F540)</f>
        <v>20360.88</v>
      </c>
      <c r="L540" s="99">
        <f>SUMIFS(L$1:L534,$C$1:$C534,$C540,$F$1:$F534,$F540)</f>
        <v>22192.94</v>
      </c>
      <c r="M540" s="99">
        <f>SUMIFS(M$1:M534,$C$1:$C534,$C540,$F$1:$F534,$F540)</f>
        <v>28091</v>
      </c>
      <c r="N540" s="99">
        <f>SUMIFS(N$1:N534,$C$1:$C534,$C540,$F$1:$F534,$F540)</f>
        <v>19507.240000000002</v>
      </c>
      <c r="O540" s="99">
        <f>SUMIFS(O$1:O534,$C$1:$C534,$C540,$F$1:$F534,$F540)</f>
        <v>26850</v>
      </c>
      <c r="P540" s="99">
        <f t="shared" si="795"/>
        <v>-1241</v>
      </c>
      <c r="Q540" s="99">
        <f>SUMIFS(Q$1:Q534,$C$1:$C534,$C540,$F$1:$F534,$F540)</f>
        <v>29276</v>
      </c>
      <c r="R540" s="99">
        <f>SUMIFS(R$1:R534,$C$1:$C534,$C540,$F$1:$F534,$F540)</f>
        <v>0</v>
      </c>
      <c r="S540" s="99">
        <f>SUMIFS(S$1:S534,$C$1:$C534,$C540,$F$1:$F534,$F540)</f>
        <v>0</v>
      </c>
      <c r="T540" s="99">
        <f>SUMIFS(T$1:T534,$C$1:$C534,$C540,$F$1:$F534,$F540)</f>
        <v>29276</v>
      </c>
      <c r="U540" s="99">
        <f t="shared" si="796"/>
        <v>1185</v>
      </c>
      <c r="V540" s="255">
        <f t="shared" si="797"/>
        <v>4.2184329500551732E-2</v>
      </c>
      <c r="W540" s="102"/>
      <c r="X540" s="102"/>
      <c r="Y540" s="102">
        <f t="shared" si="798"/>
        <v>29276</v>
      </c>
      <c r="Z540" s="309">
        <f>Y540*(1+VLOOKUP($F540,'GL Category'!$A:$H,4,FALSE))</f>
        <v>30300.659999999996</v>
      </c>
      <c r="AA540" s="615"/>
      <c r="AB540" s="622">
        <f t="shared" si="799"/>
        <v>30300.659999999996</v>
      </c>
      <c r="AC540" s="633">
        <f>AB540*(1+VLOOKUP($F540,'GL Category'!$A:$H,5,FALSE))</f>
        <v>31361.183099999995</v>
      </c>
      <c r="AD540" s="307"/>
      <c r="AE540" s="622">
        <f t="shared" si="800"/>
        <v>31361.183099999995</v>
      </c>
      <c r="AF540" s="633">
        <f>AE540*(1+VLOOKUP($F540,'GL Category'!$A:$H,6,FALSE))</f>
        <v>32458.824508499991</v>
      </c>
      <c r="AG540" s="307"/>
      <c r="AH540" s="622">
        <f t="shared" si="801"/>
        <v>32458.824508499991</v>
      </c>
      <c r="AI540" s="633">
        <f>AH540*(1+VLOOKUP($F540,'GL Category'!$A:$H,7,FALSE))</f>
        <v>33594.883366297487</v>
      </c>
      <c r="AJ540" s="307"/>
      <c r="AK540" s="622">
        <f t="shared" si="802"/>
        <v>33594.883366297487</v>
      </c>
      <c r="AL540" s="633">
        <f>AK540*(1+VLOOKUP($F540,'GL Category'!$A:$H,8,FALSE))</f>
        <v>34770.704284117899</v>
      </c>
      <c r="AM540" s="307"/>
      <c r="AN540" s="622">
        <f t="shared" si="803"/>
        <v>34770.704284117899</v>
      </c>
      <c r="AO540" s="93"/>
      <c r="AP540" s="93"/>
      <c r="AQ540" s="93"/>
      <c r="AR540" s="93"/>
      <c r="AS540" s="93"/>
      <c r="AT540" s="93"/>
    </row>
    <row r="541" spans="1:59" s="115" customFormat="1" ht="15" customHeight="1">
      <c r="A541" s="296"/>
      <c r="B541" s="217"/>
      <c r="C541" s="217">
        <v>17</v>
      </c>
      <c r="D541" s="101"/>
      <c r="E541" s="101"/>
      <c r="F541" s="294" t="s">
        <v>136</v>
      </c>
      <c r="G541" s="295" t="str">
        <f>VLOOKUP(F541,'GL Category'!A:C,3,FALSE)</f>
        <v>Personnel services</v>
      </c>
      <c r="H541" s="98" t="str">
        <f>VLOOKUP(F541,'GL Category'!A:C,2,FALSE)</f>
        <v>LONGEVITY PAY</v>
      </c>
      <c r="I541" s="99">
        <f>SUMIFS(I$1:I535,$C$1:$C535,$C541,$F$1:$F535,$F541)</f>
        <v>2645</v>
      </c>
      <c r="J541" s="99">
        <f>SUMIFS(J$1:J535,$C$1:$C535,$C541,$F$1:$F535,$F541)</f>
        <v>2885</v>
      </c>
      <c r="K541" s="99">
        <f>SUMIFS(K$1:K535,$C$1:$C535,$C541,$F$1:$F535,$F541)</f>
        <v>2005</v>
      </c>
      <c r="L541" s="99">
        <f>SUMIFS(L$1:L535,$C$1:$C535,$C541,$F$1:$F535,$F541)</f>
        <v>2195</v>
      </c>
      <c r="M541" s="99">
        <f>SUMIFS(M$1:M535,$C$1:$C535,$C541,$F$1:$F535,$F541)</f>
        <v>1511</v>
      </c>
      <c r="N541" s="99">
        <f>SUMIFS(N$1:N535,$C$1:$C535,$C541,$F$1:$F535,$F541)</f>
        <v>1425</v>
      </c>
      <c r="O541" s="99">
        <f>SUMIFS(O$1:O535,$C$1:$C535,$C541,$F$1:$F535,$F541)</f>
        <v>1425</v>
      </c>
      <c r="P541" s="99">
        <f t="shared" si="795"/>
        <v>-86</v>
      </c>
      <c r="Q541" s="99">
        <f>SUMIFS(Q$1:Q535,$C$1:$C535,$C541,$F$1:$F535,$F541)</f>
        <v>2144</v>
      </c>
      <c r="R541" s="99">
        <f>SUMIFS(R$1:R535,$C$1:$C535,$C541,$F$1:$F535,$F541)</f>
        <v>0</v>
      </c>
      <c r="S541" s="99">
        <f>SUMIFS(S$1:S535,$C$1:$C535,$C541,$F$1:$F535,$F541)</f>
        <v>0</v>
      </c>
      <c r="T541" s="99">
        <f>SUMIFS(T$1:T535,$C$1:$C535,$C541,$F$1:$F535,$F541)</f>
        <v>2144</v>
      </c>
      <c r="U541" s="99">
        <f t="shared" si="796"/>
        <v>633</v>
      </c>
      <c r="V541" s="255">
        <f t="shared" si="797"/>
        <v>0.41892786234281942</v>
      </c>
      <c r="W541" s="102"/>
      <c r="X541" s="102"/>
      <c r="Y541" s="102">
        <f t="shared" si="798"/>
        <v>2144</v>
      </c>
      <c r="Z541" s="309">
        <f>Y541*(1+VLOOKUP($F541,'GL Category'!$A:$H,4,FALSE))</f>
        <v>2219.04</v>
      </c>
      <c r="AA541" s="615"/>
      <c r="AB541" s="622">
        <f t="shared" si="799"/>
        <v>2219.04</v>
      </c>
      <c r="AC541" s="633">
        <f>AB541*(1+VLOOKUP($F541,'GL Category'!$A:$H,5,FALSE))</f>
        <v>2296.7063999999996</v>
      </c>
      <c r="AD541" s="307"/>
      <c r="AE541" s="622">
        <f t="shared" si="800"/>
        <v>2296.7063999999996</v>
      </c>
      <c r="AF541" s="633">
        <f>AE541*(1+VLOOKUP($F541,'GL Category'!$A:$H,6,FALSE))</f>
        <v>2377.0911239999996</v>
      </c>
      <c r="AG541" s="307"/>
      <c r="AH541" s="622">
        <f t="shared" si="801"/>
        <v>2377.0911239999996</v>
      </c>
      <c r="AI541" s="633">
        <f>AH541*(1+VLOOKUP($F541,'GL Category'!$A:$H,7,FALSE))</f>
        <v>2460.2893133399994</v>
      </c>
      <c r="AJ541" s="307"/>
      <c r="AK541" s="622">
        <f t="shared" si="802"/>
        <v>2460.2893133399994</v>
      </c>
      <c r="AL541" s="633">
        <f>AK541*(1+VLOOKUP($F541,'GL Category'!$A:$H,8,FALSE))</f>
        <v>2546.3994393068992</v>
      </c>
      <c r="AM541" s="307"/>
      <c r="AN541" s="622">
        <f t="shared" si="803"/>
        <v>2546.3994393068992</v>
      </c>
      <c r="AO541" s="300"/>
      <c r="AP541" s="300"/>
      <c r="AQ541" s="300"/>
      <c r="AR541" s="300"/>
      <c r="AS541" s="300"/>
      <c r="AT541" s="300"/>
    </row>
    <row r="542" spans="1:59" s="115" customFormat="1" ht="15" customHeight="1">
      <c r="A542" s="296"/>
      <c r="B542" s="217"/>
      <c r="C542" s="217">
        <v>17</v>
      </c>
      <c r="D542" s="101"/>
      <c r="E542" s="101"/>
      <c r="F542" s="294" t="s">
        <v>249</v>
      </c>
      <c r="G542" s="295" t="str">
        <f>VLOOKUP(F542,'GL Category'!A:C,3,FALSE)</f>
        <v>Personnel services</v>
      </c>
      <c r="H542" s="98" t="str">
        <f>VLOOKUP(F542,'GL Category'!A:C,2,FALSE)</f>
        <v>TEMPORARY/SEASONAL WAGES</v>
      </c>
      <c r="I542" s="99">
        <f>SUMIFS(I$1:I536,$C$1:$C536,$C542,$F$1:$F536,$F542)</f>
        <v>0</v>
      </c>
      <c r="J542" s="99">
        <f>SUMIFS(J$1:J536,$C$1:$C536,$C542,$F$1:$F536,$F542)</f>
        <v>0</v>
      </c>
      <c r="K542" s="99">
        <f>SUMIFS(K$1:K536,$C$1:$C536,$C542,$F$1:$F536,$F542)</f>
        <v>0</v>
      </c>
      <c r="L542" s="99">
        <f>SUMIFS(L$1:L536,$C$1:$C536,$C542,$F$1:$F536,$F542)</f>
        <v>0</v>
      </c>
      <c r="M542" s="99">
        <f>SUMIFS(M$1:M536,$C$1:$C536,$C542,$F$1:$F536,$F542)</f>
        <v>0</v>
      </c>
      <c r="N542" s="99">
        <f>SUMIFS(N$1:N536,$C$1:$C536,$C542,$F$1:$F536,$F542)</f>
        <v>0</v>
      </c>
      <c r="O542" s="99">
        <f>SUMIFS(O$1:O536,$C$1:$C536,$C542,$F$1:$F536,$F542)</f>
        <v>0</v>
      </c>
      <c r="P542" s="99">
        <f t="shared" si="795"/>
        <v>0</v>
      </c>
      <c r="Q542" s="99">
        <f>SUMIFS(Q$1:Q536,$C$1:$C536,$C542,$F$1:$F536,$F542)</f>
        <v>0</v>
      </c>
      <c r="R542" s="99">
        <f>SUMIFS(R$1:R536,$C$1:$C536,$C542,$F$1:$F536,$F542)</f>
        <v>0</v>
      </c>
      <c r="S542" s="99">
        <f>SUMIFS(S$1:S536,$C$1:$C536,$C542,$F$1:$F536,$F542)</f>
        <v>0</v>
      </c>
      <c r="T542" s="99">
        <f>SUMIFS(T$1:T536,$C$1:$C536,$C542,$F$1:$F536,$F542)</f>
        <v>0</v>
      </c>
      <c r="U542" s="99">
        <f t="shared" si="796"/>
        <v>0</v>
      </c>
      <c r="V542" s="255" t="str">
        <f t="shared" si="797"/>
        <v>N/A</v>
      </c>
      <c r="W542" s="102"/>
      <c r="X542" s="102"/>
      <c r="Y542" s="102">
        <f t="shared" si="798"/>
        <v>0</v>
      </c>
      <c r="Z542" s="309">
        <f>Y542*(1+VLOOKUP($F542,'GL Category'!$A:$H,4,FALSE))</f>
        <v>0</v>
      </c>
      <c r="AA542" s="615"/>
      <c r="AB542" s="622">
        <f t="shared" si="799"/>
        <v>0</v>
      </c>
      <c r="AC542" s="633">
        <f>AB542*(1+VLOOKUP($F542,'GL Category'!$A:$H,5,FALSE))</f>
        <v>0</v>
      </c>
      <c r="AD542" s="307"/>
      <c r="AE542" s="622">
        <f t="shared" si="800"/>
        <v>0</v>
      </c>
      <c r="AF542" s="633">
        <f>AE542*(1+VLOOKUP($F542,'GL Category'!$A:$H,6,FALSE))</f>
        <v>0</v>
      </c>
      <c r="AG542" s="307"/>
      <c r="AH542" s="622">
        <f t="shared" si="801"/>
        <v>0</v>
      </c>
      <c r="AI542" s="633">
        <f>AH542*(1+VLOOKUP($F542,'GL Category'!$A:$H,7,FALSE))</f>
        <v>0</v>
      </c>
      <c r="AJ542" s="307"/>
      <c r="AK542" s="622">
        <f t="shared" si="802"/>
        <v>0</v>
      </c>
      <c r="AL542" s="633">
        <f>AK542*(1+VLOOKUP($F542,'GL Category'!$A:$H,8,FALSE))</f>
        <v>0</v>
      </c>
      <c r="AM542" s="307"/>
      <c r="AN542" s="622">
        <f t="shared" si="803"/>
        <v>0</v>
      </c>
      <c r="AO542" s="300"/>
      <c r="AP542" s="300"/>
      <c r="AQ542" s="300"/>
      <c r="AR542" s="300"/>
      <c r="AS542" s="300"/>
      <c r="AT542" s="300"/>
    </row>
    <row r="543" spans="1:59" s="115" customFormat="1" ht="15" customHeight="1">
      <c r="A543" s="296"/>
      <c r="B543" s="217"/>
      <c r="C543" s="217">
        <v>17</v>
      </c>
      <c r="D543" s="101"/>
      <c r="E543" s="101"/>
      <c r="F543" s="294" t="s">
        <v>140</v>
      </c>
      <c r="G543" s="295" t="str">
        <f>VLOOKUP(F543,'GL Category'!A:C,3,FALSE)</f>
        <v>Personnel services</v>
      </c>
      <c r="H543" s="98" t="str">
        <f>VLOOKUP(F543,'GL Category'!A:C,2,FALSE)</f>
        <v>SOCIAL SECURITY</v>
      </c>
      <c r="I543" s="99">
        <f>SUMIFS(I$1:I537,$C$1:$C537,$C543,$F$1:$F537,$F543)</f>
        <v>23593.26</v>
      </c>
      <c r="J543" s="99">
        <f>SUMIFS(J$1:J537,$C$1:$C537,$C543,$F$1:$F537,$F543)</f>
        <v>22106.16</v>
      </c>
      <c r="K543" s="99">
        <f>SUMIFS(K$1:K537,$C$1:$C537,$C543,$F$1:$F537,$F543)</f>
        <v>20415.18</v>
      </c>
      <c r="L543" s="99">
        <f>SUMIFS(L$1:L537,$C$1:$C537,$C543,$F$1:$F537,$F543)</f>
        <v>26527.56</v>
      </c>
      <c r="M543" s="99">
        <f>SUMIFS(M$1:M537,$C$1:$C537,$C543,$F$1:$F537,$F543)</f>
        <v>29290</v>
      </c>
      <c r="N543" s="99">
        <f>SUMIFS(N$1:N537,$C$1:$C537,$C543,$F$1:$F537,$F543)</f>
        <v>21135.62</v>
      </c>
      <c r="O543" s="99">
        <f>SUMIFS(O$1:O537,$C$1:$C537,$C543,$F$1:$F537,$F543)</f>
        <v>28028</v>
      </c>
      <c r="P543" s="99">
        <f t="shared" si="795"/>
        <v>-1262</v>
      </c>
      <c r="Q543" s="99">
        <f>SUMIFS(Q$1:Q537,$C$1:$C537,$C543,$F$1:$F537,$F543)</f>
        <v>30100</v>
      </c>
      <c r="R543" s="99">
        <f>SUMIFS(R$1:R537,$C$1:$C537,$C543,$F$1:$F537,$F543)</f>
        <v>0</v>
      </c>
      <c r="S543" s="99">
        <f>SUMIFS(S$1:S537,$C$1:$C537,$C543,$F$1:$F537,$F543)</f>
        <v>0</v>
      </c>
      <c r="T543" s="99">
        <f>SUMIFS(T$1:T537,$C$1:$C537,$C543,$F$1:$F537,$F543)</f>
        <v>30100</v>
      </c>
      <c r="U543" s="99">
        <f t="shared" si="796"/>
        <v>810</v>
      </c>
      <c r="V543" s="255">
        <f t="shared" si="797"/>
        <v>2.7654489586889763E-2</v>
      </c>
      <c r="W543" s="102"/>
      <c r="X543" s="102"/>
      <c r="Y543" s="102">
        <f t="shared" si="798"/>
        <v>30100</v>
      </c>
      <c r="Z543" s="309">
        <f>Y543*(1+VLOOKUP($F543,'GL Category'!$A:$H,4,FALSE))</f>
        <v>31153.499999999996</v>
      </c>
      <c r="AA543" s="615"/>
      <c r="AB543" s="622">
        <f t="shared" si="799"/>
        <v>31153.499999999996</v>
      </c>
      <c r="AC543" s="633">
        <f>AB543*(1+VLOOKUP($F543,'GL Category'!$A:$H,5,FALSE))</f>
        <v>32243.872499999994</v>
      </c>
      <c r="AD543" s="307"/>
      <c r="AE543" s="622">
        <f t="shared" si="800"/>
        <v>32243.872499999994</v>
      </c>
      <c r="AF543" s="633">
        <f>AE543*(1+VLOOKUP($F543,'GL Category'!$A:$H,6,FALSE))</f>
        <v>33372.40803749999</v>
      </c>
      <c r="AG543" s="307"/>
      <c r="AH543" s="622">
        <f t="shared" si="801"/>
        <v>33372.40803749999</v>
      </c>
      <c r="AI543" s="633">
        <f>AH543*(1+VLOOKUP($F543,'GL Category'!$A:$H,7,FALSE))</f>
        <v>34540.442318812486</v>
      </c>
      <c r="AJ543" s="307"/>
      <c r="AK543" s="622">
        <f t="shared" si="802"/>
        <v>34540.442318812486</v>
      </c>
      <c r="AL543" s="633">
        <f>AK543*(1+VLOOKUP($F543,'GL Category'!$A:$H,8,FALSE))</f>
        <v>35749.357799970923</v>
      </c>
      <c r="AM543" s="307"/>
      <c r="AN543" s="622">
        <f t="shared" si="803"/>
        <v>35749.357799970923</v>
      </c>
      <c r="AO543" s="300"/>
      <c r="AP543" s="300"/>
      <c r="AQ543" s="300"/>
      <c r="AR543" s="300"/>
      <c r="AS543" s="300"/>
      <c r="AT543" s="300"/>
    </row>
    <row r="544" spans="1:59" s="115" customFormat="1" ht="15" customHeight="1">
      <c r="A544" s="296"/>
      <c r="B544" s="217"/>
      <c r="C544" s="217">
        <v>17</v>
      </c>
      <c r="D544" s="101"/>
      <c r="E544" s="101"/>
      <c r="F544" s="294" t="s">
        <v>141</v>
      </c>
      <c r="G544" s="295" t="str">
        <f>VLOOKUP(F544,'GL Category'!A:C,3,FALSE)</f>
        <v>Personnel services</v>
      </c>
      <c r="H544" s="98" t="str">
        <f>VLOOKUP(F544,'GL Category'!A:C,2,FALSE)</f>
        <v>HEALTH/LIFE INSURANCE</v>
      </c>
      <c r="I544" s="99">
        <f>SUMIFS(I$1:I538,$C$1:$C538,$C544,$F$1:$F538,$F544)</f>
        <v>63840.98</v>
      </c>
      <c r="J544" s="99">
        <f>SUMIFS(J$1:J538,$C$1:$C538,$C544,$F$1:$F538,$F544)</f>
        <v>62100.29</v>
      </c>
      <c r="K544" s="99">
        <f>SUMIFS(K$1:K538,$C$1:$C538,$C544,$F$1:$F538,$F544)</f>
        <v>70814.58</v>
      </c>
      <c r="L544" s="99">
        <f>SUMIFS(L$1:L538,$C$1:$C538,$C544,$F$1:$F538,$F544)</f>
        <v>81364.28</v>
      </c>
      <c r="M544" s="99">
        <f>SUMIFS(M$1:M538,$C$1:$C538,$C544,$F$1:$F538,$F544)</f>
        <v>79672</v>
      </c>
      <c r="N544" s="99">
        <f>SUMIFS(N$1:N538,$C$1:$C538,$C544,$F$1:$F538,$F544)</f>
        <v>64206.46</v>
      </c>
      <c r="O544" s="99">
        <f>SUMIFS(O$1:O538,$C$1:$C538,$C544,$F$1:$F538,$F544)</f>
        <v>86392</v>
      </c>
      <c r="P544" s="99">
        <f t="shared" si="795"/>
        <v>6720</v>
      </c>
      <c r="Q544" s="99">
        <f>SUMIFS(Q$1:Q538,$C$1:$C538,$C544,$F$1:$F538,$F544)</f>
        <v>84224</v>
      </c>
      <c r="R544" s="99">
        <f>SUMIFS(R$1:R538,$C$1:$C538,$C544,$F$1:$F538,$F544)</f>
        <v>0</v>
      </c>
      <c r="S544" s="99">
        <f>SUMIFS(S$1:S538,$C$1:$C538,$C544,$F$1:$F538,$F544)</f>
        <v>0</v>
      </c>
      <c r="T544" s="99">
        <f>SUMIFS(T$1:T538,$C$1:$C538,$C544,$F$1:$F538,$F544)</f>
        <v>84224</v>
      </c>
      <c r="U544" s="99">
        <f t="shared" si="796"/>
        <v>4552</v>
      </c>
      <c r="V544" s="255">
        <f t="shared" si="797"/>
        <v>5.7134250426749578E-2</v>
      </c>
      <c r="W544" s="102"/>
      <c r="X544" s="102"/>
      <c r="Y544" s="102">
        <f t="shared" si="798"/>
        <v>84224</v>
      </c>
      <c r="Z544" s="309">
        <f>Y544*(1+VLOOKUP($F544,'GL Category'!$A:$H,4,FALSE))</f>
        <v>87171.839999999997</v>
      </c>
      <c r="AA544" s="615"/>
      <c r="AB544" s="622">
        <f t="shared" si="799"/>
        <v>87171.839999999997</v>
      </c>
      <c r="AC544" s="633">
        <f>AB544*(1+VLOOKUP($F544,'GL Category'!$A:$H,5,FALSE))</f>
        <v>90222.854399999997</v>
      </c>
      <c r="AD544" s="307"/>
      <c r="AE544" s="622">
        <f t="shared" si="800"/>
        <v>90222.854399999997</v>
      </c>
      <c r="AF544" s="633">
        <f>AE544*(1+VLOOKUP($F544,'GL Category'!$A:$H,6,FALSE))</f>
        <v>93380.654303999996</v>
      </c>
      <c r="AG544" s="307"/>
      <c r="AH544" s="622">
        <f t="shared" si="801"/>
        <v>93380.654303999996</v>
      </c>
      <c r="AI544" s="633">
        <f>AH544*(1+VLOOKUP($F544,'GL Category'!$A:$H,7,FALSE))</f>
        <v>96648.977204639988</v>
      </c>
      <c r="AJ544" s="307"/>
      <c r="AK544" s="622">
        <f t="shared" si="802"/>
        <v>96648.977204639988</v>
      </c>
      <c r="AL544" s="633">
        <f>AK544*(1+VLOOKUP($F544,'GL Category'!$A:$H,8,FALSE))</f>
        <v>100031.69140680238</v>
      </c>
      <c r="AM544" s="307"/>
      <c r="AN544" s="622">
        <f t="shared" si="803"/>
        <v>100031.69140680238</v>
      </c>
      <c r="AO544" s="300"/>
      <c r="AP544" s="300"/>
      <c r="AQ544" s="300"/>
      <c r="AR544" s="300"/>
      <c r="AS544" s="300"/>
      <c r="AT544" s="300"/>
    </row>
    <row r="545" spans="1:46" s="115" customFormat="1" ht="15" customHeight="1">
      <c r="A545" s="296"/>
      <c r="B545" s="217"/>
      <c r="C545" s="217">
        <v>17</v>
      </c>
      <c r="D545" s="101"/>
      <c r="E545" s="101"/>
      <c r="F545" s="294" t="s">
        <v>143</v>
      </c>
      <c r="G545" s="295" t="str">
        <f>VLOOKUP(F545,'GL Category'!A:C,3,FALSE)</f>
        <v>Personnel services</v>
      </c>
      <c r="H545" s="98" t="str">
        <f>VLOOKUP(F545,'GL Category'!A:C,2,FALSE)</f>
        <v>WORKER COMPENSATION</v>
      </c>
      <c r="I545" s="99">
        <f>SUMIFS(I$1:I539,$C$1:$C539,$C545,$F$1:$F539,$F545)</f>
        <v>239.13</v>
      </c>
      <c r="J545" s="99">
        <f>SUMIFS(J$1:J539,$C$1:$C539,$C545,$F$1:$F539,$F545)</f>
        <v>217.61</v>
      </c>
      <c r="K545" s="99">
        <f>SUMIFS(K$1:K539,$C$1:$C539,$C545,$F$1:$F539,$F545)</f>
        <v>238.73</v>
      </c>
      <c r="L545" s="99">
        <f>SUMIFS(L$1:L539,$C$1:$C539,$C545,$F$1:$F539,$F545)</f>
        <v>431.73</v>
      </c>
      <c r="M545" s="99">
        <f>SUMIFS(M$1:M539,$C$1:$C539,$C545,$F$1:$F539,$F545)</f>
        <v>548</v>
      </c>
      <c r="N545" s="99">
        <f>SUMIFS(N$1:N539,$C$1:$C539,$C545,$F$1:$F539,$F545)</f>
        <v>547.54999999999995</v>
      </c>
      <c r="O545" s="99">
        <f>SUMIFS(O$1:O539,$C$1:$C539,$C545,$F$1:$F539,$F545)</f>
        <v>548</v>
      </c>
      <c r="P545" s="99">
        <f t="shared" si="795"/>
        <v>0</v>
      </c>
      <c r="Q545" s="99">
        <f>SUMIFS(Q$1:Q539,$C$1:$C539,$C545,$F$1:$F539,$F545)</f>
        <v>549</v>
      </c>
      <c r="R545" s="99">
        <f>SUMIFS(R$1:R539,$C$1:$C539,$C545,$F$1:$F539,$F545)</f>
        <v>0</v>
      </c>
      <c r="S545" s="99">
        <f>SUMIFS(S$1:S539,$C$1:$C539,$C545,$F$1:$F539,$F545)</f>
        <v>0</v>
      </c>
      <c r="T545" s="99">
        <f>SUMIFS(T$1:T539,$C$1:$C539,$C545,$F$1:$F539,$F545)</f>
        <v>549</v>
      </c>
      <c r="U545" s="99">
        <f t="shared" si="796"/>
        <v>1</v>
      </c>
      <c r="V545" s="255">
        <f t="shared" si="797"/>
        <v>1.8248175182482562E-3</v>
      </c>
      <c r="W545" s="102"/>
      <c r="X545" s="102"/>
      <c r="Y545" s="102">
        <f t="shared" si="798"/>
        <v>549</v>
      </c>
      <c r="Z545" s="309">
        <f>Y545*(1+VLOOKUP($F545,'GL Category'!$A:$H,4,FALSE))</f>
        <v>568.21499999999992</v>
      </c>
      <c r="AA545" s="615"/>
      <c r="AB545" s="622">
        <f t="shared" si="799"/>
        <v>568.21499999999992</v>
      </c>
      <c r="AC545" s="633">
        <f>AB545*(1+VLOOKUP($F545,'GL Category'!$A:$H,5,FALSE))</f>
        <v>588.1025249999999</v>
      </c>
      <c r="AD545" s="307"/>
      <c r="AE545" s="622">
        <f t="shared" si="800"/>
        <v>588.1025249999999</v>
      </c>
      <c r="AF545" s="633">
        <f>AE545*(1+VLOOKUP($F545,'GL Category'!$A:$H,6,FALSE))</f>
        <v>608.68611337499988</v>
      </c>
      <c r="AG545" s="307"/>
      <c r="AH545" s="622">
        <f t="shared" si="801"/>
        <v>608.68611337499988</v>
      </c>
      <c r="AI545" s="633">
        <f>AH545*(1+VLOOKUP($F545,'GL Category'!$A:$H,7,FALSE))</f>
        <v>629.99012734312487</v>
      </c>
      <c r="AJ545" s="307"/>
      <c r="AK545" s="622">
        <f t="shared" si="802"/>
        <v>629.99012734312487</v>
      </c>
      <c r="AL545" s="633">
        <f>AK545*(1+VLOOKUP($F545,'GL Category'!$A:$H,8,FALSE))</f>
        <v>652.03978180013416</v>
      </c>
      <c r="AM545" s="307"/>
      <c r="AN545" s="622">
        <f t="shared" si="803"/>
        <v>652.03978180013416</v>
      </c>
      <c r="AO545" s="300"/>
      <c r="AP545" s="300"/>
      <c r="AQ545" s="300"/>
      <c r="AR545" s="300"/>
      <c r="AS545" s="300"/>
      <c r="AT545" s="300"/>
    </row>
    <row r="546" spans="1:46" s="115" customFormat="1" ht="15" customHeight="1">
      <c r="A546" s="296"/>
      <c r="B546" s="217"/>
      <c r="C546" s="217">
        <v>17</v>
      </c>
      <c r="D546" s="101"/>
      <c r="E546" s="101"/>
      <c r="F546" s="294" t="s">
        <v>145</v>
      </c>
      <c r="G546" s="295" t="str">
        <f>VLOOKUP(F546,'GL Category'!A:C,3,FALSE)</f>
        <v>Personnel services</v>
      </c>
      <c r="H546" s="98" t="str">
        <f>VLOOKUP(F546,'GL Category'!A:C,2,FALSE)</f>
        <v>UNEMPLOYMENT INSURANCE</v>
      </c>
      <c r="I546" s="99">
        <f>SUMIFS(I$1:I540,$C$1:$C540,$C546,$F$1:$F540,$F546)</f>
        <v>0</v>
      </c>
      <c r="J546" s="99">
        <f>SUMIFS(J$1:J540,$C$1:$C540,$C546,$F$1:$F540,$F546)</f>
        <v>0</v>
      </c>
      <c r="K546" s="99">
        <f>SUMIFS(K$1:K540,$C$1:$C540,$C546,$F$1:$F540,$F546)</f>
        <v>0</v>
      </c>
      <c r="L546" s="99">
        <f>SUMIFS(L$1:L540,$C$1:$C540,$C546,$F$1:$F540,$F546)</f>
        <v>0</v>
      </c>
      <c r="M546" s="99">
        <f>SUMIFS(M$1:M540,$C$1:$C540,$C546,$F$1:$F540,$F546)</f>
        <v>0</v>
      </c>
      <c r="N546" s="99">
        <f>SUMIFS(N$1:N540,$C$1:$C540,$C546,$F$1:$F540,$F546)</f>
        <v>0</v>
      </c>
      <c r="O546" s="99">
        <f>SUMIFS(O$1:O540,$C$1:$C540,$C546,$F$1:$F540,$F546)</f>
        <v>0</v>
      </c>
      <c r="P546" s="99">
        <f t="shared" si="795"/>
        <v>0</v>
      </c>
      <c r="Q546" s="99">
        <f>SUMIFS(Q$1:Q540,$C$1:$C540,$C546,$F$1:$F540,$F546)</f>
        <v>0</v>
      </c>
      <c r="R546" s="99">
        <f>SUMIFS(R$1:R540,$C$1:$C540,$C546,$F$1:$F540,$F546)</f>
        <v>0</v>
      </c>
      <c r="S546" s="99">
        <f>SUMIFS(S$1:S540,$C$1:$C540,$C546,$F$1:$F540,$F546)</f>
        <v>0</v>
      </c>
      <c r="T546" s="99">
        <f>SUMIFS(T$1:T540,$C$1:$C540,$C546,$F$1:$F540,$F546)</f>
        <v>0</v>
      </c>
      <c r="U546" s="99">
        <f t="shared" si="796"/>
        <v>0</v>
      </c>
      <c r="V546" s="255" t="str">
        <f t="shared" si="797"/>
        <v>N/A</v>
      </c>
      <c r="W546" s="102"/>
      <c r="X546" s="102"/>
      <c r="Y546" s="102">
        <f t="shared" si="798"/>
        <v>0</v>
      </c>
      <c r="Z546" s="309">
        <f>Y546*(1+VLOOKUP($F546,'GL Category'!$A:$H,4,FALSE))</f>
        <v>0</v>
      </c>
      <c r="AA546" s="615"/>
      <c r="AB546" s="622">
        <f t="shared" si="799"/>
        <v>0</v>
      </c>
      <c r="AC546" s="633">
        <f>AB546*(1+VLOOKUP($F546,'GL Category'!$A:$H,5,FALSE))</f>
        <v>0</v>
      </c>
      <c r="AD546" s="307"/>
      <c r="AE546" s="622">
        <f t="shared" si="800"/>
        <v>0</v>
      </c>
      <c r="AF546" s="633">
        <f>AE546*(1+VLOOKUP($F546,'GL Category'!$A:$H,6,FALSE))</f>
        <v>0</v>
      </c>
      <c r="AG546" s="307"/>
      <c r="AH546" s="622">
        <f t="shared" si="801"/>
        <v>0</v>
      </c>
      <c r="AI546" s="633">
        <f>AH546*(1+VLOOKUP($F546,'GL Category'!$A:$H,7,FALSE))</f>
        <v>0</v>
      </c>
      <c r="AJ546" s="307"/>
      <c r="AK546" s="622">
        <f t="shared" si="802"/>
        <v>0</v>
      </c>
      <c r="AL546" s="633">
        <f>AK546*(1+VLOOKUP($F546,'GL Category'!$A:$H,8,FALSE))</f>
        <v>0</v>
      </c>
      <c r="AM546" s="307"/>
      <c r="AN546" s="622">
        <f t="shared" si="803"/>
        <v>0</v>
      </c>
      <c r="AO546" s="300"/>
      <c r="AP546" s="300"/>
      <c r="AQ546" s="300"/>
      <c r="AR546" s="300"/>
      <c r="AS546" s="300"/>
      <c r="AT546" s="300"/>
    </row>
    <row r="547" spans="1:46" s="115" customFormat="1" ht="15" customHeight="1">
      <c r="A547" s="296"/>
      <c r="B547" s="217"/>
      <c r="C547" s="217">
        <v>17</v>
      </c>
      <c r="D547" s="101"/>
      <c r="E547" s="101"/>
      <c r="F547" s="294" t="s">
        <v>147</v>
      </c>
      <c r="G547" s="295" t="str">
        <f>VLOOKUP(F547,'GL Category'!A:C,3,FALSE)</f>
        <v>Personnel services</v>
      </c>
      <c r="H547" s="98" t="str">
        <f>VLOOKUP(F547,'GL Category'!A:C,2,FALSE)</f>
        <v>RETIREMENT</v>
      </c>
      <c r="I547" s="99">
        <f>SUMIFS(I$1:I541,$C$1:$C541,$C547,$F$1:$F541,$F547)</f>
        <v>51624.82</v>
      </c>
      <c r="J547" s="99">
        <f>SUMIFS(J$1:J541,$C$1:$C541,$C547,$F$1:$F541,$F547)</f>
        <v>48592.56</v>
      </c>
      <c r="K547" s="99">
        <f>SUMIFS(K$1:K541,$C$1:$C541,$C547,$F$1:$F541,$F547)</f>
        <v>44116.29</v>
      </c>
      <c r="L547" s="99">
        <f>SUMIFS(L$1:L541,$C$1:$C541,$C547,$F$1:$F541,$F547)</f>
        <v>56933.32</v>
      </c>
      <c r="M547" s="99">
        <f>SUMIFS(M$1:M541,$C$1:$C541,$C547,$F$1:$F541,$F547)</f>
        <v>58741</v>
      </c>
      <c r="N547" s="99">
        <f>SUMIFS(N$1:N541,$C$1:$C541,$C547,$F$1:$F541,$F547)</f>
        <v>44792.29</v>
      </c>
      <c r="O547" s="99">
        <f>SUMIFS(O$1:O541,$C$1:$C541,$C547,$F$1:$F541,$F547)</f>
        <v>58696</v>
      </c>
      <c r="P547" s="99">
        <f t="shared" si="795"/>
        <v>-45</v>
      </c>
      <c r="Q547" s="99">
        <f>SUMIFS(Q$1:Q541,$C$1:$C541,$C547,$F$1:$F541,$F547)</f>
        <v>62492</v>
      </c>
      <c r="R547" s="99">
        <f>SUMIFS(R$1:R541,$C$1:$C541,$C547,$F$1:$F541,$F547)</f>
        <v>0</v>
      </c>
      <c r="S547" s="99">
        <f>SUMIFS(S$1:S541,$C$1:$C541,$C547,$F$1:$F541,$F547)</f>
        <v>0</v>
      </c>
      <c r="T547" s="99">
        <f>SUMIFS(T$1:T541,$C$1:$C541,$C547,$F$1:$F541,$F547)</f>
        <v>62492</v>
      </c>
      <c r="U547" s="99">
        <f t="shared" si="796"/>
        <v>3751</v>
      </c>
      <c r="V547" s="255">
        <f t="shared" si="797"/>
        <v>6.3856590796887991E-2</v>
      </c>
      <c r="W547" s="102"/>
      <c r="X547" s="102"/>
      <c r="Y547" s="102">
        <f t="shared" si="798"/>
        <v>62492</v>
      </c>
      <c r="Z547" s="309">
        <f>Y547*(1+VLOOKUP($F547,'GL Category'!$A:$H,4,FALSE))</f>
        <v>64679.219999999994</v>
      </c>
      <c r="AA547" s="615"/>
      <c r="AB547" s="622">
        <f t="shared" si="799"/>
        <v>64679.219999999994</v>
      </c>
      <c r="AC547" s="633">
        <f>AB547*(1+VLOOKUP($F547,'GL Category'!$A:$H,5,FALSE))</f>
        <v>66942.992699999988</v>
      </c>
      <c r="AD547" s="307"/>
      <c r="AE547" s="622">
        <f t="shared" si="800"/>
        <v>66942.992699999988</v>
      </c>
      <c r="AF547" s="633">
        <f>AE547*(1+VLOOKUP($F547,'GL Category'!$A:$H,6,FALSE))</f>
        <v>69285.997444499983</v>
      </c>
      <c r="AG547" s="307"/>
      <c r="AH547" s="622">
        <f t="shared" si="801"/>
        <v>69285.997444499983</v>
      </c>
      <c r="AI547" s="633">
        <f>AH547*(1+VLOOKUP($F547,'GL Category'!$A:$H,7,FALSE))</f>
        <v>71711.007355057474</v>
      </c>
      <c r="AJ547" s="307"/>
      <c r="AK547" s="622">
        <f t="shared" si="802"/>
        <v>71711.007355057474</v>
      </c>
      <c r="AL547" s="633">
        <f>AK547*(1+VLOOKUP($F547,'GL Category'!$A:$H,8,FALSE))</f>
        <v>74220.892612484487</v>
      </c>
      <c r="AM547" s="307"/>
      <c r="AN547" s="622">
        <f t="shared" si="803"/>
        <v>74220.892612484487</v>
      </c>
      <c r="AO547" s="93"/>
      <c r="AP547" s="93"/>
      <c r="AQ547" s="93"/>
      <c r="AR547" s="93"/>
      <c r="AS547" s="93"/>
      <c r="AT547" s="93"/>
    </row>
    <row r="548" spans="1:46" s="115" customFormat="1" ht="15" customHeight="1">
      <c r="A548" s="297"/>
      <c r="B548" s="217"/>
      <c r="C548" s="217"/>
      <c r="D548" s="101"/>
      <c r="E548" s="101"/>
      <c r="F548" s="294"/>
      <c r="G548" s="295"/>
      <c r="H548" s="107" t="str">
        <f>UPPER(G547)&amp;" TOTAL"</f>
        <v>PERSONNEL SERVICES TOTAL</v>
      </c>
      <c r="I548" s="108">
        <f t="shared" ref="I548" si="804">SUBTOTAL(9,I537:I547)</f>
        <v>472540.62999999995</v>
      </c>
      <c r="J548" s="108">
        <f t="shared" ref="J548:P548" si="805">SUBTOTAL(9,J537:J547)</f>
        <v>443847.12999999995</v>
      </c>
      <c r="K548" s="108">
        <f t="shared" ref="K548" si="806">SUBTOTAL(9,K537:K547)</f>
        <v>428484.31</v>
      </c>
      <c r="L548" s="108">
        <f t="shared" ref="L548" si="807">SUBTOTAL(9,L537:L547)</f>
        <v>544061.18999999994</v>
      </c>
      <c r="M548" s="108">
        <f t="shared" si="805"/>
        <v>549039</v>
      </c>
      <c r="N548" s="109">
        <f t="shared" ref="N548" si="808">SUBTOTAL(9,N537:N547)</f>
        <v>419361.32</v>
      </c>
      <c r="O548" s="109">
        <f t="shared" si="805"/>
        <v>553418</v>
      </c>
      <c r="P548" s="109">
        <f t="shared" si="805"/>
        <v>4379</v>
      </c>
      <c r="Q548" s="109">
        <f t="shared" ref="Q548:T548" si="809">SUBTOTAL(9,Q537:Q547)</f>
        <v>573097</v>
      </c>
      <c r="R548" s="109">
        <f t="shared" si="809"/>
        <v>0</v>
      </c>
      <c r="S548" s="109">
        <f t="shared" si="809"/>
        <v>0</v>
      </c>
      <c r="T548" s="109">
        <f t="shared" si="809"/>
        <v>573097</v>
      </c>
      <c r="U548" s="99">
        <f t="shared" si="796"/>
        <v>24058</v>
      </c>
      <c r="V548" s="255">
        <f t="shared" si="797"/>
        <v>4.3818380843619442E-2</v>
      </c>
      <c r="W548" s="102"/>
      <c r="X548" s="102"/>
      <c r="Y548" s="102"/>
      <c r="Z548" s="192"/>
      <c r="AA548" s="615"/>
      <c r="AB548" s="307"/>
      <c r="AC548" s="300"/>
      <c r="AD548" s="300"/>
      <c r="AE548" s="300"/>
      <c r="AF548" s="300"/>
      <c r="AG548" s="300"/>
      <c r="AH548" s="307"/>
      <c r="AI548" s="307"/>
      <c r="AJ548" s="300"/>
      <c r="AK548" s="300"/>
      <c r="AL548" s="300"/>
      <c r="AM548" s="300"/>
      <c r="AN548" s="300"/>
      <c r="AO548" s="300"/>
      <c r="AP548" s="300"/>
      <c r="AQ548" s="300"/>
      <c r="AR548" s="300"/>
      <c r="AS548" s="300"/>
      <c r="AT548" s="300"/>
    </row>
    <row r="549" spans="1:46" s="115" customFormat="1" ht="15" customHeight="1">
      <c r="A549" s="297"/>
      <c r="B549" s="217"/>
      <c r="C549" s="217"/>
      <c r="D549" s="101"/>
      <c r="E549" s="101"/>
      <c r="F549" s="294"/>
      <c r="G549" s="295"/>
      <c r="H549" s="98"/>
      <c r="I549" s="106"/>
      <c r="J549" s="106"/>
      <c r="K549" s="106"/>
      <c r="L549" s="106"/>
      <c r="M549" s="106"/>
      <c r="N549" s="112"/>
      <c r="O549" s="112"/>
      <c r="P549" s="112"/>
      <c r="Q549" s="113"/>
      <c r="R549" s="212"/>
      <c r="S549" s="212"/>
      <c r="T549" s="113"/>
      <c r="U549" s="113"/>
      <c r="V549" s="113"/>
      <c r="W549" s="102"/>
      <c r="X549" s="102"/>
      <c r="Y549" s="102"/>
      <c r="Z549" s="192"/>
      <c r="AA549" s="615"/>
      <c r="AB549" s="307"/>
      <c r="AC549" s="300"/>
      <c r="AD549" s="300"/>
      <c r="AE549" s="300"/>
      <c r="AF549" s="300"/>
      <c r="AG549" s="300"/>
      <c r="AH549" s="307"/>
      <c r="AI549" s="307"/>
      <c r="AJ549" s="300"/>
      <c r="AK549" s="300"/>
      <c r="AL549" s="300"/>
      <c r="AM549" s="300"/>
      <c r="AN549" s="300"/>
      <c r="AO549" s="300"/>
      <c r="AP549" s="300"/>
      <c r="AQ549" s="300"/>
      <c r="AR549" s="300"/>
      <c r="AS549" s="300"/>
      <c r="AT549" s="300"/>
    </row>
    <row r="550" spans="1:46" s="115" customFormat="1" ht="15" customHeight="1">
      <c r="A550" s="296"/>
      <c r="B550" s="217"/>
      <c r="C550" s="217">
        <v>17</v>
      </c>
      <c r="D550" s="101"/>
      <c r="E550" s="101"/>
      <c r="F550" s="294" t="s">
        <v>148</v>
      </c>
      <c r="G550" s="295" t="str">
        <f>VLOOKUP(F550,'GL Category'!A:C,3,FALSE)</f>
        <v>Operations &amp; maintenance</v>
      </c>
      <c r="H550" s="98" t="str">
        <f>VLOOKUP(F550,'GL Category'!A:C,2,FALSE)</f>
        <v>OFFICE SUPPLIES</v>
      </c>
      <c r="I550" s="99">
        <f>SUMIFS(I$1:I544,$C$1:$C544,$C550,$F$1:$F544,$F550)</f>
        <v>2525.71</v>
      </c>
      <c r="J550" s="99">
        <f>SUMIFS(J$1:J544,$C$1:$C544,$C550,$F$1:$F544,$F550)</f>
        <v>1781.3999999999999</v>
      </c>
      <c r="K550" s="99">
        <f>SUMIFS(K$1:K544,$C$1:$C544,$C550,$F$1:$F544,$F550)</f>
        <v>2341.16</v>
      </c>
      <c r="L550" s="99">
        <f>SUMIFS(L$1:L544,$C$1:$C544,$C550,$F$1:$F544,$F550)</f>
        <v>3494.79</v>
      </c>
      <c r="M550" s="99">
        <f>SUMIFS(M$1:M544,$C$1:$C544,$C550,$F$1:$F544,$F550)</f>
        <v>2520</v>
      </c>
      <c r="N550" s="99">
        <f>SUMIFS(N$1:N544,$C$1:$C544,$C550,$F$1:$F544,$F550)</f>
        <v>1124.24</v>
      </c>
      <c r="O550" s="99">
        <f>SUMIFS(O$1:O544,$C$1:$C544,$C550,$F$1:$F544,$F550)</f>
        <v>2270</v>
      </c>
      <c r="P550" s="99">
        <f t="shared" ref="P550:P558" si="810">O550-M550</f>
        <v>-250</v>
      </c>
      <c r="Q550" s="99">
        <f>SUMIFS(Q$1:Q544,$C$1:$C544,$C550,$F$1:$F544,$F550)</f>
        <v>2520</v>
      </c>
      <c r="R550" s="99">
        <f>SUMIFS(R$1:R544,$C$1:$C544,$C550,$F$1:$F544,$F550)</f>
        <v>0</v>
      </c>
      <c r="S550" s="99">
        <f>SUMIFS(S$1:S544,$C$1:$C544,$C550,$F$1:$F544,$F550)</f>
        <v>0</v>
      </c>
      <c r="T550" s="99">
        <f>SUMIFS(T$1:T544,$C$1:$C544,$C550,$F$1:$F544,$F550)</f>
        <v>2520</v>
      </c>
      <c r="U550" s="99">
        <f t="shared" ref="U550:U559" si="811">T550-M550</f>
        <v>0</v>
      </c>
      <c r="V550" s="255">
        <f t="shared" ref="V550:V559" si="812">IF(M550=0,"N/A",T550/M550-1)</f>
        <v>0</v>
      </c>
      <c r="W550" s="102"/>
      <c r="X550" s="102"/>
      <c r="Y550" s="102">
        <f t="shared" ref="Y550:Y558" si="813">T550-X550</f>
        <v>2520</v>
      </c>
      <c r="Z550" s="309">
        <f>Y550*(1+VLOOKUP($F550,'GL Category'!$A:$H,4,FALSE))</f>
        <v>2570.4</v>
      </c>
      <c r="AA550" s="615"/>
      <c r="AB550" s="622">
        <f t="shared" ref="AB550:AB558" si="814">Z550+AA550</f>
        <v>2570.4</v>
      </c>
      <c r="AC550" s="633">
        <f>AB550*(1+VLOOKUP($F550,'GL Category'!$A:$H,5,FALSE))</f>
        <v>2621.808</v>
      </c>
      <c r="AD550" s="307"/>
      <c r="AE550" s="622">
        <f t="shared" ref="AE550:AE558" si="815">AC550+AD550</f>
        <v>2621.808</v>
      </c>
      <c r="AF550" s="633">
        <f>AE550*(1+VLOOKUP($F550,'GL Category'!$A:$H,6,FALSE))</f>
        <v>2674.2441600000002</v>
      </c>
      <c r="AG550" s="307"/>
      <c r="AH550" s="622">
        <f t="shared" ref="AH550:AH558" si="816">AF550+AG550</f>
        <v>2674.2441600000002</v>
      </c>
      <c r="AI550" s="633">
        <f>AH550*(1+VLOOKUP($F550,'GL Category'!$A:$H,7,FALSE))</f>
        <v>2727.7290432000004</v>
      </c>
      <c r="AJ550" s="307"/>
      <c r="AK550" s="622">
        <f t="shared" ref="AK550:AK558" si="817">AI550+AJ550</f>
        <v>2727.7290432000004</v>
      </c>
      <c r="AL550" s="633">
        <f>AK550*(1+VLOOKUP($F550,'GL Category'!$A:$H,8,FALSE))</f>
        <v>2782.2836240640004</v>
      </c>
      <c r="AM550" s="307"/>
      <c r="AN550" s="622">
        <f t="shared" ref="AN550:AN558" si="818">AL550+AM550</f>
        <v>2782.2836240640004</v>
      </c>
      <c r="AO550" s="300"/>
      <c r="AP550" s="300"/>
      <c r="AQ550" s="300"/>
      <c r="AR550" s="300"/>
      <c r="AS550" s="300"/>
      <c r="AT550" s="300"/>
    </row>
    <row r="551" spans="1:46" s="115" customFormat="1" ht="15" customHeight="1">
      <c r="A551" s="296"/>
      <c r="B551" s="217"/>
      <c r="C551" s="217">
        <v>17</v>
      </c>
      <c r="D551" s="101"/>
      <c r="E551" s="101"/>
      <c r="F551" s="294" t="s">
        <v>251</v>
      </c>
      <c r="G551" s="295" t="str">
        <f>VLOOKUP(F551,'GL Category'!A:C,3,FALSE)</f>
        <v>Operations &amp; maintenance</v>
      </c>
      <c r="H551" s="98" t="str">
        <f>VLOOKUP(F551,'GL Category'!A:C,2,FALSE)</f>
        <v>MEDICAL SUPPLIES</v>
      </c>
      <c r="I551" s="99">
        <f>SUMIFS(I$1:I545,$C$1:$C545,$C551,$F$1:$F545,$F551)</f>
        <v>0</v>
      </c>
      <c r="J551" s="99">
        <f>SUMIFS(J$1:J545,$C$1:$C545,$C551,$F$1:$F545,$F551)</f>
        <v>0</v>
      </c>
      <c r="K551" s="99">
        <f>SUMIFS(K$1:K545,$C$1:$C545,$C551,$F$1:$F545,$F551)</f>
        <v>0</v>
      </c>
      <c r="L551" s="99">
        <f>SUMIFS(L$1:L545,$C$1:$C545,$C551,$F$1:$F545,$F551)</f>
        <v>0</v>
      </c>
      <c r="M551" s="99">
        <f>SUMIFS(M$1:M545,$C$1:$C545,$C551,$F$1:$F545,$F551)</f>
        <v>0</v>
      </c>
      <c r="N551" s="99">
        <f>SUMIFS(N$1:N545,$C$1:$C545,$C551,$F$1:$F545,$F551)</f>
        <v>0</v>
      </c>
      <c r="O551" s="99">
        <f>SUMIFS(O$1:O545,$C$1:$C545,$C551,$F$1:$F545,$F551)</f>
        <v>0</v>
      </c>
      <c r="P551" s="99">
        <f t="shared" si="810"/>
        <v>0</v>
      </c>
      <c r="Q551" s="99">
        <f>SUMIFS(Q$1:Q545,$C$1:$C545,$C551,$F$1:$F545,$F551)</f>
        <v>0</v>
      </c>
      <c r="R551" s="99">
        <f>SUMIFS(R$1:R545,$C$1:$C545,$C551,$F$1:$F545,$F551)</f>
        <v>0</v>
      </c>
      <c r="S551" s="99">
        <f>SUMIFS(S$1:S545,$C$1:$C545,$C551,$F$1:$F545,$F551)</f>
        <v>0</v>
      </c>
      <c r="T551" s="99">
        <f>SUMIFS(T$1:T545,$C$1:$C545,$C551,$F$1:$F545,$F551)</f>
        <v>0</v>
      </c>
      <c r="U551" s="99">
        <f t="shared" si="811"/>
        <v>0</v>
      </c>
      <c r="V551" s="255" t="str">
        <f t="shared" si="812"/>
        <v>N/A</v>
      </c>
      <c r="W551" s="102"/>
      <c r="X551" s="102"/>
      <c r="Y551" s="102">
        <f t="shared" si="813"/>
        <v>0</v>
      </c>
      <c r="Z551" s="309">
        <f>Y551*(1+VLOOKUP($F551,'GL Category'!$A:$H,4,FALSE))</f>
        <v>0</v>
      </c>
      <c r="AA551" s="615"/>
      <c r="AB551" s="622">
        <f t="shared" si="814"/>
        <v>0</v>
      </c>
      <c r="AC551" s="633">
        <f>AB551*(1+VLOOKUP($F551,'GL Category'!$A:$H,5,FALSE))</f>
        <v>0</v>
      </c>
      <c r="AD551" s="307"/>
      <c r="AE551" s="622">
        <f t="shared" si="815"/>
        <v>0</v>
      </c>
      <c r="AF551" s="633">
        <f>AE551*(1+VLOOKUP($F551,'GL Category'!$A:$H,6,FALSE))</f>
        <v>0</v>
      </c>
      <c r="AG551" s="307"/>
      <c r="AH551" s="622">
        <f t="shared" si="816"/>
        <v>0</v>
      </c>
      <c r="AI551" s="633">
        <f>AH551*(1+VLOOKUP($F551,'GL Category'!$A:$H,7,FALSE))</f>
        <v>0</v>
      </c>
      <c r="AJ551" s="307"/>
      <c r="AK551" s="622">
        <f t="shared" si="817"/>
        <v>0</v>
      </c>
      <c r="AL551" s="633">
        <f>AK551*(1+VLOOKUP($F551,'GL Category'!$A:$H,8,FALSE))</f>
        <v>0</v>
      </c>
      <c r="AM551" s="307"/>
      <c r="AN551" s="622">
        <f t="shared" si="818"/>
        <v>0</v>
      </c>
      <c r="AO551" s="300"/>
      <c r="AP551" s="300"/>
      <c r="AQ551" s="300"/>
      <c r="AR551" s="300"/>
      <c r="AS551" s="300"/>
      <c r="AT551" s="300"/>
    </row>
    <row r="552" spans="1:46" s="115" customFormat="1" ht="15" customHeight="1">
      <c r="A552" s="296"/>
      <c r="B552" s="217"/>
      <c r="C552" s="217">
        <v>17</v>
      </c>
      <c r="D552" s="101"/>
      <c r="E552" s="101"/>
      <c r="F552" s="294" t="s">
        <v>159</v>
      </c>
      <c r="G552" s="295" t="str">
        <f>VLOOKUP(F552,'GL Category'!A:C,3,FALSE)</f>
        <v>Operations &amp; maintenance</v>
      </c>
      <c r="H552" s="98" t="str">
        <f>VLOOKUP(F552,'GL Category'!A:C,2,FALSE)</f>
        <v>SMALL TOOLS &amp; EQUIPMENT</v>
      </c>
      <c r="I552" s="99">
        <f>SUMIFS(I$1:I546,$C$1:$C546,$C552,$F$1:$F546,$F552)</f>
        <v>0</v>
      </c>
      <c r="J552" s="99">
        <f>SUMIFS(J$1:J546,$C$1:$C546,$C552,$F$1:$F546,$F552)</f>
        <v>0</v>
      </c>
      <c r="K552" s="99">
        <f>SUMIFS(K$1:K546,$C$1:$C546,$C552,$F$1:$F546,$F552)</f>
        <v>0</v>
      </c>
      <c r="L552" s="99">
        <f>SUMIFS(L$1:L546,$C$1:$C546,$C552,$F$1:$F546,$F552)</f>
        <v>0</v>
      </c>
      <c r="M552" s="99">
        <f>SUMIFS(M$1:M546,$C$1:$C546,$C552,$F$1:$F546,$F552)</f>
        <v>0</v>
      </c>
      <c r="N552" s="99">
        <f>SUMIFS(N$1:N546,$C$1:$C546,$C552,$F$1:$F546,$F552)</f>
        <v>0</v>
      </c>
      <c r="O552" s="99">
        <f>SUMIFS(O$1:O546,$C$1:$C546,$C552,$F$1:$F546,$F552)</f>
        <v>0</v>
      </c>
      <c r="P552" s="99">
        <f t="shared" si="810"/>
        <v>0</v>
      </c>
      <c r="Q552" s="99">
        <f>SUMIFS(Q$1:Q546,$C$1:$C546,$C552,$F$1:$F546,$F552)</f>
        <v>0</v>
      </c>
      <c r="R552" s="99">
        <f>SUMIFS(R$1:R546,$C$1:$C546,$C552,$F$1:$F546,$F552)</f>
        <v>0</v>
      </c>
      <c r="S552" s="99">
        <f>SUMIFS(S$1:S546,$C$1:$C546,$C552,$F$1:$F546,$F552)</f>
        <v>0</v>
      </c>
      <c r="T552" s="99">
        <f>SUMIFS(T$1:T546,$C$1:$C546,$C552,$F$1:$F546,$F552)</f>
        <v>0</v>
      </c>
      <c r="U552" s="99">
        <f t="shared" si="811"/>
        <v>0</v>
      </c>
      <c r="V552" s="255" t="str">
        <f t="shared" si="812"/>
        <v>N/A</v>
      </c>
      <c r="W552" s="102"/>
      <c r="X552" s="102"/>
      <c r="Y552" s="102">
        <f t="shared" si="813"/>
        <v>0</v>
      </c>
      <c r="Z552" s="309">
        <f>Y552*(1+VLOOKUP($F552,'GL Category'!$A:$H,4,FALSE))</f>
        <v>0</v>
      </c>
      <c r="AA552" s="615"/>
      <c r="AB552" s="622">
        <f t="shared" si="814"/>
        <v>0</v>
      </c>
      <c r="AC552" s="633">
        <f>AB552*(1+VLOOKUP($F552,'GL Category'!$A:$H,5,FALSE))</f>
        <v>0</v>
      </c>
      <c r="AD552" s="307"/>
      <c r="AE552" s="622">
        <f t="shared" si="815"/>
        <v>0</v>
      </c>
      <c r="AF552" s="633">
        <f>AE552*(1+VLOOKUP($F552,'GL Category'!$A:$H,6,FALSE))</f>
        <v>0</v>
      </c>
      <c r="AG552" s="307"/>
      <c r="AH552" s="622">
        <f t="shared" si="816"/>
        <v>0</v>
      </c>
      <c r="AI552" s="633">
        <f>AH552*(1+VLOOKUP($F552,'GL Category'!$A:$H,7,FALSE))</f>
        <v>0</v>
      </c>
      <c r="AJ552" s="307"/>
      <c r="AK552" s="622">
        <f t="shared" si="817"/>
        <v>0</v>
      </c>
      <c r="AL552" s="633">
        <f>AK552*(1+VLOOKUP($F552,'GL Category'!$A:$H,8,FALSE))</f>
        <v>0</v>
      </c>
      <c r="AM552" s="307"/>
      <c r="AN552" s="622">
        <f t="shared" si="818"/>
        <v>0</v>
      </c>
      <c r="AO552" s="300"/>
      <c r="AP552" s="300"/>
      <c r="AQ552" s="300"/>
      <c r="AR552" s="300"/>
      <c r="AS552" s="300"/>
      <c r="AT552" s="300"/>
    </row>
    <row r="553" spans="1:46" s="115" customFormat="1" ht="15" customHeight="1">
      <c r="A553" s="296"/>
      <c r="B553" s="217"/>
      <c r="C553" s="217">
        <v>17</v>
      </c>
      <c r="D553" s="101"/>
      <c r="E553" s="101"/>
      <c r="F553" s="294" t="s">
        <v>162</v>
      </c>
      <c r="G553" s="295" t="str">
        <f>VLOOKUP(F553,'GL Category'!A:C,3,FALSE)</f>
        <v>Operations &amp; maintenance</v>
      </c>
      <c r="H553" s="98" t="str">
        <f>VLOOKUP(F553,'GL Category'!A:C,2,FALSE)</f>
        <v>MEETING SPONSORSHIP/SUPPLIES</v>
      </c>
      <c r="I553" s="99">
        <f>SUMIFS(I$1:I547,$C$1:$C547,$C553,$F$1:$F547,$F553)</f>
        <v>4128.84</v>
      </c>
      <c r="J553" s="99">
        <f>SUMIFS(J$1:J547,$C$1:$C547,$C553,$F$1:$F547,$F553)</f>
        <v>3937.33</v>
      </c>
      <c r="K553" s="99">
        <f>SUMIFS(K$1:K547,$C$1:$C547,$C553,$F$1:$F547,$F553)</f>
        <v>4056.64</v>
      </c>
      <c r="L553" s="99">
        <f>SUMIFS(L$1:L547,$C$1:$C547,$C553,$F$1:$F547,$F553)</f>
        <v>2960.99</v>
      </c>
      <c r="M553" s="99">
        <f>SUMIFS(M$1:M547,$C$1:$C547,$C553,$F$1:$F547,$F553)</f>
        <v>6200</v>
      </c>
      <c r="N553" s="99">
        <f>SUMIFS(N$1:N547,$C$1:$C547,$C553,$F$1:$F547,$F553)</f>
        <v>1696.2</v>
      </c>
      <c r="O553" s="99">
        <f>SUMIFS(O$1:O547,$C$1:$C547,$C553,$F$1:$F547,$F553)</f>
        <v>6200</v>
      </c>
      <c r="P553" s="99">
        <f t="shared" si="810"/>
        <v>0</v>
      </c>
      <c r="Q553" s="99">
        <f>SUMIFS(Q$1:Q547,$C$1:$C547,$C553,$F$1:$F547,$F553)</f>
        <v>6200</v>
      </c>
      <c r="R553" s="99">
        <f>SUMIFS(R$1:R547,$C$1:$C547,$C553,$F$1:$F547,$F553)</f>
        <v>0</v>
      </c>
      <c r="S553" s="99">
        <f>SUMIFS(S$1:S547,$C$1:$C547,$C553,$F$1:$F547,$F553)</f>
        <v>0</v>
      </c>
      <c r="T553" s="99">
        <f>SUMIFS(T$1:T547,$C$1:$C547,$C553,$F$1:$F547,$F553)</f>
        <v>6200</v>
      </c>
      <c r="U553" s="99">
        <f t="shared" si="811"/>
        <v>0</v>
      </c>
      <c r="V553" s="255">
        <f t="shared" si="812"/>
        <v>0</v>
      </c>
      <c r="W553" s="102"/>
      <c r="X553" s="102"/>
      <c r="Y553" s="102">
        <f t="shared" si="813"/>
        <v>6200</v>
      </c>
      <c r="Z553" s="309">
        <f>Y553*(1+VLOOKUP($F553,'GL Category'!$A:$H,4,FALSE))</f>
        <v>6324</v>
      </c>
      <c r="AA553" s="615"/>
      <c r="AB553" s="622">
        <f t="shared" si="814"/>
        <v>6324</v>
      </c>
      <c r="AC553" s="633">
        <f>AB553*(1+VLOOKUP($F553,'GL Category'!$A:$H,5,FALSE))</f>
        <v>6450.4800000000005</v>
      </c>
      <c r="AD553" s="307"/>
      <c r="AE553" s="622">
        <f t="shared" si="815"/>
        <v>6450.4800000000005</v>
      </c>
      <c r="AF553" s="633">
        <f>AE553*(1+VLOOKUP($F553,'GL Category'!$A:$H,6,FALSE))</f>
        <v>6579.4896000000008</v>
      </c>
      <c r="AG553" s="307"/>
      <c r="AH553" s="622">
        <f t="shared" si="816"/>
        <v>6579.4896000000008</v>
      </c>
      <c r="AI553" s="633">
        <f>AH553*(1+VLOOKUP($F553,'GL Category'!$A:$H,7,FALSE))</f>
        <v>6711.0793920000006</v>
      </c>
      <c r="AJ553" s="307"/>
      <c r="AK553" s="622">
        <f t="shared" si="817"/>
        <v>6711.0793920000006</v>
      </c>
      <c r="AL553" s="633">
        <f>AK553*(1+VLOOKUP($F553,'GL Category'!$A:$H,8,FALSE))</f>
        <v>6845.3009798400008</v>
      </c>
      <c r="AM553" s="307"/>
      <c r="AN553" s="622">
        <f t="shared" si="818"/>
        <v>6845.3009798400008</v>
      </c>
      <c r="AO553" s="300"/>
      <c r="AP553" s="300"/>
      <c r="AQ553" s="300"/>
      <c r="AR553" s="300"/>
      <c r="AS553" s="300"/>
      <c r="AT553" s="300"/>
    </row>
    <row r="554" spans="1:46" s="115" customFormat="1" ht="15" customHeight="1">
      <c r="A554" s="296"/>
      <c r="B554" s="217"/>
      <c r="C554" s="217">
        <v>17</v>
      </c>
      <c r="D554" s="101"/>
      <c r="E554" s="101"/>
      <c r="F554" s="294" t="s">
        <v>166</v>
      </c>
      <c r="G554" s="295" t="str">
        <f>VLOOKUP(F554,'GL Category'!A:C,3,FALSE)</f>
        <v>Operations &amp; maintenance</v>
      </c>
      <c r="H554" s="98" t="str">
        <f>VLOOKUP(F554,'GL Category'!A:C,2,FALSE)</f>
        <v>WEARING APPAREL</v>
      </c>
      <c r="I554" s="99">
        <f>SUMIFS(I$1:I548,$C$1:$C548,$C554,$F$1:$F548,$F554)</f>
        <v>184.81</v>
      </c>
      <c r="J554" s="99">
        <f>SUMIFS(J$1:J548,$C$1:$C548,$C554,$F$1:$F548,$F554)</f>
        <v>193.52</v>
      </c>
      <c r="K554" s="99">
        <f>SUMIFS(K$1:K548,$C$1:$C548,$C554,$F$1:$F548,$F554)</f>
        <v>188.43</v>
      </c>
      <c r="L554" s="99">
        <f>SUMIFS(L$1:L548,$C$1:$C548,$C554,$F$1:$F548,$F554)</f>
        <v>299.8</v>
      </c>
      <c r="M554" s="99">
        <f>SUMIFS(M$1:M548,$C$1:$C548,$C554,$F$1:$F548,$F554)</f>
        <v>600</v>
      </c>
      <c r="N554" s="99">
        <f>SUMIFS(N$1:N548,$C$1:$C548,$C554,$F$1:$F548,$F554)</f>
        <v>247.84</v>
      </c>
      <c r="O554" s="99">
        <f>SUMIFS(O$1:O548,$C$1:$C548,$C554,$F$1:$F548,$F554)</f>
        <v>600</v>
      </c>
      <c r="P554" s="99">
        <f t="shared" si="810"/>
        <v>0</v>
      </c>
      <c r="Q554" s="99">
        <f>SUMIFS(Q$1:Q548,$C$1:$C548,$C554,$F$1:$F548,$F554)</f>
        <v>600</v>
      </c>
      <c r="R554" s="99">
        <f>SUMIFS(R$1:R548,$C$1:$C548,$C554,$F$1:$F548,$F554)</f>
        <v>0</v>
      </c>
      <c r="S554" s="99">
        <f>SUMIFS(S$1:S548,$C$1:$C548,$C554,$F$1:$F548,$F554)</f>
        <v>0</v>
      </c>
      <c r="T554" s="99">
        <f>SUMIFS(T$1:T548,$C$1:$C548,$C554,$F$1:$F548,$F554)</f>
        <v>600</v>
      </c>
      <c r="U554" s="99">
        <f t="shared" si="811"/>
        <v>0</v>
      </c>
      <c r="V554" s="255">
        <f t="shared" si="812"/>
        <v>0</v>
      </c>
      <c r="W554" s="102"/>
      <c r="X554" s="102"/>
      <c r="Y554" s="102">
        <f t="shared" si="813"/>
        <v>600</v>
      </c>
      <c r="Z554" s="309">
        <f>Y554*(1+VLOOKUP($F554,'GL Category'!$A:$H,4,FALSE))</f>
        <v>612</v>
      </c>
      <c r="AA554" s="615"/>
      <c r="AB554" s="622">
        <f t="shared" si="814"/>
        <v>612</v>
      </c>
      <c r="AC554" s="633">
        <f>AB554*(1+VLOOKUP($F554,'GL Category'!$A:$H,5,FALSE))</f>
        <v>624.24</v>
      </c>
      <c r="AD554" s="307"/>
      <c r="AE554" s="622">
        <f t="shared" si="815"/>
        <v>624.24</v>
      </c>
      <c r="AF554" s="633">
        <f>AE554*(1+VLOOKUP($F554,'GL Category'!$A:$H,6,FALSE))</f>
        <v>636.72480000000007</v>
      </c>
      <c r="AG554" s="307"/>
      <c r="AH554" s="622">
        <f t="shared" si="816"/>
        <v>636.72480000000007</v>
      </c>
      <c r="AI554" s="633">
        <f>AH554*(1+VLOOKUP($F554,'GL Category'!$A:$H,7,FALSE))</f>
        <v>649.45929600000011</v>
      </c>
      <c r="AJ554" s="307"/>
      <c r="AK554" s="622">
        <f t="shared" si="817"/>
        <v>649.45929600000011</v>
      </c>
      <c r="AL554" s="633">
        <f>AK554*(1+VLOOKUP($F554,'GL Category'!$A:$H,8,FALSE))</f>
        <v>662.44848192000018</v>
      </c>
      <c r="AM554" s="307"/>
      <c r="AN554" s="622">
        <f t="shared" si="818"/>
        <v>662.44848192000018</v>
      </c>
      <c r="AO554" s="300"/>
      <c r="AP554" s="300"/>
      <c r="AQ554" s="300"/>
      <c r="AR554" s="300"/>
      <c r="AS554" s="300"/>
      <c r="AT554" s="300"/>
    </row>
    <row r="555" spans="1:46" s="115" customFormat="1" ht="15" customHeight="1">
      <c r="A555" s="296"/>
      <c r="B555" s="217"/>
      <c r="C555" s="217">
        <v>17</v>
      </c>
      <c r="D555" s="101"/>
      <c r="E555" s="101"/>
      <c r="F555" s="294" t="s">
        <v>253</v>
      </c>
      <c r="G555" s="295" t="str">
        <f>VLOOKUP(F555,'GL Category'!A:C,3,FALSE)</f>
        <v>Operations &amp; maintenance</v>
      </c>
      <c r="H555" s="98" t="str">
        <f>VLOOKUP(F555,'GL Category'!A:C,2,FALSE)</f>
        <v>TRAINING SUPPLIES</v>
      </c>
      <c r="I555" s="99">
        <f>SUMIFS(I$1:I549,$C$1:$C549,$C555,$F$1:$F549,$F555)</f>
        <v>0</v>
      </c>
      <c r="J555" s="99">
        <f>SUMIFS(J$1:J549,$C$1:$C549,$C555,$F$1:$F549,$F555)</f>
        <v>0</v>
      </c>
      <c r="K555" s="99">
        <f>SUMIFS(K$1:K549,$C$1:$C549,$C555,$F$1:$F549,$F555)</f>
        <v>0</v>
      </c>
      <c r="L555" s="99">
        <f>SUMIFS(L$1:L549,$C$1:$C549,$C555,$F$1:$F549,$F555)</f>
        <v>0</v>
      </c>
      <c r="M555" s="99">
        <f>SUMIFS(M$1:M549,$C$1:$C549,$C555,$F$1:$F549,$F555)</f>
        <v>0</v>
      </c>
      <c r="N555" s="99">
        <f>SUMIFS(N$1:N549,$C$1:$C549,$C555,$F$1:$F549,$F555)</f>
        <v>0</v>
      </c>
      <c r="O555" s="99">
        <f>SUMIFS(O$1:O549,$C$1:$C549,$C555,$F$1:$F549,$F555)</f>
        <v>0</v>
      </c>
      <c r="P555" s="99">
        <f t="shared" si="810"/>
        <v>0</v>
      </c>
      <c r="Q555" s="99">
        <f>SUMIFS(Q$1:Q549,$C$1:$C549,$C555,$F$1:$F549,$F555)</f>
        <v>0</v>
      </c>
      <c r="R555" s="99">
        <f>SUMIFS(R$1:R549,$C$1:$C549,$C555,$F$1:$F549,$F555)</f>
        <v>0</v>
      </c>
      <c r="S555" s="99">
        <f>SUMIFS(S$1:S549,$C$1:$C549,$C555,$F$1:$F549,$F555)</f>
        <v>0</v>
      </c>
      <c r="T555" s="99">
        <f>SUMIFS(T$1:T549,$C$1:$C549,$C555,$F$1:$F549,$F555)</f>
        <v>0</v>
      </c>
      <c r="U555" s="99">
        <f t="shared" si="811"/>
        <v>0</v>
      </c>
      <c r="V555" s="255" t="str">
        <f t="shared" si="812"/>
        <v>N/A</v>
      </c>
      <c r="W555" s="102"/>
      <c r="X555" s="102"/>
      <c r="Y555" s="102">
        <f t="shared" si="813"/>
        <v>0</v>
      </c>
      <c r="Z555" s="309">
        <f>Y555*(1+VLOOKUP($F555,'GL Category'!$A:$H,4,FALSE))</f>
        <v>0</v>
      </c>
      <c r="AA555" s="615"/>
      <c r="AB555" s="622">
        <f t="shared" si="814"/>
        <v>0</v>
      </c>
      <c r="AC555" s="633">
        <f>AB555*(1+VLOOKUP($F555,'GL Category'!$A:$H,5,FALSE))</f>
        <v>0</v>
      </c>
      <c r="AD555" s="307"/>
      <c r="AE555" s="622">
        <f t="shared" si="815"/>
        <v>0</v>
      </c>
      <c r="AF555" s="633">
        <f>AE555*(1+VLOOKUP($F555,'GL Category'!$A:$H,6,FALSE))</f>
        <v>0</v>
      </c>
      <c r="AG555" s="307"/>
      <c r="AH555" s="622">
        <f t="shared" si="816"/>
        <v>0</v>
      </c>
      <c r="AI555" s="633">
        <f>AH555*(1+VLOOKUP($F555,'GL Category'!$A:$H,7,FALSE))</f>
        <v>0</v>
      </c>
      <c r="AJ555" s="307"/>
      <c r="AK555" s="622">
        <f t="shared" si="817"/>
        <v>0</v>
      </c>
      <c r="AL555" s="633">
        <f>AK555*(1+VLOOKUP($F555,'GL Category'!$A:$H,8,FALSE))</f>
        <v>0</v>
      </c>
      <c r="AM555" s="307"/>
      <c r="AN555" s="622">
        <f t="shared" si="818"/>
        <v>0</v>
      </c>
      <c r="AO555" s="300"/>
      <c r="AP555" s="300"/>
      <c r="AQ555" s="300"/>
      <c r="AR555" s="300"/>
      <c r="AS555" s="300"/>
      <c r="AT555" s="300"/>
    </row>
    <row r="556" spans="1:46" s="115" customFormat="1" ht="15" customHeight="1">
      <c r="A556" s="296"/>
      <c r="B556" s="217"/>
      <c r="C556" s="217">
        <v>17</v>
      </c>
      <c r="D556" s="101"/>
      <c r="E556" s="101"/>
      <c r="F556" s="294" t="s">
        <v>168</v>
      </c>
      <c r="G556" s="295" t="str">
        <f>VLOOKUP(F556,'GL Category'!A:C,3,FALSE)</f>
        <v>Operations &amp; maintenance</v>
      </c>
      <c r="H556" s="98" t="str">
        <f>VLOOKUP(F556,'GL Category'!A:C,2,FALSE)</f>
        <v>MISCELLANEOUS SUPPLIES</v>
      </c>
      <c r="I556" s="99">
        <f>SUMIFS(I$1:I550,$C$1:$C550,$C556,$F$1:$F550,$F556)</f>
        <v>0</v>
      </c>
      <c r="J556" s="99">
        <f>SUMIFS(J$1:J550,$C$1:$C550,$C556,$F$1:$F550,$F556)</f>
        <v>0</v>
      </c>
      <c r="K556" s="99">
        <f>SUMIFS(K$1:K550,$C$1:$C550,$C556,$F$1:$F550,$F556)</f>
        <v>0</v>
      </c>
      <c r="L556" s="99">
        <f>SUMIFS(L$1:L550,$C$1:$C550,$C556,$F$1:$F550,$F556)</f>
        <v>0</v>
      </c>
      <c r="M556" s="99">
        <f>SUMIFS(M$1:M550,$C$1:$C550,$C556,$F$1:$F550,$F556)</f>
        <v>0</v>
      </c>
      <c r="N556" s="99">
        <f>SUMIFS(N$1:N550,$C$1:$C550,$C556,$F$1:$F550,$F556)</f>
        <v>0</v>
      </c>
      <c r="O556" s="99">
        <f>SUMIFS(O$1:O550,$C$1:$C550,$C556,$F$1:$F550,$F556)</f>
        <v>0</v>
      </c>
      <c r="P556" s="99">
        <f t="shared" si="810"/>
        <v>0</v>
      </c>
      <c r="Q556" s="99">
        <f>SUMIFS(Q$1:Q550,$C$1:$C550,$C556,$F$1:$F550,$F556)</f>
        <v>0</v>
      </c>
      <c r="R556" s="99">
        <f>SUMIFS(R$1:R550,$C$1:$C550,$C556,$F$1:$F550,$F556)</f>
        <v>0</v>
      </c>
      <c r="S556" s="99">
        <f>SUMIFS(S$1:S550,$C$1:$C550,$C556,$F$1:$F550,$F556)</f>
        <v>0</v>
      </c>
      <c r="T556" s="99">
        <f>SUMIFS(T$1:T550,$C$1:$C550,$C556,$F$1:$F550,$F556)</f>
        <v>0</v>
      </c>
      <c r="U556" s="99">
        <f t="shared" si="811"/>
        <v>0</v>
      </c>
      <c r="V556" s="255" t="str">
        <f t="shared" si="812"/>
        <v>N/A</v>
      </c>
      <c r="W556" s="102"/>
      <c r="X556" s="102"/>
      <c r="Y556" s="102">
        <f t="shared" si="813"/>
        <v>0</v>
      </c>
      <c r="Z556" s="309">
        <f>Y556*(1+VLOOKUP($F556,'GL Category'!$A:$H,4,FALSE))</f>
        <v>0</v>
      </c>
      <c r="AA556" s="615"/>
      <c r="AB556" s="622">
        <f t="shared" si="814"/>
        <v>0</v>
      </c>
      <c r="AC556" s="633">
        <f>AB556*(1+VLOOKUP($F556,'GL Category'!$A:$H,5,FALSE))</f>
        <v>0</v>
      </c>
      <c r="AD556" s="307"/>
      <c r="AE556" s="622">
        <f t="shared" si="815"/>
        <v>0</v>
      </c>
      <c r="AF556" s="633">
        <f>AE556*(1+VLOOKUP($F556,'GL Category'!$A:$H,6,FALSE))</f>
        <v>0</v>
      </c>
      <c r="AG556" s="307"/>
      <c r="AH556" s="622">
        <f t="shared" si="816"/>
        <v>0</v>
      </c>
      <c r="AI556" s="633">
        <f>AH556*(1+VLOOKUP($F556,'GL Category'!$A:$H,7,FALSE))</f>
        <v>0</v>
      </c>
      <c r="AJ556" s="307"/>
      <c r="AK556" s="622">
        <f t="shared" si="817"/>
        <v>0</v>
      </c>
      <c r="AL556" s="633">
        <f>AK556*(1+VLOOKUP($F556,'GL Category'!$A:$H,8,FALSE))</f>
        <v>0</v>
      </c>
      <c r="AM556" s="307"/>
      <c r="AN556" s="622">
        <f t="shared" si="818"/>
        <v>0</v>
      </c>
      <c r="AO556" s="300"/>
      <c r="AP556" s="300"/>
      <c r="AQ556" s="300"/>
      <c r="AR556" s="300"/>
      <c r="AS556" s="300"/>
      <c r="AT556" s="300"/>
    </row>
    <row r="557" spans="1:46" s="115" customFormat="1" ht="15" customHeight="1">
      <c r="A557" s="296"/>
      <c r="B557" s="217"/>
      <c r="C557" s="217">
        <v>17</v>
      </c>
      <c r="D557" s="101"/>
      <c r="E557" s="101"/>
      <c r="F557" s="294" t="s">
        <v>176</v>
      </c>
      <c r="G557" s="295" t="str">
        <f>VLOOKUP(F557,'GL Category'!A:C,3,FALSE)</f>
        <v>Operations &amp; maintenance</v>
      </c>
      <c r="H557" s="98" t="str">
        <f>VLOOKUP(F557,'GL Category'!A:C,2,FALSE)</f>
        <v>OFFICE EQUIPMENT MAINTENANCE</v>
      </c>
      <c r="I557" s="99">
        <f>SUMIFS(I$1:I551,$C$1:$C551,$C557,$F$1:$F551,$F557)</f>
        <v>0</v>
      </c>
      <c r="J557" s="99">
        <f>SUMIFS(J$1:J551,$C$1:$C551,$C557,$F$1:$F551,$F557)</f>
        <v>0</v>
      </c>
      <c r="K557" s="99">
        <f>SUMIFS(K$1:K551,$C$1:$C551,$C557,$F$1:$F551,$F557)</f>
        <v>0</v>
      </c>
      <c r="L557" s="99">
        <f>SUMIFS(L$1:L551,$C$1:$C551,$C557,$F$1:$F551,$F557)</f>
        <v>0</v>
      </c>
      <c r="M557" s="99">
        <f>SUMIFS(M$1:M551,$C$1:$C551,$C557,$F$1:$F551,$F557)</f>
        <v>0</v>
      </c>
      <c r="N557" s="99">
        <f>SUMIFS(N$1:N551,$C$1:$C551,$C557,$F$1:$F551,$F557)</f>
        <v>0</v>
      </c>
      <c r="O557" s="99">
        <f>SUMIFS(O$1:O551,$C$1:$C551,$C557,$F$1:$F551,$F557)</f>
        <v>0</v>
      </c>
      <c r="P557" s="99">
        <f t="shared" si="810"/>
        <v>0</v>
      </c>
      <c r="Q557" s="99">
        <f>SUMIFS(Q$1:Q551,$C$1:$C551,$C557,$F$1:$F551,$F557)</f>
        <v>0</v>
      </c>
      <c r="R557" s="99">
        <f>SUMIFS(R$1:R551,$C$1:$C551,$C557,$F$1:$F551,$F557)</f>
        <v>0</v>
      </c>
      <c r="S557" s="99">
        <f>SUMIFS(S$1:S551,$C$1:$C551,$C557,$F$1:$F551,$F557)</f>
        <v>0</v>
      </c>
      <c r="T557" s="99">
        <f>SUMIFS(T$1:T551,$C$1:$C551,$C557,$F$1:$F551,$F557)</f>
        <v>0</v>
      </c>
      <c r="U557" s="99">
        <f t="shared" si="811"/>
        <v>0</v>
      </c>
      <c r="V557" s="255" t="str">
        <f t="shared" si="812"/>
        <v>N/A</v>
      </c>
      <c r="W557" s="102"/>
      <c r="X557" s="102"/>
      <c r="Y557" s="102">
        <f t="shared" si="813"/>
        <v>0</v>
      </c>
      <c r="Z557" s="309">
        <f>Y557*(1+VLOOKUP($F557,'GL Category'!$A:$H,4,FALSE))</f>
        <v>0</v>
      </c>
      <c r="AA557" s="615"/>
      <c r="AB557" s="622">
        <f t="shared" si="814"/>
        <v>0</v>
      </c>
      <c r="AC557" s="633">
        <f>AB557*(1+VLOOKUP($F557,'GL Category'!$A:$H,5,FALSE))</f>
        <v>0</v>
      </c>
      <c r="AD557" s="307"/>
      <c r="AE557" s="622">
        <f t="shared" si="815"/>
        <v>0</v>
      </c>
      <c r="AF557" s="633">
        <f>AE557*(1+VLOOKUP($F557,'GL Category'!$A:$H,6,FALSE))</f>
        <v>0</v>
      </c>
      <c r="AG557" s="307"/>
      <c r="AH557" s="622">
        <f t="shared" si="816"/>
        <v>0</v>
      </c>
      <c r="AI557" s="633">
        <f>AH557*(1+VLOOKUP($F557,'GL Category'!$A:$H,7,FALSE))</f>
        <v>0</v>
      </c>
      <c r="AJ557" s="307"/>
      <c r="AK557" s="622">
        <f t="shared" si="817"/>
        <v>0</v>
      </c>
      <c r="AL557" s="633">
        <f>AK557*(1+VLOOKUP($F557,'GL Category'!$A:$H,8,FALSE))</f>
        <v>0</v>
      </c>
      <c r="AM557" s="307"/>
      <c r="AN557" s="622">
        <f t="shared" si="818"/>
        <v>0</v>
      </c>
      <c r="AO557" s="93"/>
      <c r="AP557" s="93"/>
      <c r="AQ557" s="93"/>
      <c r="AR557" s="93"/>
      <c r="AS557" s="93"/>
      <c r="AT557" s="93"/>
    </row>
    <row r="558" spans="1:46" s="115" customFormat="1" ht="15" customHeight="1">
      <c r="A558" s="296"/>
      <c r="B558" s="217"/>
      <c r="C558" s="217">
        <v>17</v>
      </c>
      <c r="D558" s="101"/>
      <c r="E558" s="101"/>
      <c r="F558" s="294" t="s">
        <v>178</v>
      </c>
      <c r="G558" s="295" t="str">
        <f>VLOOKUP(F558,'GL Category'!A:C,3,FALSE)</f>
        <v>Operations &amp; maintenance</v>
      </c>
      <c r="H558" s="98" t="str">
        <f>VLOOKUP(F558,'GL Category'!A:C,2,FALSE)</f>
        <v>SOFTWARE LICENSE &amp; MAINTENANCE</v>
      </c>
      <c r="I558" s="99">
        <f>SUMIFS(I$1:I552,$C$1:$C552,$C558,$F$1:$F552,$F558)</f>
        <v>0</v>
      </c>
      <c r="J558" s="99">
        <f>SUMIFS(J$1:J552,$C$1:$C552,$C558,$F$1:$F552,$F558)</f>
        <v>0</v>
      </c>
      <c r="K558" s="99">
        <f>SUMIFS(K$1:K552,$C$1:$C552,$C558,$F$1:$F552,$F558)</f>
        <v>0</v>
      </c>
      <c r="L558" s="99">
        <f>SUMIFS(L$1:L552,$C$1:$C552,$C558,$F$1:$F552,$F558)</f>
        <v>0</v>
      </c>
      <c r="M558" s="99">
        <f>SUMIFS(M$1:M552,$C$1:$C552,$C558,$F$1:$F552,$F558)</f>
        <v>0</v>
      </c>
      <c r="N558" s="99">
        <f>SUMIFS(N$1:N552,$C$1:$C552,$C558,$F$1:$F552,$F558)</f>
        <v>0</v>
      </c>
      <c r="O558" s="99">
        <f>SUMIFS(O$1:O552,$C$1:$C552,$C558,$F$1:$F552,$F558)</f>
        <v>0</v>
      </c>
      <c r="P558" s="99">
        <f t="shared" si="810"/>
        <v>0</v>
      </c>
      <c r="Q558" s="99">
        <f>SUMIFS(Q$1:Q552,$C$1:$C552,$C558,$F$1:$F552,$F558)</f>
        <v>0</v>
      </c>
      <c r="R558" s="99">
        <f>SUMIFS(R$1:R552,$C$1:$C552,$C558,$F$1:$F552,$F558)</f>
        <v>0</v>
      </c>
      <c r="S558" s="99">
        <f>SUMIFS(S$1:S552,$C$1:$C552,$C558,$F$1:$F552,$F558)</f>
        <v>0</v>
      </c>
      <c r="T558" s="99">
        <f>SUMIFS(T$1:T552,$C$1:$C552,$C558,$F$1:$F552,$F558)</f>
        <v>0</v>
      </c>
      <c r="U558" s="99">
        <f t="shared" si="811"/>
        <v>0</v>
      </c>
      <c r="V558" s="255" t="str">
        <f t="shared" si="812"/>
        <v>N/A</v>
      </c>
      <c r="W558" s="102"/>
      <c r="X558" s="102"/>
      <c r="Y558" s="102">
        <f t="shared" si="813"/>
        <v>0</v>
      </c>
      <c r="Z558" s="309">
        <f>Y558*(1+VLOOKUP($F558,'GL Category'!$A:$H,4,FALSE))</f>
        <v>0</v>
      </c>
      <c r="AA558" s="615"/>
      <c r="AB558" s="622">
        <f t="shared" si="814"/>
        <v>0</v>
      </c>
      <c r="AC558" s="633">
        <f>AB558*(1+VLOOKUP($F558,'GL Category'!$A:$H,5,FALSE))</f>
        <v>0</v>
      </c>
      <c r="AD558" s="307"/>
      <c r="AE558" s="622">
        <f t="shared" si="815"/>
        <v>0</v>
      </c>
      <c r="AF558" s="633">
        <f>AE558*(1+VLOOKUP($F558,'GL Category'!$A:$H,6,FALSE))</f>
        <v>0</v>
      </c>
      <c r="AG558" s="307"/>
      <c r="AH558" s="622">
        <f t="shared" si="816"/>
        <v>0</v>
      </c>
      <c r="AI558" s="633">
        <f>AH558*(1+VLOOKUP($F558,'GL Category'!$A:$H,7,FALSE))</f>
        <v>0</v>
      </c>
      <c r="AJ558" s="307"/>
      <c r="AK558" s="622">
        <f t="shared" si="817"/>
        <v>0</v>
      </c>
      <c r="AL558" s="633">
        <f>AK558*(1+VLOOKUP($F558,'GL Category'!$A:$H,8,FALSE))</f>
        <v>0</v>
      </c>
      <c r="AM558" s="307"/>
      <c r="AN558" s="622">
        <f t="shared" si="818"/>
        <v>0</v>
      </c>
      <c r="AO558" s="300"/>
      <c r="AP558" s="300"/>
      <c r="AQ558" s="300"/>
      <c r="AR558" s="300"/>
      <c r="AS558" s="300"/>
      <c r="AT558" s="300"/>
    </row>
    <row r="559" spans="1:46" s="115" customFormat="1" ht="29.1" customHeight="1">
      <c r="A559" s="297"/>
      <c r="B559" s="217"/>
      <c r="C559" s="217"/>
      <c r="D559" s="101"/>
      <c r="E559" s="101"/>
      <c r="F559" s="294"/>
      <c r="G559" s="295"/>
      <c r="H559" s="107" t="str">
        <f>UPPER(G558)&amp;" TOTAL"</f>
        <v>OPERATIONS &amp; MAINTENANCE TOTAL</v>
      </c>
      <c r="I559" s="108">
        <f t="shared" ref="I559:T559" si="819">SUBTOTAL(9,I550:I558)</f>
        <v>6839.3600000000006</v>
      </c>
      <c r="J559" s="108">
        <f t="shared" si="819"/>
        <v>5912.25</v>
      </c>
      <c r="K559" s="108">
        <f t="shared" si="819"/>
        <v>6586.23</v>
      </c>
      <c r="L559" s="108">
        <f t="shared" si="819"/>
        <v>6755.58</v>
      </c>
      <c r="M559" s="108">
        <f t="shared" si="819"/>
        <v>9320</v>
      </c>
      <c r="N559" s="108">
        <f t="shared" si="819"/>
        <v>3068.28</v>
      </c>
      <c r="O559" s="108">
        <f t="shared" si="819"/>
        <v>9070</v>
      </c>
      <c r="P559" s="108">
        <f t="shared" si="819"/>
        <v>-250</v>
      </c>
      <c r="Q559" s="108">
        <f t="shared" si="819"/>
        <v>9320</v>
      </c>
      <c r="R559" s="108">
        <f t="shared" si="819"/>
        <v>0</v>
      </c>
      <c r="S559" s="108">
        <f t="shared" si="819"/>
        <v>0</v>
      </c>
      <c r="T559" s="108">
        <f t="shared" si="819"/>
        <v>9320</v>
      </c>
      <c r="U559" s="99">
        <f t="shared" si="811"/>
        <v>0</v>
      </c>
      <c r="V559" s="255">
        <f t="shared" si="812"/>
        <v>0</v>
      </c>
      <c r="W559" s="102"/>
      <c r="X559" s="102"/>
      <c r="Y559" s="102"/>
      <c r="Z559" s="192"/>
      <c r="AA559" s="615"/>
      <c r="AB559" s="307"/>
      <c r="AC559" s="300"/>
      <c r="AD559" s="300"/>
      <c r="AE559" s="300"/>
      <c r="AF559" s="300"/>
      <c r="AG559" s="300"/>
      <c r="AH559" s="307"/>
      <c r="AI559" s="307"/>
      <c r="AJ559" s="300"/>
      <c r="AK559" s="300"/>
      <c r="AL559" s="300"/>
      <c r="AM559" s="300"/>
      <c r="AN559" s="300"/>
      <c r="AO559" s="300"/>
      <c r="AP559" s="300"/>
      <c r="AQ559" s="300"/>
      <c r="AR559" s="300"/>
      <c r="AS559" s="300"/>
      <c r="AT559" s="300"/>
    </row>
    <row r="560" spans="1:46" s="115" customFormat="1" ht="15" customHeight="1">
      <c r="A560" s="297"/>
      <c r="B560" s="217"/>
      <c r="C560" s="217"/>
      <c r="D560" s="101"/>
      <c r="E560" s="101"/>
      <c r="F560" s="294"/>
      <c r="G560" s="295"/>
      <c r="H560" s="98"/>
      <c r="I560" s="106"/>
      <c r="J560" s="106"/>
      <c r="K560" s="106"/>
      <c r="L560" s="106"/>
      <c r="M560" s="106"/>
      <c r="N560" s="112"/>
      <c r="O560" s="112"/>
      <c r="P560" s="112"/>
      <c r="Q560" s="113"/>
      <c r="R560" s="212"/>
      <c r="S560" s="212"/>
      <c r="T560" s="113"/>
      <c r="U560" s="113"/>
      <c r="V560" s="113"/>
      <c r="W560" s="102"/>
      <c r="X560" s="102"/>
      <c r="Y560" s="102"/>
      <c r="Z560" s="192"/>
      <c r="AA560" s="615"/>
      <c r="AB560" s="307"/>
      <c r="AC560" s="300"/>
      <c r="AD560" s="300"/>
      <c r="AE560" s="300"/>
      <c r="AF560" s="300"/>
      <c r="AG560" s="300"/>
      <c r="AH560" s="307"/>
      <c r="AI560" s="307"/>
      <c r="AJ560" s="300"/>
      <c r="AK560" s="300"/>
      <c r="AL560" s="300"/>
      <c r="AM560" s="300"/>
      <c r="AN560" s="300"/>
      <c r="AO560" s="300"/>
      <c r="AP560" s="300"/>
      <c r="AQ560" s="300"/>
      <c r="AR560" s="300"/>
      <c r="AS560" s="300"/>
      <c r="AT560" s="300"/>
    </row>
    <row r="561" spans="1:59" ht="15" customHeight="1">
      <c r="A561" s="296"/>
      <c r="B561" s="217"/>
      <c r="C561" s="217">
        <v>17</v>
      </c>
      <c r="D561" s="101"/>
      <c r="E561" s="101"/>
      <c r="F561" s="556" t="s">
        <v>237</v>
      </c>
      <c r="G561" s="295" t="str">
        <f>VLOOKUP(F561,'GL Category'!A:C,3,FALSE)</f>
        <v>Services &amp; other</v>
      </c>
      <c r="H561" s="98" t="str">
        <f>VLOOKUP(F561,'GL Category'!A:C,2,FALSE)</f>
        <v>MISCELLANEOUS SERVICES</v>
      </c>
      <c r="I561" s="99">
        <f>SUMIFS(I$1:I555,$C$1:$C555,$C561,$F$1:$F555,$F561)</f>
        <v>67159.75</v>
      </c>
      <c r="J561" s="99">
        <f>SUMIFS(J$1:J555,$C$1:$C555,$C561,$F$1:$F555,$F561)</f>
        <v>75603.8</v>
      </c>
      <c r="K561" s="99">
        <f>SUMIFS(K$1:K555,$C$1:$C555,$C561,$F$1:$F555,$F561)</f>
        <v>3472.1</v>
      </c>
      <c r="L561" s="99">
        <f>SUMIFS(L$1:L555,$C$1:$C555,$C561,$F$1:$F555,$F561)</f>
        <v>3149.25</v>
      </c>
      <c r="M561" s="99">
        <f>SUMIFS(M$1:M555,$C$1:$C555,$C561,$F$1:$F555,$F561)</f>
        <v>11780</v>
      </c>
      <c r="N561" s="99">
        <f>SUMIFS(N$1:N555,$C$1:$C555,$C561,$F$1:$F555,$F561)</f>
        <v>485.1</v>
      </c>
      <c r="O561" s="99">
        <f>SUMIFS(O$1:O555,$C$1:$C555,$C561,$F$1:$F555,$F561)</f>
        <v>11780</v>
      </c>
      <c r="P561" s="99">
        <f t="shared" ref="P561:P575" si="820">O561-M561</f>
        <v>0</v>
      </c>
      <c r="Q561" s="99">
        <f>SUMIFS(Q$1:Q555,$C$1:$C555,$C561,$F$1:$F555,$F561)</f>
        <v>11780</v>
      </c>
      <c r="R561" s="99">
        <f>SUMIFS(R$1:R555,$C$1:$C555,$C561,$F$1:$F555,$F561)</f>
        <v>0</v>
      </c>
      <c r="S561" s="99">
        <f>SUMIFS(S$1:S555,$C$1:$C555,$C561,$F$1:$F555,$F561)</f>
        <v>0</v>
      </c>
      <c r="T561" s="99">
        <f>SUMIFS(T$1:T555,$C$1:$C555,$C561,$F$1:$F555,$F561)</f>
        <v>11780</v>
      </c>
      <c r="U561" s="99">
        <f t="shared" ref="U561:U576" si="821">T561-M561</f>
        <v>0</v>
      </c>
      <c r="V561" s="255">
        <f t="shared" ref="V561:V576" si="822">IF(M561=0,"N/A",T561/M561-1)</f>
        <v>0</v>
      </c>
      <c r="W561" s="102"/>
      <c r="X561" s="102"/>
      <c r="Y561" s="102">
        <f t="shared" ref="Y561" si="823">T561-X561</f>
        <v>11780</v>
      </c>
      <c r="Z561" s="309">
        <f>Y561*(1+VLOOKUP($F561,'GL Category'!$A:$H,4,FALSE))</f>
        <v>12133.4</v>
      </c>
      <c r="AA561" s="615"/>
      <c r="AB561" s="622">
        <f t="shared" ref="AB561" si="824">Z561+AA561</f>
        <v>12133.4</v>
      </c>
      <c r="AC561" s="633">
        <f>AB561*(1+VLOOKUP($F561,'GL Category'!$A:$H,5,FALSE))</f>
        <v>12497.402</v>
      </c>
      <c r="AD561" s="615"/>
      <c r="AE561" s="622">
        <f t="shared" ref="AE561" si="825">AC561+AD561</f>
        <v>12497.402</v>
      </c>
      <c r="AF561" s="633">
        <f>AE561*(1+VLOOKUP($F561,'GL Category'!$A:$H,6,FALSE))</f>
        <v>12872.324060000001</v>
      </c>
      <c r="AG561" s="615"/>
      <c r="AH561" s="622">
        <f t="shared" ref="AH561" si="826">AF561+AG561</f>
        <v>12872.324060000001</v>
      </c>
      <c r="AI561" s="633">
        <f>AH561*(1+VLOOKUP($F561,'GL Category'!$A:$H,7,FALSE))</f>
        <v>13258.493781800002</v>
      </c>
      <c r="AJ561" s="615"/>
      <c r="AK561" s="622">
        <f t="shared" ref="AK561" si="827">AI561+AJ561</f>
        <v>13258.493781800002</v>
      </c>
      <c r="AL561" s="633">
        <f>AK561*(1+VLOOKUP($F561,'GL Category'!$A:$H,8,FALSE))</f>
        <v>13656.248595254003</v>
      </c>
      <c r="AM561" s="615"/>
      <c r="AN561" s="622">
        <f t="shared" ref="AN561" si="828">AL561+AM561</f>
        <v>13656.248595254003</v>
      </c>
      <c r="AO561" s="93"/>
      <c r="AP561" s="93"/>
      <c r="AQ561" s="93"/>
      <c r="AR561" s="93"/>
      <c r="AS561" s="93"/>
      <c r="AT561" s="93"/>
    </row>
    <row r="562" spans="1:59" ht="15" customHeight="1">
      <c r="A562" s="296"/>
      <c r="B562" s="217"/>
      <c r="C562" s="217">
        <v>17</v>
      </c>
      <c r="D562" s="101"/>
      <c r="E562" s="101"/>
      <c r="F562" s="294" t="s">
        <v>189</v>
      </c>
      <c r="G562" s="295" t="str">
        <f>VLOOKUP(F562,'GL Category'!A:C,3,FALSE)</f>
        <v>Services &amp; other</v>
      </c>
      <c r="H562" s="98" t="str">
        <f>VLOOKUP(F562,'GL Category'!A:C,2,FALSE)</f>
        <v>DUES &amp; SUBSCRIPTIONS</v>
      </c>
      <c r="I562" s="99">
        <f>SUMIFS(I$1:I556,$C$1:$C556,$C562,$F$1:$F556,$F562)</f>
        <v>2095.9899999999998</v>
      </c>
      <c r="J562" s="99">
        <f>SUMIFS(J$1:J556,$C$1:$C556,$C562,$F$1:$F556,$F562)</f>
        <v>1522.99</v>
      </c>
      <c r="K562" s="99">
        <f>SUMIFS(K$1:K556,$C$1:$C556,$C562,$F$1:$F556,$F562)</f>
        <v>3661.6</v>
      </c>
      <c r="L562" s="99">
        <f>SUMIFS(L$1:L556,$C$1:$C556,$C562,$F$1:$F556,$F562)</f>
        <v>4071.95</v>
      </c>
      <c r="M562" s="99">
        <f>SUMIFS(M$1:M556,$C$1:$C556,$C562,$F$1:$F556,$F562)</f>
        <v>3945</v>
      </c>
      <c r="N562" s="99">
        <f>SUMIFS(N$1:N556,$C$1:$C556,$C562,$F$1:$F556,$F562)</f>
        <v>2893.15</v>
      </c>
      <c r="O562" s="99">
        <f>SUMIFS(O$1:O556,$C$1:$C556,$C562,$F$1:$F556,$F562)</f>
        <v>3945</v>
      </c>
      <c r="P562" s="99">
        <f t="shared" si="820"/>
        <v>0</v>
      </c>
      <c r="Q562" s="99">
        <f>SUMIFS(Q$1:Q556,$C$1:$C556,$C562,$F$1:$F556,$F562)</f>
        <v>3945</v>
      </c>
      <c r="R562" s="99">
        <f>SUMIFS(R$1:R556,$C$1:$C556,$C562,$F$1:$F556,$F562)</f>
        <v>0</v>
      </c>
      <c r="S562" s="99">
        <f>SUMIFS(S$1:S556,$C$1:$C556,$C562,$F$1:$F556,$F562)</f>
        <v>0</v>
      </c>
      <c r="T562" s="99">
        <f>SUMIFS(T$1:T556,$C$1:$C556,$C562,$F$1:$F556,$F562)</f>
        <v>3945</v>
      </c>
      <c r="U562" s="99">
        <f t="shared" si="821"/>
        <v>0</v>
      </c>
      <c r="V562" s="255">
        <f t="shared" si="822"/>
        <v>0</v>
      </c>
      <c r="W562" s="102"/>
      <c r="X562" s="102"/>
      <c r="Y562" s="102">
        <f t="shared" ref="Y562:Y575" si="829">T562-X562</f>
        <v>3945</v>
      </c>
      <c r="Z562" s="309">
        <f>Y562*(1+VLOOKUP($F562,'GL Category'!$A:$H,4,FALSE))</f>
        <v>4063.35</v>
      </c>
      <c r="AA562" s="615"/>
      <c r="AB562" s="622">
        <f t="shared" ref="AB562:AB575" si="830">Z562+AA562</f>
        <v>4063.35</v>
      </c>
      <c r="AC562" s="633">
        <f>AB562*(1+VLOOKUP($F562,'GL Category'!$A:$H,5,FALSE))</f>
        <v>4185.2505000000001</v>
      </c>
      <c r="AE562" s="622">
        <f t="shared" ref="AE562:AE575" si="831">AC562+AD562</f>
        <v>4185.2505000000001</v>
      </c>
      <c r="AF562" s="633">
        <f>AE562*(1+VLOOKUP($F562,'GL Category'!$A:$H,6,FALSE))</f>
        <v>4310.8080150000005</v>
      </c>
      <c r="AH562" s="622">
        <f t="shared" ref="AH562:AH575" si="832">AF562+AG562</f>
        <v>4310.8080150000005</v>
      </c>
      <c r="AI562" s="633">
        <f>AH562*(1+VLOOKUP($F562,'GL Category'!$A:$H,7,FALSE))</f>
        <v>4440.1322554500002</v>
      </c>
      <c r="AK562" s="622">
        <f t="shared" ref="AK562:AK575" si="833">AI562+AJ562</f>
        <v>4440.1322554500002</v>
      </c>
      <c r="AL562" s="633">
        <f>AK562*(1+VLOOKUP($F562,'GL Category'!$A:$H,8,FALSE))</f>
        <v>4573.3362231135006</v>
      </c>
      <c r="AN562" s="622">
        <f t="shared" ref="AN562:AN575" si="834">AL562+AM562</f>
        <v>4573.3362231135006</v>
      </c>
      <c r="AO562" s="92"/>
      <c r="AP562" s="92"/>
      <c r="AQ562" s="92"/>
      <c r="AR562" s="92"/>
      <c r="AS562" s="92"/>
      <c r="AT562" s="92"/>
    </row>
    <row r="563" spans="1:59" s="75" customFormat="1" ht="15" customHeight="1">
      <c r="A563" s="296"/>
      <c r="B563" s="217"/>
      <c r="C563" s="217">
        <v>17</v>
      </c>
      <c r="D563" s="101"/>
      <c r="E563" s="101"/>
      <c r="F563" s="556" t="s">
        <v>264</v>
      </c>
      <c r="G563" s="295" t="str">
        <f>VLOOKUP(F563,'GL Category'!A:C,3,FALSE)</f>
        <v>Services &amp; other</v>
      </c>
      <c r="H563" s="98" t="str">
        <f>VLOOKUP(F563,'GL Category'!A:C,2,FALSE)</f>
        <v>TRAVEL, TRAINING &amp; EDUCATION</v>
      </c>
      <c r="I563" s="99">
        <f>SUMIFS(I$1:I557,$C$1:$C557,$C563,$F$1:$F557,$F563)</f>
        <v>8640.86</v>
      </c>
      <c r="J563" s="99">
        <f>SUMIFS(J$1:J557,$C$1:$C557,$C563,$F$1:$F557,$F563)</f>
        <v>1570</v>
      </c>
      <c r="K563" s="99">
        <f>SUMIFS(K$1:K557,$C$1:$C557,$C563,$F$1:$F557,$F563)</f>
        <v>1649.36</v>
      </c>
      <c r="L563" s="99">
        <f>SUMIFS(L$1:L557,$C$1:$C557,$C563,$F$1:$F557,$F563)</f>
        <v>7333.68</v>
      </c>
      <c r="M563" s="99">
        <f>SUMIFS(M$1:M557,$C$1:$C557,$C563,$F$1:$F557,$F563)</f>
        <v>9186</v>
      </c>
      <c r="N563" s="99">
        <f>SUMIFS(N$1:N557,$C$1:$C557,$C563,$F$1:$F557,$F563)</f>
        <v>7695.08</v>
      </c>
      <c r="O563" s="99">
        <f>SUMIFS(O$1:O557,$C$1:$C557,$C563,$F$1:$F557,$F563)</f>
        <v>9186</v>
      </c>
      <c r="P563" s="99">
        <f t="shared" si="820"/>
        <v>0</v>
      </c>
      <c r="Q563" s="99">
        <f>SUMIFS(Q$1:Q557,$C$1:$C557,$C563,$F$1:$F557,$F563)</f>
        <v>9186</v>
      </c>
      <c r="R563" s="99">
        <f>SUMIFS(R$1:R557,$C$1:$C557,$C563,$F$1:$F557,$F563)</f>
        <v>0</v>
      </c>
      <c r="S563" s="99">
        <f>SUMIFS(S$1:S557,$C$1:$C557,$C563,$F$1:$F557,$F563)</f>
        <v>0</v>
      </c>
      <c r="T563" s="99">
        <f>SUMIFS(T$1:T557,$C$1:$C557,$C563,$F$1:$F557,$F563)</f>
        <v>9186</v>
      </c>
      <c r="U563" s="99">
        <f t="shared" si="821"/>
        <v>0</v>
      </c>
      <c r="V563" s="255">
        <f t="shared" si="822"/>
        <v>0</v>
      </c>
      <c r="W563" s="102"/>
      <c r="X563" s="102"/>
      <c r="Y563" s="102">
        <f t="shared" si="829"/>
        <v>9186</v>
      </c>
      <c r="Z563" s="309">
        <f>Y563*(1+VLOOKUP($F563,'GL Category'!$A:$H,4,FALSE))</f>
        <v>9461.58</v>
      </c>
      <c r="AA563" s="615"/>
      <c r="AB563" s="622">
        <f t="shared" si="830"/>
        <v>9461.58</v>
      </c>
      <c r="AC563" s="633">
        <f>AB563*(1+VLOOKUP($F563,'GL Category'!$A:$H,5,FALSE))</f>
        <v>9745.4274000000005</v>
      </c>
      <c r="AD563" s="307"/>
      <c r="AE563" s="622">
        <f t="shared" si="831"/>
        <v>9745.4274000000005</v>
      </c>
      <c r="AF563" s="633">
        <f>AE563*(1+VLOOKUP($F563,'GL Category'!$A:$H,6,FALSE))</f>
        <v>10037.790222000001</v>
      </c>
      <c r="AG563" s="307"/>
      <c r="AH563" s="622">
        <f t="shared" si="832"/>
        <v>10037.790222000001</v>
      </c>
      <c r="AI563" s="633">
        <f>AH563*(1+VLOOKUP($F563,'GL Category'!$A:$H,7,FALSE))</f>
        <v>10338.923928660002</v>
      </c>
      <c r="AJ563" s="307"/>
      <c r="AK563" s="622">
        <f t="shared" si="833"/>
        <v>10338.923928660002</v>
      </c>
      <c r="AL563" s="633">
        <f>AK563*(1+VLOOKUP($F563,'GL Category'!$A:$H,8,FALSE))</f>
        <v>10649.091646519802</v>
      </c>
      <c r="AM563" s="307"/>
      <c r="AN563" s="622">
        <f t="shared" si="834"/>
        <v>10649.091646519802</v>
      </c>
      <c r="AO563" s="192"/>
      <c r="AP563" s="192"/>
      <c r="AQ563" s="192"/>
      <c r="AR563" s="115"/>
      <c r="AS563" s="115"/>
      <c r="AT563" s="115"/>
      <c r="AU563" s="115"/>
      <c r="AV563" s="115"/>
      <c r="AW563" s="115"/>
      <c r="AX563" s="115"/>
      <c r="AY563" s="115"/>
      <c r="AZ563" s="115"/>
      <c r="BA563" s="115"/>
      <c r="BB563" s="115"/>
      <c r="BC563" s="115"/>
      <c r="BD563" s="115"/>
      <c r="BE563" s="74"/>
      <c r="BF563" s="74"/>
      <c r="BG563" s="74"/>
    </row>
    <row r="564" spans="1:59" s="75" customFormat="1" ht="15" customHeight="1">
      <c r="A564" s="296"/>
      <c r="B564" s="217"/>
      <c r="C564" s="217">
        <v>17</v>
      </c>
      <c r="D564" s="101"/>
      <c r="E564" s="101"/>
      <c r="F564" s="294" t="s">
        <v>934</v>
      </c>
      <c r="G564" s="295" t="str">
        <f>VLOOKUP(F564,'GL Category'!A:C,3,FALSE)</f>
        <v>Services &amp; other</v>
      </c>
      <c r="H564" s="98" t="str">
        <f>VLOOKUP(F564,'GL Category'!A:C,2,FALSE)</f>
        <v>TUITION REIMBURSEMENT</v>
      </c>
      <c r="I564" s="99">
        <f>SUMIFS(I$1:I558,$C$1:$C558,$C564,$F$1:$F558,$F564)</f>
        <v>22956.86</v>
      </c>
      <c r="J564" s="99">
        <f>SUMIFS(J$1:J558,$C$1:$C558,$C564,$F$1:$F558,$F564)</f>
        <v>27443.49</v>
      </c>
      <c r="K564" s="99">
        <f>SUMIFS(K$1:K558,$C$1:$C558,$C564,$F$1:$F558,$F564)</f>
        <v>6359.46</v>
      </c>
      <c r="L564" s="99">
        <f>SUMIFS(L$1:L558,$C$1:$C558,$C564,$F$1:$F558,$F564)</f>
        <v>7194.42</v>
      </c>
      <c r="M564" s="99">
        <f>SUMIFS(M$1:M558,$C$1:$C558,$C564,$F$1:$F558,$F564)</f>
        <v>20000</v>
      </c>
      <c r="N564" s="99">
        <f>SUMIFS(N$1:N558,$C$1:$C558,$C564,$F$1:$F558,$F564)</f>
        <v>4668.54</v>
      </c>
      <c r="O564" s="99">
        <f>SUMIFS(O$1:O558,$C$1:$C558,$C564,$F$1:$F558,$F564)</f>
        <v>9000</v>
      </c>
      <c r="P564" s="99">
        <f t="shared" ref="P564" si="835">O564-M564</f>
        <v>-11000</v>
      </c>
      <c r="Q564" s="99">
        <f>SUMIFS(Q$1:Q558,$C$1:$C558,$C564,$F$1:$F558,$F564)</f>
        <v>20000</v>
      </c>
      <c r="R564" s="99">
        <f>SUMIFS(R$1:R558,$C$1:$C558,$C564,$F$1:$F558,$F564)</f>
        <v>0</v>
      </c>
      <c r="S564" s="99">
        <f>SUMIFS(S$1:S558,$C$1:$C558,$C564,$F$1:$F558,$F564)</f>
        <v>0</v>
      </c>
      <c r="T564" s="99">
        <f>SUMIFS(T$1:T558,$C$1:$C558,$C564,$F$1:$F558,$F564)</f>
        <v>20000</v>
      </c>
      <c r="U564" s="99">
        <f t="shared" si="821"/>
        <v>0</v>
      </c>
      <c r="V564" s="255">
        <f t="shared" si="822"/>
        <v>0</v>
      </c>
      <c r="W564" s="102"/>
      <c r="X564" s="102"/>
      <c r="Y564" s="102">
        <f t="shared" si="829"/>
        <v>20000</v>
      </c>
      <c r="Z564" s="309">
        <f>Y564*(1+VLOOKUP($F564,'GL Category'!$A:$H,4,FALSE))</f>
        <v>20600</v>
      </c>
      <c r="AA564" s="615"/>
      <c r="AB564" s="622">
        <f t="shared" si="830"/>
        <v>20600</v>
      </c>
      <c r="AC564" s="633">
        <f>AB564*(1+VLOOKUP($F564,'GL Category'!$A:$H,5,FALSE))</f>
        <v>21218</v>
      </c>
      <c r="AD564" s="307"/>
      <c r="AE564" s="622">
        <f t="shared" si="831"/>
        <v>21218</v>
      </c>
      <c r="AF564" s="633">
        <f>AE564*(1+VLOOKUP($F564,'GL Category'!$A:$H,6,FALSE))</f>
        <v>21854.54</v>
      </c>
      <c r="AG564" s="307"/>
      <c r="AH564" s="622">
        <f t="shared" si="832"/>
        <v>21854.54</v>
      </c>
      <c r="AI564" s="633">
        <f>AH564*(1+VLOOKUP($F564,'GL Category'!$A:$H,7,FALSE))</f>
        <v>22510.176200000002</v>
      </c>
      <c r="AJ564" s="307"/>
      <c r="AK564" s="622">
        <f t="shared" si="833"/>
        <v>22510.176200000002</v>
      </c>
      <c r="AL564" s="633">
        <f>AK564*(1+VLOOKUP($F564,'GL Category'!$A:$H,8,FALSE))</f>
        <v>23185.481486000001</v>
      </c>
      <c r="AM564" s="307"/>
      <c r="AN564" s="622">
        <f t="shared" si="834"/>
        <v>23185.481486000001</v>
      </c>
      <c r="AO564" s="192"/>
      <c r="AP564" s="192"/>
      <c r="AQ564" s="192"/>
      <c r="AR564" s="115"/>
      <c r="AS564" s="115"/>
      <c r="AT564" s="115"/>
      <c r="AU564" s="115"/>
      <c r="AV564" s="115"/>
      <c r="AW564" s="115"/>
      <c r="AX564" s="115"/>
      <c r="AY564" s="115"/>
      <c r="AZ564" s="115"/>
      <c r="BA564" s="115"/>
      <c r="BB564" s="115"/>
      <c r="BC564" s="115"/>
      <c r="BD564" s="115"/>
      <c r="BE564" s="74"/>
      <c r="BF564" s="74"/>
      <c r="BG564" s="74"/>
    </row>
    <row r="565" spans="1:59" ht="15" customHeight="1">
      <c r="A565" s="296"/>
      <c r="B565" s="217"/>
      <c r="C565" s="217">
        <v>17</v>
      </c>
      <c r="D565" s="101"/>
      <c r="E565" s="101"/>
      <c r="F565" s="294" t="s">
        <v>194</v>
      </c>
      <c r="G565" s="295" t="str">
        <f>VLOOKUP(F565,'GL Category'!A:C,3,FALSE)</f>
        <v>Services &amp; other</v>
      </c>
      <c r="H565" s="98" t="str">
        <f>VLOOKUP(F565,'GL Category'!A:C,2,FALSE)</f>
        <v>MEDICAL SERVICES</v>
      </c>
      <c r="I565" s="99">
        <f>SUMIFS(I$1:I558,$C$1:$C558,$C565,$F$1:$F558,$F565)</f>
        <v>29896.41</v>
      </c>
      <c r="J565" s="99">
        <f>SUMIFS(J$1:J558,$C$1:$C558,$C565,$F$1:$F558,$F565)</f>
        <v>21061.33</v>
      </c>
      <c r="K565" s="99">
        <f>SUMIFS(K$1:K558,$C$1:$C558,$C565,$F$1:$F558,$F565)</f>
        <v>28655.42</v>
      </c>
      <c r="L565" s="99">
        <f>SUMIFS(L$1:L558,$C$1:$C558,$C565,$F$1:$F558,$F565)</f>
        <v>32827</v>
      </c>
      <c r="M565" s="99">
        <f>SUMIFS(M$1:M558,$C$1:$C558,$C565,$F$1:$F558,$F565)</f>
        <v>31263</v>
      </c>
      <c r="N565" s="99">
        <f>SUMIFS(N$1:N558,$C$1:$C558,$C565,$F$1:$F558,$F565)</f>
        <v>32200.240000000002</v>
      </c>
      <c r="O565" s="99">
        <f>SUMIFS(O$1:O558,$C$1:$C558,$C565,$F$1:$F558,$F565)</f>
        <v>31263</v>
      </c>
      <c r="P565" s="99">
        <f t="shared" si="820"/>
        <v>0</v>
      </c>
      <c r="Q565" s="99">
        <f>SUMIFS(Q$1:Q558,$C$1:$C558,$C565,$F$1:$F558,$F565)</f>
        <v>31263</v>
      </c>
      <c r="R565" s="99">
        <f>SUMIFS(R$1:R558,$C$1:$C558,$C565,$F$1:$F558,$F565)</f>
        <v>0</v>
      </c>
      <c r="S565" s="99">
        <f>SUMIFS(S$1:S558,$C$1:$C558,$C565,$F$1:$F558,$F565)</f>
        <v>0</v>
      </c>
      <c r="T565" s="99">
        <f>SUMIFS(T$1:T558,$C$1:$C558,$C565,$F$1:$F558,$F565)</f>
        <v>31263</v>
      </c>
      <c r="U565" s="99">
        <f t="shared" si="821"/>
        <v>0</v>
      </c>
      <c r="V565" s="255">
        <f t="shared" si="822"/>
        <v>0</v>
      </c>
      <c r="W565" s="102"/>
      <c r="X565" s="102"/>
      <c r="Y565" s="102">
        <f t="shared" si="829"/>
        <v>31263</v>
      </c>
      <c r="Z565" s="309">
        <f>Y565*(1+VLOOKUP($F565,'GL Category'!$A:$H,4,FALSE))</f>
        <v>32200.89</v>
      </c>
      <c r="AA565" s="615"/>
      <c r="AB565" s="622">
        <f t="shared" si="830"/>
        <v>32200.89</v>
      </c>
      <c r="AC565" s="633">
        <f>AB565*(1+VLOOKUP($F565,'GL Category'!$A:$H,5,FALSE))</f>
        <v>33166.916700000002</v>
      </c>
      <c r="AE565" s="622">
        <f t="shared" si="831"/>
        <v>33166.916700000002</v>
      </c>
      <c r="AF565" s="633">
        <f>AE565*(1+VLOOKUP($F565,'GL Category'!$A:$H,6,FALSE))</f>
        <v>34161.924201000002</v>
      </c>
      <c r="AH565" s="622">
        <f t="shared" si="832"/>
        <v>34161.924201000002</v>
      </c>
      <c r="AI565" s="633">
        <f>AH565*(1+VLOOKUP($F565,'GL Category'!$A:$H,7,FALSE))</f>
        <v>35186.781927030002</v>
      </c>
      <c r="AK565" s="622">
        <f t="shared" si="833"/>
        <v>35186.781927030002</v>
      </c>
      <c r="AL565" s="633">
        <f>AK565*(1+VLOOKUP($F565,'GL Category'!$A:$H,8,FALSE))</f>
        <v>36242.385384840905</v>
      </c>
      <c r="AN565" s="622">
        <f t="shared" si="834"/>
        <v>36242.385384840905</v>
      </c>
      <c r="AO565" s="92"/>
      <c r="AP565" s="92"/>
      <c r="AQ565" s="92"/>
      <c r="AR565" s="92"/>
      <c r="AS565" s="92"/>
      <c r="AT565" s="92"/>
    </row>
    <row r="566" spans="1:59" s="75" customFormat="1" ht="15" customHeight="1">
      <c r="A566" s="296"/>
      <c r="B566" s="217"/>
      <c r="C566" s="217">
        <v>17</v>
      </c>
      <c r="D566" s="101"/>
      <c r="E566" s="101"/>
      <c r="F566" s="294" t="s">
        <v>196</v>
      </c>
      <c r="G566" s="295" t="str">
        <f>VLOOKUP(F566,'GL Category'!A:C,3,FALSE)</f>
        <v>Services &amp; other</v>
      </c>
      <c r="H566" s="98" t="str">
        <f>VLOOKUP(F566,'GL Category'!A:C,2,FALSE)</f>
        <v>ADVERTISING &amp; RECORDING</v>
      </c>
      <c r="I566" s="99">
        <f>SUMIFS(I$1:I559,$C$1:$C559,$C566,$F$1:$F559,$F566)</f>
        <v>994</v>
      </c>
      <c r="J566" s="99">
        <f>SUMIFS(J$1:J559,$C$1:$C559,$C566,$F$1:$F559,$F566)</f>
        <v>1502.62</v>
      </c>
      <c r="K566" s="99">
        <f>SUMIFS(K$1:K559,$C$1:$C559,$C566,$F$1:$F559,$F566)</f>
        <v>1600.86</v>
      </c>
      <c r="L566" s="99">
        <f>SUMIFS(L$1:L559,$C$1:$C559,$C566,$F$1:$F559,$F566)</f>
        <v>1872.2</v>
      </c>
      <c r="M566" s="99">
        <f>SUMIFS(M$1:M559,$C$1:$C559,$C566,$F$1:$F559,$F566)</f>
        <v>2200</v>
      </c>
      <c r="N566" s="99">
        <f>SUMIFS(N$1:N559,$C$1:$C559,$C566,$F$1:$F559,$F566)</f>
        <v>0</v>
      </c>
      <c r="O566" s="99">
        <f>SUMIFS(O$1:O559,$C$1:$C559,$C566,$F$1:$F559,$F566)</f>
        <v>2200</v>
      </c>
      <c r="P566" s="99">
        <f t="shared" si="820"/>
        <v>0</v>
      </c>
      <c r="Q566" s="99">
        <f>SUMIFS(Q$1:Q559,$C$1:$C559,$C566,$F$1:$F559,$F566)</f>
        <v>2200</v>
      </c>
      <c r="R566" s="99">
        <f>SUMIFS(R$1:R559,$C$1:$C559,$C566,$F$1:$F559,$F566)</f>
        <v>0</v>
      </c>
      <c r="S566" s="99">
        <f>SUMIFS(S$1:S559,$C$1:$C559,$C566,$F$1:$F559,$F566)</f>
        <v>0</v>
      </c>
      <c r="T566" s="99">
        <f>SUMIFS(T$1:T559,$C$1:$C559,$C566,$F$1:$F559,$F566)</f>
        <v>2200</v>
      </c>
      <c r="U566" s="99">
        <f t="shared" si="821"/>
        <v>0</v>
      </c>
      <c r="V566" s="255">
        <f t="shared" si="822"/>
        <v>0</v>
      </c>
      <c r="W566" s="102"/>
      <c r="X566" s="102"/>
      <c r="Y566" s="102">
        <f t="shared" si="829"/>
        <v>2200</v>
      </c>
      <c r="Z566" s="309">
        <f>Y566*(1+VLOOKUP($F566,'GL Category'!$A:$H,4,FALSE))</f>
        <v>2266</v>
      </c>
      <c r="AA566" s="615"/>
      <c r="AB566" s="622">
        <f t="shared" si="830"/>
        <v>2266</v>
      </c>
      <c r="AC566" s="633">
        <f>AB566*(1+VLOOKUP($F566,'GL Category'!$A:$H,5,FALSE))</f>
        <v>2333.98</v>
      </c>
      <c r="AD566" s="307"/>
      <c r="AE566" s="622">
        <f t="shared" si="831"/>
        <v>2333.98</v>
      </c>
      <c r="AF566" s="633">
        <f>AE566*(1+VLOOKUP($F566,'GL Category'!$A:$H,6,FALSE))</f>
        <v>2403.9994000000002</v>
      </c>
      <c r="AG566" s="307"/>
      <c r="AH566" s="622">
        <f t="shared" si="832"/>
        <v>2403.9994000000002</v>
      </c>
      <c r="AI566" s="633">
        <f>AH566*(1+VLOOKUP($F566,'GL Category'!$A:$H,7,FALSE))</f>
        <v>2476.1193820000003</v>
      </c>
      <c r="AJ566" s="307"/>
      <c r="AK566" s="622">
        <f t="shared" si="833"/>
        <v>2476.1193820000003</v>
      </c>
      <c r="AL566" s="633">
        <f>AK566*(1+VLOOKUP($F566,'GL Category'!$A:$H,8,FALSE))</f>
        <v>2550.4029634600006</v>
      </c>
      <c r="AM566" s="307"/>
      <c r="AN566" s="622">
        <f t="shared" si="834"/>
        <v>2550.4029634600006</v>
      </c>
      <c r="AO566" s="192"/>
      <c r="AP566" s="192"/>
      <c r="AQ566" s="192"/>
      <c r="AR566" s="115"/>
      <c r="AS566" s="115"/>
      <c r="AT566" s="115"/>
      <c r="AU566" s="115"/>
      <c r="AV566" s="115"/>
      <c r="AW566" s="115"/>
      <c r="AX566" s="115"/>
      <c r="AY566" s="115"/>
      <c r="AZ566" s="115"/>
      <c r="BA566" s="115"/>
      <c r="BB566" s="115"/>
      <c r="BC566" s="115"/>
      <c r="BD566" s="115"/>
      <c r="BE566" s="74"/>
      <c r="BF566" s="74"/>
      <c r="BG566" s="74"/>
    </row>
    <row r="567" spans="1:59" ht="15" customHeight="1">
      <c r="A567" s="296"/>
      <c r="B567" s="217"/>
      <c r="C567" s="217">
        <v>17</v>
      </c>
      <c r="D567" s="101"/>
      <c r="E567" s="101"/>
      <c r="F567" s="294" t="s">
        <v>257</v>
      </c>
      <c r="G567" s="295" t="str">
        <f>VLOOKUP(F567,'GL Category'!A:C,3,FALSE)</f>
        <v>Services &amp; other</v>
      </c>
      <c r="H567" s="98" t="str">
        <f>VLOOKUP(F567,'GL Category'!A:C,2,FALSE)</f>
        <v>EMPLOYEE ACTIVITIES</v>
      </c>
      <c r="I567" s="99">
        <f>SUMIFS(I$1:I560,$C$1:$C560,$C567,$F$1:$F560,$F567)</f>
        <v>113124.42</v>
      </c>
      <c r="J567" s="99">
        <f>SUMIFS(J$1:J560,$C$1:$C560,$C567,$F$1:$F560,$F567)</f>
        <v>117875.54</v>
      </c>
      <c r="K567" s="99">
        <f>SUMIFS(K$1:K560,$C$1:$C560,$C567,$F$1:$F560,$F567)</f>
        <v>126190.55</v>
      </c>
      <c r="L567" s="99">
        <f>SUMIFS(L$1:L560,$C$1:$C560,$C567,$F$1:$F560,$F567)</f>
        <v>126126.47</v>
      </c>
      <c r="M567" s="99">
        <f>SUMIFS(M$1:M560,$C$1:$C560,$C567,$F$1:$F560,$F567)</f>
        <v>125021</v>
      </c>
      <c r="N567" s="99">
        <f>SUMIFS(N$1:N560,$C$1:$C560,$C567,$F$1:$F560,$F567)</f>
        <v>82443.3</v>
      </c>
      <c r="O567" s="99">
        <f>SUMIFS(O$1:O560,$C$1:$C560,$C567,$F$1:$F560,$F567)</f>
        <v>125021</v>
      </c>
      <c r="P567" s="99">
        <f t="shared" si="820"/>
        <v>0</v>
      </c>
      <c r="Q567" s="99">
        <f>SUMIFS(Q$1:Q560,$C$1:$C560,$C567,$F$1:$F560,$F567)</f>
        <v>135021</v>
      </c>
      <c r="R567" s="99">
        <f>SUMIFS(R$1:R560,$C$1:$C560,$C567,$F$1:$F560,$F567)</f>
        <v>0</v>
      </c>
      <c r="S567" s="99">
        <f>SUMIFS(S$1:S560,$C$1:$C560,$C567,$F$1:$F560,$F567)</f>
        <v>0</v>
      </c>
      <c r="T567" s="99">
        <f>SUMIFS(T$1:T560,$C$1:$C560,$C567,$F$1:$F560,$F567)</f>
        <v>135021</v>
      </c>
      <c r="U567" s="99">
        <f t="shared" si="821"/>
        <v>10000</v>
      </c>
      <c r="V567" s="255">
        <f t="shared" si="822"/>
        <v>7.9986562257540639E-2</v>
      </c>
      <c r="W567" s="102"/>
      <c r="X567" s="102"/>
      <c r="Y567" s="102">
        <f t="shared" si="829"/>
        <v>135021</v>
      </c>
      <c r="Z567" s="309">
        <f>Y567*(1+VLOOKUP($F567,'GL Category'!$A:$H,4,FALSE))</f>
        <v>139071.63</v>
      </c>
      <c r="AA567" s="615"/>
      <c r="AB567" s="622">
        <f t="shared" si="830"/>
        <v>139071.63</v>
      </c>
      <c r="AC567" s="633">
        <f>AB567*(1+VLOOKUP($F567,'GL Category'!$A:$H,5,FALSE))</f>
        <v>143243.7789</v>
      </c>
      <c r="AE567" s="622">
        <f t="shared" si="831"/>
        <v>143243.7789</v>
      </c>
      <c r="AF567" s="633">
        <f>AE567*(1+VLOOKUP($F567,'GL Category'!$A:$H,6,FALSE))</f>
        <v>147541.092267</v>
      </c>
      <c r="AH567" s="622">
        <f t="shared" si="832"/>
        <v>147541.092267</v>
      </c>
      <c r="AI567" s="633">
        <f>AH567*(1+VLOOKUP($F567,'GL Category'!$A:$H,7,FALSE))</f>
        <v>151967.32503501</v>
      </c>
      <c r="AK567" s="622">
        <f t="shared" si="833"/>
        <v>151967.32503501</v>
      </c>
      <c r="AL567" s="633">
        <f>AK567*(1+VLOOKUP($F567,'GL Category'!$A:$H,8,FALSE))</f>
        <v>156526.3447860603</v>
      </c>
      <c r="AN567" s="622">
        <f t="shared" si="834"/>
        <v>156526.3447860603</v>
      </c>
    </row>
    <row r="568" spans="1:59" ht="15" customHeight="1">
      <c r="A568" s="296"/>
      <c r="B568" s="217"/>
      <c r="C568" s="217">
        <v>17</v>
      </c>
      <c r="D568" s="101"/>
      <c r="E568" s="101"/>
      <c r="F568" s="294" t="s">
        <v>199</v>
      </c>
      <c r="G568" s="295" t="str">
        <f>VLOOKUP(F568,'GL Category'!A:C,3,FALSE)</f>
        <v>Services &amp; other</v>
      </c>
      <c r="H568" s="98" t="str">
        <f>VLOOKUP(F568,'GL Category'!A:C,2,FALSE)</f>
        <v>EMPLOYEE RECRUITING/TESTING</v>
      </c>
      <c r="I568" s="99">
        <f>SUMIFS(I$1:I561,$C$1:$C561,$C568,$F$1:$F561,$F568)</f>
        <v>604</v>
      </c>
      <c r="J568" s="99">
        <f>SUMIFS(J$1:J561,$C$1:$C561,$C568,$F$1:$F561,$F568)</f>
        <v>1713.3</v>
      </c>
      <c r="K568" s="99">
        <f>SUMIFS(K$1:K561,$C$1:$C561,$C568,$F$1:$F561,$F568)</f>
        <v>6656.58</v>
      </c>
      <c r="L568" s="99">
        <f>SUMIFS(L$1:L561,$C$1:$C561,$C568,$F$1:$F561,$F568)</f>
        <v>12026.95</v>
      </c>
      <c r="M568" s="99">
        <f>SUMIFS(M$1:M561,$C$1:$C561,$C568,$F$1:$F561,$F568)</f>
        <v>5500</v>
      </c>
      <c r="N568" s="99">
        <f>SUMIFS(N$1:N561,$C$1:$C561,$C568,$F$1:$F561,$F568)</f>
        <v>17378.29</v>
      </c>
      <c r="O568" s="99">
        <f>SUMIFS(O$1:O561,$C$1:$C561,$C568,$F$1:$F561,$F568)</f>
        <v>18800</v>
      </c>
      <c r="P568" s="99">
        <f t="shared" si="820"/>
        <v>13300</v>
      </c>
      <c r="Q568" s="99">
        <f>SUMIFS(Q$1:Q561,$C$1:$C561,$C568,$F$1:$F561,$F568)</f>
        <v>5500</v>
      </c>
      <c r="R568" s="99">
        <f>SUMIFS(R$1:R561,$C$1:$C561,$C568,$F$1:$F561,$F568)</f>
        <v>0</v>
      </c>
      <c r="S568" s="99">
        <f>SUMIFS(S$1:S561,$C$1:$C561,$C568,$F$1:$F561,$F568)</f>
        <v>0</v>
      </c>
      <c r="T568" s="99">
        <f>SUMIFS(T$1:T561,$C$1:$C561,$C568,$F$1:$F561,$F568)</f>
        <v>5500</v>
      </c>
      <c r="U568" s="99">
        <f t="shared" si="821"/>
        <v>0</v>
      </c>
      <c r="V568" s="255">
        <f t="shared" si="822"/>
        <v>0</v>
      </c>
      <c r="W568" s="102"/>
      <c r="X568" s="102"/>
      <c r="Y568" s="102">
        <f t="shared" si="829"/>
        <v>5500</v>
      </c>
      <c r="Z568" s="309">
        <f>Y568*(1+VLOOKUP($F568,'GL Category'!$A:$H,4,FALSE))</f>
        <v>5665</v>
      </c>
      <c r="AA568" s="615"/>
      <c r="AB568" s="622">
        <f t="shared" si="830"/>
        <v>5665</v>
      </c>
      <c r="AC568" s="633">
        <f>AB568*(1+VLOOKUP($F568,'GL Category'!$A:$H,5,FALSE))</f>
        <v>5834.95</v>
      </c>
      <c r="AE568" s="622">
        <f t="shared" si="831"/>
        <v>5834.95</v>
      </c>
      <c r="AF568" s="633">
        <f>AE568*(1+VLOOKUP($F568,'GL Category'!$A:$H,6,FALSE))</f>
        <v>6009.9984999999997</v>
      </c>
      <c r="AH568" s="622">
        <f t="shared" si="832"/>
        <v>6009.9984999999997</v>
      </c>
      <c r="AI568" s="633">
        <f>AH568*(1+VLOOKUP($F568,'GL Category'!$A:$H,7,FALSE))</f>
        <v>6190.2984550000001</v>
      </c>
      <c r="AK568" s="622">
        <f t="shared" si="833"/>
        <v>6190.2984550000001</v>
      </c>
      <c r="AL568" s="633">
        <f>AK568*(1+VLOOKUP($F568,'GL Category'!$A:$H,8,FALSE))</f>
        <v>6376.0074086499999</v>
      </c>
      <c r="AN568" s="622">
        <f t="shared" si="834"/>
        <v>6376.0074086499999</v>
      </c>
    </row>
    <row r="569" spans="1:59" ht="15" customHeight="1">
      <c r="A569" s="296"/>
      <c r="B569" s="217"/>
      <c r="C569" s="217">
        <v>17</v>
      </c>
      <c r="D569" s="101"/>
      <c r="E569" s="101"/>
      <c r="F569" s="294" t="s">
        <v>202</v>
      </c>
      <c r="G569" s="295" t="str">
        <f>VLOOKUP(F569,'GL Category'!A:C,3,FALSE)</f>
        <v>Services &amp; other</v>
      </c>
      <c r="H569" s="98" t="str">
        <f>VLOOKUP(F569,'GL Category'!A:C,2,FALSE)</f>
        <v>PRINTING &amp; BINDING SERVICES</v>
      </c>
      <c r="I569" s="99">
        <f>SUMIFS(I$1:I562,$C$1:$C562,$C569,$F$1:$F562,$F569)</f>
        <v>0</v>
      </c>
      <c r="J569" s="99">
        <f>SUMIFS(J$1:J562,$C$1:$C562,$C569,$F$1:$F562,$F569)</f>
        <v>0</v>
      </c>
      <c r="K569" s="99">
        <f>SUMIFS(K$1:K562,$C$1:$C562,$C569,$F$1:$F562,$F569)</f>
        <v>0</v>
      </c>
      <c r="L569" s="99">
        <f>SUMIFS(L$1:L562,$C$1:$C562,$C569,$F$1:$F562,$F569)</f>
        <v>0</v>
      </c>
      <c r="M569" s="99">
        <f>SUMIFS(M$1:M562,$C$1:$C562,$C569,$F$1:$F562,$F569)</f>
        <v>0</v>
      </c>
      <c r="N569" s="99">
        <f>SUMIFS(N$1:N562,$C$1:$C562,$C569,$F$1:$F562,$F569)</f>
        <v>0</v>
      </c>
      <c r="O569" s="99">
        <f>SUMIFS(O$1:O562,$C$1:$C562,$C569,$F$1:$F562,$F569)</f>
        <v>0</v>
      </c>
      <c r="P569" s="99">
        <f t="shared" si="820"/>
        <v>0</v>
      </c>
      <c r="Q569" s="99">
        <f>SUMIFS(Q$1:Q562,$C$1:$C562,$C569,$F$1:$F562,$F569)</f>
        <v>0</v>
      </c>
      <c r="R569" s="99">
        <f>SUMIFS(R$1:R562,$C$1:$C562,$C569,$F$1:$F562,$F569)</f>
        <v>0</v>
      </c>
      <c r="S569" s="99">
        <f>SUMIFS(S$1:S562,$C$1:$C562,$C569,$F$1:$F562,$F569)</f>
        <v>0</v>
      </c>
      <c r="T569" s="99">
        <f>SUMIFS(T$1:T562,$C$1:$C562,$C569,$F$1:$F562,$F569)</f>
        <v>0</v>
      </c>
      <c r="U569" s="99">
        <f t="shared" si="821"/>
        <v>0</v>
      </c>
      <c r="V569" s="255" t="str">
        <f t="shared" si="822"/>
        <v>N/A</v>
      </c>
      <c r="W569" s="102"/>
      <c r="X569" s="102"/>
      <c r="Y569" s="102">
        <f t="shared" si="829"/>
        <v>0</v>
      </c>
      <c r="Z569" s="309">
        <f>Y569*(1+VLOOKUP($F569,'GL Category'!$A:$H,4,FALSE))</f>
        <v>0</v>
      </c>
      <c r="AA569" s="615"/>
      <c r="AB569" s="622">
        <f t="shared" si="830"/>
        <v>0</v>
      </c>
      <c r="AC569" s="633">
        <f>AB569*(1+VLOOKUP($F569,'GL Category'!$A:$H,5,FALSE))</f>
        <v>0</v>
      </c>
      <c r="AE569" s="622">
        <f t="shared" si="831"/>
        <v>0</v>
      </c>
      <c r="AF569" s="633">
        <f>AE569*(1+VLOOKUP($F569,'GL Category'!$A:$H,6,FALSE))</f>
        <v>0</v>
      </c>
      <c r="AH569" s="622">
        <f t="shared" si="832"/>
        <v>0</v>
      </c>
      <c r="AI569" s="633">
        <f>AH569*(1+VLOOKUP($F569,'GL Category'!$A:$H,7,FALSE))</f>
        <v>0</v>
      </c>
      <c r="AK569" s="622">
        <f t="shared" si="833"/>
        <v>0</v>
      </c>
      <c r="AL569" s="633">
        <f>AK569*(1+VLOOKUP($F569,'GL Category'!$A:$H,8,FALSE))</f>
        <v>0</v>
      </c>
      <c r="AN569" s="622">
        <f t="shared" si="834"/>
        <v>0</v>
      </c>
      <c r="AO569" s="92"/>
      <c r="AP569" s="92"/>
      <c r="AQ569" s="92"/>
      <c r="AR569" s="92"/>
      <c r="AS569" s="92"/>
      <c r="AT569" s="92"/>
    </row>
    <row r="570" spans="1:59" s="75" customFormat="1" ht="15" customHeight="1">
      <c r="A570" s="296"/>
      <c r="B570" s="217"/>
      <c r="C570" s="217">
        <v>17</v>
      </c>
      <c r="D570" s="101"/>
      <c r="E570" s="101"/>
      <c r="F570" s="294" t="s">
        <v>1093</v>
      </c>
      <c r="G570" s="295" t="str">
        <f>VLOOKUP(F570,'GL Category'!A:C,3,FALSE)</f>
        <v>Services &amp; other</v>
      </c>
      <c r="H570" s="98" t="str">
        <f>VLOOKUP(F570,'GL Category'!A:C,2,FALSE)</f>
        <v>WELLNESS ACTIVITIES</v>
      </c>
      <c r="I570" s="99">
        <f>SUMIFS(I$1:I563,$C$1:$C563,$C570,$F$1:$F563,$F570)</f>
        <v>19791.62</v>
      </c>
      <c r="J570" s="99">
        <f>SUMIFS(J$1:J563,$C$1:$C563,$C570,$F$1:$F563,$F570)</f>
        <v>0</v>
      </c>
      <c r="K570" s="99">
        <f>SUMIFS(K$1:K563,$C$1:$C563,$C570,$F$1:$F563,$F570)</f>
        <v>0</v>
      </c>
      <c r="L570" s="99">
        <f>SUMIFS(L$1:L563,$C$1:$C563,$C570,$F$1:$F563,$F570)</f>
        <v>0</v>
      </c>
      <c r="M570" s="99">
        <f>SUMIFS(M$1:M563,$C$1:$C563,$C570,$F$1:$F563,$F570)</f>
        <v>0</v>
      </c>
      <c r="N570" s="99">
        <f>SUMIFS(N$1:N563,$C$1:$C563,$C570,$F$1:$F563,$F570)</f>
        <v>0</v>
      </c>
      <c r="O570" s="99">
        <f>SUMIFS(O$1:O563,$C$1:$C563,$C570,$F$1:$F563,$F570)</f>
        <v>0</v>
      </c>
      <c r="P570" s="99">
        <f t="shared" ref="P570" si="836">O570-M570</f>
        <v>0</v>
      </c>
      <c r="Q570" s="99">
        <f>SUMIFS(Q$1:Q563,$C$1:$C563,$C570,$F$1:$F563,$F570)</f>
        <v>0</v>
      </c>
      <c r="R570" s="99">
        <f>SUMIFS(R$1:R563,$C$1:$C563,$C570,$F$1:$F563,$F570)</f>
        <v>0</v>
      </c>
      <c r="S570" s="99">
        <f>SUMIFS(S$1:S563,$C$1:$C563,$C570,$F$1:$F563,$F570)</f>
        <v>0</v>
      </c>
      <c r="T570" s="99">
        <f>SUMIFS(T$1:T563,$C$1:$C563,$C570,$F$1:$F563,$F570)</f>
        <v>0</v>
      </c>
      <c r="U570" s="99">
        <f t="shared" si="821"/>
        <v>0</v>
      </c>
      <c r="V570" s="255" t="str">
        <f t="shared" si="822"/>
        <v>N/A</v>
      </c>
      <c r="W570" s="102"/>
      <c r="X570" s="102"/>
      <c r="Y570" s="102">
        <f t="shared" si="829"/>
        <v>0</v>
      </c>
      <c r="Z570" s="309">
        <f>Y570*(1+VLOOKUP($F570,'GL Category'!$A:$H,4,FALSE))</f>
        <v>0</v>
      </c>
      <c r="AA570" s="615"/>
      <c r="AB570" s="622">
        <f t="shared" si="830"/>
        <v>0</v>
      </c>
      <c r="AC570" s="633">
        <f>AB570*(1+VLOOKUP($F570,'GL Category'!$A:$H,5,FALSE))</f>
        <v>0</v>
      </c>
      <c r="AD570" s="307"/>
      <c r="AE570" s="622">
        <f t="shared" si="831"/>
        <v>0</v>
      </c>
      <c r="AF570" s="633">
        <f>AE570*(1+VLOOKUP($F570,'GL Category'!$A:$H,6,FALSE))</f>
        <v>0</v>
      </c>
      <c r="AG570" s="307"/>
      <c r="AH570" s="622">
        <f t="shared" si="832"/>
        <v>0</v>
      </c>
      <c r="AI570" s="633">
        <f>AH570*(1+VLOOKUP($F570,'GL Category'!$A:$H,7,FALSE))</f>
        <v>0</v>
      </c>
      <c r="AJ570" s="307"/>
      <c r="AK570" s="622">
        <f t="shared" si="833"/>
        <v>0</v>
      </c>
      <c r="AL570" s="633">
        <f>AK570*(1+VLOOKUP($F570,'GL Category'!$A:$H,8,FALSE))</f>
        <v>0</v>
      </c>
      <c r="AM570" s="307"/>
      <c r="AN570" s="622">
        <f t="shared" si="834"/>
        <v>0</v>
      </c>
      <c r="AO570" s="192"/>
      <c r="AP570" s="192"/>
      <c r="AQ570" s="192"/>
      <c r="AR570" s="115"/>
      <c r="AS570" s="115"/>
      <c r="AT570" s="115"/>
      <c r="AU570" s="115"/>
      <c r="AV570" s="115"/>
      <c r="AW570" s="115"/>
      <c r="AX570" s="115"/>
      <c r="AY570" s="115"/>
      <c r="AZ570" s="115"/>
      <c r="BA570" s="115"/>
      <c r="BB570" s="115"/>
      <c r="BC570" s="115"/>
      <c r="BD570" s="115"/>
      <c r="BE570" s="74"/>
      <c r="BF570" s="74"/>
      <c r="BG570" s="74"/>
    </row>
    <row r="571" spans="1:59" ht="15" customHeight="1">
      <c r="A571" s="296"/>
      <c r="B571" s="217"/>
      <c r="C571" s="217">
        <v>17</v>
      </c>
      <c r="D571" s="101"/>
      <c r="E571" s="101"/>
      <c r="F571" s="294" t="s">
        <v>204</v>
      </c>
      <c r="G571" s="295" t="str">
        <f>VLOOKUP(F571,'GL Category'!A:C,3,FALSE)</f>
        <v>Services &amp; other</v>
      </c>
      <c r="H571" s="98" t="str">
        <f>VLOOKUP(F571,'GL Category'!A:C,2,FALSE)</f>
        <v>BAD DEBT EXPENSE</v>
      </c>
      <c r="I571" s="99">
        <f>SUMIFS(I$1:I564,$C$1:$C564,$C571,$F$1:$F564,$F571)</f>
        <v>0</v>
      </c>
      <c r="J571" s="99">
        <f>SUMIFS(J$1:J564,$C$1:$C564,$C571,$F$1:$F564,$F571)</f>
        <v>0</v>
      </c>
      <c r="K571" s="99">
        <f>SUMIFS(K$1:K564,$C$1:$C564,$C571,$F$1:$F564,$F571)</f>
        <v>0</v>
      </c>
      <c r="L571" s="99">
        <f>SUMIFS(L$1:L564,$C$1:$C564,$C571,$F$1:$F564,$F571)</f>
        <v>0</v>
      </c>
      <c r="M571" s="99">
        <f>SUMIFS(M$1:M564,$C$1:$C564,$C571,$F$1:$F564,$F571)</f>
        <v>0</v>
      </c>
      <c r="N571" s="99">
        <f>SUMIFS(N$1:N564,$C$1:$C564,$C571,$F$1:$F564,$F571)</f>
        <v>0</v>
      </c>
      <c r="O571" s="99">
        <f>SUMIFS(O$1:O564,$C$1:$C564,$C571,$F$1:$F564,$F571)</f>
        <v>0</v>
      </c>
      <c r="P571" s="99">
        <f t="shared" ref="P571" si="837">O571-M571</f>
        <v>0</v>
      </c>
      <c r="Q571" s="99">
        <f>SUMIFS(Q$1:Q564,$C$1:$C564,$C571,$F$1:$F564,$F571)</f>
        <v>0</v>
      </c>
      <c r="R571" s="99">
        <f>SUMIFS(R$1:R564,$C$1:$C564,$C571,$F$1:$F564,$F571)</f>
        <v>0</v>
      </c>
      <c r="S571" s="99">
        <f>SUMIFS(S$1:S564,$C$1:$C564,$C571,$F$1:$F564,$F571)</f>
        <v>0</v>
      </c>
      <c r="T571" s="99">
        <f>SUMIFS(T$1:T564,$C$1:$C564,$C571,$F$1:$F564,$F571)</f>
        <v>0</v>
      </c>
      <c r="U571" s="99">
        <f t="shared" si="821"/>
        <v>0</v>
      </c>
      <c r="V571" s="255" t="str">
        <f t="shared" si="822"/>
        <v>N/A</v>
      </c>
      <c r="W571" s="102"/>
      <c r="X571" s="102"/>
      <c r="Y571" s="102">
        <f t="shared" si="829"/>
        <v>0</v>
      </c>
      <c r="Z571" s="309">
        <f>Y571*(1+VLOOKUP($F571,'GL Category'!$A:$H,4,FALSE))</f>
        <v>0</v>
      </c>
      <c r="AA571" s="615"/>
      <c r="AB571" s="622">
        <f t="shared" si="830"/>
        <v>0</v>
      </c>
      <c r="AC571" s="633">
        <f>AB571*(1+VLOOKUP($F571,'GL Category'!$A:$H,5,FALSE))</f>
        <v>0</v>
      </c>
      <c r="AE571" s="622">
        <f t="shared" si="831"/>
        <v>0</v>
      </c>
      <c r="AF571" s="633">
        <f>AE571*(1+VLOOKUP($F571,'GL Category'!$A:$H,6,FALSE))</f>
        <v>0</v>
      </c>
      <c r="AH571" s="622">
        <f t="shared" si="832"/>
        <v>0</v>
      </c>
      <c r="AI571" s="633">
        <f>AH571*(1+VLOOKUP($F571,'GL Category'!$A:$H,7,FALSE))</f>
        <v>0</v>
      </c>
      <c r="AK571" s="622">
        <f t="shared" si="833"/>
        <v>0</v>
      </c>
      <c r="AL571" s="633">
        <f>AK571*(1+VLOOKUP($F571,'GL Category'!$A:$H,8,FALSE))</f>
        <v>0</v>
      </c>
      <c r="AN571" s="622">
        <f t="shared" si="834"/>
        <v>0</v>
      </c>
    </row>
    <row r="572" spans="1:59" s="75" customFormat="1" ht="15" customHeight="1">
      <c r="A572" s="296"/>
      <c r="B572" s="217"/>
      <c r="C572" s="217">
        <v>17</v>
      </c>
      <c r="D572" s="101"/>
      <c r="E572" s="101"/>
      <c r="F572" s="294" t="s">
        <v>206</v>
      </c>
      <c r="G572" s="295" t="str">
        <f>VLOOKUP(F572,'GL Category'!A:C,3,FALSE)</f>
        <v>Services &amp; other</v>
      </c>
      <c r="H572" s="98" t="str">
        <f>VLOOKUP(F572,'GL Category'!A:C,2,FALSE)</f>
        <v>FREIGHT &amp; EXPRESS SERVICES</v>
      </c>
      <c r="I572" s="99">
        <f>SUMIFS(I$1:I563,$C$1:$C563,$C572,$F$1:$F563,$F572)</f>
        <v>0</v>
      </c>
      <c r="J572" s="99">
        <f>SUMIFS(J$1:J563,$C$1:$C563,$C572,$F$1:$F563,$F572)</f>
        <v>0</v>
      </c>
      <c r="K572" s="99">
        <f>SUMIFS(K$1:K563,$C$1:$C563,$C572,$F$1:$F563,$F572)</f>
        <v>0</v>
      </c>
      <c r="L572" s="99">
        <f>SUMIFS(L$1:L563,$C$1:$C563,$C572,$F$1:$F563,$F572)</f>
        <v>0</v>
      </c>
      <c r="M572" s="99">
        <f>SUMIFS(M$1:M563,$C$1:$C563,$C572,$F$1:$F563,$F572)</f>
        <v>0</v>
      </c>
      <c r="N572" s="99">
        <f>SUMIFS(N$1:N563,$C$1:$C563,$C572,$F$1:$F563,$F572)</f>
        <v>0</v>
      </c>
      <c r="O572" s="99">
        <f>SUMIFS(O$1:O563,$C$1:$C563,$C572,$F$1:$F563,$F572)</f>
        <v>0</v>
      </c>
      <c r="P572" s="99">
        <f t="shared" si="820"/>
        <v>0</v>
      </c>
      <c r="Q572" s="99">
        <f>SUMIFS(Q$1:Q563,$C$1:$C563,$C572,$F$1:$F563,$F572)</f>
        <v>0</v>
      </c>
      <c r="R572" s="99">
        <f>SUMIFS(R$1:R563,$C$1:$C563,$C572,$F$1:$F563,$F572)</f>
        <v>0</v>
      </c>
      <c r="S572" s="99">
        <f>SUMIFS(S$1:S563,$C$1:$C563,$C572,$F$1:$F563,$F572)</f>
        <v>0</v>
      </c>
      <c r="T572" s="99">
        <f>SUMIFS(T$1:T563,$C$1:$C563,$C572,$F$1:$F563,$F572)</f>
        <v>0</v>
      </c>
      <c r="U572" s="99">
        <f t="shared" si="821"/>
        <v>0</v>
      </c>
      <c r="V572" s="255" t="str">
        <f t="shared" si="822"/>
        <v>N/A</v>
      </c>
      <c r="W572" s="102"/>
      <c r="X572" s="102"/>
      <c r="Y572" s="102">
        <f t="shared" si="829"/>
        <v>0</v>
      </c>
      <c r="Z572" s="309">
        <f>Y572*(1+VLOOKUP($F572,'GL Category'!$A:$H,4,FALSE))</f>
        <v>0</v>
      </c>
      <c r="AA572" s="615"/>
      <c r="AB572" s="622">
        <f t="shared" si="830"/>
        <v>0</v>
      </c>
      <c r="AC572" s="633">
        <f>AB572*(1+VLOOKUP($F572,'GL Category'!$A:$H,5,FALSE))</f>
        <v>0</v>
      </c>
      <c r="AD572" s="307"/>
      <c r="AE572" s="622">
        <f t="shared" si="831"/>
        <v>0</v>
      </c>
      <c r="AF572" s="633">
        <f>AE572*(1+VLOOKUP($F572,'GL Category'!$A:$H,6,FALSE))</f>
        <v>0</v>
      </c>
      <c r="AG572" s="307"/>
      <c r="AH572" s="622">
        <f t="shared" si="832"/>
        <v>0</v>
      </c>
      <c r="AI572" s="633">
        <f>AH572*(1+VLOOKUP($F572,'GL Category'!$A:$H,7,FALSE))</f>
        <v>0</v>
      </c>
      <c r="AJ572" s="307"/>
      <c r="AK572" s="622">
        <f t="shared" si="833"/>
        <v>0</v>
      </c>
      <c r="AL572" s="633">
        <f>AK572*(1+VLOOKUP($F572,'GL Category'!$A:$H,8,FALSE))</f>
        <v>0</v>
      </c>
      <c r="AM572" s="307"/>
      <c r="AN572" s="622">
        <f t="shared" si="834"/>
        <v>0</v>
      </c>
      <c r="AO572" s="192"/>
      <c r="AP572" s="192"/>
      <c r="AQ572" s="192"/>
      <c r="AR572" s="115"/>
      <c r="AS572" s="115"/>
      <c r="AT572" s="115"/>
      <c r="AU572" s="115"/>
      <c r="AV572" s="115"/>
      <c r="AW572" s="115"/>
      <c r="AX572" s="115"/>
      <c r="AY572" s="115"/>
      <c r="AZ572" s="115"/>
      <c r="BA572" s="115"/>
      <c r="BB572" s="115"/>
      <c r="BC572" s="115"/>
      <c r="BD572" s="115"/>
      <c r="BE572" s="74"/>
      <c r="BF572" s="74"/>
      <c r="BG572" s="74"/>
    </row>
    <row r="573" spans="1:59" ht="15" customHeight="1">
      <c r="A573" s="296"/>
      <c r="B573" s="217"/>
      <c r="C573" s="217">
        <v>17</v>
      </c>
      <c r="D573" s="101"/>
      <c r="E573" s="101"/>
      <c r="F573" s="294" t="s">
        <v>260</v>
      </c>
      <c r="G573" s="295" t="str">
        <f>VLOOKUP(F573,'GL Category'!A:C,3,FALSE)</f>
        <v>Services &amp; other</v>
      </c>
      <c r="H573" s="98" t="str">
        <f>VLOOKUP(F573,'GL Category'!A:C,2,FALSE)</f>
        <v>INVESTIGATIVE SERVICES</v>
      </c>
      <c r="I573" s="99">
        <f>SUMIFS(I$1:I565,$C$1:$C565,$C573,$F$1:$F565,$F573)</f>
        <v>2685.75</v>
      </c>
      <c r="J573" s="99">
        <f>SUMIFS(J$1:J565,$C$1:$C565,$C573,$F$1:$F565,$F573)</f>
        <v>3693.65</v>
      </c>
      <c r="K573" s="99">
        <f>SUMIFS(K$1:K565,$C$1:$C565,$C573,$F$1:$F565,$F573)</f>
        <v>5479.81</v>
      </c>
      <c r="L573" s="99">
        <f>SUMIFS(L$1:L565,$C$1:$C565,$C573,$F$1:$F565,$F573)</f>
        <v>8384.2999999999993</v>
      </c>
      <c r="M573" s="99">
        <f>SUMIFS(M$1:M565,$C$1:$C565,$C573,$F$1:$F565,$F573)</f>
        <v>8500</v>
      </c>
      <c r="N573" s="99">
        <f>SUMIFS(N$1:N565,$C$1:$C565,$C573,$F$1:$F565,$F573)</f>
        <v>2320</v>
      </c>
      <c r="O573" s="99">
        <f>SUMIFS(O$1:O565,$C$1:$C565,$C573,$F$1:$F565,$F573)</f>
        <v>8500</v>
      </c>
      <c r="P573" s="99">
        <f t="shared" si="820"/>
        <v>0</v>
      </c>
      <c r="Q573" s="99">
        <f>SUMIFS(Q$1:Q565,$C$1:$C565,$C573,$F$1:$F565,$F573)</f>
        <v>8500</v>
      </c>
      <c r="R573" s="99">
        <f>SUMIFS(R$1:R565,$C$1:$C565,$C573,$F$1:$F565,$F573)</f>
        <v>0</v>
      </c>
      <c r="S573" s="99">
        <f>SUMIFS(S$1:S565,$C$1:$C565,$C573,$F$1:$F565,$F573)</f>
        <v>0</v>
      </c>
      <c r="T573" s="99">
        <f>SUMIFS(T$1:T565,$C$1:$C565,$C573,$F$1:$F565,$F573)</f>
        <v>8500</v>
      </c>
      <c r="U573" s="99">
        <f t="shared" si="821"/>
        <v>0</v>
      </c>
      <c r="V573" s="255">
        <f t="shared" si="822"/>
        <v>0</v>
      </c>
      <c r="W573" s="102"/>
      <c r="X573" s="102"/>
      <c r="Y573" s="102">
        <f t="shared" si="829"/>
        <v>8500</v>
      </c>
      <c r="Z573" s="309">
        <f>Y573*(1+VLOOKUP($F573,'GL Category'!$A:$H,4,FALSE))</f>
        <v>8755</v>
      </c>
      <c r="AA573" s="615"/>
      <c r="AB573" s="622">
        <f t="shared" si="830"/>
        <v>8755</v>
      </c>
      <c r="AC573" s="633">
        <f>AB573*(1+VLOOKUP($F573,'GL Category'!$A:$H,5,FALSE))</f>
        <v>9017.65</v>
      </c>
      <c r="AE573" s="622">
        <f t="shared" si="831"/>
        <v>9017.65</v>
      </c>
      <c r="AF573" s="633">
        <f>AE573*(1+VLOOKUP($F573,'GL Category'!$A:$H,6,FALSE))</f>
        <v>9288.1795000000002</v>
      </c>
      <c r="AH573" s="622">
        <f t="shared" si="832"/>
        <v>9288.1795000000002</v>
      </c>
      <c r="AI573" s="633">
        <f>AH573*(1+VLOOKUP($F573,'GL Category'!$A:$H,7,FALSE))</f>
        <v>9566.824885</v>
      </c>
      <c r="AK573" s="622">
        <f t="shared" si="833"/>
        <v>9566.824885</v>
      </c>
      <c r="AL573" s="633">
        <f>AK573*(1+VLOOKUP($F573,'GL Category'!$A:$H,8,FALSE))</f>
        <v>9853.8296315500011</v>
      </c>
      <c r="AN573" s="622">
        <f t="shared" si="834"/>
        <v>9853.8296315500011</v>
      </c>
    </row>
    <row r="574" spans="1:59" ht="15" customHeight="1">
      <c r="A574" s="296"/>
      <c r="B574" s="217"/>
      <c r="C574" s="217">
        <v>17</v>
      </c>
      <c r="D574" s="101"/>
      <c r="E574" s="101"/>
      <c r="F574" s="294" t="s">
        <v>208</v>
      </c>
      <c r="G574" s="295" t="str">
        <f>VLOOKUP(F574,'GL Category'!A:C,3,FALSE)</f>
        <v>Services &amp; other</v>
      </c>
      <c r="H574" s="98" t="str">
        <f>VLOOKUP(F574,'GL Category'!A:C,2,FALSE)</f>
        <v>GENERAL INSURANCE</v>
      </c>
      <c r="I574" s="99">
        <f>SUMIFS(I$1:I566,$C$1:$C566,$C574,$F$1:$F566,$F574)</f>
        <v>0</v>
      </c>
      <c r="J574" s="99">
        <f>SUMIFS(J$1:J566,$C$1:$C566,$C574,$F$1:$F566,$F574)</f>
        <v>0</v>
      </c>
      <c r="K574" s="99">
        <f>SUMIFS(K$1:K566,$C$1:$C566,$C574,$F$1:$F566,$F574)</f>
        <v>0</v>
      </c>
      <c r="L574" s="99">
        <f>SUMIFS(L$1:L566,$C$1:$C566,$C574,$F$1:$F566,$F574)</f>
        <v>0</v>
      </c>
      <c r="M574" s="99">
        <f>SUMIFS(M$1:M566,$C$1:$C566,$C574,$F$1:$F566,$F574)</f>
        <v>0</v>
      </c>
      <c r="N574" s="99">
        <f>SUMIFS(N$1:N566,$C$1:$C566,$C574,$F$1:$F566,$F574)</f>
        <v>0</v>
      </c>
      <c r="O574" s="99">
        <f>SUMIFS(O$1:O566,$C$1:$C566,$C574,$F$1:$F566,$F574)</f>
        <v>0</v>
      </c>
      <c r="P574" s="99">
        <f t="shared" si="820"/>
        <v>0</v>
      </c>
      <c r="Q574" s="99">
        <f>SUMIFS(Q$1:Q566,$C$1:$C566,$C574,$F$1:$F566,$F574)</f>
        <v>0</v>
      </c>
      <c r="R574" s="99">
        <f>SUMIFS(R$1:R566,$C$1:$C566,$C574,$F$1:$F566,$F574)</f>
        <v>0</v>
      </c>
      <c r="S574" s="99">
        <f>SUMIFS(S$1:S566,$C$1:$C566,$C574,$F$1:$F566,$F574)</f>
        <v>0</v>
      </c>
      <c r="T574" s="99">
        <f>SUMIFS(T$1:T566,$C$1:$C566,$C574,$F$1:$F566,$F574)</f>
        <v>0</v>
      </c>
      <c r="U574" s="99">
        <f t="shared" si="821"/>
        <v>0</v>
      </c>
      <c r="V574" s="255" t="str">
        <f t="shared" si="822"/>
        <v>N/A</v>
      </c>
      <c r="W574" s="102"/>
      <c r="X574" s="102"/>
      <c r="Y574" s="102">
        <f t="shared" si="829"/>
        <v>0</v>
      </c>
      <c r="Z574" s="309">
        <f>Y574*(1+VLOOKUP($F574,'GL Category'!$A:$H,4,FALSE))</f>
        <v>0</v>
      </c>
      <c r="AA574" s="615"/>
      <c r="AB574" s="622">
        <f t="shared" si="830"/>
        <v>0</v>
      </c>
      <c r="AC574" s="633">
        <f>AB574*(1+VLOOKUP($F574,'GL Category'!$A:$H,5,FALSE))</f>
        <v>0</v>
      </c>
      <c r="AE574" s="622">
        <f t="shared" si="831"/>
        <v>0</v>
      </c>
      <c r="AF574" s="633">
        <f>AE574*(1+VLOOKUP($F574,'GL Category'!$A:$H,6,FALSE))</f>
        <v>0</v>
      </c>
      <c r="AH574" s="622">
        <f t="shared" si="832"/>
        <v>0</v>
      </c>
      <c r="AI574" s="633">
        <f>AH574*(1+VLOOKUP($F574,'GL Category'!$A:$H,7,FALSE))</f>
        <v>0</v>
      </c>
      <c r="AK574" s="622">
        <f t="shared" si="833"/>
        <v>0</v>
      </c>
      <c r="AL574" s="633">
        <f>AK574*(1+VLOOKUP($F574,'GL Category'!$A:$H,8,FALSE))</f>
        <v>0</v>
      </c>
      <c r="AN574" s="622">
        <f t="shared" si="834"/>
        <v>0</v>
      </c>
    </row>
    <row r="575" spans="1:59" s="115" customFormat="1" ht="15" customHeight="1">
      <c r="A575" s="296"/>
      <c r="B575" s="217"/>
      <c r="C575" s="217">
        <v>17</v>
      </c>
      <c r="D575" s="101"/>
      <c r="E575" s="101"/>
      <c r="F575" s="556" t="s">
        <v>3122</v>
      </c>
      <c r="G575" s="295" t="str">
        <f>VLOOKUP(F575,'GL Category'!A:C,3,FALSE)</f>
        <v>Services &amp; other</v>
      </c>
      <c r="H575" s="98" t="str">
        <f>VLOOKUP(F575,'GL Category'!A:C,2,FALSE)</f>
        <v>OFFICE EQUIP LEASE EXP-CITY</v>
      </c>
      <c r="I575" s="99">
        <f>SUMIFS(I$1:I567,$C$1:$C567,$C575,$F$1:$F567,$F575)</f>
        <v>65295</v>
      </c>
      <c r="J575" s="99">
        <f>SUMIFS(J$1:J567,$C$1:$C567,$C575,$F$1:$F567,$F575)</f>
        <v>71647</v>
      </c>
      <c r="K575" s="99">
        <f>SUMIFS(K$1:K567,$C$1:$C567,$C575,$F$1:$F567,$F575)</f>
        <v>72603</v>
      </c>
      <c r="L575" s="99">
        <f>SUMIFS(L$1:L567,$C$1:$C567,$C575,$F$1:$F567,$F575)</f>
        <v>68942</v>
      </c>
      <c r="M575" s="99">
        <f>SUMIFS(M$1:M567,$C$1:$C567,$C575,$F$1:$F567,$F575)</f>
        <v>70030</v>
      </c>
      <c r="N575" s="99">
        <f>SUMIFS(N$1:N567,$C$1:$C567,$C575,$F$1:$F567,$F575)</f>
        <v>52522.5</v>
      </c>
      <c r="O575" s="99">
        <f>SUMIFS(O$1:O567,$C$1:$C567,$C575,$F$1:$F567,$F575)</f>
        <v>70030</v>
      </c>
      <c r="P575" s="99">
        <f t="shared" si="820"/>
        <v>0</v>
      </c>
      <c r="Q575" s="99">
        <f>SUMIFS(Q$1:Q567,$C$1:$C567,$C575,$F$1:$F567,$F575)</f>
        <v>80225</v>
      </c>
      <c r="R575" s="99">
        <f>SUMIFS(R$1:R567,$C$1:$C567,$C575,$F$1:$F567,$F575)</f>
        <v>0</v>
      </c>
      <c r="S575" s="99">
        <f>SUMIFS(S$1:S567,$C$1:$C567,$C575,$F$1:$F567,$F575)</f>
        <v>0</v>
      </c>
      <c r="T575" s="99">
        <f>SUMIFS(T$1:T567,$C$1:$C567,$C575,$F$1:$F567,$F575)</f>
        <v>80225</v>
      </c>
      <c r="U575" s="99">
        <f t="shared" si="821"/>
        <v>10195</v>
      </c>
      <c r="V575" s="255">
        <f t="shared" si="822"/>
        <v>0.14558046551477943</v>
      </c>
      <c r="W575" s="102"/>
      <c r="X575" s="102"/>
      <c r="Y575" s="102">
        <f t="shared" si="829"/>
        <v>80225</v>
      </c>
      <c r="Z575" s="309">
        <f>Y575*(1+VLOOKUP($F575,'GL Category'!$A:$H,4,FALSE))</f>
        <v>82631.75</v>
      </c>
      <c r="AA575" s="615"/>
      <c r="AB575" s="622">
        <f t="shared" si="830"/>
        <v>82631.75</v>
      </c>
      <c r="AC575" s="633">
        <f>AB575*(1+VLOOKUP($F575,'GL Category'!$A:$H,5,FALSE))</f>
        <v>85110.702499999999</v>
      </c>
      <c r="AD575" s="307"/>
      <c r="AE575" s="622">
        <f t="shared" si="831"/>
        <v>85110.702499999999</v>
      </c>
      <c r="AF575" s="633">
        <f>AE575*(1+VLOOKUP($F575,'GL Category'!$A:$H,6,FALSE))</f>
        <v>87664.023574999999</v>
      </c>
      <c r="AG575" s="307"/>
      <c r="AH575" s="622">
        <f t="shared" si="832"/>
        <v>87664.023574999999</v>
      </c>
      <c r="AI575" s="633">
        <f>AH575*(1+VLOOKUP($F575,'GL Category'!$A:$H,7,FALSE))</f>
        <v>90293.944282249999</v>
      </c>
      <c r="AJ575" s="307"/>
      <c r="AK575" s="622">
        <f t="shared" si="833"/>
        <v>90293.944282249999</v>
      </c>
      <c r="AL575" s="633">
        <f>AK575*(1+VLOOKUP($F575,'GL Category'!$A:$H,8,FALSE))</f>
        <v>93002.762610717502</v>
      </c>
      <c r="AM575" s="307"/>
      <c r="AN575" s="622">
        <f t="shared" si="834"/>
        <v>93002.762610717502</v>
      </c>
      <c r="AO575" s="192"/>
      <c r="AP575" s="192"/>
      <c r="AQ575" s="192"/>
    </row>
    <row r="576" spans="1:59" ht="15" customHeight="1">
      <c r="A576" s="297"/>
      <c r="B576" s="217"/>
      <c r="C576" s="217"/>
      <c r="D576" s="101"/>
      <c r="E576" s="101"/>
      <c r="F576" s="294"/>
      <c r="G576" s="295"/>
      <c r="H576" s="107" t="str">
        <f>UPPER(G575)&amp;" TOTAL"</f>
        <v>SERVICES &amp; OTHER TOTAL</v>
      </c>
      <c r="I576" s="108">
        <f t="shared" ref="I576" si="838">SUBTOTAL(9,I561:I575)</f>
        <v>333244.65999999997</v>
      </c>
      <c r="J576" s="108">
        <f t="shared" ref="J576:T576" si="839">SUBTOTAL(9,J561:J575)</f>
        <v>323633.71999999997</v>
      </c>
      <c r="K576" s="108">
        <f t="shared" ref="K576" si="840">SUBTOTAL(9,K561:K575)</f>
        <v>256328.74</v>
      </c>
      <c r="L576" s="108">
        <f t="shared" ref="L576" si="841">SUBTOTAL(9,L561:L575)</f>
        <v>271928.21999999997</v>
      </c>
      <c r="M576" s="108">
        <f t="shared" si="839"/>
        <v>287425</v>
      </c>
      <c r="N576" s="108">
        <f t="shared" ref="N576" si="842">SUBTOTAL(9,N561:N575)</f>
        <v>202606.2</v>
      </c>
      <c r="O576" s="108">
        <f t="shared" si="839"/>
        <v>289725</v>
      </c>
      <c r="P576" s="108">
        <f t="shared" si="839"/>
        <v>2300</v>
      </c>
      <c r="Q576" s="108">
        <f t="shared" si="839"/>
        <v>307620</v>
      </c>
      <c r="R576" s="108">
        <f t="shared" si="839"/>
        <v>0</v>
      </c>
      <c r="S576" s="108">
        <f t="shared" si="839"/>
        <v>0</v>
      </c>
      <c r="T576" s="108">
        <f t="shared" si="839"/>
        <v>307620</v>
      </c>
      <c r="U576" s="99">
        <f t="shared" si="821"/>
        <v>20195</v>
      </c>
      <c r="V576" s="255">
        <f t="shared" si="822"/>
        <v>7.0261807428024792E-2</v>
      </c>
      <c r="W576" s="102"/>
      <c r="X576" s="102"/>
      <c r="Y576" s="102"/>
      <c r="Z576" s="88"/>
      <c r="AA576" s="616"/>
      <c r="AB576" s="623"/>
      <c r="AC576" s="93"/>
      <c r="AD576" s="93"/>
      <c r="AE576" s="93"/>
      <c r="AF576" s="93"/>
      <c r="AG576" s="93"/>
      <c r="AH576" s="623"/>
      <c r="AI576" s="623"/>
      <c r="AJ576" s="93"/>
      <c r="AK576" s="93"/>
      <c r="AL576" s="93"/>
      <c r="AM576" s="93"/>
      <c r="AN576" s="93"/>
      <c r="AO576" s="88"/>
      <c r="AP576" s="88"/>
      <c r="AQ576" s="88"/>
      <c r="AR576" s="68"/>
      <c r="AS576" s="68"/>
      <c r="AT576" s="68"/>
      <c r="AU576" s="68"/>
      <c r="AV576" s="68"/>
      <c r="AW576" s="68"/>
      <c r="AX576" s="68"/>
      <c r="AY576" s="68"/>
      <c r="AZ576" s="68"/>
      <c r="BA576" s="68"/>
      <c r="BB576" s="68"/>
      <c r="BC576" s="68"/>
      <c r="BD576" s="68"/>
      <c r="BE576" s="68"/>
      <c r="BF576" s="68"/>
      <c r="BG576" s="68"/>
    </row>
    <row r="577" spans="1:43" s="115" customFormat="1" ht="15" customHeight="1">
      <c r="A577" s="297"/>
      <c r="B577" s="217"/>
      <c r="C577" s="217"/>
      <c r="D577" s="101"/>
      <c r="E577" s="101"/>
      <c r="F577" s="294"/>
      <c r="G577" s="295"/>
      <c r="H577" s="98"/>
      <c r="I577" s="106"/>
      <c r="J577" s="106"/>
      <c r="K577" s="106"/>
      <c r="L577" s="106"/>
      <c r="M577" s="106"/>
      <c r="N577" s="112"/>
      <c r="O577" s="112"/>
      <c r="P577" s="112"/>
      <c r="Q577" s="113"/>
      <c r="R577" s="212"/>
      <c r="S577" s="212"/>
      <c r="T577" s="113"/>
      <c r="U577" s="113"/>
      <c r="V577" s="113"/>
      <c r="W577" s="102"/>
      <c r="X577" s="102"/>
      <c r="Y577" s="102"/>
      <c r="Z577" s="192"/>
      <c r="AA577" s="615"/>
      <c r="AB577" s="307"/>
      <c r="AC577" s="300"/>
      <c r="AD577" s="300"/>
      <c r="AE577" s="300"/>
      <c r="AF577" s="300"/>
      <c r="AG577" s="300"/>
      <c r="AH577" s="307"/>
      <c r="AI577" s="307"/>
      <c r="AJ577" s="300"/>
      <c r="AK577" s="300"/>
      <c r="AL577" s="300"/>
      <c r="AM577" s="300"/>
      <c r="AN577" s="300"/>
      <c r="AO577" s="192"/>
      <c r="AP577" s="192"/>
      <c r="AQ577" s="192"/>
    </row>
    <row r="578" spans="1:43" s="115" customFormat="1" ht="15" customHeight="1">
      <c r="A578" s="297"/>
      <c r="B578" s="217"/>
      <c r="C578" s="217"/>
      <c r="D578" s="101"/>
      <c r="E578" s="101"/>
      <c r="F578" s="294"/>
      <c r="G578" s="295"/>
      <c r="H578" s="114" t="s">
        <v>51</v>
      </c>
      <c r="I578" s="108">
        <f t="shared" ref="I578:T578" si="843">SUBTOTAL(9,I537:I577)</f>
        <v>812624.65</v>
      </c>
      <c r="J578" s="108">
        <f t="shared" si="843"/>
        <v>773393.10000000009</v>
      </c>
      <c r="K578" s="108">
        <f t="shared" si="843"/>
        <v>691399.27999999991</v>
      </c>
      <c r="L578" s="108">
        <f t="shared" si="843"/>
        <v>822744.99</v>
      </c>
      <c r="M578" s="108">
        <f t="shared" si="843"/>
        <v>845784</v>
      </c>
      <c r="N578" s="108">
        <f t="shared" si="843"/>
        <v>625035.80000000005</v>
      </c>
      <c r="O578" s="108">
        <f t="shared" si="843"/>
        <v>852213</v>
      </c>
      <c r="P578" s="108">
        <f t="shared" si="843"/>
        <v>6429</v>
      </c>
      <c r="Q578" s="108">
        <f t="shared" si="843"/>
        <v>890037</v>
      </c>
      <c r="R578" s="108">
        <f t="shared" si="843"/>
        <v>0</v>
      </c>
      <c r="S578" s="108">
        <f t="shared" si="843"/>
        <v>0</v>
      </c>
      <c r="T578" s="108">
        <f t="shared" si="843"/>
        <v>890037</v>
      </c>
      <c r="U578" s="99">
        <f>T578-M578</f>
        <v>44253</v>
      </c>
      <c r="V578" s="255">
        <f>IF(M578=0,"N/A",T578/M578-1)</f>
        <v>5.2321869413467281E-2</v>
      </c>
      <c r="W578" s="102"/>
      <c r="X578" s="102"/>
      <c r="Y578" s="102"/>
      <c r="Z578" s="192"/>
      <c r="AA578" s="615"/>
      <c r="AB578" s="307"/>
      <c r="AC578" s="94"/>
      <c r="AD578" s="94"/>
      <c r="AE578" s="94"/>
      <c r="AF578" s="94"/>
      <c r="AG578" s="94"/>
      <c r="AH578" s="307"/>
      <c r="AI578" s="307"/>
      <c r="AJ578" s="94"/>
      <c r="AK578" s="94"/>
      <c r="AL578" s="94"/>
      <c r="AM578" s="94"/>
      <c r="AN578" s="94"/>
      <c r="AO578" s="192"/>
      <c r="AP578" s="192"/>
      <c r="AQ578" s="192"/>
    </row>
    <row r="579" spans="1:43" s="115" customFormat="1" ht="15" customHeight="1">
      <c r="A579" s="297"/>
      <c r="B579" s="217"/>
      <c r="C579" s="217"/>
      <c r="D579" s="101"/>
      <c r="E579" s="101"/>
      <c r="F579" s="294"/>
      <c r="G579" s="295"/>
      <c r="H579" s="98"/>
      <c r="I579" s="218"/>
      <c r="J579" s="218"/>
      <c r="K579" s="218"/>
      <c r="L579" s="218"/>
      <c r="M579" s="218"/>
      <c r="N579" s="96"/>
      <c r="O579" s="96"/>
      <c r="P579" s="96"/>
      <c r="Q579" s="212"/>
      <c r="R579" s="212"/>
      <c r="S579" s="212"/>
      <c r="T579" s="212"/>
      <c r="U579" s="212"/>
      <c r="V579" s="212"/>
      <c r="W579" s="102"/>
      <c r="X579" s="102"/>
      <c r="Y579" s="102"/>
      <c r="Z579" s="192"/>
      <c r="AA579" s="615"/>
      <c r="AB579" s="307"/>
      <c r="AC579" s="93"/>
      <c r="AD579" s="93"/>
      <c r="AE579" s="93"/>
      <c r="AF579" s="93"/>
      <c r="AG579" s="93"/>
      <c r="AH579" s="307"/>
      <c r="AI579" s="307"/>
      <c r="AJ579" s="93"/>
      <c r="AK579" s="93"/>
      <c r="AL579" s="93"/>
      <c r="AM579" s="93"/>
      <c r="AN579" s="93"/>
      <c r="AO579" s="192"/>
      <c r="AP579" s="192"/>
      <c r="AQ579" s="192"/>
    </row>
    <row r="580" spans="1:43" s="115" customFormat="1" ht="15" customHeight="1" thickBot="1">
      <c r="A580" s="297"/>
      <c r="B580" s="217"/>
      <c r="C580" s="217"/>
      <c r="D580" s="101"/>
      <c r="E580" s="101"/>
      <c r="F580" s="294"/>
      <c r="G580" s="295"/>
      <c r="H580" s="98"/>
      <c r="I580" s="218"/>
      <c r="J580" s="218"/>
      <c r="K580" s="218"/>
      <c r="L580" s="218"/>
      <c r="M580" s="218"/>
      <c r="N580" s="96"/>
      <c r="O580" s="96"/>
      <c r="P580" s="96"/>
      <c r="Q580" s="212"/>
      <c r="R580" s="212"/>
      <c r="S580" s="212"/>
      <c r="T580" s="212"/>
      <c r="U580" s="212"/>
      <c r="V580" s="212"/>
      <c r="W580" s="102"/>
      <c r="X580" s="102"/>
      <c r="Y580" s="102"/>
      <c r="Z580" s="192"/>
      <c r="AA580" s="615"/>
      <c r="AB580" s="307"/>
      <c r="AC580" s="300"/>
      <c r="AD580" s="300"/>
      <c r="AE580" s="300"/>
      <c r="AF580" s="300"/>
      <c r="AG580" s="300"/>
      <c r="AH580" s="307"/>
      <c r="AI580" s="307"/>
      <c r="AJ580" s="300"/>
      <c r="AK580" s="300"/>
      <c r="AL580" s="300"/>
      <c r="AM580" s="300"/>
      <c r="AN580" s="300"/>
      <c r="AO580" s="192"/>
      <c r="AP580" s="192"/>
      <c r="AQ580" s="192"/>
    </row>
    <row r="581" spans="1:43" s="115" customFormat="1" ht="24" customHeight="1" thickBot="1">
      <c r="A581" s="297"/>
      <c r="B581" s="217"/>
      <c r="C581" s="217"/>
      <c r="D581" s="101"/>
      <c r="E581" s="101"/>
      <c r="F581" s="294"/>
      <c r="G581" s="295"/>
      <c r="H581" s="665" t="s">
        <v>618</v>
      </c>
      <c r="I581" s="666"/>
      <c r="J581" s="666"/>
      <c r="K581" s="666"/>
      <c r="L581" s="666"/>
      <c r="M581" s="666"/>
      <c r="N581" s="666"/>
      <c r="O581" s="666"/>
      <c r="P581" s="666"/>
      <c r="Q581" s="666"/>
      <c r="R581" s="666"/>
      <c r="S581" s="666"/>
      <c r="T581" s="667"/>
      <c r="U581" s="247"/>
      <c r="V581" s="247"/>
      <c r="W581" s="102"/>
      <c r="X581" s="102"/>
      <c r="Y581" s="102"/>
      <c r="Z581" s="192"/>
      <c r="AA581" s="615"/>
      <c r="AB581" s="307"/>
      <c r="AC581" s="94"/>
      <c r="AD581" s="94"/>
      <c r="AE581" s="94"/>
      <c r="AF581" s="94"/>
      <c r="AG581" s="94"/>
      <c r="AH581" s="307"/>
      <c r="AI581" s="307"/>
      <c r="AJ581" s="94"/>
      <c r="AK581" s="94"/>
      <c r="AL581" s="94"/>
      <c r="AM581" s="94"/>
      <c r="AN581" s="94"/>
      <c r="AO581" s="192"/>
      <c r="AP581" s="192"/>
      <c r="AQ581" s="192"/>
    </row>
    <row r="582" spans="1:43" s="115" customFormat="1" ht="15" customHeight="1">
      <c r="A582" s="297"/>
      <c r="B582" s="217"/>
      <c r="C582" s="217"/>
      <c r="D582" s="101"/>
      <c r="E582" s="101"/>
      <c r="F582" s="294"/>
      <c r="G582" s="295"/>
      <c r="H582" s="225"/>
      <c r="I582" s="225"/>
      <c r="J582" s="225"/>
      <c r="K582" s="225"/>
      <c r="L582" s="225"/>
      <c r="M582" s="225"/>
      <c r="N582" s="225"/>
      <c r="O582" s="225"/>
      <c r="P582" s="225"/>
      <c r="Q582" s="225"/>
      <c r="R582" s="225"/>
      <c r="S582" s="225"/>
      <c r="T582" s="225"/>
      <c r="U582" s="225"/>
      <c r="V582" s="225"/>
      <c r="W582" s="102"/>
      <c r="X582" s="102"/>
      <c r="Y582" s="102"/>
      <c r="Z582" s="192"/>
      <c r="AA582" s="615"/>
      <c r="AB582" s="307"/>
      <c r="AC582" s="93"/>
      <c r="AD582" s="93"/>
      <c r="AE582" s="93"/>
      <c r="AF582" s="93"/>
      <c r="AG582" s="93"/>
      <c r="AH582" s="307"/>
      <c r="AI582" s="307"/>
      <c r="AJ582" s="93"/>
      <c r="AK582" s="93"/>
      <c r="AL582" s="93"/>
      <c r="AM582" s="93"/>
      <c r="AN582" s="93"/>
      <c r="AO582" s="192"/>
      <c r="AP582" s="192"/>
      <c r="AQ582" s="192"/>
    </row>
    <row r="583" spans="1:43" s="115" customFormat="1" ht="15" customHeight="1">
      <c r="A583" s="555" t="s">
        <v>2469</v>
      </c>
      <c r="B583" s="217" t="str">
        <f t="shared" ref="B583:B591" si="844">LEFT(A583,3)</f>
        <v>100</v>
      </c>
      <c r="C583" s="217" t="str">
        <f t="shared" ref="C583:C591" si="845">MID(A583,5,2)</f>
        <v>14</v>
      </c>
      <c r="D583" s="101" t="str">
        <f t="shared" ref="D583:D591" si="846">MID(A583,8,3)</f>
        <v>141</v>
      </c>
      <c r="E583" s="217" t="str">
        <f t="shared" ref="E583:E591" si="847">LEFT(A583,10)</f>
        <v>100-14-141</v>
      </c>
      <c r="F583" s="294" t="str">
        <f t="shared" ref="F583:F591" si="848">RIGHT(A583,5)</f>
        <v>50101</v>
      </c>
      <c r="G583" s="295" t="str">
        <f>VLOOKUP(F583,'GL Category'!A:C,3,FALSE)</f>
        <v>Personnel services</v>
      </c>
      <c r="H583" s="98" t="str">
        <f>VLOOKUP(F583,'GL Category'!A:C,2,FALSE)</f>
        <v>EXEMPT SALARIES</v>
      </c>
      <c r="I583" s="99">
        <f>SUMIF(Import!$B:$B,$A583,Import!D:D)</f>
        <v>205894.68</v>
      </c>
      <c r="J583" s="99">
        <f>SUMIF(Import!$B:$B,$A583,Import!E:E)</f>
        <v>114152.15</v>
      </c>
      <c r="K583" s="99">
        <f>SUMIF(Import!$B:$B,$A583,Import!F:F)</f>
        <v>171470.94</v>
      </c>
      <c r="L583" s="99">
        <f>SUMIF(Import!$B:$B,$A583,Import!G:G)</f>
        <v>177061.91</v>
      </c>
      <c r="M583" s="99">
        <f>SUMIF(Import!$B:$B,$A583,Import!H:H)</f>
        <v>184445</v>
      </c>
      <c r="N583" s="99">
        <f>SUMIF(Import!$B:$B,$A583,Import!I:I)</f>
        <v>132955.84</v>
      </c>
      <c r="O583" s="99">
        <f>SUMIF(Import!$B:$B,$A583,Import!J:J)</f>
        <v>178207</v>
      </c>
      <c r="P583" s="99">
        <f t="shared" ref="P583:P591" si="849">O583-M583</f>
        <v>-6238</v>
      </c>
      <c r="Q583" s="99">
        <f>SUMIF(Import!$B:$B,$A583,Import!K:K)</f>
        <v>191902</v>
      </c>
      <c r="R583" s="99">
        <f>SUMIF(Import!$B:$B,$A583,Import!L:L)</f>
        <v>0</v>
      </c>
      <c r="S583" s="99">
        <f>SUMIF(Import!$B:$B,$A583,Import!M:M)</f>
        <v>0</v>
      </c>
      <c r="T583" s="99">
        <f>SUMIF(Import!$B:$B,$A583,Import!N:N)</f>
        <v>191902</v>
      </c>
      <c r="U583" s="99">
        <f t="shared" ref="U583:U591" si="850">T583-M583</f>
        <v>7457</v>
      </c>
      <c r="V583" s="255">
        <f t="shared" ref="V583:V591" si="851">IF(M583=0,"N/A",T583/M583-1)</f>
        <v>4.0429396296999043E-2</v>
      </c>
      <c r="W583" s="102" t="s">
        <v>2469</v>
      </c>
      <c r="X583" s="102"/>
      <c r="Y583" s="102"/>
      <c r="Z583" s="192"/>
      <c r="AA583" s="615"/>
      <c r="AB583" s="307"/>
      <c r="AC583" s="300"/>
      <c r="AD583" s="300"/>
      <c r="AE583" s="300"/>
      <c r="AF583" s="300"/>
      <c r="AG583" s="300"/>
      <c r="AH583" s="307"/>
      <c r="AI583" s="307"/>
      <c r="AJ583" s="300"/>
      <c r="AK583" s="300"/>
      <c r="AL583" s="300"/>
      <c r="AM583" s="300"/>
      <c r="AN583" s="300"/>
      <c r="AO583" s="192"/>
      <c r="AP583" s="192"/>
      <c r="AQ583" s="192"/>
    </row>
    <row r="584" spans="1:43" s="115" customFormat="1" ht="15" customHeight="1">
      <c r="A584" s="555" t="s">
        <v>2470</v>
      </c>
      <c r="B584" s="217" t="str">
        <f t="shared" si="844"/>
        <v>100</v>
      </c>
      <c r="C584" s="217" t="str">
        <f t="shared" si="845"/>
        <v>14</v>
      </c>
      <c r="D584" s="101" t="str">
        <f t="shared" si="846"/>
        <v>141</v>
      </c>
      <c r="E584" s="217" t="str">
        <f t="shared" si="847"/>
        <v>100-14-141</v>
      </c>
      <c r="F584" s="294" t="str">
        <f t="shared" si="848"/>
        <v>50111</v>
      </c>
      <c r="G584" s="295" t="str">
        <f>VLOOKUP(F584,'GL Category'!A:C,3,FALSE)</f>
        <v>Personnel services</v>
      </c>
      <c r="H584" s="98" t="str">
        <f>VLOOKUP(F584,'GL Category'!A:C,2,FALSE)</f>
        <v>LONGEVITY PAY</v>
      </c>
      <c r="I584" s="99">
        <f>SUMIF(Import!$B:$B,$A584,Import!D:D)</f>
        <v>430</v>
      </c>
      <c r="J584" s="99">
        <f>SUMIF(Import!$B:$B,$A584,Import!E:E)</f>
        <v>220</v>
      </c>
      <c r="K584" s="99">
        <f>SUMIF(Import!$B:$B,$A584,Import!F:F)</f>
        <v>280</v>
      </c>
      <c r="L584" s="99">
        <f>SUMIF(Import!$B:$B,$A584,Import!G:G)</f>
        <v>435</v>
      </c>
      <c r="M584" s="99">
        <f>SUMIF(Import!$B:$B,$A584,Import!H:H)</f>
        <v>564</v>
      </c>
      <c r="N584" s="99">
        <f>SUMIF(Import!$B:$B,$A584,Import!I:I)</f>
        <v>555</v>
      </c>
      <c r="O584" s="99">
        <f>SUMIF(Import!$B:$B,$A584,Import!J:J)</f>
        <v>555</v>
      </c>
      <c r="P584" s="99">
        <f t="shared" si="849"/>
        <v>-9</v>
      </c>
      <c r="Q584" s="99">
        <f>SUMIF(Import!$B:$B,$A584,Import!K:K)</f>
        <v>686</v>
      </c>
      <c r="R584" s="99">
        <f>SUMIF(Import!$B:$B,$A584,Import!L:L)</f>
        <v>0</v>
      </c>
      <c r="S584" s="99">
        <f>SUMIF(Import!$B:$B,$A584,Import!M:M)</f>
        <v>0</v>
      </c>
      <c r="T584" s="99">
        <f>SUMIF(Import!$B:$B,$A584,Import!N:N)</f>
        <v>686</v>
      </c>
      <c r="U584" s="99">
        <f t="shared" si="850"/>
        <v>122</v>
      </c>
      <c r="V584" s="255">
        <f t="shared" si="851"/>
        <v>0.21631205673758869</v>
      </c>
      <c r="W584" s="102" t="s">
        <v>2470</v>
      </c>
      <c r="X584" s="102"/>
      <c r="Y584" s="102"/>
      <c r="Z584" s="192"/>
      <c r="AA584" s="615"/>
      <c r="AB584" s="307"/>
      <c r="AC584" s="300"/>
      <c r="AD584" s="300"/>
      <c r="AE584" s="300"/>
      <c r="AF584" s="300"/>
      <c r="AG584" s="300"/>
      <c r="AH584" s="307"/>
      <c r="AI584" s="307"/>
      <c r="AJ584" s="300"/>
      <c r="AK584" s="300"/>
      <c r="AL584" s="300"/>
      <c r="AM584" s="300"/>
      <c r="AN584" s="300"/>
      <c r="AO584" s="192"/>
      <c r="AP584" s="192"/>
      <c r="AQ584" s="192"/>
    </row>
    <row r="585" spans="1:43" s="115" customFormat="1" ht="15" customHeight="1">
      <c r="A585" s="555" t="s">
        <v>3365</v>
      </c>
      <c r="B585" s="217" t="str">
        <f t="shared" ref="B585" si="852">LEFT(A585,3)</f>
        <v>100</v>
      </c>
      <c r="C585" s="217" t="str">
        <f t="shared" ref="C585" si="853">MID(A585,5,2)</f>
        <v>14</v>
      </c>
      <c r="D585" s="101" t="str">
        <f t="shared" ref="D585" si="854">MID(A585,8,3)</f>
        <v>141</v>
      </c>
      <c r="E585" s="217" t="str">
        <f t="shared" ref="E585" si="855">LEFT(A585,10)</f>
        <v>100-14-141</v>
      </c>
      <c r="F585" s="294" t="str">
        <f t="shared" ref="F585" si="856">RIGHT(A585,5)</f>
        <v>50110</v>
      </c>
      <c r="G585" s="295" t="str">
        <f>VLOOKUP(F585,'GL Category'!A:C,3,FALSE)</f>
        <v>Personnel services</v>
      </c>
      <c r="H585" s="98" t="str">
        <f>VLOOKUP(F585,'GL Category'!A:C,2,FALSE)</f>
        <v>PART-TIME WAGES</v>
      </c>
      <c r="I585" s="99">
        <f>SUMIF(Import!$B:$B,$A585,Import!D:D)</f>
        <v>8371.7800000000007</v>
      </c>
      <c r="J585" s="99">
        <f>SUMIF(Import!$B:$B,$A585,Import!E:E)</f>
        <v>8182.75</v>
      </c>
      <c r="K585" s="99">
        <f>SUMIF(Import!$B:$B,$A585,Import!F:F)</f>
        <v>5583.76</v>
      </c>
      <c r="L585" s="99">
        <f>SUMIF(Import!$B:$B,$A585,Import!G:G)</f>
        <v>8553.75</v>
      </c>
      <c r="M585" s="99">
        <f>SUMIF(Import!$B:$B,$A585,Import!H:H)</f>
        <v>15580</v>
      </c>
      <c r="N585" s="99">
        <f>SUMIF(Import!$B:$B,$A585,Import!I:I)</f>
        <v>6506.04</v>
      </c>
      <c r="O585" s="99">
        <f>SUMIF(Import!$B:$B,$A585,Import!J:J)</f>
        <v>9355</v>
      </c>
      <c r="P585" s="99">
        <f t="shared" ref="P585" si="857">O585-M585</f>
        <v>-6225</v>
      </c>
      <c r="Q585" s="99">
        <f>SUMIF(Import!$B:$B,$A585,Import!K:K)</f>
        <v>12127</v>
      </c>
      <c r="R585" s="99">
        <f>SUMIF(Import!$B:$B,$A585,Import!L:L)</f>
        <v>0</v>
      </c>
      <c r="S585" s="99">
        <f>SUMIF(Import!$B:$B,$A585,Import!M:M)</f>
        <v>0</v>
      </c>
      <c r="T585" s="99">
        <f>SUMIF(Import!$B:$B,$A585,Import!N:N)</f>
        <v>12127</v>
      </c>
      <c r="U585" s="99">
        <f t="shared" ref="U585" si="858">T585-M585</f>
        <v>-3453</v>
      </c>
      <c r="V585" s="255">
        <f t="shared" ref="V585" si="859">IF(M585=0,"N/A",T585/M585-1)</f>
        <v>-0.22163029525032096</v>
      </c>
      <c r="W585" s="102" t="s">
        <v>2471</v>
      </c>
      <c r="X585" s="102"/>
      <c r="Y585" s="102"/>
      <c r="Z585" s="192"/>
      <c r="AA585" s="615"/>
      <c r="AB585" s="307"/>
      <c r="AC585" s="300"/>
      <c r="AD585" s="300"/>
      <c r="AE585" s="300"/>
      <c r="AF585" s="300"/>
      <c r="AG585" s="300"/>
      <c r="AH585" s="307"/>
      <c r="AI585" s="307"/>
      <c r="AJ585" s="300"/>
      <c r="AK585" s="300"/>
      <c r="AL585" s="300"/>
      <c r="AM585" s="300"/>
      <c r="AN585" s="300"/>
      <c r="AO585" s="192"/>
      <c r="AP585" s="192"/>
      <c r="AQ585" s="192"/>
    </row>
    <row r="586" spans="1:43" s="115" customFormat="1" ht="15" customHeight="1">
      <c r="A586" s="555" t="s">
        <v>2471</v>
      </c>
      <c r="B586" s="217" t="str">
        <f t="shared" si="844"/>
        <v>100</v>
      </c>
      <c r="C586" s="217" t="str">
        <f t="shared" si="845"/>
        <v>14</v>
      </c>
      <c r="D586" s="101" t="str">
        <f t="shared" si="846"/>
        <v>141</v>
      </c>
      <c r="E586" s="217" t="str">
        <f t="shared" si="847"/>
        <v>100-14-141</v>
      </c>
      <c r="F586" s="294" t="str">
        <f t="shared" si="848"/>
        <v>50112</v>
      </c>
      <c r="G586" s="295" t="str">
        <f>VLOOKUP(F586,'GL Category'!A:C,3,FALSE)</f>
        <v>Personnel services</v>
      </c>
      <c r="H586" s="98" t="str">
        <f>VLOOKUP(F586,'GL Category'!A:C,2,FALSE)</f>
        <v>TEMPORARY/SEASONAL WAGES</v>
      </c>
      <c r="I586" s="99">
        <f>SUMIF(Import!$B:$B,$A586,Import!D:D)</f>
        <v>0</v>
      </c>
      <c r="J586" s="99">
        <f>SUMIF(Import!$B:$B,$A586,Import!E:E)</f>
        <v>0</v>
      </c>
      <c r="K586" s="99">
        <f>SUMIF(Import!$B:$B,$A586,Import!F:F)</f>
        <v>0</v>
      </c>
      <c r="L586" s="99">
        <f>SUMIF(Import!$B:$B,$A586,Import!G:G)</f>
        <v>0</v>
      </c>
      <c r="M586" s="99">
        <f>SUMIF(Import!$B:$B,$A586,Import!H:H)</f>
        <v>0</v>
      </c>
      <c r="N586" s="99">
        <f>SUMIF(Import!$B:$B,$A586,Import!I:I)</f>
        <v>0</v>
      </c>
      <c r="O586" s="99">
        <f>SUMIF(Import!$B:$B,$A586,Import!J:J)</f>
        <v>0</v>
      </c>
      <c r="P586" s="99">
        <f t="shared" si="849"/>
        <v>0</v>
      </c>
      <c r="Q586" s="99">
        <f>SUMIF(Import!$B:$B,$A586,Import!K:K)</f>
        <v>0</v>
      </c>
      <c r="R586" s="99">
        <f>SUMIF(Import!$B:$B,$A586,Import!L:L)</f>
        <v>0</v>
      </c>
      <c r="S586" s="99">
        <f>SUMIF(Import!$B:$B,$A586,Import!M:M)</f>
        <v>0</v>
      </c>
      <c r="T586" s="99">
        <f>SUMIF(Import!$B:$B,$A586,Import!N:N)</f>
        <v>0</v>
      </c>
      <c r="U586" s="99">
        <f t="shared" si="850"/>
        <v>0</v>
      </c>
      <c r="V586" s="255" t="str">
        <f t="shared" si="851"/>
        <v>N/A</v>
      </c>
      <c r="W586" s="102" t="s">
        <v>2471</v>
      </c>
      <c r="X586" s="102"/>
      <c r="Y586" s="102"/>
      <c r="Z586" s="192"/>
      <c r="AA586" s="615"/>
      <c r="AB586" s="307"/>
      <c r="AC586" s="300"/>
      <c r="AD586" s="300"/>
      <c r="AE586" s="300"/>
      <c r="AF586" s="300"/>
      <c r="AG586" s="300"/>
      <c r="AH586" s="307"/>
      <c r="AI586" s="307"/>
      <c r="AJ586" s="300"/>
      <c r="AK586" s="300"/>
      <c r="AL586" s="300"/>
      <c r="AM586" s="300"/>
      <c r="AN586" s="300"/>
      <c r="AO586" s="192"/>
      <c r="AP586" s="192"/>
      <c r="AQ586" s="192"/>
    </row>
    <row r="587" spans="1:43" s="115" customFormat="1" ht="15" customHeight="1">
      <c r="A587" s="555" t="s">
        <v>2472</v>
      </c>
      <c r="B587" s="217" t="str">
        <f t="shared" si="844"/>
        <v>100</v>
      </c>
      <c r="C587" s="217" t="str">
        <f t="shared" si="845"/>
        <v>14</v>
      </c>
      <c r="D587" s="101" t="str">
        <f t="shared" si="846"/>
        <v>141</v>
      </c>
      <c r="E587" s="217" t="str">
        <f t="shared" si="847"/>
        <v>100-14-141</v>
      </c>
      <c r="F587" s="294" t="str">
        <f t="shared" si="848"/>
        <v>50120</v>
      </c>
      <c r="G587" s="295" t="str">
        <f>VLOOKUP(F587,'GL Category'!A:C,3,FALSE)</f>
        <v>Personnel services</v>
      </c>
      <c r="H587" s="98" t="str">
        <f>VLOOKUP(F587,'GL Category'!A:C,2,FALSE)</f>
        <v>AUTO ALLOWANCE</v>
      </c>
      <c r="I587" s="99">
        <f>SUMIF(Import!$B:$B,$A587,Import!D:D)</f>
        <v>4742.8599999999997</v>
      </c>
      <c r="J587" s="99">
        <f>SUMIF(Import!$B:$B,$A587,Import!E:E)</f>
        <v>4857.1400000000003</v>
      </c>
      <c r="K587" s="99">
        <f>SUMIF(Import!$B:$B,$A587,Import!F:F)</f>
        <v>4800</v>
      </c>
      <c r="L587" s="99">
        <f>SUMIF(Import!$B:$B,$A587,Import!G:G)</f>
        <v>5016</v>
      </c>
      <c r="M587" s="99">
        <f>SUMIF(Import!$B:$B,$A587,Import!H:H)</f>
        <v>4800</v>
      </c>
      <c r="N587" s="99">
        <f>SUMIF(Import!$B:$B,$A587,Import!I:I)</f>
        <v>3584</v>
      </c>
      <c r="O587" s="99">
        <f>SUMIF(Import!$B:$B,$A587,Import!J:J)</f>
        <v>4804</v>
      </c>
      <c r="P587" s="99">
        <f t="shared" si="849"/>
        <v>4</v>
      </c>
      <c r="Q587" s="99">
        <f>SUMIF(Import!$B:$B,$A587,Import!K:K)</f>
        <v>4800</v>
      </c>
      <c r="R587" s="99">
        <f>SUMIF(Import!$B:$B,$A587,Import!L:L)</f>
        <v>0</v>
      </c>
      <c r="S587" s="99">
        <f>SUMIF(Import!$B:$B,$A587,Import!M:M)</f>
        <v>0</v>
      </c>
      <c r="T587" s="99">
        <f>SUMIF(Import!$B:$B,$A587,Import!N:N)</f>
        <v>4800</v>
      </c>
      <c r="U587" s="99">
        <f t="shared" si="850"/>
        <v>0</v>
      </c>
      <c r="V587" s="255">
        <f t="shared" si="851"/>
        <v>0</v>
      </c>
      <c r="W587" s="102" t="s">
        <v>2472</v>
      </c>
      <c r="X587" s="102"/>
      <c r="Y587" s="102"/>
      <c r="Z587" s="192"/>
      <c r="AA587" s="615"/>
      <c r="AB587" s="307"/>
      <c r="AC587" s="300"/>
      <c r="AD587" s="300"/>
      <c r="AE587" s="300"/>
      <c r="AF587" s="300"/>
      <c r="AG587" s="300"/>
      <c r="AH587" s="307"/>
      <c r="AI587" s="307"/>
      <c r="AJ587" s="300"/>
      <c r="AK587" s="300"/>
      <c r="AL587" s="300"/>
      <c r="AM587" s="300"/>
      <c r="AN587" s="300"/>
      <c r="AO587" s="192"/>
      <c r="AP587" s="192"/>
      <c r="AQ587" s="192"/>
    </row>
    <row r="588" spans="1:43" s="115" customFormat="1" ht="15" customHeight="1">
      <c r="A588" s="555" t="s">
        <v>2473</v>
      </c>
      <c r="B588" s="217" t="str">
        <f t="shared" si="844"/>
        <v>100</v>
      </c>
      <c r="C588" s="217" t="str">
        <f t="shared" si="845"/>
        <v>14</v>
      </c>
      <c r="D588" s="101" t="str">
        <f t="shared" si="846"/>
        <v>141</v>
      </c>
      <c r="E588" s="217" t="str">
        <f t="shared" si="847"/>
        <v>100-14-141</v>
      </c>
      <c r="F588" s="294" t="str">
        <f t="shared" si="848"/>
        <v>50610</v>
      </c>
      <c r="G588" s="295" t="str">
        <f>VLOOKUP(F588,'GL Category'!A:C,3,FALSE)</f>
        <v>Personnel services</v>
      </c>
      <c r="H588" s="98" t="str">
        <f>VLOOKUP(F588,'GL Category'!A:C,2,FALSE)</f>
        <v>SOCIAL SECURITY</v>
      </c>
      <c r="I588" s="99">
        <f>SUMIF(Import!$B:$B,$A588,Import!D:D)</f>
        <v>15859.1</v>
      </c>
      <c r="J588" s="99">
        <f>SUMIF(Import!$B:$B,$A588,Import!E:E)</f>
        <v>8816.57</v>
      </c>
      <c r="K588" s="99">
        <f>SUMIF(Import!$B:$B,$A588,Import!F:F)</f>
        <v>12364.5</v>
      </c>
      <c r="L588" s="99">
        <f>SUMIF(Import!$B:$B,$A588,Import!G:G)</f>
        <v>11981.36</v>
      </c>
      <c r="M588" s="99">
        <f>SUMIF(Import!$B:$B,$A588,Import!H:H)</f>
        <v>15900</v>
      </c>
      <c r="N588" s="99">
        <f>SUMIF(Import!$B:$B,$A588,Import!I:I)</f>
        <v>9625.1200000000008</v>
      </c>
      <c r="O588" s="99">
        <f>SUMIF(Import!$B:$B,$A588,Import!J:J)</f>
        <v>13434</v>
      </c>
      <c r="P588" s="99">
        <f t="shared" si="849"/>
        <v>-2466</v>
      </c>
      <c r="Q588" s="99">
        <f>SUMIF(Import!$B:$B,$A588,Import!K:K)</f>
        <v>16090</v>
      </c>
      <c r="R588" s="99">
        <f>SUMIF(Import!$B:$B,$A588,Import!L:L)</f>
        <v>0</v>
      </c>
      <c r="S588" s="99">
        <f>SUMIF(Import!$B:$B,$A588,Import!M:M)</f>
        <v>0</v>
      </c>
      <c r="T588" s="99">
        <f>SUMIF(Import!$B:$B,$A588,Import!N:N)</f>
        <v>16090</v>
      </c>
      <c r="U588" s="99">
        <f t="shared" si="850"/>
        <v>190</v>
      </c>
      <c r="V588" s="255">
        <f t="shared" si="851"/>
        <v>1.1949685534591303E-2</v>
      </c>
      <c r="W588" s="102" t="s">
        <v>2473</v>
      </c>
      <c r="X588" s="102"/>
      <c r="Y588" s="102"/>
      <c r="Z588" s="192"/>
      <c r="AA588" s="615"/>
      <c r="AB588" s="307"/>
      <c r="AC588" s="94"/>
      <c r="AD588" s="94"/>
      <c r="AE588" s="94"/>
      <c r="AF588" s="94"/>
      <c r="AG588" s="94"/>
      <c r="AH588" s="307"/>
      <c r="AI588" s="307"/>
      <c r="AJ588" s="94"/>
      <c r="AK588" s="94"/>
      <c r="AL588" s="94"/>
      <c r="AM588" s="94"/>
      <c r="AN588" s="94"/>
      <c r="AO588" s="192"/>
      <c r="AP588" s="192"/>
      <c r="AQ588" s="192"/>
    </row>
    <row r="589" spans="1:43" s="115" customFormat="1" ht="15" customHeight="1">
      <c r="A589" s="555" t="s">
        <v>2474</v>
      </c>
      <c r="B589" s="217" t="str">
        <f t="shared" si="844"/>
        <v>100</v>
      </c>
      <c r="C589" s="217" t="str">
        <f t="shared" si="845"/>
        <v>14</v>
      </c>
      <c r="D589" s="101" t="str">
        <f t="shared" si="846"/>
        <v>141</v>
      </c>
      <c r="E589" s="217" t="str">
        <f t="shared" si="847"/>
        <v>100-14-141</v>
      </c>
      <c r="F589" s="294" t="str">
        <f t="shared" si="848"/>
        <v>50620</v>
      </c>
      <c r="G589" s="295" t="str">
        <f>VLOOKUP(F589,'GL Category'!A:C,3,FALSE)</f>
        <v>Personnel services</v>
      </c>
      <c r="H589" s="98" t="str">
        <f>VLOOKUP(F589,'GL Category'!A:C,2,FALSE)</f>
        <v>HEALTH/LIFE INSURANCE</v>
      </c>
      <c r="I589" s="99">
        <f>SUMIF(Import!$B:$B,$A589,Import!D:D)</f>
        <v>29738.32</v>
      </c>
      <c r="J589" s="99">
        <f>SUMIF(Import!$B:$B,$A589,Import!E:E)</f>
        <v>25894.62</v>
      </c>
      <c r="K589" s="99">
        <f>SUMIF(Import!$B:$B,$A589,Import!F:F)</f>
        <v>43211.96</v>
      </c>
      <c r="L589" s="99">
        <f>SUMIF(Import!$B:$B,$A589,Import!G:G)</f>
        <v>43751.5</v>
      </c>
      <c r="M589" s="99">
        <f>SUMIF(Import!$B:$B,$A589,Import!H:H)</f>
        <v>42798</v>
      </c>
      <c r="N589" s="99">
        <f>SUMIF(Import!$B:$B,$A589,Import!I:I)</f>
        <v>28477.49</v>
      </c>
      <c r="O589" s="99">
        <f>SUMIF(Import!$B:$B,$A589,Import!J:J)</f>
        <v>40451</v>
      </c>
      <c r="P589" s="99">
        <f t="shared" si="849"/>
        <v>-2347</v>
      </c>
      <c r="Q589" s="99">
        <f>SUMIF(Import!$B:$B,$A589,Import!K:K)</f>
        <v>40726</v>
      </c>
      <c r="R589" s="99">
        <f>SUMIF(Import!$B:$B,$A589,Import!L:L)</f>
        <v>0</v>
      </c>
      <c r="S589" s="99">
        <f>SUMIF(Import!$B:$B,$A589,Import!M:M)</f>
        <v>0</v>
      </c>
      <c r="T589" s="99">
        <f>SUMIF(Import!$B:$B,$A589,Import!N:N)</f>
        <v>40726</v>
      </c>
      <c r="U589" s="99">
        <f t="shared" si="850"/>
        <v>-2072</v>
      </c>
      <c r="V589" s="255">
        <f t="shared" si="851"/>
        <v>-4.841347726529277E-2</v>
      </c>
      <c r="W589" s="102" t="s">
        <v>2474</v>
      </c>
      <c r="X589" s="102"/>
      <c r="Y589" s="102"/>
      <c r="Z589" s="192"/>
      <c r="AA589" s="615"/>
      <c r="AB589" s="307"/>
      <c r="AC589" s="93"/>
      <c r="AD589" s="93"/>
      <c r="AE589" s="93"/>
      <c r="AF589" s="93"/>
      <c r="AG589" s="93"/>
      <c r="AH589" s="307"/>
      <c r="AI589" s="307"/>
      <c r="AJ589" s="93"/>
      <c r="AK589" s="93"/>
      <c r="AL589" s="93"/>
      <c r="AM589" s="93"/>
      <c r="AN589" s="93"/>
      <c r="AO589" s="192"/>
      <c r="AP589" s="192"/>
      <c r="AQ589" s="192"/>
    </row>
    <row r="590" spans="1:43" s="115" customFormat="1" ht="15" customHeight="1">
      <c r="A590" s="555" t="s">
        <v>2475</v>
      </c>
      <c r="B590" s="217" t="str">
        <f t="shared" si="844"/>
        <v>100</v>
      </c>
      <c r="C590" s="217" t="str">
        <f t="shared" si="845"/>
        <v>14</v>
      </c>
      <c r="D590" s="101" t="str">
        <f t="shared" si="846"/>
        <v>141</v>
      </c>
      <c r="E590" s="217" t="str">
        <f t="shared" si="847"/>
        <v>100-14-141</v>
      </c>
      <c r="F590" s="294" t="str">
        <f t="shared" si="848"/>
        <v>50630</v>
      </c>
      <c r="G590" s="295" t="str">
        <f>VLOOKUP(F590,'GL Category'!A:C,3,FALSE)</f>
        <v>Personnel services</v>
      </c>
      <c r="H590" s="98" t="str">
        <f>VLOOKUP(F590,'GL Category'!A:C,2,FALSE)</f>
        <v>WORKER COMPENSATION</v>
      </c>
      <c r="I590" s="99">
        <f>SUMIF(Import!$B:$B,$A590,Import!D:D)</f>
        <v>134.68</v>
      </c>
      <c r="J590" s="99">
        <f>SUMIF(Import!$B:$B,$A590,Import!E:E)</f>
        <v>125.61</v>
      </c>
      <c r="K590" s="99">
        <f>SUMIF(Import!$B:$B,$A590,Import!F:F)</f>
        <v>122.23</v>
      </c>
      <c r="L590" s="99">
        <f>SUMIF(Import!$B:$B,$A590,Import!G:G)</f>
        <v>222.32</v>
      </c>
      <c r="M590" s="99">
        <f>SUMIF(Import!$B:$B,$A590,Import!H:H)</f>
        <v>297</v>
      </c>
      <c r="N590" s="99">
        <f>SUMIF(Import!$B:$B,$A590,Import!I:I)</f>
        <v>296.76</v>
      </c>
      <c r="O590" s="99">
        <f>SUMIF(Import!$B:$B,$A590,Import!J:J)</f>
        <v>297</v>
      </c>
      <c r="P590" s="99">
        <f t="shared" si="849"/>
        <v>0</v>
      </c>
      <c r="Q590" s="99">
        <f>SUMIF(Import!$B:$B,$A590,Import!K:K)</f>
        <v>290</v>
      </c>
      <c r="R590" s="99">
        <f>SUMIF(Import!$B:$B,$A590,Import!L:L)</f>
        <v>0</v>
      </c>
      <c r="S590" s="99">
        <f>SUMIF(Import!$B:$B,$A590,Import!M:M)</f>
        <v>0</v>
      </c>
      <c r="T590" s="99">
        <f>SUMIF(Import!$B:$B,$A590,Import!N:N)</f>
        <v>290</v>
      </c>
      <c r="U590" s="99">
        <f t="shared" si="850"/>
        <v>-7</v>
      </c>
      <c r="V590" s="255">
        <f t="shared" si="851"/>
        <v>-2.3569023569023573E-2</v>
      </c>
      <c r="W590" s="102" t="s">
        <v>2475</v>
      </c>
      <c r="X590" s="102"/>
      <c r="Y590" s="102"/>
      <c r="Z590" s="192"/>
      <c r="AA590" s="615"/>
      <c r="AB590" s="307"/>
      <c r="AC590" s="300"/>
      <c r="AD590" s="300"/>
      <c r="AE590" s="300"/>
      <c r="AF590" s="300"/>
      <c r="AG590" s="300"/>
      <c r="AH590" s="307"/>
      <c r="AI590" s="307"/>
      <c r="AJ590" s="300"/>
      <c r="AK590" s="300"/>
      <c r="AL590" s="300"/>
      <c r="AM590" s="300"/>
      <c r="AN590" s="300"/>
      <c r="AO590" s="192"/>
      <c r="AP590" s="192"/>
      <c r="AQ590" s="192"/>
    </row>
    <row r="591" spans="1:43" s="115" customFormat="1" ht="15" customHeight="1">
      <c r="A591" s="555" t="s">
        <v>2476</v>
      </c>
      <c r="B591" s="217" t="str">
        <f t="shared" si="844"/>
        <v>100</v>
      </c>
      <c r="C591" s="217" t="str">
        <f t="shared" si="845"/>
        <v>14</v>
      </c>
      <c r="D591" s="101" t="str">
        <f t="shared" si="846"/>
        <v>141</v>
      </c>
      <c r="E591" s="217" t="str">
        <f t="shared" si="847"/>
        <v>100-14-141</v>
      </c>
      <c r="F591" s="294" t="str">
        <f t="shared" si="848"/>
        <v>50650</v>
      </c>
      <c r="G591" s="295" t="str">
        <f>VLOOKUP(F591,'GL Category'!A:C,3,FALSE)</f>
        <v>Personnel services</v>
      </c>
      <c r="H591" s="98" t="str">
        <f>VLOOKUP(F591,'GL Category'!A:C,2,FALSE)</f>
        <v>RETIREMENT</v>
      </c>
      <c r="I591" s="99">
        <f>SUMIF(Import!$B:$B,$A591,Import!D:D)</f>
        <v>33536.81</v>
      </c>
      <c r="J591" s="99">
        <f>SUMIF(Import!$B:$B,$A591,Import!E:E)</f>
        <v>19283.98</v>
      </c>
      <c r="K591" s="99">
        <f>SUMIF(Import!$B:$B,$A591,Import!F:F)</f>
        <v>28597.9</v>
      </c>
      <c r="L591" s="99">
        <f>SUMIF(Import!$B:$B,$A591,Import!G:G)</f>
        <v>29683.34</v>
      </c>
      <c r="M591" s="99">
        <f>SUMIF(Import!$B:$B,$A591,Import!H:H)</f>
        <v>31767</v>
      </c>
      <c r="N591" s="99">
        <f>SUMIF(Import!$B:$B,$A591,Import!I:I)</f>
        <v>22899.759999999998</v>
      </c>
      <c r="O591" s="99">
        <f>SUMIF(Import!$B:$B,$A591,Import!J:J)</f>
        <v>30578</v>
      </c>
      <c r="P591" s="99">
        <f t="shared" si="849"/>
        <v>-1189</v>
      </c>
      <c r="Q591" s="99">
        <f>SUMIF(Import!$B:$B,$A591,Import!K:K)</f>
        <v>33643</v>
      </c>
      <c r="R591" s="99">
        <f>SUMIF(Import!$B:$B,$A591,Import!L:L)</f>
        <v>0</v>
      </c>
      <c r="S591" s="99">
        <f>SUMIF(Import!$B:$B,$A591,Import!M:M)</f>
        <v>0</v>
      </c>
      <c r="T591" s="99">
        <f>SUMIF(Import!$B:$B,$A591,Import!N:N)</f>
        <v>33643</v>
      </c>
      <c r="U591" s="99">
        <f t="shared" si="850"/>
        <v>1876</v>
      </c>
      <c r="V591" s="255">
        <f t="shared" si="851"/>
        <v>5.905499417634652E-2</v>
      </c>
      <c r="W591" s="102" t="s">
        <v>2476</v>
      </c>
      <c r="X591" s="102"/>
      <c r="Y591" s="102"/>
      <c r="Z591" s="192"/>
      <c r="AA591" s="615"/>
      <c r="AB591" s="307"/>
      <c r="AC591" s="300"/>
      <c r="AD591" s="300"/>
      <c r="AE591" s="300"/>
      <c r="AF591" s="300"/>
      <c r="AG591" s="300"/>
      <c r="AH591" s="307"/>
      <c r="AI591" s="307"/>
      <c r="AJ591" s="300"/>
      <c r="AK591" s="300"/>
      <c r="AL591" s="300"/>
      <c r="AM591" s="300"/>
      <c r="AN591" s="300"/>
      <c r="AO591" s="192"/>
      <c r="AP591" s="192"/>
      <c r="AQ591" s="192"/>
    </row>
    <row r="592" spans="1:43" s="115" customFormat="1" ht="15" customHeight="1">
      <c r="A592" s="297"/>
      <c r="B592" s="217"/>
      <c r="C592" s="217"/>
      <c r="D592" s="101"/>
      <c r="E592" s="101"/>
      <c r="F592" s="294"/>
      <c r="G592" s="295"/>
      <c r="H592" s="107" t="str">
        <f>UPPER(G591)&amp;" TOTAL"</f>
        <v>PERSONNEL SERVICES TOTAL</v>
      </c>
      <c r="I592" s="108">
        <f t="shared" ref="I592" si="860">SUBTOTAL(9,I583:I591)</f>
        <v>298708.23</v>
      </c>
      <c r="J592" s="108">
        <f t="shared" ref="J592:T592" si="861">SUBTOTAL(9,J583:J591)</f>
        <v>181532.81999999998</v>
      </c>
      <c r="K592" s="108">
        <f t="shared" ref="K592" si="862">SUBTOTAL(9,K583:K591)</f>
        <v>266431.29000000004</v>
      </c>
      <c r="L592" s="108">
        <f t="shared" ref="L592" si="863">SUBTOTAL(9,L583:L591)</f>
        <v>276705.18000000005</v>
      </c>
      <c r="M592" s="108">
        <f t="shared" si="861"/>
        <v>296151</v>
      </c>
      <c r="N592" s="109">
        <f t="shared" ref="N592" si="864">SUBTOTAL(9,N583:N591)</f>
        <v>204900.01</v>
      </c>
      <c r="O592" s="109">
        <f t="shared" si="861"/>
        <v>277681</v>
      </c>
      <c r="P592" s="109">
        <f t="shared" si="861"/>
        <v>-18470</v>
      </c>
      <c r="Q592" s="109">
        <f t="shared" si="861"/>
        <v>300264</v>
      </c>
      <c r="R592" s="109">
        <f t="shared" si="861"/>
        <v>0</v>
      </c>
      <c r="S592" s="109">
        <f t="shared" si="861"/>
        <v>0</v>
      </c>
      <c r="T592" s="109">
        <f t="shared" si="861"/>
        <v>300264</v>
      </c>
      <c r="U592" s="99">
        <f>T592-M592</f>
        <v>4113</v>
      </c>
      <c r="V592" s="255">
        <f>IF(M592=0,"N/A",T592/M592-1)</f>
        <v>1.3888185418924781E-2</v>
      </c>
      <c r="W592" s="102"/>
      <c r="X592" s="102"/>
      <c r="Y592" s="102"/>
      <c r="Z592" s="192"/>
      <c r="AA592" s="615"/>
      <c r="AB592" s="307"/>
      <c r="AC592" s="300"/>
      <c r="AD592" s="300"/>
      <c r="AE592" s="300"/>
      <c r="AF592" s="300"/>
      <c r="AG592" s="300"/>
      <c r="AH592" s="307"/>
      <c r="AI592" s="307"/>
      <c r="AJ592" s="300"/>
      <c r="AK592" s="300"/>
      <c r="AL592" s="300"/>
      <c r="AM592" s="300"/>
      <c r="AN592" s="300"/>
      <c r="AO592" s="192"/>
      <c r="AP592" s="192"/>
      <c r="AQ592" s="192"/>
    </row>
    <row r="593" spans="1:59" s="115" customFormat="1" ht="15" customHeight="1">
      <c r="A593" s="297"/>
      <c r="B593" s="217"/>
      <c r="C593" s="217"/>
      <c r="D593" s="101"/>
      <c r="E593" s="101"/>
      <c r="F593" s="294"/>
      <c r="G593" s="295"/>
      <c r="H593" s="98"/>
      <c r="I593" s="106"/>
      <c r="J593" s="106"/>
      <c r="K593" s="106"/>
      <c r="L593" s="106"/>
      <c r="M593" s="106"/>
      <c r="N593" s="112"/>
      <c r="O593" s="112"/>
      <c r="P593" s="112"/>
      <c r="Q593" s="113"/>
      <c r="R593" s="99"/>
      <c r="S593" s="99"/>
      <c r="T593" s="113"/>
      <c r="U593" s="113"/>
      <c r="V593" s="113"/>
      <c r="W593" s="102"/>
      <c r="X593" s="102"/>
      <c r="Y593" s="102"/>
      <c r="Z593" s="192"/>
      <c r="AA593" s="615"/>
      <c r="AB593" s="307"/>
      <c r="AC593" s="300"/>
      <c r="AD593" s="300"/>
      <c r="AE593" s="300"/>
      <c r="AF593" s="300"/>
      <c r="AG593" s="300"/>
      <c r="AH593" s="307"/>
      <c r="AI593" s="307"/>
      <c r="AJ593" s="300"/>
      <c r="AK593" s="300"/>
      <c r="AL593" s="300"/>
      <c r="AM593" s="300"/>
      <c r="AN593" s="300"/>
      <c r="AO593" s="192"/>
      <c r="AP593" s="192"/>
      <c r="AQ593" s="192"/>
    </row>
    <row r="594" spans="1:59" s="115" customFormat="1" ht="15" customHeight="1">
      <c r="A594" s="555" t="s">
        <v>2477</v>
      </c>
      <c r="B594" s="217" t="str">
        <f t="shared" ref="B594:B597" si="865">LEFT(A594,3)</f>
        <v>100</v>
      </c>
      <c r="C594" s="217" t="str">
        <f t="shared" ref="C594:C597" si="866">MID(A594,5,2)</f>
        <v>14</v>
      </c>
      <c r="D594" s="101" t="str">
        <f t="shared" ref="D594:D597" si="867">MID(A594,8,3)</f>
        <v>141</v>
      </c>
      <c r="E594" s="217" t="str">
        <f t="shared" ref="E594:E597" si="868">LEFT(A594,10)</f>
        <v>100-14-141</v>
      </c>
      <c r="F594" s="294" t="str">
        <f t="shared" ref="F594:F597" si="869">RIGHT(A594,5)</f>
        <v>51210</v>
      </c>
      <c r="G594" s="295" t="str">
        <f>VLOOKUP(F594,'GL Category'!A:C,3,FALSE)</f>
        <v>Operations &amp; maintenance</v>
      </c>
      <c r="H594" s="98" t="str">
        <f>VLOOKUP(F594,'GL Category'!A:C,2,FALSE)</f>
        <v>OFFICE SUPPLIES</v>
      </c>
      <c r="I594" s="99">
        <f>SUMIF(Import!$B:$B,$A594,Import!D:D)</f>
        <v>1098.0999999999999</v>
      </c>
      <c r="J594" s="99">
        <f>SUMIF(Import!$B:$B,$A594,Import!E:E)</f>
        <v>1044.3699999999999</v>
      </c>
      <c r="K594" s="99">
        <f>SUMIF(Import!$B:$B,$A594,Import!F:F)</f>
        <v>230.73</v>
      </c>
      <c r="L594" s="99">
        <f>SUMIF(Import!$B:$B,$A594,Import!G:G)</f>
        <v>433.06</v>
      </c>
      <c r="M594" s="99">
        <f>SUMIF(Import!$B:$B,$A594,Import!H:H)</f>
        <v>1100</v>
      </c>
      <c r="N594" s="99">
        <f>SUMIF(Import!$B:$B,$A594,Import!I:I)</f>
        <v>442.47</v>
      </c>
      <c r="O594" s="99">
        <f>SUMIF(Import!$B:$B,$A594,Import!J:J)</f>
        <v>800</v>
      </c>
      <c r="P594" s="99">
        <f t="shared" ref="P594:P597" si="870">O594-M594</f>
        <v>-300</v>
      </c>
      <c r="Q594" s="99">
        <f>SUMIF(Import!$B:$B,$A594,Import!K:K)</f>
        <v>1100</v>
      </c>
      <c r="R594" s="99">
        <f>SUMIF(Import!$B:$B,$A594,Import!L:L)</f>
        <v>0</v>
      </c>
      <c r="S594" s="99">
        <f>SUMIF(Import!$B:$B,$A594,Import!M:M)</f>
        <v>0</v>
      </c>
      <c r="T594" s="99">
        <f>SUMIF(Import!$B:$B,$A594,Import!N:N)</f>
        <v>1100</v>
      </c>
      <c r="U594" s="99">
        <f t="shared" ref="U594:U597" si="871">T594-M594</f>
        <v>0</v>
      </c>
      <c r="V594" s="255">
        <f t="shared" ref="V594:V597" si="872">IF(M594=0,"N/A",T594/M594-1)</f>
        <v>0</v>
      </c>
      <c r="W594" s="102" t="s">
        <v>2477</v>
      </c>
      <c r="X594" s="102"/>
      <c r="Y594" s="102"/>
      <c r="Z594" s="192"/>
      <c r="AA594" s="615"/>
      <c r="AB594" s="307"/>
      <c r="AC594" s="94"/>
      <c r="AD594" s="94"/>
      <c r="AE594" s="94"/>
      <c r="AF594" s="94"/>
      <c r="AG594" s="94"/>
      <c r="AH594" s="307"/>
      <c r="AI594" s="307"/>
      <c r="AJ594" s="94"/>
      <c r="AK594" s="94"/>
      <c r="AL594" s="94"/>
      <c r="AM594" s="94"/>
      <c r="AN594" s="94"/>
      <c r="AO594" s="192"/>
      <c r="AP594" s="192"/>
      <c r="AQ594" s="192"/>
    </row>
    <row r="595" spans="1:59" s="75" customFormat="1" ht="15" customHeight="1">
      <c r="A595" s="555" t="s">
        <v>2478</v>
      </c>
      <c r="B595" s="217" t="str">
        <f t="shared" si="865"/>
        <v>100</v>
      </c>
      <c r="C595" s="217" t="str">
        <f t="shared" si="866"/>
        <v>14</v>
      </c>
      <c r="D595" s="101" t="str">
        <f t="shared" si="867"/>
        <v>141</v>
      </c>
      <c r="E595" s="217" t="str">
        <f t="shared" si="868"/>
        <v>100-14-141</v>
      </c>
      <c r="F595" s="294" t="str">
        <f t="shared" si="869"/>
        <v>51265</v>
      </c>
      <c r="G595" s="295" t="str">
        <f>VLOOKUP(F595,'GL Category'!A:C,3,FALSE)</f>
        <v>Operations &amp; maintenance</v>
      </c>
      <c r="H595" s="98" t="str">
        <f>VLOOKUP(F595,'GL Category'!A:C,2,FALSE)</f>
        <v>STREET SIGN/SIGNAL SUPPLIES</v>
      </c>
      <c r="I595" s="99">
        <f>SUMIF(Import!$B:$B,$A595,Import!D:D)</f>
        <v>1820</v>
      </c>
      <c r="J595" s="99">
        <f>SUMIF(Import!$B:$B,$A595,Import!E:E)</f>
        <v>0</v>
      </c>
      <c r="K595" s="99">
        <f>SUMIF(Import!$B:$B,$A595,Import!F:F)</f>
        <v>30777</v>
      </c>
      <c r="L595" s="99">
        <f>SUMIF(Import!$B:$B,$A595,Import!G:G)</f>
        <v>0</v>
      </c>
      <c r="M595" s="99">
        <f>SUMIF(Import!$B:$B,$A595,Import!H:H)</f>
        <v>2000</v>
      </c>
      <c r="N595" s="99">
        <f>SUMIF(Import!$B:$B,$A595,Import!I:I)</f>
        <v>0</v>
      </c>
      <c r="O595" s="99">
        <f>SUMIF(Import!$B:$B,$A595,Import!J:J)</f>
        <v>2000</v>
      </c>
      <c r="P595" s="99">
        <f t="shared" si="870"/>
        <v>0</v>
      </c>
      <c r="Q595" s="99">
        <f>SUMIF(Import!$B:$B,$A595,Import!K:K)</f>
        <v>2000</v>
      </c>
      <c r="R595" s="99">
        <f>SUMIF(Import!$B:$B,$A595,Import!L:L)</f>
        <v>0</v>
      </c>
      <c r="S595" s="99">
        <f>SUMIF(Import!$B:$B,$A595,Import!M:M)</f>
        <v>0</v>
      </c>
      <c r="T595" s="99">
        <f>SUMIF(Import!$B:$B,$A595,Import!N:N)</f>
        <v>2000</v>
      </c>
      <c r="U595" s="99">
        <f t="shared" si="871"/>
        <v>0</v>
      </c>
      <c r="V595" s="255">
        <f t="shared" si="872"/>
        <v>0</v>
      </c>
      <c r="W595" s="102" t="s">
        <v>2478</v>
      </c>
      <c r="X595" s="102"/>
      <c r="Y595" s="102"/>
      <c r="Z595" s="614"/>
      <c r="AA595" s="615"/>
      <c r="AB595" s="624"/>
      <c r="AC595" s="623"/>
      <c r="AD595" s="623"/>
      <c r="AE595" s="623"/>
      <c r="AF595" s="623"/>
      <c r="AG595" s="623"/>
      <c r="AH595" s="623"/>
      <c r="AI595" s="624"/>
      <c r="AJ595" s="624"/>
      <c r="AK595" s="307"/>
      <c r="AL595" s="307"/>
      <c r="AM595" s="307"/>
      <c r="AN595" s="307"/>
      <c r="AO595" s="192"/>
      <c r="AP595" s="192"/>
      <c r="AQ595" s="192"/>
      <c r="AR595" s="115"/>
      <c r="AS595" s="115"/>
      <c r="AT595" s="115"/>
      <c r="AU595" s="115"/>
      <c r="AV595" s="115"/>
      <c r="AW595" s="115"/>
      <c r="AX595" s="115"/>
      <c r="AY595" s="115"/>
      <c r="AZ595" s="115"/>
      <c r="BA595" s="115"/>
      <c r="BB595" s="115"/>
      <c r="BC595" s="115"/>
      <c r="BD595" s="115"/>
      <c r="BE595" s="74"/>
      <c r="BF595" s="74"/>
      <c r="BG595" s="74"/>
    </row>
    <row r="596" spans="1:59" s="75" customFormat="1" ht="15" customHeight="1">
      <c r="A596" s="555" t="s">
        <v>2479</v>
      </c>
      <c r="B596" s="217" t="str">
        <f t="shared" si="865"/>
        <v>100</v>
      </c>
      <c r="C596" s="217" t="str">
        <f t="shared" si="866"/>
        <v>14</v>
      </c>
      <c r="D596" s="101" t="str">
        <f t="shared" si="867"/>
        <v>141</v>
      </c>
      <c r="E596" s="217" t="str">
        <f t="shared" si="868"/>
        <v>100-14-141</v>
      </c>
      <c r="F596" s="294" t="str">
        <f t="shared" si="869"/>
        <v>51285</v>
      </c>
      <c r="G596" s="295" t="str">
        <f>VLOOKUP(F596,'GL Category'!A:C,3,FALSE)</f>
        <v>Operations &amp; maintenance</v>
      </c>
      <c r="H596" s="98" t="str">
        <f>VLOOKUP(F596,'GL Category'!A:C,2,FALSE)</f>
        <v>WEARING APPAREL</v>
      </c>
      <c r="I596" s="99">
        <f>SUMIF(Import!$B:$B,$A596,Import!D:D)</f>
        <v>89.77</v>
      </c>
      <c r="J596" s="99">
        <f>SUMIF(Import!$B:$B,$A596,Import!E:E)</f>
        <v>108.96</v>
      </c>
      <c r="K596" s="99">
        <f>SUMIF(Import!$B:$B,$A596,Import!F:F)</f>
        <v>95.63</v>
      </c>
      <c r="L596" s="99">
        <f>SUMIF(Import!$B:$B,$A596,Import!G:G)</f>
        <v>165.14</v>
      </c>
      <c r="M596" s="99">
        <f>SUMIF(Import!$B:$B,$A596,Import!H:H)</f>
        <v>200</v>
      </c>
      <c r="N596" s="99">
        <f>SUMIF(Import!$B:$B,$A596,Import!I:I)</f>
        <v>0</v>
      </c>
      <c r="O596" s="99">
        <f>SUMIF(Import!$B:$B,$A596,Import!J:J)</f>
        <v>200</v>
      </c>
      <c r="P596" s="99">
        <f t="shared" si="870"/>
        <v>0</v>
      </c>
      <c r="Q596" s="99">
        <f>SUMIF(Import!$B:$B,$A596,Import!K:K)</f>
        <v>200</v>
      </c>
      <c r="R596" s="99">
        <f>SUMIF(Import!$B:$B,$A596,Import!L:L)</f>
        <v>0</v>
      </c>
      <c r="S596" s="99">
        <f>SUMIF(Import!$B:$B,$A596,Import!M:M)</f>
        <v>0</v>
      </c>
      <c r="T596" s="99">
        <f>SUMIF(Import!$B:$B,$A596,Import!N:N)</f>
        <v>200</v>
      </c>
      <c r="U596" s="99">
        <f t="shared" si="871"/>
        <v>0</v>
      </c>
      <c r="V596" s="255">
        <f t="shared" si="872"/>
        <v>0</v>
      </c>
      <c r="W596" s="102" t="s">
        <v>2479</v>
      </c>
      <c r="X596" s="102"/>
      <c r="Y596" s="102"/>
      <c r="Z596" s="614"/>
      <c r="AA596" s="615"/>
      <c r="AB596" s="624"/>
      <c r="AC596" s="623"/>
      <c r="AD596" s="623"/>
      <c r="AE596" s="623"/>
      <c r="AF596" s="623"/>
      <c r="AG596" s="623"/>
      <c r="AH596" s="623"/>
      <c r="AI596" s="624"/>
      <c r="AJ596" s="624"/>
      <c r="AK596" s="307"/>
      <c r="AL596" s="307"/>
      <c r="AM596" s="307"/>
      <c r="AN596" s="307"/>
      <c r="AO596" s="192"/>
      <c r="AP596" s="192"/>
      <c r="AQ596" s="192"/>
      <c r="AR596" s="115"/>
      <c r="AS596" s="115"/>
      <c r="AT596" s="115"/>
      <c r="AU596" s="115"/>
      <c r="AV596" s="115"/>
      <c r="AW596" s="115"/>
      <c r="AX596" s="115"/>
      <c r="AY596" s="115"/>
      <c r="AZ596" s="115"/>
      <c r="BA596" s="115"/>
      <c r="BB596" s="115"/>
      <c r="BC596" s="115"/>
      <c r="BD596" s="115"/>
      <c r="BE596" s="74"/>
      <c r="BF596" s="74"/>
      <c r="BG596" s="74"/>
    </row>
    <row r="597" spans="1:59" s="75" customFormat="1" ht="15" customHeight="1">
      <c r="A597" s="555" t="s">
        <v>2480</v>
      </c>
      <c r="B597" s="217" t="str">
        <f t="shared" si="865"/>
        <v>100</v>
      </c>
      <c r="C597" s="217" t="str">
        <f t="shared" si="866"/>
        <v>14</v>
      </c>
      <c r="D597" s="101" t="str">
        <f t="shared" si="867"/>
        <v>141</v>
      </c>
      <c r="E597" s="217" t="str">
        <f t="shared" si="868"/>
        <v>100-14-141</v>
      </c>
      <c r="F597" s="294" t="str">
        <f t="shared" si="869"/>
        <v>52470</v>
      </c>
      <c r="G597" s="295" t="str">
        <f>VLOOKUP(F597,'GL Category'!A:C,3,FALSE)</f>
        <v>Operations &amp; maintenance</v>
      </c>
      <c r="H597" s="98" t="str">
        <f>VLOOKUP(F597,'GL Category'!A:C,2,FALSE)</f>
        <v>EQUIPMENT MAINTENANCE</v>
      </c>
      <c r="I597" s="99">
        <f>SUMIF(Import!$B:$B,$A597,Import!D:D)</f>
        <v>0</v>
      </c>
      <c r="J597" s="99">
        <f>SUMIF(Import!$B:$B,$A597,Import!E:E)</f>
        <v>0</v>
      </c>
      <c r="K597" s="99">
        <f>SUMIF(Import!$B:$B,$A597,Import!F:F)</f>
        <v>0</v>
      </c>
      <c r="L597" s="99">
        <f>SUMIF(Import!$B:$B,$A597,Import!G:G)</f>
        <v>0</v>
      </c>
      <c r="M597" s="99">
        <f>SUMIF(Import!$B:$B,$A597,Import!H:H)</f>
        <v>0</v>
      </c>
      <c r="N597" s="99">
        <f>SUMIF(Import!$B:$B,$A597,Import!I:I)</f>
        <v>0</v>
      </c>
      <c r="O597" s="99">
        <f>SUMIF(Import!$B:$B,$A597,Import!J:J)</f>
        <v>0</v>
      </c>
      <c r="P597" s="99">
        <f t="shared" si="870"/>
        <v>0</v>
      </c>
      <c r="Q597" s="99">
        <f>SUMIF(Import!$B:$B,$A597,Import!K:K)</f>
        <v>0</v>
      </c>
      <c r="R597" s="99">
        <f>SUMIF(Import!$B:$B,$A597,Import!L:L)</f>
        <v>0</v>
      </c>
      <c r="S597" s="99">
        <f>SUMIF(Import!$B:$B,$A597,Import!M:M)</f>
        <v>0</v>
      </c>
      <c r="T597" s="99">
        <f>SUMIF(Import!$B:$B,$A597,Import!N:N)</f>
        <v>0</v>
      </c>
      <c r="U597" s="99">
        <f t="shared" si="871"/>
        <v>0</v>
      </c>
      <c r="V597" s="255" t="str">
        <f t="shared" si="872"/>
        <v>N/A</v>
      </c>
      <c r="W597" s="102" t="s">
        <v>2480</v>
      </c>
      <c r="X597" s="102"/>
      <c r="Y597" s="102"/>
      <c r="Z597" s="614"/>
      <c r="AA597" s="615"/>
      <c r="AB597" s="624"/>
      <c r="AC597" s="623"/>
      <c r="AD597" s="623"/>
      <c r="AE597" s="623"/>
      <c r="AF597" s="623"/>
      <c r="AG597" s="623"/>
      <c r="AH597" s="623"/>
      <c r="AI597" s="624"/>
      <c r="AJ597" s="624"/>
      <c r="AK597" s="307"/>
      <c r="AL597" s="307"/>
      <c r="AM597" s="307"/>
      <c r="AN597" s="307"/>
      <c r="AO597" s="192"/>
      <c r="AP597" s="192"/>
      <c r="AQ597" s="192"/>
      <c r="AR597" s="115"/>
      <c r="AS597" s="115"/>
      <c r="AT597" s="115"/>
      <c r="AU597" s="115"/>
      <c r="AV597" s="115"/>
      <c r="AW597" s="115"/>
      <c r="AX597" s="115"/>
      <c r="AY597" s="115"/>
      <c r="AZ597" s="115"/>
      <c r="BA597" s="115"/>
      <c r="BB597" s="115"/>
      <c r="BC597" s="115"/>
      <c r="BD597" s="115"/>
      <c r="BE597" s="74"/>
      <c r="BF597" s="74"/>
      <c r="BG597" s="74"/>
    </row>
    <row r="598" spans="1:59" s="75" customFormat="1" ht="27" customHeight="1">
      <c r="A598" s="297"/>
      <c r="B598" s="217"/>
      <c r="C598" s="217"/>
      <c r="D598" s="101"/>
      <c r="E598" s="101"/>
      <c r="F598" s="294"/>
      <c r="G598" s="295"/>
      <c r="H598" s="107" t="str">
        <f>UPPER(G597)&amp;" TOTAL"</f>
        <v>OPERATIONS &amp; MAINTENANCE TOTAL</v>
      </c>
      <c r="I598" s="108">
        <f t="shared" ref="I598" si="873">SUBTOTAL(9,I594:I597)</f>
        <v>3007.87</v>
      </c>
      <c r="J598" s="108">
        <f t="shared" ref="J598:T598" si="874">SUBTOTAL(9,J594:J597)</f>
        <v>1153.33</v>
      </c>
      <c r="K598" s="108">
        <f t="shared" ref="K598" si="875">SUBTOTAL(9,K594:K597)</f>
        <v>31103.360000000001</v>
      </c>
      <c r="L598" s="108">
        <f t="shared" ref="L598" si="876">SUBTOTAL(9,L594:L597)</f>
        <v>598.20000000000005</v>
      </c>
      <c r="M598" s="108">
        <f t="shared" si="874"/>
        <v>3300</v>
      </c>
      <c r="N598" s="108">
        <f t="shared" ref="N598" si="877">SUBTOTAL(9,N594:N597)</f>
        <v>442.47</v>
      </c>
      <c r="O598" s="108">
        <f t="shared" si="874"/>
        <v>3000</v>
      </c>
      <c r="P598" s="108">
        <f t="shared" si="874"/>
        <v>-300</v>
      </c>
      <c r="Q598" s="108">
        <f t="shared" si="874"/>
        <v>3300</v>
      </c>
      <c r="R598" s="108">
        <f t="shared" si="874"/>
        <v>0</v>
      </c>
      <c r="S598" s="108">
        <f t="shared" si="874"/>
        <v>0</v>
      </c>
      <c r="T598" s="108">
        <f t="shared" si="874"/>
        <v>3300</v>
      </c>
      <c r="U598" s="99">
        <f>T598-M598</f>
        <v>0</v>
      </c>
      <c r="V598" s="255">
        <f>IF(M598=0,"N/A",T598/M598-1)</f>
        <v>0</v>
      </c>
      <c r="W598" s="102"/>
      <c r="X598" s="102"/>
      <c r="Y598" s="102"/>
      <c r="Z598" s="614"/>
      <c r="AA598" s="615"/>
      <c r="AB598" s="624"/>
      <c r="AC598" s="625"/>
      <c r="AD598" s="625"/>
      <c r="AE598" s="625"/>
      <c r="AF598" s="625"/>
      <c r="AG598" s="625"/>
      <c r="AH598" s="623"/>
      <c r="AI598" s="624"/>
      <c r="AJ598" s="626"/>
      <c r="AK598" s="626"/>
      <c r="AL598" s="626"/>
      <c r="AM598" s="626"/>
      <c r="AN598" s="626"/>
      <c r="AO598" s="192"/>
      <c r="AP598" s="192"/>
      <c r="AQ598" s="192"/>
      <c r="AR598" s="115"/>
      <c r="AS598" s="115"/>
      <c r="AT598" s="115"/>
      <c r="AU598" s="115"/>
      <c r="AV598" s="115"/>
      <c r="AW598" s="115"/>
      <c r="AX598" s="115"/>
      <c r="AY598" s="115"/>
      <c r="AZ598" s="115"/>
      <c r="BA598" s="115"/>
      <c r="BB598" s="115"/>
      <c r="BC598" s="115"/>
      <c r="BD598" s="115"/>
      <c r="BE598" s="74"/>
      <c r="BF598" s="74"/>
      <c r="BG598" s="74"/>
    </row>
    <row r="599" spans="1:59" ht="15" customHeight="1">
      <c r="A599" s="297"/>
      <c r="B599" s="217"/>
      <c r="C599" s="217"/>
      <c r="D599" s="101"/>
      <c r="E599" s="101"/>
      <c r="F599" s="294"/>
      <c r="G599" s="295"/>
      <c r="H599" s="98"/>
      <c r="I599" s="106"/>
      <c r="J599" s="106"/>
      <c r="K599" s="106"/>
      <c r="L599" s="106"/>
      <c r="M599" s="106"/>
      <c r="N599" s="112"/>
      <c r="O599" s="112"/>
      <c r="P599" s="112"/>
      <c r="Q599" s="113"/>
      <c r="R599" s="99"/>
      <c r="S599" s="99"/>
      <c r="T599" s="113"/>
      <c r="U599" s="113"/>
      <c r="V599" s="113"/>
      <c r="W599" s="102"/>
      <c r="X599" s="102"/>
      <c r="Y599" s="102"/>
      <c r="AA599" s="615"/>
      <c r="AC599" s="300"/>
      <c r="AD599" s="300"/>
      <c r="AE599" s="300"/>
      <c r="AF599" s="300"/>
      <c r="AG599" s="300"/>
      <c r="AJ599" s="300"/>
      <c r="AK599" s="300"/>
      <c r="AL599" s="300"/>
      <c r="AM599" s="300"/>
      <c r="AN599" s="300"/>
    </row>
    <row r="600" spans="1:59" ht="15" customHeight="1">
      <c r="A600" s="555" t="s">
        <v>2481</v>
      </c>
      <c r="B600" s="217" t="str">
        <f t="shared" ref="B600:B609" si="878">LEFT(A600,3)</f>
        <v>100</v>
      </c>
      <c r="C600" s="217" t="str">
        <f t="shared" ref="C600:C609" si="879">MID(A600,5,2)</f>
        <v>14</v>
      </c>
      <c r="D600" s="101" t="str">
        <f t="shared" ref="D600:D609" si="880">MID(A600,8,3)</f>
        <v>141</v>
      </c>
      <c r="E600" s="217" t="str">
        <f t="shared" ref="E600:E609" si="881">LEFT(A600,10)</f>
        <v>100-14-141</v>
      </c>
      <c r="F600" s="294" t="str">
        <f t="shared" ref="F600:F609" si="882">RIGHT(A600,5)</f>
        <v>53508</v>
      </c>
      <c r="G600" s="295" t="str">
        <f>VLOOKUP(F600,'GL Category'!A:C,3,FALSE)</f>
        <v>Services &amp; other</v>
      </c>
      <c r="H600" s="98" t="str">
        <f>VLOOKUP(F600,'GL Category'!A:C,2,FALSE)</f>
        <v>DEVELOPMENT GRANT</v>
      </c>
      <c r="I600" s="99">
        <f>SUMIF(Import!$B:$B,$A600,Import!D:D)</f>
        <v>9150</v>
      </c>
      <c r="J600" s="99">
        <f>SUMIF(Import!$B:$B,$A600,Import!E:E)</f>
        <v>0</v>
      </c>
      <c r="K600" s="99">
        <f>SUMIF(Import!$B:$B,$A600,Import!F:F)</f>
        <v>14985.5</v>
      </c>
      <c r="L600" s="99">
        <f>SUMIF(Import!$B:$B,$A600,Import!G:G)</f>
        <v>20000</v>
      </c>
      <c r="M600" s="99">
        <f>SUMIF(Import!$B:$B,$A600,Import!H:H)</f>
        <v>79844</v>
      </c>
      <c r="N600" s="99">
        <f>SUMIF(Import!$B:$B,$A600,Import!I:I)</f>
        <v>50963.49</v>
      </c>
      <c r="O600" s="99">
        <f>SUMIF(Import!$B:$B,$A600,Import!J:J)</f>
        <v>79844</v>
      </c>
      <c r="P600" s="99">
        <f t="shared" ref="P600:P609" si="883">O600-M600</f>
        <v>0</v>
      </c>
      <c r="Q600" s="99">
        <f>SUMIF(Import!$B:$B,$A600,Import!K:K)</f>
        <v>35000</v>
      </c>
      <c r="R600" s="99">
        <f>SUMIF(Import!$B:$B,$A600,Import!L:L)</f>
        <v>0</v>
      </c>
      <c r="S600" s="99">
        <f>SUMIF(Import!$B:$B,$A600,Import!M:M)</f>
        <v>0</v>
      </c>
      <c r="T600" s="99">
        <f>SUMIF(Import!$B:$B,$A600,Import!N:N)</f>
        <v>35000</v>
      </c>
      <c r="U600" s="99">
        <f t="shared" ref="U600:U609" si="884">T600-M600</f>
        <v>-44844</v>
      </c>
      <c r="V600" s="255">
        <f t="shared" ref="V600:V609" si="885">IF(M600=0,"N/A",T600/M600-1)</f>
        <v>-0.56164520815590402</v>
      </c>
      <c r="W600" s="102" t="s">
        <v>2481</v>
      </c>
      <c r="X600" s="102"/>
      <c r="Y600" s="102"/>
      <c r="AA600" s="615"/>
      <c r="AC600" s="300"/>
      <c r="AD600" s="300"/>
      <c r="AE600" s="300"/>
      <c r="AF600" s="300"/>
      <c r="AG600" s="300"/>
      <c r="AJ600" s="300"/>
      <c r="AK600" s="300"/>
      <c r="AL600" s="300"/>
      <c r="AM600" s="300"/>
      <c r="AN600" s="300"/>
    </row>
    <row r="601" spans="1:59" ht="15" customHeight="1">
      <c r="A601" s="555" t="s">
        <v>2483</v>
      </c>
      <c r="B601" s="217" t="str">
        <f t="shared" si="878"/>
        <v>100</v>
      </c>
      <c r="C601" s="217" t="str">
        <f t="shared" si="879"/>
        <v>14</v>
      </c>
      <c r="D601" s="101" t="str">
        <f t="shared" si="880"/>
        <v>141</v>
      </c>
      <c r="E601" s="217" t="str">
        <f t="shared" si="881"/>
        <v>100-14-141</v>
      </c>
      <c r="F601" s="294" t="str">
        <f t="shared" si="882"/>
        <v>53510</v>
      </c>
      <c r="G601" s="295" t="str">
        <f>VLOOKUP(F601,'GL Category'!A:C,3,FALSE)</f>
        <v>Services &amp; other</v>
      </c>
      <c r="H601" s="98" t="str">
        <f>VLOOKUP(F601,'GL Category'!A:C,2,FALSE)</f>
        <v>DUES &amp; SUBSCRIPTIONS</v>
      </c>
      <c r="I601" s="99">
        <f>SUMIF(Import!$B:$B,$A601,Import!D:D)</f>
        <v>2638.96</v>
      </c>
      <c r="J601" s="99">
        <f>SUMIF(Import!$B:$B,$A601,Import!E:E)</f>
        <v>1634.26</v>
      </c>
      <c r="K601" s="99">
        <f>SUMIF(Import!$B:$B,$A601,Import!F:F)</f>
        <v>1755</v>
      </c>
      <c r="L601" s="99">
        <f>SUMIF(Import!$B:$B,$A601,Import!G:G)</f>
        <v>4349.99</v>
      </c>
      <c r="M601" s="99">
        <f>SUMIF(Import!$B:$B,$A601,Import!H:H)</f>
        <v>6570</v>
      </c>
      <c r="N601" s="99">
        <f>SUMIF(Import!$B:$B,$A601,Import!I:I)</f>
        <v>1494</v>
      </c>
      <c r="O601" s="99">
        <f>SUMIF(Import!$B:$B,$A601,Import!J:J)</f>
        <v>5070</v>
      </c>
      <c r="P601" s="99">
        <f t="shared" si="883"/>
        <v>-1500</v>
      </c>
      <c r="Q601" s="99">
        <f>SUMIF(Import!$B:$B,$A601,Import!K:K)</f>
        <v>6570</v>
      </c>
      <c r="R601" s="99">
        <f>SUMIF(Import!$B:$B,$A601,Import!L:L)</f>
        <v>0</v>
      </c>
      <c r="S601" s="99">
        <f>SUMIF(Import!$B:$B,$A601,Import!M:M)</f>
        <v>0</v>
      </c>
      <c r="T601" s="99">
        <f>SUMIF(Import!$B:$B,$A601,Import!N:N)</f>
        <v>6570</v>
      </c>
      <c r="U601" s="99">
        <f t="shared" si="884"/>
        <v>0</v>
      </c>
      <c r="V601" s="255">
        <f t="shared" si="885"/>
        <v>0</v>
      </c>
      <c r="W601" s="102" t="s">
        <v>2483</v>
      </c>
      <c r="X601" s="102"/>
      <c r="Y601" s="102"/>
      <c r="AA601" s="615"/>
      <c r="AC601" s="300"/>
      <c r="AD601" s="300"/>
      <c r="AE601" s="300"/>
      <c r="AF601" s="300"/>
      <c r="AG601" s="300"/>
      <c r="AJ601" s="300"/>
      <c r="AK601" s="300"/>
      <c r="AL601" s="300"/>
      <c r="AM601" s="300"/>
      <c r="AN601" s="300"/>
    </row>
    <row r="602" spans="1:59" ht="15" customHeight="1">
      <c r="A602" s="555" t="s">
        <v>2484</v>
      </c>
      <c r="B602" s="217" t="str">
        <f t="shared" si="878"/>
        <v>100</v>
      </c>
      <c r="C602" s="217" t="str">
        <f t="shared" si="879"/>
        <v>14</v>
      </c>
      <c r="D602" s="101" t="str">
        <f t="shared" si="880"/>
        <v>141</v>
      </c>
      <c r="E602" s="217" t="str">
        <f t="shared" si="881"/>
        <v>100-14-141</v>
      </c>
      <c r="F602" s="294" t="str">
        <f t="shared" si="882"/>
        <v>53515</v>
      </c>
      <c r="G602" s="295" t="str">
        <f>VLOOKUP(F602,'GL Category'!A:C,3,FALSE)</f>
        <v>Services &amp; other</v>
      </c>
      <c r="H602" s="98" t="str">
        <f>VLOOKUP(F602,'GL Category'!A:C,2,FALSE)</f>
        <v>TRAVEL, TRAINING &amp; EDUCATION</v>
      </c>
      <c r="I602" s="99">
        <f>SUMIF(Import!$B:$B,$A602,Import!D:D)</f>
        <v>13394.15</v>
      </c>
      <c r="J602" s="99">
        <f>SUMIF(Import!$B:$B,$A602,Import!E:E)</f>
        <v>6328.81</v>
      </c>
      <c r="K602" s="99">
        <f>SUMIF(Import!$B:$B,$A602,Import!F:F)</f>
        <v>17913.509999999998</v>
      </c>
      <c r="L602" s="99">
        <f>SUMIF(Import!$B:$B,$A602,Import!G:G)</f>
        <v>13363.45</v>
      </c>
      <c r="M602" s="99">
        <f>SUMIF(Import!$B:$B,$A602,Import!H:H)</f>
        <v>23020</v>
      </c>
      <c r="N602" s="99">
        <f>SUMIF(Import!$B:$B,$A602,Import!I:I)</f>
        <v>4841.08</v>
      </c>
      <c r="O602" s="99">
        <f>SUMIF(Import!$B:$B,$A602,Import!J:J)</f>
        <v>12900</v>
      </c>
      <c r="P602" s="99">
        <f t="shared" si="883"/>
        <v>-10120</v>
      </c>
      <c r="Q602" s="99">
        <f>SUMIF(Import!$B:$B,$A602,Import!K:K)</f>
        <v>23020</v>
      </c>
      <c r="R602" s="99">
        <f>SUMIF(Import!$B:$B,$A602,Import!L:L)</f>
        <v>0</v>
      </c>
      <c r="S602" s="99">
        <f>SUMIF(Import!$B:$B,$A602,Import!M:M)</f>
        <v>0</v>
      </c>
      <c r="T602" s="99">
        <f>SUMIF(Import!$B:$B,$A602,Import!N:N)</f>
        <v>23020</v>
      </c>
      <c r="U602" s="99">
        <f t="shared" si="884"/>
        <v>0</v>
      </c>
      <c r="V602" s="255">
        <f t="shared" si="885"/>
        <v>0</v>
      </c>
      <c r="W602" s="102" t="s">
        <v>2484</v>
      </c>
      <c r="X602" s="102"/>
      <c r="Y602" s="102"/>
      <c r="AA602" s="615"/>
      <c r="AC602" s="300"/>
      <c r="AD602" s="300"/>
      <c r="AE602" s="300"/>
      <c r="AF602" s="300"/>
      <c r="AG602" s="300"/>
      <c r="AJ602" s="300"/>
      <c r="AK602" s="300"/>
      <c r="AL602" s="300"/>
      <c r="AM602" s="300"/>
      <c r="AN602" s="300"/>
    </row>
    <row r="603" spans="1:59" ht="15" customHeight="1">
      <c r="A603" s="555" t="s">
        <v>2485</v>
      </c>
      <c r="B603" s="217" t="str">
        <f t="shared" si="878"/>
        <v>100</v>
      </c>
      <c r="C603" s="217" t="str">
        <f t="shared" si="879"/>
        <v>14</v>
      </c>
      <c r="D603" s="101" t="str">
        <f t="shared" si="880"/>
        <v>141</v>
      </c>
      <c r="E603" s="217" t="str">
        <f t="shared" si="881"/>
        <v>100-14-141</v>
      </c>
      <c r="F603" s="294" t="str">
        <f t="shared" si="882"/>
        <v>53513</v>
      </c>
      <c r="G603" s="295" t="str">
        <f>VLOOKUP(F603,'GL Category'!A:C,3,FALSE)</f>
        <v>Services &amp; other</v>
      </c>
      <c r="H603" s="98" t="str">
        <f>VLOOKUP(F603,'GL Category'!A:C,2,FALSE)</f>
        <v>CONSULTING SERVICES</v>
      </c>
      <c r="I603" s="99">
        <f>SUMIF(Import!$B:$B,$A603,Import!D:D)</f>
        <v>15966.66</v>
      </c>
      <c r="J603" s="99">
        <f>SUMIF(Import!$B:$B,$A603,Import!E:E)</f>
        <v>41516.620000000003</v>
      </c>
      <c r="K603" s="99">
        <f>SUMIF(Import!$B:$B,$A603,Import!F:F)</f>
        <v>14872.48</v>
      </c>
      <c r="L603" s="99">
        <f>SUMIF(Import!$B:$B,$A603,Import!G:G)</f>
        <v>12015.41</v>
      </c>
      <c r="M603" s="99">
        <f>SUMIF(Import!$B:$B,$A603,Import!H:H)</f>
        <v>40000</v>
      </c>
      <c r="N603" s="99">
        <f>SUMIF(Import!$B:$B,$A603,Import!I:I)</f>
        <v>12000</v>
      </c>
      <c r="O603" s="99">
        <f>SUMIF(Import!$B:$B,$A603,Import!J:J)</f>
        <v>25000</v>
      </c>
      <c r="P603" s="99">
        <f t="shared" si="883"/>
        <v>-15000</v>
      </c>
      <c r="Q603" s="99">
        <f>SUMIF(Import!$B:$B,$A603,Import!K:K)</f>
        <v>30000</v>
      </c>
      <c r="R603" s="99">
        <f>SUMIF(Import!$B:$B,$A603,Import!L:L)</f>
        <v>0</v>
      </c>
      <c r="S603" s="99">
        <f>SUMIF(Import!$B:$B,$A603,Import!M:M)</f>
        <v>0</v>
      </c>
      <c r="T603" s="99">
        <f>SUMIF(Import!$B:$B,$A603,Import!N:N)</f>
        <v>30000</v>
      </c>
      <c r="U603" s="99">
        <f t="shared" si="884"/>
        <v>-10000</v>
      </c>
      <c r="V603" s="255">
        <f t="shared" si="885"/>
        <v>-0.25</v>
      </c>
      <c r="W603" s="102" t="s">
        <v>2485</v>
      </c>
      <c r="X603" s="102"/>
      <c r="Y603" s="102"/>
      <c r="AA603" s="615"/>
      <c r="AC603" s="300"/>
      <c r="AD603" s="300"/>
      <c r="AE603" s="300"/>
      <c r="AF603" s="300"/>
      <c r="AG603" s="300"/>
      <c r="AJ603" s="300"/>
      <c r="AK603" s="300"/>
      <c r="AL603" s="300"/>
      <c r="AM603" s="300"/>
      <c r="AN603" s="300"/>
    </row>
    <row r="604" spans="1:59" ht="15" customHeight="1">
      <c r="A604" s="555" t="s">
        <v>2486</v>
      </c>
      <c r="B604" s="217" t="str">
        <f t="shared" si="878"/>
        <v>100</v>
      </c>
      <c r="C604" s="217" t="str">
        <f t="shared" si="879"/>
        <v>14</v>
      </c>
      <c r="D604" s="101" t="str">
        <f t="shared" si="880"/>
        <v>141</v>
      </c>
      <c r="E604" s="217" t="str">
        <f t="shared" si="881"/>
        <v>100-14-141</v>
      </c>
      <c r="F604" s="294" t="str">
        <f t="shared" si="882"/>
        <v>53522</v>
      </c>
      <c r="G604" s="295" t="str">
        <f>VLOOKUP(F604,'GL Category'!A:C,3,FALSE)</f>
        <v>Services &amp; other</v>
      </c>
      <c r="H604" s="98" t="str">
        <f>VLOOKUP(F604,'GL Category'!A:C,2,FALSE)</f>
        <v>ADVERTISING &amp; RECORDING</v>
      </c>
      <c r="I604" s="99">
        <f>SUMIF(Import!$B:$B,$A604,Import!D:D)</f>
        <v>0</v>
      </c>
      <c r="J604" s="99">
        <f>SUMIF(Import!$B:$B,$A604,Import!E:E)</f>
        <v>0</v>
      </c>
      <c r="K604" s="99">
        <f>SUMIF(Import!$B:$B,$A604,Import!F:F)</f>
        <v>0</v>
      </c>
      <c r="L604" s="99">
        <f>SUMIF(Import!$B:$B,$A604,Import!G:G)</f>
        <v>0</v>
      </c>
      <c r="M604" s="99">
        <f>SUMIF(Import!$B:$B,$A604,Import!H:H)</f>
        <v>0</v>
      </c>
      <c r="N604" s="99">
        <f>SUMIF(Import!$B:$B,$A604,Import!I:I)</f>
        <v>0</v>
      </c>
      <c r="O604" s="99">
        <f>SUMIF(Import!$B:$B,$A604,Import!J:J)</f>
        <v>0</v>
      </c>
      <c r="P604" s="99">
        <f t="shared" si="883"/>
        <v>0</v>
      </c>
      <c r="Q604" s="99">
        <f>SUMIF(Import!$B:$B,$A604,Import!K:K)</f>
        <v>0</v>
      </c>
      <c r="R604" s="99">
        <f>SUMIF(Import!$B:$B,$A604,Import!L:L)</f>
        <v>0</v>
      </c>
      <c r="S604" s="99">
        <f>SUMIF(Import!$B:$B,$A604,Import!M:M)</f>
        <v>0</v>
      </c>
      <c r="T604" s="99">
        <f>SUMIF(Import!$B:$B,$A604,Import!N:N)</f>
        <v>0</v>
      </c>
      <c r="U604" s="99">
        <f t="shared" si="884"/>
        <v>0</v>
      </c>
      <c r="V604" s="255" t="str">
        <f t="shared" si="885"/>
        <v>N/A</v>
      </c>
      <c r="W604" s="102" t="s">
        <v>2486</v>
      </c>
      <c r="X604" s="102"/>
      <c r="Y604" s="102"/>
      <c r="AA604" s="615"/>
      <c r="AC604" s="300"/>
      <c r="AD604" s="300"/>
      <c r="AE604" s="300"/>
      <c r="AF604" s="300"/>
      <c r="AG604" s="300"/>
      <c r="AJ604" s="300"/>
      <c r="AK604" s="300"/>
      <c r="AL604" s="300"/>
      <c r="AM604" s="300"/>
      <c r="AN604" s="300"/>
    </row>
    <row r="605" spans="1:59" ht="15" customHeight="1">
      <c r="A605" s="555" t="s">
        <v>2487</v>
      </c>
      <c r="B605" s="217" t="str">
        <f t="shared" si="878"/>
        <v>100</v>
      </c>
      <c r="C605" s="217" t="str">
        <f t="shared" si="879"/>
        <v>14</v>
      </c>
      <c r="D605" s="101" t="str">
        <f t="shared" si="880"/>
        <v>141</v>
      </c>
      <c r="E605" s="217" t="str">
        <f t="shared" si="881"/>
        <v>100-14-141</v>
      </c>
      <c r="F605" s="294" t="str">
        <f t="shared" si="882"/>
        <v>53534</v>
      </c>
      <c r="G605" s="295" t="str">
        <f>VLOOKUP(F605,'GL Category'!A:C,3,FALSE)</f>
        <v>Services &amp; other</v>
      </c>
      <c r="H605" s="98" t="str">
        <f>VLOOKUP(F605,'GL Category'!A:C,2,FALSE)</f>
        <v>MARKETING &amp; PROMOTIONAL</v>
      </c>
      <c r="I605" s="99">
        <f>SUMIF(Import!$B:$B,$A605,Import!D:D)</f>
        <v>63755.56</v>
      </c>
      <c r="J605" s="99">
        <f>SUMIF(Import!$B:$B,$A605,Import!E:E)</f>
        <v>28375.33</v>
      </c>
      <c r="K605" s="99">
        <f>SUMIF(Import!$B:$B,$A605,Import!F:F)</f>
        <v>33115.199999999997</v>
      </c>
      <c r="L605" s="99">
        <f>SUMIF(Import!$B:$B,$A605,Import!G:G)</f>
        <v>35656.269999999997</v>
      </c>
      <c r="M605" s="99">
        <f>SUMIF(Import!$B:$B,$A605,Import!H:H)</f>
        <v>48050</v>
      </c>
      <c r="N605" s="99">
        <f>SUMIF(Import!$B:$B,$A605,Import!I:I)</f>
        <v>9185</v>
      </c>
      <c r="O605" s="99">
        <f>SUMIF(Import!$B:$B,$A605,Import!J:J)</f>
        <v>37550</v>
      </c>
      <c r="P605" s="99">
        <f t="shared" si="883"/>
        <v>-10500</v>
      </c>
      <c r="Q605" s="99">
        <f>SUMIF(Import!$B:$B,$A605,Import!K:K)</f>
        <v>48050</v>
      </c>
      <c r="R605" s="99">
        <f>SUMIF(Import!$B:$B,$A605,Import!L:L)</f>
        <v>0</v>
      </c>
      <c r="S605" s="99">
        <f>SUMIF(Import!$B:$B,$A605,Import!M:M)</f>
        <v>0</v>
      </c>
      <c r="T605" s="99">
        <f>SUMIF(Import!$B:$B,$A605,Import!N:N)</f>
        <v>48050</v>
      </c>
      <c r="U605" s="99">
        <f t="shared" si="884"/>
        <v>0</v>
      </c>
      <c r="V605" s="255">
        <f t="shared" si="885"/>
        <v>0</v>
      </c>
      <c r="W605" s="102" t="s">
        <v>2487</v>
      </c>
      <c r="X605" s="102"/>
      <c r="Y605" s="102"/>
      <c r="AA605" s="615"/>
      <c r="AC605" s="300"/>
      <c r="AD605" s="300"/>
      <c r="AE605" s="300"/>
      <c r="AF605" s="300"/>
      <c r="AG605" s="300"/>
      <c r="AJ605" s="300"/>
      <c r="AK605" s="300"/>
      <c r="AL605" s="300"/>
      <c r="AM605" s="300"/>
      <c r="AN605" s="300"/>
    </row>
    <row r="606" spans="1:59" ht="15" customHeight="1">
      <c r="A606" s="555" t="s">
        <v>2488</v>
      </c>
      <c r="B606" s="217" t="str">
        <f t="shared" si="878"/>
        <v>100</v>
      </c>
      <c r="C606" s="217" t="str">
        <f t="shared" si="879"/>
        <v>14</v>
      </c>
      <c r="D606" s="101" t="str">
        <f t="shared" si="880"/>
        <v>141</v>
      </c>
      <c r="E606" s="217" t="str">
        <f t="shared" si="881"/>
        <v>100-14-141</v>
      </c>
      <c r="F606" s="294" t="str">
        <f t="shared" si="882"/>
        <v>53540</v>
      </c>
      <c r="G606" s="295" t="str">
        <f>VLOOKUP(F606,'GL Category'!A:C,3,FALSE)</f>
        <v>Services &amp; other</v>
      </c>
      <c r="H606" s="98" t="str">
        <f>VLOOKUP(F606,'GL Category'!A:C,2,FALSE)</f>
        <v>PRINTING &amp; BINDING SERVICES</v>
      </c>
      <c r="I606" s="99">
        <f>SUMIF(Import!$B:$B,$A606,Import!D:D)</f>
        <v>0</v>
      </c>
      <c r="J606" s="99">
        <f>SUMIF(Import!$B:$B,$A606,Import!E:E)</f>
        <v>0</v>
      </c>
      <c r="K606" s="99">
        <f>SUMIF(Import!$B:$B,$A606,Import!F:F)</f>
        <v>0</v>
      </c>
      <c r="L606" s="99">
        <f>SUMIF(Import!$B:$B,$A606,Import!G:G)</f>
        <v>0</v>
      </c>
      <c r="M606" s="99">
        <f>SUMIF(Import!$B:$B,$A606,Import!H:H)</f>
        <v>0</v>
      </c>
      <c r="N606" s="99">
        <f>SUMIF(Import!$B:$B,$A606,Import!I:I)</f>
        <v>0</v>
      </c>
      <c r="O606" s="99">
        <f>SUMIF(Import!$B:$B,$A606,Import!J:J)</f>
        <v>0</v>
      </c>
      <c r="P606" s="99">
        <f t="shared" si="883"/>
        <v>0</v>
      </c>
      <c r="Q606" s="99">
        <f>SUMIF(Import!$B:$B,$A606,Import!K:K)</f>
        <v>0</v>
      </c>
      <c r="R606" s="99">
        <f>SUMIF(Import!$B:$B,$A606,Import!L:L)</f>
        <v>0</v>
      </c>
      <c r="S606" s="99">
        <f>SUMIF(Import!$B:$B,$A606,Import!M:M)</f>
        <v>0</v>
      </c>
      <c r="T606" s="99">
        <f>SUMIF(Import!$B:$B,$A606,Import!N:N)</f>
        <v>0</v>
      </c>
      <c r="U606" s="99">
        <f t="shared" si="884"/>
        <v>0</v>
      </c>
      <c r="V606" s="255" t="str">
        <f t="shared" si="885"/>
        <v>N/A</v>
      </c>
      <c r="W606" s="102" t="s">
        <v>2488</v>
      </c>
      <c r="X606" s="102"/>
      <c r="Y606" s="102"/>
      <c r="AA606" s="615"/>
      <c r="AC606" s="300"/>
      <c r="AD606" s="300"/>
      <c r="AE606" s="300"/>
      <c r="AF606" s="300"/>
      <c r="AG606" s="300"/>
      <c r="AJ606" s="300"/>
      <c r="AK606" s="300"/>
      <c r="AL606" s="300"/>
      <c r="AM606" s="300"/>
      <c r="AN606" s="300"/>
    </row>
    <row r="607" spans="1:59" ht="15" customHeight="1">
      <c r="A607" s="555" t="s">
        <v>2489</v>
      </c>
      <c r="B607" s="217" t="str">
        <f t="shared" si="878"/>
        <v>100</v>
      </c>
      <c r="C607" s="217" t="str">
        <f t="shared" si="879"/>
        <v>14</v>
      </c>
      <c r="D607" s="101" t="str">
        <f t="shared" si="880"/>
        <v>141</v>
      </c>
      <c r="E607" s="217" t="str">
        <f t="shared" si="881"/>
        <v>100-14-141</v>
      </c>
      <c r="F607" s="294" t="str">
        <f t="shared" si="882"/>
        <v>53545</v>
      </c>
      <c r="G607" s="295" t="str">
        <f>VLOOKUP(F607,'GL Category'!A:C,3,FALSE)</f>
        <v>Services &amp; other</v>
      </c>
      <c r="H607" s="98" t="str">
        <f>VLOOKUP(F607,'GL Category'!A:C,2,FALSE)</f>
        <v>ECONOMIC DEVEL INCENTIVES</v>
      </c>
      <c r="I607" s="99">
        <f>SUMIF(Import!$B:$B,$A607,Import!D:D)</f>
        <v>0</v>
      </c>
      <c r="J607" s="99">
        <f>SUMIF(Import!$B:$B,$A607,Import!E:E)</f>
        <v>0</v>
      </c>
      <c r="K607" s="99">
        <f>SUMIF(Import!$B:$B,$A607,Import!F:F)</f>
        <v>0</v>
      </c>
      <c r="L607" s="99">
        <f>SUMIF(Import!$B:$B,$A607,Import!G:G)</f>
        <v>0</v>
      </c>
      <c r="M607" s="99">
        <f>SUMIF(Import!$B:$B,$A607,Import!H:H)</f>
        <v>0</v>
      </c>
      <c r="N607" s="99">
        <f>SUMIF(Import!$B:$B,$A607,Import!I:I)</f>
        <v>0</v>
      </c>
      <c r="O607" s="99">
        <f>SUMIF(Import!$B:$B,$A607,Import!J:J)</f>
        <v>0</v>
      </c>
      <c r="P607" s="99">
        <f t="shared" si="883"/>
        <v>0</v>
      </c>
      <c r="Q607" s="99">
        <f>SUMIF(Import!$B:$B,$A607,Import!K:K)</f>
        <v>0</v>
      </c>
      <c r="R607" s="99">
        <f>SUMIF(Import!$B:$B,$A607,Import!L:L)</f>
        <v>0</v>
      </c>
      <c r="S607" s="99">
        <f>SUMIF(Import!$B:$B,$A607,Import!M:M)</f>
        <v>0</v>
      </c>
      <c r="T607" s="99">
        <f>SUMIF(Import!$B:$B,$A607,Import!N:N)</f>
        <v>0</v>
      </c>
      <c r="U607" s="99">
        <f t="shared" si="884"/>
        <v>0</v>
      </c>
      <c r="V607" s="255" t="str">
        <f t="shared" si="885"/>
        <v>N/A</v>
      </c>
      <c r="W607" s="102" t="s">
        <v>2489</v>
      </c>
      <c r="X607" s="102"/>
      <c r="Y607" s="102"/>
      <c r="AA607" s="615"/>
      <c r="AC607" s="300"/>
      <c r="AD607" s="300"/>
      <c r="AE607" s="300"/>
      <c r="AF607" s="300"/>
      <c r="AG607" s="300"/>
      <c r="AJ607" s="300"/>
      <c r="AK607" s="300"/>
      <c r="AL607" s="300"/>
      <c r="AM607" s="300"/>
      <c r="AN607" s="300"/>
    </row>
    <row r="608" spans="1:59" ht="15" customHeight="1">
      <c r="A608" s="555" t="s">
        <v>2482</v>
      </c>
      <c r="B608" s="217" t="str">
        <f t="shared" si="878"/>
        <v>100</v>
      </c>
      <c r="C608" s="217" t="str">
        <f t="shared" si="879"/>
        <v>14</v>
      </c>
      <c r="D608" s="101" t="str">
        <f t="shared" si="880"/>
        <v>141</v>
      </c>
      <c r="E608" s="217" t="str">
        <f t="shared" si="881"/>
        <v>100-14-141</v>
      </c>
      <c r="F608" s="294" t="str">
        <f t="shared" si="882"/>
        <v>53599</v>
      </c>
      <c r="G608" s="295" t="str">
        <f>VLOOKUP(F608,'GL Category'!A:C,3,FALSE)</f>
        <v>Services &amp; other</v>
      </c>
      <c r="H608" s="98" t="str">
        <f>VLOOKUP(F608,'GL Category'!A:C,2,FALSE)</f>
        <v>MISCELLANEOUS SERVICES</v>
      </c>
      <c r="I608" s="99">
        <f>SUMIF(Import!$B:$B,$A608,Import!D:D)</f>
        <v>15700</v>
      </c>
      <c r="J608" s="99">
        <f>SUMIF(Import!$B:$B,$A608,Import!E:E)</f>
        <v>19683.59</v>
      </c>
      <c r="K608" s="99">
        <f>SUMIF(Import!$B:$B,$A608,Import!F:F)</f>
        <v>18690</v>
      </c>
      <c r="L608" s="99">
        <f>SUMIF(Import!$B:$B,$A608,Import!G:G)</f>
        <v>21048.29</v>
      </c>
      <c r="M608" s="99">
        <f>SUMIF(Import!$B:$B,$A608,Import!H:H)</f>
        <v>55000</v>
      </c>
      <c r="N608" s="99">
        <f>SUMIF(Import!$B:$B,$A608,Import!I:I)</f>
        <v>2950</v>
      </c>
      <c r="O608" s="99">
        <f>SUMIF(Import!$B:$B,$A608,Import!J:J)</f>
        <v>45000</v>
      </c>
      <c r="P608" s="99">
        <f t="shared" si="883"/>
        <v>-10000</v>
      </c>
      <c r="Q608" s="99">
        <f>SUMIF(Import!$B:$B,$A608,Import!K:K)</f>
        <v>45500</v>
      </c>
      <c r="R608" s="99">
        <f>SUMIF(Import!$B:$B,$A608,Import!L:L)</f>
        <v>0</v>
      </c>
      <c r="S608" s="99">
        <f>SUMIF(Import!$B:$B,$A608,Import!M:M)</f>
        <v>0</v>
      </c>
      <c r="T608" s="99">
        <f>SUMIF(Import!$B:$B,$A608,Import!N:N)</f>
        <v>45500</v>
      </c>
      <c r="U608" s="99">
        <f t="shared" si="884"/>
        <v>-9500</v>
      </c>
      <c r="V608" s="255">
        <f t="shared" si="885"/>
        <v>-0.17272727272727273</v>
      </c>
      <c r="W608" s="102" t="s">
        <v>2482</v>
      </c>
      <c r="X608" s="102"/>
      <c r="Y608" s="102"/>
      <c r="AA608" s="615"/>
      <c r="AC608" s="300"/>
      <c r="AD608" s="300"/>
      <c r="AE608" s="300"/>
      <c r="AF608" s="300"/>
      <c r="AG608" s="300"/>
      <c r="AJ608" s="300"/>
      <c r="AK608" s="300"/>
      <c r="AL608" s="300"/>
      <c r="AM608" s="300"/>
      <c r="AN608" s="300"/>
    </row>
    <row r="609" spans="1:43" ht="15" customHeight="1">
      <c r="A609" s="555" t="s">
        <v>2490</v>
      </c>
      <c r="B609" s="217" t="str">
        <f t="shared" si="878"/>
        <v>100</v>
      </c>
      <c r="C609" s="217" t="str">
        <f t="shared" si="879"/>
        <v>14</v>
      </c>
      <c r="D609" s="101" t="str">
        <f t="shared" si="880"/>
        <v>141</v>
      </c>
      <c r="E609" s="217" t="str">
        <f t="shared" si="881"/>
        <v>100-14-141</v>
      </c>
      <c r="F609" s="294" t="str">
        <f t="shared" si="882"/>
        <v>55119</v>
      </c>
      <c r="G609" s="295" t="str">
        <f>VLOOKUP(F609,'GL Category'!A:C,3,FALSE)</f>
        <v>Services &amp; other</v>
      </c>
      <c r="H609" s="98" t="str">
        <f>VLOOKUP(F609,'GL Category'!A:C,2,FALSE)</f>
        <v>OFFICE EQUIP LEASE EXP-CITY</v>
      </c>
      <c r="I609" s="99">
        <f>SUMIF(Import!$B:$B,$A609,Import!D:D)</f>
        <v>19055</v>
      </c>
      <c r="J609" s="99">
        <f>SUMIF(Import!$B:$B,$A609,Import!E:E)</f>
        <v>21208</v>
      </c>
      <c r="K609" s="99">
        <f>SUMIF(Import!$B:$B,$A609,Import!F:F)</f>
        <v>21819</v>
      </c>
      <c r="L609" s="99">
        <f>SUMIF(Import!$B:$B,$A609,Import!G:G)</f>
        <v>22081</v>
      </c>
      <c r="M609" s="99">
        <f>SUMIF(Import!$B:$B,$A609,Import!H:H)</f>
        <v>24350</v>
      </c>
      <c r="N609" s="99">
        <f>SUMIF(Import!$B:$B,$A609,Import!I:I)</f>
        <v>18262.5</v>
      </c>
      <c r="O609" s="99">
        <f>SUMIF(Import!$B:$B,$A609,Import!J:J)</f>
        <v>24350</v>
      </c>
      <c r="P609" s="99">
        <f t="shared" si="883"/>
        <v>0</v>
      </c>
      <c r="Q609" s="99">
        <f>SUMIF(Import!$B:$B,$A609,Import!K:K)</f>
        <v>25387</v>
      </c>
      <c r="R609" s="99">
        <f>SUMIF(Import!$B:$B,$A609,Import!L:L)</f>
        <v>0</v>
      </c>
      <c r="S609" s="99">
        <f>SUMIF(Import!$B:$B,$A609,Import!M:M)</f>
        <v>0</v>
      </c>
      <c r="T609" s="99">
        <f>SUMIF(Import!$B:$B,$A609,Import!N:N)</f>
        <v>25387</v>
      </c>
      <c r="U609" s="99">
        <f t="shared" si="884"/>
        <v>1037</v>
      </c>
      <c r="V609" s="255">
        <f t="shared" si="885"/>
        <v>4.25872689938398E-2</v>
      </c>
      <c r="W609" s="102" t="s">
        <v>2490</v>
      </c>
      <c r="X609" s="102"/>
      <c r="Y609" s="102"/>
      <c r="AA609" s="615"/>
      <c r="AC609" s="300"/>
      <c r="AD609" s="300"/>
      <c r="AE609" s="300"/>
      <c r="AF609" s="300"/>
      <c r="AG609" s="300"/>
      <c r="AJ609" s="300"/>
      <c r="AK609" s="300"/>
      <c r="AL609" s="300"/>
      <c r="AM609" s="300"/>
      <c r="AN609" s="300"/>
    </row>
    <row r="610" spans="1:43" ht="15" customHeight="1">
      <c r="A610" s="297"/>
      <c r="B610" s="217"/>
      <c r="C610" s="217"/>
      <c r="D610" s="101"/>
      <c r="E610" s="101"/>
      <c r="F610" s="294"/>
      <c r="G610" s="295"/>
      <c r="H610" s="107" t="str">
        <f>UPPER(G609)&amp;" TOTAL"</f>
        <v>SERVICES &amp; OTHER TOTAL</v>
      </c>
      <c r="I610" s="108">
        <f t="shared" ref="I610" si="886">SUBTOTAL(9,I600:I609)</f>
        <v>139660.33000000002</v>
      </c>
      <c r="J610" s="108">
        <f t="shared" ref="J610:T610" si="887">SUBTOTAL(9,J600:J609)</f>
        <v>118746.61</v>
      </c>
      <c r="K610" s="108">
        <f t="shared" ref="K610" si="888">SUBTOTAL(9,K600:K609)</f>
        <v>123150.68999999999</v>
      </c>
      <c r="L610" s="108">
        <f t="shared" ref="L610" si="889">SUBTOTAL(9,L600:L609)</f>
        <v>128514.41</v>
      </c>
      <c r="M610" s="108">
        <f t="shared" si="887"/>
        <v>276834</v>
      </c>
      <c r="N610" s="108">
        <f t="shared" ref="N610" si="890">SUBTOTAL(9,N600:N609)</f>
        <v>99696.07</v>
      </c>
      <c r="O610" s="108">
        <f t="shared" si="887"/>
        <v>229714</v>
      </c>
      <c r="P610" s="108">
        <f t="shared" si="887"/>
        <v>-47120</v>
      </c>
      <c r="Q610" s="108">
        <f t="shared" si="887"/>
        <v>213527</v>
      </c>
      <c r="R610" s="108">
        <f t="shared" si="887"/>
        <v>0</v>
      </c>
      <c r="S610" s="108">
        <f t="shared" si="887"/>
        <v>0</v>
      </c>
      <c r="T610" s="108">
        <f t="shared" si="887"/>
        <v>213527</v>
      </c>
      <c r="U610" s="99">
        <f>T610-M610</f>
        <v>-63307</v>
      </c>
      <c r="V610" s="255">
        <f>IF(M610=0,"N/A",T610/M610-1)</f>
        <v>-0.22868217054263562</v>
      </c>
      <c r="W610" s="102"/>
      <c r="X610" s="102"/>
      <c r="Y610" s="102"/>
      <c r="AA610" s="615"/>
      <c r="AC610" s="300"/>
      <c r="AD610" s="300"/>
      <c r="AE610" s="300"/>
      <c r="AF610" s="300"/>
      <c r="AG610" s="300"/>
      <c r="AJ610" s="300"/>
      <c r="AK610" s="300"/>
      <c r="AL610" s="300"/>
      <c r="AM610" s="300"/>
      <c r="AN610" s="300"/>
    </row>
    <row r="611" spans="1:43" s="115" customFormat="1" ht="15" customHeight="1">
      <c r="A611" s="297"/>
      <c r="B611" s="217"/>
      <c r="C611" s="217"/>
      <c r="D611" s="101"/>
      <c r="E611" s="101"/>
      <c r="F611" s="294"/>
      <c r="G611" s="295"/>
      <c r="H611" s="98"/>
      <c r="I611" s="106"/>
      <c r="J611" s="106"/>
      <c r="K611" s="106"/>
      <c r="L611" s="106"/>
      <c r="M611" s="106"/>
      <c r="N611" s="112"/>
      <c r="O611" s="112"/>
      <c r="P611" s="112"/>
      <c r="Q611" s="113"/>
      <c r="R611" s="99"/>
      <c r="S611" s="99"/>
      <c r="T611" s="113"/>
      <c r="U611" s="113"/>
      <c r="V611" s="113"/>
      <c r="W611" s="102"/>
      <c r="X611" s="102"/>
      <c r="Y611" s="102"/>
      <c r="Z611" s="192"/>
      <c r="AA611" s="615"/>
      <c r="AB611" s="307"/>
      <c r="AC611" s="94"/>
      <c r="AD611" s="94"/>
      <c r="AE611" s="94"/>
      <c r="AF611" s="94"/>
      <c r="AG611" s="94"/>
      <c r="AH611" s="307"/>
      <c r="AI611" s="307"/>
      <c r="AJ611" s="94"/>
      <c r="AK611" s="94"/>
      <c r="AL611" s="94"/>
      <c r="AM611" s="94"/>
      <c r="AN611" s="94"/>
      <c r="AO611" s="192"/>
      <c r="AP611" s="192"/>
      <c r="AQ611" s="192"/>
    </row>
    <row r="612" spans="1:43" ht="15" customHeight="1">
      <c r="A612" s="555" t="s">
        <v>3132</v>
      </c>
      <c r="B612" s="217" t="str">
        <f t="shared" ref="B612" si="891">LEFT(A612,3)</f>
        <v>100</v>
      </c>
      <c r="C612" s="217" t="str">
        <f t="shared" ref="C612" si="892">MID(A612,5,2)</f>
        <v>14</v>
      </c>
      <c r="D612" s="101" t="str">
        <f t="shared" ref="D612" si="893">MID(A612,8,3)</f>
        <v>141</v>
      </c>
      <c r="E612" s="217" t="str">
        <f t="shared" ref="E612" si="894">LEFT(A612,10)</f>
        <v>100-14-141</v>
      </c>
      <c r="F612" s="294" t="str">
        <f t="shared" ref="F612" si="895">RIGHT(A612,5)</f>
        <v>58801</v>
      </c>
      <c r="G612" s="295" t="str">
        <f>VLOOKUP(F612,'GL Category'!A:C,3,FALSE)</f>
        <v>Capital Outlay</v>
      </c>
      <c r="H612" s="98" t="str">
        <f>VLOOKUP(F612,'GL Category'!A:C,2,FALSE)</f>
        <v>LAND &amp; LAND RIGHTS</v>
      </c>
      <c r="I612" s="99">
        <f>SUMIF(Import!$B:$B,$A612,Import!D:D)</f>
        <v>0</v>
      </c>
      <c r="J612" s="99">
        <f>SUMIF(Import!$B:$B,$A612,Import!E:E)</f>
        <v>0</v>
      </c>
      <c r="K612" s="99">
        <f>SUMIF(Import!$B:$B,$A612,Import!F:F)</f>
        <v>0</v>
      </c>
      <c r="L612" s="99">
        <f>SUMIF(Import!$B:$B,$A612,Import!G:G)</f>
        <v>0</v>
      </c>
      <c r="M612" s="99">
        <f>SUMIF(Import!$B:$B,$A612,Import!H:H)</f>
        <v>0</v>
      </c>
      <c r="N612" s="99">
        <f>SUMIF(Import!$B:$B,$A612,Import!I:I)</f>
        <v>0</v>
      </c>
      <c r="O612" s="99">
        <f>SUMIF(Import!$B:$B,$A612,Import!J:J)</f>
        <v>0</v>
      </c>
      <c r="P612" s="99">
        <f t="shared" ref="P612" si="896">O612-M612</f>
        <v>0</v>
      </c>
      <c r="Q612" s="99">
        <f>SUMIF(Import!$B:$B,$A612,Import!K:K)</f>
        <v>0</v>
      </c>
      <c r="R612" s="99">
        <f>SUMIF(Import!$B:$B,$A612,Import!L:L)</f>
        <v>0</v>
      </c>
      <c r="S612" s="99">
        <f>SUMIF(Import!$B:$B,$A612,Import!M:M)</f>
        <v>0</v>
      </c>
      <c r="T612" s="99">
        <f>SUMIF(Import!$B:$B,$A612,Import!N:N)</f>
        <v>0</v>
      </c>
      <c r="U612" s="99">
        <f t="shared" ref="U612" si="897">T612-M612</f>
        <v>0</v>
      </c>
      <c r="V612" s="255" t="str">
        <f t="shared" ref="V612" si="898">IF(M612=0,"N/A",T612/M612-1)</f>
        <v>N/A</v>
      </c>
      <c r="W612" s="102" t="s">
        <v>2490</v>
      </c>
      <c r="X612" s="102"/>
      <c r="Y612" s="102"/>
      <c r="AA612" s="615"/>
      <c r="AC612" s="300"/>
      <c r="AD612" s="300"/>
      <c r="AE612" s="300"/>
      <c r="AF612" s="300"/>
      <c r="AG612" s="300"/>
      <c r="AJ612" s="300"/>
      <c r="AK612" s="300"/>
      <c r="AL612" s="300"/>
      <c r="AM612" s="300"/>
      <c r="AN612" s="300"/>
    </row>
    <row r="613" spans="1:43" ht="15" customHeight="1">
      <c r="A613" s="297"/>
      <c r="B613" s="217"/>
      <c r="C613" s="217"/>
      <c r="D613" s="101"/>
      <c r="E613" s="101"/>
      <c r="F613" s="294"/>
      <c r="G613" s="295"/>
      <c r="H613" s="107" t="str">
        <f>UPPER(G612)&amp;" TOTAL"</f>
        <v>CAPITAL OUTLAY TOTAL</v>
      </c>
      <c r="I613" s="108">
        <f t="shared" ref="I613" si="899">SUBTOTAL(9,I612)</f>
        <v>0</v>
      </c>
      <c r="J613" s="108">
        <f t="shared" ref="J613:O613" si="900">SUBTOTAL(9,J612)</f>
        <v>0</v>
      </c>
      <c r="K613" s="108">
        <f t="shared" ref="K613" si="901">SUBTOTAL(9,K612)</f>
        <v>0</v>
      </c>
      <c r="L613" s="108">
        <f t="shared" ref="L613" si="902">SUBTOTAL(9,L612)</f>
        <v>0</v>
      </c>
      <c r="M613" s="108">
        <f t="shared" si="900"/>
        <v>0</v>
      </c>
      <c r="N613" s="108">
        <f t="shared" si="900"/>
        <v>0</v>
      </c>
      <c r="O613" s="108">
        <f t="shared" si="900"/>
        <v>0</v>
      </c>
      <c r="P613" s="108">
        <f>SUBTOTAL(9,P612)</f>
        <v>0</v>
      </c>
      <c r="Q613" s="108">
        <f>SUBTOTAL(9,Q612)</f>
        <v>0</v>
      </c>
      <c r="R613" s="108">
        <f>SUBTOTAL(9,R612)</f>
        <v>0</v>
      </c>
      <c r="S613" s="108">
        <f>SUBTOTAL(9,S612)</f>
        <v>0</v>
      </c>
      <c r="T613" s="108">
        <f>SUBTOTAL(9,T612)</f>
        <v>0</v>
      </c>
      <c r="U613" s="99">
        <f>T613-M613</f>
        <v>0</v>
      </c>
      <c r="V613" s="255" t="str">
        <f>IF(M613=0,"N/A",T613/M613-1)</f>
        <v>N/A</v>
      </c>
      <c r="W613" s="102"/>
      <c r="X613" s="102"/>
      <c r="Y613" s="102"/>
      <c r="AA613" s="615"/>
      <c r="AC613" s="300"/>
      <c r="AD613" s="300"/>
      <c r="AE613" s="300"/>
      <c r="AF613" s="300"/>
      <c r="AG613" s="300"/>
      <c r="AJ613" s="300"/>
      <c r="AK613" s="300"/>
      <c r="AL613" s="300"/>
      <c r="AM613" s="300"/>
      <c r="AN613" s="300"/>
    </row>
    <row r="614" spans="1:43" s="115" customFormat="1" ht="15" customHeight="1">
      <c r="A614" s="297"/>
      <c r="B614" s="217"/>
      <c r="C614" s="217"/>
      <c r="D614" s="101"/>
      <c r="E614" s="101"/>
      <c r="F614" s="294"/>
      <c r="G614" s="295"/>
      <c r="H614" s="98"/>
      <c r="I614" s="106"/>
      <c r="J614" s="106"/>
      <c r="K614" s="106"/>
      <c r="L614" s="106"/>
      <c r="M614" s="106"/>
      <c r="N614" s="112"/>
      <c r="O614" s="112"/>
      <c r="P614" s="112"/>
      <c r="Q614" s="113"/>
      <c r="R614" s="99"/>
      <c r="S614" s="99"/>
      <c r="T614" s="113"/>
      <c r="U614" s="113"/>
      <c r="V614" s="113"/>
      <c r="W614" s="102"/>
      <c r="X614" s="102"/>
      <c r="Y614" s="102"/>
      <c r="Z614" s="192"/>
      <c r="AA614" s="615"/>
      <c r="AB614" s="307"/>
      <c r="AC614" s="94"/>
      <c r="AD614" s="94"/>
      <c r="AE614" s="94"/>
      <c r="AF614" s="94"/>
      <c r="AG614" s="94"/>
      <c r="AH614" s="307"/>
      <c r="AI614" s="307"/>
      <c r="AJ614" s="94"/>
      <c r="AK614" s="94"/>
      <c r="AL614" s="94"/>
      <c r="AM614" s="94"/>
      <c r="AN614" s="94"/>
      <c r="AO614" s="192"/>
      <c r="AP614" s="192"/>
      <c r="AQ614" s="192"/>
    </row>
    <row r="615" spans="1:43" s="115" customFormat="1" ht="15" customHeight="1">
      <c r="A615" s="297"/>
      <c r="B615" s="217"/>
      <c r="C615" s="217"/>
      <c r="D615" s="101"/>
      <c r="E615" s="101"/>
      <c r="F615" s="294"/>
      <c r="G615" s="295"/>
      <c r="H615" s="114" t="s">
        <v>763</v>
      </c>
      <c r="I615" s="108">
        <f t="shared" ref="I615" si="903">SUBTOTAL(9,I583:I613)</f>
        <v>441376.43</v>
      </c>
      <c r="J615" s="108">
        <f t="shared" ref="J615:T615" si="904">SUBTOTAL(9,J583:J613)</f>
        <v>301432.76</v>
      </c>
      <c r="K615" s="108">
        <f t="shared" ref="K615" si="905">SUBTOTAL(9,K583:K613)</f>
        <v>420685.34</v>
      </c>
      <c r="L615" s="108">
        <f t="shared" ref="L615" si="906">SUBTOTAL(9,L583:L613)</f>
        <v>405817.79000000004</v>
      </c>
      <c r="M615" s="108">
        <f t="shared" si="904"/>
        <v>576285</v>
      </c>
      <c r="N615" s="108">
        <f t="shared" si="904"/>
        <v>305038.55</v>
      </c>
      <c r="O615" s="108">
        <f t="shared" si="904"/>
        <v>510395</v>
      </c>
      <c r="P615" s="108">
        <f t="shared" si="904"/>
        <v>-65890</v>
      </c>
      <c r="Q615" s="108">
        <f t="shared" si="904"/>
        <v>517091</v>
      </c>
      <c r="R615" s="108">
        <f t="shared" si="904"/>
        <v>0</v>
      </c>
      <c r="S615" s="108">
        <f t="shared" si="904"/>
        <v>0</v>
      </c>
      <c r="T615" s="108">
        <f t="shared" si="904"/>
        <v>517091</v>
      </c>
      <c r="U615" s="99">
        <f>T615-M615</f>
        <v>-59194</v>
      </c>
      <c r="V615" s="255">
        <f>IF(M615=0,"N/A",T615/M615-1)</f>
        <v>-0.1027165378241669</v>
      </c>
      <c r="W615" s="102"/>
      <c r="X615" s="102"/>
      <c r="Y615" s="102"/>
      <c r="Z615" s="192"/>
      <c r="AA615" s="615"/>
      <c r="AB615" s="307"/>
      <c r="AC615" s="300"/>
      <c r="AD615" s="300"/>
      <c r="AE615" s="300"/>
      <c r="AF615" s="300"/>
      <c r="AG615" s="300"/>
      <c r="AH615" s="307"/>
      <c r="AI615" s="307"/>
      <c r="AJ615" s="300"/>
      <c r="AK615" s="300"/>
      <c r="AL615" s="300"/>
      <c r="AM615" s="300"/>
      <c r="AN615" s="300"/>
      <c r="AO615" s="192"/>
      <c r="AP615" s="192"/>
      <c r="AQ615" s="192"/>
    </row>
    <row r="616" spans="1:43" s="115" customFormat="1" ht="15" customHeight="1" thickBot="1">
      <c r="A616" s="297"/>
      <c r="B616" s="217"/>
      <c r="C616" s="217"/>
      <c r="D616" s="101"/>
      <c r="E616" s="101"/>
      <c r="F616" s="294"/>
      <c r="G616" s="295"/>
      <c r="H616" s="98"/>
      <c r="I616" s="218"/>
      <c r="J616" s="218"/>
      <c r="K616" s="218"/>
      <c r="L616" s="218"/>
      <c r="M616" s="218"/>
      <c r="N616" s="96"/>
      <c r="O616" s="96"/>
      <c r="P616" s="96"/>
      <c r="Q616" s="212"/>
      <c r="R616" s="212"/>
      <c r="S616" s="212"/>
      <c r="T616" s="212"/>
      <c r="U616" s="99"/>
      <c r="V616" s="255"/>
      <c r="W616" s="102"/>
      <c r="X616" s="102"/>
      <c r="Y616" s="102"/>
      <c r="Z616" s="192"/>
      <c r="AA616" s="615"/>
      <c r="AB616" s="307"/>
      <c r="AC616" s="300"/>
      <c r="AD616" s="300"/>
      <c r="AE616" s="300"/>
      <c r="AF616" s="300"/>
      <c r="AG616" s="300"/>
      <c r="AH616" s="307"/>
      <c r="AI616" s="307"/>
      <c r="AJ616" s="300"/>
      <c r="AK616" s="300"/>
      <c r="AL616" s="300"/>
      <c r="AM616" s="300"/>
      <c r="AN616" s="300"/>
      <c r="AO616" s="192"/>
      <c r="AP616" s="192"/>
      <c r="AQ616" s="192"/>
    </row>
    <row r="617" spans="1:43" s="115" customFormat="1" ht="26.25" customHeight="1" thickBot="1">
      <c r="A617" s="297"/>
      <c r="B617" s="217"/>
      <c r="C617" s="217"/>
      <c r="D617" s="101"/>
      <c r="E617" s="101"/>
      <c r="F617" s="294"/>
      <c r="G617" s="295"/>
      <c r="H617" s="665" t="s">
        <v>468</v>
      </c>
      <c r="I617" s="666"/>
      <c r="J617" s="666"/>
      <c r="K617" s="666"/>
      <c r="L617" s="666"/>
      <c r="M617" s="666"/>
      <c r="N617" s="666"/>
      <c r="O617" s="666"/>
      <c r="P617" s="666"/>
      <c r="Q617" s="666"/>
      <c r="R617" s="666"/>
      <c r="S617" s="666"/>
      <c r="T617" s="667"/>
      <c r="U617" s="252"/>
      <c r="V617" s="252"/>
      <c r="W617" s="102"/>
      <c r="X617" s="102"/>
      <c r="Y617" s="102"/>
      <c r="Z617" s="192"/>
      <c r="AA617" s="615"/>
      <c r="AB617" s="307"/>
      <c r="AC617" s="300"/>
      <c r="AD617" s="300"/>
      <c r="AE617" s="300"/>
      <c r="AF617" s="300"/>
      <c r="AG617" s="300"/>
      <c r="AH617" s="307"/>
      <c r="AI617" s="307"/>
      <c r="AJ617" s="300"/>
      <c r="AK617" s="300"/>
      <c r="AL617" s="300"/>
      <c r="AM617" s="300"/>
      <c r="AN617" s="300"/>
      <c r="AO617" s="192"/>
      <c r="AP617" s="192"/>
      <c r="AQ617" s="192"/>
    </row>
    <row r="618" spans="1:43" s="115" customFormat="1" ht="15" customHeight="1">
      <c r="A618" s="297"/>
      <c r="B618" s="217"/>
      <c r="C618" s="217"/>
      <c r="D618" s="101"/>
      <c r="E618" s="101"/>
      <c r="F618" s="294"/>
      <c r="G618" s="295"/>
      <c r="H618" s="225"/>
      <c r="I618" s="225"/>
      <c r="J618" s="225"/>
      <c r="K618" s="225"/>
      <c r="L618" s="225"/>
      <c r="M618" s="225"/>
      <c r="N618" s="225"/>
      <c r="O618" s="225"/>
      <c r="P618" s="225"/>
      <c r="Q618" s="225"/>
      <c r="R618" s="225"/>
      <c r="S618" s="225"/>
      <c r="T618" s="225"/>
      <c r="U618" s="225"/>
      <c r="V618" s="225"/>
      <c r="W618" s="102"/>
      <c r="X618" s="102"/>
      <c r="Y618" s="102"/>
      <c r="Z618" s="192"/>
      <c r="AA618" s="615"/>
      <c r="AB618" s="307"/>
      <c r="AC618" s="94"/>
      <c r="AD618" s="94"/>
      <c r="AE618" s="94"/>
      <c r="AF618" s="94"/>
      <c r="AG618" s="94"/>
      <c r="AH618" s="307"/>
      <c r="AI618" s="307"/>
      <c r="AJ618" s="94"/>
      <c r="AK618" s="94"/>
      <c r="AL618" s="94"/>
      <c r="AM618" s="94"/>
      <c r="AN618" s="94"/>
      <c r="AO618" s="192"/>
      <c r="AP618" s="192"/>
      <c r="AQ618" s="192"/>
    </row>
    <row r="619" spans="1:43" ht="15" customHeight="1">
      <c r="A619" s="555" t="s">
        <v>2491</v>
      </c>
      <c r="B619" s="217" t="str">
        <f t="shared" ref="B619:B623" si="907">LEFT(A619,3)</f>
        <v>100</v>
      </c>
      <c r="C619" s="217" t="str">
        <f t="shared" ref="C619:C623" si="908">MID(A619,5,2)</f>
        <v>14</v>
      </c>
      <c r="D619" s="101" t="str">
        <f t="shared" ref="D619:D623" si="909">MID(A619,8,3)</f>
        <v>147</v>
      </c>
      <c r="E619" s="217" t="str">
        <f t="shared" ref="E619:E623" si="910">LEFT(A619,10)</f>
        <v>100-14-147</v>
      </c>
      <c r="F619" s="294" t="str">
        <f t="shared" ref="F619:F623" si="911">RIGHT(A619,5)</f>
        <v>50101</v>
      </c>
      <c r="G619" s="295" t="str">
        <f>VLOOKUP(F619,'GL Category'!A:C,3,FALSE)</f>
        <v>Personnel services</v>
      </c>
      <c r="H619" s="98" t="str">
        <f>VLOOKUP(F619,'GL Category'!A:C,2,FALSE)</f>
        <v>EXEMPT SALARIES</v>
      </c>
      <c r="I619" s="99">
        <f>SUMIF(Import!$B:$B,$A619,Import!D:D)</f>
        <v>0</v>
      </c>
      <c r="J619" s="99">
        <f>SUMIF(Import!$B:$B,$A619,Import!E:E)</f>
        <v>0</v>
      </c>
      <c r="K619" s="99">
        <f>SUMIF(Import!$B:$B,$A619,Import!F:F)</f>
        <v>0</v>
      </c>
      <c r="L619" s="99">
        <f>SUMIF(Import!$B:$B,$A619,Import!G:G)</f>
        <v>0</v>
      </c>
      <c r="M619" s="99">
        <f>SUMIF(Import!$B:$B,$A619,Import!H:H)</f>
        <v>0</v>
      </c>
      <c r="N619" s="99">
        <f>SUMIF(Import!$B:$B,$A619,Import!I:I)</f>
        <v>0</v>
      </c>
      <c r="O619" s="99">
        <f>SUMIF(Import!$B:$B,$A619,Import!J:J)</f>
        <v>0</v>
      </c>
      <c r="P619" s="99">
        <f t="shared" ref="P619:P623" si="912">O619-M619</f>
        <v>0</v>
      </c>
      <c r="Q619" s="99">
        <f>SUMIF(Import!$B:$B,$A619,Import!K:K)</f>
        <v>0</v>
      </c>
      <c r="R619" s="99">
        <f>SUMIF(Import!$B:$B,$A619,Import!L:L)</f>
        <v>0</v>
      </c>
      <c r="S619" s="99">
        <f>SUMIF(Import!$B:$B,$A619,Import!M:M)</f>
        <v>0</v>
      </c>
      <c r="T619" s="99">
        <f>SUMIF(Import!$B:$B,$A619,Import!N:N)</f>
        <v>0</v>
      </c>
      <c r="U619" s="99">
        <f t="shared" ref="U619:U623" si="913">T619-M619</f>
        <v>0</v>
      </c>
      <c r="V619" s="255" t="str">
        <f t="shared" ref="V619:V623" si="914">IF(M619=0,"N/A",T619/M619-1)</f>
        <v>N/A</v>
      </c>
      <c r="W619" s="102" t="s">
        <v>2491</v>
      </c>
      <c r="X619" s="102"/>
      <c r="Y619" s="102"/>
      <c r="AA619" s="615"/>
      <c r="AC619" s="94"/>
      <c r="AD619" s="94"/>
      <c r="AE619" s="94"/>
      <c r="AF619" s="94"/>
      <c r="AG619" s="94"/>
      <c r="AJ619" s="94"/>
      <c r="AK619" s="94"/>
      <c r="AL619" s="94"/>
      <c r="AM619" s="94"/>
      <c r="AN619" s="94"/>
    </row>
    <row r="620" spans="1:43" ht="15" customHeight="1">
      <c r="A620" s="555" t="s">
        <v>2492</v>
      </c>
      <c r="B620" s="217" t="str">
        <f t="shared" si="907"/>
        <v>100</v>
      </c>
      <c r="C620" s="217" t="str">
        <f t="shared" si="908"/>
        <v>14</v>
      </c>
      <c r="D620" s="101" t="str">
        <f t="shared" si="909"/>
        <v>147</v>
      </c>
      <c r="E620" s="217" t="str">
        <f t="shared" si="910"/>
        <v>100-14-147</v>
      </c>
      <c r="F620" s="294" t="str">
        <f t="shared" si="911"/>
        <v>50610</v>
      </c>
      <c r="G620" s="295" t="str">
        <f>VLOOKUP(F620,'GL Category'!A:C,3,FALSE)</f>
        <v>Personnel services</v>
      </c>
      <c r="H620" s="98" t="str">
        <f>VLOOKUP(F620,'GL Category'!A:C,2,FALSE)</f>
        <v>SOCIAL SECURITY</v>
      </c>
      <c r="I620" s="99">
        <f>SUMIF(Import!$B:$B,$A620,Import!D:D)</f>
        <v>0</v>
      </c>
      <c r="J620" s="99">
        <f>SUMIF(Import!$B:$B,$A620,Import!E:E)</f>
        <v>0</v>
      </c>
      <c r="K620" s="99">
        <f>SUMIF(Import!$B:$B,$A620,Import!F:F)</f>
        <v>0</v>
      </c>
      <c r="L620" s="99">
        <f>SUMIF(Import!$B:$B,$A620,Import!G:G)</f>
        <v>0</v>
      </c>
      <c r="M620" s="99">
        <f>SUMIF(Import!$B:$B,$A620,Import!H:H)</f>
        <v>0</v>
      </c>
      <c r="N620" s="99">
        <f>SUMIF(Import!$B:$B,$A620,Import!I:I)</f>
        <v>0</v>
      </c>
      <c r="O620" s="99">
        <f>SUMIF(Import!$B:$B,$A620,Import!J:J)</f>
        <v>0</v>
      </c>
      <c r="P620" s="99">
        <f t="shared" si="912"/>
        <v>0</v>
      </c>
      <c r="Q620" s="99">
        <f>SUMIF(Import!$B:$B,$A620,Import!K:K)</f>
        <v>0</v>
      </c>
      <c r="R620" s="99">
        <f>SUMIF(Import!$B:$B,$A620,Import!L:L)</f>
        <v>0</v>
      </c>
      <c r="S620" s="99">
        <f>SUMIF(Import!$B:$B,$A620,Import!M:M)</f>
        <v>0</v>
      </c>
      <c r="T620" s="99">
        <f>SUMIF(Import!$B:$B,$A620,Import!N:N)</f>
        <v>0</v>
      </c>
      <c r="U620" s="99">
        <f t="shared" si="913"/>
        <v>0</v>
      </c>
      <c r="V620" s="255" t="str">
        <f t="shared" si="914"/>
        <v>N/A</v>
      </c>
      <c r="W620" s="102" t="s">
        <v>2492</v>
      </c>
      <c r="X620" s="102"/>
      <c r="Y620" s="102"/>
      <c r="AA620" s="615"/>
    </row>
    <row r="621" spans="1:43" ht="15" customHeight="1">
      <c r="A621" s="555" t="s">
        <v>2493</v>
      </c>
      <c r="B621" s="217" t="str">
        <f t="shared" si="907"/>
        <v>100</v>
      </c>
      <c r="C621" s="217" t="str">
        <f t="shared" si="908"/>
        <v>14</v>
      </c>
      <c r="D621" s="101" t="str">
        <f t="shared" si="909"/>
        <v>147</v>
      </c>
      <c r="E621" s="217" t="str">
        <f t="shared" si="910"/>
        <v>100-14-147</v>
      </c>
      <c r="F621" s="294" t="str">
        <f t="shared" si="911"/>
        <v>50620</v>
      </c>
      <c r="G621" s="295" t="str">
        <f>VLOOKUP(F621,'GL Category'!A:C,3,FALSE)</f>
        <v>Personnel services</v>
      </c>
      <c r="H621" s="98" t="str">
        <f>VLOOKUP(F621,'GL Category'!A:C,2,FALSE)</f>
        <v>HEALTH/LIFE INSURANCE</v>
      </c>
      <c r="I621" s="99">
        <f>SUMIF(Import!$B:$B,$A621,Import!D:D)</f>
        <v>0</v>
      </c>
      <c r="J621" s="99">
        <f>SUMIF(Import!$B:$B,$A621,Import!E:E)</f>
        <v>0</v>
      </c>
      <c r="K621" s="99">
        <f>SUMIF(Import!$B:$B,$A621,Import!F:F)</f>
        <v>0</v>
      </c>
      <c r="L621" s="99">
        <f>SUMIF(Import!$B:$B,$A621,Import!G:G)</f>
        <v>0</v>
      </c>
      <c r="M621" s="99">
        <f>SUMIF(Import!$B:$B,$A621,Import!H:H)</f>
        <v>0</v>
      </c>
      <c r="N621" s="99">
        <f>SUMIF(Import!$B:$B,$A621,Import!I:I)</f>
        <v>0</v>
      </c>
      <c r="O621" s="99">
        <f>SUMIF(Import!$B:$B,$A621,Import!J:J)</f>
        <v>0</v>
      </c>
      <c r="P621" s="99">
        <f t="shared" si="912"/>
        <v>0</v>
      </c>
      <c r="Q621" s="99">
        <f>SUMIF(Import!$B:$B,$A621,Import!K:K)</f>
        <v>0</v>
      </c>
      <c r="R621" s="99">
        <f>SUMIF(Import!$B:$B,$A621,Import!L:L)</f>
        <v>0</v>
      </c>
      <c r="S621" s="99">
        <f>SUMIF(Import!$B:$B,$A621,Import!M:M)</f>
        <v>0</v>
      </c>
      <c r="T621" s="99">
        <f>SUMIF(Import!$B:$B,$A621,Import!N:N)</f>
        <v>0</v>
      </c>
      <c r="U621" s="99">
        <f t="shared" si="913"/>
        <v>0</v>
      </c>
      <c r="V621" s="255" t="str">
        <f t="shared" si="914"/>
        <v>N/A</v>
      </c>
      <c r="W621" s="102" t="s">
        <v>2493</v>
      </c>
      <c r="X621" s="102"/>
      <c r="Y621" s="102"/>
      <c r="AA621" s="615"/>
    </row>
    <row r="622" spans="1:43" ht="15" customHeight="1">
      <c r="A622" s="555" t="s">
        <v>2494</v>
      </c>
      <c r="B622" s="217" t="str">
        <f t="shared" si="907"/>
        <v>100</v>
      </c>
      <c r="C622" s="217" t="str">
        <f t="shared" si="908"/>
        <v>14</v>
      </c>
      <c r="D622" s="101" t="str">
        <f t="shared" si="909"/>
        <v>147</v>
      </c>
      <c r="E622" s="217" t="str">
        <f t="shared" si="910"/>
        <v>100-14-147</v>
      </c>
      <c r="F622" s="294" t="str">
        <f t="shared" si="911"/>
        <v>50630</v>
      </c>
      <c r="G622" s="295" t="str">
        <f>VLOOKUP(F622,'GL Category'!A:C,3,FALSE)</f>
        <v>Personnel services</v>
      </c>
      <c r="H622" s="98" t="str">
        <f>VLOOKUP(F622,'GL Category'!A:C,2,FALSE)</f>
        <v>WORKER COMPENSATION</v>
      </c>
      <c r="I622" s="99">
        <f>SUMIF(Import!$B:$B,$A622,Import!D:D)</f>
        <v>0</v>
      </c>
      <c r="J622" s="99">
        <f>SUMIF(Import!$B:$B,$A622,Import!E:E)</f>
        <v>0</v>
      </c>
      <c r="K622" s="99">
        <f>SUMIF(Import!$B:$B,$A622,Import!F:F)</f>
        <v>0</v>
      </c>
      <c r="L622" s="99">
        <f>SUMIF(Import!$B:$B,$A622,Import!G:G)</f>
        <v>0</v>
      </c>
      <c r="M622" s="99">
        <f>SUMIF(Import!$B:$B,$A622,Import!H:H)</f>
        <v>0</v>
      </c>
      <c r="N622" s="99">
        <f>SUMIF(Import!$B:$B,$A622,Import!I:I)</f>
        <v>0</v>
      </c>
      <c r="O622" s="99">
        <f>SUMIF(Import!$B:$B,$A622,Import!J:J)</f>
        <v>0</v>
      </c>
      <c r="P622" s="99">
        <f t="shared" si="912"/>
        <v>0</v>
      </c>
      <c r="Q622" s="99">
        <f>SUMIF(Import!$B:$B,$A622,Import!K:K)</f>
        <v>0</v>
      </c>
      <c r="R622" s="99">
        <f>SUMIF(Import!$B:$B,$A622,Import!L:L)</f>
        <v>0</v>
      </c>
      <c r="S622" s="99">
        <f>SUMIF(Import!$B:$B,$A622,Import!M:M)</f>
        <v>0</v>
      </c>
      <c r="T622" s="99">
        <f>SUMIF(Import!$B:$B,$A622,Import!N:N)</f>
        <v>0</v>
      </c>
      <c r="U622" s="99">
        <f t="shared" si="913"/>
        <v>0</v>
      </c>
      <c r="V622" s="255" t="str">
        <f t="shared" si="914"/>
        <v>N/A</v>
      </c>
      <c r="W622" s="102" t="s">
        <v>2494</v>
      </c>
      <c r="X622" s="102"/>
      <c r="Y622" s="102"/>
      <c r="AA622" s="615"/>
    </row>
    <row r="623" spans="1:43" ht="15" customHeight="1">
      <c r="A623" s="555" t="s">
        <v>2495</v>
      </c>
      <c r="B623" s="217" t="str">
        <f t="shared" si="907"/>
        <v>100</v>
      </c>
      <c r="C623" s="217" t="str">
        <f t="shared" si="908"/>
        <v>14</v>
      </c>
      <c r="D623" s="101" t="str">
        <f t="shared" si="909"/>
        <v>147</v>
      </c>
      <c r="E623" s="217" t="str">
        <f t="shared" si="910"/>
        <v>100-14-147</v>
      </c>
      <c r="F623" s="294" t="str">
        <f t="shared" si="911"/>
        <v>50650</v>
      </c>
      <c r="G623" s="295" t="str">
        <f>VLOOKUP(F623,'GL Category'!A:C,3,FALSE)</f>
        <v>Personnel services</v>
      </c>
      <c r="H623" s="98" t="str">
        <f>VLOOKUP(F623,'GL Category'!A:C,2,FALSE)</f>
        <v>RETIREMENT</v>
      </c>
      <c r="I623" s="99">
        <f>SUMIF(Import!$B:$B,$A623,Import!D:D)</f>
        <v>0</v>
      </c>
      <c r="J623" s="99">
        <f>SUMIF(Import!$B:$B,$A623,Import!E:E)</f>
        <v>0</v>
      </c>
      <c r="K623" s="99">
        <f>SUMIF(Import!$B:$B,$A623,Import!F:F)</f>
        <v>0</v>
      </c>
      <c r="L623" s="99">
        <f>SUMIF(Import!$B:$B,$A623,Import!G:G)</f>
        <v>0</v>
      </c>
      <c r="M623" s="99">
        <f>SUMIF(Import!$B:$B,$A623,Import!H:H)</f>
        <v>0</v>
      </c>
      <c r="N623" s="99">
        <f>SUMIF(Import!$B:$B,$A623,Import!I:I)</f>
        <v>0</v>
      </c>
      <c r="O623" s="99">
        <f>SUMIF(Import!$B:$B,$A623,Import!J:J)</f>
        <v>0</v>
      </c>
      <c r="P623" s="99">
        <f t="shared" si="912"/>
        <v>0</v>
      </c>
      <c r="Q623" s="99">
        <f>SUMIF(Import!$B:$B,$A623,Import!K:K)</f>
        <v>0</v>
      </c>
      <c r="R623" s="99">
        <f>SUMIF(Import!$B:$B,$A623,Import!L:L)</f>
        <v>0</v>
      </c>
      <c r="S623" s="99">
        <f>SUMIF(Import!$B:$B,$A623,Import!M:M)</f>
        <v>0</v>
      </c>
      <c r="T623" s="99">
        <f>SUMIF(Import!$B:$B,$A623,Import!N:N)</f>
        <v>0</v>
      </c>
      <c r="U623" s="99">
        <f t="shared" si="913"/>
        <v>0</v>
      </c>
      <c r="V623" s="255" t="str">
        <f t="shared" si="914"/>
        <v>N/A</v>
      </c>
      <c r="W623" s="102" t="s">
        <v>2495</v>
      </c>
      <c r="X623" s="102"/>
      <c r="Y623" s="102"/>
      <c r="AA623" s="615"/>
    </row>
    <row r="624" spans="1:43" ht="15" customHeight="1">
      <c r="A624" s="297"/>
      <c r="B624" s="217"/>
      <c r="C624" s="217"/>
      <c r="D624" s="101"/>
      <c r="E624" s="101"/>
      <c r="F624" s="294"/>
      <c r="G624" s="295"/>
      <c r="H624" s="107" t="str">
        <f>UPPER(G623)&amp;" TOTAL"</f>
        <v>PERSONNEL SERVICES TOTAL</v>
      </c>
      <c r="I624" s="108">
        <f t="shared" ref="I624" si="915">SUBTOTAL(9,I619:I623)</f>
        <v>0</v>
      </c>
      <c r="J624" s="108">
        <f t="shared" ref="J624:T624" si="916">SUBTOTAL(9,J619:J623)</f>
        <v>0</v>
      </c>
      <c r="K624" s="108">
        <f t="shared" ref="K624" si="917">SUBTOTAL(9,K619:K623)</f>
        <v>0</v>
      </c>
      <c r="L624" s="108">
        <f t="shared" ref="L624" si="918">SUBTOTAL(9,L619:L623)</f>
        <v>0</v>
      </c>
      <c r="M624" s="108">
        <f t="shared" si="916"/>
        <v>0</v>
      </c>
      <c r="N624" s="108">
        <f t="shared" ref="N624" si="919">SUBTOTAL(9,N619:N623)</f>
        <v>0</v>
      </c>
      <c r="O624" s="108">
        <f t="shared" si="916"/>
        <v>0</v>
      </c>
      <c r="P624" s="108">
        <f t="shared" si="916"/>
        <v>0</v>
      </c>
      <c r="Q624" s="108">
        <f t="shared" si="916"/>
        <v>0</v>
      </c>
      <c r="R624" s="108">
        <f t="shared" si="916"/>
        <v>0</v>
      </c>
      <c r="S624" s="108">
        <f t="shared" si="916"/>
        <v>0</v>
      </c>
      <c r="T624" s="108">
        <f t="shared" si="916"/>
        <v>0</v>
      </c>
      <c r="U624" s="99">
        <f>T624-M624</f>
        <v>0</v>
      </c>
      <c r="V624" s="255" t="str">
        <f>IF(M624=0,"N/A",T624/M624-1)</f>
        <v>N/A</v>
      </c>
      <c r="W624" s="102"/>
      <c r="X624" s="102"/>
      <c r="Y624" s="102"/>
      <c r="AA624" s="615"/>
    </row>
    <row r="625" spans="1:59" s="75" customFormat="1" ht="15" customHeight="1">
      <c r="A625" s="297"/>
      <c r="B625" s="217"/>
      <c r="C625" s="217"/>
      <c r="D625" s="101"/>
      <c r="E625" s="101"/>
      <c r="F625" s="294"/>
      <c r="G625" s="295"/>
      <c r="H625" s="98"/>
      <c r="I625" s="106"/>
      <c r="J625" s="106"/>
      <c r="K625" s="106"/>
      <c r="L625" s="106"/>
      <c r="M625" s="106"/>
      <c r="N625" s="112"/>
      <c r="O625" s="112"/>
      <c r="P625" s="112"/>
      <c r="Q625" s="113"/>
      <c r="R625" s="113"/>
      <c r="S625" s="113"/>
      <c r="T625" s="113"/>
      <c r="U625" s="113"/>
      <c r="V625" s="113"/>
      <c r="W625" s="102"/>
      <c r="X625" s="102"/>
      <c r="Y625" s="102"/>
      <c r="Z625" s="614"/>
      <c r="AA625" s="615"/>
      <c r="AB625" s="624"/>
      <c r="AC625" s="623"/>
      <c r="AD625" s="623"/>
      <c r="AE625" s="623"/>
      <c r="AF625" s="623"/>
      <c r="AG625" s="623"/>
      <c r="AH625" s="623"/>
      <c r="AI625" s="624"/>
      <c r="AJ625" s="307"/>
      <c r="AK625" s="307"/>
      <c r="AL625" s="307"/>
      <c r="AM625" s="307"/>
      <c r="AN625" s="307"/>
      <c r="AO625" s="192"/>
      <c r="AP625" s="192"/>
      <c r="AQ625" s="192"/>
      <c r="AR625" s="115"/>
      <c r="AS625" s="115"/>
      <c r="AT625" s="115"/>
      <c r="AU625" s="115"/>
      <c r="AV625" s="115"/>
      <c r="AW625" s="115"/>
      <c r="AX625" s="115"/>
      <c r="AY625" s="115"/>
      <c r="AZ625" s="115"/>
      <c r="BA625" s="115"/>
      <c r="BB625" s="115"/>
      <c r="BC625" s="115"/>
      <c r="BD625" s="115"/>
      <c r="BE625" s="74"/>
      <c r="BF625" s="74"/>
      <c r="BG625" s="74"/>
    </row>
    <row r="626" spans="1:59" ht="15" customHeight="1">
      <c r="A626" s="555" t="s">
        <v>2496</v>
      </c>
      <c r="B626" s="217" t="str">
        <f t="shared" ref="B626:B627" si="920">LEFT(A626,3)</f>
        <v>100</v>
      </c>
      <c r="C626" s="217" t="str">
        <f t="shared" ref="C626:C627" si="921">MID(A626,5,2)</f>
        <v>14</v>
      </c>
      <c r="D626" s="101" t="str">
        <f t="shared" ref="D626:D627" si="922">MID(A626,8,3)</f>
        <v>147</v>
      </c>
      <c r="E626" s="217" t="str">
        <f t="shared" ref="E626:E627" si="923">LEFT(A626,10)</f>
        <v>100-14-147</v>
      </c>
      <c r="F626" s="294" t="str">
        <f t="shared" ref="F626:F627" si="924">RIGHT(A626,5)</f>
        <v>51265</v>
      </c>
      <c r="G626" s="295" t="str">
        <f>VLOOKUP(F626,'GL Category'!A:C,3,FALSE)</f>
        <v>Operations &amp; maintenance</v>
      </c>
      <c r="H626" s="98" t="str">
        <f>VLOOKUP(F626,'GL Category'!A:C,2,FALSE)</f>
        <v>STREET SIGN/SIGNAL SUPPLIES</v>
      </c>
      <c r="I626" s="99">
        <f>SUMIF(Import!$B:$B,$A626,Import!D:D)</f>
        <v>0</v>
      </c>
      <c r="J626" s="99">
        <f>SUMIF(Import!$B:$B,$A626,Import!E:E)</f>
        <v>0</v>
      </c>
      <c r="K626" s="99">
        <f>SUMIF(Import!$B:$B,$A626,Import!F:F)</f>
        <v>0</v>
      </c>
      <c r="L626" s="99">
        <f>SUMIF(Import!$B:$B,$A626,Import!G:G)</f>
        <v>0</v>
      </c>
      <c r="M626" s="99">
        <f>SUMIF(Import!$B:$B,$A626,Import!H:H)</f>
        <v>0</v>
      </c>
      <c r="N626" s="99">
        <f>SUMIF(Import!$B:$B,$A626,Import!I:I)</f>
        <v>0</v>
      </c>
      <c r="O626" s="99">
        <f>SUMIF(Import!$B:$B,$A626,Import!J:J)</f>
        <v>0</v>
      </c>
      <c r="P626" s="99">
        <f t="shared" ref="P626:P627" si="925">O626-M626</f>
        <v>0</v>
      </c>
      <c r="Q626" s="99">
        <f>SUMIF(Import!$B:$B,$A626,Import!K:K)</f>
        <v>0</v>
      </c>
      <c r="R626" s="99">
        <f>SUMIF(Import!$B:$B,$A626,Import!L:L)</f>
        <v>0</v>
      </c>
      <c r="S626" s="99">
        <f>SUMIF(Import!$B:$B,$A626,Import!M:M)</f>
        <v>0</v>
      </c>
      <c r="T626" s="99">
        <f>SUMIF(Import!$B:$B,$A626,Import!N:N)</f>
        <v>0</v>
      </c>
      <c r="U626" s="99">
        <f t="shared" ref="U626:U627" si="926">T626-M626</f>
        <v>0</v>
      </c>
      <c r="V626" s="255" t="str">
        <f t="shared" ref="V626:V627" si="927">IF(M626=0,"N/A",T626/M626-1)</f>
        <v>N/A</v>
      </c>
      <c r="W626" s="102" t="s">
        <v>2496</v>
      </c>
      <c r="X626" s="102"/>
      <c r="Y626" s="102"/>
      <c r="AA626" s="615"/>
      <c r="AC626" s="300"/>
      <c r="AD626" s="300"/>
      <c r="AE626" s="300"/>
      <c r="AF626" s="300"/>
      <c r="AG626" s="300"/>
      <c r="AJ626" s="300"/>
      <c r="AK626" s="300"/>
      <c r="AL626" s="300"/>
      <c r="AM626" s="300"/>
      <c r="AN626" s="300"/>
    </row>
    <row r="627" spans="1:59" ht="15" customHeight="1">
      <c r="A627" s="555" t="s">
        <v>2497</v>
      </c>
      <c r="B627" s="217" t="str">
        <f t="shared" si="920"/>
        <v>100</v>
      </c>
      <c r="C627" s="217" t="str">
        <f t="shared" si="921"/>
        <v>14</v>
      </c>
      <c r="D627" s="101" t="str">
        <f t="shared" si="922"/>
        <v>147</v>
      </c>
      <c r="E627" s="217" t="str">
        <f t="shared" si="923"/>
        <v>100-14-147</v>
      </c>
      <c r="F627" s="294" t="str">
        <f t="shared" si="924"/>
        <v>52470</v>
      </c>
      <c r="G627" s="295" t="str">
        <f>VLOOKUP(F627,'GL Category'!A:C,3,FALSE)</f>
        <v>Operations &amp; maintenance</v>
      </c>
      <c r="H627" s="98" t="str">
        <f>VLOOKUP(F627,'GL Category'!A:C,2,FALSE)</f>
        <v>EQUIPMENT MAINTENANCE</v>
      </c>
      <c r="I627" s="99">
        <f>SUMIF(Import!$B:$B,$A627,Import!D:D)</f>
        <v>0</v>
      </c>
      <c r="J627" s="99">
        <f>SUMIF(Import!$B:$B,$A627,Import!E:E)</f>
        <v>0</v>
      </c>
      <c r="K627" s="99">
        <f>SUMIF(Import!$B:$B,$A627,Import!F:F)</f>
        <v>0</v>
      </c>
      <c r="L627" s="99">
        <f>SUMIF(Import!$B:$B,$A627,Import!G:G)</f>
        <v>0</v>
      </c>
      <c r="M627" s="99">
        <f>SUMIF(Import!$B:$B,$A627,Import!H:H)</f>
        <v>0</v>
      </c>
      <c r="N627" s="99">
        <f>SUMIF(Import!$B:$B,$A627,Import!I:I)</f>
        <v>0</v>
      </c>
      <c r="O627" s="99">
        <f>SUMIF(Import!$B:$B,$A627,Import!J:J)</f>
        <v>0</v>
      </c>
      <c r="P627" s="99">
        <f t="shared" si="925"/>
        <v>0</v>
      </c>
      <c r="Q627" s="99">
        <f>SUMIF(Import!$B:$B,$A627,Import!K:K)</f>
        <v>0</v>
      </c>
      <c r="R627" s="99">
        <f>SUMIF(Import!$B:$B,$A627,Import!L:L)</f>
        <v>0</v>
      </c>
      <c r="S627" s="99">
        <f>SUMIF(Import!$B:$B,$A627,Import!M:M)</f>
        <v>0</v>
      </c>
      <c r="T627" s="99">
        <f>SUMIF(Import!$B:$B,$A627,Import!N:N)</f>
        <v>0</v>
      </c>
      <c r="U627" s="99">
        <f t="shared" si="926"/>
        <v>0</v>
      </c>
      <c r="V627" s="255" t="str">
        <f t="shared" si="927"/>
        <v>N/A</v>
      </c>
      <c r="W627" s="102" t="s">
        <v>2497</v>
      </c>
      <c r="X627" s="102"/>
      <c r="Y627" s="102"/>
      <c r="AA627" s="615"/>
      <c r="AC627" s="300"/>
      <c r="AD627" s="300"/>
      <c r="AE627" s="300"/>
      <c r="AF627" s="300"/>
      <c r="AG627" s="300"/>
      <c r="AJ627" s="300"/>
      <c r="AK627" s="300"/>
      <c r="AL627" s="300"/>
      <c r="AM627" s="300"/>
      <c r="AN627" s="300"/>
    </row>
    <row r="628" spans="1:59" ht="24.6" customHeight="1">
      <c r="A628" s="297"/>
      <c r="B628" s="217"/>
      <c r="C628" s="217"/>
      <c r="D628" s="101"/>
      <c r="E628" s="101"/>
      <c r="F628" s="294"/>
      <c r="G628" s="295"/>
      <c r="H628" s="107" t="str">
        <f>UPPER(G627)&amp;" TOTAL"</f>
        <v>OPERATIONS &amp; MAINTENANCE TOTAL</v>
      </c>
      <c r="I628" s="109">
        <f t="shared" ref="I628" si="928">SUBTOTAL(9,I626:I627)</f>
        <v>0</v>
      </c>
      <c r="J628" s="109">
        <f t="shared" ref="J628:T628" si="929">SUBTOTAL(9,J626:J627)</f>
        <v>0</v>
      </c>
      <c r="K628" s="109">
        <f t="shared" ref="K628" si="930">SUBTOTAL(9,K626:K627)</f>
        <v>0</v>
      </c>
      <c r="L628" s="109">
        <f t="shared" ref="L628" si="931">SUBTOTAL(9,L626:L627)</f>
        <v>0</v>
      </c>
      <c r="M628" s="109">
        <f t="shared" si="929"/>
        <v>0</v>
      </c>
      <c r="N628" s="109">
        <f t="shared" ref="N628" si="932">SUBTOTAL(9,N626:N627)</f>
        <v>0</v>
      </c>
      <c r="O628" s="109">
        <f t="shared" si="929"/>
        <v>0</v>
      </c>
      <c r="P628" s="109">
        <f t="shared" si="929"/>
        <v>0</v>
      </c>
      <c r="Q628" s="109">
        <f t="shared" si="929"/>
        <v>0</v>
      </c>
      <c r="R628" s="109">
        <f t="shared" si="929"/>
        <v>0</v>
      </c>
      <c r="S628" s="109">
        <f t="shared" si="929"/>
        <v>0</v>
      </c>
      <c r="T628" s="109">
        <f t="shared" si="929"/>
        <v>0</v>
      </c>
      <c r="U628" s="99">
        <f>T628-M628</f>
        <v>0</v>
      </c>
      <c r="V628" s="255" t="str">
        <f>IF(M628=0,"N/A",T628/M628-1)</f>
        <v>N/A</v>
      </c>
      <c r="W628" s="102"/>
      <c r="X628" s="102"/>
      <c r="Y628" s="102"/>
      <c r="AA628" s="615"/>
      <c r="AC628" s="300"/>
      <c r="AD628" s="300"/>
      <c r="AE628" s="300"/>
      <c r="AF628" s="300"/>
      <c r="AG628" s="300"/>
      <c r="AJ628" s="300"/>
      <c r="AK628" s="300"/>
      <c r="AL628" s="300"/>
      <c r="AM628" s="300"/>
      <c r="AN628" s="300"/>
    </row>
    <row r="629" spans="1:59" ht="15" customHeight="1">
      <c r="A629" s="297"/>
      <c r="B629" s="217"/>
      <c r="C629" s="217"/>
      <c r="D629" s="101"/>
      <c r="E629" s="101"/>
      <c r="F629" s="294"/>
      <c r="G629" s="295"/>
      <c r="H629" s="98"/>
      <c r="I629" s="106"/>
      <c r="J629" s="106"/>
      <c r="K629" s="106"/>
      <c r="L629" s="106"/>
      <c r="M629" s="106"/>
      <c r="N629" s="112"/>
      <c r="O629" s="112"/>
      <c r="P629" s="112"/>
      <c r="Q629" s="113"/>
      <c r="R629" s="113"/>
      <c r="S629" s="113"/>
      <c r="T629" s="113"/>
      <c r="U629" s="113"/>
      <c r="V629" s="113"/>
      <c r="W629" s="102"/>
      <c r="X629" s="102"/>
      <c r="Y629" s="102"/>
      <c r="AA629" s="615"/>
      <c r="AC629" s="300"/>
      <c r="AD629" s="300"/>
      <c r="AE629" s="300"/>
      <c r="AF629" s="300"/>
      <c r="AG629" s="300"/>
      <c r="AJ629" s="300"/>
      <c r="AK629" s="300"/>
      <c r="AL629" s="300"/>
      <c r="AM629" s="300"/>
      <c r="AN629" s="300"/>
    </row>
    <row r="630" spans="1:59" ht="15" customHeight="1">
      <c r="A630" s="555" t="s">
        <v>2498</v>
      </c>
      <c r="B630" s="217" t="str">
        <f t="shared" ref="B630" si="933">LEFT(A630,3)</f>
        <v>100</v>
      </c>
      <c r="C630" s="217" t="str">
        <f t="shared" ref="C630" si="934">MID(A630,5,2)</f>
        <v>14</v>
      </c>
      <c r="D630" s="101" t="str">
        <f t="shared" ref="D630" si="935">MID(A630,8,3)</f>
        <v>147</v>
      </c>
      <c r="E630" s="217" t="str">
        <f t="shared" ref="E630" si="936">LEFT(A630,10)</f>
        <v>100-14-147</v>
      </c>
      <c r="F630" s="294" t="str">
        <f t="shared" ref="F630" si="937">RIGHT(A630,5)</f>
        <v>53599</v>
      </c>
      <c r="G630" s="295" t="str">
        <f>VLOOKUP(F630,'GL Category'!A:C,3,FALSE)</f>
        <v>Services &amp; other</v>
      </c>
      <c r="H630" s="98" t="str">
        <f>VLOOKUP(F630,'GL Category'!A:C,2,FALSE)</f>
        <v>MISCELLANEOUS SERVICES</v>
      </c>
      <c r="I630" s="99">
        <f>SUMIF(Import!$B:$B,$A630,Import!D:D)</f>
        <v>0</v>
      </c>
      <c r="J630" s="99">
        <f>SUMIF(Import!$B:$B,$A630,Import!E:E)</f>
        <v>0</v>
      </c>
      <c r="K630" s="99">
        <f>SUMIF(Import!$B:$B,$A630,Import!F:F)</f>
        <v>0</v>
      </c>
      <c r="L630" s="99">
        <f>SUMIF(Import!$B:$B,$A630,Import!G:G)</f>
        <v>0</v>
      </c>
      <c r="M630" s="99">
        <f>SUMIF(Import!$B:$B,$A630,Import!H:H)</f>
        <v>0</v>
      </c>
      <c r="N630" s="99">
        <f>SUMIF(Import!$B:$B,$A630,Import!I:I)</f>
        <v>0</v>
      </c>
      <c r="O630" s="99">
        <f>SUMIF(Import!$B:$B,$A630,Import!J:J)</f>
        <v>0</v>
      </c>
      <c r="P630" s="99">
        <f t="shared" ref="P630" si="938">O630-M630</f>
        <v>0</v>
      </c>
      <c r="Q630" s="99">
        <f>SUMIF(Import!$B:$B,$A630,Import!K:K)</f>
        <v>0</v>
      </c>
      <c r="R630" s="99">
        <f>SUMIF(Import!$B:$B,$A630,Import!L:L)</f>
        <v>0</v>
      </c>
      <c r="S630" s="99">
        <f>SUMIF(Import!$B:$B,$A630,Import!M:M)</f>
        <v>0</v>
      </c>
      <c r="T630" s="99">
        <f>SUMIF(Import!$B:$B,$A630,Import!N:N)</f>
        <v>0</v>
      </c>
      <c r="U630" s="99">
        <f t="shared" ref="U630" si="939">T630-M630</f>
        <v>0</v>
      </c>
      <c r="V630" s="255" t="str">
        <f t="shared" ref="V630" si="940">IF(M630=0,"N/A",T630/M630-1)</f>
        <v>N/A</v>
      </c>
      <c r="W630" s="102" t="s">
        <v>2498</v>
      </c>
      <c r="X630" s="102"/>
      <c r="Y630" s="102"/>
      <c r="AA630" s="615"/>
      <c r="AC630" s="300"/>
      <c r="AD630" s="300"/>
      <c r="AE630" s="300"/>
      <c r="AF630" s="300"/>
      <c r="AG630" s="300"/>
      <c r="AJ630" s="300"/>
      <c r="AK630" s="300"/>
      <c r="AL630" s="300"/>
      <c r="AM630" s="300"/>
      <c r="AN630" s="300"/>
    </row>
    <row r="631" spans="1:59" ht="15" customHeight="1">
      <c r="A631" s="297"/>
      <c r="B631" s="217"/>
      <c r="C631" s="217"/>
      <c r="D631" s="101"/>
      <c r="E631" s="101"/>
      <c r="F631" s="294"/>
      <c r="G631" s="295"/>
      <c r="H631" s="107" t="str">
        <f>UPPER(G630)&amp;" TOTAL"</f>
        <v>SERVICES &amp; OTHER TOTAL</v>
      </c>
      <c r="I631" s="109">
        <f t="shared" ref="I631" si="941">SUBTOTAL(9,I630:I630)</f>
        <v>0</v>
      </c>
      <c r="J631" s="109">
        <f t="shared" ref="J631:T631" si="942">SUBTOTAL(9,J630:J630)</f>
        <v>0</v>
      </c>
      <c r="K631" s="109">
        <f t="shared" ref="K631" si="943">SUBTOTAL(9,K630:K630)</f>
        <v>0</v>
      </c>
      <c r="L631" s="109">
        <f t="shared" ref="L631" si="944">SUBTOTAL(9,L630:L630)</f>
        <v>0</v>
      </c>
      <c r="M631" s="109">
        <f t="shared" si="942"/>
        <v>0</v>
      </c>
      <c r="N631" s="109">
        <f t="shared" ref="N631" si="945">SUBTOTAL(9,N630:N630)</f>
        <v>0</v>
      </c>
      <c r="O631" s="109">
        <f t="shared" si="942"/>
        <v>0</v>
      </c>
      <c r="P631" s="109">
        <f t="shared" si="942"/>
        <v>0</v>
      </c>
      <c r="Q631" s="109">
        <f t="shared" si="942"/>
        <v>0</v>
      </c>
      <c r="R631" s="109">
        <f t="shared" si="942"/>
        <v>0</v>
      </c>
      <c r="S631" s="109">
        <f t="shared" si="942"/>
        <v>0</v>
      </c>
      <c r="T631" s="109">
        <f t="shared" si="942"/>
        <v>0</v>
      </c>
      <c r="U631" s="99">
        <f>T631-M631</f>
        <v>0</v>
      </c>
      <c r="V631" s="255" t="str">
        <f>IF(M631=0,"N/A",T631/M631-1)</f>
        <v>N/A</v>
      </c>
      <c r="W631" s="102"/>
      <c r="X631" s="102"/>
      <c r="Y631" s="102"/>
      <c r="AA631" s="615"/>
      <c r="AC631" s="300"/>
      <c r="AD631" s="300"/>
      <c r="AE631" s="300"/>
      <c r="AF631" s="300"/>
      <c r="AG631" s="300"/>
      <c r="AJ631" s="300"/>
      <c r="AK631" s="300"/>
      <c r="AL631" s="300"/>
      <c r="AM631" s="300"/>
      <c r="AN631" s="300"/>
    </row>
    <row r="632" spans="1:59" ht="15" customHeight="1">
      <c r="A632" s="297"/>
      <c r="B632" s="217"/>
      <c r="C632" s="217"/>
      <c r="D632" s="101"/>
      <c r="E632" s="101"/>
      <c r="F632" s="294"/>
      <c r="G632" s="295"/>
      <c r="H632" s="98"/>
      <c r="I632" s="106"/>
      <c r="J632" s="106"/>
      <c r="K632" s="106"/>
      <c r="L632" s="106"/>
      <c r="M632" s="106"/>
      <c r="N632" s="112"/>
      <c r="O632" s="112"/>
      <c r="P632" s="112"/>
      <c r="Q632" s="113"/>
      <c r="R632" s="113"/>
      <c r="S632" s="113"/>
      <c r="T632" s="113"/>
      <c r="U632" s="113"/>
      <c r="V632" s="113"/>
      <c r="W632" s="102"/>
      <c r="X632" s="102"/>
      <c r="Y632" s="102"/>
      <c r="AA632" s="615"/>
      <c r="AC632" s="300"/>
      <c r="AD632" s="300"/>
      <c r="AE632" s="300"/>
      <c r="AF632" s="300"/>
      <c r="AG632" s="300"/>
      <c r="AJ632" s="300"/>
      <c r="AK632" s="300"/>
      <c r="AL632" s="300"/>
      <c r="AM632" s="300"/>
      <c r="AN632" s="300"/>
    </row>
    <row r="633" spans="1:59" s="115" customFormat="1" ht="15" customHeight="1">
      <c r="A633" s="297"/>
      <c r="B633" s="217"/>
      <c r="C633" s="217"/>
      <c r="D633" s="101"/>
      <c r="E633" s="101"/>
      <c r="F633" s="294"/>
      <c r="G633" s="295"/>
      <c r="H633" s="114" t="s">
        <v>763</v>
      </c>
      <c r="I633" s="108">
        <f t="shared" ref="I633" si="946">SUBTOTAL(9,I619:I631)</f>
        <v>0</v>
      </c>
      <c r="J633" s="108">
        <f t="shared" ref="J633:T633" si="947">SUBTOTAL(9,J619:J631)</f>
        <v>0</v>
      </c>
      <c r="K633" s="108">
        <f t="shared" ref="K633" si="948">SUBTOTAL(9,K619:K631)</f>
        <v>0</v>
      </c>
      <c r="L633" s="108">
        <f t="shared" ref="L633" si="949">SUBTOTAL(9,L619:L631)</f>
        <v>0</v>
      </c>
      <c r="M633" s="108">
        <f t="shared" si="947"/>
        <v>0</v>
      </c>
      <c r="N633" s="108">
        <f t="shared" ref="N633" si="950">SUBTOTAL(9,N619:N631)</f>
        <v>0</v>
      </c>
      <c r="O633" s="108">
        <f t="shared" si="947"/>
        <v>0</v>
      </c>
      <c r="P633" s="108">
        <f t="shared" si="947"/>
        <v>0</v>
      </c>
      <c r="Q633" s="108">
        <f t="shared" si="947"/>
        <v>0</v>
      </c>
      <c r="R633" s="108">
        <f t="shared" si="947"/>
        <v>0</v>
      </c>
      <c r="S633" s="108">
        <f t="shared" si="947"/>
        <v>0</v>
      </c>
      <c r="T633" s="108">
        <f t="shared" si="947"/>
        <v>0</v>
      </c>
      <c r="U633" s="99">
        <f>T633-M633</f>
        <v>0</v>
      </c>
      <c r="V633" s="255" t="str">
        <f>IF(M633=0,"N/A",T633/M633-1)</f>
        <v>N/A</v>
      </c>
      <c r="W633" s="102"/>
      <c r="X633" s="102"/>
      <c r="Y633" s="102"/>
      <c r="Z633" s="192"/>
      <c r="AA633" s="615"/>
      <c r="AB633" s="307"/>
      <c r="AC633" s="300"/>
      <c r="AD633" s="300"/>
      <c r="AE633" s="300"/>
      <c r="AF633" s="300"/>
      <c r="AG633" s="300"/>
      <c r="AH633" s="307"/>
      <c r="AI633" s="307"/>
      <c r="AJ633" s="300"/>
      <c r="AK633" s="300"/>
      <c r="AL633" s="300"/>
      <c r="AM633" s="300"/>
      <c r="AN633" s="300"/>
      <c r="AO633" s="192"/>
      <c r="AP633" s="192"/>
      <c r="AQ633" s="192"/>
    </row>
    <row r="634" spans="1:59" s="115" customFormat="1" ht="15" customHeight="1" thickBot="1">
      <c r="A634" s="297"/>
      <c r="B634" s="217"/>
      <c r="C634" s="217"/>
      <c r="D634" s="101"/>
      <c r="E634" s="101"/>
      <c r="F634" s="294"/>
      <c r="G634" s="295"/>
      <c r="H634" s="98"/>
      <c r="I634" s="218"/>
      <c r="J634" s="218"/>
      <c r="K634" s="218"/>
      <c r="L634" s="218"/>
      <c r="M634" s="218"/>
      <c r="N634" s="96"/>
      <c r="O634" s="96"/>
      <c r="P634" s="96"/>
      <c r="Q634" s="212"/>
      <c r="R634" s="212"/>
      <c r="S634" s="212"/>
      <c r="T634" s="212"/>
      <c r="U634" s="212"/>
      <c r="V634" s="212"/>
      <c r="W634" s="102"/>
      <c r="X634" s="102"/>
      <c r="Y634" s="102"/>
      <c r="Z634" s="192"/>
      <c r="AA634" s="615"/>
      <c r="AB634" s="307"/>
      <c r="AC634" s="94"/>
      <c r="AD634" s="94"/>
      <c r="AE634" s="94"/>
      <c r="AF634" s="94"/>
      <c r="AG634" s="94"/>
      <c r="AH634" s="307"/>
      <c r="AI634" s="307"/>
      <c r="AJ634" s="94"/>
      <c r="AK634" s="94"/>
      <c r="AL634" s="94"/>
      <c r="AM634" s="94"/>
      <c r="AN634" s="94"/>
      <c r="AO634" s="192"/>
      <c r="AP634" s="192"/>
      <c r="AQ634" s="192"/>
    </row>
    <row r="635" spans="1:59" s="115" customFormat="1" ht="27" customHeight="1" thickBot="1">
      <c r="A635" s="297"/>
      <c r="B635" s="217"/>
      <c r="C635" s="217"/>
      <c r="D635" s="101"/>
      <c r="E635" s="101"/>
      <c r="F635" s="294"/>
      <c r="G635" s="295"/>
      <c r="H635" s="665" t="s">
        <v>764</v>
      </c>
      <c r="I635" s="666"/>
      <c r="J635" s="666"/>
      <c r="K635" s="666"/>
      <c r="L635" s="666"/>
      <c r="M635" s="666"/>
      <c r="N635" s="666"/>
      <c r="O635" s="666"/>
      <c r="P635" s="666"/>
      <c r="Q635" s="666"/>
      <c r="R635" s="666"/>
      <c r="S635" s="666"/>
      <c r="T635" s="667"/>
      <c r="U635" s="247"/>
      <c r="V635" s="247"/>
      <c r="W635" s="102"/>
      <c r="X635" s="102"/>
      <c r="Y635" s="102"/>
      <c r="Z635" s="192"/>
      <c r="AA635" s="615"/>
      <c r="AB635" s="307"/>
      <c r="AC635" s="93"/>
      <c r="AD635" s="93"/>
      <c r="AE635" s="93"/>
      <c r="AF635" s="93"/>
      <c r="AG635" s="93"/>
      <c r="AH635" s="307"/>
      <c r="AI635" s="307"/>
      <c r="AJ635" s="93"/>
      <c r="AK635" s="93"/>
      <c r="AL635" s="93"/>
      <c r="AM635" s="93"/>
      <c r="AN635" s="93"/>
      <c r="AO635" s="192"/>
      <c r="AP635" s="192"/>
      <c r="AQ635" s="192"/>
    </row>
    <row r="636" spans="1:59" s="115" customFormat="1" ht="15" customHeight="1">
      <c r="A636" s="104"/>
      <c r="B636" s="104"/>
      <c r="C636" s="104"/>
      <c r="D636" s="104"/>
      <c r="E636" s="104"/>
      <c r="F636" s="104"/>
      <c r="G636" s="104"/>
      <c r="H636" s="225"/>
      <c r="I636" s="225"/>
      <c r="J636" s="225"/>
      <c r="K636" s="225"/>
      <c r="L636" s="225"/>
      <c r="M636" s="225"/>
      <c r="N636" s="225"/>
      <c r="O636" s="225"/>
      <c r="P636" s="225"/>
      <c r="Q636" s="225"/>
      <c r="R636" s="225"/>
      <c r="S636" s="225"/>
      <c r="T636" s="225"/>
      <c r="U636" s="225"/>
      <c r="V636" s="225"/>
      <c r="W636" s="102"/>
      <c r="X636" s="102"/>
      <c r="Y636" s="102"/>
      <c r="Z636" s="192"/>
      <c r="AA636" s="615"/>
      <c r="AB636" s="307"/>
      <c r="AC636" s="300"/>
      <c r="AD636" s="300"/>
      <c r="AE636" s="300"/>
      <c r="AF636" s="300"/>
      <c r="AG636" s="300"/>
      <c r="AH636" s="307"/>
      <c r="AI636" s="307"/>
      <c r="AJ636" s="300"/>
      <c r="AK636" s="300"/>
      <c r="AL636" s="300"/>
      <c r="AM636" s="300"/>
      <c r="AN636" s="300"/>
      <c r="AO636" s="192"/>
      <c r="AP636" s="192"/>
      <c r="AQ636" s="192"/>
    </row>
    <row r="637" spans="1:59" ht="15" customHeight="1">
      <c r="A637" s="555" t="s">
        <v>2499</v>
      </c>
      <c r="B637" s="217" t="str">
        <f t="shared" ref="B637:B638" si="951">LEFT(A637,3)</f>
        <v>100</v>
      </c>
      <c r="C637" s="217" t="str">
        <f t="shared" ref="C637:C638" si="952">MID(A637,5,2)</f>
        <v>14</v>
      </c>
      <c r="D637" s="101" t="str">
        <f t="shared" ref="D637:D638" si="953">MID(A637,8,3)</f>
        <v>149</v>
      </c>
      <c r="E637" s="217" t="str">
        <f t="shared" ref="E637:E638" si="954">LEFT(A637,10)</f>
        <v>100-14-149</v>
      </c>
      <c r="F637" s="294" t="str">
        <f t="shared" ref="F637:F638" si="955">RIGHT(A637,5)</f>
        <v>53599</v>
      </c>
      <c r="G637" s="295" t="str">
        <f>VLOOKUP(F637,'GL Category'!A:C,3,FALSE)</f>
        <v>Services &amp; other</v>
      </c>
      <c r="H637" s="98" t="str">
        <f>VLOOKUP(F637,'GL Category'!A:C,2,FALSE)</f>
        <v>MISCELLANEOUS SERVICES</v>
      </c>
      <c r="I637" s="99">
        <f>SUMIF(Import!$B:$B,$A637,Import!D:D)</f>
        <v>0</v>
      </c>
      <c r="J637" s="99">
        <f>SUMIF(Import!$B:$B,$A637,Import!E:E)</f>
        <v>0</v>
      </c>
      <c r="K637" s="99">
        <f>SUMIF(Import!$B:$B,$A637,Import!F:F)</f>
        <v>0</v>
      </c>
      <c r="L637" s="99">
        <f>SUMIF(Import!$B:$B,$A637,Import!G:G)</f>
        <v>0</v>
      </c>
      <c r="M637" s="99">
        <f>SUMIF(Import!$B:$B,$A637,Import!H:H)</f>
        <v>0</v>
      </c>
      <c r="N637" s="99">
        <f>SUMIF(Import!$B:$B,$A637,Import!I:I)</f>
        <v>0</v>
      </c>
      <c r="O637" s="99">
        <f>SUMIF(Import!$B:$B,$A637,Import!J:J)</f>
        <v>0</v>
      </c>
      <c r="P637" s="99">
        <f t="shared" ref="P637:P638" si="956">O637-M637</f>
        <v>0</v>
      </c>
      <c r="Q637" s="99">
        <f>SUMIF(Import!$B:$B,$A637,Import!K:K)</f>
        <v>0</v>
      </c>
      <c r="R637" s="99">
        <f>SUMIF(Import!$B:$B,$A637,Import!L:L)</f>
        <v>0</v>
      </c>
      <c r="S637" s="99">
        <f>SUMIF(Import!$B:$B,$A637,Import!M:M)</f>
        <v>0</v>
      </c>
      <c r="T637" s="99">
        <f>SUMIF(Import!$B:$B,$A637,Import!N:N)</f>
        <v>0</v>
      </c>
      <c r="U637" s="99">
        <f t="shared" ref="U637:U638" si="957">T637-M637</f>
        <v>0</v>
      </c>
      <c r="V637" s="255" t="str">
        <f t="shared" ref="V637:V638" si="958">IF(M637=0,"N/A",T637/M637-1)</f>
        <v>N/A</v>
      </c>
      <c r="W637" s="102" t="s">
        <v>2499</v>
      </c>
      <c r="X637" s="102"/>
      <c r="Y637" s="102"/>
      <c r="AA637" s="615"/>
      <c r="AC637" s="300"/>
      <c r="AD637" s="300"/>
      <c r="AE637" s="300"/>
      <c r="AF637" s="300"/>
      <c r="AG637" s="300"/>
      <c r="AJ637" s="300"/>
      <c r="AK637" s="300"/>
      <c r="AL637" s="300"/>
      <c r="AM637" s="300"/>
      <c r="AN637" s="300"/>
    </row>
    <row r="638" spans="1:59" ht="15" customHeight="1">
      <c r="A638" s="555" t="s">
        <v>2500</v>
      </c>
      <c r="B638" s="217" t="str">
        <f t="shared" si="951"/>
        <v>100</v>
      </c>
      <c r="C638" s="217" t="str">
        <f t="shared" si="952"/>
        <v>14</v>
      </c>
      <c r="D638" s="101" t="str">
        <f t="shared" si="953"/>
        <v>148</v>
      </c>
      <c r="E638" s="217" t="str">
        <f t="shared" si="954"/>
        <v>100-14-148</v>
      </c>
      <c r="F638" s="294" t="str">
        <f t="shared" si="955"/>
        <v>53545</v>
      </c>
      <c r="G638" s="295" t="str">
        <f>VLOOKUP(F638,'GL Category'!A:C,3,FALSE)</f>
        <v>Services &amp; other</v>
      </c>
      <c r="H638" s="98" t="str">
        <f>VLOOKUP(F638,'GL Category'!A:C,2,FALSE)</f>
        <v>ECONOMIC DEVEL INCENTIVES</v>
      </c>
      <c r="I638" s="99">
        <f>SUMIF(Import!$B:$B,$A638,Import!D:D)</f>
        <v>563694.96</v>
      </c>
      <c r="J638" s="99">
        <f>SUMIF(Import!$B:$B,$A638,Import!E:E)</f>
        <v>82215.570000000007</v>
      </c>
      <c r="K638" s="99">
        <f>SUMIF(Import!$B:$B,$A638,Import!F:F)</f>
        <v>47544.36</v>
      </c>
      <c r="L638" s="99">
        <f>SUMIF(Import!$B:$B,$A638,Import!G:G)</f>
        <v>26242.36</v>
      </c>
      <c r="M638" s="99">
        <f>SUMIF(Import!$B:$B,$A638,Import!H:H)</f>
        <v>408963</v>
      </c>
      <c r="N638" s="99">
        <f>SUMIF(Import!$B:$B,$A638,Import!I:I)</f>
        <v>19540.53</v>
      </c>
      <c r="O638" s="99">
        <f>SUMIF(Import!$B:$B,$A638,Import!J:J)</f>
        <v>33661</v>
      </c>
      <c r="P638" s="99">
        <f t="shared" si="956"/>
        <v>-375302</v>
      </c>
      <c r="Q638" s="99">
        <f>SUMIF(Import!$B:$B,$A638,Import!K:K)</f>
        <v>451272</v>
      </c>
      <c r="R638" s="99">
        <f>SUMIF(Import!$B:$B,$A638,Import!L:L)</f>
        <v>0</v>
      </c>
      <c r="S638" s="99">
        <f>SUMIF(Import!$B:$B,$A638,Import!M:M)</f>
        <v>0</v>
      </c>
      <c r="T638" s="99">
        <f>SUMIF(Import!$B:$B,$A638,Import!N:N)</f>
        <v>451272</v>
      </c>
      <c r="U638" s="99">
        <f t="shared" si="957"/>
        <v>42309</v>
      </c>
      <c r="V638" s="255">
        <f t="shared" si="958"/>
        <v>0.10345434672574294</v>
      </c>
      <c r="W638" s="102" t="s">
        <v>2500</v>
      </c>
      <c r="X638" s="102"/>
      <c r="Y638" s="102"/>
      <c r="AA638" s="615"/>
      <c r="AC638" s="300"/>
      <c r="AD638" s="300"/>
      <c r="AE638" s="300"/>
      <c r="AF638" s="300"/>
      <c r="AG638" s="300"/>
      <c r="AJ638" s="300"/>
      <c r="AK638" s="300"/>
      <c r="AL638" s="300"/>
      <c r="AM638" s="300"/>
      <c r="AN638" s="300"/>
    </row>
    <row r="639" spans="1:59" ht="15" customHeight="1">
      <c r="A639" s="297"/>
      <c r="B639" s="217"/>
      <c r="C639" s="217"/>
      <c r="D639" s="101"/>
      <c r="E639" s="101"/>
      <c r="F639" s="294"/>
      <c r="G639" s="295"/>
      <c r="H639" s="107" t="str">
        <f>UPPER(G638)&amp;" TOTAL"</f>
        <v>SERVICES &amp; OTHER TOTAL</v>
      </c>
      <c r="I639" s="108">
        <f t="shared" ref="I639" si="959">SUBTOTAL(9,I637:I638)</f>
        <v>563694.96</v>
      </c>
      <c r="J639" s="108">
        <f t="shared" ref="J639:T639" si="960">SUBTOTAL(9,J637:J638)</f>
        <v>82215.570000000007</v>
      </c>
      <c r="K639" s="108">
        <f t="shared" ref="K639" si="961">SUBTOTAL(9,K637:K638)</f>
        <v>47544.36</v>
      </c>
      <c r="L639" s="108">
        <f t="shared" ref="L639" si="962">SUBTOTAL(9,L637:L638)</f>
        <v>26242.36</v>
      </c>
      <c r="M639" s="108">
        <f t="shared" si="960"/>
        <v>408963</v>
      </c>
      <c r="N639" s="108">
        <f t="shared" ref="N639" si="963">SUBTOTAL(9,N637:N638)</f>
        <v>19540.53</v>
      </c>
      <c r="O639" s="108">
        <f t="shared" si="960"/>
        <v>33661</v>
      </c>
      <c r="P639" s="108">
        <f t="shared" si="960"/>
        <v>-375302</v>
      </c>
      <c r="Q639" s="108">
        <f t="shared" si="960"/>
        <v>451272</v>
      </c>
      <c r="R639" s="108">
        <f t="shared" si="960"/>
        <v>0</v>
      </c>
      <c r="S639" s="108">
        <f t="shared" si="960"/>
        <v>0</v>
      </c>
      <c r="T639" s="108">
        <f t="shared" si="960"/>
        <v>451272</v>
      </c>
      <c r="U639" s="99">
        <f>T639-M639</f>
        <v>42309</v>
      </c>
      <c r="V639" s="255">
        <f>IF(M639=0,"N/A",T639/M639-1)</f>
        <v>0.10345434672574294</v>
      </c>
      <c r="W639" s="102"/>
      <c r="X639" s="102"/>
      <c r="Y639" s="102"/>
      <c r="AA639" s="615"/>
      <c r="AC639" s="300"/>
      <c r="AD639" s="300"/>
      <c r="AE639" s="300"/>
      <c r="AF639" s="300"/>
      <c r="AG639" s="300"/>
      <c r="AJ639" s="300"/>
      <c r="AK639" s="300"/>
      <c r="AL639" s="300"/>
      <c r="AM639" s="300"/>
      <c r="AN639" s="300"/>
    </row>
    <row r="640" spans="1:59" ht="15" customHeight="1">
      <c r="A640" s="297"/>
      <c r="B640" s="217"/>
      <c r="C640" s="217"/>
      <c r="D640" s="101"/>
      <c r="E640" s="101"/>
      <c r="F640" s="294"/>
      <c r="G640" s="295"/>
      <c r="H640" s="98"/>
      <c r="I640" s="111"/>
      <c r="J640" s="111"/>
      <c r="K640" s="111"/>
      <c r="L640" s="111"/>
      <c r="M640" s="111"/>
      <c r="N640" s="112"/>
      <c r="O640" s="112"/>
      <c r="P640" s="112"/>
      <c r="Q640" s="113"/>
      <c r="R640" s="113"/>
      <c r="S640" s="113"/>
      <c r="T640" s="113"/>
      <c r="U640" s="113"/>
      <c r="V640" s="113"/>
      <c r="W640" s="102"/>
      <c r="X640" s="102"/>
      <c r="Y640" s="102"/>
      <c r="AA640" s="615"/>
      <c r="AC640" s="94"/>
      <c r="AD640" s="94"/>
      <c r="AE640" s="94"/>
      <c r="AF640" s="94"/>
      <c r="AG640" s="94"/>
      <c r="AJ640" s="94"/>
      <c r="AK640" s="94"/>
      <c r="AL640" s="94"/>
      <c r="AM640" s="94"/>
      <c r="AN640" s="94"/>
    </row>
    <row r="641" spans="1:43" s="115" customFormat="1" ht="15" customHeight="1">
      <c r="A641" s="297"/>
      <c r="B641" s="217"/>
      <c r="C641" s="217"/>
      <c r="D641" s="101"/>
      <c r="E641" s="101"/>
      <c r="F641" s="294"/>
      <c r="G641" s="295"/>
      <c r="H641" s="114" t="s">
        <v>763</v>
      </c>
      <c r="I641" s="108">
        <f t="shared" ref="I641" si="964">SUBTOTAL(9,I638:I640)</f>
        <v>563694.96</v>
      </c>
      <c r="J641" s="108">
        <f t="shared" ref="J641:P641" si="965">SUBTOTAL(9,J638:J640)</f>
        <v>82215.570000000007</v>
      </c>
      <c r="K641" s="108">
        <f t="shared" ref="K641" si="966">SUBTOTAL(9,K638:K640)</f>
        <v>47544.36</v>
      </c>
      <c r="L641" s="108">
        <f t="shared" ref="L641" si="967">SUBTOTAL(9,L638:L640)</f>
        <v>26242.36</v>
      </c>
      <c r="M641" s="108">
        <f t="shared" si="965"/>
        <v>408963</v>
      </c>
      <c r="N641" s="108">
        <f t="shared" ref="N641" si="968">SUBTOTAL(9,N638:N640)</f>
        <v>19540.53</v>
      </c>
      <c r="O641" s="108">
        <f t="shared" si="965"/>
        <v>33661</v>
      </c>
      <c r="P641" s="108">
        <f t="shared" si="965"/>
        <v>-375302</v>
      </c>
      <c r="Q641" s="108">
        <f t="shared" ref="Q641:T641" si="969">SUBTOTAL(9,Q638:Q640)</f>
        <v>451272</v>
      </c>
      <c r="R641" s="108">
        <f t="shared" si="969"/>
        <v>0</v>
      </c>
      <c r="S641" s="108">
        <f t="shared" si="969"/>
        <v>0</v>
      </c>
      <c r="T641" s="108">
        <f t="shared" si="969"/>
        <v>451272</v>
      </c>
      <c r="U641" s="99">
        <f>T641-M641</f>
        <v>42309</v>
      </c>
      <c r="V641" s="255">
        <f>IF(M641=0,"N/A",T641/M641-1)</f>
        <v>0.10345434672574294</v>
      </c>
      <c r="W641" s="102"/>
      <c r="X641" s="102"/>
      <c r="Y641" s="102"/>
      <c r="Z641" s="192"/>
      <c r="AA641" s="615"/>
      <c r="AB641" s="307"/>
      <c r="AC641" s="300"/>
      <c r="AD641" s="300"/>
      <c r="AE641" s="300"/>
      <c r="AF641" s="300"/>
      <c r="AG641" s="300"/>
      <c r="AH641" s="307"/>
      <c r="AI641" s="307"/>
      <c r="AJ641" s="300"/>
      <c r="AK641" s="300"/>
      <c r="AL641" s="300"/>
      <c r="AM641" s="300"/>
      <c r="AN641" s="300"/>
      <c r="AO641" s="192"/>
      <c r="AP641" s="192"/>
      <c r="AQ641" s="192"/>
    </row>
    <row r="642" spans="1:43" s="115" customFormat="1" ht="15" customHeight="1">
      <c r="A642" s="297"/>
      <c r="B642" s="217"/>
      <c r="C642" s="217"/>
      <c r="D642" s="101"/>
      <c r="E642" s="101"/>
      <c r="F642" s="294"/>
      <c r="G642" s="295"/>
      <c r="H642" s="98"/>
      <c r="I642" s="218"/>
      <c r="J642" s="218"/>
      <c r="K642" s="218"/>
      <c r="L642" s="218"/>
      <c r="M642" s="218"/>
      <c r="N642" s="96"/>
      <c r="O642" s="96"/>
      <c r="P642" s="96"/>
      <c r="Q642" s="212"/>
      <c r="R642" s="212"/>
      <c r="S642" s="212"/>
      <c r="T642" s="212"/>
      <c r="U642" s="212"/>
      <c r="V642" s="212"/>
      <c r="W642" s="102"/>
      <c r="X642" s="102"/>
      <c r="Y642" s="102"/>
      <c r="Z642" s="192"/>
      <c r="AA642" s="615"/>
      <c r="AB642" s="307"/>
      <c r="AC642" s="300"/>
      <c r="AD642" s="300"/>
      <c r="AE642" s="300"/>
      <c r="AF642" s="300"/>
      <c r="AG642" s="300"/>
      <c r="AH642" s="307"/>
      <c r="AI642" s="307"/>
      <c r="AJ642" s="300"/>
      <c r="AK642" s="300"/>
      <c r="AL642" s="300"/>
      <c r="AM642" s="300"/>
      <c r="AN642" s="300"/>
      <c r="AO642" s="192"/>
      <c r="AP642" s="192"/>
      <c r="AQ642" s="192"/>
    </row>
    <row r="643" spans="1:43" s="115" customFormat="1" ht="15" customHeight="1" thickBot="1">
      <c r="A643" s="297"/>
      <c r="B643" s="217"/>
      <c r="C643" s="217"/>
      <c r="D643" s="101"/>
      <c r="E643" s="101"/>
      <c r="F643" s="294"/>
      <c r="G643" s="295"/>
      <c r="H643" s="98"/>
      <c r="I643" s="218"/>
      <c r="J643" s="218"/>
      <c r="K643" s="218"/>
      <c r="L643" s="218"/>
      <c r="M643" s="218"/>
      <c r="N643" s="96"/>
      <c r="O643" s="96"/>
      <c r="P643" s="96"/>
      <c r="Q643" s="212"/>
      <c r="R643" s="212"/>
      <c r="S643" s="212"/>
      <c r="T643" s="212"/>
      <c r="U643" s="212"/>
      <c r="V643" s="212"/>
      <c r="W643" s="102"/>
      <c r="X643" s="102"/>
      <c r="Y643" s="102"/>
      <c r="Z643" s="192"/>
      <c r="AA643" s="615"/>
      <c r="AB643" s="307"/>
      <c r="AC643" s="300"/>
      <c r="AD643" s="300"/>
      <c r="AE643" s="300"/>
      <c r="AF643" s="300"/>
      <c r="AG643" s="300"/>
      <c r="AH643" s="307"/>
      <c r="AI643" s="307"/>
      <c r="AJ643" s="300"/>
      <c r="AK643" s="300"/>
      <c r="AL643" s="300"/>
      <c r="AM643" s="300"/>
      <c r="AN643" s="300"/>
      <c r="AO643" s="192"/>
      <c r="AP643" s="192"/>
      <c r="AQ643" s="192"/>
    </row>
    <row r="644" spans="1:43" s="115" customFormat="1" ht="24" customHeight="1" thickBot="1">
      <c r="A644" s="297"/>
      <c r="B644" s="217"/>
      <c r="C644" s="217"/>
      <c r="D644" s="101"/>
      <c r="E644" s="101"/>
      <c r="F644" s="294"/>
      <c r="G644" s="295"/>
      <c r="H644" s="668" t="s">
        <v>619</v>
      </c>
      <c r="I644" s="669"/>
      <c r="J644" s="669"/>
      <c r="K644" s="669"/>
      <c r="L644" s="669"/>
      <c r="M644" s="669"/>
      <c r="N644" s="669"/>
      <c r="O644" s="669"/>
      <c r="P644" s="669"/>
      <c r="Q644" s="669"/>
      <c r="R644" s="669"/>
      <c r="S644" s="669"/>
      <c r="T644" s="670"/>
      <c r="U644" s="252"/>
      <c r="V644" s="252"/>
      <c r="W644" s="102"/>
      <c r="X644" s="102"/>
      <c r="Y644" s="102"/>
      <c r="Z644" s="192"/>
      <c r="AA644" s="615"/>
      <c r="AB644" s="307"/>
      <c r="AC644" s="94"/>
      <c r="AD644" s="94"/>
      <c r="AE644" s="94"/>
      <c r="AF644" s="94"/>
      <c r="AG644" s="94"/>
      <c r="AH644" s="307"/>
      <c r="AI644" s="307"/>
      <c r="AJ644" s="94"/>
      <c r="AK644" s="94"/>
      <c r="AL644" s="94"/>
      <c r="AM644" s="94"/>
      <c r="AN644" s="94"/>
      <c r="AO644" s="192"/>
      <c r="AP644" s="192"/>
      <c r="AQ644" s="192"/>
    </row>
    <row r="645" spans="1:43" s="115" customFormat="1" ht="15" customHeight="1">
      <c r="A645" s="297"/>
      <c r="B645" s="217"/>
      <c r="C645" s="217"/>
      <c r="D645" s="101"/>
      <c r="E645" s="101"/>
      <c r="F645" s="294"/>
      <c r="G645" s="295"/>
      <c r="H645" s="225"/>
      <c r="I645" s="225"/>
      <c r="J645" s="225"/>
      <c r="K645" s="225"/>
      <c r="L645" s="225"/>
      <c r="M645" s="225"/>
      <c r="N645" s="225"/>
      <c r="O645" s="225"/>
      <c r="P645" s="225"/>
      <c r="Q645" s="225"/>
      <c r="R645" s="225"/>
      <c r="S645" s="225"/>
      <c r="T645" s="225"/>
      <c r="U645" s="225"/>
      <c r="V645" s="225"/>
      <c r="W645" s="102"/>
      <c r="X645" s="102"/>
      <c r="Y645" s="102"/>
      <c r="Z645" s="192"/>
      <c r="AA645" s="615"/>
      <c r="AB645" s="307"/>
      <c r="AC645" s="93"/>
      <c r="AD645" s="93"/>
      <c r="AE645" s="93"/>
      <c r="AF645" s="93"/>
      <c r="AG645" s="93"/>
      <c r="AH645" s="307"/>
      <c r="AI645" s="307"/>
      <c r="AJ645" s="93"/>
      <c r="AK645" s="93"/>
      <c r="AL645" s="93"/>
      <c r="AM645" s="93"/>
      <c r="AN645" s="93"/>
      <c r="AO645" s="192"/>
      <c r="AP645" s="192"/>
      <c r="AQ645" s="192"/>
    </row>
    <row r="646" spans="1:43" s="115" customFormat="1" ht="15" customHeight="1">
      <c r="A646" s="296"/>
      <c r="B646" s="217" t="str">
        <f t="shared" ref="B646:B654" si="970">LEFT(A646,3)</f>
        <v/>
      </c>
      <c r="C646" s="217" t="s">
        <v>3129</v>
      </c>
      <c r="D646" s="101"/>
      <c r="E646" s="101"/>
      <c r="F646" s="294" t="s">
        <v>129</v>
      </c>
      <c r="G646" s="295" t="str">
        <f>VLOOKUP(F646,'GL Category'!A:C,3,FALSE)</f>
        <v>Personnel services</v>
      </c>
      <c r="H646" s="98" t="str">
        <f>VLOOKUP(F646,'GL Category'!A:C,2,FALSE)</f>
        <v>EXEMPT SALARIES</v>
      </c>
      <c r="I646" s="99">
        <f>SUMIFS(I$1:I640,$C$1:$C640,$C646,$F$1:$F640,$F646)</f>
        <v>205894.68</v>
      </c>
      <c r="J646" s="99">
        <f>SUMIFS(J$1:J640,$C$1:$C640,$C646,$F$1:$F640,$F646)</f>
        <v>114152.15</v>
      </c>
      <c r="K646" s="99">
        <f>SUMIFS(K$1:K640,$C$1:$C640,$C646,$F$1:$F640,$F646)</f>
        <v>171470.94</v>
      </c>
      <c r="L646" s="99">
        <f>SUMIFS(L$1:L640,$C$1:$C640,$C646,$F$1:$F640,$F646)</f>
        <v>177061.91</v>
      </c>
      <c r="M646" s="99">
        <f>SUMIFS(M$1:M640,$C$1:$C640,$C646,$F$1:$F640,$F646)</f>
        <v>184445</v>
      </c>
      <c r="N646" s="99">
        <f>SUMIFS(N$1:N640,$C$1:$C640,$C646,$F$1:$F640,$F646)</f>
        <v>132955.84</v>
      </c>
      <c r="O646" s="99">
        <f>SUMIFS(O$1:O640,$C$1:$C640,$C646,$F$1:$F640,$F646)</f>
        <v>178207</v>
      </c>
      <c r="P646" s="99">
        <f t="shared" ref="P646:P654" si="971">O646-M646</f>
        <v>-6238</v>
      </c>
      <c r="Q646" s="99">
        <f>SUMIFS(Q$1:Q640,$C$1:$C640,$C646,$F$1:$F640,$F646)</f>
        <v>191902</v>
      </c>
      <c r="R646" s="99">
        <f>SUMIFS(R$1:R640,$C$1:$C640,$C646,$F$1:$F640,$F646)</f>
        <v>0</v>
      </c>
      <c r="S646" s="99">
        <f>SUMIFS(S$1:S640,$C$1:$C640,$C646,$F$1:$F640,$F646)</f>
        <v>0</v>
      </c>
      <c r="T646" s="99">
        <f>SUMIFS(T$1:T640,$C$1:$C640,$C646,$F$1:$F640,$F646)</f>
        <v>191902</v>
      </c>
      <c r="U646" s="99">
        <f t="shared" ref="U646:U656" si="972">T646-M646</f>
        <v>7457</v>
      </c>
      <c r="V646" s="255">
        <f t="shared" ref="V646:V656" si="973">IF(M646=0,"N/A",T646/M646-1)</f>
        <v>4.0429396296999043E-2</v>
      </c>
      <c r="W646" s="102"/>
      <c r="X646" s="102"/>
      <c r="Y646" s="102">
        <f t="shared" ref="Y646:Y655" si="974">T646-X646</f>
        <v>191902</v>
      </c>
      <c r="Z646" s="309">
        <f>Y646*(1+VLOOKUP($F646,'GL Category'!$A:$H,4,FALSE))</f>
        <v>198618.56999999998</v>
      </c>
      <c r="AA646" s="615"/>
      <c r="AB646" s="622">
        <f t="shared" ref="AB646:AB655" si="975">Z646+AA646</f>
        <v>198618.56999999998</v>
      </c>
      <c r="AC646" s="633">
        <f>AB646*(1+VLOOKUP($F646,'GL Category'!$A:$H,5,FALSE))</f>
        <v>205570.21994999997</v>
      </c>
      <c r="AD646" s="307"/>
      <c r="AE646" s="622">
        <f t="shared" ref="AE646:AE655" si="976">AC646+AD646</f>
        <v>205570.21994999997</v>
      </c>
      <c r="AF646" s="633">
        <f>AE646*(1+VLOOKUP($F646,'GL Category'!$A:$H,6,FALSE))</f>
        <v>212765.17764824996</v>
      </c>
      <c r="AG646" s="307"/>
      <c r="AH646" s="622">
        <f t="shared" ref="AH646:AH655" si="977">AF646+AG646</f>
        <v>212765.17764824996</v>
      </c>
      <c r="AI646" s="633">
        <f>AH646*(1+VLOOKUP($F646,'GL Category'!$A:$H,7,FALSE))</f>
        <v>220211.95886593868</v>
      </c>
      <c r="AJ646" s="307"/>
      <c r="AK646" s="622">
        <f t="shared" ref="AK646:AK655" si="978">AI646+AJ646</f>
        <v>220211.95886593868</v>
      </c>
      <c r="AL646" s="633">
        <f>AK646*(1+VLOOKUP($F646,'GL Category'!$A:$H,8,FALSE))</f>
        <v>227919.3774262465</v>
      </c>
      <c r="AM646" s="307"/>
      <c r="AN646" s="622">
        <f t="shared" ref="AN646:AN655" si="979">AL646+AM646</f>
        <v>227919.3774262465</v>
      </c>
      <c r="AO646" s="192"/>
      <c r="AP646" s="192"/>
      <c r="AQ646" s="192"/>
    </row>
    <row r="647" spans="1:43" s="115" customFormat="1" ht="15" customHeight="1">
      <c r="A647" s="296"/>
      <c r="B647" s="217" t="str">
        <f t="shared" ref="B647" si="980">LEFT(A647,3)</f>
        <v/>
      </c>
      <c r="C647" s="217" t="s">
        <v>3129</v>
      </c>
      <c r="D647" s="101"/>
      <c r="E647" s="101"/>
      <c r="F647" s="294" t="s">
        <v>133</v>
      </c>
      <c r="G647" s="295" t="str">
        <f>VLOOKUP(F647,'GL Category'!A:C,3,FALSE)</f>
        <v>Personnel services</v>
      </c>
      <c r="H647" s="98" t="str">
        <f>VLOOKUP(F647,'GL Category'!A:C,2,FALSE)</f>
        <v>OVERTIME</v>
      </c>
      <c r="I647" s="99">
        <f>SUMIFS(I$1:I640,$C$1:$C640,$C647,$F$1:$F640,$F647)</f>
        <v>0</v>
      </c>
      <c r="J647" s="99">
        <f>SUMIFS(J$1:J640,$C$1:$C640,$C647,$F$1:$F640,$F647)</f>
        <v>0</v>
      </c>
      <c r="K647" s="99">
        <f>SUMIFS(K$1:K640,$C$1:$C640,$C647,$F$1:$F640,$F647)</f>
        <v>0</v>
      </c>
      <c r="L647" s="99">
        <f>SUMIFS(L$1:L640,$C$1:$C640,$C647,$F$1:$F640,$F647)</f>
        <v>0</v>
      </c>
      <c r="M647" s="99">
        <f>SUMIFS(M$1:M640,$C$1:$C640,$C647,$F$1:$F640,$F647)</f>
        <v>0</v>
      </c>
      <c r="N647" s="99">
        <f>SUMIFS(N$1:N640,$C$1:$C640,$C647,$F$1:$F640,$F647)</f>
        <v>0</v>
      </c>
      <c r="O647" s="99">
        <f>SUMIFS(O$1:O640,$C$1:$C640,$C647,$F$1:$F640,$F647)</f>
        <v>0</v>
      </c>
      <c r="P647" s="99">
        <f t="shared" ref="P647" si="981">O647-M647</f>
        <v>0</v>
      </c>
      <c r="Q647" s="99">
        <f>SUMIFS(Q$1:Q640,$C$1:$C640,$C647,$F$1:$F640,$F647)</f>
        <v>0</v>
      </c>
      <c r="R647" s="99">
        <f>SUMIFS(R$1:R640,$C$1:$C640,$C647,$F$1:$F640,$F647)</f>
        <v>0</v>
      </c>
      <c r="S647" s="99">
        <f>SUMIFS(S$1:S640,$C$1:$C640,$C647,$F$1:$F640,$F647)</f>
        <v>0</v>
      </c>
      <c r="T647" s="99">
        <f>SUMIFS(T$1:T640,$C$1:$C640,$C647,$F$1:$F640,$F647)</f>
        <v>0</v>
      </c>
      <c r="U647" s="99">
        <f t="shared" si="972"/>
        <v>0</v>
      </c>
      <c r="V647" s="255" t="str">
        <f t="shared" si="973"/>
        <v>N/A</v>
      </c>
      <c r="W647" s="102"/>
      <c r="X647" s="102"/>
      <c r="Y647" s="102">
        <f t="shared" si="974"/>
        <v>0</v>
      </c>
      <c r="Z647" s="309">
        <f>Y647*(1+VLOOKUP($F647,'GL Category'!$A:$H,4,FALSE))</f>
        <v>0</v>
      </c>
      <c r="AA647" s="615"/>
      <c r="AB647" s="622">
        <f t="shared" si="975"/>
        <v>0</v>
      </c>
      <c r="AC647" s="633">
        <f>AB647*(1+VLOOKUP($F647,'GL Category'!$A:$H,5,FALSE))</f>
        <v>0</v>
      </c>
      <c r="AD647" s="307"/>
      <c r="AE647" s="622">
        <f t="shared" si="976"/>
        <v>0</v>
      </c>
      <c r="AF647" s="633">
        <f>AE647*(1+VLOOKUP($F647,'GL Category'!$A:$H,6,FALSE))</f>
        <v>0</v>
      </c>
      <c r="AG647" s="307"/>
      <c r="AH647" s="622">
        <f t="shared" si="977"/>
        <v>0</v>
      </c>
      <c r="AI647" s="633">
        <f>AH647*(1+VLOOKUP($F647,'GL Category'!$A:$H,7,FALSE))</f>
        <v>0</v>
      </c>
      <c r="AJ647" s="307"/>
      <c r="AK647" s="622">
        <f t="shared" si="978"/>
        <v>0</v>
      </c>
      <c r="AL647" s="633">
        <f>AK647*(1+VLOOKUP($F647,'GL Category'!$A:$H,8,FALSE))</f>
        <v>0</v>
      </c>
      <c r="AM647" s="307"/>
      <c r="AN647" s="622">
        <f t="shared" si="979"/>
        <v>0</v>
      </c>
      <c r="AO647" s="192"/>
      <c r="AP647" s="192"/>
      <c r="AQ647" s="192"/>
    </row>
    <row r="648" spans="1:43" s="115" customFormat="1" ht="15" customHeight="1">
      <c r="A648" s="296"/>
      <c r="B648" s="217" t="str">
        <f t="shared" si="970"/>
        <v/>
      </c>
      <c r="C648" s="217" t="s">
        <v>3129</v>
      </c>
      <c r="D648" s="101"/>
      <c r="E648" s="101"/>
      <c r="F648" s="294" t="s">
        <v>136</v>
      </c>
      <c r="G648" s="295" t="str">
        <f>VLOOKUP(F648,'GL Category'!A:C,3,FALSE)</f>
        <v>Personnel services</v>
      </c>
      <c r="H648" s="98" t="str">
        <f>VLOOKUP(F648,'GL Category'!A:C,2,FALSE)</f>
        <v>LONGEVITY PAY</v>
      </c>
      <c r="I648" s="99">
        <f>SUMIFS(I$1:I641,$C$1:$C641,$C648,$F$1:$F641,$F648)</f>
        <v>430</v>
      </c>
      <c r="J648" s="99">
        <f>SUMIFS(J$1:J641,$C$1:$C641,$C648,$F$1:$F641,$F648)</f>
        <v>220</v>
      </c>
      <c r="K648" s="99">
        <f>SUMIFS(K$1:K641,$C$1:$C641,$C648,$F$1:$F641,$F648)</f>
        <v>280</v>
      </c>
      <c r="L648" s="99">
        <f>SUMIFS(L$1:L641,$C$1:$C641,$C648,$F$1:$F641,$F648)</f>
        <v>435</v>
      </c>
      <c r="M648" s="99">
        <f>SUMIFS(M$1:M641,$C$1:$C641,$C648,$F$1:$F641,$F648)</f>
        <v>564</v>
      </c>
      <c r="N648" s="99">
        <f>SUMIFS(N$1:N641,$C$1:$C641,$C648,$F$1:$F641,$F648)</f>
        <v>555</v>
      </c>
      <c r="O648" s="99">
        <f>SUMIFS(O$1:O641,$C$1:$C641,$C648,$F$1:$F641,$F648)</f>
        <v>555</v>
      </c>
      <c r="P648" s="99">
        <f t="shared" si="971"/>
        <v>-9</v>
      </c>
      <c r="Q648" s="99">
        <f>SUMIFS(Q$1:Q641,$C$1:$C641,$C648,$F$1:$F641,$F648)</f>
        <v>686</v>
      </c>
      <c r="R648" s="99">
        <f>SUMIFS(R$1:R641,$C$1:$C641,$C648,$F$1:$F641,$F648)</f>
        <v>0</v>
      </c>
      <c r="S648" s="99">
        <f>SUMIFS(S$1:S641,$C$1:$C641,$C648,$F$1:$F641,$F648)</f>
        <v>0</v>
      </c>
      <c r="T648" s="99">
        <f>SUMIFS(T$1:T641,$C$1:$C641,$C648,$F$1:$F641,$F648)</f>
        <v>686</v>
      </c>
      <c r="U648" s="99">
        <f t="shared" si="972"/>
        <v>122</v>
      </c>
      <c r="V648" s="255">
        <f t="shared" si="973"/>
        <v>0.21631205673758869</v>
      </c>
      <c r="W648" s="102"/>
      <c r="X648" s="102"/>
      <c r="Y648" s="102">
        <f t="shared" si="974"/>
        <v>686</v>
      </c>
      <c r="Z648" s="309">
        <f>Y648*(1+VLOOKUP($F648,'GL Category'!$A:$H,4,FALSE))</f>
        <v>710.01</v>
      </c>
      <c r="AA648" s="615"/>
      <c r="AB648" s="622">
        <f t="shared" si="975"/>
        <v>710.01</v>
      </c>
      <c r="AC648" s="633">
        <f>AB648*(1+VLOOKUP($F648,'GL Category'!$A:$H,5,FALSE))</f>
        <v>734.86034999999993</v>
      </c>
      <c r="AD648" s="307"/>
      <c r="AE648" s="622">
        <f t="shared" si="976"/>
        <v>734.86034999999993</v>
      </c>
      <c r="AF648" s="633">
        <f>AE648*(1+VLOOKUP($F648,'GL Category'!$A:$H,6,FALSE))</f>
        <v>760.58046224999987</v>
      </c>
      <c r="AG648" s="307"/>
      <c r="AH648" s="622">
        <f t="shared" si="977"/>
        <v>760.58046224999987</v>
      </c>
      <c r="AI648" s="633">
        <f>AH648*(1+VLOOKUP($F648,'GL Category'!$A:$H,7,FALSE))</f>
        <v>787.2007784287498</v>
      </c>
      <c r="AJ648" s="307"/>
      <c r="AK648" s="622">
        <f t="shared" si="978"/>
        <v>787.2007784287498</v>
      </c>
      <c r="AL648" s="633">
        <f>AK648*(1+VLOOKUP($F648,'GL Category'!$A:$H,8,FALSE))</f>
        <v>814.75280567375603</v>
      </c>
      <c r="AM648" s="307"/>
      <c r="AN648" s="622">
        <f t="shared" si="979"/>
        <v>814.75280567375603</v>
      </c>
      <c r="AO648" s="192"/>
      <c r="AP648" s="192"/>
      <c r="AQ648" s="192"/>
    </row>
    <row r="649" spans="1:43" s="115" customFormat="1" ht="15" customHeight="1">
      <c r="A649" s="296"/>
      <c r="B649" s="217" t="str">
        <f t="shared" ref="B649" si="982">LEFT(A649,3)</f>
        <v/>
      </c>
      <c r="C649" s="217" t="s">
        <v>3129</v>
      </c>
      <c r="D649" s="101"/>
      <c r="E649" s="101"/>
      <c r="F649" s="556" t="s">
        <v>134</v>
      </c>
      <c r="G649" s="295" t="str">
        <f>VLOOKUP(F649,'GL Category'!A:C,3,FALSE)</f>
        <v>Personnel services</v>
      </c>
      <c r="H649" s="98" t="str">
        <f>VLOOKUP(F649,'GL Category'!A:C,2,FALSE)</f>
        <v>PART-TIME WAGES</v>
      </c>
      <c r="I649" s="99">
        <f>SUMIFS(I$1:I641,$C$1:$C641,$C649,$F$1:$F641,$F649)</f>
        <v>8371.7800000000007</v>
      </c>
      <c r="J649" s="99">
        <f>SUMIFS(J$1:J641,$C$1:$C641,$C649,$F$1:$F641,$F649)</f>
        <v>8182.75</v>
      </c>
      <c r="K649" s="99">
        <f>SUMIFS(K$1:K641,$C$1:$C641,$C649,$F$1:$F641,$F649)</f>
        <v>5583.76</v>
      </c>
      <c r="L649" s="99">
        <f>SUMIFS(L$1:L641,$C$1:$C641,$C649,$F$1:$F641,$F649)</f>
        <v>8553.75</v>
      </c>
      <c r="M649" s="99">
        <f>SUMIFS(M$1:M641,$C$1:$C641,$C649,$F$1:$F641,$F649)</f>
        <v>15580</v>
      </c>
      <c r="N649" s="99">
        <f>SUMIFS(N$1:N641,$C$1:$C641,$C649,$F$1:$F641,$F649)</f>
        <v>6506.04</v>
      </c>
      <c r="O649" s="99">
        <f>SUMIFS(O$1:O641,$C$1:$C641,$C649,$F$1:$F641,$F649)</f>
        <v>9355</v>
      </c>
      <c r="P649" s="99">
        <f t="shared" ref="P649" si="983">O649-M649</f>
        <v>-6225</v>
      </c>
      <c r="Q649" s="99">
        <f>SUMIFS(Q$1:Q641,$C$1:$C641,$C649,$F$1:$F641,$F649)</f>
        <v>12127</v>
      </c>
      <c r="R649" s="99">
        <f>SUMIFS(R$1:R641,$C$1:$C641,$C649,$F$1:$F641,$F649)</f>
        <v>0</v>
      </c>
      <c r="S649" s="99">
        <f>SUMIFS(S$1:S641,$C$1:$C641,$C649,$F$1:$F641,$F649)</f>
        <v>0</v>
      </c>
      <c r="T649" s="99">
        <f>SUMIFS(T$1:T641,$C$1:$C641,$C649,$F$1:$F641,$F649)</f>
        <v>12127</v>
      </c>
      <c r="U649" s="99">
        <f t="shared" ref="U649" si="984">T649-M649</f>
        <v>-3453</v>
      </c>
      <c r="V649" s="255">
        <f t="shared" ref="V649" si="985">IF(M649=0,"N/A",T649/M649-1)</f>
        <v>-0.22163029525032096</v>
      </c>
      <c r="W649" s="102"/>
      <c r="X649" s="102"/>
      <c r="Y649" s="102">
        <f t="shared" si="974"/>
        <v>12127</v>
      </c>
      <c r="Z649" s="309">
        <f>Y649*(1+VLOOKUP($F649,'GL Category'!$A:$H,4,FALSE))</f>
        <v>12551.445</v>
      </c>
      <c r="AA649" s="615"/>
      <c r="AB649" s="622">
        <f t="shared" si="975"/>
        <v>12551.445</v>
      </c>
      <c r="AC649" s="633">
        <f>AB649*(1+VLOOKUP($F649,'GL Category'!$A:$H,5,FALSE))</f>
        <v>12990.745574999999</v>
      </c>
      <c r="AD649" s="307"/>
      <c r="AE649" s="622">
        <f t="shared" si="976"/>
        <v>12990.745574999999</v>
      </c>
      <c r="AF649" s="633">
        <f>AE649*(1+VLOOKUP($F649,'GL Category'!$A:$H,6,FALSE))</f>
        <v>13445.421670124997</v>
      </c>
      <c r="AG649" s="307"/>
      <c r="AH649" s="622">
        <f t="shared" si="977"/>
        <v>13445.421670124997</v>
      </c>
      <c r="AI649" s="633">
        <f>AH649*(1+VLOOKUP($F649,'GL Category'!$A:$H,7,FALSE))</f>
        <v>13916.011428579372</v>
      </c>
      <c r="AJ649" s="307"/>
      <c r="AK649" s="622">
        <f t="shared" si="978"/>
        <v>13916.011428579372</v>
      </c>
      <c r="AL649" s="633">
        <f>AK649*(1+VLOOKUP($F649,'GL Category'!$A:$H,8,FALSE))</f>
        <v>14403.071828579648</v>
      </c>
      <c r="AM649" s="307"/>
      <c r="AN649" s="622">
        <f t="shared" si="979"/>
        <v>14403.071828579648</v>
      </c>
      <c r="AO649" s="192"/>
      <c r="AP649" s="192"/>
      <c r="AQ649" s="192"/>
    </row>
    <row r="650" spans="1:43" s="115" customFormat="1" ht="15" customHeight="1">
      <c r="A650" s="296"/>
      <c r="B650" s="217" t="str">
        <f t="shared" si="970"/>
        <v/>
      </c>
      <c r="C650" s="217" t="s">
        <v>3129</v>
      </c>
      <c r="D650" s="101"/>
      <c r="E650" s="101"/>
      <c r="F650" s="294" t="s">
        <v>249</v>
      </c>
      <c r="G650" s="295" t="str">
        <f>VLOOKUP(F650,'GL Category'!A:C,3,FALSE)</f>
        <v>Personnel services</v>
      </c>
      <c r="H650" s="98" t="str">
        <f>VLOOKUP(F650,'GL Category'!A:C,2,FALSE)</f>
        <v>TEMPORARY/SEASONAL WAGES</v>
      </c>
      <c r="I650" s="99">
        <f>SUMIFS(I$1:I642,$C$1:$C642,$C650,$F$1:$F642,$F650)</f>
        <v>0</v>
      </c>
      <c r="J650" s="99">
        <f>SUMIFS(J$1:J642,$C$1:$C642,$C650,$F$1:$F642,$F650)</f>
        <v>0</v>
      </c>
      <c r="K650" s="99">
        <f>SUMIFS(K$1:K642,$C$1:$C642,$C650,$F$1:$F642,$F650)</f>
        <v>0</v>
      </c>
      <c r="L650" s="99">
        <f>SUMIFS(L$1:L642,$C$1:$C642,$C650,$F$1:$F642,$F650)</f>
        <v>0</v>
      </c>
      <c r="M650" s="99">
        <f>SUMIFS(M$1:M642,$C$1:$C642,$C650,$F$1:$F642,$F650)</f>
        <v>0</v>
      </c>
      <c r="N650" s="99">
        <f>SUMIFS(N$1:N642,$C$1:$C642,$C650,$F$1:$F642,$F650)</f>
        <v>0</v>
      </c>
      <c r="O650" s="99">
        <f>SUMIFS(O$1:O642,$C$1:$C642,$C650,$F$1:$F642,$F650)</f>
        <v>0</v>
      </c>
      <c r="P650" s="99">
        <f t="shared" si="971"/>
        <v>0</v>
      </c>
      <c r="Q650" s="99">
        <f>SUMIFS(Q$1:Q642,$C$1:$C642,$C650,$F$1:$F642,$F650)</f>
        <v>0</v>
      </c>
      <c r="R650" s="99">
        <f>SUMIFS(R$1:R642,$C$1:$C642,$C650,$F$1:$F642,$F650)</f>
        <v>0</v>
      </c>
      <c r="S650" s="99">
        <f>SUMIFS(S$1:S642,$C$1:$C642,$C650,$F$1:$F642,$F650)</f>
        <v>0</v>
      </c>
      <c r="T650" s="99">
        <f>SUMIFS(T$1:T642,$C$1:$C642,$C650,$F$1:$F642,$F650)</f>
        <v>0</v>
      </c>
      <c r="U650" s="99">
        <f t="shared" si="972"/>
        <v>0</v>
      </c>
      <c r="V650" s="255" t="str">
        <f t="shared" si="973"/>
        <v>N/A</v>
      </c>
      <c r="W650" s="102"/>
      <c r="X650" s="102"/>
      <c r="Y650" s="102">
        <f t="shared" si="974"/>
        <v>0</v>
      </c>
      <c r="Z650" s="309">
        <f>Y650*(1+VLOOKUP($F650,'GL Category'!$A:$H,4,FALSE))</f>
        <v>0</v>
      </c>
      <c r="AA650" s="615"/>
      <c r="AB650" s="622">
        <f t="shared" si="975"/>
        <v>0</v>
      </c>
      <c r="AC650" s="633">
        <f>AB650*(1+VLOOKUP($F650,'GL Category'!$A:$H,5,FALSE))</f>
        <v>0</v>
      </c>
      <c r="AD650" s="307"/>
      <c r="AE650" s="622">
        <f t="shared" si="976"/>
        <v>0</v>
      </c>
      <c r="AF650" s="633">
        <f>AE650*(1+VLOOKUP($F650,'GL Category'!$A:$H,6,FALSE))</f>
        <v>0</v>
      </c>
      <c r="AG650" s="307"/>
      <c r="AH650" s="622">
        <f t="shared" si="977"/>
        <v>0</v>
      </c>
      <c r="AI650" s="633">
        <f>AH650*(1+VLOOKUP($F650,'GL Category'!$A:$H,7,FALSE))</f>
        <v>0</v>
      </c>
      <c r="AJ650" s="307"/>
      <c r="AK650" s="622">
        <f t="shared" si="978"/>
        <v>0</v>
      </c>
      <c r="AL650" s="633">
        <f>AK650*(1+VLOOKUP($F650,'GL Category'!$A:$H,8,FALSE))</f>
        <v>0</v>
      </c>
      <c r="AM650" s="307"/>
      <c r="AN650" s="622">
        <f t="shared" si="979"/>
        <v>0</v>
      </c>
      <c r="AO650" s="192"/>
      <c r="AP650" s="192"/>
      <c r="AQ650" s="192"/>
    </row>
    <row r="651" spans="1:43" s="115" customFormat="1" ht="15" customHeight="1">
      <c r="A651" s="296"/>
      <c r="B651" s="217" t="str">
        <f t="shared" si="970"/>
        <v/>
      </c>
      <c r="C651" s="217" t="s">
        <v>3129</v>
      </c>
      <c r="D651" s="101"/>
      <c r="E651" s="101"/>
      <c r="F651" s="294" t="s">
        <v>139</v>
      </c>
      <c r="G651" s="295" t="str">
        <f>VLOOKUP(F651,'GL Category'!A:C,3,FALSE)</f>
        <v>Personnel services</v>
      </c>
      <c r="H651" s="98" t="str">
        <f>VLOOKUP(F651,'GL Category'!A:C,2,FALSE)</f>
        <v>AUTO ALLOWANCE</v>
      </c>
      <c r="I651" s="99">
        <f>SUMIFS(I$1:I643,$C$1:$C643,$C651,$F$1:$F643,$F651)</f>
        <v>4742.8599999999997</v>
      </c>
      <c r="J651" s="99">
        <f>SUMIFS(J$1:J643,$C$1:$C643,$C651,$F$1:$F643,$F651)</f>
        <v>4857.1400000000003</v>
      </c>
      <c r="K651" s="99">
        <f>SUMIFS(K$1:K643,$C$1:$C643,$C651,$F$1:$F643,$F651)</f>
        <v>4800</v>
      </c>
      <c r="L651" s="99">
        <f>SUMIFS(L$1:L643,$C$1:$C643,$C651,$F$1:$F643,$F651)</f>
        <v>5016</v>
      </c>
      <c r="M651" s="99">
        <f>SUMIFS(M$1:M643,$C$1:$C643,$C651,$F$1:$F643,$F651)</f>
        <v>4800</v>
      </c>
      <c r="N651" s="99">
        <f>SUMIFS(N$1:N643,$C$1:$C643,$C651,$F$1:$F643,$F651)</f>
        <v>3584</v>
      </c>
      <c r="O651" s="99">
        <f>SUMIFS(O$1:O643,$C$1:$C643,$C651,$F$1:$F643,$F651)</f>
        <v>4804</v>
      </c>
      <c r="P651" s="99">
        <f t="shared" si="971"/>
        <v>4</v>
      </c>
      <c r="Q651" s="99">
        <f>SUMIFS(Q$1:Q643,$C$1:$C643,$C651,$F$1:$F643,$F651)</f>
        <v>4800</v>
      </c>
      <c r="R651" s="99">
        <f>SUMIFS(R$1:R643,$C$1:$C643,$C651,$F$1:$F643,$F651)</f>
        <v>0</v>
      </c>
      <c r="S651" s="99">
        <f>SUMIFS(S$1:S643,$C$1:$C643,$C651,$F$1:$F643,$F651)</f>
        <v>0</v>
      </c>
      <c r="T651" s="99">
        <f>SUMIFS(T$1:T643,$C$1:$C643,$C651,$F$1:$F643,$F651)</f>
        <v>4800</v>
      </c>
      <c r="U651" s="99">
        <f t="shared" si="972"/>
        <v>0</v>
      </c>
      <c r="V651" s="255">
        <f t="shared" si="973"/>
        <v>0</v>
      </c>
      <c r="W651" s="102"/>
      <c r="X651" s="102"/>
      <c r="Y651" s="102">
        <f t="shared" si="974"/>
        <v>4800</v>
      </c>
      <c r="Z651" s="309">
        <f>Y651*(1+VLOOKUP($F651,'GL Category'!$A:$H,4,FALSE))</f>
        <v>4968</v>
      </c>
      <c r="AA651" s="615"/>
      <c r="AB651" s="622">
        <f t="shared" si="975"/>
        <v>4968</v>
      </c>
      <c r="AC651" s="633">
        <f>AB651*(1+VLOOKUP($F651,'GL Category'!$A:$H,5,FALSE))</f>
        <v>5141.8799999999992</v>
      </c>
      <c r="AD651" s="307"/>
      <c r="AE651" s="622">
        <f t="shared" si="976"/>
        <v>5141.8799999999992</v>
      </c>
      <c r="AF651" s="633">
        <f>AE651*(1+VLOOKUP($F651,'GL Category'!$A:$H,6,FALSE))</f>
        <v>5321.8457999999991</v>
      </c>
      <c r="AG651" s="307"/>
      <c r="AH651" s="622">
        <f t="shared" si="977"/>
        <v>5321.8457999999991</v>
      </c>
      <c r="AI651" s="633">
        <f>AH651*(1+VLOOKUP($F651,'GL Category'!$A:$H,7,FALSE))</f>
        <v>5508.1104029999988</v>
      </c>
      <c r="AJ651" s="307"/>
      <c r="AK651" s="622">
        <f t="shared" si="978"/>
        <v>5508.1104029999988</v>
      </c>
      <c r="AL651" s="633">
        <f>AK651*(1+VLOOKUP($F651,'GL Category'!$A:$H,8,FALSE))</f>
        <v>5700.8942671049981</v>
      </c>
      <c r="AM651" s="307"/>
      <c r="AN651" s="622">
        <f t="shared" si="979"/>
        <v>5700.8942671049981</v>
      </c>
      <c r="AO651" s="192"/>
      <c r="AP651" s="192"/>
      <c r="AQ651" s="192"/>
    </row>
    <row r="652" spans="1:43" s="115" customFormat="1" ht="15" customHeight="1">
      <c r="A652" s="296"/>
      <c r="B652" s="217" t="str">
        <f t="shared" si="970"/>
        <v/>
      </c>
      <c r="C652" s="217" t="s">
        <v>3129</v>
      </c>
      <c r="D652" s="101"/>
      <c r="E652" s="101"/>
      <c r="F652" s="294" t="s">
        <v>140</v>
      </c>
      <c r="G652" s="295" t="str">
        <f>VLOOKUP(F652,'GL Category'!A:C,3,FALSE)</f>
        <v>Personnel services</v>
      </c>
      <c r="H652" s="98" t="str">
        <f>VLOOKUP(F652,'GL Category'!A:C,2,FALSE)</f>
        <v>SOCIAL SECURITY</v>
      </c>
      <c r="I652" s="99">
        <f>SUMIFS(I$1:I644,$C$1:$C644,$C652,$F$1:$F644,$F652)</f>
        <v>15859.1</v>
      </c>
      <c r="J652" s="99">
        <f>SUMIFS(J$1:J644,$C$1:$C644,$C652,$F$1:$F644,$F652)</f>
        <v>8816.57</v>
      </c>
      <c r="K652" s="99">
        <f>SUMIFS(K$1:K644,$C$1:$C644,$C652,$F$1:$F644,$F652)</f>
        <v>12364.5</v>
      </c>
      <c r="L652" s="99">
        <f>SUMIFS(L$1:L644,$C$1:$C644,$C652,$F$1:$F644,$F652)</f>
        <v>11981.36</v>
      </c>
      <c r="M652" s="99">
        <f>SUMIFS(M$1:M644,$C$1:$C644,$C652,$F$1:$F644,$F652)</f>
        <v>15900</v>
      </c>
      <c r="N652" s="99">
        <f>SUMIFS(N$1:N644,$C$1:$C644,$C652,$F$1:$F644,$F652)</f>
        <v>9625.1200000000008</v>
      </c>
      <c r="O652" s="99">
        <f>SUMIFS(O$1:O644,$C$1:$C644,$C652,$F$1:$F644,$F652)</f>
        <v>13434</v>
      </c>
      <c r="P652" s="99">
        <f t="shared" si="971"/>
        <v>-2466</v>
      </c>
      <c r="Q652" s="99">
        <f>SUMIFS(Q$1:Q644,$C$1:$C644,$C652,$F$1:$F644,$F652)</f>
        <v>16090</v>
      </c>
      <c r="R652" s="99">
        <f>SUMIFS(R$1:R644,$C$1:$C644,$C652,$F$1:$F644,$F652)</f>
        <v>0</v>
      </c>
      <c r="S652" s="99">
        <f>SUMIFS(S$1:S644,$C$1:$C644,$C652,$F$1:$F644,$F652)</f>
        <v>0</v>
      </c>
      <c r="T652" s="99">
        <f>SUMIFS(T$1:T644,$C$1:$C644,$C652,$F$1:$F644,$F652)</f>
        <v>16090</v>
      </c>
      <c r="U652" s="99">
        <f t="shared" si="972"/>
        <v>190</v>
      </c>
      <c r="V652" s="255">
        <f t="shared" si="973"/>
        <v>1.1949685534591303E-2</v>
      </c>
      <c r="W652" s="102"/>
      <c r="X652" s="102"/>
      <c r="Y652" s="102">
        <f t="shared" si="974"/>
        <v>16090</v>
      </c>
      <c r="Z652" s="309">
        <f>Y652*(1+VLOOKUP($F652,'GL Category'!$A:$H,4,FALSE))</f>
        <v>16653.149999999998</v>
      </c>
      <c r="AA652" s="615"/>
      <c r="AB652" s="622">
        <f t="shared" si="975"/>
        <v>16653.149999999998</v>
      </c>
      <c r="AC652" s="633">
        <f>AB652*(1+VLOOKUP($F652,'GL Category'!$A:$H,5,FALSE))</f>
        <v>17236.010249999996</v>
      </c>
      <c r="AD652" s="307"/>
      <c r="AE652" s="622">
        <f t="shared" si="976"/>
        <v>17236.010249999996</v>
      </c>
      <c r="AF652" s="633">
        <f>AE652*(1+VLOOKUP($F652,'GL Category'!$A:$H,6,FALSE))</f>
        <v>17839.270608749994</v>
      </c>
      <c r="AG652" s="307"/>
      <c r="AH652" s="622">
        <f t="shared" si="977"/>
        <v>17839.270608749994</v>
      </c>
      <c r="AI652" s="633">
        <f>AH652*(1+VLOOKUP($F652,'GL Category'!$A:$H,7,FALSE))</f>
        <v>18463.645080056242</v>
      </c>
      <c r="AJ652" s="307"/>
      <c r="AK652" s="622">
        <f t="shared" si="978"/>
        <v>18463.645080056242</v>
      </c>
      <c r="AL652" s="633">
        <f>AK652*(1+VLOOKUP($F652,'GL Category'!$A:$H,8,FALSE))</f>
        <v>19109.87265785821</v>
      </c>
      <c r="AM652" s="307"/>
      <c r="AN652" s="622">
        <f t="shared" si="979"/>
        <v>19109.87265785821</v>
      </c>
      <c r="AO652" s="192"/>
      <c r="AP652" s="192"/>
      <c r="AQ652" s="192"/>
    </row>
    <row r="653" spans="1:43" s="115" customFormat="1" ht="15" customHeight="1">
      <c r="A653" s="296"/>
      <c r="B653" s="217" t="str">
        <f t="shared" si="970"/>
        <v/>
      </c>
      <c r="C653" s="217" t="s">
        <v>3129</v>
      </c>
      <c r="D653" s="101"/>
      <c r="E653" s="101"/>
      <c r="F653" s="294" t="s">
        <v>141</v>
      </c>
      <c r="G653" s="295" t="str">
        <f>VLOOKUP(F653,'GL Category'!A:C,3,FALSE)</f>
        <v>Personnel services</v>
      </c>
      <c r="H653" s="98" t="str">
        <f>VLOOKUP(F653,'GL Category'!A:C,2,FALSE)</f>
        <v>HEALTH/LIFE INSURANCE</v>
      </c>
      <c r="I653" s="99">
        <f>SUMIFS(I$1:I645,$C$1:$C645,$C653,$F$1:$F645,$F653)</f>
        <v>29738.32</v>
      </c>
      <c r="J653" s="99">
        <f>SUMIFS(J$1:J645,$C$1:$C645,$C653,$F$1:$F645,$F653)</f>
        <v>25894.62</v>
      </c>
      <c r="K653" s="99">
        <f>SUMIFS(K$1:K645,$C$1:$C645,$C653,$F$1:$F645,$F653)</f>
        <v>43211.96</v>
      </c>
      <c r="L653" s="99">
        <f>SUMIFS(L$1:L645,$C$1:$C645,$C653,$F$1:$F645,$F653)</f>
        <v>43751.5</v>
      </c>
      <c r="M653" s="99">
        <f>SUMIFS(M$1:M645,$C$1:$C645,$C653,$F$1:$F645,$F653)</f>
        <v>42798</v>
      </c>
      <c r="N653" s="99">
        <f>SUMIFS(N$1:N645,$C$1:$C645,$C653,$F$1:$F645,$F653)</f>
        <v>28477.49</v>
      </c>
      <c r="O653" s="99">
        <f>SUMIFS(O$1:O645,$C$1:$C645,$C653,$F$1:$F645,$F653)</f>
        <v>40451</v>
      </c>
      <c r="P653" s="99">
        <f t="shared" si="971"/>
        <v>-2347</v>
      </c>
      <c r="Q653" s="99">
        <f>SUMIFS(Q$1:Q645,$C$1:$C645,$C653,$F$1:$F645,$F653)</f>
        <v>40726</v>
      </c>
      <c r="R653" s="99">
        <f>SUMIFS(R$1:R645,$C$1:$C645,$C653,$F$1:$F645,$F653)</f>
        <v>0</v>
      </c>
      <c r="S653" s="99">
        <f>SUMIFS(S$1:S645,$C$1:$C645,$C653,$F$1:$F645,$F653)</f>
        <v>0</v>
      </c>
      <c r="T653" s="99">
        <f>SUMIFS(T$1:T645,$C$1:$C645,$C653,$F$1:$F645,$F653)</f>
        <v>40726</v>
      </c>
      <c r="U653" s="99">
        <f t="shared" si="972"/>
        <v>-2072</v>
      </c>
      <c r="V653" s="255">
        <f t="shared" si="973"/>
        <v>-4.841347726529277E-2</v>
      </c>
      <c r="W653" s="102"/>
      <c r="X653" s="102"/>
      <c r="Y653" s="102">
        <f t="shared" si="974"/>
        <v>40726</v>
      </c>
      <c r="Z653" s="309">
        <f>Y653*(1+VLOOKUP($F653,'GL Category'!$A:$H,4,FALSE))</f>
        <v>42151.409999999996</v>
      </c>
      <c r="AA653" s="615"/>
      <c r="AB653" s="622">
        <f t="shared" si="975"/>
        <v>42151.409999999996</v>
      </c>
      <c r="AC653" s="633">
        <f>AB653*(1+VLOOKUP($F653,'GL Category'!$A:$H,5,FALSE))</f>
        <v>43626.70934999999</v>
      </c>
      <c r="AD653" s="307"/>
      <c r="AE653" s="622">
        <f t="shared" si="976"/>
        <v>43626.70934999999</v>
      </c>
      <c r="AF653" s="633">
        <f>AE653*(1+VLOOKUP($F653,'GL Category'!$A:$H,6,FALSE))</f>
        <v>45153.644177249989</v>
      </c>
      <c r="AG653" s="307"/>
      <c r="AH653" s="622">
        <f t="shared" si="977"/>
        <v>45153.644177249989</v>
      </c>
      <c r="AI653" s="633">
        <f>AH653*(1+VLOOKUP($F653,'GL Category'!$A:$H,7,FALSE))</f>
        <v>46734.021723453734</v>
      </c>
      <c r="AJ653" s="307"/>
      <c r="AK653" s="622">
        <f t="shared" si="978"/>
        <v>46734.021723453734</v>
      </c>
      <c r="AL653" s="633">
        <f>AK653*(1+VLOOKUP($F653,'GL Category'!$A:$H,8,FALSE))</f>
        <v>48369.712483774609</v>
      </c>
      <c r="AM653" s="307"/>
      <c r="AN653" s="622">
        <f t="shared" si="979"/>
        <v>48369.712483774609</v>
      </c>
      <c r="AO653" s="192"/>
      <c r="AP653" s="192"/>
      <c r="AQ653" s="192"/>
    </row>
    <row r="654" spans="1:43" s="115" customFormat="1" ht="15" customHeight="1">
      <c r="A654" s="296"/>
      <c r="B654" s="217" t="str">
        <f t="shared" si="970"/>
        <v/>
      </c>
      <c r="C654" s="217" t="s">
        <v>3129</v>
      </c>
      <c r="D654" s="101"/>
      <c r="E654" s="101"/>
      <c r="F654" s="294" t="s">
        <v>143</v>
      </c>
      <c r="G654" s="295" t="str">
        <f>VLOOKUP(F654,'GL Category'!A:C,3,FALSE)</f>
        <v>Personnel services</v>
      </c>
      <c r="H654" s="98" t="str">
        <f>VLOOKUP(F654,'GL Category'!A:C,2,FALSE)</f>
        <v>WORKER COMPENSATION</v>
      </c>
      <c r="I654" s="99">
        <f>SUMIFS(I$1:I646,$C$1:$C646,$C654,$F$1:$F646,$F654)</f>
        <v>134.68</v>
      </c>
      <c r="J654" s="99">
        <f>SUMIFS(J$1:J646,$C$1:$C646,$C654,$F$1:$F646,$F654)</f>
        <v>125.61</v>
      </c>
      <c r="K654" s="99">
        <f>SUMIFS(K$1:K646,$C$1:$C646,$C654,$F$1:$F646,$F654)</f>
        <v>122.23</v>
      </c>
      <c r="L654" s="99">
        <f>SUMIFS(L$1:L646,$C$1:$C646,$C654,$F$1:$F646,$F654)</f>
        <v>222.32</v>
      </c>
      <c r="M654" s="99">
        <f>SUMIFS(M$1:M646,$C$1:$C646,$C654,$F$1:$F646,$F654)</f>
        <v>297</v>
      </c>
      <c r="N654" s="99">
        <f>SUMIFS(N$1:N646,$C$1:$C646,$C654,$F$1:$F646,$F654)</f>
        <v>296.76</v>
      </c>
      <c r="O654" s="99">
        <f>SUMIFS(O$1:O646,$C$1:$C646,$C654,$F$1:$F646,$F654)</f>
        <v>297</v>
      </c>
      <c r="P654" s="99">
        <f t="shared" si="971"/>
        <v>0</v>
      </c>
      <c r="Q654" s="99">
        <f>SUMIFS(Q$1:Q646,$C$1:$C646,$C654,$F$1:$F646,$F654)</f>
        <v>290</v>
      </c>
      <c r="R654" s="99">
        <f>SUMIFS(R$1:R646,$C$1:$C646,$C654,$F$1:$F646,$F654)</f>
        <v>0</v>
      </c>
      <c r="S654" s="99">
        <f>SUMIFS(S$1:S646,$C$1:$C646,$C654,$F$1:$F646,$F654)</f>
        <v>0</v>
      </c>
      <c r="T654" s="99">
        <f>SUMIFS(T$1:T646,$C$1:$C646,$C654,$F$1:$F646,$F654)</f>
        <v>290</v>
      </c>
      <c r="U654" s="99">
        <f t="shared" si="972"/>
        <v>-7</v>
      </c>
      <c r="V654" s="255">
        <f t="shared" si="973"/>
        <v>-2.3569023569023573E-2</v>
      </c>
      <c r="W654" s="102"/>
      <c r="X654" s="102"/>
      <c r="Y654" s="102">
        <f t="shared" si="974"/>
        <v>290</v>
      </c>
      <c r="Z654" s="309">
        <f>Y654*(1+VLOOKUP($F654,'GL Category'!$A:$H,4,FALSE))</f>
        <v>300.14999999999998</v>
      </c>
      <c r="AA654" s="615"/>
      <c r="AB654" s="622">
        <f t="shared" si="975"/>
        <v>300.14999999999998</v>
      </c>
      <c r="AC654" s="633">
        <f>AB654*(1+VLOOKUP($F654,'GL Category'!$A:$H,5,FALSE))</f>
        <v>310.65524999999997</v>
      </c>
      <c r="AD654" s="307"/>
      <c r="AE654" s="622">
        <f t="shared" si="976"/>
        <v>310.65524999999997</v>
      </c>
      <c r="AF654" s="633">
        <f>AE654*(1+VLOOKUP($F654,'GL Category'!$A:$H,6,FALSE))</f>
        <v>321.52818374999993</v>
      </c>
      <c r="AG654" s="307"/>
      <c r="AH654" s="622">
        <f t="shared" si="977"/>
        <v>321.52818374999993</v>
      </c>
      <c r="AI654" s="633">
        <f>AH654*(1+VLOOKUP($F654,'GL Category'!$A:$H,7,FALSE))</f>
        <v>332.78167018124992</v>
      </c>
      <c r="AJ654" s="307"/>
      <c r="AK654" s="622">
        <f t="shared" si="978"/>
        <v>332.78167018124992</v>
      </c>
      <c r="AL654" s="633">
        <f>AK654*(1+VLOOKUP($F654,'GL Category'!$A:$H,8,FALSE))</f>
        <v>344.42902863759366</v>
      </c>
      <c r="AM654" s="307"/>
      <c r="AN654" s="622">
        <f t="shared" si="979"/>
        <v>344.42902863759366</v>
      </c>
      <c r="AO654" s="192"/>
      <c r="AP654" s="192"/>
      <c r="AQ654" s="192"/>
    </row>
    <row r="655" spans="1:43" s="115" customFormat="1" ht="15" customHeight="1">
      <c r="A655" s="296"/>
      <c r="B655" s="217" t="str">
        <f>LEFT(A655,3)</f>
        <v/>
      </c>
      <c r="C655" s="217" t="s">
        <v>3129</v>
      </c>
      <c r="D655" s="101"/>
      <c r="E655" s="101"/>
      <c r="F655" s="294" t="s">
        <v>147</v>
      </c>
      <c r="G655" s="295" t="str">
        <f>VLOOKUP(F655,'GL Category'!A:C,3,FALSE)</f>
        <v>Personnel services</v>
      </c>
      <c r="H655" s="98" t="str">
        <f>VLOOKUP(F655,'GL Category'!A:C,2,FALSE)</f>
        <v>RETIREMENT</v>
      </c>
      <c r="I655" s="99">
        <f>SUMIFS(I$1:I648,$C$1:$C648,$C655,$F$1:$F648,$F655)</f>
        <v>33536.81</v>
      </c>
      <c r="J655" s="99">
        <f>SUMIFS(J$1:J648,$C$1:$C648,$C655,$F$1:$F648,$F655)</f>
        <v>19283.98</v>
      </c>
      <c r="K655" s="99">
        <f>SUMIFS(K$1:K648,$C$1:$C648,$C655,$F$1:$F648,$F655)</f>
        <v>28597.9</v>
      </c>
      <c r="L655" s="99">
        <f>SUMIFS(L$1:L648,$C$1:$C648,$C655,$F$1:$F648,$F655)</f>
        <v>29683.34</v>
      </c>
      <c r="M655" s="99">
        <f>SUMIFS(M$1:M648,$C$1:$C648,$C655,$F$1:$F648,$F655)</f>
        <v>31767</v>
      </c>
      <c r="N655" s="99">
        <f>SUMIFS(N$1:N648,$C$1:$C648,$C655,$F$1:$F648,$F655)</f>
        <v>22899.759999999998</v>
      </c>
      <c r="O655" s="99">
        <f>SUMIFS(O$1:O648,$C$1:$C648,$C655,$F$1:$F648,$F655)</f>
        <v>30578</v>
      </c>
      <c r="P655" s="99">
        <f>O655-M655</f>
        <v>-1189</v>
      </c>
      <c r="Q655" s="99">
        <f>SUMIFS(Q$1:Q648,$C$1:$C648,$C655,$F$1:$F648,$F655)</f>
        <v>33643</v>
      </c>
      <c r="R655" s="99">
        <f>SUMIFS(R$1:R648,$C$1:$C648,$C655,$F$1:$F648,$F655)</f>
        <v>0</v>
      </c>
      <c r="S655" s="99">
        <f>SUMIFS(S$1:S648,$C$1:$C648,$C655,$F$1:$F648,$F655)</f>
        <v>0</v>
      </c>
      <c r="T655" s="99">
        <f>SUMIFS(T$1:T648,$C$1:$C648,$C655,$F$1:$F648,$F655)</f>
        <v>33643</v>
      </c>
      <c r="U655" s="99">
        <f t="shared" si="972"/>
        <v>1876</v>
      </c>
      <c r="V655" s="255">
        <f t="shared" si="973"/>
        <v>5.905499417634652E-2</v>
      </c>
      <c r="W655" s="102"/>
      <c r="X655" s="102"/>
      <c r="Y655" s="102">
        <f t="shared" si="974"/>
        <v>33643</v>
      </c>
      <c r="Z655" s="309">
        <f>Y655*(1+VLOOKUP($F655,'GL Category'!$A:$H,4,FALSE))</f>
        <v>34820.504999999997</v>
      </c>
      <c r="AA655" s="615"/>
      <c r="AB655" s="622">
        <f t="shared" si="975"/>
        <v>34820.504999999997</v>
      </c>
      <c r="AC655" s="633">
        <f>AB655*(1+VLOOKUP($F655,'GL Category'!$A:$H,5,FALSE))</f>
        <v>36039.222674999997</v>
      </c>
      <c r="AD655" s="307"/>
      <c r="AE655" s="622">
        <f t="shared" si="976"/>
        <v>36039.222674999997</v>
      </c>
      <c r="AF655" s="633">
        <f>AE655*(1+VLOOKUP($F655,'GL Category'!$A:$H,6,FALSE))</f>
        <v>37300.595468624997</v>
      </c>
      <c r="AG655" s="307"/>
      <c r="AH655" s="622">
        <f t="shared" si="977"/>
        <v>37300.595468624997</v>
      </c>
      <c r="AI655" s="633">
        <f>AH655*(1+VLOOKUP($F655,'GL Category'!$A:$H,7,FALSE))</f>
        <v>38606.116310026868</v>
      </c>
      <c r="AJ655" s="307"/>
      <c r="AK655" s="622">
        <f t="shared" si="978"/>
        <v>38606.116310026868</v>
      </c>
      <c r="AL655" s="633">
        <f>AK655*(1+VLOOKUP($F655,'GL Category'!$A:$H,8,FALSE))</f>
        <v>39957.330380877807</v>
      </c>
      <c r="AM655" s="307"/>
      <c r="AN655" s="622">
        <f t="shared" si="979"/>
        <v>39957.330380877807</v>
      </c>
      <c r="AO655" s="192"/>
      <c r="AP655" s="192"/>
      <c r="AQ655" s="192"/>
    </row>
    <row r="656" spans="1:43" s="115" customFormat="1" ht="15" customHeight="1">
      <c r="A656" s="297"/>
      <c r="B656" s="217"/>
      <c r="C656" s="217"/>
      <c r="D656" s="101"/>
      <c r="E656" s="101"/>
      <c r="F656" s="294"/>
      <c r="G656" s="295"/>
      <c r="H656" s="107" t="str">
        <f>UPPER(G655)&amp;" TOTAL"</f>
        <v>PERSONNEL SERVICES TOTAL</v>
      </c>
      <c r="I656" s="108">
        <f t="shared" ref="I656:T656" si="986">SUBTOTAL(9,I646:I655)</f>
        <v>298708.23</v>
      </c>
      <c r="J656" s="108">
        <f t="shared" si="986"/>
        <v>181532.81999999998</v>
      </c>
      <c r="K656" s="108">
        <f t="shared" si="986"/>
        <v>266431.29000000004</v>
      </c>
      <c r="L656" s="108">
        <f t="shared" si="986"/>
        <v>276705.18000000005</v>
      </c>
      <c r="M656" s="108">
        <f t="shared" si="986"/>
        <v>296151</v>
      </c>
      <c r="N656" s="109">
        <f t="shared" si="986"/>
        <v>204900.01</v>
      </c>
      <c r="O656" s="109">
        <f t="shared" si="986"/>
        <v>277681</v>
      </c>
      <c r="P656" s="109">
        <f t="shared" si="986"/>
        <v>-18470</v>
      </c>
      <c r="Q656" s="109">
        <f t="shared" si="986"/>
        <v>300264</v>
      </c>
      <c r="R656" s="109">
        <f t="shared" si="986"/>
        <v>0</v>
      </c>
      <c r="S656" s="109">
        <f t="shared" si="986"/>
        <v>0</v>
      </c>
      <c r="T656" s="109">
        <f t="shared" si="986"/>
        <v>300264</v>
      </c>
      <c r="U656" s="99">
        <f t="shared" si="972"/>
        <v>4113</v>
      </c>
      <c r="V656" s="255">
        <f t="shared" si="973"/>
        <v>1.3888185418924781E-2</v>
      </c>
      <c r="W656" s="102"/>
      <c r="X656" s="102"/>
      <c r="Y656" s="102"/>
      <c r="Z656" s="192"/>
      <c r="AA656" s="615"/>
      <c r="AB656" s="307"/>
      <c r="AC656" s="300"/>
      <c r="AD656" s="300"/>
      <c r="AE656" s="300"/>
      <c r="AF656" s="300"/>
      <c r="AG656" s="300"/>
      <c r="AH656" s="307"/>
      <c r="AI656" s="307"/>
      <c r="AJ656" s="300"/>
      <c r="AK656" s="300"/>
      <c r="AL656" s="300"/>
      <c r="AM656" s="300"/>
      <c r="AN656" s="300"/>
      <c r="AO656" s="192"/>
      <c r="AP656" s="192"/>
      <c r="AQ656" s="192"/>
    </row>
    <row r="657" spans="1:59" s="115" customFormat="1" ht="15" customHeight="1">
      <c r="A657" s="297"/>
      <c r="B657" s="217"/>
      <c r="C657" s="217"/>
      <c r="D657" s="101"/>
      <c r="E657" s="101"/>
      <c r="F657" s="294"/>
      <c r="G657" s="295"/>
      <c r="H657" s="98"/>
      <c r="I657" s="106"/>
      <c r="J657" s="106"/>
      <c r="K657" s="106"/>
      <c r="L657" s="106"/>
      <c r="M657" s="106"/>
      <c r="N657" s="112"/>
      <c r="O657" s="112"/>
      <c r="P657" s="112"/>
      <c r="Q657" s="113"/>
      <c r="R657" s="99"/>
      <c r="S657" s="99"/>
      <c r="T657" s="113"/>
      <c r="U657" s="113"/>
      <c r="V657" s="113"/>
      <c r="W657" s="102"/>
      <c r="X657" s="102"/>
      <c r="Y657" s="102"/>
      <c r="Z657" s="192"/>
      <c r="AA657" s="615"/>
      <c r="AB657" s="307"/>
      <c r="AC657" s="300"/>
      <c r="AD657" s="300"/>
      <c r="AE657" s="300"/>
      <c r="AF657" s="300"/>
      <c r="AG657" s="300"/>
      <c r="AH657" s="307"/>
      <c r="AI657" s="307"/>
      <c r="AJ657" s="300"/>
      <c r="AK657" s="300"/>
      <c r="AL657" s="300"/>
      <c r="AM657" s="300"/>
      <c r="AN657" s="300"/>
      <c r="AO657" s="192"/>
      <c r="AP657" s="192"/>
      <c r="AQ657" s="192"/>
    </row>
    <row r="658" spans="1:59" s="115" customFormat="1" ht="15" customHeight="1">
      <c r="A658" s="296"/>
      <c r="B658" s="217" t="str">
        <f t="shared" ref="B658:B667" si="987">LEFT(A658,3)</f>
        <v/>
      </c>
      <c r="C658" s="217" t="s">
        <v>3129</v>
      </c>
      <c r="D658" s="101"/>
      <c r="E658" s="101"/>
      <c r="F658" s="294" t="s">
        <v>148</v>
      </c>
      <c r="G658" s="295" t="str">
        <f>VLOOKUP(F658,'GL Category'!A:C,3,FALSE)</f>
        <v>Operations &amp; maintenance</v>
      </c>
      <c r="H658" s="98" t="str">
        <f>VLOOKUP(F658,'GL Category'!A:C,2,FALSE)</f>
        <v>OFFICE SUPPLIES</v>
      </c>
      <c r="I658" s="99">
        <f>SUMIFS(I$1:I652,$C$1:$C652,$C658,$F$1:$F652,$F658)</f>
        <v>1098.0999999999999</v>
      </c>
      <c r="J658" s="99">
        <f>SUMIFS(J$1:J652,$C$1:$C652,$C658,$F$1:$F652,$F658)</f>
        <v>1044.3699999999999</v>
      </c>
      <c r="K658" s="99">
        <f>SUMIFS(K$1:K652,$C$1:$C652,$C658,$F$1:$F652,$F658)</f>
        <v>230.73</v>
      </c>
      <c r="L658" s="99">
        <f>SUMIFS(L$1:L652,$C$1:$C652,$C658,$F$1:$F652,$F658)</f>
        <v>433.06</v>
      </c>
      <c r="M658" s="99">
        <f>SUMIFS(M$1:M652,$C$1:$C652,$C658,$F$1:$F652,$F658)</f>
        <v>1100</v>
      </c>
      <c r="N658" s="99">
        <f>SUMIFS(N$1:N652,$C$1:$C652,$C658,$F$1:$F652,$F658)</f>
        <v>442.47</v>
      </c>
      <c r="O658" s="99">
        <f>SUMIFS(O$1:O652,$C$1:$C652,$C658,$F$1:$F652,$F658)</f>
        <v>800</v>
      </c>
      <c r="P658" s="99">
        <f t="shared" ref="P658:P667" si="988">O658-M658</f>
        <v>-300</v>
      </c>
      <c r="Q658" s="99">
        <f>SUMIFS(Q$1:Q652,$C$1:$C652,$C658,$F$1:$F652,$F658)</f>
        <v>1100</v>
      </c>
      <c r="R658" s="99">
        <f>SUMIFS(R$1:R652,$C$1:$C652,$C658,$F$1:$F652,$F658)</f>
        <v>0</v>
      </c>
      <c r="S658" s="99">
        <f>SUMIFS(S$1:S652,$C$1:$C652,$C658,$F$1:$F652,$F658)</f>
        <v>0</v>
      </c>
      <c r="T658" s="99">
        <f>SUMIFS(T$1:T652,$C$1:$C652,$C658,$F$1:$F652,$F658)</f>
        <v>1100</v>
      </c>
      <c r="U658" s="99">
        <f t="shared" ref="U658:U668" si="989">T658-M658</f>
        <v>0</v>
      </c>
      <c r="V658" s="255">
        <f t="shared" ref="V658:V668" si="990">IF(M658=0,"N/A",T658/M658-1)</f>
        <v>0</v>
      </c>
      <c r="W658" s="102"/>
      <c r="X658" s="102"/>
      <c r="Y658" s="102">
        <f t="shared" ref="Y658:Y667" si="991">T658-X658</f>
        <v>1100</v>
      </c>
      <c r="Z658" s="309">
        <f>Y658*(1+VLOOKUP($F658,'GL Category'!$A:$H,4,FALSE))</f>
        <v>1122</v>
      </c>
      <c r="AA658" s="615"/>
      <c r="AB658" s="622">
        <f t="shared" ref="AB658:AB667" si="992">Z658+AA658</f>
        <v>1122</v>
      </c>
      <c r="AC658" s="633">
        <f>AB658*(1+VLOOKUP($F658,'GL Category'!$A:$H,5,FALSE))</f>
        <v>1144.44</v>
      </c>
      <c r="AD658" s="307"/>
      <c r="AE658" s="622">
        <f t="shared" ref="AE658:AE667" si="993">AC658+AD658</f>
        <v>1144.44</v>
      </c>
      <c r="AF658" s="633">
        <f>AE658*(1+VLOOKUP($F658,'GL Category'!$A:$H,6,FALSE))</f>
        <v>1167.3288</v>
      </c>
      <c r="AG658" s="307"/>
      <c r="AH658" s="622">
        <f t="shared" ref="AH658:AH667" si="994">AF658+AG658</f>
        <v>1167.3288</v>
      </c>
      <c r="AI658" s="633">
        <f>AH658*(1+VLOOKUP($F658,'GL Category'!$A:$H,7,FALSE))</f>
        <v>1190.6753759999999</v>
      </c>
      <c r="AJ658" s="307"/>
      <c r="AK658" s="622">
        <f t="shared" ref="AK658:AK667" si="995">AI658+AJ658</f>
        <v>1190.6753759999999</v>
      </c>
      <c r="AL658" s="633">
        <f>AK658*(1+VLOOKUP($F658,'GL Category'!$A:$H,8,FALSE))</f>
        <v>1214.4888835199999</v>
      </c>
      <c r="AM658" s="307"/>
      <c r="AN658" s="622">
        <f t="shared" ref="AN658:AN667" si="996">AL658+AM658</f>
        <v>1214.4888835199999</v>
      </c>
      <c r="AO658" s="192"/>
      <c r="AP658" s="192"/>
      <c r="AQ658" s="192"/>
    </row>
    <row r="659" spans="1:59" s="115" customFormat="1" ht="15" customHeight="1">
      <c r="A659" s="296"/>
      <c r="B659" s="217" t="str">
        <f t="shared" si="987"/>
        <v/>
      </c>
      <c r="C659" s="217" t="s">
        <v>3129</v>
      </c>
      <c r="D659" s="101"/>
      <c r="E659" s="101"/>
      <c r="F659" s="294" t="s">
        <v>150</v>
      </c>
      <c r="G659" s="295" t="str">
        <f>VLOOKUP(F659,'GL Category'!A:C,3,FALSE)</f>
        <v>Operations &amp; maintenance</v>
      </c>
      <c r="H659" s="98" t="str">
        <f>VLOOKUP(F659,'GL Category'!A:C,2,FALSE)</f>
        <v>POSTAGE SUPPLIES</v>
      </c>
      <c r="I659" s="99">
        <f>SUMIFS(I$1:I653,$C$1:$C653,$C659,$F$1:$F653,$F659)</f>
        <v>0</v>
      </c>
      <c r="J659" s="99">
        <f>SUMIFS(J$1:J653,$C$1:$C653,$C659,$F$1:$F653,$F659)</f>
        <v>0</v>
      </c>
      <c r="K659" s="99">
        <f>SUMIFS(K$1:K653,$C$1:$C653,$C659,$F$1:$F653,$F659)</f>
        <v>0</v>
      </c>
      <c r="L659" s="99">
        <f>SUMIFS(L$1:L653,$C$1:$C653,$C659,$F$1:$F653,$F659)</f>
        <v>0</v>
      </c>
      <c r="M659" s="99">
        <f>SUMIFS(M$1:M653,$C$1:$C653,$C659,$F$1:$F653,$F659)</f>
        <v>0</v>
      </c>
      <c r="N659" s="99">
        <f>SUMIFS(N$1:N653,$C$1:$C653,$C659,$F$1:$F653,$F659)</f>
        <v>0</v>
      </c>
      <c r="O659" s="99">
        <f>SUMIFS(O$1:O653,$C$1:$C653,$C659,$F$1:$F653,$F659)</f>
        <v>0</v>
      </c>
      <c r="P659" s="99">
        <f t="shared" si="988"/>
        <v>0</v>
      </c>
      <c r="Q659" s="99">
        <f>SUMIFS(Q$1:Q653,$C$1:$C653,$C659,$F$1:$F653,$F659)</f>
        <v>0</v>
      </c>
      <c r="R659" s="99">
        <f>SUMIFS(R$1:R653,$C$1:$C653,$C659,$F$1:$F653,$F659)</f>
        <v>0</v>
      </c>
      <c r="S659" s="99">
        <f>SUMIFS(S$1:S653,$C$1:$C653,$C659,$F$1:$F653,$F659)</f>
        <v>0</v>
      </c>
      <c r="T659" s="99">
        <f>SUMIFS(T$1:T653,$C$1:$C653,$C659,$F$1:$F653,$F659)</f>
        <v>0</v>
      </c>
      <c r="U659" s="99">
        <f t="shared" si="989"/>
        <v>0</v>
      </c>
      <c r="V659" s="255" t="str">
        <f t="shared" si="990"/>
        <v>N/A</v>
      </c>
      <c r="W659" s="102"/>
      <c r="X659" s="102"/>
      <c r="Y659" s="102">
        <f t="shared" si="991"/>
        <v>0</v>
      </c>
      <c r="Z659" s="309">
        <f>Y659*(1+VLOOKUP($F659,'GL Category'!$A:$H,4,FALSE))</f>
        <v>0</v>
      </c>
      <c r="AA659" s="615"/>
      <c r="AB659" s="622">
        <f t="shared" si="992"/>
        <v>0</v>
      </c>
      <c r="AC659" s="633">
        <f>AB659*(1+VLOOKUP($F659,'GL Category'!$A:$H,5,FALSE))</f>
        <v>0</v>
      </c>
      <c r="AD659" s="307"/>
      <c r="AE659" s="622">
        <f t="shared" si="993"/>
        <v>0</v>
      </c>
      <c r="AF659" s="633">
        <f>AE659*(1+VLOOKUP($F659,'GL Category'!$A:$H,6,FALSE))</f>
        <v>0</v>
      </c>
      <c r="AG659" s="307"/>
      <c r="AH659" s="622">
        <f t="shared" si="994"/>
        <v>0</v>
      </c>
      <c r="AI659" s="633">
        <f>AH659*(1+VLOOKUP($F659,'GL Category'!$A:$H,7,FALSE))</f>
        <v>0</v>
      </c>
      <c r="AJ659" s="307"/>
      <c r="AK659" s="622">
        <f t="shared" si="995"/>
        <v>0</v>
      </c>
      <c r="AL659" s="633">
        <f>AK659*(1+VLOOKUP($F659,'GL Category'!$A:$H,8,FALSE))</f>
        <v>0</v>
      </c>
      <c r="AM659" s="307"/>
      <c r="AN659" s="622">
        <f t="shared" si="996"/>
        <v>0</v>
      </c>
      <c r="AO659" s="192"/>
      <c r="AP659" s="192"/>
      <c r="AQ659" s="192"/>
    </row>
    <row r="660" spans="1:59" s="115" customFormat="1" ht="15" customHeight="1">
      <c r="A660" s="296"/>
      <c r="B660" s="217" t="str">
        <f t="shared" ref="B660" si="997">LEFT(A660,3)</f>
        <v/>
      </c>
      <c r="C660" s="217" t="s">
        <v>3129</v>
      </c>
      <c r="D660" s="101"/>
      <c r="E660" s="101"/>
      <c r="F660" s="294" t="s">
        <v>156</v>
      </c>
      <c r="G660" s="295" t="str">
        <f>VLOOKUP(F660,'GL Category'!A:C,3,FALSE)</f>
        <v>Operations &amp; maintenance</v>
      </c>
      <c r="H660" s="98" t="str">
        <f>VLOOKUP(F660,'GL Category'!A:C,2,FALSE)</f>
        <v>COMPUTER SUPPLIES</v>
      </c>
      <c r="I660" s="99">
        <f>SUMIFS(I$1:I654,$C$1:$C654,$C660,$F$1:$F654,$F660)</f>
        <v>0</v>
      </c>
      <c r="J660" s="99">
        <f>SUMIFS(J$1:J654,$C$1:$C654,$C660,$F$1:$F654,$F660)</f>
        <v>0</v>
      </c>
      <c r="K660" s="99">
        <f>SUMIFS(K$1:K654,$C$1:$C654,$C660,$F$1:$F654,$F660)</f>
        <v>0</v>
      </c>
      <c r="L660" s="99">
        <f>SUMIFS(L$1:L654,$C$1:$C654,$C660,$F$1:$F654,$F660)</f>
        <v>0</v>
      </c>
      <c r="M660" s="99">
        <f>SUMIFS(M$1:M654,$C$1:$C654,$C660,$F$1:$F654,$F660)</f>
        <v>0</v>
      </c>
      <c r="N660" s="99">
        <f>SUMIFS(N$1:N654,$C$1:$C654,$C660,$F$1:$F654,$F660)</f>
        <v>0</v>
      </c>
      <c r="O660" s="99">
        <f>SUMIFS(O$1:O654,$C$1:$C654,$C660,$F$1:$F654,$F660)</f>
        <v>0</v>
      </c>
      <c r="P660" s="99">
        <f t="shared" ref="P660" si="998">O660-M660</f>
        <v>0</v>
      </c>
      <c r="Q660" s="99">
        <f>SUMIFS(Q$1:Q654,$C$1:$C654,$C660,$F$1:$F654,$F660)</f>
        <v>0</v>
      </c>
      <c r="R660" s="99">
        <f>SUMIFS(R$1:R654,$C$1:$C654,$C660,$F$1:$F654,$F660)</f>
        <v>0</v>
      </c>
      <c r="S660" s="99">
        <f>SUMIFS(S$1:S654,$C$1:$C654,$C660,$F$1:$F654,$F660)</f>
        <v>0</v>
      </c>
      <c r="T660" s="99">
        <f>SUMIFS(T$1:T654,$C$1:$C654,$C660,$F$1:$F654,$F660)</f>
        <v>0</v>
      </c>
      <c r="U660" s="99">
        <f t="shared" si="989"/>
        <v>0</v>
      </c>
      <c r="V660" s="255" t="str">
        <f t="shared" si="990"/>
        <v>N/A</v>
      </c>
      <c r="W660" s="102"/>
      <c r="X660" s="102"/>
      <c r="Y660" s="102">
        <f t="shared" si="991"/>
        <v>0</v>
      </c>
      <c r="Z660" s="309">
        <f>Y660*(1+VLOOKUP($F660,'GL Category'!$A:$H,4,FALSE))</f>
        <v>0</v>
      </c>
      <c r="AA660" s="615"/>
      <c r="AB660" s="622">
        <f t="shared" si="992"/>
        <v>0</v>
      </c>
      <c r="AC660" s="633">
        <f>AB660*(1+VLOOKUP($F660,'GL Category'!$A:$H,5,FALSE))</f>
        <v>0</v>
      </c>
      <c r="AD660" s="307"/>
      <c r="AE660" s="622">
        <f t="shared" si="993"/>
        <v>0</v>
      </c>
      <c r="AF660" s="633">
        <f>AE660*(1+VLOOKUP($F660,'GL Category'!$A:$H,6,FALSE))</f>
        <v>0</v>
      </c>
      <c r="AG660" s="307"/>
      <c r="AH660" s="622">
        <f t="shared" si="994"/>
        <v>0</v>
      </c>
      <c r="AI660" s="633">
        <f>AH660*(1+VLOOKUP($F660,'GL Category'!$A:$H,7,FALSE))</f>
        <v>0</v>
      </c>
      <c r="AJ660" s="307"/>
      <c r="AK660" s="622">
        <f t="shared" si="995"/>
        <v>0</v>
      </c>
      <c r="AL660" s="633">
        <f>AK660*(1+VLOOKUP($F660,'GL Category'!$A:$H,8,FALSE))</f>
        <v>0</v>
      </c>
      <c r="AM660" s="307"/>
      <c r="AN660" s="622">
        <f t="shared" si="996"/>
        <v>0</v>
      </c>
      <c r="AO660" s="192"/>
      <c r="AP660" s="192"/>
      <c r="AQ660" s="192"/>
    </row>
    <row r="661" spans="1:59" s="115" customFormat="1" ht="15" customHeight="1">
      <c r="A661" s="296"/>
      <c r="B661" s="217" t="str">
        <f>LEFT(A661,3)</f>
        <v/>
      </c>
      <c r="C661" s="217" t="s">
        <v>3129</v>
      </c>
      <c r="D661" s="101"/>
      <c r="E661" s="101"/>
      <c r="F661" s="294" t="s">
        <v>159</v>
      </c>
      <c r="G661" s="295" t="str">
        <f>VLOOKUP(F661,'GL Category'!A:C,3,FALSE)</f>
        <v>Operations &amp; maintenance</v>
      </c>
      <c r="H661" s="98" t="str">
        <f>VLOOKUP(F661,'GL Category'!A:C,2,FALSE)</f>
        <v>SMALL TOOLS &amp; EQUIPMENT</v>
      </c>
      <c r="I661" s="99">
        <f>SUMIFS(I$1:I654,$C$1:$C654,$C661,$F$1:$F654,$F661)</f>
        <v>0</v>
      </c>
      <c r="J661" s="99">
        <f>SUMIFS(J$1:J654,$C$1:$C654,$C661,$F$1:$F654,$F661)</f>
        <v>0</v>
      </c>
      <c r="K661" s="99">
        <f>SUMIFS(K$1:K654,$C$1:$C654,$C661,$F$1:$F654,$F661)</f>
        <v>0</v>
      </c>
      <c r="L661" s="99">
        <f>SUMIFS(L$1:L654,$C$1:$C654,$C661,$F$1:$F654,$F661)</f>
        <v>0</v>
      </c>
      <c r="M661" s="99">
        <f>SUMIFS(M$1:M654,$C$1:$C654,$C661,$F$1:$F654,$F661)</f>
        <v>0</v>
      </c>
      <c r="N661" s="99">
        <f>SUMIFS(N$1:N654,$C$1:$C654,$C661,$F$1:$F654,$F661)</f>
        <v>0</v>
      </c>
      <c r="O661" s="99">
        <f>SUMIFS(O$1:O654,$C$1:$C654,$C661,$F$1:$F654,$F661)</f>
        <v>0</v>
      </c>
      <c r="P661" s="99">
        <f>O661-M661</f>
        <v>0</v>
      </c>
      <c r="Q661" s="99">
        <f>SUMIFS(Q$1:Q654,$C$1:$C654,$C661,$F$1:$F654,$F661)</f>
        <v>0</v>
      </c>
      <c r="R661" s="99">
        <f>SUMIFS(R$1:R654,$C$1:$C654,$C661,$F$1:$F654,$F661)</f>
        <v>0</v>
      </c>
      <c r="S661" s="99">
        <f>SUMIFS(S$1:S654,$C$1:$C654,$C661,$F$1:$F654,$F661)</f>
        <v>0</v>
      </c>
      <c r="T661" s="99">
        <f>SUMIFS(T$1:T654,$C$1:$C654,$C661,$F$1:$F654,$F661)</f>
        <v>0</v>
      </c>
      <c r="U661" s="99">
        <f t="shared" si="989"/>
        <v>0</v>
      </c>
      <c r="V661" s="255" t="str">
        <f t="shared" si="990"/>
        <v>N/A</v>
      </c>
      <c r="W661" s="102"/>
      <c r="X661" s="102"/>
      <c r="Y661" s="102">
        <f t="shared" si="991"/>
        <v>0</v>
      </c>
      <c r="Z661" s="309">
        <f>Y661*(1+VLOOKUP($F661,'GL Category'!$A:$H,4,FALSE))</f>
        <v>0</v>
      </c>
      <c r="AA661" s="615"/>
      <c r="AB661" s="622">
        <f t="shared" si="992"/>
        <v>0</v>
      </c>
      <c r="AC661" s="633">
        <f>AB661*(1+VLOOKUP($F661,'GL Category'!$A:$H,5,FALSE))</f>
        <v>0</v>
      </c>
      <c r="AD661" s="307"/>
      <c r="AE661" s="622">
        <f t="shared" si="993"/>
        <v>0</v>
      </c>
      <c r="AF661" s="633">
        <f>AE661*(1+VLOOKUP($F661,'GL Category'!$A:$H,6,FALSE))</f>
        <v>0</v>
      </c>
      <c r="AG661" s="307"/>
      <c r="AH661" s="622">
        <f t="shared" si="994"/>
        <v>0</v>
      </c>
      <c r="AI661" s="633">
        <f>AH661*(1+VLOOKUP($F661,'GL Category'!$A:$H,7,FALSE))</f>
        <v>0</v>
      </c>
      <c r="AJ661" s="307"/>
      <c r="AK661" s="622">
        <f t="shared" si="995"/>
        <v>0</v>
      </c>
      <c r="AL661" s="633">
        <f>AK661*(1+VLOOKUP($F661,'GL Category'!$A:$H,8,FALSE))</f>
        <v>0</v>
      </c>
      <c r="AM661" s="307"/>
      <c r="AN661" s="622">
        <f t="shared" si="996"/>
        <v>0</v>
      </c>
      <c r="AO661" s="192"/>
      <c r="AP661" s="192"/>
      <c r="AQ661" s="192"/>
    </row>
    <row r="662" spans="1:59" s="115" customFormat="1" ht="15" customHeight="1">
      <c r="A662" s="296"/>
      <c r="B662" s="217" t="str">
        <f t="shared" si="987"/>
        <v/>
      </c>
      <c r="C662" s="217" t="s">
        <v>3129</v>
      </c>
      <c r="D662" s="101"/>
      <c r="E662" s="101"/>
      <c r="F662" s="294" t="s">
        <v>162</v>
      </c>
      <c r="G662" s="295" t="str">
        <f>VLOOKUP(F662,'GL Category'!A:C,3,FALSE)</f>
        <v>Operations &amp; maintenance</v>
      </c>
      <c r="H662" s="98" t="str">
        <f>VLOOKUP(F662,'GL Category'!A:C,2,FALSE)</f>
        <v>MEETING SPONSORSHIP/SUPPLIES</v>
      </c>
      <c r="I662" s="99">
        <f>SUMIFS(I$1:I654,$C$1:$C654,$C662,$F$1:$F654,$F662)</f>
        <v>0</v>
      </c>
      <c r="J662" s="99">
        <f>SUMIFS(J$1:J654,$C$1:$C654,$C662,$F$1:$F654,$F662)</f>
        <v>0</v>
      </c>
      <c r="K662" s="99">
        <f>SUMIFS(K$1:K654,$C$1:$C654,$C662,$F$1:$F654,$F662)</f>
        <v>0</v>
      </c>
      <c r="L662" s="99">
        <f>SUMIFS(L$1:L654,$C$1:$C654,$C662,$F$1:$F654,$F662)</f>
        <v>0</v>
      </c>
      <c r="M662" s="99">
        <f>SUMIFS(M$1:M654,$C$1:$C654,$C662,$F$1:$F654,$F662)</f>
        <v>0</v>
      </c>
      <c r="N662" s="99">
        <f>SUMIFS(N$1:N654,$C$1:$C654,$C662,$F$1:$F654,$F662)</f>
        <v>0</v>
      </c>
      <c r="O662" s="99">
        <f>SUMIFS(O$1:O654,$C$1:$C654,$C662,$F$1:$F654,$F662)</f>
        <v>0</v>
      </c>
      <c r="P662" s="99">
        <f t="shared" si="988"/>
        <v>0</v>
      </c>
      <c r="Q662" s="99">
        <f>SUMIFS(Q$1:Q654,$C$1:$C654,$C662,$F$1:$F654,$F662)</f>
        <v>0</v>
      </c>
      <c r="R662" s="99">
        <f>SUMIFS(R$1:R654,$C$1:$C654,$C662,$F$1:$F654,$F662)</f>
        <v>0</v>
      </c>
      <c r="S662" s="99">
        <f>SUMIFS(S$1:S654,$C$1:$C654,$C662,$F$1:$F654,$F662)</f>
        <v>0</v>
      </c>
      <c r="T662" s="99">
        <f>SUMIFS(T$1:T654,$C$1:$C654,$C662,$F$1:$F654,$F662)</f>
        <v>0</v>
      </c>
      <c r="U662" s="99">
        <f t="shared" si="989"/>
        <v>0</v>
      </c>
      <c r="V662" s="255" t="str">
        <f t="shared" si="990"/>
        <v>N/A</v>
      </c>
      <c r="W662" s="102"/>
      <c r="X662" s="102"/>
      <c r="Y662" s="102">
        <f t="shared" si="991"/>
        <v>0</v>
      </c>
      <c r="Z662" s="309">
        <f>Y662*(1+VLOOKUP($F662,'GL Category'!$A:$H,4,FALSE))</f>
        <v>0</v>
      </c>
      <c r="AA662" s="615"/>
      <c r="AB662" s="622">
        <f t="shared" si="992"/>
        <v>0</v>
      </c>
      <c r="AC662" s="633">
        <f>AB662*(1+VLOOKUP($F662,'GL Category'!$A:$H,5,FALSE))</f>
        <v>0</v>
      </c>
      <c r="AD662" s="307"/>
      <c r="AE662" s="622">
        <f t="shared" si="993"/>
        <v>0</v>
      </c>
      <c r="AF662" s="633">
        <f>AE662*(1+VLOOKUP($F662,'GL Category'!$A:$H,6,FALSE))</f>
        <v>0</v>
      </c>
      <c r="AG662" s="307"/>
      <c r="AH662" s="622">
        <f t="shared" si="994"/>
        <v>0</v>
      </c>
      <c r="AI662" s="633">
        <f>AH662*(1+VLOOKUP($F662,'GL Category'!$A:$H,7,FALSE))</f>
        <v>0</v>
      </c>
      <c r="AJ662" s="307"/>
      <c r="AK662" s="622">
        <f t="shared" si="995"/>
        <v>0</v>
      </c>
      <c r="AL662" s="633">
        <f>AK662*(1+VLOOKUP($F662,'GL Category'!$A:$H,8,FALSE))</f>
        <v>0</v>
      </c>
      <c r="AM662" s="307"/>
      <c r="AN662" s="622">
        <f t="shared" si="996"/>
        <v>0</v>
      </c>
      <c r="AO662" s="192"/>
      <c r="AP662" s="192"/>
      <c r="AQ662" s="192"/>
    </row>
    <row r="663" spans="1:59" s="115" customFormat="1" ht="15" customHeight="1">
      <c r="A663" s="296"/>
      <c r="B663" s="217" t="str">
        <f t="shared" si="987"/>
        <v/>
      </c>
      <c r="C663" s="217" t="s">
        <v>3129</v>
      </c>
      <c r="D663" s="101"/>
      <c r="E663" s="101"/>
      <c r="F663" s="294" t="s">
        <v>233</v>
      </c>
      <c r="G663" s="295" t="str">
        <f>VLOOKUP(F663,'GL Category'!A:C,3,FALSE)</f>
        <v>Operations &amp; maintenance</v>
      </c>
      <c r="H663" s="98" t="str">
        <f>VLOOKUP(F663,'GL Category'!A:C,2,FALSE)</f>
        <v>STREET SIGN/SIGNAL SUPPLIES</v>
      </c>
      <c r="I663" s="99">
        <f>SUMIFS(I$1:I655,$C$1:$C655,$C663,$F$1:$F655,$F663)</f>
        <v>1820</v>
      </c>
      <c r="J663" s="99">
        <f>SUMIFS(J$1:J655,$C$1:$C655,$C663,$F$1:$F655,$F663)</f>
        <v>0</v>
      </c>
      <c r="K663" s="99">
        <f>SUMIFS(K$1:K655,$C$1:$C655,$C663,$F$1:$F655,$F663)</f>
        <v>30777</v>
      </c>
      <c r="L663" s="99">
        <f>SUMIFS(L$1:L655,$C$1:$C655,$C663,$F$1:$F655,$F663)</f>
        <v>0</v>
      </c>
      <c r="M663" s="99">
        <f>SUMIFS(M$1:M655,$C$1:$C655,$C663,$F$1:$F655,$F663)</f>
        <v>2000</v>
      </c>
      <c r="N663" s="99">
        <f>SUMIFS(N$1:N655,$C$1:$C655,$C663,$F$1:$F655,$F663)</f>
        <v>0</v>
      </c>
      <c r="O663" s="99">
        <f>SUMIFS(O$1:O655,$C$1:$C655,$C663,$F$1:$F655,$F663)</f>
        <v>2000</v>
      </c>
      <c r="P663" s="99">
        <f t="shared" si="988"/>
        <v>0</v>
      </c>
      <c r="Q663" s="99">
        <f>SUMIFS(Q$1:Q655,$C$1:$C655,$C663,$F$1:$F655,$F663)</f>
        <v>2000</v>
      </c>
      <c r="R663" s="99">
        <f>SUMIFS(R$1:R655,$C$1:$C655,$C663,$F$1:$F655,$F663)</f>
        <v>0</v>
      </c>
      <c r="S663" s="99">
        <f>SUMIFS(S$1:S655,$C$1:$C655,$C663,$F$1:$F655,$F663)</f>
        <v>0</v>
      </c>
      <c r="T663" s="99">
        <f>SUMIFS(T$1:T655,$C$1:$C655,$C663,$F$1:$F655,$F663)</f>
        <v>2000</v>
      </c>
      <c r="U663" s="99">
        <f t="shared" si="989"/>
        <v>0</v>
      </c>
      <c r="V663" s="255">
        <f t="shared" si="990"/>
        <v>0</v>
      </c>
      <c r="W663" s="102"/>
      <c r="X663" s="102"/>
      <c r="Y663" s="102">
        <f t="shared" si="991"/>
        <v>2000</v>
      </c>
      <c r="Z663" s="309">
        <f>Y663*(1+VLOOKUP($F663,'GL Category'!$A:$H,4,FALSE))</f>
        <v>2040</v>
      </c>
      <c r="AA663" s="615"/>
      <c r="AB663" s="622">
        <f t="shared" si="992"/>
        <v>2040</v>
      </c>
      <c r="AC663" s="633">
        <f>AB663*(1+VLOOKUP($F663,'GL Category'!$A:$H,5,FALSE))</f>
        <v>2080.8000000000002</v>
      </c>
      <c r="AD663" s="307"/>
      <c r="AE663" s="622">
        <f t="shared" si="993"/>
        <v>2080.8000000000002</v>
      </c>
      <c r="AF663" s="633">
        <f>AE663*(1+VLOOKUP($F663,'GL Category'!$A:$H,6,FALSE))</f>
        <v>2122.4160000000002</v>
      </c>
      <c r="AG663" s="307"/>
      <c r="AH663" s="622">
        <f t="shared" si="994"/>
        <v>2122.4160000000002</v>
      </c>
      <c r="AI663" s="633">
        <f>AH663*(1+VLOOKUP($F663,'GL Category'!$A:$H,7,FALSE))</f>
        <v>2164.8643200000001</v>
      </c>
      <c r="AJ663" s="307"/>
      <c r="AK663" s="622">
        <f t="shared" si="995"/>
        <v>2164.8643200000001</v>
      </c>
      <c r="AL663" s="633">
        <f>AK663*(1+VLOOKUP($F663,'GL Category'!$A:$H,8,FALSE))</f>
        <v>2208.1616064</v>
      </c>
      <c r="AM663" s="307"/>
      <c r="AN663" s="622">
        <f t="shared" si="996"/>
        <v>2208.1616064</v>
      </c>
      <c r="AO663" s="192"/>
      <c r="AP663" s="192"/>
      <c r="AQ663" s="192"/>
    </row>
    <row r="664" spans="1:59" s="115" customFormat="1" ht="15" customHeight="1">
      <c r="A664" s="296"/>
      <c r="B664" s="217" t="str">
        <f t="shared" si="987"/>
        <v/>
      </c>
      <c r="C664" s="217" t="s">
        <v>3129</v>
      </c>
      <c r="D664" s="101"/>
      <c r="E664" s="101"/>
      <c r="F664" s="294" t="s">
        <v>166</v>
      </c>
      <c r="G664" s="295" t="str">
        <f>VLOOKUP(F664,'GL Category'!A:C,3,FALSE)</f>
        <v>Operations &amp; maintenance</v>
      </c>
      <c r="H664" s="98" t="str">
        <f>VLOOKUP(F664,'GL Category'!A:C,2,FALSE)</f>
        <v>WEARING APPAREL</v>
      </c>
      <c r="I664" s="99">
        <f>SUMIFS(I$1:I656,$C$1:$C656,$C664,$F$1:$F656,$F664)</f>
        <v>89.77</v>
      </c>
      <c r="J664" s="99">
        <f>SUMIFS(J$1:J656,$C$1:$C656,$C664,$F$1:$F656,$F664)</f>
        <v>108.96</v>
      </c>
      <c r="K664" s="99">
        <f>SUMIFS(K$1:K656,$C$1:$C656,$C664,$F$1:$F656,$F664)</f>
        <v>95.63</v>
      </c>
      <c r="L664" s="99">
        <f>SUMIFS(L$1:L656,$C$1:$C656,$C664,$F$1:$F656,$F664)</f>
        <v>165.14</v>
      </c>
      <c r="M664" s="99">
        <f>SUMIFS(M$1:M656,$C$1:$C656,$C664,$F$1:$F656,$F664)</f>
        <v>200</v>
      </c>
      <c r="N664" s="99">
        <f>SUMIFS(N$1:N656,$C$1:$C656,$C664,$F$1:$F656,$F664)</f>
        <v>0</v>
      </c>
      <c r="O664" s="99">
        <f>SUMIFS(O$1:O656,$C$1:$C656,$C664,$F$1:$F656,$F664)</f>
        <v>200</v>
      </c>
      <c r="P664" s="99">
        <f t="shared" si="988"/>
        <v>0</v>
      </c>
      <c r="Q664" s="99">
        <f>SUMIFS(Q$1:Q656,$C$1:$C656,$C664,$F$1:$F656,$F664)</f>
        <v>200</v>
      </c>
      <c r="R664" s="99">
        <f>SUMIFS(R$1:R656,$C$1:$C656,$C664,$F$1:$F656,$F664)</f>
        <v>0</v>
      </c>
      <c r="S664" s="99">
        <f>SUMIFS(S$1:S656,$C$1:$C656,$C664,$F$1:$F656,$F664)</f>
        <v>0</v>
      </c>
      <c r="T664" s="99">
        <f>SUMIFS(T$1:T656,$C$1:$C656,$C664,$F$1:$F656,$F664)</f>
        <v>200</v>
      </c>
      <c r="U664" s="99">
        <f t="shared" si="989"/>
        <v>0</v>
      </c>
      <c r="V664" s="255">
        <f t="shared" si="990"/>
        <v>0</v>
      </c>
      <c r="W664" s="102"/>
      <c r="X664" s="102"/>
      <c r="Y664" s="102">
        <f t="shared" si="991"/>
        <v>200</v>
      </c>
      <c r="Z664" s="309">
        <f>Y664*(1+VLOOKUP($F664,'GL Category'!$A:$H,4,FALSE))</f>
        <v>204</v>
      </c>
      <c r="AA664" s="615"/>
      <c r="AB664" s="622">
        <f t="shared" si="992"/>
        <v>204</v>
      </c>
      <c r="AC664" s="633">
        <f>AB664*(1+VLOOKUP($F664,'GL Category'!$A:$H,5,FALSE))</f>
        <v>208.08</v>
      </c>
      <c r="AD664" s="307"/>
      <c r="AE664" s="622">
        <f t="shared" si="993"/>
        <v>208.08</v>
      </c>
      <c r="AF664" s="633">
        <f>AE664*(1+VLOOKUP($F664,'GL Category'!$A:$H,6,FALSE))</f>
        <v>212.24160000000001</v>
      </c>
      <c r="AG664" s="307"/>
      <c r="AH664" s="622">
        <f t="shared" si="994"/>
        <v>212.24160000000001</v>
      </c>
      <c r="AI664" s="633">
        <f>AH664*(1+VLOOKUP($F664,'GL Category'!$A:$H,7,FALSE))</f>
        <v>216.48643200000001</v>
      </c>
      <c r="AJ664" s="307"/>
      <c r="AK664" s="622">
        <f t="shared" si="995"/>
        <v>216.48643200000001</v>
      </c>
      <c r="AL664" s="633">
        <f>AK664*(1+VLOOKUP($F664,'GL Category'!$A:$H,8,FALSE))</f>
        <v>220.81616064000002</v>
      </c>
      <c r="AM664" s="307"/>
      <c r="AN664" s="622">
        <f t="shared" si="996"/>
        <v>220.81616064000002</v>
      </c>
      <c r="AO664" s="192"/>
      <c r="AP664" s="192"/>
      <c r="AQ664" s="192"/>
    </row>
    <row r="665" spans="1:59" s="115" customFormat="1" ht="15" customHeight="1">
      <c r="A665" s="296"/>
      <c r="B665" s="217" t="str">
        <f>LEFT(A665,3)</f>
        <v/>
      </c>
      <c r="C665" s="217" t="s">
        <v>3129</v>
      </c>
      <c r="D665" s="101"/>
      <c r="E665" s="101"/>
      <c r="F665" s="294" t="s">
        <v>168</v>
      </c>
      <c r="G665" s="295" t="str">
        <f>VLOOKUP(F665,'GL Category'!A:C,3,FALSE)</f>
        <v>Operations &amp; maintenance</v>
      </c>
      <c r="H665" s="98" t="str">
        <f>VLOOKUP(F665,'GL Category'!A:C,2,FALSE)</f>
        <v>MISCELLANEOUS SUPPLIES</v>
      </c>
      <c r="I665" s="99">
        <f>SUMIFS(I$1:I657,$C$1:$C657,$C665,$F$1:$F657,$F665)</f>
        <v>0</v>
      </c>
      <c r="J665" s="99">
        <f>SUMIFS(J$1:J657,$C$1:$C657,$C665,$F$1:$F657,$F665)</f>
        <v>0</v>
      </c>
      <c r="K665" s="99">
        <f>SUMIFS(K$1:K657,$C$1:$C657,$C665,$F$1:$F657,$F665)</f>
        <v>0</v>
      </c>
      <c r="L665" s="99">
        <f>SUMIFS(L$1:L657,$C$1:$C657,$C665,$F$1:$F657,$F665)</f>
        <v>0</v>
      </c>
      <c r="M665" s="99">
        <f>SUMIFS(M$1:M657,$C$1:$C657,$C665,$F$1:$F657,$F665)</f>
        <v>0</v>
      </c>
      <c r="N665" s="99">
        <f>SUMIFS(N$1:N657,$C$1:$C657,$C665,$F$1:$F657,$F665)</f>
        <v>0</v>
      </c>
      <c r="O665" s="99">
        <f>SUMIFS(O$1:O657,$C$1:$C657,$C665,$F$1:$F657,$F665)</f>
        <v>0</v>
      </c>
      <c r="P665" s="99">
        <f>O665-M665</f>
        <v>0</v>
      </c>
      <c r="Q665" s="99">
        <f>SUMIFS(Q$1:Q657,$C$1:$C657,$C665,$F$1:$F657,$F665)</f>
        <v>0</v>
      </c>
      <c r="R665" s="99">
        <f>SUMIFS(R$1:R657,$C$1:$C657,$C665,$F$1:$F657,$F665)</f>
        <v>0</v>
      </c>
      <c r="S665" s="99">
        <f>SUMIFS(S$1:S657,$C$1:$C657,$C665,$F$1:$F657,$F665)</f>
        <v>0</v>
      </c>
      <c r="T665" s="99">
        <f>SUMIFS(T$1:T657,$C$1:$C657,$C665,$F$1:$F657,$F665)</f>
        <v>0</v>
      </c>
      <c r="U665" s="99">
        <f t="shared" si="989"/>
        <v>0</v>
      </c>
      <c r="V665" s="255" t="str">
        <f t="shared" si="990"/>
        <v>N/A</v>
      </c>
      <c r="W665" s="102"/>
      <c r="X665" s="102"/>
      <c r="Y665" s="102">
        <f t="shared" si="991"/>
        <v>0</v>
      </c>
      <c r="Z665" s="309">
        <f>Y665*(1+VLOOKUP($F665,'GL Category'!$A:$H,4,FALSE))</f>
        <v>0</v>
      </c>
      <c r="AA665" s="615"/>
      <c r="AB665" s="622">
        <f t="shared" si="992"/>
        <v>0</v>
      </c>
      <c r="AC665" s="633">
        <f>AB665*(1+VLOOKUP($F665,'GL Category'!$A:$H,5,FALSE))</f>
        <v>0</v>
      </c>
      <c r="AD665" s="307"/>
      <c r="AE665" s="622">
        <f t="shared" si="993"/>
        <v>0</v>
      </c>
      <c r="AF665" s="633">
        <f>AE665*(1+VLOOKUP($F665,'GL Category'!$A:$H,6,FALSE))</f>
        <v>0</v>
      </c>
      <c r="AG665" s="307"/>
      <c r="AH665" s="622">
        <f t="shared" si="994"/>
        <v>0</v>
      </c>
      <c r="AI665" s="633">
        <f>AH665*(1+VLOOKUP($F665,'GL Category'!$A:$H,7,FALSE))</f>
        <v>0</v>
      </c>
      <c r="AJ665" s="307"/>
      <c r="AK665" s="622">
        <f t="shared" si="995"/>
        <v>0</v>
      </c>
      <c r="AL665" s="633">
        <f>AK665*(1+VLOOKUP($F665,'GL Category'!$A:$H,8,FALSE))</f>
        <v>0</v>
      </c>
      <c r="AM665" s="307"/>
      <c r="AN665" s="622">
        <f t="shared" si="996"/>
        <v>0</v>
      </c>
      <c r="AO665" s="192"/>
      <c r="AP665" s="192"/>
      <c r="AQ665" s="192"/>
    </row>
    <row r="666" spans="1:59" ht="15" customHeight="1">
      <c r="A666" s="296"/>
      <c r="B666" s="217" t="str">
        <f t="shared" si="987"/>
        <v/>
      </c>
      <c r="C666" s="217" t="s">
        <v>3129</v>
      </c>
      <c r="D666" s="101"/>
      <c r="E666" s="101"/>
      <c r="F666" s="294" t="s">
        <v>235</v>
      </c>
      <c r="G666" s="295" t="str">
        <f>VLOOKUP(F666,'GL Category'!A:C,3,FALSE)</f>
        <v>Operations &amp; maintenance</v>
      </c>
      <c r="H666" s="98" t="str">
        <f>VLOOKUP(F666,'GL Category'!A:C,2,FALSE)</f>
        <v>EQUIPMENT MAINTENANCE</v>
      </c>
      <c r="I666" s="99">
        <f>SUMIFS(I$1:I657,$C$1:$C657,$C666,$F$1:$F657,$F666)</f>
        <v>0</v>
      </c>
      <c r="J666" s="99">
        <f>SUMIFS(J$1:J657,$C$1:$C657,$C666,$F$1:$F657,$F666)</f>
        <v>0</v>
      </c>
      <c r="K666" s="99">
        <f>SUMIFS(K$1:K657,$C$1:$C657,$C666,$F$1:$F657,$F666)</f>
        <v>0</v>
      </c>
      <c r="L666" s="99">
        <f>SUMIFS(L$1:L657,$C$1:$C657,$C666,$F$1:$F657,$F666)</f>
        <v>0</v>
      </c>
      <c r="M666" s="99">
        <f>SUMIFS(M$1:M657,$C$1:$C657,$C666,$F$1:$F657,$F666)</f>
        <v>0</v>
      </c>
      <c r="N666" s="99">
        <f>SUMIFS(N$1:N657,$C$1:$C657,$C666,$F$1:$F657,$F666)</f>
        <v>0</v>
      </c>
      <c r="O666" s="99">
        <f>SUMIFS(O$1:O657,$C$1:$C657,$C666,$F$1:$F657,$F666)</f>
        <v>0</v>
      </c>
      <c r="P666" s="99">
        <f t="shared" si="988"/>
        <v>0</v>
      </c>
      <c r="Q666" s="99">
        <f>SUMIFS(Q$1:Q657,$C$1:$C657,$C666,$F$1:$F657,$F666)</f>
        <v>0</v>
      </c>
      <c r="R666" s="99">
        <f>SUMIFS(R$1:R657,$C$1:$C657,$C666,$F$1:$F657,$F666)</f>
        <v>0</v>
      </c>
      <c r="S666" s="99">
        <f>SUMIFS(S$1:S657,$C$1:$C657,$C666,$F$1:$F657,$F666)</f>
        <v>0</v>
      </c>
      <c r="T666" s="99">
        <f>SUMIFS(T$1:T657,$C$1:$C657,$C666,$F$1:$F657,$F666)</f>
        <v>0</v>
      </c>
      <c r="U666" s="99">
        <f t="shared" si="989"/>
        <v>0</v>
      </c>
      <c r="V666" s="255" t="str">
        <f t="shared" si="990"/>
        <v>N/A</v>
      </c>
      <c r="W666" s="102"/>
      <c r="X666" s="102"/>
      <c r="Y666" s="102">
        <f t="shared" si="991"/>
        <v>0</v>
      </c>
      <c r="Z666" s="309">
        <f>Y666*(1+VLOOKUP($F666,'GL Category'!$A:$H,4,FALSE))</f>
        <v>0</v>
      </c>
      <c r="AA666" s="615"/>
      <c r="AB666" s="622">
        <f t="shared" si="992"/>
        <v>0</v>
      </c>
      <c r="AC666" s="633">
        <f>AB666*(1+VLOOKUP($F666,'GL Category'!$A:$H,5,FALSE))</f>
        <v>0</v>
      </c>
      <c r="AE666" s="622">
        <f t="shared" si="993"/>
        <v>0</v>
      </c>
      <c r="AF666" s="633">
        <f>AE666*(1+VLOOKUP($F666,'GL Category'!$A:$H,6,FALSE))</f>
        <v>0</v>
      </c>
      <c r="AH666" s="622">
        <f t="shared" si="994"/>
        <v>0</v>
      </c>
      <c r="AI666" s="633">
        <f>AH666*(1+VLOOKUP($F666,'GL Category'!$A:$H,7,FALSE))</f>
        <v>0</v>
      </c>
      <c r="AK666" s="622">
        <f t="shared" si="995"/>
        <v>0</v>
      </c>
      <c r="AL666" s="633">
        <f>AK666*(1+VLOOKUP($F666,'GL Category'!$A:$H,8,FALSE))</f>
        <v>0</v>
      </c>
      <c r="AN666" s="622">
        <f t="shared" si="996"/>
        <v>0</v>
      </c>
    </row>
    <row r="667" spans="1:59" s="75" customFormat="1" ht="14.1" customHeight="1">
      <c r="A667" s="296"/>
      <c r="B667" s="217" t="str">
        <f t="shared" si="987"/>
        <v/>
      </c>
      <c r="C667" s="217" t="s">
        <v>3129</v>
      </c>
      <c r="D667" s="101"/>
      <c r="E667" s="101"/>
      <c r="F667" s="294" t="s">
        <v>178</v>
      </c>
      <c r="G667" s="295" t="str">
        <f>VLOOKUP(F667,'GL Category'!A:C,3,FALSE)</f>
        <v>Operations &amp; maintenance</v>
      </c>
      <c r="H667" s="98" t="str">
        <f>VLOOKUP(F667,'GL Category'!A:C,2,FALSE)</f>
        <v>SOFTWARE LICENSE &amp; MAINTENANCE</v>
      </c>
      <c r="I667" s="99">
        <f>SUMIFS(I$1:I658,$C$1:$C658,$C667,$F$1:$F658,$F667)</f>
        <v>0</v>
      </c>
      <c r="J667" s="99">
        <f>SUMIFS(J$1:J658,$C$1:$C658,$C667,$F$1:$F658,$F667)</f>
        <v>0</v>
      </c>
      <c r="K667" s="99">
        <f>SUMIFS(K$1:K658,$C$1:$C658,$C667,$F$1:$F658,$F667)</f>
        <v>0</v>
      </c>
      <c r="L667" s="99">
        <f>SUMIFS(L$1:L658,$C$1:$C658,$C667,$F$1:$F658,$F667)</f>
        <v>0</v>
      </c>
      <c r="M667" s="99">
        <f>SUMIFS(M$1:M658,$C$1:$C658,$C667,$F$1:$F658,$F667)</f>
        <v>0</v>
      </c>
      <c r="N667" s="99">
        <f>SUMIFS(N$1:N658,$C$1:$C658,$C667,$F$1:$F658,$F667)</f>
        <v>0</v>
      </c>
      <c r="O667" s="99">
        <f>SUMIFS(O$1:O658,$C$1:$C658,$C667,$F$1:$F658,$F667)</f>
        <v>0</v>
      </c>
      <c r="P667" s="99">
        <f t="shared" si="988"/>
        <v>0</v>
      </c>
      <c r="Q667" s="99">
        <f>SUMIFS(Q$1:Q658,$C$1:$C658,$C667,$F$1:$F658,$F667)</f>
        <v>0</v>
      </c>
      <c r="R667" s="99">
        <f>SUMIFS(R$1:R658,$C$1:$C658,$C667,$F$1:$F658,$F667)</f>
        <v>0</v>
      </c>
      <c r="S667" s="99">
        <f>SUMIFS(S$1:S658,$C$1:$C658,$C667,$F$1:$F658,$F667)</f>
        <v>0</v>
      </c>
      <c r="T667" s="99">
        <f>SUMIFS(T$1:T658,$C$1:$C658,$C667,$F$1:$F658,$F667)</f>
        <v>0</v>
      </c>
      <c r="U667" s="99">
        <f t="shared" si="989"/>
        <v>0</v>
      </c>
      <c r="V667" s="255" t="str">
        <f t="shared" si="990"/>
        <v>N/A</v>
      </c>
      <c r="W667" s="102"/>
      <c r="X667" s="102"/>
      <c r="Y667" s="102">
        <f t="shared" si="991"/>
        <v>0</v>
      </c>
      <c r="Z667" s="309">
        <f>Y667*(1+VLOOKUP($F667,'GL Category'!$A:$H,4,FALSE))</f>
        <v>0</v>
      </c>
      <c r="AA667" s="615"/>
      <c r="AB667" s="622">
        <f t="shared" si="992"/>
        <v>0</v>
      </c>
      <c r="AC667" s="633">
        <f>AB667*(1+VLOOKUP($F667,'GL Category'!$A:$H,5,FALSE))</f>
        <v>0</v>
      </c>
      <c r="AD667" s="307"/>
      <c r="AE667" s="622">
        <f t="shared" si="993"/>
        <v>0</v>
      </c>
      <c r="AF667" s="633">
        <f>AE667*(1+VLOOKUP($F667,'GL Category'!$A:$H,6,FALSE))</f>
        <v>0</v>
      </c>
      <c r="AG667" s="307"/>
      <c r="AH667" s="622">
        <f t="shared" si="994"/>
        <v>0</v>
      </c>
      <c r="AI667" s="633">
        <f>AH667*(1+VLOOKUP($F667,'GL Category'!$A:$H,7,FALSE))</f>
        <v>0</v>
      </c>
      <c r="AJ667" s="307"/>
      <c r="AK667" s="622">
        <f t="shared" si="995"/>
        <v>0</v>
      </c>
      <c r="AL667" s="633">
        <f>AK667*(1+VLOOKUP($F667,'GL Category'!$A:$H,8,FALSE))</f>
        <v>0</v>
      </c>
      <c r="AM667" s="307"/>
      <c r="AN667" s="622">
        <f t="shared" si="996"/>
        <v>0</v>
      </c>
      <c r="AO667" s="192"/>
      <c r="AP667" s="192"/>
      <c r="AQ667" s="192"/>
      <c r="AR667" s="115"/>
      <c r="AS667" s="115"/>
      <c r="AT667" s="115"/>
      <c r="AU667" s="115"/>
      <c r="AV667" s="115"/>
      <c r="AW667" s="115"/>
      <c r="AX667" s="115"/>
      <c r="AY667" s="115"/>
      <c r="AZ667" s="115"/>
      <c r="BA667" s="115"/>
      <c r="BB667" s="115"/>
      <c r="BC667" s="115"/>
      <c r="BD667" s="115"/>
      <c r="BE667" s="74"/>
      <c r="BF667" s="74"/>
      <c r="BG667" s="74"/>
    </row>
    <row r="668" spans="1:59" s="75" customFormat="1" ht="24" customHeight="1">
      <c r="A668" s="297"/>
      <c r="B668" s="217"/>
      <c r="C668" s="217"/>
      <c r="D668" s="101"/>
      <c r="E668" s="101"/>
      <c r="F668" s="294"/>
      <c r="G668" s="295"/>
      <c r="H668" s="107" t="str">
        <f>UPPER(G667)&amp;" TOTAL"</f>
        <v>OPERATIONS &amp; MAINTENANCE TOTAL</v>
      </c>
      <c r="I668" s="108">
        <f t="shared" ref="I668" si="999">SUBTOTAL(9,I658:I667)</f>
        <v>3007.87</v>
      </c>
      <c r="J668" s="108">
        <f t="shared" ref="J668:T668" si="1000">SUBTOTAL(9,J658:J667)</f>
        <v>1153.33</v>
      </c>
      <c r="K668" s="108">
        <f t="shared" ref="K668" si="1001">SUBTOTAL(9,K658:K667)</f>
        <v>31103.360000000001</v>
      </c>
      <c r="L668" s="108">
        <f t="shared" ref="L668" si="1002">SUBTOTAL(9,L658:L667)</f>
        <v>598.20000000000005</v>
      </c>
      <c r="M668" s="108">
        <f t="shared" si="1000"/>
        <v>3300</v>
      </c>
      <c r="N668" s="108">
        <f t="shared" ref="N668" si="1003">SUBTOTAL(9,N658:N667)</f>
        <v>442.47</v>
      </c>
      <c r="O668" s="108">
        <f t="shared" si="1000"/>
        <v>3000</v>
      </c>
      <c r="P668" s="108">
        <f t="shared" si="1000"/>
        <v>-300</v>
      </c>
      <c r="Q668" s="108">
        <f t="shared" si="1000"/>
        <v>3300</v>
      </c>
      <c r="R668" s="108">
        <f t="shared" si="1000"/>
        <v>0</v>
      </c>
      <c r="S668" s="108">
        <f t="shared" si="1000"/>
        <v>0</v>
      </c>
      <c r="T668" s="108">
        <f t="shared" si="1000"/>
        <v>3300</v>
      </c>
      <c r="U668" s="99">
        <f t="shared" si="989"/>
        <v>0</v>
      </c>
      <c r="V668" s="255">
        <f t="shared" si="990"/>
        <v>0</v>
      </c>
      <c r="W668" s="102"/>
      <c r="X668" s="102"/>
      <c r="Y668" s="102"/>
      <c r="Z668" s="614"/>
      <c r="AA668" s="615"/>
      <c r="AB668" s="624"/>
      <c r="AC668" s="625"/>
      <c r="AD668" s="625"/>
      <c r="AE668" s="625"/>
      <c r="AF668" s="625"/>
      <c r="AG668" s="625"/>
      <c r="AH668" s="623"/>
      <c r="AI668" s="624"/>
      <c r="AJ668" s="626"/>
      <c r="AK668" s="626"/>
      <c r="AL668" s="626"/>
      <c r="AM668" s="626"/>
      <c r="AN668" s="626"/>
      <c r="AO668" s="192"/>
      <c r="AP668" s="192"/>
      <c r="AQ668" s="192"/>
      <c r="AR668" s="115"/>
      <c r="AS668" s="115"/>
      <c r="AT668" s="115"/>
      <c r="AU668" s="115"/>
      <c r="AV668" s="115"/>
      <c r="AW668" s="115"/>
      <c r="AX668" s="115"/>
      <c r="AY668" s="115"/>
      <c r="AZ668" s="115"/>
      <c r="BA668" s="115"/>
      <c r="BB668" s="115"/>
      <c r="BC668" s="115"/>
      <c r="BD668" s="115"/>
      <c r="BE668" s="74"/>
      <c r="BF668" s="74"/>
      <c r="BG668" s="74"/>
    </row>
    <row r="669" spans="1:59" ht="15" customHeight="1">
      <c r="A669" s="297"/>
      <c r="B669" s="217"/>
      <c r="C669" s="217"/>
      <c r="D669" s="101"/>
      <c r="E669" s="101"/>
      <c r="F669" s="294"/>
      <c r="G669" s="295"/>
      <c r="H669" s="98"/>
      <c r="I669" s="106"/>
      <c r="J669" s="106"/>
      <c r="K669" s="106"/>
      <c r="L669" s="106"/>
      <c r="M669" s="106"/>
      <c r="N669" s="112"/>
      <c r="O669" s="112"/>
      <c r="P669" s="112"/>
      <c r="Q669" s="113"/>
      <c r="R669" s="99"/>
      <c r="S669" s="99"/>
      <c r="T669" s="113"/>
      <c r="U669" s="113"/>
      <c r="V669" s="113"/>
      <c r="W669" s="102"/>
      <c r="X669" s="102"/>
      <c r="Y669" s="102"/>
      <c r="AA669" s="615"/>
      <c r="AC669" s="300"/>
      <c r="AD669" s="300"/>
      <c r="AE669" s="300"/>
      <c r="AF669" s="300"/>
      <c r="AG669" s="300"/>
      <c r="AJ669" s="300"/>
      <c r="AK669" s="300"/>
      <c r="AL669" s="300"/>
      <c r="AM669" s="300"/>
      <c r="AN669" s="300"/>
    </row>
    <row r="670" spans="1:59" ht="15" customHeight="1">
      <c r="A670" s="296"/>
      <c r="B670" s="217" t="str">
        <f t="shared" ref="B670:B681" si="1004">LEFT(A670,3)</f>
        <v/>
      </c>
      <c r="C670" s="217" t="s">
        <v>3129</v>
      </c>
      <c r="D670" s="101"/>
      <c r="E670" s="101"/>
      <c r="F670" s="294" t="s">
        <v>349</v>
      </c>
      <c r="G670" s="295" t="str">
        <f>VLOOKUP(F670,'GL Category'!A:C,3,FALSE)</f>
        <v>Services &amp; other</v>
      </c>
      <c r="H670" s="98" t="str">
        <f>VLOOKUP(F670,'GL Category'!A:C,2,FALSE)</f>
        <v>DEVELOPMENT GRANT</v>
      </c>
      <c r="I670" s="99">
        <f>SUMIFS(I$1:I663,$C$1:$C663,$C670,$F$1:$F663,$F670)</f>
        <v>9150</v>
      </c>
      <c r="J670" s="99">
        <f>SUMIFS(J$1:J663,$C$1:$C663,$C670,$F$1:$F663,$F670)</f>
        <v>0</v>
      </c>
      <c r="K670" s="99">
        <f>SUMIFS(K$1:K663,$C$1:$C663,$C670,$F$1:$F663,$F670)</f>
        <v>14985.5</v>
      </c>
      <c r="L670" s="99">
        <f>SUMIFS(L$1:L663,$C$1:$C663,$C670,$F$1:$F663,$F670)</f>
        <v>20000</v>
      </c>
      <c r="M670" s="99">
        <f>SUMIFS(M$1:M663,$C$1:$C663,$C670,$F$1:$F663,$F670)</f>
        <v>79844</v>
      </c>
      <c r="N670" s="99">
        <f>SUMIFS(N$1:N663,$C$1:$C663,$C670,$F$1:$F663,$F670)</f>
        <v>50963.49</v>
      </c>
      <c r="O670" s="99">
        <f>SUMIFS(O$1:O663,$C$1:$C663,$C670,$F$1:$F663,$F670)</f>
        <v>79844</v>
      </c>
      <c r="P670" s="99">
        <f t="shared" ref="P670:P681" si="1005">O670-M670</f>
        <v>0</v>
      </c>
      <c r="Q670" s="99">
        <f>SUMIFS(Q$1:Q663,$C$1:$C663,$C670,$F$1:$F663,$F670)</f>
        <v>35000</v>
      </c>
      <c r="R670" s="99">
        <f>SUMIFS(R$1:R663,$C$1:$C663,$C670,$F$1:$F663,$F670)</f>
        <v>0</v>
      </c>
      <c r="S670" s="99">
        <f>SUMIFS(S$1:S663,$C$1:$C663,$C670,$F$1:$F663,$F670)</f>
        <v>0</v>
      </c>
      <c r="T670" s="99">
        <f>SUMIFS(T$1:T663,$C$1:$C663,$C670,$F$1:$F663,$F670)</f>
        <v>35000</v>
      </c>
      <c r="U670" s="99">
        <f t="shared" ref="U670:U682" si="1006">T670-M670</f>
        <v>-44844</v>
      </c>
      <c r="V670" s="255">
        <f t="shared" ref="V670:V682" si="1007">IF(M670=0,"N/A",T670/M670-1)</f>
        <v>-0.56164520815590402</v>
      </c>
      <c r="W670" s="102"/>
      <c r="X670" s="102"/>
      <c r="Y670" s="102">
        <f t="shared" ref="Y670:Y681" si="1008">T670-X670</f>
        <v>35000</v>
      </c>
      <c r="Z670" s="309">
        <f>Y670*(1+VLOOKUP($F670,'GL Category'!$A:$H,4,FALSE))</f>
        <v>36050</v>
      </c>
      <c r="AA670" s="615"/>
      <c r="AB670" s="622">
        <f t="shared" ref="AB670:AB681" si="1009">Z670+AA670</f>
        <v>36050</v>
      </c>
      <c r="AC670" s="633">
        <f>AB670*(1+VLOOKUP($F670,'GL Category'!$A:$H,5,FALSE))</f>
        <v>37131.5</v>
      </c>
      <c r="AE670" s="622">
        <f t="shared" ref="AE670:AE681" si="1010">AC670+AD670</f>
        <v>37131.5</v>
      </c>
      <c r="AF670" s="633">
        <f>AE670*(1+VLOOKUP($F670,'GL Category'!$A:$H,6,FALSE))</f>
        <v>38245.445</v>
      </c>
      <c r="AH670" s="622">
        <f t="shared" ref="AH670:AH681" si="1011">AF670+AG670</f>
        <v>38245.445</v>
      </c>
      <c r="AI670" s="633">
        <f>AH670*(1+VLOOKUP($F670,'GL Category'!$A:$H,7,FALSE))</f>
        <v>39392.808349999999</v>
      </c>
      <c r="AK670" s="622">
        <f t="shared" ref="AK670:AK681" si="1012">AI670+AJ670</f>
        <v>39392.808349999999</v>
      </c>
      <c r="AL670" s="633">
        <f>AK670*(1+VLOOKUP($F670,'GL Category'!$A:$H,8,FALSE))</f>
        <v>40574.5926005</v>
      </c>
      <c r="AN670" s="622">
        <f t="shared" ref="AN670:AN681" si="1013">AL670+AM670</f>
        <v>40574.5926005</v>
      </c>
      <c r="AO670" s="629"/>
    </row>
    <row r="671" spans="1:59" ht="15" customHeight="1">
      <c r="A671" s="296"/>
      <c r="B671" s="217" t="str">
        <f t="shared" si="1004"/>
        <v/>
      </c>
      <c r="C671" s="217" t="s">
        <v>3129</v>
      </c>
      <c r="D671" s="101"/>
      <c r="E671" s="101"/>
      <c r="F671" s="556" t="s">
        <v>237</v>
      </c>
      <c r="G671" s="295" t="str">
        <f>VLOOKUP(F671,'GL Category'!A:C,3,FALSE)</f>
        <v>Services &amp; other</v>
      </c>
      <c r="H671" s="98" t="str">
        <f>VLOOKUP(F671,'GL Category'!A:C,2,FALSE)</f>
        <v>MISCELLANEOUS SERVICES</v>
      </c>
      <c r="I671" s="99">
        <f>SUMIFS(I$1:I664,$C$1:$C664,$C671,$F$1:$F664,$F671)</f>
        <v>15700</v>
      </c>
      <c r="J671" s="99">
        <f>SUMIFS(J$1:J664,$C$1:$C664,$C671,$F$1:$F664,$F671)</f>
        <v>19683.59</v>
      </c>
      <c r="K671" s="99">
        <f>SUMIFS(K$1:K664,$C$1:$C664,$C671,$F$1:$F664,$F671)</f>
        <v>18690</v>
      </c>
      <c r="L671" s="99">
        <f>SUMIFS(L$1:L664,$C$1:$C664,$C671,$F$1:$F664,$F671)</f>
        <v>21048.29</v>
      </c>
      <c r="M671" s="99">
        <f>SUMIFS(M$1:M664,$C$1:$C664,$C671,$F$1:$F664,$F671)</f>
        <v>55000</v>
      </c>
      <c r="N671" s="99">
        <f>SUMIFS(N$1:N664,$C$1:$C664,$C671,$F$1:$F664,$F671)</f>
        <v>2950</v>
      </c>
      <c r="O671" s="99">
        <f>SUMIFS(O$1:O664,$C$1:$C664,$C671,$F$1:$F664,$F671)</f>
        <v>45000</v>
      </c>
      <c r="P671" s="99">
        <f t="shared" si="1005"/>
        <v>-10000</v>
      </c>
      <c r="Q671" s="99">
        <f>SUMIFS(Q$1:Q664,$C$1:$C664,$C671,$F$1:$F664,$F671)</f>
        <v>45500</v>
      </c>
      <c r="R671" s="99">
        <f>SUMIFS(R$1:R664,$C$1:$C664,$C671,$F$1:$F664,$F671)</f>
        <v>0</v>
      </c>
      <c r="S671" s="99">
        <f>SUMIFS(S$1:S664,$C$1:$C664,$C671,$F$1:$F664,$F671)</f>
        <v>0</v>
      </c>
      <c r="T671" s="99">
        <f>SUMIFS(T$1:T664,$C$1:$C664,$C671,$F$1:$F664,$F671)</f>
        <v>45500</v>
      </c>
      <c r="U671" s="99">
        <f t="shared" si="1006"/>
        <v>-9500</v>
      </c>
      <c r="V671" s="255">
        <f t="shared" si="1007"/>
        <v>-0.17272727272727273</v>
      </c>
      <c r="W671" s="102"/>
      <c r="X671" s="102"/>
      <c r="Y671" s="102">
        <f t="shared" si="1008"/>
        <v>45500</v>
      </c>
      <c r="Z671" s="309">
        <f>Y671*(1+VLOOKUP($F671,'GL Category'!$A:$H,4,FALSE))</f>
        <v>46865</v>
      </c>
      <c r="AA671" s="615"/>
      <c r="AB671" s="622">
        <f t="shared" si="1009"/>
        <v>46865</v>
      </c>
      <c r="AC671" s="633">
        <f>AB671*(1+VLOOKUP($F671,'GL Category'!$A:$H,5,FALSE))</f>
        <v>48270.950000000004</v>
      </c>
      <c r="AD671" s="615"/>
      <c r="AE671" s="622">
        <f t="shared" si="1010"/>
        <v>48270.950000000004</v>
      </c>
      <c r="AF671" s="633">
        <f>AE671*(1+VLOOKUP($F671,'GL Category'!$A:$H,6,FALSE))</f>
        <v>49719.078500000003</v>
      </c>
      <c r="AG671" s="615"/>
      <c r="AH671" s="622">
        <f t="shared" si="1011"/>
        <v>49719.078500000003</v>
      </c>
      <c r="AI671" s="633">
        <f>AH671*(1+VLOOKUP($F671,'GL Category'!$A:$H,7,FALSE))</f>
        <v>51210.650855000007</v>
      </c>
      <c r="AJ671" s="615"/>
      <c r="AK671" s="622">
        <f t="shared" si="1012"/>
        <v>51210.650855000007</v>
      </c>
      <c r="AL671" s="633">
        <f>AK671*(1+VLOOKUP($F671,'GL Category'!$A:$H,8,FALSE))</f>
        <v>52746.970380650011</v>
      </c>
      <c r="AM671" s="615"/>
      <c r="AN671" s="622">
        <f t="shared" si="1013"/>
        <v>52746.970380650011</v>
      </c>
    </row>
    <row r="672" spans="1:59" ht="15" customHeight="1">
      <c r="A672" s="296"/>
      <c r="B672" s="217" t="str">
        <f t="shared" si="1004"/>
        <v/>
      </c>
      <c r="C672" s="217" t="s">
        <v>3129</v>
      </c>
      <c r="D672" s="101"/>
      <c r="E672" s="101"/>
      <c r="F672" s="294" t="s">
        <v>189</v>
      </c>
      <c r="G672" s="295" t="str">
        <f>VLOOKUP(F672,'GL Category'!A:C,3,FALSE)</f>
        <v>Services &amp; other</v>
      </c>
      <c r="H672" s="98" t="str">
        <f>VLOOKUP(F672,'GL Category'!A:C,2,FALSE)</f>
        <v>DUES &amp; SUBSCRIPTIONS</v>
      </c>
      <c r="I672" s="99">
        <f>SUMIFS(I$1:I666,$C$1:$C666,$C672,$F$1:$F666,$F672)</f>
        <v>2638.96</v>
      </c>
      <c r="J672" s="99">
        <f>SUMIFS(J$1:J666,$C$1:$C666,$C672,$F$1:$F666,$F672)</f>
        <v>1634.26</v>
      </c>
      <c r="K672" s="99">
        <f>SUMIFS(K$1:K666,$C$1:$C666,$C672,$F$1:$F666,$F672)</f>
        <v>1755</v>
      </c>
      <c r="L672" s="99">
        <f>SUMIFS(L$1:L666,$C$1:$C666,$C672,$F$1:$F666,$F672)</f>
        <v>4349.99</v>
      </c>
      <c r="M672" s="99">
        <f>SUMIFS(M$1:M666,$C$1:$C666,$C672,$F$1:$F666,$F672)</f>
        <v>6570</v>
      </c>
      <c r="N672" s="99">
        <f>SUMIFS(N$1:N666,$C$1:$C666,$C672,$F$1:$F666,$F672)</f>
        <v>1494</v>
      </c>
      <c r="O672" s="99">
        <f>SUMIFS(O$1:O666,$C$1:$C666,$C672,$F$1:$F666,$F672)</f>
        <v>5070</v>
      </c>
      <c r="P672" s="99">
        <f t="shared" si="1005"/>
        <v>-1500</v>
      </c>
      <c r="Q672" s="99">
        <f>SUMIFS(Q$1:Q666,$C$1:$C666,$C672,$F$1:$F666,$F672)</f>
        <v>6570</v>
      </c>
      <c r="R672" s="99">
        <f>SUMIFS(R$1:R666,$C$1:$C666,$C672,$F$1:$F666,$F672)</f>
        <v>0</v>
      </c>
      <c r="S672" s="99">
        <f>SUMIFS(S$1:S666,$C$1:$C666,$C672,$F$1:$F666,$F672)</f>
        <v>0</v>
      </c>
      <c r="T672" s="99">
        <f>SUMIFS(T$1:T666,$C$1:$C666,$C672,$F$1:$F666,$F672)</f>
        <v>6570</v>
      </c>
      <c r="U672" s="99">
        <f t="shared" si="1006"/>
        <v>0</v>
      </c>
      <c r="V672" s="255">
        <f t="shared" si="1007"/>
        <v>0</v>
      </c>
      <c r="W672" s="102"/>
      <c r="X672" s="102"/>
      <c r="Y672" s="102">
        <f t="shared" si="1008"/>
        <v>6570</v>
      </c>
      <c r="Z672" s="309">
        <f>Y672*(1+VLOOKUP($F672,'GL Category'!$A:$H,4,FALSE))</f>
        <v>6767.1</v>
      </c>
      <c r="AA672" s="615"/>
      <c r="AB672" s="622">
        <f t="shared" si="1009"/>
        <v>6767.1</v>
      </c>
      <c r="AC672" s="633">
        <f>AB672*(1+VLOOKUP($F672,'GL Category'!$A:$H,5,FALSE))</f>
        <v>6970.1130000000003</v>
      </c>
      <c r="AE672" s="622">
        <f t="shared" si="1010"/>
        <v>6970.1130000000003</v>
      </c>
      <c r="AF672" s="633">
        <f>AE672*(1+VLOOKUP($F672,'GL Category'!$A:$H,6,FALSE))</f>
        <v>7179.2163900000005</v>
      </c>
      <c r="AH672" s="622">
        <f t="shared" si="1011"/>
        <v>7179.2163900000005</v>
      </c>
      <c r="AI672" s="633">
        <f>AH672*(1+VLOOKUP($F672,'GL Category'!$A:$H,7,FALSE))</f>
        <v>7394.5928817000004</v>
      </c>
      <c r="AK672" s="622">
        <f t="shared" si="1012"/>
        <v>7394.5928817000004</v>
      </c>
      <c r="AL672" s="633">
        <f>AK672*(1+VLOOKUP($F672,'GL Category'!$A:$H,8,FALSE))</f>
        <v>7616.4306681510006</v>
      </c>
      <c r="AN672" s="622">
        <f t="shared" si="1013"/>
        <v>7616.4306681510006</v>
      </c>
    </row>
    <row r="673" spans="1:43" ht="15" customHeight="1">
      <c r="A673" s="296"/>
      <c r="B673" s="217" t="str">
        <f t="shared" si="1004"/>
        <v/>
      </c>
      <c r="C673" s="217" t="s">
        <v>3129</v>
      </c>
      <c r="D673" s="101"/>
      <c r="E673" s="101"/>
      <c r="F673" s="556" t="s">
        <v>264</v>
      </c>
      <c r="G673" s="295" t="str">
        <f>VLOOKUP(F673,'GL Category'!A:C,3,FALSE)</f>
        <v>Services &amp; other</v>
      </c>
      <c r="H673" s="98" t="str">
        <f>VLOOKUP(F673,'GL Category'!A:C,2,FALSE)</f>
        <v>TRAVEL, TRAINING &amp; EDUCATION</v>
      </c>
      <c r="I673" s="99">
        <f>SUMIFS(I$1:I667,$C$1:$C667,$C673,$F$1:$F667,$F673)</f>
        <v>13394.15</v>
      </c>
      <c r="J673" s="99">
        <f>SUMIFS(J$1:J667,$C$1:$C667,$C673,$F$1:$F667,$F673)</f>
        <v>6328.81</v>
      </c>
      <c r="K673" s="99">
        <f>SUMIFS(K$1:K667,$C$1:$C667,$C673,$F$1:$F667,$F673)</f>
        <v>17913.509999999998</v>
      </c>
      <c r="L673" s="99">
        <f>SUMIFS(L$1:L667,$C$1:$C667,$C673,$F$1:$F667,$F673)</f>
        <v>13363.45</v>
      </c>
      <c r="M673" s="99">
        <f>SUMIFS(M$1:M667,$C$1:$C667,$C673,$F$1:$F667,$F673)</f>
        <v>23020</v>
      </c>
      <c r="N673" s="99">
        <f>SUMIFS(N$1:N667,$C$1:$C667,$C673,$F$1:$F667,$F673)</f>
        <v>4841.08</v>
      </c>
      <c r="O673" s="99">
        <f>SUMIFS(O$1:O667,$C$1:$C667,$C673,$F$1:$F667,$F673)</f>
        <v>12900</v>
      </c>
      <c r="P673" s="99">
        <f t="shared" si="1005"/>
        <v>-10120</v>
      </c>
      <c r="Q673" s="99">
        <f>SUMIFS(Q$1:Q667,$C$1:$C667,$C673,$F$1:$F667,$F673)</f>
        <v>23020</v>
      </c>
      <c r="R673" s="99">
        <f>SUMIFS(R$1:R667,$C$1:$C667,$C673,$F$1:$F667,$F673)</f>
        <v>0</v>
      </c>
      <c r="S673" s="99">
        <f>SUMIFS(S$1:S667,$C$1:$C667,$C673,$F$1:$F667,$F673)</f>
        <v>0</v>
      </c>
      <c r="T673" s="99">
        <f>SUMIFS(T$1:T667,$C$1:$C667,$C673,$F$1:$F667,$F673)</f>
        <v>23020</v>
      </c>
      <c r="U673" s="99">
        <f t="shared" si="1006"/>
        <v>0</v>
      </c>
      <c r="V673" s="255">
        <f t="shared" si="1007"/>
        <v>0</v>
      </c>
      <c r="W673" s="102"/>
      <c r="X673" s="102"/>
      <c r="Y673" s="102">
        <f t="shared" si="1008"/>
        <v>23020</v>
      </c>
      <c r="Z673" s="309">
        <f>Y673*(1+VLOOKUP($F673,'GL Category'!$A:$H,4,FALSE))</f>
        <v>23710.600000000002</v>
      </c>
      <c r="AA673" s="615"/>
      <c r="AB673" s="622">
        <f t="shared" si="1009"/>
        <v>23710.600000000002</v>
      </c>
      <c r="AC673" s="633">
        <f>AB673*(1+VLOOKUP($F673,'GL Category'!$A:$H,5,FALSE))</f>
        <v>24421.918000000001</v>
      </c>
      <c r="AE673" s="622">
        <f t="shared" si="1010"/>
        <v>24421.918000000001</v>
      </c>
      <c r="AF673" s="633">
        <f>AE673*(1+VLOOKUP($F673,'GL Category'!$A:$H,6,FALSE))</f>
        <v>25154.575540000002</v>
      </c>
      <c r="AH673" s="622">
        <f t="shared" si="1011"/>
        <v>25154.575540000002</v>
      </c>
      <c r="AI673" s="633">
        <f>AH673*(1+VLOOKUP($F673,'GL Category'!$A:$H,7,FALSE))</f>
        <v>25909.212806200001</v>
      </c>
      <c r="AK673" s="622">
        <f t="shared" si="1012"/>
        <v>25909.212806200001</v>
      </c>
      <c r="AL673" s="633">
        <f>AK673*(1+VLOOKUP($F673,'GL Category'!$A:$H,8,FALSE))</f>
        <v>26686.489190386001</v>
      </c>
      <c r="AN673" s="622">
        <f t="shared" si="1013"/>
        <v>26686.489190386001</v>
      </c>
    </row>
    <row r="674" spans="1:43" ht="15" customHeight="1">
      <c r="A674" s="296"/>
      <c r="B674" s="217" t="str">
        <f t="shared" si="1004"/>
        <v/>
      </c>
      <c r="C674" s="217" t="s">
        <v>3129</v>
      </c>
      <c r="D674" s="101"/>
      <c r="E674" s="101"/>
      <c r="F674" s="294" t="s">
        <v>192</v>
      </c>
      <c r="G674" s="295" t="str">
        <f>VLOOKUP(F674,'GL Category'!A:C,3,FALSE)</f>
        <v>Services &amp; other</v>
      </c>
      <c r="H674" s="98" t="str">
        <f>VLOOKUP(F674,'GL Category'!A:C,2,FALSE)</f>
        <v>CONSULTING SERVICES</v>
      </c>
      <c r="I674" s="99">
        <f>SUMIFS(I$1:I668,$C$1:$C668,$C674,$F$1:$F668,$F674)</f>
        <v>15966.66</v>
      </c>
      <c r="J674" s="99">
        <f>SUMIFS(J$1:J668,$C$1:$C668,$C674,$F$1:$F668,$F674)</f>
        <v>41516.620000000003</v>
      </c>
      <c r="K674" s="99">
        <f>SUMIFS(K$1:K668,$C$1:$C668,$C674,$F$1:$F668,$F674)</f>
        <v>14872.48</v>
      </c>
      <c r="L674" s="99">
        <f>SUMIFS(L$1:L668,$C$1:$C668,$C674,$F$1:$F668,$F674)</f>
        <v>12015.41</v>
      </c>
      <c r="M674" s="99">
        <f>SUMIFS(M$1:M668,$C$1:$C668,$C674,$F$1:$F668,$F674)</f>
        <v>40000</v>
      </c>
      <c r="N674" s="99">
        <f>SUMIFS(N$1:N668,$C$1:$C668,$C674,$F$1:$F668,$F674)</f>
        <v>12000</v>
      </c>
      <c r="O674" s="99">
        <f>SUMIFS(O$1:O668,$C$1:$C668,$C674,$F$1:$F668,$F674)</f>
        <v>25000</v>
      </c>
      <c r="P674" s="99">
        <f t="shared" si="1005"/>
        <v>-15000</v>
      </c>
      <c r="Q674" s="99">
        <f>SUMIFS(Q$1:Q668,$C$1:$C668,$C674,$F$1:$F668,$F674)</f>
        <v>30000</v>
      </c>
      <c r="R674" s="99">
        <f>SUMIFS(R$1:R668,$C$1:$C668,$C674,$F$1:$F668,$F674)</f>
        <v>0</v>
      </c>
      <c r="S674" s="99">
        <f>SUMIFS(S$1:S668,$C$1:$C668,$C674,$F$1:$F668,$F674)</f>
        <v>0</v>
      </c>
      <c r="T674" s="99">
        <f>SUMIFS(T$1:T668,$C$1:$C668,$C674,$F$1:$F668,$F674)</f>
        <v>30000</v>
      </c>
      <c r="U674" s="99">
        <f t="shared" si="1006"/>
        <v>-10000</v>
      </c>
      <c r="V674" s="255">
        <f t="shared" si="1007"/>
        <v>-0.25</v>
      </c>
      <c r="W674" s="102"/>
      <c r="X674" s="102"/>
      <c r="Y674" s="102">
        <f t="shared" si="1008"/>
        <v>30000</v>
      </c>
      <c r="Z674" s="309">
        <f>Y674*(1+VLOOKUP($F674,'GL Category'!$A:$H,4,FALSE))</f>
        <v>30900</v>
      </c>
      <c r="AA674" s="615"/>
      <c r="AB674" s="622">
        <f t="shared" si="1009"/>
        <v>30900</v>
      </c>
      <c r="AC674" s="633">
        <f>AB674*(1+VLOOKUP($F674,'GL Category'!$A:$H,5,FALSE))</f>
        <v>31827</v>
      </c>
      <c r="AE674" s="622">
        <f t="shared" si="1010"/>
        <v>31827</v>
      </c>
      <c r="AF674" s="633">
        <f>AE674*(1+VLOOKUP($F674,'GL Category'!$A:$H,6,FALSE))</f>
        <v>32781.81</v>
      </c>
      <c r="AH674" s="622">
        <f t="shared" si="1011"/>
        <v>32781.81</v>
      </c>
      <c r="AI674" s="633">
        <f>AH674*(1+VLOOKUP($F674,'GL Category'!$A:$H,7,FALSE))</f>
        <v>33765.264299999995</v>
      </c>
      <c r="AK674" s="622">
        <f t="shared" si="1012"/>
        <v>33765.264299999995</v>
      </c>
      <c r="AL674" s="633">
        <f>AK674*(1+VLOOKUP($F674,'GL Category'!$A:$H,8,FALSE))</f>
        <v>34778.222228999999</v>
      </c>
      <c r="AN674" s="622">
        <f t="shared" si="1013"/>
        <v>34778.222228999999</v>
      </c>
    </row>
    <row r="675" spans="1:43" ht="15" customHeight="1">
      <c r="A675" s="296"/>
      <c r="B675" s="217" t="str">
        <f t="shared" ref="B675" si="1014">LEFT(A675,3)</f>
        <v/>
      </c>
      <c r="C675" s="217" t="s">
        <v>3129</v>
      </c>
      <c r="D675" s="101"/>
      <c r="E675" s="101"/>
      <c r="F675" s="294" t="s">
        <v>196</v>
      </c>
      <c r="G675" s="295" t="str">
        <f>VLOOKUP(F675,'GL Category'!A:C,3,FALSE)</f>
        <v>Services &amp; other</v>
      </c>
      <c r="H675" s="98" t="str">
        <f>VLOOKUP(F675,'GL Category'!A:C,2,FALSE)</f>
        <v>ADVERTISING &amp; RECORDING</v>
      </c>
      <c r="I675" s="99">
        <f>SUMIFS(I$1:I668,$C$1:$C668,$C675,$F$1:$F668,$F675)</f>
        <v>0</v>
      </c>
      <c r="J675" s="99">
        <f>SUMIFS(J$1:J668,$C$1:$C668,$C675,$F$1:$F668,$F675)</f>
        <v>0</v>
      </c>
      <c r="K675" s="99">
        <f>SUMIFS(K$1:K668,$C$1:$C668,$C675,$F$1:$F668,$F675)</f>
        <v>0</v>
      </c>
      <c r="L675" s="99">
        <f>SUMIFS(L$1:L668,$C$1:$C668,$C675,$F$1:$F668,$F675)</f>
        <v>0</v>
      </c>
      <c r="M675" s="99">
        <f>SUMIFS(M$1:M668,$C$1:$C668,$C675,$F$1:$F668,$F675)</f>
        <v>0</v>
      </c>
      <c r="N675" s="99">
        <f>SUMIFS(N$1:N668,$C$1:$C668,$C675,$F$1:$F668,$F675)</f>
        <v>0</v>
      </c>
      <c r="O675" s="99">
        <f>SUMIFS(O$1:O668,$C$1:$C668,$C675,$F$1:$F668,$F675)</f>
        <v>0</v>
      </c>
      <c r="P675" s="99">
        <f t="shared" ref="P675" si="1015">O675-M675</f>
        <v>0</v>
      </c>
      <c r="Q675" s="99">
        <f>SUMIFS(Q$1:Q668,$C$1:$C668,$C675,$F$1:$F668,$F675)</f>
        <v>0</v>
      </c>
      <c r="R675" s="99">
        <f>SUMIFS(R$1:R668,$C$1:$C668,$C675,$F$1:$F668,$F675)</f>
        <v>0</v>
      </c>
      <c r="S675" s="99">
        <f>SUMIFS(S$1:S668,$C$1:$C668,$C675,$F$1:$F668,$F675)</f>
        <v>0</v>
      </c>
      <c r="T675" s="99">
        <f>SUMIFS(T$1:T668,$C$1:$C668,$C675,$F$1:$F668,$F675)</f>
        <v>0</v>
      </c>
      <c r="U675" s="99">
        <f t="shared" si="1006"/>
        <v>0</v>
      </c>
      <c r="V675" s="255" t="str">
        <f t="shared" si="1007"/>
        <v>N/A</v>
      </c>
      <c r="W675" s="102"/>
      <c r="X675" s="102"/>
      <c r="Y675" s="102">
        <f t="shared" si="1008"/>
        <v>0</v>
      </c>
      <c r="Z675" s="309">
        <f>Y675*(1+VLOOKUP($F675,'GL Category'!$A:$H,4,FALSE))</f>
        <v>0</v>
      </c>
      <c r="AA675" s="615"/>
      <c r="AB675" s="622">
        <f t="shared" si="1009"/>
        <v>0</v>
      </c>
      <c r="AC675" s="633">
        <f>AB675*(1+VLOOKUP($F675,'GL Category'!$A:$H,5,FALSE))</f>
        <v>0</v>
      </c>
      <c r="AE675" s="622">
        <f t="shared" si="1010"/>
        <v>0</v>
      </c>
      <c r="AF675" s="633">
        <f>AE675*(1+VLOOKUP($F675,'GL Category'!$A:$H,6,FALSE))</f>
        <v>0</v>
      </c>
      <c r="AH675" s="622">
        <f t="shared" si="1011"/>
        <v>0</v>
      </c>
      <c r="AI675" s="633">
        <f>AH675*(1+VLOOKUP($F675,'GL Category'!$A:$H,7,FALSE))</f>
        <v>0</v>
      </c>
      <c r="AK675" s="622">
        <f t="shared" si="1012"/>
        <v>0</v>
      </c>
      <c r="AL675" s="633">
        <f>AK675*(1+VLOOKUP($F675,'GL Category'!$A:$H,8,FALSE))</f>
        <v>0</v>
      </c>
      <c r="AN675" s="622">
        <f t="shared" si="1013"/>
        <v>0</v>
      </c>
    </row>
    <row r="676" spans="1:43" ht="15" customHeight="1">
      <c r="A676" s="296"/>
      <c r="B676" s="217" t="str">
        <f t="shared" si="1004"/>
        <v/>
      </c>
      <c r="C676" s="217" t="s">
        <v>3129</v>
      </c>
      <c r="D676" s="101"/>
      <c r="E676" s="101"/>
      <c r="F676" s="294" t="s">
        <v>201</v>
      </c>
      <c r="G676" s="295" t="str">
        <f>VLOOKUP(F676,'GL Category'!A:C,3,FALSE)</f>
        <v>Services &amp; other</v>
      </c>
      <c r="H676" s="98" t="str">
        <f>VLOOKUP(F676,'GL Category'!A:C,2,FALSE)</f>
        <v>MARKETING &amp; PROMOTIONAL</v>
      </c>
      <c r="I676" s="99">
        <f>SUMIFS(I$1:I669,$C$1:$C669,$C676,$F$1:$F669,$F676)</f>
        <v>63755.56</v>
      </c>
      <c r="J676" s="99">
        <f>SUMIFS(J$1:J669,$C$1:$C669,$C676,$F$1:$F669,$F676)</f>
        <v>28375.33</v>
      </c>
      <c r="K676" s="99">
        <f>SUMIFS(K$1:K669,$C$1:$C669,$C676,$F$1:$F669,$F676)</f>
        <v>33115.199999999997</v>
      </c>
      <c r="L676" s="99">
        <f>SUMIFS(L$1:L669,$C$1:$C669,$C676,$F$1:$F669,$F676)</f>
        <v>35656.269999999997</v>
      </c>
      <c r="M676" s="99">
        <f>SUMIFS(M$1:M669,$C$1:$C669,$C676,$F$1:$F669,$F676)</f>
        <v>48050</v>
      </c>
      <c r="N676" s="99">
        <f>SUMIFS(N$1:N669,$C$1:$C669,$C676,$F$1:$F669,$F676)</f>
        <v>9185</v>
      </c>
      <c r="O676" s="99">
        <f>SUMIFS(O$1:O669,$C$1:$C669,$C676,$F$1:$F669,$F676)</f>
        <v>37550</v>
      </c>
      <c r="P676" s="99">
        <f t="shared" si="1005"/>
        <v>-10500</v>
      </c>
      <c r="Q676" s="99">
        <f>SUMIFS(Q$1:Q669,$C$1:$C669,$C676,$F$1:$F669,$F676)</f>
        <v>48050</v>
      </c>
      <c r="R676" s="99">
        <f>SUMIFS(R$1:R669,$C$1:$C669,$C676,$F$1:$F669,$F676)</f>
        <v>0</v>
      </c>
      <c r="S676" s="99">
        <f>SUMIFS(S$1:S669,$C$1:$C669,$C676,$F$1:$F669,$F676)</f>
        <v>0</v>
      </c>
      <c r="T676" s="99">
        <f>SUMIFS(T$1:T669,$C$1:$C669,$C676,$F$1:$F669,$F676)</f>
        <v>48050</v>
      </c>
      <c r="U676" s="99">
        <f t="shared" si="1006"/>
        <v>0</v>
      </c>
      <c r="V676" s="255">
        <f t="shared" si="1007"/>
        <v>0</v>
      </c>
      <c r="W676" s="102"/>
      <c r="X676" s="102"/>
      <c r="Y676" s="102">
        <f t="shared" si="1008"/>
        <v>48050</v>
      </c>
      <c r="Z676" s="309">
        <f>Y676*(1+VLOOKUP($F676,'GL Category'!$A:$H,4,FALSE))</f>
        <v>49491.5</v>
      </c>
      <c r="AA676" s="615"/>
      <c r="AB676" s="622">
        <f t="shared" si="1009"/>
        <v>49491.5</v>
      </c>
      <c r="AC676" s="633">
        <f>AB676*(1+VLOOKUP($F676,'GL Category'!$A:$H,5,FALSE))</f>
        <v>50976.245000000003</v>
      </c>
      <c r="AE676" s="622">
        <f t="shared" si="1010"/>
        <v>50976.245000000003</v>
      </c>
      <c r="AF676" s="633">
        <f>AE676*(1+VLOOKUP($F676,'GL Category'!$A:$H,6,FALSE))</f>
        <v>52505.532350000001</v>
      </c>
      <c r="AH676" s="622">
        <f t="shared" si="1011"/>
        <v>52505.532350000001</v>
      </c>
      <c r="AI676" s="633">
        <f>AH676*(1+VLOOKUP($F676,'GL Category'!$A:$H,7,FALSE))</f>
        <v>54080.6983205</v>
      </c>
      <c r="AK676" s="622">
        <f t="shared" si="1012"/>
        <v>54080.6983205</v>
      </c>
      <c r="AL676" s="633">
        <f>AK676*(1+VLOOKUP($F676,'GL Category'!$A:$H,8,FALSE))</f>
        <v>55703.119270114999</v>
      </c>
      <c r="AN676" s="622">
        <f t="shared" si="1013"/>
        <v>55703.119270114999</v>
      </c>
    </row>
    <row r="677" spans="1:43" ht="15" customHeight="1">
      <c r="A677" s="296"/>
      <c r="B677" s="217" t="str">
        <f t="shared" si="1004"/>
        <v/>
      </c>
      <c r="C677" s="217" t="s">
        <v>3129</v>
      </c>
      <c r="D677" s="101"/>
      <c r="E677" s="101"/>
      <c r="F677" s="294" t="s">
        <v>202</v>
      </c>
      <c r="G677" s="295" t="str">
        <f>VLOOKUP(F677,'GL Category'!A:C,3,FALSE)</f>
        <v>Services &amp; other</v>
      </c>
      <c r="H677" s="98" t="str">
        <f>VLOOKUP(F677,'GL Category'!A:C,2,FALSE)</f>
        <v>PRINTING &amp; BINDING SERVICES</v>
      </c>
      <c r="I677" s="99">
        <f>SUMIFS(I$1:I670,$C$1:$C670,$C677,$F$1:$F670,$F677)</f>
        <v>0</v>
      </c>
      <c r="J677" s="99">
        <f>SUMIFS(J$1:J670,$C$1:$C670,$C677,$F$1:$F670,$F677)</f>
        <v>0</v>
      </c>
      <c r="K677" s="99">
        <f>SUMIFS(K$1:K670,$C$1:$C670,$C677,$F$1:$F670,$F677)</f>
        <v>0</v>
      </c>
      <c r="L677" s="99">
        <f>SUMIFS(L$1:L670,$C$1:$C670,$C677,$F$1:$F670,$F677)</f>
        <v>0</v>
      </c>
      <c r="M677" s="99">
        <f>SUMIFS(M$1:M670,$C$1:$C670,$C677,$F$1:$F670,$F677)</f>
        <v>0</v>
      </c>
      <c r="N677" s="99">
        <f>SUMIFS(N$1:N670,$C$1:$C670,$C677,$F$1:$F670,$F677)</f>
        <v>0</v>
      </c>
      <c r="O677" s="99">
        <f>SUMIFS(O$1:O670,$C$1:$C670,$C677,$F$1:$F670,$F677)</f>
        <v>0</v>
      </c>
      <c r="P677" s="99">
        <f t="shared" si="1005"/>
        <v>0</v>
      </c>
      <c r="Q677" s="99">
        <f>SUMIFS(Q$1:Q670,$C$1:$C670,$C677,$F$1:$F670,$F677)</f>
        <v>0</v>
      </c>
      <c r="R677" s="99">
        <f>SUMIFS(R$1:R670,$C$1:$C670,$C677,$F$1:$F670,$F677)</f>
        <v>0</v>
      </c>
      <c r="S677" s="99">
        <f>SUMIFS(S$1:S670,$C$1:$C670,$C677,$F$1:$F670,$F677)</f>
        <v>0</v>
      </c>
      <c r="T677" s="99">
        <f>SUMIFS(T$1:T670,$C$1:$C670,$C677,$F$1:$F670,$F677)</f>
        <v>0</v>
      </c>
      <c r="U677" s="99">
        <f t="shared" si="1006"/>
        <v>0</v>
      </c>
      <c r="V677" s="255" t="str">
        <f t="shared" si="1007"/>
        <v>N/A</v>
      </c>
      <c r="W677" s="102"/>
      <c r="X677" s="102"/>
      <c r="Y677" s="102">
        <f t="shared" si="1008"/>
        <v>0</v>
      </c>
      <c r="Z677" s="309">
        <f>Y677*(1+VLOOKUP($F677,'GL Category'!$A:$H,4,FALSE))</f>
        <v>0</v>
      </c>
      <c r="AA677" s="615"/>
      <c r="AB677" s="622">
        <f t="shared" si="1009"/>
        <v>0</v>
      </c>
      <c r="AC677" s="633">
        <f>AB677*(1+VLOOKUP($F677,'GL Category'!$A:$H,5,FALSE))</f>
        <v>0</v>
      </c>
      <c r="AE677" s="622">
        <f t="shared" si="1010"/>
        <v>0</v>
      </c>
      <c r="AF677" s="633">
        <f>AE677*(1+VLOOKUP($F677,'GL Category'!$A:$H,6,FALSE))</f>
        <v>0</v>
      </c>
      <c r="AH677" s="622">
        <f t="shared" si="1011"/>
        <v>0</v>
      </c>
      <c r="AI677" s="633">
        <f>AH677*(1+VLOOKUP($F677,'GL Category'!$A:$H,7,FALSE))</f>
        <v>0</v>
      </c>
      <c r="AK677" s="622">
        <f t="shared" si="1012"/>
        <v>0</v>
      </c>
      <c r="AL677" s="633">
        <f>AK677*(1+VLOOKUP($F677,'GL Category'!$A:$H,8,FALSE))</f>
        <v>0</v>
      </c>
      <c r="AN677" s="622">
        <f t="shared" si="1013"/>
        <v>0</v>
      </c>
    </row>
    <row r="678" spans="1:43" ht="15" customHeight="1">
      <c r="A678" s="296"/>
      <c r="B678" s="217" t="str">
        <f t="shared" si="1004"/>
        <v/>
      </c>
      <c r="C678" s="217" t="s">
        <v>3129</v>
      </c>
      <c r="D678" s="101"/>
      <c r="E678" s="101"/>
      <c r="F678" s="294" t="s">
        <v>271</v>
      </c>
      <c r="G678" s="295" t="str">
        <f>VLOOKUP(F678,'GL Category'!A:C,3,FALSE)</f>
        <v>Services &amp; other</v>
      </c>
      <c r="H678" s="98" t="str">
        <f>VLOOKUP(F678,'GL Category'!A:C,2,FALSE)</f>
        <v>ECONOMIC DEVEL INCENTIVES</v>
      </c>
      <c r="I678" s="99">
        <f>SUMIFS(I$1:I671,$C$1:$C671,$C678,$F$1:$F671,$F678)</f>
        <v>563694.96</v>
      </c>
      <c r="J678" s="99">
        <f>SUMIFS(J$1:J671,$C$1:$C671,$C678,$F$1:$F671,$F678)</f>
        <v>82215.570000000007</v>
      </c>
      <c r="K678" s="99">
        <f>SUMIFS(K$1:K671,$C$1:$C671,$C678,$F$1:$F671,$F678)</f>
        <v>47544.36</v>
      </c>
      <c r="L678" s="99">
        <f>SUMIFS(L$1:L671,$C$1:$C671,$C678,$F$1:$F671,$F678)</f>
        <v>26242.36</v>
      </c>
      <c r="M678" s="99">
        <f>SUMIFS(M$1:M671,$C$1:$C671,$C678,$F$1:$F671,$F678)</f>
        <v>408963</v>
      </c>
      <c r="N678" s="99">
        <f>SUMIFS(N$1:N671,$C$1:$C671,$C678,$F$1:$F671,$F678)</f>
        <v>19540.53</v>
      </c>
      <c r="O678" s="99">
        <f>SUMIFS(O$1:O671,$C$1:$C671,$C678,$F$1:$F671,$F678)</f>
        <v>33661</v>
      </c>
      <c r="P678" s="99">
        <f t="shared" si="1005"/>
        <v>-375302</v>
      </c>
      <c r="Q678" s="99">
        <f>SUMIFS(Q$1:Q671,$C$1:$C671,$C678,$F$1:$F671,$F678)</f>
        <v>451272</v>
      </c>
      <c r="R678" s="99">
        <f>SUMIFS(R$1:R671,$C$1:$C671,$C678,$F$1:$F671,$F678)</f>
        <v>0</v>
      </c>
      <c r="S678" s="99">
        <f>SUMIFS(S$1:S671,$C$1:$C671,$C678,$F$1:$F671,$F678)</f>
        <v>0</v>
      </c>
      <c r="T678" s="99">
        <f>SUMIFS(T$1:T671,$C$1:$C671,$C678,$F$1:$F671,$F678)</f>
        <v>451272</v>
      </c>
      <c r="U678" s="99">
        <f t="shared" si="1006"/>
        <v>42309</v>
      </c>
      <c r="V678" s="255">
        <f t="shared" si="1007"/>
        <v>0.10345434672574294</v>
      </c>
      <c r="W678" s="102"/>
      <c r="X678" s="102"/>
      <c r="Y678" s="102">
        <f t="shared" si="1008"/>
        <v>451272</v>
      </c>
      <c r="Z678" s="309">
        <f>Y678*(1+VLOOKUP($F678,'GL Category'!$A:$H,4,FALSE))</f>
        <v>464810.16000000003</v>
      </c>
      <c r="AA678" s="615"/>
      <c r="AB678" s="622">
        <f t="shared" si="1009"/>
        <v>464810.16000000003</v>
      </c>
      <c r="AC678" s="633">
        <f>AB678*(1+VLOOKUP($F678,'GL Category'!$A:$H,5,FALSE))</f>
        <v>478754.46480000007</v>
      </c>
      <c r="AE678" s="622">
        <f t="shared" si="1010"/>
        <v>478754.46480000007</v>
      </c>
      <c r="AF678" s="633">
        <f>AE678*(1+VLOOKUP($F678,'GL Category'!$A:$H,6,FALSE))</f>
        <v>493117.09874400008</v>
      </c>
      <c r="AH678" s="622">
        <f t="shared" si="1011"/>
        <v>493117.09874400008</v>
      </c>
      <c r="AI678" s="633">
        <f>AH678*(1+VLOOKUP($F678,'GL Category'!$A:$H,7,FALSE))</f>
        <v>507910.61170632008</v>
      </c>
      <c r="AK678" s="622">
        <f t="shared" si="1012"/>
        <v>507910.61170632008</v>
      </c>
      <c r="AL678" s="633">
        <f>AK678*(1+VLOOKUP($F678,'GL Category'!$A:$H,8,FALSE))</f>
        <v>523147.93005750969</v>
      </c>
      <c r="AN678" s="622">
        <f t="shared" si="1013"/>
        <v>523147.93005750969</v>
      </c>
    </row>
    <row r="679" spans="1:43" ht="15" customHeight="1">
      <c r="A679" s="296"/>
      <c r="B679" s="217" t="str">
        <f t="shared" si="1004"/>
        <v/>
      </c>
      <c r="C679" s="217" t="s">
        <v>3129</v>
      </c>
      <c r="D679" s="101"/>
      <c r="E679" s="101"/>
      <c r="F679" s="294" t="s">
        <v>214</v>
      </c>
      <c r="G679" s="295" t="str">
        <f>VLOOKUP(F679,'GL Category'!A:C,3,FALSE)</f>
        <v>Services &amp; other</v>
      </c>
      <c r="H679" s="98" t="str">
        <f>VLOOKUP(F679,'GL Category'!A:C,2,FALSE)</f>
        <v>ELECTRICAL UTILITY SERVICE</v>
      </c>
      <c r="I679" s="99">
        <f>SUMIFS(I$1:I672,$C$1:$C672,$C679,$F$1:$F672,$F679)</f>
        <v>0</v>
      </c>
      <c r="J679" s="99">
        <f>SUMIFS(J$1:J672,$C$1:$C672,$C679,$F$1:$F672,$F679)</f>
        <v>0</v>
      </c>
      <c r="K679" s="99">
        <f>SUMIFS(K$1:K672,$C$1:$C672,$C679,$F$1:$F672,$F679)</f>
        <v>0</v>
      </c>
      <c r="L679" s="99">
        <f>SUMIFS(L$1:L672,$C$1:$C672,$C679,$F$1:$F672,$F679)</f>
        <v>0</v>
      </c>
      <c r="M679" s="99">
        <f>SUMIFS(M$1:M672,$C$1:$C672,$C679,$F$1:$F672,$F679)</f>
        <v>0</v>
      </c>
      <c r="N679" s="99">
        <f>SUMIFS(N$1:N672,$C$1:$C672,$C679,$F$1:$F672,$F679)</f>
        <v>0</v>
      </c>
      <c r="O679" s="99">
        <f>SUMIFS(O$1:O672,$C$1:$C672,$C679,$F$1:$F672,$F679)</f>
        <v>0</v>
      </c>
      <c r="P679" s="99">
        <f t="shared" si="1005"/>
        <v>0</v>
      </c>
      <c r="Q679" s="99">
        <f>SUMIFS(Q$1:Q672,$C$1:$C672,$C679,$F$1:$F672,$F679)</f>
        <v>0</v>
      </c>
      <c r="R679" s="99">
        <f>SUMIFS(R$1:R672,$C$1:$C672,$C679,$F$1:$F672,$F679)</f>
        <v>0</v>
      </c>
      <c r="S679" s="99">
        <f>SUMIFS(S$1:S672,$C$1:$C672,$C679,$F$1:$F672,$F679)</f>
        <v>0</v>
      </c>
      <c r="T679" s="99">
        <f>SUMIFS(T$1:T672,$C$1:$C672,$C679,$F$1:$F672,$F679)</f>
        <v>0</v>
      </c>
      <c r="U679" s="99">
        <f t="shared" si="1006"/>
        <v>0</v>
      </c>
      <c r="V679" s="255" t="str">
        <f t="shared" si="1007"/>
        <v>N/A</v>
      </c>
      <c r="W679" s="102"/>
      <c r="X679" s="102"/>
      <c r="Y679" s="102">
        <f t="shared" si="1008"/>
        <v>0</v>
      </c>
      <c r="Z679" s="309">
        <f>Y679*(1+VLOOKUP($F679,'GL Category'!$A:$H,4,FALSE))</f>
        <v>0</v>
      </c>
      <c r="AA679" s="615"/>
      <c r="AB679" s="622">
        <f t="shared" si="1009"/>
        <v>0</v>
      </c>
      <c r="AC679" s="633">
        <f>AB679*(1+VLOOKUP($F679,'GL Category'!$A:$H,5,FALSE))</f>
        <v>0</v>
      </c>
      <c r="AE679" s="622">
        <f t="shared" si="1010"/>
        <v>0</v>
      </c>
      <c r="AF679" s="633">
        <f>AE679*(1+VLOOKUP($F679,'GL Category'!$A:$H,6,FALSE))</f>
        <v>0</v>
      </c>
      <c r="AH679" s="622">
        <f t="shared" si="1011"/>
        <v>0</v>
      </c>
      <c r="AI679" s="633">
        <f>AH679*(1+VLOOKUP($F679,'GL Category'!$A:$H,7,FALSE))</f>
        <v>0</v>
      </c>
      <c r="AK679" s="622">
        <f t="shared" si="1012"/>
        <v>0</v>
      </c>
      <c r="AL679" s="633">
        <f>AK679*(1+VLOOKUP($F679,'GL Category'!$A:$H,8,FALSE))</f>
        <v>0</v>
      </c>
      <c r="AN679" s="622">
        <f t="shared" si="1013"/>
        <v>0</v>
      </c>
    </row>
    <row r="680" spans="1:43" ht="15" customHeight="1">
      <c r="A680" s="296"/>
      <c r="B680" s="217" t="str">
        <f t="shared" si="1004"/>
        <v/>
      </c>
      <c r="C680" s="217" t="s">
        <v>3129</v>
      </c>
      <c r="D680" s="101"/>
      <c r="E680" s="101"/>
      <c r="F680" s="294" t="s">
        <v>216</v>
      </c>
      <c r="G680" s="295" t="str">
        <f>VLOOKUP(F680,'GL Category'!A:C,3,FALSE)</f>
        <v>Services &amp; other</v>
      </c>
      <c r="H680" s="98" t="str">
        <f>VLOOKUP(F680,'GL Category'!A:C,2,FALSE)</f>
        <v>WATER/SEWER UTILITY SERVICE</v>
      </c>
      <c r="I680" s="99">
        <f>SUMIFS(I$1:I673,$C$1:$C673,$C680,$F$1:$F673,$F680)</f>
        <v>0</v>
      </c>
      <c r="J680" s="99">
        <f>SUMIFS(J$1:J673,$C$1:$C673,$C680,$F$1:$F673,$F680)</f>
        <v>0</v>
      </c>
      <c r="K680" s="99">
        <f>SUMIFS(K$1:K673,$C$1:$C673,$C680,$F$1:$F673,$F680)</f>
        <v>0</v>
      </c>
      <c r="L680" s="99">
        <f>SUMIFS(L$1:L673,$C$1:$C673,$C680,$F$1:$F673,$F680)</f>
        <v>0</v>
      </c>
      <c r="M680" s="99">
        <f>SUMIFS(M$1:M673,$C$1:$C673,$C680,$F$1:$F673,$F680)</f>
        <v>0</v>
      </c>
      <c r="N680" s="99">
        <f>SUMIFS(N$1:N673,$C$1:$C673,$C680,$F$1:$F673,$F680)</f>
        <v>0</v>
      </c>
      <c r="O680" s="99">
        <f>SUMIFS(O$1:O673,$C$1:$C673,$C680,$F$1:$F673,$F680)</f>
        <v>0</v>
      </c>
      <c r="P680" s="99">
        <f t="shared" si="1005"/>
        <v>0</v>
      </c>
      <c r="Q680" s="99">
        <f>SUMIFS(Q$1:Q673,$C$1:$C673,$C680,$F$1:$F673,$F680)</f>
        <v>0</v>
      </c>
      <c r="R680" s="99">
        <f>SUMIFS(R$1:R673,$C$1:$C673,$C680,$F$1:$F673,$F680)</f>
        <v>0</v>
      </c>
      <c r="S680" s="99">
        <f>SUMIFS(S$1:S673,$C$1:$C673,$C680,$F$1:$F673,$F680)</f>
        <v>0</v>
      </c>
      <c r="T680" s="99">
        <f>SUMIFS(T$1:T673,$C$1:$C673,$C680,$F$1:$F673,$F680)</f>
        <v>0</v>
      </c>
      <c r="U680" s="99">
        <f t="shared" si="1006"/>
        <v>0</v>
      </c>
      <c r="V680" s="255" t="str">
        <f t="shared" si="1007"/>
        <v>N/A</v>
      </c>
      <c r="W680" s="102"/>
      <c r="X680" s="102"/>
      <c r="Y680" s="102">
        <f t="shared" si="1008"/>
        <v>0</v>
      </c>
      <c r="Z680" s="309">
        <f>Y680*(1+VLOOKUP($F680,'GL Category'!$A:$H,4,FALSE))</f>
        <v>0</v>
      </c>
      <c r="AA680" s="615"/>
      <c r="AB680" s="622">
        <f t="shared" si="1009"/>
        <v>0</v>
      </c>
      <c r="AC680" s="633">
        <f>AB680*(1+VLOOKUP($F680,'GL Category'!$A:$H,5,FALSE))</f>
        <v>0</v>
      </c>
      <c r="AE680" s="622">
        <f t="shared" si="1010"/>
        <v>0</v>
      </c>
      <c r="AF680" s="633">
        <f>AE680*(1+VLOOKUP($F680,'GL Category'!$A:$H,6,FALSE))</f>
        <v>0</v>
      </c>
      <c r="AH680" s="622">
        <f t="shared" si="1011"/>
        <v>0</v>
      </c>
      <c r="AI680" s="633">
        <f>AH680*(1+VLOOKUP($F680,'GL Category'!$A:$H,7,FALSE))</f>
        <v>0</v>
      </c>
      <c r="AK680" s="622">
        <f t="shared" si="1012"/>
        <v>0</v>
      </c>
      <c r="AL680" s="633">
        <f>AK680*(1+VLOOKUP($F680,'GL Category'!$A:$H,8,FALSE))</f>
        <v>0</v>
      </c>
      <c r="AN680" s="622">
        <f t="shared" si="1013"/>
        <v>0</v>
      </c>
    </row>
    <row r="681" spans="1:43" ht="15" customHeight="1">
      <c r="A681" s="296"/>
      <c r="B681" s="217" t="str">
        <f t="shared" si="1004"/>
        <v/>
      </c>
      <c r="C681" s="217" t="s">
        <v>3129</v>
      </c>
      <c r="D681" s="101"/>
      <c r="E681" s="101"/>
      <c r="F681" s="556" t="s">
        <v>3122</v>
      </c>
      <c r="G681" s="295" t="str">
        <f>VLOOKUP(F681,'GL Category'!A:C,3,FALSE)</f>
        <v>Services &amp; other</v>
      </c>
      <c r="H681" s="98" t="str">
        <f>VLOOKUP(F681,'GL Category'!A:C,2,FALSE)</f>
        <v>OFFICE EQUIP LEASE EXP-CITY</v>
      </c>
      <c r="I681" s="99">
        <f>SUMIFS(I$1:I674,$C$1:$C674,$C681,$F$1:$F674,$F681)</f>
        <v>19055</v>
      </c>
      <c r="J681" s="99">
        <f>SUMIFS(J$1:J674,$C$1:$C674,$C681,$F$1:$F674,$F681)</f>
        <v>21208</v>
      </c>
      <c r="K681" s="99">
        <f>SUMIFS(K$1:K674,$C$1:$C674,$C681,$F$1:$F674,$F681)</f>
        <v>21819</v>
      </c>
      <c r="L681" s="99">
        <f>SUMIFS(L$1:L674,$C$1:$C674,$C681,$F$1:$F674,$F681)</f>
        <v>22081</v>
      </c>
      <c r="M681" s="99">
        <f>SUMIFS(M$1:M674,$C$1:$C674,$C681,$F$1:$F674,$F681)</f>
        <v>24350</v>
      </c>
      <c r="N681" s="99">
        <f>SUMIFS(N$1:N674,$C$1:$C674,$C681,$F$1:$F674,$F681)</f>
        <v>18262.5</v>
      </c>
      <c r="O681" s="99">
        <f>SUMIFS(O$1:O674,$C$1:$C674,$C681,$F$1:$F674,$F681)</f>
        <v>24350</v>
      </c>
      <c r="P681" s="99">
        <f t="shared" si="1005"/>
        <v>0</v>
      </c>
      <c r="Q681" s="99">
        <f>SUMIFS(Q$1:Q674,$C$1:$C674,$C681,$F$1:$F674,$F681)</f>
        <v>25387</v>
      </c>
      <c r="R681" s="99">
        <f>SUMIFS(R$1:R674,$C$1:$C674,$C681,$F$1:$F674,$F681)</f>
        <v>0</v>
      </c>
      <c r="S681" s="99">
        <f>SUMIFS(S$1:S674,$C$1:$C674,$C681,$F$1:$F674,$F681)</f>
        <v>0</v>
      </c>
      <c r="T681" s="99">
        <f>SUMIFS(T$1:T674,$C$1:$C674,$C681,$F$1:$F674,$F681)</f>
        <v>25387</v>
      </c>
      <c r="U681" s="99">
        <f t="shared" si="1006"/>
        <v>1037</v>
      </c>
      <c r="V681" s="255">
        <f t="shared" si="1007"/>
        <v>4.25872689938398E-2</v>
      </c>
      <c r="W681" s="102"/>
      <c r="X681" s="102"/>
      <c r="Y681" s="102">
        <f t="shared" si="1008"/>
        <v>25387</v>
      </c>
      <c r="Z681" s="309">
        <f>Y681*(1+VLOOKUP($F681,'GL Category'!$A:$H,4,FALSE))</f>
        <v>26148.61</v>
      </c>
      <c r="AA681" s="615"/>
      <c r="AB681" s="622">
        <f t="shared" si="1009"/>
        <v>26148.61</v>
      </c>
      <c r="AC681" s="633">
        <f>AB681*(1+VLOOKUP($F681,'GL Category'!$A:$H,5,FALSE))</f>
        <v>26933.068300000003</v>
      </c>
      <c r="AE681" s="622">
        <f t="shared" si="1010"/>
        <v>26933.068300000003</v>
      </c>
      <c r="AF681" s="633">
        <f>AE681*(1+VLOOKUP($F681,'GL Category'!$A:$H,6,FALSE))</f>
        <v>27741.060349000003</v>
      </c>
      <c r="AH681" s="622">
        <f t="shared" si="1011"/>
        <v>27741.060349000003</v>
      </c>
      <c r="AI681" s="633">
        <f>AH681*(1+VLOOKUP($F681,'GL Category'!$A:$H,7,FALSE))</f>
        <v>28573.292159470006</v>
      </c>
      <c r="AK681" s="622">
        <f t="shared" si="1012"/>
        <v>28573.292159470006</v>
      </c>
      <c r="AL681" s="633">
        <f>AK681*(1+VLOOKUP($F681,'GL Category'!$A:$H,8,FALSE))</f>
        <v>29430.490924254107</v>
      </c>
      <c r="AN681" s="622">
        <f t="shared" si="1013"/>
        <v>29430.490924254107</v>
      </c>
    </row>
    <row r="682" spans="1:43" ht="15" customHeight="1">
      <c r="A682" s="297"/>
      <c r="B682" s="217"/>
      <c r="C682" s="217"/>
      <c r="D682" s="101"/>
      <c r="E682" s="101"/>
      <c r="F682" s="294"/>
      <c r="G682" s="295"/>
      <c r="H682" s="107" t="str">
        <f>UPPER(G681)&amp;" TOTAL"</f>
        <v>SERVICES &amp; OTHER TOTAL</v>
      </c>
      <c r="I682" s="108">
        <f t="shared" ref="I682" si="1016">SUBTOTAL(9,I670:I681)</f>
        <v>703355.28999999992</v>
      </c>
      <c r="J682" s="108">
        <f t="shared" ref="J682:T682" si="1017">SUBTOTAL(9,J670:J681)</f>
        <v>200962.18</v>
      </c>
      <c r="K682" s="108">
        <f t="shared" ref="K682" si="1018">SUBTOTAL(9,K670:K681)</f>
        <v>170695.05</v>
      </c>
      <c r="L682" s="108">
        <f t="shared" ref="L682" si="1019">SUBTOTAL(9,L670:L681)</f>
        <v>154756.77000000002</v>
      </c>
      <c r="M682" s="108">
        <f t="shared" si="1017"/>
        <v>685797</v>
      </c>
      <c r="N682" s="108">
        <f t="shared" ref="N682" si="1020">SUBTOTAL(9,N670:N681)</f>
        <v>119236.6</v>
      </c>
      <c r="O682" s="108">
        <f t="shared" si="1017"/>
        <v>263375</v>
      </c>
      <c r="P682" s="108">
        <f t="shared" si="1017"/>
        <v>-422422</v>
      </c>
      <c r="Q682" s="108">
        <f t="shared" si="1017"/>
        <v>664799</v>
      </c>
      <c r="R682" s="108">
        <f t="shared" si="1017"/>
        <v>0</v>
      </c>
      <c r="S682" s="108">
        <f t="shared" si="1017"/>
        <v>0</v>
      </c>
      <c r="T682" s="108">
        <f t="shared" si="1017"/>
        <v>664799</v>
      </c>
      <c r="U682" s="99">
        <f t="shared" si="1006"/>
        <v>-20998</v>
      </c>
      <c r="V682" s="255">
        <f t="shared" si="1007"/>
        <v>-3.061838999004074E-2</v>
      </c>
      <c r="W682" s="102"/>
      <c r="X682" s="102"/>
      <c r="Y682" s="102"/>
      <c r="AA682" s="615"/>
      <c r="AC682" s="300"/>
      <c r="AD682" s="300"/>
      <c r="AE682" s="300"/>
      <c r="AF682" s="300"/>
      <c r="AG682" s="300"/>
      <c r="AJ682" s="300"/>
      <c r="AK682" s="300"/>
      <c r="AL682" s="300"/>
      <c r="AM682" s="300"/>
      <c r="AN682" s="300"/>
    </row>
    <row r="683" spans="1:43" s="115" customFormat="1" ht="15" customHeight="1">
      <c r="A683" s="297"/>
      <c r="B683" s="217"/>
      <c r="C683" s="217"/>
      <c r="D683" s="101"/>
      <c r="E683" s="101"/>
      <c r="F683" s="294"/>
      <c r="G683" s="295"/>
      <c r="H683" s="98"/>
      <c r="I683" s="106"/>
      <c r="J683" s="106"/>
      <c r="K683" s="106"/>
      <c r="L683" s="106"/>
      <c r="M683" s="106"/>
      <c r="N683" s="112"/>
      <c r="O683" s="112"/>
      <c r="P683" s="112"/>
      <c r="Q683" s="113"/>
      <c r="R683" s="99"/>
      <c r="S683" s="99"/>
      <c r="T683" s="113"/>
      <c r="U683" s="113"/>
      <c r="V683" s="113"/>
      <c r="W683" s="102"/>
      <c r="X683" s="102"/>
      <c r="Y683" s="102"/>
      <c r="Z683" s="192"/>
      <c r="AA683" s="615"/>
      <c r="AB683" s="307"/>
      <c r="AC683" s="94"/>
      <c r="AD683" s="94"/>
      <c r="AE683" s="94"/>
      <c r="AF683" s="94"/>
      <c r="AG683" s="94"/>
      <c r="AH683" s="307"/>
      <c r="AI683" s="307"/>
      <c r="AJ683" s="94"/>
      <c r="AK683" s="94"/>
      <c r="AL683" s="94"/>
      <c r="AM683" s="94"/>
      <c r="AN683" s="94"/>
      <c r="AO683" s="192"/>
      <c r="AP683" s="192"/>
      <c r="AQ683" s="192"/>
    </row>
    <row r="684" spans="1:43" ht="15" customHeight="1">
      <c r="A684" s="296"/>
      <c r="B684" s="217" t="str">
        <f t="shared" ref="B684" si="1021">LEFT(A684,3)</f>
        <v/>
      </c>
      <c r="C684" s="217" t="s">
        <v>3129</v>
      </c>
      <c r="D684" s="101"/>
      <c r="E684" s="101"/>
      <c r="F684" s="294" t="s">
        <v>296</v>
      </c>
      <c r="G684" s="295" t="str">
        <f>VLOOKUP(F684,'GL Category'!A:C,3,FALSE)</f>
        <v>Capital Outlay</v>
      </c>
      <c r="H684" s="98" t="str">
        <f>VLOOKUP(F684,'GL Category'!A:C,2,FALSE)</f>
        <v>LAND &amp; LAND RIGHTS</v>
      </c>
      <c r="I684" s="99">
        <f>SUMIFS(I$1:I677,$C$1:$C677,$C684,$F$1:$F677,$F684)</f>
        <v>0</v>
      </c>
      <c r="J684" s="99">
        <f>SUMIFS(J$1:J677,$C$1:$C677,$C684,$F$1:$F677,$F684)</f>
        <v>0</v>
      </c>
      <c r="K684" s="99">
        <f>SUMIFS(K$1:K677,$C$1:$C677,$C684,$F$1:$F677,$F684)</f>
        <v>0</v>
      </c>
      <c r="L684" s="99">
        <f>SUMIFS(L$1:L677,$C$1:$C677,$C684,$F$1:$F677,$F684)</f>
        <v>0</v>
      </c>
      <c r="M684" s="99">
        <f>SUMIFS(M$1:M677,$C$1:$C677,$C684,$F$1:$F677,$F684)</f>
        <v>0</v>
      </c>
      <c r="N684" s="99">
        <f>SUMIFS(N$1:N677,$C$1:$C677,$C684,$F$1:$F677,$F684)</f>
        <v>0</v>
      </c>
      <c r="O684" s="99">
        <f>SUMIFS(O$1:O677,$C$1:$C677,$C684,$F$1:$F677,$F684)</f>
        <v>0</v>
      </c>
      <c r="P684" s="99">
        <f t="shared" ref="P684" si="1022">O684-M684</f>
        <v>0</v>
      </c>
      <c r="Q684" s="99">
        <f>SUMIFS(Q$1:Q677,$C$1:$C677,$C684,$F$1:$F677,$F684)</f>
        <v>0</v>
      </c>
      <c r="R684" s="99">
        <f>SUMIFS(R$1:R677,$C$1:$C677,$C684,$F$1:$F677,$F684)</f>
        <v>0</v>
      </c>
      <c r="S684" s="99">
        <f>SUMIFS(S$1:S677,$C$1:$C677,$C684,$F$1:$F677,$F684)</f>
        <v>0</v>
      </c>
      <c r="T684" s="99">
        <f>SUMIFS(T$1:T677,$C$1:$C677,$C684,$F$1:$F677,$F684)</f>
        <v>0</v>
      </c>
      <c r="U684" s="99">
        <f>T684-M684</f>
        <v>0</v>
      </c>
      <c r="V684" s="255" t="str">
        <f>IF(M684=0,"N/A",T684/M684-1)</f>
        <v>N/A</v>
      </c>
      <c r="W684" s="102"/>
      <c r="X684" s="102"/>
      <c r="Y684" s="102">
        <f t="shared" ref="Y684" si="1023">T684-X684</f>
        <v>0</v>
      </c>
      <c r="Z684" s="309">
        <f>Y684*(1+VLOOKUP($F684,'GL Category'!$A:$H,4,FALSE))</f>
        <v>0</v>
      </c>
      <c r="AA684" s="615"/>
      <c r="AB684" s="622">
        <f>Z684+AA684</f>
        <v>0</v>
      </c>
      <c r="AC684" s="633">
        <f>AB684*(1+VLOOKUP($F684,'GL Category'!$A:$H,5,FALSE))</f>
        <v>0</v>
      </c>
      <c r="AE684" s="622">
        <f>AC684+AD684</f>
        <v>0</v>
      </c>
      <c r="AF684" s="633">
        <f>AE684*(1+VLOOKUP($F684,'GL Category'!$A:$H,6,FALSE))</f>
        <v>0</v>
      </c>
      <c r="AH684" s="622">
        <f>AF684+AG684</f>
        <v>0</v>
      </c>
      <c r="AI684" s="633">
        <f>AH684*(1+VLOOKUP($F684,'GL Category'!$A:$H,7,FALSE))</f>
        <v>0</v>
      </c>
      <c r="AK684" s="622">
        <f>AI684+AJ684</f>
        <v>0</v>
      </c>
      <c r="AL684" s="633">
        <f>AK684*(1+VLOOKUP($F684,'GL Category'!$A:$H,8,FALSE))</f>
        <v>0</v>
      </c>
      <c r="AN684" s="622">
        <f>AL684+AM684</f>
        <v>0</v>
      </c>
    </row>
    <row r="685" spans="1:43" ht="15" customHeight="1">
      <c r="A685" s="297"/>
      <c r="B685" s="217"/>
      <c r="C685" s="217"/>
      <c r="D685" s="101"/>
      <c r="E685" s="101"/>
      <c r="F685" s="294"/>
      <c r="G685" s="295"/>
      <c r="H685" s="107" t="str">
        <f>UPPER(G684)&amp;" TOTAL"</f>
        <v>CAPITAL OUTLAY TOTAL</v>
      </c>
      <c r="I685" s="108">
        <f t="shared" ref="I685" si="1024">SUBTOTAL(9,I684)</f>
        <v>0</v>
      </c>
      <c r="J685" s="108">
        <f t="shared" ref="J685:T685" si="1025">SUBTOTAL(9,J684)</f>
        <v>0</v>
      </c>
      <c r="K685" s="108">
        <f t="shared" ref="K685" si="1026">SUBTOTAL(9,K684)</f>
        <v>0</v>
      </c>
      <c r="L685" s="108">
        <f t="shared" ref="L685" si="1027">SUBTOTAL(9,L684)</f>
        <v>0</v>
      </c>
      <c r="M685" s="108">
        <f t="shared" si="1025"/>
        <v>0</v>
      </c>
      <c r="N685" s="108">
        <f t="shared" ref="N685" si="1028">SUBTOTAL(9,N684)</f>
        <v>0</v>
      </c>
      <c r="O685" s="108">
        <f t="shared" si="1025"/>
        <v>0</v>
      </c>
      <c r="P685" s="108">
        <f t="shared" si="1025"/>
        <v>0</v>
      </c>
      <c r="Q685" s="108">
        <f t="shared" si="1025"/>
        <v>0</v>
      </c>
      <c r="R685" s="108">
        <f t="shared" si="1025"/>
        <v>0</v>
      </c>
      <c r="S685" s="108">
        <f t="shared" si="1025"/>
        <v>0</v>
      </c>
      <c r="T685" s="108">
        <f t="shared" si="1025"/>
        <v>0</v>
      </c>
      <c r="U685" s="99">
        <f>T685-M685</f>
        <v>0</v>
      </c>
      <c r="V685" s="255" t="str">
        <f>IF(M685=0,"N/A",T685/M685-1)</f>
        <v>N/A</v>
      </c>
      <c r="W685" s="102"/>
      <c r="X685" s="102"/>
      <c r="Y685" s="102"/>
      <c r="AA685" s="615"/>
      <c r="AC685" s="300"/>
      <c r="AD685" s="300"/>
      <c r="AE685" s="300"/>
      <c r="AF685" s="300"/>
      <c r="AG685" s="300"/>
      <c r="AJ685" s="300"/>
      <c r="AK685" s="300"/>
      <c r="AL685" s="300"/>
      <c r="AM685" s="300"/>
      <c r="AN685" s="300"/>
    </row>
    <row r="686" spans="1:43" s="115" customFormat="1" ht="15" customHeight="1">
      <c r="A686" s="297"/>
      <c r="B686" s="217"/>
      <c r="C686" s="217"/>
      <c r="D686" s="101"/>
      <c r="E686" s="101"/>
      <c r="F686" s="294"/>
      <c r="G686" s="295"/>
      <c r="H686" s="98"/>
      <c r="I686" s="106"/>
      <c r="J686" s="106"/>
      <c r="K686" s="106"/>
      <c r="L686" s="106"/>
      <c r="M686" s="106"/>
      <c r="N686" s="106"/>
      <c r="O686" s="106"/>
      <c r="P686" s="106"/>
      <c r="Q686" s="106"/>
      <c r="R686" s="106"/>
      <c r="S686" s="106"/>
      <c r="T686" s="106"/>
      <c r="U686" s="113"/>
      <c r="V686" s="113"/>
      <c r="W686" s="102"/>
      <c r="X686" s="102"/>
      <c r="Y686" s="102"/>
      <c r="Z686" s="192"/>
      <c r="AA686" s="615"/>
      <c r="AB686" s="307"/>
      <c r="AC686" s="94"/>
      <c r="AD686" s="94"/>
      <c r="AE686" s="94"/>
      <c r="AF686" s="94"/>
      <c r="AG686" s="94"/>
      <c r="AH686" s="307"/>
      <c r="AI686" s="307"/>
      <c r="AJ686" s="94"/>
      <c r="AK686" s="94"/>
      <c r="AL686" s="94"/>
      <c r="AM686" s="94"/>
      <c r="AN686" s="94"/>
      <c r="AO686" s="192"/>
      <c r="AP686" s="192"/>
      <c r="AQ686" s="192"/>
    </row>
    <row r="687" spans="1:43" s="115" customFormat="1" ht="15" customHeight="1">
      <c r="A687" s="297"/>
      <c r="B687" s="217"/>
      <c r="C687" s="217"/>
      <c r="D687" s="101"/>
      <c r="E687" s="101"/>
      <c r="F687" s="294"/>
      <c r="G687" s="295"/>
      <c r="H687" s="114" t="s">
        <v>51</v>
      </c>
      <c r="I687" s="108">
        <f t="shared" ref="I687:T687" si="1029">SUBTOTAL(9,I646:I685)</f>
        <v>1005071.3899999999</v>
      </c>
      <c r="J687" s="108">
        <f t="shared" si="1029"/>
        <v>383648.32999999996</v>
      </c>
      <c r="K687" s="108">
        <f t="shared" si="1029"/>
        <v>468229.7</v>
      </c>
      <c r="L687" s="108">
        <f t="shared" si="1029"/>
        <v>432060.15</v>
      </c>
      <c r="M687" s="108">
        <f t="shared" si="1029"/>
        <v>985248</v>
      </c>
      <c r="N687" s="108">
        <f t="shared" si="1029"/>
        <v>324579.07999999996</v>
      </c>
      <c r="O687" s="108">
        <f t="shared" si="1029"/>
        <v>544056</v>
      </c>
      <c r="P687" s="108">
        <f t="shared" si="1029"/>
        <v>-441192</v>
      </c>
      <c r="Q687" s="108">
        <f t="shared" si="1029"/>
        <v>968363</v>
      </c>
      <c r="R687" s="108">
        <f t="shared" si="1029"/>
        <v>0</v>
      </c>
      <c r="S687" s="108">
        <f t="shared" si="1029"/>
        <v>0</v>
      </c>
      <c r="T687" s="108">
        <f t="shared" si="1029"/>
        <v>968363</v>
      </c>
      <c r="U687" s="99">
        <f>T687-M687</f>
        <v>-16885</v>
      </c>
      <c r="V687" s="255">
        <f>IF(M687=0,"N/A",T687/M687-1)</f>
        <v>-1.7137817077527706E-2</v>
      </c>
      <c r="W687" s="102"/>
      <c r="X687" s="102"/>
      <c r="Y687" s="102"/>
      <c r="Z687" s="192"/>
      <c r="AA687" s="615"/>
      <c r="AB687" s="307"/>
      <c r="AC687" s="300"/>
      <c r="AD687" s="300"/>
      <c r="AE687" s="300"/>
      <c r="AF687" s="300"/>
      <c r="AG687" s="300"/>
      <c r="AH687" s="307"/>
      <c r="AI687" s="307"/>
      <c r="AJ687" s="300"/>
      <c r="AK687" s="300"/>
      <c r="AL687" s="300"/>
      <c r="AM687" s="300"/>
      <c r="AN687" s="300"/>
      <c r="AO687" s="192"/>
      <c r="AP687" s="192"/>
      <c r="AQ687" s="192"/>
    </row>
    <row r="688" spans="1:43" s="115" customFormat="1" ht="15" customHeight="1" thickBot="1">
      <c r="A688" s="297"/>
      <c r="B688" s="217"/>
      <c r="C688" s="217"/>
      <c r="D688" s="101"/>
      <c r="E688" s="101"/>
      <c r="F688" s="294"/>
      <c r="G688" s="295"/>
      <c r="H688" s="98"/>
      <c r="I688" s="218"/>
      <c r="J688" s="218"/>
      <c r="K688" s="218"/>
      <c r="L688" s="218"/>
      <c r="M688" s="218"/>
      <c r="N688" s="96"/>
      <c r="O688" s="96"/>
      <c r="P688" s="96"/>
      <c r="Q688" s="212"/>
      <c r="R688" s="212"/>
      <c r="S688" s="212"/>
      <c r="T688" s="212"/>
      <c r="U688" s="99"/>
      <c r="V688" s="255"/>
      <c r="W688" s="102"/>
      <c r="X688" s="102"/>
      <c r="Y688" s="102"/>
      <c r="Z688" s="192"/>
      <c r="AA688" s="615"/>
      <c r="AB688" s="307"/>
      <c r="AC688" s="94"/>
      <c r="AD688" s="94"/>
      <c r="AE688" s="94"/>
      <c r="AF688" s="94"/>
      <c r="AG688" s="94"/>
      <c r="AH688" s="307"/>
      <c r="AI688" s="307"/>
      <c r="AJ688" s="94"/>
      <c r="AK688" s="94"/>
      <c r="AL688" s="94"/>
      <c r="AM688" s="94"/>
      <c r="AN688" s="94"/>
      <c r="AO688" s="192"/>
      <c r="AP688" s="192"/>
      <c r="AQ688" s="192"/>
    </row>
    <row r="689" spans="1:59" s="115" customFormat="1" ht="23.25" customHeight="1" thickBot="1">
      <c r="A689" s="297"/>
      <c r="B689" s="217"/>
      <c r="C689" s="217"/>
      <c r="D689" s="101"/>
      <c r="E689" s="101"/>
      <c r="F689" s="294"/>
      <c r="G689" s="295"/>
      <c r="H689" s="665" t="s">
        <v>788</v>
      </c>
      <c r="I689" s="666"/>
      <c r="J689" s="666"/>
      <c r="K689" s="666"/>
      <c r="L689" s="666"/>
      <c r="M689" s="666"/>
      <c r="N689" s="666"/>
      <c r="O689" s="666"/>
      <c r="P689" s="666"/>
      <c r="Q689" s="666"/>
      <c r="R689" s="666"/>
      <c r="S689" s="666"/>
      <c r="T689" s="667"/>
      <c r="U689" s="99"/>
      <c r="V689" s="255"/>
      <c r="W689" s="102"/>
      <c r="X689" s="102"/>
      <c r="Y689" s="102"/>
      <c r="Z689" s="192"/>
      <c r="AA689" s="615"/>
      <c r="AB689" s="307"/>
      <c r="AC689" s="93"/>
      <c r="AD689" s="93"/>
      <c r="AE689" s="93"/>
      <c r="AF689" s="93"/>
      <c r="AG689" s="93"/>
      <c r="AH689" s="307"/>
      <c r="AI689" s="307"/>
      <c r="AJ689" s="93"/>
      <c r="AK689" s="93"/>
      <c r="AL689" s="93"/>
      <c r="AM689" s="93"/>
      <c r="AN689" s="93"/>
      <c r="AO689" s="192"/>
      <c r="AP689" s="192"/>
      <c r="AQ689" s="192"/>
    </row>
    <row r="690" spans="1:59" ht="15" customHeight="1">
      <c r="A690" s="297"/>
      <c r="B690" s="217"/>
      <c r="C690" s="217"/>
      <c r="D690" s="101"/>
      <c r="E690" s="101"/>
      <c r="F690" s="294"/>
      <c r="G690" s="295"/>
      <c r="H690" s="225"/>
      <c r="I690" s="225"/>
      <c r="J690" s="225"/>
      <c r="K690" s="225"/>
      <c r="L690" s="225"/>
      <c r="M690" s="225"/>
      <c r="N690" s="225"/>
      <c r="O690" s="225"/>
      <c r="P690" s="225"/>
      <c r="Q690" s="225"/>
      <c r="R690" s="225"/>
      <c r="S690" s="225"/>
      <c r="T690" s="225"/>
      <c r="U690" s="99"/>
      <c r="V690" s="255"/>
      <c r="W690" s="102"/>
      <c r="X690" s="102"/>
      <c r="Y690" s="102"/>
      <c r="AA690" s="615"/>
      <c r="AC690" s="300"/>
      <c r="AD690" s="300"/>
      <c r="AE690" s="300"/>
      <c r="AF690" s="300"/>
      <c r="AG690" s="300"/>
      <c r="AJ690" s="300"/>
      <c r="AK690" s="300"/>
      <c r="AL690" s="300"/>
      <c r="AM690" s="300"/>
      <c r="AN690" s="300"/>
    </row>
    <row r="691" spans="1:59" ht="15" customHeight="1">
      <c r="A691" s="555" t="s">
        <v>2501</v>
      </c>
      <c r="B691" s="217" t="str">
        <f t="shared" ref="B691:B701" si="1030">LEFT(A691,3)</f>
        <v>100</v>
      </c>
      <c r="C691" s="217" t="str">
        <f t="shared" ref="C691:C701" si="1031">MID(A691,5,2)</f>
        <v>20</v>
      </c>
      <c r="D691" s="101" t="str">
        <f t="shared" ref="D691:D701" si="1032">MID(A691,8,3)</f>
        <v>201</v>
      </c>
      <c r="E691" s="217" t="str">
        <f t="shared" ref="E691:E701" si="1033">LEFT(A691,10)</f>
        <v>100-20-201</v>
      </c>
      <c r="F691" s="294" t="str">
        <f t="shared" ref="F691:F701" si="1034">RIGHT(A691,5)</f>
        <v>50101</v>
      </c>
      <c r="G691" s="295" t="str">
        <f>VLOOKUP(F691,'GL Category'!A:C,3,FALSE)</f>
        <v>Personnel services</v>
      </c>
      <c r="H691" s="98" t="str">
        <f>VLOOKUP(F691,'GL Category'!A:C,2,FALSE)</f>
        <v>EXEMPT SALARIES</v>
      </c>
      <c r="I691" s="99">
        <f>SUMIF(Import!$B:$B,$A691,Import!D:D)</f>
        <v>246637.28</v>
      </c>
      <c r="J691" s="99">
        <f>SUMIF(Import!$B:$B,$A691,Import!E:E)</f>
        <v>244536.81</v>
      </c>
      <c r="K691" s="99">
        <f>SUMIF(Import!$B:$B,$A691,Import!F:F)</f>
        <v>286756.74</v>
      </c>
      <c r="L691" s="99">
        <f>SUMIF(Import!$B:$B,$A691,Import!G:G)</f>
        <v>311206.2</v>
      </c>
      <c r="M691" s="99">
        <f>SUMIF(Import!$B:$B,$A691,Import!H:H)</f>
        <v>333214</v>
      </c>
      <c r="N691" s="99">
        <f>SUMIF(Import!$B:$B,$A691,Import!I:I)</f>
        <v>182969.98</v>
      </c>
      <c r="O691" s="99">
        <f>SUMIF(Import!$B:$B,$A691,Import!J:J)</f>
        <v>266031</v>
      </c>
      <c r="P691" s="99">
        <f t="shared" ref="P691:P701" si="1035">O691-M691</f>
        <v>-67183</v>
      </c>
      <c r="Q691" s="99">
        <f>SUMIF(Import!$B:$B,$A691,Import!K:K)</f>
        <v>324142</v>
      </c>
      <c r="R691" s="99">
        <f>SUMIF(Import!$B:$B,$A691,Import!L:L)</f>
        <v>0</v>
      </c>
      <c r="S691" s="99">
        <f>SUMIF(Import!$B:$B,$A691,Import!M:M)</f>
        <v>0</v>
      </c>
      <c r="T691" s="99">
        <f>SUMIF(Import!$B:$B,$A691,Import!N:N)</f>
        <v>324142</v>
      </c>
      <c r="U691" s="99">
        <f t="shared" ref="U691:U701" si="1036">T691-M691</f>
        <v>-9072</v>
      </c>
      <c r="V691" s="255">
        <f t="shared" ref="V691:V701" si="1037">IF(M691=0,"N/A",T691/M691-1)</f>
        <v>-2.7225746817360563E-2</v>
      </c>
      <c r="W691" s="102" t="s">
        <v>2501</v>
      </c>
      <c r="X691" s="102"/>
      <c r="Y691" s="102"/>
      <c r="AA691" s="615"/>
      <c r="AC691" s="300"/>
      <c r="AD691" s="300"/>
      <c r="AE691" s="300"/>
      <c r="AF691" s="300"/>
      <c r="AG691" s="300"/>
      <c r="AJ691" s="300"/>
      <c r="AK691" s="300"/>
      <c r="AL691" s="300"/>
      <c r="AM691" s="300"/>
      <c r="AN691" s="300"/>
    </row>
    <row r="692" spans="1:59" ht="15" customHeight="1">
      <c r="A692" s="555" t="s">
        <v>2502</v>
      </c>
      <c r="B692" s="217" t="str">
        <f t="shared" si="1030"/>
        <v>100</v>
      </c>
      <c r="C692" s="217" t="str">
        <f t="shared" si="1031"/>
        <v>20</v>
      </c>
      <c r="D692" s="101" t="str">
        <f t="shared" si="1032"/>
        <v>201</v>
      </c>
      <c r="E692" s="217" t="str">
        <f t="shared" si="1033"/>
        <v>100-20-201</v>
      </c>
      <c r="F692" s="294" t="str">
        <f t="shared" si="1034"/>
        <v>50102</v>
      </c>
      <c r="G692" s="295" t="str">
        <f>VLOOKUP(F692,'GL Category'!A:C,3,FALSE)</f>
        <v>Personnel services</v>
      </c>
      <c r="H692" s="98" t="str">
        <f>VLOOKUP(F692,'GL Category'!A:C,2,FALSE)</f>
        <v>NON EXEMPT SALARIES</v>
      </c>
      <c r="I692" s="99">
        <f>SUMIF(Import!$B:$B,$A692,Import!D:D)</f>
        <v>17424.37</v>
      </c>
      <c r="J692" s="99">
        <f>SUMIF(Import!$B:$B,$A692,Import!E:E)</f>
        <v>34348.660000000003</v>
      </c>
      <c r="K692" s="99">
        <f>SUMIF(Import!$B:$B,$A692,Import!F:F)</f>
        <v>33350.81</v>
      </c>
      <c r="L692" s="99">
        <f>SUMIF(Import!$B:$B,$A692,Import!G:G)</f>
        <v>33971</v>
      </c>
      <c r="M692" s="99">
        <f>SUMIF(Import!$B:$B,$A692,Import!H:H)</f>
        <v>43203</v>
      </c>
      <c r="N692" s="99">
        <f>SUMIF(Import!$B:$B,$A692,Import!I:I)</f>
        <v>28203.84</v>
      </c>
      <c r="O692" s="99">
        <f>SUMIF(Import!$B:$B,$A692,Import!J:J)</f>
        <v>38253</v>
      </c>
      <c r="P692" s="99">
        <f t="shared" si="1035"/>
        <v>-4950</v>
      </c>
      <c r="Q692" s="99">
        <f>SUMIF(Import!$B:$B,$A692,Import!K:K)</f>
        <v>43954</v>
      </c>
      <c r="R692" s="99">
        <f>SUMIF(Import!$B:$B,$A692,Import!L:L)</f>
        <v>0</v>
      </c>
      <c r="S692" s="99">
        <f>SUMIF(Import!$B:$B,$A692,Import!M:M)</f>
        <v>0</v>
      </c>
      <c r="T692" s="99">
        <f>SUMIF(Import!$B:$B,$A692,Import!N:N)</f>
        <v>43954</v>
      </c>
      <c r="U692" s="99">
        <f t="shared" si="1036"/>
        <v>751</v>
      </c>
      <c r="V692" s="255">
        <f t="shared" si="1037"/>
        <v>1.7383052102863283E-2</v>
      </c>
      <c r="W692" s="102" t="s">
        <v>2502</v>
      </c>
      <c r="X692" s="102"/>
      <c r="Y692" s="102"/>
      <c r="AA692" s="615"/>
      <c r="AC692" s="300"/>
      <c r="AD692" s="300"/>
      <c r="AE692" s="300"/>
      <c r="AF692" s="300"/>
      <c r="AG692" s="300"/>
      <c r="AJ692" s="300"/>
      <c r="AK692" s="300"/>
      <c r="AL692" s="300"/>
      <c r="AM692" s="300"/>
      <c r="AN692" s="300"/>
    </row>
    <row r="693" spans="1:59" ht="15" customHeight="1">
      <c r="A693" s="555" t="s">
        <v>2503</v>
      </c>
      <c r="B693" s="217" t="str">
        <f t="shared" si="1030"/>
        <v>100</v>
      </c>
      <c r="C693" s="217" t="str">
        <f t="shared" si="1031"/>
        <v>20</v>
      </c>
      <c r="D693" s="101" t="str">
        <f t="shared" si="1032"/>
        <v>201</v>
      </c>
      <c r="E693" s="217" t="str">
        <f t="shared" si="1033"/>
        <v>100-20-201</v>
      </c>
      <c r="F693" s="294" t="str">
        <f t="shared" si="1034"/>
        <v>50109</v>
      </c>
      <c r="G693" s="295" t="str">
        <f>VLOOKUP(F693,'GL Category'!A:C,3,FALSE)</f>
        <v>Personnel services</v>
      </c>
      <c r="H693" s="98" t="str">
        <f>VLOOKUP(F693,'GL Category'!A:C,2,FALSE)</f>
        <v>OVERTIME</v>
      </c>
      <c r="I693" s="99">
        <f>SUMIF(Import!$B:$B,$A693,Import!D:D)</f>
        <v>300.26</v>
      </c>
      <c r="J693" s="99">
        <f>SUMIF(Import!$B:$B,$A693,Import!E:E)</f>
        <v>346.38</v>
      </c>
      <c r="K693" s="99">
        <f>SUMIF(Import!$B:$B,$A693,Import!F:F)</f>
        <v>39.119999999999997</v>
      </c>
      <c r="L693" s="99">
        <f>SUMIF(Import!$B:$B,$A693,Import!G:G)</f>
        <v>751.48</v>
      </c>
      <c r="M693" s="99">
        <f>SUMIF(Import!$B:$B,$A693,Import!H:H)</f>
        <v>0</v>
      </c>
      <c r="N693" s="99">
        <f>SUMIF(Import!$B:$B,$A693,Import!I:I)</f>
        <v>173.88</v>
      </c>
      <c r="O693" s="99">
        <f>SUMIF(Import!$B:$B,$A693,Import!J:J)</f>
        <v>246</v>
      </c>
      <c r="P693" s="99">
        <f t="shared" si="1035"/>
        <v>246</v>
      </c>
      <c r="Q693" s="99">
        <f>SUMIF(Import!$B:$B,$A693,Import!K:K)</f>
        <v>0</v>
      </c>
      <c r="R693" s="99">
        <f>SUMIF(Import!$B:$B,$A693,Import!L:L)</f>
        <v>0</v>
      </c>
      <c r="S693" s="99">
        <f>SUMIF(Import!$B:$B,$A693,Import!M:M)</f>
        <v>0</v>
      </c>
      <c r="T693" s="99">
        <f>SUMIF(Import!$B:$B,$A693,Import!N:N)</f>
        <v>0</v>
      </c>
      <c r="U693" s="99">
        <f t="shared" si="1036"/>
        <v>0</v>
      </c>
      <c r="V693" s="255" t="str">
        <f t="shared" si="1037"/>
        <v>N/A</v>
      </c>
      <c r="W693" s="102" t="s">
        <v>2503</v>
      </c>
      <c r="X693" s="102"/>
      <c r="Y693" s="102"/>
      <c r="AA693" s="615"/>
      <c r="AC693" s="94"/>
      <c r="AD693" s="94"/>
      <c r="AE693" s="94"/>
      <c r="AF693" s="94"/>
      <c r="AG693" s="94"/>
      <c r="AJ693" s="94"/>
      <c r="AK693" s="94"/>
      <c r="AL693" s="94"/>
      <c r="AM693" s="94"/>
      <c r="AN693" s="94"/>
    </row>
    <row r="694" spans="1:59" ht="15" customHeight="1">
      <c r="A694" s="555" t="s">
        <v>2504</v>
      </c>
      <c r="B694" s="217" t="str">
        <f t="shared" si="1030"/>
        <v>100</v>
      </c>
      <c r="C694" s="217" t="str">
        <f t="shared" si="1031"/>
        <v>20</v>
      </c>
      <c r="D694" s="101" t="str">
        <f t="shared" si="1032"/>
        <v>201</v>
      </c>
      <c r="E694" s="217" t="str">
        <f t="shared" si="1033"/>
        <v>100-20-201</v>
      </c>
      <c r="F694" s="294" t="str">
        <f t="shared" si="1034"/>
        <v>50110</v>
      </c>
      <c r="G694" s="295" t="str">
        <f>VLOOKUP(F694,'GL Category'!A:C,3,FALSE)</f>
        <v>Personnel services</v>
      </c>
      <c r="H694" s="98" t="str">
        <f>VLOOKUP(F694,'GL Category'!A:C,2,FALSE)</f>
        <v>PART-TIME WAGES</v>
      </c>
      <c r="I694" s="99">
        <f>SUMIF(Import!$B:$B,$A694,Import!D:D)</f>
        <v>0</v>
      </c>
      <c r="J694" s="99">
        <f>SUMIF(Import!$B:$B,$A694,Import!E:E)</f>
        <v>0</v>
      </c>
      <c r="K694" s="99">
        <f>SUMIF(Import!$B:$B,$A694,Import!F:F)</f>
        <v>0</v>
      </c>
      <c r="L694" s="99">
        <f>SUMIF(Import!$B:$B,$A694,Import!G:G)</f>
        <v>0</v>
      </c>
      <c r="M694" s="99">
        <f>SUMIF(Import!$B:$B,$A694,Import!H:H)</f>
        <v>0</v>
      </c>
      <c r="N694" s="99">
        <f>SUMIF(Import!$B:$B,$A694,Import!I:I)</f>
        <v>0</v>
      </c>
      <c r="O694" s="99">
        <f>SUMIF(Import!$B:$B,$A694,Import!J:J)</f>
        <v>0</v>
      </c>
      <c r="P694" s="99">
        <f t="shared" si="1035"/>
        <v>0</v>
      </c>
      <c r="Q694" s="99">
        <f>SUMIF(Import!$B:$B,$A694,Import!K:K)</f>
        <v>0</v>
      </c>
      <c r="R694" s="99">
        <f>SUMIF(Import!$B:$B,$A694,Import!L:L)</f>
        <v>0</v>
      </c>
      <c r="S694" s="99">
        <f>SUMIF(Import!$B:$B,$A694,Import!M:M)</f>
        <v>0</v>
      </c>
      <c r="T694" s="99">
        <f>SUMIF(Import!$B:$B,$A694,Import!N:N)</f>
        <v>0</v>
      </c>
      <c r="U694" s="99">
        <f t="shared" si="1036"/>
        <v>0</v>
      </c>
      <c r="V694" s="255" t="str">
        <f t="shared" si="1037"/>
        <v>N/A</v>
      </c>
      <c r="W694" s="102" t="s">
        <v>2504</v>
      </c>
      <c r="X694" s="102"/>
      <c r="Y694" s="102"/>
      <c r="AA694" s="615"/>
      <c r="AC694" s="93"/>
      <c r="AD694" s="93"/>
      <c r="AE694" s="93"/>
      <c r="AF694" s="93"/>
      <c r="AG694" s="93"/>
      <c r="AJ694" s="93"/>
      <c r="AK694" s="93"/>
      <c r="AL694" s="93"/>
      <c r="AM694" s="93"/>
      <c r="AN694" s="93"/>
    </row>
    <row r="695" spans="1:59" ht="15" customHeight="1">
      <c r="A695" s="555" t="s">
        <v>2505</v>
      </c>
      <c r="B695" s="217" t="str">
        <f t="shared" si="1030"/>
        <v>100</v>
      </c>
      <c r="C695" s="217" t="str">
        <f t="shared" si="1031"/>
        <v>20</v>
      </c>
      <c r="D695" s="101" t="str">
        <f t="shared" si="1032"/>
        <v>201</v>
      </c>
      <c r="E695" s="217" t="str">
        <f t="shared" si="1033"/>
        <v>100-20-201</v>
      </c>
      <c r="F695" s="294" t="str">
        <f t="shared" si="1034"/>
        <v>50111</v>
      </c>
      <c r="G695" s="295" t="str">
        <f>VLOOKUP(F695,'GL Category'!A:C,3,FALSE)</f>
        <v>Personnel services</v>
      </c>
      <c r="H695" s="98" t="str">
        <f>VLOOKUP(F695,'GL Category'!A:C,2,FALSE)</f>
        <v>LONGEVITY PAY</v>
      </c>
      <c r="I695" s="99">
        <f>SUMIF(Import!$B:$B,$A695,Import!D:D)</f>
        <v>380</v>
      </c>
      <c r="J695" s="99">
        <f>SUMIF(Import!$B:$B,$A695,Import!E:E)</f>
        <v>700</v>
      </c>
      <c r="K695" s="99">
        <f>SUMIF(Import!$B:$B,$A695,Import!F:F)</f>
        <v>670</v>
      </c>
      <c r="L695" s="99">
        <f>SUMIF(Import!$B:$B,$A695,Import!G:G)</f>
        <v>1170</v>
      </c>
      <c r="M695" s="99">
        <f>SUMIF(Import!$B:$B,$A695,Import!H:H)</f>
        <v>740</v>
      </c>
      <c r="N695" s="99">
        <f>SUMIF(Import!$B:$B,$A695,Import!I:I)</f>
        <v>660</v>
      </c>
      <c r="O695" s="99">
        <f>SUMIF(Import!$B:$B,$A695,Import!J:J)</f>
        <v>660</v>
      </c>
      <c r="P695" s="99">
        <f t="shared" si="1035"/>
        <v>-80</v>
      </c>
      <c r="Q695" s="99">
        <f>SUMIF(Import!$B:$B,$A695,Import!K:K)</f>
        <v>1098</v>
      </c>
      <c r="R695" s="99">
        <f>SUMIF(Import!$B:$B,$A695,Import!L:L)</f>
        <v>0</v>
      </c>
      <c r="S695" s="99">
        <f>SUMIF(Import!$B:$B,$A695,Import!M:M)</f>
        <v>0</v>
      </c>
      <c r="T695" s="99">
        <f>SUMIF(Import!$B:$B,$A695,Import!N:N)</f>
        <v>1098</v>
      </c>
      <c r="U695" s="99">
        <f t="shared" si="1036"/>
        <v>358</v>
      </c>
      <c r="V695" s="255">
        <f t="shared" si="1037"/>
        <v>0.48378378378378373</v>
      </c>
      <c r="W695" s="102" t="s">
        <v>2505</v>
      </c>
      <c r="X695" s="102"/>
      <c r="Y695" s="102"/>
      <c r="AA695" s="615"/>
      <c r="AC695" s="300"/>
      <c r="AD695" s="300"/>
      <c r="AE695" s="300"/>
      <c r="AF695" s="300"/>
      <c r="AG695" s="300"/>
      <c r="AJ695" s="300"/>
      <c r="AK695" s="300"/>
      <c r="AL695" s="300"/>
      <c r="AM695" s="300"/>
      <c r="AN695" s="300"/>
    </row>
    <row r="696" spans="1:59" ht="15" customHeight="1">
      <c r="A696" s="555" t="s">
        <v>2506</v>
      </c>
      <c r="B696" s="217" t="str">
        <f t="shared" si="1030"/>
        <v>100</v>
      </c>
      <c r="C696" s="217" t="str">
        <f t="shared" si="1031"/>
        <v>20</v>
      </c>
      <c r="D696" s="101" t="str">
        <f t="shared" si="1032"/>
        <v>201</v>
      </c>
      <c r="E696" s="217" t="str">
        <f t="shared" si="1033"/>
        <v>100-20-201</v>
      </c>
      <c r="F696" s="294" t="str">
        <f t="shared" si="1034"/>
        <v>50112</v>
      </c>
      <c r="G696" s="295" t="str">
        <f>VLOOKUP(F696,'GL Category'!A:C,3,FALSE)</f>
        <v>Personnel services</v>
      </c>
      <c r="H696" s="98" t="str">
        <f>VLOOKUP(F696,'GL Category'!A:C,2,FALSE)</f>
        <v>TEMPORARY/SEASONAL WAGES</v>
      </c>
      <c r="I696" s="99">
        <f>SUMIF(Import!$B:$B,$A696,Import!D:D)</f>
        <v>0</v>
      </c>
      <c r="J696" s="99">
        <f>SUMIF(Import!$B:$B,$A696,Import!E:E)</f>
        <v>0</v>
      </c>
      <c r="K696" s="99">
        <f>SUMIF(Import!$B:$B,$A696,Import!F:F)</f>
        <v>0</v>
      </c>
      <c r="L696" s="99">
        <f>SUMIF(Import!$B:$B,$A696,Import!G:G)</f>
        <v>0</v>
      </c>
      <c r="M696" s="99">
        <f>SUMIF(Import!$B:$B,$A696,Import!H:H)</f>
        <v>0</v>
      </c>
      <c r="N696" s="99">
        <f>SUMIF(Import!$B:$B,$A696,Import!I:I)</f>
        <v>0</v>
      </c>
      <c r="O696" s="99">
        <f>SUMIF(Import!$B:$B,$A696,Import!J:J)</f>
        <v>0</v>
      </c>
      <c r="P696" s="99">
        <f t="shared" si="1035"/>
        <v>0</v>
      </c>
      <c r="Q696" s="99">
        <f>SUMIF(Import!$B:$B,$A696,Import!K:K)</f>
        <v>0</v>
      </c>
      <c r="R696" s="99">
        <f>SUMIF(Import!$B:$B,$A696,Import!L:L)</f>
        <v>0</v>
      </c>
      <c r="S696" s="99">
        <f>SUMIF(Import!$B:$B,$A696,Import!M:M)</f>
        <v>0</v>
      </c>
      <c r="T696" s="99">
        <f>SUMIF(Import!$B:$B,$A696,Import!N:N)</f>
        <v>0</v>
      </c>
      <c r="U696" s="99">
        <f t="shared" si="1036"/>
        <v>0</v>
      </c>
      <c r="V696" s="255" t="str">
        <f t="shared" si="1037"/>
        <v>N/A</v>
      </c>
      <c r="W696" s="102" t="s">
        <v>2506</v>
      </c>
      <c r="X696" s="102"/>
      <c r="Y696" s="102"/>
      <c r="AA696" s="615"/>
      <c r="AC696" s="300"/>
      <c r="AD696" s="300"/>
      <c r="AE696" s="300"/>
      <c r="AF696" s="300"/>
      <c r="AG696" s="300"/>
      <c r="AJ696" s="300"/>
      <c r="AK696" s="300"/>
      <c r="AL696" s="300"/>
      <c r="AM696" s="300"/>
      <c r="AN696" s="300"/>
    </row>
    <row r="697" spans="1:59" ht="15" customHeight="1">
      <c r="A697" s="555" t="s">
        <v>2507</v>
      </c>
      <c r="B697" s="217" t="str">
        <f t="shared" si="1030"/>
        <v>100</v>
      </c>
      <c r="C697" s="217" t="str">
        <f t="shared" si="1031"/>
        <v>20</v>
      </c>
      <c r="D697" s="101" t="str">
        <f t="shared" si="1032"/>
        <v>201</v>
      </c>
      <c r="E697" s="217" t="str">
        <f t="shared" si="1033"/>
        <v>100-20-201</v>
      </c>
      <c r="F697" s="294" t="str">
        <f t="shared" si="1034"/>
        <v>50120</v>
      </c>
      <c r="G697" s="295" t="str">
        <f>VLOOKUP(F697,'GL Category'!A:C,3,FALSE)</f>
        <v>Personnel services</v>
      </c>
      <c r="H697" s="98" t="str">
        <f>VLOOKUP(F697,'GL Category'!A:C,2,FALSE)</f>
        <v>AUTO ALLOWANCE</v>
      </c>
      <c r="I697" s="99">
        <f>SUMIF(Import!$B:$B,$A697,Import!D:D)</f>
        <v>4800</v>
      </c>
      <c r="J697" s="99">
        <f>SUMIF(Import!$B:$B,$A697,Import!E:E)</f>
        <v>4800</v>
      </c>
      <c r="K697" s="99">
        <f>SUMIF(Import!$B:$B,$A697,Import!F:F)</f>
        <v>4800</v>
      </c>
      <c r="L697" s="99">
        <f>SUMIF(Import!$B:$B,$A697,Import!G:G)</f>
        <v>5016</v>
      </c>
      <c r="M697" s="99">
        <f>SUMIF(Import!$B:$B,$A697,Import!H:H)</f>
        <v>4800</v>
      </c>
      <c r="N697" s="99">
        <f>SUMIF(Import!$B:$B,$A697,Import!I:I)</f>
        <v>3584</v>
      </c>
      <c r="O697" s="99">
        <f>SUMIF(Import!$B:$B,$A697,Import!J:J)</f>
        <v>4804</v>
      </c>
      <c r="P697" s="99">
        <f t="shared" si="1035"/>
        <v>4</v>
      </c>
      <c r="Q697" s="99">
        <f>SUMIF(Import!$B:$B,$A697,Import!K:K)</f>
        <v>4800</v>
      </c>
      <c r="R697" s="99">
        <f>SUMIF(Import!$B:$B,$A697,Import!L:L)</f>
        <v>0</v>
      </c>
      <c r="S697" s="99">
        <f>SUMIF(Import!$B:$B,$A697,Import!M:M)</f>
        <v>0</v>
      </c>
      <c r="T697" s="99">
        <f>SUMIF(Import!$B:$B,$A697,Import!N:N)</f>
        <v>4800</v>
      </c>
      <c r="U697" s="99">
        <f t="shared" si="1036"/>
        <v>0</v>
      </c>
      <c r="V697" s="255">
        <f t="shared" si="1037"/>
        <v>0</v>
      </c>
      <c r="W697" s="102" t="s">
        <v>2507</v>
      </c>
      <c r="X697" s="102"/>
      <c r="Y697" s="102"/>
      <c r="AA697" s="615"/>
      <c r="AC697" s="300"/>
      <c r="AD697" s="300"/>
      <c r="AE697" s="300"/>
      <c r="AF697" s="300"/>
      <c r="AG697" s="300"/>
      <c r="AJ697" s="300"/>
      <c r="AK697" s="300"/>
      <c r="AL697" s="300"/>
      <c r="AM697" s="300"/>
      <c r="AN697" s="300"/>
    </row>
    <row r="698" spans="1:59" ht="15" customHeight="1">
      <c r="A698" s="555" t="s">
        <v>2508</v>
      </c>
      <c r="B698" s="217" t="str">
        <f t="shared" si="1030"/>
        <v>100</v>
      </c>
      <c r="C698" s="217" t="str">
        <f t="shared" si="1031"/>
        <v>20</v>
      </c>
      <c r="D698" s="101" t="str">
        <f t="shared" si="1032"/>
        <v>201</v>
      </c>
      <c r="E698" s="217" t="str">
        <f t="shared" si="1033"/>
        <v>100-20-201</v>
      </c>
      <c r="F698" s="294" t="str">
        <f t="shared" si="1034"/>
        <v>50610</v>
      </c>
      <c r="G698" s="295" t="str">
        <f>VLOOKUP(F698,'GL Category'!A:C,3,FALSE)</f>
        <v>Personnel services</v>
      </c>
      <c r="H698" s="98" t="str">
        <f>VLOOKUP(F698,'GL Category'!A:C,2,FALSE)</f>
        <v>SOCIAL SECURITY</v>
      </c>
      <c r="I698" s="99">
        <f>SUMIF(Import!$B:$B,$A698,Import!D:D)</f>
        <v>19986.900000000001</v>
      </c>
      <c r="J698" s="99">
        <f>SUMIF(Import!$B:$B,$A698,Import!E:E)</f>
        <v>20671.32</v>
      </c>
      <c r="K698" s="99">
        <f>SUMIF(Import!$B:$B,$A698,Import!F:F)</f>
        <v>23259.41</v>
      </c>
      <c r="L698" s="99">
        <f>SUMIF(Import!$B:$B,$A698,Import!G:G)</f>
        <v>25538.78</v>
      </c>
      <c r="M698" s="99">
        <f>SUMIF(Import!$B:$B,$A698,Import!H:H)</f>
        <v>29340</v>
      </c>
      <c r="N698" s="99">
        <f>SUMIF(Import!$B:$B,$A698,Import!I:I)</f>
        <v>16112.3</v>
      </c>
      <c r="O698" s="99">
        <f>SUMIF(Import!$B:$B,$A698,Import!J:J)</f>
        <v>23181</v>
      </c>
      <c r="P698" s="99">
        <f t="shared" si="1035"/>
        <v>-6159</v>
      </c>
      <c r="Q698" s="99">
        <f>SUMIF(Import!$B:$B,$A698,Import!K:K)</f>
        <v>28420</v>
      </c>
      <c r="R698" s="99">
        <f>SUMIF(Import!$B:$B,$A698,Import!L:L)</f>
        <v>0</v>
      </c>
      <c r="S698" s="99">
        <f>SUMIF(Import!$B:$B,$A698,Import!M:M)</f>
        <v>0</v>
      </c>
      <c r="T698" s="99">
        <f>SUMIF(Import!$B:$B,$A698,Import!N:N)</f>
        <v>28420</v>
      </c>
      <c r="U698" s="99">
        <f t="shared" si="1036"/>
        <v>-920</v>
      </c>
      <c r="V698" s="255">
        <f t="shared" si="1037"/>
        <v>-3.1356509884117201E-2</v>
      </c>
      <c r="W698" s="102" t="s">
        <v>2508</v>
      </c>
      <c r="X698" s="102"/>
      <c r="Y698" s="102"/>
      <c r="AA698" s="615"/>
      <c r="AC698" s="93"/>
      <c r="AD698" s="93"/>
      <c r="AE698" s="93"/>
      <c r="AF698" s="93"/>
      <c r="AG698" s="93"/>
      <c r="AJ698" s="93"/>
      <c r="AK698" s="93"/>
      <c r="AL698" s="93"/>
      <c r="AM698" s="93"/>
      <c r="AN698" s="93"/>
    </row>
    <row r="699" spans="1:59" ht="15" customHeight="1">
      <c r="A699" s="555" t="s">
        <v>2509</v>
      </c>
      <c r="B699" s="217" t="str">
        <f t="shared" si="1030"/>
        <v>100</v>
      </c>
      <c r="C699" s="217" t="str">
        <f t="shared" si="1031"/>
        <v>20</v>
      </c>
      <c r="D699" s="101" t="str">
        <f t="shared" si="1032"/>
        <v>201</v>
      </c>
      <c r="E699" s="217" t="str">
        <f t="shared" si="1033"/>
        <v>100-20-201</v>
      </c>
      <c r="F699" s="294" t="str">
        <f t="shared" si="1034"/>
        <v>50620</v>
      </c>
      <c r="G699" s="295" t="str">
        <f>VLOOKUP(F699,'GL Category'!A:C,3,FALSE)</f>
        <v>Personnel services</v>
      </c>
      <c r="H699" s="98" t="str">
        <f>VLOOKUP(F699,'GL Category'!A:C,2,FALSE)</f>
        <v>HEALTH/LIFE INSURANCE</v>
      </c>
      <c r="I699" s="99">
        <f>SUMIF(Import!$B:$B,$A699,Import!D:D)</f>
        <v>39692.720000000001</v>
      </c>
      <c r="J699" s="99">
        <f>SUMIF(Import!$B:$B,$A699,Import!E:E)</f>
        <v>59210.01</v>
      </c>
      <c r="K699" s="99">
        <f>SUMIF(Import!$B:$B,$A699,Import!F:F)</f>
        <v>70485.649999999994</v>
      </c>
      <c r="L699" s="99">
        <f>SUMIF(Import!$B:$B,$A699,Import!G:G)</f>
        <v>50010.400000000001</v>
      </c>
      <c r="M699" s="99">
        <f>SUMIF(Import!$B:$B,$A699,Import!H:H)</f>
        <v>57301</v>
      </c>
      <c r="N699" s="99">
        <f>SUMIF(Import!$B:$B,$A699,Import!I:I)</f>
        <v>28291.11</v>
      </c>
      <c r="O699" s="99">
        <f>SUMIF(Import!$B:$B,$A699,Import!J:J)</f>
        <v>44490</v>
      </c>
      <c r="P699" s="99">
        <f t="shared" si="1035"/>
        <v>-12811</v>
      </c>
      <c r="Q699" s="99">
        <f>SUMIF(Import!$B:$B,$A699,Import!K:K)</f>
        <v>53889</v>
      </c>
      <c r="R699" s="99">
        <f>SUMIF(Import!$B:$B,$A699,Import!L:L)</f>
        <v>0</v>
      </c>
      <c r="S699" s="99">
        <f>SUMIF(Import!$B:$B,$A699,Import!M:M)</f>
        <v>0</v>
      </c>
      <c r="T699" s="99">
        <f>SUMIF(Import!$B:$B,$A699,Import!N:N)</f>
        <v>53889</v>
      </c>
      <c r="U699" s="99">
        <f t="shared" si="1036"/>
        <v>-3412</v>
      </c>
      <c r="V699" s="255">
        <f t="shared" si="1037"/>
        <v>-5.9545208635102376E-2</v>
      </c>
      <c r="W699" s="102" t="s">
        <v>2509</v>
      </c>
      <c r="X699" s="102"/>
      <c r="Y699" s="102"/>
      <c r="AA699" s="615"/>
      <c r="AC699" s="300"/>
      <c r="AD699" s="300"/>
      <c r="AE699" s="300"/>
      <c r="AF699" s="300"/>
      <c r="AG699" s="300"/>
      <c r="AJ699" s="300"/>
      <c r="AK699" s="300"/>
      <c r="AL699" s="300"/>
      <c r="AM699" s="300"/>
      <c r="AN699" s="300"/>
    </row>
    <row r="700" spans="1:59" ht="15" customHeight="1">
      <c r="A700" s="555" t="s">
        <v>2510</v>
      </c>
      <c r="B700" s="217" t="str">
        <f t="shared" si="1030"/>
        <v>100</v>
      </c>
      <c r="C700" s="217" t="str">
        <f t="shared" si="1031"/>
        <v>20</v>
      </c>
      <c r="D700" s="101" t="str">
        <f t="shared" si="1032"/>
        <v>201</v>
      </c>
      <c r="E700" s="217" t="str">
        <f t="shared" si="1033"/>
        <v>100-20-201</v>
      </c>
      <c r="F700" s="294" t="str">
        <f t="shared" si="1034"/>
        <v>50630</v>
      </c>
      <c r="G700" s="295" t="str">
        <f>VLOOKUP(F700,'GL Category'!A:C,3,FALSE)</f>
        <v>Personnel services</v>
      </c>
      <c r="H700" s="98" t="str">
        <f>VLOOKUP(F700,'GL Category'!A:C,2,FALSE)</f>
        <v>WORKER COMPENSATION</v>
      </c>
      <c r="I700" s="99">
        <f>SUMIF(Import!$B:$B,$A700,Import!D:D)</f>
        <v>196.07</v>
      </c>
      <c r="J700" s="99">
        <f>SUMIF(Import!$B:$B,$A700,Import!E:E)</f>
        <v>183.99</v>
      </c>
      <c r="K700" s="99">
        <f>SUMIF(Import!$B:$B,$A700,Import!F:F)</f>
        <v>225.36</v>
      </c>
      <c r="L700" s="99">
        <f>SUMIF(Import!$B:$B,$A700,Import!G:G)</f>
        <v>428.96</v>
      </c>
      <c r="M700" s="99">
        <f>SUMIF(Import!$B:$B,$A700,Import!H:H)</f>
        <v>547</v>
      </c>
      <c r="N700" s="99">
        <f>SUMIF(Import!$B:$B,$A700,Import!I:I)</f>
        <v>546.54999999999995</v>
      </c>
      <c r="O700" s="99">
        <f>SUMIF(Import!$B:$B,$A700,Import!J:J)</f>
        <v>547</v>
      </c>
      <c r="P700" s="99">
        <f t="shared" si="1035"/>
        <v>0</v>
      </c>
      <c r="Q700" s="99">
        <f>SUMIF(Import!$B:$B,$A700,Import!K:K)</f>
        <v>517</v>
      </c>
      <c r="R700" s="99">
        <f>SUMIF(Import!$B:$B,$A700,Import!L:L)</f>
        <v>0</v>
      </c>
      <c r="S700" s="99">
        <f>SUMIF(Import!$B:$B,$A700,Import!M:M)</f>
        <v>0</v>
      </c>
      <c r="T700" s="99">
        <f>SUMIF(Import!$B:$B,$A700,Import!N:N)</f>
        <v>517</v>
      </c>
      <c r="U700" s="99">
        <f t="shared" si="1036"/>
        <v>-30</v>
      </c>
      <c r="V700" s="255">
        <f t="shared" si="1037"/>
        <v>-5.4844606946983565E-2</v>
      </c>
      <c r="W700" s="102" t="s">
        <v>2510</v>
      </c>
      <c r="X700" s="102"/>
      <c r="Y700" s="102"/>
      <c r="AA700" s="615"/>
      <c r="AC700" s="94"/>
      <c r="AD700" s="94"/>
      <c r="AE700" s="94"/>
      <c r="AF700" s="94"/>
      <c r="AG700" s="94"/>
      <c r="AJ700" s="94"/>
      <c r="AK700" s="94"/>
      <c r="AL700" s="94"/>
      <c r="AM700" s="94"/>
      <c r="AN700" s="94"/>
    </row>
    <row r="701" spans="1:59" ht="15" customHeight="1">
      <c r="A701" s="555" t="s">
        <v>2511</v>
      </c>
      <c r="B701" s="217" t="str">
        <f t="shared" si="1030"/>
        <v>100</v>
      </c>
      <c r="C701" s="217" t="str">
        <f t="shared" si="1031"/>
        <v>20</v>
      </c>
      <c r="D701" s="101" t="str">
        <f t="shared" si="1032"/>
        <v>201</v>
      </c>
      <c r="E701" s="217" t="str">
        <f t="shared" si="1033"/>
        <v>100-20-201</v>
      </c>
      <c r="F701" s="294" t="str">
        <f t="shared" si="1034"/>
        <v>50650</v>
      </c>
      <c r="G701" s="295" t="str">
        <f>VLOOKUP(F701,'GL Category'!A:C,3,FALSE)</f>
        <v>Personnel services</v>
      </c>
      <c r="H701" s="98" t="str">
        <f>VLOOKUP(F701,'GL Category'!A:C,2,FALSE)</f>
        <v>RETIREMENT</v>
      </c>
      <c r="I701" s="99">
        <f>SUMIF(Import!$B:$B,$A701,Import!D:D)</f>
        <v>42829.85</v>
      </c>
      <c r="J701" s="99">
        <f>SUMIF(Import!$B:$B,$A701,Import!E:E)</f>
        <v>45995.41</v>
      </c>
      <c r="K701" s="99">
        <f>SUMIF(Import!$B:$B,$A701,Import!F:F)</f>
        <v>52708.639999999999</v>
      </c>
      <c r="L701" s="99">
        <f>SUMIF(Import!$B:$B,$A701,Import!G:G)</f>
        <v>56992.39</v>
      </c>
      <c r="M701" s="99">
        <f>SUMIF(Import!$B:$B,$A701,Import!H:H)</f>
        <v>63347</v>
      </c>
      <c r="N701" s="99">
        <f>SUMIF(Import!$B:$B,$A701,Import!I:I)</f>
        <v>35756.97</v>
      </c>
      <c r="O701" s="99">
        <f>SUMIF(Import!$B:$B,$A701,Import!J:J)</f>
        <v>51447</v>
      </c>
      <c r="P701" s="99">
        <f t="shared" si="1035"/>
        <v>-11900</v>
      </c>
      <c r="Q701" s="99">
        <f>SUMIF(Import!$B:$B,$A701,Import!K:K)</f>
        <v>63530</v>
      </c>
      <c r="R701" s="99">
        <f>SUMIF(Import!$B:$B,$A701,Import!L:L)</f>
        <v>0</v>
      </c>
      <c r="S701" s="99">
        <f>SUMIF(Import!$B:$B,$A701,Import!M:M)</f>
        <v>0</v>
      </c>
      <c r="T701" s="99">
        <f>SUMIF(Import!$B:$B,$A701,Import!N:N)</f>
        <v>63530</v>
      </c>
      <c r="U701" s="99">
        <f t="shared" si="1036"/>
        <v>183</v>
      </c>
      <c r="V701" s="255">
        <f t="shared" si="1037"/>
        <v>2.8888503007244992E-3</v>
      </c>
      <c r="W701" s="102" t="s">
        <v>2511</v>
      </c>
      <c r="X701" s="102"/>
      <c r="Y701" s="102"/>
      <c r="AA701" s="615"/>
      <c r="AC701" s="92"/>
      <c r="AD701" s="92"/>
      <c r="AE701" s="92"/>
      <c r="AF701" s="92"/>
      <c r="AG701" s="92"/>
      <c r="AJ701" s="92"/>
      <c r="AK701" s="92"/>
      <c r="AL701" s="92"/>
      <c r="AM701" s="92"/>
      <c r="AN701" s="92"/>
      <c r="AO701" s="307"/>
      <c r="AP701" s="307"/>
    </row>
    <row r="702" spans="1:59" ht="15" customHeight="1">
      <c r="A702" s="297"/>
      <c r="B702" s="217"/>
      <c r="C702" s="217"/>
      <c r="D702" s="101"/>
      <c r="E702" s="101"/>
      <c r="F702" s="294"/>
      <c r="G702" s="295"/>
      <c r="H702" s="107" t="str">
        <f>UPPER(G701)&amp;" TOTAL"</f>
        <v>PERSONNEL SERVICES TOTAL</v>
      </c>
      <c r="I702" s="108">
        <f t="shared" ref="I702" si="1038">SUBTOTAL(9,I691:I701)</f>
        <v>372247.45</v>
      </c>
      <c r="J702" s="108">
        <f t="shared" ref="J702:P702" si="1039">SUBTOTAL(9,J691:J701)</f>
        <v>410792.57999999996</v>
      </c>
      <c r="K702" s="108">
        <f t="shared" ref="K702" si="1040">SUBTOTAL(9,K691:K701)</f>
        <v>472295.73</v>
      </c>
      <c r="L702" s="108">
        <f t="shared" ref="L702" si="1041">SUBTOTAL(9,L691:L701)</f>
        <v>485085.21</v>
      </c>
      <c r="M702" s="108">
        <f t="shared" si="1039"/>
        <v>532492</v>
      </c>
      <c r="N702" s="109">
        <f t="shared" ref="N702" si="1042">SUBTOTAL(9,N691:N701)</f>
        <v>296298.63</v>
      </c>
      <c r="O702" s="109">
        <f t="shared" si="1039"/>
        <v>429659</v>
      </c>
      <c r="P702" s="109">
        <f t="shared" si="1039"/>
        <v>-102833</v>
      </c>
      <c r="Q702" s="109">
        <f t="shared" ref="Q702:T702" si="1043">SUBTOTAL(9,Q691:Q701)</f>
        <v>520350</v>
      </c>
      <c r="R702" s="109">
        <f t="shared" si="1043"/>
        <v>0</v>
      </c>
      <c r="S702" s="109">
        <f t="shared" si="1043"/>
        <v>0</v>
      </c>
      <c r="T702" s="109">
        <f t="shared" si="1043"/>
        <v>520350</v>
      </c>
      <c r="U702" s="99">
        <f>T702-M702</f>
        <v>-12142</v>
      </c>
      <c r="V702" s="255">
        <f>IF(M702=0,"N/A",T702/M702-1)</f>
        <v>-2.2802220502843196E-2</v>
      </c>
      <c r="W702" s="102"/>
      <c r="X702" s="102"/>
      <c r="Y702" s="102"/>
      <c r="AA702" s="615"/>
      <c r="AO702" s="307"/>
      <c r="AP702" s="307"/>
    </row>
    <row r="703" spans="1:59" s="75" customFormat="1" ht="15" customHeight="1">
      <c r="A703" s="297"/>
      <c r="B703" s="217"/>
      <c r="C703" s="217"/>
      <c r="D703" s="101"/>
      <c r="E703" s="101"/>
      <c r="F703" s="294"/>
      <c r="G703" s="295"/>
      <c r="H703" s="98"/>
      <c r="I703" s="106"/>
      <c r="J703" s="106"/>
      <c r="K703" s="106"/>
      <c r="L703" s="106"/>
      <c r="M703" s="106"/>
      <c r="N703" s="112"/>
      <c r="O703" s="112"/>
      <c r="P703" s="112"/>
      <c r="Q703" s="113"/>
      <c r="R703" s="113"/>
      <c r="S703" s="113"/>
      <c r="T703" s="113"/>
      <c r="U703" s="99"/>
      <c r="V703" s="255"/>
      <c r="W703" s="102"/>
      <c r="X703" s="102"/>
      <c r="Y703" s="102"/>
      <c r="Z703" s="614"/>
      <c r="AA703" s="615"/>
      <c r="AB703" s="624"/>
      <c r="AC703" s="623"/>
      <c r="AD703" s="623"/>
      <c r="AE703" s="623"/>
      <c r="AF703" s="623"/>
      <c r="AG703" s="623"/>
      <c r="AH703" s="623"/>
      <c r="AI703" s="624"/>
      <c r="AJ703" s="307"/>
      <c r="AK703" s="307"/>
      <c r="AL703" s="307"/>
      <c r="AM703" s="307"/>
      <c r="AN703" s="307"/>
      <c r="AO703" s="192"/>
      <c r="AP703" s="192"/>
      <c r="AQ703" s="192"/>
      <c r="AR703" s="115"/>
      <c r="AS703" s="115"/>
      <c r="AT703" s="115"/>
      <c r="AU703" s="115"/>
      <c r="AV703" s="115"/>
      <c r="AW703" s="115"/>
      <c r="AX703" s="115"/>
      <c r="AY703" s="115"/>
      <c r="AZ703" s="115"/>
      <c r="BA703" s="115"/>
      <c r="BB703" s="115"/>
      <c r="BC703" s="115"/>
      <c r="BD703" s="115"/>
      <c r="BE703" s="74"/>
      <c r="BF703" s="74"/>
      <c r="BG703" s="74"/>
    </row>
    <row r="704" spans="1:59" s="75" customFormat="1" ht="15" customHeight="1">
      <c r="A704" s="555" t="s">
        <v>2512</v>
      </c>
      <c r="B704" s="217" t="str">
        <f t="shared" ref="B704:B706" si="1044">LEFT(A704,3)</f>
        <v>100</v>
      </c>
      <c r="C704" s="217" t="str">
        <f t="shared" ref="C704:C706" si="1045">MID(A704,5,2)</f>
        <v>20</v>
      </c>
      <c r="D704" s="101" t="str">
        <f t="shared" ref="D704:D706" si="1046">MID(A704,8,3)</f>
        <v>201</v>
      </c>
      <c r="E704" s="217" t="str">
        <f t="shared" ref="E704:E706" si="1047">LEFT(A704,10)</f>
        <v>100-20-201</v>
      </c>
      <c r="F704" s="294" t="str">
        <f t="shared" ref="F704:F706" si="1048">RIGHT(A704,5)</f>
        <v>51210</v>
      </c>
      <c r="G704" s="295" t="str">
        <f>VLOOKUP(F704,'GL Category'!A:C,3,FALSE)</f>
        <v>Operations &amp; maintenance</v>
      </c>
      <c r="H704" s="98" t="str">
        <f>VLOOKUP(F704,'GL Category'!A:C,2,FALSE)</f>
        <v>OFFICE SUPPLIES</v>
      </c>
      <c r="I704" s="99">
        <f>SUMIF(Import!$B:$B,$A704,Import!D:D)</f>
        <v>1356.6</v>
      </c>
      <c r="J704" s="99">
        <f>SUMIF(Import!$B:$B,$A704,Import!E:E)</f>
        <v>1790.94</v>
      </c>
      <c r="K704" s="99">
        <f>SUMIF(Import!$B:$B,$A704,Import!F:F)</f>
        <v>1549.97</v>
      </c>
      <c r="L704" s="99">
        <f>SUMIF(Import!$B:$B,$A704,Import!G:G)</f>
        <v>2330.1999999999998</v>
      </c>
      <c r="M704" s="99">
        <f>SUMIF(Import!$B:$B,$A704,Import!H:H)</f>
        <v>1700</v>
      </c>
      <c r="N704" s="99">
        <f>SUMIF(Import!$B:$B,$A704,Import!I:I)</f>
        <v>674.35</v>
      </c>
      <c r="O704" s="99">
        <f>SUMIF(Import!$B:$B,$A704,Import!J:J)</f>
        <v>1000</v>
      </c>
      <c r="P704" s="99">
        <f t="shared" ref="P704:P706" si="1049">O704-M704</f>
        <v>-700</v>
      </c>
      <c r="Q704" s="99">
        <f>SUMIF(Import!$B:$B,$A704,Import!K:K)</f>
        <v>1700</v>
      </c>
      <c r="R704" s="99">
        <f>SUMIF(Import!$B:$B,$A704,Import!L:L)</f>
        <v>0</v>
      </c>
      <c r="S704" s="99">
        <f>SUMIF(Import!$B:$B,$A704,Import!M:M)</f>
        <v>0</v>
      </c>
      <c r="T704" s="99">
        <f>SUMIF(Import!$B:$B,$A704,Import!N:N)</f>
        <v>1700</v>
      </c>
      <c r="U704" s="99">
        <f t="shared" ref="U704:U706" si="1050">T704-M704</f>
        <v>0</v>
      </c>
      <c r="V704" s="255">
        <f t="shared" ref="V704:V706" si="1051">IF(M704=0,"N/A",T704/M704-1)</f>
        <v>0</v>
      </c>
      <c r="W704" s="102" t="s">
        <v>2512</v>
      </c>
      <c r="X704" s="102"/>
      <c r="Y704" s="102"/>
      <c r="Z704" s="614"/>
      <c r="AA704" s="615"/>
      <c r="AB704" s="624"/>
      <c r="AC704" s="625"/>
      <c r="AD704" s="625"/>
      <c r="AE704" s="625"/>
      <c r="AF704" s="625"/>
      <c r="AG704" s="625"/>
      <c r="AH704" s="623"/>
      <c r="AI704" s="624"/>
      <c r="AJ704" s="626"/>
      <c r="AK704" s="626"/>
      <c r="AL704" s="626"/>
      <c r="AM704" s="626"/>
      <c r="AN704" s="626"/>
      <c r="AO704" s="192"/>
      <c r="AP704" s="192"/>
      <c r="AQ704" s="192"/>
      <c r="AR704" s="115"/>
      <c r="AS704" s="115"/>
      <c r="AT704" s="115"/>
      <c r="AU704" s="115"/>
      <c r="AV704" s="115"/>
      <c r="AW704" s="115"/>
      <c r="AX704" s="115"/>
      <c r="AY704" s="115"/>
      <c r="AZ704" s="115"/>
      <c r="BA704" s="115"/>
      <c r="BB704" s="115"/>
      <c r="BC704" s="115"/>
      <c r="BD704" s="115"/>
      <c r="BE704" s="74"/>
      <c r="BF704" s="74"/>
      <c r="BG704" s="74"/>
    </row>
    <row r="705" spans="1:59" s="115" customFormat="1" ht="15" customHeight="1">
      <c r="A705" s="555" t="s">
        <v>2513</v>
      </c>
      <c r="B705" s="217" t="str">
        <f t="shared" si="1044"/>
        <v>100</v>
      </c>
      <c r="C705" s="217" t="str">
        <f t="shared" si="1045"/>
        <v>20</v>
      </c>
      <c r="D705" s="101" t="str">
        <f t="shared" si="1046"/>
        <v>201</v>
      </c>
      <c r="E705" s="217" t="str">
        <f t="shared" si="1047"/>
        <v>100-20-201</v>
      </c>
      <c r="F705" s="294" t="str">
        <f t="shared" si="1048"/>
        <v>51265</v>
      </c>
      <c r="G705" s="295" t="str">
        <f>VLOOKUP(F705,'GL Category'!A:C,3,FALSE)</f>
        <v>Operations &amp; maintenance</v>
      </c>
      <c r="H705" s="98" t="str">
        <f>VLOOKUP(F705,'GL Category'!A:C,2,FALSE)</f>
        <v>STREET SIGN/SIGNAL SUPPLIES</v>
      </c>
      <c r="I705" s="99">
        <f>SUMIF(Import!$B:$B,$A705,Import!D:D)</f>
        <v>0</v>
      </c>
      <c r="J705" s="99">
        <f>SUMIF(Import!$B:$B,$A705,Import!E:E)</f>
        <v>0</v>
      </c>
      <c r="K705" s="99">
        <f>SUMIF(Import!$B:$B,$A705,Import!F:F)</f>
        <v>0</v>
      </c>
      <c r="L705" s="99">
        <f>SUMIF(Import!$B:$B,$A705,Import!G:G)</f>
        <v>0</v>
      </c>
      <c r="M705" s="99">
        <f>SUMIF(Import!$B:$B,$A705,Import!H:H)</f>
        <v>0</v>
      </c>
      <c r="N705" s="99">
        <f>SUMIF(Import!$B:$B,$A705,Import!I:I)</f>
        <v>0</v>
      </c>
      <c r="O705" s="99">
        <f>SUMIF(Import!$B:$B,$A705,Import!J:J)</f>
        <v>0</v>
      </c>
      <c r="P705" s="99">
        <f t="shared" si="1049"/>
        <v>0</v>
      </c>
      <c r="Q705" s="99">
        <f>SUMIF(Import!$B:$B,$A705,Import!K:K)</f>
        <v>0</v>
      </c>
      <c r="R705" s="99">
        <f>SUMIF(Import!$B:$B,$A705,Import!L:L)</f>
        <v>0</v>
      </c>
      <c r="S705" s="99">
        <f>SUMIF(Import!$B:$B,$A705,Import!M:M)</f>
        <v>0</v>
      </c>
      <c r="T705" s="99">
        <f>SUMIF(Import!$B:$B,$A705,Import!N:N)</f>
        <v>0</v>
      </c>
      <c r="U705" s="99">
        <f t="shared" si="1050"/>
        <v>0</v>
      </c>
      <c r="V705" s="255" t="str">
        <f t="shared" si="1051"/>
        <v>N/A</v>
      </c>
      <c r="W705" s="102" t="s">
        <v>2513</v>
      </c>
      <c r="X705" s="102"/>
      <c r="Y705" s="102"/>
      <c r="Z705" s="192"/>
      <c r="AA705" s="615"/>
      <c r="AB705" s="307"/>
      <c r="AC705" s="300"/>
      <c r="AD705" s="300"/>
      <c r="AE705" s="300"/>
      <c r="AF705" s="300"/>
      <c r="AG705" s="300"/>
      <c r="AH705" s="307"/>
      <c r="AI705" s="307"/>
      <c r="AJ705" s="300"/>
      <c r="AK705" s="300"/>
      <c r="AL705" s="300"/>
      <c r="AM705" s="300"/>
      <c r="AN705" s="300"/>
      <c r="AO705" s="192"/>
      <c r="AP705" s="192"/>
      <c r="AQ705" s="192"/>
    </row>
    <row r="706" spans="1:59" s="115" customFormat="1" ht="15" customHeight="1">
      <c r="A706" s="555" t="s">
        <v>2514</v>
      </c>
      <c r="B706" s="217" t="str">
        <f t="shared" si="1044"/>
        <v>100</v>
      </c>
      <c r="C706" s="217" t="str">
        <f t="shared" si="1045"/>
        <v>20</v>
      </c>
      <c r="D706" s="101" t="str">
        <f t="shared" si="1046"/>
        <v>201</v>
      </c>
      <c r="E706" s="217" t="str">
        <f t="shared" si="1047"/>
        <v>100-20-201</v>
      </c>
      <c r="F706" s="294" t="str">
        <f t="shared" si="1048"/>
        <v>51285</v>
      </c>
      <c r="G706" s="295" t="str">
        <f>VLOOKUP(F706,'GL Category'!A:C,3,FALSE)</f>
        <v>Operations &amp; maintenance</v>
      </c>
      <c r="H706" s="98" t="str">
        <f>VLOOKUP(F706,'GL Category'!A:C,2,FALSE)</f>
        <v>WEARING APPAREL</v>
      </c>
      <c r="I706" s="99">
        <f>SUMIF(Import!$B:$B,$A706,Import!D:D)</f>
        <v>315.98</v>
      </c>
      <c r="J706" s="99">
        <f>SUMIF(Import!$B:$B,$A706,Import!E:E)</f>
        <v>392.73</v>
      </c>
      <c r="K706" s="99">
        <f>SUMIF(Import!$B:$B,$A706,Import!F:F)</f>
        <v>435.18</v>
      </c>
      <c r="L706" s="99">
        <f>SUMIF(Import!$B:$B,$A706,Import!G:G)</f>
        <v>389.26</v>
      </c>
      <c r="M706" s="99">
        <f>SUMIF(Import!$B:$B,$A706,Import!H:H)</f>
        <v>460</v>
      </c>
      <c r="N706" s="99">
        <f>SUMIF(Import!$B:$B,$A706,Import!I:I)</f>
        <v>334.11</v>
      </c>
      <c r="O706" s="99">
        <f>SUMIF(Import!$B:$B,$A706,Import!J:J)</f>
        <v>460</v>
      </c>
      <c r="P706" s="99">
        <f t="shared" si="1049"/>
        <v>0</v>
      </c>
      <c r="Q706" s="99">
        <f>SUMIF(Import!$B:$B,$A706,Import!K:K)</f>
        <v>460</v>
      </c>
      <c r="R706" s="99">
        <f>SUMIF(Import!$B:$B,$A706,Import!L:L)</f>
        <v>0</v>
      </c>
      <c r="S706" s="99">
        <f>SUMIF(Import!$B:$B,$A706,Import!M:M)</f>
        <v>0</v>
      </c>
      <c r="T706" s="99">
        <f>SUMIF(Import!$B:$B,$A706,Import!N:N)</f>
        <v>460</v>
      </c>
      <c r="U706" s="99">
        <f t="shared" si="1050"/>
        <v>0</v>
      </c>
      <c r="V706" s="255">
        <f t="shared" si="1051"/>
        <v>0</v>
      </c>
      <c r="W706" s="102" t="s">
        <v>2514</v>
      </c>
      <c r="X706" s="102"/>
      <c r="Y706" s="102"/>
      <c r="Z706" s="192"/>
      <c r="AA706" s="615"/>
      <c r="AB706" s="307"/>
      <c r="AC706" s="300"/>
      <c r="AD706" s="300"/>
      <c r="AE706" s="300"/>
      <c r="AF706" s="300"/>
      <c r="AG706" s="300"/>
      <c r="AH706" s="307"/>
      <c r="AI706" s="307"/>
      <c r="AJ706" s="300"/>
      <c r="AK706" s="300"/>
      <c r="AL706" s="300"/>
      <c r="AM706" s="300"/>
      <c r="AN706" s="300"/>
      <c r="AO706" s="192"/>
      <c r="AP706" s="192"/>
      <c r="AQ706" s="192"/>
    </row>
    <row r="707" spans="1:59" s="115" customFormat="1" ht="29.1" customHeight="1">
      <c r="A707" s="297"/>
      <c r="B707" s="217"/>
      <c r="C707" s="217"/>
      <c r="D707" s="101"/>
      <c r="E707" s="101"/>
      <c r="F707" s="294"/>
      <c r="G707" s="295"/>
      <c r="H707" s="107" t="str">
        <f>UPPER(G706)&amp;" TOTAL"</f>
        <v>OPERATIONS &amp; MAINTENANCE TOTAL</v>
      </c>
      <c r="I707" s="109">
        <f t="shared" ref="I707" si="1052">SUBTOTAL(9,I704:I706)</f>
        <v>1672.58</v>
      </c>
      <c r="J707" s="109">
        <f t="shared" ref="J707:T707" si="1053">SUBTOTAL(9,J704:J706)</f>
        <v>2183.67</v>
      </c>
      <c r="K707" s="109">
        <f t="shared" ref="K707" si="1054">SUBTOTAL(9,K704:K706)</f>
        <v>1985.15</v>
      </c>
      <c r="L707" s="109">
        <f t="shared" ref="L707" si="1055">SUBTOTAL(9,L704:L706)</f>
        <v>2719.46</v>
      </c>
      <c r="M707" s="109">
        <f t="shared" si="1053"/>
        <v>2160</v>
      </c>
      <c r="N707" s="109">
        <f t="shared" ref="N707" si="1056">SUBTOTAL(9,N704:N706)</f>
        <v>1008.46</v>
      </c>
      <c r="O707" s="109">
        <f t="shared" si="1053"/>
        <v>1460</v>
      </c>
      <c r="P707" s="109">
        <f t="shared" si="1053"/>
        <v>-700</v>
      </c>
      <c r="Q707" s="109">
        <f t="shared" si="1053"/>
        <v>2160</v>
      </c>
      <c r="R707" s="109">
        <f t="shared" si="1053"/>
        <v>0</v>
      </c>
      <c r="S707" s="109">
        <f t="shared" si="1053"/>
        <v>0</v>
      </c>
      <c r="T707" s="109">
        <f t="shared" si="1053"/>
        <v>2160</v>
      </c>
      <c r="U707" s="99">
        <f>T707-M707</f>
        <v>0</v>
      </c>
      <c r="V707" s="255">
        <f>IF(M707=0,"N/A",T707/M707-1)</f>
        <v>0</v>
      </c>
      <c r="W707" s="102"/>
      <c r="X707" s="102"/>
      <c r="Y707" s="102"/>
      <c r="Z707" s="192"/>
      <c r="AA707" s="615"/>
      <c r="AB707" s="307"/>
      <c r="AC707" s="300"/>
      <c r="AD707" s="300"/>
      <c r="AE707" s="300"/>
      <c r="AF707" s="300"/>
      <c r="AG707" s="300"/>
      <c r="AH707" s="307"/>
      <c r="AI707" s="307"/>
      <c r="AJ707" s="93"/>
      <c r="AK707" s="93"/>
      <c r="AL707" s="93"/>
      <c r="AM707" s="93"/>
      <c r="AN707" s="93"/>
      <c r="AO707" s="192"/>
      <c r="AP707" s="192"/>
      <c r="AQ707" s="192"/>
    </row>
    <row r="708" spans="1:59" s="115" customFormat="1" ht="15" customHeight="1">
      <c r="A708" s="297"/>
      <c r="B708" s="217"/>
      <c r="C708" s="217"/>
      <c r="D708" s="101"/>
      <c r="E708" s="101"/>
      <c r="F708" s="294"/>
      <c r="G708" s="295"/>
      <c r="H708" s="98"/>
      <c r="I708" s="106"/>
      <c r="J708" s="106"/>
      <c r="K708" s="106"/>
      <c r="L708" s="106"/>
      <c r="M708" s="106"/>
      <c r="N708" s="112"/>
      <c r="O708" s="112"/>
      <c r="P708" s="112"/>
      <c r="Q708" s="113"/>
      <c r="R708" s="113"/>
      <c r="S708" s="113"/>
      <c r="T708" s="113"/>
      <c r="U708" s="99"/>
      <c r="V708" s="255"/>
      <c r="W708" s="102"/>
      <c r="X708" s="102"/>
      <c r="Y708" s="102"/>
      <c r="Z708" s="192"/>
      <c r="AA708" s="615"/>
      <c r="AB708" s="307"/>
      <c r="AC708" s="300"/>
      <c r="AD708" s="300"/>
      <c r="AE708" s="300"/>
      <c r="AF708" s="300"/>
      <c r="AG708" s="300"/>
      <c r="AH708" s="307"/>
      <c r="AI708" s="307"/>
      <c r="AJ708" s="300"/>
      <c r="AK708" s="300"/>
      <c r="AL708" s="300"/>
      <c r="AM708" s="300"/>
      <c r="AN708" s="300"/>
      <c r="AO708" s="192"/>
      <c r="AP708" s="192"/>
      <c r="AQ708" s="192"/>
    </row>
    <row r="709" spans="1:59" s="115" customFormat="1" ht="15" customHeight="1">
      <c r="A709" s="555" t="s">
        <v>2516</v>
      </c>
      <c r="B709" s="217" t="str">
        <f t="shared" ref="B709:B714" si="1057">LEFT(A709,3)</f>
        <v>100</v>
      </c>
      <c r="C709" s="217" t="str">
        <f t="shared" ref="C709:C714" si="1058">MID(A709,5,2)</f>
        <v>20</v>
      </c>
      <c r="D709" s="101" t="str">
        <f t="shared" ref="D709:D714" si="1059">MID(A709,8,3)</f>
        <v>201</v>
      </c>
      <c r="E709" s="217" t="str">
        <f t="shared" ref="E709:E714" si="1060">LEFT(A709,10)</f>
        <v>100-20-201</v>
      </c>
      <c r="F709" s="294" t="str">
        <f t="shared" ref="F709:F714" si="1061">RIGHT(A709,5)</f>
        <v>53510</v>
      </c>
      <c r="G709" s="295" t="str">
        <f>VLOOKUP(F709,'GL Category'!A:C,3,FALSE)</f>
        <v>Services &amp; other</v>
      </c>
      <c r="H709" s="98" t="str">
        <f>VLOOKUP(F709,'GL Category'!A:C,2,FALSE)</f>
        <v>DUES &amp; SUBSCRIPTIONS</v>
      </c>
      <c r="I709" s="99">
        <f>SUMIF(Import!$B:$B,$A709,Import!D:D)</f>
        <v>0</v>
      </c>
      <c r="J709" s="99">
        <f>SUMIF(Import!$B:$B,$A709,Import!E:E)</f>
        <v>788.91</v>
      </c>
      <c r="K709" s="99">
        <f>SUMIF(Import!$B:$B,$A709,Import!F:F)</f>
        <v>347</v>
      </c>
      <c r="L709" s="99">
        <f>SUMIF(Import!$B:$B,$A709,Import!G:G)</f>
        <v>749</v>
      </c>
      <c r="M709" s="99">
        <f>SUMIF(Import!$B:$B,$A709,Import!H:H)</f>
        <v>1695</v>
      </c>
      <c r="N709" s="99">
        <f>SUMIF(Import!$B:$B,$A709,Import!I:I)</f>
        <v>0</v>
      </c>
      <c r="O709" s="99">
        <f>SUMIF(Import!$B:$B,$A709,Import!J:J)</f>
        <v>1000</v>
      </c>
      <c r="P709" s="99">
        <f t="shared" ref="P709:P714" si="1062">O709-M709</f>
        <v>-695</v>
      </c>
      <c r="Q709" s="99">
        <f>SUMIF(Import!$B:$B,$A709,Import!K:K)</f>
        <v>1695</v>
      </c>
      <c r="R709" s="99">
        <f>SUMIF(Import!$B:$B,$A709,Import!L:L)</f>
        <v>0</v>
      </c>
      <c r="S709" s="99">
        <f>SUMIF(Import!$B:$B,$A709,Import!M:M)</f>
        <v>0</v>
      </c>
      <c r="T709" s="99">
        <f>SUMIF(Import!$B:$B,$A709,Import!N:N)</f>
        <v>1695</v>
      </c>
      <c r="U709" s="99">
        <f t="shared" ref="U709:U714" si="1063">T709-M709</f>
        <v>0</v>
      </c>
      <c r="V709" s="255">
        <f t="shared" ref="V709:V714" si="1064">IF(M709=0,"N/A",T709/M709-1)</f>
        <v>0</v>
      </c>
      <c r="W709" s="102" t="s">
        <v>2516</v>
      </c>
      <c r="X709" s="102"/>
      <c r="Y709" s="102"/>
      <c r="Z709" s="192"/>
      <c r="AA709" s="615"/>
      <c r="AB709" s="307"/>
      <c r="AC709" s="93"/>
      <c r="AD709" s="93"/>
      <c r="AE709" s="93"/>
      <c r="AF709" s="93"/>
      <c r="AG709" s="93"/>
      <c r="AH709" s="307"/>
      <c r="AI709" s="307"/>
      <c r="AJ709" s="94"/>
      <c r="AK709" s="94"/>
      <c r="AL709" s="94"/>
      <c r="AM709" s="94"/>
      <c r="AN709" s="94"/>
      <c r="AO709" s="192"/>
      <c r="AP709" s="192"/>
      <c r="AQ709" s="192"/>
    </row>
    <row r="710" spans="1:59" ht="15" customHeight="1">
      <c r="A710" s="555" t="s">
        <v>2517</v>
      </c>
      <c r="B710" s="217" t="str">
        <f t="shared" si="1057"/>
        <v>100</v>
      </c>
      <c r="C710" s="217" t="str">
        <f t="shared" si="1058"/>
        <v>20</v>
      </c>
      <c r="D710" s="101" t="str">
        <f t="shared" si="1059"/>
        <v>201</v>
      </c>
      <c r="E710" s="217" t="str">
        <f t="shared" si="1060"/>
        <v>100-20-201</v>
      </c>
      <c r="F710" s="294" t="str">
        <f t="shared" si="1061"/>
        <v>53515</v>
      </c>
      <c r="G710" s="295" t="str">
        <f>VLOOKUP(F710,'GL Category'!A:C,3,FALSE)</f>
        <v>Services &amp; other</v>
      </c>
      <c r="H710" s="98" t="str">
        <f>VLOOKUP(F710,'GL Category'!A:C,2,FALSE)</f>
        <v>TRAVEL, TRAINING &amp; EDUCATION</v>
      </c>
      <c r="I710" s="99">
        <f>SUMIF(Import!$B:$B,$A710,Import!D:D)</f>
        <v>4038.61</v>
      </c>
      <c r="J710" s="99">
        <f>SUMIF(Import!$B:$B,$A710,Import!E:E)</f>
        <v>1296.05</v>
      </c>
      <c r="K710" s="99">
        <f>SUMIF(Import!$B:$B,$A710,Import!F:F)</f>
        <v>5193.2</v>
      </c>
      <c r="L710" s="99">
        <f>SUMIF(Import!$B:$B,$A710,Import!G:G)</f>
        <v>9035.99</v>
      </c>
      <c r="M710" s="99">
        <f>SUMIF(Import!$B:$B,$A710,Import!H:H)</f>
        <v>15500</v>
      </c>
      <c r="N710" s="99">
        <f>SUMIF(Import!$B:$B,$A710,Import!I:I)</f>
        <v>1125.73</v>
      </c>
      <c r="O710" s="99">
        <f>SUMIF(Import!$B:$B,$A710,Import!J:J)</f>
        <v>6500</v>
      </c>
      <c r="P710" s="99">
        <f t="shared" si="1062"/>
        <v>-9000</v>
      </c>
      <c r="Q710" s="99">
        <f>SUMIF(Import!$B:$B,$A710,Import!K:K)</f>
        <v>15500</v>
      </c>
      <c r="R710" s="99">
        <f>SUMIF(Import!$B:$B,$A710,Import!L:L)</f>
        <v>0</v>
      </c>
      <c r="S710" s="99">
        <f>SUMIF(Import!$B:$B,$A710,Import!M:M)</f>
        <v>0</v>
      </c>
      <c r="T710" s="99">
        <f>SUMIF(Import!$B:$B,$A710,Import!N:N)</f>
        <v>15500</v>
      </c>
      <c r="U710" s="99">
        <f t="shared" si="1063"/>
        <v>0</v>
      </c>
      <c r="V710" s="255">
        <f t="shared" si="1064"/>
        <v>0</v>
      </c>
      <c r="W710" s="102" t="s">
        <v>2517</v>
      </c>
      <c r="X710" s="102"/>
      <c r="Y710" s="102"/>
      <c r="AA710" s="615"/>
      <c r="AC710" s="300"/>
      <c r="AD710" s="300"/>
      <c r="AE710" s="300"/>
      <c r="AF710" s="300"/>
      <c r="AG710" s="300"/>
      <c r="AJ710" s="93"/>
      <c r="AK710" s="93"/>
      <c r="AL710" s="93"/>
      <c r="AM710" s="93"/>
      <c r="AN710" s="93"/>
    </row>
    <row r="711" spans="1:59" ht="15" customHeight="1">
      <c r="A711" s="555" t="s">
        <v>2518</v>
      </c>
      <c r="B711" s="217" t="str">
        <f t="shared" si="1057"/>
        <v>100</v>
      </c>
      <c r="C711" s="217" t="str">
        <f t="shared" si="1058"/>
        <v>20</v>
      </c>
      <c r="D711" s="101" t="str">
        <f t="shared" si="1059"/>
        <v>201</v>
      </c>
      <c r="E711" s="217" t="str">
        <f t="shared" si="1060"/>
        <v>100-20-201</v>
      </c>
      <c r="F711" s="294" t="str">
        <f t="shared" si="1061"/>
        <v>53513</v>
      </c>
      <c r="G711" s="295" t="str">
        <f>VLOOKUP(F711,'GL Category'!A:C,3,FALSE)</f>
        <v>Services &amp; other</v>
      </c>
      <c r="H711" s="98" t="str">
        <f>VLOOKUP(F711,'GL Category'!A:C,2,FALSE)</f>
        <v>CONSULTING SERVICES</v>
      </c>
      <c r="I711" s="99">
        <f>SUMIF(Import!$B:$B,$A711,Import!D:D)</f>
        <v>12910</v>
      </c>
      <c r="J711" s="99">
        <f>SUMIF(Import!$B:$B,$A711,Import!E:E)</f>
        <v>0</v>
      </c>
      <c r="K711" s="99">
        <f>SUMIF(Import!$B:$B,$A711,Import!F:F)</f>
        <v>0</v>
      </c>
      <c r="L711" s="99">
        <f>SUMIF(Import!$B:$B,$A711,Import!G:G)</f>
        <v>57500</v>
      </c>
      <c r="M711" s="99">
        <f>SUMIF(Import!$B:$B,$A711,Import!H:H)</f>
        <v>15000</v>
      </c>
      <c r="N711" s="99">
        <f>SUMIF(Import!$B:$B,$A711,Import!I:I)</f>
        <v>85027.42</v>
      </c>
      <c r="O711" s="99">
        <f>SUMIF(Import!$B:$B,$A711,Import!J:J)</f>
        <v>97000</v>
      </c>
      <c r="P711" s="99">
        <f t="shared" si="1062"/>
        <v>82000</v>
      </c>
      <c r="Q711" s="99">
        <f>SUMIF(Import!$B:$B,$A711,Import!K:K)</f>
        <v>15000</v>
      </c>
      <c r="R711" s="99">
        <f>SUMIF(Import!$B:$B,$A711,Import!L:L)</f>
        <v>0</v>
      </c>
      <c r="S711" s="99">
        <f>SUMIF(Import!$B:$B,$A711,Import!M:M)</f>
        <v>0</v>
      </c>
      <c r="T711" s="99">
        <f>SUMIF(Import!$B:$B,$A711,Import!N:N)</f>
        <v>15000</v>
      </c>
      <c r="U711" s="99">
        <f t="shared" si="1063"/>
        <v>0</v>
      </c>
      <c r="V711" s="255">
        <f t="shared" si="1064"/>
        <v>0</v>
      </c>
      <c r="W711" s="102" t="s">
        <v>2518</v>
      </c>
      <c r="X711" s="102"/>
      <c r="Y711" s="102"/>
      <c r="AA711" s="615"/>
      <c r="AC711" s="300"/>
      <c r="AD711" s="300"/>
      <c r="AE711" s="300"/>
      <c r="AF711" s="300"/>
      <c r="AG711" s="300"/>
      <c r="AJ711" s="300"/>
      <c r="AK711" s="300"/>
      <c r="AL711" s="300"/>
      <c r="AM711" s="300"/>
      <c r="AN711" s="300"/>
    </row>
    <row r="712" spans="1:59" ht="15" customHeight="1">
      <c r="A712" s="555" t="s">
        <v>2519</v>
      </c>
      <c r="B712" s="217" t="str">
        <f t="shared" si="1057"/>
        <v>100</v>
      </c>
      <c r="C712" s="217" t="str">
        <f t="shared" si="1058"/>
        <v>20</v>
      </c>
      <c r="D712" s="101" t="str">
        <f t="shared" si="1059"/>
        <v>201</v>
      </c>
      <c r="E712" s="217" t="str">
        <f t="shared" si="1060"/>
        <v>100-20-201</v>
      </c>
      <c r="F712" s="294" t="str">
        <f t="shared" si="1061"/>
        <v>53522</v>
      </c>
      <c r="G712" s="295" t="str">
        <f>VLOOKUP(F712,'GL Category'!A:C,3,FALSE)</f>
        <v>Services &amp; other</v>
      </c>
      <c r="H712" s="98" t="str">
        <f>VLOOKUP(F712,'GL Category'!A:C,2,FALSE)</f>
        <v>ADVERTISING &amp; RECORDING</v>
      </c>
      <c r="I712" s="99">
        <f>SUMIF(Import!$B:$B,$A712,Import!D:D)</f>
        <v>0</v>
      </c>
      <c r="J712" s="99">
        <f>SUMIF(Import!$B:$B,$A712,Import!E:E)</f>
        <v>0</v>
      </c>
      <c r="K712" s="99">
        <f>SUMIF(Import!$B:$B,$A712,Import!F:F)</f>
        <v>0</v>
      </c>
      <c r="L712" s="99">
        <f>SUMIF(Import!$B:$B,$A712,Import!G:G)</f>
        <v>0</v>
      </c>
      <c r="M712" s="99">
        <f>SUMIF(Import!$B:$B,$A712,Import!H:H)</f>
        <v>0</v>
      </c>
      <c r="N712" s="99">
        <f>SUMIF(Import!$B:$B,$A712,Import!I:I)</f>
        <v>0</v>
      </c>
      <c r="O712" s="99">
        <f>SUMIF(Import!$B:$B,$A712,Import!J:J)</f>
        <v>0</v>
      </c>
      <c r="P712" s="99">
        <f t="shared" si="1062"/>
        <v>0</v>
      </c>
      <c r="Q712" s="99">
        <f>SUMIF(Import!$B:$B,$A712,Import!K:K)</f>
        <v>0</v>
      </c>
      <c r="R712" s="99">
        <f>SUMIF(Import!$B:$B,$A712,Import!L:L)</f>
        <v>0</v>
      </c>
      <c r="S712" s="99">
        <f>SUMIF(Import!$B:$B,$A712,Import!M:M)</f>
        <v>0</v>
      </c>
      <c r="T712" s="99">
        <f>SUMIF(Import!$B:$B,$A712,Import!N:N)</f>
        <v>0</v>
      </c>
      <c r="U712" s="99">
        <f t="shared" si="1063"/>
        <v>0</v>
      </c>
      <c r="V712" s="255" t="str">
        <f t="shared" si="1064"/>
        <v>N/A</v>
      </c>
      <c r="W712" s="102" t="s">
        <v>2519</v>
      </c>
      <c r="X712" s="102"/>
      <c r="Y712" s="102"/>
      <c r="AA712" s="615"/>
      <c r="AC712" s="300"/>
      <c r="AD712" s="300"/>
      <c r="AE712" s="300"/>
      <c r="AF712" s="300"/>
      <c r="AG712" s="300"/>
      <c r="AJ712" s="300"/>
      <c r="AK712" s="300"/>
      <c r="AL712" s="300"/>
      <c r="AM712" s="300"/>
      <c r="AN712" s="300"/>
    </row>
    <row r="713" spans="1:59" ht="15" customHeight="1">
      <c r="A713" s="555" t="s">
        <v>2515</v>
      </c>
      <c r="B713" s="217" t="str">
        <f t="shared" si="1057"/>
        <v>100</v>
      </c>
      <c r="C713" s="217" t="str">
        <f t="shared" si="1058"/>
        <v>20</v>
      </c>
      <c r="D713" s="101" t="str">
        <f t="shared" si="1059"/>
        <v>201</v>
      </c>
      <c r="E713" s="217" t="str">
        <f t="shared" si="1060"/>
        <v>100-20-201</v>
      </c>
      <c r="F713" s="294" t="str">
        <f t="shared" si="1061"/>
        <v>53599</v>
      </c>
      <c r="G713" s="295" t="str">
        <f>VLOOKUP(F713,'GL Category'!A:C,3,FALSE)</f>
        <v>Services &amp; other</v>
      </c>
      <c r="H713" s="98" t="str">
        <f>VLOOKUP(F713,'GL Category'!A:C,2,FALSE)</f>
        <v>MISCELLANEOUS SERVICES</v>
      </c>
      <c r="I713" s="99">
        <f>SUMIF(Import!$B:$B,$A713,Import!D:D)</f>
        <v>15282.87</v>
      </c>
      <c r="J713" s="99">
        <f>SUMIF(Import!$B:$B,$A713,Import!E:E)</f>
        <v>18492.25</v>
      </c>
      <c r="K713" s="99">
        <f>SUMIF(Import!$B:$B,$A713,Import!F:F)</f>
        <v>2.5</v>
      </c>
      <c r="L713" s="99">
        <f>SUMIF(Import!$B:$B,$A713,Import!G:G)</f>
        <v>302.44</v>
      </c>
      <c r="M713" s="99">
        <f>SUMIF(Import!$B:$B,$A713,Import!H:H)</f>
        <v>0</v>
      </c>
      <c r="N713" s="99">
        <f>SUMIF(Import!$B:$B,$A713,Import!I:I)</f>
        <v>0</v>
      </c>
      <c r="O713" s="99">
        <f>SUMIF(Import!$B:$B,$A713,Import!J:J)</f>
        <v>0</v>
      </c>
      <c r="P713" s="99">
        <f t="shared" si="1062"/>
        <v>0</v>
      </c>
      <c r="Q713" s="99">
        <f>SUMIF(Import!$B:$B,$A713,Import!K:K)</f>
        <v>0</v>
      </c>
      <c r="R713" s="99">
        <f>SUMIF(Import!$B:$B,$A713,Import!L:L)</f>
        <v>0</v>
      </c>
      <c r="S713" s="99">
        <f>SUMIF(Import!$B:$B,$A713,Import!M:M)</f>
        <v>0</v>
      </c>
      <c r="T713" s="99">
        <f>SUMIF(Import!$B:$B,$A713,Import!N:N)</f>
        <v>0</v>
      </c>
      <c r="U713" s="99">
        <f t="shared" si="1063"/>
        <v>0</v>
      </c>
      <c r="V713" s="255" t="str">
        <f t="shared" si="1064"/>
        <v>N/A</v>
      </c>
      <c r="W713" s="102" t="s">
        <v>2515</v>
      </c>
      <c r="X713" s="102"/>
      <c r="Y713" s="102"/>
      <c r="Z713" s="617"/>
      <c r="AA713" s="615"/>
      <c r="AC713" s="92"/>
      <c r="AD713" s="92"/>
      <c r="AE713" s="92"/>
      <c r="AF713" s="92"/>
      <c r="AG713" s="92"/>
      <c r="AJ713" s="93"/>
      <c r="AK713" s="93"/>
      <c r="AL713" s="93"/>
      <c r="AM713" s="93"/>
      <c r="AN713" s="93"/>
      <c r="AO713" s="307"/>
      <c r="AP713" s="307"/>
    </row>
    <row r="714" spans="1:59" s="75" customFormat="1" ht="15" customHeight="1">
      <c r="A714" s="555" t="s">
        <v>2520</v>
      </c>
      <c r="B714" s="217" t="str">
        <f t="shared" si="1057"/>
        <v>100</v>
      </c>
      <c r="C714" s="217" t="str">
        <f t="shared" si="1058"/>
        <v>20</v>
      </c>
      <c r="D714" s="101" t="str">
        <f t="shared" si="1059"/>
        <v>201</v>
      </c>
      <c r="E714" s="217" t="str">
        <f t="shared" si="1060"/>
        <v>100-20-201</v>
      </c>
      <c r="F714" s="294" t="str">
        <f t="shared" si="1061"/>
        <v>55119</v>
      </c>
      <c r="G714" s="295" t="str">
        <f>VLOOKUP(F714,'GL Category'!A:C,3,FALSE)</f>
        <v>Services &amp; other</v>
      </c>
      <c r="H714" s="98" t="str">
        <f>VLOOKUP(F714,'GL Category'!A:C,2,FALSE)</f>
        <v>OFFICE EQUIP LEASE EXP-CITY</v>
      </c>
      <c r="I714" s="99">
        <f>SUMIF(Import!$B:$B,$A714,Import!D:D)</f>
        <v>55889</v>
      </c>
      <c r="J714" s="99">
        <f>SUMIF(Import!$B:$B,$A714,Import!E:E)</f>
        <v>61997</v>
      </c>
      <c r="K714" s="99">
        <f>SUMIF(Import!$B:$B,$A714,Import!F:F)</f>
        <v>129759</v>
      </c>
      <c r="L714" s="99">
        <f>SUMIF(Import!$B:$B,$A714,Import!G:G)</f>
        <v>315820</v>
      </c>
      <c r="M714" s="99">
        <f>SUMIF(Import!$B:$B,$A714,Import!H:H)</f>
        <v>139630</v>
      </c>
      <c r="N714" s="99">
        <f>SUMIF(Import!$B:$B,$A714,Import!I:I)</f>
        <v>104722.5</v>
      </c>
      <c r="O714" s="99">
        <f>SUMIF(Import!$B:$B,$A714,Import!J:J)</f>
        <v>139630</v>
      </c>
      <c r="P714" s="99">
        <f t="shared" si="1062"/>
        <v>0</v>
      </c>
      <c r="Q714" s="99">
        <f>SUMIF(Import!$B:$B,$A714,Import!K:K)</f>
        <v>137612</v>
      </c>
      <c r="R714" s="99">
        <f>SUMIF(Import!$B:$B,$A714,Import!L:L)</f>
        <v>0</v>
      </c>
      <c r="S714" s="99">
        <f>SUMIF(Import!$B:$B,$A714,Import!M:M)</f>
        <v>0</v>
      </c>
      <c r="T714" s="99">
        <f>SUMIF(Import!$B:$B,$A714,Import!N:N)</f>
        <v>137612</v>
      </c>
      <c r="U714" s="99">
        <f t="shared" si="1063"/>
        <v>-2018</v>
      </c>
      <c r="V714" s="255">
        <f t="shared" si="1064"/>
        <v>-1.4452481558404395E-2</v>
      </c>
      <c r="W714" s="102" t="s">
        <v>2520</v>
      </c>
      <c r="X714" s="102"/>
      <c r="Y714" s="102"/>
      <c r="Z714" s="614"/>
      <c r="AA714" s="615"/>
      <c r="AB714" s="624"/>
      <c r="AC714" s="625"/>
      <c r="AD714" s="625"/>
      <c r="AE714" s="625"/>
      <c r="AF714" s="625"/>
      <c r="AG714" s="625"/>
      <c r="AH714" s="623"/>
      <c r="AI714" s="624"/>
      <c r="AJ714" s="626"/>
      <c r="AK714" s="626"/>
      <c r="AL714" s="626"/>
      <c r="AM714" s="626"/>
      <c r="AN714" s="626"/>
      <c r="AO714" s="626"/>
      <c r="AP714" s="626"/>
      <c r="AQ714" s="626"/>
      <c r="AR714" s="115"/>
      <c r="AS714" s="115"/>
      <c r="AT714" s="115"/>
      <c r="AU714" s="115"/>
      <c r="AV714" s="115"/>
      <c r="AW714" s="115"/>
      <c r="AX714" s="115"/>
      <c r="AY714" s="115"/>
      <c r="AZ714" s="115"/>
      <c r="BA714" s="115"/>
      <c r="BB714" s="115"/>
      <c r="BC714" s="115"/>
      <c r="BD714" s="115"/>
      <c r="BE714" s="74"/>
      <c r="BF714" s="74"/>
      <c r="BG714" s="74"/>
    </row>
    <row r="715" spans="1:59" ht="15" customHeight="1">
      <c r="A715" s="297"/>
      <c r="B715" s="217"/>
      <c r="C715" s="217"/>
      <c r="D715" s="101"/>
      <c r="E715" s="101"/>
      <c r="F715" s="294"/>
      <c r="G715" s="295"/>
      <c r="H715" s="107" t="str">
        <f>UPPER(G714)&amp;" TOTAL"</f>
        <v>SERVICES &amp; OTHER TOTAL</v>
      </c>
      <c r="I715" s="109">
        <f t="shared" ref="I715" si="1065">SUBTOTAL(9,I709:I714)</f>
        <v>88120.48000000001</v>
      </c>
      <c r="J715" s="109">
        <f t="shared" ref="J715:T715" si="1066">SUBTOTAL(9,J709:J714)</f>
        <v>82574.209999999992</v>
      </c>
      <c r="K715" s="109">
        <f t="shared" ref="K715" si="1067">SUBTOTAL(9,K709:K714)</f>
        <v>135301.70000000001</v>
      </c>
      <c r="L715" s="109">
        <f t="shared" ref="L715" si="1068">SUBTOTAL(9,L709:L714)</f>
        <v>383407.43</v>
      </c>
      <c r="M715" s="109">
        <f t="shared" si="1066"/>
        <v>171825</v>
      </c>
      <c r="N715" s="109">
        <f t="shared" ref="N715" si="1069">SUBTOTAL(9,N709:N714)</f>
        <v>190875.65</v>
      </c>
      <c r="O715" s="109">
        <f t="shared" si="1066"/>
        <v>244130</v>
      </c>
      <c r="P715" s="109">
        <f t="shared" si="1066"/>
        <v>72305</v>
      </c>
      <c r="Q715" s="109">
        <f t="shared" si="1066"/>
        <v>169807</v>
      </c>
      <c r="R715" s="109">
        <f t="shared" si="1066"/>
        <v>0</v>
      </c>
      <c r="S715" s="109">
        <f t="shared" si="1066"/>
        <v>0</v>
      </c>
      <c r="T715" s="109">
        <f t="shared" si="1066"/>
        <v>169807</v>
      </c>
      <c r="U715" s="99">
        <f>T715-M715</f>
        <v>-2018</v>
      </c>
      <c r="V715" s="255">
        <f>IF(M715=0,"N/A",T715/M715-1)</f>
        <v>-1.1744507493088863E-2</v>
      </c>
      <c r="W715" s="102"/>
      <c r="X715" s="102"/>
      <c r="Y715" s="102"/>
      <c r="AA715" s="615"/>
      <c r="AC715" s="300"/>
      <c r="AD715" s="300"/>
      <c r="AE715" s="300"/>
      <c r="AF715" s="300"/>
      <c r="AG715" s="300"/>
      <c r="AJ715" s="300"/>
      <c r="AK715" s="300"/>
      <c r="AL715" s="300"/>
      <c r="AM715" s="300"/>
      <c r="AN715" s="300"/>
      <c r="AO715" s="300"/>
      <c r="AP715" s="300"/>
      <c r="AQ715" s="300"/>
    </row>
    <row r="716" spans="1:59" ht="15" customHeight="1">
      <c r="A716" s="297"/>
      <c r="B716" s="217"/>
      <c r="C716" s="217"/>
      <c r="D716" s="101"/>
      <c r="E716" s="101"/>
      <c r="F716" s="294"/>
      <c r="G716" s="295"/>
      <c r="H716" s="98"/>
      <c r="I716" s="106"/>
      <c r="J716" s="106"/>
      <c r="K716" s="106"/>
      <c r="L716" s="106"/>
      <c r="M716" s="106"/>
      <c r="N716" s="112"/>
      <c r="O716" s="112"/>
      <c r="P716" s="112"/>
      <c r="Q716" s="113"/>
      <c r="R716" s="99"/>
      <c r="S716" s="99"/>
      <c r="T716" s="113"/>
      <c r="U716" s="99"/>
      <c r="V716" s="255"/>
      <c r="W716" s="102"/>
      <c r="X716" s="102"/>
      <c r="Y716" s="102"/>
      <c r="AA716" s="615"/>
      <c r="AC716" s="300"/>
      <c r="AD716" s="300"/>
      <c r="AE716" s="300"/>
      <c r="AF716" s="300"/>
      <c r="AG716" s="300"/>
      <c r="AJ716" s="300"/>
      <c r="AK716" s="300"/>
      <c r="AL716" s="300"/>
      <c r="AM716" s="300"/>
      <c r="AN716" s="300"/>
      <c r="AO716" s="300"/>
      <c r="AP716" s="300"/>
      <c r="AQ716" s="300"/>
    </row>
    <row r="717" spans="1:59" s="115" customFormat="1" ht="15" customHeight="1">
      <c r="A717" s="297"/>
      <c r="B717" s="217"/>
      <c r="C717" s="217"/>
      <c r="D717" s="101"/>
      <c r="E717" s="101"/>
      <c r="F717" s="294"/>
      <c r="G717" s="295"/>
      <c r="H717" s="114" t="s">
        <v>763</v>
      </c>
      <c r="I717" s="108">
        <f t="shared" ref="I717" si="1070">SUBTOTAL(9,I691:I716)</f>
        <v>462040.50999999995</v>
      </c>
      <c r="J717" s="108">
        <f t="shared" ref="J717:T717" si="1071">SUBTOTAL(9,J691:J716)</f>
        <v>495550.4599999999</v>
      </c>
      <c r="K717" s="108">
        <f t="shared" ref="K717" si="1072">SUBTOTAL(9,K691:K716)</f>
        <v>609582.57999999996</v>
      </c>
      <c r="L717" s="108">
        <f t="shared" ref="L717" si="1073">SUBTOTAL(9,L691:L716)</f>
        <v>871212.1</v>
      </c>
      <c r="M717" s="108">
        <f t="shared" si="1071"/>
        <v>706477</v>
      </c>
      <c r="N717" s="108">
        <f t="shared" ref="N717" si="1074">SUBTOTAL(9,N691:N716)</f>
        <v>488182.73999999993</v>
      </c>
      <c r="O717" s="108">
        <f t="shared" si="1071"/>
        <v>675249</v>
      </c>
      <c r="P717" s="108">
        <f t="shared" si="1071"/>
        <v>-31228</v>
      </c>
      <c r="Q717" s="108">
        <f t="shared" si="1071"/>
        <v>692317</v>
      </c>
      <c r="R717" s="108">
        <f t="shared" si="1071"/>
        <v>0</v>
      </c>
      <c r="S717" s="108">
        <f t="shared" si="1071"/>
        <v>0</v>
      </c>
      <c r="T717" s="108">
        <f t="shared" si="1071"/>
        <v>692317</v>
      </c>
      <c r="U717" s="99">
        <f>T717-M717</f>
        <v>-14160</v>
      </c>
      <c r="V717" s="255">
        <f>IF(M717=0,"N/A",T717/M717-1)</f>
        <v>-2.0043115345581008E-2</v>
      </c>
      <c r="W717" s="102"/>
      <c r="X717" s="102"/>
      <c r="Y717" s="102"/>
      <c r="Z717" s="192"/>
      <c r="AA717" s="615"/>
      <c r="AB717" s="307"/>
      <c r="AC717" s="300"/>
      <c r="AD717" s="300"/>
      <c r="AE717" s="300"/>
      <c r="AF717" s="300"/>
      <c r="AG717" s="300"/>
      <c r="AH717" s="307"/>
      <c r="AI717" s="307"/>
      <c r="AJ717" s="300"/>
      <c r="AK717" s="300"/>
      <c r="AL717" s="300"/>
      <c r="AM717" s="300"/>
      <c r="AN717" s="300"/>
      <c r="AO717" s="300"/>
      <c r="AP717" s="300"/>
      <c r="AQ717" s="300"/>
    </row>
    <row r="718" spans="1:59" s="115" customFormat="1" ht="15" customHeight="1" thickBot="1">
      <c r="A718" s="297"/>
      <c r="B718" s="217"/>
      <c r="C718" s="217"/>
      <c r="D718" s="101"/>
      <c r="E718" s="101"/>
      <c r="F718" s="294"/>
      <c r="G718" s="295"/>
      <c r="H718" s="89"/>
      <c r="I718" s="233"/>
      <c r="J718" s="233"/>
      <c r="K718" s="233"/>
      <c r="L718" s="233"/>
      <c r="M718" s="233"/>
      <c r="N718" s="233"/>
      <c r="O718" s="233"/>
      <c r="P718" s="233"/>
      <c r="Q718" s="233"/>
      <c r="R718" s="233"/>
      <c r="S718" s="233"/>
      <c r="T718" s="233"/>
      <c r="U718" s="99"/>
      <c r="V718" s="255"/>
      <c r="W718" s="102"/>
      <c r="X718" s="102"/>
      <c r="Y718" s="102"/>
      <c r="Z718" s="192"/>
      <c r="AA718" s="615"/>
      <c r="AB718" s="307"/>
      <c r="AC718" s="300"/>
      <c r="AD718" s="300"/>
      <c r="AE718" s="300"/>
      <c r="AF718" s="300"/>
      <c r="AG718" s="300"/>
      <c r="AH718" s="307"/>
      <c r="AI718" s="307"/>
      <c r="AJ718" s="300"/>
      <c r="AK718" s="300"/>
      <c r="AL718" s="300"/>
      <c r="AM718" s="300"/>
      <c r="AN718" s="300"/>
      <c r="AO718" s="300"/>
      <c r="AP718" s="300"/>
      <c r="AQ718" s="300"/>
    </row>
    <row r="719" spans="1:59" s="115" customFormat="1" ht="23.25" customHeight="1" thickBot="1">
      <c r="A719" s="297"/>
      <c r="B719" s="217"/>
      <c r="C719" s="217"/>
      <c r="D719" s="101"/>
      <c r="E719" s="101"/>
      <c r="F719" s="294"/>
      <c r="G719" s="295"/>
      <c r="H719" s="665" t="s">
        <v>621</v>
      </c>
      <c r="I719" s="666"/>
      <c r="J719" s="666"/>
      <c r="K719" s="666"/>
      <c r="L719" s="666"/>
      <c r="M719" s="666"/>
      <c r="N719" s="666"/>
      <c r="O719" s="666"/>
      <c r="P719" s="666"/>
      <c r="Q719" s="666"/>
      <c r="R719" s="666"/>
      <c r="S719" s="666"/>
      <c r="T719" s="667"/>
      <c r="U719" s="99"/>
      <c r="V719" s="255"/>
      <c r="W719" s="102"/>
      <c r="X719" s="102"/>
      <c r="Y719" s="102"/>
      <c r="Z719" s="192"/>
      <c r="AA719" s="615"/>
      <c r="AB719" s="307"/>
      <c r="AC719" s="300"/>
      <c r="AD719" s="300"/>
      <c r="AE719" s="300"/>
      <c r="AF719" s="300"/>
      <c r="AG719" s="300"/>
      <c r="AH719" s="307"/>
      <c r="AI719" s="307"/>
      <c r="AJ719" s="300"/>
      <c r="AK719" s="300"/>
      <c r="AL719" s="300"/>
      <c r="AM719" s="300"/>
      <c r="AN719" s="300"/>
      <c r="AO719" s="300"/>
      <c r="AP719" s="300"/>
      <c r="AQ719" s="300"/>
    </row>
    <row r="720" spans="1:59" s="115" customFormat="1" ht="15" customHeight="1">
      <c r="A720" s="297"/>
      <c r="B720" s="217"/>
      <c r="C720" s="217"/>
      <c r="D720" s="101"/>
      <c r="E720" s="101"/>
      <c r="F720" s="294"/>
      <c r="G720" s="295"/>
      <c r="H720" s="225"/>
      <c r="I720" s="225"/>
      <c r="J720" s="225"/>
      <c r="K720" s="225"/>
      <c r="L720" s="225"/>
      <c r="M720" s="225"/>
      <c r="N720" s="225"/>
      <c r="O720" s="225"/>
      <c r="P720" s="225"/>
      <c r="Q720" s="225"/>
      <c r="R720" s="225"/>
      <c r="S720" s="225"/>
      <c r="T720" s="225"/>
      <c r="U720" s="99"/>
      <c r="V720" s="255"/>
      <c r="W720" s="102"/>
      <c r="X720" s="102"/>
      <c r="Y720" s="102"/>
      <c r="Z720" s="192"/>
      <c r="AA720" s="615"/>
      <c r="AB720" s="307"/>
      <c r="AC720" s="300"/>
      <c r="AD720" s="300"/>
      <c r="AE720" s="300"/>
      <c r="AF720" s="300"/>
      <c r="AG720" s="300"/>
      <c r="AH720" s="307"/>
      <c r="AI720" s="307"/>
      <c r="AJ720" s="300"/>
      <c r="AK720" s="300"/>
      <c r="AL720" s="300"/>
      <c r="AM720" s="300"/>
      <c r="AN720" s="300"/>
      <c r="AO720" s="300"/>
      <c r="AP720" s="300"/>
      <c r="AQ720" s="300"/>
    </row>
    <row r="721" spans="1:43" s="115" customFormat="1" ht="15" customHeight="1">
      <c r="A721" s="555" t="s">
        <v>2521</v>
      </c>
      <c r="B721" s="217" t="str">
        <f t="shared" ref="B721:B730" si="1075">LEFT(A721,3)</f>
        <v>100</v>
      </c>
      <c r="C721" s="217" t="str">
        <f t="shared" ref="C721:C730" si="1076">MID(A721,5,2)</f>
        <v>20</v>
      </c>
      <c r="D721" s="101" t="str">
        <f t="shared" ref="D721:D730" si="1077">MID(A721,8,3)</f>
        <v>204</v>
      </c>
      <c r="E721" s="217" t="str">
        <f t="shared" ref="E721:E730" si="1078">LEFT(A721,10)</f>
        <v>100-20-204</v>
      </c>
      <c r="F721" s="294" t="str">
        <f t="shared" ref="F721:F730" si="1079">RIGHT(A721,5)</f>
        <v>50101</v>
      </c>
      <c r="G721" s="295" t="str">
        <f>VLOOKUP(F721,'GL Category'!A:C,3,FALSE)</f>
        <v>Personnel services</v>
      </c>
      <c r="H721" s="98" t="str">
        <f>VLOOKUP(F721,'GL Category'!A:C,2,FALSE)</f>
        <v>EXEMPT SALARIES</v>
      </c>
      <c r="I721" s="99">
        <f>SUMIF(Import!$B:$B,$A721,Import!D:D)</f>
        <v>148506.17000000001</v>
      </c>
      <c r="J721" s="99">
        <f>SUMIF(Import!$B:$B,$A721,Import!E:E)</f>
        <v>77384.679999999993</v>
      </c>
      <c r="K721" s="99">
        <f>SUMIF(Import!$B:$B,$A721,Import!F:F)</f>
        <v>83689</v>
      </c>
      <c r="L721" s="99">
        <f>SUMIF(Import!$B:$B,$A721,Import!G:G)</f>
        <v>82337.84</v>
      </c>
      <c r="M721" s="99">
        <f>SUMIF(Import!$B:$B,$A721,Import!H:H)</f>
        <v>59829</v>
      </c>
      <c r="N721" s="99">
        <f>SUMIF(Import!$B:$B,$A721,Import!I:I)</f>
        <v>45836.92</v>
      </c>
      <c r="O721" s="99">
        <f>SUMIF(Import!$B:$B,$A721,Import!J:J)</f>
        <v>60171</v>
      </c>
      <c r="P721" s="99">
        <f t="shared" ref="P721:P730" si="1080">O721-M721</f>
        <v>342</v>
      </c>
      <c r="Q721" s="99">
        <f>SUMIF(Import!$B:$B,$A721,Import!K:K)</f>
        <v>62224</v>
      </c>
      <c r="R721" s="99">
        <f>SUMIF(Import!$B:$B,$A721,Import!L:L)</f>
        <v>0</v>
      </c>
      <c r="S721" s="99">
        <f>SUMIF(Import!$B:$B,$A721,Import!M:M)</f>
        <v>0</v>
      </c>
      <c r="T721" s="99">
        <f>SUMIF(Import!$B:$B,$A721,Import!N:N)</f>
        <v>62224</v>
      </c>
      <c r="U721" s="99">
        <f t="shared" ref="U721:U730" si="1081">T721-M721</f>
        <v>2395</v>
      </c>
      <c r="V721" s="255">
        <f t="shared" ref="V721:V730" si="1082">IF(M721=0,"N/A",T721/M721-1)</f>
        <v>4.0030754316468631E-2</v>
      </c>
      <c r="W721" s="102" t="s">
        <v>2521</v>
      </c>
      <c r="X721" s="102"/>
      <c r="Y721" s="102"/>
      <c r="Z721" s="192"/>
      <c r="AA721" s="615"/>
      <c r="AB721" s="307"/>
      <c r="AC721" s="300"/>
      <c r="AD721" s="300"/>
      <c r="AE721" s="300"/>
      <c r="AF721" s="300"/>
      <c r="AG721" s="300"/>
      <c r="AH721" s="307"/>
      <c r="AI721" s="307"/>
      <c r="AJ721" s="300"/>
      <c r="AK721" s="300"/>
      <c r="AL721" s="300"/>
      <c r="AM721" s="300"/>
      <c r="AN721" s="300"/>
      <c r="AO721" s="300"/>
      <c r="AP721" s="300"/>
      <c r="AQ721" s="300"/>
    </row>
    <row r="722" spans="1:43" s="115" customFormat="1" ht="15" customHeight="1">
      <c r="A722" s="555" t="s">
        <v>2522</v>
      </c>
      <c r="B722" s="217" t="str">
        <f t="shared" si="1075"/>
        <v>100</v>
      </c>
      <c r="C722" s="217" t="str">
        <f t="shared" si="1076"/>
        <v>20</v>
      </c>
      <c r="D722" s="101" t="str">
        <f t="shared" si="1077"/>
        <v>204</v>
      </c>
      <c r="E722" s="217" t="str">
        <f t="shared" si="1078"/>
        <v>100-20-204</v>
      </c>
      <c r="F722" s="294" t="str">
        <f t="shared" si="1079"/>
        <v>50102</v>
      </c>
      <c r="G722" s="295" t="str">
        <f>VLOOKUP(F722,'GL Category'!A:C,3,FALSE)</f>
        <v>Personnel services</v>
      </c>
      <c r="H722" s="98" t="str">
        <f>VLOOKUP(F722,'GL Category'!A:C,2,FALSE)</f>
        <v>NON EXEMPT SALARIES</v>
      </c>
      <c r="I722" s="99">
        <f>SUMIF(Import!$B:$B,$A722,Import!D:D)</f>
        <v>216448.2</v>
      </c>
      <c r="J722" s="99">
        <f>SUMIF(Import!$B:$B,$A722,Import!E:E)</f>
        <v>151747.97</v>
      </c>
      <c r="K722" s="99">
        <f>SUMIF(Import!$B:$B,$A722,Import!F:F)</f>
        <v>145798.29999999999</v>
      </c>
      <c r="L722" s="99">
        <f>SUMIF(Import!$B:$B,$A722,Import!G:G)</f>
        <v>165558.01999999999</v>
      </c>
      <c r="M722" s="99">
        <f>SUMIF(Import!$B:$B,$A722,Import!H:H)</f>
        <v>178279</v>
      </c>
      <c r="N722" s="99">
        <f>SUMIF(Import!$B:$B,$A722,Import!I:I)</f>
        <v>136742.44</v>
      </c>
      <c r="O722" s="99">
        <f>SUMIF(Import!$B:$B,$A722,Import!J:J)</f>
        <v>179107</v>
      </c>
      <c r="P722" s="99">
        <f t="shared" si="1080"/>
        <v>828</v>
      </c>
      <c r="Q722" s="99">
        <f>SUMIF(Import!$B:$B,$A722,Import!K:K)</f>
        <v>185273</v>
      </c>
      <c r="R722" s="99">
        <f>SUMIF(Import!$B:$B,$A722,Import!L:L)</f>
        <v>0</v>
      </c>
      <c r="S722" s="99">
        <f>SUMIF(Import!$B:$B,$A722,Import!M:M)</f>
        <v>0</v>
      </c>
      <c r="T722" s="99">
        <f>SUMIF(Import!$B:$B,$A722,Import!N:N)</f>
        <v>185273</v>
      </c>
      <c r="U722" s="99">
        <f t="shared" si="1081"/>
        <v>6994</v>
      </c>
      <c r="V722" s="255">
        <f t="shared" si="1082"/>
        <v>3.9230644102782763E-2</v>
      </c>
      <c r="W722" s="102" t="s">
        <v>2522</v>
      </c>
      <c r="X722" s="102"/>
      <c r="Y722" s="102"/>
      <c r="Z722" s="192"/>
      <c r="AA722" s="615"/>
      <c r="AB722" s="307"/>
      <c r="AC722" s="300"/>
      <c r="AD722" s="300"/>
      <c r="AE722" s="300"/>
      <c r="AF722" s="300"/>
      <c r="AG722" s="300"/>
      <c r="AH722" s="307"/>
      <c r="AI722" s="307"/>
      <c r="AJ722" s="300"/>
      <c r="AK722" s="300"/>
      <c r="AL722" s="300"/>
      <c r="AM722" s="300"/>
      <c r="AN722" s="300"/>
      <c r="AO722" s="300"/>
      <c r="AP722" s="300"/>
      <c r="AQ722" s="300"/>
    </row>
    <row r="723" spans="1:43" s="115" customFormat="1" ht="15" customHeight="1">
      <c r="A723" s="555" t="s">
        <v>2523</v>
      </c>
      <c r="B723" s="217" t="str">
        <f t="shared" si="1075"/>
        <v>100</v>
      </c>
      <c r="C723" s="217" t="str">
        <f t="shared" si="1076"/>
        <v>20</v>
      </c>
      <c r="D723" s="101" t="str">
        <f t="shared" si="1077"/>
        <v>204</v>
      </c>
      <c r="E723" s="217" t="str">
        <f t="shared" si="1078"/>
        <v>100-20-204</v>
      </c>
      <c r="F723" s="294" t="str">
        <f t="shared" si="1079"/>
        <v>50109</v>
      </c>
      <c r="G723" s="295" t="str">
        <f>VLOOKUP(F723,'GL Category'!A:C,3,FALSE)</f>
        <v>Personnel services</v>
      </c>
      <c r="H723" s="98" t="str">
        <f>VLOOKUP(F723,'GL Category'!A:C,2,FALSE)</f>
        <v>OVERTIME</v>
      </c>
      <c r="I723" s="99">
        <f>SUMIF(Import!$B:$B,$A723,Import!D:D)</f>
        <v>6752.33</v>
      </c>
      <c r="J723" s="99">
        <f>SUMIF(Import!$B:$B,$A723,Import!E:E)</f>
        <v>2544.1999999999998</v>
      </c>
      <c r="K723" s="99">
        <f>SUMIF(Import!$B:$B,$A723,Import!F:F)</f>
        <v>2370.5700000000002</v>
      </c>
      <c r="L723" s="99">
        <f>SUMIF(Import!$B:$B,$A723,Import!G:G)</f>
        <v>2606.85</v>
      </c>
      <c r="M723" s="99">
        <f>SUMIF(Import!$B:$B,$A723,Import!H:H)</f>
        <v>2782</v>
      </c>
      <c r="N723" s="99">
        <f>SUMIF(Import!$B:$B,$A723,Import!I:I)</f>
        <v>979.82</v>
      </c>
      <c r="O723" s="99">
        <f>SUMIF(Import!$B:$B,$A723,Import!J:J)</f>
        <v>1372</v>
      </c>
      <c r="P723" s="99">
        <f t="shared" si="1080"/>
        <v>-1410</v>
      </c>
      <c r="Q723" s="99">
        <f>SUMIF(Import!$B:$B,$A723,Import!K:K)</f>
        <v>2782</v>
      </c>
      <c r="R723" s="99">
        <f>SUMIF(Import!$B:$B,$A723,Import!L:L)</f>
        <v>0</v>
      </c>
      <c r="S723" s="99">
        <f>SUMIF(Import!$B:$B,$A723,Import!M:M)</f>
        <v>0</v>
      </c>
      <c r="T723" s="99">
        <f>SUMIF(Import!$B:$B,$A723,Import!N:N)</f>
        <v>2782</v>
      </c>
      <c r="U723" s="99">
        <f t="shared" si="1081"/>
        <v>0</v>
      </c>
      <c r="V723" s="255">
        <f t="shared" si="1082"/>
        <v>0</v>
      </c>
      <c r="W723" s="102" t="s">
        <v>2523</v>
      </c>
      <c r="X723" s="102"/>
      <c r="Y723" s="102"/>
      <c r="Z723" s="192"/>
      <c r="AA723" s="615"/>
      <c r="AB723" s="307"/>
      <c r="AC723" s="300"/>
      <c r="AD723" s="300"/>
      <c r="AE723" s="300"/>
      <c r="AF723" s="300"/>
      <c r="AG723" s="300"/>
      <c r="AH723" s="307"/>
      <c r="AI723" s="307"/>
      <c r="AJ723" s="300"/>
      <c r="AK723" s="300"/>
      <c r="AL723" s="300"/>
      <c r="AM723" s="300"/>
      <c r="AN723" s="300"/>
      <c r="AO723" s="300"/>
      <c r="AP723" s="300"/>
      <c r="AQ723" s="300"/>
    </row>
    <row r="724" spans="1:43" s="115" customFormat="1" ht="15" customHeight="1">
      <c r="A724" s="555" t="s">
        <v>2524</v>
      </c>
      <c r="B724" s="217" t="str">
        <f t="shared" si="1075"/>
        <v>100</v>
      </c>
      <c r="C724" s="217" t="str">
        <f t="shared" si="1076"/>
        <v>20</v>
      </c>
      <c r="D724" s="101" t="str">
        <f t="shared" si="1077"/>
        <v>204</v>
      </c>
      <c r="E724" s="217" t="str">
        <f t="shared" si="1078"/>
        <v>100-20-204</v>
      </c>
      <c r="F724" s="294" t="str">
        <f t="shared" si="1079"/>
        <v>50110</v>
      </c>
      <c r="G724" s="295" t="str">
        <f>VLOOKUP(F724,'GL Category'!A:C,3,FALSE)</f>
        <v>Personnel services</v>
      </c>
      <c r="H724" s="98" t="str">
        <f>VLOOKUP(F724,'GL Category'!A:C,2,FALSE)</f>
        <v>PART-TIME WAGES</v>
      </c>
      <c r="I724" s="99">
        <f>SUMIF(Import!$B:$B,$A724,Import!D:D)</f>
        <v>0</v>
      </c>
      <c r="J724" s="99">
        <f>SUMIF(Import!$B:$B,$A724,Import!E:E)</f>
        <v>0</v>
      </c>
      <c r="K724" s="99">
        <f>SUMIF(Import!$B:$B,$A724,Import!F:F)</f>
        <v>0</v>
      </c>
      <c r="L724" s="99">
        <f>SUMIF(Import!$B:$B,$A724,Import!G:G)</f>
        <v>0</v>
      </c>
      <c r="M724" s="99">
        <f>SUMIF(Import!$B:$B,$A724,Import!H:H)</f>
        <v>0</v>
      </c>
      <c r="N724" s="99">
        <f>SUMIF(Import!$B:$B,$A724,Import!I:I)</f>
        <v>0</v>
      </c>
      <c r="O724" s="99">
        <f>SUMIF(Import!$B:$B,$A724,Import!J:J)</f>
        <v>0</v>
      </c>
      <c r="P724" s="99">
        <f t="shared" si="1080"/>
        <v>0</v>
      </c>
      <c r="Q724" s="99">
        <f>SUMIF(Import!$B:$B,$A724,Import!K:K)</f>
        <v>0</v>
      </c>
      <c r="R724" s="99">
        <f>SUMIF(Import!$B:$B,$A724,Import!L:L)</f>
        <v>0</v>
      </c>
      <c r="S724" s="99">
        <f>SUMIF(Import!$B:$B,$A724,Import!M:M)</f>
        <v>0</v>
      </c>
      <c r="T724" s="99">
        <f>SUMIF(Import!$B:$B,$A724,Import!N:N)</f>
        <v>0</v>
      </c>
      <c r="U724" s="99">
        <f t="shared" si="1081"/>
        <v>0</v>
      </c>
      <c r="V724" s="255" t="str">
        <f t="shared" si="1082"/>
        <v>N/A</v>
      </c>
      <c r="W724" s="102" t="s">
        <v>2524</v>
      </c>
      <c r="X724" s="102"/>
      <c r="Y724" s="102"/>
      <c r="Z724" s="192"/>
      <c r="AA724" s="615"/>
      <c r="AB724" s="307"/>
      <c r="AC724" s="94"/>
      <c r="AD724" s="94"/>
      <c r="AE724" s="94"/>
      <c r="AF724" s="94"/>
      <c r="AG724" s="94"/>
      <c r="AH724" s="307"/>
      <c r="AI724" s="307"/>
      <c r="AJ724" s="94"/>
      <c r="AK724" s="94"/>
      <c r="AL724" s="94"/>
      <c r="AM724" s="94"/>
      <c r="AN724" s="94"/>
      <c r="AO724" s="94"/>
      <c r="AP724" s="94"/>
      <c r="AQ724" s="94"/>
    </row>
    <row r="725" spans="1:43" s="115" customFormat="1" ht="15" customHeight="1">
      <c r="A725" s="555" t="s">
        <v>2525</v>
      </c>
      <c r="B725" s="217" t="str">
        <f t="shared" si="1075"/>
        <v>100</v>
      </c>
      <c r="C725" s="217" t="str">
        <f t="shared" si="1076"/>
        <v>20</v>
      </c>
      <c r="D725" s="101" t="str">
        <f t="shared" si="1077"/>
        <v>204</v>
      </c>
      <c r="E725" s="217" t="str">
        <f t="shared" si="1078"/>
        <v>100-20-204</v>
      </c>
      <c r="F725" s="294" t="str">
        <f t="shared" si="1079"/>
        <v>50111</v>
      </c>
      <c r="G725" s="295" t="str">
        <f>VLOOKUP(F725,'GL Category'!A:C,3,FALSE)</f>
        <v>Personnel services</v>
      </c>
      <c r="H725" s="98" t="str">
        <f>VLOOKUP(F725,'GL Category'!A:C,2,FALSE)</f>
        <v>LONGEVITY PAY</v>
      </c>
      <c r="I725" s="99">
        <f>SUMIF(Import!$B:$B,$A725,Import!D:D)</f>
        <v>2870</v>
      </c>
      <c r="J725" s="99">
        <f>SUMIF(Import!$B:$B,$A725,Import!E:E)</f>
        <v>660</v>
      </c>
      <c r="K725" s="99">
        <f>SUMIF(Import!$B:$B,$A725,Import!F:F)</f>
        <v>925</v>
      </c>
      <c r="L725" s="99">
        <f>SUMIF(Import!$B:$B,$A725,Import!G:G)</f>
        <v>1165</v>
      </c>
      <c r="M725" s="99">
        <f>SUMIF(Import!$B:$B,$A725,Import!H:H)</f>
        <v>1068</v>
      </c>
      <c r="N725" s="99">
        <f>SUMIF(Import!$B:$B,$A725,Import!I:I)</f>
        <v>1050</v>
      </c>
      <c r="O725" s="99">
        <f>SUMIF(Import!$B:$B,$A725,Import!J:J)</f>
        <v>1050</v>
      </c>
      <c r="P725" s="99">
        <f t="shared" si="1080"/>
        <v>-18</v>
      </c>
      <c r="Q725" s="99">
        <f>SUMIF(Import!$B:$B,$A725,Import!K:K)</f>
        <v>1402</v>
      </c>
      <c r="R725" s="99">
        <f>SUMIF(Import!$B:$B,$A725,Import!L:L)</f>
        <v>0</v>
      </c>
      <c r="S725" s="99">
        <f>SUMIF(Import!$B:$B,$A725,Import!M:M)</f>
        <v>0</v>
      </c>
      <c r="T725" s="99">
        <f>SUMIF(Import!$B:$B,$A725,Import!N:N)</f>
        <v>1402</v>
      </c>
      <c r="U725" s="99">
        <f t="shared" si="1081"/>
        <v>334</v>
      </c>
      <c r="V725" s="255">
        <f t="shared" si="1082"/>
        <v>0.31273408239700373</v>
      </c>
      <c r="W725" s="102" t="s">
        <v>2525</v>
      </c>
      <c r="X725" s="102"/>
      <c r="Y725" s="102"/>
      <c r="Z725" s="192"/>
      <c r="AA725" s="615"/>
      <c r="AB725" s="307"/>
      <c r="AC725" s="93"/>
      <c r="AD725" s="93"/>
      <c r="AE725" s="93"/>
      <c r="AF725" s="93"/>
      <c r="AG725" s="93"/>
      <c r="AH725" s="307"/>
      <c r="AI725" s="307"/>
      <c r="AJ725" s="93"/>
      <c r="AK725" s="93"/>
      <c r="AL725" s="93"/>
      <c r="AM725" s="93"/>
      <c r="AN725" s="93"/>
      <c r="AO725" s="93"/>
      <c r="AP725" s="93"/>
      <c r="AQ725" s="93"/>
    </row>
    <row r="726" spans="1:43" s="115" customFormat="1" ht="15" customHeight="1">
      <c r="A726" s="555" t="s">
        <v>2526</v>
      </c>
      <c r="B726" s="217" t="str">
        <f t="shared" si="1075"/>
        <v>100</v>
      </c>
      <c r="C726" s="217" t="str">
        <f t="shared" si="1076"/>
        <v>20</v>
      </c>
      <c r="D726" s="101" t="str">
        <f t="shared" si="1077"/>
        <v>204</v>
      </c>
      <c r="E726" s="217" t="str">
        <f t="shared" si="1078"/>
        <v>100-20-204</v>
      </c>
      <c r="F726" s="294" t="str">
        <f t="shared" si="1079"/>
        <v>50120</v>
      </c>
      <c r="G726" s="295" t="str">
        <f>VLOOKUP(F726,'GL Category'!A:C,3,FALSE)</f>
        <v>Personnel services</v>
      </c>
      <c r="H726" s="98" t="str">
        <f>VLOOKUP(F726,'GL Category'!A:C,2,FALSE)</f>
        <v>AUTO ALLOWANCE</v>
      </c>
      <c r="I726" s="99">
        <f>SUMIF(Import!$B:$B,$A726,Import!D:D)</f>
        <v>0</v>
      </c>
      <c r="J726" s="99">
        <f>SUMIF(Import!$B:$B,$A726,Import!E:E)</f>
        <v>0</v>
      </c>
      <c r="K726" s="99">
        <f>SUMIF(Import!$B:$B,$A726,Import!F:F)</f>
        <v>0</v>
      </c>
      <c r="L726" s="99">
        <f>SUMIF(Import!$B:$B,$A726,Import!G:G)</f>
        <v>0</v>
      </c>
      <c r="M726" s="99">
        <f>SUMIF(Import!$B:$B,$A726,Import!H:H)</f>
        <v>0</v>
      </c>
      <c r="N726" s="99">
        <f>SUMIF(Import!$B:$B,$A726,Import!I:I)</f>
        <v>0</v>
      </c>
      <c r="O726" s="99">
        <f>SUMIF(Import!$B:$B,$A726,Import!J:J)</f>
        <v>0</v>
      </c>
      <c r="P726" s="99">
        <f t="shared" si="1080"/>
        <v>0</v>
      </c>
      <c r="Q726" s="99">
        <f>SUMIF(Import!$B:$B,$A726,Import!K:K)</f>
        <v>0</v>
      </c>
      <c r="R726" s="99">
        <f>SUMIF(Import!$B:$B,$A726,Import!L:L)</f>
        <v>0</v>
      </c>
      <c r="S726" s="99">
        <f>SUMIF(Import!$B:$B,$A726,Import!M:M)</f>
        <v>0</v>
      </c>
      <c r="T726" s="99">
        <f>SUMIF(Import!$B:$B,$A726,Import!N:N)</f>
        <v>0</v>
      </c>
      <c r="U726" s="99">
        <f t="shared" si="1081"/>
        <v>0</v>
      </c>
      <c r="V726" s="255" t="str">
        <f t="shared" si="1082"/>
        <v>N/A</v>
      </c>
      <c r="W726" s="102" t="s">
        <v>2526</v>
      </c>
      <c r="X726" s="102"/>
      <c r="Y726" s="102"/>
      <c r="Z726" s="192"/>
      <c r="AA726" s="615"/>
      <c r="AB726" s="307"/>
      <c r="AC726" s="300"/>
      <c r="AD726" s="300"/>
      <c r="AE726" s="300"/>
      <c r="AF726" s="300"/>
      <c r="AG726" s="300"/>
      <c r="AH726" s="307"/>
      <c r="AI726" s="307"/>
      <c r="AJ726" s="300"/>
      <c r="AK726" s="300"/>
      <c r="AL726" s="300"/>
      <c r="AM726" s="300"/>
      <c r="AN726" s="300"/>
      <c r="AO726" s="300"/>
      <c r="AP726" s="300"/>
      <c r="AQ726" s="300"/>
    </row>
    <row r="727" spans="1:43" s="115" customFormat="1" ht="15" customHeight="1">
      <c r="A727" s="555" t="s">
        <v>2527</v>
      </c>
      <c r="B727" s="217" t="str">
        <f t="shared" si="1075"/>
        <v>100</v>
      </c>
      <c r="C727" s="217" t="str">
        <f t="shared" si="1076"/>
        <v>20</v>
      </c>
      <c r="D727" s="101" t="str">
        <f t="shared" si="1077"/>
        <v>204</v>
      </c>
      <c r="E727" s="217" t="str">
        <f t="shared" si="1078"/>
        <v>100-20-204</v>
      </c>
      <c r="F727" s="294" t="str">
        <f t="shared" si="1079"/>
        <v>50610</v>
      </c>
      <c r="G727" s="295" t="str">
        <f>VLOOKUP(F727,'GL Category'!A:C,3,FALSE)</f>
        <v>Personnel services</v>
      </c>
      <c r="H727" s="98" t="str">
        <f>VLOOKUP(F727,'GL Category'!A:C,2,FALSE)</f>
        <v>SOCIAL SECURITY</v>
      </c>
      <c r="I727" s="99">
        <f>SUMIF(Import!$B:$B,$A727,Import!D:D)</f>
        <v>26544.53</v>
      </c>
      <c r="J727" s="99">
        <f>SUMIF(Import!$B:$B,$A727,Import!E:E)</f>
        <v>16400.509999999998</v>
      </c>
      <c r="K727" s="99">
        <f>SUMIF(Import!$B:$B,$A727,Import!F:F)</f>
        <v>16673.95</v>
      </c>
      <c r="L727" s="99">
        <f>SUMIF(Import!$B:$B,$A727,Import!G:G)</f>
        <v>16893.810000000001</v>
      </c>
      <c r="M727" s="99">
        <f>SUMIF(Import!$B:$B,$A727,Import!H:H)</f>
        <v>18600</v>
      </c>
      <c r="N727" s="99">
        <f>SUMIF(Import!$B:$B,$A727,Import!I:I)</f>
        <v>13769.29</v>
      </c>
      <c r="O727" s="99">
        <f>SUMIF(Import!$B:$B,$A727,Import!J:J)</f>
        <v>18230</v>
      </c>
      <c r="P727" s="99">
        <f t="shared" si="1080"/>
        <v>-370</v>
      </c>
      <c r="Q727" s="99">
        <f>SUMIF(Import!$B:$B,$A727,Import!K:K)</f>
        <v>19330</v>
      </c>
      <c r="R727" s="99">
        <f>SUMIF(Import!$B:$B,$A727,Import!L:L)</f>
        <v>0</v>
      </c>
      <c r="S727" s="99">
        <f>SUMIF(Import!$B:$B,$A727,Import!M:M)</f>
        <v>0</v>
      </c>
      <c r="T727" s="99">
        <f>SUMIF(Import!$B:$B,$A727,Import!N:N)</f>
        <v>19330</v>
      </c>
      <c r="U727" s="99">
        <f t="shared" si="1081"/>
        <v>730</v>
      </c>
      <c r="V727" s="255">
        <f t="shared" si="1082"/>
        <v>3.9247311827957043E-2</v>
      </c>
      <c r="W727" s="102" t="s">
        <v>2527</v>
      </c>
      <c r="X727" s="102"/>
      <c r="Y727" s="102"/>
      <c r="Z727" s="192"/>
      <c r="AA727" s="615"/>
      <c r="AB727" s="307"/>
      <c r="AC727" s="300"/>
      <c r="AD727" s="300"/>
      <c r="AE727" s="300"/>
      <c r="AF727" s="300"/>
      <c r="AG727" s="300"/>
      <c r="AH727" s="307"/>
      <c r="AI727" s="307"/>
      <c r="AJ727" s="300"/>
      <c r="AK727" s="300"/>
      <c r="AL727" s="300"/>
      <c r="AM727" s="300"/>
      <c r="AN727" s="300"/>
      <c r="AO727" s="300"/>
      <c r="AP727" s="300"/>
      <c r="AQ727" s="300"/>
    </row>
    <row r="728" spans="1:43" s="115" customFormat="1" ht="15" customHeight="1">
      <c r="A728" s="555" t="s">
        <v>2528</v>
      </c>
      <c r="B728" s="217" t="str">
        <f t="shared" si="1075"/>
        <v>100</v>
      </c>
      <c r="C728" s="217" t="str">
        <f t="shared" si="1076"/>
        <v>20</v>
      </c>
      <c r="D728" s="101" t="str">
        <f t="shared" si="1077"/>
        <v>204</v>
      </c>
      <c r="E728" s="217" t="str">
        <f t="shared" si="1078"/>
        <v>100-20-204</v>
      </c>
      <c r="F728" s="294" t="str">
        <f t="shared" si="1079"/>
        <v>50620</v>
      </c>
      <c r="G728" s="295" t="str">
        <f>VLOOKUP(F728,'GL Category'!A:C,3,FALSE)</f>
        <v>Personnel services</v>
      </c>
      <c r="H728" s="98" t="str">
        <f>VLOOKUP(F728,'GL Category'!A:C,2,FALSE)</f>
        <v>HEALTH/LIFE INSURANCE</v>
      </c>
      <c r="I728" s="99">
        <f>SUMIF(Import!$B:$B,$A728,Import!D:D)</f>
        <v>106465.06</v>
      </c>
      <c r="J728" s="99">
        <f>SUMIF(Import!$B:$B,$A728,Import!E:E)</f>
        <v>76242.320000000007</v>
      </c>
      <c r="K728" s="99">
        <f>SUMIF(Import!$B:$B,$A728,Import!F:F)</f>
        <v>64089.9</v>
      </c>
      <c r="L728" s="99">
        <f>SUMIF(Import!$B:$B,$A728,Import!G:G)</f>
        <v>65547.62</v>
      </c>
      <c r="M728" s="99">
        <f>SUMIF(Import!$B:$B,$A728,Import!H:H)</f>
        <v>62837</v>
      </c>
      <c r="N728" s="99">
        <f>SUMIF(Import!$B:$B,$A728,Import!I:I)</f>
        <v>40519.629999999997</v>
      </c>
      <c r="O728" s="99">
        <f>SUMIF(Import!$B:$B,$A728,Import!J:J)</f>
        <v>54655</v>
      </c>
      <c r="P728" s="99">
        <f t="shared" si="1080"/>
        <v>-8182</v>
      </c>
      <c r="Q728" s="99">
        <f>SUMIF(Import!$B:$B,$A728,Import!K:K)</f>
        <v>52779</v>
      </c>
      <c r="R728" s="99">
        <f>SUMIF(Import!$B:$B,$A728,Import!L:L)</f>
        <v>0</v>
      </c>
      <c r="S728" s="99">
        <f>SUMIF(Import!$B:$B,$A728,Import!M:M)</f>
        <v>0</v>
      </c>
      <c r="T728" s="99">
        <f>SUMIF(Import!$B:$B,$A728,Import!N:N)</f>
        <v>52779</v>
      </c>
      <c r="U728" s="99">
        <f t="shared" si="1081"/>
        <v>-10058</v>
      </c>
      <c r="V728" s="255">
        <f t="shared" si="1082"/>
        <v>-0.16006492989799004</v>
      </c>
      <c r="W728" s="102" t="s">
        <v>2528</v>
      </c>
      <c r="X728" s="102"/>
      <c r="Y728" s="102"/>
      <c r="Z728" s="192"/>
      <c r="AA728" s="615"/>
      <c r="AB728" s="307"/>
      <c r="AC728" s="300"/>
      <c r="AD728" s="300"/>
      <c r="AE728" s="300"/>
      <c r="AF728" s="300"/>
      <c r="AG728" s="300"/>
      <c r="AH728" s="307"/>
      <c r="AI728" s="307"/>
      <c r="AJ728" s="300"/>
      <c r="AK728" s="300"/>
      <c r="AL728" s="300"/>
      <c r="AM728" s="300"/>
      <c r="AN728" s="300"/>
      <c r="AO728" s="300"/>
      <c r="AP728" s="300"/>
      <c r="AQ728" s="300"/>
    </row>
    <row r="729" spans="1:43" s="115" customFormat="1" ht="15" customHeight="1">
      <c r="A729" s="555" t="s">
        <v>2529</v>
      </c>
      <c r="B729" s="217" t="str">
        <f t="shared" si="1075"/>
        <v>100</v>
      </c>
      <c r="C729" s="217" t="str">
        <f t="shared" si="1076"/>
        <v>20</v>
      </c>
      <c r="D729" s="101" t="str">
        <f t="shared" si="1077"/>
        <v>204</v>
      </c>
      <c r="E729" s="217" t="str">
        <f t="shared" si="1078"/>
        <v>100-20-204</v>
      </c>
      <c r="F729" s="294" t="str">
        <f t="shared" si="1079"/>
        <v>50630</v>
      </c>
      <c r="G729" s="295" t="str">
        <f>VLOOKUP(F729,'GL Category'!A:C,3,FALSE)</f>
        <v>Personnel services</v>
      </c>
      <c r="H729" s="98" t="str">
        <f>VLOOKUP(F729,'GL Category'!A:C,2,FALSE)</f>
        <v>WORKER COMPENSATION</v>
      </c>
      <c r="I729" s="99">
        <f>SUMIF(Import!$B:$B,$A729,Import!D:D)</f>
        <v>467.26</v>
      </c>
      <c r="J729" s="99">
        <f>SUMIF(Import!$B:$B,$A729,Import!E:E)</f>
        <v>178.69</v>
      </c>
      <c r="K729" s="99">
        <f>SUMIF(Import!$B:$B,$A729,Import!F:F)</f>
        <v>253.05</v>
      </c>
      <c r="L729" s="99">
        <f>SUMIF(Import!$B:$B,$A729,Import!G:G)</f>
        <v>464.02</v>
      </c>
      <c r="M729" s="99">
        <f>SUMIF(Import!$B:$B,$A729,Import!H:H)</f>
        <v>427</v>
      </c>
      <c r="N729" s="99">
        <f>SUMIF(Import!$B:$B,$A729,Import!I:I)</f>
        <v>426.65</v>
      </c>
      <c r="O729" s="99">
        <f>SUMIF(Import!$B:$B,$A729,Import!J:J)</f>
        <v>427</v>
      </c>
      <c r="P729" s="99">
        <f t="shared" si="1080"/>
        <v>0</v>
      </c>
      <c r="Q729" s="99">
        <f>SUMIF(Import!$B:$B,$A729,Import!K:K)</f>
        <v>429</v>
      </c>
      <c r="R729" s="99">
        <f>SUMIF(Import!$B:$B,$A729,Import!L:L)</f>
        <v>0</v>
      </c>
      <c r="S729" s="99">
        <f>SUMIF(Import!$B:$B,$A729,Import!M:M)</f>
        <v>0</v>
      </c>
      <c r="T729" s="99">
        <f>SUMIF(Import!$B:$B,$A729,Import!N:N)</f>
        <v>429</v>
      </c>
      <c r="U729" s="99">
        <f t="shared" si="1081"/>
        <v>2</v>
      </c>
      <c r="V729" s="255">
        <f t="shared" si="1082"/>
        <v>4.6838407494145251E-3</v>
      </c>
      <c r="W729" s="102" t="s">
        <v>2529</v>
      </c>
      <c r="X729" s="102"/>
      <c r="Y729" s="102"/>
      <c r="Z729" s="192"/>
      <c r="AA729" s="615"/>
      <c r="AB729" s="307"/>
      <c r="AC729" s="300"/>
      <c r="AD729" s="300"/>
      <c r="AE729" s="300"/>
      <c r="AF729" s="300"/>
      <c r="AG729" s="300"/>
      <c r="AH729" s="307"/>
      <c r="AI729" s="307"/>
      <c r="AJ729" s="300"/>
      <c r="AK729" s="300"/>
      <c r="AL729" s="300"/>
      <c r="AM729" s="300"/>
      <c r="AN729" s="300"/>
      <c r="AO729" s="300"/>
      <c r="AP729" s="300"/>
      <c r="AQ729" s="300"/>
    </row>
    <row r="730" spans="1:43" s="115" customFormat="1" ht="15" customHeight="1">
      <c r="A730" s="555" t="s">
        <v>2530</v>
      </c>
      <c r="B730" s="217" t="str">
        <f t="shared" si="1075"/>
        <v>100</v>
      </c>
      <c r="C730" s="217" t="str">
        <f t="shared" si="1076"/>
        <v>20</v>
      </c>
      <c r="D730" s="101" t="str">
        <f t="shared" si="1077"/>
        <v>204</v>
      </c>
      <c r="E730" s="217" t="str">
        <f t="shared" si="1078"/>
        <v>100-20-204</v>
      </c>
      <c r="F730" s="294" t="str">
        <f t="shared" si="1079"/>
        <v>50650</v>
      </c>
      <c r="G730" s="295" t="str">
        <f>VLOOKUP(F730,'GL Category'!A:C,3,FALSE)</f>
        <v>Personnel services</v>
      </c>
      <c r="H730" s="98" t="str">
        <f>VLOOKUP(F730,'GL Category'!A:C,2,FALSE)</f>
        <v>RETIREMENT</v>
      </c>
      <c r="I730" s="99">
        <f>SUMIF(Import!$B:$B,$A730,Import!D:D)</f>
        <v>59800.5</v>
      </c>
      <c r="J730" s="99">
        <f>SUMIF(Import!$B:$B,$A730,Import!E:E)</f>
        <v>37249.769999999997</v>
      </c>
      <c r="K730" s="99">
        <f>SUMIF(Import!$B:$B,$A730,Import!F:F)</f>
        <v>37687.51</v>
      </c>
      <c r="L730" s="99">
        <f>SUMIF(Import!$B:$B,$A730,Import!G:G)</f>
        <v>37062.629999999997</v>
      </c>
      <c r="M730" s="99">
        <f>SUMIF(Import!$B:$B,$A730,Import!H:H)</f>
        <v>40122</v>
      </c>
      <c r="N730" s="99">
        <f>SUMIF(Import!$B:$B,$A730,Import!I:I)</f>
        <v>30568.07</v>
      </c>
      <c r="O730" s="99">
        <f>SUMIF(Import!$B:$B,$A730,Import!J:J)</f>
        <v>40145</v>
      </c>
      <c r="P730" s="99">
        <f t="shared" si="1080"/>
        <v>23</v>
      </c>
      <c r="Q730" s="99">
        <f>SUMIF(Import!$B:$B,$A730,Import!K:K)</f>
        <v>42739</v>
      </c>
      <c r="R730" s="99">
        <f>SUMIF(Import!$B:$B,$A730,Import!L:L)</f>
        <v>0</v>
      </c>
      <c r="S730" s="99">
        <f>SUMIF(Import!$B:$B,$A730,Import!M:M)</f>
        <v>0</v>
      </c>
      <c r="T730" s="99">
        <f>SUMIF(Import!$B:$B,$A730,Import!N:N)</f>
        <v>42739</v>
      </c>
      <c r="U730" s="99">
        <f t="shared" si="1081"/>
        <v>2617</v>
      </c>
      <c r="V730" s="255">
        <f t="shared" si="1082"/>
        <v>6.5226060515428008E-2</v>
      </c>
      <c r="W730" s="102" t="s">
        <v>2530</v>
      </c>
      <c r="X730" s="102"/>
      <c r="Y730" s="102"/>
      <c r="Z730" s="192"/>
      <c r="AA730" s="615"/>
      <c r="AB730" s="307"/>
      <c r="AC730" s="93"/>
      <c r="AD730" s="93"/>
      <c r="AE730" s="93"/>
      <c r="AF730" s="93"/>
      <c r="AG730" s="93"/>
      <c r="AH730" s="307"/>
      <c r="AI730" s="307"/>
      <c r="AJ730" s="93"/>
      <c r="AK730" s="93"/>
      <c r="AL730" s="93"/>
      <c r="AM730" s="93"/>
      <c r="AN730" s="93"/>
      <c r="AO730" s="93"/>
      <c r="AP730" s="93"/>
      <c r="AQ730" s="93"/>
    </row>
    <row r="731" spans="1:43" s="115" customFormat="1" ht="15" customHeight="1">
      <c r="A731" s="297"/>
      <c r="B731" s="217"/>
      <c r="C731" s="217"/>
      <c r="D731" s="101"/>
      <c r="E731" s="101"/>
      <c r="F731" s="294"/>
      <c r="G731" s="295"/>
      <c r="H731" s="107" t="str">
        <f>UPPER(G730)&amp;" TOTAL"</f>
        <v>PERSONNEL SERVICES TOTAL</v>
      </c>
      <c r="I731" s="108">
        <f t="shared" ref="I731" si="1083">SUBTOTAL(9,I721:I730)</f>
        <v>567854.05000000005</v>
      </c>
      <c r="J731" s="108">
        <f t="shared" ref="J731:P731" si="1084">SUBTOTAL(9,J721:J730)</f>
        <v>362408.14000000007</v>
      </c>
      <c r="K731" s="108">
        <f t="shared" ref="K731" si="1085">SUBTOTAL(9,K721:K730)</f>
        <v>351487.28</v>
      </c>
      <c r="L731" s="108">
        <f t="shared" ref="L731" si="1086">SUBTOTAL(9,L721:L730)</f>
        <v>371635.79000000004</v>
      </c>
      <c r="M731" s="108">
        <f t="shared" si="1084"/>
        <v>363944</v>
      </c>
      <c r="N731" s="109">
        <f t="shared" ref="N731" si="1087">SUBTOTAL(9,N721:N730)</f>
        <v>269892.82</v>
      </c>
      <c r="O731" s="109">
        <f t="shared" si="1084"/>
        <v>355157</v>
      </c>
      <c r="P731" s="109">
        <f t="shared" si="1084"/>
        <v>-8787</v>
      </c>
      <c r="Q731" s="109">
        <f t="shared" ref="Q731:T731" si="1088">SUBTOTAL(9,Q721:Q730)</f>
        <v>366958</v>
      </c>
      <c r="R731" s="109">
        <f t="shared" si="1088"/>
        <v>0</v>
      </c>
      <c r="S731" s="109">
        <f t="shared" si="1088"/>
        <v>0</v>
      </c>
      <c r="T731" s="109">
        <f t="shared" si="1088"/>
        <v>366958</v>
      </c>
      <c r="U731" s="99">
        <f>T731-M731</f>
        <v>3014</v>
      </c>
      <c r="V731" s="255">
        <f>IF(M731=0,"N/A",T731/M731-1)</f>
        <v>8.281493856197697E-3</v>
      </c>
      <c r="W731" s="102"/>
      <c r="X731" s="102"/>
      <c r="Y731" s="102"/>
      <c r="Z731" s="192"/>
      <c r="AA731" s="615"/>
      <c r="AB731" s="307"/>
      <c r="AC731" s="300"/>
      <c r="AD731" s="300"/>
      <c r="AE731" s="300"/>
      <c r="AF731" s="300"/>
      <c r="AG731" s="300"/>
      <c r="AH731" s="307"/>
      <c r="AI731" s="307"/>
      <c r="AJ731" s="300"/>
      <c r="AK731" s="300"/>
      <c r="AL731" s="300"/>
      <c r="AM731" s="300"/>
      <c r="AN731" s="300"/>
      <c r="AO731" s="300"/>
      <c r="AP731" s="300"/>
      <c r="AQ731" s="300"/>
    </row>
    <row r="732" spans="1:43" s="115" customFormat="1" ht="15" customHeight="1">
      <c r="A732" s="297"/>
      <c r="B732" s="217"/>
      <c r="C732" s="217"/>
      <c r="D732" s="101"/>
      <c r="E732" s="101"/>
      <c r="F732" s="294"/>
      <c r="G732" s="295"/>
      <c r="H732" s="98"/>
      <c r="I732" s="106"/>
      <c r="J732" s="106"/>
      <c r="K732" s="106"/>
      <c r="L732" s="106"/>
      <c r="M732" s="106"/>
      <c r="N732" s="112"/>
      <c r="O732" s="112"/>
      <c r="P732" s="112"/>
      <c r="Q732" s="113"/>
      <c r="R732" s="113"/>
      <c r="S732" s="113"/>
      <c r="T732" s="113"/>
      <c r="U732" s="99"/>
      <c r="V732" s="255"/>
      <c r="W732" s="102"/>
      <c r="X732" s="102"/>
      <c r="Y732" s="102"/>
      <c r="Z732" s="192"/>
      <c r="AA732" s="615"/>
      <c r="AB732" s="307"/>
      <c r="AC732" s="300"/>
      <c r="AD732" s="300"/>
      <c r="AE732" s="300"/>
      <c r="AF732" s="300"/>
      <c r="AG732" s="300"/>
      <c r="AH732" s="307"/>
      <c r="AI732" s="307"/>
      <c r="AJ732" s="300"/>
      <c r="AK732" s="300"/>
      <c r="AL732" s="300"/>
      <c r="AM732" s="300"/>
      <c r="AN732" s="300"/>
      <c r="AO732" s="300"/>
      <c r="AP732" s="300"/>
      <c r="AQ732" s="300"/>
    </row>
    <row r="733" spans="1:43" s="115" customFormat="1" ht="15" customHeight="1">
      <c r="A733" s="555" t="s">
        <v>2531</v>
      </c>
      <c r="B733" s="217" t="str">
        <f t="shared" ref="B733:B737" si="1089">LEFT(A733,3)</f>
        <v>100</v>
      </c>
      <c r="C733" s="217" t="str">
        <f t="shared" ref="C733:C737" si="1090">MID(A733,5,2)</f>
        <v>20</v>
      </c>
      <c r="D733" s="101" t="str">
        <f t="shared" ref="D733:D737" si="1091">MID(A733,8,3)</f>
        <v>204</v>
      </c>
      <c r="E733" s="217" t="str">
        <f t="shared" ref="E733:E737" si="1092">LEFT(A733,10)</f>
        <v>100-20-204</v>
      </c>
      <c r="F733" s="294" t="str">
        <f t="shared" ref="F733:F737" si="1093">RIGHT(A733,5)</f>
        <v>51210</v>
      </c>
      <c r="G733" s="295" t="str">
        <f>VLOOKUP(F733,'GL Category'!A:C,3,FALSE)</f>
        <v>Operations &amp; maintenance</v>
      </c>
      <c r="H733" s="98" t="str">
        <f>VLOOKUP(F733,'GL Category'!A:C,2,FALSE)</f>
        <v>OFFICE SUPPLIES</v>
      </c>
      <c r="I733" s="99">
        <f>SUMIF(Import!$B:$B,$A733,Import!D:D)</f>
        <v>3743.73</v>
      </c>
      <c r="J733" s="99">
        <f>SUMIF(Import!$B:$B,$A733,Import!E:E)</f>
        <v>2211.46</v>
      </c>
      <c r="K733" s="99">
        <f>SUMIF(Import!$B:$B,$A733,Import!F:F)</f>
        <v>1403.43</v>
      </c>
      <c r="L733" s="99">
        <f>SUMIF(Import!$B:$B,$A733,Import!G:G)</f>
        <v>2012.3</v>
      </c>
      <c r="M733" s="99">
        <f>SUMIF(Import!$B:$B,$A733,Import!H:H)</f>
        <v>2500</v>
      </c>
      <c r="N733" s="99">
        <f>SUMIF(Import!$B:$B,$A733,Import!I:I)</f>
        <v>725.88</v>
      </c>
      <c r="O733" s="99">
        <f>SUMIF(Import!$B:$B,$A733,Import!J:J)</f>
        <v>1500</v>
      </c>
      <c r="P733" s="99">
        <f t="shared" ref="P733:P737" si="1094">O733-M733</f>
        <v>-1000</v>
      </c>
      <c r="Q733" s="99">
        <f>SUMIF(Import!$B:$B,$A733,Import!K:K)</f>
        <v>2500</v>
      </c>
      <c r="R733" s="99">
        <f>SUMIF(Import!$B:$B,$A733,Import!L:L)</f>
        <v>0</v>
      </c>
      <c r="S733" s="99">
        <f>SUMIF(Import!$B:$B,$A733,Import!M:M)</f>
        <v>0</v>
      </c>
      <c r="T733" s="99">
        <f>SUMIF(Import!$B:$B,$A733,Import!N:N)</f>
        <v>2500</v>
      </c>
      <c r="U733" s="99">
        <f t="shared" ref="U733:U737" si="1095">T733-M733</f>
        <v>0</v>
      </c>
      <c r="V733" s="255">
        <f t="shared" ref="V733:V737" si="1096">IF(M733=0,"N/A",T733/M733-1)</f>
        <v>0</v>
      </c>
      <c r="W733" s="102" t="s">
        <v>2531</v>
      </c>
      <c r="X733" s="102"/>
      <c r="Y733" s="102"/>
      <c r="Z733" s="192"/>
      <c r="AA733" s="615"/>
      <c r="AB733" s="307"/>
      <c r="AC733" s="300"/>
      <c r="AD733" s="300"/>
      <c r="AE733" s="300"/>
      <c r="AF733" s="300"/>
      <c r="AG733" s="300"/>
      <c r="AH733" s="307"/>
      <c r="AI733" s="307"/>
      <c r="AJ733" s="300"/>
      <c r="AK733" s="300"/>
      <c r="AL733" s="300"/>
      <c r="AM733" s="300"/>
      <c r="AN733" s="300"/>
      <c r="AO733" s="300"/>
      <c r="AP733" s="300"/>
      <c r="AQ733" s="300"/>
    </row>
    <row r="734" spans="1:43" s="115" customFormat="1" ht="15" customHeight="1">
      <c r="A734" s="555" t="s">
        <v>2532</v>
      </c>
      <c r="B734" s="217" t="str">
        <f t="shared" si="1089"/>
        <v>100</v>
      </c>
      <c r="C734" s="217" t="str">
        <f t="shared" si="1090"/>
        <v>20</v>
      </c>
      <c r="D734" s="101" t="str">
        <f t="shared" si="1091"/>
        <v>204</v>
      </c>
      <c r="E734" s="217" t="str">
        <f t="shared" si="1092"/>
        <v>100-20-204</v>
      </c>
      <c r="F734" s="294" t="str">
        <f t="shared" si="1093"/>
        <v>51245</v>
      </c>
      <c r="G734" s="295" t="str">
        <f>VLOOKUP(F734,'GL Category'!A:C,3,FALSE)</f>
        <v>Operations &amp; maintenance</v>
      </c>
      <c r="H734" s="98" t="str">
        <f>VLOOKUP(F734,'GL Category'!A:C,2,FALSE)</f>
        <v>SMALL TOOLS &amp; EQUIPMENT</v>
      </c>
      <c r="I734" s="99">
        <f>SUMIF(Import!$B:$B,$A734,Import!D:D)</f>
        <v>12.99</v>
      </c>
      <c r="J734" s="99">
        <f>SUMIF(Import!$B:$B,$A734,Import!E:E)</f>
        <v>0</v>
      </c>
      <c r="K734" s="99">
        <f>SUMIF(Import!$B:$B,$A734,Import!F:F)</f>
        <v>0</v>
      </c>
      <c r="L734" s="99">
        <f>SUMIF(Import!$B:$B,$A734,Import!G:G)</f>
        <v>0</v>
      </c>
      <c r="M734" s="99">
        <f>SUMIF(Import!$B:$B,$A734,Import!H:H)</f>
        <v>0</v>
      </c>
      <c r="N734" s="99">
        <f>SUMIF(Import!$B:$B,$A734,Import!I:I)</f>
        <v>0</v>
      </c>
      <c r="O734" s="99">
        <f>SUMIF(Import!$B:$B,$A734,Import!J:J)</f>
        <v>0</v>
      </c>
      <c r="P734" s="99">
        <f t="shared" si="1094"/>
        <v>0</v>
      </c>
      <c r="Q734" s="99">
        <f>SUMIF(Import!$B:$B,$A734,Import!K:K)</f>
        <v>0</v>
      </c>
      <c r="R734" s="99">
        <f>SUMIF(Import!$B:$B,$A734,Import!L:L)</f>
        <v>0</v>
      </c>
      <c r="S734" s="99">
        <f>SUMIF(Import!$B:$B,$A734,Import!M:M)</f>
        <v>0</v>
      </c>
      <c r="T734" s="99">
        <f>SUMIF(Import!$B:$B,$A734,Import!N:N)</f>
        <v>0</v>
      </c>
      <c r="U734" s="99">
        <f t="shared" si="1095"/>
        <v>0</v>
      </c>
      <c r="V734" s="255" t="str">
        <f t="shared" si="1096"/>
        <v>N/A</v>
      </c>
      <c r="W734" s="102" t="s">
        <v>2532</v>
      </c>
      <c r="X734" s="102"/>
      <c r="Y734" s="102"/>
      <c r="Z734" s="192"/>
      <c r="AA734" s="615"/>
      <c r="AB734" s="307"/>
      <c r="AC734" s="300"/>
      <c r="AD734" s="300"/>
      <c r="AE734" s="300"/>
      <c r="AF734" s="300"/>
      <c r="AG734" s="300"/>
      <c r="AH734" s="307"/>
      <c r="AI734" s="307"/>
      <c r="AJ734" s="300"/>
      <c r="AK734" s="300"/>
      <c r="AL734" s="300"/>
      <c r="AM734" s="300"/>
      <c r="AN734" s="300"/>
      <c r="AO734" s="300"/>
      <c r="AP734" s="300"/>
      <c r="AQ734" s="300"/>
    </row>
    <row r="735" spans="1:43" s="115" customFormat="1" ht="15" customHeight="1">
      <c r="A735" s="555" t="s">
        <v>2533</v>
      </c>
      <c r="B735" s="217" t="str">
        <f t="shared" si="1089"/>
        <v>100</v>
      </c>
      <c r="C735" s="217" t="str">
        <f t="shared" si="1090"/>
        <v>20</v>
      </c>
      <c r="D735" s="101" t="str">
        <f t="shared" si="1091"/>
        <v>204</v>
      </c>
      <c r="E735" s="217" t="str">
        <f t="shared" si="1092"/>
        <v>100-20-204</v>
      </c>
      <c r="F735" s="294" t="str">
        <f t="shared" si="1093"/>
        <v>51255</v>
      </c>
      <c r="G735" s="295" t="str">
        <f>VLOOKUP(F735,'GL Category'!A:C,3,FALSE)</f>
        <v>Operations &amp; maintenance</v>
      </c>
      <c r="H735" s="98" t="str">
        <f>VLOOKUP(F735,'GL Category'!A:C,2,FALSE)</f>
        <v>FUEL/OILS/LUBRICANTS</v>
      </c>
      <c r="I735" s="99">
        <f>SUMIF(Import!$B:$B,$A735,Import!D:D)</f>
        <v>1140.6400000000001</v>
      </c>
      <c r="J735" s="99">
        <f>SUMIF(Import!$B:$B,$A735,Import!E:E)</f>
        <v>-1.8</v>
      </c>
      <c r="K735" s="99">
        <f>SUMIF(Import!$B:$B,$A735,Import!F:F)</f>
        <v>87.99</v>
      </c>
      <c r="L735" s="99">
        <f>SUMIF(Import!$B:$B,$A735,Import!G:G)</f>
        <v>138.55000000000001</v>
      </c>
      <c r="M735" s="99">
        <f>SUMIF(Import!$B:$B,$A735,Import!H:H)</f>
        <v>800</v>
      </c>
      <c r="N735" s="99">
        <f>SUMIF(Import!$B:$B,$A735,Import!I:I)</f>
        <v>0</v>
      </c>
      <c r="O735" s="99">
        <f>SUMIF(Import!$B:$B,$A735,Import!J:J)</f>
        <v>1600</v>
      </c>
      <c r="P735" s="99">
        <f t="shared" si="1094"/>
        <v>800</v>
      </c>
      <c r="Q735" s="99">
        <f>SUMIF(Import!$B:$B,$A735,Import!K:K)</f>
        <v>800</v>
      </c>
      <c r="R735" s="99">
        <f>SUMIF(Import!$B:$B,$A735,Import!L:L)</f>
        <v>0</v>
      </c>
      <c r="S735" s="99">
        <f>SUMIF(Import!$B:$B,$A735,Import!M:M)</f>
        <v>0</v>
      </c>
      <c r="T735" s="99">
        <f>SUMIF(Import!$B:$B,$A735,Import!N:N)</f>
        <v>800</v>
      </c>
      <c r="U735" s="99">
        <f t="shared" si="1095"/>
        <v>0</v>
      </c>
      <c r="V735" s="255">
        <f t="shared" si="1096"/>
        <v>0</v>
      </c>
      <c r="W735" s="102" t="s">
        <v>2533</v>
      </c>
      <c r="X735" s="102"/>
      <c r="Y735" s="102"/>
      <c r="Z735" s="192"/>
      <c r="AA735" s="615"/>
      <c r="AB735" s="307"/>
      <c r="AC735" s="300"/>
      <c r="AD735" s="300"/>
      <c r="AE735" s="300"/>
      <c r="AF735" s="300"/>
      <c r="AG735" s="300"/>
      <c r="AH735" s="307"/>
      <c r="AI735" s="307"/>
      <c r="AJ735" s="300"/>
      <c r="AK735" s="300"/>
      <c r="AL735" s="300"/>
      <c r="AM735" s="300"/>
      <c r="AN735" s="300"/>
      <c r="AO735" s="300"/>
      <c r="AP735" s="300"/>
      <c r="AQ735" s="300"/>
    </row>
    <row r="736" spans="1:43" s="115" customFormat="1" ht="15" customHeight="1">
      <c r="A736" s="555" t="s">
        <v>2534</v>
      </c>
      <c r="B736" s="217" t="str">
        <f t="shared" si="1089"/>
        <v>100</v>
      </c>
      <c r="C736" s="217" t="str">
        <f t="shared" si="1090"/>
        <v>20</v>
      </c>
      <c r="D736" s="101" t="str">
        <f t="shared" si="1091"/>
        <v>204</v>
      </c>
      <c r="E736" s="217" t="str">
        <f t="shared" si="1092"/>
        <v>100-20-204</v>
      </c>
      <c r="F736" s="294" t="str">
        <f t="shared" si="1093"/>
        <v>51285</v>
      </c>
      <c r="G736" s="295" t="str">
        <f>VLOOKUP(F736,'GL Category'!A:C,3,FALSE)</f>
        <v>Operations &amp; maintenance</v>
      </c>
      <c r="H736" s="98" t="str">
        <f>VLOOKUP(F736,'GL Category'!A:C,2,FALSE)</f>
        <v>WEARING APPAREL</v>
      </c>
      <c r="I736" s="99">
        <f>SUMIF(Import!$B:$B,$A736,Import!D:D)</f>
        <v>761.81</v>
      </c>
      <c r="J736" s="99">
        <f>SUMIF(Import!$B:$B,$A736,Import!E:E)</f>
        <v>387.53</v>
      </c>
      <c r="K736" s="99">
        <f>SUMIF(Import!$B:$B,$A736,Import!F:F)</f>
        <v>366.6</v>
      </c>
      <c r="L736" s="99">
        <f>SUMIF(Import!$B:$B,$A736,Import!G:G)</f>
        <v>364.28</v>
      </c>
      <c r="M736" s="99">
        <f>SUMIF(Import!$B:$B,$A736,Import!H:H)</f>
        <v>395</v>
      </c>
      <c r="N736" s="99">
        <f>SUMIF(Import!$B:$B,$A736,Import!I:I)</f>
        <v>310.51</v>
      </c>
      <c r="O736" s="99">
        <f>SUMIF(Import!$B:$B,$A736,Import!J:J)</f>
        <v>395</v>
      </c>
      <c r="P736" s="99">
        <f t="shared" si="1094"/>
        <v>0</v>
      </c>
      <c r="Q736" s="99">
        <f>SUMIF(Import!$B:$B,$A736,Import!K:K)</f>
        <v>395</v>
      </c>
      <c r="R736" s="99">
        <f>SUMIF(Import!$B:$B,$A736,Import!L:L)</f>
        <v>0</v>
      </c>
      <c r="S736" s="99">
        <f>SUMIF(Import!$B:$B,$A736,Import!M:M)</f>
        <v>0</v>
      </c>
      <c r="T736" s="99">
        <f>SUMIF(Import!$B:$B,$A736,Import!N:N)</f>
        <v>395</v>
      </c>
      <c r="U736" s="99">
        <f t="shared" si="1095"/>
        <v>0</v>
      </c>
      <c r="V736" s="255">
        <f t="shared" si="1096"/>
        <v>0</v>
      </c>
      <c r="W736" s="102" t="s">
        <v>2534</v>
      </c>
      <c r="X736" s="102"/>
      <c r="Y736" s="102"/>
      <c r="Z736" s="192"/>
      <c r="AA736" s="615"/>
      <c r="AB736" s="307"/>
      <c r="AC736" s="300"/>
      <c r="AD736" s="300"/>
      <c r="AE736" s="300"/>
      <c r="AF736" s="300"/>
      <c r="AG736" s="300"/>
      <c r="AH736" s="307"/>
      <c r="AI736" s="307"/>
      <c r="AJ736" s="300"/>
      <c r="AK736" s="300"/>
      <c r="AL736" s="300"/>
      <c r="AM736" s="300"/>
      <c r="AN736" s="300"/>
      <c r="AO736" s="300"/>
      <c r="AP736" s="300"/>
      <c r="AQ736" s="300"/>
    </row>
    <row r="737" spans="1:59" s="115" customFormat="1" ht="15" customHeight="1">
      <c r="A737" s="555" t="s">
        <v>2535</v>
      </c>
      <c r="B737" s="217" t="str">
        <f t="shared" si="1089"/>
        <v>100</v>
      </c>
      <c r="C737" s="217" t="str">
        <f t="shared" si="1090"/>
        <v>20</v>
      </c>
      <c r="D737" s="101" t="str">
        <f t="shared" si="1091"/>
        <v>204</v>
      </c>
      <c r="E737" s="217" t="str">
        <f t="shared" si="1092"/>
        <v>100-20-204</v>
      </c>
      <c r="F737" s="294" t="str">
        <f t="shared" si="1093"/>
        <v>52460</v>
      </c>
      <c r="G737" s="295" t="str">
        <f>VLOOKUP(F737,'GL Category'!A:C,3,FALSE)</f>
        <v>Operations &amp; maintenance</v>
      </c>
      <c r="H737" s="98" t="str">
        <f>VLOOKUP(F737,'GL Category'!A:C,2,FALSE)</f>
        <v>VEHICLE MAINTENANCE</v>
      </c>
      <c r="I737" s="99">
        <f>SUMIF(Import!$B:$B,$A737,Import!D:D)</f>
        <v>43.68</v>
      </c>
      <c r="J737" s="99">
        <f>SUMIF(Import!$B:$B,$A737,Import!E:E)</f>
        <v>94.04</v>
      </c>
      <c r="K737" s="99">
        <f>SUMIF(Import!$B:$B,$A737,Import!F:F)</f>
        <v>14</v>
      </c>
      <c r="L737" s="99">
        <f>SUMIF(Import!$B:$B,$A737,Import!G:G)</f>
        <v>0</v>
      </c>
      <c r="M737" s="99">
        <f>SUMIF(Import!$B:$B,$A737,Import!H:H)</f>
        <v>250</v>
      </c>
      <c r="N737" s="99">
        <f>SUMIF(Import!$B:$B,$A737,Import!I:I)</f>
        <v>0</v>
      </c>
      <c r="O737" s="99">
        <f>SUMIF(Import!$B:$B,$A737,Import!J:J)</f>
        <v>250</v>
      </c>
      <c r="P737" s="99">
        <f t="shared" si="1094"/>
        <v>0</v>
      </c>
      <c r="Q737" s="99">
        <f>SUMIF(Import!$B:$B,$A737,Import!K:K)</f>
        <v>250</v>
      </c>
      <c r="R737" s="99">
        <f>SUMIF(Import!$B:$B,$A737,Import!L:L)</f>
        <v>0</v>
      </c>
      <c r="S737" s="99">
        <f>SUMIF(Import!$B:$B,$A737,Import!M:M)</f>
        <v>0</v>
      </c>
      <c r="T737" s="99">
        <f>SUMIF(Import!$B:$B,$A737,Import!N:N)</f>
        <v>250</v>
      </c>
      <c r="U737" s="99">
        <f t="shared" si="1095"/>
        <v>0</v>
      </c>
      <c r="V737" s="255">
        <f t="shared" si="1096"/>
        <v>0</v>
      </c>
      <c r="W737" s="102" t="s">
        <v>2535</v>
      </c>
      <c r="X737" s="102"/>
      <c r="Y737" s="102"/>
      <c r="Z737" s="192"/>
      <c r="AA737" s="615"/>
      <c r="AB737" s="307"/>
      <c r="AC737" s="300"/>
      <c r="AD737" s="300"/>
      <c r="AE737" s="300"/>
      <c r="AF737" s="300"/>
      <c r="AG737" s="300"/>
      <c r="AH737" s="307"/>
      <c r="AI737" s="307"/>
      <c r="AJ737" s="300"/>
      <c r="AK737" s="300"/>
      <c r="AL737" s="300"/>
      <c r="AM737" s="300"/>
      <c r="AN737" s="300"/>
      <c r="AO737" s="300"/>
      <c r="AP737" s="300"/>
      <c r="AQ737" s="300"/>
    </row>
    <row r="738" spans="1:59" s="115" customFormat="1" ht="27.6" customHeight="1">
      <c r="A738" s="297"/>
      <c r="B738" s="217"/>
      <c r="C738" s="217"/>
      <c r="D738" s="101"/>
      <c r="E738" s="101"/>
      <c r="F738" s="294"/>
      <c r="G738" s="295"/>
      <c r="H738" s="107" t="str">
        <f>UPPER(G737)&amp;" TOTAL"</f>
        <v>OPERATIONS &amp; MAINTENANCE TOTAL</v>
      </c>
      <c r="I738" s="109">
        <f t="shared" ref="I738" si="1097">SUBTOTAL(9,I733:I737)</f>
        <v>5702.85</v>
      </c>
      <c r="J738" s="109">
        <f t="shared" ref="J738:T738" si="1098">SUBTOTAL(9,J733:J737)</f>
        <v>2691.2299999999996</v>
      </c>
      <c r="K738" s="109">
        <f t="shared" ref="K738" si="1099">SUBTOTAL(9,K733:K737)</f>
        <v>1872.02</v>
      </c>
      <c r="L738" s="109">
        <f t="shared" ref="L738" si="1100">SUBTOTAL(9,L733:L737)</f>
        <v>2515.13</v>
      </c>
      <c r="M738" s="109">
        <f t="shared" si="1098"/>
        <v>3945</v>
      </c>
      <c r="N738" s="109">
        <f t="shared" ref="N738" si="1101">SUBTOTAL(9,N733:N737)</f>
        <v>1036.3899999999999</v>
      </c>
      <c r="O738" s="109">
        <f t="shared" si="1098"/>
        <v>3745</v>
      </c>
      <c r="P738" s="109">
        <f t="shared" si="1098"/>
        <v>-200</v>
      </c>
      <c r="Q738" s="109">
        <f t="shared" si="1098"/>
        <v>3945</v>
      </c>
      <c r="R738" s="109">
        <f t="shared" si="1098"/>
        <v>0</v>
      </c>
      <c r="S738" s="109">
        <f t="shared" si="1098"/>
        <v>0</v>
      </c>
      <c r="T738" s="109">
        <f t="shared" si="1098"/>
        <v>3945</v>
      </c>
      <c r="U738" s="99">
        <f>T738-M738</f>
        <v>0</v>
      </c>
      <c r="V738" s="255">
        <f>IF(M738=0,"N/A",T738/M738-1)</f>
        <v>0</v>
      </c>
      <c r="W738" s="102"/>
      <c r="X738" s="102"/>
      <c r="Y738" s="102"/>
      <c r="Z738" s="192"/>
      <c r="AA738" s="615"/>
      <c r="AB738" s="307"/>
      <c r="AC738" s="300"/>
      <c r="AD738" s="300"/>
      <c r="AE738" s="300"/>
      <c r="AF738" s="300"/>
      <c r="AG738" s="300"/>
      <c r="AH738" s="307"/>
      <c r="AI738" s="307"/>
      <c r="AJ738" s="300"/>
      <c r="AK738" s="300"/>
      <c r="AL738" s="300"/>
      <c r="AM738" s="300"/>
      <c r="AN738" s="300"/>
      <c r="AO738" s="300"/>
      <c r="AP738" s="300"/>
      <c r="AQ738" s="300"/>
    </row>
    <row r="739" spans="1:59" s="115" customFormat="1" ht="15" customHeight="1">
      <c r="A739" s="297"/>
      <c r="B739" s="217"/>
      <c r="C739" s="217"/>
      <c r="D739" s="101"/>
      <c r="E739" s="101"/>
      <c r="F739" s="294"/>
      <c r="G739" s="295"/>
      <c r="H739" s="98"/>
      <c r="I739" s="106"/>
      <c r="J739" s="106"/>
      <c r="K739" s="106"/>
      <c r="L739" s="106"/>
      <c r="M739" s="106"/>
      <c r="N739" s="112"/>
      <c r="O739" s="112"/>
      <c r="P739" s="112"/>
      <c r="Q739" s="113"/>
      <c r="R739" s="113"/>
      <c r="S739" s="113"/>
      <c r="T739" s="113"/>
      <c r="U739" s="99"/>
      <c r="V739" s="255"/>
      <c r="W739" s="102"/>
      <c r="X739" s="102"/>
      <c r="Y739" s="102"/>
      <c r="Z739" s="192"/>
      <c r="AA739" s="615"/>
      <c r="AB739" s="307"/>
      <c r="AC739" s="300"/>
      <c r="AD739" s="300"/>
      <c r="AE739" s="300"/>
      <c r="AF739" s="300"/>
      <c r="AG739" s="300"/>
      <c r="AH739" s="307"/>
      <c r="AI739" s="307"/>
      <c r="AJ739" s="300"/>
      <c r="AK739" s="300"/>
      <c r="AL739" s="300"/>
      <c r="AM739" s="300"/>
      <c r="AN739" s="300"/>
      <c r="AO739" s="300"/>
      <c r="AP739" s="300"/>
      <c r="AQ739" s="300"/>
    </row>
    <row r="740" spans="1:59" s="115" customFormat="1" ht="15" customHeight="1">
      <c r="A740" s="555" t="s">
        <v>2537</v>
      </c>
      <c r="B740" s="217" t="str">
        <f t="shared" ref="B740:B746" si="1102">LEFT(A740,3)</f>
        <v>100</v>
      </c>
      <c r="C740" s="217" t="str">
        <f t="shared" ref="C740:C746" si="1103">MID(A740,5,2)</f>
        <v>20</v>
      </c>
      <c r="D740" s="101" t="str">
        <f t="shared" ref="D740:D746" si="1104">MID(A740,8,3)</f>
        <v>204</v>
      </c>
      <c r="E740" s="217" t="str">
        <f t="shared" ref="E740:E746" si="1105">LEFT(A740,10)</f>
        <v>100-20-204</v>
      </c>
      <c r="F740" s="294" t="str">
        <f t="shared" ref="F740:F746" si="1106">RIGHT(A740,5)</f>
        <v>53510</v>
      </c>
      <c r="G740" s="295" t="str">
        <f>VLOOKUP(F740,'GL Category'!A:C,3,FALSE)</f>
        <v>Services &amp; other</v>
      </c>
      <c r="H740" s="98" t="str">
        <f>VLOOKUP(F740,'GL Category'!A:C,2,FALSE)</f>
        <v>DUES &amp; SUBSCRIPTIONS</v>
      </c>
      <c r="I740" s="99">
        <f>SUMIF(Import!$B:$B,$A740,Import!D:D)</f>
        <v>454</v>
      </c>
      <c r="J740" s="99">
        <f>SUMIF(Import!$B:$B,$A740,Import!E:E)</f>
        <v>574.01</v>
      </c>
      <c r="K740" s="99">
        <f>SUMIF(Import!$B:$B,$A740,Import!F:F)</f>
        <v>197.9</v>
      </c>
      <c r="L740" s="99">
        <f>SUMIF(Import!$B:$B,$A740,Import!G:G)</f>
        <v>245</v>
      </c>
      <c r="M740" s="99">
        <f>SUMIF(Import!$B:$B,$A740,Import!H:H)</f>
        <v>485</v>
      </c>
      <c r="N740" s="99">
        <f>SUMIF(Import!$B:$B,$A740,Import!I:I)</f>
        <v>0</v>
      </c>
      <c r="O740" s="99">
        <f>SUMIF(Import!$B:$B,$A740,Import!J:J)</f>
        <v>485</v>
      </c>
      <c r="P740" s="99">
        <f t="shared" ref="P740:P746" si="1107">O740-M740</f>
        <v>0</v>
      </c>
      <c r="Q740" s="99">
        <f>SUMIF(Import!$B:$B,$A740,Import!K:K)</f>
        <v>485</v>
      </c>
      <c r="R740" s="99">
        <f>SUMIF(Import!$B:$B,$A740,Import!L:L)</f>
        <v>0</v>
      </c>
      <c r="S740" s="99">
        <f>SUMIF(Import!$B:$B,$A740,Import!M:M)</f>
        <v>0</v>
      </c>
      <c r="T740" s="99">
        <f>SUMIF(Import!$B:$B,$A740,Import!N:N)</f>
        <v>485</v>
      </c>
      <c r="U740" s="99">
        <f t="shared" ref="U740:U746" si="1108">T740-M740</f>
        <v>0</v>
      </c>
      <c r="V740" s="255">
        <f t="shared" ref="V740:V746" si="1109">IF(M740=0,"N/A",T740/M740-1)</f>
        <v>0</v>
      </c>
      <c r="W740" s="102" t="s">
        <v>2537</v>
      </c>
      <c r="X740" s="102"/>
      <c r="Y740" s="102"/>
      <c r="Z740" s="192"/>
      <c r="AA740" s="615"/>
      <c r="AB740" s="307"/>
      <c r="AC740" s="300"/>
      <c r="AD740" s="300"/>
      <c r="AE740" s="300"/>
      <c r="AF740" s="300"/>
      <c r="AG740" s="300"/>
      <c r="AH740" s="307"/>
      <c r="AI740" s="307"/>
      <c r="AJ740" s="300"/>
      <c r="AK740" s="300"/>
      <c r="AL740" s="300"/>
      <c r="AM740" s="300"/>
      <c r="AN740" s="300"/>
      <c r="AO740" s="300"/>
      <c r="AP740" s="300"/>
      <c r="AQ740" s="300"/>
    </row>
    <row r="741" spans="1:59" s="115" customFormat="1" ht="15" customHeight="1">
      <c r="A741" s="555" t="s">
        <v>2538</v>
      </c>
      <c r="B741" s="217" t="str">
        <f t="shared" si="1102"/>
        <v>100</v>
      </c>
      <c r="C741" s="217" t="str">
        <f t="shared" si="1103"/>
        <v>20</v>
      </c>
      <c r="D741" s="101" t="str">
        <f t="shared" si="1104"/>
        <v>204</v>
      </c>
      <c r="E741" s="217" t="str">
        <f t="shared" si="1105"/>
        <v>100-20-204</v>
      </c>
      <c r="F741" s="294" t="str">
        <f t="shared" si="1106"/>
        <v>53515</v>
      </c>
      <c r="G741" s="295" t="str">
        <f>VLOOKUP(F741,'GL Category'!A:C,3,FALSE)</f>
        <v>Services &amp; other</v>
      </c>
      <c r="H741" s="98" t="str">
        <f>VLOOKUP(F741,'GL Category'!A:C,2,FALSE)</f>
        <v>TRAVEL, TRAINING &amp; EDUCATION</v>
      </c>
      <c r="I741" s="99">
        <f>SUMIF(Import!$B:$B,$A741,Import!D:D)</f>
        <v>7132.79</v>
      </c>
      <c r="J741" s="99">
        <f>SUMIF(Import!$B:$B,$A741,Import!E:E)</f>
        <v>5446.82</v>
      </c>
      <c r="K741" s="99">
        <f>SUMIF(Import!$B:$B,$A741,Import!F:F)</f>
        <v>6697.51</v>
      </c>
      <c r="L741" s="99">
        <f>SUMIF(Import!$B:$B,$A741,Import!G:G)</f>
        <v>2084.17</v>
      </c>
      <c r="M741" s="99">
        <f>SUMIF(Import!$B:$B,$A741,Import!H:H)</f>
        <v>7500</v>
      </c>
      <c r="N741" s="99">
        <f>SUMIF(Import!$B:$B,$A741,Import!I:I)</f>
        <v>3732.59</v>
      </c>
      <c r="O741" s="99">
        <f>SUMIF(Import!$B:$B,$A741,Import!J:J)</f>
        <v>2500</v>
      </c>
      <c r="P741" s="99">
        <f t="shared" si="1107"/>
        <v>-5000</v>
      </c>
      <c r="Q741" s="99">
        <f>SUMIF(Import!$B:$B,$A741,Import!K:K)</f>
        <v>7500</v>
      </c>
      <c r="R741" s="99">
        <f>SUMIF(Import!$B:$B,$A741,Import!L:L)</f>
        <v>0</v>
      </c>
      <c r="S741" s="99">
        <f>SUMIF(Import!$B:$B,$A741,Import!M:M)</f>
        <v>0</v>
      </c>
      <c r="T741" s="99">
        <f>SUMIF(Import!$B:$B,$A741,Import!N:N)</f>
        <v>7500</v>
      </c>
      <c r="U741" s="99">
        <f t="shared" si="1108"/>
        <v>0</v>
      </c>
      <c r="V741" s="255">
        <f t="shared" si="1109"/>
        <v>0</v>
      </c>
      <c r="W741" s="102" t="s">
        <v>2538</v>
      </c>
      <c r="X741" s="102"/>
      <c r="Y741" s="102"/>
      <c r="Z741" s="192"/>
      <c r="AA741" s="615"/>
      <c r="AB741" s="307"/>
      <c r="AC741" s="300"/>
      <c r="AD741" s="300"/>
      <c r="AE741" s="300"/>
      <c r="AF741" s="300"/>
      <c r="AG741" s="300"/>
      <c r="AH741" s="307"/>
      <c r="AI741" s="307"/>
      <c r="AJ741" s="300"/>
      <c r="AK741" s="300"/>
      <c r="AL741" s="300"/>
      <c r="AM741" s="300"/>
      <c r="AN741" s="300"/>
      <c r="AO741" s="300"/>
      <c r="AP741" s="300"/>
      <c r="AQ741" s="300"/>
    </row>
    <row r="742" spans="1:59" s="115" customFormat="1" ht="15" customHeight="1">
      <c r="A742" s="555" t="s">
        <v>2539</v>
      </c>
      <c r="B742" s="217" t="str">
        <f t="shared" si="1102"/>
        <v>100</v>
      </c>
      <c r="C742" s="217" t="str">
        <f t="shared" si="1103"/>
        <v>20</v>
      </c>
      <c r="D742" s="101" t="str">
        <f t="shared" si="1104"/>
        <v>204</v>
      </c>
      <c r="E742" s="217" t="str">
        <f t="shared" si="1105"/>
        <v>100-20-204</v>
      </c>
      <c r="F742" s="294" t="str">
        <f t="shared" si="1106"/>
        <v>53513</v>
      </c>
      <c r="G742" s="295" t="str">
        <f>VLOOKUP(F742,'GL Category'!A:C,3,FALSE)</f>
        <v>Services &amp; other</v>
      </c>
      <c r="H742" s="98" t="str">
        <f>VLOOKUP(F742,'GL Category'!A:C,2,FALSE)</f>
        <v>CONSULTING SERVICES</v>
      </c>
      <c r="I742" s="99">
        <f>SUMIF(Import!$B:$B,$A742,Import!D:D)</f>
        <v>178045.42</v>
      </c>
      <c r="J742" s="99">
        <f>SUMIF(Import!$B:$B,$A742,Import!E:E)</f>
        <v>239517.31</v>
      </c>
      <c r="K742" s="99">
        <f>SUMIF(Import!$B:$B,$A742,Import!F:F)</f>
        <v>218271.35</v>
      </c>
      <c r="L742" s="99">
        <f>SUMIF(Import!$B:$B,$A742,Import!G:G)</f>
        <v>182748.08</v>
      </c>
      <c r="M742" s="99">
        <f>SUMIF(Import!$B:$B,$A742,Import!H:H)</f>
        <v>250000</v>
      </c>
      <c r="N742" s="99">
        <f>SUMIF(Import!$B:$B,$A742,Import!I:I)</f>
        <v>134133.53</v>
      </c>
      <c r="O742" s="99">
        <f>SUMIF(Import!$B:$B,$A742,Import!J:J)</f>
        <v>190000</v>
      </c>
      <c r="P742" s="99">
        <f t="shared" si="1107"/>
        <v>-60000</v>
      </c>
      <c r="Q742" s="99">
        <f>SUMIF(Import!$B:$B,$A742,Import!K:K)</f>
        <v>250000</v>
      </c>
      <c r="R742" s="99">
        <f>SUMIF(Import!$B:$B,$A742,Import!L:L)</f>
        <v>0</v>
      </c>
      <c r="S742" s="99">
        <f>SUMIF(Import!$B:$B,$A742,Import!M:M)</f>
        <v>0</v>
      </c>
      <c r="T742" s="99">
        <f>SUMIF(Import!$B:$B,$A742,Import!N:N)</f>
        <v>250000</v>
      </c>
      <c r="U742" s="99">
        <f t="shared" si="1108"/>
        <v>0</v>
      </c>
      <c r="V742" s="255">
        <f t="shared" si="1109"/>
        <v>0</v>
      </c>
      <c r="W742" s="102" t="s">
        <v>2539</v>
      </c>
      <c r="X742" s="102"/>
      <c r="Y742" s="102"/>
      <c r="Z742" s="192"/>
      <c r="AA742" s="615"/>
      <c r="AB742" s="307"/>
      <c r="AC742" s="94"/>
      <c r="AD742" s="94"/>
      <c r="AE742" s="94"/>
      <c r="AF742" s="94"/>
      <c r="AG742" s="94"/>
      <c r="AH742" s="307"/>
      <c r="AI742" s="307"/>
      <c r="AJ742" s="94"/>
      <c r="AK742" s="94"/>
      <c r="AL742" s="94"/>
      <c r="AM742" s="94"/>
      <c r="AN742" s="94"/>
      <c r="AO742" s="94"/>
      <c r="AP742" s="94"/>
      <c r="AQ742" s="94"/>
    </row>
    <row r="743" spans="1:59" s="115" customFormat="1" ht="15" customHeight="1">
      <c r="A743" s="555" t="s">
        <v>2536</v>
      </c>
      <c r="B743" s="217" t="str">
        <f t="shared" si="1102"/>
        <v>100</v>
      </c>
      <c r="C743" s="217" t="str">
        <f t="shared" si="1103"/>
        <v>20</v>
      </c>
      <c r="D743" s="101" t="str">
        <f t="shared" si="1104"/>
        <v>204</v>
      </c>
      <c r="E743" s="217" t="str">
        <f t="shared" si="1105"/>
        <v>100-20-204</v>
      </c>
      <c r="F743" s="294" t="str">
        <f t="shared" si="1106"/>
        <v>53599</v>
      </c>
      <c r="G743" s="295" t="str">
        <f>VLOOKUP(F743,'GL Category'!A:C,3,FALSE)</f>
        <v>Services &amp; other</v>
      </c>
      <c r="H743" s="98" t="str">
        <f>VLOOKUP(F743,'GL Category'!A:C,2,FALSE)</f>
        <v>MISCELLANEOUS SERVICES</v>
      </c>
      <c r="I743" s="99">
        <f>SUMIF(Import!$B:$B,$A743,Import!D:D)</f>
        <v>5909.64</v>
      </c>
      <c r="J743" s="99">
        <f>SUMIF(Import!$B:$B,$A743,Import!E:E)</f>
        <v>0</v>
      </c>
      <c r="K743" s="99">
        <f>SUMIF(Import!$B:$B,$A743,Import!F:F)</f>
        <v>0</v>
      </c>
      <c r="L743" s="99">
        <f>SUMIF(Import!$B:$B,$A743,Import!G:G)</f>
        <v>0</v>
      </c>
      <c r="M743" s="99">
        <f>SUMIF(Import!$B:$B,$A743,Import!H:H)</f>
        <v>0</v>
      </c>
      <c r="N743" s="99">
        <f>SUMIF(Import!$B:$B,$A743,Import!I:I)</f>
        <v>0</v>
      </c>
      <c r="O743" s="99">
        <f>SUMIF(Import!$B:$B,$A743,Import!J:J)</f>
        <v>0</v>
      </c>
      <c r="P743" s="99">
        <f t="shared" si="1107"/>
        <v>0</v>
      </c>
      <c r="Q743" s="99">
        <f>SUMIF(Import!$B:$B,$A743,Import!K:K)</f>
        <v>0</v>
      </c>
      <c r="R743" s="99">
        <f>SUMIF(Import!$B:$B,$A743,Import!L:L)</f>
        <v>0</v>
      </c>
      <c r="S743" s="99">
        <f>SUMIF(Import!$B:$B,$A743,Import!M:M)</f>
        <v>0</v>
      </c>
      <c r="T743" s="99">
        <f>SUMIF(Import!$B:$B,$A743,Import!N:N)</f>
        <v>0</v>
      </c>
      <c r="U743" s="99">
        <f t="shared" si="1108"/>
        <v>0</v>
      </c>
      <c r="V743" s="255" t="str">
        <f t="shared" si="1109"/>
        <v>N/A</v>
      </c>
      <c r="W743" s="102" t="s">
        <v>2536</v>
      </c>
      <c r="X743" s="102"/>
      <c r="Y743" s="102"/>
      <c r="Z743" s="192"/>
      <c r="AA743" s="615"/>
      <c r="AB743" s="307"/>
      <c r="AC743" s="300"/>
      <c r="AD743" s="300"/>
      <c r="AE743" s="300"/>
      <c r="AF743" s="300"/>
      <c r="AG743" s="300"/>
      <c r="AH743" s="307"/>
      <c r="AI743" s="307"/>
      <c r="AJ743" s="300"/>
      <c r="AK743" s="300"/>
      <c r="AL743" s="300"/>
      <c r="AM743" s="300"/>
      <c r="AN743" s="300"/>
      <c r="AO743" s="300"/>
      <c r="AP743" s="300"/>
      <c r="AQ743" s="300"/>
    </row>
    <row r="744" spans="1:59" s="115" customFormat="1" ht="15" customHeight="1">
      <c r="A744" s="555" t="s">
        <v>2540</v>
      </c>
      <c r="B744" s="217" t="str">
        <f t="shared" si="1102"/>
        <v>100</v>
      </c>
      <c r="C744" s="217" t="str">
        <f t="shared" si="1103"/>
        <v>20</v>
      </c>
      <c r="D744" s="101" t="str">
        <f t="shared" si="1104"/>
        <v>204</v>
      </c>
      <c r="E744" s="217" t="str">
        <f t="shared" si="1105"/>
        <v>100-20-204</v>
      </c>
      <c r="F744" s="294" t="str">
        <f t="shared" si="1106"/>
        <v>53585</v>
      </c>
      <c r="G744" s="295" t="str">
        <f>VLOOKUP(F744,'GL Category'!A:C,3,FALSE)</f>
        <v>Services &amp; other</v>
      </c>
      <c r="H744" s="98" t="str">
        <f>VLOOKUP(F744,'GL Category'!A:C,2,FALSE)</f>
        <v>BANKING SERVICES CHARGES</v>
      </c>
      <c r="I744" s="99">
        <f>SUMIF(Import!$B:$B,$A744,Import!D:D)</f>
        <v>12815.63</v>
      </c>
      <c r="J744" s="99">
        <f>SUMIF(Import!$B:$B,$A744,Import!E:E)</f>
        <v>28429.64</v>
      </c>
      <c r="K744" s="99">
        <f>SUMIF(Import!$B:$B,$A744,Import!F:F)</f>
        <v>32859.31</v>
      </c>
      <c r="L744" s="99">
        <f>SUMIF(Import!$B:$B,$A744,Import!G:G)</f>
        <v>30348.81</v>
      </c>
      <c r="M744" s="99">
        <f>SUMIF(Import!$B:$B,$A744,Import!H:H)</f>
        <v>35000</v>
      </c>
      <c r="N744" s="99">
        <f>SUMIF(Import!$B:$B,$A744,Import!I:I)</f>
        <v>33203.43</v>
      </c>
      <c r="O744" s="99">
        <f>SUMIF(Import!$B:$B,$A744,Import!J:J)</f>
        <v>35000</v>
      </c>
      <c r="P744" s="99">
        <f t="shared" si="1107"/>
        <v>0</v>
      </c>
      <c r="Q744" s="99">
        <f>SUMIF(Import!$B:$B,$A744,Import!K:K)</f>
        <v>35000</v>
      </c>
      <c r="R744" s="99">
        <f>SUMIF(Import!$B:$B,$A744,Import!L:L)</f>
        <v>0</v>
      </c>
      <c r="S744" s="99">
        <f>SUMIF(Import!$B:$B,$A744,Import!M:M)</f>
        <v>0</v>
      </c>
      <c r="T744" s="99">
        <f>SUMIF(Import!$B:$B,$A744,Import!N:N)</f>
        <v>35000</v>
      </c>
      <c r="U744" s="99">
        <f t="shared" si="1108"/>
        <v>0</v>
      </c>
      <c r="V744" s="255">
        <f t="shared" si="1109"/>
        <v>0</v>
      </c>
      <c r="W744" s="102" t="s">
        <v>2540</v>
      </c>
      <c r="X744" s="102"/>
      <c r="Y744" s="102"/>
      <c r="Z744" s="617"/>
      <c r="AA744" s="615"/>
      <c r="AB744" s="307"/>
      <c r="AC744" s="300"/>
      <c r="AD744" s="300"/>
      <c r="AE744" s="300"/>
      <c r="AF744" s="300"/>
      <c r="AG744" s="300"/>
      <c r="AH744" s="307"/>
      <c r="AI744" s="307"/>
      <c r="AJ744" s="300"/>
      <c r="AK744" s="300"/>
      <c r="AL744" s="300"/>
      <c r="AM744" s="300"/>
      <c r="AN744" s="300"/>
      <c r="AO744" s="300"/>
      <c r="AP744" s="300"/>
      <c r="AQ744" s="300"/>
    </row>
    <row r="745" spans="1:59" s="115" customFormat="1" ht="15" customHeight="1">
      <c r="A745" s="555" t="s">
        <v>2541</v>
      </c>
      <c r="B745" s="217" t="str">
        <f t="shared" si="1102"/>
        <v>100</v>
      </c>
      <c r="C745" s="217" t="str">
        <f t="shared" si="1103"/>
        <v>20</v>
      </c>
      <c r="D745" s="101" t="str">
        <f t="shared" si="1104"/>
        <v>204</v>
      </c>
      <c r="E745" s="217" t="str">
        <f t="shared" si="1105"/>
        <v>100-20-204</v>
      </c>
      <c r="F745" s="294" t="str">
        <f t="shared" si="1106"/>
        <v>55175</v>
      </c>
      <c r="G745" s="295" t="str">
        <f>VLOOKUP(F745,'GL Category'!A:C,3,FALSE)</f>
        <v>Services &amp; other</v>
      </c>
      <c r="H745" s="98" t="str">
        <f>VLOOKUP(F745,'GL Category'!A:C,2,FALSE)</f>
        <v>VEHICLE/EQUIP LEASE EXP-CITY</v>
      </c>
      <c r="I745" s="99">
        <f>SUMIF(Import!$B:$B,$A745,Import!D:D)</f>
        <v>11062</v>
      </c>
      <c r="J745" s="99">
        <f>SUMIF(Import!$B:$B,$A745,Import!E:E)</f>
        <v>15650</v>
      </c>
      <c r="K745" s="99">
        <f>SUMIF(Import!$B:$B,$A745,Import!F:F)</f>
        <v>3277</v>
      </c>
      <c r="L745" s="99">
        <f>SUMIF(Import!$B:$B,$A745,Import!G:G)</f>
        <v>3277</v>
      </c>
      <c r="M745" s="99">
        <f>SUMIF(Import!$B:$B,$A745,Import!H:H)</f>
        <v>3277</v>
      </c>
      <c r="N745" s="99">
        <f>SUMIF(Import!$B:$B,$A745,Import!I:I)</f>
        <v>2457.75</v>
      </c>
      <c r="O745" s="99">
        <f>SUMIF(Import!$B:$B,$A745,Import!J:J)</f>
        <v>3277</v>
      </c>
      <c r="P745" s="99">
        <f t="shared" si="1107"/>
        <v>0</v>
      </c>
      <c r="Q745" s="99">
        <f>SUMIF(Import!$B:$B,$A745,Import!K:K)</f>
        <v>8104</v>
      </c>
      <c r="R745" s="99">
        <f>SUMIF(Import!$B:$B,$A745,Import!L:L)</f>
        <v>0</v>
      </c>
      <c r="S745" s="99">
        <f>SUMIF(Import!$B:$B,$A745,Import!M:M)</f>
        <v>0</v>
      </c>
      <c r="T745" s="99">
        <f>SUMIF(Import!$B:$B,$A745,Import!N:N)</f>
        <v>8104</v>
      </c>
      <c r="U745" s="99">
        <f t="shared" si="1108"/>
        <v>4827</v>
      </c>
      <c r="V745" s="255">
        <f t="shared" si="1109"/>
        <v>1.4729935916997254</v>
      </c>
      <c r="W745" s="102" t="s">
        <v>2541</v>
      </c>
      <c r="X745" s="102"/>
      <c r="Y745" s="102"/>
      <c r="Z745" s="192"/>
      <c r="AA745" s="615"/>
      <c r="AB745" s="307"/>
      <c r="AC745" s="300"/>
      <c r="AD745" s="300"/>
      <c r="AE745" s="300"/>
      <c r="AF745" s="300"/>
      <c r="AG745" s="300"/>
      <c r="AH745" s="307"/>
      <c r="AI745" s="307"/>
      <c r="AJ745" s="300"/>
      <c r="AK745" s="300"/>
      <c r="AL745" s="300"/>
      <c r="AM745" s="300"/>
      <c r="AN745" s="300"/>
      <c r="AO745" s="300"/>
      <c r="AP745" s="300"/>
      <c r="AQ745" s="300"/>
    </row>
    <row r="746" spans="1:59" s="115" customFormat="1" ht="15" customHeight="1">
      <c r="A746" s="555" t="s">
        <v>2542</v>
      </c>
      <c r="B746" s="217" t="str">
        <f t="shared" si="1102"/>
        <v>100</v>
      </c>
      <c r="C746" s="217" t="str">
        <f t="shared" si="1103"/>
        <v>20</v>
      </c>
      <c r="D746" s="101" t="str">
        <f t="shared" si="1104"/>
        <v>204</v>
      </c>
      <c r="E746" s="217" t="str">
        <f t="shared" si="1105"/>
        <v>100-20-204</v>
      </c>
      <c r="F746" s="294" t="str">
        <f t="shared" si="1106"/>
        <v>55119</v>
      </c>
      <c r="G746" s="295" t="str">
        <f>VLOOKUP(F746,'GL Category'!A:C,3,FALSE)</f>
        <v>Services &amp; other</v>
      </c>
      <c r="H746" s="98" t="str">
        <f>VLOOKUP(F746,'GL Category'!A:C,2,FALSE)</f>
        <v>OFFICE EQUIP LEASE EXP-CITY</v>
      </c>
      <c r="I746" s="99">
        <f>SUMIF(Import!$B:$B,$A746,Import!D:D)</f>
        <v>53864</v>
      </c>
      <c r="J746" s="99">
        <f>SUMIF(Import!$B:$B,$A746,Import!E:E)</f>
        <v>60712</v>
      </c>
      <c r="K746" s="99">
        <f>SUMIF(Import!$B:$B,$A746,Import!F:F)</f>
        <v>60618</v>
      </c>
      <c r="L746" s="99">
        <f>SUMIF(Import!$B:$B,$A746,Import!G:G)</f>
        <v>61767</v>
      </c>
      <c r="M746" s="99">
        <f>SUMIF(Import!$B:$B,$A746,Import!H:H)</f>
        <v>105550</v>
      </c>
      <c r="N746" s="99">
        <f>SUMIF(Import!$B:$B,$A746,Import!I:I)</f>
        <v>79162.5</v>
      </c>
      <c r="O746" s="99">
        <f>SUMIF(Import!$B:$B,$A746,Import!J:J)</f>
        <v>105550</v>
      </c>
      <c r="P746" s="99">
        <f t="shared" si="1107"/>
        <v>0</v>
      </c>
      <c r="Q746" s="99">
        <f>SUMIF(Import!$B:$B,$A746,Import!K:K)</f>
        <v>110762</v>
      </c>
      <c r="R746" s="99">
        <f>SUMIF(Import!$B:$B,$A746,Import!L:L)</f>
        <v>0</v>
      </c>
      <c r="S746" s="99">
        <f>SUMIF(Import!$B:$B,$A746,Import!M:M)</f>
        <v>0</v>
      </c>
      <c r="T746" s="99">
        <f>SUMIF(Import!$B:$B,$A746,Import!N:N)</f>
        <v>110762</v>
      </c>
      <c r="U746" s="99">
        <f t="shared" si="1108"/>
        <v>5212</v>
      </c>
      <c r="V746" s="255">
        <f t="shared" si="1109"/>
        <v>4.937944102321179E-2</v>
      </c>
      <c r="W746" s="102" t="s">
        <v>2542</v>
      </c>
      <c r="X746" s="102"/>
      <c r="Y746" s="102"/>
      <c r="Z746" s="192"/>
      <c r="AA746" s="615"/>
      <c r="AB746" s="307"/>
      <c r="AC746" s="300"/>
      <c r="AD746" s="300"/>
      <c r="AE746" s="300"/>
      <c r="AF746" s="300"/>
      <c r="AG746" s="300"/>
      <c r="AH746" s="307"/>
      <c r="AI746" s="307"/>
      <c r="AJ746" s="300"/>
      <c r="AK746" s="300"/>
      <c r="AL746" s="300"/>
      <c r="AM746" s="300"/>
      <c r="AN746" s="300"/>
      <c r="AO746" s="300"/>
      <c r="AP746" s="300"/>
      <c r="AQ746" s="300"/>
    </row>
    <row r="747" spans="1:59" ht="15" customHeight="1">
      <c r="A747" s="297"/>
      <c r="B747" s="217"/>
      <c r="C747" s="217"/>
      <c r="D747" s="101"/>
      <c r="E747" s="101"/>
      <c r="F747" s="294"/>
      <c r="G747" s="295"/>
      <c r="H747" s="107" t="str">
        <f>UPPER(G746)&amp;" TOTAL"</f>
        <v>SERVICES &amp; OTHER TOTAL</v>
      </c>
      <c r="I747" s="109">
        <f t="shared" ref="I747" si="1110">SUBTOTAL(9,I740:I746)</f>
        <v>269283.48000000004</v>
      </c>
      <c r="J747" s="109">
        <f t="shared" ref="J747:T747" si="1111">SUBTOTAL(9,J740:J746)</f>
        <v>350329.77999999997</v>
      </c>
      <c r="K747" s="109">
        <f t="shared" ref="K747" si="1112">SUBTOTAL(9,K740:K746)</f>
        <v>321921.07</v>
      </c>
      <c r="L747" s="109">
        <f t="shared" ref="L747" si="1113">SUBTOTAL(9,L740:L746)</f>
        <v>280470.06</v>
      </c>
      <c r="M747" s="109">
        <f t="shared" si="1111"/>
        <v>401812</v>
      </c>
      <c r="N747" s="109">
        <f t="shared" ref="N747" si="1114">SUBTOTAL(9,N740:N746)</f>
        <v>252689.8</v>
      </c>
      <c r="O747" s="109">
        <f t="shared" si="1111"/>
        <v>336812</v>
      </c>
      <c r="P747" s="109">
        <f t="shared" si="1111"/>
        <v>-65000</v>
      </c>
      <c r="Q747" s="109">
        <f t="shared" si="1111"/>
        <v>411851</v>
      </c>
      <c r="R747" s="109">
        <f t="shared" si="1111"/>
        <v>0</v>
      </c>
      <c r="S747" s="109">
        <f t="shared" si="1111"/>
        <v>0</v>
      </c>
      <c r="T747" s="109">
        <f t="shared" si="1111"/>
        <v>411851</v>
      </c>
      <c r="U747" s="99">
        <f>T747-M747</f>
        <v>10039</v>
      </c>
      <c r="V747" s="255">
        <f>IF(M747=0,"N/A",T747/M747-1)</f>
        <v>2.4984321025753431E-2</v>
      </c>
      <c r="W747" s="102"/>
      <c r="X747" s="102"/>
      <c r="Y747" s="102"/>
      <c r="Z747" s="88"/>
      <c r="AA747" s="616"/>
      <c r="AB747" s="623"/>
      <c r="AC747" s="94"/>
      <c r="AD747" s="94"/>
      <c r="AE747" s="94"/>
      <c r="AF747" s="94"/>
      <c r="AG747" s="94"/>
      <c r="AH747" s="623"/>
      <c r="AI747" s="623"/>
      <c r="AJ747" s="94"/>
      <c r="AK747" s="94"/>
      <c r="AL747" s="94"/>
      <c r="AM747" s="94"/>
      <c r="AN747" s="94"/>
      <c r="AO747" s="94"/>
      <c r="AP747" s="94"/>
      <c r="AQ747" s="94"/>
      <c r="AR747" s="68"/>
      <c r="AS747" s="68"/>
      <c r="AT747" s="68"/>
      <c r="AU747" s="68"/>
      <c r="AV747" s="68"/>
      <c r="AW747" s="68"/>
      <c r="AX747" s="68"/>
      <c r="AY747" s="68"/>
      <c r="AZ747" s="68"/>
      <c r="BA747" s="68"/>
      <c r="BB747" s="68"/>
      <c r="BC747" s="68"/>
      <c r="BD747" s="68"/>
      <c r="BE747" s="68"/>
      <c r="BF747" s="68"/>
      <c r="BG747" s="68"/>
    </row>
    <row r="748" spans="1:59" s="115" customFormat="1" ht="15" customHeight="1">
      <c r="A748" s="297"/>
      <c r="B748" s="217"/>
      <c r="C748" s="217"/>
      <c r="D748" s="101"/>
      <c r="E748" s="101"/>
      <c r="F748" s="294"/>
      <c r="G748" s="295"/>
      <c r="H748" s="232"/>
      <c r="I748" s="233"/>
      <c r="J748" s="233"/>
      <c r="K748" s="233"/>
      <c r="L748" s="233"/>
      <c r="M748" s="233"/>
      <c r="N748" s="202"/>
      <c r="O748" s="202"/>
      <c r="P748" s="202"/>
      <c r="Q748" s="202"/>
      <c r="R748" s="202"/>
      <c r="S748" s="202"/>
      <c r="T748" s="202"/>
      <c r="U748" s="99"/>
      <c r="V748" s="255"/>
      <c r="W748" s="102"/>
      <c r="X748" s="102"/>
      <c r="Y748" s="102"/>
      <c r="Z748" s="192"/>
      <c r="AA748" s="615"/>
      <c r="AB748" s="307"/>
      <c r="AC748" s="93"/>
      <c r="AD748" s="93"/>
      <c r="AE748" s="93"/>
      <c r="AF748" s="93"/>
      <c r="AG748" s="93"/>
      <c r="AH748" s="307"/>
      <c r="AI748" s="307"/>
      <c r="AJ748" s="93"/>
      <c r="AK748" s="93"/>
      <c r="AL748" s="93"/>
      <c r="AM748" s="93"/>
      <c r="AN748" s="93"/>
      <c r="AO748" s="93"/>
      <c r="AP748" s="93"/>
      <c r="AQ748" s="93"/>
    </row>
    <row r="749" spans="1:59" s="115" customFormat="1" ht="15" customHeight="1">
      <c r="A749" s="555"/>
      <c r="B749" s="217" t="str">
        <f t="shared" ref="B749" si="1115">LEFT(A749,3)</f>
        <v/>
      </c>
      <c r="C749" s="217" t="str">
        <f t="shared" ref="C749" si="1116">MID(A749,5,2)</f>
        <v/>
      </c>
      <c r="D749" s="101" t="str">
        <f t="shared" ref="D749" si="1117">MID(A749,8,3)</f>
        <v/>
      </c>
      <c r="E749" s="217" t="str">
        <f t="shared" ref="E749" si="1118">LEFT(A749,10)</f>
        <v/>
      </c>
      <c r="F749" s="294" t="str">
        <f t="shared" ref="F749" si="1119">RIGHT(A749,5)</f>
        <v/>
      </c>
      <c r="G749" s="295" t="e">
        <f>VLOOKUP(F749,'GL Category'!A:C,3,FALSE)</f>
        <v>#N/A</v>
      </c>
      <c r="H749" s="98" t="e">
        <f>VLOOKUP(F749,'GL Category'!A:C,2,FALSE)</f>
        <v>#N/A</v>
      </c>
      <c r="I749" s="99">
        <f>SUMIF(Import!$B:$B,$A749,Import!D:D)</f>
        <v>0</v>
      </c>
      <c r="J749" s="99">
        <f>SUMIF(Import!$B:$B,$A749,Import!E:E)</f>
        <v>0</v>
      </c>
      <c r="K749" s="99">
        <f>SUMIF(Import!$B:$B,$A749,Import!F:F)</f>
        <v>0</v>
      </c>
      <c r="L749" s="99">
        <f>SUMIF(Import!$B:$B,$A749,Import!G:G)</f>
        <v>0</v>
      </c>
      <c r="M749" s="99">
        <f>SUMIF(Import!$B:$B,$A749,Import!H:H)</f>
        <v>0</v>
      </c>
      <c r="N749" s="99">
        <f>SUMIF(Import!$B:$B,$A749,Import!I:I)</f>
        <v>0</v>
      </c>
      <c r="O749" s="99">
        <f>SUMIF(Import!$B:$B,$A749,Import!J:J)</f>
        <v>0</v>
      </c>
      <c r="P749" s="99">
        <f t="shared" ref="P749" si="1120">O749-M749</f>
        <v>0</v>
      </c>
      <c r="Q749" s="99">
        <f>SUMIF(Import!$B:$B,$A749,Import!K:K)</f>
        <v>0</v>
      </c>
      <c r="R749" s="99">
        <f>SUMIF(Import!$B:$B,$A749,Import!L:L)</f>
        <v>0</v>
      </c>
      <c r="S749" s="99">
        <f>SUMIF(Import!$B:$B,$A749,Import!M:M)</f>
        <v>0</v>
      </c>
      <c r="T749" s="99">
        <f>SUMIF(Import!$B:$B,$A749,Import!N:N)</f>
        <v>0</v>
      </c>
      <c r="U749" s="99">
        <f t="shared" ref="U749" si="1121">T749-M749</f>
        <v>0</v>
      </c>
      <c r="V749" s="255" t="str">
        <f t="shared" ref="V749" si="1122">IF(M749=0,"N/A",T749/M749-1)</f>
        <v>N/A</v>
      </c>
      <c r="W749" s="102" t="s">
        <v>2535</v>
      </c>
      <c r="X749" s="102"/>
      <c r="Y749" s="102"/>
      <c r="Z749" s="192"/>
      <c r="AA749" s="615"/>
      <c r="AB749" s="307"/>
      <c r="AC749" s="300"/>
      <c r="AD749" s="300"/>
      <c r="AE749" s="300"/>
      <c r="AF749" s="300"/>
      <c r="AG749" s="300"/>
      <c r="AH749" s="307"/>
      <c r="AI749" s="307"/>
      <c r="AJ749" s="300"/>
      <c r="AK749" s="300"/>
      <c r="AL749" s="300"/>
      <c r="AM749" s="300"/>
      <c r="AN749" s="300"/>
      <c r="AO749" s="300"/>
      <c r="AP749" s="300"/>
      <c r="AQ749" s="300"/>
    </row>
    <row r="750" spans="1:59" s="115" customFormat="1" ht="15" customHeight="1">
      <c r="A750" s="297"/>
      <c r="B750" s="217"/>
      <c r="C750" s="217"/>
      <c r="D750" s="101"/>
      <c r="E750" s="101"/>
      <c r="F750" s="294"/>
      <c r="G750" s="295"/>
      <c r="H750" s="107" t="e">
        <f>UPPER(G749)&amp;" TOTAL"</f>
        <v>#N/A</v>
      </c>
      <c r="I750" s="109">
        <f t="shared" ref="I750" si="1123">SUBTOTAL(9,I749)</f>
        <v>0</v>
      </c>
      <c r="J750" s="109">
        <f t="shared" ref="J750:T750" si="1124">SUBTOTAL(9,J749)</f>
        <v>0</v>
      </c>
      <c r="K750" s="109">
        <f t="shared" ref="K750" si="1125">SUBTOTAL(9,K749)</f>
        <v>0</v>
      </c>
      <c r="L750" s="109">
        <f t="shared" ref="L750" si="1126">SUBTOTAL(9,L749)</f>
        <v>0</v>
      </c>
      <c r="M750" s="109">
        <f t="shared" si="1124"/>
        <v>0</v>
      </c>
      <c r="N750" s="109">
        <f t="shared" ref="N750" si="1127">SUBTOTAL(9,N749)</f>
        <v>0</v>
      </c>
      <c r="O750" s="109">
        <f t="shared" si="1124"/>
        <v>0</v>
      </c>
      <c r="P750" s="109">
        <f t="shared" si="1124"/>
        <v>0</v>
      </c>
      <c r="Q750" s="109">
        <f t="shared" si="1124"/>
        <v>0</v>
      </c>
      <c r="R750" s="109">
        <f t="shared" si="1124"/>
        <v>0</v>
      </c>
      <c r="S750" s="109">
        <f t="shared" si="1124"/>
        <v>0</v>
      </c>
      <c r="T750" s="109">
        <f t="shared" si="1124"/>
        <v>0</v>
      </c>
      <c r="U750" s="99">
        <f>T750-M750</f>
        <v>0</v>
      </c>
      <c r="V750" s="255" t="str">
        <f>IF(M750=0,"N/A",T750/M750-1)</f>
        <v>N/A</v>
      </c>
      <c r="W750" s="102"/>
      <c r="X750" s="102"/>
      <c r="Y750" s="102"/>
      <c r="Z750" s="192"/>
      <c r="AA750" s="615"/>
      <c r="AB750" s="307"/>
      <c r="AC750" s="94"/>
      <c r="AD750" s="94"/>
      <c r="AE750" s="94"/>
      <c r="AF750" s="94"/>
      <c r="AG750" s="94"/>
      <c r="AH750" s="307"/>
      <c r="AI750" s="307"/>
      <c r="AJ750" s="94"/>
      <c r="AK750" s="94"/>
      <c r="AL750" s="94"/>
      <c r="AM750" s="94"/>
      <c r="AN750" s="94"/>
      <c r="AO750" s="94"/>
      <c r="AP750" s="94"/>
      <c r="AQ750" s="94"/>
    </row>
    <row r="751" spans="1:59" s="115" customFormat="1" ht="15" customHeight="1">
      <c r="A751" s="297"/>
      <c r="B751" s="217"/>
      <c r="C751" s="217"/>
      <c r="D751" s="101"/>
      <c r="E751" s="101"/>
      <c r="F751" s="294"/>
      <c r="G751" s="295"/>
      <c r="H751" s="232"/>
      <c r="I751" s="233"/>
      <c r="J751" s="233"/>
      <c r="K751" s="233"/>
      <c r="L751" s="233"/>
      <c r="M751" s="233"/>
      <c r="N751" s="202"/>
      <c r="O751" s="202"/>
      <c r="P751" s="202"/>
      <c r="Q751" s="202"/>
      <c r="R751" s="202"/>
      <c r="S751" s="202"/>
      <c r="T751" s="202"/>
      <c r="U751" s="99"/>
      <c r="V751" s="255"/>
      <c r="W751" s="102"/>
      <c r="X751" s="102"/>
      <c r="Y751" s="102"/>
      <c r="Z751" s="192"/>
      <c r="AA751" s="615"/>
      <c r="AB751" s="307"/>
      <c r="AC751" s="93"/>
      <c r="AD751" s="93"/>
      <c r="AE751" s="93"/>
      <c r="AF751" s="93"/>
      <c r="AG751" s="93"/>
      <c r="AH751" s="307"/>
      <c r="AI751" s="307"/>
      <c r="AJ751" s="93"/>
      <c r="AK751" s="93"/>
      <c r="AL751" s="93"/>
      <c r="AM751" s="93"/>
      <c r="AN751" s="93"/>
      <c r="AO751" s="93"/>
      <c r="AP751" s="93"/>
      <c r="AQ751" s="93"/>
    </row>
    <row r="752" spans="1:59" ht="15" customHeight="1">
      <c r="A752" s="297"/>
      <c r="B752" s="217"/>
      <c r="C752" s="217"/>
      <c r="D752" s="101"/>
      <c r="E752" s="101"/>
      <c r="F752" s="294"/>
      <c r="G752" s="295"/>
      <c r="H752" s="114" t="s">
        <v>763</v>
      </c>
      <c r="I752" s="108">
        <f t="shared" ref="I752" si="1128">SUBTOTAL(9,I721:I750)</f>
        <v>842840.38000000024</v>
      </c>
      <c r="J752" s="108">
        <f t="shared" ref="J752:T752" si="1129">SUBTOTAL(9,J721:J750)</f>
        <v>715429.15000000014</v>
      </c>
      <c r="K752" s="108">
        <f t="shared" ref="K752" si="1130">SUBTOTAL(9,K721:K750)</f>
        <v>675280.37000000011</v>
      </c>
      <c r="L752" s="108">
        <f t="shared" ref="L752" si="1131">SUBTOTAL(9,L721:L750)</f>
        <v>654620.9800000001</v>
      </c>
      <c r="M752" s="108">
        <f t="shared" si="1129"/>
        <v>769701</v>
      </c>
      <c r="N752" s="108">
        <f t="shared" ref="N752" si="1132">SUBTOTAL(9,N721:N750)</f>
        <v>523619.01000000007</v>
      </c>
      <c r="O752" s="108">
        <f t="shared" si="1129"/>
        <v>695714</v>
      </c>
      <c r="P752" s="108">
        <f t="shared" si="1129"/>
        <v>-73987</v>
      </c>
      <c r="Q752" s="108">
        <f t="shared" si="1129"/>
        <v>782754</v>
      </c>
      <c r="R752" s="108">
        <f t="shared" si="1129"/>
        <v>0</v>
      </c>
      <c r="S752" s="108">
        <f t="shared" si="1129"/>
        <v>0</v>
      </c>
      <c r="T752" s="108">
        <f t="shared" si="1129"/>
        <v>782754</v>
      </c>
      <c r="U752" s="99">
        <f>T752-M752</f>
        <v>13053</v>
      </c>
      <c r="V752" s="255">
        <f>IF(M752=0,"N/A",T752/M752-1)</f>
        <v>1.6958533248625063E-2</v>
      </c>
      <c r="W752" s="102"/>
      <c r="X752" s="102"/>
      <c r="Y752" s="102"/>
      <c r="AA752" s="615"/>
      <c r="AC752" s="300"/>
      <c r="AD752" s="300"/>
      <c r="AE752" s="300"/>
      <c r="AF752" s="300"/>
      <c r="AG752" s="300"/>
      <c r="AJ752" s="300"/>
      <c r="AK752" s="300"/>
      <c r="AL752" s="300"/>
      <c r="AM752" s="300"/>
      <c r="AN752" s="300"/>
      <c r="AO752" s="300"/>
      <c r="AP752" s="300"/>
      <c r="AQ752" s="300"/>
    </row>
    <row r="753" spans="1:43" s="115" customFormat="1" ht="15" customHeight="1" thickBot="1">
      <c r="A753" s="297"/>
      <c r="B753" s="217"/>
      <c r="C753" s="217"/>
      <c r="D753" s="101"/>
      <c r="E753" s="101"/>
      <c r="F753" s="294"/>
      <c r="G753" s="295"/>
      <c r="H753" s="89"/>
      <c r="I753" s="233"/>
      <c r="J753" s="233"/>
      <c r="K753" s="233"/>
      <c r="L753" s="233"/>
      <c r="M753" s="233"/>
      <c r="N753" s="233"/>
      <c r="O753" s="233"/>
      <c r="P753" s="233"/>
      <c r="Q753" s="233"/>
      <c r="R753" s="233"/>
      <c r="S753" s="233"/>
      <c r="T753" s="233"/>
      <c r="U753" s="99"/>
      <c r="V753" s="255"/>
      <c r="W753" s="102"/>
      <c r="X753" s="102"/>
      <c r="Y753" s="102"/>
      <c r="Z753" s="192"/>
      <c r="AA753" s="615"/>
      <c r="AB753" s="307"/>
      <c r="AC753" s="300"/>
      <c r="AD753" s="300"/>
      <c r="AE753" s="300"/>
      <c r="AF753" s="300"/>
      <c r="AG753" s="300"/>
      <c r="AH753" s="307"/>
      <c r="AI753" s="307"/>
      <c r="AJ753" s="300"/>
      <c r="AK753" s="300"/>
      <c r="AL753" s="300"/>
      <c r="AM753" s="300"/>
      <c r="AN753" s="300"/>
      <c r="AO753" s="300"/>
      <c r="AP753" s="300"/>
      <c r="AQ753" s="300"/>
    </row>
    <row r="754" spans="1:43" s="115" customFormat="1" ht="23.25" customHeight="1" thickBot="1">
      <c r="A754" s="297"/>
      <c r="B754" s="217"/>
      <c r="C754" s="217"/>
      <c r="D754" s="101"/>
      <c r="E754" s="101"/>
      <c r="F754" s="294"/>
      <c r="G754" s="295"/>
      <c r="H754" s="665" t="s">
        <v>1119</v>
      </c>
      <c r="I754" s="666"/>
      <c r="J754" s="666"/>
      <c r="K754" s="666"/>
      <c r="L754" s="666"/>
      <c r="M754" s="666"/>
      <c r="N754" s="666"/>
      <c r="O754" s="666"/>
      <c r="P754" s="666"/>
      <c r="Q754" s="666"/>
      <c r="R754" s="666"/>
      <c r="S754" s="666"/>
      <c r="T754" s="667"/>
      <c r="U754" s="99"/>
      <c r="V754" s="255"/>
      <c r="W754" s="102"/>
      <c r="X754" s="102"/>
      <c r="Y754" s="102"/>
      <c r="Z754" s="192"/>
      <c r="AA754" s="615"/>
      <c r="AB754" s="307"/>
      <c r="AC754" s="300"/>
      <c r="AD754" s="300"/>
      <c r="AE754" s="300"/>
      <c r="AF754" s="300"/>
      <c r="AG754" s="300"/>
      <c r="AH754" s="307"/>
      <c r="AI754" s="307"/>
      <c r="AJ754" s="300"/>
      <c r="AK754" s="300"/>
      <c r="AL754" s="300"/>
      <c r="AM754" s="300"/>
      <c r="AN754" s="300"/>
      <c r="AO754" s="300"/>
      <c r="AP754" s="300"/>
      <c r="AQ754" s="300"/>
    </row>
    <row r="755" spans="1:43" s="115" customFormat="1" ht="15" customHeight="1">
      <c r="A755" s="297"/>
      <c r="B755" s="217"/>
      <c r="C755" s="217"/>
      <c r="D755" s="101"/>
      <c r="E755" s="101"/>
      <c r="F755" s="294"/>
      <c r="G755" s="295"/>
      <c r="H755" s="225"/>
      <c r="I755" s="99">
        <f>SUMIF(Import!$B:$B,$A755,Import!D:D)</f>
        <v>0</v>
      </c>
      <c r="J755" s="99">
        <f>SUMIF(Import!$B:$B,$A755,Import!E:E)</f>
        <v>0</v>
      </c>
      <c r="K755" s="99">
        <f>SUMIF(Import!$B:$B,$A755,Import!F:F)</f>
        <v>0</v>
      </c>
      <c r="L755" s="99">
        <f>SUMIF(Import!$B:$B,$A755,Import!G:G)</f>
        <v>0</v>
      </c>
      <c r="M755" s="99">
        <f>SUMIF(Import!$B:$B,$A755,Import!H:H)</f>
        <v>0</v>
      </c>
      <c r="N755" s="99">
        <f>SUMIF(Import!$B:$B,$A755,Import!I:I)</f>
        <v>0</v>
      </c>
      <c r="O755" s="99">
        <f>SUMIF(Import!$B:$B,$A755,Import!J:J)</f>
        <v>0</v>
      </c>
      <c r="P755" s="99">
        <f t="shared" ref="P755:P763" si="1133">O755-M755</f>
        <v>0</v>
      </c>
      <c r="Q755" s="99">
        <f>SUMIF(Import!$B:$B,$A755,Import!K:K)</f>
        <v>0</v>
      </c>
      <c r="R755" s="99">
        <f>SUMIF(Import!$B:$B,$A755,Import!L:L)</f>
        <v>0</v>
      </c>
      <c r="S755" s="99">
        <f>SUMIF(Import!$B:$B,$A755,Import!M:M)</f>
        <v>0</v>
      </c>
      <c r="T755" s="99">
        <f>SUMIF(Import!$B:$B,$A755,Import!N:N)</f>
        <v>0</v>
      </c>
      <c r="U755" s="99">
        <f t="shared" ref="U755:U763" si="1134">T755-M755</f>
        <v>0</v>
      </c>
      <c r="V755" s="255" t="str">
        <f t="shared" ref="V755:V763" si="1135">IF(M755=0,"N/A",T755/M755-1)</f>
        <v>N/A</v>
      </c>
      <c r="W755" s="102"/>
      <c r="X755" s="102"/>
      <c r="Y755" s="102"/>
      <c r="Z755" s="192"/>
      <c r="AA755" s="615"/>
      <c r="AB755" s="307"/>
      <c r="AC755" s="300"/>
      <c r="AD755" s="300"/>
      <c r="AE755" s="300"/>
      <c r="AF755" s="300"/>
      <c r="AG755" s="300"/>
      <c r="AH755" s="307"/>
      <c r="AI755" s="307"/>
      <c r="AJ755" s="300"/>
      <c r="AK755" s="300"/>
      <c r="AL755" s="300"/>
      <c r="AM755" s="300"/>
      <c r="AN755" s="300"/>
      <c r="AO755" s="300"/>
      <c r="AP755" s="300"/>
      <c r="AQ755" s="300"/>
    </row>
    <row r="756" spans="1:43" s="115" customFormat="1" ht="15" customHeight="1">
      <c r="A756" s="555" t="s">
        <v>2543</v>
      </c>
      <c r="B756" s="217" t="str">
        <f t="shared" ref="B756:B780" si="1136">LEFT(A756,3)</f>
        <v>100</v>
      </c>
      <c r="C756" s="217" t="str">
        <f t="shared" ref="C756:C799" si="1137">MID(A756,5,2)</f>
        <v>20</v>
      </c>
      <c r="D756" s="101" t="str">
        <f t="shared" ref="D756:D780" si="1138">MID(A756,8,3)</f>
        <v>208</v>
      </c>
      <c r="E756" s="217" t="str">
        <f t="shared" ref="E756:E780" si="1139">LEFT(A756,10)</f>
        <v>100-20-208</v>
      </c>
      <c r="F756" s="294" t="str">
        <f t="shared" ref="F756:F780" si="1140">RIGHT(A756,5)</f>
        <v>50101</v>
      </c>
      <c r="G756" s="295" t="str">
        <f>VLOOKUP(F756,'GL Category'!A:C,3,FALSE)</f>
        <v>Personnel services</v>
      </c>
      <c r="H756" s="98" t="str">
        <f>VLOOKUP(F756,'GL Category'!A:C,2,FALSE)</f>
        <v>EXEMPT SALARIES</v>
      </c>
      <c r="I756" s="99">
        <f>SUMIF(Import!$B:$B,$A756,Import!D:D)</f>
        <v>0</v>
      </c>
      <c r="J756" s="99">
        <f>SUMIF(Import!$B:$B,$A756,Import!E:E)</f>
        <v>77194.44</v>
      </c>
      <c r="K756" s="99">
        <f>SUMIF(Import!$B:$B,$A756,Import!F:F)</f>
        <v>76656</v>
      </c>
      <c r="L756" s="99">
        <f>SUMIF(Import!$B:$B,$A756,Import!G:G)</f>
        <v>79712.62</v>
      </c>
      <c r="M756" s="99">
        <f>SUMIF(Import!$B:$B,$A756,Import!H:H)</f>
        <v>81016</v>
      </c>
      <c r="N756" s="99">
        <f>SUMIF(Import!$B:$B,$A756,Import!I:I)</f>
        <v>62091.44</v>
      </c>
      <c r="O756" s="99">
        <f>SUMIF(Import!$B:$B,$A756,Import!J:J)</f>
        <v>81510</v>
      </c>
      <c r="P756" s="99">
        <f t="shared" si="1133"/>
        <v>494</v>
      </c>
      <c r="Q756" s="99">
        <f>SUMIF(Import!$B:$B,$A756,Import!K:K)</f>
        <v>84292</v>
      </c>
      <c r="R756" s="99">
        <f>SUMIF(Import!$B:$B,$A756,Import!L:L)</f>
        <v>0</v>
      </c>
      <c r="S756" s="99">
        <f>SUMIF(Import!$B:$B,$A756,Import!M:M)</f>
        <v>0</v>
      </c>
      <c r="T756" s="99">
        <f>SUMIF(Import!$B:$B,$A756,Import!N:N)</f>
        <v>84292</v>
      </c>
      <c r="U756" s="99">
        <f t="shared" si="1134"/>
        <v>3276</v>
      </c>
      <c r="V756" s="255">
        <f t="shared" si="1135"/>
        <v>4.043645699614884E-2</v>
      </c>
      <c r="W756" s="102" t="s">
        <v>2543</v>
      </c>
      <c r="X756" s="102"/>
      <c r="Y756" s="102"/>
      <c r="Z756" s="192"/>
      <c r="AA756" s="615"/>
      <c r="AB756" s="307"/>
      <c r="AC756" s="300"/>
      <c r="AD756" s="300"/>
      <c r="AE756" s="300"/>
      <c r="AF756" s="300"/>
      <c r="AG756" s="300"/>
      <c r="AH756" s="307"/>
      <c r="AI756" s="307"/>
      <c r="AJ756" s="300"/>
      <c r="AK756" s="300"/>
      <c r="AL756" s="300"/>
      <c r="AM756" s="300"/>
      <c r="AN756" s="300"/>
      <c r="AO756" s="300"/>
      <c r="AP756" s="300"/>
      <c r="AQ756" s="300"/>
    </row>
    <row r="757" spans="1:43" s="115" customFormat="1" ht="15" customHeight="1">
      <c r="A757" s="555" t="s">
        <v>2544</v>
      </c>
      <c r="B757" s="217" t="str">
        <f t="shared" si="1136"/>
        <v>100</v>
      </c>
      <c r="C757" s="217" t="str">
        <f t="shared" si="1137"/>
        <v>20</v>
      </c>
      <c r="D757" s="101" t="str">
        <f t="shared" si="1138"/>
        <v>208</v>
      </c>
      <c r="E757" s="217" t="str">
        <f t="shared" si="1139"/>
        <v>100-20-208</v>
      </c>
      <c r="F757" s="294" t="str">
        <f t="shared" si="1140"/>
        <v>50102</v>
      </c>
      <c r="G757" s="295" t="str">
        <f>VLOOKUP(F757,'GL Category'!A:C,3,FALSE)</f>
        <v>Personnel services</v>
      </c>
      <c r="H757" s="98" t="str">
        <f>VLOOKUP(F757,'GL Category'!A:C,2,FALSE)</f>
        <v>NON EXEMPT SALARIES</v>
      </c>
      <c r="I757" s="99">
        <f>SUMIF(Import!$B:$B,$A757,Import!D:D)</f>
        <v>0</v>
      </c>
      <c r="J757" s="99">
        <f>SUMIF(Import!$B:$B,$A757,Import!E:E)</f>
        <v>99564.67</v>
      </c>
      <c r="K757" s="99">
        <f>SUMIF(Import!$B:$B,$A757,Import!F:F)</f>
        <v>102099.46</v>
      </c>
      <c r="L757" s="99">
        <f>SUMIF(Import!$B:$B,$A757,Import!G:G)</f>
        <v>106204.41</v>
      </c>
      <c r="M757" s="99">
        <f>SUMIF(Import!$B:$B,$A757,Import!H:H)</f>
        <v>110335</v>
      </c>
      <c r="N757" s="99">
        <f>SUMIF(Import!$B:$B,$A757,Import!I:I)</f>
        <v>84665.32</v>
      </c>
      <c r="O757" s="99">
        <f>SUMIF(Import!$B:$B,$A757,Import!J:J)</f>
        <v>111073</v>
      </c>
      <c r="P757" s="99">
        <f t="shared" si="1133"/>
        <v>738</v>
      </c>
      <c r="Q757" s="99">
        <f>SUMIF(Import!$B:$B,$A757,Import!K:K)</f>
        <v>114870</v>
      </c>
      <c r="R757" s="99">
        <f>SUMIF(Import!$B:$B,$A757,Import!L:L)</f>
        <v>0</v>
      </c>
      <c r="S757" s="99">
        <f>SUMIF(Import!$B:$B,$A757,Import!M:M)</f>
        <v>0</v>
      </c>
      <c r="T757" s="99">
        <f>SUMIF(Import!$B:$B,$A757,Import!N:N)</f>
        <v>114870</v>
      </c>
      <c r="U757" s="99">
        <f t="shared" si="1134"/>
        <v>4535</v>
      </c>
      <c r="V757" s="255">
        <f t="shared" si="1135"/>
        <v>4.110209815561694E-2</v>
      </c>
      <c r="W757" s="102" t="s">
        <v>2544</v>
      </c>
      <c r="X757" s="102"/>
      <c r="Y757" s="102"/>
      <c r="Z757" s="192"/>
      <c r="AA757" s="615"/>
      <c r="AB757" s="307"/>
      <c r="AC757" s="300"/>
      <c r="AD757" s="300"/>
      <c r="AE757" s="300"/>
      <c r="AF757" s="300"/>
      <c r="AG757" s="300"/>
      <c r="AH757" s="307"/>
      <c r="AI757" s="307"/>
      <c r="AJ757" s="300"/>
      <c r="AK757" s="300"/>
      <c r="AL757" s="300"/>
      <c r="AM757" s="300"/>
      <c r="AN757" s="300"/>
      <c r="AO757" s="300"/>
      <c r="AP757" s="300"/>
      <c r="AQ757" s="300"/>
    </row>
    <row r="758" spans="1:43" s="115" customFormat="1" ht="15" customHeight="1">
      <c r="A758" s="555" t="s">
        <v>2545</v>
      </c>
      <c r="B758" s="217" t="str">
        <f t="shared" si="1136"/>
        <v>100</v>
      </c>
      <c r="C758" s="217" t="str">
        <f t="shared" si="1137"/>
        <v>20</v>
      </c>
      <c r="D758" s="101" t="str">
        <f t="shared" si="1138"/>
        <v>208</v>
      </c>
      <c r="E758" s="217" t="str">
        <f t="shared" si="1139"/>
        <v>100-20-208</v>
      </c>
      <c r="F758" s="294" t="str">
        <f t="shared" si="1140"/>
        <v>50109</v>
      </c>
      <c r="G758" s="295" t="str">
        <f>VLOOKUP(F758,'GL Category'!A:C,3,FALSE)</f>
        <v>Personnel services</v>
      </c>
      <c r="H758" s="98" t="str">
        <f>VLOOKUP(F758,'GL Category'!A:C,2,FALSE)</f>
        <v>OVERTIME</v>
      </c>
      <c r="I758" s="99">
        <f>SUMIF(Import!$B:$B,$A758,Import!D:D)</f>
        <v>0</v>
      </c>
      <c r="J758" s="99">
        <f>SUMIF(Import!$B:$B,$A758,Import!E:E)</f>
        <v>2750.12</v>
      </c>
      <c r="K758" s="99">
        <f>SUMIF(Import!$B:$B,$A758,Import!F:F)</f>
        <v>1631.6</v>
      </c>
      <c r="L758" s="99">
        <f>SUMIF(Import!$B:$B,$A758,Import!G:G)</f>
        <v>5329.99</v>
      </c>
      <c r="M758" s="99">
        <f>SUMIF(Import!$B:$B,$A758,Import!H:H)</f>
        <v>8344</v>
      </c>
      <c r="N758" s="99">
        <f>SUMIF(Import!$B:$B,$A758,Import!I:I)</f>
        <v>952.27</v>
      </c>
      <c r="O758" s="99">
        <f>SUMIF(Import!$B:$B,$A758,Import!J:J)</f>
        <v>1403</v>
      </c>
      <c r="P758" s="99">
        <f t="shared" si="1133"/>
        <v>-6941</v>
      </c>
      <c r="Q758" s="99">
        <f>SUMIF(Import!$B:$B,$A758,Import!K:K)</f>
        <v>8344</v>
      </c>
      <c r="R758" s="99">
        <f>SUMIF(Import!$B:$B,$A758,Import!L:L)</f>
        <v>0</v>
      </c>
      <c r="S758" s="99">
        <f>SUMIF(Import!$B:$B,$A758,Import!M:M)</f>
        <v>0</v>
      </c>
      <c r="T758" s="99">
        <f>SUMIF(Import!$B:$B,$A758,Import!N:N)</f>
        <v>8344</v>
      </c>
      <c r="U758" s="99">
        <f t="shared" si="1134"/>
        <v>0</v>
      </c>
      <c r="V758" s="255">
        <f t="shared" si="1135"/>
        <v>0</v>
      </c>
      <c r="W758" s="102" t="s">
        <v>2545</v>
      </c>
      <c r="X758" s="102"/>
      <c r="Y758" s="102"/>
      <c r="Z758" s="192"/>
      <c r="AA758" s="615"/>
      <c r="AB758" s="307"/>
      <c r="AC758" s="300"/>
      <c r="AD758" s="300"/>
      <c r="AE758" s="300"/>
      <c r="AF758" s="300"/>
      <c r="AG758" s="300"/>
      <c r="AH758" s="307"/>
      <c r="AI758" s="307"/>
      <c r="AJ758" s="300"/>
      <c r="AK758" s="300"/>
      <c r="AL758" s="300"/>
      <c r="AM758" s="300"/>
      <c r="AN758" s="300"/>
      <c r="AO758" s="300"/>
      <c r="AP758" s="300"/>
      <c r="AQ758" s="300"/>
    </row>
    <row r="759" spans="1:43" s="115" customFormat="1" ht="15" customHeight="1">
      <c r="A759" s="555" t="s">
        <v>2546</v>
      </c>
      <c r="B759" s="217" t="str">
        <f t="shared" si="1136"/>
        <v>100</v>
      </c>
      <c r="C759" s="217" t="str">
        <f t="shared" si="1137"/>
        <v>20</v>
      </c>
      <c r="D759" s="101" t="str">
        <f t="shared" si="1138"/>
        <v>208</v>
      </c>
      <c r="E759" s="217" t="str">
        <f t="shared" si="1139"/>
        <v>100-20-208</v>
      </c>
      <c r="F759" s="294" t="str">
        <f t="shared" si="1140"/>
        <v>50111</v>
      </c>
      <c r="G759" s="295" t="str">
        <f>VLOOKUP(F759,'GL Category'!A:C,3,FALSE)</f>
        <v>Personnel services</v>
      </c>
      <c r="H759" s="98" t="str">
        <f>VLOOKUP(F759,'GL Category'!A:C,2,FALSE)</f>
        <v>LONGEVITY PAY</v>
      </c>
      <c r="I759" s="99">
        <f>SUMIF(Import!$B:$B,$A759,Import!D:D)</f>
        <v>0</v>
      </c>
      <c r="J759" s="99">
        <f>SUMIF(Import!$B:$B,$A759,Import!E:E)</f>
        <v>2480</v>
      </c>
      <c r="K759" s="99">
        <f>SUMIF(Import!$B:$B,$A759,Import!F:F)</f>
        <v>2660</v>
      </c>
      <c r="L759" s="99">
        <f>SUMIF(Import!$B:$B,$A759,Import!G:G)</f>
        <v>2840</v>
      </c>
      <c r="M759" s="99">
        <f>SUMIF(Import!$B:$B,$A759,Import!H:H)</f>
        <v>3064</v>
      </c>
      <c r="N759" s="99">
        <f>SUMIF(Import!$B:$B,$A759,Import!I:I)</f>
        <v>3020</v>
      </c>
      <c r="O759" s="99">
        <f>SUMIF(Import!$B:$B,$A759,Import!J:J)</f>
        <v>3020</v>
      </c>
      <c r="P759" s="99">
        <f t="shared" si="1133"/>
        <v>-44</v>
      </c>
      <c r="Q759" s="99">
        <f>SUMIF(Import!$B:$B,$A759,Import!K:K)</f>
        <v>3247</v>
      </c>
      <c r="R759" s="99">
        <f>SUMIF(Import!$B:$B,$A759,Import!L:L)</f>
        <v>0</v>
      </c>
      <c r="S759" s="99">
        <f>SUMIF(Import!$B:$B,$A759,Import!M:M)</f>
        <v>0</v>
      </c>
      <c r="T759" s="99">
        <f>SUMIF(Import!$B:$B,$A759,Import!N:N)</f>
        <v>3247</v>
      </c>
      <c r="U759" s="99">
        <f t="shared" si="1134"/>
        <v>183</v>
      </c>
      <c r="V759" s="255">
        <f t="shared" si="1135"/>
        <v>5.9725848563968675E-2</v>
      </c>
      <c r="W759" s="102" t="s">
        <v>2546</v>
      </c>
      <c r="X759" s="102"/>
      <c r="Y759" s="102"/>
      <c r="Z759" s="192"/>
      <c r="AA759" s="615"/>
      <c r="AB759" s="307"/>
      <c r="AC759" s="93"/>
      <c r="AD759" s="93"/>
      <c r="AE759" s="93"/>
      <c r="AF759" s="93"/>
      <c r="AG759" s="93"/>
      <c r="AH759" s="307"/>
      <c r="AI759" s="307"/>
      <c r="AJ759" s="93"/>
      <c r="AK759" s="93"/>
      <c r="AL759" s="93"/>
      <c r="AM759" s="93"/>
      <c r="AN759" s="93"/>
      <c r="AO759" s="93"/>
      <c r="AP759" s="93"/>
      <c r="AQ759" s="93"/>
    </row>
    <row r="760" spans="1:43" s="115" customFormat="1" ht="15" customHeight="1">
      <c r="A760" s="555" t="s">
        <v>2547</v>
      </c>
      <c r="B760" s="217" t="str">
        <f t="shared" si="1136"/>
        <v>100</v>
      </c>
      <c r="C760" s="217" t="str">
        <f t="shared" si="1137"/>
        <v>20</v>
      </c>
      <c r="D760" s="101" t="str">
        <f t="shared" si="1138"/>
        <v>208</v>
      </c>
      <c r="E760" s="217" t="str">
        <f t="shared" si="1139"/>
        <v>100-20-208</v>
      </c>
      <c r="F760" s="294" t="str">
        <f t="shared" si="1140"/>
        <v>50610</v>
      </c>
      <c r="G760" s="295" t="str">
        <f>VLOOKUP(F760,'GL Category'!A:C,3,FALSE)</f>
        <v>Personnel services</v>
      </c>
      <c r="H760" s="98" t="str">
        <f>VLOOKUP(F760,'GL Category'!A:C,2,FALSE)</f>
        <v>SOCIAL SECURITY</v>
      </c>
      <c r="I760" s="99">
        <f>SUMIF(Import!$B:$B,$A760,Import!D:D)</f>
        <v>0</v>
      </c>
      <c r="J760" s="99">
        <f>SUMIF(Import!$B:$B,$A760,Import!E:E)</f>
        <v>12524.16</v>
      </c>
      <c r="K760" s="99">
        <f>SUMIF(Import!$B:$B,$A760,Import!F:F)</f>
        <v>12594.17</v>
      </c>
      <c r="L760" s="99">
        <f>SUMIF(Import!$B:$B,$A760,Import!G:G)</f>
        <v>13169.92</v>
      </c>
      <c r="M760" s="99">
        <f>SUMIF(Import!$B:$B,$A760,Import!H:H)</f>
        <v>15670</v>
      </c>
      <c r="N760" s="99">
        <f>SUMIF(Import!$B:$B,$A760,Import!I:I)</f>
        <v>10550.48</v>
      </c>
      <c r="O760" s="99">
        <f>SUMIF(Import!$B:$B,$A760,Import!J:J)</f>
        <v>14429</v>
      </c>
      <c r="P760" s="99">
        <f t="shared" si="1133"/>
        <v>-1241</v>
      </c>
      <c r="Q760" s="99">
        <f>SUMIF(Import!$B:$B,$A760,Import!K:K)</f>
        <v>16280</v>
      </c>
      <c r="R760" s="99">
        <f>SUMIF(Import!$B:$B,$A760,Import!L:L)</f>
        <v>0</v>
      </c>
      <c r="S760" s="99">
        <f>SUMIF(Import!$B:$B,$A760,Import!M:M)</f>
        <v>0</v>
      </c>
      <c r="T760" s="99">
        <f>SUMIF(Import!$B:$B,$A760,Import!N:N)</f>
        <v>16280</v>
      </c>
      <c r="U760" s="99">
        <f t="shared" si="1134"/>
        <v>610</v>
      </c>
      <c r="V760" s="255">
        <f t="shared" si="1135"/>
        <v>3.8927887683471551E-2</v>
      </c>
      <c r="W760" s="102" t="s">
        <v>2547</v>
      </c>
      <c r="X760" s="102"/>
      <c r="Y760" s="102"/>
      <c r="Z760" s="192"/>
      <c r="AA760" s="615"/>
      <c r="AB760" s="307"/>
      <c r="AC760" s="300"/>
      <c r="AD760" s="300"/>
      <c r="AE760" s="300"/>
      <c r="AF760" s="300"/>
      <c r="AG760" s="300"/>
      <c r="AH760" s="307"/>
      <c r="AI760" s="307"/>
      <c r="AJ760" s="300"/>
      <c r="AK760" s="300"/>
      <c r="AL760" s="300"/>
      <c r="AM760" s="300"/>
      <c r="AN760" s="300"/>
      <c r="AO760" s="300"/>
      <c r="AP760" s="300"/>
      <c r="AQ760" s="300"/>
    </row>
    <row r="761" spans="1:43" s="115" customFormat="1" ht="15" customHeight="1">
      <c r="A761" s="555" t="s">
        <v>2548</v>
      </c>
      <c r="B761" s="217" t="str">
        <f t="shared" si="1136"/>
        <v>100</v>
      </c>
      <c r="C761" s="217" t="str">
        <f t="shared" si="1137"/>
        <v>20</v>
      </c>
      <c r="D761" s="101" t="str">
        <f t="shared" si="1138"/>
        <v>208</v>
      </c>
      <c r="E761" s="217" t="str">
        <f t="shared" si="1139"/>
        <v>100-20-208</v>
      </c>
      <c r="F761" s="294" t="str">
        <f t="shared" si="1140"/>
        <v>50620</v>
      </c>
      <c r="G761" s="295" t="str">
        <f>VLOOKUP(F761,'GL Category'!A:C,3,FALSE)</f>
        <v>Personnel services</v>
      </c>
      <c r="H761" s="98" t="str">
        <f>VLOOKUP(F761,'GL Category'!A:C,2,FALSE)</f>
        <v>HEALTH/LIFE INSURANCE</v>
      </c>
      <c r="I761" s="99">
        <f>SUMIF(Import!$B:$B,$A761,Import!D:D)</f>
        <v>0</v>
      </c>
      <c r="J761" s="99">
        <f>SUMIF(Import!$B:$B,$A761,Import!E:E)</f>
        <v>53980.19</v>
      </c>
      <c r="K761" s="99">
        <f>SUMIF(Import!$B:$B,$A761,Import!F:F)</f>
        <v>51729.919999999998</v>
      </c>
      <c r="L761" s="99">
        <f>SUMIF(Import!$B:$B,$A761,Import!G:G)</f>
        <v>45436.5</v>
      </c>
      <c r="M761" s="99">
        <f>SUMIF(Import!$B:$B,$A761,Import!H:H)</f>
        <v>44238</v>
      </c>
      <c r="N761" s="99">
        <f>SUMIF(Import!$B:$B,$A761,Import!I:I)</f>
        <v>34120.400000000001</v>
      </c>
      <c r="O761" s="99">
        <f>SUMIF(Import!$B:$B,$A761,Import!J:J)</f>
        <v>45901</v>
      </c>
      <c r="P761" s="99">
        <f t="shared" si="1133"/>
        <v>1663</v>
      </c>
      <c r="Q761" s="99">
        <f>SUMIF(Import!$B:$B,$A761,Import!K:K)</f>
        <v>44769</v>
      </c>
      <c r="R761" s="99">
        <f>SUMIF(Import!$B:$B,$A761,Import!L:L)</f>
        <v>0</v>
      </c>
      <c r="S761" s="99">
        <f>SUMIF(Import!$B:$B,$A761,Import!M:M)</f>
        <v>0</v>
      </c>
      <c r="T761" s="99">
        <f>SUMIF(Import!$B:$B,$A761,Import!N:N)</f>
        <v>44769</v>
      </c>
      <c r="U761" s="99">
        <f t="shared" si="1134"/>
        <v>531</v>
      </c>
      <c r="V761" s="255">
        <f t="shared" si="1135"/>
        <v>1.2003255120032641E-2</v>
      </c>
      <c r="W761" s="102" t="s">
        <v>2548</v>
      </c>
      <c r="X761" s="102"/>
      <c r="Y761" s="102"/>
      <c r="Z761" s="192"/>
      <c r="AA761" s="615"/>
      <c r="AB761" s="307"/>
      <c r="AC761" s="300"/>
      <c r="AD761" s="300"/>
      <c r="AE761" s="300"/>
      <c r="AF761" s="300"/>
      <c r="AG761" s="300"/>
      <c r="AH761" s="307"/>
      <c r="AI761" s="307"/>
      <c r="AJ761" s="300"/>
      <c r="AK761" s="300"/>
      <c r="AL761" s="300"/>
      <c r="AM761" s="300"/>
      <c r="AN761" s="300"/>
      <c r="AO761" s="300"/>
      <c r="AP761" s="300"/>
      <c r="AQ761" s="300"/>
    </row>
    <row r="762" spans="1:43" s="115" customFormat="1" ht="15" customHeight="1">
      <c r="A762" s="555" t="s">
        <v>2549</v>
      </c>
      <c r="B762" s="217" t="str">
        <f t="shared" si="1136"/>
        <v>100</v>
      </c>
      <c r="C762" s="217" t="str">
        <f t="shared" si="1137"/>
        <v>20</v>
      </c>
      <c r="D762" s="101" t="str">
        <f t="shared" si="1138"/>
        <v>208</v>
      </c>
      <c r="E762" s="217" t="str">
        <f t="shared" si="1139"/>
        <v>100-20-208</v>
      </c>
      <c r="F762" s="294" t="str">
        <f t="shared" si="1140"/>
        <v>50630</v>
      </c>
      <c r="G762" s="295" t="str">
        <f>VLOOKUP(F762,'GL Category'!A:C,3,FALSE)</f>
        <v>Personnel services</v>
      </c>
      <c r="H762" s="98" t="str">
        <f>VLOOKUP(F762,'GL Category'!A:C,2,FALSE)</f>
        <v>WORKER COMPENSATION</v>
      </c>
      <c r="I762" s="99">
        <f>SUMIF(Import!$B:$B,$A762,Import!D:D)</f>
        <v>0</v>
      </c>
      <c r="J762" s="99">
        <f>SUMIF(Import!$B:$B,$A762,Import!E:E)</f>
        <v>220.26</v>
      </c>
      <c r="K762" s="99">
        <f>SUMIF(Import!$B:$B,$A762,Import!F:F)</f>
        <v>262.60000000000002</v>
      </c>
      <c r="L762" s="99">
        <f>SUMIF(Import!$B:$B,$A762,Import!G:G)</f>
        <v>475.09</v>
      </c>
      <c r="M762" s="99">
        <f>SUMIF(Import!$B:$B,$A762,Import!H:H)</f>
        <v>621</v>
      </c>
      <c r="N762" s="99">
        <f>SUMIF(Import!$B:$B,$A762,Import!I:I)</f>
        <v>620.5</v>
      </c>
      <c r="O762" s="99">
        <f>SUMIF(Import!$B:$B,$A762,Import!J:J)</f>
        <v>621</v>
      </c>
      <c r="P762" s="99">
        <f t="shared" si="1133"/>
        <v>0</v>
      </c>
      <c r="Q762" s="99">
        <f>SUMIF(Import!$B:$B,$A762,Import!K:K)</f>
        <v>621</v>
      </c>
      <c r="R762" s="99">
        <f>SUMIF(Import!$B:$B,$A762,Import!L:L)</f>
        <v>0</v>
      </c>
      <c r="S762" s="99">
        <f>SUMIF(Import!$B:$B,$A762,Import!M:M)</f>
        <v>0</v>
      </c>
      <c r="T762" s="99">
        <f>SUMIF(Import!$B:$B,$A762,Import!N:N)</f>
        <v>621</v>
      </c>
      <c r="U762" s="99">
        <f t="shared" si="1134"/>
        <v>0</v>
      </c>
      <c r="V762" s="255">
        <f t="shared" si="1135"/>
        <v>0</v>
      </c>
      <c r="W762" s="102" t="s">
        <v>2549</v>
      </c>
      <c r="X762" s="102"/>
      <c r="Y762" s="102"/>
      <c r="Z762" s="192"/>
      <c r="AA762" s="615"/>
      <c r="AB762" s="307"/>
      <c r="AC762" s="300"/>
      <c r="AD762" s="300"/>
      <c r="AE762" s="300"/>
      <c r="AF762" s="300"/>
      <c r="AG762" s="300"/>
      <c r="AH762" s="307"/>
      <c r="AI762" s="307"/>
      <c r="AJ762" s="300"/>
      <c r="AK762" s="300"/>
      <c r="AL762" s="300"/>
      <c r="AM762" s="300"/>
      <c r="AN762" s="300"/>
      <c r="AO762" s="300"/>
      <c r="AP762" s="300"/>
      <c r="AQ762" s="300"/>
    </row>
    <row r="763" spans="1:43" s="115" customFormat="1" ht="15" customHeight="1">
      <c r="A763" s="555" t="s">
        <v>2550</v>
      </c>
      <c r="B763" s="217" t="str">
        <f t="shared" si="1136"/>
        <v>100</v>
      </c>
      <c r="C763" s="217" t="str">
        <f t="shared" si="1137"/>
        <v>20</v>
      </c>
      <c r="D763" s="101" t="str">
        <f t="shared" si="1138"/>
        <v>208</v>
      </c>
      <c r="E763" s="217" t="str">
        <f t="shared" si="1139"/>
        <v>100-20-208</v>
      </c>
      <c r="F763" s="294" t="str">
        <f t="shared" si="1140"/>
        <v>50650</v>
      </c>
      <c r="G763" s="295" t="str">
        <f>VLOOKUP(F763,'GL Category'!A:C,3,FALSE)</f>
        <v>Personnel services</v>
      </c>
      <c r="H763" s="98" t="str">
        <f>VLOOKUP(F763,'GL Category'!A:C,2,FALSE)</f>
        <v>RETIREMENT</v>
      </c>
      <c r="I763" s="99">
        <f>SUMIF(Import!$B:$B,$A763,Import!D:D)</f>
        <v>0</v>
      </c>
      <c r="J763" s="99">
        <f>SUMIF(Import!$B:$B,$A763,Import!E:E)</f>
        <v>29392.05</v>
      </c>
      <c r="K763" s="99">
        <f>SUMIF(Import!$B:$B,$A763,Import!F:F)</f>
        <v>29634.39</v>
      </c>
      <c r="L763" s="99">
        <f>SUMIF(Import!$B:$B,$A763,Import!G:G)</f>
        <v>30886.17</v>
      </c>
      <c r="M763" s="99">
        <f>SUMIF(Import!$B:$B,$A763,Import!H:H)</f>
        <v>33842</v>
      </c>
      <c r="N763" s="99">
        <f>SUMIF(Import!$B:$B,$A763,Import!I:I)</f>
        <v>25119.82</v>
      </c>
      <c r="O763" s="99">
        <f>SUMIF(Import!$B:$B,$A763,Import!J:J)</f>
        <v>33174</v>
      </c>
      <c r="P763" s="99">
        <f t="shared" si="1133"/>
        <v>-668</v>
      </c>
      <c r="Q763" s="99">
        <f>SUMIF(Import!$B:$B,$A763,Import!K:K)</f>
        <v>36014</v>
      </c>
      <c r="R763" s="99">
        <f>SUMIF(Import!$B:$B,$A763,Import!L:L)</f>
        <v>0</v>
      </c>
      <c r="S763" s="99">
        <f>SUMIF(Import!$B:$B,$A763,Import!M:M)</f>
        <v>0</v>
      </c>
      <c r="T763" s="99">
        <f>SUMIF(Import!$B:$B,$A763,Import!N:N)</f>
        <v>36014</v>
      </c>
      <c r="U763" s="99">
        <f t="shared" si="1134"/>
        <v>2172</v>
      </c>
      <c r="V763" s="255">
        <f t="shared" si="1135"/>
        <v>6.4180603983216011E-2</v>
      </c>
      <c r="W763" s="102" t="s">
        <v>2550</v>
      </c>
      <c r="X763" s="102"/>
      <c r="Y763" s="102"/>
      <c r="Z763" s="192"/>
      <c r="AA763" s="615"/>
      <c r="AB763" s="307"/>
      <c r="AC763" s="93"/>
      <c r="AD763" s="93"/>
      <c r="AE763" s="93"/>
      <c r="AF763" s="93"/>
      <c r="AG763" s="93"/>
      <c r="AH763" s="307"/>
      <c r="AI763" s="307"/>
      <c r="AJ763" s="93"/>
      <c r="AK763" s="93"/>
      <c r="AL763" s="93"/>
      <c r="AM763" s="93"/>
      <c r="AN763" s="93"/>
      <c r="AO763" s="93"/>
      <c r="AP763" s="93"/>
      <c r="AQ763" s="93"/>
    </row>
    <row r="764" spans="1:43" s="115" customFormat="1" ht="15" customHeight="1">
      <c r="A764" s="555"/>
      <c r="B764" s="217"/>
      <c r="C764" s="217"/>
      <c r="D764" s="101"/>
      <c r="E764" s="217"/>
      <c r="F764" s="294"/>
      <c r="G764" s="295"/>
      <c r="H764" s="107" t="str">
        <f>UPPER(G763)&amp;" TOTAL"</f>
        <v>PERSONNEL SERVICES TOTAL</v>
      </c>
      <c r="I764" s="108">
        <f t="shared" ref="I764" si="1141">SUBTOTAL(9,I756:I763)</f>
        <v>0</v>
      </c>
      <c r="J764" s="108">
        <f t="shared" ref="J764:T764" si="1142">SUBTOTAL(9,J756:J763)</f>
        <v>278105.89</v>
      </c>
      <c r="K764" s="108">
        <f t="shared" ref="K764" si="1143">SUBTOTAL(9,K756:K763)</f>
        <v>277268.14</v>
      </c>
      <c r="L764" s="108">
        <f t="shared" ref="L764" si="1144">SUBTOTAL(9,L756:L763)</f>
        <v>284054.7</v>
      </c>
      <c r="M764" s="108">
        <f t="shared" si="1142"/>
        <v>297130</v>
      </c>
      <c r="N764" s="109">
        <f t="shared" ref="N764" si="1145">SUBTOTAL(9,N756:N763)</f>
        <v>221140.23</v>
      </c>
      <c r="O764" s="109">
        <f t="shared" si="1142"/>
        <v>291131</v>
      </c>
      <c r="P764" s="109">
        <f t="shared" si="1142"/>
        <v>-5999</v>
      </c>
      <c r="Q764" s="109">
        <f t="shared" si="1142"/>
        <v>308437</v>
      </c>
      <c r="R764" s="109">
        <f t="shared" si="1142"/>
        <v>0</v>
      </c>
      <c r="S764" s="109">
        <f t="shared" si="1142"/>
        <v>0</v>
      </c>
      <c r="T764" s="109">
        <f t="shared" si="1142"/>
        <v>308437</v>
      </c>
      <c r="U764" s="99">
        <f>T764-M764</f>
        <v>11307</v>
      </c>
      <c r="V764" s="255">
        <f>IF(M764=0,"N/A",T764/M764-1)</f>
        <v>3.8054050415643026E-2</v>
      </c>
      <c r="W764" s="102"/>
      <c r="X764" s="102"/>
      <c r="Y764" s="102"/>
      <c r="Z764" s="192"/>
      <c r="AA764" s="615"/>
      <c r="AB764" s="307"/>
      <c r="AC764" s="300"/>
      <c r="AD764" s="300"/>
      <c r="AE764" s="300"/>
      <c r="AF764" s="300"/>
      <c r="AG764" s="300"/>
      <c r="AH764" s="307"/>
      <c r="AI764" s="307"/>
      <c r="AJ764" s="300"/>
      <c r="AK764" s="300"/>
      <c r="AL764" s="300"/>
      <c r="AM764" s="300"/>
      <c r="AN764" s="300"/>
      <c r="AO764" s="300"/>
      <c r="AP764" s="300"/>
      <c r="AQ764" s="300"/>
    </row>
    <row r="765" spans="1:43" s="115" customFormat="1" ht="15" customHeight="1">
      <c r="A765" s="555"/>
      <c r="B765" s="217"/>
      <c r="C765" s="217"/>
      <c r="D765" s="101"/>
      <c r="E765" s="217"/>
      <c r="F765" s="294"/>
      <c r="G765" s="295"/>
      <c r="H765" s="98"/>
      <c r="I765" s="106"/>
      <c r="J765" s="106"/>
      <c r="K765" s="106"/>
      <c r="L765" s="106"/>
      <c r="M765" s="106"/>
      <c r="N765" s="112"/>
      <c r="O765" s="112"/>
      <c r="P765" s="112"/>
      <c r="Q765" s="113"/>
      <c r="R765" s="113"/>
      <c r="S765" s="113"/>
      <c r="T765" s="113"/>
      <c r="U765" s="99"/>
      <c r="V765" s="255"/>
      <c r="W765" s="102"/>
      <c r="X765" s="102"/>
      <c r="Y765" s="102"/>
      <c r="Z765" s="192"/>
      <c r="AA765" s="615"/>
      <c r="AB765" s="307"/>
      <c r="AC765" s="300"/>
      <c r="AD765" s="300"/>
      <c r="AE765" s="300"/>
      <c r="AF765" s="300"/>
      <c r="AG765" s="300"/>
      <c r="AH765" s="307"/>
      <c r="AI765" s="307"/>
      <c r="AJ765" s="300"/>
      <c r="AK765" s="300"/>
      <c r="AL765" s="300"/>
      <c r="AM765" s="300"/>
      <c r="AN765" s="300"/>
      <c r="AO765" s="300"/>
      <c r="AP765" s="300"/>
      <c r="AQ765" s="300"/>
    </row>
    <row r="766" spans="1:43" s="115" customFormat="1" ht="15" customHeight="1">
      <c r="A766" s="555" t="s">
        <v>2551</v>
      </c>
      <c r="B766" s="217" t="str">
        <f t="shared" si="1136"/>
        <v>100</v>
      </c>
      <c r="C766" s="217" t="str">
        <f t="shared" si="1137"/>
        <v>20</v>
      </c>
      <c r="D766" s="101" t="str">
        <f t="shared" si="1138"/>
        <v>208</v>
      </c>
      <c r="E766" s="217" t="str">
        <f t="shared" si="1139"/>
        <v>100-20-208</v>
      </c>
      <c r="F766" s="294" t="str">
        <f t="shared" si="1140"/>
        <v>51210</v>
      </c>
      <c r="G766" s="295" t="str">
        <f>VLOOKUP(F766,'GL Category'!A:C,3,FALSE)</f>
        <v>Operations &amp; maintenance</v>
      </c>
      <c r="H766" s="98" t="str">
        <f>VLOOKUP(F766,'GL Category'!A:C,2,FALSE)</f>
        <v>OFFICE SUPPLIES</v>
      </c>
      <c r="I766" s="99">
        <f>SUMIF(Import!$B:$B,$A766,Import!D:D)</f>
        <v>0</v>
      </c>
      <c r="J766" s="99">
        <f>SUMIF(Import!$B:$B,$A766,Import!E:E)</f>
        <v>1357.08</v>
      </c>
      <c r="K766" s="99">
        <f>SUMIF(Import!$B:$B,$A766,Import!F:F)</f>
        <v>710.75</v>
      </c>
      <c r="L766" s="99">
        <f>SUMIF(Import!$B:$B,$A766,Import!G:G)</f>
        <v>1457.95</v>
      </c>
      <c r="M766" s="99">
        <f>SUMIF(Import!$B:$B,$A766,Import!H:H)</f>
        <v>1500</v>
      </c>
      <c r="N766" s="99">
        <f>SUMIF(Import!$B:$B,$A766,Import!I:I)</f>
        <v>1054.6400000000001</v>
      </c>
      <c r="O766" s="99">
        <f>SUMIF(Import!$B:$B,$A766,Import!J:J)</f>
        <v>1000</v>
      </c>
      <c r="P766" s="99">
        <f t="shared" ref="P766:P770" si="1146">O766-M766</f>
        <v>-500</v>
      </c>
      <c r="Q766" s="99">
        <f>SUMIF(Import!$B:$B,$A766,Import!K:K)</f>
        <v>1500</v>
      </c>
      <c r="R766" s="99">
        <f>SUMIF(Import!$B:$B,$A766,Import!L:L)</f>
        <v>0</v>
      </c>
      <c r="S766" s="99">
        <f>SUMIF(Import!$B:$B,$A766,Import!M:M)</f>
        <v>0</v>
      </c>
      <c r="T766" s="99">
        <f>SUMIF(Import!$B:$B,$A766,Import!N:N)</f>
        <v>1500</v>
      </c>
      <c r="U766" s="99">
        <f t="shared" ref="U766:U770" si="1147">T766-M766</f>
        <v>0</v>
      </c>
      <c r="V766" s="255">
        <f t="shared" ref="V766:V770" si="1148">IF(M766=0,"N/A",T766/M766-1)</f>
        <v>0</v>
      </c>
      <c r="W766" s="102" t="s">
        <v>2551</v>
      </c>
      <c r="X766" s="102"/>
      <c r="Y766" s="102"/>
      <c r="Z766" s="192"/>
      <c r="AA766" s="615"/>
      <c r="AB766" s="307"/>
      <c r="AC766" s="300"/>
      <c r="AD766" s="300"/>
      <c r="AE766" s="300"/>
      <c r="AF766" s="300"/>
      <c r="AG766" s="300"/>
      <c r="AH766" s="307"/>
      <c r="AI766" s="307"/>
      <c r="AJ766" s="300"/>
      <c r="AK766" s="300"/>
      <c r="AL766" s="300"/>
      <c r="AM766" s="300"/>
      <c r="AN766" s="300"/>
      <c r="AO766" s="300"/>
      <c r="AP766" s="300"/>
      <c r="AQ766" s="300"/>
    </row>
    <row r="767" spans="1:43" s="115" customFormat="1" ht="15" customHeight="1">
      <c r="A767" s="555" t="s">
        <v>2552</v>
      </c>
      <c r="B767" s="217" t="str">
        <f t="shared" si="1136"/>
        <v>100</v>
      </c>
      <c r="C767" s="217" t="str">
        <f t="shared" si="1137"/>
        <v>20</v>
      </c>
      <c r="D767" s="101" t="str">
        <f t="shared" si="1138"/>
        <v>208</v>
      </c>
      <c r="E767" s="217" t="str">
        <f t="shared" si="1139"/>
        <v>100-20-208</v>
      </c>
      <c r="F767" s="294" t="str">
        <f t="shared" si="1140"/>
        <v>51245</v>
      </c>
      <c r="G767" s="295" t="str">
        <f>VLOOKUP(F767,'GL Category'!A:C,3,FALSE)</f>
        <v>Operations &amp; maintenance</v>
      </c>
      <c r="H767" s="98" t="str">
        <f>VLOOKUP(F767,'GL Category'!A:C,2,FALSE)</f>
        <v>SMALL TOOLS &amp; EQUIPMENT</v>
      </c>
      <c r="I767" s="99">
        <f>SUMIF(Import!$B:$B,$A767,Import!D:D)</f>
        <v>0</v>
      </c>
      <c r="J767" s="99">
        <f>SUMIF(Import!$B:$B,$A767,Import!E:E)</f>
        <v>0</v>
      </c>
      <c r="K767" s="99">
        <f>SUMIF(Import!$B:$B,$A767,Import!F:F)</f>
        <v>5800</v>
      </c>
      <c r="L767" s="99">
        <f>SUMIF(Import!$B:$B,$A767,Import!G:G)</f>
        <v>0</v>
      </c>
      <c r="M767" s="99">
        <f>SUMIF(Import!$B:$B,$A767,Import!H:H)</f>
        <v>0</v>
      </c>
      <c r="N767" s="99">
        <f>SUMIF(Import!$B:$B,$A767,Import!I:I)</f>
        <v>0</v>
      </c>
      <c r="O767" s="99">
        <f>SUMIF(Import!$B:$B,$A767,Import!J:J)</f>
        <v>0</v>
      </c>
      <c r="P767" s="99">
        <f t="shared" si="1146"/>
        <v>0</v>
      </c>
      <c r="Q767" s="99">
        <f>SUMIF(Import!$B:$B,$A767,Import!K:K)</f>
        <v>0</v>
      </c>
      <c r="R767" s="99">
        <f>SUMIF(Import!$B:$B,$A767,Import!L:L)</f>
        <v>0</v>
      </c>
      <c r="S767" s="99">
        <f>SUMIF(Import!$B:$B,$A767,Import!M:M)</f>
        <v>0</v>
      </c>
      <c r="T767" s="99">
        <f>SUMIF(Import!$B:$B,$A767,Import!N:N)</f>
        <v>0</v>
      </c>
      <c r="U767" s="99">
        <f t="shared" si="1147"/>
        <v>0</v>
      </c>
      <c r="V767" s="255" t="str">
        <f t="shared" si="1148"/>
        <v>N/A</v>
      </c>
      <c r="W767" s="102" t="s">
        <v>2552</v>
      </c>
      <c r="X767" s="102"/>
      <c r="Y767" s="102"/>
      <c r="Z767" s="192"/>
      <c r="AA767" s="615"/>
      <c r="AB767" s="307"/>
      <c r="AC767" s="300"/>
      <c r="AD767" s="300"/>
      <c r="AE767" s="300"/>
      <c r="AF767" s="300"/>
      <c r="AG767" s="300"/>
      <c r="AH767" s="307"/>
      <c r="AI767" s="307"/>
      <c r="AJ767" s="300"/>
      <c r="AK767" s="300"/>
      <c r="AL767" s="300"/>
      <c r="AM767" s="300"/>
      <c r="AN767" s="300"/>
      <c r="AO767" s="300"/>
      <c r="AP767" s="300"/>
      <c r="AQ767" s="300"/>
    </row>
    <row r="768" spans="1:43" s="115" customFormat="1" ht="15" customHeight="1">
      <c r="A768" s="555" t="s">
        <v>2553</v>
      </c>
      <c r="B768" s="217" t="str">
        <f t="shared" si="1136"/>
        <v>100</v>
      </c>
      <c r="C768" s="217" t="str">
        <f t="shared" si="1137"/>
        <v>20</v>
      </c>
      <c r="D768" s="101" t="str">
        <f t="shared" si="1138"/>
        <v>208</v>
      </c>
      <c r="E768" s="217" t="str">
        <f t="shared" si="1139"/>
        <v>100-20-208</v>
      </c>
      <c r="F768" s="294" t="str">
        <f t="shared" si="1140"/>
        <v>51255</v>
      </c>
      <c r="G768" s="295" t="str">
        <f>VLOOKUP(F768,'GL Category'!A:C,3,FALSE)</f>
        <v>Operations &amp; maintenance</v>
      </c>
      <c r="H768" s="98" t="str">
        <f>VLOOKUP(F768,'GL Category'!A:C,2,FALSE)</f>
        <v>FUEL/OILS/LUBRICANTS</v>
      </c>
      <c r="I768" s="99">
        <f>SUMIF(Import!$B:$B,$A768,Import!D:D)</f>
        <v>0</v>
      </c>
      <c r="J768" s="99">
        <f>SUMIF(Import!$B:$B,$A768,Import!E:E)</f>
        <v>1142.5</v>
      </c>
      <c r="K768" s="99">
        <f>SUMIF(Import!$B:$B,$A768,Import!F:F)</f>
        <v>1485.59</v>
      </c>
      <c r="L768" s="99">
        <f>SUMIF(Import!$B:$B,$A768,Import!G:G)</f>
        <v>1359.38</v>
      </c>
      <c r="M768" s="99">
        <f>SUMIF(Import!$B:$B,$A768,Import!H:H)</f>
        <v>1800</v>
      </c>
      <c r="N768" s="99">
        <f>SUMIF(Import!$B:$B,$A768,Import!I:I)</f>
        <v>999.02</v>
      </c>
      <c r="O768" s="99">
        <f>SUMIF(Import!$B:$B,$A768,Import!J:J)</f>
        <v>1200</v>
      </c>
      <c r="P768" s="99">
        <f t="shared" si="1146"/>
        <v>-600</v>
      </c>
      <c r="Q768" s="99">
        <f>SUMIF(Import!$B:$B,$A768,Import!K:K)</f>
        <v>1800</v>
      </c>
      <c r="R768" s="99">
        <f>SUMIF(Import!$B:$B,$A768,Import!L:L)</f>
        <v>0</v>
      </c>
      <c r="S768" s="99">
        <f>SUMIF(Import!$B:$B,$A768,Import!M:M)</f>
        <v>0</v>
      </c>
      <c r="T768" s="99">
        <f>SUMIF(Import!$B:$B,$A768,Import!N:N)</f>
        <v>1800</v>
      </c>
      <c r="U768" s="99">
        <f t="shared" si="1147"/>
        <v>0</v>
      </c>
      <c r="V768" s="255">
        <f t="shared" si="1148"/>
        <v>0</v>
      </c>
      <c r="W768" s="102" t="s">
        <v>2553</v>
      </c>
      <c r="X768" s="102"/>
      <c r="Y768" s="102"/>
      <c r="Z768" s="192"/>
      <c r="AA768" s="615"/>
      <c r="AB768" s="307"/>
      <c r="AC768" s="300"/>
      <c r="AD768" s="300"/>
      <c r="AE768" s="300"/>
      <c r="AF768" s="300"/>
      <c r="AG768" s="300"/>
      <c r="AH768" s="307"/>
      <c r="AI768" s="307"/>
      <c r="AJ768" s="300"/>
      <c r="AK768" s="300"/>
      <c r="AL768" s="300"/>
      <c r="AM768" s="300"/>
      <c r="AN768" s="300"/>
      <c r="AO768" s="300"/>
      <c r="AP768" s="300"/>
      <c r="AQ768" s="300"/>
    </row>
    <row r="769" spans="1:59" s="115" customFormat="1" ht="15" customHeight="1">
      <c r="A769" s="555" t="s">
        <v>2554</v>
      </c>
      <c r="B769" s="217" t="str">
        <f t="shared" si="1136"/>
        <v>100</v>
      </c>
      <c r="C769" s="217" t="str">
        <f t="shared" si="1137"/>
        <v>20</v>
      </c>
      <c r="D769" s="101" t="str">
        <f t="shared" si="1138"/>
        <v>208</v>
      </c>
      <c r="E769" s="217" t="str">
        <f t="shared" si="1139"/>
        <v>100-20-208</v>
      </c>
      <c r="F769" s="294" t="str">
        <f t="shared" si="1140"/>
        <v>51285</v>
      </c>
      <c r="G769" s="295" t="str">
        <f>VLOOKUP(F769,'GL Category'!A:C,3,FALSE)</f>
        <v>Operations &amp; maintenance</v>
      </c>
      <c r="H769" s="98" t="str">
        <f>VLOOKUP(F769,'GL Category'!A:C,2,FALSE)</f>
        <v>WEARING APPAREL</v>
      </c>
      <c r="I769" s="99">
        <f>SUMIF(Import!$B:$B,$A769,Import!D:D)</f>
        <v>0</v>
      </c>
      <c r="J769" s="99">
        <f>SUMIF(Import!$B:$B,$A769,Import!E:E)</f>
        <v>353.29</v>
      </c>
      <c r="K769" s="99">
        <f>SUMIF(Import!$B:$B,$A769,Import!F:F)</f>
        <v>481.4</v>
      </c>
      <c r="L769" s="99">
        <f>SUMIF(Import!$B:$B,$A769,Import!G:G)</f>
        <v>403.62</v>
      </c>
      <c r="M769" s="99">
        <f>SUMIF(Import!$B:$B,$A769,Import!H:H)</f>
        <v>500</v>
      </c>
      <c r="N769" s="99">
        <f>SUMIF(Import!$B:$B,$A769,Import!I:I)</f>
        <v>325.11</v>
      </c>
      <c r="O769" s="99">
        <f>SUMIF(Import!$B:$B,$A769,Import!J:J)</f>
        <v>500</v>
      </c>
      <c r="P769" s="99">
        <f t="shared" si="1146"/>
        <v>0</v>
      </c>
      <c r="Q769" s="99">
        <f>SUMIF(Import!$B:$B,$A769,Import!K:K)</f>
        <v>500</v>
      </c>
      <c r="R769" s="99">
        <f>SUMIF(Import!$B:$B,$A769,Import!L:L)</f>
        <v>0</v>
      </c>
      <c r="S769" s="99">
        <f>SUMIF(Import!$B:$B,$A769,Import!M:M)</f>
        <v>0</v>
      </c>
      <c r="T769" s="99">
        <f>SUMIF(Import!$B:$B,$A769,Import!N:N)</f>
        <v>500</v>
      </c>
      <c r="U769" s="99">
        <f t="shared" si="1147"/>
        <v>0</v>
      </c>
      <c r="V769" s="255">
        <f t="shared" si="1148"/>
        <v>0</v>
      </c>
      <c r="W769" s="102" t="s">
        <v>2554</v>
      </c>
      <c r="X769" s="102"/>
      <c r="Y769" s="102"/>
      <c r="Z769" s="192"/>
      <c r="AA769" s="615"/>
      <c r="AB769" s="307"/>
      <c r="AC769" s="300"/>
      <c r="AD769" s="300"/>
      <c r="AE769" s="300"/>
      <c r="AF769" s="300"/>
      <c r="AG769" s="300"/>
      <c r="AH769" s="307"/>
      <c r="AI769" s="307"/>
      <c r="AJ769" s="300"/>
      <c r="AK769" s="300"/>
      <c r="AL769" s="300"/>
      <c r="AM769" s="300"/>
      <c r="AN769" s="300"/>
      <c r="AO769" s="300"/>
      <c r="AP769" s="300"/>
      <c r="AQ769" s="300"/>
    </row>
    <row r="770" spans="1:59" s="115" customFormat="1" ht="15" customHeight="1">
      <c r="A770" s="555" t="s">
        <v>2555</v>
      </c>
      <c r="B770" s="217" t="str">
        <f t="shared" si="1136"/>
        <v>100</v>
      </c>
      <c r="C770" s="217" t="str">
        <f t="shared" si="1137"/>
        <v>20</v>
      </c>
      <c r="D770" s="101" t="str">
        <f t="shared" si="1138"/>
        <v>208</v>
      </c>
      <c r="E770" s="217" t="str">
        <f t="shared" si="1139"/>
        <v>100-20-208</v>
      </c>
      <c r="F770" s="294" t="str">
        <f t="shared" si="1140"/>
        <v>52460</v>
      </c>
      <c r="G770" s="295" t="str">
        <f>VLOOKUP(F770,'GL Category'!A:C,3,FALSE)</f>
        <v>Operations &amp; maintenance</v>
      </c>
      <c r="H770" s="98" t="str">
        <f>VLOOKUP(F770,'GL Category'!A:C,2,FALSE)</f>
        <v>VEHICLE MAINTENANCE</v>
      </c>
      <c r="I770" s="99">
        <f>SUMIF(Import!$B:$B,$A770,Import!D:D)</f>
        <v>0</v>
      </c>
      <c r="J770" s="99">
        <f>SUMIF(Import!$B:$B,$A770,Import!E:E)</f>
        <v>36.24</v>
      </c>
      <c r="K770" s="99">
        <f>SUMIF(Import!$B:$B,$A770,Import!F:F)</f>
        <v>218.87</v>
      </c>
      <c r="L770" s="99">
        <f>SUMIF(Import!$B:$B,$A770,Import!G:G)</f>
        <v>257.88</v>
      </c>
      <c r="M770" s="99">
        <f>SUMIF(Import!$B:$B,$A770,Import!H:H)</f>
        <v>750</v>
      </c>
      <c r="N770" s="99">
        <f>SUMIF(Import!$B:$B,$A770,Import!I:I)</f>
        <v>270.52</v>
      </c>
      <c r="O770" s="99">
        <f>SUMIF(Import!$B:$B,$A770,Import!J:J)</f>
        <v>750</v>
      </c>
      <c r="P770" s="99">
        <f t="shared" si="1146"/>
        <v>0</v>
      </c>
      <c r="Q770" s="99">
        <f>SUMIF(Import!$B:$B,$A770,Import!K:K)</f>
        <v>750</v>
      </c>
      <c r="R770" s="99">
        <f>SUMIF(Import!$B:$B,$A770,Import!L:L)</f>
        <v>0</v>
      </c>
      <c r="S770" s="99">
        <f>SUMIF(Import!$B:$B,$A770,Import!M:M)</f>
        <v>0</v>
      </c>
      <c r="T770" s="99">
        <f>SUMIF(Import!$B:$B,$A770,Import!N:N)</f>
        <v>750</v>
      </c>
      <c r="U770" s="99">
        <f t="shared" si="1147"/>
        <v>0</v>
      </c>
      <c r="V770" s="255">
        <f t="shared" si="1148"/>
        <v>0</v>
      </c>
      <c r="W770" s="102" t="s">
        <v>2555</v>
      </c>
      <c r="X770" s="102"/>
      <c r="Y770" s="102"/>
      <c r="Z770" s="192"/>
      <c r="AA770" s="615"/>
      <c r="AB770" s="307"/>
      <c r="AC770" s="300"/>
      <c r="AD770" s="300"/>
      <c r="AE770" s="300"/>
      <c r="AF770" s="300"/>
      <c r="AG770" s="300"/>
      <c r="AH770" s="307"/>
      <c r="AI770" s="307"/>
      <c r="AJ770" s="300"/>
      <c r="AK770" s="300"/>
      <c r="AL770" s="300"/>
      <c r="AM770" s="300"/>
      <c r="AN770" s="300"/>
      <c r="AO770" s="300"/>
      <c r="AP770" s="300"/>
      <c r="AQ770" s="300"/>
    </row>
    <row r="771" spans="1:59" s="115" customFormat="1" ht="27.6" customHeight="1">
      <c r="A771" s="555"/>
      <c r="B771" s="217"/>
      <c r="C771" s="217"/>
      <c r="D771" s="101"/>
      <c r="E771" s="217"/>
      <c r="F771" s="294"/>
      <c r="G771" s="295"/>
      <c r="H771" s="107" t="str">
        <f>UPPER(G770)&amp;" TOTAL"</f>
        <v>OPERATIONS &amp; MAINTENANCE TOTAL</v>
      </c>
      <c r="I771" s="109">
        <f t="shared" ref="I771" si="1149">SUBTOTAL(9,I766:I770)</f>
        <v>0</v>
      </c>
      <c r="J771" s="109">
        <f t="shared" ref="J771:T771" si="1150">SUBTOTAL(9,J766:J770)</f>
        <v>2889.1099999999997</v>
      </c>
      <c r="K771" s="109">
        <f t="shared" ref="K771" si="1151">SUBTOTAL(9,K766:K770)</f>
        <v>8696.61</v>
      </c>
      <c r="L771" s="109">
        <f t="shared" ref="L771" si="1152">SUBTOTAL(9,L766:L770)</f>
        <v>3478.83</v>
      </c>
      <c r="M771" s="109">
        <f t="shared" si="1150"/>
        <v>4550</v>
      </c>
      <c r="N771" s="109">
        <f t="shared" ref="N771" si="1153">SUBTOTAL(9,N766:N770)</f>
        <v>2649.29</v>
      </c>
      <c r="O771" s="109">
        <f t="shared" si="1150"/>
        <v>3450</v>
      </c>
      <c r="P771" s="109">
        <f t="shared" si="1150"/>
        <v>-1100</v>
      </c>
      <c r="Q771" s="109">
        <f t="shared" si="1150"/>
        <v>4550</v>
      </c>
      <c r="R771" s="109">
        <f t="shared" si="1150"/>
        <v>0</v>
      </c>
      <c r="S771" s="109">
        <f t="shared" si="1150"/>
        <v>0</v>
      </c>
      <c r="T771" s="109">
        <f t="shared" si="1150"/>
        <v>4550</v>
      </c>
      <c r="U771" s="99">
        <f>T771-M771</f>
        <v>0</v>
      </c>
      <c r="V771" s="255">
        <f>IF(M771=0,"N/A",T771/M771-1)</f>
        <v>0</v>
      </c>
      <c r="W771" s="102"/>
      <c r="X771" s="102"/>
      <c r="Y771" s="102"/>
      <c r="Z771" s="192"/>
      <c r="AA771" s="615"/>
      <c r="AB771" s="307"/>
      <c r="AC771" s="300"/>
      <c r="AD771" s="300"/>
      <c r="AE771" s="300"/>
      <c r="AF771" s="300"/>
      <c r="AG771" s="300"/>
      <c r="AH771" s="307"/>
      <c r="AI771" s="307"/>
      <c r="AJ771" s="300"/>
      <c r="AK771" s="300"/>
      <c r="AL771" s="300"/>
      <c r="AM771" s="300"/>
      <c r="AN771" s="300"/>
      <c r="AO771" s="300"/>
      <c r="AP771" s="300"/>
      <c r="AQ771" s="300"/>
    </row>
    <row r="772" spans="1:59" s="115" customFormat="1" ht="15" customHeight="1">
      <c r="A772" s="555"/>
      <c r="B772" s="217"/>
      <c r="C772" s="217"/>
      <c r="D772" s="101"/>
      <c r="E772" s="217"/>
      <c r="F772" s="294"/>
      <c r="G772" s="295"/>
      <c r="H772" s="98"/>
      <c r="I772" s="106"/>
      <c r="J772" s="106"/>
      <c r="K772" s="106"/>
      <c r="L772" s="106"/>
      <c r="M772" s="106"/>
      <c r="N772" s="112"/>
      <c r="O772" s="112"/>
      <c r="P772" s="112"/>
      <c r="Q772" s="113"/>
      <c r="R772" s="113"/>
      <c r="S772" s="113"/>
      <c r="T772" s="113"/>
      <c r="U772" s="99"/>
      <c r="V772" s="255"/>
      <c r="W772" s="102"/>
      <c r="X772" s="102"/>
      <c r="Y772" s="102"/>
      <c r="Z772" s="192"/>
      <c r="AA772" s="615"/>
      <c r="AB772" s="307"/>
      <c r="AC772" s="300"/>
      <c r="AD772" s="300"/>
      <c r="AE772" s="300"/>
      <c r="AF772" s="300"/>
      <c r="AG772" s="300"/>
      <c r="AH772" s="307"/>
      <c r="AI772" s="307"/>
      <c r="AJ772" s="300"/>
      <c r="AK772" s="300"/>
      <c r="AL772" s="300"/>
      <c r="AM772" s="300"/>
      <c r="AN772" s="300"/>
      <c r="AO772" s="300"/>
      <c r="AP772" s="300"/>
      <c r="AQ772" s="300"/>
    </row>
    <row r="773" spans="1:59" s="115" customFormat="1" ht="15" customHeight="1">
      <c r="A773" s="555" t="s">
        <v>2556</v>
      </c>
      <c r="B773" s="217" t="str">
        <f t="shared" si="1136"/>
        <v>100</v>
      </c>
      <c r="C773" s="217" t="str">
        <f t="shared" si="1137"/>
        <v>20</v>
      </c>
      <c r="D773" s="101" t="str">
        <f t="shared" si="1138"/>
        <v>208</v>
      </c>
      <c r="E773" s="217" t="str">
        <f t="shared" si="1139"/>
        <v>100-20-208</v>
      </c>
      <c r="F773" s="294" t="str">
        <f t="shared" si="1140"/>
        <v>53510</v>
      </c>
      <c r="G773" s="295" t="str">
        <f>VLOOKUP(F773,'GL Category'!A:C,3,FALSE)</f>
        <v>Services &amp; other</v>
      </c>
      <c r="H773" s="98" t="str">
        <f>VLOOKUP(F773,'GL Category'!A:C,2,FALSE)</f>
        <v>DUES &amp; SUBSCRIPTIONS</v>
      </c>
      <c r="I773" s="99">
        <f>SUMIF(Import!$B:$B,$A773,Import!D:D)</f>
        <v>0</v>
      </c>
      <c r="J773" s="99">
        <f>SUMIF(Import!$B:$B,$A773,Import!E:E)</f>
        <v>200</v>
      </c>
      <c r="K773" s="99">
        <f>SUMIF(Import!$B:$B,$A773,Import!F:F)</f>
        <v>175</v>
      </c>
      <c r="L773" s="99">
        <f>SUMIF(Import!$B:$B,$A773,Import!G:G)</f>
        <v>275</v>
      </c>
      <c r="M773" s="99">
        <f>SUMIF(Import!$B:$B,$A773,Import!H:H)</f>
        <v>300</v>
      </c>
      <c r="N773" s="99">
        <f>SUMIF(Import!$B:$B,$A773,Import!I:I)</f>
        <v>128.4</v>
      </c>
      <c r="O773" s="99">
        <f>SUMIF(Import!$B:$B,$A773,Import!J:J)</f>
        <v>300</v>
      </c>
      <c r="P773" s="99">
        <f t="shared" ref="P773:P777" si="1154">O773-M773</f>
        <v>0</v>
      </c>
      <c r="Q773" s="99">
        <f>SUMIF(Import!$B:$B,$A773,Import!K:K)</f>
        <v>300</v>
      </c>
      <c r="R773" s="99">
        <f>SUMIF(Import!$B:$B,$A773,Import!L:L)</f>
        <v>0</v>
      </c>
      <c r="S773" s="99">
        <f>SUMIF(Import!$B:$B,$A773,Import!M:M)</f>
        <v>0</v>
      </c>
      <c r="T773" s="99">
        <f>SUMIF(Import!$B:$B,$A773,Import!N:N)</f>
        <v>300</v>
      </c>
      <c r="U773" s="99">
        <f t="shared" ref="U773:U777" si="1155">T773-M773</f>
        <v>0</v>
      </c>
      <c r="V773" s="255">
        <f t="shared" ref="V773:V777" si="1156">IF(M773=0,"N/A",T773/M773-1)</f>
        <v>0</v>
      </c>
      <c r="W773" s="102" t="s">
        <v>2556</v>
      </c>
      <c r="X773" s="102"/>
      <c r="Y773" s="102"/>
      <c r="Z773" s="192"/>
      <c r="AA773" s="615"/>
      <c r="AB773" s="307"/>
      <c r="AC773" s="300"/>
      <c r="AD773" s="300"/>
      <c r="AE773" s="300"/>
      <c r="AF773" s="300"/>
      <c r="AG773" s="300"/>
      <c r="AH773" s="307"/>
      <c r="AI773" s="307"/>
      <c r="AJ773" s="300"/>
      <c r="AK773" s="300"/>
      <c r="AL773" s="300"/>
      <c r="AM773" s="300"/>
      <c r="AN773" s="300"/>
      <c r="AO773" s="300"/>
      <c r="AP773" s="300"/>
      <c r="AQ773" s="300"/>
    </row>
    <row r="774" spans="1:59" s="115" customFormat="1" ht="15" customHeight="1">
      <c r="A774" s="555" t="s">
        <v>2557</v>
      </c>
      <c r="B774" s="217" t="str">
        <f t="shared" si="1136"/>
        <v>100</v>
      </c>
      <c r="C774" s="217" t="str">
        <f t="shared" si="1137"/>
        <v>20</v>
      </c>
      <c r="D774" s="101" t="str">
        <f t="shared" si="1138"/>
        <v>208</v>
      </c>
      <c r="E774" s="217" t="str">
        <f t="shared" si="1139"/>
        <v>100-20-208</v>
      </c>
      <c r="F774" s="294" t="str">
        <f t="shared" si="1140"/>
        <v>53515</v>
      </c>
      <c r="G774" s="295" t="str">
        <f>VLOOKUP(F774,'GL Category'!A:C,3,FALSE)</f>
        <v>Services &amp; other</v>
      </c>
      <c r="H774" s="98" t="str">
        <f>VLOOKUP(F774,'GL Category'!A:C,2,FALSE)</f>
        <v>TRAVEL, TRAINING &amp; EDUCATION</v>
      </c>
      <c r="I774" s="99">
        <f>SUMIF(Import!$B:$B,$A774,Import!D:D)</f>
        <v>0</v>
      </c>
      <c r="J774" s="99">
        <f>SUMIF(Import!$B:$B,$A774,Import!E:E)</f>
        <v>2777.81</v>
      </c>
      <c r="K774" s="99">
        <f>SUMIF(Import!$B:$B,$A774,Import!F:F)</f>
        <v>2438.42</v>
      </c>
      <c r="L774" s="99">
        <f>SUMIF(Import!$B:$B,$A774,Import!G:G)</f>
        <v>3258.5</v>
      </c>
      <c r="M774" s="99">
        <f>SUMIF(Import!$B:$B,$A774,Import!H:H)</f>
        <v>3500</v>
      </c>
      <c r="N774" s="99">
        <f>SUMIF(Import!$B:$B,$A774,Import!I:I)</f>
        <v>3706.01</v>
      </c>
      <c r="O774" s="99">
        <f>SUMIF(Import!$B:$B,$A774,Import!J:J)</f>
        <v>3500</v>
      </c>
      <c r="P774" s="99">
        <f t="shared" si="1154"/>
        <v>0</v>
      </c>
      <c r="Q774" s="99">
        <f>SUMIF(Import!$B:$B,$A774,Import!K:K)</f>
        <v>3500</v>
      </c>
      <c r="R774" s="99">
        <f>SUMIF(Import!$B:$B,$A774,Import!L:L)</f>
        <v>0</v>
      </c>
      <c r="S774" s="99">
        <f>SUMIF(Import!$B:$B,$A774,Import!M:M)</f>
        <v>0</v>
      </c>
      <c r="T774" s="99">
        <f>SUMIF(Import!$B:$B,$A774,Import!N:N)</f>
        <v>3500</v>
      </c>
      <c r="U774" s="99">
        <f t="shared" si="1155"/>
        <v>0</v>
      </c>
      <c r="V774" s="255">
        <f t="shared" si="1156"/>
        <v>0</v>
      </c>
      <c r="W774" s="102" t="s">
        <v>2557</v>
      </c>
      <c r="X774" s="102"/>
      <c r="Y774" s="102"/>
      <c r="Z774" s="192"/>
      <c r="AA774" s="615"/>
      <c r="AB774" s="307"/>
      <c r="AC774" s="300"/>
      <c r="AD774" s="300"/>
      <c r="AE774" s="300"/>
      <c r="AF774" s="300"/>
      <c r="AG774" s="300"/>
      <c r="AH774" s="307"/>
      <c r="AI774" s="307"/>
      <c r="AJ774" s="300"/>
      <c r="AK774" s="300"/>
      <c r="AL774" s="300"/>
      <c r="AM774" s="300"/>
      <c r="AN774" s="300"/>
      <c r="AO774" s="300"/>
      <c r="AP774" s="300"/>
      <c r="AQ774" s="300"/>
    </row>
    <row r="775" spans="1:59" s="115" customFormat="1" ht="15" customHeight="1">
      <c r="A775" s="555" t="s">
        <v>3130</v>
      </c>
      <c r="B775" s="217" t="str">
        <f t="shared" ref="B775" si="1157">LEFT(A775,3)</f>
        <v>100</v>
      </c>
      <c r="C775" s="217" t="str">
        <f t="shared" ref="C775" si="1158">MID(A775,5,2)</f>
        <v>20</v>
      </c>
      <c r="D775" s="101" t="str">
        <f t="shared" ref="D775" si="1159">MID(A775,8,3)</f>
        <v>208</v>
      </c>
      <c r="E775" s="217" t="str">
        <f t="shared" ref="E775" si="1160">LEFT(A775,10)</f>
        <v>100-20-208</v>
      </c>
      <c r="F775" s="294" t="str">
        <f t="shared" ref="F775" si="1161">RIGHT(A775,5)</f>
        <v>53599</v>
      </c>
      <c r="G775" s="295" t="str">
        <f>VLOOKUP(F775,'GL Category'!A:C,3,FALSE)</f>
        <v>Services &amp; other</v>
      </c>
      <c r="H775" s="98" t="str">
        <f>VLOOKUP(F775,'GL Category'!A:C,2,FALSE)</f>
        <v>MISCELLANEOUS SERVICES</v>
      </c>
      <c r="I775" s="99">
        <f>SUMIF(Import!$B:$B,$A775,Import!D:D)</f>
        <v>0</v>
      </c>
      <c r="J775" s="99">
        <f>SUMIF(Import!$B:$B,$A775,Import!E:E)</f>
        <v>7832.74</v>
      </c>
      <c r="K775" s="99">
        <f>SUMIF(Import!$B:$B,$A775,Import!F:F)</f>
        <v>10452.549999999999</v>
      </c>
      <c r="L775" s="99">
        <f>SUMIF(Import!$B:$B,$A775,Import!G:G)</f>
        <v>13421.95</v>
      </c>
      <c r="M775" s="99">
        <f>SUMIF(Import!$B:$B,$A775,Import!H:H)</f>
        <v>12500</v>
      </c>
      <c r="N775" s="99">
        <f>SUMIF(Import!$B:$B,$A775,Import!I:I)</f>
        <v>13337.5</v>
      </c>
      <c r="O775" s="99">
        <f>SUMIF(Import!$B:$B,$A775,Import!J:J)</f>
        <v>12500</v>
      </c>
      <c r="P775" s="99">
        <f t="shared" si="1154"/>
        <v>0</v>
      </c>
      <c r="Q775" s="99">
        <f>SUMIF(Import!$B:$B,$A775,Import!K:K)</f>
        <v>12500</v>
      </c>
      <c r="R775" s="99">
        <f>SUMIF(Import!$B:$B,$A775,Import!L:L)</f>
        <v>0</v>
      </c>
      <c r="S775" s="99">
        <f>SUMIF(Import!$B:$B,$A775,Import!M:M)</f>
        <v>0</v>
      </c>
      <c r="T775" s="99">
        <f>SUMIF(Import!$B:$B,$A775,Import!N:N)</f>
        <v>12500</v>
      </c>
      <c r="U775" s="99">
        <f t="shared" si="1155"/>
        <v>0</v>
      </c>
      <c r="V775" s="255">
        <f t="shared" si="1156"/>
        <v>0</v>
      </c>
      <c r="W775" s="102"/>
      <c r="X775" s="102"/>
      <c r="Y775" s="102"/>
      <c r="Z775" s="617"/>
      <c r="AA775" s="615"/>
      <c r="AB775" s="307"/>
      <c r="AC775" s="300"/>
      <c r="AD775" s="300"/>
      <c r="AE775" s="300"/>
      <c r="AF775" s="300"/>
      <c r="AG775" s="300"/>
      <c r="AH775" s="307"/>
      <c r="AI775" s="307"/>
      <c r="AJ775" s="300"/>
      <c r="AK775" s="300"/>
      <c r="AL775" s="300"/>
      <c r="AM775" s="300"/>
      <c r="AN775" s="300"/>
      <c r="AO775" s="300"/>
      <c r="AP775" s="300"/>
      <c r="AQ775" s="300"/>
    </row>
    <row r="776" spans="1:59" ht="15" customHeight="1">
      <c r="A776" s="555" t="s">
        <v>2558</v>
      </c>
      <c r="B776" s="217" t="str">
        <f t="shared" si="1136"/>
        <v>100</v>
      </c>
      <c r="C776" s="217" t="str">
        <f t="shared" si="1137"/>
        <v>20</v>
      </c>
      <c r="D776" s="101" t="str">
        <f t="shared" si="1138"/>
        <v>208</v>
      </c>
      <c r="E776" s="217" t="str">
        <f t="shared" si="1139"/>
        <v>100-20-208</v>
      </c>
      <c r="F776" s="294" t="str">
        <f t="shared" si="1140"/>
        <v>55175</v>
      </c>
      <c r="G776" s="295" t="str">
        <f>VLOOKUP(F776,'GL Category'!A:C,3,FALSE)</f>
        <v>Services &amp; other</v>
      </c>
      <c r="H776" s="98" t="str">
        <f>VLOOKUP(F776,'GL Category'!A:C,2,FALSE)</f>
        <v>VEHICLE/EQUIP LEASE EXP-CITY</v>
      </c>
      <c r="I776" s="99">
        <f>SUMIF(Import!$B:$B,$A776,Import!D:D)</f>
        <v>0</v>
      </c>
      <c r="J776" s="99">
        <f>SUMIF(Import!$B:$B,$A776,Import!E:E)</f>
        <v>0</v>
      </c>
      <c r="K776" s="99">
        <f>SUMIF(Import!$B:$B,$A776,Import!F:F)</f>
        <v>12153</v>
      </c>
      <c r="L776" s="99">
        <f>SUMIF(Import!$B:$B,$A776,Import!G:G)</f>
        <v>15793</v>
      </c>
      <c r="M776" s="99">
        <f>SUMIF(Import!$B:$B,$A776,Import!H:H)</f>
        <v>19213</v>
      </c>
      <c r="N776" s="99">
        <f>SUMIF(Import!$B:$B,$A776,Import!I:I)</f>
        <v>14409.75</v>
      </c>
      <c r="O776" s="99">
        <f>SUMIF(Import!$B:$B,$A776,Import!J:J)</f>
        <v>19213</v>
      </c>
      <c r="P776" s="99">
        <f t="shared" si="1154"/>
        <v>0</v>
      </c>
      <c r="Q776" s="99">
        <f>SUMIF(Import!$B:$B,$A776,Import!K:K)</f>
        <v>15194</v>
      </c>
      <c r="R776" s="99">
        <f>SUMIF(Import!$B:$B,$A776,Import!L:L)</f>
        <v>0</v>
      </c>
      <c r="S776" s="99">
        <f>SUMIF(Import!$B:$B,$A776,Import!M:M)</f>
        <v>0</v>
      </c>
      <c r="T776" s="99">
        <f>SUMIF(Import!$B:$B,$A776,Import!N:N)</f>
        <v>15194</v>
      </c>
      <c r="U776" s="99">
        <f t="shared" si="1155"/>
        <v>-4019</v>
      </c>
      <c r="V776" s="255">
        <f t="shared" si="1156"/>
        <v>-0.20918128350595955</v>
      </c>
      <c r="W776" s="264" t="s">
        <v>2558</v>
      </c>
      <c r="X776" s="264"/>
      <c r="Y776" s="264"/>
      <c r="Z776" s="88"/>
      <c r="AA776" s="616"/>
      <c r="AB776" s="623"/>
      <c r="AC776" s="300"/>
      <c r="AD776" s="300"/>
      <c r="AE776" s="300"/>
      <c r="AF776" s="300"/>
      <c r="AG776" s="300"/>
      <c r="AH776" s="623"/>
      <c r="AI776" s="623"/>
      <c r="AJ776" s="300"/>
      <c r="AK776" s="300"/>
      <c r="AL776" s="300"/>
      <c r="AM776" s="300"/>
      <c r="AN776" s="300"/>
      <c r="AO776" s="300"/>
      <c r="AP776" s="300"/>
      <c r="AQ776" s="300"/>
      <c r="AR776" s="68"/>
      <c r="AS776" s="68"/>
      <c r="AT776" s="68"/>
      <c r="AU776" s="68"/>
      <c r="AV776" s="68"/>
      <c r="AW776" s="68"/>
      <c r="AX776" s="68"/>
      <c r="AY776" s="68"/>
      <c r="AZ776" s="68"/>
      <c r="BA776" s="68"/>
      <c r="BB776" s="68"/>
      <c r="BC776" s="68"/>
      <c r="BD776" s="68"/>
      <c r="BE776" s="68"/>
      <c r="BF776" s="68"/>
      <c r="BG776" s="68"/>
    </row>
    <row r="777" spans="1:59" s="115" customFormat="1" ht="15" customHeight="1">
      <c r="A777" s="555" t="s">
        <v>2559</v>
      </c>
      <c r="B777" s="217" t="str">
        <f t="shared" si="1136"/>
        <v>100</v>
      </c>
      <c r="C777" s="217" t="str">
        <f t="shared" si="1137"/>
        <v>20</v>
      </c>
      <c r="D777" s="101" t="str">
        <f t="shared" si="1138"/>
        <v>208</v>
      </c>
      <c r="E777" s="217" t="str">
        <f t="shared" si="1139"/>
        <v>100-20-208</v>
      </c>
      <c r="F777" s="294" t="str">
        <f t="shared" si="1140"/>
        <v>55119</v>
      </c>
      <c r="G777" s="295" t="str">
        <f>VLOOKUP(F777,'GL Category'!A:C,3,FALSE)</f>
        <v>Services &amp; other</v>
      </c>
      <c r="H777" s="98" t="str">
        <f>VLOOKUP(F777,'GL Category'!A:C,2,FALSE)</f>
        <v>OFFICE EQUIP LEASE EXP-CITY</v>
      </c>
      <c r="I777" s="99">
        <f>SUMIF(Import!$B:$B,$A777,Import!D:D)</f>
        <v>0</v>
      </c>
      <c r="J777" s="99">
        <f>SUMIF(Import!$B:$B,$A777,Import!E:E)</f>
        <v>0</v>
      </c>
      <c r="K777" s="99">
        <f>SUMIF(Import!$B:$B,$A777,Import!F:F)</f>
        <v>0</v>
      </c>
      <c r="L777" s="99">
        <f>SUMIF(Import!$B:$B,$A777,Import!G:G)</f>
        <v>0</v>
      </c>
      <c r="M777" s="99">
        <f>SUMIF(Import!$B:$B,$A777,Import!H:H)</f>
        <v>68610</v>
      </c>
      <c r="N777" s="99">
        <f>SUMIF(Import!$B:$B,$A777,Import!I:I)</f>
        <v>51457.5</v>
      </c>
      <c r="O777" s="99">
        <f>SUMIF(Import!$B:$B,$A777,Import!J:J)</f>
        <v>68610</v>
      </c>
      <c r="P777" s="99">
        <f t="shared" si="1154"/>
        <v>0</v>
      </c>
      <c r="Q777" s="99">
        <f>SUMIF(Import!$B:$B,$A777,Import!K:K)</f>
        <v>70066</v>
      </c>
      <c r="R777" s="99">
        <f>SUMIF(Import!$B:$B,$A777,Import!L:L)</f>
        <v>0</v>
      </c>
      <c r="S777" s="99">
        <f>SUMIF(Import!$B:$B,$A777,Import!M:M)</f>
        <v>0</v>
      </c>
      <c r="T777" s="99">
        <f>SUMIF(Import!$B:$B,$A777,Import!N:N)</f>
        <v>70066</v>
      </c>
      <c r="U777" s="99">
        <f t="shared" si="1155"/>
        <v>1456</v>
      </c>
      <c r="V777" s="255">
        <f t="shared" si="1156"/>
        <v>2.1221396297915751E-2</v>
      </c>
      <c r="W777" s="102" t="s">
        <v>2559</v>
      </c>
      <c r="X777" s="102"/>
      <c r="Y777" s="102"/>
      <c r="Z777" s="192"/>
      <c r="AA777" s="615"/>
      <c r="AB777" s="307"/>
      <c r="AC777" s="300"/>
      <c r="AD777" s="300"/>
      <c r="AE777" s="300"/>
      <c r="AF777" s="300"/>
      <c r="AG777" s="300"/>
      <c r="AH777" s="307"/>
      <c r="AI777" s="307"/>
      <c r="AJ777" s="300"/>
      <c r="AK777" s="300"/>
      <c r="AL777" s="300"/>
      <c r="AM777" s="300"/>
      <c r="AN777" s="300"/>
      <c r="AO777" s="300"/>
      <c r="AP777" s="300"/>
      <c r="AQ777" s="300"/>
    </row>
    <row r="778" spans="1:59" ht="15" customHeight="1">
      <c r="A778" s="555"/>
      <c r="B778" s="217"/>
      <c r="C778" s="217"/>
      <c r="D778" s="101"/>
      <c r="E778" s="217"/>
      <c r="F778" s="294"/>
      <c r="G778" s="295"/>
      <c r="H778" s="107" t="str">
        <f>UPPER(G777)&amp;" TOTAL"</f>
        <v>SERVICES &amp; OTHER TOTAL</v>
      </c>
      <c r="I778" s="109">
        <f t="shared" ref="I778" si="1162">SUBTOTAL(9,I773:I777)</f>
        <v>0</v>
      </c>
      <c r="J778" s="109">
        <f t="shared" ref="J778:T778" si="1163">SUBTOTAL(9,J773:J777)</f>
        <v>10810.55</v>
      </c>
      <c r="K778" s="109">
        <f t="shared" ref="K778" si="1164">SUBTOTAL(9,K773:K777)</f>
        <v>25218.97</v>
      </c>
      <c r="L778" s="109">
        <f t="shared" ref="L778" si="1165">SUBTOTAL(9,L773:L777)</f>
        <v>32748.45</v>
      </c>
      <c r="M778" s="109">
        <f t="shared" si="1163"/>
        <v>104123</v>
      </c>
      <c r="N778" s="109">
        <f t="shared" ref="N778" si="1166">SUBTOTAL(9,N773:N777)</f>
        <v>83039.16</v>
      </c>
      <c r="O778" s="109">
        <f t="shared" si="1163"/>
        <v>104123</v>
      </c>
      <c r="P778" s="109">
        <f t="shared" si="1163"/>
        <v>0</v>
      </c>
      <c r="Q778" s="109">
        <f t="shared" si="1163"/>
        <v>101560</v>
      </c>
      <c r="R778" s="109">
        <f t="shared" si="1163"/>
        <v>0</v>
      </c>
      <c r="S778" s="109">
        <f t="shared" si="1163"/>
        <v>0</v>
      </c>
      <c r="T778" s="109">
        <f t="shared" si="1163"/>
        <v>101560</v>
      </c>
      <c r="U778" s="99">
        <f>T778-M778</f>
        <v>-2563</v>
      </c>
      <c r="V778" s="255">
        <f>IF(M778=0,"N/A",T778/M778-1)</f>
        <v>-2.4615118657741353E-2</v>
      </c>
      <c r="W778" s="102"/>
      <c r="X778" s="102"/>
      <c r="Y778" s="102"/>
      <c r="Z778" s="88"/>
      <c r="AA778" s="616"/>
      <c r="AB778" s="623"/>
      <c r="AC778" s="94"/>
      <c r="AD778" s="94"/>
      <c r="AE778" s="94"/>
      <c r="AF778" s="94"/>
      <c r="AG778" s="94"/>
      <c r="AH778" s="623"/>
      <c r="AI778" s="623"/>
      <c r="AJ778" s="94"/>
      <c r="AK778" s="94"/>
      <c r="AL778" s="94"/>
      <c r="AM778" s="94"/>
      <c r="AN778" s="94"/>
      <c r="AO778" s="94"/>
      <c r="AP778" s="94"/>
      <c r="AQ778" s="94"/>
      <c r="AR778" s="68"/>
      <c r="AS778" s="68"/>
      <c r="AT778" s="68"/>
      <c r="AU778" s="68"/>
      <c r="AV778" s="68"/>
      <c r="AW778" s="68"/>
      <c r="AX778" s="68"/>
      <c r="AY778" s="68"/>
      <c r="AZ778" s="68"/>
      <c r="BA778" s="68"/>
      <c r="BB778" s="68"/>
      <c r="BC778" s="68"/>
      <c r="BD778" s="68"/>
      <c r="BE778" s="68"/>
      <c r="BF778" s="68"/>
      <c r="BG778" s="68"/>
    </row>
    <row r="779" spans="1:59" s="115" customFormat="1" ht="15" customHeight="1">
      <c r="A779" s="555"/>
      <c r="B779" s="217"/>
      <c r="C779" s="217"/>
      <c r="D779" s="101"/>
      <c r="E779" s="217"/>
      <c r="F779" s="294"/>
      <c r="G779" s="295"/>
      <c r="H779" s="232"/>
      <c r="I779" s="233"/>
      <c r="J779" s="233"/>
      <c r="K779" s="233"/>
      <c r="L779" s="233"/>
      <c r="M779" s="233"/>
      <c r="N779" s="202"/>
      <c r="O779" s="202"/>
      <c r="P779" s="202"/>
      <c r="Q779" s="202"/>
      <c r="R779" s="202"/>
      <c r="S779" s="202"/>
      <c r="T779" s="202"/>
      <c r="U779" s="99"/>
      <c r="V779" s="255"/>
      <c r="W779" s="102"/>
      <c r="X779" s="102"/>
      <c r="Y779" s="102"/>
      <c r="Z779" s="192"/>
      <c r="AA779" s="615"/>
      <c r="AB779" s="307"/>
      <c r="AC779" s="93"/>
      <c r="AD779" s="93"/>
      <c r="AE779" s="93"/>
      <c r="AF779" s="93"/>
      <c r="AG779" s="93"/>
      <c r="AH779" s="307"/>
      <c r="AI779" s="307"/>
      <c r="AJ779" s="93"/>
      <c r="AK779" s="93"/>
      <c r="AL779" s="93"/>
      <c r="AM779" s="93"/>
      <c r="AN779" s="93"/>
      <c r="AO779" s="93"/>
      <c r="AP779" s="93"/>
      <c r="AQ779" s="93"/>
    </row>
    <row r="780" spans="1:59" s="115" customFormat="1" ht="15" hidden="1" customHeight="1">
      <c r="A780" s="555">
        <v>0</v>
      </c>
      <c r="B780" s="217" t="str">
        <f t="shared" si="1136"/>
        <v>0</v>
      </c>
      <c r="C780" s="217" t="str">
        <f t="shared" si="1137"/>
        <v/>
      </c>
      <c r="D780" s="101" t="str">
        <f t="shared" si="1138"/>
        <v/>
      </c>
      <c r="E780" s="217" t="str">
        <f t="shared" si="1139"/>
        <v>0</v>
      </c>
      <c r="F780" s="294" t="str">
        <f t="shared" si="1140"/>
        <v>0</v>
      </c>
      <c r="G780" s="295" t="e">
        <f>VLOOKUP(F780,'GL Category'!A:C,3,FALSE)</f>
        <v>#N/A</v>
      </c>
      <c r="H780" s="98" t="e">
        <f>VLOOKUP(F780,'GL Category'!A:C,2,FALSE)</f>
        <v>#N/A</v>
      </c>
      <c r="I780" s="99">
        <f>SUMIF(Import!$B:$B,$A780,Import!D:D)</f>
        <v>0</v>
      </c>
      <c r="J780" s="99">
        <f>SUMIF(Import!$B:$B,$A780,Import!E:E)</f>
        <v>0</v>
      </c>
      <c r="K780" s="99">
        <f>SUMIF(Import!$B:$B,$A780,Import!F:F)</f>
        <v>0</v>
      </c>
      <c r="L780" s="99">
        <f>SUMIF(Import!$B:$B,$A780,Import!G:G)</f>
        <v>0</v>
      </c>
      <c r="M780" s="99">
        <f>SUMIF(Import!$B:$B,$A780,Import!H:H)</f>
        <v>0</v>
      </c>
      <c r="N780" s="99">
        <f>SUMIF(Import!$B:$B,$A780,Import!I:I)</f>
        <v>0</v>
      </c>
      <c r="O780" s="99">
        <f>SUMIF(Import!$B:$B,$A780,Import!J:J)</f>
        <v>0</v>
      </c>
      <c r="P780" s="99">
        <f t="shared" ref="P780" si="1167">O780-M780</f>
        <v>0</v>
      </c>
      <c r="Q780" s="99">
        <f>SUMIF(Import!$B:$B,$A780,Import!K:K)</f>
        <v>0</v>
      </c>
      <c r="R780" s="99">
        <f>SUMIF(Import!$B:$B,$A780,Import!L:L)</f>
        <v>0</v>
      </c>
      <c r="S780" s="99">
        <f>SUMIF(Import!$B:$B,$A780,Import!M:M)</f>
        <v>0</v>
      </c>
      <c r="T780" s="99">
        <f>SUMIF(Import!$B:$B,$A780,Import!N:N)</f>
        <v>0</v>
      </c>
      <c r="U780" s="99">
        <f t="shared" ref="U780" si="1168">T780-M780</f>
        <v>0</v>
      </c>
      <c r="V780" s="255" t="str">
        <f t="shared" ref="V780" si="1169">IF(M780=0,"N/A",T780/M780-1)</f>
        <v>N/A</v>
      </c>
      <c r="W780" s="102"/>
      <c r="X780" s="102"/>
      <c r="Y780" s="102"/>
      <c r="Z780" s="192"/>
      <c r="AA780" s="615"/>
      <c r="AB780" s="307"/>
      <c r="AC780" s="300"/>
      <c r="AD780" s="300"/>
      <c r="AE780" s="300"/>
      <c r="AF780" s="300"/>
      <c r="AG780" s="300"/>
      <c r="AH780" s="307"/>
      <c r="AI780" s="307"/>
      <c r="AJ780" s="300"/>
      <c r="AK780" s="300"/>
      <c r="AL780" s="300"/>
      <c r="AM780" s="300"/>
      <c r="AN780" s="300"/>
      <c r="AO780" s="300"/>
      <c r="AP780" s="300"/>
      <c r="AQ780" s="300"/>
    </row>
    <row r="781" spans="1:59" s="115" customFormat="1" ht="15" hidden="1" customHeight="1">
      <c r="A781" s="555"/>
      <c r="B781" s="217"/>
      <c r="C781" s="217"/>
      <c r="D781" s="101"/>
      <c r="E781" s="217"/>
      <c r="F781" s="294"/>
      <c r="G781" s="295"/>
      <c r="H781" s="107" t="e">
        <f>UPPER(G780)&amp;" TOTAL"</f>
        <v>#N/A</v>
      </c>
      <c r="I781" s="109">
        <f t="shared" ref="I781" si="1170">SUBTOTAL(9,I780)</f>
        <v>0</v>
      </c>
      <c r="J781" s="109">
        <f t="shared" ref="J781:T781" si="1171">SUBTOTAL(9,J780)</f>
        <v>0</v>
      </c>
      <c r="K781" s="109">
        <f t="shared" ref="K781" si="1172">SUBTOTAL(9,K780)</f>
        <v>0</v>
      </c>
      <c r="L781" s="109">
        <f t="shared" ref="L781" si="1173">SUBTOTAL(9,L780)</f>
        <v>0</v>
      </c>
      <c r="M781" s="109">
        <f t="shared" si="1171"/>
        <v>0</v>
      </c>
      <c r="N781" s="109">
        <f t="shared" ref="N781" si="1174">SUBTOTAL(9,N780)</f>
        <v>0</v>
      </c>
      <c r="O781" s="109">
        <f t="shared" si="1171"/>
        <v>0</v>
      </c>
      <c r="P781" s="109">
        <f t="shared" si="1171"/>
        <v>0</v>
      </c>
      <c r="Q781" s="109">
        <f t="shared" si="1171"/>
        <v>0</v>
      </c>
      <c r="R781" s="109">
        <f t="shared" si="1171"/>
        <v>0</v>
      </c>
      <c r="S781" s="109">
        <f t="shared" si="1171"/>
        <v>0</v>
      </c>
      <c r="T781" s="109">
        <f t="shared" si="1171"/>
        <v>0</v>
      </c>
      <c r="U781" s="99">
        <f>T781-M781</f>
        <v>0</v>
      </c>
      <c r="V781" s="255" t="str">
        <f>IF(M781=0,"N/A",T781/M781-1)</f>
        <v>N/A</v>
      </c>
      <c r="W781" s="102"/>
      <c r="X781" s="102"/>
      <c r="Y781" s="102"/>
      <c r="Z781" s="192"/>
      <c r="AA781" s="615"/>
      <c r="AB781" s="307"/>
      <c r="AC781" s="94"/>
      <c r="AD781" s="94"/>
      <c r="AE781" s="94"/>
      <c r="AF781" s="94"/>
      <c r="AG781" s="94"/>
      <c r="AH781" s="307"/>
      <c r="AI781" s="307"/>
      <c r="AJ781" s="94"/>
      <c r="AK781" s="94"/>
      <c r="AL781" s="94"/>
      <c r="AM781" s="94"/>
      <c r="AN781" s="94"/>
      <c r="AO781" s="94"/>
      <c r="AP781" s="94"/>
      <c r="AQ781" s="94"/>
    </row>
    <row r="782" spans="1:59" s="115" customFormat="1" ht="15" customHeight="1">
      <c r="A782" s="555"/>
      <c r="B782" s="217"/>
      <c r="C782" s="217"/>
      <c r="D782" s="101"/>
      <c r="E782" s="217"/>
      <c r="F782" s="294"/>
      <c r="G782" s="295"/>
      <c r="H782" s="232"/>
      <c r="I782" s="233"/>
      <c r="J782" s="233"/>
      <c r="K782" s="233"/>
      <c r="L782" s="233"/>
      <c r="M782" s="233"/>
      <c r="N782" s="202"/>
      <c r="O782" s="202"/>
      <c r="P782" s="202"/>
      <c r="Q782" s="202"/>
      <c r="R782" s="202"/>
      <c r="S782" s="202"/>
      <c r="T782" s="202"/>
      <c r="U782" s="99"/>
      <c r="V782" s="255"/>
      <c r="W782" s="102"/>
      <c r="X782" s="102"/>
      <c r="Y782" s="102"/>
      <c r="Z782" s="192"/>
      <c r="AA782" s="615"/>
      <c r="AB782" s="307"/>
      <c r="AC782" s="93"/>
      <c r="AD782" s="93"/>
      <c r="AE782" s="93"/>
      <c r="AF782" s="93"/>
      <c r="AG782" s="93"/>
      <c r="AH782" s="307"/>
      <c r="AI782" s="307"/>
      <c r="AJ782" s="93"/>
      <c r="AK782" s="93"/>
      <c r="AL782" s="93"/>
      <c r="AM782" s="93"/>
      <c r="AN782" s="93"/>
      <c r="AO782" s="93"/>
      <c r="AP782" s="93"/>
      <c r="AQ782" s="93"/>
    </row>
    <row r="783" spans="1:59" ht="15" customHeight="1">
      <c r="A783" s="555"/>
      <c r="B783" s="217"/>
      <c r="C783" s="217"/>
      <c r="D783" s="101"/>
      <c r="E783" s="217"/>
      <c r="F783" s="294"/>
      <c r="G783" s="295"/>
      <c r="H783" s="114" t="s">
        <v>763</v>
      </c>
      <c r="I783" s="108">
        <f t="shared" ref="I783" si="1175">SUBTOTAL(9,I756:I781)</f>
        <v>0</v>
      </c>
      <c r="J783" s="108">
        <f t="shared" ref="J783:T783" si="1176">SUBTOTAL(9,J756:J781)</f>
        <v>291805.55</v>
      </c>
      <c r="K783" s="108">
        <f t="shared" ref="K783" si="1177">SUBTOTAL(9,K756:K781)</f>
        <v>311183.72000000003</v>
      </c>
      <c r="L783" s="108">
        <f t="shared" ref="L783" si="1178">SUBTOTAL(9,L756:L781)</f>
        <v>320281.98000000004</v>
      </c>
      <c r="M783" s="108">
        <f t="shared" si="1176"/>
        <v>405803</v>
      </c>
      <c r="N783" s="108">
        <f t="shared" ref="N783" si="1179">SUBTOTAL(9,N756:N781)</f>
        <v>306828.68</v>
      </c>
      <c r="O783" s="108">
        <f t="shared" si="1176"/>
        <v>398704</v>
      </c>
      <c r="P783" s="108">
        <f t="shared" si="1176"/>
        <v>-7099</v>
      </c>
      <c r="Q783" s="108">
        <f t="shared" si="1176"/>
        <v>414547</v>
      </c>
      <c r="R783" s="108">
        <f t="shared" si="1176"/>
        <v>0</v>
      </c>
      <c r="S783" s="108">
        <f t="shared" si="1176"/>
        <v>0</v>
      </c>
      <c r="T783" s="108">
        <f t="shared" si="1176"/>
        <v>414547</v>
      </c>
      <c r="U783" s="99">
        <f>T783-M783</f>
        <v>8744</v>
      </c>
      <c r="V783" s="255">
        <f>IF(M783=0,"N/A",T783/M783-1)</f>
        <v>2.154740107884856E-2</v>
      </c>
      <c r="W783" s="102"/>
      <c r="X783" s="102"/>
      <c r="Y783" s="102"/>
      <c r="AA783" s="615"/>
      <c r="AC783" s="300"/>
      <c r="AD783" s="300"/>
      <c r="AE783" s="300"/>
      <c r="AF783" s="300"/>
      <c r="AG783" s="300"/>
      <c r="AJ783" s="300"/>
      <c r="AK783" s="300"/>
      <c r="AL783" s="300"/>
      <c r="AM783" s="300"/>
      <c r="AN783" s="300"/>
      <c r="AO783" s="300"/>
      <c r="AP783" s="300"/>
      <c r="AQ783" s="300"/>
    </row>
    <row r="784" spans="1:59" s="115" customFormat="1" ht="15" customHeight="1" thickBot="1">
      <c r="A784" s="555"/>
      <c r="B784" s="217"/>
      <c r="C784" s="217"/>
      <c r="D784" s="101"/>
      <c r="E784" s="217"/>
      <c r="F784" s="294"/>
      <c r="G784" s="295"/>
      <c r="H784" s="98"/>
      <c r="I784" s="218"/>
      <c r="J784" s="218"/>
      <c r="K784" s="218"/>
      <c r="L784" s="218"/>
      <c r="M784" s="218"/>
      <c r="N784" s="96"/>
      <c r="O784" s="96"/>
      <c r="P784" s="96"/>
      <c r="Q784" s="212"/>
      <c r="R784" s="212"/>
      <c r="S784" s="212"/>
      <c r="T784" s="212"/>
      <c r="U784" s="99"/>
      <c r="V784" s="255"/>
      <c r="W784" s="102"/>
      <c r="X784" s="102"/>
      <c r="Y784" s="102"/>
      <c r="Z784" s="192"/>
      <c r="AA784" s="615"/>
      <c r="AB784" s="307"/>
      <c r="AC784" s="94"/>
      <c r="AD784" s="94"/>
      <c r="AE784" s="94"/>
      <c r="AF784" s="94"/>
      <c r="AG784" s="94"/>
      <c r="AH784" s="307"/>
      <c r="AI784" s="307"/>
      <c r="AJ784" s="94"/>
      <c r="AK784" s="94"/>
      <c r="AL784" s="94"/>
      <c r="AM784" s="94"/>
      <c r="AN784" s="94"/>
      <c r="AO784" s="192"/>
      <c r="AP784" s="192"/>
      <c r="AQ784" s="192"/>
    </row>
    <row r="785" spans="1:59" s="115" customFormat="1" ht="23.25" customHeight="1" thickBot="1">
      <c r="A785" s="555"/>
      <c r="B785" s="217"/>
      <c r="C785" s="217"/>
      <c r="D785" s="101"/>
      <c r="E785" s="217"/>
      <c r="F785" s="294"/>
      <c r="G785" s="295"/>
      <c r="H785" s="668" t="s">
        <v>620</v>
      </c>
      <c r="I785" s="669"/>
      <c r="J785" s="669"/>
      <c r="K785" s="669"/>
      <c r="L785" s="669"/>
      <c r="M785" s="669"/>
      <c r="N785" s="669"/>
      <c r="O785" s="669"/>
      <c r="P785" s="669"/>
      <c r="Q785" s="669"/>
      <c r="R785" s="669"/>
      <c r="S785" s="669"/>
      <c r="T785" s="670"/>
      <c r="U785" s="99"/>
      <c r="V785" s="255"/>
      <c r="W785" s="102"/>
      <c r="X785" s="102"/>
      <c r="Y785" s="102"/>
      <c r="Z785" s="192"/>
      <c r="AA785" s="615"/>
      <c r="AB785" s="307"/>
      <c r="AC785" s="93"/>
      <c r="AD785" s="93"/>
      <c r="AE785" s="93"/>
      <c r="AF785" s="93"/>
      <c r="AG785" s="93"/>
      <c r="AH785" s="307"/>
      <c r="AI785" s="307"/>
      <c r="AJ785" s="93"/>
      <c r="AK785" s="93"/>
      <c r="AL785" s="93"/>
      <c r="AM785" s="93"/>
      <c r="AN785" s="93"/>
      <c r="AO785" s="192"/>
      <c r="AP785" s="192"/>
      <c r="AQ785" s="192"/>
    </row>
    <row r="786" spans="1:59" ht="15" customHeight="1">
      <c r="A786" s="555"/>
      <c r="B786" s="217"/>
      <c r="C786" s="217"/>
      <c r="D786" s="101"/>
      <c r="E786" s="217"/>
      <c r="F786" s="294"/>
      <c r="G786" s="295"/>
      <c r="H786" s="225"/>
      <c r="I786" s="225"/>
      <c r="J786" s="225"/>
      <c r="K786" s="225"/>
      <c r="L786" s="225"/>
      <c r="M786" s="225"/>
      <c r="N786" s="225"/>
      <c r="O786" s="225"/>
      <c r="P786" s="225"/>
      <c r="Q786" s="225"/>
      <c r="R786" s="225"/>
      <c r="S786" s="225"/>
      <c r="T786" s="225"/>
      <c r="U786" s="99"/>
      <c r="V786" s="255"/>
      <c r="W786" s="102"/>
      <c r="X786" s="102"/>
      <c r="Y786" s="102"/>
      <c r="AA786" s="615"/>
      <c r="AC786" s="300"/>
      <c r="AD786" s="300"/>
      <c r="AE786" s="300"/>
      <c r="AF786" s="300"/>
      <c r="AG786" s="300"/>
      <c r="AJ786" s="300"/>
      <c r="AK786" s="300"/>
      <c r="AL786" s="300"/>
      <c r="AM786" s="300"/>
      <c r="AN786" s="300"/>
    </row>
    <row r="787" spans="1:59" ht="15" customHeight="1">
      <c r="A787" s="555"/>
      <c r="B787" s="217"/>
      <c r="C787" s="217" t="s">
        <v>3131</v>
      </c>
      <c r="D787" s="101"/>
      <c r="E787" s="217"/>
      <c r="F787" s="294" t="s">
        <v>129</v>
      </c>
      <c r="G787" s="295" t="str">
        <f>VLOOKUP(F787,'GL Category'!A:C,3,FALSE)</f>
        <v>Personnel services</v>
      </c>
      <c r="H787" s="98" t="str">
        <f>VLOOKUP(F787,'GL Category'!A:C,2,FALSE)</f>
        <v>EXEMPT SALARIES</v>
      </c>
      <c r="I787" s="99">
        <f>SUMIFS(I$1:I782,$C$1:$C782,$C787,$F$1:$F782,$F787)</f>
        <v>395143.45</v>
      </c>
      <c r="J787" s="99">
        <f>SUMIFS(J$1:J782,$C$1:$C782,$C787,$F$1:$F782,$F787)</f>
        <v>399115.93</v>
      </c>
      <c r="K787" s="99">
        <f>SUMIFS(K$1:K782,$C$1:$C782,$C787,$F$1:$F782,$F787)</f>
        <v>447101.74</v>
      </c>
      <c r="L787" s="99">
        <f>SUMIFS(L$1:L782,$C$1:$C782,$C787,$F$1:$F782,$F787)</f>
        <v>473256.66000000003</v>
      </c>
      <c r="M787" s="99">
        <f>SUMIFS(M$1:M782,$C$1:$C782,$C787,$F$1:$F782,$F787)</f>
        <v>474059</v>
      </c>
      <c r="N787" s="99">
        <f>SUMIFS(N$1:N782,$C$1:$C782,$C787,$F$1:$F782,$F787)</f>
        <v>290898.34000000003</v>
      </c>
      <c r="O787" s="99">
        <f>SUMIFS(O$1:O782,$C$1:$C782,$C787,$F$1:$F782,$F787)</f>
        <v>407712</v>
      </c>
      <c r="P787" s="99">
        <f t="shared" ref="P787" si="1180">O787-M787</f>
        <v>-66347</v>
      </c>
      <c r="Q787" s="99">
        <f>SUMIFS(Q$1:Q782,$C$1:$C782,$C787,$F$1:$F782,$F787)</f>
        <v>470658</v>
      </c>
      <c r="R787" s="99">
        <f>SUMIFS(R$1:R782,$C$1:$C782,$C787,$F$1:$F782,$F787)</f>
        <v>0</v>
      </c>
      <c r="S787" s="99">
        <f>SUMIFS(S$1:S782,$C$1:$C782,$C787,$F$1:$F782,$F787)</f>
        <v>0</v>
      </c>
      <c r="T787" s="99">
        <f>SUMIFS(T$1:T782,$C$1:$C782,$C787,$F$1:$F782,$F787)</f>
        <v>470658</v>
      </c>
      <c r="U787" s="99">
        <f t="shared" ref="U787:U798" si="1181">T787-M787</f>
        <v>-3401</v>
      </c>
      <c r="V787" s="255">
        <f t="shared" ref="V787:V798" si="1182">IF(M787=0,"N/A",T787/M787-1)</f>
        <v>-7.1742124925378015E-3</v>
      </c>
      <c r="W787" s="102"/>
      <c r="X787" s="102"/>
      <c r="Y787" s="102">
        <f t="shared" ref="Y787:Y797" si="1183">T787-X787</f>
        <v>470658</v>
      </c>
      <c r="Z787" s="309">
        <f>Y787*(1+VLOOKUP($F787,'GL Category'!$A:$H,4,FALSE))</f>
        <v>487131.02999999997</v>
      </c>
      <c r="AA787" s="615"/>
      <c r="AB787" s="622">
        <f t="shared" ref="AB787:AB797" si="1184">Z787+AA787</f>
        <v>487131.02999999997</v>
      </c>
      <c r="AC787" s="633">
        <f>AB787*(1+VLOOKUP($F787,'GL Category'!$A:$H,5,FALSE))</f>
        <v>504180.61604999995</v>
      </c>
      <c r="AE787" s="622">
        <f t="shared" ref="AE787:AE797" si="1185">AC787+AD787</f>
        <v>504180.61604999995</v>
      </c>
      <c r="AF787" s="633">
        <f>AE787*(1+VLOOKUP($F787,'GL Category'!$A:$H,6,FALSE))</f>
        <v>521826.93761174992</v>
      </c>
      <c r="AH787" s="622">
        <f t="shared" ref="AH787:AH797" si="1186">AF787+AG787</f>
        <v>521826.93761174992</v>
      </c>
      <c r="AI787" s="633">
        <f>AH787*(1+VLOOKUP($F787,'GL Category'!$A:$H,7,FALSE))</f>
        <v>540090.88042816112</v>
      </c>
      <c r="AK787" s="622">
        <f t="shared" ref="AK787:AK797" si="1187">AI787+AJ787</f>
        <v>540090.88042816112</v>
      </c>
      <c r="AL787" s="633">
        <f>AK787*(1+VLOOKUP($F787,'GL Category'!$A:$H,8,FALSE))</f>
        <v>558994.06124314677</v>
      </c>
      <c r="AN787" s="622">
        <f t="shared" ref="AN787:AN797" si="1188">AL787+AM787</f>
        <v>558994.06124314677</v>
      </c>
    </row>
    <row r="788" spans="1:59" ht="15" customHeight="1">
      <c r="A788" s="555"/>
      <c r="B788" s="217"/>
      <c r="C788" s="217" t="s">
        <v>3131</v>
      </c>
      <c r="D788" s="101"/>
      <c r="E788" s="217"/>
      <c r="F788" s="294" t="s">
        <v>131</v>
      </c>
      <c r="G788" s="295" t="str">
        <f>VLOOKUP(F788,'GL Category'!A:C,3,FALSE)</f>
        <v>Personnel services</v>
      </c>
      <c r="H788" s="98" t="str">
        <f>VLOOKUP(F788,'GL Category'!A:C,2,FALSE)</f>
        <v>NON EXEMPT SALARIES</v>
      </c>
      <c r="I788" s="99">
        <f>SUMIFS(I$1:I783,$C$1:$C783,$C788,$F$1:$F783,$F788)</f>
        <v>233872.57</v>
      </c>
      <c r="J788" s="99">
        <f>SUMIFS(J$1:J783,$C$1:$C783,$C788,$F$1:$F783,$F788)</f>
        <v>285661.3</v>
      </c>
      <c r="K788" s="99">
        <f>SUMIFS(K$1:K783,$C$1:$C783,$C788,$F$1:$F783,$F788)</f>
        <v>281248.57</v>
      </c>
      <c r="L788" s="99">
        <f>SUMIFS(L$1:L783,$C$1:$C783,$C788,$F$1:$F783,$F788)</f>
        <v>305733.43</v>
      </c>
      <c r="M788" s="99">
        <f>SUMIFS(M$1:M783,$C$1:$C783,$C788,$F$1:$F783,$F788)</f>
        <v>331817</v>
      </c>
      <c r="N788" s="99">
        <f>SUMIFS(N$1:N783,$C$1:$C783,$C788,$F$1:$F783,$F788)</f>
        <v>249611.6</v>
      </c>
      <c r="O788" s="99">
        <f>SUMIFS(O$1:O783,$C$1:$C783,$C788,$F$1:$F783,$F788)</f>
        <v>328433</v>
      </c>
      <c r="P788" s="99">
        <f t="shared" ref="P788:P797" si="1189">O788-M788</f>
        <v>-3384</v>
      </c>
      <c r="Q788" s="99">
        <f>SUMIFS(Q$1:Q783,$C$1:$C783,$C788,$F$1:$F783,$F788)</f>
        <v>344097</v>
      </c>
      <c r="R788" s="99">
        <f>SUMIFS(R$1:R783,$C$1:$C783,$C788,$F$1:$F783,$F788)</f>
        <v>0</v>
      </c>
      <c r="S788" s="99">
        <f>SUMIFS(S$1:S783,$C$1:$C783,$C788,$F$1:$F783,$F788)</f>
        <v>0</v>
      </c>
      <c r="T788" s="99">
        <f>SUMIFS(T$1:T783,$C$1:$C783,$C788,$F$1:$F783,$F788)</f>
        <v>344097</v>
      </c>
      <c r="U788" s="99">
        <f t="shared" si="1181"/>
        <v>12280</v>
      </c>
      <c r="V788" s="255">
        <f t="shared" si="1182"/>
        <v>3.7008350988647409E-2</v>
      </c>
      <c r="W788" s="102"/>
      <c r="X788" s="102"/>
      <c r="Y788" s="102">
        <f t="shared" si="1183"/>
        <v>344097</v>
      </c>
      <c r="Z788" s="309">
        <f>Y788*(1+VLOOKUP($F788,'GL Category'!$A:$H,4,FALSE))</f>
        <v>356140.39499999996</v>
      </c>
      <c r="AA788" s="615"/>
      <c r="AB788" s="622">
        <f t="shared" si="1184"/>
        <v>356140.39499999996</v>
      </c>
      <c r="AC788" s="633">
        <f>AB788*(1+VLOOKUP($F788,'GL Category'!$A:$H,5,FALSE))</f>
        <v>368605.30882499996</v>
      </c>
      <c r="AE788" s="622">
        <f t="shared" si="1185"/>
        <v>368605.30882499996</v>
      </c>
      <c r="AF788" s="633">
        <f>AE788*(1+VLOOKUP($F788,'GL Category'!$A:$H,6,FALSE))</f>
        <v>381506.49463387491</v>
      </c>
      <c r="AH788" s="622">
        <f t="shared" si="1186"/>
        <v>381506.49463387491</v>
      </c>
      <c r="AI788" s="633">
        <f>AH788*(1+VLOOKUP($F788,'GL Category'!$A:$H,7,FALSE))</f>
        <v>394859.22194606048</v>
      </c>
      <c r="AK788" s="622">
        <f t="shared" si="1187"/>
        <v>394859.22194606048</v>
      </c>
      <c r="AL788" s="633">
        <f>AK788*(1+VLOOKUP($F788,'GL Category'!$A:$H,8,FALSE))</f>
        <v>408679.29471417255</v>
      </c>
      <c r="AN788" s="622">
        <f t="shared" si="1188"/>
        <v>408679.29471417255</v>
      </c>
    </row>
    <row r="789" spans="1:59" ht="15" customHeight="1">
      <c r="A789" s="555"/>
      <c r="B789" s="217"/>
      <c r="C789" s="217" t="s">
        <v>3131</v>
      </c>
      <c r="D789" s="101"/>
      <c r="E789" s="217"/>
      <c r="F789" s="294" t="s">
        <v>133</v>
      </c>
      <c r="G789" s="295" t="str">
        <f>VLOOKUP(F789,'GL Category'!A:C,3,FALSE)</f>
        <v>Personnel services</v>
      </c>
      <c r="H789" s="98" t="str">
        <f>VLOOKUP(F789,'GL Category'!A:C,2,FALSE)</f>
        <v>OVERTIME</v>
      </c>
      <c r="I789" s="99">
        <f>SUMIFS(I$1:I784,$C$1:$C784,$C789,$F$1:$F784,$F789)</f>
        <v>7052.59</v>
      </c>
      <c r="J789" s="99">
        <f>SUMIFS(J$1:J784,$C$1:$C784,$C789,$F$1:$F784,$F789)</f>
        <v>5640.7</v>
      </c>
      <c r="K789" s="99">
        <f>SUMIFS(K$1:K784,$C$1:$C784,$C789,$F$1:$F784,$F789)</f>
        <v>4041.29</v>
      </c>
      <c r="L789" s="99">
        <f>SUMIFS(L$1:L784,$C$1:$C784,$C789,$F$1:$F784,$F789)</f>
        <v>8688.32</v>
      </c>
      <c r="M789" s="99">
        <f>SUMIFS(M$1:M784,$C$1:$C784,$C789,$F$1:$F784,$F789)</f>
        <v>11126</v>
      </c>
      <c r="N789" s="99">
        <f>SUMIFS(N$1:N784,$C$1:$C784,$C789,$F$1:$F784,$F789)</f>
        <v>2105.9700000000003</v>
      </c>
      <c r="O789" s="99">
        <f>SUMIFS(O$1:O784,$C$1:$C784,$C789,$F$1:$F784,$F789)</f>
        <v>3021</v>
      </c>
      <c r="P789" s="99">
        <f t="shared" si="1189"/>
        <v>-8105</v>
      </c>
      <c r="Q789" s="99">
        <f>SUMIFS(Q$1:Q784,$C$1:$C784,$C789,$F$1:$F784,$F789)</f>
        <v>11126</v>
      </c>
      <c r="R789" s="99">
        <f>SUMIFS(R$1:R784,$C$1:$C784,$C789,$F$1:$F784,$F789)</f>
        <v>0</v>
      </c>
      <c r="S789" s="99">
        <f>SUMIFS(S$1:S784,$C$1:$C784,$C789,$F$1:$F784,$F789)</f>
        <v>0</v>
      </c>
      <c r="T789" s="99">
        <f>SUMIFS(T$1:T784,$C$1:$C784,$C789,$F$1:$F784,$F789)</f>
        <v>11126</v>
      </c>
      <c r="U789" s="99">
        <f t="shared" si="1181"/>
        <v>0</v>
      </c>
      <c r="V789" s="255">
        <f t="shared" si="1182"/>
        <v>0</v>
      </c>
      <c r="W789" s="102"/>
      <c r="X789" s="102"/>
      <c r="Y789" s="102">
        <f t="shared" si="1183"/>
        <v>11126</v>
      </c>
      <c r="Z789" s="309">
        <f>Y789*(1+VLOOKUP($F789,'GL Category'!$A:$H,4,FALSE))</f>
        <v>11515.41</v>
      </c>
      <c r="AA789" s="615"/>
      <c r="AB789" s="622">
        <f t="shared" si="1184"/>
        <v>11515.41</v>
      </c>
      <c r="AC789" s="633">
        <f>AB789*(1+VLOOKUP($F789,'GL Category'!$A:$H,5,FALSE))</f>
        <v>11918.449349999999</v>
      </c>
      <c r="AE789" s="622">
        <f t="shared" si="1185"/>
        <v>11918.449349999999</v>
      </c>
      <c r="AF789" s="633">
        <f>AE789*(1+VLOOKUP($F789,'GL Category'!$A:$H,6,FALSE))</f>
        <v>12335.595077249998</v>
      </c>
      <c r="AH789" s="622">
        <f t="shared" si="1186"/>
        <v>12335.595077249998</v>
      </c>
      <c r="AI789" s="633">
        <f>AH789*(1+VLOOKUP($F789,'GL Category'!$A:$H,7,FALSE))</f>
        <v>12767.340904953748</v>
      </c>
      <c r="AK789" s="622">
        <f t="shared" si="1187"/>
        <v>12767.340904953748</v>
      </c>
      <c r="AL789" s="633">
        <f>AK789*(1+VLOOKUP($F789,'GL Category'!$A:$H,8,FALSE))</f>
        <v>13214.197836627129</v>
      </c>
      <c r="AN789" s="622">
        <f t="shared" si="1188"/>
        <v>13214.197836627129</v>
      </c>
    </row>
    <row r="790" spans="1:59" ht="15" customHeight="1">
      <c r="A790" s="555"/>
      <c r="B790" s="217"/>
      <c r="C790" s="217" t="s">
        <v>3131</v>
      </c>
      <c r="D790" s="101"/>
      <c r="E790" s="217"/>
      <c r="F790" s="294" t="s">
        <v>134</v>
      </c>
      <c r="G790" s="295" t="str">
        <f>VLOOKUP(F790,'GL Category'!A:C,3,FALSE)</f>
        <v>Personnel services</v>
      </c>
      <c r="H790" s="98" t="str">
        <f>VLOOKUP(F790,'GL Category'!A:C,2,FALSE)</f>
        <v>PART-TIME WAGES</v>
      </c>
      <c r="I790" s="99">
        <f>SUMIFS(I$1:I785,$C$1:$C785,$C790,$F$1:$F785,$F790)</f>
        <v>0</v>
      </c>
      <c r="J790" s="99">
        <f>SUMIFS(J$1:J785,$C$1:$C785,$C790,$F$1:$F785,$F790)</f>
        <v>0</v>
      </c>
      <c r="K790" s="99">
        <f>SUMIFS(K$1:K785,$C$1:$C785,$C790,$F$1:$F785,$F790)</f>
        <v>0</v>
      </c>
      <c r="L790" s="99">
        <f>SUMIFS(L$1:L785,$C$1:$C785,$C790,$F$1:$F785,$F790)</f>
        <v>0</v>
      </c>
      <c r="M790" s="99">
        <f>SUMIFS(M$1:M785,$C$1:$C785,$C790,$F$1:$F785,$F790)</f>
        <v>0</v>
      </c>
      <c r="N790" s="99">
        <f>SUMIFS(N$1:N785,$C$1:$C785,$C790,$F$1:$F785,$F790)</f>
        <v>0</v>
      </c>
      <c r="O790" s="99">
        <f>SUMIFS(O$1:O785,$C$1:$C785,$C790,$F$1:$F785,$F790)</f>
        <v>0</v>
      </c>
      <c r="P790" s="99">
        <f t="shared" si="1189"/>
        <v>0</v>
      </c>
      <c r="Q790" s="99">
        <f>SUMIFS(Q$1:Q785,$C$1:$C785,$C790,$F$1:$F785,$F790)</f>
        <v>0</v>
      </c>
      <c r="R790" s="99">
        <f>SUMIFS(R$1:R785,$C$1:$C785,$C790,$F$1:$F785,$F790)</f>
        <v>0</v>
      </c>
      <c r="S790" s="99">
        <f>SUMIFS(S$1:S785,$C$1:$C785,$C790,$F$1:$F785,$F790)</f>
        <v>0</v>
      </c>
      <c r="T790" s="99">
        <f>SUMIFS(T$1:T785,$C$1:$C785,$C790,$F$1:$F785,$F790)</f>
        <v>0</v>
      </c>
      <c r="U790" s="99">
        <f t="shared" si="1181"/>
        <v>0</v>
      </c>
      <c r="V790" s="255" t="str">
        <f t="shared" si="1182"/>
        <v>N/A</v>
      </c>
      <c r="W790" s="102"/>
      <c r="X790" s="102"/>
      <c r="Y790" s="102">
        <f t="shared" si="1183"/>
        <v>0</v>
      </c>
      <c r="Z790" s="309">
        <f>Y790*(1+VLOOKUP($F790,'GL Category'!$A:$H,4,FALSE))</f>
        <v>0</v>
      </c>
      <c r="AA790" s="615"/>
      <c r="AB790" s="622">
        <f t="shared" si="1184"/>
        <v>0</v>
      </c>
      <c r="AC790" s="633">
        <f>AB790*(1+VLOOKUP($F790,'GL Category'!$A:$H,5,FALSE))</f>
        <v>0</v>
      </c>
      <c r="AE790" s="622">
        <f t="shared" si="1185"/>
        <v>0</v>
      </c>
      <c r="AF790" s="633">
        <f>AE790*(1+VLOOKUP($F790,'GL Category'!$A:$H,6,FALSE))</f>
        <v>0</v>
      </c>
      <c r="AH790" s="622">
        <f t="shared" si="1186"/>
        <v>0</v>
      </c>
      <c r="AI790" s="633">
        <f>AH790*(1+VLOOKUP($F790,'GL Category'!$A:$H,7,FALSE))</f>
        <v>0</v>
      </c>
      <c r="AK790" s="622">
        <f t="shared" si="1187"/>
        <v>0</v>
      </c>
      <c r="AL790" s="633">
        <f>AK790*(1+VLOOKUP($F790,'GL Category'!$A:$H,8,FALSE))</f>
        <v>0</v>
      </c>
      <c r="AN790" s="622">
        <f t="shared" si="1188"/>
        <v>0</v>
      </c>
    </row>
    <row r="791" spans="1:59" ht="15" customHeight="1">
      <c r="A791" s="555"/>
      <c r="B791" s="217"/>
      <c r="C791" s="217" t="s">
        <v>3131</v>
      </c>
      <c r="D791" s="101"/>
      <c r="E791" s="217"/>
      <c r="F791" s="294" t="s">
        <v>136</v>
      </c>
      <c r="G791" s="295" t="str">
        <f>VLOOKUP(F791,'GL Category'!A:C,3,FALSE)</f>
        <v>Personnel services</v>
      </c>
      <c r="H791" s="98" t="str">
        <f>VLOOKUP(F791,'GL Category'!A:C,2,FALSE)</f>
        <v>LONGEVITY PAY</v>
      </c>
      <c r="I791" s="99">
        <f>SUMIFS(I$1:I786,$C$1:$C786,$C791,$F$1:$F786,$F791)</f>
        <v>3250</v>
      </c>
      <c r="J791" s="99">
        <f>SUMIFS(J$1:J786,$C$1:$C786,$C791,$F$1:$F786,$F791)</f>
        <v>3840</v>
      </c>
      <c r="K791" s="99">
        <f>SUMIFS(K$1:K786,$C$1:$C786,$C791,$F$1:$F786,$F791)</f>
        <v>4255</v>
      </c>
      <c r="L791" s="99">
        <f>SUMIFS(L$1:L786,$C$1:$C786,$C791,$F$1:$F786,$F791)</f>
        <v>5175</v>
      </c>
      <c r="M791" s="99">
        <f>SUMIFS(M$1:M786,$C$1:$C786,$C791,$F$1:$F786,$F791)</f>
        <v>4872</v>
      </c>
      <c r="N791" s="99">
        <f>SUMIFS(N$1:N786,$C$1:$C786,$C791,$F$1:$F786,$F791)</f>
        <v>4730</v>
      </c>
      <c r="O791" s="99">
        <f>SUMIFS(O$1:O786,$C$1:$C786,$C791,$F$1:$F786,$F791)</f>
        <v>4730</v>
      </c>
      <c r="P791" s="99">
        <f t="shared" si="1189"/>
        <v>-142</v>
      </c>
      <c r="Q791" s="99">
        <f>SUMIFS(Q$1:Q786,$C$1:$C786,$C791,$F$1:$F786,$F791)</f>
        <v>5747</v>
      </c>
      <c r="R791" s="99">
        <f>SUMIFS(R$1:R786,$C$1:$C786,$C791,$F$1:$F786,$F791)</f>
        <v>0</v>
      </c>
      <c r="S791" s="99">
        <f>SUMIFS(S$1:S786,$C$1:$C786,$C791,$F$1:$F786,$F791)</f>
        <v>0</v>
      </c>
      <c r="T791" s="99">
        <f>SUMIFS(T$1:T786,$C$1:$C786,$C791,$F$1:$F786,$F791)</f>
        <v>5747</v>
      </c>
      <c r="U791" s="99">
        <f t="shared" si="1181"/>
        <v>875</v>
      </c>
      <c r="V791" s="255">
        <f t="shared" si="1182"/>
        <v>0.17959770114942519</v>
      </c>
      <c r="W791" s="102"/>
      <c r="X791" s="102"/>
      <c r="Y791" s="102">
        <f t="shared" si="1183"/>
        <v>5747</v>
      </c>
      <c r="Z791" s="309">
        <f>Y791*(1+VLOOKUP($F791,'GL Category'!$A:$H,4,FALSE))</f>
        <v>5948.1449999999995</v>
      </c>
      <c r="AA791" s="615"/>
      <c r="AB791" s="622">
        <f t="shared" si="1184"/>
        <v>5948.1449999999995</v>
      </c>
      <c r="AC791" s="633">
        <f>AB791*(1+VLOOKUP($F791,'GL Category'!$A:$H,5,FALSE))</f>
        <v>6156.3300749999989</v>
      </c>
      <c r="AE791" s="622">
        <f t="shared" si="1185"/>
        <v>6156.3300749999989</v>
      </c>
      <c r="AF791" s="633">
        <f>AE791*(1+VLOOKUP($F791,'GL Category'!$A:$H,6,FALSE))</f>
        <v>6371.8016276249982</v>
      </c>
      <c r="AH791" s="622">
        <f t="shared" si="1186"/>
        <v>6371.8016276249982</v>
      </c>
      <c r="AI791" s="633">
        <f>AH791*(1+VLOOKUP($F791,'GL Category'!$A:$H,7,FALSE))</f>
        <v>6594.8146845918727</v>
      </c>
      <c r="AK791" s="622">
        <f t="shared" si="1187"/>
        <v>6594.8146845918727</v>
      </c>
      <c r="AL791" s="633">
        <f>AK791*(1+VLOOKUP($F791,'GL Category'!$A:$H,8,FALSE))</f>
        <v>6825.6331985525876</v>
      </c>
      <c r="AN791" s="622">
        <f t="shared" si="1188"/>
        <v>6825.6331985525876</v>
      </c>
    </row>
    <row r="792" spans="1:59" ht="15" customHeight="1">
      <c r="A792" s="555"/>
      <c r="B792" s="217"/>
      <c r="C792" s="217" t="s">
        <v>3131</v>
      </c>
      <c r="D792" s="101"/>
      <c r="E792" s="217"/>
      <c r="F792" s="556" t="s">
        <v>249</v>
      </c>
      <c r="G792" s="295" t="str">
        <f>VLOOKUP(F792,'GL Category'!A:C,3,FALSE)</f>
        <v>Personnel services</v>
      </c>
      <c r="H792" s="98" t="str">
        <f>VLOOKUP(F792,'GL Category'!A:C,2,FALSE)</f>
        <v>TEMPORARY/SEASONAL WAGES</v>
      </c>
      <c r="I792" s="99">
        <f>SUMIFS(I$1:I787,$C$1:$C787,$C792,$F$1:$F787,$F792)</f>
        <v>0</v>
      </c>
      <c r="J792" s="99">
        <f>SUMIFS(J$1:J787,$C$1:$C787,$C792,$F$1:$F787,$F792)</f>
        <v>0</v>
      </c>
      <c r="K792" s="99">
        <f>SUMIFS(K$1:K787,$C$1:$C787,$C792,$F$1:$F787,$F792)</f>
        <v>0</v>
      </c>
      <c r="L792" s="99">
        <f>SUMIFS(L$1:L787,$C$1:$C787,$C792,$F$1:$F787,$F792)</f>
        <v>0</v>
      </c>
      <c r="M792" s="99">
        <f>SUMIFS(M$1:M787,$C$1:$C787,$C792,$F$1:$F787,$F792)</f>
        <v>0</v>
      </c>
      <c r="N792" s="99">
        <f>SUMIFS(N$1:N787,$C$1:$C787,$C792,$F$1:$F787,$F792)</f>
        <v>0</v>
      </c>
      <c r="O792" s="99">
        <f>SUMIFS(O$1:O787,$C$1:$C787,$C792,$F$1:$F787,$F792)</f>
        <v>0</v>
      </c>
      <c r="P792" s="99">
        <f t="shared" ref="P792" si="1190">O792-M792</f>
        <v>0</v>
      </c>
      <c r="Q792" s="99">
        <f>SUMIFS(Q$1:Q787,$C$1:$C787,$C792,$F$1:$F787,$F792)</f>
        <v>0</v>
      </c>
      <c r="R792" s="99">
        <f>SUMIFS(R$1:R787,$C$1:$C787,$C792,$F$1:$F787,$F792)</f>
        <v>0</v>
      </c>
      <c r="S792" s="99">
        <f>SUMIFS(S$1:S787,$C$1:$C787,$C792,$F$1:$F787,$F792)</f>
        <v>0</v>
      </c>
      <c r="T792" s="99">
        <f>SUMIFS(T$1:T787,$C$1:$C787,$C792,$F$1:$F787,$F792)</f>
        <v>0</v>
      </c>
      <c r="U792" s="99">
        <f t="shared" ref="U792" si="1191">T792-M792</f>
        <v>0</v>
      </c>
      <c r="V792" s="255" t="str">
        <f t="shared" ref="V792" si="1192">IF(M792=0,"N/A",T792/M792-1)</f>
        <v>N/A</v>
      </c>
      <c r="W792" s="102"/>
      <c r="X792" s="102"/>
      <c r="Y792" s="102">
        <f t="shared" si="1183"/>
        <v>0</v>
      </c>
      <c r="Z792" s="309">
        <f>Y792*(1+VLOOKUP($F792,'GL Category'!$A:$H,4,FALSE))</f>
        <v>0</v>
      </c>
      <c r="AA792" s="615"/>
      <c r="AB792" s="622">
        <f t="shared" si="1184"/>
        <v>0</v>
      </c>
      <c r="AC792" s="633">
        <f>AB792*(1+VLOOKUP($F792,'GL Category'!$A:$H,5,FALSE))</f>
        <v>0</v>
      </c>
      <c r="AE792" s="622">
        <f t="shared" si="1185"/>
        <v>0</v>
      </c>
      <c r="AF792" s="633">
        <f>AE792*(1+VLOOKUP($F792,'GL Category'!$A:$H,6,FALSE))</f>
        <v>0</v>
      </c>
      <c r="AH792" s="622">
        <f t="shared" si="1186"/>
        <v>0</v>
      </c>
      <c r="AI792" s="633">
        <f>AH792*(1+VLOOKUP($F792,'GL Category'!$A:$H,7,FALSE))</f>
        <v>0</v>
      </c>
      <c r="AK792" s="622">
        <f t="shared" si="1187"/>
        <v>0</v>
      </c>
      <c r="AL792" s="633">
        <f>AK792*(1+VLOOKUP($F792,'GL Category'!$A:$H,8,FALSE))</f>
        <v>0</v>
      </c>
      <c r="AN792" s="622">
        <f t="shared" si="1188"/>
        <v>0</v>
      </c>
    </row>
    <row r="793" spans="1:59" ht="15" customHeight="1">
      <c r="A793" s="555"/>
      <c r="B793" s="217"/>
      <c r="C793" s="217" t="s">
        <v>3131</v>
      </c>
      <c r="D793" s="101"/>
      <c r="E793" s="217"/>
      <c r="F793" s="294" t="s">
        <v>139</v>
      </c>
      <c r="G793" s="295" t="str">
        <f>VLOOKUP(F793,'GL Category'!A:C,3,FALSE)</f>
        <v>Personnel services</v>
      </c>
      <c r="H793" s="98" t="str">
        <f>VLOOKUP(F793,'GL Category'!A:C,2,FALSE)</f>
        <v>AUTO ALLOWANCE</v>
      </c>
      <c r="I793" s="99">
        <f>SUMIFS(I$1:I787,$C$1:$C787,$C793,$F$1:$F787,$F793)</f>
        <v>4800</v>
      </c>
      <c r="J793" s="99">
        <f>SUMIFS(J$1:J787,$C$1:$C787,$C793,$F$1:$F787,$F793)</f>
        <v>4800</v>
      </c>
      <c r="K793" s="99">
        <f>SUMIFS(K$1:K787,$C$1:$C787,$C793,$F$1:$F787,$F793)</f>
        <v>4800</v>
      </c>
      <c r="L793" s="99">
        <f>SUMIFS(L$1:L787,$C$1:$C787,$C793,$F$1:$F787,$F793)</f>
        <v>5016</v>
      </c>
      <c r="M793" s="99">
        <f>SUMIFS(M$1:M787,$C$1:$C787,$C793,$F$1:$F787,$F793)</f>
        <v>4800</v>
      </c>
      <c r="N793" s="99">
        <f>SUMIFS(N$1:N787,$C$1:$C787,$C793,$F$1:$F787,$F793)</f>
        <v>3584</v>
      </c>
      <c r="O793" s="99">
        <f>SUMIFS(O$1:O787,$C$1:$C787,$C793,$F$1:$F787,$F793)</f>
        <v>4804</v>
      </c>
      <c r="P793" s="99">
        <f t="shared" si="1189"/>
        <v>4</v>
      </c>
      <c r="Q793" s="99">
        <f>SUMIFS(Q$1:Q787,$C$1:$C787,$C793,$F$1:$F787,$F793)</f>
        <v>4800</v>
      </c>
      <c r="R793" s="99">
        <f>SUMIFS(R$1:R787,$C$1:$C787,$C793,$F$1:$F787,$F793)</f>
        <v>0</v>
      </c>
      <c r="S793" s="99">
        <f>SUMIFS(S$1:S787,$C$1:$C787,$C793,$F$1:$F787,$F793)</f>
        <v>0</v>
      </c>
      <c r="T793" s="99">
        <f>SUMIFS(T$1:T787,$C$1:$C787,$C793,$F$1:$F787,$F793)</f>
        <v>4800</v>
      </c>
      <c r="U793" s="99">
        <f t="shared" si="1181"/>
        <v>0</v>
      </c>
      <c r="V793" s="255">
        <f t="shared" si="1182"/>
        <v>0</v>
      </c>
      <c r="W793" s="102"/>
      <c r="X793" s="102"/>
      <c r="Y793" s="102">
        <f t="shared" si="1183"/>
        <v>4800</v>
      </c>
      <c r="Z793" s="309">
        <f>Y793*(1+VLOOKUP($F793,'GL Category'!$A:$H,4,FALSE))</f>
        <v>4968</v>
      </c>
      <c r="AA793" s="615"/>
      <c r="AB793" s="622">
        <f t="shared" si="1184"/>
        <v>4968</v>
      </c>
      <c r="AC793" s="633">
        <f>AB793*(1+VLOOKUP($F793,'GL Category'!$A:$H,5,FALSE))</f>
        <v>5141.8799999999992</v>
      </c>
      <c r="AE793" s="622">
        <f t="shared" si="1185"/>
        <v>5141.8799999999992</v>
      </c>
      <c r="AF793" s="633">
        <f>AE793*(1+VLOOKUP($F793,'GL Category'!$A:$H,6,FALSE))</f>
        <v>5321.8457999999991</v>
      </c>
      <c r="AH793" s="622">
        <f t="shared" si="1186"/>
        <v>5321.8457999999991</v>
      </c>
      <c r="AI793" s="633">
        <f>AH793*(1+VLOOKUP($F793,'GL Category'!$A:$H,7,FALSE))</f>
        <v>5508.1104029999988</v>
      </c>
      <c r="AK793" s="622">
        <f t="shared" si="1187"/>
        <v>5508.1104029999988</v>
      </c>
      <c r="AL793" s="633">
        <f>AK793*(1+VLOOKUP($F793,'GL Category'!$A:$H,8,FALSE))</f>
        <v>5700.8942671049981</v>
      </c>
      <c r="AN793" s="622">
        <f t="shared" si="1188"/>
        <v>5700.8942671049981</v>
      </c>
    </row>
    <row r="794" spans="1:59" ht="15" customHeight="1">
      <c r="A794" s="555"/>
      <c r="B794" s="217"/>
      <c r="C794" s="217" t="s">
        <v>3131</v>
      </c>
      <c r="D794" s="101"/>
      <c r="E794" s="217"/>
      <c r="F794" s="294" t="s">
        <v>140</v>
      </c>
      <c r="G794" s="295" t="str">
        <f>VLOOKUP(F794,'GL Category'!A:C,3,FALSE)</f>
        <v>Personnel services</v>
      </c>
      <c r="H794" s="98" t="str">
        <f>VLOOKUP(F794,'GL Category'!A:C,2,FALSE)</f>
        <v>SOCIAL SECURITY</v>
      </c>
      <c r="I794" s="99">
        <f>SUMIFS(I$1:I788,$C$1:$C788,$C794,$F$1:$F788,$F794)</f>
        <v>46531.43</v>
      </c>
      <c r="J794" s="99">
        <f>SUMIFS(J$1:J788,$C$1:$C788,$C794,$F$1:$F788,$F794)</f>
        <v>49595.990000000005</v>
      </c>
      <c r="K794" s="99">
        <f>SUMIFS(K$1:K788,$C$1:$C788,$C794,$F$1:$F788,$F794)</f>
        <v>52527.53</v>
      </c>
      <c r="L794" s="99">
        <f>SUMIFS(L$1:L788,$C$1:$C788,$C794,$F$1:$F788,$F794)</f>
        <v>55602.509999999995</v>
      </c>
      <c r="M794" s="99">
        <f>SUMIFS(M$1:M788,$C$1:$C788,$C794,$F$1:$F788,$F794)</f>
        <v>63610</v>
      </c>
      <c r="N794" s="99">
        <f>SUMIFS(N$1:N788,$C$1:$C788,$C794,$F$1:$F788,$F794)</f>
        <v>40432.07</v>
      </c>
      <c r="O794" s="99">
        <f>SUMIFS(O$1:O788,$C$1:$C788,$C794,$F$1:$F788,$F794)</f>
        <v>55840</v>
      </c>
      <c r="P794" s="99">
        <f t="shared" si="1189"/>
        <v>-7770</v>
      </c>
      <c r="Q794" s="99">
        <f>SUMIFS(Q$1:Q788,$C$1:$C788,$C794,$F$1:$F788,$F794)</f>
        <v>64030</v>
      </c>
      <c r="R794" s="99">
        <f>SUMIFS(R$1:R788,$C$1:$C788,$C794,$F$1:$F788,$F794)</f>
        <v>0</v>
      </c>
      <c r="S794" s="99">
        <f>SUMIFS(S$1:S788,$C$1:$C788,$C794,$F$1:$F788,$F794)</f>
        <v>0</v>
      </c>
      <c r="T794" s="99">
        <f>SUMIFS(T$1:T788,$C$1:$C788,$C794,$F$1:$F788,$F794)</f>
        <v>64030</v>
      </c>
      <c r="U794" s="99">
        <f t="shared" si="1181"/>
        <v>420</v>
      </c>
      <c r="V794" s="255">
        <f t="shared" si="1182"/>
        <v>6.6027354189592824E-3</v>
      </c>
      <c r="W794" s="102"/>
      <c r="X794" s="102"/>
      <c r="Y794" s="102">
        <f t="shared" si="1183"/>
        <v>64030</v>
      </c>
      <c r="Z794" s="309">
        <f>Y794*(1+VLOOKUP($F794,'GL Category'!$A:$H,4,FALSE))</f>
        <v>66271.049999999988</v>
      </c>
      <c r="AA794" s="615"/>
      <c r="AB794" s="622">
        <f t="shared" si="1184"/>
        <v>66271.049999999988</v>
      </c>
      <c r="AC794" s="633">
        <f>AB794*(1+VLOOKUP($F794,'GL Category'!$A:$H,5,FALSE))</f>
        <v>68590.536749999985</v>
      </c>
      <c r="AE794" s="622">
        <f t="shared" si="1185"/>
        <v>68590.536749999985</v>
      </c>
      <c r="AF794" s="633">
        <f>AE794*(1+VLOOKUP($F794,'GL Category'!$A:$H,6,FALSE))</f>
        <v>70991.205536249981</v>
      </c>
      <c r="AH794" s="622">
        <f t="shared" si="1186"/>
        <v>70991.205536249981</v>
      </c>
      <c r="AI794" s="633">
        <f>AH794*(1+VLOOKUP($F794,'GL Category'!$A:$H,7,FALSE))</f>
        <v>73475.897730018725</v>
      </c>
      <c r="AK794" s="622">
        <f t="shared" si="1187"/>
        <v>73475.897730018725</v>
      </c>
      <c r="AL794" s="633">
        <f>AK794*(1+VLOOKUP($F794,'GL Category'!$A:$H,8,FALSE))</f>
        <v>76047.554150569369</v>
      </c>
      <c r="AN794" s="622">
        <f t="shared" si="1188"/>
        <v>76047.554150569369</v>
      </c>
    </row>
    <row r="795" spans="1:59" ht="15" customHeight="1">
      <c r="A795" s="555"/>
      <c r="B795" s="217"/>
      <c r="C795" s="217" t="s">
        <v>3131</v>
      </c>
      <c r="D795" s="101"/>
      <c r="E795" s="217"/>
      <c r="F795" s="294" t="s">
        <v>141</v>
      </c>
      <c r="G795" s="295" t="str">
        <f>VLOOKUP(F795,'GL Category'!A:C,3,FALSE)</f>
        <v>Personnel services</v>
      </c>
      <c r="H795" s="98" t="str">
        <f>VLOOKUP(F795,'GL Category'!A:C,2,FALSE)</f>
        <v>HEALTH/LIFE INSURANCE</v>
      </c>
      <c r="I795" s="99">
        <f>SUMIFS(I$1:I789,$C$1:$C789,$C795,$F$1:$F789,$F795)</f>
        <v>146157.78</v>
      </c>
      <c r="J795" s="99">
        <f>SUMIFS(J$1:J789,$C$1:$C789,$C795,$F$1:$F789,$F795)</f>
        <v>189432.52000000002</v>
      </c>
      <c r="K795" s="99">
        <f>SUMIFS(K$1:K789,$C$1:$C789,$C795,$F$1:$F789,$F795)</f>
        <v>186305.46999999997</v>
      </c>
      <c r="L795" s="99">
        <f>SUMIFS(L$1:L789,$C$1:$C789,$C795,$F$1:$F789,$F795)</f>
        <v>160994.51999999999</v>
      </c>
      <c r="M795" s="99">
        <f>SUMIFS(M$1:M789,$C$1:$C789,$C795,$F$1:$F789,$F795)</f>
        <v>164376</v>
      </c>
      <c r="N795" s="99">
        <f>SUMIFS(N$1:N789,$C$1:$C789,$C795,$F$1:$F789,$F795)</f>
        <v>102931.13999999998</v>
      </c>
      <c r="O795" s="99">
        <f>SUMIFS(O$1:O789,$C$1:$C789,$C795,$F$1:$F789,$F795)</f>
        <v>145046</v>
      </c>
      <c r="P795" s="99">
        <f t="shared" si="1189"/>
        <v>-19330</v>
      </c>
      <c r="Q795" s="99">
        <f>SUMIFS(Q$1:Q789,$C$1:$C789,$C795,$F$1:$F789,$F795)</f>
        <v>151437</v>
      </c>
      <c r="R795" s="99">
        <f>SUMIFS(R$1:R789,$C$1:$C789,$C795,$F$1:$F789,$F795)</f>
        <v>0</v>
      </c>
      <c r="S795" s="99">
        <f>SUMIFS(S$1:S789,$C$1:$C789,$C795,$F$1:$F789,$F795)</f>
        <v>0</v>
      </c>
      <c r="T795" s="99">
        <f>SUMIFS(T$1:T789,$C$1:$C789,$C795,$F$1:$F789,$F795)</f>
        <v>151437</v>
      </c>
      <c r="U795" s="99">
        <f t="shared" si="1181"/>
        <v>-12939</v>
      </c>
      <c r="V795" s="255">
        <f t="shared" si="1182"/>
        <v>-7.8715870930062826E-2</v>
      </c>
      <c r="W795" s="102"/>
      <c r="X795" s="102"/>
      <c r="Y795" s="102">
        <f t="shared" si="1183"/>
        <v>151437</v>
      </c>
      <c r="Z795" s="309">
        <f>Y795*(1+VLOOKUP($F795,'GL Category'!$A:$H,4,FALSE))</f>
        <v>156737.29499999998</v>
      </c>
      <c r="AA795" s="615"/>
      <c r="AB795" s="622">
        <f t="shared" si="1184"/>
        <v>156737.29499999998</v>
      </c>
      <c r="AC795" s="633">
        <f>AB795*(1+VLOOKUP($F795,'GL Category'!$A:$H,5,FALSE))</f>
        <v>162223.10032499998</v>
      </c>
      <c r="AE795" s="622">
        <f t="shared" si="1185"/>
        <v>162223.10032499998</v>
      </c>
      <c r="AF795" s="633">
        <f>AE795*(1+VLOOKUP($F795,'GL Category'!$A:$H,6,FALSE))</f>
        <v>167900.90883637496</v>
      </c>
      <c r="AH795" s="622">
        <f t="shared" si="1186"/>
        <v>167900.90883637496</v>
      </c>
      <c r="AI795" s="633">
        <f>AH795*(1+VLOOKUP($F795,'GL Category'!$A:$H,7,FALSE))</f>
        <v>173777.44064564808</v>
      </c>
      <c r="AK795" s="622">
        <f t="shared" si="1187"/>
        <v>173777.44064564808</v>
      </c>
      <c r="AL795" s="633">
        <f>AK795*(1+VLOOKUP($F795,'GL Category'!$A:$H,8,FALSE))</f>
        <v>179859.65106824576</v>
      </c>
      <c r="AN795" s="622">
        <f t="shared" si="1188"/>
        <v>179859.65106824576</v>
      </c>
    </row>
    <row r="796" spans="1:59" ht="15" customHeight="1">
      <c r="A796" s="555"/>
      <c r="B796" s="217"/>
      <c r="C796" s="217" t="s">
        <v>3131</v>
      </c>
      <c r="D796" s="101"/>
      <c r="E796" s="217"/>
      <c r="F796" s="294" t="s">
        <v>143</v>
      </c>
      <c r="G796" s="295" t="str">
        <f>VLOOKUP(F796,'GL Category'!A:C,3,FALSE)</f>
        <v>Personnel services</v>
      </c>
      <c r="H796" s="98" t="str">
        <f>VLOOKUP(F796,'GL Category'!A:C,2,FALSE)</f>
        <v>WORKER COMPENSATION</v>
      </c>
      <c r="I796" s="99">
        <f>SUMIFS(I$1:I790,$C$1:$C790,$C796,$F$1:$F790,$F796)</f>
        <v>663.32999999999993</v>
      </c>
      <c r="J796" s="99">
        <f>SUMIFS(J$1:J790,$C$1:$C790,$C796,$F$1:$F790,$F796)</f>
        <v>582.94000000000005</v>
      </c>
      <c r="K796" s="99">
        <f>SUMIFS(K$1:K790,$C$1:$C790,$C796,$F$1:$F790,$F796)</f>
        <v>741.01</v>
      </c>
      <c r="L796" s="99">
        <f>SUMIFS(L$1:L790,$C$1:$C790,$C796,$F$1:$F790,$F796)</f>
        <v>1368.07</v>
      </c>
      <c r="M796" s="99">
        <f>SUMIFS(M$1:M790,$C$1:$C790,$C796,$F$1:$F790,$F796)</f>
        <v>1595</v>
      </c>
      <c r="N796" s="99">
        <f>SUMIFS(N$1:N790,$C$1:$C790,$C796,$F$1:$F790,$F796)</f>
        <v>1593.6999999999998</v>
      </c>
      <c r="O796" s="99">
        <f>SUMIFS(O$1:O790,$C$1:$C790,$C796,$F$1:$F790,$F796)</f>
        <v>1595</v>
      </c>
      <c r="P796" s="99">
        <f t="shared" si="1189"/>
        <v>0</v>
      </c>
      <c r="Q796" s="99">
        <f>SUMIFS(Q$1:Q790,$C$1:$C790,$C796,$F$1:$F790,$F796)</f>
        <v>1567</v>
      </c>
      <c r="R796" s="99">
        <f>SUMIFS(R$1:R790,$C$1:$C790,$C796,$F$1:$F790,$F796)</f>
        <v>0</v>
      </c>
      <c r="S796" s="99">
        <f>SUMIFS(S$1:S790,$C$1:$C790,$C796,$F$1:$F790,$F796)</f>
        <v>0</v>
      </c>
      <c r="T796" s="99">
        <f>SUMIFS(T$1:T790,$C$1:$C790,$C796,$F$1:$F790,$F796)</f>
        <v>1567</v>
      </c>
      <c r="U796" s="99">
        <f t="shared" si="1181"/>
        <v>-28</v>
      </c>
      <c r="V796" s="255">
        <f t="shared" si="1182"/>
        <v>-1.7554858934169304E-2</v>
      </c>
      <c r="W796" s="102"/>
      <c r="X796" s="102"/>
      <c r="Y796" s="102">
        <f t="shared" si="1183"/>
        <v>1567</v>
      </c>
      <c r="Z796" s="309">
        <f>Y796*(1+VLOOKUP($F796,'GL Category'!$A:$H,4,FALSE))</f>
        <v>1621.8449999999998</v>
      </c>
      <c r="AA796" s="615"/>
      <c r="AB796" s="622">
        <f t="shared" si="1184"/>
        <v>1621.8449999999998</v>
      </c>
      <c r="AC796" s="633">
        <f>AB796*(1+VLOOKUP($F796,'GL Category'!$A:$H,5,FALSE))</f>
        <v>1678.6095749999997</v>
      </c>
      <c r="AE796" s="622">
        <f t="shared" si="1185"/>
        <v>1678.6095749999997</v>
      </c>
      <c r="AF796" s="633">
        <f>AE796*(1+VLOOKUP($F796,'GL Category'!$A:$H,6,FALSE))</f>
        <v>1737.3609101249997</v>
      </c>
      <c r="AH796" s="622">
        <f t="shared" si="1186"/>
        <v>1737.3609101249997</v>
      </c>
      <c r="AI796" s="633">
        <f>AH796*(1+VLOOKUP($F796,'GL Category'!$A:$H,7,FALSE))</f>
        <v>1798.1685419793746</v>
      </c>
      <c r="AK796" s="622">
        <f t="shared" si="1187"/>
        <v>1798.1685419793746</v>
      </c>
      <c r="AL796" s="633">
        <f>AK796*(1+VLOOKUP($F796,'GL Category'!$A:$H,8,FALSE))</f>
        <v>1861.1044409486526</v>
      </c>
      <c r="AN796" s="622">
        <f t="shared" si="1188"/>
        <v>1861.1044409486526</v>
      </c>
    </row>
    <row r="797" spans="1:59" ht="15" customHeight="1">
      <c r="A797" s="555"/>
      <c r="B797" s="217"/>
      <c r="C797" s="217" t="s">
        <v>3131</v>
      </c>
      <c r="D797" s="101"/>
      <c r="E797" s="217"/>
      <c r="F797" s="294" t="s">
        <v>147</v>
      </c>
      <c r="G797" s="295" t="str">
        <f>VLOOKUP(F797,'GL Category'!A:C,3,FALSE)</f>
        <v>Personnel services</v>
      </c>
      <c r="H797" s="98" t="str">
        <f>VLOOKUP(F797,'GL Category'!A:C,2,FALSE)</f>
        <v>RETIREMENT</v>
      </c>
      <c r="I797" s="99">
        <f>SUMIFS(I$1:I791,$C$1:$C791,$C797,$F$1:$F791,$F797)</f>
        <v>102630.35</v>
      </c>
      <c r="J797" s="99">
        <f>SUMIFS(J$1:J791,$C$1:$C791,$C797,$F$1:$F791,$F797)</f>
        <v>112637.23</v>
      </c>
      <c r="K797" s="99">
        <f>SUMIFS(K$1:K791,$C$1:$C791,$C797,$F$1:$F791,$F797)</f>
        <v>120030.54</v>
      </c>
      <c r="L797" s="99">
        <f>SUMIFS(L$1:L791,$C$1:$C791,$C797,$F$1:$F791,$F797)</f>
        <v>124941.18999999999</v>
      </c>
      <c r="M797" s="99">
        <f>SUMIFS(M$1:M791,$C$1:$C791,$C797,$F$1:$F791,$F797)</f>
        <v>137311</v>
      </c>
      <c r="N797" s="99">
        <f>SUMIFS(N$1:N791,$C$1:$C791,$C797,$F$1:$F791,$F797)</f>
        <v>91444.860000000015</v>
      </c>
      <c r="O797" s="99">
        <f>SUMIFS(O$1:O791,$C$1:$C791,$C797,$F$1:$F791,$F797)</f>
        <v>124766</v>
      </c>
      <c r="P797" s="99">
        <f t="shared" si="1189"/>
        <v>-12545</v>
      </c>
      <c r="Q797" s="99">
        <f>SUMIFS(Q$1:Q791,$C$1:$C791,$C797,$F$1:$F791,$F797)</f>
        <v>142283</v>
      </c>
      <c r="R797" s="99">
        <f>SUMIFS(R$1:R791,$C$1:$C791,$C797,$F$1:$F791,$F797)</f>
        <v>0</v>
      </c>
      <c r="S797" s="99">
        <f>SUMIFS(S$1:S791,$C$1:$C791,$C797,$F$1:$F791,$F797)</f>
        <v>0</v>
      </c>
      <c r="T797" s="99">
        <f>SUMIFS(T$1:T791,$C$1:$C791,$C797,$F$1:$F791,$F797)</f>
        <v>142283</v>
      </c>
      <c r="U797" s="99">
        <f t="shared" si="1181"/>
        <v>4972</v>
      </c>
      <c r="V797" s="255">
        <f t="shared" si="1182"/>
        <v>3.6209771977481875E-2</v>
      </c>
      <c r="W797" s="102"/>
      <c r="X797" s="102"/>
      <c r="Y797" s="102">
        <f t="shared" si="1183"/>
        <v>142283</v>
      </c>
      <c r="Z797" s="309">
        <f>Y797*(1+VLOOKUP($F797,'GL Category'!$A:$H,4,FALSE))</f>
        <v>147262.905</v>
      </c>
      <c r="AA797" s="615"/>
      <c r="AB797" s="622">
        <f t="shared" si="1184"/>
        <v>147262.905</v>
      </c>
      <c r="AC797" s="633">
        <f>AB797*(1+VLOOKUP($F797,'GL Category'!$A:$H,5,FALSE))</f>
        <v>152417.10667499999</v>
      </c>
      <c r="AE797" s="622">
        <f t="shared" si="1185"/>
        <v>152417.10667499999</v>
      </c>
      <c r="AF797" s="633">
        <f>AE797*(1+VLOOKUP($F797,'GL Category'!$A:$H,6,FALSE))</f>
        <v>157751.70540862498</v>
      </c>
      <c r="AH797" s="622">
        <f t="shared" si="1186"/>
        <v>157751.70540862498</v>
      </c>
      <c r="AI797" s="633">
        <f>AH797*(1+VLOOKUP($F797,'GL Category'!$A:$H,7,FALSE))</f>
        <v>163273.01509792684</v>
      </c>
      <c r="AK797" s="622">
        <f t="shared" si="1187"/>
        <v>163273.01509792684</v>
      </c>
      <c r="AL797" s="633">
        <f>AK797*(1+VLOOKUP($F797,'GL Category'!$A:$H,8,FALSE))</f>
        <v>168987.57062635425</v>
      </c>
      <c r="AN797" s="622">
        <f t="shared" si="1188"/>
        <v>168987.57062635425</v>
      </c>
      <c r="AO797" s="307"/>
      <c r="AP797" s="307"/>
    </row>
    <row r="798" spans="1:59" ht="15" customHeight="1">
      <c r="A798" s="555"/>
      <c r="B798" s="217"/>
      <c r="C798" s="217" t="str">
        <f t="shared" si="1137"/>
        <v/>
      </c>
      <c r="D798" s="101"/>
      <c r="E798" s="217"/>
      <c r="F798" s="294"/>
      <c r="G798" s="295"/>
      <c r="H798" s="107" t="str">
        <f>UPPER(G797)&amp;" TOTAL"</f>
        <v>PERSONNEL SERVICES TOTAL</v>
      </c>
      <c r="I798" s="108">
        <f t="shared" ref="I798" si="1193">SUBTOTAL(9,I787:I797)</f>
        <v>940101.5</v>
      </c>
      <c r="J798" s="108">
        <f t="shared" ref="J798:P798" si="1194">SUBTOTAL(9,J787:J797)</f>
        <v>1051306.6099999999</v>
      </c>
      <c r="K798" s="108">
        <f t="shared" ref="K798" si="1195">SUBTOTAL(9,K787:K797)</f>
        <v>1101051.1500000001</v>
      </c>
      <c r="L798" s="108">
        <f t="shared" ref="L798" si="1196">SUBTOTAL(9,L787:L797)</f>
        <v>1140775.7</v>
      </c>
      <c r="M798" s="108">
        <f t="shared" si="1194"/>
        <v>1193566</v>
      </c>
      <c r="N798" s="109">
        <f t="shared" ref="N798" si="1197">SUBTOTAL(9,N787:N797)</f>
        <v>787331.67999999993</v>
      </c>
      <c r="O798" s="109">
        <f t="shared" si="1194"/>
        <v>1075947</v>
      </c>
      <c r="P798" s="109">
        <f t="shared" si="1194"/>
        <v>-117619</v>
      </c>
      <c r="Q798" s="109">
        <f t="shared" ref="Q798:T798" si="1198">SUBTOTAL(9,Q787:Q797)</f>
        <v>1195745</v>
      </c>
      <c r="R798" s="109">
        <f t="shared" si="1198"/>
        <v>0</v>
      </c>
      <c r="S798" s="109">
        <f t="shared" si="1198"/>
        <v>0</v>
      </c>
      <c r="T798" s="109">
        <f t="shared" si="1198"/>
        <v>1195745</v>
      </c>
      <c r="U798" s="99">
        <f t="shared" si="1181"/>
        <v>2179</v>
      </c>
      <c r="V798" s="255">
        <f t="shared" si="1182"/>
        <v>1.8256217083931769E-3</v>
      </c>
      <c r="W798" s="102"/>
      <c r="X798" s="102"/>
      <c r="Y798" s="102"/>
      <c r="AA798" s="615"/>
      <c r="AO798" s="307"/>
      <c r="AP798" s="307"/>
    </row>
    <row r="799" spans="1:59" s="75" customFormat="1" ht="15" customHeight="1">
      <c r="A799" s="555"/>
      <c r="B799" s="217"/>
      <c r="C799" s="217" t="str">
        <f t="shared" si="1137"/>
        <v/>
      </c>
      <c r="D799" s="101"/>
      <c r="E799" s="217"/>
      <c r="F799" s="294"/>
      <c r="G799" s="295"/>
      <c r="H799" s="98"/>
      <c r="I799" s="106"/>
      <c r="J799" s="106"/>
      <c r="K799" s="106"/>
      <c r="L799" s="106"/>
      <c r="M799" s="106"/>
      <c r="N799" s="112"/>
      <c r="O799" s="112"/>
      <c r="P799" s="112"/>
      <c r="Q799" s="113"/>
      <c r="R799" s="113"/>
      <c r="S799" s="113"/>
      <c r="T799" s="113"/>
      <c r="U799" s="99"/>
      <c r="V799" s="255"/>
      <c r="W799" s="102"/>
      <c r="X799" s="102"/>
      <c r="Y799" s="102"/>
      <c r="Z799" s="614"/>
      <c r="AA799" s="615"/>
      <c r="AB799" s="624"/>
      <c r="AC799" s="623"/>
      <c r="AD799" s="623"/>
      <c r="AE799" s="623"/>
      <c r="AF799" s="623"/>
      <c r="AG799" s="623"/>
      <c r="AH799" s="623"/>
      <c r="AI799" s="624"/>
      <c r="AJ799" s="307"/>
      <c r="AK799" s="307"/>
      <c r="AL799" s="307"/>
      <c r="AM799" s="307"/>
      <c r="AN799" s="307"/>
      <c r="AO799" s="192"/>
      <c r="AP799" s="192"/>
      <c r="AQ799" s="192"/>
      <c r="AR799" s="115"/>
      <c r="AS799" s="115"/>
      <c r="AT799" s="115"/>
      <c r="AU799" s="115"/>
      <c r="AV799" s="115"/>
      <c r="AW799" s="115"/>
      <c r="AX799" s="115"/>
      <c r="AY799" s="115"/>
      <c r="AZ799" s="115"/>
      <c r="BA799" s="115"/>
      <c r="BB799" s="115"/>
      <c r="BC799" s="115"/>
      <c r="BD799" s="115"/>
      <c r="BE799" s="74"/>
      <c r="BF799" s="74"/>
      <c r="BG799" s="74"/>
    </row>
    <row r="800" spans="1:59" s="75" customFormat="1" ht="15" customHeight="1">
      <c r="A800" s="555"/>
      <c r="B800" s="217"/>
      <c r="C800" s="217" t="s">
        <v>3131</v>
      </c>
      <c r="D800" s="101"/>
      <c r="E800" s="217"/>
      <c r="F800" s="294" t="s">
        <v>148</v>
      </c>
      <c r="G800" s="295" t="str">
        <f>VLOOKUP(F800,'GL Category'!A:C,3,FALSE)</f>
        <v>Operations &amp; maintenance</v>
      </c>
      <c r="H800" s="98" t="str">
        <f>VLOOKUP(F800,'GL Category'!A:C,2,FALSE)</f>
        <v>OFFICE SUPPLIES</v>
      </c>
      <c r="I800" s="99">
        <f>SUMIFS(I$1:I795,$C$1:$C795,$C800,$F$1:$F795,$F800)</f>
        <v>5100.33</v>
      </c>
      <c r="J800" s="99">
        <f>SUMIFS(J$1:J795,$C$1:$C795,$C800,$F$1:$F795,$F800)</f>
        <v>5359.48</v>
      </c>
      <c r="K800" s="99">
        <f>SUMIFS(K$1:K795,$C$1:$C795,$C800,$F$1:$F795,$F800)</f>
        <v>3664.15</v>
      </c>
      <c r="L800" s="99">
        <f>SUMIFS(L$1:L795,$C$1:$C795,$C800,$F$1:$F795,$F800)</f>
        <v>5800.45</v>
      </c>
      <c r="M800" s="99">
        <f>SUMIFS(M$1:M795,$C$1:$C795,$C800,$F$1:$F795,$F800)</f>
        <v>5700</v>
      </c>
      <c r="N800" s="99">
        <f>SUMIFS(N$1:N795,$C$1:$C795,$C800,$F$1:$F795,$F800)</f>
        <v>2454.87</v>
      </c>
      <c r="O800" s="99">
        <f>SUMIFS(O$1:O795,$C$1:$C795,$C800,$F$1:$F795,$F800)</f>
        <v>3500</v>
      </c>
      <c r="P800" s="99">
        <f t="shared" ref="P800:P811" si="1199">O800-M800</f>
        <v>-2200</v>
      </c>
      <c r="Q800" s="99">
        <f>SUMIFS(Q$1:Q795,$C$1:$C795,$C800,$F$1:$F795,$F800)</f>
        <v>5700</v>
      </c>
      <c r="R800" s="99">
        <f>SUMIFS(R$1:R795,$C$1:$C795,$C800,$F$1:$F795,$F800)</f>
        <v>0</v>
      </c>
      <c r="S800" s="99">
        <f>SUMIFS(S$1:S795,$C$1:$C795,$C800,$F$1:$F795,$F800)</f>
        <v>0</v>
      </c>
      <c r="T800" s="99">
        <f>SUMIFS(T$1:T795,$C$1:$C795,$C800,$F$1:$F795,$F800)</f>
        <v>5700</v>
      </c>
      <c r="U800" s="99">
        <f t="shared" ref="U800:U812" si="1200">T800-M800</f>
        <v>0</v>
      </c>
      <c r="V800" s="255">
        <f t="shared" ref="V800:V812" si="1201">IF(M800=0,"N/A",T800/M800-1)</f>
        <v>0</v>
      </c>
      <c r="W800" s="102"/>
      <c r="X800" s="102"/>
      <c r="Y800" s="102">
        <f t="shared" ref="Y800:Y811" si="1202">T800-X800</f>
        <v>5700</v>
      </c>
      <c r="Z800" s="309">
        <f>Y800*(1+VLOOKUP($F800,'GL Category'!$A:$H,4,FALSE))</f>
        <v>5814</v>
      </c>
      <c r="AA800" s="615"/>
      <c r="AB800" s="622">
        <f t="shared" ref="AB800:AB811" si="1203">Z800+AA800</f>
        <v>5814</v>
      </c>
      <c r="AC800" s="633">
        <f>AB800*(1+VLOOKUP($F800,'GL Category'!$A:$H,5,FALSE))</f>
        <v>5930.28</v>
      </c>
      <c r="AD800" s="307"/>
      <c r="AE800" s="622">
        <f t="shared" ref="AE800:AE811" si="1204">AC800+AD800</f>
        <v>5930.28</v>
      </c>
      <c r="AF800" s="633">
        <f>AE800*(1+VLOOKUP($F800,'GL Category'!$A:$H,6,FALSE))</f>
        <v>6048.8855999999996</v>
      </c>
      <c r="AG800" s="307"/>
      <c r="AH800" s="622">
        <f t="shared" ref="AH800:AH811" si="1205">AF800+AG800</f>
        <v>6048.8855999999996</v>
      </c>
      <c r="AI800" s="633">
        <f>AH800*(1+VLOOKUP($F800,'GL Category'!$A:$H,7,FALSE))</f>
        <v>6169.8633119999995</v>
      </c>
      <c r="AJ800" s="307"/>
      <c r="AK800" s="622">
        <f t="shared" ref="AK800:AK811" si="1206">AI800+AJ800</f>
        <v>6169.8633119999995</v>
      </c>
      <c r="AL800" s="633">
        <f>AK800*(1+VLOOKUP($F800,'GL Category'!$A:$H,8,FALSE))</f>
        <v>6293.2605782399996</v>
      </c>
      <c r="AM800" s="307"/>
      <c r="AN800" s="622">
        <f t="shared" ref="AN800:AN811" si="1207">AL800+AM800</f>
        <v>6293.2605782399996</v>
      </c>
      <c r="AO800" s="192"/>
      <c r="AP800" s="192"/>
      <c r="AQ800" s="192"/>
      <c r="AR800" s="115"/>
      <c r="AS800" s="115"/>
      <c r="AT800" s="115"/>
      <c r="AU800" s="115"/>
      <c r="AV800" s="115"/>
      <c r="AW800" s="115"/>
      <c r="AX800" s="115"/>
      <c r="AY800" s="115"/>
      <c r="AZ800" s="115"/>
      <c r="BA800" s="115"/>
      <c r="BB800" s="115"/>
      <c r="BC800" s="115"/>
      <c r="BD800" s="115"/>
      <c r="BE800" s="74"/>
      <c r="BF800" s="74"/>
      <c r="BG800" s="74"/>
    </row>
    <row r="801" spans="1:43" ht="15" customHeight="1">
      <c r="A801" s="555"/>
      <c r="B801" s="217"/>
      <c r="C801" s="217" t="s">
        <v>3131</v>
      </c>
      <c r="D801" s="101"/>
      <c r="E801" s="217"/>
      <c r="F801" s="294" t="s">
        <v>150</v>
      </c>
      <c r="G801" s="295" t="str">
        <f>VLOOKUP(F801,'GL Category'!A:C,3,FALSE)</f>
        <v>Operations &amp; maintenance</v>
      </c>
      <c r="H801" s="98" t="str">
        <f>VLOOKUP(F801,'GL Category'!A:C,2,FALSE)</f>
        <v>POSTAGE SUPPLIES</v>
      </c>
      <c r="I801" s="99">
        <f>SUMIFS(I$1:I796,$C$1:$C796,$C801,$F$1:$F796,$F801)</f>
        <v>0</v>
      </c>
      <c r="J801" s="99">
        <f>SUMIFS(J$1:J796,$C$1:$C796,$C801,$F$1:$F796,$F801)</f>
        <v>0</v>
      </c>
      <c r="K801" s="99">
        <f>SUMIFS(K$1:K796,$C$1:$C796,$C801,$F$1:$F796,$F801)</f>
        <v>0</v>
      </c>
      <c r="L801" s="99">
        <f>SUMIFS(L$1:L796,$C$1:$C796,$C801,$F$1:$F796,$F801)</f>
        <v>0</v>
      </c>
      <c r="M801" s="99">
        <f>SUMIFS(M$1:M796,$C$1:$C796,$C801,$F$1:$F796,$F801)</f>
        <v>0</v>
      </c>
      <c r="N801" s="99">
        <f>SUMIFS(N$1:N796,$C$1:$C796,$C801,$F$1:$F796,$F801)</f>
        <v>0</v>
      </c>
      <c r="O801" s="99">
        <f>SUMIFS(O$1:O796,$C$1:$C796,$C801,$F$1:$F796,$F801)</f>
        <v>0</v>
      </c>
      <c r="P801" s="99">
        <f t="shared" si="1199"/>
        <v>0</v>
      </c>
      <c r="Q801" s="99">
        <f>SUMIFS(Q$1:Q796,$C$1:$C796,$C801,$F$1:$F796,$F801)</f>
        <v>0</v>
      </c>
      <c r="R801" s="99">
        <f>SUMIFS(R$1:R796,$C$1:$C796,$C801,$F$1:$F796,$F801)</f>
        <v>0</v>
      </c>
      <c r="S801" s="99">
        <f>SUMIFS(S$1:S796,$C$1:$C796,$C801,$F$1:$F796,$F801)</f>
        <v>0</v>
      </c>
      <c r="T801" s="99">
        <f>SUMIFS(T$1:T796,$C$1:$C796,$C801,$F$1:$F796,$F801)</f>
        <v>0</v>
      </c>
      <c r="U801" s="99">
        <f t="shared" si="1200"/>
        <v>0</v>
      </c>
      <c r="V801" s="255" t="str">
        <f t="shared" si="1201"/>
        <v>N/A</v>
      </c>
      <c r="W801" s="102"/>
      <c r="X801" s="102"/>
      <c r="Y801" s="102">
        <f t="shared" si="1202"/>
        <v>0</v>
      </c>
      <c r="Z801" s="309">
        <f>Y801*(1+VLOOKUP($F801,'GL Category'!$A:$H,4,FALSE))</f>
        <v>0</v>
      </c>
      <c r="AA801" s="615"/>
      <c r="AB801" s="622">
        <f t="shared" si="1203"/>
        <v>0</v>
      </c>
      <c r="AC801" s="633">
        <f>AB801*(1+VLOOKUP($F801,'GL Category'!$A:$H,5,FALSE))</f>
        <v>0</v>
      </c>
      <c r="AE801" s="622">
        <f t="shared" si="1204"/>
        <v>0</v>
      </c>
      <c r="AF801" s="633">
        <f>AE801*(1+VLOOKUP($F801,'GL Category'!$A:$H,6,FALSE))</f>
        <v>0</v>
      </c>
      <c r="AH801" s="622">
        <f t="shared" si="1205"/>
        <v>0</v>
      </c>
      <c r="AI801" s="633">
        <f>AH801*(1+VLOOKUP($F801,'GL Category'!$A:$H,7,FALSE))</f>
        <v>0</v>
      </c>
      <c r="AK801" s="622">
        <f t="shared" si="1206"/>
        <v>0</v>
      </c>
      <c r="AL801" s="633">
        <f>AK801*(1+VLOOKUP($F801,'GL Category'!$A:$H,8,FALSE))</f>
        <v>0</v>
      </c>
      <c r="AN801" s="622">
        <f t="shared" si="1207"/>
        <v>0</v>
      </c>
    </row>
    <row r="802" spans="1:43" ht="15" customHeight="1">
      <c r="A802" s="555"/>
      <c r="B802" s="217"/>
      <c r="C802" s="217" t="s">
        <v>3131</v>
      </c>
      <c r="D802" s="101"/>
      <c r="E802" s="217"/>
      <c r="F802" s="294" t="s">
        <v>251</v>
      </c>
      <c r="G802" s="295" t="str">
        <f>VLOOKUP(F802,'GL Category'!A:C,3,FALSE)</f>
        <v>Operations &amp; maintenance</v>
      </c>
      <c r="H802" s="98" t="str">
        <f>VLOOKUP(F802,'GL Category'!A:C,2,FALSE)</f>
        <v>MEDICAL SUPPLIES</v>
      </c>
      <c r="I802" s="99">
        <f>SUMIFS(I$1:I797,$C$1:$C797,$C802,$F$1:$F797,$F802)</f>
        <v>0</v>
      </c>
      <c r="J802" s="99">
        <f>SUMIFS(J$1:J797,$C$1:$C797,$C802,$F$1:$F797,$F802)</f>
        <v>0</v>
      </c>
      <c r="K802" s="99">
        <f>SUMIFS(K$1:K797,$C$1:$C797,$C802,$F$1:$F797,$F802)</f>
        <v>0</v>
      </c>
      <c r="L802" s="99">
        <f>SUMIFS(L$1:L797,$C$1:$C797,$C802,$F$1:$F797,$F802)</f>
        <v>0</v>
      </c>
      <c r="M802" s="99">
        <f>SUMIFS(M$1:M797,$C$1:$C797,$C802,$F$1:$F797,$F802)</f>
        <v>0</v>
      </c>
      <c r="N802" s="99">
        <f>SUMIFS(N$1:N797,$C$1:$C797,$C802,$F$1:$F797,$F802)</f>
        <v>0</v>
      </c>
      <c r="O802" s="99">
        <f>SUMIFS(O$1:O797,$C$1:$C797,$C802,$F$1:$F797,$F802)</f>
        <v>0</v>
      </c>
      <c r="P802" s="99">
        <f t="shared" si="1199"/>
        <v>0</v>
      </c>
      <c r="Q802" s="99">
        <f>SUMIFS(Q$1:Q797,$C$1:$C797,$C802,$F$1:$F797,$F802)</f>
        <v>0</v>
      </c>
      <c r="R802" s="99">
        <f>SUMIFS(R$1:R797,$C$1:$C797,$C802,$F$1:$F797,$F802)</f>
        <v>0</v>
      </c>
      <c r="S802" s="99">
        <f>SUMIFS(S$1:S797,$C$1:$C797,$C802,$F$1:$F797,$F802)</f>
        <v>0</v>
      </c>
      <c r="T802" s="99">
        <f>SUMIFS(T$1:T797,$C$1:$C797,$C802,$F$1:$F797,$F802)</f>
        <v>0</v>
      </c>
      <c r="U802" s="99">
        <f t="shared" si="1200"/>
        <v>0</v>
      </c>
      <c r="V802" s="255" t="str">
        <f t="shared" si="1201"/>
        <v>N/A</v>
      </c>
      <c r="W802" s="102"/>
      <c r="X802" s="102"/>
      <c r="Y802" s="102">
        <f t="shared" si="1202"/>
        <v>0</v>
      </c>
      <c r="Z802" s="309">
        <f>Y802*(1+VLOOKUP($F802,'GL Category'!$A:$H,4,FALSE))</f>
        <v>0</v>
      </c>
      <c r="AA802" s="615"/>
      <c r="AB802" s="622">
        <f t="shared" si="1203"/>
        <v>0</v>
      </c>
      <c r="AC802" s="633">
        <f>AB802*(1+VLOOKUP($F802,'GL Category'!$A:$H,5,FALSE))</f>
        <v>0</v>
      </c>
      <c r="AE802" s="622">
        <f t="shared" si="1204"/>
        <v>0</v>
      </c>
      <c r="AF802" s="633">
        <f>AE802*(1+VLOOKUP($F802,'GL Category'!$A:$H,6,FALSE))</f>
        <v>0</v>
      </c>
      <c r="AH802" s="622">
        <f t="shared" si="1205"/>
        <v>0</v>
      </c>
      <c r="AI802" s="633">
        <f>AH802*(1+VLOOKUP($F802,'GL Category'!$A:$H,7,FALSE))</f>
        <v>0</v>
      </c>
      <c r="AK802" s="622">
        <f t="shared" si="1206"/>
        <v>0</v>
      </c>
      <c r="AL802" s="633">
        <f>AK802*(1+VLOOKUP($F802,'GL Category'!$A:$H,8,FALSE))</f>
        <v>0</v>
      </c>
      <c r="AN802" s="622">
        <f t="shared" si="1207"/>
        <v>0</v>
      </c>
    </row>
    <row r="803" spans="1:43" ht="15" customHeight="1">
      <c r="A803" s="555"/>
      <c r="B803" s="217"/>
      <c r="C803" s="217" t="s">
        <v>3131</v>
      </c>
      <c r="D803" s="101"/>
      <c r="E803" s="217"/>
      <c r="F803" s="294" t="s">
        <v>156</v>
      </c>
      <c r="G803" s="295" t="str">
        <f>VLOOKUP(F803,'GL Category'!A:C,3,FALSE)</f>
        <v>Operations &amp; maintenance</v>
      </c>
      <c r="H803" s="98" t="str">
        <f>VLOOKUP(F803,'GL Category'!A:C,2,FALSE)</f>
        <v>COMPUTER SUPPLIES</v>
      </c>
      <c r="I803" s="99">
        <f>SUMIFS(I$1:I798,$C$1:$C798,$C803,$F$1:$F798,$F803)</f>
        <v>0</v>
      </c>
      <c r="J803" s="99">
        <f>SUMIFS(J$1:J798,$C$1:$C798,$C803,$F$1:$F798,$F803)</f>
        <v>0</v>
      </c>
      <c r="K803" s="99">
        <f>SUMIFS(K$1:K798,$C$1:$C798,$C803,$F$1:$F798,$F803)</f>
        <v>0</v>
      </c>
      <c r="L803" s="99">
        <f>SUMIFS(L$1:L798,$C$1:$C798,$C803,$F$1:$F798,$F803)</f>
        <v>0</v>
      </c>
      <c r="M803" s="99">
        <f>SUMIFS(M$1:M798,$C$1:$C798,$C803,$F$1:$F798,$F803)</f>
        <v>0</v>
      </c>
      <c r="N803" s="99">
        <f>SUMIFS(N$1:N798,$C$1:$C798,$C803,$F$1:$F798,$F803)</f>
        <v>0</v>
      </c>
      <c r="O803" s="99">
        <f>SUMIFS(O$1:O798,$C$1:$C798,$C803,$F$1:$F798,$F803)</f>
        <v>0</v>
      </c>
      <c r="P803" s="99">
        <f t="shared" si="1199"/>
        <v>0</v>
      </c>
      <c r="Q803" s="99">
        <f>SUMIFS(Q$1:Q798,$C$1:$C798,$C803,$F$1:$F798,$F803)</f>
        <v>0</v>
      </c>
      <c r="R803" s="99">
        <f>SUMIFS(R$1:R798,$C$1:$C798,$C803,$F$1:$F798,$F803)</f>
        <v>0</v>
      </c>
      <c r="S803" s="99">
        <f>SUMIFS(S$1:S798,$C$1:$C798,$C803,$F$1:$F798,$F803)</f>
        <v>0</v>
      </c>
      <c r="T803" s="99">
        <f>SUMIFS(T$1:T798,$C$1:$C798,$C803,$F$1:$F798,$F803)</f>
        <v>0</v>
      </c>
      <c r="U803" s="99">
        <f t="shared" si="1200"/>
        <v>0</v>
      </c>
      <c r="V803" s="255" t="str">
        <f t="shared" si="1201"/>
        <v>N/A</v>
      </c>
      <c r="W803" s="102"/>
      <c r="X803" s="102"/>
      <c r="Y803" s="102">
        <f t="shared" si="1202"/>
        <v>0</v>
      </c>
      <c r="Z803" s="309">
        <f>Y803*(1+VLOOKUP($F803,'GL Category'!$A:$H,4,FALSE))</f>
        <v>0</v>
      </c>
      <c r="AA803" s="615"/>
      <c r="AB803" s="622">
        <f t="shared" si="1203"/>
        <v>0</v>
      </c>
      <c r="AC803" s="633">
        <f>AB803*(1+VLOOKUP($F803,'GL Category'!$A:$H,5,FALSE))</f>
        <v>0</v>
      </c>
      <c r="AE803" s="622">
        <f t="shared" si="1204"/>
        <v>0</v>
      </c>
      <c r="AF803" s="633">
        <f>AE803*(1+VLOOKUP($F803,'GL Category'!$A:$H,6,FALSE))</f>
        <v>0</v>
      </c>
      <c r="AH803" s="622">
        <f t="shared" si="1205"/>
        <v>0</v>
      </c>
      <c r="AI803" s="633">
        <f>AH803*(1+VLOOKUP($F803,'GL Category'!$A:$H,7,FALSE))</f>
        <v>0</v>
      </c>
      <c r="AK803" s="622">
        <f t="shared" si="1206"/>
        <v>0</v>
      </c>
      <c r="AL803" s="633">
        <f>AK803*(1+VLOOKUP($F803,'GL Category'!$A:$H,8,FALSE))</f>
        <v>0</v>
      </c>
      <c r="AN803" s="622">
        <f t="shared" si="1207"/>
        <v>0</v>
      </c>
    </row>
    <row r="804" spans="1:43" ht="15" customHeight="1">
      <c r="A804" s="555"/>
      <c r="B804" s="217"/>
      <c r="C804" s="217" t="s">
        <v>3131</v>
      </c>
      <c r="D804" s="101"/>
      <c r="E804" s="217"/>
      <c r="F804" s="294" t="s">
        <v>159</v>
      </c>
      <c r="G804" s="295" t="str">
        <f>VLOOKUP(F804,'GL Category'!A:C,3,FALSE)</f>
        <v>Operations &amp; maintenance</v>
      </c>
      <c r="H804" s="98" t="str">
        <f>VLOOKUP(F804,'GL Category'!A:C,2,FALSE)</f>
        <v>SMALL TOOLS &amp; EQUIPMENT</v>
      </c>
      <c r="I804" s="99">
        <f>SUMIFS(I$1:I800,$C$1:$C800,$C804,$F$1:$F800,$F804)</f>
        <v>12.99</v>
      </c>
      <c r="J804" s="99">
        <f>SUMIFS(J$1:J800,$C$1:$C800,$C804,$F$1:$F800,$F804)</f>
        <v>0</v>
      </c>
      <c r="K804" s="99">
        <f>SUMIFS(K$1:K800,$C$1:$C800,$C804,$F$1:$F800,$F804)</f>
        <v>5800</v>
      </c>
      <c r="L804" s="99">
        <f>SUMIFS(L$1:L800,$C$1:$C800,$C804,$F$1:$F800,$F804)</f>
        <v>0</v>
      </c>
      <c r="M804" s="99">
        <f>SUMIFS(M$1:M800,$C$1:$C800,$C804,$F$1:$F800,$F804)</f>
        <v>0</v>
      </c>
      <c r="N804" s="99">
        <f>SUMIFS(N$1:N800,$C$1:$C800,$C804,$F$1:$F800,$F804)</f>
        <v>0</v>
      </c>
      <c r="O804" s="99">
        <f>SUMIFS(O$1:O800,$C$1:$C800,$C804,$F$1:$F800,$F804)</f>
        <v>0</v>
      </c>
      <c r="P804" s="99">
        <f t="shared" si="1199"/>
        <v>0</v>
      </c>
      <c r="Q804" s="99">
        <f>SUMIFS(Q$1:Q800,$C$1:$C800,$C804,$F$1:$F800,$F804)</f>
        <v>0</v>
      </c>
      <c r="R804" s="99">
        <f>SUMIFS(R$1:R800,$C$1:$C800,$C804,$F$1:$F800,$F804)</f>
        <v>0</v>
      </c>
      <c r="S804" s="99">
        <f>SUMIFS(S$1:S800,$C$1:$C800,$C804,$F$1:$F800,$F804)</f>
        <v>0</v>
      </c>
      <c r="T804" s="99">
        <f>SUMIFS(T$1:T800,$C$1:$C800,$C804,$F$1:$F800,$F804)</f>
        <v>0</v>
      </c>
      <c r="U804" s="99">
        <f t="shared" si="1200"/>
        <v>0</v>
      </c>
      <c r="V804" s="255" t="str">
        <f t="shared" si="1201"/>
        <v>N/A</v>
      </c>
      <c r="W804" s="102"/>
      <c r="X804" s="102"/>
      <c r="Y804" s="102">
        <f t="shared" si="1202"/>
        <v>0</v>
      </c>
      <c r="Z804" s="309">
        <f>Y804*(1+VLOOKUP($F804,'GL Category'!$A:$H,4,FALSE))</f>
        <v>0</v>
      </c>
      <c r="AA804" s="615"/>
      <c r="AB804" s="622">
        <f t="shared" si="1203"/>
        <v>0</v>
      </c>
      <c r="AC804" s="633">
        <f>AB804*(1+VLOOKUP($F804,'GL Category'!$A:$H,5,FALSE))</f>
        <v>0</v>
      </c>
      <c r="AE804" s="622">
        <f t="shared" si="1204"/>
        <v>0</v>
      </c>
      <c r="AF804" s="633">
        <f>AE804*(1+VLOOKUP($F804,'GL Category'!$A:$H,6,FALSE))</f>
        <v>0</v>
      </c>
      <c r="AH804" s="622">
        <f t="shared" si="1205"/>
        <v>0</v>
      </c>
      <c r="AI804" s="633">
        <f>AH804*(1+VLOOKUP($F804,'GL Category'!$A:$H,7,FALSE))</f>
        <v>0</v>
      </c>
      <c r="AK804" s="622">
        <f t="shared" si="1206"/>
        <v>0</v>
      </c>
      <c r="AL804" s="633">
        <f>AK804*(1+VLOOKUP($F804,'GL Category'!$A:$H,8,FALSE))</f>
        <v>0</v>
      </c>
      <c r="AN804" s="622">
        <f t="shared" si="1207"/>
        <v>0</v>
      </c>
    </row>
    <row r="805" spans="1:43" ht="15" customHeight="1">
      <c r="A805" s="555"/>
      <c r="B805" s="217"/>
      <c r="C805" s="217" t="s">
        <v>3131</v>
      </c>
      <c r="D805" s="101"/>
      <c r="E805" s="217"/>
      <c r="F805" s="294" t="s">
        <v>160</v>
      </c>
      <c r="G805" s="295" t="str">
        <f>VLOOKUP(F805,'GL Category'!A:C,3,FALSE)</f>
        <v>Operations &amp; maintenance</v>
      </c>
      <c r="H805" s="98" t="str">
        <f>VLOOKUP(F805,'GL Category'!A:C,2,FALSE)</f>
        <v>FUEL/OILS/LUBRICANTS</v>
      </c>
      <c r="I805" s="99">
        <f>SUMIFS(I$1:I801,$C$1:$C801,$C805,$F$1:$F801,$F805)</f>
        <v>1140.6400000000001</v>
      </c>
      <c r="J805" s="99">
        <f>SUMIFS(J$1:J801,$C$1:$C801,$C805,$F$1:$F801,$F805)</f>
        <v>1140.7</v>
      </c>
      <c r="K805" s="99">
        <f>SUMIFS(K$1:K801,$C$1:$C801,$C805,$F$1:$F801,$F805)</f>
        <v>1573.58</v>
      </c>
      <c r="L805" s="99">
        <f>SUMIFS(L$1:L801,$C$1:$C801,$C805,$F$1:$F801,$F805)</f>
        <v>1497.93</v>
      </c>
      <c r="M805" s="99">
        <f>SUMIFS(M$1:M801,$C$1:$C801,$C805,$F$1:$F801,$F805)</f>
        <v>2600</v>
      </c>
      <c r="N805" s="99">
        <f>SUMIFS(N$1:N801,$C$1:$C801,$C805,$F$1:$F801,$F805)</f>
        <v>999.02</v>
      </c>
      <c r="O805" s="99">
        <f>SUMIFS(O$1:O801,$C$1:$C801,$C805,$F$1:$F801,$F805)</f>
        <v>2800</v>
      </c>
      <c r="P805" s="99">
        <f t="shared" si="1199"/>
        <v>200</v>
      </c>
      <c r="Q805" s="99">
        <f>SUMIFS(Q$1:Q801,$C$1:$C801,$C805,$F$1:$F801,$F805)</f>
        <v>2600</v>
      </c>
      <c r="R805" s="99">
        <f>SUMIFS(R$1:R801,$C$1:$C801,$C805,$F$1:$F801,$F805)</f>
        <v>0</v>
      </c>
      <c r="S805" s="99">
        <f>SUMIFS(S$1:S801,$C$1:$C801,$C805,$F$1:$F801,$F805)</f>
        <v>0</v>
      </c>
      <c r="T805" s="99">
        <f>SUMIFS(T$1:T801,$C$1:$C801,$C805,$F$1:$F801,$F805)</f>
        <v>2600</v>
      </c>
      <c r="U805" s="99">
        <f t="shared" si="1200"/>
        <v>0</v>
      </c>
      <c r="V805" s="255">
        <f t="shared" si="1201"/>
        <v>0</v>
      </c>
      <c r="W805" s="102"/>
      <c r="X805" s="102"/>
      <c r="Y805" s="102">
        <f t="shared" si="1202"/>
        <v>2600</v>
      </c>
      <c r="Z805" s="309">
        <f>Y805*(1+VLOOKUP($F805,'GL Category'!$A:$H,4,FALSE))</f>
        <v>2652</v>
      </c>
      <c r="AA805" s="615"/>
      <c r="AB805" s="622">
        <f t="shared" si="1203"/>
        <v>2652</v>
      </c>
      <c r="AC805" s="633">
        <f>AB805*(1+VLOOKUP($F805,'GL Category'!$A:$H,5,FALSE))</f>
        <v>2705.04</v>
      </c>
      <c r="AE805" s="622">
        <f t="shared" si="1204"/>
        <v>2705.04</v>
      </c>
      <c r="AF805" s="633">
        <f>AE805*(1+VLOOKUP($F805,'GL Category'!$A:$H,6,FALSE))</f>
        <v>2759.1408000000001</v>
      </c>
      <c r="AH805" s="622">
        <f t="shared" si="1205"/>
        <v>2759.1408000000001</v>
      </c>
      <c r="AI805" s="633">
        <f>AH805*(1+VLOOKUP($F805,'GL Category'!$A:$H,7,FALSE))</f>
        <v>2814.3236160000001</v>
      </c>
      <c r="AK805" s="622">
        <f t="shared" si="1206"/>
        <v>2814.3236160000001</v>
      </c>
      <c r="AL805" s="633">
        <f>AK805*(1+VLOOKUP($F805,'GL Category'!$A:$H,8,FALSE))</f>
        <v>2870.6100883200002</v>
      </c>
      <c r="AN805" s="622">
        <f t="shared" si="1207"/>
        <v>2870.6100883200002</v>
      </c>
    </row>
    <row r="806" spans="1:43" ht="15" customHeight="1">
      <c r="A806" s="555"/>
      <c r="B806" s="217"/>
      <c r="C806" s="217" t="s">
        <v>3131</v>
      </c>
      <c r="D806" s="101"/>
      <c r="E806" s="217"/>
      <c r="F806" s="294" t="s">
        <v>162</v>
      </c>
      <c r="G806" s="295" t="str">
        <f>VLOOKUP(F806,'GL Category'!A:C,3,FALSE)</f>
        <v>Operations &amp; maintenance</v>
      </c>
      <c r="H806" s="98" t="str">
        <f>VLOOKUP(F806,'GL Category'!A:C,2,FALSE)</f>
        <v>MEETING SPONSORSHIP/SUPPLIES</v>
      </c>
      <c r="I806" s="99">
        <f>SUMIFS(I$1:I802,$C$1:$C802,$C806,$F$1:$F802,$F806)</f>
        <v>0</v>
      </c>
      <c r="J806" s="99">
        <f>SUMIFS(J$1:J802,$C$1:$C802,$C806,$F$1:$F802,$F806)</f>
        <v>0</v>
      </c>
      <c r="K806" s="99">
        <f>SUMIFS(K$1:K802,$C$1:$C802,$C806,$F$1:$F802,$F806)</f>
        <v>0</v>
      </c>
      <c r="L806" s="99">
        <f>SUMIFS(L$1:L802,$C$1:$C802,$C806,$F$1:$F802,$F806)</f>
        <v>0</v>
      </c>
      <c r="M806" s="99">
        <f>SUMIFS(M$1:M802,$C$1:$C802,$C806,$F$1:$F802,$F806)</f>
        <v>0</v>
      </c>
      <c r="N806" s="99">
        <f>SUMIFS(N$1:N802,$C$1:$C802,$C806,$F$1:$F802,$F806)</f>
        <v>0</v>
      </c>
      <c r="O806" s="99">
        <f>SUMIFS(O$1:O802,$C$1:$C802,$C806,$F$1:$F802,$F806)</f>
        <v>0</v>
      </c>
      <c r="P806" s="99">
        <f t="shared" si="1199"/>
        <v>0</v>
      </c>
      <c r="Q806" s="99">
        <f>SUMIFS(Q$1:Q802,$C$1:$C802,$C806,$F$1:$F802,$F806)</f>
        <v>0</v>
      </c>
      <c r="R806" s="99">
        <f>SUMIFS(R$1:R802,$C$1:$C802,$C806,$F$1:$F802,$F806)</f>
        <v>0</v>
      </c>
      <c r="S806" s="99">
        <f>SUMIFS(S$1:S802,$C$1:$C802,$C806,$F$1:$F802,$F806)</f>
        <v>0</v>
      </c>
      <c r="T806" s="99">
        <f>SUMIFS(T$1:T802,$C$1:$C802,$C806,$F$1:$F802,$F806)</f>
        <v>0</v>
      </c>
      <c r="U806" s="99">
        <f t="shared" si="1200"/>
        <v>0</v>
      </c>
      <c r="V806" s="255" t="str">
        <f t="shared" si="1201"/>
        <v>N/A</v>
      </c>
      <c r="W806" s="102"/>
      <c r="X806" s="102"/>
      <c r="Y806" s="102">
        <f t="shared" si="1202"/>
        <v>0</v>
      </c>
      <c r="Z806" s="309">
        <f>Y806*(1+VLOOKUP($F806,'GL Category'!$A:$H,4,FALSE))</f>
        <v>0</v>
      </c>
      <c r="AA806" s="615"/>
      <c r="AB806" s="622">
        <f t="shared" si="1203"/>
        <v>0</v>
      </c>
      <c r="AC806" s="633">
        <f>AB806*(1+VLOOKUP($F806,'GL Category'!$A:$H,5,FALSE))</f>
        <v>0</v>
      </c>
      <c r="AE806" s="622">
        <f t="shared" si="1204"/>
        <v>0</v>
      </c>
      <c r="AF806" s="633">
        <f>AE806*(1+VLOOKUP($F806,'GL Category'!$A:$H,6,FALSE))</f>
        <v>0</v>
      </c>
      <c r="AH806" s="622">
        <f t="shared" si="1205"/>
        <v>0</v>
      </c>
      <c r="AI806" s="633">
        <f>AH806*(1+VLOOKUP($F806,'GL Category'!$A:$H,7,FALSE))</f>
        <v>0</v>
      </c>
      <c r="AK806" s="622">
        <f t="shared" si="1206"/>
        <v>0</v>
      </c>
      <c r="AL806" s="633">
        <f>AK806*(1+VLOOKUP($F806,'GL Category'!$A:$H,8,FALSE))</f>
        <v>0</v>
      </c>
      <c r="AN806" s="622">
        <f t="shared" si="1207"/>
        <v>0</v>
      </c>
    </row>
    <row r="807" spans="1:43" ht="15" customHeight="1">
      <c r="A807" s="555"/>
      <c r="B807" s="217"/>
      <c r="C807" s="217" t="s">
        <v>3131</v>
      </c>
      <c r="D807" s="101"/>
      <c r="E807" s="217"/>
      <c r="F807" s="294" t="s">
        <v>233</v>
      </c>
      <c r="G807" s="295" t="str">
        <f>VLOOKUP(F807,'GL Category'!A:C,3,FALSE)</f>
        <v>Operations &amp; maintenance</v>
      </c>
      <c r="H807" s="98" t="str">
        <f>VLOOKUP(F807,'GL Category'!A:C,2,FALSE)</f>
        <v>STREET SIGN/SIGNAL SUPPLIES</v>
      </c>
      <c r="I807" s="99">
        <f>SUMIFS(I$1:I803,$C$1:$C803,$C807,$F$1:$F803,$F807)</f>
        <v>0</v>
      </c>
      <c r="J807" s="99">
        <f>SUMIFS(J$1:J803,$C$1:$C803,$C807,$F$1:$F803,$F807)</f>
        <v>0</v>
      </c>
      <c r="K807" s="99">
        <f>SUMIFS(K$1:K803,$C$1:$C803,$C807,$F$1:$F803,$F807)</f>
        <v>0</v>
      </c>
      <c r="L807" s="99">
        <f>SUMIFS(L$1:L803,$C$1:$C803,$C807,$F$1:$F803,$F807)</f>
        <v>0</v>
      </c>
      <c r="M807" s="99">
        <f>SUMIFS(M$1:M803,$C$1:$C803,$C807,$F$1:$F803,$F807)</f>
        <v>0</v>
      </c>
      <c r="N807" s="99">
        <f>SUMIFS(N$1:N803,$C$1:$C803,$C807,$F$1:$F803,$F807)</f>
        <v>0</v>
      </c>
      <c r="O807" s="99">
        <f>SUMIFS(O$1:O803,$C$1:$C803,$C807,$F$1:$F803,$F807)</f>
        <v>0</v>
      </c>
      <c r="P807" s="99">
        <f t="shared" si="1199"/>
        <v>0</v>
      </c>
      <c r="Q807" s="99">
        <f>SUMIFS(Q$1:Q803,$C$1:$C803,$C807,$F$1:$F803,$F807)</f>
        <v>0</v>
      </c>
      <c r="R807" s="99">
        <f>SUMIFS(R$1:R803,$C$1:$C803,$C807,$F$1:$F803,$F807)</f>
        <v>0</v>
      </c>
      <c r="S807" s="99">
        <f>SUMIFS(S$1:S803,$C$1:$C803,$C807,$F$1:$F803,$F807)</f>
        <v>0</v>
      </c>
      <c r="T807" s="99">
        <f>SUMIFS(T$1:T803,$C$1:$C803,$C807,$F$1:$F803,$F807)</f>
        <v>0</v>
      </c>
      <c r="U807" s="99">
        <f t="shared" si="1200"/>
        <v>0</v>
      </c>
      <c r="V807" s="255" t="str">
        <f t="shared" si="1201"/>
        <v>N/A</v>
      </c>
      <c r="W807" s="102"/>
      <c r="X807" s="102"/>
      <c r="Y807" s="102">
        <f t="shared" si="1202"/>
        <v>0</v>
      </c>
      <c r="Z807" s="309">
        <f>Y807*(1+VLOOKUP($F807,'GL Category'!$A:$H,4,FALSE))</f>
        <v>0</v>
      </c>
      <c r="AA807" s="615"/>
      <c r="AB807" s="622">
        <f t="shared" si="1203"/>
        <v>0</v>
      </c>
      <c r="AC807" s="633">
        <f>AB807*(1+VLOOKUP($F807,'GL Category'!$A:$H,5,FALSE))</f>
        <v>0</v>
      </c>
      <c r="AE807" s="622">
        <f t="shared" si="1204"/>
        <v>0</v>
      </c>
      <c r="AF807" s="633">
        <f>AE807*(1+VLOOKUP($F807,'GL Category'!$A:$H,6,FALSE))</f>
        <v>0</v>
      </c>
      <c r="AH807" s="622">
        <f t="shared" si="1205"/>
        <v>0</v>
      </c>
      <c r="AI807" s="633">
        <f>AH807*(1+VLOOKUP($F807,'GL Category'!$A:$H,7,FALSE))</f>
        <v>0</v>
      </c>
      <c r="AK807" s="622">
        <f t="shared" si="1206"/>
        <v>0</v>
      </c>
      <c r="AL807" s="633">
        <f>AK807*(1+VLOOKUP($F807,'GL Category'!$A:$H,8,FALSE))</f>
        <v>0</v>
      </c>
      <c r="AN807" s="622">
        <f t="shared" si="1207"/>
        <v>0</v>
      </c>
    </row>
    <row r="808" spans="1:43" ht="15" customHeight="1">
      <c r="A808" s="555"/>
      <c r="B808" s="217"/>
      <c r="C808" s="217" t="s">
        <v>3131</v>
      </c>
      <c r="D808" s="101"/>
      <c r="E808" s="217"/>
      <c r="F808" s="294" t="s">
        <v>166</v>
      </c>
      <c r="G808" s="295" t="str">
        <f>VLOOKUP(F808,'GL Category'!A:C,3,FALSE)</f>
        <v>Operations &amp; maintenance</v>
      </c>
      <c r="H808" s="98" t="str">
        <f>VLOOKUP(F808,'GL Category'!A:C,2,FALSE)</f>
        <v>WEARING APPAREL</v>
      </c>
      <c r="I808" s="99">
        <f>SUMIFS(I$1:I803,$C$1:$C803,$C808,$F$1:$F803,$F808)</f>
        <v>1077.79</v>
      </c>
      <c r="J808" s="99">
        <f>SUMIFS(J$1:J803,$C$1:$C803,$C808,$F$1:$F803,$F808)</f>
        <v>1133.55</v>
      </c>
      <c r="K808" s="99">
        <f>SUMIFS(K$1:K803,$C$1:$C803,$C808,$F$1:$F803,$F808)</f>
        <v>1283.1799999999998</v>
      </c>
      <c r="L808" s="99">
        <f>SUMIFS(L$1:L803,$C$1:$C803,$C808,$F$1:$F803,$F808)</f>
        <v>1157.1599999999999</v>
      </c>
      <c r="M808" s="99">
        <f>SUMIFS(M$1:M803,$C$1:$C803,$C808,$F$1:$F803,$F808)</f>
        <v>1355</v>
      </c>
      <c r="N808" s="99">
        <f>SUMIFS(N$1:N803,$C$1:$C803,$C808,$F$1:$F803,$F808)</f>
        <v>969.73</v>
      </c>
      <c r="O808" s="99">
        <f>SUMIFS(O$1:O803,$C$1:$C803,$C808,$F$1:$F803,$F808)</f>
        <v>1355</v>
      </c>
      <c r="P808" s="99">
        <f t="shared" si="1199"/>
        <v>0</v>
      </c>
      <c r="Q808" s="99">
        <f>SUMIFS(Q$1:Q803,$C$1:$C803,$C808,$F$1:$F803,$F808)</f>
        <v>1355</v>
      </c>
      <c r="R808" s="99">
        <f>SUMIFS(R$1:R803,$C$1:$C803,$C808,$F$1:$F803,$F808)</f>
        <v>0</v>
      </c>
      <c r="S808" s="99">
        <f>SUMIFS(S$1:S803,$C$1:$C803,$C808,$F$1:$F803,$F808)</f>
        <v>0</v>
      </c>
      <c r="T808" s="99">
        <f>SUMIFS(T$1:T803,$C$1:$C803,$C808,$F$1:$F803,$F808)</f>
        <v>1355</v>
      </c>
      <c r="U808" s="99">
        <f t="shared" si="1200"/>
        <v>0</v>
      </c>
      <c r="V808" s="255">
        <f t="shared" si="1201"/>
        <v>0</v>
      </c>
      <c r="W808" s="102"/>
      <c r="X808" s="102"/>
      <c r="Y808" s="102">
        <f t="shared" si="1202"/>
        <v>1355</v>
      </c>
      <c r="Z808" s="309">
        <f>Y808*(1+VLOOKUP($F808,'GL Category'!$A:$H,4,FALSE))</f>
        <v>1382.1000000000001</v>
      </c>
      <c r="AA808" s="615"/>
      <c r="AB808" s="622">
        <f t="shared" si="1203"/>
        <v>1382.1000000000001</v>
      </c>
      <c r="AC808" s="633">
        <f>AB808*(1+VLOOKUP($F808,'GL Category'!$A:$H,5,FALSE))</f>
        <v>1409.7420000000002</v>
      </c>
      <c r="AE808" s="622">
        <f t="shared" si="1204"/>
        <v>1409.7420000000002</v>
      </c>
      <c r="AF808" s="633">
        <f>AE808*(1+VLOOKUP($F808,'GL Category'!$A:$H,6,FALSE))</f>
        <v>1437.9368400000003</v>
      </c>
      <c r="AH808" s="622">
        <f t="shared" si="1205"/>
        <v>1437.9368400000003</v>
      </c>
      <c r="AI808" s="633">
        <f>AH808*(1+VLOOKUP($F808,'GL Category'!$A:$H,7,FALSE))</f>
        <v>1466.6955768000003</v>
      </c>
      <c r="AK808" s="622">
        <f t="shared" si="1206"/>
        <v>1466.6955768000003</v>
      </c>
      <c r="AL808" s="633">
        <f>AK808*(1+VLOOKUP($F808,'GL Category'!$A:$H,8,FALSE))</f>
        <v>1496.0294883360002</v>
      </c>
      <c r="AN808" s="622">
        <f t="shared" si="1207"/>
        <v>1496.0294883360002</v>
      </c>
    </row>
    <row r="809" spans="1:43" s="115" customFormat="1" ht="15" customHeight="1">
      <c r="A809" s="555"/>
      <c r="B809" s="217"/>
      <c r="C809" s="217" t="s">
        <v>3131</v>
      </c>
      <c r="D809" s="101"/>
      <c r="E809" s="217"/>
      <c r="F809" s="294" t="s">
        <v>168</v>
      </c>
      <c r="G809" s="295" t="str">
        <f>VLOOKUP(F809,'GL Category'!A:C,3,FALSE)</f>
        <v>Operations &amp; maintenance</v>
      </c>
      <c r="H809" s="98" t="str">
        <f>VLOOKUP(F809,'GL Category'!A:C,2,FALSE)</f>
        <v>MISCELLANEOUS SUPPLIES</v>
      </c>
      <c r="I809" s="99">
        <f>SUMIFS(I$1:I804,$C$1:$C804,$C809,$F$1:$F804,$F809)</f>
        <v>0</v>
      </c>
      <c r="J809" s="99">
        <f>SUMIFS(J$1:J804,$C$1:$C804,$C809,$F$1:$F804,$F809)</f>
        <v>0</v>
      </c>
      <c r="K809" s="99">
        <f>SUMIFS(K$1:K804,$C$1:$C804,$C809,$F$1:$F804,$F809)</f>
        <v>0</v>
      </c>
      <c r="L809" s="99">
        <f>SUMIFS(L$1:L804,$C$1:$C804,$C809,$F$1:$F804,$F809)</f>
        <v>0</v>
      </c>
      <c r="M809" s="99">
        <f>SUMIFS(M$1:M804,$C$1:$C804,$C809,$F$1:$F804,$F809)</f>
        <v>0</v>
      </c>
      <c r="N809" s="99">
        <f>SUMIFS(N$1:N804,$C$1:$C804,$C809,$F$1:$F804,$F809)</f>
        <v>0</v>
      </c>
      <c r="O809" s="99">
        <f>SUMIFS(O$1:O804,$C$1:$C804,$C809,$F$1:$F804,$F809)</f>
        <v>0</v>
      </c>
      <c r="P809" s="99">
        <f t="shared" si="1199"/>
        <v>0</v>
      </c>
      <c r="Q809" s="99">
        <f>SUMIFS(Q$1:Q804,$C$1:$C804,$C809,$F$1:$F804,$F809)</f>
        <v>0</v>
      </c>
      <c r="R809" s="99">
        <f>SUMIFS(R$1:R804,$C$1:$C804,$C809,$F$1:$F804,$F809)</f>
        <v>0</v>
      </c>
      <c r="S809" s="99">
        <f>SUMIFS(S$1:S804,$C$1:$C804,$C809,$F$1:$F804,$F809)</f>
        <v>0</v>
      </c>
      <c r="T809" s="99">
        <f>SUMIFS(T$1:T804,$C$1:$C804,$C809,$F$1:$F804,$F809)</f>
        <v>0</v>
      </c>
      <c r="U809" s="99">
        <f t="shared" si="1200"/>
        <v>0</v>
      </c>
      <c r="V809" s="255" t="str">
        <f t="shared" si="1201"/>
        <v>N/A</v>
      </c>
      <c r="W809" s="102"/>
      <c r="X809" s="102"/>
      <c r="Y809" s="102">
        <f t="shared" si="1202"/>
        <v>0</v>
      </c>
      <c r="Z809" s="309">
        <f>Y809*(1+VLOOKUP($F809,'GL Category'!$A:$H,4,FALSE))</f>
        <v>0</v>
      </c>
      <c r="AA809" s="615"/>
      <c r="AB809" s="622">
        <f t="shared" si="1203"/>
        <v>0</v>
      </c>
      <c r="AC809" s="633">
        <f>AB809*(1+VLOOKUP($F809,'GL Category'!$A:$H,5,FALSE))</f>
        <v>0</v>
      </c>
      <c r="AD809" s="307"/>
      <c r="AE809" s="622">
        <f t="shared" si="1204"/>
        <v>0</v>
      </c>
      <c r="AF809" s="633">
        <f>AE809*(1+VLOOKUP($F809,'GL Category'!$A:$H,6,FALSE))</f>
        <v>0</v>
      </c>
      <c r="AG809" s="307"/>
      <c r="AH809" s="622">
        <f t="shared" si="1205"/>
        <v>0</v>
      </c>
      <c r="AI809" s="633">
        <f>AH809*(1+VLOOKUP($F809,'GL Category'!$A:$H,7,FALSE))</f>
        <v>0</v>
      </c>
      <c r="AJ809" s="307"/>
      <c r="AK809" s="622">
        <f t="shared" si="1206"/>
        <v>0</v>
      </c>
      <c r="AL809" s="633">
        <f>AK809*(1+VLOOKUP($F809,'GL Category'!$A:$H,8,FALSE))</f>
        <v>0</v>
      </c>
      <c r="AM809" s="307"/>
      <c r="AN809" s="622">
        <f t="shared" si="1207"/>
        <v>0</v>
      </c>
      <c r="AO809" s="192"/>
      <c r="AP809" s="192"/>
      <c r="AQ809" s="192"/>
    </row>
    <row r="810" spans="1:43" s="115" customFormat="1" ht="15" customHeight="1">
      <c r="A810" s="555"/>
      <c r="B810" s="217"/>
      <c r="C810" s="217" t="s">
        <v>3131</v>
      </c>
      <c r="D810" s="101"/>
      <c r="E810" s="217"/>
      <c r="F810" s="294" t="s">
        <v>240</v>
      </c>
      <c r="G810" s="295" t="str">
        <f>VLOOKUP(F810,'GL Category'!A:C,3,FALSE)</f>
        <v>Operations &amp; maintenance</v>
      </c>
      <c r="H810" s="98" t="str">
        <f>VLOOKUP(F810,'GL Category'!A:C,2,FALSE)</f>
        <v>VEHICLE MAINTENANCE</v>
      </c>
      <c r="I810" s="99">
        <f>SUMIFS(I$1:I805,$C$1:$C805,$C810,$F$1:$F805,$F810)</f>
        <v>43.68</v>
      </c>
      <c r="J810" s="99">
        <f>SUMIFS(J$1:J805,$C$1:$C805,$C810,$F$1:$F805,$F810)</f>
        <v>130.28</v>
      </c>
      <c r="K810" s="99">
        <f>SUMIFS(K$1:K805,$C$1:$C805,$C810,$F$1:$F805,$F810)</f>
        <v>232.87</v>
      </c>
      <c r="L810" s="99">
        <f>SUMIFS(L$1:L805,$C$1:$C805,$C810,$F$1:$F805,$F810)</f>
        <v>257.88</v>
      </c>
      <c r="M810" s="99">
        <f>SUMIFS(M$1:M805,$C$1:$C805,$C810,$F$1:$F805,$F810)</f>
        <v>1000</v>
      </c>
      <c r="N810" s="99">
        <f>SUMIFS(N$1:N805,$C$1:$C805,$C810,$F$1:$F805,$F810)</f>
        <v>270.52</v>
      </c>
      <c r="O810" s="99">
        <f>SUMIFS(O$1:O805,$C$1:$C805,$C810,$F$1:$F805,$F810)</f>
        <v>1000</v>
      </c>
      <c r="P810" s="99">
        <f t="shared" si="1199"/>
        <v>0</v>
      </c>
      <c r="Q810" s="99">
        <f>SUMIFS(Q$1:Q805,$C$1:$C805,$C810,$F$1:$F805,$F810)</f>
        <v>1000</v>
      </c>
      <c r="R810" s="99">
        <f>SUMIFS(R$1:R805,$C$1:$C805,$C810,$F$1:$F805,$F810)</f>
        <v>0</v>
      </c>
      <c r="S810" s="99">
        <f>SUMIFS(S$1:S805,$C$1:$C805,$C810,$F$1:$F805,$F810)</f>
        <v>0</v>
      </c>
      <c r="T810" s="99">
        <f>SUMIFS(T$1:T805,$C$1:$C805,$C810,$F$1:$F805,$F810)</f>
        <v>1000</v>
      </c>
      <c r="U810" s="99">
        <f t="shared" si="1200"/>
        <v>0</v>
      </c>
      <c r="V810" s="255">
        <f t="shared" si="1201"/>
        <v>0</v>
      </c>
      <c r="W810" s="102"/>
      <c r="X810" s="102"/>
      <c r="Y810" s="102">
        <f t="shared" si="1202"/>
        <v>1000</v>
      </c>
      <c r="Z810" s="309">
        <f>Y810*(1+VLOOKUP($F810,'GL Category'!$A:$H,4,FALSE))</f>
        <v>1020</v>
      </c>
      <c r="AA810" s="615"/>
      <c r="AB810" s="622">
        <f t="shared" si="1203"/>
        <v>1020</v>
      </c>
      <c r="AC810" s="633">
        <f>AB810*(1+VLOOKUP($F810,'GL Category'!$A:$H,5,FALSE))</f>
        <v>1040.4000000000001</v>
      </c>
      <c r="AD810" s="307"/>
      <c r="AE810" s="622">
        <f t="shared" si="1204"/>
        <v>1040.4000000000001</v>
      </c>
      <c r="AF810" s="633">
        <f>AE810*(1+VLOOKUP($F810,'GL Category'!$A:$H,6,FALSE))</f>
        <v>1061.2080000000001</v>
      </c>
      <c r="AG810" s="307"/>
      <c r="AH810" s="622">
        <f t="shared" si="1205"/>
        <v>1061.2080000000001</v>
      </c>
      <c r="AI810" s="633">
        <f>AH810*(1+VLOOKUP($F810,'GL Category'!$A:$H,7,FALSE))</f>
        <v>1082.4321600000001</v>
      </c>
      <c r="AJ810" s="307"/>
      <c r="AK810" s="622">
        <f t="shared" si="1206"/>
        <v>1082.4321600000001</v>
      </c>
      <c r="AL810" s="633">
        <f>AK810*(1+VLOOKUP($F810,'GL Category'!$A:$H,8,FALSE))</f>
        <v>1104.0808032</v>
      </c>
      <c r="AM810" s="307"/>
      <c r="AN810" s="622">
        <f t="shared" si="1207"/>
        <v>1104.0808032</v>
      </c>
      <c r="AO810" s="192"/>
      <c r="AP810" s="192"/>
      <c r="AQ810" s="192"/>
    </row>
    <row r="811" spans="1:43" s="115" customFormat="1" ht="26.4">
      <c r="A811" s="555"/>
      <c r="B811" s="217"/>
      <c r="C811" s="217" t="s">
        <v>3131</v>
      </c>
      <c r="D811" s="101"/>
      <c r="E811" s="217"/>
      <c r="F811" s="294" t="s">
        <v>178</v>
      </c>
      <c r="G811" s="295" t="str">
        <f>VLOOKUP(F811,'GL Category'!A:C,3,FALSE)</f>
        <v>Operations &amp; maintenance</v>
      </c>
      <c r="H811" s="98" t="str">
        <f>VLOOKUP(F811,'GL Category'!A:C,2,FALSE)</f>
        <v>SOFTWARE LICENSE &amp; MAINTENANCE</v>
      </c>
      <c r="I811" s="99">
        <f>SUMIFS(I$1:I806,$C$1:$C806,$C811,$F$1:$F806,$F811)</f>
        <v>0</v>
      </c>
      <c r="J811" s="99">
        <f>SUMIFS(J$1:J806,$C$1:$C806,$C811,$F$1:$F806,$F811)</f>
        <v>0</v>
      </c>
      <c r="K811" s="99">
        <f>SUMIFS(K$1:K806,$C$1:$C806,$C811,$F$1:$F806,$F811)</f>
        <v>0</v>
      </c>
      <c r="L811" s="99">
        <f>SUMIFS(L$1:L806,$C$1:$C806,$C811,$F$1:$F806,$F811)</f>
        <v>0</v>
      </c>
      <c r="M811" s="99">
        <f>SUMIFS(M$1:M806,$C$1:$C806,$C811,$F$1:$F806,$F811)</f>
        <v>0</v>
      </c>
      <c r="N811" s="99">
        <f>SUMIFS(N$1:N806,$C$1:$C806,$C811,$F$1:$F806,$F811)</f>
        <v>0</v>
      </c>
      <c r="O811" s="99">
        <f>SUMIFS(O$1:O806,$C$1:$C806,$C811,$F$1:$F806,$F811)</f>
        <v>0</v>
      </c>
      <c r="P811" s="99">
        <f t="shared" si="1199"/>
        <v>0</v>
      </c>
      <c r="Q811" s="99">
        <f>SUMIFS(Q$1:Q806,$C$1:$C806,$C811,$F$1:$F806,$F811)</f>
        <v>0</v>
      </c>
      <c r="R811" s="99">
        <f>SUMIFS(R$1:R806,$C$1:$C806,$C811,$F$1:$F806,$F811)</f>
        <v>0</v>
      </c>
      <c r="S811" s="99">
        <f>SUMIFS(S$1:S806,$C$1:$C806,$C811,$F$1:$F806,$F811)</f>
        <v>0</v>
      </c>
      <c r="T811" s="99">
        <f>SUMIFS(T$1:T806,$C$1:$C806,$C811,$F$1:$F806,$F811)</f>
        <v>0</v>
      </c>
      <c r="U811" s="99">
        <f t="shared" si="1200"/>
        <v>0</v>
      </c>
      <c r="V811" s="255" t="str">
        <f t="shared" si="1201"/>
        <v>N/A</v>
      </c>
      <c r="W811" s="102"/>
      <c r="X811" s="102"/>
      <c r="Y811" s="102">
        <f t="shared" si="1202"/>
        <v>0</v>
      </c>
      <c r="Z811" s="309">
        <f>Y811*(1+VLOOKUP($F811,'GL Category'!$A:$H,4,FALSE))</f>
        <v>0</v>
      </c>
      <c r="AA811" s="615"/>
      <c r="AB811" s="622">
        <f t="shared" si="1203"/>
        <v>0</v>
      </c>
      <c r="AC811" s="633">
        <f>AB811*(1+VLOOKUP($F811,'GL Category'!$A:$H,5,FALSE))</f>
        <v>0</v>
      </c>
      <c r="AD811" s="307"/>
      <c r="AE811" s="622">
        <f t="shared" si="1204"/>
        <v>0</v>
      </c>
      <c r="AF811" s="633">
        <f>AE811*(1+VLOOKUP($F811,'GL Category'!$A:$H,6,FALSE))</f>
        <v>0</v>
      </c>
      <c r="AG811" s="307"/>
      <c r="AH811" s="622">
        <f t="shared" si="1205"/>
        <v>0</v>
      </c>
      <c r="AI811" s="633">
        <f>AH811*(1+VLOOKUP($F811,'GL Category'!$A:$H,7,FALSE))</f>
        <v>0</v>
      </c>
      <c r="AJ811" s="307"/>
      <c r="AK811" s="622">
        <f t="shared" si="1206"/>
        <v>0</v>
      </c>
      <c r="AL811" s="633">
        <f>AK811*(1+VLOOKUP($F811,'GL Category'!$A:$H,8,FALSE))</f>
        <v>0</v>
      </c>
      <c r="AM811" s="307"/>
      <c r="AN811" s="622">
        <f t="shared" si="1207"/>
        <v>0</v>
      </c>
      <c r="AO811" s="192"/>
      <c r="AP811" s="192"/>
      <c r="AQ811" s="192"/>
    </row>
    <row r="812" spans="1:43" s="115" customFormat="1" ht="24" customHeight="1">
      <c r="A812" s="555"/>
      <c r="B812" s="217"/>
      <c r="C812" s="217" t="str">
        <f t="shared" ref="C812:C863" si="1208">MID(A812,5,2)</f>
        <v/>
      </c>
      <c r="D812" s="101"/>
      <c r="E812" s="217"/>
      <c r="F812" s="294"/>
      <c r="G812" s="295"/>
      <c r="H812" s="107" t="str">
        <f>UPPER(G811)&amp;" TOTAL"</f>
        <v>OPERATIONS &amp; MAINTENANCE TOTAL</v>
      </c>
      <c r="I812" s="109">
        <f t="shared" ref="I812:T812" si="1209">SUBTOTAL(9,I800:I811)</f>
        <v>7375.43</v>
      </c>
      <c r="J812" s="109">
        <f t="shared" si="1209"/>
        <v>7764.0099999999993</v>
      </c>
      <c r="K812" s="109">
        <f t="shared" si="1209"/>
        <v>12553.78</v>
      </c>
      <c r="L812" s="109">
        <f t="shared" si="1209"/>
        <v>8713.42</v>
      </c>
      <c r="M812" s="109">
        <f t="shared" si="1209"/>
        <v>10655</v>
      </c>
      <c r="N812" s="109">
        <f t="shared" si="1209"/>
        <v>4694.1399999999994</v>
      </c>
      <c r="O812" s="109">
        <f t="shared" si="1209"/>
        <v>8655</v>
      </c>
      <c r="P812" s="109">
        <f t="shared" si="1209"/>
        <v>-2000</v>
      </c>
      <c r="Q812" s="109">
        <f t="shared" si="1209"/>
        <v>10655</v>
      </c>
      <c r="R812" s="109">
        <f t="shared" si="1209"/>
        <v>0</v>
      </c>
      <c r="S812" s="109">
        <f t="shared" si="1209"/>
        <v>0</v>
      </c>
      <c r="T812" s="109">
        <f t="shared" si="1209"/>
        <v>10655</v>
      </c>
      <c r="U812" s="99">
        <f t="shared" si="1200"/>
        <v>0</v>
      </c>
      <c r="V812" s="255">
        <f t="shared" si="1201"/>
        <v>0</v>
      </c>
      <c r="W812" s="102"/>
      <c r="X812" s="102"/>
      <c r="Y812" s="102"/>
      <c r="Z812" s="192"/>
      <c r="AA812" s="615"/>
      <c r="AB812" s="307"/>
      <c r="AC812" s="300"/>
      <c r="AD812" s="300"/>
      <c r="AE812" s="300"/>
      <c r="AF812" s="300"/>
      <c r="AG812" s="300"/>
      <c r="AH812" s="307"/>
      <c r="AI812" s="307"/>
      <c r="AJ812" s="93"/>
      <c r="AK812" s="93"/>
      <c r="AL812" s="93"/>
      <c r="AM812" s="93"/>
      <c r="AN812" s="93"/>
      <c r="AO812" s="192"/>
      <c r="AP812" s="192"/>
      <c r="AQ812" s="192"/>
    </row>
    <row r="813" spans="1:43" s="115" customFormat="1" ht="15" customHeight="1">
      <c r="A813" s="555"/>
      <c r="B813" s="217"/>
      <c r="C813" s="217" t="str">
        <f t="shared" si="1208"/>
        <v/>
      </c>
      <c r="D813" s="101"/>
      <c r="E813" s="217"/>
      <c r="F813" s="294"/>
      <c r="G813" s="295"/>
      <c r="H813" s="98"/>
      <c r="I813" s="106"/>
      <c r="J813" s="106"/>
      <c r="K813" s="106"/>
      <c r="L813" s="106"/>
      <c r="M813" s="106"/>
      <c r="N813" s="112"/>
      <c r="O813" s="112"/>
      <c r="P813" s="112"/>
      <c r="Q813" s="113"/>
      <c r="R813" s="113"/>
      <c r="S813" s="113"/>
      <c r="T813" s="113"/>
      <c r="U813" s="99"/>
      <c r="V813" s="255"/>
      <c r="W813" s="102"/>
      <c r="X813" s="102"/>
      <c r="Y813" s="102"/>
      <c r="Z813" s="192"/>
      <c r="AA813" s="615"/>
      <c r="AB813" s="307"/>
      <c r="AC813" s="300"/>
      <c r="AD813" s="300"/>
      <c r="AE813" s="300"/>
      <c r="AF813" s="300"/>
      <c r="AG813" s="300"/>
      <c r="AH813" s="307"/>
      <c r="AI813" s="307"/>
      <c r="AJ813" s="300"/>
      <c r="AK813" s="300"/>
      <c r="AL813" s="300"/>
      <c r="AM813" s="300"/>
      <c r="AN813" s="300"/>
      <c r="AO813" s="192"/>
      <c r="AP813" s="192"/>
      <c r="AQ813" s="192"/>
    </row>
    <row r="814" spans="1:43" s="115" customFormat="1" ht="15" customHeight="1">
      <c r="A814" s="555"/>
      <c r="B814" s="217"/>
      <c r="C814" s="217" t="s">
        <v>3131</v>
      </c>
      <c r="D814" s="101"/>
      <c r="E814" s="217"/>
      <c r="F814" s="556" t="s">
        <v>237</v>
      </c>
      <c r="G814" s="295" t="str">
        <f>VLOOKUP(F814,'GL Category'!A:C,3,FALSE)</f>
        <v>Services &amp; other</v>
      </c>
      <c r="H814" s="98" t="str">
        <f>VLOOKUP(F814,'GL Category'!A:C,2,FALSE)</f>
        <v>MISCELLANEOUS SERVICES</v>
      </c>
      <c r="I814" s="99">
        <f>SUMIFS(I$1:I809,$C$1:$C809,$C814,$F$1:$F809,$F814)</f>
        <v>21192.510000000002</v>
      </c>
      <c r="J814" s="99">
        <f>SUMIFS(J$1:J809,$C$1:$C809,$C814,$F$1:$F809,$F814)</f>
        <v>26324.989999999998</v>
      </c>
      <c r="K814" s="99">
        <f>SUMIFS(K$1:K809,$C$1:$C809,$C814,$F$1:$F809,$F814)</f>
        <v>10455.049999999999</v>
      </c>
      <c r="L814" s="99">
        <f>SUMIFS(L$1:L809,$C$1:$C809,$C814,$F$1:$F809,$F814)</f>
        <v>13724.390000000001</v>
      </c>
      <c r="M814" s="99">
        <f>SUMIFS(M$1:M809,$C$1:$C809,$C814,$F$1:$F809,$F814)</f>
        <v>12500</v>
      </c>
      <c r="N814" s="99">
        <f>SUMIFS(N$1:N809,$C$1:$C809,$C814,$F$1:$F809,$F814)</f>
        <v>13337.5</v>
      </c>
      <c r="O814" s="99">
        <f>SUMIFS(O$1:O809,$C$1:$C809,$C814,$F$1:$F809,$F814)</f>
        <v>12500</v>
      </c>
      <c r="P814" s="99">
        <f t="shared" ref="P814:P825" si="1210">O814-M814</f>
        <v>0</v>
      </c>
      <c r="Q814" s="99">
        <f>SUMIFS(Q$1:Q809,$C$1:$C809,$C814,$F$1:$F809,$F814)</f>
        <v>12500</v>
      </c>
      <c r="R814" s="99">
        <f>SUMIFS(R$1:R809,$C$1:$C809,$C814,$F$1:$F809,$F814)</f>
        <v>0</v>
      </c>
      <c r="S814" s="99">
        <f>SUMIFS(S$1:S809,$C$1:$C809,$C814,$F$1:$F809,$F814)</f>
        <v>0</v>
      </c>
      <c r="T814" s="99">
        <f>SUMIFS(T$1:T809,$C$1:$C809,$C814,$F$1:$F809,$F814)</f>
        <v>12500</v>
      </c>
      <c r="U814" s="99">
        <f t="shared" ref="U814:U826" si="1211">T814-M814</f>
        <v>0</v>
      </c>
      <c r="V814" s="255">
        <f t="shared" ref="V814:V826" si="1212">IF(M814=0,"N/A",T814/M814-1)</f>
        <v>0</v>
      </c>
      <c r="W814" s="102"/>
      <c r="X814" s="102"/>
      <c r="Y814" s="102">
        <f t="shared" ref="Y814" si="1213">T814-X814</f>
        <v>12500</v>
      </c>
      <c r="Z814" s="309">
        <f>Y814*(1+VLOOKUP($F814,'GL Category'!$A:$H,4,FALSE))</f>
        <v>12875</v>
      </c>
      <c r="AA814" s="615"/>
      <c r="AB814" s="622">
        <f t="shared" ref="AB814" si="1214">Z814+AA814</f>
        <v>12875</v>
      </c>
      <c r="AC814" s="633">
        <f>AB814*(1+VLOOKUP($F814,'GL Category'!$A:$H,5,FALSE))</f>
        <v>13261.25</v>
      </c>
      <c r="AD814" s="615"/>
      <c r="AE814" s="622">
        <f t="shared" ref="AE814" si="1215">AC814+AD814</f>
        <v>13261.25</v>
      </c>
      <c r="AF814" s="633">
        <f>AE814*(1+VLOOKUP($F814,'GL Category'!$A:$H,6,FALSE))</f>
        <v>13659.0875</v>
      </c>
      <c r="AG814" s="615"/>
      <c r="AH814" s="622">
        <f t="shared" ref="AH814" si="1216">AF814+AG814</f>
        <v>13659.0875</v>
      </c>
      <c r="AI814" s="633">
        <f>AH814*(1+VLOOKUP($F814,'GL Category'!$A:$H,7,FALSE))</f>
        <v>14068.860124999999</v>
      </c>
      <c r="AJ814" s="615"/>
      <c r="AK814" s="622">
        <f t="shared" ref="AK814" si="1217">AI814+AJ814</f>
        <v>14068.860124999999</v>
      </c>
      <c r="AL814" s="633">
        <f>AK814*(1+VLOOKUP($F814,'GL Category'!$A:$H,8,FALSE))</f>
        <v>14490.925928749999</v>
      </c>
      <c r="AM814" s="615"/>
      <c r="AN814" s="622">
        <f t="shared" ref="AN814" si="1218">AL814+AM814</f>
        <v>14490.925928749999</v>
      </c>
      <c r="AO814" s="192"/>
      <c r="AP814" s="192"/>
      <c r="AQ814" s="192"/>
    </row>
    <row r="815" spans="1:43" s="115" customFormat="1" ht="15" customHeight="1">
      <c r="A815" s="555"/>
      <c r="B815" s="217"/>
      <c r="C815" s="217" t="s">
        <v>3131</v>
      </c>
      <c r="D815" s="101"/>
      <c r="E815" s="217"/>
      <c r="F815" s="294" t="s">
        <v>189</v>
      </c>
      <c r="G815" s="295" t="str">
        <f>VLOOKUP(F815,'GL Category'!A:C,3,FALSE)</f>
        <v>Services &amp; other</v>
      </c>
      <c r="H815" s="98" t="str">
        <f>VLOOKUP(F815,'GL Category'!A:C,2,FALSE)</f>
        <v>DUES &amp; SUBSCRIPTIONS</v>
      </c>
      <c r="I815" s="99">
        <f>SUMIFS(I$1:I810,$C$1:$C810,$C815,$F$1:$F810,$F815)</f>
        <v>454</v>
      </c>
      <c r="J815" s="99">
        <f>SUMIFS(J$1:J810,$C$1:$C810,$C815,$F$1:$F810,$F815)</f>
        <v>1562.92</v>
      </c>
      <c r="K815" s="99">
        <f>SUMIFS(K$1:K810,$C$1:$C810,$C815,$F$1:$F810,$F815)</f>
        <v>719.9</v>
      </c>
      <c r="L815" s="99">
        <f>SUMIFS(L$1:L810,$C$1:$C810,$C815,$F$1:$F810,$F815)</f>
        <v>1269</v>
      </c>
      <c r="M815" s="99">
        <f>SUMIFS(M$1:M810,$C$1:$C810,$C815,$F$1:$F810,$F815)</f>
        <v>2480</v>
      </c>
      <c r="N815" s="99">
        <f>SUMIFS(N$1:N810,$C$1:$C810,$C815,$F$1:$F810,$F815)</f>
        <v>128.4</v>
      </c>
      <c r="O815" s="99">
        <f>SUMIFS(O$1:O810,$C$1:$C810,$C815,$F$1:$F810,$F815)</f>
        <v>1785</v>
      </c>
      <c r="P815" s="99">
        <f t="shared" si="1210"/>
        <v>-695</v>
      </c>
      <c r="Q815" s="99">
        <f>SUMIFS(Q$1:Q810,$C$1:$C810,$C815,$F$1:$F810,$F815)</f>
        <v>2480</v>
      </c>
      <c r="R815" s="99">
        <f>SUMIFS(R$1:R810,$C$1:$C810,$C815,$F$1:$F810,$F815)</f>
        <v>0</v>
      </c>
      <c r="S815" s="99">
        <f>SUMIFS(S$1:S810,$C$1:$C810,$C815,$F$1:$F810,$F815)</f>
        <v>0</v>
      </c>
      <c r="T815" s="99">
        <f>SUMIFS(T$1:T810,$C$1:$C810,$C815,$F$1:$F810,$F815)</f>
        <v>2480</v>
      </c>
      <c r="U815" s="99">
        <f t="shared" si="1211"/>
        <v>0</v>
      </c>
      <c r="V815" s="255">
        <f t="shared" si="1212"/>
        <v>0</v>
      </c>
      <c r="W815" s="102"/>
      <c r="X815" s="102"/>
      <c r="Y815" s="102">
        <f t="shared" ref="Y815:Y825" si="1219">T815-X815</f>
        <v>2480</v>
      </c>
      <c r="Z815" s="309">
        <f>Y815*(1+VLOOKUP($F815,'GL Category'!$A:$H,4,FALSE))</f>
        <v>2554.4</v>
      </c>
      <c r="AA815" s="615"/>
      <c r="AB815" s="622">
        <f t="shared" ref="AB815:AB825" si="1220">Z815+AA815</f>
        <v>2554.4</v>
      </c>
      <c r="AC815" s="633">
        <f>AB815*(1+VLOOKUP($F815,'GL Category'!$A:$H,5,FALSE))</f>
        <v>2631.0320000000002</v>
      </c>
      <c r="AD815" s="307"/>
      <c r="AE815" s="622">
        <f t="shared" ref="AE815:AE825" si="1221">AC815+AD815</f>
        <v>2631.0320000000002</v>
      </c>
      <c r="AF815" s="633">
        <f>AE815*(1+VLOOKUP($F815,'GL Category'!$A:$H,6,FALSE))</f>
        <v>2709.9629600000003</v>
      </c>
      <c r="AG815" s="307"/>
      <c r="AH815" s="622">
        <f t="shared" ref="AH815:AH825" si="1222">AF815+AG815</f>
        <v>2709.9629600000003</v>
      </c>
      <c r="AI815" s="633">
        <f>AH815*(1+VLOOKUP($F815,'GL Category'!$A:$H,7,FALSE))</f>
        <v>2791.2618488000003</v>
      </c>
      <c r="AJ815" s="307"/>
      <c r="AK815" s="622">
        <f t="shared" ref="AK815:AK825" si="1223">AI815+AJ815</f>
        <v>2791.2618488000003</v>
      </c>
      <c r="AL815" s="633">
        <f>AK815*(1+VLOOKUP($F815,'GL Category'!$A:$H,8,FALSE))</f>
        <v>2874.9997042640002</v>
      </c>
      <c r="AM815" s="307"/>
      <c r="AN815" s="622">
        <f t="shared" ref="AN815:AN825" si="1224">AL815+AM815</f>
        <v>2874.9997042640002</v>
      </c>
      <c r="AO815" s="192"/>
      <c r="AP815" s="192"/>
      <c r="AQ815" s="192"/>
    </row>
    <row r="816" spans="1:43" ht="15" customHeight="1">
      <c r="A816" s="555"/>
      <c r="B816" s="217"/>
      <c r="C816" s="217" t="s">
        <v>3131</v>
      </c>
      <c r="D816" s="101"/>
      <c r="E816" s="217"/>
      <c r="F816" s="294" t="s">
        <v>192</v>
      </c>
      <c r="G816" s="295" t="str">
        <f>VLOOKUP(F816,'GL Category'!A:C,3,FALSE)</f>
        <v>Services &amp; other</v>
      </c>
      <c r="H816" s="98" t="str">
        <f>VLOOKUP(F816,'GL Category'!A:C,2,FALSE)</f>
        <v>CONSULTING SERVICES</v>
      </c>
      <c r="I816" s="99">
        <f>SUMIFS(I$1:I812,$C$1:$C812,$C816,$F$1:$F812,$F816)</f>
        <v>190955.42</v>
      </c>
      <c r="J816" s="99">
        <f>SUMIFS(J$1:J812,$C$1:$C812,$C816,$F$1:$F812,$F816)</f>
        <v>239517.31</v>
      </c>
      <c r="K816" s="99">
        <f>SUMIFS(K$1:K812,$C$1:$C812,$C816,$F$1:$F812,$F816)</f>
        <v>218271.35</v>
      </c>
      <c r="L816" s="99">
        <f>SUMIFS(L$1:L812,$C$1:$C812,$C816,$F$1:$F812,$F816)</f>
        <v>240248.08</v>
      </c>
      <c r="M816" s="99">
        <f>SUMIFS(M$1:M812,$C$1:$C812,$C816,$F$1:$F812,$F816)</f>
        <v>265000</v>
      </c>
      <c r="N816" s="99">
        <f>SUMIFS(N$1:N812,$C$1:$C812,$C816,$F$1:$F812,$F816)</f>
        <v>219160.95</v>
      </c>
      <c r="O816" s="99">
        <f>SUMIFS(O$1:O812,$C$1:$C812,$C816,$F$1:$F812,$F816)</f>
        <v>287000</v>
      </c>
      <c r="P816" s="99">
        <f t="shared" si="1210"/>
        <v>22000</v>
      </c>
      <c r="Q816" s="99">
        <f>SUMIFS(Q$1:Q812,$C$1:$C812,$C816,$F$1:$F812,$F816)</f>
        <v>265000</v>
      </c>
      <c r="R816" s="99">
        <f>SUMIFS(R$1:R812,$C$1:$C812,$C816,$F$1:$F812,$F816)</f>
        <v>0</v>
      </c>
      <c r="S816" s="99">
        <f>SUMIFS(S$1:S812,$C$1:$C812,$C816,$F$1:$F812,$F816)</f>
        <v>0</v>
      </c>
      <c r="T816" s="99">
        <f>SUMIFS(T$1:T812,$C$1:$C812,$C816,$F$1:$F812,$F816)</f>
        <v>265000</v>
      </c>
      <c r="U816" s="99">
        <f t="shared" si="1211"/>
        <v>0</v>
      </c>
      <c r="V816" s="255">
        <f t="shared" si="1212"/>
        <v>0</v>
      </c>
      <c r="W816" s="102"/>
      <c r="X816" s="102"/>
      <c r="Y816" s="102">
        <f t="shared" si="1219"/>
        <v>265000</v>
      </c>
      <c r="Z816" s="309">
        <f>Y816*(1+VLOOKUP($F816,'GL Category'!$A:$H,4,FALSE))</f>
        <v>272950</v>
      </c>
      <c r="AA816" s="615"/>
      <c r="AB816" s="622">
        <f t="shared" si="1220"/>
        <v>272950</v>
      </c>
      <c r="AC816" s="633">
        <f>AB816*(1+VLOOKUP($F816,'GL Category'!$A:$H,5,FALSE))</f>
        <v>281138.5</v>
      </c>
      <c r="AE816" s="622">
        <f t="shared" si="1221"/>
        <v>281138.5</v>
      </c>
      <c r="AF816" s="633">
        <f>AE816*(1+VLOOKUP($F816,'GL Category'!$A:$H,6,FALSE))</f>
        <v>289572.65500000003</v>
      </c>
      <c r="AH816" s="622">
        <f t="shared" si="1222"/>
        <v>289572.65500000003</v>
      </c>
      <c r="AI816" s="633">
        <f>AH816*(1+VLOOKUP($F816,'GL Category'!$A:$H,7,FALSE))</f>
        <v>298259.83465000003</v>
      </c>
      <c r="AK816" s="622">
        <f t="shared" si="1223"/>
        <v>298259.83465000003</v>
      </c>
      <c r="AL816" s="633">
        <f>AK816*(1+VLOOKUP($F816,'GL Category'!$A:$H,8,FALSE))</f>
        <v>307207.62968950003</v>
      </c>
      <c r="AN816" s="622">
        <f t="shared" si="1224"/>
        <v>307207.62968950003</v>
      </c>
    </row>
    <row r="817" spans="1:59" s="115" customFormat="1" ht="15" customHeight="1">
      <c r="A817" s="555"/>
      <c r="B817" s="217"/>
      <c r="C817" s="217" t="s">
        <v>3131</v>
      </c>
      <c r="D817" s="101"/>
      <c r="E817" s="217"/>
      <c r="F817" s="556" t="s">
        <v>264</v>
      </c>
      <c r="G817" s="295" t="str">
        <f>VLOOKUP(F817,'GL Category'!A:C,3,FALSE)</f>
        <v>Services &amp; other</v>
      </c>
      <c r="H817" s="98" t="str">
        <f>VLOOKUP(F817,'GL Category'!A:C,2,FALSE)</f>
        <v>TRAVEL, TRAINING &amp; EDUCATION</v>
      </c>
      <c r="I817" s="99">
        <f>SUMIFS(I$1:I813,$C$1:$C813,$C817,$F$1:$F813,$F817)</f>
        <v>11171.4</v>
      </c>
      <c r="J817" s="99">
        <f>SUMIFS(J$1:J813,$C$1:$C813,$C817,$F$1:$F813,$F817)</f>
        <v>9520.68</v>
      </c>
      <c r="K817" s="99">
        <f>SUMIFS(K$1:K813,$C$1:$C813,$C817,$F$1:$F813,$F817)</f>
        <v>14329.13</v>
      </c>
      <c r="L817" s="99">
        <f>SUMIFS(L$1:L813,$C$1:$C813,$C817,$F$1:$F813,$F817)</f>
        <v>14378.66</v>
      </c>
      <c r="M817" s="99">
        <f>SUMIFS(M$1:M813,$C$1:$C813,$C817,$F$1:$F813,$F817)</f>
        <v>26500</v>
      </c>
      <c r="N817" s="99">
        <f>SUMIFS(N$1:N813,$C$1:$C813,$C817,$F$1:$F813,$F817)</f>
        <v>8564.33</v>
      </c>
      <c r="O817" s="99">
        <f>SUMIFS(O$1:O813,$C$1:$C813,$C817,$F$1:$F813,$F817)</f>
        <v>12500</v>
      </c>
      <c r="P817" s="99">
        <f t="shared" si="1210"/>
        <v>-14000</v>
      </c>
      <c r="Q817" s="99">
        <f>SUMIFS(Q$1:Q813,$C$1:$C813,$C817,$F$1:$F813,$F817)</f>
        <v>26500</v>
      </c>
      <c r="R817" s="99">
        <f>SUMIFS(R$1:R813,$C$1:$C813,$C817,$F$1:$F813,$F817)</f>
        <v>0</v>
      </c>
      <c r="S817" s="99">
        <f>SUMIFS(S$1:S813,$C$1:$C813,$C817,$F$1:$F813,$F817)</f>
        <v>0</v>
      </c>
      <c r="T817" s="99">
        <f>SUMIFS(T$1:T813,$C$1:$C813,$C817,$F$1:$F813,$F817)</f>
        <v>26500</v>
      </c>
      <c r="U817" s="99">
        <f t="shared" si="1211"/>
        <v>0</v>
      </c>
      <c r="V817" s="255">
        <f t="shared" si="1212"/>
        <v>0</v>
      </c>
      <c r="W817" s="102"/>
      <c r="X817" s="102"/>
      <c r="Y817" s="102">
        <f t="shared" si="1219"/>
        <v>26500</v>
      </c>
      <c r="Z817" s="309">
        <f>Y817*(1+VLOOKUP($F817,'GL Category'!$A:$H,4,FALSE))</f>
        <v>27295</v>
      </c>
      <c r="AA817" s="615"/>
      <c r="AB817" s="622">
        <f t="shared" si="1220"/>
        <v>27295</v>
      </c>
      <c r="AC817" s="633">
        <f>AB817*(1+VLOOKUP($F817,'GL Category'!$A:$H,5,FALSE))</f>
        <v>28113.850000000002</v>
      </c>
      <c r="AD817" s="307"/>
      <c r="AE817" s="622">
        <f t="shared" si="1221"/>
        <v>28113.850000000002</v>
      </c>
      <c r="AF817" s="633">
        <f>AE817*(1+VLOOKUP($F817,'GL Category'!$A:$H,6,FALSE))</f>
        <v>28957.265500000001</v>
      </c>
      <c r="AG817" s="307"/>
      <c r="AH817" s="622">
        <f t="shared" si="1222"/>
        <v>28957.265500000001</v>
      </c>
      <c r="AI817" s="633">
        <f>AH817*(1+VLOOKUP($F817,'GL Category'!$A:$H,7,FALSE))</f>
        <v>29825.983465000001</v>
      </c>
      <c r="AJ817" s="307"/>
      <c r="AK817" s="622">
        <f t="shared" si="1223"/>
        <v>29825.983465000001</v>
      </c>
      <c r="AL817" s="633">
        <f>AK817*(1+VLOOKUP($F817,'GL Category'!$A:$H,8,FALSE))</f>
        <v>30720.762968950003</v>
      </c>
      <c r="AM817" s="307"/>
      <c r="AN817" s="622">
        <f t="shared" si="1224"/>
        <v>30720.762968950003</v>
      </c>
      <c r="AO817" s="192"/>
      <c r="AP817" s="192"/>
      <c r="AQ817" s="192"/>
    </row>
    <row r="818" spans="1:59" s="115" customFormat="1" ht="15" customHeight="1">
      <c r="A818" s="555"/>
      <c r="B818" s="217"/>
      <c r="C818" s="217" t="s">
        <v>3131</v>
      </c>
      <c r="D818" s="101"/>
      <c r="E818" s="217"/>
      <c r="F818" s="294" t="s">
        <v>202</v>
      </c>
      <c r="G818" s="295" t="str">
        <f>VLOOKUP(F818,'GL Category'!A:C,3,FALSE)</f>
        <v>Services &amp; other</v>
      </c>
      <c r="H818" s="98" t="str">
        <f>VLOOKUP(F818,'GL Category'!A:C,2,FALSE)</f>
        <v>PRINTING &amp; BINDING SERVICES</v>
      </c>
      <c r="I818" s="99">
        <f>SUMIFS(I$1:I814,$C$1:$C814,$C818,$F$1:$F814,$F818)</f>
        <v>0</v>
      </c>
      <c r="J818" s="99">
        <f>SUMIFS(J$1:J814,$C$1:$C814,$C818,$F$1:$F814,$F818)</f>
        <v>0</v>
      </c>
      <c r="K818" s="99">
        <f>SUMIFS(K$1:K814,$C$1:$C814,$C818,$F$1:$F814,$F818)</f>
        <v>0</v>
      </c>
      <c r="L818" s="99">
        <f>SUMIFS(L$1:L814,$C$1:$C814,$C818,$F$1:$F814,$F818)</f>
        <v>0</v>
      </c>
      <c r="M818" s="99">
        <f>SUMIFS(M$1:M814,$C$1:$C814,$C818,$F$1:$F814,$F818)</f>
        <v>0</v>
      </c>
      <c r="N818" s="99">
        <f>SUMIFS(N$1:N814,$C$1:$C814,$C818,$F$1:$F814,$F818)</f>
        <v>0</v>
      </c>
      <c r="O818" s="99">
        <f>SUMIFS(O$1:O814,$C$1:$C814,$C818,$F$1:$F814,$F818)</f>
        <v>0</v>
      </c>
      <c r="P818" s="99">
        <f t="shared" si="1210"/>
        <v>0</v>
      </c>
      <c r="Q818" s="99">
        <f>SUMIFS(Q$1:Q814,$C$1:$C814,$C818,$F$1:$F814,$F818)</f>
        <v>0</v>
      </c>
      <c r="R818" s="99">
        <f>SUMIFS(R$1:R814,$C$1:$C814,$C818,$F$1:$F814,$F818)</f>
        <v>0</v>
      </c>
      <c r="S818" s="99">
        <f>SUMIFS(S$1:S814,$C$1:$C814,$C818,$F$1:$F814,$F818)</f>
        <v>0</v>
      </c>
      <c r="T818" s="99">
        <f>SUMIFS(T$1:T814,$C$1:$C814,$C818,$F$1:$F814,$F818)</f>
        <v>0</v>
      </c>
      <c r="U818" s="99">
        <f t="shared" si="1211"/>
        <v>0</v>
      </c>
      <c r="V818" s="255" t="str">
        <f t="shared" si="1212"/>
        <v>N/A</v>
      </c>
      <c r="W818" s="102"/>
      <c r="X818" s="102"/>
      <c r="Y818" s="102">
        <f t="shared" si="1219"/>
        <v>0</v>
      </c>
      <c r="Z818" s="309">
        <f>Y818*(1+VLOOKUP($F818,'GL Category'!$A:$H,4,FALSE))</f>
        <v>0</v>
      </c>
      <c r="AA818" s="615"/>
      <c r="AB818" s="622">
        <f t="shared" si="1220"/>
        <v>0</v>
      </c>
      <c r="AC818" s="633">
        <f>AB818*(1+VLOOKUP($F818,'GL Category'!$A:$H,5,FALSE))</f>
        <v>0</v>
      </c>
      <c r="AD818" s="307"/>
      <c r="AE818" s="622">
        <f t="shared" si="1221"/>
        <v>0</v>
      </c>
      <c r="AF818" s="633">
        <f>AE818*(1+VLOOKUP($F818,'GL Category'!$A:$H,6,FALSE))</f>
        <v>0</v>
      </c>
      <c r="AG818" s="307"/>
      <c r="AH818" s="622">
        <f t="shared" si="1222"/>
        <v>0</v>
      </c>
      <c r="AI818" s="633">
        <f>AH818*(1+VLOOKUP($F818,'GL Category'!$A:$H,7,FALSE))</f>
        <v>0</v>
      </c>
      <c r="AJ818" s="307"/>
      <c r="AK818" s="622">
        <f t="shared" si="1223"/>
        <v>0</v>
      </c>
      <c r="AL818" s="633">
        <f>AK818*(1+VLOOKUP($F818,'GL Category'!$A:$H,8,FALSE))</f>
        <v>0</v>
      </c>
      <c r="AM818" s="307"/>
      <c r="AN818" s="622">
        <f t="shared" si="1224"/>
        <v>0</v>
      </c>
      <c r="AO818" s="192"/>
      <c r="AP818" s="192"/>
      <c r="AQ818" s="192"/>
    </row>
    <row r="819" spans="1:59" ht="15" customHeight="1">
      <c r="A819" s="555"/>
      <c r="B819" s="217"/>
      <c r="C819" s="217" t="s">
        <v>3131</v>
      </c>
      <c r="D819" s="101"/>
      <c r="E819" s="217"/>
      <c r="F819" s="294" t="s">
        <v>204</v>
      </c>
      <c r="G819" s="295" t="str">
        <f>VLOOKUP(F819,'GL Category'!A:C,3,FALSE)</f>
        <v>Services &amp; other</v>
      </c>
      <c r="H819" s="98" t="str">
        <f>VLOOKUP(F819,'GL Category'!A:C,2,FALSE)</f>
        <v>BAD DEBT EXPENSE</v>
      </c>
      <c r="I819" s="99">
        <f>SUMIFS(I$1:I815,$C$1:$C815,$C819,$F$1:$F815,$F819)</f>
        <v>0</v>
      </c>
      <c r="J819" s="99">
        <f>SUMIFS(J$1:J815,$C$1:$C815,$C819,$F$1:$F815,$F819)</f>
        <v>0</v>
      </c>
      <c r="K819" s="99">
        <f>SUMIFS(K$1:K815,$C$1:$C815,$C819,$F$1:$F815,$F819)</f>
        <v>0</v>
      </c>
      <c r="L819" s="99">
        <f>SUMIFS(L$1:L815,$C$1:$C815,$C819,$F$1:$F815,$F819)</f>
        <v>0</v>
      </c>
      <c r="M819" s="99">
        <f>SUMIFS(M$1:M815,$C$1:$C815,$C819,$F$1:$F815,$F819)</f>
        <v>0</v>
      </c>
      <c r="N819" s="99">
        <f>SUMIFS(N$1:N815,$C$1:$C815,$C819,$F$1:$F815,$F819)</f>
        <v>0</v>
      </c>
      <c r="O819" s="99">
        <f>SUMIFS(O$1:O815,$C$1:$C815,$C819,$F$1:$F815,$F819)</f>
        <v>0</v>
      </c>
      <c r="P819" s="99">
        <f t="shared" si="1210"/>
        <v>0</v>
      </c>
      <c r="Q819" s="99">
        <f>SUMIFS(Q$1:Q815,$C$1:$C815,$C819,$F$1:$F815,$F819)</f>
        <v>0</v>
      </c>
      <c r="R819" s="99">
        <f>SUMIFS(R$1:R815,$C$1:$C815,$C819,$F$1:$F815,$F819)</f>
        <v>0</v>
      </c>
      <c r="S819" s="99">
        <f>SUMIFS(S$1:S815,$C$1:$C815,$C819,$F$1:$F815,$F819)</f>
        <v>0</v>
      </c>
      <c r="T819" s="99">
        <f>SUMIFS(T$1:T815,$C$1:$C815,$C819,$F$1:$F815,$F819)</f>
        <v>0</v>
      </c>
      <c r="U819" s="99">
        <f t="shared" si="1211"/>
        <v>0</v>
      </c>
      <c r="V819" s="255" t="str">
        <f t="shared" si="1212"/>
        <v>N/A</v>
      </c>
      <c r="W819" s="102"/>
      <c r="X819" s="102"/>
      <c r="Y819" s="102">
        <f t="shared" si="1219"/>
        <v>0</v>
      </c>
      <c r="Z819" s="309">
        <f>Y819*(1+VLOOKUP($F819,'GL Category'!$A:$H,4,FALSE))</f>
        <v>0</v>
      </c>
      <c r="AA819" s="615"/>
      <c r="AB819" s="622">
        <f t="shared" si="1220"/>
        <v>0</v>
      </c>
      <c r="AC819" s="633">
        <f>AB819*(1+VLOOKUP($F819,'GL Category'!$A:$H,5,FALSE))</f>
        <v>0</v>
      </c>
      <c r="AE819" s="622">
        <f t="shared" si="1221"/>
        <v>0</v>
      </c>
      <c r="AF819" s="633">
        <f>AE819*(1+VLOOKUP($F819,'GL Category'!$A:$H,6,FALSE))</f>
        <v>0</v>
      </c>
      <c r="AH819" s="622">
        <f t="shared" si="1222"/>
        <v>0</v>
      </c>
      <c r="AI819" s="633">
        <f>AH819*(1+VLOOKUP($F819,'GL Category'!$A:$H,7,FALSE))</f>
        <v>0</v>
      </c>
      <c r="AK819" s="622">
        <f t="shared" si="1223"/>
        <v>0</v>
      </c>
      <c r="AL819" s="633">
        <f>AK819*(1+VLOOKUP($F819,'GL Category'!$A:$H,8,FALSE))</f>
        <v>0</v>
      </c>
      <c r="AN819" s="622">
        <f t="shared" si="1224"/>
        <v>0</v>
      </c>
    </row>
    <row r="820" spans="1:59" ht="15" customHeight="1">
      <c r="A820" s="555"/>
      <c r="B820" s="217"/>
      <c r="C820" s="217" t="s">
        <v>3131</v>
      </c>
      <c r="D820" s="101"/>
      <c r="E820" s="217"/>
      <c r="F820" s="294" t="s">
        <v>206</v>
      </c>
      <c r="G820" s="295" t="str">
        <f>VLOOKUP(F820,'GL Category'!A:C,3,FALSE)</f>
        <v>Services &amp; other</v>
      </c>
      <c r="H820" s="98" t="str">
        <f>VLOOKUP(F820,'GL Category'!A:C,2,FALSE)</f>
        <v>FREIGHT &amp; EXPRESS SERVICES</v>
      </c>
      <c r="I820" s="99">
        <f>SUMIFS(I$1:I815,$C$1:$C815,$C820,$F$1:$F815,$F820)</f>
        <v>0</v>
      </c>
      <c r="J820" s="99">
        <f>SUMIFS(J$1:J815,$C$1:$C815,$C820,$F$1:$F815,$F820)</f>
        <v>0</v>
      </c>
      <c r="K820" s="99">
        <f>SUMIFS(K$1:K815,$C$1:$C815,$C820,$F$1:$F815,$F820)</f>
        <v>0</v>
      </c>
      <c r="L820" s="99">
        <f>SUMIFS(L$1:L815,$C$1:$C815,$C820,$F$1:$F815,$F820)</f>
        <v>0</v>
      </c>
      <c r="M820" s="99">
        <f>SUMIFS(M$1:M815,$C$1:$C815,$C820,$F$1:$F815,$F820)</f>
        <v>0</v>
      </c>
      <c r="N820" s="99">
        <f>SUMIFS(N$1:N815,$C$1:$C815,$C820,$F$1:$F815,$F820)</f>
        <v>0</v>
      </c>
      <c r="O820" s="99">
        <f>SUMIFS(O$1:O815,$C$1:$C815,$C820,$F$1:$F815,$F820)</f>
        <v>0</v>
      </c>
      <c r="P820" s="99">
        <f t="shared" si="1210"/>
        <v>0</v>
      </c>
      <c r="Q820" s="99">
        <f>SUMIFS(Q$1:Q815,$C$1:$C815,$C820,$F$1:$F815,$F820)</f>
        <v>0</v>
      </c>
      <c r="R820" s="99">
        <f>SUMIFS(R$1:R815,$C$1:$C815,$C820,$F$1:$F815,$F820)</f>
        <v>0</v>
      </c>
      <c r="S820" s="99">
        <f>SUMIFS(S$1:S815,$C$1:$C815,$C820,$F$1:$F815,$F820)</f>
        <v>0</v>
      </c>
      <c r="T820" s="99">
        <f>SUMIFS(T$1:T815,$C$1:$C815,$C820,$F$1:$F815,$F820)</f>
        <v>0</v>
      </c>
      <c r="U820" s="99">
        <f t="shared" si="1211"/>
        <v>0</v>
      </c>
      <c r="V820" s="255" t="str">
        <f t="shared" si="1212"/>
        <v>N/A</v>
      </c>
      <c r="W820" s="102"/>
      <c r="X820" s="102"/>
      <c r="Y820" s="102">
        <f t="shared" si="1219"/>
        <v>0</v>
      </c>
      <c r="Z820" s="309">
        <f>Y820*(1+VLOOKUP($F820,'GL Category'!$A:$H,4,FALSE))</f>
        <v>0</v>
      </c>
      <c r="AA820" s="615"/>
      <c r="AB820" s="622">
        <f t="shared" si="1220"/>
        <v>0</v>
      </c>
      <c r="AC820" s="633">
        <f>AB820*(1+VLOOKUP($F820,'GL Category'!$A:$H,5,FALSE))</f>
        <v>0</v>
      </c>
      <c r="AE820" s="622">
        <f t="shared" si="1221"/>
        <v>0</v>
      </c>
      <c r="AF820" s="633">
        <f>AE820*(1+VLOOKUP($F820,'GL Category'!$A:$H,6,FALSE))</f>
        <v>0</v>
      </c>
      <c r="AH820" s="622">
        <f t="shared" si="1222"/>
        <v>0</v>
      </c>
      <c r="AI820" s="633">
        <f>AH820*(1+VLOOKUP($F820,'GL Category'!$A:$H,7,FALSE))</f>
        <v>0</v>
      </c>
      <c r="AK820" s="622">
        <f t="shared" si="1223"/>
        <v>0</v>
      </c>
      <c r="AL820" s="633">
        <f>AK820*(1+VLOOKUP($F820,'GL Category'!$A:$H,8,FALSE))</f>
        <v>0</v>
      </c>
      <c r="AN820" s="622">
        <f t="shared" si="1224"/>
        <v>0</v>
      </c>
    </row>
    <row r="821" spans="1:59" ht="15" customHeight="1">
      <c r="A821" s="555"/>
      <c r="B821" s="217"/>
      <c r="C821" s="217" t="s">
        <v>3131</v>
      </c>
      <c r="D821" s="101"/>
      <c r="E821" s="217"/>
      <c r="F821" s="294" t="s">
        <v>208</v>
      </c>
      <c r="G821" s="295" t="str">
        <f>VLOOKUP(F821,'GL Category'!A:C,3,FALSE)</f>
        <v>Services &amp; other</v>
      </c>
      <c r="H821" s="98" t="str">
        <f>VLOOKUP(F821,'GL Category'!A:C,2,FALSE)</f>
        <v>GENERAL INSURANCE</v>
      </c>
      <c r="I821" s="99">
        <f>SUMIFS(I$1:I816,$C$1:$C816,$C821,$F$1:$F816,$F821)</f>
        <v>0</v>
      </c>
      <c r="J821" s="99">
        <f>SUMIFS(J$1:J816,$C$1:$C816,$C821,$F$1:$F816,$F821)</f>
        <v>0</v>
      </c>
      <c r="K821" s="99">
        <f>SUMIFS(K$1:K816,$C$1:$C816,$C821,$F$1:$F816,$F821)</f>
        <v>0</v>
      </c>
      <c r="L821" s="99">
        <f>SUMIFS(L$1:L816,$C$1:$C816,$C821,$F$1:$F816,$F821)</f>
        <v>0</v>
      </c>
      <c r="M821" s="99">
        <f>SUMIFS(M$1:M816,$C$1:$C816,$C821,$F$1:$F816,$F821)</f>
        <v>0</v>
      </c>
      <c r="N821" s="99">
        <f>SUMIFS(N$1:N816,$C$1:$C816,$C821,$F$1:$F816,$F821)</f>
        <v>0</v>
      </c>
      <c r="O821" s="99">
        <f>SUMIFS(O$1:O816,$C$1:$C816,$C821,$F$1:$F816,$F821)</f>
        <v>0</v>
      </c>
      <c r="P821" s="99">
        <f t="shared" si="1210"/>
        <v>0</v>
      </c>
      <c r="Q821" s="99">
        <f>SUMIFS(Q$1:Q816,$C$1:$C816,$C821,$F$1:$F816,$F821)</f>
        <v>0</v>
      </c>
      <c r="R821" s="99">
        <f>SUMIFS(R$1:R816,$C$1:$C816,$C821,$F$1:$F816,$F821)</f>
        <v>0</v>
      </c>
      <c r="S821" s="99">
        <f>SUMIFS(S$1:S816,$C$1:$C816,$C821,$F$1:$F816,$F821)</f>
        <v>0</v>
      </c>
      <c r="T821" s="99">
        <f>SUMIFS(T$1:T816,$C$1:$C816,$C821,$F$1:$F816,$F821)</f>
        <v>0</v>
      </c>
      <c r="U821" s="99">
        <f t="shared" si="1211"/>
        <v>0</v>
      </c>
      <c r="V821" s="255" t="str">
        <f t="shared" si="1212"/>
        <v>N/A</v>
      </c>
      <c r="W821" s="102"/>
      <c r="X821" s="102"/>
      <c r="Y821" s="102">
        <f t="shared" si="1219"/>
        <v>0</v>
      </c>
      <c r="Z821" s="309">
        <f>Y821*(1+VLOOKUP($F821,'GL Category'!$A:$H,4,FALSE))</f>
        <v>0</v>
      </c>
      <c r="AA821" s="615"/>
      <c r="AB821" s="622">
        <f t="shared" si="1220"/>
        <v>0</v>
      </c>
      <c r="AC821" s="633">
        <f>AB821*(1+VLOOKUP($F821,'GL Category'!$A:$H,5,FALSE))</f>
        <v>0</v>
      </c>
      <c r="AE821" s="622">
        <f t="shared" si="1221"/>
        <v>0</v>
      </c>
      <c r="AF821" s="633">
        <f>AE821*(1+VLOOKUP($F821,'GL Category'!$A:$H,6,FALSE))</f>
        <v>0</v>
      </c>
      <c r="AH821" s="622">
        <f t="shared" si="1222"/>
        <v>0</v>
      </c>
      <c r="AI821" s="633">
        <f>AH821*(1+VLOOKUP($F821,'GL Category'!$A:$H,7,FALSE))</f>
        <v>0</v>
      </c>
      <c r="AK821" s="622">
        <f t="shared" si="1223"/>
        <v>0</v>
      </c>
      <c r="AL821" s="633">
        <f>AK821*(1+VLOOKUP($F821,'GL Category'!$A:$H,8,FALSE))</f>
        <v>0</v>
      </c>
      <c r="AN821" s="622">
        <f t="shared" si="1224"/>
        <v>0</v>
      </c>
    </row>
    <row r="822" spans="1:59" ht="15" customHeight="1">
      <c r="A822" s="555"/>
      <c r="B822" s="217"/>
      <c r="C822" s="217" t="s">
        <v>3131</v>
      </c>
      <c r="D822" s="101"/>
      <c r="E822" s="217"/>
      <c r="F822" s="294" t="s">
        <v>210</v>
      </c>
      <c r="G822" s="295" t="str">
        <f>VLOOKUP(F822,'GL Category'!A:C,3,FALSE)</f>
        <v>Services &amp; other</v>
      </c>
      <c r="H822" s="98" t="str">
        <f>VLOOKUP(F822,'GL Category'!A:C,2,FALSE)</f>
        <v>TELEPHONE/COMMUNICATIONS</v>
      </c>
      <c r="I822" s="99">
        <f>SUMIFS(I$1:I817,$C$1:$C817,$C822,$F$1:$F817,$F822)</f>
        <v>0</v>
      </c>
      <c r="J822" s="99">
        <f>SUMIFS(J$1:J817,$C$1:$C817,$C822,$F$1:$F817,$F822)</f>
        <v>0</v>
      </c>
      <c r="K822" s="99">
        <f>SUMIFS(K$1:K817,$C$1:$C817,$C822,$F$1:$F817,$F822)</f>
        <v>0</v>
      </c>
      <c r="L822" s="99">
        <f>SUMIFS(L$1:L817,$C$1:$C817,$C822,$F$1:$F817,$F822)</f>
        <v>0</v>
      </c>
      <c r="M822" s="99">
        <f>SUMIFS(M$1:M817,$C$1:$C817,$C822,$F$1:$F817,$F822)</f>
        <v>0</v>
      </c>
      <c r="N822" s="99">
        <f>SUMIFS(N$1:N817,$C$1:$C817,$C822,$F$1:$F817,$F822)</f>
        <v>0</v>
      </c>
      <c r="O822" s="99">
        <f>SUMIFS(O$1:O817,$C$1:$C817,$C822,$F$1:$F817,$F822)</f>
        <v>0</v>
      </c>
      <c r="P822" s="99">
        <f t="shared" si="1210"/>
        <v>0</v>
      </c>
      <c r="Q822" s="99">
        <f>SUMIFS(Q$1:Q817,$C$1:$C817,$C822,$F$1:$F817,$F822)</f>
        <v>0</v>
      </c>
      <c r="R822" s="99">
        <f>SUMIFS(R$1:R817,$C$1:$C817,$C822,$F$1:$F817,$F822)</f>
        <v>0</v>
      </c>
      <c r="S822" s="99">
        <f>SUMIFS(S$1:S817,$C$1:$C817,$C822,$F$1:$F817,$F822)</f>
        <v>0</v>
      </c>
      <c r="T822" s="99">
        <f>SUMIFS(T$1:T817,$C$1:$C817,$C822,$F$1:$F817,$F822)</f>
        <v>0</v>
      </c>
      <c r="U822" s="99">
        <f t="shared" si="1211"/>
        <v>0</v>
      </c>
      <c r="V822" s="255" t="str">
        <f t="shared" si="1212"/>
        <v>N/A</v>
      </c>
      <c r="W822" s="102"/>
      <c r="X822" s="102"/>
      <c r="Y822" s="102">
        <f t="shared" si="1219"/>
        <v>0</v>
      </c>
      <c r="Z822" s="309">
        <f>Y822*(1+VLOOKUP($F822,'GL Category'!$A:$H,4,FALSE))</f>
        <v>0</v>
      </c>
      <c r="AA822" s="615"/>
      <c r="AB822" s="622">
        <f t="shared" si="1220"/>
        <v>0</v>
      </c>
      <c r="AC822" s="633">
        <f>AB822*(1+VLOOKUP($F822,'GL Category'!$A:$H,5,FALSE))</f>
        <v>0</v>
      </c>
      <c r="AE822" s="622">
        <f t="shared" si="1221"/>
        <v>0</v>
      </c>
      <c r="AF822" s="633">
        <f>AE822*(1+VLOOKUP($F822,'GL Category'!$A:$H,6,FALSE))</f>
        <v>0</v>
      </c>
      <c r="AH822" s="622">
        <f t="shared" si="1222"/>
        <v>0</v>
      </c>
      <c r="AI822" s="633">
        <f>AH822*(1+VLOOKUP($F822,'GL Category'!$A:$H,7,FALSE))</f>
        <v>0</v>
      </c>
      <c r="AK822" s="622">
        <f t="shared" si="1223"/>
        <v>0</v>
      </c>
      <c r="AL822" s="633">
        <f>AK822*(1+VLOOKUP($F822,'GL Category'!$A:$H,8,FALSE))</f>
        <v>0</v>
      </c>
      <c r="AN822" s="622">
        <f t="shared" si="1224"/>
        <v>0</v>
      </c>
    </row>
    <row r="823" spans="1:59" ht="15" customHeight="1">
      <c r="A823" s="555"/>
      <c r="B823" s="217"/>
      <c r="C823" s="217" t="s">
        <v>3131</v>
      </c>
      <c r="D823" s="101"/>
      <c r="E823" s="217"/>
      <c r="F823" s="294" t="s">
        <v>218</v>
      </c>
      <c r="G823" s="295" t="str">
        <f>VLOOKUP(F823,'GL Category'!A:C,3,FALSE)</f>
        <v>Services &amp; other</v>
      </c>
      <c r="H823" s="98" t="str">
        <f>VLOOKUP(F823,'GL Category'!A:C,2,FALSE)</f>
        <v>BANKING SERVICES CHARGES</v>
      </c>
      <c r="I823" s="99">
        <f>SUMIFS(I$1:I818,$C$1:$C818,$C823,$F$1:$F818,$F823)</f>
        <v>12815.63</v>
      </c>
      <c r="J823" s="99">
        <f>SUMIFS(J$1:J818,$C$1:$C818,$C823,$F$1:$F818,$F823)</f>
        <v>28429.64</v>
      </c>
      <c r="K823" s="99">
        <f>SUMIFS(K$1:K818,$C$1:$C818,$C823,$F$1:$F818,$F823)</f>
        <v>32859.31</v>
      </c>
      <c r="L823" s="99">
        <f>SUMIFS(L$1:L818,$C$1:$C818,$C823,$F$1:$F818,$F823)</f>
        <v>30348.81</v>
      </c>
      <c r="M823" s="99">
        <f>SUMIFS(M$1:M818,$C$1:$C818,$C823,$F$1:$F818,$F823)</f>
        <v>35000</v>
      </c>
      <c r="N823" s="99">
        <f>SUMIFS(N$1:N818,$C$1:$C818,$C823,$F$1:$F818,$F823)</f>
        <v>33203.43</v>
      </c>
      <c r="O823" s="99">
        <f>SUMIFS(O$1:O818,$C$1:$C818,$C823,$F$1:$F818,$F823)</f>
        <v>35000</v>
      </c>
      <c r="P823" s="99">
        <f t="shared" si="1210"/>
        <v>0</v>
      </c>
      <c r="Q823" s="99">
        <f>SUMIFS(Q$1:Q818,$C$1:$C818,$C823,$F$1:$F818,$F823)</f>
        <v>35000</v>
      </c>
      <c r="R823" s="99">
        <f>SUMIFS(R$1:R818,$C$1:$C818,$C823,$F$1:$F818,$F823)</f>
        <v>0</v>
      </c>
      <c r="S823" s="99">
        <f>SUMIFS(S$1:S818,$C$1:$C818,$C823,$F$1:$F818,$F823)</f>
        <v>0</v>
      </c>
      <c r="T823" s="99">
        <f>SUMIFS(T$1:T818,$C$1:$C818,$C823,$F$1:$F818,$F823)</f>
        <v>35000</v>
      </c>
      <c r="U823" s="99">
        <f t="shared" si="1211"/>
        <v>0</v>
      </c>
      <c r="V823" s="255">
        <f t="shared" si="1212"/>
        <v>0</v>
      </c>
      <c r="W823" s="102"/>
      <c r="X823" s="102"/>
      <c r="Y823" s="102">
        <f t="shared" si="1219"/>
        <v>35000</v>
      </c>
      <c r="Z823" s="309">
        <f>Y823*(1+VLOOKUP($F823,'GL Category'!$A:$H,4,FALSE))</f>
        <v>36050</v>
      </c>
      <c r="AA823" s="615"/>
      <c r="AB823" s="622">
        <f t="shared" si="1220"/>
        <v>36050</v>
      </c>
      <c r="AC823" s="633">
        <f>AB823*(1+VLOOKUP($F823,'GL Category'!$A:$H,5,FALSE))</f>
        <v>37131.5</v>
      </c>
      <c r="AE823" s="622">
        <f t="shared" si="1221"/>
        <v>37131.5</v>
      </c>
      <c r="AF823" s="633">
        <f>AE823*(1+VLOOKUP($F823,'GL Category'!$A:$H,6,FALSE))</f>
        <v>38245.445</v>
      </c>
      <c r="AH823" s="622">
        <f t="shared" si="1222"/>
        <v>38245.445</v>
      </c>
      <c r="AI823" s="633">
        <f>AH823*(1+VLOOKUP($F823,'GL Category'!$A:$H,7,FALSE))</f>
        <v>39392.808349999999</v>
      </c>
      <c r="AK823" s="622">
        <f t="shared" si="1223"/>
        <v>39392.808349999999</v>
      </c>
      <c r="AL823" s="633">
        <f>AK823*(1+VLOOKUP($F823,'GL Category'!$A:$H,8,FALSE))</f>
        <v>40574.5926005</v>
      </c>
      <c r="AN823" s="622">
        <f t="shared" si="1224"/>
        <v>40574.5926005</v>
      </c>
      <c r="AO823" s="307"/>
      <c r="AP823" s="307"/>
    </row>
    <row r="824" spans="1:59" s="75" customFormat="1" ht="15" customHeight="1">
      <c r="A824" s="555"/>
      <c r="B824" s="217"/>
      <c r="C824" s="217" t="s">
        <v>3131</v>
      </c>
      <c r="D824" s="101"/>
      <c r="E824" s="217"/>
      <c r="F824" s="556" t="s">
        <v>3124</v>
      </c>
      <c r="G824" s="295" t="str">
        <f>VLOOKUP(F824,'GL Category'!A:C,3,FALSE)</f>
        <v>Services &amp; other</v>
      </c>
      <c r="H824" s="98" t="str">
        <f>VLOOKUP(F824,'GL Category'!A:C,2,FALSE)</f>
        <v>VEHICLE/EQUIP LEASE EXP-CITY</v>
      </c>
      <c r="I824" s="99">
        <f>SUMIFS(I$1:I819,$C$1:$C819,$C824,$F$1:$F819,$F824)</f>
        <v>11062</v>
      </c>
      <c r="J824" s="99">
        <f>SUMIFS(J$1:J819,$C$1:$C819,$C824,$F$1:$F819,$F824)</f>
        <v>15650</v>
      </c>
      <c r="K824" s="99">
        <f>SUMIFS(K$1:K819,$C$1:$C819,$C824,$F$1:$F819,$F824)</f>
        <v>15430</v>
      </c>
      <c r="L824" s="99">
        <f>SUMIFS(L$1:L819,$C$1:$C819,$C824,$F$1:$F819,$F824)</f>
        <v>19070</v>
      </c>
      <c r="M824" s="99">
        <f>SUMIFS(M$1:M819,$C$1:$C819,$C824,$F$1:$F819,$F824)</f>
        <v>22490</v>
      </c>
      <c r="N824" s="99">
        <f>SUMIFS(N$1:N819,$C$1:$C819,$C824,$F$1:$F819,$F824)</f>
        <v>16867.5</v>
      </c>
      <c r="O824" s="99">
        <f>SUMIFS(O$1:O819,$C$1:$C819,$C824,$F$1:$F819,$F824)</f>
        <v>22490</v>
      </c>
      <c r="P824" s="99">
        <f t="shared" si="1210"/>
        <v>0</v>
      </c>
      <c r="Q824" s="99">
        <f>SUMIFS(Q$1:Q819,$C$1:$C819,$C824,$F$1:$F819,$F824)</f>
        <v>23298</v>
      </c>
      <c r="R824" s="99">
        <f>SUMIFS(R$1:R819,$C$1:$C819,$C824,$F$1:$F819,$F824)</f>
        <v>0</v>
      </c>
      <c r="S824" s="99">
        <f>SUMIFS(S$1:S819,$C$1:$C819,$C824,$F$1:$F819,$F824)</f>
        <v>0</v>
      </c>
      <c r="T824" s="99">
        <f>SUMIFS(T$1:T819,$C$1:$C819,$C824,$F$1:$F819,$F824)</f>
        <v>23298</v>
      </c>
      <c r="U824" s="99">
        <f t="shared" si="1211"/>
        <v>808</v>
      </c>
      <c r="V824" s="255">
        <f t="shared" si="1212"/>
        <v>3.5927078701645243E-2</v>
      </c>
      <c r="W824" s="102"/>
      <c r="X824" s="102"/>
      <c r="Y824" s="102">
        <f t="shared" si="1219"/>
        <v>23298</v>
      </c>
      <c r="Z824" s="309">
        <f>Y824*(1+VLOOKUP($F824,'GL Category'!$A:$H,4,FALSE))</f>
        <v>23996.940000000002</v>
      </c>
      <c r="AA824" s="615"/>
      <c r="AB824" s="622">
        <f t="shared" si="1220"/>
        <v>23996.940000000002</v>
      </c>
      <c r="AC824" s="633">
        <f>AB824*(1+VLOOKUP($F824,'GL Category'!$A:$H,5,FALSE))</f>
        <v>24716.848200000004</v>
      </c>
      <c r="AD824" s="307"/>
      <c r="AE824" s="622">
        <f t="shared" si="1221"/>
        <v>24716.848200000004</v>
      </c>
      <c r="AF824" s="633">
        <f>AE824*(1+VLOOKUP($F824,'GL Category'!$A:$H,6,FALSE))</f>
        <v>25458.353646000003</v>
      </c>
      <c r="AG824" s="307"/>
      <c r="AH824" s="622">
        <f t="shared" si="1222"/>
        <v>25458.353646000003</v>
      </c>
      <c r="AI824" s="633">
        <f>AH824*(1+VLOOKUP($F824,'GL Category'!$A:$H,7,FALSE))</f>
        <v>26222.104255380003</v>
      </c>
      <c r="AJ824" s="307"/>
      <c r="AK824" s="622">
        <f t="shared" si="1223"/>
        <v>26222.104255380003</v>
      </c>
      <c r="AL824" s="633">
        <f>AK824*(1+VLOOKUP($F824,'GL Category'!$A:$H,8,FALSE))</f>
        <v>27008.767383041406</v>
      </c>
      <c r="AM824" s="307"/>
      <c r="AN824" s="622">
        <f t="shared" si="1224"/>
        <v>27008.767383041406</v>
      </c>
      <c r="AO824" s="626"/>
      <c r="AP824" s="626"/>
      <c r="AQ824" s="626"/>
      <c r="AR824" s="115"/>
      <c r="AS824" s="115"/>
      <c r="AT824" s="115"/>
      <c r="AU824" s="115"/>
      <c r="AV824" s="115"/>
      <c r="AW824" s="115"/>
      <c r="AX824" s="115"/>
      <c r="AY824" s="115"/>
      <c r="AZ824" s="115"/>
      <c r="BA824" s="115"/>
      <c r="BB824" s="115"/>
      <c r="BC824" s="115"/>
      <c r="BD824" s="115"/>
      <c r="BE824" s="74"/>
      <c r="BF824" s="74"/>
      <c r="BG824" s="74"/>
    </row>
    <row r="825" spans="1:59" s="75" customFormat="1" ht="15" customHeight="1">
      <c r="A825" s="555"/>
      <c r="B825" s="217"/>
      <c r="C825" s="217" t="s">
        <v>3131</v>
      </c>
      <c r="D825" s="101"/>
      <c r="E825" s="217"/>
      <c r="F825" s="556" t="s">
        <v>3122</v>
      </c>
      <c r="G825" s="295" t="str">
        <f>VLOOKUP(F825,'GL Category'!A:C,3,FALSE)</f>
        <v>Services &amp; other</v>
      </c>
      <c r="H825" s="98" t="str">
        <f>VLOOKUP(F825,'GL Category'!A:C,2,FALSE)</f>
        <v>OFFICE EQUIP LEASE EXP-CITY</v>
      </c>
      <c r="I825" s="99">
        <f>SUMIFS(I$1:I820,$C$1:$C820,$C825,$F$1:$F820,$F825)</f>
        <v>109753</v>
      </c>
      <c r="J825" s="99">
        <f>SUMIFS(J$1:J820,$C$1:$C820,$C825,$F$1:$F820,$F825)</f>
        <v>122709</v>
      </c>
      <c r="K825" s="99">
        <f>SUMIFS(K$1:K820,$C$1:$C820,$C825,$F$1:$F820,$F825)</f>
        <v>190377</v>
      </c>
      <c r="L825" s="99">
        <f>SUMIFS(L$1:L820,$C$1:$C820,$C825,$F$1:$F820,$F825)</f>
        <v>377587</v>
      </c>
      <c r="M825" s="99">
        <f>SUMIFS(M$1:M820,$C$1:$C820,$C825,$F$1:$F820,$F825)</f>
        <v>313790</v>
      </c>
      <c r="N825" s="99">
        <f>SUMIFS(N$1:N820,$C$1:$C820,$C825,$F$1:$F820,$F825)</f>
        <v>235342.5</v>
      </c>
      <c r="O825" s="99">
        <f>SUMIFS(O$1:O820,$C$1:$C820,$C825,$F$1:$F820,$F825)</f>
        <v>313790</v>
      </c>
      <c r="P825" s="99">
        <f t="shared" si="1210"/>
        <v>0</v>
      </c>
      <c r="Q825" s="99">
        <f>SUMIFS(Q$1:Q820,$C$1:$C820,$C825,$F$1:$F820,$F825)</f>
        <v>318440</v>
      </c>
      <c r="R825" s="99">
        <f>SUMIFS(R$1:R820,$C$1:$C820,$C825,$F$1:$F820,$F825)</f>
        <v>0</v>
      </c>
      <c r="S825" s="99">
        <f>SUMIFS(S$1:S820,$C$1:$C820,$C825,$F$1:$F820,$F825)</f>
        <v>0</v>
      </c>
      <c r="T825" s="99">
        <f>SUMIFS(T$1:T820,$C$1:$C820,$C825,$F$1:$F820,$F825)</f>
        <v>318440</v>
      </c>
      <c r="U825" s="99">
        <f t="shared" si="1211"/>
        <v>4650</v>
      </c>
      <c r="V825" s="255">
        <f t="shared" si="1212"/>
        <v>1.4818827878517515E-2</v>
      </c>
      <c r="W825" s="102"/>
      <c r="X825" s="102"/>
      <c r="Y825" s="102">
        <f t="shared" si="1219"/>
        <v>318440</v>
      </c>
      <c r="Z825" s="309">
        <f>Y825*(1+VLOOKUP($F825,'GL Category'!$A:$H,4,FALSE))</f>
        <v>327993.2</v>
      </c>
      <c r="AA825" s="615"/>
      <c r="AB825" s="622">
        <f t="shared" si="1220"/>
        <v>327993.2</v>
      </c>
      <c r="AC825" s="633">
        <f>AB825*(1+VLOOKUP($F825,'GL Category'!$A:$H,5,FALSE))</f>
        <v>337832.99600000004</v>
      </c>
      <c r="AD825" s="307"/>
      <c r="AE825" s="622">
        <f t="shared" si="1221"/>
        <v>337832.99600000004</v>
      </c>
      <c r="AF825" s="633">
        <f>AE825*(1+VLOOKUP($F825,'GL Category'!$A:$H,6,FALSE))</f>
        <v>347967.98588000005</v>
      </c>
      <c r="AG825" s="307"/>
      <c r="AH825" s="622">
        <f t="shared" si="1222"/>
        <v>347967.98588000005</v>
      </c>
      <c r="AI825" s="633">
        <f>AH825*(1+VLOOKUP($F825,'GL Category'!$A:$H,7,FALSE))</f>
        <v>358407.02545640006</v>
      </c>
      <c r="AJ825" s="307"/>
      <c r="AK825" s="622">
        <f t="shared" si="1223"/>
        <v>358407.02545640006</v>
      </c>
      <c r="AL825" s="633">
        <f>AK825*(1+VLOOKUP($F825,'GL Category'!$A:$H,8,FALSE))</f>
        <v>369159.23622009205</v>
      </c>
      <c r="AM825" s="307"/>
      <c r="AN825" s="622">
        <f t="shared" si="1224"/>
        <v>369159.23622009205</v>
      </c>
      <c r="AO825" s="626"/>
      <c r="AP825" s="626"/>
      <c r="AQ825" s="626"/>
      <c r="AR825" s="115"/>
      <c r="AS825" s="115"/>
      <c r="AT825" s="115"/>
      <c r="AU825" s="115"/>
      <c r="AV825" s="115"/>
      <c r="AW825" s="115"/>
      <c r="AX825" s="115"/>
      <c r="AY825" s="115"/>
      <c r="AZ825" s="115"/>
      <c r="BA825" s="115"/>
      <c r="BB825" s="115"/>
      <c r="BC825" s="115"/>
      <c r="BD825" s="115"/>
      <c r="BE825" s="74"/>
      <c r="BF825" s="74"/>
      <c r="BG825" s="74"/>
    </row>
    <row r="826" spans="1:59" ht="15" customHeight="1">
      <c r="A826" s="555"/>
      <c r="B826" s="217"/>
      <c r="C826" s="217" t="s">
        <v>3131</v>
      </c>
      <c r="D826" s="101"/>
      <c r="E826" s="217"/>
      <c r="F826" s="294"/>
      <c r="G826" s="295"/>
      <c r="H826" s="107" t="str">
        <f>UPPER(G825)&amp;" TOTAL"</f>
        <v>SERVICES &amp; OTHER TOTAL</v>
      </c>
      <c r="I826" s="109">
        <f t="shared" ref="I826:T826" si="1225">SUBTOTAL(9,I814:I825)</f>
        <v>357403.96</v>
      </c>
      <c r="J826" s="109">
        <f t="shared" si="1225"/>
        <v>443714.54</v>
      </c>
      <c r="K826" s="109">
        <f t="shared" si="1225"/>
        <v>482441.74</v>
      </c>
      <c r="L826" s="109">
        <f t="shared" si="1225"/>
        <v>696625.94</v>
      </c>
      <c r="M826" s="109">
        <f t="shared" si="1225"/>
        <v>677760</v>
      </c>
      <c r="N826" s="109">
        <f t="shared" si="1225"/>
        <v>526604.61</v>
      </c>
      <c r="O826" s="109">
        <f t="shared" si="1225"/>
        <v>685065</v>
      </c>
      <c r="P826" s="109">
        <f t="shared" si="1225"/>
        <v>7305</v>
      </c>
      <c r="Q826" s="109">
        <f t="shared" si="1225"/>
        <v>683218</v>
      </c>
      <c r="R826" s="109">
        <f t="shared" si="1225"/>
        <v>0</v>
      </c>
      <c r="S826" s="109">
        <f t="shared" si="1225"/>
        <v>0</v>
      </c>
      <c r="T826" s="109">
        <f t="shared" si="1225"/>
        <v>683218</v>
      </c>
      <c r="U826" s="99">
        <f t="shared" si="1211"/>
        <v>5458</v>
      </c>
      <c r="V826" s="255">
        <f t="shared" si="1212"/>
        <v>8.0529981114259019E-3</v>
      </c>
      <c r="W826" s="102"/>
      <c r="X826" s="102"/>
      <c r="Y826" s="102"/>
      <c r="AA826" s="615"/>
      <c r="AC826" s="300"/>
      <c r="AD826" s="300"/>
      <c r="AE826" s="300"/>
      <c r="AF826" s="300"/>
      <c r="AG826" s="300"/>
      <c r="AJ826" s="300"/>
      <c r="AK826" s="300"/>
      <c r="AL826" s="300"/>
      <c r="AM826" s="300"/>
      <c r="AN826" s="300"/>
      <c r="AO826" s="300"/>
      <c r="AP826" s="300"/>
      <c r="AQ826" s="300"/>
    </row>
    <row r="827" spans="1:59" ht="15" customHeight="1">
      <c r="A827" s="555"/>
      <c r="B827" s="217"/>
      <c r="C827" s="217" t="str">
        <f t="shared" si="1208"/>
        <v/>
      </c>
      <c r="D827" s="101"/>
      <c r="E827" s="217"/>
      <c r="F827" s="294"/>
      <c r="G827" s="295"/>
      <c r="H827" s="98"/>
      <c r="I827" s="106"/>
      <c r="J827" s="106"/>
      <c r="K827" s="106"/>
      <c r="L827" s="106"/>
      <c r="M827" s="106"/>
      <c r="N827" s="112"/>
      <c r="O827" s="112"/>
      <c r="P827" s="112"/>
      <c r="Q827" s="113"/>
      <c r="R827" s="99"/>
      <c r="S827" s="99"/>
      <c r="T827" s="113"/>
      <c r="U827" s="99"/>
      <c r="V827" s="255"/>
      <c r="W827" s="102"/>
      <c r="X827" s="102"/>
      <c r="Y827" s="102"/>
      <c r="AA827" s="615"/>
      <c r="AC827" s="300"/>
      <c r="AD827" s="300"/>
      <c r="AE827" s="300"/>
      <c r="AF827" s="300"/>
      <c r="AG827" s="300"/>
      <c r="AJ827" s="300"/>
      <c r="AK827" s="300"/>
      <c r="AL827" s="300"/>
      <c r="AM827" s="300"/>
      <c r="AN827" s="300"/>
      <c r="AO827" s="300"/>
      <c r="AP827" s="300"/>
      <c r="AQ827" s="300"/>
    </row>
    <row r="828" spans="1:59" s="75" customFormat="1" ht="15" customHeight="1">
      <c r="A828" s="555"/>
      <c r="B828" s="217"/>
      <c r="C828" s="217" t="s">
        <v>3131</v>
      </c>
      <c r="D828" s="101"/>
      <c r="E828" s="217"/>
      <c r="F828" s="294" t="s">
        <v>243</v>
      </c>
      <c r="G828" s="295" t="str">
        <f>VLOOKUP(F828,'GL Category'!A:C,3,FALSE)</f>
        <v>Capital Outlay</v>
      </c>
      <c r="H828" s="98" t="str">
        <f>VLOOKUP(F828,'GL Category'!A:C,2,FALSE)</f>
        <v>MOTOR VEHICLES</v>
      </c>
      <c r="I828" s="99">
        <f>SUMIFS(I$1:I823,$C$1:$C823,$C828,$F$1:$F823,$F828)</f>
        <v>0</v>
      </c>
      <c r="J828" s="99">
        <f>SUMIFS(J$1:J823,$C$1:$C823,$C828,$F$1:$F823,$F828)</f>
        <v>0</v>
      </c>
      <c r="K828" s="99">
        <f>SUMIFS(K$1:K823,$C$1:$C823,$C828,$F$1:$F823,$F828)</f>
        <v>0</v>
      </c>
      <c r="L828" s="99">
        <f>SUMIFS(L$1:L823,$C$1:$C823,$C828,$F$1:$F823,$F828)</f>
        <v>0</v>
      </c>
      <c r="M828" s="99">
        <f>SUMIFS(M$1:M823,$C$1:$C823,$C828,$F$1:$F823,$F828)</f>
        <v>0</v>
      </c>
      <c r="N828" s="99">
        <f>SUMIFS(N$1:N823,$C$1:$C823,$C828,$F$1:$F823,$F828)</f>
        <v>0</v>
      </c>
      <c r="O828" s="99">
        <f>SUMIFS(O$1:O823,$C$1:$C823,$C828,$F$1:$F823,$F828)</f>
        <v>0</v>
      </c>
      <c r="P828" s="99">
        <f t="shared" ref="P828" si="1226">O828-M828</f>
        <v>0</v>
      </c>
      <c r="Q828" s="99">
        <f>SUMIFS(Q$1:Q823,$C$1:$C823,$C828,$F$1:$F823,$F828)</f>
        <v>0</v>
      </c>
      <c r="R828" s="99">
        <f>SUMIFS(R$1:R823,$C$1:$C823,$C828,$F$1:$F823,$F828)</f>
        <v>0</v>
      </c>
      <c r="S828" s="99">
        <f>SUMIFS(S$1:S823,$C$1:$C823,$C828,$F$1:$F823,$F828)</f>
        <v>0</v>
      </c>
      <c r="T828" s="99">
        <f>SUMIFS(T$1:T823,$C$1:$C823,$C828,$F$1:$F823,$F828)</f>
        <v>0</v>
      </c>
      <c r="U828" s="99">
        <f>T828-M828</f>
        <v>0</v>
      </c>
      <c r="V828" s="255" t="str">
        <f>IF(M828=0,"N/A",T828/M828-1)</f>
        <v>N/A</v>
      </c>
      <c r="W828" s="102"/>
      <c r="X828" s="102"/>
      <c r="Y828" s="102">
        <f t="shared" ref="Y828" si="1227">T828-X828</f>
        <v>0</v>
      </c>
      <c r="Z828" s="309">
        <f>Y828*(1+VLOOKUP($F828,'GL Category'!$A:$H,4,FALSE))</f>
        <v>0</v>
      </c>
      <c r="AA828" s="615"/>
      <c r="AB828" s="622">
        <f>Z828+AA828</f>
        <v>0</v>
      </c>
      <c r="AC828" s="633">
        <f>AB828*(1+VLOOKUP($F828,'GL Category'!$A:$H,5,FALSE))</f>
        <v>0</v>
      </c>
      <c r="AD828" s="307"/>
      <c r="AE828" s="622">
        <f>AC828+AD828</f>
        <v>0</v>
      </c>
      <c r="AF828" s="633">
        <f>AE828*(1+VLOOKUP($F828,'GL Category'!$A:$H,6,FALSE))</f>
        <v>0</v>
      </c>
      <c r="AG828" s="307"/>
      <c r="AH828" s="622">
        <f>AF828+AG828</f>
        <v>0</v>
      </c>
      <c r="AI828" s="633">
        <f>AH828*(1+VLOOKUP($F828,'GL Category'!$A:$H,7,FALSE))</f>
        <v>0</v>
      </c>
      <c r="AJ828" s="307"/>
      <c r="AK828" s="622">
        <f>AI828+AJ828</f>
        <v>0</v>
      </c>
      <c r="AL828" s="633">
        <f>AK828*(1+VLOOKUP($F828,'GL Category'!$A:$H,8,FALSE))</f>
        <v>0</v>
      </c>
      <c r="AM828" s="307"/>
      <c r="AN828" s="622">
        <f>AL828+AM828</f>
        <v>0</v>
      </c>
      <c r="AO828" s="626"/>
      <c r="AP828" s="626"/>
      <c r="AQ828" s="626"/>
      <c r="AR828" s="115"/>
      <c r="AS828" s="115"/>
      <c r="AT828" s="115"/>
      <c r="AU828" s="115"/>
      <c r="AV828" s="115"/>
      <c r="AW828" s="115"/>
      <c r="AX828" s="115"/>
      <c r="AY828" s="115"/>
      <c r="AZ828" s="115"/>
      <c r="BA828" s="115"/>
      <c r="BB828" s="115"/>
      <c r="BC828" s="115"/>
      <c r="BD828" s="115"/>
      <c r="BE828" s="74"/>
      <c r="BF828" s="74"/>
      <c r="BG828" s="74"/>
    </row>
    <row r="829" spans="1:59" ht="15" customHeight="1">
      <c r="A829" s="555"/>
      <c r="B829" s="217"/>
      <c r="C829" s="217" t="str">
        <f t="shared" si="1208"/>
        <v/>
      </c>
      <c r="D829" s="101"/>
      <c r="E829" s="217"/>
      <c r="F829" s="294"/>
      <c r="G829" s="295"/>
      <c r="H829" s="107" t="str">
        <f>UPPER(G828)&amp;" TOTAL"</f>
        <v>CAPITAL OUTLAY TOTAL</v>
      </c>
      <c r="I829" s="109">
        <f t="shared" ref="I829" si="1228">SUBTOTAL(9,I828)</f>
        <v>0</v>
      </c>
      <c r="J829" s="109">
        <f t="shared" ref="J829:T829" si="1229">SUBTOTAL(9,J828)</f>
        <v>0</v>
      </c>
      <c r="K829" s="109">
        <f t="shared" ref="K829" si="1230">SUBTOTAL(9,K828)</f>
        <v>0</v>
      </c>
      <c r="L829" s="109">
        <f t="shared" ref="L829" si="1231">SUBTOTAL(9,L828)</f>
        <v>0</v>
      </c>
      <c r="M829" s="109">
        <f t="shared" si="1229"/>
        <v>0</v>
      </c>
      <c r="N829" s="109">
        <f t="shared" ref="N829" si="1232">SUBTOTAL(9,N828)</f>
        <v>0</v>
      </c>
      <c r="O829" s="109">
        <f t="shared" si="1229"/>
        <v>0</v>
      </c>
      <c r="P829" s="109">
        <f t="shared" si="1229"/>
        <v>0</v>
      </c>
      <c r="Q829" s="109">
        <f t="shared" si="1229"/>
        <v>0</v>
      </c>
      <c r="R829" s="109">
        <f t="shared" si="1229"/>
        <v>0</v>
      </c>
      <c r="S829" s="109">
        <f t="shared" si="1229"/>
        <v>0</v>
      </c>
      <c r="T829" s="109">
        <f t="shared" si="1229"/>
        <v>0</v>
      </c>
      <c r="U829" s="99">
        <f>T829-M829</f>
        <v>0</v>
      </c>
      <c r="V829" s="255" t="str">
        <f>IF(M829=0,"N/A",T829/M829-1)</f>
        <v>N/A</v>
      </c>
      <c r="W829" s="102"/>
      <c r="X829" s="102"/>
      <c r="Y829" s="102"/>
      <c r="AA829" s="615"/>
      <c r="AC829" s="300"/>
      <c r="AD829" s="300"/>
      <c r="AE829" s="300"/>
      <c r="AF829" s="300"/>
      <c r="AG829" s="300"/>
      <c r="AJ829" s="300"/>
      <c r="AK829" s="300"/>
      <c r="AL829" s="300"/>
      <c r="AM829" s="300"/>
      <c r="AN829" s="300"/>
      <c r="AO829" s="300"/>
      <c r="AP829" s="300"/>
      <c r="AQ829" s="300"/>
    </row>
    <row r="830" spans="1:59" ht="15" customHeight="1">
      <c r="A830" s="555"/>
      <c r="B830" s="217"/>
      <c r="C830" s="217" t="str">
        <f t="shared" si="1208"/>
        <v/>
      </c>
      <c r="D830" s="101"/>
      <c r="E830" s="217"/>
      <c r="F830" s="294" t="str">
        <f t="shared" ref="F830:F863" si="1233">RIGHT(A830,5)</f>
        <v/>
      </c>
      <c r="G830" s="295"/>
      <c r="H830" s="98"/>
      <c r="I830" s="106"/>
      <c r="J830" s="106"/>
      <c r="K830" s="106"/>
      <c r="L830" s="106"/>
      <c r="M830" s="106"/>
      <c r="N830" s="112"/>
      <c r="O830" s="112"/>
      <c r="P830" s="112"/>
      <c r="Q830" s="113"/>
      <c r="R830" s="99"/>
      <c r="S830" s="99"/>
      <c r="T830" s="113"/>
      <c r="U830" s="99"/>
      <c r="V830" s="255"/>
      <c r="W830" s="102"/>
      <c r="X830" s="102"/>
      <c r="Y830" s="102"/>
      <c r="AA830" s="615"/>
      <c r="AC830" s="300"/>
      <c r="AD830" s="300"/>
      <c r="AE830" s="300"/>
      <c r="AF830" s="300"/>
      <c r="AG830" s="300"/>
      <c r="AJ830" s="300"/>
      <c r="AK830" s="300"/>
      <c r="AL830" s="300"/>
      <c r="AM830" s="300"/>
      <c r="AN830" s="300"/>
      <c r="AO830" s="300"/>
      <c r="AP830" s="300"/>
      <c r="AQ830" s="300"/>
    </row>
    <row r="831" spans="1:59" s="115" customFormat="1" ht="15" customHeight="1">
      <c r="A831" s="555"/>
      <c r="B831" s="217"/>
      <c r="C831" s="217" t="str">
        <f t="shared" si="1208"/>
        <v/>
      </c>
      <c r="D831" s="101"/>
      <c r="E831" s="217"/>
      <c r="F831" s="294" t="str">
        <f t="shared" si="1233"/>
        <v/>
      </c>
      <c r="G831" s="295"/>
      <c r="H831" s="114" t="s">
        <v>51</v>
      </c>
      <c r="I831" s="108">
        <f t="shared" ref="I831:T831" si="1234">SUBTOTAL(9,I787:I829)</f>
        <v>1304880.8899999999</v>
      </c>
      <c r="J831" s="108">
        <f t="shared" si="1234"/>
        <v>1502785.1599999997</v>
      </c>
      <c r="K831" s="108">
        <f t="shared" si="1234"/>
        <v>1596046.6700000002</v>
      </c>
      <c r="L831" s="108">
        <f t="shared" si="1234"/>
        <v>1846115.0599999996</v>
      </c>
      <c r="M831" s="108">
        <f t="shared" si="1234"/>
        <v>1881981</v>
      </c>
      <c r="N831" s="108">
        <f t="shared" si="1234"/>
        <v>1318630.43</v>
      </c>
      <c r="O831" s="108">
        <f t="shared" si="1234"/>
        <v>1769667</v>
      </c>
      <c r="P831" s="108">
        <f t="shared" si="1234"/>
        <v>-112314</v>
      </c>
      <c r="Q831" s="108">
        <f t="shared" si="1234"/>
        <v>1889618</v>
      </c>
      <c r="R831" s="108">
        <f t="shared" si="1234"/>
        <v>0</v>
      </c>
      <c r="S831" s="108">
        <f t="shared" si="1234"/>
        <v>0</v>
      </c>
      <c r="T831" s="108">
        <f t="shared" si="1234"/>
        <v>1889618</v>
      </c>
      <c r="U831" s="99">
        <f>T831-M831</f>
        <v>7637</v>
      </c>
      <c r="V831" s="255">
        <f>IF(M831=0,"N/A",T831/M831-1)</f>
        <v>4.0579580771538115E-3</v>
      </c>
      <c r="W831" s="102"/>
      <c r="X831" s="102"/>
      <c r="Y831" s="102"/>
      <c r="Z831" s="192"/>
      <c r="AA831" s="615"/>
      <c r="AB831" s="307"/>
      <c r="AC831" s="300"/>
      <c r="AD831" s="300"/>
      <c r="AE831" s="300"/>
      <c r="AF831" s="300"/>
      <c r="AG831" s="300"/>
      <c r="AH831" s="307"/>
      <c r="AI831" s="307"/>
      <c r="AJ831" s="300"/>
      <c r="AK831" s="300"/>
      <c r="AL831" s="300"/>
      <c r="AM831" s="300"/>
      <c r="AN831" s="300"/>
      <c r="AO831" s="300"/>
      <c r="AP831" s="300"/>
      <c r="AQ831" s="300"/>
    </row>
    <row r="832" spans="1:59" s="115" customFormat="1" ht="15" customHeight="1">
      <c r="A832" s="555"/>
      <c r="B832" s="217"/>
      <c r="C832" s="217" t="str">
        <f t="shared" si="1208"/>
        <v/>
      </c>
      <c r="D832" s="101"/>
      <c r="E832" s="217"/>
      <c r="F832" s="294" t="str">
        <f t="shared" si="1233"/>
        <v/>
      </c>
      <c r="G832" s="295"/>
      <c r="H832" s="89"/>
      <c r="I832" s="233"/>
      <c r="J832" s="233"/>
      <c r="K832" s="233"/>
      <c r="L832" s="233"/>
      <c r="M832" s="233"/>
      <c r="N832" s="233"/>
      <c r="O832" s="233"/>
      <c r="P832" s="233"/>
      <c r="Q832" s="233"/>
      <c r="R832" s="233"/>
      <c r="S832" s="233"/>
      <c r="T832" s="233"/>
      <c r="U832" s="99"/>
      <c r="V832" s="255"/>
      <c r="W832" s="102"/>
      <c r="X832" s="102"/>
      <c r="Y832" s="102"/>
      <c r="Z832" s="192"/>
      <c r="AA832" s="615"/>
      <c r="AB832" s="307"/>
      <c r="AC832" s="300"/>
      <c r="AD832" s="300"/>
      <c r="AE832" s="300"/>
      <c r="AF832" s="300"/>
      <c r="AG832" s="300"/>
      <c r="AH832" s="307"/>
      <c r="AI832" s="307"/>
      <c r="AJ832" s="300"/>
      <c r="AK832" s="300"/>
      <c r="AL832" s="300"/>
      <c r="AM832" s="300"/>
      <c r="AN832" s="300"/>
      <c r="AO832" s="300"/>
      <c r="AP832" s="300"/>
      <c r="AQ832" s="300"/>
    </row>
    <row r="833" spans="1:59" ht="15" customHeight="1" thickBot="1">
      <c r="A833" s="555"/>
      <c r="B833" s="217"/>
      <c r="C833" s="217" t="str">
        <f t="shared" si="1208"/>
        <v/>
      </c>
      <c r="D833" s="101"/>
      <c r="E833" s="217"/>
      <c r="F833" s="294" t="str">
        <f t="shared" si="1233"/>
        <v/>
      </c>
      <c r="G833" s="295"/>
      <c r="H833" s="98"/>
      <c r="I833" s="218"/>
      <c r="J833" s="218"/>
      <c r="K833" s="218"/>
      <c r="L833" s="218"/>
      <c r="M833" s="218"/>
      <c r="U833" s="99"/>
      <c r="V833" s="255"/>
      <c r="W833" s="102"/>
      <c r="X833" s="102"/>
      <c r="Y833" s="102"/>
      <c r="AA833" s="615"/>
      <c r="AC833" s="300"/>
      <c r="AD833" s="300"/>
      <c r="AE833" s="300"/>
      <c r="AF833" s="300"/>
      <c r="AG833" s="300"/>
      <c r="AJ833" s="300"/>
      <c r="AK833" s="300"/>
      <c r="AL833" s="300"/>
      <c r="AM833" s="300"/>
      <c r="AN833" s="300"/>
      <c r="AO833" s="300"/>
      <c r="AP833" s="300"/>
      <c r="AQ833" s="300"/>
    </row>
    <row r="834" spans="1:59" ht="24" customHeight="1" thickBot="1">
      <c r="A834" s="555"/>
      <c r="B834" s="217"/>
      <c r="C834" s="217" t="str">
        <f t="shared" si="1208"/>
        <v/>
      </c>
      <c r="D834" s="101"/>
      <c r="E834" s="217"/>
      <c r="F834" s="294" t="str">
        <f t="shared" si="1233"/>
        <v/>
      </c>
      <c r="G834" s="295"/>
      <c r="H834" s="665" t="s">
        <v>627</v>
      </c>
      <c r="I834" s="666"/>
      <c r="J834" s="666"/>
      <c r="K834" s="666"/>
      <c r="L834" s="666"/>
      <c r="M834" s="666"/>
      <c r="N834" s="666"/>
      <c r="O834" s="666"/>
      <c r="P834" s="666"/>
      <c r="Q834" s="666"/>
      <c r="R834" s="666"/>
      <c r="S834" s="666"/>
      <c r="T834" s="667"/>
      <c r="U834" s="99"/>
      <c r="V834" s="255"/>
      <c r="W834" s="102"/>
      <c r="X834" s="102"/>
      <c r="Y834" s="102"/>
      <c r="AA834" s="615"/>
      <c r="AC834" s="300"/>
      <c r="AD834" s="300"/>
      <c r="AE834" s="300"/>
      <c r="AF834" s="300"/>
      <c r="AG834" s="300"/>
      <c r="AJ834" s="300"/>
      <c r="AK834" s="300"/>
      <c r="AL834" s="300"/>
      <c r="AM834" s="300"/>
      <c r="AN834" s="300"/>
      <c r="AO834" s="300"/>
      <c r="AP834" s="300"/>
      <c r="AQ834" s="300"/>
    </row>
    <row r="835" spans="1:59" ht="15" customHeight="1">
      <c r="A835" s="555"/>
      <c r="B835" s="217"/>
      <c r="C835" s="217" t="str">
        <f t="shared" si="1208"/>
        <v/>
      </c>
      <c r="D835" s="101"/>
      <c r="E835" s="217"/>
      <c r="F835" s="294" t="str">
        <f t="shared" si="1233"/>
        <v/>
      </c>
      <c r="G835" s="295"/>
      <c r="H835" s="225"/>
      <c r="I835" s="225"/>
      <c r="J835" s="225"/>
      <c r="K835" s="225"/>
      <c r="L835" s="225"/>
      <c r="M835" s="225"/>
      <c r="N835" s="225"/>
      <c r="O835" s="225"/>
      <c r="P835" s="225"/>
      <c r="Q835" s="225"/>
      <c r="R835" s="225"/>
      <c r="S835" s="225"/>
      <c r="T835" s="225"/>
      <c r="U835" s="99"/>
      <c r="V835" s="255"/>
      <c r="W835" s="102"/>
      <c r="X835" s="102"/>
      <c r="Y835" s="102"/>
      <c r="AA835" s="615"/>
      <c r="AC835" s="94"/>
      <c r="AD835" s="94"/>
      <c r="AE835" s="94"/>
      <c r="AF835" s="94"/>
      <c r="AG835" s="94"/>
      <c r="AJ835" s="94"/>
      <c r="AK835" s="94"/>
      <c r="AL835" s="94"/>
      <c r="AM835" s="94"/>
      <c r="AN835" s="94"/>
      <c r="AO835" s="94"/>
      <c r="AP835" s="94"/>
      <c r="AQ835" s="94"/>
    </row>
    <row r="836" spans="1:59" ht="15" customHeight="1">
      <c r="A836" s="555" t="s">
        <v>2560</v>
      </c>
      <c r="B836" s="217" t="str">
        <f t="shared" ref="B836:B863" si="1235">LEFT(A836,3)</f>
        <v>100</v>
      </c>
      <c r="C836" s="217" t="str">
        <f t="shared" si="1208"/>
        <v>30</v>
      </c>
      <c r="D836" s="101" t="str">
        <f t="shared" ref="D836:D863" si="1236">MID(A836,8,3)</f>
        <v>301</v>
      </c>
      <c r="E836" s="217" t="str">
        <f t="shared" ref="E836:E863" si="1237">LEFT(A836,10)</f>
        <v>100-30-301</v>
      </c>
      <c r="F836" s="294" t="str">
        <f t="shared" si="1233"/>
        <v>50101</v>
      </c>
      <c r="G836" s="295" t="str">
        <f>VLOOKUP(F836,'GL Category'!A:C,3,FALSE)</f>
        <v>Personnel services</v>
      </c>
      <c r="H836" s="98" t="str">
        <f>VLOOKUP(F836,'GL Category'!A:C,2,FALSE)</f>
        <v>EXEMPT SALARIES</v>
      </c>
      <c r="I836" s="99">
        <f>SUMIF(Import!$B:$B,$A836,Import!D:D)</f>
        <v>343753.14</v>
      </c>
      <c r="J836" s="99">
        <f>SUMIF(Import!$B:$B,$A836,Import!E:E)</f>
        <v>299715.92</v>
      </c>
      <c r="K836" s="99">
        <f>SUMIF(Import!$B:$B,$A836,Import!F:F)</f>
        <v>310798.84999999998</v>
      </c>
      <c r="L836" s="99">
        <f>SUMIF(Import!$B:$B,$A836,Import!G:G)</f>
        <v>284240.32</v>
      </c>
      <c r="M836" s="99">
        <f>SUMIF(Import!$B:$B,$A836,Import!H:H)</f>
        <v>291275</v>
      </c>
      <c r="N836" s="99">
        <f>SUMIF(Import!$B:$B,$A836,Import!I:I)</f>
        <v>225765.02</v>
      </c>
      <c r="O836" s="99">
        <f>SUMIF(Import!$B:$B,$A836,Import!J:J)</f>
        <v>296887</v>
      </c>
      <c r="P836" s="99">
        <f t="shared" ref="P836:P844" si="1238">O836-M836</f>
        <v>5612</v>
      </c>
      <c r="Q836" s="99">
        <f>SUMIF(Import!$B:$B,$A836,Import!K:K)</f>
        <v>308735</v>
      </c>
      <c r="R836" s="99">
        <f>SUMIF(Import!$B:$B,$A836,Import!L:L)</f>
        <v>0</v>
      </c>
      <c r="S836" s="99">
        <f>SUMIF(Import!$B:$B,$A836,Import!M:M)</f>
        <v>0</v>
      </c>
      <c r="T836" s="99">
        <f>SUMIF(Import!$B:$B,$A836,Import!N:N)</f>
        <v>308735</v>
      </c>
      <c r="U836" s="99">
        <f t="shared" ref="U836:U844" si="1239">T836-M836</f>
        <v>17460</v>
      </c>
      <c r="V836" s="255">
        <f t="shared" ref="V836:V844" si="1240">IF(M836=0,"N/A",T836/M836-1)</f>
        <v>5.9943352501931058E-2</v>
      </c>
      <c r="W836" s="102" t="s">
        <v>2560</v>
      </c>
      <c r="X836" s="102"/>
      <c r="Y836" s="102"/>
      <c r="AA836" s="615"/>
      <c r="AC836" s="93"/>
      <c r="AD836" s="93"/>
      <c r="AE836" s="93"/>
      <c r="AF836" s="93"/>
      <c r="AG836" s="93"/>
      <c r="AJ836" s="93"/>
      <c r="AK836" s="93"/>
      <c r="AL836" s="93"/>
      <c r="AM836" s="93"/>
      <c r="AN836" s="93"/>
      <c r="AO836" s="93"/>
      <c r="AP836" s="93"/>
      <c r="AQ836" s="93"/>
    </row>
    <row r="837" spans="1:59" ht="15" customHeight="1">
      <c r="A837" s="555" t="s">
        <v>2561</v>
      </c>
      <c r="B837" s="217" t="str">
        <f t="shared" si="1235"/>
        <v>100</v>
      </c>
      <c r="C837" s="217" t="str">
        <f t="shared" si="1208"/>
        <v>30</v>
      </c>
      <c r="D837" s="101" t="str">
        <f t="shared" si="1236"/>
        <v>301</v>
      </c>
      <c r="E837" s="217" t="str">
        <f t="shared" si="1237"/>
        <v>100-30-301</v>
      </c>
      <c r="F837" s="294" t="str">
        <f t="shared" si="1233"/>
        <v>50102</v>
      </c>
      <c r="G837" s="295" t="str">
        <f>VLOOKUP(F837,'GL Category'!A:C,3,FALSE)</f>
        <v>Personnel services</v>
      </c>
      <c r="H837" s="98" t="str">
        <f>VLOOKUP(F837,'GL Category'!A:C,2,FALSE)</f>
        <v>NON EXEMPT SALARIES</v>
      </c>
      <c r="I837" s="99">
        <f>SUMIF(Import!$B:$B,$A837,Import!D:D)</f>
        <v>91889.21</v>
      </c>
      <c r="J837" s="99">
        <f>SUMIF(Import!$B:$B,$A837,Import!E:E)</f>
        <v>97830.1</v>
      </c>
      <c r="K837" s="99">
        <f>SUMIF(Import!$B:$B,$A837,Import!F:F)</f>
        <v>97147.61</v>
      </c>
      <c r="L837" s="99">
        <f>SUMIF(Import!$B:$B,$A837,Import!G:G)</f>
        <v>98081.53</v>
      </c>
      <c r="M837" s="99">
        <f>SUMIF(Import!$B:$B,$A837,Import!H:H)</f>
        <v>98412</v>
      </c>
      <c r="N837" s="99">
        <f>SUMIF(Import!$B:$B,$A837,Import!I:I)</f>
        <v>71554.89</v>
      </c>
      <c r="O837" s="99">
        <f>SUMIF(Import!$B:$B,$A837,Import!J:J)</f>
        <v>99245</v>
      </c>
      <c r="P837" s="99">
        <f t="shared" si="1238"/>
        <v>833</v>
      </c>
      <c r="Q837" s="99">
        <f>SUMIF(Import!$B:$B,$A837,Import!K:K)</f>
        <v>102771</v>
      </c>
      <c r="R837" s="99">
        <f>SUMIF(Import!$B:$B,$A837,Import!L:L)</f>
        <v>0</v>
      </c>
      <c r="S837" s="99">
        <f>SUMIF(Import!$B:$B,$A837,Import!M:M)</f>
        <v>0</v>
      </c>
      <c r="T837" s="99">
        <f>SUMIF(Import!$B:$B,$A837,Import!N:N)</f>
        <v>102771</v>
      </c>
      <c r="U837" s="99">
        <f t="shared" si="1239"/>
        <v>4359</v>
      </c>
      <c r="V837" s="255">
        <f t="shared" si="1240"/>
        <v>4.4293378856236965E-2</v>
      </c>
      <c r="W837" s="102" t="s">
        <v>2561</v>
      </c>
      <c r="X837" s="102"/>
      <c r="Y837" s="102"/>
      <c r="AA837" s="615"/>
      <c r="AC837" s="92"/>
      <c r="AD837" s="92"/>
      <c r="AE837" s="92"/>
      <c r="AF837" s="92"/>
      <c r="AG837" s="92"/>
      <c r="AJ837" s="92"/>
      <c r="AK837" s="92"/>
      <c r="AL837" s="92"/>
      <c r="AM837" s="92"/>
      <c r="AN837" s="92"/>
      <c r="AO837" s="92"/>
      <c r="AP837" s="92"/>
      <c r="AQ837" s="92"/>
    </row>
    <row r="838" spans="1:59" ht="15" customHeight="1">
      <c r="A838" s="555" t="s">
        <v>2562</v>
      </c>
      <c r="B838" s="217" t="str">
        <f t="shared" si="1235"/>
        <v>100</v>
      </c>
      <c r="C838" s="217" t="str">
        <f t="shared" si="1208"/>
        <v>30</v>
      </c>
      <c r="D838" s="101" t="str">
        <f t="shared" si="1236"/>
        <v>301</v>
      </c>
      <c r="E838" s="217" t="str">
        <f t="shared" si="1237"/>
        <v>100-30-301</v>
      </c>
      <c r="F838" s="294" t="str">
        <f t="shared" si="1233"/>
        <v>50109</v>
      </c>
      <c r="G838" s="295" t="str">
        <f>VLOOKUP(F838,'GL Category'!A:C,3,FALSE)</f>
        <v>Personnel services</v>
      </c>
      <c r="H838" s="98" t="str">
        <f>VLOOKUP(F838,'GL Category'!A:C,2,FALSE)</f>
        <v>OVERTIME</v>
      </c>
      <c r="I838" s="99">
        <f>SUMIF(Import!$B:$B,$A838,Import!D:D)</f>
        <v>1748.4</v>
      </c>
      <c r="J838" s="99">
        <f>SUMIF(Import!$B:$B,$A838,Import!E:E)</f>
        <v>3066.3</v>
      </c>
      <c r="K838" s="99">
        <f>SUMIF(Import!$B:$B,$A838,Import!F:F)</f>
        <v>1695.99</v>
      </c>
      <c r="L838" s="99">
        <f>SUMIF(Import!$B:$B,$A838,Import!G:G)</f>
        <v>784.04</v>
      </c>
      <c r="M838" s="99">
        <f>SUMIF(Import!$B:$B,$A838,Import!H:H)</f>
        <v>2500</v>
      </c>
      <c r="N838" s="99">
        <f>SUMIF(Import!$B:$B,$A838,Import!I:I)</f>
        <v>1454.46</v>
      </c>
      <c r="O838" s="99">
        <f>SUMIF(Import!$B:$B,$A838,Import!J:J)</f>
        <v>2199</v>
      </c>
      <c r="P838" s="99">
        <f t="shared" si="1238"/>
        <v>-301</v>
      </c>
      <c r="Q838" s="99">
        <f>SUMIF(Import!$B:$B,$A838,Import!K:K)</f>
        <v>2500</v>
      </c>
      <c r="R838" s="99">
        <f>SUMIF(Import!$B:$B,$A838,Import!L:L)</f>
        <v>0</v>
      </c>
      <c r="S838" s="99">
        <f>SUMIF(Import!$B:$B,$A838,Import!M:M)</f>
        <v>0</v>
      </c>
      <c r="T838" s="99">
        <f>SUMIF(Import!$B:$B,$A838,Import!N:N)</f>
        <v>2500</v>
      </c>
      <c r="U838" s="99">
        <f t="shared" si="1239"/>
        <v>0</v>
      </c>
      <c r="V838" s="255">
        <f t="shared" si="1240"/>
        <v>0</v>
      </c>
      <c r="W838" s="102" t="s">
        <v>2562</v>
      </c>
      <c r="X838" s="102"/>
      <c r="Y838" s="102"/>
      <c r="AA838" s="615"/>
    </row>
    <row r="839" spans="1:59" s="75" customFormat="1" ht="15" customHeight="1">
      <c r="A839" s="555" t="s">
        <v>2563</v>
      </c>
      <c r="B839" s="217" t="str">
        <f t="shared" si="1235"/>
        <v>100</v>
      </c>
      <c r="C839" s="217" t="str">
        <f t="shared" si="1208"/>
        <v>30</v>
      </c>
      <c r="D839" s="101" t="str">
        <f t="shared" si="1236"/>
        <v>301</v>
      </c>
      <c r="E839" s="217" t="str">
        <f t="shared" si="1237"/>
        <v>100-30-301</v>
      </c>
      <c r="F839" s="294" t="str">
        <f t="shared" si="1233"/>
        <v>50111</v>
      </c>
      <c r="G839" s="295" t="str">
        <f>VLOOKUP(F839,'GL Category'!A:C,3,FALSE)</f>
        <v>Personnel services</v>
      </c>
      <c r="H839" s="98" t="str">
        <f>VLOOKUP(F839,'GL Category'!A:C,2,FALSE)</f>
        <v>LONGEVITY PAY</v>
      </c>
      <c r="I839" s="99">
        <f>SUMIF(Import!$B:$B,$A839,Import!D:D)</f>
        <v>2695</v>
      </c>
      <c r="J839" s="99">
        <f>SUMIF(Import!$B:$B,$A839,Import!E:E)</f>
        <v>2875</v>
      </c>
      <c r="K839" s="99">
        <f>SUMIF(Import!$B:$B,$A839,Import!F:F)</f>
        <v>3715</v>
      </c>
      <c r="L839" s="99">
        <f>SUMIF(Import!$B:$B,$A839,Import!G:G)</f>
        <v>2810</v>
      </c>
      <c r="M839" s="99">
        <f>SUMIF(Import!$B:$B,$A839,Import!H:H)</f>
        <v>2968</v>
      </c>
      <c r="N839" s="99">
        <f>SUMIF(Import!$B:$B,$A839,Import!I:I)</f>
        <v>2926.5</v>
      </c>
      <c r="O839" s="99">
        <f>SUMIF(Import!$B:$B,$A839,Import!J:J)</f>
        <v>2927</v>
      </c>
      <c r="P839" s="99">
        <f t="shared" si="1238"/>
        <v>-41</v>
      </c>
      <c r="Q839" s="99">
        <f>SUMIF(Import!$B:$B,$A839,Import!K:K)</f>
        <v>3201</v>
      </c>
      <c r="R839" s="99">
        <f>SUMIF(Import!$B:$B,$A839,Import!L:L)</f>
        <v>0</v>
      </c>
      <c r="S839" s="99">
        <f>SUMIF(Import!$B:$B,$A839,Import!M:M)</f>
        <v>0</v>
      </c>
      <c r="T839" s="99">
        <f>SUMIF(Import!$B:$B,$A839,Import!N:N)</f>
        <v>3201</v>
      </c>
      <c r="U839" s="99">
        <f t="shared" si="1239"/>
        <v>233</v>
      </c>
      <c r="V839" s="255">
        <f t="shared" si="1240"/>
        <v>7.8504043126684575E-2</v>
      </c>
      <c r="W839" s="102" t="s">
        <v>2563</v>
      </c>
      <c r="X839" s="102"/>
      <c r="Y839" s="102"/>
      <c r="Z839" s="614"/>
      <c r="AA839" s="615"/>
      <c r="AB839" s="624"/>
      <c r="AC839" s="625"/>
      <c r="AD839" s="625"/>
      <c r="AE839" s="625"/>
      <c r="AF839" s="625"/>
      <c r="AG839" s="625"/>
      <c r="AH839" s="623"/>
      <c r="AI839" s="624"/>
      <c r="AJ839" s="626"/>
      <c r="AK839" s="626"/>
      <c r="AL839" s="626"/>
      <c r="AM839" s="626"/>
      <c r="AN839" s="626"/>
      <c r="AO839" s="626"/>
      <c r="AP839" s="626"/>
      <c r="AQ839" s="192"/>
      <c r="AR839" s="115"/>
      <c r="AS839" s="115"/>
      <c r="AT839" s="115"/>
      <c r="AU839" s="115"/>
      <c r="AV839" s="115"/>
      <c r="AW839" s="115"/>
      <c r="AX839" s="115"/>
      <c r="AY839" s="115"/>
      <c r="AZ839" s="115"/>
      <c r="BA839" s="115"/>
      <c r="BB839" s="115"/>
      <c r="BC839" s="115"/>
      <c r="BD839" s="115"/>
      <c r="BE839" s="74"/>
      <c r="BF839" s="74"/>
      <c r="BG839" s="74"/>
    </row>
    <row r="840" spans="1:59" ht="15" customHeight="1">
      <c r="A840" s="555" t="s">
        <v>2564</v>
      </c>
      <c r="B840" s="217" t="str">
        <f t="shared" si="1235"/>
        <v>100</v>
      </c>
      <c r="C840" s="217" t="str">
        <f t="shared" si="1208"/>
        <v>30</v>
      </c>
      <c r="D840" s="101" t="str">
        <f t="shared" si="1236"/>
        <v>301</v>
      </c>
      <c r="E840" s="217" t="str">
        <f t="shared" si="1237"/>
        <v>100-30-301</v>
      </c>
      <c r="F840" s="294" t="str">
        <f t="shared" si="1233"/>
        <v>50115</v>
      </c>
      <c r="G840" s="295" t="str">
        <f>VLOOKUP(F840,'GL Category'!A:C,3,FALSE)</f>
        <v>Personnel services</v>
      </c>
      <c r="H840" s="98" t="str">
        <f>VLOOKUP(F840,'GL Category'!A:C,2,FALSE)</f>
        <v>INCENTIVE/CERTIFICATION PAY</v>
      </c>
      <c r="I840" s="99">
        <f>SUMIF(Import!$B:$B,$A840,Import!D:D)</f>
        <v>3121.43</v>
      </c>
      <c r="J840" s="99">
        <f>SUMIF(Import!$B:$B,$A840,Import!E:E)</f>
        <v>4061.14</v>
      </c>
      <c r="K840" s="99">
        <f>SUMIF(Import!$B:$B,$A840,Import!F:F)</f>
        <v>4878.5</v>
      </c>
      <c r="L840" s="99">
        <f>SUMIF(Import!$B:$B,$A840,Import!G:G)</f>
        <v>2858</v>
      </c>
      <c r="M840" s="99">
        <f>SUMIF(Import!$B:$B,$A840,Import!H:H)</f>
        <v>3280</v>
      </c>
      <c r="N840" s="99">
        <f>SUMIF(Import!$B:$B,$A840,Import!I:I)</f>
        <v>1792</v>
      </c>
      <c r="O840" s="99">
        <f>SUMIF(Import!$B:$B,$A840,Import!J:J)</f>
        <v>3979</v>
      </c>
      <c r="P840" s="99">
        <f t="shared" si="1238"/>
        <v>699</v>
      </c>
      <c r="Q840" s="99">
        <f>SUMIF(Import!$B:$B,$A840,Import!K:K)</f>
        <v>3280</v>
      </c>
      <c r="R840" s="99">
        <f>SUMIF(Import!$B:$B,$A840,Import!L:L)</f>
        <v>0</v>
      </c>
      <c r="S840" s="99">
        <f>SUMIF(Import!$B:$B,$A840,Import!M:M)</f>
        <v>0</v>
      </c>
      <c r="T840" s="99">
        <f>SUMIF(Import!$B:$B,$A840,Import!N:N)</f>
        <v>3280</v>
      </c>
      <c r="U840" s="99">
        <f t="shared" si="1239"/>
        <v>0</v>
      </c>
      <c r="V840" s="255">
        <f t="shared" si="1240"/>
        <v>0</v>
      </c>
      <c r="W840" s="102" t="s">
        <v>2564</v>
      </c>
      <c r="X840" s="102"/>
      <c r="Y840" s="102"/>
      <c r="AA840" s="615"/>
      <c r="AC840" s="300"/>
      <c r="AD840" s="300"/>
      <c r="AE840" s="300"/>
      <c r="AF840" s="300"/>
      <c r="AG840" s="300"/>
      <c r="AJ840" s="300"/>
      <c r="AK840" s="300"/>
      <c r="AL840" s="300"/>
      <c r="AM840" s="300"/>
      <c r="AN840" s="300"/>
      <c r="AO840" s="300"/>
      <c r="AP840" s="300"/>
    </row>
    <row r="841" spans="1:59" ht="15" customHeight="1">
      <c r="A841" s="555" t="s">
        <v>2565</v>
      </c>
      <c r="B841" s="217" t="str">
        <f t="shared" si="1235"/>
        <v>100</v>
      </c>
      <c r="C841" s="217" t="str">
        <f t="shared" si="1208"/>
        <v>30</v>
      </c>
      <c r="D841" s="101" t="str">
        <f t="shared" si="1236"/>
        <v>301</v>
      </c>
      <c r="E841" s="217" t="str">
        <f t="shared" si="1237"/>
        <v>100-30-301</v>
      </c>
      <c r="F841" s="294" t="str">
        <f t="shared" si="1233"/>
        <v>50610</v>
      </c>
      <c r="G841" s="295" t="str">
        <f>VLOOKUP(F841,'GL Category'!A:C,3,FALSE)</f>
        <v>Personnel services</v>
      </c>
      <c r="H841" s="98" t="str">
        <f>VLOOKUP(F841,'GL Category'!A:C,2,FALSE)</f>
        <v>SOCIAL SECURITY</v>
      </c>
      <c r="I841" s="99">
        <f>SUMIF(Import!$B:$B,$A841,Import!D:D)</f>
        <v>30239.200000000001</v>
      </c>
      <c r="J841" s="99">
        <f>SUMIF(Import!$B:$B,$A841,Import!E:E)</f>
        <v>28681.86</v>
      </c>
      <c r="K841" s="99">
        <f>SUMIF(Import!$B:$B,$A841,Import!F:F)</f>
        <v>29663.11</v>
      </c>
      <c r="L841" s="99">
        <f>SUMIF(Import!$B:$B,$A841,Import!G:G)</f>
        <v>26911.82</v>
      </c>
      <c r="M841" s="99">
        <f>SUMIF(Import!$B:$B,$A841,Import!H:H)</f>
        <v>27558</v>
      </c>
      <c r="N841" s="99">
        <f>SUMIF(Import!$B:$B,$A841,Import!I:I)</f>
        <v>21705.65</v>
      </c>
      <c r="O841" s="99">
        <f>SUMIF(Import!$B:$B,$A841,Import!J:J)</f>
        <v>28074</v>
      </c>
      <c r="P841" s="99">
        <f t="shared" si="1238"/>
        <v>516</v>
      </c>
      <c r="Q841" s="99">
        <f>SUMIF(Import!$B:$B,$A841,Import!K:K)</f>
        <v>28171</v>
      </c>
      <c r="R841" s="99">
        <f>SUMIF(Import!$B:$B,$A841,Import!L:L)</f>
        <v>0</v>
      </c>
      <c r="S841" s="99">
        <f>SUMIF(Import!$B:$B,$A841,Import!M:M)</f>
        <v>0</v>
      </c>
      <c r="T841" s="99">
        <f>SUMIF(Import!$B:$B,$A841,Import!N:N)</f>
        <v>28171</v>
      </c>
      <c r="U841" s="99">
        <f t="shared" si="1239"/>
        <v>613</v>
      </c>
      <c r="V841" s="255">
        <f t="shared" si="1240"/>
        <v>2.2243994484360208E-2</v>
      </c>
      <c r="W841" s="102" t="s">
        <v>2565</v>
      </c>
      <c r="X841" s="102"/>
      <c r="Y841" s="102"/>
      <c r="AA841" s="615"/>
      <c r="AC841" s="300"/>
      <c r="AD841" s="300"/>
      <c r="AE841" s="300"/>
      <c r="AF841" s="300"/>
      <c r="AG841" s="300"/>
      <c r="AJ841" s="300"/>
      <c r="AK841" s="300"/>
      <c r="AL841" s="300"/>
      <c r="AM841" s="300"/>
      <c r="AN841" s="300"/>
      <c r="AO841" s="300"/>
      <c r="AP841" s="300"/>
    </row>
    <row r="842" spans="1:59" ht="15" customHeight="1">
      <c r="A842" s="555" t="s">
        <v>2566</v>
      </c>
      <c r="B842" s="217" t="str">
        <f t="shared" si="1235"/>
        <v>100</v>
      </c>
      <c r="C842" s="217" t="str">
        <f t="shared" si="1208"/>
        <v>30</v>
      </c>
      <c r="D842" s="101" t="str">
        <f t="shared" si="1236"/>
        <v>301</v>
      </c>
      <c r="E842" s="217" t="str">
        <f t="shared" si="1237"/>
        <v>100-30-301</v>
      </c>
      <c r="F842" s="294" t="str">
        <f t="shared" si="1233"/>
        <v>50620</v>
      </c>
      <c r="G842" s="295" t="str">
        <f>VLOOKUP(F842,'GL Category'!A:C,3,FALSE)</f>
        <v>Personnel services</v>
      </c>
      <c r="H842" s="98" t="str">
        <f>VLOOKUP(F842,'GL Category'!A:C,2,FALSE)</f>
        <v>HEALTH/LIFE INSURANCE</v>
      </c>
      <c r="I842" s="99">
        <f>SUMIF(Import!$B:$B,$A842,Import!D:D)</f>
        <v>78499.39</v>
      </c>
      <c r="J842" s="99">
        <f>SUMIF(Import!$B:$B,$A842,Import!E:E)</f>
        <v>81102.25</v>
      </c>
      <c r="K842" s="99">
        <f>SUMIF(Import!$B:$B,$A842,Import!F:F)</f>
        <v>65713.62</v>
      </c>
      <c r="L842" s="99">
        <f>SUMIF(Import!$B:$B,$A842,Import!G:G)</f>
        <v>68794.259999999995</v>
      </c>
      <c r="M842" s="99">
        <f>SUMIF(Import!$B:$B,$A842,Import!H:H)</f>
        <v>58614</v>
      </c>
      <c r="N842" s="99">
        <f>SUMIF(Import!$B:$B,$A842,Import!I:I)</f>
        <v>44760.36</v>
      </c>
      <c r="O842" s="99">
        <f>SUMIF(Import!$B:$B,$A842,Import!J:J)</f>
        <v>60077</v>
      </c>
      <c r="P842" s="99">
        <f t="shared" si="1238"/>
        <v>1463</v>
      </c>
      <c r="Q842" s="99">
        <f>SUMIF(Import!$B:$B,$A842,Import!K:K)</f>
        <v>58562</v>
      </c>
      <c r="R842" s="99">
        <f>SUMIF(Import!$B:$B,$A842,Import!L:L)</f>
        <v>0</v>
      </c>
      <c r="S842" s="99">
        <f>SUMIF(Import!$B:$B,$A842,Import!M:M)</f>
        <v>0</v>
      </c>
      <c r="T842" s="99">
        <f>SUMIF(Import!$B:$B,$A842,Import!N:N)</f>
        <v>58562</v>
      </c>
      <c r="U842" s="99">
        <f t="shared" si="1239"/>
        <v>-52</v>
      </c>
      <c r="V842" s="255">
        <f t="shared" si="1240"/>
        <v>-8.8716006414846227E-4</v>
      </c>
      <c r="W842" s="102" t="s">
        <v>2566</v>
      </c>
      <c r="X842" s="102"/>
      <c r="Y842" s="102"/>
      <c r="AA842" s="615"/>
      <c r="AC842" s="300"/>
      <c r="AD842" s="300"/>
      <c r="AE842" s="300"/>
      <c r="AF842" s="300"/>
      <c r="AG842" s="300"/>
      <c r="AJ842" s="300"/>
      <c r="AK842" s="300"/>
      <c r="AL842" s="300"/>
      <c r="AM842" s="300"/>
      <c r="AN842" s="300"/>
      <c r="AO842" s="300"/>
      <c r="AP842" s="300"/>
    </row>
    <row r="843" spans="1:59" s="115" customFormat="1" ht="15" customHeight="1">
      <c r="A843" s="555" t="s">
        <v>2567</v>
      </c>
      <c r="B843" s="217" t="str">
        <f t="shared" si="1235"/>
        <v>100</v>
      </c>
      <c r="C843" s="217" t="str">
        <f t="shared" si="1208"/>
        <v>30</v>
      </c>
      <c r="D843" s="101" t="str">
        <f t="shared" si="1236"/>
        <v>301</v>
      </c>
      <c r="E843" s="217" t="str">
        <f t="shared" si="1237"/>
        <v>100-30-301</v>
      </c>
      <c r="F843" s="294" t="str">
        <f t="shared" si="1233"/>
        <v>50630</v>
      </c>
      <c r="G843" s="295" t="str">
        <f>VLOOKUP(F843,'GL Category'!A:C,3,FALSE)</f>
        <v>Personnel services</v>
      </c>
      <c r="H843" s="98" t="str">
        <f>VLOOKUP(F843,'GL Category'!A:C,2,FALSE)</f>
        <v>WORKER COMPENSATION</v>
      </c>
      <c r="I843" s="99">
        <f>SUMIF(Import!$B:$B,$A843,Import!D:D)</f>
        <v>1984.47</v>
      </c>
      <c r="J843" s="99">
        <f>SUMIF(Import!$B:$B,$A843,Import!E:E)</f>
        <v>2004.46</v>
      </c>
      <c r="K843" s="99">
        <f>SUMIF(Import!$B:$B,$A843,Import!F:F)</f>
        <v>2261.25</v>
      </c>
      <c r="L843" s="99">
        <f>SUMIF(Import!$B:$B,$A843,Import!G:G)</f>
        <v>4094.05</v>
      </c>
      <c r="M843" s="99">
        <f>SUMIF(Import!$B:$B,$A843,Import!H:H)</f>
        <v>5287</v>
      </c>
      <c r="N843" s="99">
        <f>SUMIF(Import!$B:$B,$A843,Import!I:I)</f>
        <v>5282.68</v>
      </c>
      <c r="O843" s="99">
        <f>SUMIF(Import!$B:$B,$A843,Import!J:J)</f>
        <v>5283</v>
      </c>
      <c r="P843" s="99">
        <f t="shared" si="1238"/>
        <v>-4</v>
      </c>
      <c r="Q843" s="99">
        <f>SUMIF(Import!$B:$B,$A843,Import!K:K)</f>
        <v>5751</v>
      </c>
      <c r="R843" s="99">
        <f>SUMIF(Import!$B:$B,$A843,Import!L:L)</f>
        <v>0</v>
      </c>
      <c r="S843" s="99">
        <f>SUMIF(Import!$B:$B,$A843,Import!M:M)</f>
        <v>0</v>
      </c>
      <c r="T843" s="99">
        <f>SUMIF(Import!$B:$B,$A843,Import!N:N)</f>
        <v>5751</v>
      </c>
      <c r="U843" s="99">
        <f t="shared" si="1239"/>
        <v>464</v>
      </c>
      <c r="V843" s="255">
        <f t="shared" si="1240"/>
        <v>8.7762436164176227E-2</v>
      </c>
      <c r="W843" s="102" t="s">
        <v>2567</v>
      </c>
      <c r="X843" s="102"/>
      <c r="Y843" s="102"/>
      <c r="Z843" s="192"/>
      <c r="AA843" s="615"/>
      <c r="AB843" s="307"/>
      <c r="AC843" s="300"/>
      <c r="AD843" s="300"/>
      <c r="AE843" s="300"/>
      <c r="AF843" s="300"/>
      <c r="AG843" s="300"/>
      <c r="AH843" s="307"/>
      <c r="AI843" s="307"/>
      <c r="AJ843" s="300"/>
      <c r="AK843" s="300"/>
      <c r="AL843" s="300"/>
      <c r="AM843" s="300"/>
      <c r="AN843" s="300"/>
      <c r="AO843" s="300"/>
      <c r="AP843" s="300"/>
      <c r="AQ843" s="192"/>
    </row>
    <row r="844" spans="1:59" s="115" customFormat="1" ht="15" customHeight="1">
      <c r="A844" s="555" t="s">
        <v>2568</v>
      </c>
      <c r="B844" s="217" t="str">
        <f t="shared" si="1235"/>
        <v>100</v>
      </c>
      <c r="C844" s="217" t="str">
        <f t="shared" si="1208"/>
        <v>30</v>
      </c>
      <c r="D844" s="101" t="str">
        <f t="shared" si="1236"/>
        <v>301</v>
      </c>
      <c r="E844" s="217" t="str">
        <f t="shared" si="1237"/>
        <v>100-30-301</v>
      </c>
      <c r="F844" s="294" t="str">
        <f t="shared" si="1233"/>
        <v>50650</v>
      </c>
      <c r="G844" s="295" t="str">
        <f>VLOOKUP(F844,'GL Category'!A:C,3,FALSE)</f>
        <v>Personnel services</v>
      </c>
      <c r="H844" s="98" t="str">
        <f>VLOOKUP(F844,'GL Category'!A:C,2,FALSE)</f>
        <v>RETIREMENT</v>
      </c>
      <c r="I844" s="99">
        <f>SUMIF(Import!$B:$B,$A844,Import!D:D)</f>
        <v>70474.14</v>
      </c>
      <c r="J844" s="99">
        <f>SUMIF(Import!$B:$B,$A844,Import!E:E)</f>
        <v>65619.62</v>
      </c>
      <c r="K844" s="99">
        <f>SUMIF(Import!$B:$B,$A844,Import!F:F)</f>
        <v>67709.38</v>
      </c>
      <c r="L844" s="99">
        <f>SUMIF(Import!$B:$B,$A844,Import!G:G)</f>
        <v>62389.41</v>
      </c>
      <c r="M844" s="99">
        <f>SUMIF(Import!$B:$B,$A844,Import!H:H)</f>
        <v>66283</v>
      </c>
      <c r="N844" s="99">
        <f>SUMIF(Import!$B:$B,$A844,Import!I:I)</f>
        <v>50410.97</v>
      </c>
      <c r="O844" s="99">
        <f>SUMIF(Import!$B:$B,$A844,Import!J:J)</f>
        <v>67317</v>
      </c>
      <c r="P844" s="99">
        <f t="shared" si="1238"/>
        <v>1034</v>
      </c>
      <c r="Q844" s="99">
        <f>SUMIF(Import!$B:$B,$A844,Import!K:K)</f>
        <v>71621</v>
      </c>
      <c r="R844" s="99">
        <f>SUMIF(Import!$B:$B,$A844,Import!L:L)</f>
        <v>0</v>
      </c>
      <c r="S844" s="99">
        <f>SUMIF(Import!$B:$B,$A844,Import!M:M)</f>
        <v>0</v>
      </c>
      <c r="T844" s="99">
        <f>SUMIF(Import!$B:$B,$A844,Import!N:N)</f>
        <v>71621</v>
      </c>
      <c r="U844" s="99">
        <f t="shared" si="1239"/>
        <v>5338</v>
      </c>
      <c r="V844" s="255">
        <f t="shared" si="1240"/>
        <v>8.0533470120543793E-2</v>
      </c>
      <c r="W844" s="102" t="s">
        <v>2568</v>
      </c>
      <c r="X844" s="102"/>
      <c r="Y844" s="102"/>
      <c r="Z844" s="192"/>
      <c r="AA844" s="615"/>
      <c r="AB844" s="307"/>
      <c r="AC844" s="300"/>
      <c r="AD844" s="300"/>
      <c r="AE844" s="300"/>
      <c r="AF844" s="300"/>
      <c r="AG844" s="300"/>
      <c r="AH844" s="307"/>
      <c r="AI844" s="307"/>
      <c r="AJ844" s="300"/>
      <c r="AK844" s="300"/>
      <c r="AL844" s="300"/>
      <c r="AM844" s="300"/>
      <c r="AN844" s="300"/>
      <c r="AO844" s="300"/>
      <c r="AP844" s="300"/>
      <c r="AQ844" s="192"/>
    </row>
    <row r="845" spans="1:59" s="115" customFormat="1" ht="15" customHeight="1">
      <c r="A845" s="555"/>
      <c r="B845" s="217"/>
      <c r="C845" s="217"/>
      <c r="D845" s="101"/>
      <c r="E845" s="217"/>
      <c r="F845" s="294"/>
      <c r="G845" s="295"/>
      <c r="H845" s="107" t="str">
        <f>UPPER(G844)&amp;" TOTAL"</f>
        <v>PERSONNEL SERVICES TOTAL</v>
      </c>
      <c r="I845" s="108">
        <f t="shared" ref="I845" si="1241">SUBTOTAL(9,I836:I844)</f>
        <v>624404.38</v>
      </c>
      <c r="J845" s="108">
        <f t="shared" ref="J845:P845" si="1242">SUBTOTAL(9,J836:J844)</f>
        <v>584956.65</v>
      </c>
      <c r="K845" s="108">
        <f t="shared" ref="K845" si="1243">SUBTOTAL(9,K836:K844)</f>
        <v>583583.30999999994</v>
      </c>
      <c r="L845" s="108">
        <f t="shared" ref="L845" si="1244">SUBTOTAL(9,L836:L844)</f>
        <v>550963.42999999993</v>
      </c>
      <c r="M845" s="108">
        <f t="shared" si="1242"/>
        <v>556177</v>
      </c>
      <c r="N845" s="109">
        <f t="shared" ref="N845" si="1245">SUBTOTAL(9,N836:N844)</f>
        <v>425652.53</v>
      </c>
      <c r="O845" s="109">
        <f t="shared" si="1242"/>
        <v>565988</v>
      </c>
      <c r="P845" s="109">
        <f t="shared" si="1242"/>
        <v>9811</v>
      </c>
      <c r="Q845" s="109">
        <f t="shared" ref="Q845:T845" si="1246">SUBTOTAL(9,Q836:Q844)</f>
        <v>584592</v>
      </c>
      <c r="R845" s="109">
        <f t="shared" si="1246"/>
        <v>0</v>
      </c>
      <c r="S845" s="109">
        <f t="shared" si="1246"/>
        <v>0</v>
      </c>
      <c r="T845" s="109">
        <f t="shared" si="1246"/>
        <v>584592</v>
      </c>
      <c r="U845" s="99">
        <f>T845-M845</f>
        <v>28415</v>
      </c>
      <c r="V845" s="255">
        <f>IF(M845=0,"N/A",T845/M845-1)</f>
        <v>5.1089850892791278E-2</v>
      </c>
      <c r="W845" s="102"/>
      <c r="X845" s="102"/>
      <c r="Y845" s="102"/>
      <c r="Z845" s="192"/>
      <c r="AA845" s="615"/>
      <c r="AB845" s="307"/>
      <c r="AC845" s="300"/>
      <c r="AD845" s="300"/>
      <c r="AE845" s="300"/>
      <c r="AF845" s="300"/>
      <c r="AG845" s="300"/>
      <c r="AH845" s="307"/>
      <c r="AI845" s="307"/>
      <c r="AJ845" s="300"/>
      <c r="AK845" s="300"/>
      <c r="AL845" s="300"/>
      <c r="AM845" s="300"/>
      <c r="AN845" s="300"/>
      <c r="AO845" s="300"/>
      <c r="AP845" s="300"/>
      <c r="AQ845" s="192"/>
    </row>
    <row r="846" spans="1:59" s="115" customFormat="1" ht="15" customHeight="1">
      <c r="A846" s="555"/>
      <c r="B846" s="217"/>
      <c r="C846" s="217"/>
      <c r="D846" s="101"/>
      <c r="E846" s="217"/>
      <c r="F846" s="294"/>
      <c r="G846" s="295"/>
      <c r="H846" s="98"/>
      <c r="I846" s="106"/>
      <c r="J846" s="106"/>
      <c r="K846" s="106"/>
      <c r="L846" s="106"/>
      <c r="M846" s="106"/>
      <c r="N846" s="112"/>
      <c r="O846" s="112"/>
      <c r="P846" s="112"/>
      <c r="Q846" s="113"/>
      <c r="R846" s="113"/>
      <c r="S846" s="113"/>
      <c r="T846" s="113"/>
      <c r="U846" s="99"/>
      <c r="V846" s="255"/>
      <c r="W846" s="102"/>
      <c r="X846" s="102"/>
      <c r="Y846" s="102"/>
      <c r="Z846" s="192"/>
      <c r="AA846" s="615"/>
      <c r="AB846" s="307"/>
      <c r="AC846" s="300"/>
      <c r="AD846" s="300"/>
      <c r="AE846" s="300"/>
      <c r="AF846" s="300"/>
      <c r="AG846" s="300"/>
      <c r="AH846" s="307"/>
      <c r="AI846" s="307"/>
      <c r="AJ846" s="300"/>
      <c r="AK846" s="300"/>
      <c r="AL846" s="300"/>
      <c r="AM846" s="300"/>
      <c r="AN846" s="300"/>
      <c r="AO846" s="300"/>
      <c r="AP846" s="300"/>
      <c r="AQ846" s="192"/>
    </row>
    <row r="847" spans="1:59" s="115" customFormat="1" ht="15" customHeight="1">
      <c r="A847" s="555" t="s">
        <v>2569</v>
      </c>
      <c r="B847" s="217" t="str">
        <f t="shared" si="1235"/>
        <v>100</v>
      </c>
      <c r="C847" s="217" t="str">
        <f t="shared" si="1208"/>
        <v>30</v>
      </c>
      <c r="D847" s="101" t="str">
        <f t="shared" si="1236"/>
        <v>301</v>
      </c>
      <c r="E847" s="217" t="str">
        <f t="shared" si="1237"/>
        <v>100-30-301</v>
      </c>
      <c r="F847" s="294" t="str">
        <f t="shared" si="1233"/>
        <v>51210</v>
      </c>
      <c r="G847" s="295" t="str">
        <f>VLOOKUP(F847,'GL Category'!A:C,3,FALSE)</f>
        <v>Operations &amp; maintenance</v>
      </c>
      <c r="H847" s="98" t="str">
        <f>VLOOKUP(F847,'GL Category'!A:C,2,FALSE)</f>
        <v>OFFICE SUPPLIES</v>
      </c>
      <c r="I847" s="99">
        <f>SUMIF(Import!$B:$B,$A847,Import!D:D)</f>
        <v>8182.79</v>
      </c>
      <c r="J847" s="99">
        <f>SUMIF(Import!$B:$B,$A847,Import!E:E)</f>
        <v>11276.41</v>
      </c>
      <c r="K847" s="99">
        <f>SUMIF(Import!$B:$B,$A847,Import!F:F)</f>
        <v>9677.4500000000007</v>
      </c>
      <c r="L847" s="99">
        <f>SUMIF(Import!$B:$B,$A847,Import!G:G)</f>
        <v>12137.67</v>
      </c>
      <c r="M847" s="99">
        <f>SUMIF(Import!$B:$B,$A847,Import!H:H)</f>
        <v>9000</v>
      </c>
      <c r="N847" s="99">
        <f>SUMIF(Import!$B:$B,$A847,Import!I:I)</f>
        <v>9349.1299999999992</v>
      </c>
      <c r="O847" s="99">
        <f>SUMIF(Import!$B:$B,$A847,Import!J:J)</f>
        <v>9000</v>
      </c>
      <c r="P847" s="99">
        <f t="shared" ref="P847:P857" si="1247">O847-M847</f>
        <v>0</v>
      </c>
      <c r="Q847" s="99">
        <f>SUMIF(Import!$B:$B,$A847,Import!K:K)</f>
        <v>9000</v>
      </c>
      <c r="R847" s="99">
        <f>SUMIF(Import!$B:$B,$A847,Import!L:L)</f>
        <v>0</v>
      </c>
      <c r="S847" s="99">
        <f>SUMIF(Import!$B:$B,$A847,Import!M:M)</f>
        <v>0</v>
      </c>
      <c r="T847" s="99">
        <f>SUMIF(Import!$B:$B,$A847,Import!N:N)</f>
        <v>9000</v>
      </c>
      <c r="U847" s="99">
        <f t="shared" ref="U847:U857" si="1248">T847-M847</f>
        <v>0</v>
      </c>
      <c r="V847" s="255">
        <f t="shared" ref="V847:V857" si="1249">IF(M847=0,"N/A",T847/M847-1)</f>
        <v>0</v>
      </c>
      <c r="W847" s="102" t="s">
        <v>2569</v>
      </c>
      <c r="X847" s="102"/>
      <c r="Y847" s="102"/>
      <c r="Z847" s="192"/>
      <c r="AA847" s="611"/>
      <c r="AB847" s="307"/>
      <c r="AC847" s="300"/>
      <c r="AD847" s="300"/>
      <c r="AE847" s="300"/>
      <c r="AF847" s="300"/>
      <c r="AG847" s="300"/>
      <c r="AH847" s="307"/>
      <c r="AI847" s="307"/>
      <c r="AJ847" s="300"/>
      <c r="AK847" s="300"/>
      <c r="AL847" s="300"/>
      <c r="AM847" s="300"/>
      <c r="AN847" s="300"/>
      <c r="AO847" s="300"/>
      <c r="AP847" s="300"/>
      <c r="AQ847" s="192"/>
    </row>
    <row r="848" spans="1:59" s="115" customFormat="1" ht="15" customHeight="1">
      <c r="A848" s="555" t="s">
        <v>2570</v>
      </c>
      <c r="B848" s="217" t="str">
        <f t="shared" si="1235"/>
        <v>100</v>
      </c>
      <c r="C848" s="217" t="str">
        <f t="shared" si="1208"/>
        <v>30</v>
      </c>
      <c r="D848" s="101" t="str">
        <f t="shared" si="1236"/>
        <v>301</v>
      </c>
      <c r="E848" s="217" t="str">
        <f t="shared" si="1237"/>
        <v>100-30-301</v>
      </c>
      <c r="F848" s="294" t="str">
        <f t="shared" si="1233"/>
        <v>51225</v>
      </c>
      <c r="G848" s="295" t="str">
        <f>VLOOKUP(F848,'GL Category'!A:C,3,FALSE)</f>
        <v>Operations &amp; maintenance</v>
      </c>
      <c r="H848" s="98" t="str">
        <f>VLOOKUP(F848,'GL Category'!A:C,2,FALSE)</f>
        <v>JANITORIAL SUPPLIES</v>
      </c>
      <c r="I848" s="99">
        <f>SUMIF(Import!$B:$B,$A848,Import!D:D)</f>
        <v>6156.15</v>
      </c>
      <c r="J848" s="99">
        <f>SUMIF(Import!$B:$B,$A848,Import!E:E)</f>
        <v>4215.26</v>
      </c>
      <c r="K848" s="99">
        <f>SUMIF(Import!$B:$B,$A848,Import!F:F)</f>
        <v>5120.5</v>
      </c>
      <c r="L848" s="99">
        <f>SUMIF(Import!$B:$B,$A848,Import!G:G)</f>
        <v>3022.74</v>
      </c>
      <c r="M848" s="99">
        <f>SUMIF(Import!$B:$B,$A848,Import!H:H)</f>
        <v>5000</v>
      </c>
      <c r="N848" s="99">
        <f>SUMIF(Import!$B:$B,$A848,Import!I:I)</f>
        <v>3527.56</v>
      </c>
      <c r="O848" s="99">
        <f>SUMIF(Import!$B:$B,$A848,Import!J:J)</f>
        <v>5000</v>
      </c>
      <c r="P848" s="99">
        <f t="shared" si="1247"/>
        <v>0</v>
      </c>
      <c r="Q848" s="99">
        <f>SUMIF(Import!$B:$B,$A848,Import!K:K)</f>
        <v>5000</v>
      </c>
      <c r="R848" s="99">
        <f>SUMIF(Import!$B:$B,$A848,Import!L:L)</f>
        <v>0</v>
      </c>
      <c r="S848" s="99">
        <f>SUMIF(Import!$B:$B,$A848,Import!M:M)</f>
        <v>0</v>
      </c>
      <c r="T848" s="99">
        <f>SUMIF(Import!$B:$B,$A848,Import!N:N)</f>
        <v>5000</v>
      </c>
      <c r="U848" s="99">
        <f t="shared" si="1248"/>
        <v>0</v>
      </c>
      <c r="V848" s="255">
        <f t="shared" si="1249"/>
        <v>0</v>
      </c>
      <c r="W848" s="102" t="s">
        <v>2570</v>
      </c>
      <c r="X848" s="102"/>
      <c r="Y848" s="102"/>
      <c r="Z848" s="192"/>
      <c r="AA848" s="611"/>
      <c r="AB848" s="307"/>
      <c r="AC848" s="93"/>
      <c r="AD848" s="93"/>
      <c r="AE848" s="93"/>
      <c r="AF848" s="93"/>
      <c r="AG848" s="93"/>
      <c r="AH848" s="307"/>
      <c r="AI848" s="307"/>
      <c r="AJ848" s="93"/>
      <c r="AK848" s="93"/>
      <c r="AL848" s="93"/>
      <c r="AM848" s="93"/>
      <c r="AN848" s="93"/>
      <c r="AO848" s="93"/>
      <c r="AP848" s="93"/>
      <c r="AQ848" s="192"/>
    </row>
    <row r="849" spans="1:43" s="115" customFormat="1" ht="15" customHeight="1">
      <c r="A849" s="555" t="s">
        <v>2571</v>
      </c>
      <c r="B849" s="217" t="str">
        <f t="shared" si="1235"/>
        <v>100</v>
      </c>
      <c r="C849" s="217" t="str">
        <f t="shared" si="1208"/>
        <v>30</v>
      </c>
      <c r="D849" s="101" t="str">
        <f t="shared" si="1236"/>
        <v>301</v>
      </c>
      <c r="E849" s="217" t="str">
        <f t="shared" si="1237"/>
        <v>100-30-301</v>
      </c>
      <c r="F849" s="294" t="str">
        <f t="shared" si="1233"/>
        <v>51255</v>
      </c>
      <c r="G849" s="295" t="str">
        <f>VLOOKUP(F849,'GL Category'!A:C,3,FALSE)</f>
        <v>Operations &amp; maintenance</v>
      </c>
      <c r="H849" s="98" t="str">
        <f>VLOOKUP(F849,'GL Category'!A:C,2,FALSE)</f>
        <v>FUEL/OILS/LUBRICANTS</v>
      </c>
      <c r="I849" s="99">
        <f>SUMIF(Import!$B:$B,$A849,Import!D:D)</f>
        <v>777.16</v>
      </c>
      <c r="J849" s="99">
        <f>SUMIF(Import!$B:$B,$A849,Import!E:E)</f>
        <v>1095.71</v>
      </c>
      <c r="K849" s="99">
        <f>SUMIF(Import!$B:$B,$A849,Import!F:F)</f>
        <v>1441.25</v>
      </c>
      <c r="L849" s="99">
        <f>SUMIF(Import!$B:$B,$A849,Import!G:G)</f>
        <v>1126.8699999999999</v>
      </c>
      <c r="M849" s="99">
        <f>SUMIF(Import!$B:$B,$A849,Import!H:H)</f>
        <v>2000</v>
      </c>
      <c r="N849" s="99">
        <f>SUMIF(Import!$B:$B,$A849,Import!I:I)</f>
        <v>1918.75</v>
      </c>
      <c r="O849" s="99">
        <f>SUMIF(Import!$B:$B,$A849,Import!J:J)</f>
        <v>2000</v>
      </c>
      <c r="P849" s="99">
        <f t="shared" si="1247"/>
        <v>0</v>
      </c>
      <c r="Q849" s="99">
        <f>SUMIF(Import!$B:$B,$A849,Import!K:K)</f>
        <v>2000</v>
      </c>
      <c r="R849" s="99">
        <f>SUMIF(Import!$B:$B,$A849,Import!L:L)</f>
        <v>0</v>
      </c>
      <c r="S849" s="99">
        <f>SUMIF(Import!$B:$B,$A849,Import!M:M)</f>
        <v>0</v>
      </c>
      <c r="T849" s="99">
        <f>SUMIF(Import!$B:$B,$A849,Import!N:N)</f>
        <v>2000</v>
      </c>
      <c r="U849" s="99">
        <f t="shared" si="1248"/>
        <v>0</v>
      </c>
      <c r="V849" s="255">
        <f t="shared" si="1249"/>
        <v>0</v>
      </c>
      <c r="W849" s="102" t="s">
        <v>2571</v>
      </c>
      <c r="X849" s="102"/>
      <c r="Y849" s="102"/>
      <c r="Z849" s="192"/>
      <c r="AA849" s="611"/>
      <c r="AB849" s="307"/>
      <c r="AC849" s="300"/>
      <c r="AD849" s="300"/>
      <c r="AE849" s="300"/>
      <c r="AF849" s="300"/>
      <c r="AG849" s="300"/>
      <c r="AH849" s="307"/>
      <c r="AI849" s="307"/>
      <c r="AJ849" s="300"/>
      <c r="AK849" s="300"/>
      <c r="AL849" s="300"/>
      <c r="AM849" s="300"/>
      <c r="AN849" s="300"/>
      <c r="AO849" s="300"/>
      <c r="AP849" s="300"/>
      <c r="AQ849" s="192"/>
    </row>
    <row r="850" spans="1:43" s="115" customFormat="1" ht="15" customHeight="1">
      <c r="A850" s="555" t="s">
        <v>2572</v>
      </c>
      <c r="B850" s="217" t="str">
        <f t="shared" si="1235"/>
        <v>100</v>
      </c>
      <c r="C850" s="217" t="str">
        <f t="shared" si="1208"/>
        <v>30</v>
      </c>
      <c r="D850" s="101" t="str">
        <f t="shared" si="1236"/>
        <v>301</v>
      </c>
      <c r="E850" s="217" t="str">
        <f t="shared" si="1237"/>
        <v>100-30-301</v>
      </c>
      <c r="F850" s="294" t="str">
        <f t="shared" si="1233"/>
        <v>51285</v>
      </c>
      <c r="G850" s="295" t="str">
        <f>VLOOKUP(F850,'GL Category'!A:C,3,FALSE)</f>
        <v>Operations &amp; maintenance</v>
      </c>
      <c r="H850" s="98" t="str">
        <f>VLOOKUP(F850,'GL Category'!A:C,2,FALSE)</f>
        <v>WEARING APPAREL</v>
      </c>
      <c r="I850" s="99">
        <f>SUMIF(Import!$B:$B,$A850,Import!D:D)</f>
        <v>2725.05</v>
      </c>
      <c r="J850" s="99">
        <f>SUMIF(Import!$B:$B,$A850,Import!E:E)</f>
        <v>2659.6</v>
      </c>
      <c r="K850" s="99">
        <f>SUMIF(Import!$B:$B,$A850,Import!F:F)</f>
        <v>781.42</v>
      </c>
      <c r="L850" s="99">
        <f>SUMIF(Import!$B:$B,$A850,Import!G:G)</f>
        <v>368.43</v>
      </c>
      <c r="M850" s="99">
        <f>SUMIF(Import!$B:$B,$A850,Import!H:H)</f>
        <v>1000</v>
      </c>
      <c r="N850" s="99">
        <f>SUMIF(Import!$B:$B,$A850,Import!I:I)</f>
        <v>1883.98</v>
      </c>
      <c r="O850" s="99">
        <f>SUMIF(Import!$B:$B,$A850,Import!J:J)</f>
        <v>2000</v>
      </c>
      <c r="P850" s="99">
        <f t="shared" si="1247"/>
        <v>1000</v>
      </c>
      <c r="Q850" s="99">
        <f>SUMIF(Import!$B:$B,$A850,Import!K:K)</f>
        <v>1000</v>
      </c>
      <c r="R850" s="99">
        <f>SUMIF(Import!$B:$B,$A850,Import!L:L)</f>
        <v>0</v>
      </c>
      <c r="S850" s="99">
        <f>SUMIF(Import!$B:$B,$A850,Import!M:M)</f>
        <v>0</v>
      </c>
      <c r="T850" s="99">
        <f>SUMIF(Import!$B:$B,$A850,Import!N:N)</f>
        <v>1000</v>
      </c>
      <c r="U850" s="99">
        <f t="shared" si="1248"/>
        <v>0</v>
      </c>
      <c r="V850" s="255">
        <f t="shared" si="1249"/>
        <v>0</v>
      </c>
      <c r="W850" s="102" t="s">
        <v>2572</v>
      </c>
      <c r="X850" s="102"/>
      <c r="Y850" s="102"/>
      <c r="Z850" s="192"/>
      <c r="AA850" s="611"/>
      <c r="AB850" s="307"/>
      <c r="AC850" s="300"/>
      <c r="AD850" s="300"/>
      <c r="AE850" s="300"/>
      <c r="AF850" s="300"/>
      <c r="AG850" s="300"/>
      <c r="AH850" s="307"/>
      <c r="AI850" s="307"/>
      <c r="AJ850" s="300"/>
      <c r="AK850" s="300"/>
      <c r="AL850" s="300"/>
      <c r="AM850" s="300"/>
      <c r="AN850" s="300"/>
      <c r="AO850" s="300"/>
      <c r="AP850" s="300"/>
      <c r="AQ850" s="192"/>
    </row>
    <row r="851" spans="1:43" s="115" customFormat="1" ht="15" customHeight="1">
      <c r="A851" s="555" t="s">
        <v>2573</v>
      </c>
      <c r="B851" s="217" t="str">
        <f t="shared" si="1235"/>
        <v>100</v>
      </c>
      <c r="C851" s="217" t="str">
        <f t="shared" si="1208"/>
        <v>30</v>
      </c>
      <c r="D851" s="101" t="str">
        <f t="shared" si="1236"/>
        <v>301</v>
      </c>
      <c r="E851" s="217" t="str">
        <f t="shared" si="1237"/>
        <v>100-30-301</v>
      </c>
      <c r="F851" s="294" t="str">
        <f t="shared" si="1233"/>
        <v>51299</v>
      </c>
      <c r="G851" s="295" t="str">
        <f>VLOOKUP(F851,'GL Category'!A:C,3,FALSE)</f>
        <v>Operations &amp; maintenance</v>
      </c>
      <c r="H851" s="98" t="str">
        <f>VLOOKUP(F851,'GL Category'!A:C,2,FALSE)</f>
        <v>MISCELLANEOUS SUPPLIES</v>
      </c>
      <c r="I851" s="99">
        <f>SUMIF(Import!$B:$B,$A851,Import!D:D)</f>
        <v>1801.87</v>
      </c>
      <c r="J851" s="99">
        <f>SUMIF(Import!$B:$B,$A851,Import!E:E)</f>
        <v>1746.11</v>
      </c>
      <c r="K851" s="99">
        <f>SUMIF(Import!$B:$B,$A851,Import!F:F)</f>
        <v>2028.19</v>
      </c>
      <c r="L851" s="99">
        <f>SUMIF(Import!$B:$B,$A851,Import!G:G)</f>
        <v>839.54</v>
      </c>
      <c r="M851" s="99">
        <f>SUMIF(Import!$B:$B,$A851,Import!H:H)</f>
        <v>2500</v>
      </c>
      <c r="N851" s="99">
        <f>SUMIF(Import!$B:$B,$A851,Import!I:I)</f>
        <v>2261.56</v>
      </c>
      <c r="O851" s="99">
        <f>SUMIF(Import!$B:$B,$A851,Import!J:J)</f>
        <v>2500</v>
      </c>
      <c r="P851" s="99">
        <f t="shared" si="1247"/>
        <v>0</v>
      </c>
      <c r="Q851" s="99">
        <f>SUMIF(Import!$B:$B,$A851,Import!K:K)</f>
        <v>1500</v>
      </c>
      <c r="R851" s="99">
        <f>SUMIF(Import!$B:$B,$A851,Import!L:L)</f>
        <v>0</v>
      </c>
      <c r="S851" s="99">
        <f>SUMIF(Import!$B:$B,$A851,Import!M:M)</f>
        <v>0</v>
      </c>
      <c r="T851" s="99">
        <f>SUMIF(Import!$B:$B,$A851,Import!N:N)</f>
        <v>1500</v>
      </c>
      <c r="U851" s="99">
        <f t="shared" si="1248"/>
        <v>-1000</v>
      </c>
      <c r="V851" s="255">
        <f t="shared" si="1249"/>
        <v>-0.4</v>
      </c>
      <c r="W851" s="102" t="s">
        <v>2573</v>
      </c>
      <c r="X851" s="102"/>
      <c r="Y851" s="102"/>
      <c r="Z851" s="192"/>
      <c r="AA851" s="611"/>
      <c r="AB851" s="307"/>
      <c r="AC851" s="94"/>
      <c r="AD851" s="94"/>
      <c r="AE851" s="94"/>
      <c r="AF851" s="94"/>
      <c r="AG851" s="94"/>
      <c r="AH851" s="307"/>
      <c r="AI851" s="307"/>
      <c r="AJ851" s="94"/>
      <c r="AK851" s="94"/>
      <c r="AL851" s="94"/>
      <c r="AM851" s="94"/>
      <c r="AN851" s="94"/>
      <c r="AO851" s="94"/>
      <c r="AP851" s="94"/>
      <c r="AQ851" s="192"/>
    </row>
    <row r="852" spans="1:43" s="115" customFormat="1" ht="15" customHeight="1">
      <c r="A852" s="555" t="s">
        <v>2574</v>
      </c>
      <c r="B852" s="217" t="str">
        <f t="shared" si="1235"/>
        <v>100</v>
      </c>
      <c r="C852" s="217" t="str">
        <f t="shared" si="1208"/>
        <v>30</v>
      </c>
      <c r="D852" s="101" t="str">
        <f t="shared" si="1236"/>
        <v>301</v>
      </c>
      <c r="E852" s="217" t="str">
        <f t="shared" si="1237"/>
        <v>100-30-301</v>
      </c>
      <c r="F852" s="294" t="str">
        <f t="shared" si="1233"/>
        <v>52310</v>
      </c>
      <c r="G852" s="295" t="str">
        <f>VLOOKUP(F852,'GL Category'!A:C,3,FALSE)</f>
        <v>Operations &amp; maintenance</v>
      </c>
      <c r="H852" s="98" t="str">
        <f>VLOOKUP(F852,'GL Category'!A:C,2,FALSE)</f>
        <v>BUILDING MAINTENANCE</v>
      </c>
      <c r="I852" s="99">
        <f>SUMIF(Import!$B:$B,$A852,Import!D:D)</f>
        <v>19256.28</v>
      </c>
      <c r="J852" s="99">
        <f>SUMIF(Import!$B:$B,$A852,Import!E:E)</f>
        <v>15206.09</v>
      </c>
      <c r="K852" s="99">
        <f>SUMIF(Import!$B:$B,$A852,Import!F:F)</f>
        <v>14157.37</v>
      </c>
      <c r="L852" s="99">
        <f>SUMIF(Import!$B:$B,$A852,Import!G:G)</f>
        <v>15088.86</v>
      </c>
      <c r="M852" s="99">
        <f>SUMIF(Import!$B:$B,$A852,Import!H:H)</f>
        <v>15000</v>
      </c>
      <c r="N852" s="99">
        <f>SUMIF(Import!$B:$B,$A852,Import!I:I)</f>
        <v>14122.9</v>
      </c>
      <c r="O852" s="99">
        <f>SUMIF(Import!$B:$B,$A852,Import!J:J)</f>
        <v>15000</v>
      </c>
      <c r="P852" s="99">
        <f t="shared" si="1247"/>
        <v>0</v>
      </c>
      <c r="Q852" s="99">
        <f>SUMIF(Import!$B:$B,$A852,Import!K:K)</f>
        <v>15000</v>
      </c>
      <c r="R852" s="99">
        <f>SUMIF(Import!$B:$B,$A852,Import!L:L)</f>
        <v>0</v>
      </c>
      <c r="S852" s="99">
        <f>SUMIF(Import!$B:$B,$A852,Import!M:M)</f>
        <v>0</v>
      </c>
      <c r="T852" s="99">
        <f>SUMIF(Import!$B:$B,$A852,Import!N:N)</f>
        <v>15000</v>
      </c>
      <c r="U852" s="99">
        <f t="shared" si="1248"/>
        <v>0</v>
      </c>
      <c r="V852" s="255">
        <f t="shared" si="1249"/>
        <v>0</v>
      </c>
      <c r="W852" s="102" t="s">
        <v>2574</v>
      </c>
      <c r="X852" s="102"/>
      <c r="Y852" s="102"/>
      <c r="Z852" s="192"/>
      <c r="AA852" s="615"/>
      <c r="AB852" s="307"/>
      <c r="AC852" s="93"/>
      <c r="AD852" s="93"/>
      <c r="AE852" s="93"/>
      <c r="AF852" s="93"/>
      <c r="AG852" s="93"/>
      <c r="AH852" s="307"/>
      <c r="AI852" s="307"/>
      <c r="AJ852" s="93"/>
      <c r="AK852" s="93"/>
      <c r="AL852" s="93"/>
      <c r="AM852" s="93"/>
      <c r="AN852" s="93"/>
      <c r="AO852" s="93"/>
      <c r="AP852" s="93"/>
      <c r="AQ852" s="192"/>
    </row>
    <row r="853" spans="1:43" s="115" customFormat="1" ht="15" customHeight="1">
      <c r="A853" s="555" t="s">
        <v>2575</v>
      </c>
      <c r="B853" s="217" t="str">
        <f t="shared" si="1235"/>
        <v>100</v>
      </c>
      <c r="C853" s="217" t="str">
        <f t="shared" si="1208"/>
        <v>30</v>
      </c>
      <c r="D853" s="101" t="str">
        <f t="shared" si="1236"/>
        <v>301</v>
      </c>
      <c r="E853" s="217" t="str">
        <f t="shared" si="1237"/>
        <v>100-30-301</v>
      </c>
      <c r="F853" s="294" t="str">
        <f t="shared" si="1233"/>
        <v>52440</v>
      </c>
      <c r="G853" s="295" t="str">
        <f>VLOOKUP(F853,'GL Category'!A:C,3,FALSE)</f>
        <v>Operations &amp; maintenance</v>
      </c>
      <c r="H853" s="98" t="str">
        <f>VLOOKUP(F853,'GL Category'!A:C,2,FALSE)</f>
        <v>RADIO MAINTENANCE</v>
      </c>
      <c r="I853" s="99">
        <f>SUMIF(Import!$B:$B,$A853,Import!D:D)</f>
        <v>193.46</v>
      </c>
      <c r="J853" s="99">
        <f>SUMIF(Import!$B:$B,$A853,Import!E:E)</f>
        <v>89.15</v>
      </c>
      <c r="K853" s="99">
        <f>SUMIF(Import!$B:$B,$A853,Import!F:F)</f>
        <v>154.13</v>
      </c>
      <c r="L853" s="99">
        <f>SUMIF(Import!$B:$B,$A853,Import!G:G)</f>
        <v>156.41</v>
      </c>
      <c r="M853" s="99">
        <f>SUMIF(Import!$B:$B,$A853,Import!H:H)</f>
        <v>500</v>
      </c>
      <c r="N853" s="99">
        <f>SUMIF(Import!$B:$B,$A853,Import!I:I)</f>
        <v>158.69</v>
      </c>
      <c r="O853" s="99">
        <f>SUMIF(Import!$B:$B,$A853,Import!J:J)</f>
        <v>500</v>
      </c>
      <c r="P853" s="99">
        <f t="shared" si="1247"/>
        <v>0</v>
      </c>
      <c r="Q853" s="99">
        <f>SUMIF(Import!$B:$B,$A853,Import!K:K)</f>
        <v>500</v>
      </c>
      <c r="R853" s="99">
        <f>SUMIF(Import!$B:$B,$A853,Import!L:L)</f>
        <v>0</v>
      </c>
      <c r="S853" s="99">
        <f>SUMIF(Import!$B:$B,$A853,Import!M:M)</f>
        <v>0</v>
      </c>
      <c r="T853" s="99">
        <f>SUMIF(Import!$B:$B,$A853,Import!N:N)</f>
        <v>500</v>
      </c>
      <c r="U853" s="99">
        <f t="shared" si="1248"/>
        <v>0</v>
      </c>
      <c r="V853" s="255">
        <f t="shared" si="1249"/>
        <v>0</v>
      </c>
      <c r="W853" s="102" t="s">
        <v>2575</v>
      </c>
      <c r="X853" s="102"/>
      <c r="Y853" s="102"/>
      <c r="Z853" s="192"/>
      <c r="AA853" s="615"/>
      <c r="AB853" s="307"/>
      <c r="AC853" s="300"/>
      <c r="AD853" s="300"/>
      <c r="AE853" s="300"/>
      <c r="AF853" s="300"/>
      <c r="AG853" s="300"/>
      <c r="AH853" s="307"/>
      <c r="AI853" s="307"/>
      <c r="AJ853" s="300"/>
      <c r="AK853" s="300"/>
      <c r="AL853" s="300"/>
      <c r="AM853" s="300"/>
      <c r="AN853" s="300"/>
      <c r="AO853" s="300"/>
      <c r="AP853" s="300"/>
      <c r="AQ853" s="192"/>
    </row>
    <row r="854" spans="1:43" s="115" customFormat="1" ht="15" customHeight="1">
      <c r="A854" s="555" t="s">
        <v>2576</v>
      </c>
      <c r="B854" s="217" t="str">
        <f t="shared" si="1235"/>
        <v>100</v>
      </c>
      <c r="C854" s="217" t="str">
        <f t="shared" si="1208"/>
        <v>30</v>
      </c>
      <c r="D854" s="101" t="str">
        <f t="shared" si="1236"/>
        <v>301</v>
      </c>
      <c r="E854" s="217" t="str">
        <f t="shared" si="1237"/>
        <v>100-30-301</v>
      </c>
      <c r="F854" s="294" t="str">
        <f t="shared" si="1233"/>
        <v>52460</v>
      </c>
      <c r="G854" s="295" t="str">
        <f>VLOOKUP(F854,'GL Category'!A:C,3,FALSE)</f>
        <v>Operations &amp; maintenance</v>
      </c>
      <c r="H854" s="98" t="str">
        <f>VLOOKUP(F854,'GL Category'!A:C,2,FALSE)</f>
        <v>VEHICLE MAINTENANCE</v>
      </c>
      <c r="I854" s="99">
        <f>SUMIF(Import!$B:$B,$A854,Import!D:D)</f>
        <v>583.17999999999995</v>
      </c>
      <c r="J854" s="99">
        <f>SUMIF(Import!$B:$B,$A854,Import!E:E)</f>
        <v>182.14</v>
      </c>
      <c r="K854" s="99">
        <f>SUMIF(Import!$B:$B,$A854,Import!F:F)</f>
        <v>79.84</v>
      </c>
      <c r="L854" s="99">
        <f>SUMIF(Import!$B:$B,$A854,Import!G:G)</f>
        <v>1221.23</v>
      </c>
      <c r="M854" s="99">
        <f>SUMIF(Import!$B:$B,$A854,Import!H:H)</f>
        <v>800</v>
      </c>
      <c r="N854" s="99">
        <f>SUMIF(Import!$B:$B,$A854,Import!I:I)</f>
        <v>460.59</v>
      </c>
      <c r="O854" s="99">
        <f>SUMIF(Import!$B:$B,$A854,Import!J:J)</f>
        <v>800</v>
      </c>
      <c r="P854" s="99">
        <f t="shared" si="1247"/>
        <v>0</v>
      </c>
      <c r="Q854" s="99">
        <f>SUMIF(Import!$B:$B,$A854,Import!K:K)</f>
        <v>800</v>
      </c>
      <c r="R854" s="99">
        <f>SUMIF(Import!$B:$B,$A854,Import!L:L)</f>
        <v>0</v>
      </c>
      <c r="S854" s="99">
        <f>SUMIF(Import!$B:$B,$A854,Import!M:M)</f>
        <v>0</v>
      </c>
      <c r="T854" s="99">
        <f>SUMIF(Import!$B:$B,$A854,Import!N:N)</f>
        <v>800</v>
      </c>
      <c r="U854" s="99">
        <f t="shared" si="1248"/>
        <v>0</v>
      </c>
      <c r="V854" s="255">
        <f t="shared" si="1249"/>
        <v>0</v>
      </c>
      <c r="W854" s="102" t="s">
        <v>2576</v>
      </c>
      <c r="X854" s="102"/>
      <c r="Y854" s="102"/>
      <c r="Z854" s="192"/>
      <c r="AA854" s="615"/>
      <c r="AB854" s="307"/>
      <c r="AC854" s="300"/>
      <c r="AD854" s="300"/>
      <c r="AE854" s="300"/>
      <c r="AF854" s="300"/>
      <c r="AG854" s="300"/>
      <c r="AH854" s="307"/>
      <c r="AI854" s="307"/>
      <c r="AJ854" s="300"/>
      <c r="AK854" s="300"/>
      <c r="AL854" s="300"/>
      <c r="AM854" s="300"/>
      <c r="AN854" s="300"/>
      <c r="AO854" s="300"/>
      <c r="AP854" s="300"/>
      <c r="AQ854" s="192"/>
    </row>
    <row r="855" spans="1:43" s="115" customFormat="1" ht="15" customHeight="1">
      <c r="A855" s="555" t="s">
        <v>2577</v>
      </c>
      <c r="B855" s="217" t="str">
        <f t="shared" si="1235"/>
        <v>100</v>
      </c>
      <c r="C855" s="217" t="str">
        <f t="shared" si="1208"/>
        <v>30</v>
      </c>
      <c r="D855" s="101" t="str">
        <f t="shared" si="1236"/>
        <v>301</v>
      </c>
      <c r="E855" s="217" t="str">
        <f t="shared" si="1237"/>
        <v>100-30-301</v>
      </c>
      <c r="F855" s="294" t="str">
        <f t="shared" si="1233"/>
        <v>52470</v>
      </c>
      <c r="G855" s="295" t="str">
        <f>VLOOKUP(F855,'GL Category'!A:C,3,FALSE)</f>
        <v>Operations &amp; maintenance</v>
      </c>
      <c r="H855" s="98" t="str">
        <f>VLOOKUP(F855,'GL Category'!A:C,2,FALSE)</f>
        <v>EQUIPMENT MAINTENANCE</v>
      </c>
      <c r="I855" s="99">
        <f>SUMIF(Import!$B:$B,$A855,Import!D:D)</f>
        <v>-18.18</v>
      </c>
      <c r="J855" s="99">
        <f>SUMIF(Import!$B:$B,$A855,Import!E:E)</f>
        <v>0</v>
      </c>
      <c r="K855" s="99">
        <f>SUMIF(Import!$B:$B,$A855,Import!F:F)</f>
        <v>102.67</v>
      </c>
      <c r="L855" s="99">
        <f>SUMIF(Import!$B:$B,$A855,Import!G:G)</f>
        <v>98.98</v>
      </c>
      <c r="M855" s="99">
        <f>SUMIF(Import!$B:$B,$A855,Import!H:H)</f>
        <v>500</v>
      </c>
      <c r="N855" s="99">
        <f>SUMIF(Import!$B:$B,$A855,Import!I:I)</f>
        <v>99.98</v>
      </c>
      <c r="O855" s="99">
        <f>SUMIF(Import!$B:$B,$A855,Import!J:J)</f>
        <v>500</v>
      </c>
      <c r="P855" s="99">
        <f t="shared" si="1247"/>
        <v>0</v>
      </c>
      <c r="Q855" s="99">
        <f>SUMIF(Import!$B:$B,$A855,Import!K:K)</f>
        <v>500</v>
      </c>
      <c r="R855" s="99">
        <f>SUMIF(Import!$B:$B,$A855,Import!L:L)</f>
        <v>0</v>
      </c>
      <c r="S855" s="99">
        <f>SUMIF(Import!$B:$B,$A855,Import!M:M)</f>
        <v>0</v>
      </c>
      <c r="T855" s="99">
        <f>SUMIF(Import!$B:$B,$A855,Import!N:N)</f>
        <v>500</v>
      </c>
      <c r="U855" s="99">
        <f t="shared" si="1248"/>
        <v>0</v>
      </c>
      <c r="V855" s="255">
        <f t="shared" si="1249"/>
        <v>0</v>
      </c>
      <c r="W855" s="102" t="s">
        <v>2577</v>
      </c>
      <c r="X855" s="102"/>
      <c r="Y855" s="102"/>
      <c r="Z855" s="192"/>
      <c r="AA855" s="615"/>
      <c r="AB855" s="307"/>
      <c r="AC855" s="300"/>
      <c r="AD855" s="300"/>
      <c r="AE855" s="300"/>
      <c r="AF855" s="300"/>
      <c r="AG855" s="300"/>
      <c r="AH855" s="307"/>
      <c r="AI855" s="307"/>
      <c r="AJ855" s="300"/>
      <c r="AK855" s="300"/>
      <c r="AL855" s="300"/>
      <c r="AM855" s="300"/>
      <c r="AN855" s="300"/>
      <c r="AO855" s="300"/>
      <c r="AP855" s="300"/>
      <c r="AQ855" s="192"/>
    </row>
    <row r="856" spans="1:43" s="115" customFormat="1" ht="15" customHeight="1">
      <c r="A856" s="555" t="s">
        <v>2578</v>
      </c>
      <c r="B856" s="217" t="str">
        <f t="shared" si="1235"/>
        <v>100</v>
      </c>
      <c r="C856" s="217" t="str">
        <f t="shared" si="1208"/>
        <v>30</v>
      </c>
      <c r="D856" s="101" t="str">
        <f t="shared" si="1236"/>
        <v>301</v>
      </c>
      <c r="E856" s="217" t="str">
        <f t="shared" si="1237"/>
        <v>100-30-301</v>
      </c>
      <c r="F856" s="294" t="str">
        <f t="shared" si="1233"/>
        <v>52480</v>
      </c>
      <c r="G856" s="295" t="str">
        <f>VLOOKUP(F856,'GL Category'!A:C,3,FALSE)</f>
        <v>Operations &amp; maintenance</v>
      </c>
      <c r="H856" s="98" t="str">
        <f>VLOOKUP(F856,'GL Category'!A:C,2,FALSE)</f>
        <v>OFFICE EQUIPMENT MAINTENANCE</v>
      </c>
      <c r="I856" s="99">
        <f>SUMIF(Import!$B:$B,$A856,Import!D:D)</f>
        <v>0</v>
      </c>
      <c r="J856" s="99">
        <f>SUMIF(Import!$B:$B,$A856,Import!E:E)</f>
        <v>0</v>
      </c>
      <c r="K856" s="99">
        <f>SUMIF(Import!$B:$B,$A856,Import!F:F)</f>
        <v>0</v>
      </c>
      <c r="L856" s="99">
        <f>SUMIF(Import!$B:$B,$A856,Import!G:G)</f>
        <v>0</v>
      </c>
      <c r="M856" s="99">
        <f>SUMIF(Import!$B:$B,$A856,Import!H:H)</f>
        <v>0</v>
      </c>
      <c r="N856" s="99">
        <f>SUMIF(Import!$B:$B,$A856,Import!I:I)</f>
        <v>0</v>
      </c>
      <c r="O856" s="99">
        <f>SUMIF(Import!$B:$B,$A856,Import!J:J)</f>
        <v>0</v>
      </c>
      <c r="P856" s="99">
        <f t="shared" si="1247"/>
        <v>0</v>
      </c>
      <c r="Q856" s="99">
        <f>SUMIF(Import!$B:$B,$A856,Import!K:K)</f>
        <v>0</v>
      </c>
      <c r="R856" s="99">
        <f>SUMIF(Import!$B:$B,$A856,Import!L:L)</f>
        <v>0</v>
      </c>
      <c r="S856" s="99">
        <f>SUMIF(Import!$B:$B,$A856,Import!M:M)</f>
        <v>0</v>
      </c>
      <c r="T856" s="99">
        <f>SUMIF(Import!$B:$B,$A856,Import!N:N)</f>
        <v>0</v>
      </c>
      <c r="U856" s="99">
        <f t="shared" si="1248"/>
        <v>0</v>
      </c>
      <c r="V856" s="255" t="str">
        <f t="shared" si="1249"/>
        <v>N/A</v>
      </c>
      <c r="W856" s="102" t="s">
        <v>2578</v>
      </c>
      <c r="X856" s="102"/>
      <c r="Y856" s="102"/>
      <c r="Z856" s="192"/>
      <c r="AA856" s="615"/>
      <c r="AB856" s="307"/>
      <c r="AC856" s="300"/>
      <c r="AD856" s="300"/>
      <c r="AE856" s="300"/>
      <c r="AF856" s="300"/>
      <c r="AG856" s="300"/>
      <c r="AH856" s="307"/>
      <c r="AI856" s="307"/>
      <c r="AJ856" s="300"/>
      <c r="AK856" s="300"/>
      <c r="AL856" s="300"/>
      <c r="AM856" s="300"/>
      <c r="AN856" s="300"/>
      <c r="AO856" s="300"/>
      <c r="AP856" s="300"/>
      <c r="AQ856" s="192"/>
    </row>
    <row r="857" spans="1:43" s="115" customFormat="1" ht="15" customHeight="1">
      <c r="A857" s="555" t="s">
        <v>2579</v>
      </c>
      <c r="B857" s="217" t="str">
        <f t="shared" si="1235"/>
        <v>100</v>
      </c>
      <c r="C857" s="217" t="str">
        <f t="shared" si="1208"/>
        <v>30</v>
      </c>
      <c r="D857" s="101" t="str">
        <f t="shared" si="1236"/>
        <v>301</v>
      </c>
      <c r="E857" s="217" t="str">
        <f t="shared" si="1237"/>
        <v>100-30-301</v>
      </c>
      <c r="F857" s="294" t="str">
        <f t="shared" si="1233"/>
        <v>52490</v>
      </c>
      <c r="G857" s="295" t="str">
        <f>VLOOKUP(F857,'GL Category'!A:C,3,FALSE)</f>
        <v>Operations &amp; maintenance</v>
      </c>
      <c r="H857" s="98" t="str">
        <f>VLOOKUP(F857,'GL Category'!A:C,2,FALSE)</f>
        <v>A/C &amp; HEATING MAINTENANCE</v>
      </c>
      <c r="I857" s="99">
        <f>SUMIF(Import!$B:$B,$A857,Import!D:D)</f>
        <v>12742.79</v>
      </c>
      <c r="J857" s="99">
        <f>SUMIF(Import!$B:$B,$A857,Import!E:E)</f>
        <v>28551.279999999999</v>
      </c>
      <c r="K857" s="99">
        <f>SUMIF(Import!$B:$B,$A857,Import!F:F)</f>
        <v>26383.01</v>
      </c>
      <c r="L857" s="99">
        <f>SUMIF(Import!$B:$B,$A857,Import!G:G)</f>
        <v>31288.63</v>
      </c>
      <c r="M857" s="99">
        <f>SUMIF(Import!$B:$B,$A857,Import!H:H)</f>
        <v>20000</v>
      </c>
      <c r="N857" s="99">
        <f>SUMIF(Import!$B:$B,$A857,Import!I:I)</f>
        <v>11247.5</v>
      </c>
      <c r="O857" s="99">
        <f>SUMIF(Import!$B:$B,$A857,Import!J:J)</f>
        <v>20000</v>
      </c>
      <c r="P857" s="99">
        <f t="shared" si="1247"/>
        <v>0</v>
      </c>
      <c r="Q857" s="99">
        <f>SUMIF(Import!$B:$B,$A857,Import!K:K)</f>
        <v>20000</v>
      </c>
      <c r="R857" s="99">
        <f>SUMIF(Import!$B:$B,$A857,Import!L:L)</f>
        <v>0</v>
      </c>
      <c r="S857" s="99">
        <f>SUMIF(Import!$B:$B,$A857,Import!M:M)</f>
        <v>0</v>
      </c>
      <c r="T857" s="99">
        <f>SUMIF(Import!$B:$B,$A857,Import!N:N)</f>
        <v>20000</v>
      </c>
      <c r="U857" s="99">
        <f t="shared" si="1248"/>
        <v>0</v>
      </c>
      <c r="V857" s="255">
        <f t="shared" si="1249"/>
        <v>0</v>
      </c>
      <c r="W857" s="102" t="s">
        <v>2579</v>
      </c>
      <c r="X857" s="102"/>
      <c r="Y857" s="102"/>
      <c r="Z857" s="192"/>
      <c r="AA857" s="615"/>
      <c r="AB857" s="307"/>
      <c r="AC857" s="300"/>
      <c r="AD857" s="300"/>
      <c r="AE857" s="300"/>
      <c r="AF857" s="300"/>
      <c r="AG857" s="300"/>
      <c r="AH857" s="307"/>
      <c r="AI857" s="307"/>
      <c r="AJ857" s="300"/>
      <c r="AK857" s="300"/>
      <c r="AL857" s="300"/>
      <c r="AM857" s="300"/>
      <c r="AN857" s="300"/>
      <c r="AO857" s="300"/>
      <c r="AP857" s="300"/>
      <c r="AQ857" s="192"/>
    </row>
    <row r="858" spans="1:43" s="115" customFormat="1" ht="23.4" customHeight="1">
      <c r="A858" s="555"/>
      <c r="B858" s="217"/>
      <c r="C858" s="217"/>
      <c r="D858" s="101"/>
      <c r="E858" s="217"/>
      <c r="F858" s="294"/>
      <c r="G858" s="295"/>
      <c r="H858" s="107" t="str">
        <f>UPPER(G857)&amp;" TOTAL"</f>
        <v>OPERATIONS &amp; MAINTENANCE TOTAL</v>
      </c>
      <c r="I858" s="109">
        <f t="shared" ref="I858" si="1250">SUBTOTAL(9,I847:I857)</f>
        <v>52400.549999999996</v>
      </c>
      <c r="J858" s="109">
        <f t="shared" ref="J858:T858" si="1251">SUBTOTAL(9,J847:J857)</f>
        <v>65021.75</v>
      </c>
      <c r="K858" s="109">
        <f t="shared" ref="K858" si="1252">SUBTOTAL(9,K847:K857)</f>
        <v>59925.829999999987</v>
      </c>
      <c r="L858" s="109">
        <f t="shared" ref="L858" si="1253">SUBTOTAL(9,L847:L857)</f>
        <v>65349.36</v>
      </c>
      <c r="M858" s="109">
        <f t="shared" si="1251"/>
        <v>56300</v>
      </c>
      <c r="N858" s="109">
        <f t="shared" ref="N858" si="1254">SUBTOTAL(9,N847:N857)</f>
        <v>45030.64</v>
      </c>
      <c r="O858" s="109">
        <f t="shared" si="1251"/>
        <v>57300</v>
      </c>
      <c r="P858" s="109">
        <f t="shared" si="1251"/>
        <v>1000</v>
      </c>
      <c r="Q858" s="109">
        <f t="shared" si="1251"/>
        <v>55300</v>
      </c>
      <c r="R858" s="109">
        <f t="shared" si="1251"/>
        <v>0</v>
      </c>
      <c r="S858" s="109">
        <f t="shared" si="1251"/>
        <v>0</v>
      </c>
      <c r="T858" s="109">
        <f t="shared" si="1251"/>
        <v>55300</v>
      </c>
      <c r="U858" s="99">
        <f>T858-M858</f>
        <v>-1000</v>
      </c>
      <c r="V858" s="255">
        <f>IF(M858=0,"N/A",T858/M858-1)</f>
        <v>-1.7761989342806372E-2</v>
      </c>
      <c r="W858" s="102"/>
      <c r="X858" s="102"/>
      <c r="Y858" s="102"/>
      <c r="Z858" s="192"/>
      <c r="AA858" s="615"/>
      <c r="AB858" s="307"/>
      <c r="AC858" s="94"/>
      <c r="AD858" s="94"/>
      <c r="AE858" s="94"/>
      <c r="AF858" s="94"/>
      <c r="AG858" s="94"/>
      <c r="AH858" s="307"/>
      <c r="AI858" s="307"/>
      <c r="AJ858" s="94"/>
      <c r="AK858" s="94"/>
      <c r="AL858" s="94"/>
      <c r="AM858" s="94"/>
      <c r="AN858" s="94"/>
      <c r="AO858" s="94"/>
      <c r="AP858" s="94"/>
      <c r="AQ858" s="192"/>
    </row>
    <row r="859" spans="1:43" s="115" customFormat="1" ht="15" customHeight="1">
      <c r="A859" s="555"/>
      <c r="B859" s="217"/>
      <c r="C859" s="217"/>
      <c r="D859" s="101"/>
      <c r="E859" s="217"/>
      <c r="F859" s="294"/>
      <c r="G859" s="295"/>
      <c r="H859" s="98"/>
      <c r="I859" s="106"/>
      <c r="J859" s="106"/>
      <c r="K859" s="106"/>
      <c r="L859" s="106"/>
      <c r="M859" s="106"/>
      <c r="N859" s="112"/>
      <c r="O859" s="112"/>
      <c r="P859" s="112"/>
      <c r="Q859" s="113"/>
      <c r="R859" s="113"/>
      <c r="S859" s="113"/>
      <c r="T859" s="113"/>
      <c r="U859" s="99"/>
      <c r="V859" s="255"/>
      <c r="W859" s="102"/>
      <c r="X859" s="102"/>
      <c r="Y859" s="102"/>
      <c r="Z859" s="192"/>
      <c r="AA859" s="615"/>
      <c r="AB859" s="307"/>
      <c r="AC859" s="93"/>
      <c r="AD859" s="93"/>
      <c r="AE859" s="93"/>
      <c r="AF859" s="93"/>
      <c r="AG859" s="93"/>
      <c r="AH859" s="307"/>
      <c r="AI859" s="307"/>
      <c r="AJ859" s="93"/>
      <c r="AK859" s="93"/>
      <c r="AL859" s="93"/>
      <c r="AM859" s="93"/>
      <c r="AN859" s="93"/>
      <c r="AO859" s="93"/>
      <c r="AP859" s="93"/>
      <c r="AQ859" s="192"/>
    </row>
    <row r="860" spans="1:43" s="115" customFormat="1" ht="15" customHeight="1">
      <c r="A860" s="555" t="s">
        <v>2580</v>
      </c>
      <c r="B860" s="217" t="str">
        <f t="shared" si="1235"/>
        <v>100</v>
      </c>
      <c r="C860" s="217" t="str">
        <f t="shared" si="1208"/>
        <v>30</v>
      </c>
      <c r="D860" s="101" t="str">
        <f t="shared" si="1236"/>
        <v>301</v>
      </c>
      <c r="E860" s="217" t="str">
        <f t="shared" si="1237"/>
        <v>100-30-301</v>
      </c>
      <c r="F860" s="294" t="str">
        <f t="shared" si="1233"/>
        <v>53507</v>
      </c>
      <c r="G860" s="295" t="str">
        <f>VLOOKUP(F860,'GL Category'!A:C,3,FALSE)</f>
        <v>Services &amp; other</v>
      </c>
      <c r="H860" s="98" t="str">
        <f>VLOOKUP(F860,'GL Category'!A:C,2,FALSE)</f>
        <v>ATTORNEY &amp; LEGAL SERVICES</v>
      </c>
      <c r="I860" s="99">
        <f>SUMIF(Import!$B:$B,$A860,Import!D:D)</f>
        <v>3900</v>
      </c>
      <c r="J860" s="99">
        <f>SUMIF(Import!$B:$B,$A860,Import!E:E)</f>
        <v>0</v>
      </c>
      <c r="K860" s="99">
        <f>SUMIF(Import!$B:$B,$A860,Import!F:F)</f>
        <v>0</v>
      </c>
      <c r="L860" s="99">
        <f>SUMIF(Import!$B:$B,$A860,Import!G:G)</f>
        <v>0</v>
      </c>
      <c r="M860" s="99">
        <f>SUMIF(Import!$B:$B,$A860,Import!H:H)</f>
        <v>0</v>
      </c>
      <c r="N860" s="99">
        <f>SUMIF(Import!$B:$B,$A860,Import!I:I)</f>
        <v>0</v>
      </c>
      <c r="O860" s="99">
        <f>SUMIF(Import!$B:$B,$A860,Import!J:J)</f>
        <v>0</v>
      </c>
      <c r="P860" s="99">
        <f t="shared" ref="P860:P874" si="1255">O860-M860</f>
        <v>0</v>
      </c>
      <c r="Q860" s="99">
        <f>SUMIF(Import!$B:$B,$A860,Import!K:K)</f>
        <v>0</v>
      </c>
      <c r="R860" s="99">
        <f>SUMIF(Import!$B:$B,$A860,Import!L:L)</f>
        <v>0</v>
      </c>
      <c r="S860" s="99">
        <f>SUMIF(Import!$B:$B,$A860,Import!M:M)</f>
        <v>0</v>
      </c>
      <c r="T860" s="99">
        <f>SUMIF(Import!$B:$B,$A860,Import!N:N)</f>
        <v>0</v>
      </c>
      <c r="U860" s="99">
        <f t="shared" ref="U860:U874" si="1256">T860-M860</f>
        <v>0</v>
      </c>
      <c r="V860" s="255" t="str">
        <f t="shared" ref="V860:V874" si="1257">IF(M860=0,"N/A",T860/M860-1)</f>
        <v>N/A</v>
      </c>
      <c r="W860" s="102" t="s">
        <v>2580</v>
      </c>
      <c r="X860" s="102"/>
      <c r="Y860" s="102"/>
      <c r="Z860" s="192"/>
      <c r="AA860" s="615"/>
      <c r="AB860" s="307"/>
      <c r="AC860" s="300"/>
      <c r="AD860" s="300"/>
      <c r="AE860" s="300"/>
      <c r="AF860" s="300"/>
      <c r="AG860" s="300"/>
      <c r="AH860" s="307"/>
      <c r="AI860" s="307"/>
      <c r="AJ860" s="300"/>
      <c r="AK860" s="300"/>
      <c r="AL860" s="300"/>
      <c r="AM860" s="300"/>
      <c r="AN860" s="300"/>
      <c r="AO860" s="300"/>
      <c r="AP860" s="300"/>
      <c r="AQ860" s="192"/>
    </row>
    <row r="861" spans="1:43" s="115" customFormat="1" ht="15" customHeight="1">
      <c r="A861" s="555" t="s">
        <v>2582</v>
      </c>
      <c r="B861" s="217" t="str">
        <f t="shared" si="1235"/>
        <v>100</v>
      </c>
      <c r="C861" s="217" t="str">
        <f t="shared" si="1208"/>
        <v>30</v>
      </c>
      <c r="D861" s="101" t="str">
        <f t="shared" si="1236"/>
        <v>301</v>
      </c>
      <c r="E861" s="217" t="str">
        <f t="shared" si="1237"/>
        <v>100-30-301</v>
      </c>
      <c r="F861" s="294" t="str">
        <f t="shared" si="1233"/>
        <v>53510</v>
      </c>
      <c r="G861" s="295" t="str">
        <f>VLOOKUP(F861,'GL Category'!A:C,3,FALSE)</f>
        <v>Services &amp; other</v>
      </c>
      <c r="H861" s="98" t="str">
        <f>VLOOKUP(F861,'GL Category'!A:C,2,FALSE)</f>
        <v>DUES &amp; SUBSCRIPTIONS</v>
      </c>
      <c r="I861" s="99">
        <f>SUMIF(Import!$B:$B,$A861,Import!D:D)</f>
        <v>1027.17</v>
      </c>
      <c r="J861" s="99">
        <f>SUMIF(Import!$B:$B,$A861,Import!E:E)</f>
        <v>1703</v>
      </c>
      <c r="K861" s="99">
        <f>SUMIF(Import!$B:$B,$A861,Import!F:F)</f>
        <v>1719</v>
      </c>
      <c r="L861" s="99">
        <f>SUMIF(Import!$B:$B,$A861,Import!G:G)</f>
        <v>2312</v>
      </c>
      <c r="M861" s="99">
        <f>SUMIF(Import!$B:$B,$A861,Import!H:H)</f>
        <v>1900</v>
      </c>
      <c r="N861" s="99">
        <f>SUMIF(Import!$B:$B,$A861,Import!I:I)</f>
        <v>1229.95</v>
      </c>
      <c r="O861" s="99">
        <f>SUMIF(Import!$B:$B,$A861,Import!J:J)</f>
        <v>1900</v>
      </c>
      <c r="P861" s="99">
        <f t="shared" si="1255"/>
        <v>0</v>
      </c>
      <c r="Q861" s="99">
        <f>SUMIF(Import!$B:$B,$A861,Import!K:K)</f>
        <v>1900</v>
      </c>
      <c r="R861" s="99">
        <f>SUMIF(Import!$B:$B,$A861,Import!L:L)</f>
        <v>0</v>
      </c>
      <c r="S861" s="99">
        <f>SUMIF(Import!$B:$B,$A861,Import!M:M)</f>
        <v>0</v>
      </c>
      <c r="T861" s="99">
        <f>SUMIF(Import!$B:$B,$A861,Import!N:N)</f>
        <v>1900</v>
      </c>
      <c r="U861" s="99">
        <f t="shared" si="1256"/>
        <v>0</v>
      </c>
      <c r="V861" s="255">
        <f t="shared" si="1257"/>
        <v>0</v>
      </c>
      <c r="W861" s="102" t="s">
        <v>2582</v>
      </c>
      <c r="X861" s="102"/>
      <c r="Y861" s="102"/>
      <c r="Z861" s="192"/>
      <c r="AA861" s="615"/>
      <c r="AB861" s="307"/>
      <c r="AC861" s="300"/>
      <c r="AD861" s="300"/>
      <c r="AE861" s="300"/>
      <c r="AF861" s="300"/>
      <c r="AG861" s="300"/>
      <c r="AH861" s="307"/>
      <c r="AI861" s="307"/>
      <c r="AJ861" s="300"/>
      <c r="AK861" s="300"/>
      <c r="AL861" s="300"/>
      <c r="AM861" s="300"/>
      <c r="AN861" s="300"/>
      <c r="AO861" s="300"/>
      <c r="AP861" s="300"/>
      <c r="AQ861" s="192"/>
    </row>
    <row r="862" spans="1:43" s="115" customFormat="1" ht="15" customHeight="1">
      <c r="A862" s="555" t="s">
        <v>2583</v>
      </c>
      <c r="B862" s="217" t="str">
        <f t="shared" si="1235"/>
        <v>100</v>
      </c>
      <c r="C862" s="217" t="str">
        <f t="shared" si="1208"/>
        <v>30</v>
      </c>
      <c r="D862" s="101" t="str">
        <f t="shared" si="1236"/>
        <v>301</v>
      </c>
      <c r="E862" s="217" t="str">
        <f t="shared" si="1237"/>
        <v>100-30-301</v>
      </c>
      <c r="F862" s="294" t="str">
        <f t="shared" si="1233"/>
        <v>53515</v>
      </c>
      <c r="G862" s="295" t="str">
        <f>VLOOKUP(F862,'GL Category'!A:C,3,FALSE)</f>
        <v>Services &amp; other</v>
      </c>
      <c r="H862" s="98" t="str">
        <f>VLOOKUP(F862,'GL Category'!A:C,2,FALSE)</f>
        <v>TRAVEL, TRAINING &amp; EDUCATION</v>
      </c>
      <c r="I862" s="99">
        <f>SUMIF(Import!$B:$B,$A862,Import!D:D)</f>
        <v>175</v>
      </c>
      <c r="J862" s="99">
        <f>SUMIF(Import!$B:$B,$A862,Import!E:E)</f>
        <v>4320</v>
      </c>
      <c r="K862" s="99">
        <f>SUMIF(Import!$B:$B,$A862,Import!F:F)</f>
        <v>5296.38</v>
      </c>
      <c r="L862" s="99">
        <f>SUMIF(Import!$B:$B,$A862,Import!G:G)</f>
        <v>2317.04</v>
      </c>
      <c r="M862" s="99">
        <f>SUMIF(Import!$B:$B,$A862,Import!H:H)</f>
        <v>6000</v>
      </c>
      <c r="N862" s="99">
        <f>SUMIF(Import!$B:$B,$A862,Import!I:I)</f>
        <v>5089.53</v>
      </c>
      <c r="O862" s="99">
        <f>SUMIF(Import!$B:$B,$A862,Import!J:J)</f>
        <v>6000</v>
      </c>
      <c r="P862" s="99">
        <f t="shared" si="1255"/>
        <v>0</v>
      </c>
      <c r="Q862" s="99">
        <f>SUMIF(Import!$B:$B,$A862,Import!K:K)</f>
        <v>6000</v>
      </c>
      <c r="R862" s="99">
        <f>SUMIF(Import!$B:$B,$A862,Import!L:L)</f>
        <v>0</v>
      </c>
      <c r="S862" s="99">
        <f>SUMIF(Import!$B:$B,$A862,Import!M:M)</f>
        <v>0</v>
      </c>
      <c r="T862" s="99">
        <f>SUMIF(Import!$B:$B,$A862,Import!N:N)</f>
        <v>6000</v>
      </c>
      <c r="U862" s="99">
        <f t="shared" si="1256"/>
        <v>0</v>
      </c>
      <c r="V862" s="255">
        <f t="shared" si="1257"/>
        <v>0</v>
      </c>
      <c r="W862" s="102" t="s">
        <v>2583</v>
      </c>
      <c r="X862" s="102"/>
      <c r="Y862" s="102"/>
      <c r="Z862" s="192"/>
      <c r="AA862" s="615"/>
      <c r="AB862" s="307"/>
      <c r="AC862" s="300"/>
      <c r="AD862" s="300"/>
      <c r="AE862" s="300"/>
      <c r="AF862" s="300"/>
      <c r="AG862" s="300"/>
      <c r="AH862" s="307"/>
      <c r="AI862" s="307"/>
      <c r="AJ862" s="300"/>
      <c r="AK862" s="300"/>
      <c r="AL862" s="300"/>
      <c r="AM862" s="300"/>
      <c r="AN862" s="300"/>
      <c r="AO862" s="300"/>
      <c r="AP862" s="300"/>
      <c r="AQ862" s="192"/>
    </row>
    <row r="863" spans="1:43" s="115" customFormat="1" ht="15" customHeight="1">
      <c r="A863" s="555" t="s">
        <v>2584</v>
      </c>
      <c r="B863" s="217" t="str">
        <f t="shared" si="1235"/>
        <v>100</v>
      </c>
      <c r="C863" s="217" t="str">
        <f t="shared" si="1208"/>
        <v>30</v>
      </c>
      <c r="D863" s="101" t="str">
        <f t="shared" si="1236"/>
        <v>301</v>
      </c>
      <c r="E863" s="217" t="str">
        <f t="shared" si="1237"/>
        <v>100-30-301</v>
      </c>
      <c r="F863" s="294" t="str">
        <f t="shared" si="1233"/>
        <v>53513</v>
      </c>
      <c r="G863" s="295" t="str">
        <f>VLOOKUP(F863,'GL Category'!A:C,3,FALSE)</f>
        <v>Services &amp; other</v>
      </c>
      <c r="H863" s="98" t="str">
        <f>VLOOKUP(F863,'GL Category'!A:C,2,FALSE)</f>
        <v>CONSULTING SERVICES</v>
      </c>
      <c r="I863" s="99">
        <f>SUMIF(Import!$B:$B,$A863,Import!D:D)</f>
        <v>8500</v>
      </c>
      <c r="J863" s="99">
        <f>SUMIF(Import!$B:$B,$A863,Import!E:E)</f>
        <v>8500</v>
      </c>
      <c r="K863" s="99">
        <f>SUMIF(Import!$B:$B,$A863,Import!F:F)</f>
        <v>8500</v>
      </c>
      <c r="L863" s="99">
        <f>SUMIF(Import!$B:$B,$A863,Import!G:G)</f>
        <v>8500</v>
      </c>
      <c r="M863" s="99">
        <f>SUMIF(Import!$B:$B,$A863,Import!H:H)</f>
        <v>8500</v>
      </c>
      <c r="N863" s="99">
        <f>SUMIF(Import!$B:$B,$A863,Import!I:I)</f>
        <v>8500</v>
      </c>
      <c r="O863" s="99">
        <f>SUMIF(Import!$B:$B,$A863,Import!J:J)</f>
        <v>8500</v>
      </c>
      <c r="P863" s="99">
        <f t="shared" si="1255"/>
        <v>0</v>
      </c>
      <c r="Q863" s="99">
        <f>SUMIF(Import!$B:$B,$A863,Import!K:K)</f>
        <v>8500</v>
      </c>
      <c r="R863" s="99">
        <f>SUMIF(Import!$B:$B,$A863,Import!L:L)</f>
        <v>0</v>
      </c>
      <c r="S863" s="99">
        <f>SUMIF(Import!$B:$B,$A863,Import!M:M)</f>
        <v>0</v>
      </c>
      <c r="T863" s="99">
        <f>SUMIF(Import!$B:$B,$A863,Import!N:N)</f>
        <v>8500</v>
      </c>
      <c r="U863" s="99">
        <f t="shared" si="1256"/>
        <v>0</v>
      </c>
      <c r="V863" s="255">
        <f t="shared" si="1257"/>
        <v>0</v>
      </c>
      <c r="W863" s="102" t="s">
        <v>2584</v>
      </c>
      <c r="X863" s="102"/>
      <c r="Y863" s="102"/>
      <c r="Z863" s="192"/>
      <c r="AA863" s="615"/>
      <c r="AB863" s="307"/>
      <c r="AC863" s="300"/>
      <c r="AD863" s="300"/>
      <c r="AE863" s="300"/>
      <c r="AF863" s="300"/>
      <c r="AG863" s="300"/>
      <c r="AH863" s="307"/>
      <c r="AI863" s="307"/>
      <c r="AJ863" s="300"/>
      <c r="AK863" s="300"/>
      <c r="AL863" s="300"/>
      <c r="AM863" s="300"/>
      <c r="AN863" s="300"/>
      <c r="AO863" s="300"/>
      <c r="AP863" s="300"/>
      <c r="AQ863" s="192"/>
    </row>
    <row r="864" spans="1:43" s="115" customFormat="1" ht="15" customHeight="1">
      <c r="A864" s="555" t="s">
        <v>2585</v>
      </c>
      <c r="B864" s="217" t="str">
        <f t="shared" ref="B864:B918" si="1258">LEFT(A864,3)</f>
        <v>100</v>
      </c>
      <c r="C864" s="217" t="str">
        <f t="shared" ref="C864:C918" si="1259">MID(A864,5,2)</f>
        <v>30</v>
      </c>
      <c r="D864" s="101" t="str">
        <f t="shared" ref="D864:D918" si="1260">MID(A864,8,3)</f>
        <v>301</v>
      </c>
      <c r="E864" s="217" t="str">
        <f t="shared" ref="E864:E918" si="1261">LEFT(A864,10)</f>
        <v>100-30-301</v>
      </c>
      <c r="F864" s="294" t="str">
        <f t="shared" ref="F864:F918" si="1262">RIGHT(A864,5)</f>
        <v>53524</v>
      </c>
      <c r="G864" s="295" t="str">
        <f>VLOOKUP(F864,'GL Category'!A:C,3,FALSE)</f>
        <v>Services &amp; other</v>
      </c>
      <c r="H864" s="98" t="str">
        <f>VLOOKUP(F864,'GL Category'!A:C,2,FALSE)</f>
        <v>EQUIPMENT RENTAL</v>
      </c>
      <c r="I864" s="99">
        <f>SUMIF(Import!$B:$B,$A864,Import!D:D)</f>
        <v>0</v>
      </c>
      <c r="J864" s="99">
        <f>SUMIF(Import!$B:$B,$A864,Import!E:E)</f>
        <v>0</v>
      </c>
      <c r="K864" s="99">
        <f>SUMIF(Import!$B:$B,$A864,Import!F:F)</f>
        <v>0</v>
      </c>
      <c r="L864" s="99">
        <f>SUMIF(Import!$B:$B,$A864,Import!G:G)</f>
        <v>0</v>
      </c>
      <c r="M864" s="99">
        <f>SUMIF(Import!$B:$B,$A864,Import!H:H)</f>
        <v>0</v>
      </c>
      <c r="N864" s="99">
        <f>SUMIF(Import!$B:$B,$A864,Import!I:I)</f>
        <v>0</v>
      </c>
      <c r="O864" s="99">
        <f>SUMIF(Import!$B:$B,$A864,Import!J:J)</f>
        <v>0</v>
      </c>
      <c r="P864" s="99">
        <f t="shared" si="1255"/>
        <v>0</v>
      </c>
      <c r="Q864" s="99">
        <f>SUMIF(Import!$B:$B,$A864,Import!K:K)</f>
        <v>0</v>
      </c>
      <c r="R864" s="99">
        <f>SUMIF(Import!$B:$B,$A864,Import!L:L)</f>
        <v>0</v>
      </c>
      <c r="S864" s="99">
        <f>SUMIF(Import!$B:$B,$A864,Import!M:M)</f>
        <v>0</v>
      </c>
      <c r="T864" s="99">
        <f>SUMIF(Import!$B:$B,$A864,Import!N:N)</f>
        <v>0</v>
      </c>
      <c r="U864" s="99">
        <f t="shared" si="1256"/>
        <v>0</v>
      </c>
      <c r="V864" s="255" t="str">
        <f t="shared" si="1257"/>
        <v>N/A</v>
      </c>
      <c r="W864" s="102" t="s">
        <v>2585</v>
      </c>
      <c r="X864" s="102"/>
      <c r="Y864" s="102"/>
      <c r="Z864" s="192"/>
      <c r="AA864" s="615"/>
      <c r="AB864" s="307"/>
      <c r="AC864" s="300"/>
      <c r="AD864" s="300"/>
      <c r="AE864" s="300"/>
      <c r="AF864" s="300"/>
      <c r="AG864" s="300"/>
      <c r="AH864" s="307"/>
      <c r="AI864" s="307"/>
      <c r="AJ864" s="300"/>
      <c r="AK864" s="300"/>
      <c r="AL864" s="300"/>
      <c r="AM864" s="300"/>
      <c r="AN864" s="300"/>
      <c r="AO864" s="300"/>
      <c r="AP864" s="300"/>
      <c r="AQ864" s="192"/>
    </row>
    <row r="865" spans="1:59" s="115" customFormat="1" ht="15" customHeight="1">
      <c r="A865" s="555" t="s">
        <v>2586</v>
      </c>
      <c r="B865" s="217" t="str">
        <f t="shared" si="1258"/>
        <v>100</v>
      </c>
      <c r="C865" s="217" t="str">
        <f t="shared" si="1259"/>
        <v>30</v>
      </c>
      <c r="D865" s="101" t="str">
        <f t="shared" si="1260"/>
        <v>301</v>
      </c>
      <c r="E865" s="217" t="str">
        <f t="shared" si="1261"/>
        <v>100-30-301</v>
      </c>
      <c r="F865" s="294" t="str">
        <f t="shared" si="1262"/>
        <v>53527</v>
      </c>
      <c r="G865" s="295" t="str">
        <f>VLOOKUP(F865,'GL Category'!A:C,3,FALSE)</f>
        <v>Services &amp; other</v>
      </c>
      <c r="H865" s="98" t="str">
        <f>VLOOKUP(F865,'GL Category'!A:C,2,FALSE)</f>
        <v>EMPLOYEE ACTIVITIES</v>
      </c>
      <c r="I865" s="99">
        <f>SUMIF(Import!$B:$B,$A865,Import!D:D)</f>
        <v>204</v>
      </c>
      <c r="J865" s="99">
        <f>SUMIF(Import!$B:$B,$A865,Import!E:E)</f>
        <v>1472.25</v>
      </c>
      <c r="K865" s="99">
        <f>SUMIF(Import!$B:$B,$A865,Import!F:F)</f>
        <v>1639.87</v>
      </c>
      <c r="L865" s="99">
        <f>SUMIF(Import!$B:$B,$A865,Import!G:G)</f>
        <v>1498.67</v>
      </c>
      <c r="M865" s="99">
        <f>SUMIF(Import!$B:$B,$A865,Import!H:H)</f>
        <v>1200</v>
      </c>
      <c r="N865" s="99">
        <f>SUMIF(Import!$B:$B,$A865,Import!I:I)</f>
        <v>1640.81</v>
      </c>
      <c r="O865" s="99">
        <f>SUMIF(Import!$B:$B,$A865,Import!J:J)</f>
        <v>1200</v>
      </c>
      <c r="P865" s="99">
        <f t="shared" si="1255"/>
        <v>0</v>
      </c>
      <c r="Q865" s="99">
        <f>SUMIF(Import!$B:$B,$A865,Import!K:K)</f>
        <v>1200</v>
      </c>
      <c r="R865" s="99">
        <f>SUMIF(Import!$B:$B,$A865,Import!L:L)</f>
        <v>0</v>
      </c>
      <c r="S865" s="99">
        <f>SUMIF(Import!$B:$B,$A865,Import!M:M)</f>
        <v>0</v>
      </c>
      <c r="T865" s="99">
        <f>SUMIF(Import!$B:$B,$A865,Import!N:N)</f>
        <v>1200</v>
      </c>
      <c r="U865" s="99">
        <f t="shared" si="1256"/>
        <v>0</v>
      </c>
      <c r="V865" s="255">
        <f t="shared" si="1257"/>
        <v>0</v>
      </c>
      <c r="W865" s="102" t="s">
        <v>2586</v>
      </c>
      <c r="X865" s="102"/>
      <c r="Y865" s="102"/>
      <c r="Z865" s="192"/>
      <c r="AA865" s="615"/>
      <c r="AB865" s="307"/>
      <c r="AC865" s="300"/>
      <c r="AD865" s="300"/>
      <c r="AE865" s="300"/>
      <c r="AF865" s="300"/>
      <c r="AG865" s="300"/>
      <c r="AH865" s="307"/>
      <c r="AI865" s="307"/>
      <c r="AJ865" s="300"/>
      <c r="AK865" s="300"/>
      <c r="AL865" s="300"/>
      <c r="AM865" s="300"/>
      <c r="AN865" s="300"/>
      <c r="AO865" s="300"/>
      <c r="AP865" s="300"/>
      <c r="AQ865" s="192"/>
    </row>
    <row r="866" spans="1:59" s="115" customFormat="1" ht="15" customHeight="1">
      <c r="A866" s="555" t="s">
        <v>2587</v>
      </c>
      <c r="B866" s="217" t="str">
        <f t="shared" si="1258"/>
        <v>100</v>
      </c>
      <c r="C866" s="217" t="str">
        <f t="shared" si="1259"/>
        <v>30</v>
      </c>
      <c r="D866" s="101" t="str">
        <f t="shared" si="1260"/>
        <v>301</v>
      </c>
      <c r="E866" s="217" t="str">
        <f t="shared" si="1261"/>
        <v>100-30-301</v>
      </c>
      <c r="F866" s="294" t="str">
        <f t="shared" si="1262"/>
        <v>53560</v>
      </c>
      <c r="G866" s="295" t="str">
        <f>VLOOKUP(F866,'GL Category'!A:C,3,FALSE)</f>
        <v>Services &amp; other</v>
      </c>
      <c r="H866" s="98" t="str">
        <f>VLOOKUP(F866,'GL Category'!A:C,2,FALSE)</f>
        <v>GENERAL INSURANCE</v>
      </c>
      <c r="I866" s="99">
        <f>SUMIF(Import!$B:$B,$A866,Import!D:D)</f>
        <v>0</v>
      </c>
      <c r="J866" s="99">
        <f>SUMIF(Import!$B:$B,$A866,Import!E:E)</f>
        <v>0</v>
      </c>
      <c r="K866" s="99">
        <f>SUMIF(Import!$B:$B,$A866,Import!F:F)</f>
        <v>0</v>
      </c>
      <c r="L866" s="99">
        <f>SUMIF(Import!$B:$B,$A866,Import!G:G)</f>
        <v>0</v>
      </c>
      <c r="M866" s="99">
        <f>SUMIF(Import!$B:$B,$A866,Import!H:H)</f>
        <v>0</v>
      </c>
      <c r="N866" s="99">
        <f>SUMIF(Import!$B:$B,$A866,Import!I:I)</f>
        <v>0</v>
      </c>
      <c r="O866" s="99">
        <f>SUMIF(Import!$B:$B,$A866,Import!J:J)</f>
        <v>0</v>
      </c>
      <c r="P866" s="99">
        <f t="shared" si="1255"/>
        <v>0</v>
      </c>
      <c r="Q866" s="99">
        <f>SUMIF(Import!$B:$B,$A866,Import!K:K)</f>
        <v>0</v>
      </c>
      <c r="R866" s="99">
        <f>SUMIF(Import!$B:$B,$A866,Import!L:L)</f>
        <v>0</v>
      </c>
      <c r="S866" s="99">
        <f>SUMIF(Import!$B:$B,$A866,Import!M:M)</f>
        <v>0</v>
      </c>
      <c r="T866" s="99">
        <f>SUMIF(Import!$B:$B,$A866,Import!N:N)</f>
        <v>0</v>
      </c>
      <c r="U866" s="99">
        <f t="shared" si="1256"/>
        <v>0</v>
      </c>
      <c r="V866" s="255" t="str">
        <f t="shared" si="1257"/>
        <v>N/A</v>
      </c>
      <c r="W866" s="102" t="s">
        <v>2587</v>
      </c>
      <c r="X866" s="102"/>
      <c r="Y866" s="102"/>
      <c r="Z866" s="192"/>
      <c r="AA866" s="615"/>
      <c r="AB866" s="307"/>
      <c r="AC866" s="300"/>
      <c r="AD866" s="300"/>
      <c r="AE866" s="300"/>
      <c r="AF866" s="300"/>
      <c r="AG866" s="300"/>
      <c r="AH866" s="307"/>
      <c r="AI866" s="307"/>
      <c r="AJ866" s="300"/>
      <c r="AK866" s="300"/>
      <c r="AL866" s="300"/>
      <c r="AM866" s="300"/>
      <c r="AN866" s="300"/>
      <c r="AO866" s="300"/>
      <c r="AP866" s="300"/>
      <c r="AQ866" s="192"/>
    </row>
    <row r="867" spans="1:59" s="115" customFormat="1" ht="15" customHeight="1">
      <c r="A867" s="555" t="s">
        <v>2588</v>
      </c>
      <c r="B867" s="217" t="str">
        <f t="shared" si="1258"/>
        <v>100</v>
      </c>
      <c r="C867" s="217" t="str">
        <f t="shared" si="1259"/>
        <v>30</v>
      </c>
      <c r="D867" s="101" t="str">
        <f t="shared" si="1260"/>
        <v>301</v>
      </c>
      <c r="E867" s="217" t="str">
        <f t="shared" si="1261"/>
        <v>100-30-301</v>
      </c>
      <c r="F867" s="294" t="str">
        <f t="shared" si="1262"/>
        <v>53568</v>
      </c>
      <c r="G867" s="295" t="str">
        <f>VLOOKUP(F867,'GL Category'!A:C,3,FALSE)</f>
        <v>Services &amp; other</v>
      </c>
      <c r="H867" s="98" t="str">
        <f>VLOOKUP(F867,'GL Category'!A:C,2,FALSE)</f>
        <v>LAW ENFORCEMENT LIAB PREMIUMS</v>
      </c>
      <c r="I867" s="99">
        <f>SUMIF(Import!$B:$B,$A867,Import!D:D)</f>
        <v>12271.18</v>
      </c>
      <c r="J867" s="99">
        <f>SUMIF(Import!$B:$B,$A867,Import!E:E)</f>
        <v>14030.94</v>
      </c>
      <c r="K867" s="99">
        <f>SUMIF(Import!$B:$B,$A867,Import!F:F)</f>
        <v>27330.01</v>
      </c>
      <c r="L867" s="99">
        <f>SUMIF(Import!$B:$B,$A867,Import!G:G)</f>
        <v>26709.03</v>
      </c>
      <c r="M867" s="99">
        <f>SUMIF(Import!$B:$B,$A867,Import!H:H)</f>
        <v>29480</v>
      </c>
      <c r="N867" s="99">
        <f>SUMIF(Import!$B:$B,$A867,Import!I:I)</f>
        <v>29358.7</v>
      </c>
      <c r="O867" s="99">
        <f>SUMIF(Import!$B:$B,$A867,Import!J:J)</f>
        <v>29480</v>
      </c>
      <c r="P867" s="99">
        <f t="shared" si="1255"/>
        <v>0</v>
      </c>
      <c r="Q867" s="99">
        <f>SUMIF(Import!$B:$B,$A867,Import!K:K)</f>
        <v>29480</v>
      </c>
      <c r="R867" s="99">
        <f>SUMIF(Import!$B:$B,$A867,Import!L:L)</f>
        <v>0</v>
      </c>
      <c r="S867" s="99">
        <f>SUMIF(Import!$B:$B,$A867,Import!M:M)</f>
        <v>0</v>
      </c>
      <c r="T867" s="99">
        <f>SUMIF(Import!$B:$B,$A867,Import!N:N)</f>
        <v>29480</v>
      </c>
      <c r="U867" s="99">
        <f t="shared" si="1256"/>
        <v>0</v>
      </c>
      <c r="V867" s="255">
        <f t="shared" si="1257"/>
        <v>0</v>
      </c>
      <c r="W867" s="102" t="s">
        <v>2588</v>
      </c>
      <c r="X867" s="102"/>
      <c r="Y867" s="102"/>
      <c r="Z867" s="192"/>
      <c r="AA867" s="615"/>
      <c r="AB867" s="307"/>
      <c r="AC867" s="300"/>
      <c r="AD867" s="300"/>
      <c r="AE867" s="300"/>
      <c r="AF867" s="300"/>
      <c r="AG867" s="300"/>
      <c r="AH867" s="307"/>
      <c r="AI867" s="307"/>
      <c r="AJ867" s="300"/>
      <c r="AK867" s="300"/>
      <c r="AL867" s="300"/>
      <c r="AM867" s="300"/>
      <c r="AN867" s="300"/>
      <c r="AO867" s="300"/>
      <c r="AP867" s="300"/>
      <c r="AQ867" s="192"/>
    </row>
    <row r="868" spans="1:59" s="115" customFormat="1" ht="15" customHeight="1">
      <c r="A868" s="555" t="s">
        <v>2589</v>
      </c>
      <c r="B868" s="217" t="str">
        <f t="shared" si="1258"/>
        <v>100</v>
      </c>
      <c r="C868" s="217" t="str">
        <f t="shared" si="1259"/>
        <v>30</v>
      </c>
      <c r="D868" s="101" t="str">
        <f t="shared" si="1260"/>
        <v>301</v>
      </c>
      <c r="E868" s="217" t="str">
        <f t="shared" si="1261"/>
        <v>100-30-301</v>
      </c>
      <c r="F868" s="294" t="str">
        <f t="shared" si="1262"/>
        <v>53570</v>
      </c>
      <c r="G868" s="295" t="str">
        <f>VLOOKUP(F868,'GL Category'!A:C,3,FALSE)</f>
        <v>Services &amp; other</v>
      </c>
      <c r="H868" s="98" t="str">
        <f>VLOOKUP(F868,'GL Category'!A:C,2,FALSE)</f>
        <v>TELEPHONE/COMMUNICATIONS</v>
      </c>
      <c r="I868" s="99">
        <f>SUMIF(Import!$B:$B,$A868,Import!D:D)</f>
        <v>3672.8</v>
      </c>
      <c r="J868" s="99">
        <f>SUMIF(Import!$B:$B,$A868,Import!E:E)</f>
        <v>6319.3</v>
      </c>
      <c r="K868" s="99">
        <f>SUMIF(Import!$B:$B,$A868,Import!F:F)</f>
        <v>6159.2</v>
      </c>
      <c r="L868" s="99">
        <f>SUMIF(Import!$B:$B,$A868,Import!G:G)</f>
        <v>2666.8</v>
      </c>
      <c r="M868" s="99">
        <f>SUMIF(Import!$B:$B,$A868,Import!H:H)</f>
        <v>4000</v>
      </c>
      <c r="N868" s="99">
        <f>SUMIF(Import!$B:$B,$A868,Import!I:I)</f>
        <v>2055.6</v>
      </c>
      <c r="O868" s="99">
        <f>SUMIF(Import!$B:$B,$A868,Import!J:J)</f>
        <v>4000</v>
      </c>
      <c r="P868" s="99">
        <f t="shared" si="1255"/>
        <v>0</v>
      </c>
      <c r="Q868" s="99">
        <f>SUMIF(Import!$B:$B,$A868,Import!K:K)</f>
        <v>2000</v>
      </c>
      <c r="R868" s="99">
        <f>SUMIF(Import!$B:$B,$A868,Import!L:L)</f>
        <v>0</v>
      </c>
      <c r="S868" s="99">
        <f>SUMIF(Import!$B:$B,$A868,Import!M:M)</f>
        <v>0</v>
      </c>
      <c r="T868" s="99">
        <f>SUMIF(Import!$B:$B,$A868,Import!N:N)</f>
        <v>2000</v>
      </c>
      <c r="U868" s="99">
        <f t="shared" si="1256"/>
        <v>-2000</v>
      </c>
      <c r="V868" s="255">
        <f t="shared" si="1257"/>
        <v>-0.5</v>
      </c>
      <c r="W868" s="102" t="s">
        <v>2589</v>
      </c>
      <c r="X868" s="102"/>
      <c r="Y868" s="102"/>
      <c r="Z868" s="192"/>
      <c r="AA868" s="615"/>
      <c r="AB868" s="307"/>
      <c r="AC868" s="300"/>
      <c r="AD868" s="300"/>
      <c r="AE868" s="300"/>
      <c r="AF868" s="300"/>
      <c r="AG868" s="300"/>
      <c r="AH868" s="307"/>
      <c r="AI868" s="307"/>
      <c r="AJ868" s="300"/>
      <c r="AK868" s="300"/>
      <c r="AL868" s="300"/>
      <c r="AM868" s="300"/>
      <c r="AN868" s="300"/>
      <c r="AO868" s="300"/>
      <c r="AP868" s="300"/>
      <c r="AQ868" s="192"/>
    </row>
    <row r="869" spans="1:59" s="115" customFormat="1" ht="15" customHeight="1">
      <c r="A869" s="555" t="s">
        <v>2590</v>
      </c>
      <c r="B869" s="217" t="str">
        <f t="shared" si="1258"/>
        <v>100</v>
      </c>
      <c r="C869" s="217" t="str">
        <f t="shared" si="1259"/>
        <v>30</v>
      </c>
      <c r="D869" s="101" t="str">
        <f t="shared" si="1260"/>
        <v>301</v>
      </c>
      <c r="E869" s="217" t="str">
        <f t="shared" si="1261"/>
        <v>100-30-301</v>
      </c>
      <c r="F869" s="294" t="str">
        <f t="shared" si="1262"/>
        <v>53571</v>
      </c>
      <c r="G869" s="295" t="str">
        <f>VLOOKUP(F869,'GL Category'!A:C,3,FALSE)</f>
        <v>Services &amp; other</v>
      </c>
      <c r="H869" s="98" t="str">
        <f>VLOOKUP(F869,'GL Category'!A:C,2,FALSE)</f>
        <v>NATURAL GAS UTILITY SERVICE</v>
      </c>
      <c r="I869" s="99">
        <f>SUMIF(Import!$B:$B,$A869,Import!D:D)</f>
        <v>2853.12</v>
      </c>
      <c r="J869" s="99">
        <f>SUMIF(Import!$B:$B,$A869,Import!E:E)</f>
        <v>4713.03</v>
      </c>
      <c r="K869" s="99">
        <f>SUMIF(Import!$B:$B,$A869,Import!F:F)</f>
        <v>4972.4399999999996</v>
      </c>
      <c r="L869" s="99">
        <f>SUMIF(Import!$B:$B,$A869,Import!G:G)</f>
        <v>5507.68</v>
      </c>
      <c r="M869" s="99">
        <f>SUMIF(Import!$B:$B,$A869,Import!H:H)</f>
        <v>6340</v>
      </c>
      <c r="N869" s="99">
        <f>SUMIF(Import!$B:$B,$A869,Import!I:I)</f>
        <v>5446.88</v>
      </c>
      <c r="O869" s="99">
        <f>SUMIF(Import!$B:$B,$A869,Import!J:J)</f>
        <v>6340</v>
      </c>
      <c r="P869" s="99">
        <f t="shared" si="1255"/>
        <v>0</v>
      </c>
      <c r="Q869" s="99">
        <f>SUMIF(Import!$B:$B,$A869,Import!K:K)</f>
        <v>6340</v>
      </c>
      <c r="R869" s="99">
        <f>SUMIF(Import!$B:$B,$A869,Import!L:L)</f>
        <v>0</v>
      </c>
      <c r="S869" s="99">
        <f>SUMIF(Import!$B:$B,$A869,Import!M:M)</f>
        <v>0</v>
      </c>
      <c r="T869" s="99">
        <f>SUMIF(Import!$B:$B,$A869,Import!N:N)</f>
        <v>6340</v>
      </c>
      <c r="U869" s="99">
        <f t="shared" si="1256"/>
        <v>0</v>
      </c>
      <c r="V869" s="255">
        <f t="shared" si="1257"/>
        <v>0</v>
      </c>
      <c r="W869" s="102" t="s">
        <v>2590</v>
      </c>
      <c r="X869" s="102"/>
      <c r="Y869" s="102"/>
      <c r="Z869" s="192"/>
      <c r="AA869" s="615"/>
      <c r="AB869" s="307"/>
      <c r="AC869" s="300"/>
      <c r="AD869" s="300"/>
      <c r="AE869" s="300"/>
      <c r="AF869" s="300"/>
      <c r="AG869" s="300"/>
      <c r="AH869" s="307"/>
      <c r="AI869" s="307"/>
      <c r="AJ869" s="300"/>
      <c r="AK869" s="300"/>
      <c r="AL869" s="300"/>
      <c r="AM869" s="300"/>
      <c r="AN869" s="300"/>
      <c r="AO869" s="300"/>
      <c r="AP869" s="300"/>
      <c r="AQ869" s="192"/>
    </row>
    <row r="870" spans="1:59" s="115" customFormat="1" ht="15" customHeight="1">
      <c r="A870" s="555" t="s">
        <v>2591</v>
      </c>
      <c r="B870" s="217" t="str">
        <f t="shared" si="1258"/>
        <v>100</v>
      </c>
      <c r="C870" s="217" t="str">
        <f t="shared" si="1259"/>
        <v>30</v>
      </c>
      <c r="D870" s="101" t="str">
        <f t="shared" si="1260"/>
        <v>301</v>
      </c>
      <c r="E870" s="217" t="str">
        <f t="shared" si="1261"/>
        <v>100-30-301</v>
      </c>
      <c r="F870" s="294" t="str">
        <f t="shared" si="1262"/>
        <v>53572</v>
      </c>
      <c r="G870" s="295" t="str">
        <f>VLOOKUP(F870,'GL Category'!A:C,3,FALSE)</f>
        <v>Services &amp; other</v>
      </c>
      <c r="H870" s="98" t="str">
        <f>VLOOKUP(F870,'GL Category'!A:C,2,FALSE)</f>
        <v>ELECTRICAL UTILITY SERVICE</v>
      </c>
      <c r="I870" s="99">
        <f>SUMIF(Import!$B:$B,$A870,Import!D:D)</f>
        <v>39572.300000000003</v>
      </c>
      <c r="J870" s="99">
        <f>SUMIF(Import!$B:$B,$A870,Import!E:E)</f>
        <v>39029.33</v>
      </c>
      <c r="K870" s="99">
        <f>SUMIF(Import!$B:$B,$A870,Import!F:F)</f>
        <v>57709.41</v>
      </c>
      <c r="L870" s="99">
        <f>SUMIF(Import!$B:$B,$A870,Import!G:G)</f>
        <v>69080.740000000005</v>
      </c>
      <c r="M870" s="99">
        <f>SUMIF(Import!$B:$B,$A870,Import!H:H)</f>
        <v>81570</v>
      </c>
      <c r="N870" s="99">
        <f>SUMIF(Import!$B:$B,$A870,Import!I:I)</f>
        <v>35130.410000000003</v>
      </c>
      <c r="O870" s="99">
        <f>SUMIF(Import!$B:$B,$A870,Import!J:J)</f>
        <v>59000</v>
      </c>
      <c r="P870" s="99">
        <f t="shared" si="1255"/>
        <v>-22570</v>
      </c>
      <c r="Q870" s="99">
        <f>SUMIF(Import!$B:$B,$A870,Import!K:K)</f>
        <v>81570</v>
      </c>
      <c r="R870" s="99">
        <f>SUMIF(Import!$B:$B,$A870,Import!L:L)</f>
        <v>0</v>
      </c>
      <c r="S870" s="99">
        <f>SUMIF(Import!$B:$B,$A870,Import!M:M)</f>
        <v>0</v>
      </c>
      <c r="T870" s="99">
        <f>SUMIF(Import!$B:$B,$A870,Import!N:N)</f>
        <v>81570</v>
      </c>
      <c r="U870" s="99">
        <f t="shared" si="1256"/>
        <v>0</v>
      </c>
      <c r="V870" s="255">
        <f t="shared" si="1257"/>
        <v>0</v>
      </c>
      <c r="W870" s="102" t="s">
        <v>2591</v>
      </c>
      <c r="X870" s="102"/>
      <c r="Y870" s="102"/>
      <c r="Z870" s="192"/>
      <c r="AA870" s="615"/>
      <c r="AB870" s="307"/>
      <c r="AC870" s="94"/>
      <c r="AD870" s="94"/>
      <c r="AE870" s="94"/>
      <c r="AF870" s="94"/>
      <c r="AG870" s="94"/>
      <c r="AH870" s="307"/>
      <c r="AI870" s="307"/>
      <c r="AJ870" s="94"/>
      <c r="AK870" s="94"/>
      <c r="AL870" s="94"/>
      <c r="AM870" s="94"/>
      <c r="AN870" s="94"/>
      <c r="AO870" s="94"/>
      <c r="AP870" s="94"/>
      <c r="AQ870" s="192"/>
    </row>
    <row r="871" spans="1:59" s="115" customFormat="1" ht="15" customHeight="1">
      <c r="A871" s="555" t="s">
        <v>2592</v>
      </c>
      <c r="B871" s="217" t="str">
        <f t="shared" si="1258"/>
        <v>100</v>
      </c>
      <c r="C871" s="217" t="str">
        <f t="shared" si="1259"/>
        <v>30</v>
      </c>
      <c r="D871" s="101" t="str">
        <f t="shared" si="1260"/>
        <v>301</v>
      </c>
      <c r="E871" s="217" t="str">
        <f t="shared" si="1261"/>
        <v>100-30-301</v>
      </c>
      <c r="F871" s="294" t="str">
        <f t="shared" si="1262"/>
        <v>53574</v>
      </c>
      <c r="G871" s="295" t="str">
        <f>VLOOKUP(F871,'GL Category'!A:C,3,FALSE)</f>
        <v>Services &amp; other</v>
      </c>
      <c r="H871" s="98" t="str">
        <f>VLOOKUP(F871,'GL Category'!A:C,2,FALSE)</f>
        <v>WATER/SEWER UTILITY SERVICE</v>
      </c>
      <c r="I871" s="99">
        <f>SUMIF(Import!$B:$B,$A871,Import!D:D)</f>
        <v>7232.85</v>
      </c>
      <c r="J871" s="99">
        <f>SUMIF(Import!$B:$B,$A871,Import!E:E)</f>
        <v>8928.32</v>
      </c>
      <c r="K871" s="99">
        <f>SUMIF(Import!$B:$B,$A871,Import!F:F)</f>
        <v>13176.38</v>
      </c>
      <c r="L871" s="99">
        <f>SUMIF(Import!$B:$B,$A871,Import!G:G)</f>
        <v>11447.48</v>
      </c>
      <c r="M871" s="99">
        <f>SUMIF(Import!$B:$B,$A871,Import!H:H)</f>
        <v>8300</v>
      </c>
      <c r="N871" s="99">
        <f>SUMIF(Import!$B:$B,$A871,Import!I:I)</f>
        <v>16011.76</v>
      </c>
      <c r="O871" s="99">
        <f>SUMIF(Import!$B:$B,$A871,Import!J:J)</f>
        <v>17000</v>
      </c>
      <c r="P871" s="99">
        <f t="shared" si="1255"/>
        <v>8700</v>
      </c>
      <c r="Q871" s="99">
        <f>SUMIF(Import!$B:$B,$A871,Import!K:K)</f>
        <v>8300</v>
      </c>
      <c r="R871" s="99">
        <f>SUMIF(Import!$B:$B,$A871,Import!L:L)</f>
        <v>0</v>
      </c>
      <c r="S871" s="99">
        <f>SUMIF(Import!$B:$B,$A871,Import!M:M)</f>
        <v>0</v>
      </c>
      <c r="T871" s="99">
        <f>SUMIF(Import!$B:$B,$A871,Import!N:N)</f>
        <v>8300</v>
      </c>
      <c r="U871" s="99">
        <f t="shared" si="1256"/>
        <v>0</v>
      </c>
      <c r="V871" s="255">
        <f t="shared" si="1257"/>
        <v>0</v>
      </c>
      <c r="W871" s="102" t="s">
        <v>2592</v>
      </c>
      <c r="X871" s="102"/>
      <c r="Y871" s="102"/>
      <c r="Z871" s="192"/>
      <c r="AA871" s="615"/>
      <c r="AB871" s="307"/>
      <c r="AC871" s="93"/>
      <c r="AD871" s="93"/>
      <c r="AE871" s="93"/>
      <c r="AF871" s="93"/>
      <c r="AG871" s="93"/>
      <c r="AH871" s="307"/>
      <c r="AI871" s="307"/>
      <c r="AJ871" s="93"/>
      <c r="AK871" s="93"/>
      <c r="AL871" s="93"/>
      <c r="AM871" s="93"/>
      <c r="AN871" s="93"/>
      <c r="AO871" s="93"/>
      <c r="AP871" s="93"/>
      <c r="AQ871" s="192"/>
    </row>
    <row r="872" spans="1:59" s="115" customFormat="1" ht="15" customHeight="1">
      <c r="A872" s="555" t="s">
        <v>2593</v>
      </c>
      <c r="B872" s="217" t="str">
        <f t="shared" si="1258"/>
        <v>100</v>
      </c>
      <c r="C872" s="217" t="str">
        <f t="shared" si="1259"/>
        <v>30</v>
      </c>
      <c r="D872" s="101" t="str">
        <f t="shared" si="1260"/>
        <v>301</v>
      </c>
      <c r="E872" s="217" t="str">
        <f t="shared" si="1261"/>
        <v>100-30-301</v>
      </c>
      <c r="F872" s="294" t="str">
        <f t="shared" si="1262"/>
        <v>53580</v>
      </c>
      <c r="G872" s="295" t="str">
        <f>VLOOKUP(F872,'GL Category'!A:C,3,FALSE)</f>
        <v>Services &amp; other</v>
      </c>
      <c r="H872" s="98" t="str">
        <f>VLOOKUP(F872,'GL Category'!A:C,2,FALSE)</f>
        <v>CONTRIBUTION TO OTHER ENTITY</v>
      </c>
      <c r="I872" s="99">
        <f>SUMIF(Import!$B:$B,$A872,Import!D:D)</f>
        <v>6183</v>
      </c>
      <c r="J872" s="99">
        <f>SUMIF(Import!$B:$B,$A872,Import!E:E)</f>
        <v>6183</v>
      </c>
      <c r="K872" s="99">
        <f>SUMIF(Import!$B:$B,$A872,Import!F:F)</f>
        <v>5983</v>
      </c>
      <c r="L872" s="99">
        <f>SUMIF(Import!$B:$B,$A872,Import!G:G)</f>
        <v>6483</v>
      </c>
      <c r="M872" s="99">
        <f>SUMIF(Import!$B:$B,$A872,Import!H:H)</f>
        <v>9210</v>
      </c>
      <c r="N872" s="99">
        <f>SUMIF(Import!$B:$B,$A872,Import!I:I)</f>
        <v>9712</v>
      </c>
      <c r="O872" s="99">
        <f>SUMIF(Import!$B:$B,$A872,Import!J:J)</f>
        <v>9210</v>
      </c>
      <c r="P872" s="99">
        <f t="shared" si="1255"/>
        <v>0</v>
      </c>
      <c r="Q872" s="99">
        <f>SUMIF(Import!$B:$B,$A872,Import!K:K)</f>
        <v>9210</v>
      </c>
      <c r="R872" s="99">
        <f>SUMIF(Import!$B:$B,$A872,Import!L:L)</f>
        <v>0</v>
      </c>
      <c r="S872" s="99">
        <f>SUMIF(Import!$B:$B,$A872,Import!M:M)</f>
        <v>0</v>
      </c>
      <c r="T872" s="99">
        <f>SUMIF(Import!$B:$B,$A872,Import!N:N)</f>
        <v>9210</v>
      </c>
      <c r="U872" s="99">
        <f t="shared" si="1256"/>
        <v>0</v>
      </c>
      <c r="V872" s="255">
        <f t="shared" si="1257"/>
        <v>0</v>
      </c>
      <c r="W872" s="102" t="s">
        <v>2593</v>
      </c>
      <c r="X872" s="102"/>
      <c r="Y872" s="102"/>
      <c r="Z872" s="192"/>
      <c r="AA872" s="615"/>
      <c r="AB872" s="307"/>
      <c r="AC872" s="300"/>
      <c r="AD872" s="300"/>
      <c r="AE872" s="300"/>
      <c r="AF872" s="300"/>
      <c r="AG872" s="300"/>
      <c r="AH872" s="307"/>
      <c r="AI872" s="307"/>
      <c r="AJ872" s="300"/>
      <c r="AK872" s="300"/>
      <c r="AL872" s="300"/>
      <c r="AM872" s="300"/>
      <c r="AN872" s="300"/>
      <c r="AO872" s="300"/>
      <c r="AP872" s="300"/>
      <c r="AQ872" s="192"/>
    </row>
    <row r="873" spans="1:59" s="115" customFormat="1" ht="15" customHeight="1">
      <c r="A873" s="555" t="s">
        <v>2581</v>
      </c>
      <c r="B873" s="217" t="str">
        <f t="shared" si="1258"/>
        <v>100</v>
      </c>
      <c r="C873" s="217" t="str">
        <f t="shared" si="1259"/>
        <v>30</v>
      </c>
      <c r="D873" s="101" t="str">
        <f t="shared" si="1260"/>
        <v>301</v>
      </c>
      <c r="E873" s="217" t="str">
        <f t="shared" si="1261"/>
        <v>100-30-301</v>
      </c>
      <c r="F873" s="294" t="str">
        <f t="shared" si="1262"/>
        <v>53599</v>
      </c>
      <c r="G873" s="295" t="str">
        <f>VLOOKUP(F873,'GL Category'!A:C,3,FALSE)</f>
        <v>Services &amp; other</v>
      </c>
      <c r="H873" s="98" t="str">
        <f>VLOOKUP(F873,'GL Category'!A:C,2,FALSE)</f>
        <v>MISCELLANEOUS SERVICES</v>
      </c>
      <c r="I873" s="99">
        <f>SUMIF(Import!$B:$B,$A873,Import!D:D)</f>
        <v>0</v>
      </c>
      <c r="J873" s="99">
        <f>SUMIF(Import!$B:$B,$A873,Import!E:E)</f>
        <v>0</v>
      </c>
      <c r="K873" s="99">
        <f>SUMIF(Import!$B:$B,$A873,Import!F:F)</f>
        <v>3404.32</v>
      </c>
      <c r="L873" s="99">
        <f>SUMIF(Import!$B:$B,$A873,Import!G:G)</f>
        <v>1573.45</v>
      </c>
      <c r="M873" s="99">
        <f>SUMIF(Import!$B:$B,$A873,Import!H:H)</f>
        <v>0</v>
      </c>
      <c r="N873" s="99">
        <f>SUMIF(Import!$B:$B,$A873,Import!I:I)</f>
        <v>6509.8</v>
      </c>
      <c r="O873" s="99">
        <f>SUMIF(Import!$B:$B,$A873,Import!J:J)</f>
        <v>8000</v>
      </c>
      <c r="P873" s="99">
        <f t="shared" si="1255"/>
        <v>8000</v>
      </c>
      <c r="Q873" s="99">
        <f>SUMIF(Import!$B:$B,$A873,Import!K:K)</f>
        <v>0</v>
      </c>
      <c r="R873" s="99">
        <f>SUMIF(Import!$B:$B,$A873,Import!L:L)</f>
        <v>0</v>
      </c>
      <c r="S873" s="99">
        <f>SUMIF(Import!$B:$B,$A873,Import!M:M)</f>
        <v>0</v>
      </c>
      <c r="T873" s="99">
        <f>SUMIF(Import!$B:$B,$A873,Import!N:N)</f>
        <v>0</v>
      </c>
      <c r="U873" s="99">
        <f t="shared" si="1256"/>
        <v>0</v>
      </c>
      <c r="V873" s="255" t="str">
        <f t="shared" si="1257"/>
        <v>N/A</v>
      </c>
      <c r="W873" s="102" t="s">
        <v>2581</v>
      </c>
      <c r="X873" s="102"/>
      <c r="Y873" s="102"/>
      <c r="Z873" s="617"/>
      <c r="AA873" s="615"/>
      <c r="AB873" s="307"/>
      <c r="AC873" s="300"/>
      <c r="AD873" s="300"/>
      <c r="AE873" s="300"/>
      <c r="AF873" s="300"/>
      <c r="AG873" s="300"/>
      <c r="AH873" s="307"/>
      <c r="AI873" s="307"/>
      <c r="AJ873" s="300"/>
      <c r="AK873" s="300"/>
      <c r="AL873" s="300"/>
      <c r="AM873" s="300"/>
      <c r="AN873" s="300"/>
      <c r="AO873" s="300"/>
      <c r="AP873" s="300"/>
      <c r="AQ873" s="192"/>
    </row>
    <row r="874" spans="1:59" s="115" customFormat="1" ht="15" customHeight="1">
      <c r="A874" s="555" t="s">
        <v>2594</v>
      </c>
      <c r="B874" s="217" t="str">
        <f t="shared" si="1258"/>
        <v>100</v>
      </c>
      <c r="C874" s="217" t="str">
        <f t="shared" si="1259"/>
        <v>30</v>
      </c>
      <c r="D874" s="101" t="str">
        <f t="shared" si="1260"/>
        <v>301</v>
      </c>
      <c r="E874" s="217" t="str">
        <f t="shared" si="1261"/>
        <v>100-30-301</v>
      </c>
      <c r="F874" s="294" t="str">
        <f t="shared" si="1262"/>
        <v>55119</v>
      </c>
      <c r="G874" s="295" t="str">
        <f>VLOOKUP(F874,'GL Category'!A:C,3,FALSE)</f>
        <v>Services &amp; other</v>
      </c>
      <c r="H874" s="98" t="str">
        <f>VLOOKUP(F874,'GL Category'!A:C,2,FALSE)</f>
        <v>OFFICE EQUIP LEASE EXP-CITY</v>
      </c>
      <c r="I874" s="99">
        <f>SUMIF(Import!$B:$B,$A874,Import!D:D)</f>
        <v>21121</v>
      </c>
      <c r="J874" s="99">
        <f>SUMIF(Import!$B:$B,$A874,Import!E:E)</f>
        <v>22179</v>
      </c>
      <c r="K874" s="99">
        <f>SUMIF(Import!$B:$B,$A874,Import!F:F)</f>
        <v>20760</v>
      </c>
      <c r="L874" s="99">
        <f>SUMIF(Import!$B:$B,$A874,Import!G:G)</f>
        <v>21491</v>
      </c>
      <c r="M874" s="99">
        <f>SUMIF(Import!$B:$B,$A874,Import!H:H)</f>
        <v>23300</v>
      </c>
      <c r="N874" s="99">
        <f>SUMIF(Import!$B:$B,$A874,Import!I:I)</f>
        <v>17475</v>
      </c>
      <c r="O874" s="99">
        <f>SUMIF(Import!$B:$B,$A874,Import!J:J)</f>
        <v>23300</v>
      </c>
      <c r="P874" s="99">
        <f t="shared" si="1255"/>
        <v>0</v>
      </c>
      <c r="Q874" s="99">
        <f>SUMIF(Import!$B:$B,$A874,Import!K:K)</f>
        <v>24272</v>
      </c>
      <c r="R874" s="99">
        <f>SUMIF(Import!$B:$B,$A874,Import!L:L)</f>
        <v>0</v>
      </c>
      <c r="S874" s="99">
        <f>SUMIF(Import!$B:$B,$A874,Import!M:M)</f>
        <v>0</v>
      </c>
      <c r="T874" s="99">
        <f>SUMIF(Import!$B:$B,$A874,Import!N:N)</f>
        <v>24272</v>
      </c>
      <c r="U874" s="99">
        <f t="shared" si="1256"/>
        <v>972</v>
      </c>
      <c r="V874" s="255">
        <f t="shared" si="1257"/>
        <v>4.171673819742483E-2</v>
      </c>
      <c r="W874" s="102" t="s">
        <v>2594</v>
      </c>
      <c r="X874" s="102"/>
      <c r="Y874" s="102"/>
      <c r="Z874" s="192"/>
      <c r="AA874" s="615"/>
      <c r="AB874" s="307"/>
      <c r="AC874" s="300"/>
      <c r="AD874" s="300"/>
      <c r="AE874" s="300"/>
      <c r="AF874" s="300"/>
      <c r="AG874" s="300"/>
      <c r="AH874" s="307"/>
      <c r="AI874" s="307"/>
      <c r="AJ874" s="300"/>
      <c r="AK874" s="300"/>
      <c r="AL874" s="300"/>
      <c r="AM874" s="300"/>
      <c r="AN874" s="300"/>
      <c r="AO874" s="300"/>
      <c r="AP874" s="300"/>
      <c r="AQ874" s="192"/>
    </row>
    <row r="875" spans="1:59" s="115" customFormat="1" ht="15" customHeight="1">
      <c r="A875" s="555"/>
      <c r="B875" s="217"/>
      <c r="C875" s="217"/>
      <c r="D875" s="101"/>
      <c r="E875" s="217"/>
      <c r="F875" s="294"/>
      <c r="G875" s="295"/>
      <c r="H875" s="107" t="str">
        <f>UPPER(G874)&amp;" TOTAL"</f>
        <v>SERVICES &amp; OTHER TOTAL</v>
      </c>
      <c r="I875" s="109">
        <f t="shared" ref="I875" si="1263">SUBTOTAL(9,I860:I874)</f>
        <v>106712.42000000001</v>
      </c>
      <c r="J875" s="109">
        <f t="shared" ref="J875:T875" si="1264">SUBTOTAL(9,J860:J874)</f>
        <v>117378.17000000001</v>
      </c>
      <c r="K875" s="109">
        <f t="shared" ref="K875" si="1265">SUBTOTAL(9,K860:K874)</f>
        <v>156650.01</v>
      </c>
      <c r="L875" s="109">
        <f t="shared" ref="L875" si="1266">SUBTOTAL(9,L860:L874)</f>
        <v>159586.89000000001</v>
      </c>
      <c r="M875" s="109">
        <f t="shared" si="1264"/>
        <v>179800</v>
      </c>
      <c r="N875" s="109">
        <f t="shared" ref="N875" si="1267">SUBTOTAL(9,N860:N874)</f>
        <v>138160.44</v>
      </c>
      <c r="O875" s="109">
        <f t="shared" si="1264"/>
        <v>173930</v>
      </c>
      <c r="P875" s="109">
        <f t="shared" si="1264"/>
        <v>-5870</v>
      </c>
      <c r="Q875" s="109">
        <f t="shared" si="1264"/>
        <v>178772</v>
      </c>
      <c r="R875" s="109">
        <f t="shared" si="1264"/>
        <v>0</v>
      </c>
      <c r="S875" s="109">
        <f t="shared" si="1264"/>
        <v>0</v>
      </c>
      <c r="T875" s="109">
        <f t="shared" si="1264"/>
        <v>178772</v>
      </c>
      <c r="U875" s="99">
        <f>T875-M875</f>
        <v>-1028</v>
      </c>
      <c r="V875" s="255">
        <f>IF(M875=0,"N/A",T875/M875-1)</f>
        <v>-5.7174638487208496E-3</v>
      </c>
      <c r="W875" s="102"/>
      <c r="X875" s="102"/>
      <c r="Y875" s="102"/>
      <c r="Z875" s="192"/>
      <c r="AA875" s="615"/>
      <c r="AB875" s="307"/>
      <c r="AC875" s="300"/>
      <c r="AD875" s="300"/>
      <c r="AE875" s="300"/>
      <c r="AF875" s="300"/>
      <c r="AG875" s="300"/>
      <c r="AH875" s="307"/>
      <c r="AI875" s="307"/>
      <c r="AJ875" s="300"/>
      <c r="AK875" s="300"/>
      <c r="AL875" s="300"/>
      <c r="AM875" s="300"/>
      <c r="AN875" s="300"/>
      <c r="AO875" s="300"/>
      <c r="AP875" s="300"/>
      <c r="AQ875" s="192"/>
    </row>
    <row r="876" spans="1:59" s="115" customFormat="1" ht="15" customHeight="1">
      <c r="A876" s="555"/>
      <c r="B876" s="217"/>
      <c r="C876" s="217"/>
      <c r="D876" s="101"/>
      <c r="E876" s="217"/>
      <c r="F876" s="294"/>
      <c r="G876" s="295"/>
      <c r="H876" s="98"/>
      <c r="I876" s="106"/>
      <c r="J876" s="106"/>
      <c r="K876" s="106"/>
      <c r="L876" s="106"/>
      <c r="M876" s="106"/>
      <c r="N876" s="112"/>
      <c r="O876" s="112"/>
      <c r="P876" s="112"/>
      <c r="Q876" s="113"/>
      <c r="R876" s="113"/>
      <c r="S876" s="113"/>
      <c r="T876" s="113"/>
      <c r="U876" s="99"/>
      <c r="V876" s="255"/>
      <c r="W876" s="102"/>
      <c r="X876" s="102"/>
      <c r="Y876" s="102"/>
      <c r="Z876" s="192"/>
      <c r="AA876" s="615"/>
      <c r="AB876" s="307"/>
      <c r="AC876" s="300"/>
      <c r="AD876" s="300"/>
      <c r="AE876" s="300"/>
      <c r="AF876" s="300"/>
      <c r="AG876" s="300"/>
      <c r="AH876" s="307"/>
      <c r="AI876" s="307"/>
      <c r="AJ876" s="300"/>
      <c r="AK876" s="300"/>
      <c r="AL876" s="300"/>
      <c r="AM876" s="300"/>
      <c r="AN876" s="300"/>
      <c r="AO876" s="300"/>
      <c r="AP876" s="300"/>
      <c r="AQ876" s="192"/>
    </row>
    <row r="877" spans="1:59" ht="15" customHeight="1">
      <c r="A877" s="555"/>
      <c r="B877" s="217"/>
      <c r="C877" s="217"/>
      <c r="D877" s="101"/>
      <c r="E877" s="217"/>
      <c r="F877" s="294"/>
      <c r="G877" s="295"/>
      <c r="H877" s="114" t="s">
        <v>763</v>
      </c>
      <c r="I877" s="108">
        <f t="shared" ref="I877" si="1268">SUBTOTAL(9,I836:I876)</f>
        <v>783517.35000000033</v>
      </c>
      <c r="J877" s="108">
        <f t="shared" ref="J877:T877" si="1269">SUBTOTAL(9,J836:J876)</f>
        <v>767356.57</v>
      </c>
      <c r="K877" s="108">
        <f t="shared" ref="K877" si="1270">SUBTOTAL(9,K836:K876)</f>
        <v>800159.14999999979</v>
      </c>
      <c r="L877" s="108">
        <f t="shared" ref="L877" si="1271">SUBTOTAL(9,L836:L876)</f>
        <v>775899.68000000017</v>
      </c>
      <c r="M877" s="108">
        <f t="shared" si="1269"/>
        <v>792277</v>
      </c>
      <c r="N877" s="108">
        <f t="shared" ref="N877" si="1272">SUBTOTAL(9,N836:N876)</f>
        <v>608843.6100000001</v>
      </c>
      <c r="O877" s="108">
        <f t="shared" si="1269"/>
        <v>797218</v>
      </c>
      <c r="P877" s="108">
        <f t="shared" si="1269"/>
        <v>4941</v>
      </c>
      <c r="Q877" s="108">
        <f t="shared" si="1269"/>
        <v>818664</v>
      </c>
      <c r="R877" s="108">
        <f t="shared" si="1269"/>
        <v>0</v>
      </c>
      <c r="S877" s="108">
        <f t="shared" si="1269"/>
        <v>0</v>
      </c>
      <c r="T877" s="108">
        <f t="shared" si="1269"/>
        <v>818664</v>
      </c>
      <c r="U877" s="99">
        <f>T877-M877</f>
        <v>26387</v>
      </c>
      <c r="V877" s="255">
        <f>IF(M877=0,"N/A",T877/M877-1)</f>
        <v>3.3305270757576055E-2</v>
      </c>
      <c r="W877" s="102"/>
      <c r="X877" s="102"/>
      <c r="Y877" s="102"/>
      <c r="AA877" s="615"/>
      <c r="AB877" s="305"/>
      <c r="AC877" s="92"/>
      <c r="AD877" s="92"/>
      <c r="AE877" s="92"/>
      <c r="AF877" s="92"/>
      <c r="AG877" s="92"/>
      <c r="AJ877" s="92"/>
      <c r="AK877" s="92"/>
      <c r="AL877" s="92"/>
      <c r="AM877" s="92"/>
      <c r="AN877" s="92"/>
      <c r="AO877" s="92"/>
      <c r="AP877" s="92"/>
    </row>
    <row r="878" spans="1:59" ht="15" customHeight="1" thickBot="1">
      <c r="A878" s="555"/>
      <c r="B878" s="217"/>
      <c r="C878" s="217"/>
      <c r="D878" s="101"/>
      <c r="E878" s="217"/>
      <c r="F878" s="294"/>
      <c r="G878" s="295"/>
      <c r="H878" s="98"/>
      <c r="I878" s="218"/>
      <c r="J878" s="218"/>
      <c r="K878" s="218"/>
      <c r="L878" s="218"/>
      <c r="M878" s="218"/>
      <c r="U878" s="99"/>
      <c r="V878" s="255"/>
      <c r="W878" s="102"/>
      <c r="X878" s="102"/>
      <c r="Y878" s="102"/>
      <c r="AA878" s="615"/>
    </row>
    <row r="879" spans="1:59" s="75" customFormat="1" ht="25.5" customHeight="1" thickBot="1">
      <c r="A879" s="555"/>
      <c r="B879" s="217"/>
      <c r="C879" s="217"/>
      <c r="D879" s="101"/>
      <c r="E879" s="217"/>
      <c r="F879" s="294"/>
      <c r="G879" s="295"/>
      <c r="H879" s="665" t="s">
        <v>626</v>
      </c>
      <c r="I879" s="666"/>
      <c r="J879" s="666"/>
      <c r="K879" s="666"/>
      <c r="L879" s="666"/>
      <c r="M879" s="666"/>
      <c r="N879" s="666"/>
      <c r="O879" s="666"/>
      <c r="P879" s="666"/>
      <c r="Q879" s="666"/>
      <c r="R879" s="666"/>
      <c r="S879" s="666"/>
      <c r="T879" s="667"/>
      <c r="U879" s="99"/>
      <c r="V879" s="255"/>
      <c r="W879" s="102"/>
      <c r="X879" s="102"/>
      <c r="Y879" s="102"/>
      <c r="Z879" s="614"/>
      <c r="AA879" s="615"/>
      <c r="AB879" s="624"/>
      <c r="AC879" s="623"/>
      <c r="AD879" s="623"/>
      <c r="AE879" s="623"/>
      <c r="AF879" s="623"/>
      <c r="AG879" s="623"/>
      <c r="AH879" s="623"/>
      <c r="AI879" s="624"/>
      <c r="AJ879" s="307"/>
      <c r="AK879" s="307"/>
      <c r="AL879" s="307"/>
      <c r="AM879" s="307"/>
      <c r="AN879" s="307"/>
      <c r="AO879" s="192"/>
      <c r="AP879" s="192"/>
      <c r="AQ879" s="192"/>
      <c r="AR879" s="115"/>
      <c r="AS879" s="115"/>
      <c r="AT879" s="115"/>
      <c r="AU879" s="115"/>
      <c r="AV879" s="115"/>
      <c r="AW879" s="115"/>
      <c r="AX879" s="115"/>
      <c r="AY879" s="115"/>
      <c r="AZ879" s="115"/>
      <c r="BA879" s="115"/>
      <c r="BB879" s="115"/>
      <c r="BC879" s="115"/>
      <c r="BD879" s="115"/>
      <c r="BE879" s="74"/>
      <c r="BF879" s="74"/>
      <c r="BG879" s="74"/>
    </row>
    <row r="880" spans="1:59" s="75" customFormat="1" ht="15" customHeight="1">
      <c r="A880" s="555"/>
      <c r="B880" s="217"/>
      <c r="C880" s="217"/>
      <c r="D880" s="101"/>
      <c r="E880" s="217"/>
      <c r="F880" s="294"/>
      <c r="G880" s="295"/>
      <c r="H880" s="225"/>
      <c r="I880" s="225"/>
      <c r="J880" s="225"/>
      <c r="K880" s="225"/>
      <c r="L880" s="225"/>
      <c r="M880" s="225"/>
      <c r="N880" s="225"/>
      <c r="O880" s="225"/>
      <c r="P880" s="225"/>
      <c r="Q880" s="225"/>
      <c r="R880" s="225"/>
      <c r="S880" s="225"/>
      <c r="T880" s="225"/>
      <c r="U880" s="99"/>
      <c r="V880" s="255"/>
      <c r="W880" s="102"/>
      <c r="X880" s="102"/>
      <c r="Y880" s="102"/>
      <c r="Z880" s="614"/>
      <c r="AA880" s="615"/>
      <c r="AB880" s="624"/>
      <c r="AC880" s="625"/>
      <c r="AD880" s="625"/>
      <c r="AE880" s="625"/>
      <c r="AF880" s="625"/>
      <c r="AG880" s="625"/>
      <c r="AH880" s="623"/>
      <c r="AI880" s="624"/>
      <c r="AJ880" s="626"/>
      <c r="AK880" s="626"/>
      <c r="AL880" s="626"/>
      <c r="AM880" s="626"/>
      <c r="AN880" s="626"/>
      <c r="AO880" s="192"/>
      <c r="AP880" s="192"/>
      <c r="AQ880" s="192"/>
      <c r="AR880" s="115"/>
      <c r="AS880" s="115"/>
      <c r="AT880" s="115"/>
      <c r="AU880" s="115"/>
      <c r="AV880" s="115"/>
      <c r="AW880" s="115"/>
      <c r="AX880" s="115"/>
      <c r="AY880" s="115"/>
      <c r="AZ880" s="115"/>
      <c r="BA880" s="115"/>
      <c r="BB880" s="115"/>
      <c r="BC880" s="115"/>
      <c r="BD880" s="115"/>
      <c r="BE880" s="74"/>
      <c r="BF880" s="74"/>
      <c r="BG880" s="74"/>
    </row>
    <row r="881" spans="1:43" ht="15" customHeight="1">
      <c r="A881" s="555" t="s">
        <v>2595</v>
      </c>
      <c r="B881" s="217" t="str">
        <f t="shared" si="1258"/>
        <v>100</v>
      </c>
      <c r="C881" s="217" t="str">
        <f t="shared" si="1259"/>
        <v>30</v>
      </c>
      <c r="D881" s="101" t="str">
        <f t="shared" si="1260"/>
        <v>302</v>
      </c>
      <c r="E881" s="217" t="str">
        <f t="shared" si="1261"/>
        <v>100-30-302</v>
      </c>
      <c r="F881" s="294" t="str">
        <f t="shared" si="1262"/>
        <v>50101</v>
      </c>
      <c r="G881" s="295" t="str">
        <f>VLOOKUP(F881,'GL Category'!A:C,3,FALSE)</f>
        <v>Personnel services</v>
      </c>
      <c r="H881" s="98" t="str">
        <f>VLOOKUP(F881,'GL Category'!A:C,2,FALSE)</f>
        <v>EXEMPT SALARIES</v>
      </c>
      <c r="I881" s="99">
        <f>SUMIF(Import!$B:$B,$A881,Import!D:D)</f>
        <v>9658.5300000000007</v>
      </c>
      <c r="J881" s="99">
        <f>SUMIF(Import!$B:$B,$A881,Import!E:E)</f>
        <v>77838.66</v>
      </c>
      <c r="K881" s="99">
        <f>SUMIF(Import!$B:$B,$A881,Import!F:F)</f>
        <v>104298.25</v>
      </c>
      <c r="L881" s="99">
        <f>SUMIF(Import!$B:$B,$A881,Import!G:G)</f>
        <v>121649.84</v>
      </c>
      <c r="M881" s="99">
        <f>SUMIF(Import!$B:$B,$A881,Import!H:H)</f>
        <v>128378</v>
      </c>
      <c r="N881" s="99">
        <f>SUMIF(Import!$B:$B,$A881,Import!I:I)</f>
        <v>79380.38</v>
      </c>
      <c r="O881" s="99">
        <f>SUMIF(Import!$B:$B,$A881,Import!J:J)</f>
        <v>108265</v>
      </c>
      <c r="P881" s="99">
        <f t="shared" ref="P881:P889" si="1273">O881-M881</f>
        <v>-20113</v>
      </c>
      <c r="Q881" s="99">
        <f>SUMIF(Import!$B:$B,$A881,Import!K:K)</f>
        <v>136240</v>
      </c>
      <c r="R881" s="99">
        <f>SUMIF(Import!$B:$B,$A881,Import!L:L)</f>
        <v>0</v>
      </c>
      <c r="S881" s="99">
        <f>SUMIF(Import!$B:$B,$A881,Import!M:M)</f>
        <v>0</v>
      </c>
      <c r="T881" s="99">
        <f>SUMIF(Import!$B:$B,$A881,Import!N:N)</f>
        <v>136240</v>
      </c>
      <c r="U881" s="99">
        <f t="shared" ref="U881:U889" si="1274">T881-M881</f>
        <v>7862</v>
      </c>
      <c r="V881" s="255">
        <f t="shared" ref="V881:V889" si="1275">IF(M881=0,"N/A",T881/M881-1)</f>
        <v>6.1241022605119211E-2</v>
      </c>
      <c r="W881" s="102" t="s">
        <v>2595</v>
      </c>
      <c r="X881" s="102"/>
      <c r="Y881" s="102"/>
      <c r="AA881" s="615"/>
      <c r="AC881" s="300"/>
      <c r="AD881" s="300"/>
      <c r="AE881" s="300"/>
      <c r="AF881" s="300"/>
      <c r="AG881" s="300"/>
      <c r="AJ881" s="300"/>
      <c r="AK881" s="300"/>
      <c r="AL881" s="300"/>
      <c r="AM881" s="300"/>
      <c r="AN881" s="300"/>
    </row>
    <row r="882" spans="1:43" ht="15" customHeight="1">
      <c r="A882" s="555" t="s">
        <v>2596</v>
      </c>
      <c r="B882" s="217" t="str">
        <f t="shared" si="1258"/>
        <v>100</v>
      </c>
      <c r="C882" s="217" t="str">
        <f t="shared" si="1259"/>
        <v>30</v>
      </c>
      <c r="D882" s="101" t="str">
        <f t="shared" si="1260"/>
        <v>302</v>
      </c>
      <c r="E882" s="217" t="str">
        <f t="shared" si="1261"/>
        <v>100-30-302</v>
      </c>
      <c r="F882" s="294" t="str">
        <f t="shared" si="1262"/>
        <v>50102</v>
      </c>
      <c r="G882" s="295" t="str">
        <f>VLOOKUP(F882,'GL Category'!A:C,3,FALSE)</f>
        <v>Personnel services</v>
      </c>
      <c r="H882" s="98" t="str">
        <f>VLOOKUP(F882,'GL Category'!A:C,2,FALSE)</f>
        <v>NON EXEMPT SALARIES</v>
      </c>
      <c r="I882" s="99">
        <f>SUMIF(Import!$B:$B,$A882,Import!D:D)</f>
        <v>3270770.66</v>
      </c>
      <c r="J882" s="99">
        <f>SUMIF(Import!$B:$B,$A882,Import!E:E)</f>
        <v>3325585.51</v>
      </c>
      <c r="K882" s="99">
        <f>SUMIF(Import!$B:$B,$A882,Import!F:F)</f>
        <v>3624101.78</v>
      </c>
      <c r="L882" s="99">
        <f>SUMIF(Import!$B:$B,$A882,Import!G:G)</f>
        <v>3886415.03</v>
      </c>
      <c r="M882" s="99">
        <f>SUMIF(Import!$B:$B,$A882,Import!H:H)</f>
        <v>4316767</v>
      </c>
      <c r="N882" s="99">
        <f>SUMIF(Import!$B:$B,$A882,Import!I:I)</f>
        <v>3297642.34</v>
      </c>
      <c r="O882" s="99">
        <f>SUMIF(Import!$B:$B,$A882,Import!J:J)</f>
        <v>4350959</v>
      </c>
      <c r="P882" s="99">
        <f t="shared" si="1273"/>
        <v>34192</v>
      </c>
      <c r="Q882" s="99">
        <f>SUMIF(Import!$B:$B,$A882,Import!K:K)</f>
        <v>4633321</v>
      </c>
      <c r="R882" s="99">
        <f>SUMIF(Import!$B:$B,$A882,Import!L:L)</f>
        <v>0</v>
      </c>
      <c r="S882" s="99">
        <f>SUMIF(Import!$B:$B,$A882,Import!M:M)</f>
        <v>0</v>
      </c>
      <c r="T882" s="99">
        <f>SUMIF(Import!$B:$B,$A882,Import!N:N)</f>
        <v>4633321</v>
      </c>
      <c r="U882" s="99">
        <f t="shared" si="1274"/>
        <v>316554</v>
      </c>
      <c r="V882" s="255">
        <f t="shared" si="1275"/>
        <v>7.3331268516461545E-2</v>
      </c>
      <c r="W882" s="102" t="s">
        <v>2596</v>
      </c>
      <c r="X882" s="102"/>
      <c r="Y882" s="102"/>
      <c r="AA882" s="615"/>
      <c r="AC882" s="300"/>
      <c r="AD882" s="300"/>
      <c r="AE882" s="300"/>
      <c r="AF882" s="300"/>
      <c r="AG882" s="300"/>
      <c r="AJ882" s="300"/>
      <c r="AK882" s="300"/>
      <c r="AL882" s="300"/>
      <c r="AM882" s="300"/>
      <c r="AN882" s="300"/>
    </row>
    <row r="883" spans="1:43" ht="15" customHeight="1">
      <c r="A883" s="555" t="s">
        <v>2597</v>
      </c>
      <c r="B883" s="217" t="str">
        <f t="shared" si="1258"/>
        <v>100</v>
      </c>
      <c r="C883" s="217" t="str">
        <f t="shared" si="1259"/>
        <v>30</v>
      </c>
      <c r="D883" s="101" t="str">
        <f t="shared" si="1260"/>
        <v>302</v>
      </c>
      <c r="E883" s="217" t="str">
        <f t="shared" si="1261"/>
        <v>100-30-302</v>
      </c>
      <c r="F883" s="294" t="str">
        <f t="shared" si="1262"/>
        <v>50109</v>
      </c>
      <c r="G883" s="295" t="str">
        <f>VLOOKUP(F883,'GL Category'!A:C,3,FALSE)</f>
        <v>Personnel services</v>
      </c>
      <c r="H883" s="98" t="str">
        <f>VLOOKUP(F883,'GL Category'!A:C,2,FALSE)</f>
        <v>OVERTIME</v>
      </c>
      <c r="I883" s="99">
        <f>SUMIF(Import!$B:$B,$A883,Import!D:D)</f>
        <v>146306.09</v>
      </c>
      <c r="J883" s="99">
        <f>SUMIF(Import!$B:$B,$A883,Import!E:E)</f>
        <v>163101.85999999999</v>
      </c>
      <c r="K883" s="99">
        <f>SUMIF(Import!$B:$B,$A883,Import!F:F)</f>
        <v>234675.56</v>
      </c>
      <c r="L883" s="99">
        <f>SUMIF(Import!$B:$B,$A883,Import!G:G)</f>
        <v>336932.56</v>
      </c>
      <c r="M883" s="99">
        <f>SUMIF(Import!$B:$B,$A883,Import!H:H)</f>
        <v>198518</v>
      </c>
      <c r="N883" s="99">
        <f>SUMIF(Import!$B:$B,$A883,Import!I:I)</f>
        <v>271215.88</v>
      </c>
      <c r="O883" s="99">
        <f>SUMIF(Import!$B:$B,$A883,Import!J:J)</f>
        <v>343479</v>
      </c>
      <c r="P883" s="99">
        <f t="shared" si="1273"/>
        <v>144961</v>
      </c>
      <c r="Q883" s="99">
        <f>SUMIF(Import!$B:$B,$A883,Import!K:K)</f>
        <v>197082</v>
      </c>
      <c r="R883" s="99">
        <f>SUMIF(Import!$B:$B,$A883,Import!L:L)</f>
        <v>0</v>
      </c>
      <c r="S883" s="99">
        <f>SUMIF(Import!$B:$B,$A883,Import!M:M)</f>
        <v>0</v>
      </c>
      <c r="T883" s="99">
        <f>SUMIF(Import!$B:$B,$A883,Import!N:N)</f>
        <v>197082</v>
      </c>
      <c r="U883" s="99">
        <f t="shared" si="1274"/>
        <v>-1436</v>
      </c>
      <c r="V883" s="255">
        <f t="shared" si="1275"/>
        <v>-7.2336009832861814E-3</v>
      </c>
      <c r="W883" s="102" t="s">
        <v>2597</v>
      </c>
      <c r="X883" s="102"/>
      <c r="Y883" s="102"/>
      <c r="AA883" s="615"/>
      <c r="AC883" s="300"/>
      <c r="AD883" s="300"/>
      <c r="AE883" s="300"/>
      <c r="AF883" s="300"/>
      <c r="AG883" s="300"/>
      <c r="AJ883" s="300"/>
      <c r="AK883" s="300"/>
      <c r="AL883" s="300"/>
      <c r="AM883" s="300"/>
      <c r="AN883" s="300"/>
    </row>
    <row r="884" spans="1:43" ht="15" customHeight="1">
      <c r="A884" s="555" t="s">
        <v>2598</v>
      </c>
      <c r="B884" s="217" t="str">
        <f t="shared" si="1258"/>
        <v>100</v>
      </c>
      <c r="C884" s="217" t="str">
        <f t="shared" si="1259"/>
        <v>30</v>
      </c>
      <c r="D884" s="101" t="str">
        <f t="shared" si="1260"/>
        <v>302</v>
      </c>
      <c r="E884" s="217" t="str">
        <f t="shared" si="1261"/>
        <v>100-30-302</v>
      </c>
      <c r="F884" s="294" t="str">
        <f t="shared" si="1262"/>
        <v>50111</v>
      </c>
      <c r="G884" s="295" t="str">
        <f>VLOOKUP(F884,'GL Category'!A:C,3,FALSE)</f>
        <v>Personnel services</v>
      </c>
      <c r="H884" s="98" t="str">
        <f>VLOOKUP(F884,'GL Category'!A:C,2,FALSE)</f>
        <v>LONGEVITY PAY</v>
      </c>
      <c r="I884" s="99">
        <f>SUMIF(Import!$B:$B,$A884,Import!D:D)</f>
        <v>24785</v>
      </c>
      <c r="J884" s="99">
        <f>SUMIF(Import!$B:$B,$A884,Import!E:E)</f>
        <v>26910</v>
      </c>
      <c r="K884" s="99">
        <f>SUMIF(Import!$B:$B,$A884,Import!F:F)</f>
        <v>25410</v>
      </c>
      <c r="L884" s="99">
        <f>SUMIF(Import!$B:$B,$A884,Import!G:G)</f>
        <v>26059</v>
      </c>
      <c r="M884" s="99">
        <f>SUMIF(Import!$B:$B,$A884,Import!H:H)</f>
        <v>28591</v>
      </c>
      <c r="N884" s="99">
        <f>SUMIF(Import!$B:$B,$A884,Import!I:I)</f>
        <v>27000</v>
      </c>
      <c r="O884" s="99">
        <f>SUMIF(Import!$B:$B,$A884,Import!J:J)</f>
        <v>27000</v>
      </c>
      <c r="P884" s="99">
        <f t="shared" si="1273"/>
        <v>-1591</v>
      </c>
      <c r="Q884" s="99">
        <f>SUMIF(Import!$B:$B,$A884,Import!K:K)</f>
        <v>28212</v>
      </c>
      <c r="R884" s="99">
        <f>SUMIF(Import!$B:$B,$A884,Import!L:L)</f>
        <v>0</v>
      </c>
      <c r="S884" s="99">
        <f>SUMIF(Import!$B:$B,$A884,Import!M:M)</f>
        <v>0</v>
      </c>
      <c r="T884" s="99">
        <f>SUMIF(Import!$B:$B,$A884,Import!N:N)</f>
        <v>28212</v>
      </c>
      <c r="U884" s="99">
        <f t="shared" si="1274"/>
        <v>-379</v>
      </c>
      <c r="V884" s="255">
        <f t="shared" si="1275"/>
        <v>-1.3255919695008944E-2</v>
      </c>
      <c r="W884" s="102" t="s">
        <v>2598</v>
      </c>
      <c r="X884" s="102"/>
      <c r="Y884" s="102"/>
      <c r="AA884" s="615"/>
      <c r="AC884" s="300"/>
      <c r="AD884" s="300"/>
      <c r="AE884" s="300"/>
      <c r="AF884" s="300"/>
      <c r="AG884" s="300"/>
      <c r="AJ884" s="300"/>
      <c r="AK884" s="300"/>
      <c r="AL884" s="300"/>
      <c r="AM884" s="300"/>
      <c r="AN884" s="300"/>
    </row>
    <row r="885" spans="1:43" s="115" customFormat="1" ht="15" customHeight="1">
      <c r="A885" s="555" t="s">
        <v>2599</v>
      </c>
      <c r="B885" s="217" t="str">
        <f t="shared" si="1258"/>
        <v>100</v>
      </c>
      <c r="C885" s="217" t="str">
        <f t="shared" si="1259"/>
        <v>30</v>
      </c>
      <c r="D885" s="101" t="str">
        <f t="shared" si="1260"/>
        <v>302</v>
      </c>
      <c r="E885" s="217" t="str">
        <f t="shared" si="1261"/>
        <v>100-30-302</v>
      </c>
      <c r="F885" s="294" t="str">
        <f t="shared" si="1262"/>
        <v>50115</v>
      </c>
      <c r="G885" s="295" t="str">
        <f>VLOOKUP(F885,'GL Category'!A:C,3,FALSE)</f>
        <v>Personnel services</v>
      </c>
      <c r="H885" s="98" t="str">
        <f>VLOOKUP(F885,'GL Category'!A:C,2,FALSE)</f>
        <v>INCENTIVE/CERTIFICATION PAY</v>
      </c>
      <c r="I885" s="99">
        <f>SUMIF(Import!$B:$B,$A885,Import!D:D)</f>
        <v>28594.65</v>
      </c>
      <c r="J885" s="99">
        <f>SUMIF(Import!$B:$B,$A885,Import!E:E)</f>
        <v>27347.14</v>
      </c>
      <c r="K885" s="99">
        <f>SUMIF(Import!$B:$B,$A885,Import!F:F)</f>
        <v>31933.53</v>
      </c>
      <c r="L885" s="99">
        <f>SUMIF(Import!$B:$B,$A885,Import!G:G)</f>
        <v>34173.54</v>
      </c>
      <c r="M885" s="99">
        <f>SUMIF(Import!$B:$B,$A885,Import!H:H)</f>
        <v>34200</v>
      </c>
      <c r="N885" s="99">
        <f>SUMIF(Import!$B:$B,$A885,Import!I:I)</f>
        <v>23701.5</v>
      </c>
      <c r="O885" s="99">
        <f>SUMIF(Import!$B:$B,$A885,Import!J:J)</f>
        <v>45774</v>
      </c>
      <c r="P885" s="99">
        <f t="shared" si="1273"/>
        <v>11574</v>
      </c>
      <c r="Q885" s="99">
        <f>SUMIF(Import!$B:$B,$A885,Import!K:K)</f>
        <v>38200</v>
      </c>
      <c r="R885" s="99">
        <f>SUMIF(Import!$B:$B,$A885,Import!L:L)</f>
        <v>0</v>
      </c>
      <c r="S885" s="99">
        <f>SUMIF(Import!$B:$B,$A885,Import!M:M)</f>
        <v>0</v>
      </c>
      <c r="T885" s="99">
        <f>SUMIF(Import!$B:$B,$A885,Import!N:N)</f>
        <v>38200</v>
      </c>
      <c r="U885" s="99">
        <f t="shared" si="1274"/>
        <v>4000</v>
      </c>
      <c r="V885" s="255">
        <f t="shared" si="1275"/>
        <v>0.11695906432748537</v>
      </c>
      <c r="W885" s="102" t="s">
        <v>2599</v>
      </c>
      <c r="X885" s="102"/>
      <c r="Y885" s="102"/>
      <c r="Z885" s="192"/>
      <c r="AA885" s="615"/>
      <c r="AB885" s="307"/>
      <c r="AC885" s="300"/>
      <c r="AD885" s="300"/>
      <c r="AE885" s="300"/>
      <c r="AF885" s="300"/>
      <c r="AG885" s="300"/>
      <c r="AH885" s="307"/>
      <c r="AI885" s="307"/>
      <c r="AJ885" s="300"/>
      <c r="AK885" s="300"/>
      <c r="AL885" s="300"/>
      <c r="AM885" s="300"/>
      <c r="AN885" s="300"/>
      <c r="AO885" s="192"/>
      <c r="AP885" s="192"/>
      <c r="AQ885" s="192"/>
    </row>
    <row r="886" spans="1:43" s="115" customFormat="1" ht="15" customHeight="1">
      <c r="A886" s="555" t="s">
        <v>2600</v>
      </c>
      <c r="B886" s="217" t="str">
        <f t="shared" si="1258"/>
        <v>100</v>
      </c>
      <c r="C886" s="217" t="str">
        <f t="shared" si="1259"/>
        <v>30</v>
      </c>
      <c r="D886" s="101" t="str">
        <f t="shared" si="1260"/>
        <v>302</v>
      </c>
      <c r="E886" s="217" t="str">
        <f t="shared" si="1261"/>
        <v>100-30-302</v>
      </c>
      <c r="F886" s="294" t="str">
        <f t="shared" si="1262"/>
        <v>50610</v>
      </c>
      <c r="G886" s="295" t="str">
        <f>VLOOKUP(F886,'GL Category'!A:C,3,FALSE)</f>
        <v>Personnel services</v>
      </c>
      <c r="H886" s="98" t="str">
        <f>VLOOKUP(F886,'GL Category'!A:C,2,FALSE)</f>
        <v>SOCIAL SECURITY</v>
      </c>
      <c r="I886" s="99">
        <f>SUMIF(Import!$B:$B,$A886,Import!D:D)</f>
        <v>252953.16</v>
      </c>
      <c r="J886" s="99">
        <f>SUMIF(Import!$B:$B,$A886,Import!E:E)</f>
        <v>261808.3</v>
      </c>
      <c r="K886" s="99">
        <f>SUMIF(Import!$B:$B,$A886,Import!F:F)</f>
        <v>293851.46999999997</v>
      </c>
      <c r="L886" s="99">
        <f>SUMIF(Import!$B:$B,$A886,Import!G:G)</f>
        <v>319533.34999999998</v>
      </c>
      <c r="M886" s="99">
        <f>SUMIF(Import!$B:$B,$A886,Import!H:H)</f>
        <v>348570</v>
      </c>
      <c r="N886" s="99">
        <f>SUMIF(Import!$B:$B,$A886,Import!I:I)</f>
        <v>271242.71000000002</v>
      </c>
      <c r="O886" s="99">
        <f>SUMIF(Import!$B:$B,$A886,Import!J:J)</f>
        <v>356914</v>
      </c>
      <c r="P886" s="99">
        <f t="shared" si="1273"/>
        <v>8344</v>
      </c>
      <c r="Q886" s="99">
        <f>SUMIF(Import!$B:$B,$A886,Import!K:K)</f>
        <v>372670</v>
      </c>
      <c r="R886" s="99">
        <f>SUMIF(Import!$B:$B,$A886,Import!L:L)</f>
        <v>0</v>
      </c>
      <c r="S886" s="99">
        <f>SUMIF(Import!$B:$B,$A886,Import!M:M)</f>
        <v>0</v>
      </c>
      <c r="T886" s="99">
        <f>SUMIF(Import!$B:$B,$A886,Import!N:N)</f>
        <v>372670</v>
      </c>
      <c r="U886" s="99">
        <f t="shared" si="1274"/>
        <v>24100</v>
      </c>
      <c r="V886" s="255">
        <f t="shared" si="1275"/>
        <v>6.9139627621424671E-2</v>
      </c>
      <c r="W886" s="102" t="s">
        <v>2600</v>
      </c>
      <c r="X886" s="102"/>
      <c r="Y886" s="102"/>
      <c r="Z886" s="192"/>
      <c r="AA886" s="615"/>
      <c r="AB886" s="307"/>
      <c r="AC886" s="300"/>
      <c r="AD886" s="300"/>
      <c r="AE886" s="300"/>
      <c r="AF886" s="300"/>
      <c r="AG886" s="300"/>
      <c r="AH886" s="307"/>
      <c r="AI886" s="307"/>
      <c r="AJ886" s="300"/>
      <c r="AK886" s="300"/>
      <c r="AL886" s="300"/>
      <c r="AM886" s="300"/>
      <c r="AN886" s="300"/>
      <c r="AO886" s="192"/>
      <c r="AP886" s="192"/>
      <c r="AQ886" s="192"/>
    </row>
    <row r="887" spans="1:43" s="115" customFormat="1" ht="15" customHeight="1">
      <c r="A887" s="555" t="s">
        <v>2601</v>
      </c>
      <c r="B887" s="217" t="str">
        <f t="shared" si="1258"/>
        <v>100</v>
      </c>
      <c r="C887" s="217" t="str">
        <f t="shared" si="1259"/>
        <v>30</v>
      </c>
      <c r="D887" s="101" t="str">
        <f t="shared" si="1260"/>
        <v>302</v>
      </c>
      <c r="E887" s="217" t="str">
        <f t="shared" si="1261"/>
        <v>100-30-302</v>
      </c>
      <c r="F887" s="294" t="str">
        <f t="shared" si="1262"/>
        <v>50620</v>
      </c>
      <c r="G887" s="295" t="str">
        <f>VLOOKUP(F887,'GL Category'!A:C,3,FALSE)</f>
        <v>Personnel services</v>
      </c>
      <c r="H887" s="98" t="str">
        <f>VLOOKUP(F887,'GL Category'!A:C,2,FALSE)</f>
        <v>HEALTH/LIFE INSURANCE</v>
      </c>
      <c r="I887" s="99">
        <f>SUMIF(Import!$B:$B,$A887,Import!D:D)</f>
        <v>636429.54</v>
      </c>
      <c r="J887" s="99">
        <f>SUMIF(Import!$B:$B,$A887,Import!E:E)</f>
        <v>685873.39</v>
      </c>
      <c r="K887" s="99">
        <f>SUMIF(Import!$B:$B,$A887,Import!F:F)</f>
        <v>721338.58</v>
      </c>
      <c r="L887" s="99">
        <f>SUMIF(Import!$B:$B,$A887,Import!G:G)</f>
        <v>723466.27</v>
      </c>
      <c r="M887" s="99">
        <f>SUMIF(Import!$B:$B,$A887,Import!H:H)</f>
        <v>738721</v>
      </c>
      <c r="N887" s="99">
        <f>SUMIF(Import!$B:$B,$A887,Import!I:I)</f>
        <v>547697.73</v>
      </c>
      <c r="O887" s="99">
        <f>SUMIF(Import!$B:$B,$A887,Import!J:J)</f>
        <v>758885</v>
      </c>
      <c r="P887" s="99">
        <f t="shared" si="1273"/>
        <v>20164</v>
      </c>
      <c r="Q887" s="99">
        <f>SUMIF(Import!$B:$B,$A887,Import!K:K)</f>
        <v>774269</v>
      </c>
      <c r="R887" s="99">
        <f>SUMIF(Import!$B:$B,$A887,Import!L:L)</f>
        <v>0</v>
      </c>
      <c r="S887" s="99">
        <f>SUMIF(Import!$B:$B,$A887,Import!M:M)</f>
        <v>0</v>
      </c>
      <c r="T887" s="99">
        <f>SUMIF(Import!$B:$B,$A887,Import!N:N)</f>
        <v>774269</v>
      </c>
      <c r="U887" s="99">
        <f t="shared" si="1274"/>
        <v>35548</v>
      </c>
      <c r="V887" s="255">
        <f t="shared" si="1275"/>
        <v>4.8121009149597826E-2</v>
      </c>
      <c r="W887" s="102" t="s">
        <v>2601</v>
      </c>
      <c r="X887" s="102"/>
      <c r="Y887" s="102"/>
      <c r="Z887" s="192"/>
      <c r="AA887" s="615"/>
      <c r="AB887" s="307"/>
      <c r="AC887" s="300"/>
      <c r="AD887" s="300"/>
      <c r="AE887" s="300"/>
      <c r="AF887" s="300"/>
      <c r="AG887" s="300"/>
      <c r="AH887" s="307"/>
      <c r="AI887" s="307"/>
      <c r="AJ887" s="300"/>
      <c r="AK887" s="300"/>
      <c r="AL887" s="300"/>
      <c r="AM887" s="300"/>
      <c r="AN887" s="300"/>
      <c r="AO887" s="192"/>
      <c r="AP887" s="192"/>
      <c r="AQ887" s="192"/>
    </row>
    <row r="888" spans="1:43" s="115" customFormat="1" ht="15" customHeight="1">
      <c r="A888" s="555" t="s">
        <v>2602</v>
      </c>
      <c r="B888" s="217" t="str">
        <f t="shared" si="1258"/>
        <v>100</v>
      </c>
      <c r="C888" s="217" t="str">
        <f t="shared" si="1259"/>
        <v>30</v>
      </c>
      <c r="D888" s="101" t="str">
        <f t="shared" si="1260"/>
        <v>302</v>
      </c>
      <c r="E888" s="217" t="str">
        <f t="shared" si="1261"/>
        <v>100-30-302</v>
      </c>
      <c r="F888" s="294" t="str">
        <f t="shared" si="1262"/>
        <v>50630</v>
      </c>
      <c r="G888" s="295" t="str">
        <f>VLOOKUP(F888,'GL Category'!A:C,3,FALSE)</f>
        <v>Personnel services</v>
      </c>
      <c r="H888" s="98" t="str">
        <f>VLOOKUP(F888,'GL Category'!A:C,2,FALSE)</f>
        <v>WORKER COMPENSATION</v>
      </c>
      <c r="I888" s="99">
        <f>SUMIF(Import!$B:$B,$A888,Import!D:D)</f>
        <v>24374.37</v>
      </c>
      <c r="J888" s="99">
        <f>SUMIF(Import!$B:$B,$A888,Import!E:E)</f>
        <v>24029.57</v>
      </c>
      <c r="K888" s="99">
        <f>SUMIF(Import!$B:$B,$A888,Import!F:F)</f>
        <v>26139.119999999999</v>
      </c>
      <c r="L888" s="99">
        <f>SUMIF(Import!$B:$B,$A888,Import!G:G)</f>
        <v>52360.12</v>
      </c>
      <c r="M888" s="99">
        <f>SUMIF(Import!$B:$B,$A888,Import!H:H)</f>
        <v>73460</v>
      </c>
      <c r="N888" s="99">
        <f>SUMIF(Import!$B:$B,$A888,Import!I:I)</f>
        <v>73399.98</v>
      </c>
      <c r="O888" s="99">
        <f>SUMIF(Import!$B:$B,$A888,Import!J:J)</f>
        <v>73400</v>
      </c>
      <c r="P888" s="99">
        <f t="shared" si="1273"/>
        <v>-60</v>
      </c>
      <c r="Q888" s="99">
        <f>SUMIF(Import!$B:$B,$A888,Import!K:K)</f>
        <v>81514</v>
      </c>
      <c r="R888" s="99">
        <f>SUMIF(Import!$B:$B,$A888,Import!L:L)</f>
        <v>0</v>
      </c>
      <c r="S888" s="99">
        <f>SUMIF(Import!$B:$B,$A888,Import!M:M)</f>
        <v>0</v>
      </c>
      <c r="T888" s="99">
        <f>SUMIF(Import!$B:$B,$A888,Import!N:N)</f>
        <v>81514</v>
      </c>
      <c r="U888" s="99">
        <f t="shared" si="1274"/>
        <v>8054</v>
      </c>
      <c r="V888" s="255">
        <f t="shared" si="1275"/>
        <v>0.1096378981758781</v>
      </c>
      <c r="W888" s="102" t="s">
        <v>2602</v>
      </c>
      <c r="X888" s="102"/>
      <c r="Y888" s="102"/>
      <c r="Z888" s="192"/>
      <c r="AA888" s="615"/>
      <c r="AB888" s="307"/>
      <c r="AC888" s="94"/>
      <c r="AD888" s="94"/>
      <c r="AE888" s="94"/>
      <c r="AF888" s="94"/>
      <c r="AG888" s="94"/>
      <c r="AH888" s="307"/>
      <c r="AI888" s="307"/>
      <c r="AJ888" s="94"/>
      <c r="AK888" s="94"/>
      <c r="AL888" s="94"/>
      <c r="AM888" s="94"/>
      <c r="AN888" s="94"/>
      <c r="AO888" s="192"/>
      <c r="AP888" s="192"/>
      <c r="AQ888" s="192"/>
    </row>
    <row r="889" spans="1:43" s="115" customFormat="1" ht="15" customHeight="1">
      <c r="A889" s="555" t="s">
        <v>2603</v>
      </c>
      <c r="B889" s="217" t="str">
        <f t="shared" si="1258"/>
        <v>100</v>
      </c>
      <c r="C889" s="217" t="str">
        <f t="shared" si="1259"/>
        <v>30</v>
      </c>
      <c r="D889" s="101" t="str">
        <f t="shared" si="1260"/>
        <v>302</v>
      </c>
      <c r="E889" s="217" t="str">
        <f t="shared" si="1261"/>
        <v>100-30-302</v>
      </c>
      <c r="F889" s="294" t="str">
        <f t="shared" si="1262"/>
        <v>50650</v>
      </c>
      <c r="G889" s="295" t="str">
        <f>VLOOKUP(F889,'GL Category'!A:C,3,FALSE)</f>
        <v>Personnel services</v>
      </c>
      <c r="H889" s="98" t="str">
        <f>VLOOKUP(F889,'GL Category'!A:C,2,FALSE)</f>
        <v>RETIREMENT</v>
      </c>
      <c r="I889" s="99">
        <f>SUMIF(Import!$B:$B,$A889,Import!D:D)</f>
        <v>554024.81999999995</v>
      </c>
      <c r="J889" s="99">
        <f>SUMIF(Import!$B:$B,$A889,Import!E:E)</f>
        <v>585949.23</v>
      </c>
      <c r="K889" s="99">
        <f>SUMIF(Import!$B:$B,$A889,Import!F:F)</f>
        <v>653449.56000000006</v>
      </c>
      <c r="L889" s="99">
        <f>SUMIF(Import!$B:$B,$A889,Import!G:G)</f>
        <v>713036.52</v>
      </c>
      <c r="M889" s="99">
        <f>SUMIF(Import!$B:$B,$A889,Import!H:H)</f>
        <v>779847</v>
      </c>
      <c r="N889" s="99">
        <f>SUMIF(Import!$B:$B,$A889,Import!I:I)</f>
        <v>612126.4</v>
      </c>
      <c r="O889" s="99">
        <f>SUMIF(Import!$B:$B,$A889,Import!J:J)</f>
        <v>798664</v>
      </c>
      <c r="P889" s="99">
        <f t="shared" si="1273"/>
        <v>18817</v>
      </c>
      <c r="Q889" s="99">
        <f>SUMIF(Import!$B:$B,$A889,Import!K:K)</f>
        <v>853857</v>
      </c>
      <c r="R889" s="99">
        <f>SUMIF(Import!$B:$B,$A889,Import!L:L)</f>
        <v>0</v>
      </c>
      <c r="S889" s="99">
        <f>SUMIF(Import!$B:$B,$A889,Import!M:M)</f>
        <v>0</v>
      </c>
      <c r="T889" s="99">
        <f>SUMIF(Import!$B:$B,$A889,Import!N:N)</f>
        <v>853857</v>
      </c>
      <c r="U889" s="99">
        <f t="shared" si="1274"/>
        <v>74010</v>
      </c>
      <c r="V889" s="255">
        <f t="shared" si="1275"/>
        <v>9.4903231018392153E-2</v>
      </c>
      <c r="W889" s="102" t="s">
        <v>2603</v>
      </c>
      <c r="X889" s="102"/>
      <c r="Y889" s="102"/>
      <c r="Z889" s="192"/>
      <c r="AA889" s="615"/>
      <c r="AB889" s="307"/>
      <c r="AC889" s="300"/>
      <c r="AD889" s="300"/>
      <c r="AE889" s="300"/>
      <c r="AF889" s="300"/>
      <c r="AG889" s="300"/>
      <c r="AH889" s="307"/>
      <c r="AI889" s="307"/>
      <c r="AJ889" s="300"/>
      <c r="AK889" s="300"/>
      <c r="AL889" s="300"/>
      <c r="AM889" s="300"/>
      <c r="AN889" s="300"/>
      <c r="AO889" s="192"/>
      <c r="AP889" s="192"/>
      <c r="AQ889" s="192"/>
    </row>
    <row r="890" spans="1:43" s="115" customFormat="1" ht="15" customHeight="1">
      <c r="A890" s="555"/>
      <c r="B890" s="217"/>
      <c r="C890" s="217"/>
      <c r="D890" s="101"/>
      <c r="E890" s="217"/>
      <c r="F890" s="294"/>
      <c r="G890" s="295"/>
      <c r="H890" s="107" t="str">
        <f>UPPER(G889)&amp;" TOTAL"</f>
        <v>PERSONNEL SERVICES TOTAL</v>
      </c>
      <c r="I890" s="108">
        <f t="shared" ref="I890" si="1276">SUBTOTAL(9,I881:I889)</f>
        <v>4947896.82</v>
      </c>
      <c r="J890" s="108">
        <f t="shared" ref="J890:P890" si="1277">SUBTOTAL(9,J881:J889)</f>
        <v>5178443.66</v>
      </c>
      <c r="K890" s="108">
        <f t="shared" ref="K890" si="1278">SUBTOTAL(9,K881:K889)</f>
        <v>5715197.8499999996</v>
      </c>
      <c r="L890" s="108">
        <f t="shared" ref="L890" si="1279">SUBTOTAL(9,L881:L889)</f>
        <v>6213626.2300000004</v>
      </c>
      <c r="M890" s="108">
        <f t="shared" si="1277"/>
        <v>6647052</v>
      </c>
      <c r="N890" s="109">
        <f t="shared" ref="N890" si="1280">SUBTOTAL(9,N881:N889)</f>
        <v>5203406.92</v>
      </c>
      <c r="O890" s="109">
        <f t="shared" si="1277"/>
        <v>6863340</v>
      </c>
      <c r="P890" s="109">
        <f t="shared" si="1277"/>
        <v>216288</v>
      </c>
      <c r="Q890" s="109">
        <f t="shared" ref="Q890:T890" si="1281">SUBTOTAL(9,Q881:Q889)</f>
        <v>7115365</v>
      </c>
      <c r="R890" s="109">
        <f t="shared" si="1281"/>
        <v>0</v>
      </c>
      <c r="S890" s="109">
        <f t="shared" si="1281"/>
        <v>0</v>
      </c>
      <c r="T890" s="109">
        <f t="shared" si="1281"/>
        <v>7115365</v>
      </c>
      <c r="U890" s="99">
        <f>T890-M890</f>
        <v>468313</v>
      </c>
      <c r="V890" s="255">
        <f>IF(M890=0,"N/A",T890/M890-1)</f>
        <v>7.04542404663E-2</v>
      </c>
      <c r="W890" s="102"/>
      <c r="X890" s="102"/>
      <c r="Y890" s="102"/>
      <c r="Z890" s="192"/>
      <c r="AA890" s="615"/>
      <c r="AB890" s="307"/>
      <c r="AC890" s="300"/>
      <c r="AD890" s="300"/>
      <c r="AE890" s="300"/>
      <c r="AF890" s="300"/>
      <c r="AG890" s="300"/>
      <c r="AH890" s="307"/>
      <c r="AI890" s="307"/>
      <c r="AJ890" s="300"/>
      <c r="AK890" s="300"/>
      <c r="AL890" s="300"/>
      <c r="AM890" s="300"/>
      <c r="AN890" s="300"/>
      <c r="AO890" s="192"/>
      <c r="AP890" s="192"/>
      <c r="AQ890" s="192"/>
    </row>
    <row r="891" spans="1:43" s="115" customFormat="1" ht="15" customHeight="1">
      <c r="A891" s="555"/>
      <c r="B891" s="217"/>
      <c r="C891" s="217"/>
      <c r="D891" s="101"/>
      <c r="E891" s="217"/>
      <c r="F891" s="294"/>
      <c r="G891" s="295"/>
      <c r="H891" s="98"/>
      <c r="I891" s="106"/>
      <c r="J891" s="106"/>
      <c r="K891" s="106"/>
      <c r="L891" s="106"/>
      <c r="M891" s="106"/>
      <c r="N891" s="112"/>
      <c r="O891" s="112"/>
      <c r="P891" s="112"/>
      <c r="Q891" s="113"/>
      <c r="R891" s="113"/>
      <c r="S891" s="113"/>
      <c r="T891" s="113"/>
      <c r="U891" s="99"/>
      <c r="V891" s="255"/>
      <c r="W891" s="102"/>
      <c r="X891" s="102"/>
      <c r="Y891" s="102"/>
      <c r="Z891" s="192"/>
      <c r="AA891" s="615"/>
      <c r="AB891" s="307"/>
      <c r="AC891" s="300"/>
      <c r="AD891" s="300"/>
      <c r="AE891" s="300"/>
      <c r="AF891" s="300"/>
      <c r="AG891" s="300"/>
      <c r="AH891" s="307"/>
      <c r="AI891" s="307"/>
      <c r="AJ891" s="300"/>
      <c r="AK891" s="300"/>
      <c r="AL891" s="300"/>
      <c r="AM891" s="300"/>
      <c r="AN891" s="300"/>
      <c r="AO891" s="192"/>
      <c r="AP891" s="192"/>
      <c r="AQ891" s="192"/>
    </row>
    <row r="892" spans="1:43" s="115" customFormat="1" ht="15" customHeight="1">
      <c r="A892" s="555" t="s">
        <v>2604</v>
      </c>
      <c r="B892" s="217" t="str">
        <f t="shared" si="1258"/>
        <v>100</v>
      </c>
      <c r="C892" s="217" t="str">
        <f t="shared" si="1259"/>
        <v>30</v>
      </c>
      <c r="D892" s="101" t="str">
        <f t="shared" si="1260"/>
        <v>302</v>
      </c>
      <c r="E892" s="217" t="str">
        <f t="shared" si="1261"/>
        <v>100-30-302</v>
      </c>
      <c r="F892" s="294" t="str">
        <f t="shared" si="1262"/>
        <v>51210</v>
      </c>
      <c r="G892" s="295" t="str">
        <f>VLOOKUP(F892,'GL Category'!A:C,3,FALSE)</f>
        <v>Operations &amp; maintenance</v>
      </c>
      <c r="H892" s="98" t="str">
        <f>VLOOKUP(F892,'GL Category'!A:C,2,FALSE)</f>
        <v>OFFICE SUPPLIES</v>
      </c>
      <c r="I892" s="99">
        <f>SUMIF(Import!$B:$B,$A892,Import!D:D)</f>
        <v>0</v>
      </c>
      <c r="J892" s="99">
        <f>SUMIF(Import!$B:$B,$A892,Import!E:E)</f>
        <v>59</v>
      </c>
      <c r="K892" s="99">
        <f>SUMIF(Import!$B:$B,$A892,Import!F:F)</f>
        <v>547.75</v>
      </c>
      <c r="L892" s="99">
        <f>SUMIF(Import!$B:$B,$A892,Import!G:G)</f>
        <v>0</v>
      </c>
      <c r="M892" s="99">
        <f>SUMIF(Import!$B:$B,$A892,Import!H:H)</f>
        <v>0</v>
      </c>
      <c r="N892" s="99">
        <f>SUMIF(Import!$B:$B,$A892,Import!I:I)</f>
        <v>0</v>
      </c>
      <c r="O892" s="99">
        <f>SUMIF(Import!$B:$B,$A892,Import!J:J)</f>
        <v>0</v>
      </c>
      <c r="P892" s="99">
        <f t="shared" ref="P892:P903" si="1282">O892-M892</f>
        <v>0</v>
      </c>
      <c r="Q892" s="99">
        <f>SUMIF(Import!$B:$B,$A892,Import!K:K)</f>
        <v>0</v>
      </c>
      <c r="R892" s="99">
        <f>SUMIF(Import!$B:$B,$A892,Import!L:L)</f>
        <v>0</v>
      </c>
      <c r="S892" s="99">
        <f>SUMIF(Import!$B:$B,$A892,Import!M:M)</f>
        <v>0</v>
      </c>
      <c r="T892" s="99">
        <f>SUMIF(Import!$B:$B,$A892,Import!N:N)</f>
        <v>0</v>
      </c>
      <c r="U892" s="99">
        <f t="shared" ref="U892:U903" si="1283">T892-M892</f>
        <v>0</v>
      </c>
      <c r="V892" s="255" t="str">
        <f t="shared" ref="V892:V903" si="1284">IF(M892=0,"N/A",T892/M892-1)</f>
        <v>N/A</v>
      </c>
      <c r="W892" s="102" t="s">
        <v>2604</v>
      </c>
      <c r="X892" s="102"/>
      <c r="Y892" s="102"/>
      <c r="Z892" s="192"/>
      <c r="AA892" s="615"/>
      <c r="AB892" s="307"/>
      <c r="AC892" s="94"/>
      <c r="AD892" s="94"/>
      <c r="AE892" s="94"/>
      <c r="AF892" s="94"/>
      <c r="AG892" s="94"/>
      <c r="AH892" s="307"/>
      <c r="AI892" s="307"/>
      <c r="AJ892" s="94"/>
      <c r="AK892" s="94"/>
      <c r="AL892" s="94"/>
      <c r="AM892" s="94"/>
      <c r="AN892" s="94"/>
      <c r="AO892" s="192"/>
      <c r="AP892" s="192"/>
      <c r="AQ892" s="192"/>
    </row>
    <row r="893" spans="1:43" s="115" customFormat="1" ht="15" customHeight="1">
      <c r="A893" s="555" t="s">
        <v>2605</v>
      </c>
      <c r="B893" s="217" t="str">
        <f t="shared" si="1258"/>
        <v>100</v>
      </c>
      <c r="C893" s="217" t="str">
        <f t="shared" si="1259"/>
        <v>30</v>
      </c>
      <c r="D893" s="101" t="str">
        <f t="shared" si="1260"/>
        <v>302</v>
      </c>
      <c r="E893" s="217" t="str">
        <f t="shared" si="1261"/>
        <v>100-30-302</v>
      </c>
      <c r="F893" s="294" t="str">
        <f t="shared" si="1262"/>
        <v>51245</v>
      </c>
      <c r="G893" s="295" t="str">
        <f>VLOOKUP(F893,'GL Category'!A:C,3,FALSE)</f>
        <v>Operations &amp; maintenance</v>
      </c>
      <c r="H893" s="98" t="str">
        <f>VLOOKUP(F893,'GL Category'!A:C,2,FALSE)</f>
        <v>SMALL TOOLS &amp; EQUIPMENT</v>
      </c>
      <c r="I893" s="99">
        <f>SUMIF(Import!$B:$B,$A893,Import!D:D)</f>
        <v>7676.68</v>
      </c>
      <c r="J893" s="99">
        <f>SUMIF(Import!$B:$B,$A893,Import!E:E)</f>
        <v>10712.91</v>
      </c>
      <c r="K893" s="99">
        <f>SUMIF(Import!$B:$B,$A893,Import!F:F)</f>
        <v>13943.86</v>
      </c>
      <c r="L893" s="99">
        <f>SUMIF(Import!$B:$B,$A893,Import!G:G)</f>
        <v>14339.59</v>
      </c>
      <c r="M893" s="99">
        <f>SUMIF(Import!$B:$B,$A893,Import!H:H)</f>
        <v>10000</v>
      </c>
      <c r="N893" s="99">
        <f>SUMIF(Import!$B:$B,$A893,Import!I:I)</f>
        <v>7417.87</v>
      </c>
      <c r="O893" s="99">
        <f>SUMIF(Import!$B:$B,$A893,Import!J:J)</f>
        <v>10000</v>
      </c>
      <c r="P893" s="99">
        <f t="shared" si="1282"/>
        <v>0</v>
      </c>
      <c r="Q893" s="99">
        <f>SUMIF(Import!$B:$B,$A893,Import!K:K)</f>
        <v>10000</v>
      </c>
      <c r="R893" s="99">
        <f>SUMIF(Import!$B:$B,$A893,Import!L:L)</f>
        <v>0</v>
      </c>
      <c r="S893" s="99">
        <f>SUMIF(Import!$B:$B,$A893,Import!M:M)</f>
        <v>0</v>
      </c>
      <c r="T893" s="99">
        <f>SUMIF(Import!$B:$B,$A893,Import!N:N)</f>
        <v>10000</v>
      </c>
      <c r="U893" s="99">
        <f t="shared" si="1283"/>
        <v>0</v>
      </c>
      <c r="V893" s="255">
        <f t="shared" si="1284"/>
        <v>0</v>
      </c>
      <c r="W893" s="102" t="s">
        <v>2605</v>
      </c>
      <c r="X893" s="102"/>
      <c r="Y893" s="102"/>
      <c r="Z893" s="192"/>
      <c r="AA893" s="615"/>
      <c r="AB893" s="307"/>
      <c r="AC893" s="300"/>
      <c r="AD893" s="300"/>
      <c r="AE893" s="300"/>
      <c r="AF893" s="300"/>
      <c r="AG893" s="300"/>
      <c r="AH893" s="307"/>
      <c r="AI893" s="307"/>
      <c r="AJ893" s="300"/>
      <c r="AK893" s="300"/>
      <c r="AL893" s="300"/>
      <c r="AM893" s="300"/>
      <c r="AN893" s="300"/>
      <c r="AO893" s="192"/>
      <c r="AP893" s="192"/>
      <c r="AQ893" s="192"/>
    </row>
    <row r="894" spans="1:43" s="115" customFormat="1" ht="15" customHeight="1">
      <c r="A894" s="555" t="s">
        <v>2606</v>
      </c>
      <c r="B894" s="217" t="str">
        <f t="shared" si="1258"/>
        <v>100</v>
      </c>
      <c r="C894" s="217" t="str">
        <f t="shared" si="1259"/>
        <v>30</v>
      </c>
      <c r="D894" s="101" t="str">
        <f t="shared" si="1260"/>
        <v>302</v>
      </c>
      <c r="E894" s="217" t="str">
        <f t="shared" si="1261"/>
        <v>100-30-302</v>
      </c>
      <c r="F894" s="294" t="str">
        <f t="shared" si="1262"/>
        <v>51255</v>
      </c>
      <c r="G894" s="295" t="str">
        <f>VLOOKUP(F894,'GL Category'!A:C,3,FALSE)</f>
        <v>Operations &amp; maintenance</v>
      </c>
      <c r="H894" s="98" t="str">
        <f>VLOOKUP(F894,'GL Category'!A:C,2,FALSE)</f>
        <v>FUEL/OILS/LUBRICANTS</v>
      </c>
      <c r="I894" s="99">
        <f>SUMIF(Import!$B:$B,$A894,Import!D:D)</f>
        <v>56288.15</v>
      </c>
      <c r="J894" s="99">
        <f>SUMIF(Import!$B:$B,$A894,Import!E:E)</f>
        <v>74297.759999999995</v>
      </c>
      <c r="K894" s="99">
        <f>SUMIF(Import!$B:$B,$A894,Import!F:F)</f>
        <v>106072.04</v>
      </c>
      <c r="L894" s="99">
        <f>SUMIF(Import!$B:$B,$A894,Import!G:G)</f>
        <v>91012.12</v>
      </c>
      <c r="M894" s="99">
        <f>SUMIF(Import!$B:$B,$A894,Import!H:H)</f>
        <v>122000</v>
      </c>
      <c r="N894" s="99">
        <f>SUMIF(Import!$B:$B,$A894,Import!I:I)</f>
        <v>66963.25</v>
      </c>
      <c r="O894" s="99">
        <f>SUMIF(Import!$B:$B,$A894,Import!J:J)</f>
        <v>120000</v>
      </c>
      <c r="P894" s="99">
        <f t="shared" si="1282"/>
        <v>-2000</v>
      </c>
      <c r="Q894" s="99">
        <f>SUMIF(Import!$B:$B,$A894,Import!K:K)</f>
        <v>122000</v>
      </c>
      <c r="R894" s="99">
        <f>SUMIF(Import!$B:$B,$A894,Import!L:L)</f>
        <v>0</v>
      </c>
      <c r="S894" s="99">
        <f>SUMIF(Import!$B:$B,$A894,Import!M:M)</f>
        <v>0</v>
      </c>
      <c r="T894" s="99">
        <f>SUMIF(Import!$B:$B,$A894,Import!N:N)</f>
        <v>122000</v>
      </c>
      <c r="U894" s="99">
        <f t="shared" si="1283"/>
        <v>0</v>
      </c>
      <c r="V894" s="255">
        <f t="shared" si="1284"/>
        <v>0</v>
      </c>
      <c r="W894" s="102" t="s">
        <v>2606</v>
      </c>
      <c r="X894" s="102"/>
      <c r="Y894" s="102"/>
      <c r="Z894" s="192"/>
      <c r="AA894" s="615"/>
      <c r="AB894" s="307"/>
      <c r="AC894" s="300"/>
      <c r="AD894" s="300"/>
      <c r="AE894" s="300"/>
      <c r="AF894" s="300"/>
      <c r="AG894" s="300"/>
      <c r="AH894" s="307"/>
      <c r="AI894" s="307"/>
      <c r="AJ894" s="300"/>
      <c r="AK894" s="300"/>
      <c r="AL894" s="300"/>
      <c r="AM894" s="300"/>
      <c r="AN894" s="300"/>
      <c r="AO894" s="192"/>
      <c r="AP894" s="192"/>
      <c r="AQ894" s="192"/>
    </row>
    <row r="895" spans="1:43" s="115" customFormat="1" ht="15" customHeight="1">
      <c r="A895" s="555" t="s">
        <v>2607</v>
      </c>
      <c r="B895" s="217" t="str">
        <f t="shared" si="1258"/>
        <v>100</v>
      </c>
      <c r="C895" s="217" t="str">
        <f t="shared" si="1259"/>
        <v>30</v>
      </c>
      <c r="D895" s="101" t="str">
        <f t="shared" si="1260"/>
        <v>302</v>
      </c>
      <c r="E895" s="217" t="str">
        <f t="shared" si="1261"/>
        <v>100-30-302</v>
      </c>
      <c r="F895" s="294" t="str">
        <f t="shared" si="1262"/>
        <v>51285</v>
      </c>
      <c r="G895" s="295" t="str">
        <f>VLOOKUP(F895,'GL Category'!A:C,3,FALSE)</f>
        <v>Operations &amp; maintenance</v>
      </c>
      <c r="H895" s="98" t="str">
        <f>VLOOKUP(F895,'GL Category'!A:C,2,FALSE)</f>
        <v>WEARING APPAREL</v>
      </c>
      <c r="I895" s="99">
        <f>SUMIF(Import!$B:$B,$A895,Import!D:D)</f>
        <v>41946.55</v>
      </c>
      <c r="J895" s="99">
        <f>SUMIF(Import!$B:$B,$A895,Import!E:E)</f>
        <v>47075.64</v>
      </c>
      <c r="K895" s="99">
        <f>SUMIF(Import!$B:$B,$A895,Import!F:F)</f>
        <v>54518</v>
      </c>
      <c r="L895" s="99">
        <f>SUMIF(Import!$B:$B,$A895,Import!G:G)</f>
        <v>50032.02</v>
      </c>
      <c r="M895" s="99">
        <f>SUMIF(Import!$B:$B,$A895,Import!H:H)</f>
        <v>48000</v>
      </c>
      <c r="N895" s="99">
        <f>SUMIF(Import!$B:$B,$A895,Import!I:I)</f>
        <v>44937.83</v>
      </c>
      <c r="O895" s="99">
        <f>SUMIF(Import!$B:$B,$A895,Import!J:J)</f>
        <v>48000</v>
      </c>
      <c r="P895" s="99">
        <f t="shared" si="1282"/>
        <v>0</v>
      </c>
      <c r="Q895" s="99">
        <f>SUMIF(Import!$B:$B,$A895,Import!K:K)</f>
        <v>48000</v>
      </c>
      <c r="R895" s="99">
        <f>SUMIF(Import!$B:$B,$A895,Import!L:L)</f>
        <v>0</v>
      </c>
      <c r="S895" s="99">
        <f>SUMIF(Import!$B:$B,$A895,Import!M:M)</f>
        <v>0</v>
      </c>
      <c r="T895" s="99">
        <f>SUMIF(Import!$B:$B,$A895,Import!N:N)</f>
        <v>48000</v>
      </c>
      <c r="U895" s="99">
        <f t="shared" si="1283"/>
        <v>0</v>
      </c>
      <c r="V895" s="255">
        <f t="shared" si="1284"/>
        <v>0</v>
      </c>
      <c r="W895" s="102" t="s">
        <v>2607</v>
      </c>
      <c r="X895" s="102"/>
      <c r="Y895" s="102"/>
      <c r="Z895" s="192"/>
      <c r="AA895" s="615"/>
      <c r="AB895" s="307"/>
      <c r="AC895" s="93"/>
      <c r="AD895" s="93"/>
      <c r="AE895" s="93"/>
      <c r="AF895" s="93"/>
      <c r="AG895" s="93"/>
      <c r="AH895" s="307"/>
      <c r="AI895" s="307"/>
      <c r="AJ895" s="93"/>
      <c r="AK895" s="93"/>
      <c r="AL895" s="93"/>
      <c r="AM895" s="93"/>
      <c r="AN895" s="93"/>
      <c r="AO895" s="192"/>
      <c r="AP895" s="192"/>
      <c r="AQ895" s="192"/>
    </row>
    <row r="896" spans="1:43" s="115" customFormat="1" ht="15" customHeight="1">
      <c r="A896" s="555" t="s">
        <v>2608</v>
      </c>
      <c r="B896" s="217" t="str">
        <f t="shared" si="1258"/>
        <v>100</v>
      </c>
      <c r="C896" s="217" t="str">
        <f t="shared" si="1259"/>
        <v>30</v>
      </c>
      <c r="D896" s="101" t="str">
        <f t="shared" si="1260"/>
        <v>302</v>
      </c>
      <c r="E896" s="217" t="str">
        <f t="shared" si="1261"/>
        <v>100-30-302</v>
      </c>
      <c r="F896" s="294" t="str">
        <f t="shared" si="1262"/>
        <v>51291</v>
      </c>
      <c r="G896" s="295" t="str">
        <f>VLOOKUP(F896,'GL Category'!A:C,3,FALSE)</f>
        <v>Operations &amp; maintenance</v>
      </c>
      <c r="H896" s="98" t="str">
        <f>VLOOKUP(F896,'GL Category'!A:C,2,FALSE)</f>
        <v>BULLET PROOF VEST SUPPLIES</v>
      </c>
      <c r="I896" s="99">
        <f>SUMIF(Import!$B:$B,$A896,Import!D:D)</f>
        <v>0</v>
      </c>
      <c r="J896" s="99">
        <f>SUMIF(Import!$B:$B,$A896,Import!E:E)</f>
        <v>0</v>
      </c>
      <c r="K896" s="99">
        <f>SUMIF(Import!$B:$B,$A896,Import!F:F)</f>
        <v>8835.3700000000008</v>
      </c>
      <c r="L896" s="99">
        <f>SUMIF(Import!$B:$B,$A896,Import!G:G)</f>
        <v>3827.5</v>
      </c>
      <c r="M896" s="99">
        <f>SUMIF(Import!$B:$B,$A896,Import!H:H)</f>
        <v>10000</v>
      </c>
      <c r="N896" s="99">
        <f>SUMIF(Import!$B:$B,$A896,Import!I:I)</f>
        <v>6727.5</v>
      </c>
      <c r="O896" s="99">
        <f>SUMIF(Import!$B:$B,$A896,Import!J:J)</f>
        <v>10000</v>
      </c>
      <c r="P896" s="99">
        <f t="shared" si="1282"/>
        <v>0</v>
      </c>
      <c r="Q896" s="99">
        <f>SUMIF(Import!$B:$B,$A896,Import!K:K)</f>
        <v>10000</v>
      </c>
      <c r="R896" s="99">
        <f>SUMIF(Import!$B:$B,$A896,Import!L:L)</f>
        <v>0</v>
      </c>
      <c r="S896" s="99">
        <f>SUMIF(Import!$B:$B,$A896,Import!M:M)</f>
        <v>0</v>
      </c>
      <c r="T896" s="99">
        <f>SUMIF(Import!$B:$B,$A896,Import!N:N)</f>
        <v>10000</v>
      </c>
      <c r="U896" s="99">
        <f t="shared" si="1283"/>
        <v>0</v>
      </c>
      <c r="V896" s="255">
        <f t="shared" si="1284"/>
        <v>0</v>
      </c>
      <c r="W896" s="102" t="s">
        <v>2608</v>
      </c>
      <c r="X896" s="102"/>
      <c r="Y896" s="102"/>
      <c r="Z896" s="192"/>
      <c r="AA896" s="615"/>
      <c r="AB896" s="307"/>
      <c r="AC896" s="300"/>
      <c r="AD896" s="300"/>
      <c r="AE896" s="300"/>
      <c r="AF896" s="300"/>
      <c r="AG896" s="300"/>
      <c r="AH896" s="307"/>
      <c r="AI896" s="307"/>
      <c r="AJ896" s="300"/>
      <c r="AK896" s="300"/>
      <c r="AL896" s="300"/>
      <c r="AM896" s="300"/>
      <c r="AN896" s="300"/>
      <c r="AO896" s="192"/>
      <c r="AP896" s="192"/>
      <c r="AQ896" s="192"/>
    </row>
    <row r="897" spans="1:43" s="115" customFormat="1" ht="15" customHeight="1">
      <c r="A897" s="555" t="s">
        <v>2609</v>
      </c>
      <c r="B897" s="217" t="str">
        <f t="shared" si="1258"/>
        <v>100</v>
      </c>
      <c r="C897" s="217" t="str">
        <f t="shared" si="1259"/>
        <v>30</v>
      </c>
      <c r="D897" s="101" t="str">
        <f t="shared" si="1260"/>
        <v>302</v>
      </c>
      <c r="E897" s="217" t="str">
        <f t="shared" si="1261"/>
        <v>100-30-302</v>
      </c>
      <c r="F897" s="294" t="str">
        <f t="shared" si="1262"/>
        <v>51292</v>
      </c>
      <c r="G897" s="295" t="str">
        <f>VLOOKUP(F897,'GL Category'!A:C,3,FALSE)</f>
        <v>Operations &amp; maintenance</v>
      </c>
      <c r="H897" s="98" t="str">
        <f>VLOOKUP(F897,'GL Category'!A:C,2,FALSE)</f>
        <v>TRAINING SUPPLIES</v>
      </c>
      <c r="I897" s="99">
        <f>SUMIF(Import!$B:$B,$A897,Import!D:D)</f>
        <v>12699.67</v>
      </c>
      <c r="J897" s="99">
        <f>SUMIF(Import!$B:$B,$A897,Import!E:E)</f>
        <v>2620.08</v>
      </c>
      <c r="K897" s="99">
        <f>SUMIF(Import!$B:$B,$A897,Import!F:F)</f>
        <v>760.72</v>
      </c>
      <c r="L897" s="99">
        <f>SUMIF(Import!$B:$B,$A897,Import!G:G)</f>
        <v>3339.62</v>
      </c>
      <c r="M897" s="99">
        <f>SUMIF(Import!$B:$B,$A897,Import!H:H)</f>
        <v>2200</v>
      </c>
      <c r="N897" s="99">
        <f>SUMIF(Import!$B:$B,$A897,Import!I:I)</f>
        <v>2112.2600000000002</v>
      </c>
      <c r="O897" s="99">
        <f>SUMIF(Import!$B:$B,$A897,Import!J:J)</f>
        <v>2200</v>
      </c>
      <c r="P897" s="99">
        <f t="shared" si="1282"/>
        <v>0</v>
      </c>
      <c r="Q897" s="99">
        <f>SUMIF(Import!$B:$B,$A897,Import!K:K)</f>
        <v>2200</v>
      </c>
      <c r="R897" s="99">
        <f>SUMIF(Import!$B:$B,$A897,Import!L:L)</f>
        <v>0</v>
      </c>
      <c r="S897" s="99">
        <f>SUMIF(Import!$B:$B,$A897,Import!M:M)</f>
        <v>0</v>
      </c>
      <c r="T897" s="99">
        <f>SUMIF(Import!$B:$B,$A897,Import!N:N)</f>
        <v>2200</v>
      </c>
      <c r="U897" s="99">
        <f t="shared" si="1283"/>
        <v>0</v>
      </c>
      <c r="V897" s="255">
        <f t="shared" si="1284"/>
        <v>0</v>
      </c>
      <c r="W897" s="102" t="s">
        <v>2609</v>
      </c>
      <c r="X897" s="102"/>
      <c r="Y897" s="102"/>
      <c r="Z897" s="192"/>
      <c r="AA897" s="615"/>
      <c r="AB897" s="307"/>
      <c r="AC897" s="300"/>
      <c r="AD897" s="300"/>
      <c r="AE897" s="300"/>
      <c r="AF897" s="300"/>
      <c r="AG897" s="300"/>
      <c r="AH897" s="307"/>
      <c r="AI897" s="307"/>
      <c r="AJ897" s="300"/>
      <c r="AK897" s="300"/>
      <c r="AL897" s="300"/>
      <c r="AM897" s="300"/>
      <c r="AN897" s="300"/>
      <c r="AO897" s="192"/>
      <c r="AP897" s="192"/>
      <c r="AQ897" s="192"/>
    </row>
    <row r="898" spans="1:43" s="115" customFormat="1" ht="15" customHeight="1">
      <c r="A898" s="555" t="s">
        <v>2610</v>
      </c>
      <c r="B898" s="217" t="str">
        <f t="shared" si="1258"/>
        <v>100</v>
      </c>
      <c r="C898" s="217" t="str">
        <f t="shared" si="1259"/>
        <v>30</v>
      </c>
      <c r="D898" s="101" t="str">
        <f t="shared" si="1260"/>
        <v>302</v>
      </c>
      <c r="E898" s="217" t="str">
        <f t="shared" si="1261"/>
        <v>100-30-302</v>
      </c>
      <c r="F898" s="294" t="str">
        <f t="shared" si="1262"/>
        <v>51295</v>
      </c>
      <c r="G898" s="295" t="str">
        <f>VLOOKUP(F898,'GL Category'!A:C,3,FALSE)</f>
        <v>Operations &amp; maintenance</v>
      </c>
      <c r="H898" s="98" t="str">
        <f>VLOOKUP(F898,'GL Category'!A:C,2,FALSE)</f>
        <v>AMMUNITION</v>
      </c>
      <c r="I898" s="99">
        <f>SUMIF(Import!$B:$B,$A898,Import!D:D)</f>
        <v>0</v>
      </c>
      <c r="J898" s="99">
        <f>SUMIF(Import!$B:$B,$A898,Import!E:E)</f>
        <v>6627.12</v>
      </c>
      <c r="K898" s="99">
        <f>SUMIF(Import!$B:$B,$A898,Import!F:F)</f>
        <v>14967.45</v>
      </c>
      <c r="L898" s="99">
        <f>SUMIF(Import!$B:$B,$A898,Import!G:G)</f>
        <v>66760.570000000007</v>
      </c>
      <c r="M898" s="99">
        <f>SUMIF(Import!$B:$B,$A898,Import!H:H)</f>
        <v>22800</v>
      </c>
      <c r="N898" s="99">
        <f>SUMIF(Import!$B:$B,$A898,Import!I:I)</f>
        <v>6491.6</v>
      </c>
      <c r="O898" s="99">
        <f>SUMIF(Import!$B:$B,$A898,Import!J:J)</f>
        <v>22800</v>
      </c>
      <c r="P898" s="99">
        <f t="shared" si="1282"/>
        <v>0</v>
      </c>
      <c r="Q898" s="99">
        <f>SUMIF(Import!$B:$B,$A898,Import!K:K)</f>
        <v>22800</v>
      </c>
      <c r="R898" s="99">
        <f>SUMIF(Import!$B:$B,$A898,Import!L:L)</f>
        <v>0</v>
      </c>
      <c r="S898" s="99">
        <f>SUMIF(Import!$B:$B,$A898,Import!M:M)</f>
        <v>0</v>
      </c>
      <c r="T898" s="99">
        <f>SUMIF(Import!$B:$B,$A898,Import!N:N)</f>
        <v>22800</v>
      </c>
      <c r="U898" s="99">
        <f t="shared" si="1283"/>
        <v>0</v>
      </c>
      <c r="V898" s="255">
        <f t="shared" si="1284"/>
        <v>0</v>
      </c>
      <c r="W898" s="102" t="s">
        <v>2610</v>
      </c>
      <c r="X898" s="102"/>
      <c r="Y898" s="102"/>
      <c r="Z898" s="192"/>
      <c r="AA898" s="615"/>
      <c r="AB898" s="307"/>
      <c r="AC898" s="300"/>
      <c r="AD898" s="300"/>
      <c r="AE898" s="300"/>
      <c r="AF898" s="300"/>
      <c r="AG898" s="300"/>
      <c r="AH898" s="307"/>
      <c r="AI898" s="307"/>
      <c r="AJ898" s="300"/>
      <c r="AK898" s="300"/>
      <c r="AL898" s="300"/>
      <c r="AM898" s="300"/>
      <c r="AN898" s="300"/>
      <c r="AO898" s="192"/>
      <c r="AP898" s="192"/>
      <c r="AQ898" s="192"/>
    </row>
    <row r="899" spans="1:43" s="115" customFormat="1" ht="15" customHeight="1">
      <c r="A899" s="555" t="s">
        <v>2611</v>
      </c>
      <c r="B899" s="217" t="str">
        <f t="shared" si="1258"/>
        <v>100</v>
      </c>
      <c r="C899" s="217" t="str">
        <f t="shared" si="1259"/>
        <v>30</v>
      </c>
      <c r="D899" s="101" t="str">
        <f t="shared" si="1260"/>
        <v>302</v>
      </c>
      <c r="E899" s="217" t="str">
        <f t="shared" si="1261"/>
        <v>100-30-302</v>
      </c>
      <c r="F899" s="294" t="str">
        <f t="shared" si="1262"/>
        <v>51299</v>
      </c>
      <c r="G899" s="295" t="str">
        <f>VLOOKUP(F899,'GL Category'!A:C,3,FALSE)</f>
        <v>Operations &amp; maintenance</v>
      </c>
      <c r="H899" s="98" t="str">
        <f>VLOOKUP(F899,'GL Category'!A:C,2,FALSE)</f>
        <v>MISCELLANEOUS SUPPLIES</v>
      </c>
      <c r="I899" s="99">
        <f>SUMIF(Import!$B:$B,$A899,Import!D:D)</f>
        <v>0</v>
      </c>
      <c r="J899" s="99">
        <f>SUMIF(Import!$B:$B,$A899,Import!E:E)</f>
        <v>0</v>
      </c>
      <c r="K899" s="99">
        <f>SUMIF(Import!$B:$B,$A899,Import!F:F)</f>
        <v>0</v>
      </c>
      <c r="L899" s="99">
        <f>SUMIF(Import!$B:$B,$A899,Import!G:G)</f>
        <v>0</v>
      </c>
      <c r="M899" s="99">
        <f>SUMIF(Import!$B:$B,$A899,Import!H:H)</f>
        <v>0</v>
      </c>
      <c r="N899" s="99">
        <f>SUMIF(Import!$B:$B,$A899,Import!I:I)</f>
        <v>0</v>
      </c>
      <c r="O899" s="99">
        <f>SUMIF(Import!$B:$B,$A899,Import!J:J)</f>
        <v>0</v>
      </c>
      <c r="P899" s="99">
        <f t="shared" si="1282"/>
        <v>0</v>
      </c>
      <c r="Q899" s="99">
        <f>SUMIF(Import!$B:$B,$A899,Import!K:K)</f>
        <v>0</v>
      </c>
      <c r="R899" s="99">
        <f>SUMIF(Import!$B:$B,$A899,Import!L:L)</f>
        <v>0</v>
      </c>
      <c r="S899" s="99">
        <f>SUMIF(Import!$B:$B,$A899,Import!M:M)</f>
        <v>0</v>
      </c>
      <c r="T899" s="99">
        <f>SUMIF(Import!$B:$B,$A899,Import!N:N)</f>
        <v>0</v>
      </c>
      <c r="U899" s="99">
        <f t="shared" si="1283"/>
        <v>0</v>
      </c>
      <c r="V899" s="255" t="str">
        <f t="shared" si="1284"/>
        <v>N/A</v>
      </c>
      <c r="W899" s="102" t="s">
        <v>2611</v>
      </c>
      <c r="X899" s="102"/>
      <c r="Y899" s="102"/>
      <c r="Z899" s="192"/>
      <c r="AA899" s="615"/>
      <c r="AB899" s="307"/>
      <c r="AC899" s="300"/>
      <c r="AD899" s="300"/>
      <c r="AE899" s="300"/>
      <c r="AF899" s="300"/>
      <c r="AG899" s="300"/>
      <c r="AH899" s="307"/>
      <c r="AI899" s="307"/>
      <c r="AJ899" s="300"/>
      <c r="AK899" s="300"/>
      <c r="AL899" s="300"/>
      <c r="AM899" s="300"/>
      <c r="AN899" s="300"/>
      <c r="AO899" s="192"/>
      <c r="AP899" s="192"/>
      <c r="AQ899" s="192"/>
    </row>
    <row r="900" spans="1:43" s="115" customFormat="1" ht="15" customHeight="1">
      <c r="A900" s="555" t="s">
        <v>2612</v>
      </c>
      <c r="B900" s="217" t="str">
        <f t="shared" si="1258"/>
        <v>100</v>
      </c>
      <c r="C900" s="217" t="str">
        <f t="shared" si="1259"/>
        <v>30</v>
      </c>
      <c r="D900" s="101" t="str">
        <f t="shared" si="1260"/>
        <v>302</v>
      </c>
      <c r="E900" s="217" t="str">
        <f t="shared" si="1261"/>
        <v>100-30-302</v>
      </c>
      <c r="F900" s="294" t="str">
        <f t="shared" si="1262"/>
        <v>52310</v>
      </c>
      <c r="G900" s="295" t="str">
        <f>VLOOKUP(F900,'GL Category'!A:C,3,FALSE)</f>
        <v>Operations &amp; maintenance</v>
      </c>
      <c r="H900" s="98" t="str">
        <f>VLOOKUP(F900,'GL Category'!A:C,2,FALSE)</f>
        <v>BUILDING MAINTENANCE</v>
      </c>
      <c r="I900" s="99">
        <f>SUMIF(Import!$B:$B,$A900,Import!D:D)</f>
        <v>0</v>
      </c>
      <c r="J900" s="99">
        <f>SUMIF(Import!$B:$B,$A900,Import!E:E)</f>
        <v>0</v>
      </c>
      <c r="K900" s="99">
        <f>SUMIF(Import!$B:$B,$A900,Import!F:F)</f>
        <v>0</v>
      </c>
      <c r="L900" s="99">
        <f>SUMIF(Import!$B:$B,$A900,Import!G:G)</f>
        <v>0</v>
      </c>
      <c r="M900" s="99">
        <f>SUMIF(Import!$B:$B,$A900,Import!H:H)</f>
        <v>0</v>
      </c>
      <c r="N900" s="99">
        <f>SUMIF(Import!$B:$B,$A900,Import!I:I)</f>
        <v>0</v>
      </c>
      <c r="O900" s="99">
        <f>SUMIF(Import!$B:$B,$A900,Import!J:J)</f>
        <v>0</v>
      </c>
      <c r="P900" s="99">
        <f t="shared" si="1282"/>
        <v>0</v>
      </c>
      <c r="Q900" s="99">
        <f>SUMIF(Import!$B:$B,$A900,Import!K:K)</f>
        <v>0</v>
      </c>
      <c r="R900" s="99">
        <f>SUMIF(Import!$B:$B,$A900,Import!L:L)</f>
        <v>0</v>
      </c>
      <c r="S900" s="99">
        <f>SUMIF(Import!$B:$B,$A900,Import!M:M)</f>
        <v>0</v>
      </c>
      <c r="T900" s="99">
        <f>SUMIF(Import!$B:$B,$A900,Import!N:N)</f>
        <v>0</v>
      </c>
      <c r="U900" s="99">
        <f t="shared" si="1283"/>
        <v>0</v>
      </c>
      <c r="V900" s="255" t="str">
        <f t="shared" si="1284"/>
        <v>N/A</v>
      </c>
      <c r="W900" s="102" t="s">
        <v>2612</v>
      </c>
      <c r="X900" s="102"/>
      <c r="Y900" s="102"/>
      <c r="Z900" s="192"/>
      <c r="AA900" s="615"/>
      <c r="AB900" s="307"/>
      <c r="AC900" s="93"/>
      <c r="AD900" s="93"/>
      <c r="AE900" s="93"/>
      <c r="AF900" s="93"/>
      <c r="AG900" s="93"/>
      <c r="AH900" s="307"/>
      <c r="AI900" s="307"/>
      <c r="AJ900" s="93"/>
      <c r="AK900" s="93"/>
      <c r="AL900" s="93"/>
      <c r="AM900" s="93"/>
      <c r="AN900" s="93"/>
      <c r="AO900" s="192"/>
      <c r="AP900" s="192"/>
      <c r="AQ900" s="192"/>
    </row>
    <row r="901" spans="1:43" s="115" customFormat="1" ht="15" customHeight="1">
      <c r="A901" s="555" t="s">
        <v>2613</v>
      </c>
      <c r="B901" s="217" t="str">
        <f t="shared" si="1258"/>
        <v>100</v>
      </c>
      <c r="C901" s="217" t="str">
        <f t="shared" si="1259"/>
        <v>30</v>
      </c>
      <c r="D901" s="101" t="str">
        <f t="shared" si="1260"/>
        <v>302</v>
      </c>
      <c r="E901" s="217" t="str">
        <f t="shared" si="1261"/>
        <v>100-30-302</v>
      </c>
      <c r="F901" s="294" t="str">
        <f t="shared" si="1262"/>
        <v>52440</v>
      </c>
      <c r="G901" s="295" t="str">
        <f>VLOOKUP(F901,'GL Category'!A:C,3,FALSE)</f>
        <v>Operations &amp; maintenance</v>
      </c>
      <c r="H901" s="98" t="str">
        <f>VLOOKUP(F901,'GL Category'!A:C,2,FALSE)</f>
        <v>RADIO MAINTENANCE</v>
      </c>
      <c r="I901" s="99">
        <f>SUMIF(Import!$B:$B,$A901,Import!D:D)</f>
        <v>8064.93</v>
      </c>
      <c r="J901" s="99">
        <f>SUMIF(Import!$B:$B,$A901,Import!E:E)</f>
        <v>8630.83</v>
      </c>
      <c r="K901" s="99">
        <f>SUMIF(Import!$B:$B,$A901,Import!F:F)</f>
        <v>10175.34</v>
      </c>
      <c r="L901" s="99">
        <f>SUMIF(Import!$B:$B,$A901,Import!G:G)</f>
        <v>8158.58</v>
      </c>
      <c r="M901" s="99">
        <f>SUMIF(Import!$B:$B,$A901,Import!H:H)</f>
        <v>7200</v>
      </c>
      <c r="N901" s="99">
        <f>SUMIF(Import!$B:$B,$A901,Import!I:I)</f>
        <v>10041.76</v>
      </c>
      <c r="O901" s="99">
        <f>SUMIF(Import!$B:$B,$A901,Import!J:J)</f>
        <v>10100</v>
      </c>
      <c r="P901" s="99">
        <f t="shared" si="1282"/>
        <v>2900</v>
      </c>
      <c r="Q901" s="99">
        <f>SUMIF(Import!$B:$B,$A901,Import!K:K)</f>
        <v>7200</v>
      </c>
      <c r="R901" s="99">
        <f>SUMIF(Import!$B:$B,$A901,Import!L:L)</f>
        <v>0</v>
      </c>
      <c r="S901" s="99">
        <f>SUMIF(Import!$B:$B,$A901,Import!M:M)</f>
        <v>0</v>
      </c>
      <c r="T901" s="99">
        <f>SUMIF(Import!$B:$B,$A901,Import!N:N)</f>
        <v>7200</v>
      </c>
      <c r="U901" s="99">
        <f t="shared" si="1283"/>
        <v>0</v>
      </c>
      <c r="V901" s="255">
        <f t="shared" si="1284"/>
        <v>0</v>
      </c>
      <c r="W901" s="102" t="s">
        <v>2613</v>
      </c>
      <c r="X901" s="102"/>
      <c r="Y901" s="102"/>
      <c r="Z901" s="192"/>
      <c r="AA901" s="615"/>
      <c r="AB901" s="307"/>
      <c r="AC901" s="93"/>
      <c r="AD901" s="93"/>
      <c r="AE901" s="93"/>
      <c r="AF901" s="93"/>
      <c r="AG901" s="93"/>
      <c r="AH901" s="307"/>
      <c r="AI901" s="307"/>
      <c r="AJ901" s="93"/>
      <c r="AK901" s="93"/>
      <c r="AL901" s="93"/>
      <c r="AM901" s="93"/>
      <c r="AN901" s="93"/>
      <c r="AO901" s="192"/>
      <c r="AP901" s="192"/>
      <c r="AQ901" s="192"/>
    </row>
    <row r="902" spans="1:43" s="115" customFormat="1" ht="15" customHeight="1">
      <c r="A902" s="555" t="s">
        <v>2614</v>
      </c>
      <c r="B902" s="217" t="str">
        <f t="shared" si="1258"/>
        <v>100</v>
      </c>
      <c r="C902" s="217" t="str">
        <f t="shared" si="1259"/>
        <v>30</v>
      </c>
      <c r="D902" s="101" t="str">
        <f t="shared" si="1260"/>
        <v>302</v>
      </c>
      <c r="E902" s="217" t="str">
        <f t="shared" si="1261"/>
        <v>100-30-302</v>
      </c>
      <c r="F902" s="294" t="str">
        <f t="shared" si="1262"/>
        <v>52460</v>
      </c>
      <c r="G902" s="295" t="str">
        <f>VLOOKUP(F902,'GL Category'!A:C,3,FALSE)</f>
        <v>Operations &amp; maintenance</v>
      </c>
      <c r="H902" s="98" t="str">
        <f>VLOOKUP(F902,'GL Category'!A:C,2,FALSE)</f>
        <v>VEHICLE MAINTENANCE</v>
      </c>
      <c r="I902" s="99">
        <f>SUMIF(Import!$B:$B,$A902,Import!D:D)</f>
        <v>73051.87</v>
      </c>
      <c r="J902" s="99">
        <f>SUMIF(Import!$B:$B,$A902,Import!E:E)</f>
        <v>87624.14</v>
      </c>
      <c r="K902" s="99">
        <f>SUMIF(Import!$B:$B,$A902,Import!F:F)</f>
        <v>116270.17</v>
      </c>
      <c r="L902" s="99">
        <f>SUMIF(Import!$B:$B,$A902,Import!G:G)</f>
        <v>101714.83</v>
      </c>
      <c r="M902" s="99">
        <f>SUMIF(Import!$B:$B,$A902,Import!H:H)</f>
        <v>66500</v>
      </c>
      <c r="N902" s="99">
        <f>SUMIF(Import!$B:$B,$A902,Import!I:I)</f>
        <v>61889.79</v>
      </c>
      <c r="O902" s="99">
        <f>SUMIF(Import!$B:$B,$A902,Import!J:J)</f>
        <v>66500</v>
      </c>
      <c r="P902" s="99">
        <f t="shared" si="1282"/>
        <v>0</v>
      </c>
      <c r="Q902" s="99">
        <f>SUMIF(Import!$B:$B,$A902,Import!K:K)</f>
        <v>66500</v>
      </c>
      <c r="R902" s="99">
        <f>SUMIF(Import!$B:$B,$A902,Import!L:L)</f>
        <v>0</v>
      </c>
      <c r="S902" s="99">
        <f>SUMIF(Import!$B:$B,$A902,Import!M:M)</f>
        <v>0</v>
      </c>
      <c r="T902" s="99">
        <f>SUMIF(Import!$B:$B,$A902,Import!N:N)</f>
        <v>66500</v>
      </c>
      <c r="U902" s="99">
        <f t="shared" si="1283"/>
        <v>0</v>
      </c>
      <c r="V902" s="255">
        <f t="shared" si="1284"/>
        <v>0</v>
      </c>
      <c r="W902" s="102" t="s">
        <v>2614</v>
      </c>
      <c r="X902" s="102"/>
      <c r="Y902" s="102"/>
      <c r="Z902" s="192"/>
      <c r="AA902" s="615"/>
      <c r="AB902" s="307"/>
      <c r="AC902" s="300"/>
      <c r="AD902" s="300"/>
      <c r="AE902" s="300"/>
      <c r="AF902" s="300"/>
      <c r="AG902" s="300"/>
      <c r="AH902" s="307"/>
      <c r="AI902" s="307"/>
      <c r="AJ902" s="300"/>
      <c r="AK902" s="300"/>
      <c r="AL902" s="300"/>
      <c r="AM902" s="300"/>
      <c r="AN902" s="300"/>
      <c r="AO902" s="192"/>
      <c r="AP902" s="192"/>
      <c r="AQ902" s="192"/>
    </row>
    <row r="903" spans="1:43" s="115" customFormat="1" ht="15" customHeight="1">
      <c r="A903" s="555" t="s">
        <v>2615</v>
      </c>
      <c r="B903" s="217" t="str">
        <f t="shared" si="1258"/>
        <v>100</v>
      </c>
      <c r="C903" s="217" t="str">
        <f t="shared" si="1259"/>
        <v>30</v>
      </c>
      <c r="D903" s="101" t="str">
        <f t="shared" si="1260"/>
        <v>302</v>
      </c>
      <c r="E903" s="217" t="str">
        <f t="shared" si="1261"/>
        <v>100-30-302</v>
      </c>
      <c r="F903" s="294" t="str">
        <f t="shared" si="1262"/>
        <v>52470</v>
      </c>
      <c r="G903" s="295" t="str">
        <f>VLOOKUP(F903,'GL Category'!A:C,3,FALSE)</f>
        <v>Operations &amp; maintenance</v>
      </c>
      <c r="H903" s="98" t="str">
        <f>VLOOKUP(F903,'GL Category'!A:C,2,FALSE)</f>
        <v>EQUIPMENT MAINTENANCE</v>
      </c>
      <c r="I903" s="99">
        <f>SUMIF(Import!$B:$B,$A903,Import!D:D)</f>
        <v>2585.2800000000002</v>
      </c>
      <c r="J903" s="99">
        <f>SUMIF(Import!$B:$B,$A903,Import!E:E)</f>
        <v>2432.0500000000002</v>
      </c>
      <c r="K903" s="99">
        <f>SUMIF(Import!$B:$B,$A903,Import!F:F)</f>
        <v>2114.9699999999998</v>
      </c>
      <c r="L903" s="99">
        <f>SUMIF(Import!$B:$B,$A903,Import!G:G)</f>
        <v>2494.65</v>
      </c>
      <c r="M903" s="99">
        <f>SUMIF(Import!$B:$B,$A903,Import!H:H)</f>
        <v>2500</v>
      </c>
      <c r="N903" s="99">
        <f>SUMIF(Import!$B:$B,$A903,Import!I:I)</f>
        <v>1350.5</v>
      </c>
      <c r="O903" s="99">
        <f>SUMIF(Import!$B:$B,$A903,Import!J:J)</f>
        <v>2500</v>
      </c>
      <c r="P903" s="99">
        <f t="shared" si="1282"/>
        <v>0</v>
      </c>
      <c r="Q903" s="99">
        <f>SUMIF(Import!$B:$B,$A903,Import!K:K)</f>
        <v>2500</v>
      </c>
      <c r="R903" s="99">
        <f>SUMIF(Import!$B:$B,$A903,Import!L:L)</f>
        <v>0</v>
      </c>
      <c r="S903" s="99">
        <f>SUMIF(Import!$B:$B,$A903,Import!M:M)</f>
        <v>0</v>
      </c>
      <c r="T903" s="99">
        <f>SUMIF(Import!$B:$B,$A903,Import!N:N)</f>
        <v>2500</v>
      </c>
      <c r="U903" s="99">
        <f t="shared" si="1283"/>
        <v>0</v>
      </c>
      <c r="V903" s="255">
        <f t="shared" si="1284"/>
        <v>0</v>
      </c>
      <c r="W903" s="102" t="s">
        <v>2615</v>
      </c>
      <c r="X903" s="102"/>
      <c r="Y903" s="102"/>
      <c r="Z903" s="192"/>
      <c r="AA903" s="615"/>
      <c r="AB903" s="307"/>
      <c r="AC903" s="300"/>
      <c r="AD903" s="300"/>
      <c r="AE903" s="300"/>
      <c r="AF903" s="300"/>
      <c r="AG903" s="300"/>
      <c r="AH903" s="307"/>
      <c r="AI903" s="307"/>
      <c r="AJ903" s="300"/>
      <c r="AK903" s="300"/>
      <c r="AL903" s="300"/>
      <c r="AM903" s="300"/>
      <c r="AN903" s="300"/>
      <c r="AO903" s="192"/>
      <c r="AP903" s="192"/>
      <c r="AQ903" s="192"/>
    </row>
    <row r="904" spans="1:43" s="115" customFormat="1" ht="27" customHeight="1">
      <c r="A904" s="555"/>
      <c r="B904" s="217"/>
      <c r="C904" s="217"/>
      <c r="D904" s="101"/>
      <c r="E904" s="217"/>
      <c r="F904" s="294"/>
      <c r="G904" s="295"/>
      <c r="H904" s="107" t="str">
        <f>UPPER(G903)&amp;" TOTAL"</f>
        <v>OPERATIONS &amp; MAINTENANCE TOTAL</v>
      </c>
      <c r="I904" s="109">
        <f t="shared" ref="I904" si="1285">SUBTOTAL(9,I892:I903)</f>
        <v>202313.13</v>
      </c>
      <c r="J904" s="109">
        <f t="shared" ref="J904:T904" si="1286">SUBTOTAL(9,J892:J903)</f>
        <v>240079.52999999997</v>
      </c>
      <c r="K904" s="109">
        <f t="shared" ref="K904" si="1287">SUBTOTAL(9,K892:K903)</f>
        <v>328205.67</v>
      </c>
      <c r="L904" s="109">
        <f t="shared" ref="L904" si="1288">SUBTOTAL(9,L892:L903)</f>
        <v>341679.48</v>
      </c>
      <c r="M904" s="109">
        <f t="shared" si="1286"/>
        <v>291200</v>
      </c>
      <c r="N904" s="109">
        <f t="shared" ref="N904" si="1289">SUBTOTAL(9,N892:N903)</f>
        <v>207932.36000000002</v>
      </c>
      <c r="O904" s="109">
        <f t="shared" si="1286"/>
        <v>292100</v>
      </c>
      <c r="P904" s="109">
        <f t="shared" si="1286"/>
        <v>900</v>
      </c>
      <c r="Q904" s="109">
        <f t="shared" si="1286"/>
        <v>291200</v>
      </c>
      <c r="R904" s="109">
        <f t="shared" si="1286"/>
        <v>0</v>
      </c>
      <c r="S904" s="109">
        <f t="shared" si="1286"/>
        <v>0</v>
      </c>
      <c r="T904" s="109">
        <f t="shared" si="1286"/>
        <v>291200</v>
      </c>
      <c r="U904" s="99">
        <f>T904-M904</f>
        <v>0</v>
      </c>
      <c r="V904" s="255">
        <f>IF(M904=0,"N/A",T904/M904-1)</f>
        <v>0</v>
      </c>
      <c r="W904" s="102"/>
      <c r="X904" s="102"/>
      <c r="Y904" s="102"/>
      <c r="Z904" s="192"/>
      <c r="AA904" s="615"/>
      <c r="AB904" s="307"/>
      <c r="AC904" s="93"/>
      <c r="AD904" s="93"/>
      <c r="AE904" s="93"/>
      <c r="AF904" s="93"/>
      <c r="AG904" s="93"/>
      <c r="AH904" s="307"/>
      <c r="AI904" s="307"/>
      <c r="AJ904" s="93"/>
      <c r="AK904" s="93"/>
      <c r="AL904" s="93"/>
      <c r="AM904" s="93"/>
      <c r="AN904" s="93"/>
      <c r="AO904" s="192"/>
      <c r="AP904" s="192"/>
      <c r="AQ904" s="192"/>
    </row>
    <row r="905" spans="1:43" s="115" customFormat="1" ht="15" customHeight="1">
      <c r="A905" s="555"/>
      <c r="B905" s="217"/>
      <c r="C905" s="217"/>
      <c r="D905" s="101"/>
      <c r="E905" s="217"/>
      <c r="F905" s="294"/>
      <c r="G905" s="295"/>
      <c r="H905" s="98"/>
      <c r="I905" s="106"/>
      <c r="J905" s="106"/>
      <c r="K905" s="106"/>
      <c r="L905" s="106"/>
      <c r="M905" s="106"/>
      <c r="N905" s="112"/>
      <c r="O905" s="112"/>
      <c r="P905" s="112"/>
      <c r="Q905" s="113"/>
      <c r="R905" s="113"/>
      <c r="S905" s="113"/>
      <c r="T905" s="113"/>
      <c r="U905" s="99"/>
      <c r="V905" s="255"/>
      <c r="W905" s="102"/>
      <c r="X905" s="102"/>
      <c r="Y905" s="102"/>
      <c r="Z905" s="192"/>
      <c r="AA905" s="615"/>
      <c r="AB905" s="307"/>
      <c r="AC905" s="300"/>
      <c r="AD905" s="300"/>
      <c r="AE905" s="300"/>
      <c r="AF905" s="300"/>
      <c r="AG905" s="300"/>
      <c r="AH905" s="307"/>
      <c r="AI905" s="307"/>
      <c r="AJ905" s="300"/>
      <c r="AK905" s="300"/>
      <c r="AL905" s="300"/>
      <c r="AM905" s="300"/>
      <c r="AN905" s="300"/>
      <c r="AO905" s="192"/>
      <c r="AP905" s="192"/>
      <c r="AQ905" s="192"/>
    </row>
    <row r="906" spans="1:43" s="115" customFormat="1" ht="15" customHeight="1">
      <c r="A906" s="555" t="s">
        <v>2616</v>
      </c>
      <c r="B906" s="217" t="str">
        <f t="shared" si="1258"/>
        <v>100</v>
      </c>
      <c r="C906" s="217" t="str">
        <f t="shared" si="1259"/>
        <v>30</v>
      </c>
      <c r="D906" s="101" t="str">
        <f t="shared" si="1260"/>
        <v>302</v>
      </c>
      <c r="E906" s="217" t="str">
        <f t="shared" si="1261"/>
        <v>100-30-302</v>
      </c>
      <c r="F906" s="294" t="str">
        <f t="shared" si="1262"/>
        <v>53599</v>
      </c>
      <c r="G906" s="295" t="str">
        <f>VLOOKUP(F906,'GL Category'!A:C,3,FALSE)</f>
        <v>Services &amp; other</v>
      </c>
      <c r="H906" s="98" t="str">
        <f>VLOOKUP(F906,'GL Category'!A:C,2,FALSE)</f>
        <v>MISCELLANEOUS SERVICES</v>
      </c>
      <c r="I906" s="99">
        <f>SUMIF(Import!$B:$B,$A906,Import!D:D)</f>
        <v>2847.81</v>
      </c>
      <c r="J906" s="99">
        <f>SUMIF(Import!$B:$B,$A906,Import!E:E)</f>
        <v>3463</v>
      </c>
      <c r="K906" s="99">
        <f>SUMIF(Import!$B:$B,$A906,Import!F:F)</f>
        <v>3085.37</v>
      </c>
      <c r="L906" s="99">
        <f>SUMIF(Import!$B:$B,$A906,Import!G:G)</f>
        <v>2180.31</v>
      </c>
      <c r="M906" s="99">
        <f>SUMIF(Import!$B:$B,$A906,Import!H:H)</f>
        <v>2500</v>
      </c>
      <c r="N906" s="99">
        <f>SUMIF(Import!$B:$B,$A906,Import!I:I)</f>
        <v>2202.38</v>
      </c>
      <c r="O906" s="99">
        <f>SUMIF(Import!$B:$B,$A906,Import!J:J)</f>
        <v>2500</v>
      </c>
      <c r="P906" s="99">
        <f t="shared" ref="P906:P915" si="1290">O906-M906</f>
        <v>0</v>
      </c>
      <c r="Q906" s="99">
        <f>SUMIF(Import!$B:$B,$A906,Import!K:K)</f>
        <v>2500</v>
      </c>
      <c r="R906" s="99">
        <f>SUMIF(Import!$B:$B,$A906,Import!L:L)</f>
        <v>0</v>
      </c>
      <c r="S906" s="99">
        <f>SUMIF(Import!$B:$B,$A906,Import!M:M)</f>
        <v>0</v>
      </c>
      <c r="T906" s="99">
        <f>SUMIF(Import!$B:$B,$A906,Import!N:N)</f>
        <v>2500</v>
      </c>
      <c r="U906" s="99">
        <f t="shared" ref="U906:U915" si="1291">T906-M906</f>
        <v>0</v>
      </c>
      <c r="V906" s="255">
        <f t="shared" ref="V906:V915" si="1292">IF(M906=0,"N/A",T906/M906-1)</f>
        <v>0</v>
      </c>
      <c r="W906" s="102" t="s">
        <v>2616</v>
      </c>
      <c r="X906" s="102"/>
      <c r="Y906" s="102"/>
      <c r="Z906" s="192"/>
      <c r="AA906" s="615"/>
      <c r="AB906" s="307"/>
      <c r="AC906" s="300"/>
      <c r="AD906" s="300"/>
      <c r="AE906" s="300"/>
      <c r="AF906" s="300"/>
      <c r="AG906" s="300"/>
      <c r="AH906" s="307"/>
      <c r="AI906" s="307"/>
      <c r="AJ906" s="300"/>
      <c r="AK906" s="300"/>
      <c r="AL906" s="300"/>
      <c r="AM906" s="300"/>
      <c r="AN906" s="300"/>
      <c r="AO906" s="192"/>
      <c r="AP906" s="192"/>
      <c r="AQ906" s="192"/>
    </row>
    <row r="907" spans="1:43" s="115" customFormat="1" ht="15" customHeight="1">
      <c r="A907" s="555" t="s">
        <v>2617</v>
      </c>
      <c r="B907" s="217" t="str">
        <f t="shared" si="1258"/>
        <v>100</v>
      </c>
      <c r="C907" s="217" t="str">
        <f t="shared" si="1259"/>
        <v>30</v>
      </c>
      <c r="D907" s="101" t="str">
        <f t="shared" si="1260"/>
        <v>302</v>
      </c>
      <c r="E907" s="217" t="str">
        <f t="shared" si="1261"/>
        <v>100-30-302</v>
      </c>
      <c r="F907" s="294" t="str">
        <f t="shared" si="1262"/>
        <v>53510</v>
      </c>
      <c r="G907" s="295" t="str">
        <f>VLOOKUP(F907,'GL Category'!A:C,3,FALSE)</f>
        <v>Services &amp; other</v>
      </c>
      <c r="H907" s="98" t="str">
        <f>VLOOKUP(F907,'GL Category'!A:C,2,FALSE)</f>
        <v>DUES &amp; SUBSCRIPTIONS</v>
      </c>
      <c r="I907" s="99">
        <f>SUMIF(Import!$B:$B,$A907,Import!D:D)</f>
        <v>2200.98</v>
      </c>
      <c r="J907" s="99">
        <f>SUMIF(Import!$B:$B,$A907,Import!E:E)</f>
        <v>2098.88</v>
      </c>
      <c r="K907" s="99">
        <f>SUMIF(Import!$B:$B,$A907,Import!F:F)</f>
        <v>2197.0700000000002</v>
      </c>
      <c r="L907" s="99">
        <f>SUMIF(Import!$B:$B,$A907,Import!G:G)</f>
        <v>2350.81</v>
      </c>
      <c r="M907" s="99">
        <f>SUMIF(Import!$B:$B,$A907,Import!H:H)</f>
        <v>2500</v>
      </c>
      <c r="N907" s="99">
        <f>SUMIF(Import!$B:$B,$A907,Import!I:I)</f>
        <v>503</v>
      </c>
      <c r="O907" s="99">
        <f>SUMIF(Import!$B:$B,$A907,Import!J:J)</f>
        <v>2500</v>
      </c>
      <c r="P907" s="99">
        <f t="shared" si="1290"/>
        <v>0</v>
      </c>
      <c r="Q907" s="99">
        <f>SUMIF(Import!$B:$B,$A907,Import!K:K)</f>
        <v>2500</v>
      </c>
      <c r="R907" s="99">
        <f>SUMIF(Import!$B:$B,$A907,Import!L:L)</f>
        <v>0</v>
      </c>
      <c r="S907" s="99">
        <f>SUMIF(Import!$B:$B,$A907,Import!M:M)</f>
        <v>0</v>
      </c>
      <c r="T907" s="99">
        <f>SUMIF(Import!$B:$B,$A907,Import!N:N)</f>
        <v>2500</v>
      </c>
      <c r="U907" s="99">
        <f t="shared" si="1291"/>
        <v>0</v>
      </c>
      <c r="V907" s="255">
        <f t="shared" si="1292"/>
        <v>0</v>
      </c>
      <c r="W907" s="102" t="s">
        <v>2617</v>
      </c>
      <c r="X907" s="102"/>
      <c r="Y907" s="102"/>
      <c r="Z907" s="192"/>
      <c r="AA907" s="615"/>
      <c r="AB907" s="307"/>
      <c r="AC907" s="300"/>
      <c r="AD907" s="300"/>
      <c r="AE907" s="300"/>
      <c r="AF907" s="300"/>
      <c r="AG907" s="300"/>
      <c r="AH907" s="307"/>
      <c r="AI907" s="307"/>
      <c r="AJ907" s="300"/>
      <c r="AK907" s="300"/>
      <c r="AL907" s="300"/>
      <c r="AM907" s="300"/>
      <c r="AN907" s="300"/>
      <c r="AO907" s="192"/>
      <c r="AP907" s="192"/>
      <c r="AQ907" s="192"/>
    </row>
    <row r="908" spans="1:43" s="115" customFormat="1" ht="15" customHeight="1">
      <c r="A908" s="555" t="s">
        <v>2618</v>
      </c>
      <c r="B908" s="217" t="str">
        <f t="shared" si="1258"/>
        <v>100</v>
      </c>
      <c r="C908" s="217" t="str">
        <f t="shared" si="1259"/>
        <v>30</v>
      </c>
      <c r="D908" s="101" t="str">
        <f t="shared" si="1260"/>
        <v>302</v>
      </c>
      <c r="E908" s="217" t="str">
        <f t="shared" si="1261"/>
        <v>100-30-302</v>
      </c>
      <c r="F908" s="294" t="str">
        <f t="shared" si="1262"/>
        <v>53515</v>
      </c>
      <c r="G908" s="295" t="str">
        <f>VLOOKUP(F908,'GL Category'!A:C,3,FALSE)</f>
        <v>Services &amp; other</v>
      </c>
      <c r="H908" s="98" t="str">
        <f>VLOOKUP(F908,'GL Category'!A:C,2,FALSE)</f>
        <v>TRAVEL, TRAINING &amp; EDUCATION</v>
      </c>
      <c r="I908" s="99">
        <f>SUMIF(Import!$B:$B,$A908,Import!D:D)</f>
        <v>22206.85</v>
      </c>
      <c r="J908" s="99">
        <f>SUMIF(Import!$B:$B,$A908,Import!E:E)</f>
        <v>32299.61</v>
      </c>
      <c r="K908" s="99">
        <f>SUMIF(Import!$B:$B,$A908,Import!F:F)</f>
        <v>28641.64</v>
      </c>
      <c r="L908" s="99">
        <f>SUMIF(Import!$B:$B,$A908,Import!G:G)</f>
        <v>38752.85</v>
      </c>
      <c r="M908" s="99">
        <f>SUMIF(Import!$B:$B,$A908,Import!H:H)</f>
        <v>40000</v>
      </c>
      <c r="N908" s="99">
        <f>SUMIF(Import!$B:$B,$A908,Import!I:I)</f>
        <v>23713.9</v>
      </c>
      <c r="O908" s="99">
        <f>SUMIF(Import!$B:$B,$A908,Import!J:J)</f>
        <v>40000</v>
      </c>
      <c r="P908" s="99">
        <f t="shared" si="1290"/>
        <v>0</v>
      </c>
      <c r="Q908" s="99">
        <f>SUMIF(Import!$B:$B,$A908,Import!K:K)</f>
        <v>40000</v>
      </c>
      <c r="R908" s="99">
        <f>SUMIF(Import!$B:$B,$A908,Import!L:L)</f>
        <v>0</v>
      </c>
      <c r="S908" s="99">
        <f>SUMIF(Import!$B:$B,$A908,Import!M:M)</f>
        <v>0</v>
      </c>
      <c r="T908" s="99">
        <f>SUMIF(Import!$B:$B,$A908,Import!N:N)</f>
        <v>40000</v>
      </c>
      <c r="U908" s="99">
        <f t="shared" si="1291"/>
        <v>0</v>
      </c>
      <c r="V908" s="255">
        <f t="shared" si="1292"/>
        <v>0</v>
      </c>
      <c r="W908" s="102" t="s">
        <v>2618</v>
      </c>
      <c r="X908" s="102"/>
      <c r="Y908" s="102"/>
      <c r="Z908" s="192"/>
      <c r="AA908" s="615"/>
      <c r="AB908" s="307"/>
      <c r="AC908" s="300"/>
      <c r="AD908" s="300"/>
      <c r="AE908" s="300"/>
      <c r="AF908" s="300"/>
      <c r="AG908" s="300"/>
      <c r="AH908" s="307"/>
      <c r="AI908" s="307"/>
      <c r="AJ908" s="300"/>
      <c r="AK908" s="300"/>
      <c r="AL908" s="300"/>
      <c r="AM908" s="300"/>
      <c r="AN908" s="300"/>
      <c r="AO908" s="192"/>
      <c r="AP908" s="192"/>
      <c r="AQ908" s="192"/>
    </row>
    <row r="909" spans="1:43" s="115" customFormat="1" ht="15" customHeight="1">
      <c r="A909" s="555" t="s">
        <v>2619</v>
      </c>
      <c r="B909" s="217" t="str">
        <f t="shared" si="1258"/>
        <v>100</v>
      </c>
      <c r="C909" s="217" t="str">
        <f t="shared" si="1259"/>
        <v>30</v>
      </c>
      <c r="D909" s="101" t="str">
        <f t="shared" si="1260"/>
        <v>302</v>
      </c>
      <c r="E909" s="217" t="str">
        <f t="shared" si="1261"/>
        <v>100-30-302</v>
      </c>
      <c r="F909" s="294" t="str">
        <f t="shared" si="1262"/>
        <v>53517</v>
      </c>
      <c r="G909" s="295" t="str">
        <f>VLOOKUP(F909,'GL Category'!A:C,3,FALSE)</f>
        <v>Services &amp; other</v>
      </c>
      <c r="H909" s="98" t="str">
        <f>VLOOKUP(F909,'GL Category'!A:C,2,FALSE)</f>
        <v>MEDICAL SERVICES</v>
      </c>
      <c r="I909" s="99">
        <f>SUMIF(Import!$B:$B,$A909,Import!D:D)</f>
        <v>0</v>
      </c>
      <c r="J909" s="99">
        <f>SUMIF(Import!$B:$B,$A909,Import!E:E)</f>
        <v>0</v>
      </c>
      <c r="K909" s="99">
        <f>SUMIF(Import!$B:$B,$A909,Import!F:F)</f>
        <v>0</v>
      </c>
      <c r="L909" s="99">
        <f>SUMIF(Import!$B:$B,$A909,Import!G:G)</f>
        <v>0</v>
      </c>
      <c r="M909" s="99">
        <f>SUMIF(Import!$B:$B,$A909,Import!H:H)</f>
        <v>500</v>
      </c>
      <c r="N909" s="99">
        <f>SUMIF(Import!$B:$B,$A909,Import!I:I)</f>
        <v>0</v>
      </c>
      <c r="O909" s="99">
        <f>SUMIF(Import!$B:$B,$A909,Import!J:J)</f>
        <v>500</v>
      </c>
      <c r="P909" s="99">
        <f t="shared" si="1290"/>
        <v>0</v>
      </c>
      <c r="Q909" s="99">
        <f>SUMIF(Import!$B:$B,$A909,Import!K:K)</f>
        <v>500</v>
      </c>
      <c r="R909" s="99">
        <f>SUMIF(Import!$B:$B,$A909,Import!L:L)</f>
        <v>0</v>
      </c>
      <c r="S909" s="99">
        <f>SUMIF(Import!$B:$B,$A909,Import!M:M)</f>
        <v>0</v>
      </c>
      <c r="T909" s="99">
        <f>SUMIF(Import!$B:$B,$A909,Import!N:N)</f>
        <v>500</v>
      </c>
      <c r="U909" s="99">
        <f t="shared" si="1291"/>
        <v>0</v>
      </c>
      <c r="V909" s="255">
        <f t="shared" si="1292"/>
        <v>0</v>
      </c>
      <c r="W909" s="102" t="s">
        <v>2619</v>
      </c>
      <c r="X909" s="102"/>
      <c r="Y909" s="102"/>
      <c r="Z909" s="192"/>
      <c r="AA909" s="615"/>
      <c r="AB909" s="307"/>
      <c r="AC909" s="300"/>
      <c r="AD909" s="300"/>
      <c r="AE909" s="300"/>
      <c r="AF909" s="300"/>
      <c r="AG909" s="300"/>
      <c r="AH909" s="307"/>
      <c r="AI909" s="307"/>
      <c r="AJ909" s="300"/>
      <c r="AK909" s="300"/>
      <c r="AL909" s="300"/>
      <c r="AM909" s="300"/>
      <c r="AN909" s="300"/>
      <c r="AO909" s="192"/>
      <c r="AP909" s="192"/>
      <c r="AQ909" s="192"/>
    </row>
    <row r="910" spans="1:43" ht="15" customHeight="1">
      <c r="A910" s="555" t="s">
        <v>2620</v>
      </c>
      <c r="B910" s="217" t="str">
        <f t="shared" si="1258"/>
        <v>100</v>
      </c>
      <c r="C910" s="217" t="str">
        <f t="shared" si="1259"/>
        <v>30</v>
      </c>
      <c r="D910" s="101" t="str">
        <f t="shared" si="1260"/>
        <v>302</v>
      </c>
      <c r="E910" s="217" t="str">
        <f t="shared" si="1261"/>
        <v>100-30-302</v>
      </c>
      <c r="F910" s="294" t="str">
        <f t="shared" si="1262"/>
        <v>53526</v>
      </c>
      <c r="G910" s="295" t="str">
        <f>VLOOKUP(F910,'GL Category'!A:C,3,FALSE)</f>
        <v>Services &amp; other</v>
      </c>
      <c r="H910" s="98" t="str">
        <f>VLOOKUP(F910,'GL Category'!A:C,2,FALSE)</f>
        <v>LABORATORY SERVICES</v>
      </c>
      <c r="I910" s="99">
        <f>SUMIF(Import!$B:$B,$A910,Import!D:D)</f>
        <v>41693.49</v>
      </c>
      <c r="J910" s="99">
        <f>SUMIF(Import!$B:$B,$A910,Import!E:E)</f>
        <v>53887</v>
      </c>
      <c r="K910" s="99">
        <f>SUMIF(Import!$B:$B,$A910,Import!F:F)</f>
        <v>54258</v>
      </c>
      <c r="L910" s="99">
        <f>SUMIF(Import!$B:$B,$A910,Import!G:G)</f>
        <v>59043.67</v>
      </c>
      <c r="M910" s="99">
        <f>SUMIF(Import!$B:$B,$A910,Import!H:H)</f>
        <v>55000</v>
      </c>
      <c r="N910" s="99">
        <f>SUMIF(Import!$B:$B,$A910,Import!I:I)</f>
        <v>46490.61</v>
      </c>
      <c r="O910" s="99">
        <f>SUMIF(Import!$B:$B,$A910,Import!J:J)</f>
        <v>55000</v>
      </c>
      <c r="P910" s="99">
        <f t="shared" si="1290"/>
        <v>0</v>
      </c>
      <c r="Q910" s="99">
        <f>SUMIF(Import!$B:$B,$A910,Import!K:K)</f>
        <v>55000</v>
      </c>
      <c r="R910" s="99">
        <f>SUMIF(Import!$B:$B,$A910,Import!L:L)</f>
        <v>0</v>
      </c>
      <c r="S910" s="99">
        <f>SUMIF(Import!$B:$B,$A910,Import!M:M)</f>
        <v>0</v>
      </c>
      <c r="T910" s="99">
        <f>SUMIF(Import!$B:$B,$A910,Import!N:N)</f>
        <v>55000</v>
      </c>
      <c r="U910" s="99">
        <f t="shared" si="1291"/>
        <v>0</v>
      </c>
      <c r="V910" s="255">
        <f t="shared" si="1292"/>
        <v>0</v>
      </c>
      <c r="W910" s="102" t="s">
        <v>2620</v>
      </c>
      <c r="X910" s="102"/>
      <c r="Y910" s="102"/>
      <c r="AA910" s="615"/>
      <c r="AC910" s="300"/>
      <c r="AD910" s="300"/>
      <c r="AE910" s="300"/>
      <c r="AF910" s="300"/>
      <c r="AG910" s="300"/>
      <c r="AJ910" s="300"/>
      <c r="AK910" s="300"/>
      <c r="AL910" s="300"/>
      <c r="AM910" s="300"/>
      <c r="AN910" s="300"/>
    </row>
    <row r="911" spans="1:43" ht="15" customHeight="1">
      <c r="A911" s="555" t="s">
        <v>2621</v>
      </c>
      <c r="B911" s="217" t="str">
        <f t="shared" si="1258"/>
        <v>100</v>
      </c>
      <c r="C911" s="217" t="str">
        <f t="shared" si="1259"/>
        <v>30</v>
      </c>
      <c r="D911" s="101" t="str">
        <f t="shared" si="1260"/>
        <v>302</v>
      </c>
      <c r="E911" s="217" t="str">
        <f t="shared" si="1261"/>
        <v>100-30-302</v>
      </c>
      <c r="F911" s="294" t="str">
        <f t="shared" si="1262"/>
        <v>53533</v>
      </c>
      <c r="G911" s="295" t="str">
        <f>VLOOKUP(F911,'GL Category'!A:C,3,FALSE)</f>
        <v>Services &amp; other</v>
      </c>
      <c r="H911" s="98" t="str">
        <f>VLOOKUP(F911,'GL Category'!A:C,2,FALSE)</f>
        <v>EMPLOYEE RECRUITING/TESTING</v>
      </c>
      <c r="I911" s="99">
        <f>SUMIF(Import!$B:$B,$A911,Import!D:D)</f>
        <v>4078.73</v>
      </c>
      <c r="J911" s="99">
        <f>SUMIF(Import!$B:$B,$A911,Import!E:E)</f>
        <v>1089.82</v>
      </c>
      <c r="K911" s="99">
        <f>SUMIF(Import!$B:$B,$A911,Import!F:F)</f>
        <v>529.75</v>
      </c>
      <c r="L911" s="99">
        <f>SUMIF(Import!$B:$B,$A911,Import!G:G)</f>
        <v>9960.7099999999991</v>
      </c>
      <c r="M911" s="99">
        <f>SUMIF(Import!$B:$B,$A911,Import!H:H)</f>
        <v>4000</v>
      </c>
      <c r="N911" s="99">
        <f>SUMIF(Import!$B:$B,$A911,Import!I:I)</f>
        <v>8499</v>
      </c>
      <c r="O911" s="99">
        <f>SUMIF(Import!$B:$B,$A911,Import!J:J)</f>
        <v>8500</v>
      </c>
      <c r="P911" s="99">
        <f t="shared" si="1290"/>
        <v>4500</v>
      </c>
      <c r="Q911" s="99">
        <f>SUMIF(Import!$B:$B,$A911,Import!K:K)</f>
        <v>4000</v>
      </c>
      <c r="R911" s="99">
        <f>SUMIF(Import!$B:$B,$A911,Import!L:L)</f>
        <v>0</v>
      </c>
      <c r="S911" s="99">
        <f>SUMIF(Import!$B:$B,$A911,Import!M:M)</f>
        <v>0</v>
      </c>
      <c r="T911" s="99">
        <f>SUMIF(Import!$B:$B,$A911,Import!N:N)</f>
        <v>4000</v>
      </c>
      <c r="U911" s="99">
        <f t="shared" si="1291"/>
        <v>0</v>
      </c>
      <c r="V911" s="255">
        <f t="shared" si="1292"/>
        <v>0</v>
      </c>
      <c r="W911" s="102" t="s">
        <v>2621</v>
      </c>
      <c r="X911" s="102"/>
      <c r="Y911" s="102"/>
      <c r="AA911" s="615"/>
      <c r="AC911" s="94"/>
      <c r="AD911" s="94"/>
      <c r="AE911" s="94"/>
      <c r="AF911" s="94"/>
      <c r="AG911" s="94"/>
      <c r="AJ911" s="94"/>
      <c r="AK911" s="94"/>
      <c r="AL911" s="94"/>
      <c r="AM911" s="94"/>
      <c r="AN911" s="94"/>
    </row>
    <row r="912" spans="1:43" ht="15" customHeight="1">
      <c r="A912" s="555" t="s">
        <v>2622</v>
      </c>
      <c r="B912" s="217" t="str">
        <f t="shared" si="1258"/>
        <v>100</v>
      </c>
      <c r="C912" s="217" t="str">
        <f t="shared" si="1259"/>
        <v>30</v>
      </c>
      <c r="D912" s="101" t="str">
        <f t="shared" si="1260"/>
        <v>302</v>
      </c>
      <c r="E912" s="217" t="str">
        <f t="shared" si="1261"/>
        <v>100-30-302</v>
      </c>
      <c r="F912" s="294" t="str">
        <f t="shared" si="1262"/>
        <v>53540</v>
      </c>
      <c r="G912" s="295" t="str">
        <f>VLOOKUP(F912,'GL Category'!A:C,3,FALSE)</f>
        <v>Services &amp; other</v>
      </c>
      <c r="H912" s="98" t="str">
        <f>VLOOKUP(F912,'GL Category'!A:C,2,FALSE)</f>
        <v>PRINTING &amp; BINDING SERVICES</v>
      </c>
      <c r="I912" s="99">
        <f>SUMIF(Import!$B:$B,$A912,Import!D:D)</f>
        <v>605</v>
      </c>
      <c r="J912" s="99">
        <f>SUMIF(Import!$B:$B,$A912,Import!E:E)</f>
        <v>1941.4</v>
      </c>
      <c r="K912" s="99">
        <f>SUMIF(Import!$B:$B,$A912,Import!F:F)</f>
        <v>380</v>
      </c>
      <c r="L912" s="99">
        <f>SUMIF(Import!$B:$B,$A912,Import!G:G)</f>
        <v>1699.95</v>
      </c>
      <c r="M912" s="99">
        <f>SUMIF(Import!$B:$B,$A912,Import!H:H)</f>
        <v>1500</v>
      </c>
      <c r="N912" s="99">
        <f>SUMIF(Import!$B:$B,$A912,Import!I:I)</f>
        <v>770</v>
      </c>
      <c r="O912" s="99">
        <f>SUMIF(Import!$B:$B,$A912,Import!J:J)</f>
        <v>1500</v>
      </c>
      <c r="P912" s="99">
        <f t="shared" si="1290"/>
        <v>0</v>
      </c>
      <c r="Q912" s="99">
        <f>SUMIF(Import!$B:$B,$A912,Import!K:K)</f>
        <v>3000</v>
      </c>
      <c r="R912" s="99">
        <f>SUMIF(Import!$B:$B,$A912,Import!L:L)</f>
        <v>0</v>
      </c>
      <c r="S912" s="99">
        <f>SUMIF(Import!$B:$B,$A912,Import!M:M)</f>
        <v>0</v>
      </c>
      <c r="T912" s="99">
        <f>SUMIF(Import!$B:$B,$A912,Import!N:N)</f>
        <v>3000</v>
      </c>
      <c r="U912" s="99">
        <f t="shared" si="1291"/>
        <v>1500</v>
      </c>
      <c r="V912" s="255">
        <f t="shared" si="1292"/>
        <v>1</v>
      </c>
      <c r="W912" s="102" t="s">
        <v>2622</v>
      </c>
      <c r="X912" s="102"/>
      <c r="Y912" s="102"/>
      <c r="AA912" s="615"/>
      <c r="AC912" s="93"/>
      <c r="AD912" s="93"/>
      <c r="AE912" s="93"/>
      <c r="AF912" s="93"/>
      <c r="AG912" s="93"/>
      <c r="AJ912" s="93"/>
      <c r="AK912" s="93"/>
      <c r="AL912" s="93"/>
      <c r="AM912" s="93"/>
      <c r="AN912" s="93"/>
    </row>
    <row r="913" spans="1:43" ht="15" customHeight="1">
      <c r="A913" s="555" t="s">
        <v>2623</v>
      </c>
      <c r="B913" s="217" t="str">
        <f t="shared" si="1258"/>
        <v>100</v>
      </c>
      <c r="C913" s="217" t="str">
        <f t="shared" si="1259"/>
        <v>30</v>
      </c>
      <c r="D913" s="101" t="str">
        <f t="shared" si="1260"/>
        <v>302</v>
      </c>
      <c r="E913" s="217" t="str">
        <f t="shared" si="1261"/>
        <v>100-30-302</v>
      </c>
      <c r="F913" s="294" t="str">
        <f t="shared" si="1262"/>
        <v>53560</v>
      </c>
      <c r="G913" s="295" t="str">
        <f>VLOOKUP(F913,'GL Category'!A:C,3,FALSE)</f>
        <v>Services &amp; other</v>
      </c>
      <c r="H913" s="98" t="str">
        <f>VLOOKUP(F913,'GL Category'!A:C,2,FALSE)</f>
        <v>GENERAL INSURANCE</v>
      </c>
      <c r="I913" s="99">
        <f>SUMIF(Import!$B:$B,$A913,Import!D:D)</f>
        <v>0</v>
      </c>
      <c r="J913" s="99">
        <f>SUMIF(Import!$B:$B,$A913,Import!E:E)</f>
        <v>0</v>
      </c>
      <c r="K913" s="99">
        <f>SUMIF(Import!$B:$B,$A913,Import!F:F)</f>
        <v>0</v>
      </c>
      <c r="L913" s="99">
        <f>SUMIF(Import!$B:$B,$A913,Import!G:G)</f>
        <v>0</v>
      </c>
      <c r="M913" s="99">
        <f>SUMIF(Import!$B:$B,$A913,Import!H:H)</f>
        <v>0</v>
      </c>
      <c r="N913" s="99">
        <f>SUMIF(Import!$B:$B,$A913,Import!I:I)</f>
        <v>0</v>
      </c>
      <c r="O913" s="99">
        <f>SUMIF(Import!$B:$B,$A913,Import!J:J)</f>
        <v>0</v>
      </c>
      <c r="P913" s="99">
        <f t="shared" si="1290"/>
        <v>0</v>
      </c>
      <c r="Q913" s="99">
        <f>SUMIF(Import!$B:$B,$A913,Import!K:K)</f>
        <v>0</v>
      </c>
      <c r="R913" s="99">
        <f>SUMIF(Import!$B:$B,$A913,Import!L:L)</f>
        <v>0</v>
      </c>
      <c r="S913" s="99">
        <f>SUMIF(Import!$B:$B,$A913,Import!M:M)</f>
        <v>0</v>
      </c>
      <c r="T913" s="99">
        <f>SUMIF(Import!$B:$B,$A913,Import!N:N)</f>
        <v>0</v>
      </c>
      <c r="U913" s="99">
        <f t="shared" si="1291"/>
        <v>0</v>
      </c>
      <c r="V913" s="255" t="str">
        <f t="shared" si="1292"/>
        <v>N/A</v>
      </c>
      <c r="W913" s="102" t="s">
        <v>2623</v>
      </c>
      <c r="X913" s="102"/>
      <c r="Y913" s="102"/>
      <c r="AA913" s="615"/>
      <c r="AC913" s="300"/>
      <c r="AD913" s="300"/>
      <c r="AE913" s="300"/>
      <c r="AF913" s="300"/>
      <c r="AG913" s="300"/>
      <c r="AJ913" s="300"/>
      <c r="AK913" s="300"/>
      <c r="AL913" s="300"/>
      <c r="AM913" s="300"/>
      <c r="AN913" s="300"/>
    </row>
    <row r="914" spans="1:43" s="115" customFormat="1" ht="15" customHeight="1">
      <c r="A914" s="555" t="s">
        <v>2624</v>
      </c>
      <c r="B914" s="217" t="str">
        <f t="shared" si="1258"/>
        <v>100</v>
      </c>
      <c r="C914" s="217" t="str">
        <f t="shared" si="1259"/>
        <v>30</v>
      </c>
      <c r="D914" s="101" t="str">
        <f t="shared" si="1260"/>
        <v>302</v>
      </c>
      <c r="E914" s="217" t="str">
        <f t="shared" si="1261"/>
        <v>100-30-302</v>
      </c>
      <c r="F914" s="294" t="str">
        <f t="shared" si="1262"/>
        <v>53570</v>
      </c>
      <c r="G914" s="295" t="str">
        <f>VLOOKUP(F914,'GL Category'!A:C,3,FALSE)</f>
        <v>Services &amp; other</v>
      </c>
      <c r="H914" s="98" t="str">
        <f>VLOOKUP(F914,'GL Category'!A:C,2,FALSE)</f>
        <v>TELEPHONE/COMMUNICATIONS</v>
      </c>
      <c r="I914" s="99">
        <f>SUMIF(Import!$B:$B,$A914,Import!D:D)</f>
        <v>169.3</v>
      </c>
      <c r="J914" s="99">
        <f>SUMIF(Import!$B:$B,$A914,Import!E:E)</f>
        <v>0</v>
      </c>
      <c r="K914" s="99">
        <f>SUMIF(Import!$B:$B,$A914,Import!F:F)</f>
        <v>217.9</v>
      </c>
      <c r="L914" s="99">
        <f>SUMIF(Import!$B:$B,$A914,Import!G:G)</f>
        <v>0</v>
      </c>
      <c r="M914" s="99">
        <f>SUMIF(Import!$B:$B,$A914,Import!H:H)</f>
        <v>0</v>
      </c>
      <c r="N914" s="99">
        <f>SUMIF(Import!$B:$B,$A914,Import!I:I)</f>
        <v>0</v>
      </c>
      <c r="O914" s="99">
        <f>SUMIF(Import!$B:$B,$A914,Import!J:J)</f>
        <v>0</v>
      </c>
      <c r="P914" s="99">
        <f t="shared" si="1290"/>
        <v>0</v>
      </c>
      <c r="Q914" s="99">
        <f>SUMIF(Import!$B:$B,$A914,Import!K:K)</f>
        <v>0</v>
      </c>
      <c r="R914" s="99">
        <f>SUMIF(Import!$B:$B,$A914,Import!L:L)</f>
        <v>0</v>
      </c>
      <c r="S914" s="99">
        <f>SUMIF(Import!$B:$B,$A914,Import!M:M)</f>
        <v>0</v>
      </c>
      <c r="T914" s="99">
        <f>SUMIF(Import!$B:$B,$A914,Import!N:N)</f>
        <v>0</v>
      </c>
      <c r="U914" s="99">
        <f t="shared" si="1291"/>
        <v>0</v>
      </c>
      <c r="V914" s="255" t="str">
        <f t="shared" si="1292"/>
        <v>N/A</v>
      </c>
      <c r="W914" s="102" t="s">
        <v>2624</v>
      </c>
      <c r="X914" s="102"/>
      <c r="Y914" s="102"/>
      <c r="Z914" s="617"/>
      <c r="AA914" s="615"/>
      <c r="AB914" s="307"/>
      <c r="AC914" s="300"/>
      <c r="AD914" s="300"/>
      <c r="AE914" s="300"/>
      <c r="AF914" s="300"/>
      <c r="AG914" s="300"/>
      <c r="AH914" s="307"/>
      <c r="AI914" s="307"/>
      <c r="AJ914" s="300"/>
      <c r="AK914" s="300"/>
      <c r="AL914" s="300"/>
      <c r="AM914" s="300"/>
      <c r="AN914" s="300"/>
      <c r="AO914" s="192"/>
      <c r="AP914" s="192"/>
      <c r="AQ914" s="192"/>
    </row>
    <row r="915" spans="1:43" s="115" customFormat="1" ht="15" customHeight="1">
      <c r="A915" s="555" t="s">
        <v>2625</v>
      </c>
      <c r="B915" s="217" t="str">
        <f t="shared" si="1258"/>
        <v>100</v>
      </c>
      <c r="C915" s="217" t="str">
        <f t="shared" si="1259"/>
        <v>30</v>
      </c>
      <c r="D915" s="101" t="str">
        <f t="shared" si="1260"/>
        <v>302</v>
      </c>
      <c r="E915" s="217" t="str">
        <f t="shared" si="1261"/>
        <v>100-30-302</v>
      </c>
      <c r="F915" s="294" t="str">
        <f t="shared" si="1262"/>
        <v>55119</v>
      </c>
      <c r="G915" s="295" t="str">
        <f>VLOOKUP(F915,'GL Category'!A:C,3,FALSE)</f>
        <v>Services &amp; other</v>
      </c>
      <c r="H915" s="98" t="str">
        <f>VLOOKUP(F915,'GL Category'!A:C,2,FALSE)</f>
        <v>OFFICE EQUIP LEASE EXP-CITY</v>
      </c>
      <c r="I915" s="99">
        <f>SUMIF(Import!$B:$B,$A915,Import!D:D)</f>
        <v>70256</v>
      </c>
      <c r="J915" s="99">
        <f>SUMIF(Import!$B:$B,$A915,Import!E:E)</f>
        <v>83191</v>
      </c>
      <c r="K915" s="99">
        <f>SUMIF(Import!$B:$B,$A915,Import!F:F)</f>
        <v>80817</v>
      </c>
      <c r="L915" s="99">
        <f>SUMIF(Import!$B:$B,$A915,Import!G:G)</f>
        <v>83965</v>
      </c>
      <c r="M915" s="99">
        <f>SUMIF(Import!$B:$B,$A915,Import!H:H)</f>
        <v>114940</v>
      </c>
      <c r="N915" s="99">
        <f>SUMIF(Import!$B:$B,$A915,Import!I:I)</f>
        <v>86205</v>
      </c>
      <c r="O915" s="99">
        <f>SUMIF(Import!$B:$B,$A915,Import!J:J)</f>
        <v>114940</v>
      </c>
      <c r="P915" s="99">
        <f t="shared" si="1290"/>
        <v>0</v>
      </c>
      <c r="Q915" s="99">
        <f>SUMIF(Import!$B:$B,$A915,Import!K:K)</f>
        <v>125575</v>
      </c>
      <c r="R915" s="99">
        <f>SUMIF(Import!$B:$B,$A915,Import!L:L)</f>
        <v>0</v>
      </c>
      <c r="S915" s="99">
        <f>SUMIF(Import!$B:$B,$A915,Import!M:M)</f>
        <v>0</v>
      </c>
      <c r="T915" s="99">
        <f>SUMIF(Import!$B:$B,$A915,Import!N:N)</f>
        <v>125575</v>
      </c>
      <c r="U915" s="99">
        <f t="shared" si="1291"/>
        <v>10635</v>
      </c>
      <c r="V915" s="255">
        <f t="shared" si="1292"/>
        <v>9.2526535583782765E-2</v>
      </c>
      <c r="W915" s="102" t="s">
        <v>2625</v>
      </c>
      <c r="X915" s="102"/>
      <c r="Y915" s="102"/>
      <c r="Z915" s="192"/>
      <c r="AA915" s="615"/>
      <c r="AB915" s="307"/>
      <c r="AC915" s="300"/>
      <c r="AD915" s="300"/>
      <c r="AE915" s="300"/>
      <c r="AF915" s="300"/>
      <c r="AG915" s="300"/>
      <c r="AH915" s="307"/>
      <c r="AI915" s="307"/>
      <c r="AJ915" s="300"/>
      <c r="AK915" s="300"/>
      <c r="AL915" s="300"/>
      <c r="AM915" s="300"/>
      <c r="AN915" s="300"/>
      <c r="AO915" s="192"/>
      <c r="AP915" s="192"/>
      <c r="AQ915" s="192"/>
    </row>
    <row r="916" spans="1:43" s="115" customFormat="1" ht="15" customHeight="1">
      <c r="A916" s="555"/>
      <c r="B916" s="217"/>
      <c r="C916" s="217"/>
      <c r="D916" s="101"/>
      <c r="E916" s="217"/>
      <c r="F916" s="294"/>
      <c r="G916" s="295"/>
      <c r="H916" s="107" t="str">
        <f>UPPER(G915)&amp;" TOTAL"</f>
        <v>SERVICES &amp; OTHER TOTAL</v>
      </c>
      <c r="I916" s="109">
        <f t="shared" ref="I916" si="1293">SUBTOTAL(9,I906:I915)</f>
        <v>144058.16</v>
      </c>
      <c r="J916" s="109">
        <f>SUBTOTAL(9,J906:J915)</f>
        <v>177970.71</v>
      </c>
      <c r="K916" s="109">
        <f t="shared" ref="K916" si="1294">SUBTOTAL(9,K906:K915)</f>
        <v>170126.72999999998</v>
      </c>
      <c r="L916" s="109">
        <f t="shared" ref="L916" si="1295">SUBTOTAL(9,L906:L915)</f>
        <v>197953.3</v>
      </c>
      <c r="M916" s="109">
        <f t="shared" ref="M916:T916" si="1296">SUBTOTAL(9,M906:M915)</f>
        <v>220940</v>
      </c>
      <c r="N916" s="109">
        <f t="shared" ref="N916" si="1297">SUBTOTAL(9,N906:N915)</f>
        <v>168383.89</v>
      </c>
      <c r="O916" s="109">
        <f t="shared" si="1296"/>
        <v>225440</v>
      </c>
      <c r="P916" s="109">
        <f t="shared" si="1296"/>
        <v>4500</v>
      </c>
      <c r="Q916" s="109">
        <f t="shared" si="1296"/>
        <v>233075</v>
      </c>
      <c r="R916" s="109">
        <f t="shared" si="1296"/>
        <v>0</v>
      </c>
      <c r="S916" s="109">
        <f t="shared" si="1296"/>
        <v>0</v>
      </c>
      <c r="T916" s="109">
        <f t="shared" si="1296"/>
        <v>233075</v>
      </c>
      <c r="U916" s="99">
        <f>T916-M916</f>
        <v>12135</v>
      </c>
      <c r="V916" s="255">
        <f>IF(M916=0,"N/A",T916/M916-1)</f>
        <v>5.4924413868018496E-2</v>
      </c>
      <c r="W916" s="102"/>
      <c r="X916" s="102"/>
      <c r="Y916" s="102"/>
      <c r="Z916" s="192"/>
      <c r="AA916" s="615"/>
      <c r="AB916" s="307"/>
      <c r="AC916" s="300"/>
      <c r="AD916" s="300"/>
      <c r="AE916" s="300"/>
      <c r="AF916" s="300"/>
      <c r="AG916" s="300"/>
      <c r="AH916" s="307"/>
      <c r="AI916" s="307"/>
      <c r="AJ916" s="300"/>
      <c r="AK916" s="300"/>
      <c r="AL916" s="300"/>
      <c r="AM916" s="300"/>
      <c r="AN916" s="300"/>
      <c r="AO916" s="192"/>
      <c r="AP916" s="192"/>
      <c r="AQ916" s="192"/>
    </row>
    <row r="917" spans="1:43" s="115" customFormat="1" ht="15" customHeight="1">
      <c r="A917" s="555"/>
      <c r="B917" s="217"/>
      <c r="C917" s="217"/>
      <c r="D917" s="101"/>
      <c r="E917" s="217"/>
      <c r="F917" s="294"/>
      <c r="G917" s="295"/>
      <c r="H917" s="98"/>
      <c r="I917" s="106"/>
      <c r="J917" s="106"/>
      <c r="K917" s="106"/>
      <c r="L917" s="106"/>
      <c r="M917" s="106"/>
      <c r="N917" s="112"/>
      <c r="O917" s="112"/>
      <c r="P917" s="112"/>
      <c r="Q917" s="113"/>
      <c r="R917" s="113"/>
      <c r="S917" s="113"/>
      <c r="T917" s="113"/>
      <c r="U917" s="99"/>
      <c r="V917" s="255"/>
      <c r="W917" s="102"/>
      <c r="X917" s="102"/>
      <c r="Y917" s="102"/>
      <c r="Z917" s="192"/>
      <c r="AA917" s="615"/>
      <c r="AB917" s="307"/>
      <c r="AC917" s="300"/>
      <c r="AD917" s="300"/>
      <c r="AE917" s="300"/>
      <c r="AF917" s="300"/>
      <c r="AG917" s="300"/>
      <c r="AH917" s="307"/>
      <c r="AI917" s="307"/>
      <c r="AJ917" s="300"/>
      <c r="AK917" s="300"/>
      <c r="AL917" s="300"/>
      <c r="AM917" s="300"/>
      <c r="AN917" s="300"/>
      <c r="AO917" s="192"/>
      <c r="AP917" s="192"/>
      <c r="AQ917" s="192"/>
    </row>
    <row r="918" spans="1:43" s="115" customFormat="1" ht="15" customHeight="1">
      <c r="A918" s="555" t="s">
        <v>2626</v>
      </c>
      <c r="B918" s="217" t="str">
        <f t="shared" si="1258"/>
        <v>100</v>
      </c>
      <c r="C918" s="217" t="str">
        <f t="shared" si="1259"/>
        <v>30</v>
      </c>
      <c r="D918" s="101" t="str">
        <f t="shared" si="1260"/>
        <v>302</v>
      </c>
      <c r="E918" s="217" t="str">
        <f t="shared" si="1261"/>
        <v>100-30-302</v>
      </c>
      <c r="F918" s="294" t="str">
        <f t="shared" si="1262"/>
        <v>59115</v>
      </c>
      <c r="G918" s="295" t="str">
        <f>VLOOKUP(F918,'GL Category'!A:C,3,FALSE)</f>
        <v>Transfers to other funds</v>
      </c>
      <c r="H918" s="98" t="str">
        <f>VLOOKUP(F918,'GL Category'!A:C,2,FALSE)</f>
        <v>TRANSFER TO PUB SAFTY SPEC REV</v>
      </c>
      <c r="I918" s="99">
        <f>SUMIF(Import!$B:$B,$A918,Import!D:D)</f>
        <v>0</v>
      </c>
      <c r="J918" s="99">
        <f>SUMIF(Import!$B:$B,$A918,Import!E:E)</f>
        <v>0</v>
      </c>
      <c r="K918" s="99">
        <f>SUMIF(Import!$B:$B,$A918,Import!F:F)</f>
        <v>0</v>
      </c>
      <c r="L918" s="99">
        <f>SUMIF(Import!$B:$B,$A918,Import!G:G)</f>
        <v>0</v>
      </c>
      <c r="M918" s="99">
        <f>SUMIF(Import!$B:$B,$A918,Import!H:H)</f>
        <v>0</v>
      </c>
      <c r="N918" s="99">
        <f>SUMIF(Import!$B:$B,$A918,Import!I:I)</f>
        <v>0</v>
      </c>
      <c r="O918" s="99">
        <f>SUMIF(Import!$B:$B,$A918,Import!J:J)</f>
        <v>0</v>
      </c>
      <c r="P918" s="99">
        <f t="shared" ref="P918" si="1298">O918-M918</f>
        <v>0</v>
      </c>
      <c r="Q918" s="99">
        <f>SUMIF(Import!$B:$B,$A918,Import!K:K)</f>
        <v>0</v>
      </c>
      <c r="R918" s="99">
        <f>SUMIF(Import!$B:$B,$A918,Import!L:L)</f>
        <v>0</v>
      </c>
      <c r="S918" s="99">
        <f>SUMIF(Import!$B:$B,$A918,Import!M:M)</f>
        <v>0</v>
      </c>
      <c r="T918" s="99">
        <f>SUMIF(Import!$B:$B,$A918,Import!N:N)</f>
        <v>0</v>
      </c>
      <c r="U918" s="99">
        <f t="shared" ref="U918" si="1299">T918-M918</f>
        <v>0</v>
      </c>
      <c r="V918" s="255" t="str">
        <f t="shared" ref="V918" si="1300">IF(M918=0,"N/A",T918/M918-1)</f>
        <v>N/A</v>
      </c>
      <c r="W918" s="102" t="s">
        <v>2626</v>
      </c>
      <c r="X918" s="102"/>
      <c r="Y918" s="102"/>
      <c r="Z918" s="192"/>
      <c r="AA918" s="615"/>
      <c r="AB918" s="307"/>
      <c r="AC918" s="300"/>
      <c r="AD918" s="300"/>
      <c r="AE918" s="300"/>
      <c r="AF918" s="300"/>
      <c r="AG918" s="300"/>
      <c r="AH918" s="307"/>
      <c r="AI918" s="307"/>
      <c r="AJ918" s="300"/>
      <c r="AK918" s="300"/>
      <c r="AL918" s="300"/>
      <c r="AM918" s="300"/>
      <c r="AN918" s="300"/>
      <c r="AO918" s="192"/>
      <c r="AP918" s="192"/>
      <c r="AQ918" s="192"/>
    </row>
    <row r="919" spans="1:43" s="115" customFormat="1" ht="27" customHeight="1">
      <c r="A919" s="555"/>
      <c r="B919" s="217"/>
      <c r="C919" s="217"/>
      <c r="D919" s="101"/>
      <c r="E919" s="217"/>
      <c r="F919" s="294"/>
      <c r="G919" s="295"/>
      <c r="H919" s="107" t="str">
        <f>UPPER(G918)&amp;" TOTAL"</f>
        <v>TRANSFERS TO OTHER FUNDS TOTAL</v>
      </c>
      <c r="I919" s="109">
        <f t="shared" ref="I919" si="1301">SUBTOTAL(9,I918)</f>
        <v>0</v>
      </c>
      <c r="J919" s="109">
        <f t="shared" ref="J919:T919" si="1302">SUBTOTAL(9,J918)</f>
        <v>0</v>
      </c>
      <c r="K919" s="109">
        <f t="shared" ref="K919" si="1303">SUBTOTAL(9,K918)</f>
        <v>0</v>
      </c>
      <c r="L919" s="109">
        <f t="shared" ref="L919" si="1304">SUBTOTAL(9,L918)</f>
        <v>0</v>
      </c>
      <c r="M919" s="109">
        <f t="shared" si="1302"/>
        <v>0</v>
      </c>
      <c r="N919" s="109">
        <f t="shared" ref="N919" si="1305">SUBTOTAL(9,N918)</f>
        <v>0</v>
      </c>
      <c r="O919" s="109">
        <f t="shared" si="1302"/>
        <v>0</v>
      </c>
      <c r="P919" s="109">
        <f t="shared" si="1302"/>
        <v>0</v>
      </c>
      <c r="Q919" s="109">
        <f t="shared" si="1302"/>
        <v>0</v>
      </c>
      <c r="R919" s="109">
        <f t="shared" si="1302"/>
        <v>0</v>
      </c>
      <c r="S919" s="109">
        <f t="shared" si="1302"/>
        <v>0</v>
      </c>
      <c r="T919" s="109">
        <f t="shared" si="1302"/>
        <v>0</v>
      </c>
      <c r="U919" s="99">
        <f>T919-M919</f>
        <v>0</v>
      </c>
      <c r="V919" s="255" t="str">
        <f>IF(M919=0,"N/A",T919/M919-1)</f>
        <v>N/A</v>
      </c>
      <c r="W919" s="102"/>
      <c r="X919" s="102"/>
      <c r="Y919" s="102"/>
      <c r="Z919" s="192"/>
      <c r="AA919" s="615"/>
      <c r="AB919" s="307"/>
      <c r="AC919" s="300"/>
      <c r="AD919" s="300"/>
      <c r="AE919" s="300"/>
      <c r="AF919" s="300"/>
      <c r="AG919" s="300"/>
      <c r="AH919" s="307"/>
      <c r="AI919" s="307"/>
      <c r="AJ919" s="300"/>
      <c r="AK919" s="300"/>
      <c r="AL919" s="300"/>
      <c r="AM919" s="300"/>
      <c r="AN919" s="300"/>
      <c r="AO919" s="192"/>
      <c r="AP919" s="192"/>
      <c r="AQ919" s="192"/>
    </row>
    <row r="920" spans="1:43" s="115" customFormat="1" ht="15" customHeight="1">
      <c r="A920" s="555"/>
      <c r="B920" s="217"/>
      <c r="C920" s="217"/>
      <c r="D920" s="101"/>
      <c r="E920" s="217"/>
      <c r="F920" s="294"/>
      <c r="G920" s="295"/>
      <c r="H920" s="98"/>
      <c r="I920" s="106"/>
      <c r="J920" s="106"/>
      <c r="K920" s="106"/>
      <c r="L920" s="106"/>
      <c r="M920" s="106"/>
      <c r="N920" s="106"/>
      <c r="O920" s="106"/>
      <c r="P920" s="106"/>
      <c r="Q920" s="106"/>
      <c r="R920" s="106"/>
      <c r="S920" s="106"/>
      <c r="T920" s="106"/>
      <c r="U920" s="99"/>
      <c r="V920" s="255"/>
      <c r="W920" s="102"/>
      <c r="X920" s="102"/>
      <c r="Y920" s="102"/>
      <c r="Z920" s="192"/>
      <c r="AA920" s="615"/>
      <c r="AB920" s="307"/>
      <c r="AC920" s="300"/>
      <c r="AD920" s="300"/>
      <c r="AE920" s="300"/>
      <c r="AF920" s="300"/>
      <c r="AG920" s="300"/>
      <c r="AH920" s="307"/>
      <c r="AI920" s="307"/>
      <c r="AJ920" s="300"/>
      <c r="AK920" s="300"/>
      <c r="AL920" s="300"/>
      <c r="AM920" s="300"/>
      <c r="AN920" s="300"/>
      <c r="AO920" s="192"/>
      <c r="AP920" s="192"/>
      <c r="AQ920" s="192"/>
    </row>
    <row r="921" spans="1:43" s="115" customFormat="1" ht="15" customHeight="1">
      <c r="A921" s="555"/>
      <c r="B921" s="217"/>
      <c r="C921" s="217"/>
      <c r="D921" s="101"/>
      <c r="E921" s="217"/>
      <c r="F921" s="294"/>
      <c r="G921" s="295"/>
      <c r="H921" s="114" t="s">
        <v>763</v>
      </c>
      <c r="I921" s="108">
        <f t="shared" ref="I921" si="1306">SUBTOTAL(9,I881:I919)</f>
        <v>5294268.1100000003</v>
      </c>
      <c r="J921" s="108">
        <f>SUBTOTAL(9,J881:J919)</f>
        <v>5596493.9000000004</v>
      </c>
      <c r="K921" s="108">
        <f t="shared" ref="K921" si="1307">SUBTOTAL(9,K881:K919)</f>
        <v>6213530.25</v>
      </c>
      <c r="L921" s="108">
        <f t="shared" ref="L921" si="1308">SUBTOTAL(9,L881:L919)</f>
        <v>6753259.0099999998</v>
      </c>
      <c r="M921" s="108">
        <f t="shared" ref="M921:T921" si="1309">SUBTOTAL(9,M881:M919)</f>
        <v>7159192</v>
      </c>
      <c r="N921" s="108">
        <f t="shared" ref="N921" si="1310">SUBTOTAL(9,N881:N919)</f>
        <v>5579723.1699999999</v>
      </c>
      <c r="O921" s="108">
        <f t="shared" si="1309"/>
        <v>7380880</v>
      </c>
      <c r="P921" s="108">
        <f t="shared" si="1309"/>
        <v>221688</v>
      </c>
      <c r="Q921" s="108">
        <f t="shared" si="1309"/>
        <v>7639640</v>
      </c>
      <c r="R921" s="108">
        <f t="shared" si="1309"/>
        <v>0</v>
      </c>
      <c r="S921" s="108">
        <f t="shared" si="1309"/>
        <v>0</v>
      </c>
      <c r="T921" s="108">
        <f t="shared" si="1309"/>
        <v>7639640</v>
      </c>
      <c r="U921" s="99">
        <f>T921-M921</f>
        <v>480448</v>
      </c>
      <c r="V921" s="255">
        <f>IF(M921=0,"N/A",T921/M921-1)</f>
        <v>6.7109249200189014E-2</v>
      </c>
      <c r="W921" s="102"/>
      <c r="X921" s="102"/>
      <c r="Y921" s="102"/>
      <c r="Z921" s="192"/>
      <c r="AA921" s="615"/>
      <c r="AB921" s="305"/>
      <c r="AC921" s="94"/>
      <c r="AD921" s="94"/>
      <c r="AE921" s="94"/>
      <c r="AF921" s="94"/>
      <c r="AG921" s="94"/>
      <c r="AH921" s="307"/>
      <c r="AI921" s="307"/>
      <c r="AJ921" s="94"/>
      <c r="AK921" s="94"/>
      <c r="AL921" s="94"/>
      <c r="AM921" s="94"/>
      <c r="AN921" s="94"/>
      <c r="AO921" s="192"/>
      <c r="AP921" s="192"/>
      <c r="AQ921" s="192"/>
    </row>
    <row r="922" spans="1:43" s="115" customFormat="1" ht="15" customHeight="1" thickBot="1">
      <c r="A922" s="555"/>
      <c r="B922" s="217"/>
      <c r="C922" s="217"/>
      <c r="D922" s="101"/>
      <c r="E922" s="217"/>
      <c r="F922" s="294"/>
      <c r="G922" s="295"/>
      <c r="H922" s="89"/>
      <c r="I922" s="233"/>
      <c r="J922" s="233"/>
      <c r="K922" s="233"/>
      <c r="L922" s="233"/>
      <c r="M922" s="233"/>
      <c r="N922" s="233"/>
      <c r="O922" s="233"/>
      <c r="P922" s="233"/>
      <c r="Q922" s="233"/>
      <c r="R922" s="233"/>
      <c r="S922" s="233"/>
      <c r="T922" s="233"/>
      <c r="U922" s="99"/>
      <c r="V922" s="255"/>
      <c r="W922" s="102"/>
      <c r="X922" s="102"/>
      <c r="Y922" s="102"/>
      <c r="Z922" s="192"/>
      <c r="AA922" s="615"/>
      <c r="AB922" s="307"/>
      <c r="AC922" s="93"/>
      <c r="AD922" s="93"/>
      <c r="AE922" s="93"/>
      <c r="AF922" s="93"/>
      <c r="AG922" s="93"/>
      <c r="AH922" s="307"/>
      <c r="AI922" s="307"/>
      <c r="AJ922" s="93"/>
      <c r="AK922" s="93"/>
      <c r="AL922" s="93"/>
      <c r="AM922" s="93"/>
      <c r="AN922" s="93"/>
      <c r="AO922" s="192"/>
      <c r="AP922" s="192"/>
      <c r="AQ922" s="192"/>
    </row>
    <row r="923" spans="1:43" s="115" customFormat="1" ht="23.25" customHeight="1" thickBot="1">
      <c r="A923" s="555"/>
      <c r="B923" s="217"/>
      <c r="C923" s="217"/>
      <c r="D923" s="101"/>
      <c r="E923" s="217"/>
      <c r="F923" s="294"/>
      <c r="G923" s="295"/>
      <c r="H923" s="665" t="s">
        <v>625</v>
      </c>
      <c r="I923" s="666"/>
      <c r="J923" s="666"/>
      <c r="K923" s="666"/>
      <c r="L923" s="666"/>
      <c r="M923" s="666"/>
      <c r="N923" s="666"/>
      <c r="O923" s="666"/>
      <c r="P923" s="666"/>
      <c r="Q923" s="666"/>
      <c r="R923" s="666"/>
      <c r="S923" s="666"/>
      <c r="T923" s="667"/>
      <c r="U923" s="99"/>
      <c r="V923" s="255"/>
      <c r="W923" s="102"/>
      <c r="X923" s="102"/>
      <c r="Y923" s="102"/>
      <c r="Z923" s="192"/>
      <c r="AA923" s="615"/>
      <c r="AB923" s="307"/>
      <c r="AC923" s="300"/>
      <c r="AD923" s="300"/>
      <c r="AE923" s="300"/>
      <c r="AF923" s="300"/>
      <c r="AG923" s="300"/>
      <c r="AH923" s="307"/>
      <c r="AI923" s="307"/>
      <c r="AJ923" s="300"/>
      <c r="AK923" s="300"/>
      <c r="AL923" s="300"/>
      <c r="AM923" s="300"/>
      <c r="AN923" s="300"/>
      <c r="AO923" s="192"/>
      <c r="AP923" s="192"/>
      <c r="AQ923" s="192"/>
    </row>
    <row r="924" spans="1:43" s="115" customFormat="1" ht="15" customHeight="1">
      <c r="A924" s="555"/>
      <c r="B924" s="217"/>
      <c r="C924" s="217"/>
      <c r="D924" s="101"/>
      <c r="E924" s="217"/>
      <c r="F924" s="294"/>
      <c r="G924" s="295"/>
      <c r="H924" s="225"/>
      <c r="I924" s="225"/>
      <c r="J924" s="225"/>
      <c r="K924" s="225"/>
      <c r="L924" s="225"/>
      <c r="M924" s="225"/>
      <c r="N924" s="225"/>
      <c r="O924" s="225"/>
      <c r="P924" s="225"/>
      <c r="Q924" s="225"/>
      <c r="R924" s="225"/>
      <c r="S924" s="225"/>
      <c r="T924" s="225"/>
      <c r="U924" s="99"/>
      <c r="V924" s="255"/>
      <c r="W924" s="102"/>
      <c r="X924" s="102"/>
      <c r="Y924" s="102"/>
      <c r="Z924" s="192"/>
      <c r="AA924" s="615"/>
      <c r="AB924" s="307"/>
      <c r="AC924" s="300"/>
      <c r="AD924" s="300"/>
      <c r="AE924" s="300"/>
      <c r="AF924" s="300"/>
      <c r="AG924" s="300"/>
      <c r="AH924" s="307"/>
      <c r="AI924" s="307"/>
      <c r="AJ924" s="300"/>
      <c r="AK924" s="300"/>
      <c r="AL924" s="300"/>
      <c r="AM924" s="300"/>
      <c r="AN924" s="300"/>
      <c r="AO924" s="192"/>
      <c r="AP924" s="192"/>
      <c r="AQ924" s="192"/>
    </row>
    <row r="925" spans="1:43" s="115" customFormat="1" ht="15" customHeight="1">
      <c r="A925" s="555" t="s">
        <v>2627</v>
      </c>
      <c r="B925" s="217" t="str">
        <f t="shared" ref="B925:B980" si="1311">LEFT(A925,3)</f>
        <v>100</v>
      </c>
      <c r="C925" s="217" t="str">
        <f t="shared" ref="C925:C980" si="1312">MID(A925,5,2)</f>
        <v>30</v>
      </c>
      <c r="D925" s="101" t="str">
        <f t="shared" ref="D925:D980" si="1313">MID(A925,8,3)</f>
        <v>303</v>
      </c>
      <c r="E925" s="217" t="str">
        <f t="shared" ref="E925:E980" si="1314">LEFT(A925,10)</f>
        <v>100-30-303</v>
      </c>
      <c r="F925" s="294" t="str">
        <f t="shared" ref="F925:F980" si="1315">RIGHT(A925,5)</f>
        <v>50101</v>
      </c>
      <c r="G925" s="295" t="str">
        <f>VLOOKUP(F925,'GL Category'!A:C,3,FALSE)</f>
        <v>Personnel services</v>
      </c>
      <c r="H925" s="98" t="str">
        <f>VLOOKUP(F925,'GL Category'!A:C,2,FALSE)</f>
        <v>EXEMPT SALARIES</v>
      </c>
      <c r="I925" s="99">
        <f>SUMIF(Import!$B:$B,$A925,Import!D:D)</f>
        <v>95007.11</v>
      </c>
      <c r="J925" s="99">
        <f>SUMIF(Import!$B:$B,$A925,Import!E:E)</f>
        <v>97676.28</v>
      </c>
      <c r="K925" s="99">
        <f>SUMIF(Import!$B:$B,$A925,Import!F:F)</f>
        <v>150400.04</v>
      </c>
      <c r="L925" s="99">
        <f>SUMIF(Import!$B:$B,$A925,Import!G:G)</f>
        <v>190659.37</v>
      </c>
      <c r="M925" s="99">
        <f>SUMIF(Import!$B:$B,$A925,Import!H:H)</f>
        <v>171476</v>
      </c>
      <c r="N925" s="99">
        <f>SUMIF(Import!$B:$B,$A925,Import!I:I)</f>
        <v>124385.7</v>
      </c>
      <c r="O925" s="99">
        <f>SUMIF(Import!$B:$B,$A925,Import!J:J)</f>
        <v>147849</v>
      </c>
      <c r="P925" s="99">
        <f t="shared" ref="P925:P933" si="1316">O925-M925</f>
        <v>-23627</v>
      </c>
      <c r="Q925" s="99">
        <f>SUMIF(Import!$B:$B,$A925,Import!K:K)</f>
        <v>101848</v>
      </c>
      <c r="R925" s="99">
        <f>SUMIF(Import!$B:$B,$A925,Import!L:L)</f>
        <v>0</v>
      </c>
      <c r="S925" s="99">
        <f>SUMIF(Import!$B:$B,$A925,Import!M:M)</f>
        <v>0</v>
      </c>
      <c r="T925" s="99">
        <f>SUMIF(Import!$B:$B,$A925,Import!N:N)</f>
        <v>101848</v>
      </c>
      <c r="U925" s="99">
        <f t="shared" ref="U925:U933" si="1317">T925-M925</f>
        <v>-69628</v>
      </c>
      <c r="V925" s="255">
        <f t="shared" ref="V925:V933" si="1318">IF(M925=0,"N/A",T925/M925-1)</f>
        <v>-0.40605099255872545</v>
      </c>
      <c r="W925" s="102" t="s">
        <v>2627</v>
      </c>
      <c r="X925" s="102"/>
      <c r="Y925" s="102"/>
      <c r="Z925" s="192"/>
      <c r="AA925" s="615"/>
      <c r="AB925" s="307"/>
      <c r="AC925" s="300"/>
      <c r="AD925" s="300"/>
      <c r="AE925" s="300"/>
      <c r="AF925" s="300"/>
      <c r="AG925" s="300"/>
      <c r="AH925" s="307"/>
      <c r="AI925" s="307"/>
      <c r="AJ925" s="300"/>
      <c r="AK925" s="300"/>
      <c r="AL925" s="300"/>
      <c r="AM925" s="300"/>
      <c r="AN925" s="300"/>
      <c r="AO925" s="192"/>
      <c r="AP925" s="192"/>
      <c r="AQ925" s="192"/>
    </row>
    <row r="926" spans="1:43" s="115" customFormat="1" ht="15" customHeight="1">
      <c r="A926" s="555" t="s">
        <v>2628</v>
      </c>
      <c r="B926" s="217" t="str">
        <f t="shared" si="1311"/>
        <v>100</v>
      </c>
      <c r="C926" s="217" t="str">
        <f t="shared" si="1312"/>
        <v>30</v>
      </c>
      <c r="D926" s="101" t="str">
        <f t="shared" si="1313"/>
        <v>303</v>
      </c>
      <c r="E926" s="217" t="str">
        <f t="shared" si="1314"/>
        <v>100-30-303</v>
      </c>
      <c r="F926" s="294" t="str">
        <f t="shared" si="1315"/>
        <v>50102</v>
      </c>
      <c r="G926" s="295" t="str">
        <f>VLOOKUP(F926,'GL Category'!A:C,3,FALSE)</f>
        <v>Personnel services</v>
      </c>
      <c r="H926" s="98" t="str">
        <f>VLOOKUP(F926,'GL Category'!A:C,2,FALSE)</f>
        <v>NON EXEMPT SALARIES</v>
      </c>
      <c r="I926" s="99">
        <f>SUMIF(Import!$B:$B,$A926,Import!D:D)</f>
        <v>842856.26</v>
      </c>
      <c r="J926" s="99">
        <f>SUMIF(Import!$B:$B,$A926,Import!E:E)</f>
        <v>1098625.3600000001</v>
      </c>
      <c r="K926" s="99">
        <f>SUMIF(Import!$B:$B,$A926,Import!F:F)</f>
        <v>1139998.28</v>
      </c>
      <c r="L926" s="99">
        <f>SUMIF(Import!$B:$B,$A926,Import!G:G)</f>
        <v>1153214.78</v>
      </c>
      <c r="M926" s="99">
        <f>SUMIF(Import!$B:$B,$A926,Import!H:H)</f>
        <v>1343714</v>
      </c>
      <c r="N926" s="99">
        <f>SUMIF(Import!$B:$B,$A926,Import!I:I)</f>
        <v>878431.65</v>
      </c>
      <c r="O926" s="99">
        <f>SUMIF(Import!$B:$B,$A926,Import!J:J)</f>
        <v>1269932</v>
      </c>
      <c r="P926" s="99">
        <f t="shared" si="1316"/>
        <v>-73782</v>
      </c>
      <c r="Q926" s="99">
        <f>SUMIF(Import!$B:$B,$A926,Import!K:K)</f>
        <v>1586130</v>
      </c>
      <c r="R926" s="99">
        <f>SUMIF(Import!$B:$B,$A926,Import!L:L)</f>
        <v>0</v>
      </c>
      <c r="S926" s="99">
        <f>SUMIF(Import!$B:$B,$A926,Import!M:M)</f>
        <v>0</v>
      </c>
      <c r="T926" s="99">
        <f>SUMIF(Import!$B:$B,$A926,Import!N:N)</f>
        <v>1586130</v>
      </c>
      <c r="U926" s="99">
        <f t="shared" si="1317"/>
        <v>242416</v>
      </c>
      <c r="V926" s="255">
        <f t="shared" si="1318"/>
        <v>0.18040743789228952</v>
      </c>
      <c r="W926" s="102" t="s">
        <v>2628</v>
      </c>
      <c r="X926" s="102"/>
      <c r="Y926" s="102"/>
      <c r="Z926" s="192"/>
      <c r="AA926" s="615"/>
      <c r="AB926" s="307"/>
      <c r="AC926" s="94"/>
      <c r="AD926" s="94"/>
      <c r="AE926" s="94"/>
      <c r="AF926" s="94"/>
      <c r="AG926" s="94"/>
      <c r="AH926" s="307"/>
      <c r="AI926" s="307"/>
      <c r="AJ926" s="94"/>
      <c r="AK926" s="94"/>
      <c r="AL926" s="94"/>
      <c r="AM926" s="94"/>
      <c r="AN926" s="94"/>
      <c r="AO926" s="192"/>
      <c r="AP926" s="192"/>
      <c r="AQ926" s="192"/>
    </row>
    <row r="927" spans="1:43" s="115" customFormat="1" ht="15" customHeight="1">
      <c r="A927" s="555" t="s">
        <v>2629</v>
      </c>
      <c r="B927" s="217" t="str">
        <f t="shared" si="1311"/>
        <v>100</v>
      </c>
      <c r="C927" s="217" t="str">
        <f t="shared" si="1312"/>
        <v>30</v>
      </c>
      <c r="D927" s="101" t="str">
        <f t="shared" si="1313"/>
        <v>303</v>
      </c>
      <c r="E927" s="217" t="str">
        <f t="shared" si="1314"/>
        <v>100-30-303</v>
      </c>
      <c r="F927" s="294" t="str">
        <f t="shared" si="1315"/>
        <v>50109</v>
      </c>
      <c r="G927" s="295" t="str">
        <f>VLOOKUP(F927,'GL Category'!A:C,3,FALSE)</f>
        <v>Personnel services</v>
      </c>
      <c r="H927" s="98" t="str">
        <f>VLOOKUP(F927,'GL Category'!A:C,2,FALSE)</f>
        <v>OVERTIME</v>
      </c>
      <c r="I927" s="99">
        <f>SUMIF(Import!$B:$B,$A927,Import!D:D)</f>
        <v>53971</v>
      </c>
      <c r="J927" s="99">
        <f>SUMIF(Import!$B:$B,$A927,Import!E:E)</f>
        <v>118780.37</v>
      </c>
      <c r="K927" s="99">
        <f>SUMIF(Import!$B:$B,$A927,Import!F:F)</f>
        <v>74263.81</v>
      </c>
      <c r="L927" s="99">
        <f>SUMIF(Import!$B:$B,$A927,Import!G:G)</f>
        <v>242839.83</v>
      </c>
      <c r="M927" s="99">
        <f>SUMIF(Import!$B:$B,$A927,Import!H:H)</f>
        <v>101942</v>
      </c>
      <c r="N927" s="99">
        <f>SUMIF(Import!$B:$B,$A927,Import!I:I)</f>
        <v>244226.14</v>
      </c>
      <c r="O927" s="99">
        <f>SUMIF(Import!$B:$B,$A927,Import!J:J)</f>
        <v>329194</v>
      </c>
      <c r="P927" s="99">
        <f t="shared" si="1316"/>
        <v>227252</v>
      </c>
      <c r="Q927" s="99">
        <f>SUMIF(Import!$B:$B,$A927,Import!K:K)</f>
        <v>101072</v>
      </c>
      <c r="R927" s="99">
        <f>SUMIF(Import!$B:$B,$A927,Import!L:L)</f>
        <v>0</v>
      </c>
      <c r="S927" s="99">
        <f>SUMIF(Import!$B:$B,$A927,Import!M:M)</f>
        <v>0</v>
      </c>
      <c r="T927" s="99">
        <f>SUMIF(Import!$B:$B,$A927,Import!N:N)</f>
        <v>101072</v>
      </c>
      <c r="U927" s="99">
        <f t="shared" si="1317"/>
        <v>-870</v>
      </c>
      <c r="V927" s="255">
        <f t="shared" si="1318"/>
        <v>-8.5342645818210494E-3</v>
      </c>
      <c r="W927" s="102" t="s">
        <v>2629</v>
      </c>
      <c r="X927" s="102"/>
      <c r="Y927" s="102"/>
      <c r="Z927" s="192"/>
      <c r="AA927" s="615"/>
      <c r="AB927" s="307"/>
      <c r="AC927" s="93"/>
      <c r="AD927" s="93"/>
      <c r="AE927" s="93"/>
      <c r="AF927" s="93"/>
      <c r="AG927" s="93"/>
      <c r="AH927" s="307"/>
      <c r="AI927" s="307"/>
      <c r="AJ927" s="93"/>
      <c r="AK927" s="93"/>
      <c r="AL927" s="93"/>
      <c r="AM927" s="93"/>
      <c r="AN927" s="93"/>
      <c r="AO927" s="192"/>
      <c r="AP927" s="192"/>
      <c r="AQ927" s="192"/>
    </row>
    <row r="928" spans="1:43" s="115" customFormat="1" ht="15" customHeight="1">
      <c r="A928" s="555" t="s">
        <v>2630</v>
      </c>
      <c r="B928" s="217" t="str">
        <f t="shared" si="1311"/>
        <v>100</v>
      </c>
      <c r="C928" s="217" t="str">
        <f t="shared" si="1312"/>
        <v>30</v>
      </c>
      <c r="D928" s="101" t="str">
        <f t="shared" si="1313"/>
        <v>303</v>
      </c>
      <c r="E928" s="217" t="str">
        <f t="shared" si="1314"/>
        <v>100-30-303</v>
      </c>
      <c r="F928" s="294" t="str">
        <f t="shared" si="1315"/>
        <v>50111</v>
      </c>
      <c r="G928" s="295" t="str">
        <f>VLOOKUP(F928,'GL Category'!A:C,3,FALSE)</f>
        <v>Personnel services</v>
      </c>
      <c r="H928" s="98" t="str">
        <f>VLOOKUP(F928,'GL Category'!A:C,2,FALSE)</f>
        <v>LONGEVITY PAY</v>
      </c>
      <c r="I928" s="99">
        <f>SUMIF(Import!$B:$B,$A928,Import!D:D)</f>
        <v>15370</v>
      </c>
      <c r="J928" s="99">
        <f>SUMIF(Import!$B:$B,$A928,Import!E:E)</f>
        <v>15525</v>
      </c>
      <c r="K928" s="99">
        <f>SUMIF(Import!$B:$B,$A928,Import!F:F)</f>
        <v>16725</v>
      </c>
      <c r="L928" s="99">
        <f>SUMIF(Import!$B:$B,$A928,Import!G:G)</f>
        <v>15875</v>
      </c>
      <c r="M928" s="99">
        <f>SUMIF(Import!$B:$B,$A928,Import!H:H)</f>
        <v>12621</v>
      </c>
      <c r="N928" s="99">
        <f>SUMIF(Import!$B:$B,$A928,Import!I:I)</f>
        <v>12540</v>
      </c>
      <c r="O928" s="99">
        <f>SUMIF(Import!$B:$B,$A928,Import!J:J)</f>
        <v>12540</v>
      </c>
      <c r="P928" s="99">
        <f t="shared" si="1316"/>
        <v>-81</v>
      </c>
      <c r="Q928" s="99">
        <f>SUMIF(Import!$B:$B,$A928,Import!K:K)</f>
        <v>13974</v>
      </c>
      <c r="R928" s="99">
        <f>SUMIF(Import!$B:$B,$A928,Import!L:L)</f>
        <v>0</v>
      </c>
      <c r="S928" s="99">
        <f>SUMIF(Import!$B:$B,$A928,Import!M:M)</f>
        <v>0</v>
      </c>
      <c r="T928" s="99">
        <f>SUMIF(Import!$B:$B,$A928,Import!N:N)</f>
        <v>13974</v>
      </c>
      <c r="U928" s="99">
        <f t="shared" si="1317"/>
        <v>1353</v>
      </c>
      <c r="V928" s="255">
        <f t="shared" si="1318"/>
        <v>0.10720228191110048</v>
      </c>
      <c r="W928" s="102" t="s">
        <v>2630</v>
      </c>
      <c r="X928" s="102"/>
      <c r="Y928" s="102"/>
      <c r="Z928" s="192"/>
      <c r="AA928" s="615"/>
      <c r="AB928" s="307"/>
      <c r="AC928" s="300"/>
      <c r="AD928" s="300"/>
      <c r="AE928" s="300"/>
      <c r="AF928" s="300"/>
      <c r="AG928" s="300"/>
      <c r="AH928" s="307"/>
      <c r="AI928" s="307"/>
      <c r="AJ928" s="300"/>
      <c r="AK928" s="300"/>
      <c r="AL928" s="300"/>
      <c r="AM928" s="300"/>
      <c r="AN928" s="300"/>
      <c r="AO928" s="192"/>
      <c r="AP928" s="192"/>
      <c r="AQ928" s="192"/>
    </row>
    <row r="929" spans="1:59" s="115" customFormat="1" ht="15" customHeight="1">
      <c r="A929" s="555" t="s">
        <v>2631</v>
      </c>
      <c r="B929" s="217" t="str">
        <f t="shared" si="1311"/>
        <v>100</v>
      </c>
      <c r="C929" s="217" t="str">
        <f t="shared" si="1312"/>
        <v>30</v>
      </c>
      <c r="D929" s="101" t="str">
        <f t="shared" si="1313"/>
        <v>303</v>
      </c>
      <c r="E929" s="217" t="str">
        <f t="shared" si="1314"/>
        <v>100-30-303</v>
      </c>
      <c r="F929" s="294" t="str">
        <f t="shared" si="1315"/>
        <v>50115</v>
      </c>
      <c r="G929" s="295" t="str">
        <f>VLOOKUP(F929,'GL Category'!A:C,3,FALSE)</f>
        <v>Personnel services</v>
      </c>
      <c r="H929" s="98" t="str">
        <f>VLOOKUP(F929,'GL Category'!A:C,2,FALSE)</f>
        <v>INCENTIVE/CERTIFICATION PAY</v>
      </c>
      <c r="I929" s="99">
        <f>SUMIF(Import!$B:$B,$A929,Import!D:D)</f>
        <v>73128.2</v>
      </c>
      <c r="J929" s="99">
        <f>SUMIF(Import!$B:$B,$A929,Import!E:E)</f>
        <v>89810.73</v>
      </c>
      <c r="K929" s="99">
        <f>SUMIF(Import!$B:$B,$A929,Import!F:F)</f>
        <v>96918.63</v>
      </c>
      <c r="L929" s="99">
        <f>SUMIF(Import!$B:$B,$A929,Import!G:G)</f>
        <v>95171.69</v>
      </c>
      <c r="M929" s="99">
        <f>SUMIF(Import!$B:$B,$A929,Import!H:H)</f>
        <v>97602</v>
      </c>
      <c r="N929" s="99">
        <f>SUMIF(Import!$B:$B,$A929,Import!I:I)</f>
        <v>62627.03</v>
      </c>
      <c r="O929" s="99">
        <f>SUMIF(Import!$B:$B,$A929,Import!J:J)</f>
        <v>124380</v>
      </c>
      <c r="P929" s="99">
        <f t="shared" si="1316"/>
        <v>26778</v>
      </c>
      <c r="Q929" s="99">
        <f>SUMIF(Import!$B:$B,$A929,Import!K:K)</f>
        <v>95202</v>
      </c>
      <c r="R929" s="99">
        <f>SUMIF(Import!$B:$B,$A929,Import!L:L)</f>
        <v>0</v>
      </c>
      <c r="S929" s="99">
        <f>SUMIF(Import!$B:$B,$A929,Import!M:M)</f>
        <v>0</v>
      </c>
      <c r="T929" s="99">
        <f>SUMIF(Import!$B:$B,$A929,Import!N:N)</f>
        <v>95202</v>
      </c>
      <c r="U929" s="99">
        <f t="shared" si="1317"/>
        <v>-2400</v>
      </c>
      <c r="V929" s="255">
        <f t="shared" si="1318"/>
        <v>-2.4589660047949824E-2</v>
      </c>
      <c r="W929" s="102" t="s">
        <v>2631</v>
      </c>
      <c r="X929" s="102"/>
      <c r="Y929" s="102"/>
      <c r="Z929" s="192"/>
      <c r="AA929" s="615"/>
      <c r="AB929" s="307"/>
      <c r="AC929" s="300"/>
      <c r="AD929" s="300"/>
      <c r="AE929" s="300"/>
      <c r="AF929" s="300"/>
      <c r="AG929" s="300"/>
      <c r="AH929" s="307"/>
      <c r="AI929" s="307"/>
      <c r="AJ929" s="300"/>
      <c r="AK929" s="300"/>
      <c r="AL929" s="300"/>
      <c r="AM929" s="300"/>
      <c r="AN929" s="300"/>
      <c r="AO929" s="192"/>
      <c r="AP929" s="192"/>
      <c r="AQ929" s="192"/>
    </row>
    <row r="930" spans="1:59" s="115" customFormat="1" ht="15" customHeight="1">
      <c r="A930" s="555" t="s">
        <v>2632</v>
      </c>
      <c r="B930" s="217" t="str">
        <f t="shared" si="1311"/>
        <v>100</v>
      </c>
      <c r="C930" s="217" t="str">
        <f t="shared" si="1312"/>
        <v>30</v>
      </c>
      <c r="D930" s="101" t="str">
        <f t="shared" si="1313"/>
        <v>303</v>
      </c>
      <c r="E930" s="217" t="str">
        <f t="shared" si="1314"/>
        <v>100-30-303</v>
      </c>
      <c r="F930" s="294" t="str">
        <f t="shared" si="1315"/>
        <v>50610</v>
      </c>
      <c r="G930" s="295" t="str">
        <f>VLOOKUP(F930,'GL Category'!A:C,3,FALSE)</f>
        <v>Personnel services</v>
      </c>
      <c r="H930" s="98" t="str">
        <f>VLOOKUP(F930,'GL Category'!A:C,2,FALSE)</f>
        <v>SOCIAL SECURITY</v>
      </c>
      <c r="I930" s="99">
        <f>SUMIF(Import!$B:$B,$A930,Import!D:D)</f>
        <v>77723.789999999994</v>
      </c>
      <c r="J930" s="99">
        <f>SUMIF(Import!$B:$B,$A930,Import!E:E)</f>
        <v>103868.2</v>
      </c>
      <c r="K930" s="99">
        <f>SUMIF(Import!$B:$B,$A930,Import!F:F)</f>
        <v>108762.92</v>
      </c>
      <c r="L930" s="99">
        <f>SUMIF(Import!$B:$B,$A930,Import!G:G)</f>
        <v>123426.77</v>
      </c>
      <c r="M930" s="99">
        <f>SUMIF(Import!$B:$B,$A930,Import!H:H)</f>
        <v>132360</v>
      </c>
      <c r="N930" s="99">
        <f>SUMIF(Import!$B:$B,$A930,Import!I:I)</f>
        <v>98171.39</v>
      </c>
      <c r="O930" s="99">
        <f>SUMIF(Import!$B:$B,$A930,Import!J:J)</f>
        <v>135186</v>
      </c>
      <c r="P930" s="99">
        <f t="shared" si="1316"/>
        <v>2826</v>
      </c>
      <c r="Q930" s="99">
        <f>SUMIF(Import!$B:$B,$A930,Import!K:K)</f>
        <v>145460</v>
      </c>
      <c r="R930" s="99">
        <f>SUMIF(Import!$B:$B,$A930,Import!L:L)</f>
        <v>0</v>
      </c>
      <c r="S930" s="99">
        <f>SUMIF(Import!$B:$B,$A930,Import!M:M)</f>
        <v>0</v>
      </c>
      <c r="T930" s="99">
        <f>SUMIF(Import!$B:$B,$A930,Import!N:N)</f>
        <v>145460</v>
      </c>
      <c r="U930" s="99">
        <f t="shared" si="1317"/>
        <v>13100</v>
      </c>
      <c r="V930" s="255">
        <f t="shared" si="1318"/>
        <v>9.8972499244484702E-2</v>
      </c>
      <c r="W930" s="102" t="s">
        <v>2632</v>
      </c>
      <c r="X930" s="102"/>
      <c r="Y930" s="102"/>
      <c r="Z930" s="192"/>
      <c r="AA930" s="615"/>
      <c r="AB930" s="307"/>
      <c r="AC930" s="300"/>
      <c r="AD930" s="300"/>
      <c r="AE930" s="300"/>
      <c r="AF930" s="300"/>
      <c r="AG930" s="300"/>
      <c r="AH930" s="307"/>
      <c r="AI930" s="307"/>
      <c r="AJ930" s="300"/>
      <c r="AK930" s="300"/>
      <c r="AL930" s="300"/>
      <c r="AM930" s="300"/>
      <c r="AN930" s="300"/>
      <c r="AO930" s="192"/>
      <c r="AP930" s="192"/>
      <c r="AQ930" s="192"/>
    </row>
    <row r="931" spans="1:59" s="115" customFormat="1" ht="15" customHeight="1">
      <c r="A931" s="555" t="s">
        <v>2633</v>
      </c>
      <c r="B931" s="217" t="str">
        <f t="shared" si="1311"/>
        <v>100</v>
      </c>
      <c r="C931" s="217" t="str">
        <f t="shared" si="1312"/>
        <v>30</v>
      </c>
      <c r="D931" s="101" t="str">
        <f t="shared" si="1313"/>
        <v>303</v>
      </c>
      <c r="E931" s="217" t="str">
        <f t="shared" si="1314"/>
        <v>100-30-303</v>
      </c>
      <c r="F931" s="294" t="str">
        <f t="shared" si="1315"/>
        <v>50620</v>
      </c>
      <c r="G931" s="295" t="str">
        <f>VLOOKUP(F931,'GL Category'!A:C,3,FALSE)</f>
        <v>Personnel services</v>
      </c>
      <c r="H931" s="98" t="str">
        <f>VLOOKUP(F931,'GL Category'!A:C,2,FALSE)</f>
        <v>HEALTH/LIFE INSURANCE</v>
      </c>
      <c r="I931" s="99">
        <f>SUMIF(Import!$B:$B,$A931,Import!D:D)</f>
        <v>222180.7</v>
      </c>
      <c r="J931" s="99">
        <f>SUMIF(Import!$B:$B,$A931,Import!E:E)</f>
        <v>278655.78999999998</v>
      </c>
      <c r="K931" s="99">
        <f>SUMIF(Import!$B:$B,$A931,Import!F:F)</f>
        <v>297656.65999999997</v>
      </c>
      <c r="L931" s="99">
        <f>SUMIF(Import!$B:$B,$A931,Import!G:G)</f>
        <v>308979.77</v>
      </c>
      <c r="M931" s="99">
        <f>SUMIF(Import!$B:$B,$A931,Import!H:H)</f>
        <v>285654</v>
      </c>
      <c r="N931" s="99">
        <f>SUMIF(Import!$B:$B,$A931,Import!I:I)</f>
        <v>168252.05</v>
      </c>
      <c r="O931" s="99">
        <f>SUMIF(Import!$B:$B,$A931,Import!J:J)</f>
        <v>254053</v>
      </c>
      <c r="P931" s="99">
        <f t="shared" si="1316"/>
        <v>-31601</v>
      </c>
      <c r="Q931" s="99">
        <f>SUMIF(Import!$B:$B,$A931,Import!K:K)</f>
        <v>288715</v>
      </c>
      <c r="R931" s="99">
        <f>SUMIF(Import!$B:$B,$A931,Import!L:L)</f>
        <v>0</v>
      </c>
      <c r="S931" s="99">
        <f>SUMIF(Import!$B:$B,$A931,Import!M:M)</f>
        <v>0</v>
      </c>
      <c r="T931" s="99">
        <f>SUMIF(Import!$B:$B,$A931,Import!N:N)</f>
        <v>288715</v>
      </c>
      <c r="U931" s="99">
        <f t="shared" si="1317"/>
        <v>3061</v>
      </c>
      <c r="V931" s="255">
        <f t="shared" si="1318"/>
        <v>1.0715761025576365E-2</v>
      </c>
      <c r="W931" s="102" t="s">
        <v>2633</v>
      </c>
      <c r="X931" s="102"/>
      <c r="Y931" s="102"/>
      <c r="Z931" s="192"/>
      <c r="AA931" s="615"/>
      <c r="AB931" s="307"/>
      <c r="AC931" s="94"/>
      <c r="AD931" s="94"/>
      <c r="AE931" s="94"/>
      <c r="AF931" s="94"/>
      <c r="AG931" s="94"/>
      <c r="AH931" s="307"/>
      <c r="AI931" s="307"/>
      <c r="AJ931" s="94"/>
      <c r="AK931" s="94"/>
      <c r="AL931" s="94"/>
      <c r="AM931" s="94"/>
      <c r="AN931" s="94"/>
      <c r="AO931" s="192"/>
      <c r="AP931" s="192"/>
      <c r="AQ931" s="192"/>
    </row>
    <row r="932" spans="1:59" s="115" customFormat="1" ht="15" customHeight="1">
      <c r="A932" s="555" t="s">
        <v>2634</v>
      </c>
      <c r="B932" s="217" t="str">
        <f t="shared" si="1311"/>
        <v>100</v>
      </c>
      <c r="C932" s="217" t="str">
        <f t="shared" si="1312"/>
        <v>30</v>
      </c>
      <c r="D932" s="101" t="str">
        <f t="shared" si="1313"/>
        <v>303</v>
      </c>
      <c r="E932" s="217" t="str">
        <f t="shared" si="1314"/>
        <v>100-30-303</v>
      </c>
      <c r="F932" s="294" t="str">
        <f t="shared" si="1315"/>
        <v>50630</v>
      </c>
      <c r="G932" s="295" t="str">
        <f>VLOOKUP(F932,'GL Category'!A:C,3,FALSE)</f>
        <v>Personnel services</v>
      </c>
      <c r="H932" s="98" t="str">
        <f>VLOOKUP(F932,'GL Category'!A:C,2,FALSE)</f>
        <v>WORKER COMPENSATION</v>
      </c>
      <c r="I932" s="99">
        <f>SUMIF(Import!$B:$B,$A932,Import!D:D)</f>
        <v>2134.73</v>
      </c>
      <c r="J932" s="99">
        <f>SUMIF(Import!$B:$B,$A932,Import!E:E)</f>
        <v>1493.17</v>
      </c>
      <c r="K932" s="99">
        <f>SUMIF(Import!$B:$B,$A932,Import!F:F)</f>
        <v>1730.31</v>
      </c>
      <c r="L932" s="99">
        <f>SUMIF(Import!$B:$B,$A932,Import!G:G)</f>
        <v>4072.83</v>
      </c>
      <c r="M932" s="99">
        <f>SUMIF(Import!$B:$B,$A932,Import!H:H)</f>
        <v>6256</v>
      </c>
      <c r="N932" s="99">
        <f>SUMIF(Import!$B:$B,$A932,Import!I:I)</f>
        <v>6250.89</v>
      </c>
      <c r="O932" s="99">
        <f>SUMIF(Import!$B:$B,$A932,Import!J:J)</f>
        <v>6251</v>
      </c>
      <c r="P932" s="99">
        <f t="shared" si="1316"/>
        <v>-5</v>
      </c>
      <c r="Q932" s="99">
        <f>SUMIF(Import!$B:$B,$A932,Import!K:K)</f>
        <v>2659</v>
      </c>
      <c r="R932" s="99">
        <f>SUMIF(Import!$B:$B,$A932,Import!L:L)</f>
        <v>0</v>
      </c>
      <c r="S932" s="99">
        <f>SUMIF(Import!$B:$B,$A932,Import!M:M)</f>
        <v>0</v>
      </c>
      <c r="T932" s="99">
        <f>SUMIF(Import!$B:$B,$A932,Import!N:N)</f>
        <v>2659</v>
      </c>
      <c r="U932" s="99">
        <f t="shared" si="1317"/>
        <v>-3597</v>
      </c>
      <c r="V932" s="255">
        <f t="shared" si="1318"/>
        <v>-0.57496803069053715</v>
      </c>
      <c r="W932" s="102" t="s">
        <v>2634</v>
      </c>
      <c r="X932" s="102"/>
      <c r="Y932" s="102"/>
      <c r="Z932" s="192"/>
      <c r="AA932" s="615"/>
      <c r="AB932" s="307"/>
      <c r="AC932" s="93"/>
      <c r="AD932" s="93"/>
      <c r="AE932" s="93"/>
      <c r="AF932" s="93"/>
      <c r="AG932" s="93"/>
      <c r="AH932" s="307"/>
      <c r="AI932" s="307"/>
      <c r="AJ932" s="93"/>
      <c r="AK932" s="93"/>
      <c r="AL932" s="93"/>
      <c r="AM932" s="93"/>
      <c r="AN932" s="93"/>
      <c r="AO932" s="192"/>
      <c r="AP932" s="192"/>
      <c r="AQ932" s="192"/>
    </row>
    <row r="933" spans="1:59" ht="15" customHeight="1">
      <c r="A933" s="555" t="s">
        <v>2635</v>
      </c>
      <c r="B933" s="217" t="str">
        <f t="shared" si="1311"/>
        <v>100</v>
      </c>
      <c r="C933" s="217" t="str">
        <f t="shared" si="1312"/>
        <v>30</v>
      </c>
      <c r="D933" s="101" t="str">
        <f t="shared" si="1313"/>
        <v>303</v>
      </c>
      <c r="E933" s="217" t="str">
        <f t="shared" si="1314"/>
        <v>100-30-303</v>
      </c>
      <c r="F933" s="294" t="str">
        <f t="shared" si="1315"/>
        <v>50650</v>
      </c>
      <c r="G933" s="295" t="str">
        <f>VLOOKUP(F933,'GL Category'!A:C,3,FALSE)</f>
        <v>Personnel services</v>
      </c>
      <c r="H933" s="98" t="str">
        <f>VLOOKUP(F933,'GL Category'!A:C,2,FALSE)</f>
        <v>RETIREMENT</v>
      </c>
      <c r="I933" s="99">
        <f>SUMIF(Import!$B:$B,$A933,Import!D:D)</f>
        <v>170167.23</v>
      </c>
      <c r="J933" s="99">
        <f>SUMIF(Import!$B:$B,$A933,Import!E:E)</f>
        <v>230066.16</v>
      </c>
      <c r="K933" s="99">
        <f>SUMIF(Import!$B:$B,$A933,Import!F:F)</f>
        <v>240842.32</v>
      </c>
      <c r="L933" s="99">
        <f>SUMIF(Import!$B:$B,$A933,Import!G:G)</f>
        <v>274951.71999999997</v>
      </c>
      <c r="M933" s="99">
        <f>SUMIF(Import!$B:$B,$A933,Import!H:H)</f>
        <v>285876</v>
      </c>
      <c r="N933" s="99">
        <f>SUMIF(Import!$B:$B,$A933,Import!I:I)</f>
        <v>217623.35</v>
      </c>
      <c r="O933" s="99">
        <f>SUMIF(Import!$B:$B,$A933,Import!J:J)</f>
        <v>297355</v>
      </c>
      <c r="P933" s="99">
        <f t="shared" si="1316"/>
        <v>11479</v>
      </c>
      <c r="Q933" s="99">
        <f>SUMIF(Import!$B:$B,$A933,Import!K:K)</f>
        <v>321735</v>
      </c>
      <c r="R933" s="99">
        <f>SUMIF(Import!$B:$B,$A933,Import!L:L)</f>
        <v>0</v>
      </c>
      <c r="S933" s="99">
        <f>SUMIF(Import!$B:$B,$A933,Import!M:M)</f>
        <v>0</v>
      </c>
      <c r="T933" s="99">
        <f>SUMIF(Import!$B:$B,$A933,Import!N:N)</f>
        <v>321735</v>
      </c>
      <c r="U933" s="99">
        <f t="shared" si="1317"/>
        <v>35859</v>
      </c>
      <c r="V933" s="255">
        <f t="shared" si="1318"/>
        <v>0.12543550350501609</v>
      </c>
      <c r="W933" s="102" t="s">
        <v>2635</v>
      </c>
      <c r="X933" s="102"/>
      <c r="Y933" s="102"/>
      <c r="AA933" s="615"/>
      <c r="AC933" s="300"/>
      <c r="AD933" s="300"/>
      <c r="AE933" s="300"/>
      <c r="AF933" s="300"/>
      <c r="AG933" s="300"/>
      <c r="AJ933" s="300"/>
      <c r="AK933" s="300"/>
      <c r="AL933" s="300"/>
      <c r="AM933" s="300"/>
      <c r="AN933" s="300"/>
    </row>
    <row r="934" spans="1:59" ht="15" customHeight="1">
      <c r="A934" s="555"/>
      <c r="B934" s="217"/>
      <c r="C934" s="217"/>
      <c r="D934" s="101"/>
      <c r="E934" s="217"/>
      <c r="F934" s="294"/>
      <c r="G934" s="295"/>
      <c r="H934" s="107" t="str">
        <f>UPPER(G933)&amp;" TOTAL"</f>
        <v>PERSONNEL SERVICES TOTAL</v>
      </c>
      <c r="I934" s="108">
        <f t="shared" ref="I934" si="1319">SUBTOTAL(9,I925:I933)</f>
        <v>1552539.02</v>
      </c>
      <c r="J934" s="108">
        <f t="shared" ref="J934:T934" si="1320">SUBTOTAL(9,J925:J933)</f>
        <v>2034501.06</v>
      </c>
      <c r="K934" s="108">
        <f t="shared" ref="K934" si="1321">SUBTOTAL(9,K925:K933)</f>
        <v>2127297.9700000002</v>
      </c>
      <c r="L934" s="108">
        <f t="shared" ref="L934" si="1322">SUBTOTAL(9,L925:L933)</f>
        <v>2409191.7599999998</v>
      </c>
      <c r="M934" s="108">
        <f t="shared" si="1320"/>
        <v>2437501</v>
      </c>
      <c r="N934" s="109">
        <f t="shared" ref="N934" si="1323">SUBTOTAL(9,N925:N933)</f>
        <v>1812508.2</v>
      </c>
      <c r="O934" s="109">
        <f t="shared" si="1320"/>
        <v>2576740</v>
      </c>
      <c r="P934" s="109">
        <f t="shared" si="1320"/>
        <v>139239</v>
      </c>
      <c r="Q934" s="109">
        <f t="shared" si="1320"/>
        <v>2656795</v>
      </c>
      <c r="R934" s="109">
        <f t="shared" si="1320"/>
        <v>0</v>
      </c>
      <c r="S934" s="109">
        <f t="shared" si="1320"/>
        <v>0</v>
      </c>
      <c r="T934" s="109">
        <f t="shared" si="1320"/>
        <v>2656795</v>
      </c>
      <c r="U934" s="99">
        <f>T934-M934</f>
        <v>219294</v>
      </c>
      <c r="V934" s="255">
        <f>IF(M934=0,"N/A",T934/M934-1)</f>
        <v>8.996673232134067E-2</v>
      </c>
      <c r="W934" s="102"/>
      <c r="X934" s="102"/>
      <c r="Y934" s="102"/>
      <c r="AA934" s="615"/>
      <c r="AB934" s="305"/>
      <c r="AC934" s="300"/>
      <c r="AD934" s="300"/>
      <c r="AE934" s="300"/>
      <c r="AF934" s="300"/>
      <c r="AG934" s="300"/>
      <c r="AJ934" s="300"/>
      <c r="AK934" s="300"/>
      <c r="AL934" s="300"/>
      <c r="AM934" s="300"/>
      <c r="AN934" s="300"/>
    </row>
    <row r="935" spans="1:59" ht="15" customHeight="1">
      <c r="A935" s="555"/>
      <c r="B935" s="217"/>
      <c r="C935" s="217"/>
      <c r="D935" s="101"/>
      <c r="E935" s="217"/>
      <c r="F935" s="294"/>
      <c r="G935" s="295"/>
      <c r="H935" s="98"/>
      <c r="I935" s="106"/>
      <c r="J935" s="106"/>
      <c r="K935" s="106"/>
      <c r="L935" s="106"/>
      <c r="M935" s="106"/>
      <c r="N935" s="112"/>
      <c r="O935" s="112"/>
      <c r="P935" s="112"/>
      <c r="Q935" s="113"/>
      <c r="R935" s="113"/>
      <c r="S935" s="113"/>
      <c r="T935" s="113"/>
      <c r="U935" s="99"/>
      <c r="V935" s="255"/>
      <c r="W935" s="102"/>
      <c r="X935" s="102"/>
      <c r="Y935" s="102"/>
      <c r="AA935" s="615"/>
      <c r="AC935" s="92"/>
      <c r="AD935" s="92"/>
      <c r="AE935" s="92"/>
      <c r="AF935" s="92"/>
      <c r="AG935" s="92"/>
      <c r="AJ935" s="92"/>
      <c r="AK935" s="92"/>
      <c r="AL935" s="92"/>
      <c r="AM935" s="92"/>
      <c r="AN935" s="92"/>
    </row>
    <row r="936" spans="1:59" ht="15" customHeight="1">
      <c r="A936" s="555" t="s">
        <v>2636</v>
      </c>
      <c r="B936" s="217" t="str">
        <f t="shared" si="1311"/>
        <v>100</v>
      </c>
      <c r="C936" s="217" t="str">
        <f t="shared" si="1312"/>
        <v>30</v>
      </c>
      <c r="D936" s="101" t="str">
        <f t="shared" si="1313"/>
        <v>303</v>
      </c>
      <c r="E936" s="217" t="str">
        <f t="shared" si="1314"/>
        <v>100-30-303</v>
      </c>
      <c r="F936" s="294" t="str">
        <f t="shared" si="1315"/>
        <v>51210</v>
      </c>
      <c r="G936" s="295" t="str">
        <f>VLOOKUP(F936,'GL Category'!A:C,3,FALSE)</f>
        <v>Operations &amp; maintenance</v>
      </c>
      <c r="H936" s="98" t="str">
        <f>VLOOKUP(F936,'GL Category'!A:C,2,FALSE)</f>
        <v>OFFICE SUPPLIES</v>
      </c>
      <c r="I936" s="99">
        <f>SUMIF(Import!$B:$B,$A936,Import!D:D)</f>
        <v>1391.38</v>
      </c>
      <c r="J936" s="99">
        <f>SUMIF(Import!$B:$B,$A936,Import!E:E)</f>
        <v>2081.0500000000002</v>
      </c>
      <c r="K936" s="99">
        <f>SUMIF(Import!$B:$B,$A936,Import!F:F)</f>
        <v>2698.47</v>
      </c>
      <c r="L936" s="99">
        <f>SUMIF(Import!$B:$B,$A936,Import!G:G)</f>
        <v>3305.64</v>
      </c>
      <c r="M936" s="99">
        <f>SUMIF(Import!$B:$B,$A936,Import!H:H)</f>
        <v>2000</v>
      </c>
      <c r="N936" s="99">
        <f>SUMIF(Import!$B:$B,$A936,Import!I:I)</f>
        <v>737.08</v>
      </c>
      <c r="O936" s="99">
        <f>SUMIF(Import!$B:$B,$A936,Import!J:J)</f>
        <v>2000</v>
      </c>
      <c r="P936" s="99">
        <f t="shared" ref="P936:P944" si="1324">O936-M936</f>
        <v>0</v>
      </c>
      <c r="Q936" s="99">
        <f>SUMIF(Import!$B:$B,$A936,Import!K:K)</f>
        <v>2000</v>
      </c>
      <c r="R936" s="99">
        <f>SUMIF(Import!$B:$B,$A936,Import!L:L)</f>
        <v>0</v>
      </c>
      <c r="S936" s="99">
        <f>SUMIF(Import!$B:$B,$A936,Import!M:M)</f>
        <v>0</v>
      </c>
      <c r="T936" s="99">
        <f>SUMIF(Import!$B:$B,$A936,Import!N:N)</f>
        <v>2000</v>
      </c>
      <c r="U936" s="99">
        <f t="shared" ref="U936:U944" si="1325">T936-M936</f>
        <v>0</v>
      </c>
      <c r="V936" s="255">
        <f t="shared" ref="V936:V944" si="1326">IF(M936=0,"N/A",T936/M936-1)</f>
        <v>0</v>
      </c>
      <c r="W936" s="102" t="s">
        <v>2636</v>
      </c>
      <c r="X936" s="102"/>
      <c r="Y936" s="102"/>
      <c r="AA936" s="615"/>
      <c r="AC936" s="94"/>
      <c r="AD936" s="94"/>
      <c r="AE936" s="94"/>
      <c r="AF936" s="94"/>
      <c r="AG936" s="94"/>
      <c r="AJ936" s="94"/>
      <c r="AK936" s="94"/>
      <c r="AL936" s="94"/>
      <c r="AM936" s="94"/>
      <c r="AN936" s="94"/>
    </row>
    <row r="937" spans="1:59" ht="15" customHeight="1">
      <c r="A937" s="555" t="s">
        <v>3231</v>
      </c>
      <c r="B937" s="217" t="str">
        <f t="shared" ref="B937" si="1327">LEFT(A937,3)</f>
        <v>100</v>
      </c>
      <c r="C937" s="217" t="str">
        <f t="shared" ref="C937" si="1328">MID(A937,5,2)</f>
        <v>30</v>
      </c>
      <c r="D937" s="101" t="str">
        <f t="shared" ref="D937" si="1329">MID(A937,8,3)</f>
        <v>303</v>
      </c>
      <c r="E937" s="217" t="str">
        <f t="shared" ref="E937" si="1330">LEFT(A937,10)</f>
        <v>100-30-303</v>
      </c>
      <c r="F937" s="294" t="str">
        <f t="shared" ref="F937" si="1331">RIGHT(A937,5)</f>
        <v>51225</v>
      </c>
      <c r="G937" s="295" t="str">
        <f>VLOOKUP(F937,'GL Category'!A:C,3,FALSE)</f>
        <v>Operations &amp; maintenance</v>
      </c>
      <c r="H937" s="98" t="str">
        <f>VLOOKUP(F937,'GL Category'!A:C,2,FALSE)</f>
        <v>JANITORIAL SUPPLIES</v>
      </c>
      <c r="I937" s="99">
        <f>SUMIF(Import!$B:$B,$A937,Import!D:D)</f>
        <v>0</v>
      </c>
      <c r="J937" s="99">
        <f>SUMIF(Import!$B:$B,$A937,Import!E:E)</f>
        <v>0</v>
      </c>
      <c r="K937" s="99">
        <f>SUMIF(Import!$B:$B,$A937,Import!F:F)</f>
        <v>0</v>
      </c>
      <c r="L937" s="99">
        <f>SUMIF(Import!$B:$B,$A937,Import!G:G)</f>
        <v>0</v>
      </c>
      <c r="M937" s="99">
        <f>SUMIF(Import!$B:$B,$A937,Import!H:H)</f>
        <v>0</v>
      </c>
      <c r="N937" s="99">
        <f>SUMIF(Import!$B:$B,$A937,Import!I:I)</f>
        <v>0</v>
      </c>
      <c r="O937" s="99">
        <f>SUMIF(Import!$B:$B,$A937,Import!J:J)</f>
        <v>0</v>
      </c>
      <c r="P937" s="99">
        <f t="shared" ref="P937" si="1332">O937-M937</f>
        <v>0</v>
      </c>
      <c r="Q937" s="99">
        <f>SUMIF(Import!$B:$B,$A937,Import!K:K)</f>
        <v>0</v>
      </c>
      <c r="R937" s="99">
        <f>SUMIF(Import!$B:$B,$A937,Import!L:L)</f>
        <v>0</v>
      </c>
      <c r="S937" s="99">
        <f>SUMIF(Import!$B:$B,$A937,Import!M:M)</f>
        <v>0</v>
      </c>
      <c r="T937" s="99">
        <f>SUMIF(Import!$B:$B,$A937,Import!N:N)</f>
        <v>0</v>
      </c>
      <c r="U937" s="99">
        <f t="shared" ref="U937" si="1333">T937-M937</f>
        <v>0</v>
      </c>
      <c r="V937" s="255" t="str">
        <f t="shared" ref="V937" si="1334">IF(M937=0,"N/A",T937/M937-1)</f>
        <v>N/A</v>
      </c>
      <c r="W937" s="102" t="s">
        <v>2636</v>
      </c>
      <c r="X937" s="102"/>
      <c r="Y937" s="102"/>
      <c r="AA937" s="615"/>
      <c r="AC937" s="94"/>
      <c r="AD937" s="94"/>
      <c r="AE937" s="94"/>
      <c r="AF937" s="94"/>
      <c r="AG937" s="94"/>
      <c r="AJ937" s="94"/>
      <c r="AK937" s="94"/>
      <c r="AL937" s="94"/>
      <c r="AM937" s="94"/>
      <c r="AN937" s="94"/>
    </row>
    <row r="938" spans="1:59" ht="15" customHeight="1">
      <c r="A938" s="555" t="s">
        <v>2637</v>
      </c>
      <c r="B938" s="217" t="str">
        <f t="shared" si="1311"/>
        <v>100</v>
      </c>
      <c r="C938" s="217" t="str">
        <f t="shared" si="1312"/>
        <v>30</v>
      </c>
      <c r="D938" s="101" t="str">
        <f t="shared" si="1313"/>
        <v>303</v>
      </c>
      <c r="E938" s="217" t="str">
        <f t="shared" si="1314"/>
        <v>100-30-303</v>
      </c>
      <c r="F938" s="294" t="str">
        <f t="shared" si="1315"/>
        <v>51245</v>
      </c>
      <c r="G938" s="295" t="str">
        <f>VLOOKUP(F938,'GL Category'!A:C,3,FALSE)</f>
        <v>Operations &amp; maintenance</v>
      </c>
      <c r="H938" s="98" t="str">
        <f>VLOOKUP(F938,'GL Category'!A:C,2,FALSE)</f>
        <v>SMALL TOOLS &amp; EQUIPMENT</v>
      </c>
      <c r="I938" s="99">
        <f>SUMIF(Import!$B:$B,$A938,Import!D:D)</f>
        <v>1416.38</v>
      </c>
      <c r="J938" s="99">
        <f>SUMIF(Import!$B:$B,$A938,Import!E:E)</f>
        <v>672.32</v>
      </c>
      <c r="K938" s="99">
        <f>SUMIF(Import!$B:$B,$A938,Import!F:F)</f>
        <v>1257.71</v>
      </c>
      <c r="L938" s="99">
        <f>SUMIF(Import!$B:$B,$A938,Import!G:G)</f>
        <v>1592.02</v>
      </c>
      <c r="M938" s="99">
        <f>SUMIF(Import!$B:$B,$A938,Import!H:H)</f>
        <v>1500</v>
      </c>
      <c r="N938" s="99">
        <f>SUMIF(Import!$B:$B,$A938,Import!I:I)</f>
        <v>2459.02</v>
      </c>
      <c r="O938" s="99">
        <f>SUMIF(Import!$B:$B,$A938,Import!J:J)</f>
        <v>3500</v>
      </c>
      <c r="P938" s="99">
        <f t="shared" si="1324"/>
        <v>2000</v>
      </c>
      <c r="Q938" s="99">
        <f>SUMIF(Import!$B:$B,$A938,Import!K:K)</f>
        <v>1500</v>
      </c>
      <c r="R938" s="99">
        <f>SUMIF(Import!$B:$B,$A938,Import!L:L)</f>
        <v>0</v>
      </c>
      <c r="S938" s="99">
        <f>SUMIF(Import!$B:$B,$A938,Import!M:M)</f>
        <v>0</v>
      </c>
      <c r="T938" s="99">
        <f>SUMIF(Import!$B:$B,$A938,Import!N:N)</f>
        <v>1500</v>
      </c>
      <c r="U938" s="99">
        <f t="shared" si="1325"/>
        <v>0</v>
      </c>
      <c r="V938" s="255">
        <f t="shared" si="1326"/>
        <v>0</v>
      </c>
      <c r="W938" s="102" t="s">
        <v>2637</v>
      </c>
      <c r="X938" s="102"/>
      <c r="Y938" s="102"/>
      <c r="AA938" s="615"/>
    </row>
    <row r="939" spans="1:59" ht="15" customHeight="1">
      <c r="A939" s="555" t="s">
        <v>2638</v>
      </c>
      <c r="B939" s="217" t="str">
        <f t="shared" si="1311"/>
        <v>100</v>
      </c>
      <c r="C939" s="217" t="str">
        <f t="shared" si="1312"/>
        <v>30</v>
      </c>
      <c r="D939" s="101" t="str">
        <f t="shared" si="1313"/>
        <v>303</v>
      </c>
      <c r="E939" s="217" t="str">
        <f t="shared" si="1314"/>
        <v>100-30-303</v>
      </c>
      <c r="F939" s="294" t="str">
        <f t="shared" si="1315"/>
        <v>51285</v>
      </c>
      <c r="G939" s="295" t="str">
        <f>VLOOKUP(F939,'GL Category'!A:C,3,FALSE)</f>
        <v>Operations &amp; maintenance</v>
      </c>
      <c r="H939" s="98" t="str">
        <f>VLOOKUP(F939,'GL Category'!A:C,2,FALSE)</f>
        <v>WEARING APPAREL</v>
      </c>
      <c r="I939" s="99">
        <f>SUMIF(Import!$B:$B,$A939,Import!D:D)</f>
        <v>1112.42</v>
      </c>
      <c r="J939" s="99">
        <f>SUMIF(Import!$B:$B,$A939,Import!E:E)</f>
        <v>409.48</v>
      </c>
      <c r="K939" s="99">
        <f>SUMIF(Import!$B:$B,$A939,Import!F:F)</f>
        <v>1474.46</v>
      </c>
      <c r="L939" s="99">
        <f>SUMIF(Import!$B:$B,$A939,Import!G:G)</f>
        <v>55</v>
      </c>
      <c r="M939" s="99">
        <f>SUMIF(Import!$B:$B,$A939,Import!H:H)</f>
        <v>1000</v>
      </c>
      <c r="N939" s="99">
        <f>SUMIF(Import!$B:$B,$A939,Import!I:I)</f>
        <v>574.36</v>
      </c>
      <c r="O939" s="99">
        <f>SUMIF(Import!$B:$B,$A939,Import!J:J)</f>
        <v>1000</v>
      </c>
      <c r="P939" s="99">
        <f t="shared" si="1324"/>
        <v>0</v>
      </c>
      <c r="Q939" s="99">
        <f>SUMIF(Import!$B:$B,$A939,Import!K:K)</f>
        <v>1000</v>
      </c>
      <c r="R939" s="99">
        <f>SUMIF(Import!$B:$B,$A939,Import!L:L)</f>
        <v>0</v>
      </c>
      <c r="S939" s="99">
        <f>SUMIF(Import!$B:$B,$A939,Import!M:M)</f>
        <v>0</v>
      </c>
      <c r="T939" s="99">
        <f>SUMIF(Import!$B:$B,$A939,Import!N:N)</f>
        <v>1000</v>
      </c>
      <c r="U939" s="99">
        <f t="shared" si="1325"/>
        <v>0</v>
      </c>
      <c r="V939" s="255">
        <f t="shared" si="1326"/>
        <v>0</v>
      </c>
      <c r="W939" s="102" t="s">
        <v>2638</v>
      </c>
      <c r="X939" s="102"/>
      <c r="Y939" s="102"/>
      <c r="AA939" s="615"/>
    </row>
    <row r="940" spans="1:59" s="75" customFormat="1" ht="15" customHeight="1">
      <c r="A940" s="555" t="s">
        <v>2639</v>
      </c>
      <c r="B940" s="217" t="str">
        <f t="shared" si="1311"/>
        <v>100</v>
      </c>
      <c r="C940" s="217" t="str">
        <f t="shared" si="1312"/>
        <v>30</v>
      </c>
      <c r="D940" s="101" t="str">
        <f t="shared" si="1313"/>
        <v>303</v>
      </c>
      <c r="E940" s="217" t="str">
        <f t="shared" si="1314"/>
        <v>100-30-303</v>
      </c>
      <c r="F940" s="294" t="str">
        <f t="shared" si="1315"/>
        <v>51299</v>
      </c>
      <c r="G940" s="295" t="str">
        <f>VLOOKUP(F940,'GL Category'!A:C,3,FALSE)</f>
        <v>Operations &amp; maintenance</v>
      </c>
      <c r="H940" s="98" t="str">
        <f>VLOOKUP(F940,'GL Category'!A:C,2,FALSE)</f>
        <v>MISCELLANEOUS SUPPLIES</v>
      </c>
      <c r="I940" s="99">
        <f>SUMIF(Import!$B:$B,$A940,Import!D:D)</f>
        <v>457.99</v>
      </c>
      <c r="J940" s="99">
        <f>SUMIF(Import!$B:$B,$A940,Import!E:E)</f>
        <v>0</v>
      </c>
      <c r="K940" s="99">
        <f>SUMIF(Import!$B:$B,$A940,Import!F:F)</f>
        <v>0</v>
      </c>
      <c r="L940" s="99">
        <f>SUMIF(Import!$B:$B,$A940,Import!G:G)</f>
        <v>0</v>
      </c>
      <c r="M940" s="99">
        <f>SUMIF(Import!$B:$B,$A940,Import!H:H)</f>
        <v>0</v>
      </c>
      <c r="N940" s="99">
        <f>SUMIF(Import!$B:$B,$A940,Import!I:I)</f>
        <v>0</v>
      </c>
      <c r="O940" s="99">
        <f>SUMIF(Import!$B:$B,$A940,Import!J:J)</f>
        <v>0</v>
      </c>
      <c r="P940" s="99">
        <f t="shared" si="1324"/>
        <v>0</v>
      </c>
      <c r="Q940" s="99">
        <f>SUMIF(Import!$B:$B,$A940,Import!K:K)</f>
        <v>0</v>
      </c>
      <c r="R940" s="99">
        <f>SUMIF(Import!$B:$B,$A940,Import!L:L)</f>
        <v>0</v>
      </c>
      <c r="S940" s="99">
        <f>SUMIF(Import!$B:$B,$A940,Import!M:M)</f>
        <v>0</v>
      </c>
      <c r="T940" s="99">
        <f>SUMIF(Import!$B:$B,$A940,Import!N:N)</f>
        <v>0</v>
      </c>
      <c r="U940" s="99">
        <f t="shared" si="1325"/>
        <v>0</v>
      </c>
      <c r="V940" s="255" t="str">
        <f t="shared" si="1326"/>
        <v>N/A</v>
      </c>
      <c r="W940" s="102" t="s">
        <v>2639</v>
      </c>
      <c r="X940" s="102"/>
      <c r="Y940" s="102"/>
      <c r="Z940" s="614"/>
      <c r="AA940" s="615"/>
      <c r="AB940" s="624"/>
      <c r="AC940" s="623"/>
      <c r="AD940" s="623"/>
      <c r="AE940" s="623"/>
      <c r="AF940" s="623"/>
      <c r="AG940" s="623"/>
      <c r="AH940" s="623"/>
      <c r="AI940" s="624"/>
      <c r="AJ940" s="307"/>
      <c r="AK940" s="307"/>
      <c r="AL940" s="307"/>
      <c r="AM940" s="307"/>
      <c r="AN940" s="307"/>
      <c r="AO940" s="307"/>
      <c r="AP940" s="307"/>
      <c r="AQ940" s="192"/>
      <c r="AR940" s="115"/>
      <c r="AS940" s="115"/>
      <c r="AT940" s="115"/>
      <c r="AU940" s="115"/>
      <c r="AV940" s="115"/>
      <c r="AW940" s="115"/>
      <c r="AX940" s="115"/>
      <c r="AY940" s="115"/>
      <c r="AZ940" s="115"/>
      <c r="BA940" s="115"/>
      <c r="BB940" s="115"/>
      <c r="BC940" s="115"/>
      <c r="BD940" s="115"/>
      <c r="BE940" s="74"/>
      <c r="BF940" s="74"/>
      <c r="BG940" s="74"/>
    </row>
    <row r="941" spans="1:59" s="115" customFormat="1" ht="15" customHeight="1">
      <c r="A941" s="555" t="s">
        <v>2640</v>
      </c>
      <c r="B941" s="217" t="str">
        <f t="shared" si="1311"/>
        <v>100</v>
      </c>
      <c r="C941" s="217" t="str">
        <f t="shared" si="1312"/>
        <v>30</v>
      </c>
      <c r="D941" s="101" t="str">
        <f t="shared" si="1313"/>
        <v>303</v>
      </c>
      <c r="E941" s="217" t="str">
        <f t="shared" si="1314"/>
        <v>100-30-303</v>
      </c>
      <c r="F941" s="294" t="str">
        <f t="shared" si="1315"/>
        <v>52440</v>
      </c>
      <c r="G941" s="295" t="str">
        <f>VLOOKUP(F941,'GL Category'!A:C,3,FALSE)</f>
        <v>Operations &amp; maintenance</v>
      </c>
      <c r="H941" s="98" t="str">
        <f>VLOOKUP(F941,'GL Category'!A:C,2,FALSE)</f>
        <v>RADIO MAINTENANCE</v>
      </c>
      <c r="I941" s="99">
        <f>SUMIF(Import!$B:$B,$A941,Import!D:D)</f>
        <v>6267.11</v>
      </c>
      <c r="J941" s="99">
        <f>SUMIF(Import!$B:$B,$A941,Import!E:E)</f>
        <v>4036.67</v>
      </c>
      <c r="K941" s="99">
        <f>SUMIF(Import!$B:$B,$A941,Import!F:F)</f>
        <v>6184.91</v>
      </c>
      <c r="L941" s="99">
        <f>SUMIF(Import!$B:$B,$A941,Import!G:G)</f>
        <v>2326.5700000000002</v>
      </c>
      <c r="M941" s="99">
        <f>SUMIF(Import!$B:$B,$A941,Import!H:H)</f>
        <v>6000</v>
      </c>
      <c r="N941" s="99">
        <f>SUMIF(Import!$B:$B,$A941,Import!I:I)</f>
        <v>2480.7800000000002</v>
      </c>
      <c r="O941" s="99">
        <f>SUMIF(Import!$B:$B,$A941,Import!J:J)</f>
        <v>4000</v>
      </c>
      <c r="P941" s="99">
        <f t="shared" si="1324"/>
        <v>-2000</v>
      </c>
      <c r="Q941" s="99">
        <f>SUMIF(Import!$B:$B,$A941,Import!K:K)</f>
        <v>6000</v>
      </c>
      <c r="R941" s="99">
        <f>SUMIF(Import!$B:$B,$A941,Import!L:L)</f>
        <v>0</v>
      </c>
      <c r="S941" s="99">
        <f>SUMIF(Import!$B:$B,$A941,Import!M:M)</f>
        <v>0</v>
      </c>
      <c r="T941" s="99">
        <f>SUMIF(Import!$B:$B,$A941,Import!N:N)</f>
        <v>6000</v>
      </c>
      <c r="U941" s="99">
        <f t="shared" si="1325"/>
        <v>0</v>
      </c>
      <c r="V941" s="255">
        <f t="shared" si="1326"/>
        <v>0</v>
      </c>
      <c r="W941" s="102" t="s">
        <v>2640</v>
      </c>
      <c r="X941" s="102"/>
      <c r="Y941" s="102"/>
      <c r="Z941" s="192"/>
      <c r="AA941" s="615"/>
      <c r="AB941" s="307"/>
      <c r="AC941" s="300"/>
      <c r="AD941" s="300"/>
      <c r="AE941" s="300"/>
      <c r="AF941" s="300"/>
      <c r="AG941" s="300"/>
      <c r="AH941" s="307"/>
      <c r="AI941" s="307"/>
      <c r="AJ941" s="300"/>
      <c r="AK941" s="300"/>
      <c r="AL941" s="300"/>
      <c r="AM941" s="300"/>
      <c r="AN941" s="300"/>
      <c r="AO941" s="300"/>
      <c r="AP941" s="300"/>
      <c r="AQ941" s="192"/>
    </row>
    <row r="942" spans="1:59" s="115" customFormat="1" ht="15" customHeight="1">
      <c r="A942" s="555" t="s">
        <v>2641</v>
      </c>
      <c r="B942" s="217" t="str">
        <f t="shared" si="1311"/>
        <v>100</v>
      </c>
      <c r="C942" s="217" t="str">
        <f t="shared" si="1312"/>
        <v>30</v>
      </c>
      <c r="D942" s="101" t="str">
        <f t="shared" si="1313"/>
        <v>303</v>
      </c>
      <c r="E942" s="217" t="str">
        <f t="shared" si="1314"/>
        <v>100-30-303</v>
      </c>
      <c r="F942" s="294" t="str">
        <f t="shared" si="1315"/>
        <v>52470</v>
      </c>
      <c r="G942" s="295" t="str">
        <f>VLOOKUP(F942,'GL Category'!A:C,3,FALSE)</f>
        <v>Operations &amp; maintenance</v>
      </c>
      <c r="H942" s="98" t="str">
        <f>VLOOKUP(F942,'GL Category'!A:C,2,FALSE)</f>
        <v>EQUIPMENT MAINTENANCE</v>
      </c>
      <c r="I942" s="99">
        <f>SUMIF(Import!$B:$B,$A942,Import!D:D)</f>
        <v>4558.59</v>
      </c>
      <c r="J942" s="99">
        <f>SUMIF(Import!$B:$B,$A942,Import!E:E)</f>
        <v>71.239999999999995</v>
      </c>
      <c r="K942" s="99">
        <f>SUMIF(Import!$B:$B,$A942,Import!F:F)</f>
        <v>-1147.8399999999999</v>
      </c>
      <c r="L942" s="99">
        <f>SUMIF(Import!$B:$B,$A942,Import!G:G)</f>
        <v>6234.65</v>
      </c>
      <c r="M942" s="99">
        <f>SUMIF(Import!$B:$B,$A942,Import!H:H)</f>
        <v>4750</v>
      </c>
      <c r="N942" s="99">
        <f>SUMIF(Import!$B:$B,$A942,Import!I:I)</f>
        <v>9368.16</v>
      </c>
      <c r="O942" s="99">
        <f>SUMIF(Import!$B:$B,$A942,Import!J:J)</f>
        <v>11000</v>
      </c>
      <c r="P942" s="99">
        <f t="shared" si="1324"/>
        <v>6250</v>
      </c>
      <c r="Q942" s="99">
        <f>SUMIF(Import!$B:$B,$A942,Import!K:K)</f>
        <v>4750</v>
      </c>
      <c r="R942" s="99">
        <f>SUMIF(Import!$B:$B,$A942,Import!L:L)</f>
        <v>0</v>
      </c>
      <c r="S942" s="99">
        <f>SUMIF(Import!$B:$B,$A942,Import!M:M)</f>
        <v>0</v>
      </c>
      <c r="T942" s="99">
        <f>SUMIF(Import!$B:$B,$A942,Import!N:N)</f>
        <v>4750</v>
      </c>
      <c r="U942" s="99">
        <f t="shared" si="1325"/>
        <v>0</v>
      </c>
      <c r="V942" s="255">
        <f t="shared" si="1326"/>
        <v>0</v>
      </c>
      <c r="W942" s="102" t="s">
        <v>2641</v>
      </c>
      <c r="X942" s="102"/>
      <c r="Y942" s="102"/>
      <c r="Z942" s="192"/>
      <c r="AA942" s="615"/>
      <c r="AB942" s="307"/>
      <c r="AC942" s="300"/>
      <c r="AD942" s="300"/>
      <c r="AE942" s="300"/>
      <c r="AF942" s="300"/>
      <c r="AG942" s="300"/>
      <c r="AH942" s="307"/>
      <c r="AI942" s="307"/>
      <c r="AJ942" s="300"/>
      <c r="AK942" s="300"/>
      <c r="AL942" s="300"/>
      <c r="AM942" s="300"/>
      <c r="AN942" s="300"/>
      <c r="AO942" s="300"/>
      <c r="AP942" s="300"/>
      <c r="AQ942" s="192"/>
    </row>
    <row r="943" spans="1:59" s="115" customFormat="1" ht="15" customHeight="1">
      <c r="A943" s="555" t="s">
        <v>2642</v>
      </c>
      <c r="B943" s="217" t="str">
        <f t="shared" si="1311"/>
        <v>100</v>
      </c>
      <c r="C943" s="217" t="str">
        <f t="shared" si="1312"/>
        <v>30</v>
      </c>
      <c r="D943" s="101" t="str">
        <f t="shared" si="1313"/>
        <v>303</v>
      </c>
      <c r="E943" s="217" t="str">
        <f t="shared" si="1314"/>
        <v>100-30-303</v>
      </c>
      <c r="F943" s="294" t="str">
        <f t="shared" si="1315"/>
        <v>52480</v>
      </c>
      <c r="G943" s="295" t="str">
        <f>VLOOKUP(F943,'GL Category'!A:C,3,FALSE)</f>
        <v>Operations &amp; maintenance</v>
      </c>
      <c r="H943" s="98" t="str">
        <f>VLOOKUP(F943,'GL Category'!A:C,2,FALSE)</f>
        <v>OFFICE EQUIPMENT MAINTENANCE</v>
      </c>
      <c r="I943" s="99">
        <f>SUMIF(Import!$B:$B,$A943,Import!D:D)</f>
        <v>568.79</v>
      </c>
      <c r="J943" s="99">
        <f>SUMIF(Import!$B:$B,$A943,Import!E:E)</f>
        <v>0</v>
      </c>
      <c r="K943" s="99">
        <f>SUMIF(Import!$B:$B,$A943,Import!F:F)</f>
        <v>0</v>
      </c>
      <c r="L943" s="99">
        <f>SUMIF(Import!$B:$B,$A943,Import!G:G)</f>
        <v>0</v>
      </c>
      <c r="M943" s="99">
        <f>SUMIF(Import!$B:$B,$A943,Import!H:H)</f>
        <v>0</v>
      </c>
      <c r="N943" s="99">
        <f>SUMIF(Import!$B:$B,$A943,Import!I:I)</f>
        <v>0</v>
      </c>
      <c r="O943" s="99">
        <f>SUMIF(Import!$B:$B,$A943,Import!J:J)</f>
        <v>0</v>
      </c>
      <c r="P943" s="99">
        <f t="shared" si="1324"/>
        <v>0</v>
      </c>
      <c r="Q943" s="99">
        <f>SUMIF(Import!$B:$B,$A943,Import!K:K)</f>
        <v>0</v>
      </c>
      <c r="R943" s="99">
        <f>SUMIF(Import!$B:$B,$A943,Import!L:L)</f>
        <v>0</v>
      </c>
      <c r="S943" s="99">
        <f>SUMIF(Import!$B:$B,$A943,Import!M:M)</f>
        <v>0</v>
      </c>
      <c r="T943" s="99">
        <f>SUMIF(Import!$B:$B,$A943,Import!N:N)</f>
        <v>0</v>
      </c>
      <c r="U943" s="99">
        <f t="shared" si="1325"/>
        <v>0</v>
      </c>
      <c r="V943" s="255" t="str">
        <f t="shared" si="1326"/>
        <v>N/A</v>
      </c>
      <c r="W943" s="102" t="s">
        <v>2642</v>
      </c>
      <c r="X943" s="102"/>
      <c r="Y943" s="102"/>
      <c r="Z943" s="192"/>
      <c r="AA943" s="615"/>
      <c r="AB943" s="307"/>
      <c r="AC943" s="300"/>
      <c r="AD943" s="300"/>
      <c r="AE943" s="300"/>
      <c r="AF943" s="300"/>
      <c r="AG943" s="300"/>
      <c r="AH943" s="307"/>
      <c r="AI943" s="307"/>
      <c r="AJ943" s="300"/>
      <c r="AK943" s="300"/>
      <c r="AL943" s="300"/>
      <c r="AM943" s="300"/>
      <c r="AN943" s="300"/>
      <c r="AO943" s="300"/>
      <c r="AP943" s="300"/>
      <c r="AQ943" s="192"/>
    </row>
    <row r="944" spans="1:59" s="115" customFormat="1" ht="15" customHeight="1">
      <c r="A944" s="555" t="s">
        <v>2643</v>
      </c>
      <c r="B944" s="217" t="str">
        <f t="shared" si="1311"/>
        <v>100</v>
      </c>
      <c r="C944" s="217" t="str">
        <f t="shared" si="1312"/>
        <v>30</v>
      </c>
      <c r="D944" s="101" t="str">
        <f t="shared" si="1313"/>
        <v>303</v>
      </c>
      <c r="E944" s="217" t="str">
        <f t="shared" si="1314"/>
        <v>100-30-303</v>
      </c>
      <c r="F944" s="294" t="str">
        <f t="shared" si="1315"/>
        <v>52490</v>
      </c>
      <c r="G944" s="295" t="str">
        <f>VLOOKUP(F944,'GL Category'!A:C,3,FALSE)</f>
        <v>Operations &amp; maintenance</v>
      </c>
      <c r="H944" s="98" t="str">
        <f>VLOOKUP(F944,'GL Category'!A:C,2,FALSE)</f>
        <v>A/C &amp; HEATING MAINTENANCE</v>
      </c>
      <c r="I944" s="99">
        <f>SUMIF(Import!$B:$B,$A944,Import!D:D)</f>
        <v>542.32000000000005</v>
      </c>
      <c r="J944" s="99">
        <f>SUMIF(Import!$B:$B,$A944,Import!E:E)</f>
        <v>559.20000000000005</v>
      </c>
      <c r="K944" s="99">
        <f>SUMIF(Import!$B:$B,$A944,Import!F:F)</f>
        <v>1118</v>
      </c>
      <c r="L944" s="99">
        <f>SUMIF(Import!$B:$B,$A944,Import!G:G)</f>
        <v>610.6</v>
      </c>
      <c r="M944" s="99">
        <f>SUMIF(Import!$B:$B,$A944,Import!H:H)</f>
        <v>3000</v>
      </c>
      <c r="N944" s="99">
        <f>SUMIF(Import!$B:$B,$A944,Import!I:I)</f>
        <v>638</v>
      </c>
      <c r="O944" s="99">
        <f>SUMIF(Import!$B:$B,$A944,Import!J:J)</f>
        <v>2000</v>
      </c>
      <c r="P944" s="99">
        <f t="shared" si="1324"/>
        <v>-1000</v>
      </c>
      <c r="Q944" s="99">
        <f>SUMIF(Import!$B:$B,$A944,Import!K:K)</f>
        <v>3000</v>
      </c>
      <c r="R944" s="99">
        <f>SUMIF(Import!$B:$B,$A944,Import!L:L)</f>
        <v>0</v>
      </c>
      <c r="S944" s="99">
        <f>SUMIF(Import!$B:$B,$A944,Import!M:M)</f>
        <v>0</v>
      </c>
      <c r="T944" s="99">
        <f>SUMIF(Import!$B:$B,$A944,Import!N:N)</f>
        <v>3000</v>
      </c>
      <c r="U944" s="99">
        <f t="shared" si="1325"/>
        <v>0</v>
      </c>
      <c r="V944" s="255">
        <f t="shared" si="1326"/>
        <v>0</v>
      </c>
      <c r="W944" s="102" t="s">
        <v>2643</v>
      </c>
      <c r="X944" s="102"/>
      <c r="Y944" s="102"/>
      <c r="Z944" s="192"/>
      <c r="AA944" s="615"/>
      <c r="AB944" s="307"/>
      <c r="AC944" s="300"/>
      <c r="AD944" s="300"/>
      <c r="AE944" s="300"/>
      <c r="AF944" s="300"/>
      <c r="AG944" s="300"/>
      <c r="AH944" s="307"/>
      <c r="AI944" s="307"/>
      <c r="AJ944" s="300"/>
      <c r="AK944" s="300"/>
      <c r="AL944" s="300"/>
      <c r="AM944" s="300"/>
      <c r="AN944" s="300"/>
      <c r="AO944" s="300"/>
      <c r="AP944" s="300"/>
      <c r="AQ944" s="192"/>
    </row>
    <row r="945" spans="1:43" s="115" customFormat="1" ht="29.4" customHeight="1">
      <c r="A945" s="555"/>
      <c r="B945" s="217"/>
      <c r="C945" s="217"/>
      <c r="D945" s="101"/>
      <c r="E945" s="217"/>
      <c r="F945" s="294"/>
      <c r="G945" s="295"/>
      <c r="H945" s="107" t="str">
        <f>UPPER(G944)&amp;" TOTAL"</f>
        <v>OPERATIONS &amp; MAINTENANCE TOTAL</v>
      </c>
      <c r="I945" s="109">
        <f t="shared" ref="I945" si="1335">SUBTOTAL(9,I936:I944)</f>
        <v>16314.98</v>
      </c>
      <c r="J945" s="109">
        <f t="shared" ref="J945:T945" si="1336">SUBTOTAL(9,J936:J944)</f>
        <v>7829.96</v>
      </c>
      <c r="K945" s="109">
        <f t="shared" ref="K945" si="1337">SUBTOTAL(9,K936:K944)</f>
        <v>11585.71</v>
      </c>
      <c r="L945" s="109">
        <f t="shared" ref="L945" si="1338">SUBTOTAL(9,L936:L944)</f>
        <v>14124.48</v>
      </c>
      <c r="M945" s="109">
        <f t="shared" si="1336"/>
        <v>18250</v>
      </c>
      <c r="N945" s="109">
        <f t="shared" ref="N945" si="1339">SUBTOTAL(9,N936:N944)</f>
        <v>16257.4</v>
      </c>
      <c r="O945" s="109">
        <f t="shared" si="1336"/>
        <v>23500</v>
      </c>
      <c r="P945" s="109">
        <f t="shared" si="1336"/>
        <v>5250</v>
      </c>
      <c r="Q945" s="109">
        <f t="shared" si="1336"/>
        <v>18250</v>
      </c>
      <c r="R945" s="109">
        <f t="shared" si="1336"/>
        <v>0</v>
      </c>
      <c r="S945" s="109">
        <f t="shared" si="1336"/>
        <v>0</v>
      </c>
      <c r="T945" s="109">
        <f t="shared" si="1336"/>
        <v>18250</v>
      </c>
      <c r="U945" s="99">
        <f>T945-M945</f>
        <v>0</v>
      </c>
      <c r="V945" s="255">
        <f>IF(M945=0,"N/A",T945/M945-1)</f>
        <v>0</v>
      </c>
      <c r="W945" s="102"/>
      <c r="X945" s="102"/>
      <c r="Y945" s="102"/>
      <c r="Z945" s="192"/>
      <c r="AA945" s="615"/>
      <c r="AB945" s="307"/>
      <c r="AC945" s="300"/>
      <c r="AD945" s="300"/>
      <c r="AE945" s="300"/>
      <c r="AF945" s="300"/>
      <c r="AG945" s="300"/>
      <c r="AH945" s="307"/>
      <c r="AI945" s="307"/>
      <c r="AJ945" s="300"/>
      <c r="AK945" s="300"/>
      <c r="AL945" s="300"/>
      <c r="AM945" s="300"/>
      <c r="AN945" s="300"/>
      <c r="AO945" s="300"/>
      <c r="AP945" s="300"/>
      <c r="AQ945" s="192"/>
    </row>
    <row r="946" spans="1:43" s="115" customFormat="1" ht="15" customHeight="1">
      <c r="A946" s="555"/>
      <c r="B946" s="217"/>
      <c r="C946" s="217"/>
      <c r="D946" s="101"/>
      <c r="E946" s="217"/>
      <c r="F946" s="294"/>
      <c r="G946" s="295"/>
      <c r="H946" s="98"/>
      <c r="I946" s="106"/>
      <c r="J946" s="106"/>
      <c r="K946" s="106"/>
      <c r="L946" s="106"/>
      <c r="M946" s="106"/>
      <c r="N946" s="112"/>
      <c r="O946" s="112"/>
      <c r="P946" s="112"/>
      <c r="Q946" s="113"/>
      <c r="R946" s="113"/>
      <c r="S946" s="113"/>
      <c r="T946" s="113"/>
      <c r="U946" s="99"/>
      <c r="V946" s="255"/>
      <c r="W946" s="102"/>
      <c r="X946" s="102"/>
      <c r="Y946" s="102"/>
      <c r="Z946" s="192"/>
      <c r="AA946" s="615"/>
      <c r="AB946" s="307"/>
      <c r="AC946" s="300"/>
      <c r="AD946" s="300"/>
      <c r="AE946" s="300"/>
      <c r="AF946" s="300"/>
      <c r="AG946" s="300"/>
      <c r="AH946" s="307"/>
      <c r="AI946" s="307"/>
      <c r="AJ946" s="300"/>
      <c r="AK946" s="300"/>
      <c r="AL946" s="300"/>
      <c r="AM946" s="300"/>
      <c r="AN946" s="300"/>
      <c r="AO946" s="300"/>
      <c r="AP946" s="300"/>
      <c r="AQ946" s="192"/>
    </row>
    <row r="947" spans="1:43" s="115" customFormat="1" ht="15" customHeight="1">
      <c r="A947" s="555" t="s">
        <v>2644</v>
      </c>
      <c r="B947" s="217" t="str">
        <f t="shared" si="1311"/>
        <v>100</v>
      </c>
      <c r="C947" s="217" t="str">
        <f t="shared" si="1312"/>
        <v>30</v>
      </c>
      <c r="D947" s="101" t="str">
        <f t="shared" si="1313"/>
        <v>303</v>
      </c>
      <c r="E947" s="217" t="str">
        <f t="shared" si="1314"/>
        <v>100-30-303</v>
      </c>
      <c r="F947" s="294" t="str">
        <f t="shared" si="1315"/>
        <v>53599</v>
      </c>
      <c r="G947" s="295" t="str">
        <f>VLOOKUP(F947,'GL Category'!A:C,3,FALSE)</f>
        <v>Services &amp; other</v>
      </c>
      <c r="H947" s="98" t="str">
        <f>VLOOKUP(F947,'GL Category'!A:C,2,FALSE)</f>
        <v>MISCELLANEOUS SERVICES</v>
      </c>
      <c r="I947" s="99">
        <f>SUMIF(Import!$B:$B,$A947,Import!D:D)</f>
        <v>0</v>
      </c>
      <c r="J947" s="99">
        <f>SUMIF(Import!$B:$B,$A947,Import!E:E)</f>
        <v>0</v>
      </c>
      <c r="K947" s="99">
        <f>SUMIF(Import!$B:$B,$A947,Import!F:F)</f>
        <v>0</v>
      </c>
      <c r="L947" s="99">
        <f>SUMIF(Import!$B:$B,$A947,Import!G:G)</f>
        <v>0</v>
      </c>
      <c r="M947" s="99">
        <f>SUMIF(Import!$B:$B,$A947,Import!H:H)</f>
        <v>0</v>
      </c>
      <c r="N947" s="99">
        <f>SUMIF(Import!$B:$B,$A947,Import!I:I)</f>
        <v>0</v>
      </c>
      <c r="O947" s="99">
        <f>SUMIF(Import!$B:$B,$A947,Import!J:J)</f>
        <v>0</v>
      </c>
      <c r="P947" s="99">
        <f t="shared" ref="P947:P958" si="1340">O947-M947</f>
        <v>0</v>
      </c>
      <c r="Q947" s="99">
        <f>SUMIF(Import!$B:$B,$A947,Import!K:K)</f>
        <v>0</v>
      </c>
      <c r="R947" s="99">
        <f>SUMIF(Import!$B:$B,$A947,Import!L:L)</f>
        <v>0</v>
      </c>
      <c r="S947" s="99">
        <f>SUMIF(Import!$B:$B,$A947,Import!M:M)</f>
        <v>0</v>
      </c>
      <c r="T947" s="99">
        <f>SUMIF(Import!$B:$B,$A947,Import!N:N)</f>
        <v>0</v>
      </c>
      <c r="U947" s="99">
        <f t="shared" ref="U947:U958" si="1341">T947-M947</f>
        <v>0</v>
      </c>
      <c r="V947" s="255" t="str">
        <f t="shared" ref="V947:V958" si="1342">IF(M947=0,"N/A",T947/M947-1)</f>
        <v>N/A</v>
      </c>
      <c r="W947" s="102" t="s">
        <v>2644</v>
      </c>
      <c r="X947" s="102"/>
      <c r="Y947" s="102"/>
      <c r="Z947" s="192"/>
      <c r="AA947" s="615"/>
      <c r="AB947" s="307"/>
      <c r="AC947" s="300"/>
      <c r="AD947" s="300"/>
      <c r="AE947" s="300"/>
      <c r="AF947" s="300"/>
      <c r="AG947" s="300"/>
      <c r="AH947" s="307"/>
      <c r="AI947" s="307"/>
      <c r="AJ947" s="300"/>
      <c r="AK947" s="300"/>
      <c r="AL947" s="300"/>
      <c r="AM947" s="300"/>
      <c r="AN947" s="300"/>
      <c r="AO947" s="300"/>
      <c r="AP947" s="300"/>
      <c r="AQ947" s="192"/>
    </row>
    <row r="948" spans="1:43" s="115" customFormat="1" ht="15" customHeight="1">
      <c r="A948" s="555" t="s">
        <v>2645</v>
      </c>
      <c r="B948" s="217" t="str">
        <f t="shared" si="1311"/>
        <v>100</v>
      </c>
      <c r="C948" s="217" t="str">
        <f t="shared" si="1312"/>
        <v>30</v>
      </c>
      <c r="D948" s="101" t="str">
        <f t="shared" si="1313"/>
        <v>303</v>
      </c>
      <c r="E948" s="217" t="str">
        <f t="shared" si="1314"/>
        <v>100-30-303</v>
      </c>
      <c r="F948" s="294" t="str">
        <f t="shared" si="1315"/>
        <v>53510</v>
      </c>
      <c r="G948" s="295" t="str">
        <f>VLOOKUP(F948,'GL Category'!A:C,3,FALSE)</f>
        <v>Services &amp; other</v>
      </c>
      <c r="H948" s="98" t="str">
        <f>VLOOKUP(F948,'GL Category'!A:C,2,FALSE)</f>
        <v>DUES &amp; SUBSCRIPTIONS</v>
      </c>
      <c r="I948" s="99">
        <f>SUMIF(Import!$B:$B,$A948,Import!D:D)</f>
        <v>461.76</v>
      </c>
      <c r="J948" s="99">
        <f>SUMIF(Import!$B:$B,$A948,Import!E:E)</f>
        <v>635.28</v>
      </c>
      <c r="K948" s="99">
        <f>SUMIF(Import!$B:$B,$A948,Import!F:F)</f>
        <v>901.76</v>
      </c>
      <c r="L948" s="99">
        <f>SUMIF(Import!$B:$B,$A948,Import!G:G)</f>
        <v>1565</v>
      </c>
      <c r="M948" s="99">
        <f>SUMIF(Import!$B:$B,$A948,Import!H:H)</f>
        <v>1500</v>
      </c>
      <c r="N948" s="99">
        <f>SUMIF(Import!$B:$B,$A948,Import!I:I)</f>
        <v>1293</v>
      </c>
      <c r="O948" s="99">
        <f>SUMIF(Import!$B:$B,$A948,Import!J:J)</f>
        <v>1500</v>
      </c>
      <c r="P948" s="99">
        <f t="shared" si="1340"/>
        <v>0</v>
      </c>
      <c r="Q948" s="99">
        <f>SUMIF(Import!$B:$B,$A948,Import!K:K)</f>
        <v>1500</v>
      </c>
      <c r="R948" s="99">
        <f>SUMIF(Import!$B:$B,$A948,Import!L:L)</f>
        <v>0</v>
      </c>
      <c r="S948" s="99">
        <f>SUMIF(Import!$B:$B,$A948,Import!M:M)</f>
        <v>0</v>
      </c>
      <c r="T948" s="99">
        <f>SUMIF(Import!$B:$B,$A948,Import!N:N)</f>
        <v>1500</v>
      </c>
      <c r="U948" s="99">
        <f t="shared" si="1341"/>
        <v>0</v>
      </c>
      <c r="V948" s="255">
        <f t="shared" si="1342"/>
        <v>0</v>
      </c>
      <c r="W948" s="102" t="s">
        <v>2645</v>
      </c>
      <c r="X948" s="102"/>
      <c r="Y948" s="102"/>
      <c r="Z948" s="192"/>
      <c r="AA948" s="615"/>
      <c r="AB948" s="307"/>
      <c r="AC948" s="300"/>
      <c r="AD948" s="300"/>
      <c r="AE948" s="300"/>
      <c r="AF948" s="300"/>
      <c r="AG948" s="300"/>
      <c r="AH948" s="307"/>
      <c r="AI948" s="307"/>
      <c r="AJ948" s="300"/>
      <c r="AK948" s="300"/>
      <c r="AL948" s="300"/>
      <c r="AM948" s="300"/>
      <c r="AN948" s="300"/>
      <c r="AO948" s="300"/>
      <c r="AP948" s="300"/>
      <c r="AQ948" s="192"/>
    </row>
    <row r="949" spans="1:43" s="115" customFormat="1" ht="15" customHeight="1">
      <c r="A949" s="555" t="s">
        <v>2646</v>
      </c>
      <c r="B949" s="217" t="str">
        <f t="shared" si="1311"/>
        <v>100</v>
      </c>
      <c r="C949" s="217" t="str">
        <f t="shared" si="1312"/>
        <v>30</v>
      </c>
      <c r="D949" s="101" t="str">
        <f t="shared" si="1313"/>
        <v>303</v>
      </c>
      <c r="E949" s="217" t="str">
        <f t="shared" si="1314"/>
        <v>100-30-303</v>
      </c>
      <c r="F949" s="294" t="str">
        <f t="shared" si="1315"/>
        <v>53515</v>
      </c>
      <c r="G949" s="295" t="str">
        <f>VLOOKUP(F949,'GL Category'!A:C,3,FALSE)</f>
        <v>Services &amp; other</v>
      </c>
      <c r="H949" s="98" t="str">
        <f>VLOOKUP(F949,'GL Category'!A:C,2,FALSE)</f>
        <v>TRAVEL, TRAINING &amp; EDUCATION</v>
      </c>
      <c r="I949" s="99">
        <f>SUMIF(Import!$B:$B,$A949,Import!D:D)</f>
        <v>70</v>
      </c>
      <c r="J949" s="99">
        <f>SUMIF(Import!$B:$B,$A949,Import!E:E)</f>
        <v>297.55</v>
      </c>
      <c r="K949" s="99">
        <f>SUMIF(Import!$B:$B,$A949,Import!F:F)</f>
        <v>-123.2</v>
      </c>
      <c r="L949" s="99">
        <f>SUMIF(Import!$B:$B,$A949,Import!G:G)</f>
        <v>5174.54</v>
      </c>
      <c r="M949" s="99">
        <f>SUMIF(Import!$B:$B,$A949,Import!H:H)</f>
        <v>4000</v>
      </c>
      <c r="N949" s="99">
        <f>SUMIF(Import!$B:$B,$A949,Import!I:I)</f>
        <v>3667.71</v>
      </c>
      <c r="O949" s="99">
        <f>SUMIF(Import!$B:$B,$A949,Import!J:J)</f>
        <v>4000</v>
      </c>
      <c r="P949" s="99">
        <f t="shared" si="1340"/>
        <v>0</v>
      </c>
      <c r="Q949" s="99">
        <f>SUMIF(Import!$B:$B,$A949,Import!K:K)</f>
        <v>5000</v>
      </c>
      <c r="R949" s="99">
        <f>SUMIF(Import!$B:$B,$A949,Import!L:L)</f>
        <v>0</v>
      </c>
      <c r="S949" s="99">
        <f>SUMIF(Import!$B:$B,$A949,Import!M:M)</f>
        <v>0</v>
      </c>
      <c r="T949" s="99">
        <f>SUMIF(Import!$B:$B,$A949,Import!N:N)</f>
        <v>5000</v>
      </c>
      <c r="U949" s="99">
        <f t="shared" si="1341"/>
        <v>1000</v>
      </c>
      <c r="V949" s="255">
        <f t="shared" si="1342"/>
        <v>0.25</v>
      </c>
      <c r="W949" s="102" t="s">
        <v>2646</v>
      </c>
      <c r="X949" s="102"/>
      <c r="Y949" s="102"/>
      <c r="Z949" s="192"/>
      <c r="AA949" s="615"/>
      <c r="AB949" s="307"/>
      <c r="AC949" s="300"/>
      <c r="AD949" s="300"/>
      <c r="AE949" s="300"/>
      <c r="AF949" s="300"/>
      <c r="AG949" s="300"/>
      <c r="AH949" s="307"/>
      <c r="AI949" s="307"/>
      <c r="AJ949" s="300"/>
      <c r="AK949" s="300"/>
      <c r="AL949" s="300"/>
      <c r="AM949" s="300"/>
      <c r="AN949" s="300"/>
      <c r="AO949" s="300"/>
      <c r="AP949" s="300"/>
      <c r="AQ949" s="192"/>
    </row>
    <row r="950" spans="1:43" s="115" customFormat="1" ht="15" customHeight="1">
      <c r="A950" s="555" t="s">
        <v>2647</v>
      </c>
      <c r="B950" s="217" t="str">
        <f t="shared" si="1311"/>
        <v>100</v>
      </c>
      <c r="C950" s="217" t="str">
        <f t="shared" si="1312"/>
        <v>30</v>
      </c>
      <c r="D950" s="101" t="str">
        <f t="shared" si="1313"/>
        <v>303</v>
      </c>
      <c r="E950" s="217" t="str">
        <f t="shared" si="1314"/>
        <v>100-30-303</v>
      </c>
      <c r="F950" s="294" t="str">
        <f t="shared" si="1315"/>
        <v>53527</v>
      </c>
      <c r="G950" s="295" t="str">
        <f>VLOOKUP(F950,'GL Category'!A:C,3,FALSE)</f>
        <v>Services &amp; other</v>
      </c>
      <c r="H950" s="98" t="str">
        <f>VLOOKUP(F950,'GL Category'!A:C,2,FALSE)</f>
        <v>EMPLOYEE ACTIVITIES</v>
      </c>
      <c r="I950" s="99">
        <f>SUMIF(Import!$B:$B,$A950,Import!D:D)</f>
        <v>450.86</v>
      </c>
      <c r="J950" s="99">
        <f>SUMIF(Import!$B:$B,$A950,Import!E:E)</f>
        <v>447.38</v>
      </c>
      <c r="K950" s="99">
        <f>SUMIF(Import!$B:$B,$A950,Import!F:F)</f>
        <v>391.62</v>
      </c>
      <c r="L950" s="99">
        <f>SUMIF(Import!$B:$B,$A950,Import!G:G)</f>
        <v>1478.12</v>
      </c>
      <c r="M950" s="99">
        <f>SUMIF(Import!$B:$B,$A950,Import!H:H)</f>
        <v>500</v>
      </c>
      <c r="N950" s="99">
        <f>SUMIF(Import!$B:$B,$A950,Import!I:I)</f>
        <v>415.47</v>
      </c>
      <c r="O950" s="99">
        <f>SUMIF(Import!$B:$B,$A950,Import!J:J)</f>
        <v>500</v>
      </c>
      <c r="P950" s="99">
        <f t="shared" si="1340"/>
        <v>0</v>
      </c>
      <c r="Q950" s="99">
        <f>SUMIF(Import!$B:$B,$A950,Import!K:K)</f>
        <v>500</v>
      </c>
      <c r="R950" s="99">
        <f>SUMIF(Import!$B:$B,$A950,Import!L:L)</f>
        <v>0</v>
      </c>
      <c r="S950" s="99">
        <f>SUMIF(Import!$B:$B,$A950,Import!M:M)</f>
        <v>0</v>
      </c>
      <c r="T950" s="99">
        <f>SUMIF(Import!$B:$B,$A950,Import!N:N)</f>
        <v>500</v>
      </c>
      <c r="U950" s="99">
        <f t="shared" si="1341"/>
        <v>0</v>
      </c>
      <c r="V950" s="255">
        <f t="shared" si="1342"/>
        <v>0</v>
      </c>
      <c r="W950" s="102" t="s">
        <v>2647</v>
      </c>
      <c r="X950" s="102"/>
      <c r="Y950" s="102"/>
      <c r="Z950" s="192"/>
      <c r="AA950" s="615"/>
      <c r="AB950" s="307"/>
      <c r="AC950" s="300"/>
      <c r="AD950" s="300"/>
      <c r="AE950" s="300"/>
      <c r="AF950" s="300"/>
      <c r="AG950" s="300"/>
      <c r="AH950" s="307"/>
      <c r="AI950" s="307"/>
      <c r="AJ950" s="300"/>
      <c r="AK950" s="300"/>
      <c r="AL950" s="300"/>
      <c r="AM950" s="300"/>
      <c r="AN950" s="300"/>
      <c r="AO950" s="300"/>
      <c r="AP950" s="300"/>
      <c r="AQ950" s="192"/>
    </row>
    <row r="951" spans="1:43" s="115" customFormat="1" ht="15" customHeight="1">
      <c r="A951" s="555" t="s">
        <v>2648</v>
      </c>
      <c r="B951" s="217" t="str">
        <f t="shared" si="1311"/>
        <v>100</v>
      </c>
      <c r="C951" s="217" t="str">
        <f t="shared" si="1312"/>
        <v>30</v>
      </c>
      <c r="D951" s="101" t="str">
        <f t="shared" si="1313"/>
        <v>303</v>
      </c>
      <c r="E951" s="217" t="str">
        <f t="shared" si="1314"/>
        <v>100-30-303</v>
      </c>
      <c r="F951" s="294" t="str">
        <f t="shared" si="1315"/>
        <v>53560</v>
      </c>
      <c r="G951" s="295" t="str">
        <f>VLOOKUP(F951,'GL Category'!A:C,3,FALSE)</f>
        <v>Services &amp; other</v>
      </c>
      <c r="H951" s="98" t="str">
        <f>VLOOKUP(F951,'GL Category'!A:C,2,FALSE)</f>
        <v>GENERAL INSURANCE</v>
      </c>
      <c r="I951" s="99">
        <f>SUMIF(Import!$B:$B,$A951,Import!D:D)</f>
        <v>0</v>
      </c>
      <c r="J951" s="99">
        <f>SUMIF(Import!$B:$B,$A951,Import!E:E)</f>
        <v>0</v>
      </c>
      <c r="K951" s="99">
        <f>SUMIF(Import!$B:$B,$A951,Import!F:F)</f>
        <v>0</v>
      </c>
      <c r="L951" s="99">
        <f>SUMIF(Import!$B:$B,$A951,Import!G:G)</f>
        <v>0</v>
      </c>
      <c r="M951" s="99">
        <f>SUMIF(Import!$B:$B,$A951,Import!H:H)</f>
        <v>0</v>
      </c>
      <c r="N951" s="99">
        <f>SUMIF(Import!$B:$B,$A951,Import!I:I)</f>
        <v>0</v>
      </c>
      <c r="O951" s="99">
        <f>SUMIF(Import!$B:$B,$A951,Import!J:J)</f>
        <v>0</v>
      </c>
      <c r="P951" s="99">
        <f t="shared" si="1340"/>
        <v>0</v>
      </c>
      <c r="Q951" s="99">
        <f>SUMIF(Import!$B:$B,$A951,Import!K:K)</f>
        <v>0</v>
      </c>
      <c r="R951" s="99">
        <f>SUMIF(Import!$B:$B,$A951,Import!L:L)</f>
        <v>0</v>
      </c>
      <c r="S951" s="99">
        <f>SUMIF(Import!$B:$B,$A951,Import!M:M)</f>
        <v>0</v>
      </c>
      <c r="T951" s="99">
        <f>SUMIF(Import!$B:$B,$A951,Import!N:N)</f>
        <v>0</v>
      </c>
      <c r="U951" s="99">
        <f t="shared" si="1341"/>
        <v>0</v>
      </c>
      <c r="V951" s="255" t="str">
        <f t="shared" si="1342"/>
        <v>N/A</v>
      </c>
      <c r="W951" s="102" t="s">
        <v>2648</v>
      </c>
      <c r="X951" s="102"/>
      <c r="Y951" s="102"/>
      <c r="Z951" s="192"/>
      <c r="AA951" s="615"/>
      <c r="AB951" s="307"/>
      <c r="AC951" s="300"/>
      <c r="AD951" s="300"/>
      <c r="AE951" s="300"/>
      <c r="AF951" s="300"/>
      <c r="AG951" s="300"/>
      <c r="AH951" s="307"/>
      <c r="AI951" s="307"/>
      <c r="AJ951" s="300"/>
      <c r="AK951" s="300"/>
      <c r="AL951" s="300"/>
      <c r="AM951" s="300"/>
      <c r="AN951" s="300"/>
      <c r="AO951" s="300"/>
      <c r="AP951" s="300"/>
      <c r="AQ951" s="192"/>
    </row>
    <row r="952" spans="1:43" s="115" customFormat="1" ht="15" customHeight="1">
      <c r="A952" s="555" t="s">
        <v>2649</v>
      </c>
      <c r="B952" s="217" t="str">
        <f t="shared" si="1311"/>
        <v>100</v>
      </c>
      <c r="C952" s="217" t="str">
        <f t="shared" si="1312"/>
        <v>30</v>
      </c>
      <c r="D952" s="101" t="str">
        <f t="shared" si="1313"/>
        <v>303</v>
      </c>
      <c r="E952" s="217" t="str">
        <f t="shared" si="1314"/>
        <v>100-30-303</v>
      </c>
      <c r="F952" s="294" t="str">
        <f t="shared" si="1315"/>
        <v>53568</v>
      </c>
      <c r="G952" s="295" t="str">
        <f>VLOOKUP(F952,'GL Category'!A:C,3,FALSE)</f>
        <v>Services &amp; other</v>
      </c>
      <c r="H952" s="98" t="str">
        <f>VLOOKUP(F952,'GL Category'!A:C,2,FALSE)</f>
        <v>LAW ENFORCEMENT LIAB PREMIUMS</v>
      </c>
      <c r="I952" s="99">
        <f>SUMIF(Import!$B:$B,$A952,Import!D:D)</f>
        <v>3155</v>
      </c>
      <c r="J952" s="99">
        <f>SUMIF(Import!$B:$B,$A952,Import!E:E)</f>
        <v>3607.45</v>
      </c>
      <c r="K952" s="99">
        <f>SUMIF(Import!$B:$B,$A952,Import!F:F)</f>
        <v>6195.27</v>
      </c>
      <c r="L952" s="99">
        <f>SUMIF(Import!$B:$B,$A952,Import!G:G)</f>
        <v>6427.62</v>
      </c>
      <c r="M952" s="99">
        <f>SUMIF(Import!$B:$B,$A952,Import!H:H)</f>
        <v>7071</v>
      </c>
      <c r="N952" s="99">
        <f>SUMIF(Import!$B:$B,$A952,Import!I:I)</f>
        <v>7041.9</v>
      </c>
      <c r="O952" s="99">
        <f>SUMIF(Import!$B:$B,$A952,Import!J:J)</f>
        <v>7071</v>
      </c>
      <c r="P952" s="99">
        <f t="shared" si="1340"/>
        <v>0</v>
      </c>
      <c r="Q952" s="99">
        <f>SUMIF(Import!$B:$B,$A952,Import!K:K)</f>
        <v>7071</v>
      </c>
      <c r="R952" s="99">
        <f>SUMIF(Import!$B:$B,$A952,Import!L:L)</f>
        <v>0</v>
      </c>
      <c r="S952" s="99">
        <f>SUMIF(Import!$B:$B,$A952,Import!M:M)</f>
        <v>0</v>
      </c>
      <c r="T952" s="99">
        <f>SUMIF(Import!$B:$B,$A952,Import!N:N)</f>
        <v>7071</v>
      </c>
      <c r="U952" s="99">
        <f t="shared" si="1341"/>
        <v>0</v>
      </c>
      <c r="V952" s="255">
        <f t="shared" si="1342"/>
        <v>0</v>
      </c>
      <c r="W952" s="102" t="s">
        <v>2649</v>
      </c>
      <c r="X952" s="102"/>
      <c r="Y952" s="102"/>
      <c r="Z952" s="192"/>
      <c r="AA952" s="615"/>
      <c r="AB952" s="307"/>
      <c r="AC952" s="300"/>
      <c r="AD952" s="300"/>
      <c r="AE952" s="300"/>
      <c r="AF952" s="300"/>
      <c r="AG952" s="300"/>
      <c r="AH952" s="307"/>
      <c r="AI952" s="307"/>
      <c r="AJ952" s="300"/>
      <c r="AK952" s="300"/>
      <c r="AL952" s="300"/>
      <c r="AM952" s="300"/>
      <c r="AN952" s="300"/>
      <c r="AO952" s="300"/>
      <c r="AP952" s="300"/>
      <c r="AQ952" s="192"/>
    </row>
    <row r="953" spans="1:43" s="115" customFormat="1" ht="15" customHeight="1">
      <c r="A953" s="555" t="s">
        <v>2650</v>
      </c>
      <c r="B953" s="217" t="str">
        <f t="shared" si="1311"/>
        <v>100</v>
      </c>
      <c r="C953" s="217" t="str">
        <f t="shared" si="1312"/>
        <v>30</v>
      </c>
      <c r="D953" s="101" t="str">
        <f t="shared" si="1313"/>
        <v>303</v>
      </c>
      <c r="E953" s="217" t="str">
        <f t="shared" si="1314"/>
        <v>100-30-303</v>
      </c>
      <c r="F953" s="294" t="str">
        <f t="shared" si="1315"/>
        <v>53570</v>
      </c>
      <c r="G953" s="295" t="str">
        <f>VLOOKUP(F953,'GL Category'!A:C,3,FALSE)</f>
        <v>Services &amp; other</v>
      </c>
      <c r="H953" s="98" t="str">
        <f>VLOOKUP(F953,'GL Category'!A:C,2,FALSE)</f>
        <v>TELEPHONE/COMMUNICATIONS</v>
      </c>
      <c r="I953" s="99">
        <f>SUMIF(Import!$B:$B,$A953,Import!D:D)</f>
        <v>0</v>
      </c>
      <c r="J953" s="99">
        <f>SUMIF(Import!$B:$B,$A953,Import!E:E)</f>
        <v>0</v>
      </c>
      <c r="K953" s="99">
        <f>SUMIF(Import!$B:$B,$A953,Import!F:F)</f>
        <v>0</v>
      </c>
      <c r="L953" s="99">
        <f>SUMIF(Import!$B:$B,$A953,Import!G:G)</f>
        <v>0</v>
      </c>
      <c r="M953" s="99">
        <f>SUMIF(Import!$B:$B,$A953,Import!H:H)</f>
        <v>0</v>
      </c>
      <c r="N953" s="99">
        <f>SUMIF(Import!$B:$B,$A953,Import!I:I)</f>
        <v>0</v>
      </c>
      <c r="O953" s="99">
        <f>SUMIF(Import!$B:$B,$A953,Import!J:J)</f>
        <v>0</v>
      </c>
      <c r="P953" s="99">
        <f t="shared" si="1340"/>
        <v>0</v>
      </c>
      <c r="Q953" s="99">
        <f>SUMIF(Import!$B:$B,$A953,Import!K:K)</f>
        <v>0</v>
      </c>
      <c r="R953" s="99">
        <f>SUMIF(Import!$B:$B,$A953,Import!L:L)</f>
        <v>0</v>
      </c>
      <c r="S953" s="99">
        <f>SUMIF(Import!$B:$B,$A953,Import!M:M)</f>
        <v>0</v>
      </c>
      <c r="T953" s="99">
        <f>SUMIF(Import!$B:$B,$A953,Import!N:N)</f>
        <v>0</v>
      </c>
      <c r="U953" s="99">
        <f t="shared" si="1341"/>
        <v>0</v>
      </c>
      <c r="V953" s="255" t="str">
        <f t="shared" si="1342"/>
        <v>N/A</v>
      </c>
      <c r="W953" s="102" t="s">
        <v>2650</v>
      </c>
      <c r="X953" s="102"/>
      <c r="Y953" s="102"/>
      <c r="Z953" s="192"/>
      <c r="AA953" s="615"/>
      <c r="AB953" s="307"/>
      <c r="AC953" s="300"/>
      <c r="AD953" s="300"/>
      <c r="AE953" s="300"/>
      <c r="AF953" s="300"/>
      <c r="AG953" s="300"/>
      <c r="AH953" s="307"/>
      <c r="AI953" s="307"/>
      <c r="AJ953" s="300"/>
      <c r="AK953" s="300"/>
      <c r="AL953" s="300"/>
      <c r="AM953" s="300"/>
      <c r="AN953" s="300"/>
      <c r="AO953" s="300"/>
      <c r="AP953" s="300"/>
      <c r="AQ953" s="192"/>
    </row>
    <row r="954" spans="1:43" s="115" customFormat="1" ht="15" customHeight="1">
      <c r="A954" s="555" t="s">
        <v>2651</v>
      </c>
      <c r="B954" s="217" t="str">
        <f t="shared" si="1311"/>
        <v>100</v>
      </c>
      <c r="C954" s="217" t="str">
        <f t="shared" si="1312"/>
        <v>30</v>
      </c>
      <c r="D954" s="101" t="str">
        <f t="shared" si="1313"/>
        <v>303</v>
      </c>
      <c r="E954" s="217" t="str">
        <f t="shared" si="1314"/>
        <v>100-30-303</v>
      </c>
      <c r="F954" s="294" t="str">
        <f t="shared" si="1315"/>
        <v>53571</v>
      </c>
      <c r="G954" s="295" t="str">
        <f>VLOOKUP(F954,'GL Category'!A:C,3,FALSE)</f>
        <v>Services &amp; other</v>
      </c>
      <c r="H954" s="98" t="str">
        <f>VLOOKUP(F954,'GL Category'!A:C,2,FALSE)</f>
        <v>NATURAL GAS UTILITY SERVICE</v>
      </c>
      <c r="I954" s="99">
        <f>SUMIF(Import!$B:$B,$A954,Import!D:D)</f>
        <v>570.58000000000004</v>
      </c>
      <c r="J954" s="99">
        <f>SUMIF(Import!$B:$B,$A954,Import!E:E)</f>
        <v>942.58</v>
      </c>
      <c r="K954" s="99">
        <f>SUMIF(Import!$B:$B,$A954,Import!F:F)</f>
        <v>994.43</v>
      </c>
      <c r="L954" s="99">
        <f>SUMIF(Import!$B:$B,$A954,Import!G:G)</f>
        <v>1101.55</v>
      </c>
      <c r="M954" s="99">
        <f>SUMIF(Import!$B:$B,$A954,Import!H:H)</f>
        <v>1310</v>
      </c>
      <c r="N954" s="99">
        <f>SUMIF(Import!$B:$B,$A954,Import!I:I)</f>
        <v>1260.28</v>
      </c>
      <c r="O954" s="99">
        <f>SUMIF(Import!$B:$B,$A954,Import!J:J)</f>
        <v>1000</v>
      </c>
      <c r="P954" s="99">
        <f t="shared" si="1340"/>
        <v>-310</v>
      </c>
      <c r="Q954" s="99">
        <f>SUMIF(Import!$B:$B,$A954,Import!K:K)</f>
        <v>1310</v>
      </c>
      <c r="R954" s="99">
        <f>SUMIF(Import!$B:$B,$A954,Import!L:L)</f>
        <v>0</v>
      </c>
      <c r="S954" s="99">
        <f>SUMIF(Import!$B:$B,$A954,Import!M:M)</f>
        <v>0</v>
      </c>
      <c r="T954" s="99">
        <f>SUMIF(Import!$B:$B,$A954,Import!N:N)</f>
        <v>1310</v>
      </c>
      <c r="U954" s="99">
        <f t="shared" si="1341"/>
        <v>0</v>
      </c>
      <c r="V954" s="255">
        <f t="shared" si="1342"/>
        <v>0</v>
      </c>
      <c r="W954" s="102" t="s">
        <v>2651</v>
      </c>
      <c r="X954" s="102"/>
      <c r="Y954" s="102"/>
      <c r="Z954" s="192"/>
      <c r="AA954" s="615"/>
      <c r="AB954" s="307"/>
      <c r="AC954" s="300"/>
      <c r="AD954" s="300"/>
      <c r="AE954" s="300"/>
      <c r="AF954" s="300"/>
      <c r="AG954" s="300"/>
      <c r="AH954" s="307"/>
      <c r="AI954" s="307"/>
      <c r="AJ954" s="300"/>
      <c r="AK954" s="300"/>
      <c r="AL954" s="300"/>
      <c r="AM954" s="300"/>
      <c r="AN954" s="300"/>
      <c r="AO954" s="300"/>
      <c r="AP954" s="300"/>
      <c r="AQ954" s="192"/>
    </row>
    <row r="955" spans="1:43" s="115" customFormat="1" ht="15" customHeight="1">
      <c r="A955" s="555" t="s">
        <v>2652</v>
      </c>
      <c r="B955" s="217" t="str">
        <f t="shared" si="1311"/>
        <v>100</v>
      </c>
      <c r="C955" s="217" t="str">
        <f t="shared" si="1312"/>
        <v>30</v>
      </c>
      <c r="D955" s="101" t="str">
        <f t="shared" si="1313"/>
        <v>303</v>
      </c>
      <c r="E955" s="217" t="str">
        <f t="shared" si="1314"/>
        <v>100-30-303</v>
      </c>
      <c r="F955" s="294" t="str">
        <f t="shared" si="1315"/>
        <v>53572</v>
      </c>
      <c r="G955" s="295" t="str">
        <f>VLOOKUP(F955,'GL Category'!A:C,3,FALSE)</f>
        <v>Services &amp; other</v>
      </c>
      <c r="H955" s="98" t="str">
        <f>VLOOKUP(F955,'GL Category'!A:C,2,FALSE)</f>
        <v>ELECTRICAL UTILITY SERVICE</v>
      </c>
      <c r="I955" s="99">
        <f>SUMIF(Import!$B:$B,$A955,Import!D:D)</f>
        <v>6088.05</v>
      </c>
      <c r="J955" s="99">
        <f>SUMIF(Import!$B:$B,$A955,Import!E:E)</f>
        <v>6004.49</v>
      </c>
      <c r="K955" s="99">
        <f>SUMIF(Import!$B:$B,$A955,Import!F:F)</f>
        <v>8878.3700000000008</v>
      </c>
      <c r="L955" s="99">
        <f>SUMIF(Import!$B:$B,$A955,Import!G:G)</f>
        <v>10627.82</v>
      </c>
      <c r="M955" s="99">
        <f>SUMIF(Import!$B:$B,$A955,Import!H:H)</f>
        <v>12550</v>
      </c>
      <c r="N955" s="99">
        <f>SUMIF(Import!$B:$B,$A955,Import!I:I)</f>
        <v>5404.68</v>
      </c>
      <c r="O955" s="99">
        <f>SUMIF(Import!$B:$B,$A955,Import!J:J)</f>
        <v>8000</v>
      </c>
      <c r="P955" s="99">
        <f t="shared" si="1340"/>
        <v>-4550</v>
      </c>
      <c r="Q955" s="99">
        <f>SUMIF(Import!$B:$B,$A955,Import!K:K)</f>
        <v>12550</v>
      </c>
      <c r="R955" s="99">
        <f>SUMIF(Import!$B:$B,$A955,Import!L:L)</f>
        <v>0</v>
      </c>
      <c r="S955" s="99">
        <f>SUMIF(Import!$B:$B,$A955,Import!M:M)</f>
        <v>0</v>
      </c>
      <c r="T955" s="99">
        <f>SUMIF(Import!$B:$B,$A955,Import!N:N)</f>
        <v>12550</v>
      </c>
      <c r="U955" s="99">
        <f t="shared" si="1341"/>
        <v>0</v>
      </c>
      <c r="V955" s="255">
        <f t="shared" si="1342"/>
        <v>0</v>
      </c>
      <c r="W955" s="102" t="s">
        <v>2652</v>
      </c>
      <c r="X955" s="102"/>
      <c r="Y955" s="102"/>
      <c r="Z955" s="192"/>
      <c r="AA955" s="615"/>
      <c r="AB955" s="307"/>
      <c r="AC955" s="300"/>
      <c r="AD955" s="300"/>
      <c r="AE955" s="300"/>
      <c r="AF955" s="300"/>
      <c r="AG955" s="300"/>
      <c r="AH955" s="307"/>
      <c r="AI955" s="307"/>
      <c r="AJ955" s="300"/>
      <c r="AK955" s="300"/>
      <c r="AL955" s="300"/>
      <c r="AM955" s="300"/>
      <c r="AN955" s="300"/>
      <c r="AO955" s="300"/>
      <c r="AP955" s="300"/>
      <c r="AQ955" s="192"/>
    </row>
    <row r="956" spans="1:43" s="115" customFormat="1" ht="15" customHeight="1">
      <c r="A956" s="555" t="s">
        <v>2653</v>
      </c>
      <c r="B956" s="217" t="str">
        <f t="shared" si="1311"/>
        <v>100</v>
      </c>
      <c r="C956" s="217" t="str">
        <f t="shared" si="1312"/>
        <v>30</v>
      </c>
      <c r="D956" s="101" t="str">
        <f t="shared" si="1313"/>
        <v>303</v>
      </c>
      <c r="E956" s="217" t="str">
        <f t="shared" si="1314"/>
        <v>100-30-303</v>
      </c>
      <c r="F956" s="294" t="str">
        <f t="shared" si="1315"/>
        <v>53574</v>
      </c>
      <c r="G956" s="295" t="str">
        <f>VLOOKUP(F956,'GL Category'!A:C,3,FALSE)</f>
        <v>Services &amp; other</v>
      </c>
      <c r="H956" s="98" t="str">
        <f>VLOOKUP(F956,'GL Category'!A:C,2,FALSE)</f>
        <v>WATER/SEWER UTILITY SERVICE</v>
      </c>
      <c r="I956" s="99">
        <f>SUMIF(Import!$B:$B,$A956,Import!D:D)</f>
        <v>675.85</v>
      </c>
      <c r="J956" s="99">
        <f>SUMIF(Import!$B:$B,$A956,Import!E:E)</f>
        <v>257.10000000000002</v>
      </c>
      <c r="K956" s="99">
        <f>SUMIF(Import!$B:$B,$A956,Import!F:F)</f>
        <v>0</v>
      </c>
      <c r="L956" s="99">
        <f>SUMIF(Import!$B:$B,$A956,Import!G:G)</f>
        <v>1073.52</v>
      </c>
      <c r="M956" s="99">
        <f>SUMIF(Import!$B:$B,$A956,Import!H:H)</f>
        <v>500</v>
      </c>
      <c r="N956" s="99">
        <f>SUMIF(Import!$B:$B,$A956,Import!I:I)</f>
        <v>536.13</v>
      </c>
      <c r="O956" s="99">
        <f>SUMIF(Import!$B:$B,$A956,Import!J:J)</f>
        <v>500</v>
      </c>
      <c r="P956" s="99">
        <f t="shared" si="1340"/>
        <v>0</v>
      </c>
      <c r="Q956" s="99">
        <f>SUMIF(Import!$B:$B,$A956,Import!K:K)</f>
        <v>500</v>
      </c>
      <c r="R956" s="99">
        <f>SUMIF(Import!$B:$B,$A956,Import!L:L)</f>
        <v>0</v>
      </c>
      <c r="S956" s="99">
        <f>SUMIF(Import!$B:$B,$A956,Import!M:M)</f>
        <v>0</v>
      </c>
      <c r="T956" s="99">
        <f>SUMIF(Import!$B:$B,$A956,Import!N:N)</f>
        <v>500</v>
      </c>
      <c r="U956" s="99">
        <f t="shared" si="1341"/>
        <v>0</v>
      </c>
      <c r="V956" s="255">
        <f t="shared" si="1342"/>
        <v>0</v>
      </c>
      <c r="W956" s="102" t="s">
        <v>2653</v>
      </c>
      <c r="X956" s="102"/>
      <c r="Y956" s="102"/>
      <c r="Z956" s="192"/>
      <c r="AA956" s="615"/>
      <c r="AB956" s="307"/>
      <c r="AC956" s="300"/>
      <c r="AD956" s="300"/>
      <c r="AE956" s="300"/>
      <c r="AF956" s="300"/>
      <c r="AG956" s="300"/>
      <c r="AH956" s="307"/>
      <c r="AI956" s="307"/>
      <c r="AJ956" s="300"/>
      <c r="AK956" s="300"/>
      <c r="AL956" s="300"/>
      <c r="AM956" s="300"/>
      <c r="AN956" s="300"/>
      <c r="AO956" s="300"/>
      <c r="AP956" s="300"/>
      <c r="AQ956" s="192"/>
    </row>
    <row r="957" spans="1:43" s="115" customFormat="1" ht="15" customHeight="1">
      <c r="A957" s="555" t="s">
        <v>2654</v>
      </c>
      <c r="B957" s="217" t="str">
        <f t="shared" si="1311"/>
        <v>100</v>
      </c>
      <c r="C957" s="217" t="str">
        <f t="shared" si="1312"/>
        <v>30</v>
      </c>
      <c r="D957" s="101" t="str">
        <f t="shared" si="1313"/>
        <v>303</v>
      </c>
      <c r="E957" s="217" t="str">
        <f t="shared" si="1314"/>
        <v>100-30-303</v>
      </c>
      <c r="F957" s="294" t="str">
        <f t="shared" si="1315"/>
        <v>53585</v>
      </c>
      <c r="G957" s="295" t="str">
        <f>VLOOKUP(F957,'GL Category'!A:C,3,FALSE)</f>
        <v>Services &amp; other</v>
      </c>
      <c r="H957" s="98" t="str">
        <f>VLOOKUP(F957,'GL Category'!A:C,2,FALSE)</f>
        <v>BANKING SERVICES CHARGES</v>
      </c>
      <c r="I957" s="99">
        <f>SUMIF(Import!$B:$B,$A957,Import!D:D)</f>
        <v>1075.23</v>
      </c>
      <c r="J957" s="99">
        <f>SUMIF(Import!$B:$B,$A957,Import!E:E)</f>
        <v>1308.2</v>
      </c>
      <c r="K957" s="99">
        <f>SUMIF(Import!$B:$B,$A957,Import!F:F)</f>
        <v>1223.2</v>
      </c>
      <c r="L957" s="99">
        <f>SUMIF(Import!$B:$B,$A957,Import!G:G)</f>
        <v>1841.08</v>
      </c>
      <c r="M957" s="99">
        <f>SUMIF(Import!$B:$B,$A957,Import!H:H)</f>
        <v>1460</v>
      </c>
      <c r="N957" s="99">
        <f>SUMIF(Import!$B:$B,$A957,Import!I:I)</f>
        <v>1615.58</v>
      </c>
      <c r="O957" s="99">
        <f>SUMIF(Import!$B:$B,$A957,Import!J:J)</f>
        <v>2000</v>
      </c>
      <c r="P957" s="99">
        <f t="shared" si="1340"/>
        <v>540</v>
      </c>
      <c r="Q957" s="99">
        <f>SUMIF(Import!$B:$B,$A957,Import!K:K)</f>
        <v>1460</v>
      </c>
      <c r="R957" s="99">
        <f>SUMIF(Import!$B:$B,$A957,Import!L:L)</f>
        <v>0</v>
      </c>
      <c r="S957" s="99">
        <f>SUMIF(Import!$B:$B,$A957,Import!M:M)</f>
        <v>0</v>
      </c>
      <c r="T957" s="99">
        <f>SUMIF(Import!$B:$B,$A957,Import!N:N)</f>
        <v>1460</v>
      </c>
      <c r="U957" s="99">
        <f t="shared" si="1341"/>
        <v>0</v>
      </c>
      <c r="V957" s="255">
        <f t="shared" si="1342"/>
        <v>0</v>
      </c>
      <c r="W957" s="102" t="s">
        <v>2654</v>
      </c>
      <c r="X957" s="102"/>
      <c r="Y957" s="102"/>
      <c r="Z957" s="192"/>
      <c r="AA957" s="615"/>
      <c r="AB957" s="307"/>
      <c r="AC957" s="300"/>
      <c r="AD957" s="300"/>
      <c r="AE957" s="300"/>
      <c r="AF957" s="300"/>
      <c r="AG957" s="300"/>
      <c r="AH957" s="307"/>
      <c r="AI957" s="307"/>
      <c r="AJ957" s="300"/>
      <c r="AK957" s="300"/>
      <c r="AL957" s="300"/>
      <c r="AM957" s="300"/>
      <c r="AN957" s="300"/>
      <c r="AO957" s="300"/>
      <c r="AP957" s="300"/>
      <c r="AQ957" s="192"/>
    </row>
    <row r="958" spans="1:43" s="115" customFormat="1" ht="15" customHeight="1">
      <c r="A958" s="555" t="s">
        <v>2655</v>
      </c>
      <c r="B958" s="217" t="str">
        <f t="shared" si="1311"/>
        <v>100</v>
      </c>
      <c r="C958" s="217" t="str">
        <f t="shared" si="1312"/>
        <v>30</v>
      </c>
      <c r="D958" s="101" t="str">
        <f t="shared" si="1313"/>
        <v>303</v>
      </c>
      <c r="E958" s="217" t="str">
        <f t="shared" si="1314"/>
        <v>100-30-303</v>
      </c>
      <c r="F958" s="294" t="str">
        <f t="shared" si="1315"/>
        <v>55119</v>
      </c>
      <c r="G958" s="295" t="str">
        <f>VLOOKUP(F958,'GL Category'!A:C,3,FALSE)</f>
        <v>Services &amp; other</v>
      </c>
      <c r="H958" s="98" t="str">
        <f>VLOOKUP(F958,'GL Category'!A:C,2,FALSE)</f>
        <v>OFFICE EQUIP LEASE EXP-CITY</v>
      </c>
      <c r="I958" s="99">
        <f>SUMIF(Import!$B:$B,$A958,Import!D:D)</f>
        <v>65051</v>
      </c>
      <c r="J958" s="99">
        <f>SUMIF(Import!$B:$B,$A958,Import!E:E)</f>
        <v>77944</v>
      </c>
      <c r="K958" s="99">
        <f>SUMIF(Import!$B:$B,$A958,Import!F:F)</f>
        <v>72674</v>
      </c>
      <c r="L958" s="99">
        <f>SUMIF(Import!$B:$B,$A958,Import!G:G)</f>
        <v>74782</v>
      </c>
      <c r="M958" s="99">
        <f>SUMIF(Import!$B:$B,$A958,Import!H:H)</f>
        <v>91340</v>
      </c>
      <c r="N958" s="99">
        <f>SUMIF(Import!$B:$B,$A958,Import!I:I)</f>
        <v>68505</v>
      </c>
      <c r="O958" s="99">
        <f>SUMIF(Import!$B:$B,$A958,Import!J:J)</f>
        <v>91340</v>
      </c>
      <c r="P958" s="99">
        <f t="shared" si="1340"/>
        <v>0</v>
      </c>
      <c r="Q958" s="99">
        <f>SUMIF(Import!$B:$B,$A958,Import!K:K)</f>
        <v>87076</v>
      </c>
      <c r="R958" s="99">
        <f>SUMIF(Import!$B:$B,$A958,Import!L:L)</f>
        <v>0</v>
      </c>
      <c r="S958" s="99">
        <f>SUMIF(Import!$B:$B,$A958,Import!M:M)</f>
        <v>0</v>
      </c>
      <c r="T958" s="99">
        <f>SUMIF(Import!$B:$B,$A958,Import!N:N)</f>
        <v>87076</v>
      </c>
      <c r="U958" s="99">
        <f t="shared" si="1341"/>
        <v>-4264</v>
      </c>
      <c r="V958" s="255">
        <f t="shared" si="1342"/>
        <v>-4.6682723888767264E-2</v>
      </c>
      <c r="W958" s="102" t="s">
        <v>2655</v>
      </c>
      <c r="X958" s="102"/>
      <c r="Y958" s="102"/>
      <c r="Z958" s="192"/>
      <c r="AA958" s="615"/>
      <c r="AB958" s="307"/>
      <c r="AC958" s="93"/>
      <c r="AD958" s="93"/>
      <c r="AE958" s="93"/>
      <c r="AF958" s="93"/>
      <c r="AG958" s="93"/>
      <c r="AH958" s="307"/>
      <c r="AI958" s="307"/>
      <c r="AJ958" s="93"/>
      <c r="AK958" s="93"/>
      <c r="AL958" s="93"/>
      <c r="AM958" s="93"/>
      <c r="AN958" s="93"/>
      <c r="AO958" s="93"/>
      <c r="AP958" s="93"/>
      <c r="AQ958" s="192"/>
    </row>
    <row r="959" spans="1:43" s="115" customFormat="1" ht="15" customHeight="1">
      <c r="A959" s="555"/>
      <c r="B959" s="217"/>
      <c r="C959" s="217"/>
      <c r="D959" s="101"/>
      <c r="E959" s="217"/>
      <c r="F959" s="294"/>
      <c r="G959" s="295"/>
      <c r="H959" s="107" t="str">
        <f>UPPER(G958)&amp;" TOTAL"</f>
        <v>SERVICES &amp; OTHER TOTAL</v>
      </c>
      <c r="I959" s="109">
        <f t="shared" ref="I959" si="1343">SUBTOTAL(9,I947:I958)</f>
        <v>77598.33</v>
      </c>
      <c r="J959" s="109">
        <f t="shared" ref="J959:T959" si="1344">SUBTOTAL(9,J947:J958)</f>
        <v>91444.03</v>
      </c>
      <c r="K959" s="109">
        <f t="shared" ref="K959" si="1345">SUBTOTAL(9,K947:K958)</f>
        <v>91135.45</v>
      </c>
      <c r="L959" s="109">
        <f t="shared" ref="L959" si="1346">SUBTOTAL(9,L947:L958)</f>
        <v>104071.25</v>
      </c>
      <c r="M959" s="109">
        <f t="shared" si="1344"/>
        <v>120231</v>
      </c>
      <c r="N959" s="109">
        <f t="shared" ref="N959" si="1347">SUBTOTAL(9,N947:N958)</f>
        <v>89739.75</v>
      </c>
      <c r="O959" s="109">
        <f t="shared" si="1344"/>
        <v>115911</v>
      </c>
      <c r="P959" s="109">
        <f t="shared" si="1344"/>
        <v>-4320</v>
      </c>
      <c r="Q959" s="109">
        <f t="shared" si="1344"/>
        <v>116967</v>
      </c>
      <c r="R959" s="109">
        <f t="shared" si="1344"/>
        <v>0</v>
      </c>
      <c r="S959" s="109">
        <f t="shared" si="1344"/>
        <v>0</v>
      </c>
      <c r="T959" s="109">
        <f t="shared" si="1344"/>
        <v>116967</v>
      </c>
      <c r="U959" s="99">
        <f>T959-M959</f>
        <v>-3264</v>
      </c>
      <c r="V959" s="255">
        <f>IF(M959=0,"N/A",T959/M959-1)</f>
        <v>-2.7147740599346215E-2</v>
      </c>
      <c r="W959" s="102"/>
      <c r="X959" s="102"/>
      <c r="Y959" s="102"/>
      <c r="Z959" s="192"/>
      <c r="AA959" s="615"/>
      <c r="AB959" s="307"/>
      <c r="AC959" s="300"/>
      <c r="AD959" s="300"/>
      <c r="AE959" s="300"/>
      <c r="AF959" s="300"/>
      <c r="AG959" s="300"/>
      <c r="AH959" s="307"/>
      <c r="AI959" s="307"/>
      <c r="AJ959" s="300"/>
      <c r="AK959" s="300"/>
      <c r="AL959" s="300"/>
      <c r="AM959" s="300"/>
      <c r="AN959" s="300"/>
      <c r="AO959" s="300"/>
      <c r="AP959" s="300"/>
      <c r="AQ959" s="192"/>
    </row>
    <row r="960" spans="1:43" s="115" customFormat="1" ht="15" customHeight="1">
      <c r="A960" s="555"/>
      <c r="B960" s="217"/>
      <c r="C960" s="217"/>
      <c r="D960" s="101"/>
      <c r="E960" s="217"/>
      <c r="F960" s="294"/>
      <c r="G960" s="295"/>
      <c r="H960" s="98"/>
      <c r="I960" s="106"/>
      <c r="J960" s="106"/>
      <c r="K960" s="106"/>
      <c r="L960" s="106"/>
      <c r="M960" s="106"/>
      <c r="N960" s="112"/>
      <c r="O960" s="112"/>
      <c r="P960" s="112"/>
      <c r="Q960" s="113"/>
      <c r="R960" s="113"/>
      <c r="S960" s="113"/>
      <c r="T960" s="113"/>
      <c r="U960" s="99"/>
      <c r="V960" s="255"/>
      <c r="W960" s="102"/>
      <c r="X960" s="102"/>
      <c r="Y960" s="102"/>
      <c r="Z960" s="192"/>
      <c r="AA960" s="615"/>
      <c r="AB960" s="307"/>
      <c r="AC960" s="300"/>
      <c r="AD960" s="300"/>
      <c r="AE960" s="300"/>
      <c r="AF960" s="300"/>
      <c r="AG960" s="300"/>
      <c r="AH960" s="307"/>
      <c r="AI960" s="307"/>
      <c r="AJ960" s="300"/>
      <c r="AK960" s="300"/>
      <c r="AL960" s="300"/>
      <c r="AM960" s="300"/>
      <c r="AN960" s="300"/>
      <c r="AO960" s="300"/>
      <c r="AP960" s="300"/>
      <c r="AQ960" s="192"/>
    </row>
    <row r="961" spans="1:59" s="115" customFormat="1" ht="15" customHeight="1">
      <c r="A961" s="555"/>
      <c r="B961" s="217"/>
      <c r="C961" s="217"/>
      <c r="D961" s="101"/>
      <c r="E961" s="217"/>
      <c r="F961" s="294"/>
      <c r="G961" s="295"/>
      <c r="H961" s="114" t="s">
        <v>763</v>
      </c>
      <c r="I961" s="108">
        <f t="shared" ref="I961" si="1348">SUBTOTAL(9,I925:I960)</f>
        <v>1646452.3300000003</v>
      </c>
      <c r="J961" s="108">
        <f t="shared" ref="J961:T961" si="1349">SUBTOTAL(9,J925:J960)</f>
        <v>2133775.0499999998</v>
      </c>
      <c r="K961" s="108">
        <f t="shared" ref="K961" si="1350">SUBTOTAL(9,K925:K960)</f>
        <v>2230019.1300000008</v>
      </c>
      <c r="L961" s="108">
        <f t="shared" ref="L961" si="1351">SUBTOTAL(9,L925:L960)</f>
        <v>2527387.4899999998</v>
      </c>
      <c r="M961" s="108">
        <f t="shared" si="1349"/>
        <v>2575982</v>
      </c>
      <c r="N961" s="108">
        <f t="shared" ref="N961" si="1352">SUBTOTAL(9,N925:N960)</f>
        <v>1918505.3499999999</v>
      </c>
      <c r="O961" s="108">
        <f t="shared" si="1349"/>
        <v>2716151</v>
      </c>
      <c r="P961" s="108">
        <f t="shared" si="1349"/>
        <v>140169</v>
      </c>
      <c r="Q961" s="108">
        <f t="shared" si="1349"/>
        <v>2792012</v>
      </c>
      <c r="R961" s="108">
        <f t="shared" si="1349"/>
        <v>0</v>
      </c>
      <c r="S961" s="108">
        <f t="shared" si="1349"/>
        <v>0</v>
      </c>
      <c r="T961" s="108">
        <f t="shared" si="1349"/>
        <v>2792012</v>
      </c>
      <c r="U961" s="99">
        <f>T961-M961</f>
        <v>216030</v>
      </c>
      <c r="V961" s="255">
        <f>IF(M961=0,"N/A",T961/M961-1)</f>
        <v>8.3863163640118588E-2</v>
      </c>
      <c r="W961" s="102"/>
      <c r="X961" s="102"/>
      <c r="Y961" s="102"/>
      <c r="Z961" s="192"/>
      <c r="AA961" s="615"/>
      <c r="AB961" s="305"/>
      <c r="AC961" s="93"/>
      <c r="AD961" s="93"/>
      <c r="AE961" s="93"/>
      <c r="AF961" s="93"/>
      <c r="AG961" s="93"/>
      <c r="AH961" s="307"/>
      <c r="AI961" s="307"/>
      <c r="AJ961" s="93"/>
      <c r="AK961" s="93"/>
      <c r="AL961" s="93"/>
      <c r="AM961" s="93"/>
      <c r="AN961" s="93"/>
      <c r="AO961" s="93"/>
      <c r="AP961" s="93"/>
      <c r="AQ961" s="192"/>
    </row>
    <row r="962" spans="1:59" s="75" customFormat="1" ht="15" customHeight="1" thickBot="1">
      <c r="A962" s="555"/>
      <c r="B962" s="217"/>
      <c r="C962" s="217"/>
      <c r="D962" s="101"/>
      <c r="E962" s="217"/>
      <c r="F962" s="294"/>
      <c r="G962" s="295"/>
      <c r="H962" s="98"/>
      <c r="I962" s="218"/>
      <c r="J962" s="218"/>
      <c r="K962" s="218"/>
      <c r="L962" s="218"/>
      <c r="M962" s="218"/>
      <c r="N962" s="96"/>
      <c r="O962" s="96"/>
      <c r="P962" s="96"/>
      <c r="Q962" s="212"/>
      <c r="R962" s="212"/>
      <c r="S962" s="212"/>
      <c r="T962" s="212"/>
      <c r="U962" s="99"/>
      <c r="V962" s="255"/>
      <c r="W962" s="102"/>
      <c r="X962" s="102"/>
      <c r="Y962" s="102"/>
      <c r="Z962" s="614"/>
      <c r="AA962" s="615"/>
      <c r="AB962" s="624"/>
      <c r="AC962" s="623"/>
      <c r="AD962" s="623"/>
      <c r="AE962" s="623"/>
      <c r="AF962" s="623"/>
      <c r="AG962" s="623"/>
      <c r="AH962" s="623"/>
      <c r="AI962" s="624"/>
      <c r="AJ962" s="307"/>
      <c r="AK962" s="307"/>
      <c r="AL962" s="307"/>
      <c r="AM962" s="307"/>
      <c r="AN962" s="307"/>
      <c r="AO962" s="192"/>
      <c r="AP962" s="531"/>
      <c r="AQ962" s="192"/>
      <c r="AR962" s="115"/>
      <c r="AS962" s="115"/>
      <c r="AT962" s="115"/>
      <c r="AU962" s="115"/>
      <c r="AV962" s="115"/>
      <c r="AW962" s="115"/>
      <c r="AX962" s="115"/>
      <c r="AY962" s="115"/>
      <c r="AZ962" s="115"/>
      <c r="BA962" s="115"/>
      <c r="BB962" s="115"/>
      <c r="BC962" s="115"/>
      <c r="BD962" s="115"/>
      <c r="BE962" s="74"/>
      <c r="BF962" s="74"/>
      <c r="BG962" s="74"/>
    </row>
    <row r="963" spans="1:59" s="75" customFormat="1" ht="21" customHeight="1" thickBot="1">
      <c r="A963" s="555"/>
      <c r="B963" s="217"/>
      <c r="C963" s="217"/>
      <c r="D963" s="101"/>
      <c r="E963" s="217"/>
      <c r="F963" s="294"/>
      <c r="G963" s="295"/>
      <c r="H963" s="665" t="s">
        <v>624</v>
      </c>
      <c r="I963" s="666"/>
      <c r="J963" s="666"/>
      <c r="K963" s="666"/>
      <c r="L963" s="666"/>
      <c r="M963" s="666"/>
      <c r="N963" s="666"/>
      <c r="O963" s="666"/>
      <c r="P963" s="666"/>
      <c r="Q963" s="666"/>
      <c r="R963" s="666"/>
      <c r="S963" s="666"/>
      <c r="T963" s="667"/>
      <c r="U963" s="99"/>
      <c r="V963" s="255"/>
      <c r="W963" s="102"/>
      <c r="X963" s="102"/>
      <c r="Y963" s="102"/>
      <c r="Z963" s="614"/>
      <c r="AA963" s="615"/>
      <c r="AB963" s="624"/>
      <c r="AC963" s="625"/>
      <c r="AD963" s="625"/>
      <c r="AE963" s="625"/>
      <c r="AF963" s="625"/>
      <c r="AG963" s="625"/>
      <c r="AH963" s="623"/>
      <c r="AI963" s="624"/>
      <c r="AJ963" s="626"/>
      <c r="AK963" s="626"/>
      <c r="AL963" s="626"/>
      <c r="AM963" s="626"/>
      <c r="AN963" s="626"/>
      <c r="AO963" s="628"/>
      <c r="AP963" s="628"/>
      <c r="AQ963" s="192"/>
      <c r="AR963" s="115"/>
      <c r="AS963" s="115"/>
      <c r="AT963" s="115"/>
      <c r="AU963" s="115"/>
      <c r="AV963" s="115"/>
      <c r="AW963" s="115"/>
      <c r="AX963" s="115"/>
      <c r="AY963" s="115"/>
      <c r="AZ963" s="115"/>
      <c r="BA963" s="115"/>
      <c r="BB963" s="115"/>
      <c r="BC963" s="115"/>
      <c r="BD963" s="115"/>
      <c r="BE963" s="74"/>
      <c r="BF963" s="74"/>
      <c r="BG963" s="74"/>
    </row>
    <row r="964" spans="1:59" ht="15" customHeight="1">
      <c r="A964" s="555"/>
      <c r="B964" s="217"/>
      <c r="C964" s="217"/>
      <c r="D964" s="101"/>
      <c r="E964" s="217"/>
      <c r="F964" s="294"/>
      <c r="G964" s="295"/>
      <c r="H964" s="225"/>
      <c r="I964" s="225"/>
      <c r="J964" s="225"/>
      <c r="K964" s="225"/>
      <c r="L964" s="225"/>
      <c r="M964" s="225"/>
      <c r="N964" s="225"/>
      <c r="O964" s="225"/>
      <c r="P964" s="225"/>
      <c r="Q964" s="225"/>
      <c r="R964" s="225"/>
      <c r="S964" s="225"/>
      <c r="T964" s="225"/>
      <c r="U964" s="99"/>
      <c r="V964" s="255"/>
      <c r="W964" s="102"/>
      <c r="X964" s="102"/>
      <c r="Y964" s="102"/>
      <c r="AA964" s="615"/>
      <c r="AC964" s="300"/>
      <c r="AD964" s="300"/>
      <c r="AE964" s="300"/>
      <c r="AF964" s="300"/>
      <c r="AG964" s="300"/>
      <c r="AJ964" s="300"/>
      <c r="AK964" s="300"/>
      <c r="AL964" s="300"/>
      <c r="AM964" s="300"/>
      <c r="AN964" s="300"/>
    </row>
    <row r="965" spans="1:59" ht="15" customHeight="1">
      <c r="A965" s="555" t="s">
        <v>2656</v>
      </c>
      <c r="B965" s="217" t="str">
        <f t="shared" si="1311"/>
        <v>100</v>
      </c>
      <c r="C965" s="217" t="str">
        <f t="shared" si="1312"/>
        <v>30</v>
      </c>
      <c r="D965" s="101" t="str">
        <f t="shared" si="1313"/>
        <v>304</v>
      </c>
      <c r="E965" s="217" t="str">
        <f t="shared" si="1314"/>
        <v>100-30-304</v>
      </c>
      <c r="F965" s="294" t="str">
        <f t="shared" si="1315"/>
        <v>50102</v>
      </c>
      <c r="G965" s="295" t="str">
        <f>VLOOKUP(F965,'GL Category'!A:C,3,FALSE)</f>
        <v>Personnel services</v>
      </c>
      <c r="H965" s="98" t="str">
        <f>VLOOKUP(F965,'GL Category'!A:C,2,FALSE)</f>
        <v>NON EXEMPT SALARIES</v>
      </c>
      <c r="I965" s="99">
        <f>SUMIF(Import!$B:$B,$A965,Import!D:D)</f>
        <v>128606.58</v>
      </c>
      <c r="J965" s="99">
        <f>SUMIF(Import!$B:$B,$A965,Import!E:E)</f>
        <v>133446.85</v>
      </c>
      <c r="K965" s="99">
        <f>SUMIF(Import!$B:$B,$A965,Import!F:F)</f>
        <v>175264.69</v>
      </c>
      <c r="L965" s="99">
        <f>SUMIF(Import!$B:$B,$A965,Import!G:G)</f>
        <v>176204.02</v>
      </c>
      <c r="M965" s="99">
        <f>SUMIF(Import!$B:$B,$A965,Import!H:H)</f>
        <v>171638</v>
      </c>
      <c r="N965" s="99">
        <f>SUMIF(Import!$B:$B,$A965,Import!I:I)</f>
        <v>123740.01</v>
      </c>
      <c r="O965" s="99">
        <f>SUMIF(Import!$B:$B,$A965,Import!J:J)</f>
        <v>164560</v>
      </c>
      <c r="P965" s="99">
        <f t="shared" ref="P965:P974" si="1353">O965-M965</f>
        <v>-7078</v>
      </c>
      <c r="Q965" s="99">
        <f>SUMIF(Import!$B:$B,$A965,Import!K:K)</f>
        <v>187365</v>
      </c>
      <c r="R965" s="99">
        <f>SUMIF(Import!$B:$B,$A965,Import!L:L)</f>
        <v>0</v>
      </c>
      <c r="S965" s="99">
        <f>SUMIF(Import!$B:$B,$A965,Import!M:M)</f>
        <v>0</v>
      </c>
      <c r="T965" s="99">
        <f>SUMIF(Import!$B:$B,$A965,Import!N:N)</f>
        <v>187365</v>
      </c>
      <c r="U965" s="99">
        <f t="shared" ref="U965:U974" si="1354">T965-M965</f>
        <v>15727</v>
      </c>
      <c r="V965" s="255">
        <f t="shared" ref="V965:V974" si="1355">IF(M965=0,"N/A",T965/M965-1)</f>
        <v>9.1628893368601361E-2</v>
      </c>
      <c r="W965" s="102" t="s">
        <v>2656</v>
      </c>
      <c r="X965" s="102"/>
      <c r="Y965" s="102"/>
      <c r="AA965" s="615"/>
      <c r="AC965" s="300"/>
      <c r="AD965" s="300"/>
      <c r="AE965" s="300"/>
      <c r="AF965" s="300"/>
      <c r="AG965" s="300"/>
      <c r="AJ965" s="300"/>
      <c r="AK965" s="300"/>
      <c r="AL965" s="300"/>
      <c r="AM965" s="300"/>
      <c r="AN965" s="300"/>
    </row>
    <row r="966" spans="1:59" ht="15" customHeight="1">
      <c r="A966" s="555" t="s">
        <v>2657</v>
      </c>
      <c r="B966" s="217" t="str">
        <f t="shared" si="1311"/>
        <v>100</v>
      </c>
      <c r="C966" s="217" t="str">
        <f t="shared" si="1312"/>
        <v>30</v>
      </c>
      <c r="D966" s="101" t="str">
        <f t="shared" si="1313"/>
        <v>304</v>
      </c>
      <c r="E966" s="217" t="str">
        <f t="shared" si="1314"/>
        <v>100-30-304</v>
      </c>
      <c r="F966" s="294" t="str">
        <f t="shared" si="1315"/>
        <v>50109</v>
      </c>
      <c r="G966" s="295" t="str">
        <f>VLOOKUP(F966,'GL Category'!A:C,3,FALSE)</f>
        <v>Personnel services</v>
      </c>
      <c r="H966" s="98" t="str">
        <f>VLOOKUP(F966,'GL Category'!A:C,2,FALSE)</f>
        <v>OVERTIME</v>
      </c>
      <c r="I966" s="99">
        <f>SUMIF(Import!$B:$B,$A966,Import!D:D)</f>
        <v>13005.75</v>
      </c>
      <c r="J966" s="99">
        <f>SUMIF(Import!$B:$B,$A966,Import!E:E)</f>
        <v>8458.25</v>
      </c>
      <c r="K966" s="99">
        <f>SUMIF(Import!$B:$B,$A966,Import!F:F)</f>
        <v>12827.88</v>
      </c>
      <c r="L966" s="99">
        <f>SUMIF(Import!$B:$B,$A966,Import!G:G)</f>
        <v>8286.19</v>
      </c>
      <c r="M966" s="99">
        <f>SUMIF(Import!$B:$B,$A966,Import!H:H)</f>
        <v>10511</v>
      </c>
      <c r="N966" s="99">
        <f>SUMIF(Import!$B:$B,$A966,Import!I:I)</f>
        <v>11882.74</v>
      </c>
      <c r="O966" s="99">
        <f>SUMIF(Import!$B:$B,$A966,Import!J:J)</f>
        <v>17312</v>
      </c>
      <c r="P966" s="99">
        <f t="shared" si="1353"/>
        <v>6801</v>
      </c>
      <c r="Q966" s="99">
        <f>SUMIF(Import!$B:$B,$A966,Import!K:K)</f>
        <v>11244</v>
      </c>
      <c r="R966" s="99">
        <f>SUMIF(Import!$B:$B,$A966,Import!L:L)</f>
        <v>0</v>
      </c>
      <c r="S966" s="99">
        <f>SUMIF(Import!$B:$B,$A966,Import!M:M)</f>
        <v>0</v>
      </c>
      <c r="T966" s="99">
        <f>SUMIF(Import!$B:$B,$A966,Import!N:N)</f>
        <v>11244</v>
      </c>
      <c r="U966" s="99">
        <f t="shared" si="1354"/>
        <v>733</v>
      </c>
      <c r="V966" s="255">
        <f t="shared" si="1355"/>
        <v>6.9736466558843135E-2</v>
      </c>
      <c r="W966" s="102" t="s">
        <v>2657</v>
      </c>
      <c r="X966" s="102"/>
      <c r="Y966" s="102"/>
      <c r="AA966" s="615"/>
      <c r="AC966" s="300"/>
      <c r="AD966" s="300"/>
      <c r="AE966" s="300"/>
      <c r="AF966" s="300"/>
      <c r="AG966" s="300"/>
      <c r="AJ966" s="300"/>
      <c r="AK966" s="300"/>
      <c r="AL966" s="300"/>
      <c r="AM966" s="300"/>
      <c r="AN966" s="300"/>
    </row>
    <row r="967" spans="1:59" ht="15" customHeight="1">
      <c r="A967" s="555" t="s">
        <v>2658</v>
      </c>
      <c r="B967" s="217" t="str">
        <f t="shared" si="1311"/>
        <v>100</v>
      </c>
      <c r="C967" s="217" t="str">
        <f t="shared" si="1312"/>
        <v>30</v>
      </c>
      <c r="D967" s="101" t="str">
        <f t="shared" si="1313"/>
        <v>304</v>
      </c>
      <c r="E967" s="217" t="str">
        <f t="shared" si="1314"/>
        <v>100-30-304</v>
      </c>
      <c r="F967" s="294" t="str">
        <f t="shared" si="1315"/>
        <v>50110</v>
      </c>
      <c r="G967" s="295" t="str">
        <f>VLOOKUP(F967,'GL Category'!A:C,3,FALSE)</f>
        <v>Personnel services</v>
      </c>
      <c r="H967" s="98" t="str">
        <f>VLOOKUP(F967,'GL Category'!A:C,2,FALSE)</f>
        <v>PART-TIME WAGES</v>
      </c>
      <c r="I967" s="99">
        <f>SUMIF(Import!$B:$B,$A967,Import!D:D)</f>
        <v>10622.56</v>
      </c>
      <c r="J967" s="99">
        <f>SUMIF(Import!$B:$B,$A967,Import!E:E)</f>
        <v>0</v>
      </c>
      <c r="K967" s="99">
        <f>SUMIF(Import!$B:$B,$A967,Import!F:F)</f>
        <v>0</v>
      </c>
      <c r="L967" s="99">
        <f>SUMIF(Import!$B:$B,$A967,Import!G:G)</f>
        <v>0</v>
      </c>
      <c r="M967" s="99">
        <f>SUMIF(Import!$B:$B,$A967,Import!H:H)</f>
        <v>0</v>
      </c>
      <c r="N967" s="99">
        <f>SUMIF(Import!$B:$B,$A967,Import!I:I)</f>
        <v>0</v>
      </c>
      <c r="O967" s="99">
        <f>SUMIF(Import!$B:$B,$A967,Import!J:J)</f>
        <v>0</v>
      </c>
      <c r="P967" s="99">
        <f t="shared" si="1353"/>
        <v>0</v>
      </c>
      <c r="Q967" s="99">
        <f>SUMIF(Import!$B:$B,$A967,Import!K:K)</f>
        <v>0</v>
      </c>
      <c r="R967" s="99">
        <f>SUMIF(Import!$B:$B,$A967,Import!L:L)</f>
        <v>0</v>
      </c>
      <c r="S967" s="99">
        <f>SUMIF(Import!$B:$B,$A967,Import!M:M)</f>
        <v>0</v>
      </c>
      <c r="T967" s="99">
        <f>SUMIF(Import!$B:$B,$A967,Import!N:N)</f>
        <v>0</v>
      </c>
      <c r="U967" s="99">
        <f t="shared" si="1354"/>
        <v>0</v>
      </c>
      <c r="V967" s="255" t="str">
        <f t="shared" si="1355"/>
        <v>N/A</v>
      </c>
      <c r="W967" s="102" t="s">
        <v>2658</v>
      </c>
      <c r="X967" s="102"/>
      <c r="Y967" s="102"/>
      <c r="AA967" s="615"/>
      <c r="AC967" s="300"/>
      <c r="AD967" s="300"/>
      <c r="AE967" s="300"/>
      <c r="AF967" s="300"/>
      <c r="AG967" s="300"/>
      <c r="AJ967" s="300"/>
      <c r="AK967" s="300"/>
      <c r="AL967" s="300"/>
      <c r="AM967" s="300"/>
      <c r="AN967" s="300"/>
    </row>
    <row r="968" spans="1:59" ht="15" customHeight="1">
      <c r="A968" s="555" t="s">
        <v>2659</v>
      </c>
      <c r="B968" s="217" t="str">
        <f t="shared" si="1311"/>
        <v>100</v>
      </c>
      <c r="C968" s="217" t="str">
        <f t="shared" si="1312"/>
        <v>30</v>
      </c>
      <c r="D968" s="101" t="str">
        <f t="shared" si="1313"/>
        <v>304</v>
      </c>
      <c r="E968" s="217" t="str">
        <f t="shared" si="1314"/>
        <v>100-30-304</v>
      </c>
      <c r="F968" s="294" t="str">
        <f t="shared" si="1315"/>
        <v>50111</v>
      </c>
      <c r="G968" s="295" t="str">
        <f>VLOOKUP(F968,'GL Category'!A:C,3,FALSE)</f>
        <v>Personnel services</v>
      </c>
      <c r="H968" s="98" t="str">
        <f>VLOOKUP(F968,'GL Category'!A:C,2,FALSE)</f>
        <v>LONGEVITY PAY</v>
      </c>
      <c r="I968" s="99">
        <f>SUMIF(Import!$B:$B,$A968,Import!D:D)</f>
        <v>1865</v>
      </c>
      <c r="J968" s="99">
        <f>SUMIF(Import!$B:$B,$A968,Import!E:E)</f>
        <v>1110</v>
      </c>
      <c r="K968" s="99">
        <f>SUMIF(Import!$B:$B,$A968,Import!F:F)</f>
        <v>1230</v>
      </c>
      <c r="L968" s="99">
        <f>SUMIF(Import!$B:$B,$A968,Import!G:G)</f>
        <v>1560</v>
      </c>
      <c r="M968" s="99">
        <f>SUMIF(Import!$B:$B,$A968,Import!H:H)</f>
        <v>475</v>
      </c>
      <c r="N968" s="99">
        <f>SUMIF(Import!$B:$B,$A968,Import!I:I)</f>
        <v>465</v>
      </c>
      <c r="O968" s="99">
        <f>SUMIF(Import!$B:$B,$A968,Import!J:J)</f>
        <v>465</v>
      </c>
      <c r="P968" s="99">
        <f t="shared" si="1353"/>
        <v>-10</v>
      </c>
      <c r="Q968" s="99">
        <f>SUMIF(Import!$B:$B,$A968,Import!K:K)</f>
        <v>756</v>
      </c>
      <c r="R968" s="99">
        <f>SUMIF(Import!$B:$B,$A968,Import!L:L)</f>
        <v>0</v>
      </c>
      <c r="S968" s="99">
        <f>SUMIF(Import!$B:$B,$A968,Import!M:M)</f>
        <v>0</v>
      </c>
      <c r="T968" s="99">
        <f>SUMIF(Import!$B:$B,$A968,Import!N:N)</f>
        <v>756</v>
      </c>
      <c r="U968" s="99">
        <f t="shared" si="1354"/>
        <v>281</v>
      </c>
      <c r="V968" s="255">
        <f t="shared" si="1355"/>
        <v>0.59157894736842098</v>
      </c>
      <c r="W968" s="102" t="s">
        <v>2659</v>
      </c>
      <c r="X968" s="102"/>
      <c r="Y968" s="102"/>
      <c r="AA968" s="615"/>
      <c r="AC968" s="300"/>
      <c r="AD968" s="300"/>
      <c r="AE968" s="300"/>
      <c r="AF968" s="300"/>
      <c r="AG968" s="300"/>
      <c r="AJ968" s="300"/>
      <c r="AK968" s="300"/>
      <c r="AL968" s="300"/>
      <c r="AM968" s="300"/>
      <c r="AN968" s="300"/>
    </row>
    <row r="969" spans="1:59" ht="15" customHeight="1">
      <c r="A969" s="555" t="s">
        <v>2660</v>
      </c>
      <c r="B969" s="217" t="str">
        <f t="shared" si="1311"/>
        <v>100</v>
      </c>
      <c r="C969" s="217" t="str">
        <f t="shared" si="1312"/>
        <v>30</v>
      </c>
      <c r="D969" s="101" t="str">
        <f t="shared" si="1313"/>
        <v>304</v>
      </c>
      <c r="E969" s="217" t="str">
        <f t="shared" si="1314"/>
        <v>100-30-304</v>
      </c>
      <c r="F969" s="294" t="str">
        <f t="shared" si="1315"/>
        <v>50112</v>
      </c>
      <c r="G969" s="295" t="str">
        <f>VLOOKUP(F969,'GL Category'!A:C,3,FALSE)</f>
        <v>Personnel services</v>
      </c>
      <c r="H969" s="98" t="str">
        <f>VLOOKUP(F969,'GL Category'!A:C,2,FALSE)</f>
        <v>TEMPORARY/SEASONAL WAGES</v>
      </c>
      <c r="I969" s="99">
        <f>SUMIF(Import!$B:$B,$A969,Import!D:D)</f>
        <v>0</v>
      </c>
      <c r="J969" s="99">
        <f>SUMIF(Import!$B:$B,$A969,Import!E:E)</f>
        <v>0</v>
      </c>
      <c r="K969" s="99">
        <f>SUMIF(Import!$B:$B,$A969,Import!F:F)</f>
        <v>0</v>
      </c>
      <c r="L969" s="99">
        <f>SUMIF(Import!$B:$B,$A969,Import!G:G)</f>
        <v>0</v>
      </c>
      <c r="M969" s="99">
        <f>SUMIF(Import!$B:$B,$A969,Import!H:H)</f>
        <v>0</v>
      </c>
      <c r="N969" s="99">
        <f>SUMIF(Import!$B:$B,$A969,Import!I:I)</f>
        <v>0</v>
      </c>
      <c r="O969" s="99">
        <f>SUMIF(Import!$B:$B,$A969,Import!J:J)</f>
        <v>0</v>
      </c>
      <c r="P969" s="99">
        <f t="shared" si="1353"/>
        <v>0</v>
      </c>
      <c r="Q969" s="99">
        <f>SUMIF(Import!$B:$B,$A969,Import!K:K)</f>
        <v>0</v>
      </c>
      <c r="R969" s="99">
        <f>SUMIF(Import!$B:$B,$A969,Import!L:L)</f>
        <v>0</v>
      </c>
      <c r="S969" s="99">
        <f>SUMIF(Import!$B:$B,$A969,Import!M:M)</f>
        <v>0</v>
      </c>
      <c r="T969" s="99">
        <f>SUMIF(Import!$B:$B,$A969,Import!N:N)</f>
        <v>0</v>
      </c>
      <c r="U969" s="99">
        <f t="shared" si="1354"/>
        <v>0</v>
      </c>
      <c r="V969" s="255" t="str">
        <f t="shared" si="1355"/>
        <v>N/A</v>
      </c>
      <c r="W969" s="102" t="s">
        <v>2660</v>
      </c>
      <c r="X969" s="102"/>
      <c r="Y969" s="102"/>
      <c r="AA969" s="615"/>
      <c r="AC969" s="300"/>
      <c r="AD969" s="300"/>
      <c r="AE969" s="300"/>
      <c r="AF969" s="300"/>
      <c r="AG969" s="300"/>
      <c r="AJ969" s="300"/>
      <c r="AK969" s="300"/>
      <c r="AL969" s="300"/>
      <c r="AM969" s="300"/>
      <c r="AN969" s="300"/>
    </row>
    <row r="970" spans="1:59" s="115" customFormat="1" ht="15" customHeight="1">
      <c r="A970" s="555" t="s">
        <v>2661</v>
      </c>
      <c r="B970" s="217" t="str">
        <f t="shared" si="1311"/>
        <v>100</v>
      </c>
      <c r="C970" s="217" t="str">
        <f t="shared" si="1312"/>
        <v>30</v>
      </c>
      <c r="D970" s="101" t="str">
        <f t="shared" si="1313"/>
        <v>304</v>
      </c>
      <c r="E970" s="217" t="str">
        <f t="shared" si="1314"/>
        <v>100-30-304</v>
      </c>
      <c r="F970" s="294" t="str">
        <f t="shared" si="1315"/>
        <v>50115</v>
      </c>
      <c r="G970" s="295" t="str">
        <f>VLOOKUP(F970,'GL Category'!A:C,3,FALSE)</f>
        <v>Personnel services</v>
      </c>
      <c r="H970" s="98" t="str">
        <f>VLOOKUP(F970,'GL Category'!A:C,2,FALSE)</f>
        <v>INCENTIVE/CERTIFICATION PAY</v>
      </c>
      <c r="I970" s="99">
        <f>SUMIF(Import!$B:$B,$A970,Import!D:D)</f>
        <v>10171.43</v>
      </c>
      <c r="J970" s="99">
        <f>SUMIF(Import!$B:$B,$A970,Import!E:E)</f>
        <v>12879.23</v>
      </c>
      <c r="K970" s="99">
        <f>SUMIF(Import!$B:$B,$A970,Import!F:F)</f>
        <v>16950.5</v>
      </c>
      <c r="L970" s="99">
        <f>SUMIF(Import!$B:$B,$A970,Import!G:G)</f>
        <v>16109.81</v>
      </c>
      <c r="M970" s="99">
        <f>SUMIF(Import!$B:$B,$A970,Import!H:H)</f>
        <v>21200</v>
      </c>
      <c r="N970" s="99">
        <f>SUMIF(Import!$B:$B,$A970,Import!I:I)</f>
        <v>12331.23</v>
      </c>
      <c r="O970" s="99">
        <f>SUMIF(Import!$B:$B,$A970,Import!J:J)</f>
        <v>23416</v>
      </c>
      <c r="P970" s="99">
        <f t="shared" si="1353"/>
        <v>2216</v>
      </c>
      <c r="Q970" s="99">
        <f>SUMIF(Import!$B:$B,$A970,Import!K:K)</f>
        <v>17200</v>
      </c>
      <c r="R970" s="99">
        <f>SUMIF(Import!$B:$B,$A970,Import!L:L)</f>
        <v>0</v>
      </c>
      <c r="S970" s="99">
        <f>SUMIF(Import!$B:$B,$A970,Import!M:M)</f>
        <v>0</v>
      </c>
      <c r="T970" s="99">
        <f>SUMIF(Import!$B:$B,$A970,Import!N:N)</f>
        <v>17200</v>
      </c>
      <c r="U970" s="99">
        <f t="shared" si="1354"/>
        <v>-4000</v>
      </c>
      <c r="V970" s="255">
        <f t="shared" si="1355"/>
        <v>-0.18867924528301883</v>
      </c>
      <c r="W970" s="102" t="s">
        <v>2661</v>
      </c>
      <c r="X970" s="102"/>
      <c r="Y970" s="102"/>
      <c r="Z970" s="192"/>
      <c r="AA970" s="615"/>
      <c r="AB970" s="307"/>
      <c r="AC970" s="300"/>
      <c r="AD970" s="300"/>
      <c r="AE970" s="300"/>
      <c r="AF970" s="300"/>
      <c r="AG970" s="300"/>
      <c r="AH970" s="307"/>
      <c r="AI970" s="307"/>
      <c r="AJ970" s="300"/>
      <c r="AK970" s="300"/>
      <c r="AL970" s="300"/>
      <c r="AM970" s="300"/>
      <c r="AN970" s="300"/>
      <c r="AO970" s="192"/>
      <c r="AP970" s="192"/>
      <c r="AQ970" s="192"/>
    </row>
    <row r="971" spans="1:59" s="115" customFormat="1" ht="15" customHeight="1">
      <c r="A971" s="555" t="s">
        <v>2662</v>
      </c>
      <c r="B971" s="217" t="str">
        <f t="shared" si="1311"/>
        <v>100</v>
      </c>
      <c r="C971" s="217" t="str">
        <f t="shared" si="1312"/>
        <v>30</v>
      </c>
      <c r="D971" s="101" t="str">
        <f t="shared" si="1313"/>
        <v>304</v>
      </c>
      <c r="E971" s="217" t="str">
        <f t="shared" si="1314"/>
        <v>100-30-304</v>
      </c>
      <c r="F971" s="294" t="str">
        <f t="shared" si="1315"/>
        <v>50610</v>
      </c>
      <c r="G971" s="295" t="str">
        <f>VLOOKUP(F971,'GL Category'!A:C,3,FALSE)</f>
        <v>Personnel services</v>
      </c>
      <c r="H971" s="98" t="str">
        <f>VLOOKUP(F971,'GL Category'!A:C,2,FALSE)</f>
        <v>SOCIAL SECURITY</v>
      </c>
      <c r="I971" s="99">
        <f>SUMIF(Import!$B:$B,$A971,Import!D:D)</f>
        <v>11518.23</v>
      </c>
      <c r="J971" s="99">
        <f>SUMIF(Import!$B:$B,$A971,Import!E:E)</f>
        <v>10904.04</v>
      </c>
      <c r="K971" s="99">
        <f>SUMIF(Import!$B:$B,$A971,Import!F:F)</f>
        <v>14673.15</v>
      </c>
      <c r="L971" s="99">
        <f>SUMIF(Import!$B:$B,$A971,Import!G:G)</f>
        <v>16778.05</v>
      </c>
      <c r="M971" s="99">
        <f>SUMIF(Import!$B:$B,$A971,Import!H:H)</f>
        <v>15610</v>
      </c>
      <c r="N971" s="99">
        <f>SUMIF(Import!$B:$B,$A971,Import!I:I)</f>
        <v>11120.15</v>
      </c>
      <c r="O971" s="99">
        <f>SUMIF(Import!$B:$B,$A971,Import!J:J)</f>
        <v>15369</v>
      </c>
      <c r="P971" s="99">
        <f t="shared" si="1353"/>
        <v>-241</v>
      </c>
      <c r="Q971" s="99">
        <f>SUMIF(Import!$B:$B,$A971,Import!K:K)</f>
        <v>16600</v>
      </c>
      <c r="R971" s="99">
        <f>SUMIF(Import!$B:$B,$A971,Import!L:L)</f>
        <v>0</v>
      </c>
      <c r="S971" s="99">
        <f>SUMIF(Import!$B:$B,$A971,Import!M:M)</f>
        <v>0</v>
      </c>
      <c r="T971" s="99">
        <f>SUMIF(Import!$B:$B,$A971,Import!N:N)</f>
        <v>16600</v>
      </c>
      <c r="U971" s="99">
        <f t="shared" si="1354"/>
        <v>990</v>
      </c>
      <c r="V971" s="255">
        <f t="shared" si="1355"/>
        <v>6.3420884048686732E-2</v>
      </c>
      <c r="W971" s="102" t="s">
        <v>2662</v>
      </c>
      <c r="X971" s="102"/>
      <c r="Y971" s="102"/>
      <c r="Z971" s="192"/>
      <c r="AA971" s="615"/>
      <c r="AB971" s="307"/>
      <c r="AC971" s="93"/>
      <c r="AD971" s="93"/>
      <c r="AE971" s="93"/>
      <c r="AF971" s="93"/>
      <c r="AG971" s="93"/>
      <c r="AH971" s="307"/>
      <c r="AI971" s="307"/>
      <c r="AJ971" s="93"/>
      <c r="AK971" s="93"/>
      <c r="AL971" s="93"/>
      <c r="AM971" s="93"/>
      <c r="AN971" s="93"/>
      <c r="AO971" s="192"/>
      <c r="AP971" s="192"/>
      <c r="AQ971" s="192"/>
    </row>
    <row r="972" spans="1:59" s="115" customFormat="1" ht="15" customHeight="1">
      <c r="A972" s="555" t="s">
        <v>2663</v>
      </c>
      <c r="B972" s="217" t="str">
        <f t="shared" si="1311"/>
        <v>100</v>
      </c>
      <c r="C972" s="217" t="str">
        <f t="shared" si="1312"/>
        <v>30</v>
      </c>
      <c r="D972" s="101" t="str">
        <f t="shared" si="1313"/>
        <v>304</v>
      </c>
      <c r="E972" s="217" t="str">
        <f t="shared" si="1314"/>
        <v>100-30-304</v>
      </c>
      <c r="F972" s="294" t="str">
        <f t="shared" si="1315"/>
        <v>50620</v>
      </c>
      <c r="G972" s="295" t="str">
        <f>VLOOKUP(F972,'GL Category'!A:C,3,FALSE)</f>
        <v>Personnel services</v>
      </c>
      <c r="H972" s="98" t="str">
        <f>VLOOKUP(F972,'GL Category'!A:C,2,FALSE)</f>
        <v>HEALTH/LIFE INSURANCE</v>
      </c>
      <c r="I972" s="99">
        <f>SUMIF(Import!$B:$B,$A972,Import!D:D)</f>
        <v>60314.559999999998</v>
      </c>
      <c r="J972" s="99">
        <f>SUMIF(Import!$B:$B,$A972,Import!E:E)</f>
        <v>56611.48</v>
      </c>
      <c r="K972" s="99">
        <f>SUMIF(Import!$B:$B,$A972,Import!F:F)</f>
        <v>62941.62</v>
      </c>
      <c r="L972" s="99">
        <f>SUMIF(Import!$B:$B,$A972,Import!G:G)</f>
        <v>63600.160000000003</v>
      </c>
      <c r="M972" s="99">
        <f>SUMIF(Import!$B:$B,$A972,Import!H:H)</f>
        <v>54959</v>
      </c>
      <c r="N972" s="99">
        <f>SUMIF(Import!$B:$B,$A972,Import!I:I)</f>
        <v>37349.279999999999</v>
      </c>
      <c r="O972" s="99">
        <f>SUMIF(Import!$B:$B,$A972,Import!J:J)</f>
        <v>51577</v>
      </c>
      <c r="P972" s="99">
        <f t="shared" si="1353"/>
        <v>-3382</v>
      </c>
      <c r="Q972" s="99">
        <f>SUMIF(Import!$B:$B,$A972,Import!K:K)</f>
        <v>51524</v>
      </c>
      <c r="R972" s="99">
        <f>SUMIF(Import!$B:$B,$A972,Import!L:L)</f>
        <v>0</v>
      </c>
      <c r="S972" s="99">
        <f>SUMIF(Import!$B:$B,$A972,Import!M:M)</f>
        <v>0</v>
      </c>
      <c r="T972" s="99">
        <f>SUMIF(Import!$B:$B,$A972,Import!N:N)</f>
        <v>51524</v>
      </c>
      <c r="U972" s="99">
        <f t="shared" si="1354"/>
        <v>-3435</v>
      </c>
      <c r="V972" s="255">
        <f t="shared" si="1355"/>
        <v>-6.2501137211375735E-2</v>
      </c>
      <c r="W972" s="102" t="s">
        <v>2663</v>
      </c>
      <c r="X972" s="102"/>
      <c r="Y972" s="102"/>
      <c r="Z972" s="192"/>
      <c r="AA972" s="615"/>
      <c r="AB972" s="307"/>
      <c r="AC972" s="300"/>
      <c r="AD972" s="300"/>
      <c r="AE972" s="300"/>
      <c r="AF972" s="300"/>
      <c r="AG972" s="300"/>
      <c r="AH972" s="307"/>
      <c r="AI972" s="307"/>
      <c r="AJ972" s="300"/>
      <c r="AK972" s="300"/>
      <c r="AL972" s="300"/>
      <c r="AM972" s="300"/>
      <c r="AN972" s="300"/>
      <c r="AO972" s="192"/>
      <c r="AP972" s="192"/>
      <c r="AQ972" s="192"/>
    </row>
    <row r="973" spans="1:59" s="115" customFormat="1" ht="15" customHeight="1">
      <c r="A973" s="555" t="s">
        <v>2664</v>
      </c>
      <c r="B973" s="217" t="str">
        <f t="shared" si="1311"/>
        <v>100</v>
      </c>
      <c r="C973" s="217" t="str">
        <f t="shared" si="1312"/>
        <v>30</v>
      </c>
      <c r="D973" s="101" t="str">
        <f t="shared" si="1313"/>
        <v>304</v>
      </c>
      <c r="E973" s="217" t="str">
        <f t="shared" si="1314"/>
        <v>100-30-304</v>
      </c>
      <c r="F973" s="294" t="str">
        <f t="shared" si="1315"/>
        <v>50630</v>
      </c>
      <c r="G973" s="295" t="str">
        <f>VLOOKUP(F973,'GL Category'!A:C,3,FALSE)</f>
        <v>Personnel services</v>
      </c>
      <c r="H973" s="98" t="str">
        <f>VLOOKUP(F973,'GL Category'!A:C,2,FALSE)</f>
        <v>WORKER COMPENSATION</v>
      </c>
      <c r="I973" s="99">
        <f>SUMIF(Import!$B:$B,$A973,Import!D:D)</f>
        <v>1881.86</v>
      </c>
      <c r="J973" s="99">
        <f>SUMIF(Import!$B:$B,$A973,Import!E:E)</f>
        <v>1867.35</v>
      </c>
      <c r="K973" s="99">
        <f>SUMIF(Import!$B:$B,$A973,Import!F:F)</f>
        <v>1307.83</v>
      </c>
      <c r="L973" s="99">
        <f>SUMIF(Import!$B:$B,$A973,Import!G:G)</f>
        <v>3606.05</v>
      </c>
      <c r="M973" s="99">
        <f>SUMIF(Import!$B:$B,$A973,Import!H:H)</f>
        <v>4441</v>
      </c>
      <c r="N973" s="99">
        <f>SUMIF(Import!$B:$B,$A973,Import!I:I)</f>
        <v>4437.37</v>
      </c>
      <c r="O973" s="99">
        <f>SUMIF(Import!$B:$B,$A973,Import!J:J)</f>
        <v>4437</v>
      </c>
      <c r="P973" s="99">
        <f t="shared" si="1353"/>
        <v>-4</v>
      </c>
      <c r="Q973" s="99">
        <f>SUMIF(Import!$B:$B,$A973,Import!K:K)</f>
        <v>4642</v>
      </c>
      <c r="R973" s="99">
        <f>SUMIF(Import!$B:$B,$A973,Import!L:L)</f>
        <v>0</v>
      </c>
      <c r="S973" s="99">
        <f>SUMIF(Import!$B:$B,$A973,Import!M:M)</f>
        <v>0</v>
      </c>
      <c r="T973" s="99">
        <f>SUMIF(Import!$B:$B,$A973,Import!N:N)</f>
        <v>4642</v>
      </c>
      <c r="U973" s="99">
        <f t="shared" si="1354"/>
        <v>201</v>
      </c>
      <c r="V973" s="255">
        <f t="shared" si="1355"/>
        <v>4.5260076559333395E-2</v>
      </c>
      <c r="W973" s="102" t="s">
        <v>2664</v>
      </c>
      <c r="X973" s="102"/>
      <c r="Y973" s="102"/>
      <c r="Z973" s="192"/>
      <c r="AA973" s="615"/>
      <c r="AB973" s="307"/>
      <c r="AC973" s="300"/>
      <c r="AD973" s="300"/>
      <c r="AE973" s="300"/>
      <c r="AF973" s="300"/>
      <c r="AG973" s="300"/>
      <c r="AH973" s="307"/>
      <c r="AI973" s="307"/>
      <c r="AJ973" s="300"/>
      <c r="AK973" s="300"/>
      <c r="AL973" s="300"/>
      <c r="AM973" s="300"/>
      <c r="AN973" s="300"/>
      <c r="AO973" s="192"/>
      <c r="AP973" s="192"/>
      <c r="AQ973" s="192"/>
    </row>
    <row r="974" spans="1:59" s="115" customFormat="1" ht="15" customHeight="1">
      <c r="A974" s="555" t="s">
        <v>2665</v>
      </c>
      <c r="B974" s="217" t="str">
        <f t="shared" si="1311"/>
        <v>100</v>
      </c>
      <c r="C974" s="217" t="str">
        <f t="shared" si="1312"/>
        <v>30</v>
      </c>
      <c r="D974" s="101" t="str">
        <f t="shared" si="1313"/>
        <v>304</v>
      </c>
      <c r="E974" s="217" t="str">
        <f t="shared" si="1314"/>
        <v>100-30-304</v>
      </c>
      <c r="F974" s="294" t="str">
        <f t="shared" si="1315"/>
        <v>50650</v>
      </c>
      <c r="G974" s="295" t="str">
        <f>VLOOKUP(F974,'GL Category'!A:C,3,FALSE)</f>
        <v>Personnel services</v>
      </c>
      <c r="H974" s="98" t="str">
        <f>VLOOKUP(F974,'GL Category'!A:C,2,FALSE)</f>
        <v>RETIREMENT</v>
      </c>
      <c r="I974" s="99">
        <f>SUMIF(Import!$B:$B,$A974,Import!D:D)</f>
        <v>24393.87</v>
      </c>
      <c r="J974" s="99">
        <f>SUMIF(Import!$B:$B,$A974,Import!E:E)</f>
        <v>25214.57</v>
      </c>
      <c r="K974" s="99">
        <f>SUMIF(Import!$B:$B,$A974,Import!F:F)</f>
        <v>33394.5</v>
      </c>
      <c r="L974" s="99">
        <f>SUMIF(Import!$B:$B,$A974,Import!G:G)</f>
        <v>31204.59</v>
      </c>
      <c r="M974" s="99">
        <f>SUMIF(Import!$B:$B,$A974,Import!H:H)</f>
        <v>33712</v>
      </c>
      <c r="N974" s="99">
        <f>SUMIF(Import!$B:$B,$A974,Import!I:I)</f>
        <v>24845.21</v>
      </c>
      <c r="O974" s="99">
        <f>SUMIF(Import!$B:$B,$A974,Import!J:J)</f>
        <v>33970</v>
      </c>
      <c r="P974" s="99">
        <f t="shared" si="1353"/>
        <v>258</v>
      </c>
      <c r="Q974" s="99">
        <f>SUMIF(Import!$B:$B,$A974,Import!K:K)</f>
        <v>36686</v>
      </c>
      <c r="R974" s="99">
        <f>SUMIF(Import!$B:$B,$A974,Import!L:L)</f>
        <v>0</v>
      </c>
      <c r="S974" s="99">
        <f>SUMIF(Import!$B:$B,$A974,Import!M:M)</f>
        <v>0</v>
      </c>
      <c r="T974" s="99">
        <f>SUMIF(Import!$B:$B,$A974,Import!N:N)</f>
        <v>36686</v>
      </c>
      <c r="U974" s="99">
        <f t="shared" si="1354"/>
        <v>2974</v>
      </c>
      <c r="V974" s="255">
        <f t="shared" si="1355"/>
        <v>8.8217845277645868E-2</v>
      </c>
      <c r="W974" s="102" t="s">
        <v>2665</v>
      </c>
      <c r="X974" s="102"/>
      <c r="Y974" s="102"/>
      <c r="Z974" s="192"/>
      <c r="AA974" s="615"/>
      <c r="AB974" s="307"/>
      <c r="AC974" s="300"/>
      <c r="AD974" s="300"/>
      <c r="AE974" s="300"/>
      <c r="AF974" s="300"/>
      <c r="AG974" s="300"/>
      <c r="AH974" s="307"/>
      <c r="AI974" s="307"/>
      <c r="AJ974" s="300"/>
      <c r="AK974" s="300"/>
      <c r="AL974" s="300"/>
      <c r="AM974" s="300"/>
      <c r="AN974" s="300"/>
      <c r="AO974" s="192"/>
      <c r="AP974" s="192"/>
      <c r="AQ974" s="192"/>
    </row>
    <row r="975" spans="1:59" s="115" customFormat="1" ht="15" customHeight="1">
      <c r="A975" s="555"/>
      <c r="B975" s="217"/>
      <c r="C975" s="217"/>
      <c r="D975" s="101"/>
      <c r="E975" s="217"/>
      <c r="F975" s="294"/>
      <c r="G975" s="295"/>
      <c r="H975" s="107" t="str">
        <f>UPPER(G974)&amp;" TOTAL"</f>
        <v>PERSONNEL SERVICES TOTAL</v>
      </c>
      <c r="I975" s="108">
        <f t="shared" ref="I975" si="1356">SUBTOTAL(9,I965:I974)</f>
        <v>262379.84000000003</v>
      </c>
      <c r="J975" s="108">
        <f t="shared" ref="J975:T975" si="1357">SUBTOTAL(9,J965:J974)</f>
        <v>250491.77000000005</v>
      </c>
      <c r="K975" s="108">
        <f t="shared" ref="K975" si="1358">SUBTOTAL(9,K965:K974)</f>
        <v>318590.17000000004</v>
      </c>
      <c r="L975" s="108">
        <f t="shared" ref="L975" si="1359">SUBTOTAL(9,L965:L974)</f>
        <v>317348.87</v>
      </c>
      <c r="M975" s="108">
        <f t="shared" si="1357"/>
        <v>312546</v>
      </c>
      <c r="N975" s="108">
        <f t="shared" ref="N975" si="1360">SUBTOTAL(9,N965:N974)</f>
        <v>226170.99</v>
      </c>
      <c r="O975" s="108">
        <f t="shared" si="1357"/>
        <v>311106</v>
      </c>
      <c r="P975" s="108">
        <f t="shared" si="1357"/>
        <v>-1440</v>
      </c>
      <c r="Q975" s="108">
        <f t="shared" si="1357"/>
        <v>326017</v>
      </c>
      <c r="R975" s="108">
        <f t="shared" si="1357"/>
        <v>0</v>
      </c>
      <c r="S975" s="108">
        <f t="shared" si="1357"/>
        <v>0</v>
      </c>
      <c r="T975" s="108">
        <f t="shared" si="1357"/>
        <v>326017</v>
      </c>
      <c r="U975" s="99">
        <f>T975-M975</f>
        <v>13471</v>
      </c>
      <c r="V975" s="255">
        <f>IF(M975=0,"N/A",T975/M975-1)</f>
        <v>4.3100855554062401E-2</v>
      </c>
      <c r="W975" s="102"/>
      <c r="X975" s="102"/>
      <c r="Y975" s="102"/>
      <c r="Z975" s="192"/>
      <c r="AA975" s="615"/>
      <c r="AB975" s="307"/>
      <c r="AC975" s="300"/>
      <c r="AD975" s="300"/>
      <c r="AE975" s="300"/>
      <c r="AF975" s="300"/>
      <c r="AG975" s="300"/>
      <c r="AH975" s="307"/>
      <c r="AI975" s="307"/>
      <c r="AJ975" s="300"/>
      <c r="AK975" s="300"/>
      <c r="AL975" s="300"/>
      <c r="AM975" s="300"/>
      <c r="AN975" s="300"/>
      <c r="AO975" s="192"/>
      <c r="AP975" s="192"/>
      <c r="AQ975" s="192"/>
    </row>
    <row r="976" spans="1:59" s="115" customFormat="1" ht="15" customHeight="1">
      <c r="A976" s="555"/>
      <c r="B976" s="217"/>
      <c r="C976" s="217"/>
      <c r="D976" s="101"/>
      <c r="E976" s="217"/>
      <c r="F976" s="294"/>
      <c r="G976" s="295"/>
      <c r="H976" s="98"/>
      <c r="I976" s="106"/>
      <c r="J976" s="106"/>
      <c r="K976" s="106"/>
      <c r="L976" s="106"/>
      <c r="M976" s="106"/>
      <c r="N976" s="112"/>
      <c r="O976" s="112"/>
      <c r="P976" s="112"/>
      <c r="Q976" s="113"/>
      <c r="R976" s="113"/>
      <c r="S976" s="113"/>
      <c r="T976" s="113"/>
      <c r="U976" s="99"/>
      <c r="V976" s="255"/>
      <c r="W976" s="102"/>
      <c r="X976" s="102"/>
      <c r="Y976" s="102"/>
      <c r="Z976" s="192"/>
      <c r="AA976" s="615"/>
      <c r="AB976" s="307"/>
      <c r="AC976" s="300"/>
      <c r="AD976" s="300"/>
      <c r="AE976" s="300"/>
      <c r="AF976" s="300"/>
      <c r="AG976" s="300"/>
      <c r="AH976" s="307"/>
      <c r="AI976" s="307"/>
      <c r="AJ976" s="300"/>
      <c r="AK976" s="300"/>
      <c r="AL976" s="300"/>
      <c r="AM976" s="300"/>
      <c r="AN976" s="300"/>
      <c r="AO976" s="192"/>
      <c r="AP976" s="192"/>
      <c r="AQ976" s="192"/>
    </row>
    <row r="977" spans="1:43" s="115" customFormat="1" ht="15" customHeight="1">
      <c r="A977" s="555" t="s">
        <v>2666</v>
      </c>
      <c r="B977" s="217" t="str">
        <f t="shared" si="1311"/>
        <v>100</v>
      </c>
      <c r="C977" s="217" t="str">
        <f t="shared" si="1312"/>
        <v>30</v>
      </c>
      <c r="D977" s="101" t="str">
        <f t="shared" si="1313"/>
        <v>304</v>
      </c>
      <c r="E977" s="217" t="str">
        <f t="shared" si="1314"/>
        <v>100-30-304</v>
      </c>
      <c r="F977" s="294" t="str">
        <f t="shared" si="1315"/>
        <v>51225</v>
      </c>
      <c r="G977" s="295" t="str">
        <f>VLOOKUP(F977,'GL Category'!A:C,3,FALSE)</f>
        <v>Operations &amp; maintenance</v>
      </c>
      <c r="H977" s="98" t="str">
        <f>VLOOKUP(F977,'GL Category'!A:C,2,FALSE)</f>
        <v>JANITORIAL SUPPLIES</v>
      </c>
      <c r="I977" s="99">
        <f>SUMIF(Import!$B:$B,$A977,Import!D:D)</f>
        <v>2987.57</v>
      </c>
      <c r="J977" s="99">
        <f>SUMIF(Import!$B:$B,$A977,Import!E:E)</f>
        <v>3955.99</v>
      </c>
      <c r="K977" s="99">
        <f>SUMIF(Import!$B:$B,$A977,Import!F:F)</f>
        <v>4497.5</v>
      </c>
      <c r="L977" s="99">
        <f>SUMIF(Import!$B:$B,$A977,Import!G:G)</f>
        <v>3524.71</v>
      </c>
      <c r="M977" s="99">
        <f>SUMIF(Import!$B:$B,$A977,Import!H:H)</f>
        <v>3800</v>
      </c>
      <c r="N977" s="99">
        <f>SUMIF(Import!$B:$B,$A977,Import!I:I)</f>
        <v>2911.91</v>
      </c>
      <c r="O977" s="99">
        <f>SUMIF(Import!$B:$B,$A977,Import!J:J)</f>
        <v>3800</v>
      </c>
      <c r="P977" s="99">
        <f t="shared" ref="P977:P988" si="1361">O977-M977</f>
        <v>0</v>
      </c>
      <c r="Q977" s="99">
        <f>SUMIF(Import!$B:$B,$A977,Import!K:K)</f>
        <v>3800</v>
      </c>
      <c r="R977" s="99">
        <f>SUMIF(Import!$B:$B,$A977,Import!L:L)</f>
        <v>0</v>
      </c>
      <c r="S977" s="99">
        <f>SUMIF(Import!$B:$B,$A977,Import!M:M)</f>
        <v>0</v>
      </c>
      <c r="T977" s="99">
        <f>SUMIF(Import!$B:$B,$A977,Import!N:N)</f>
        <v>3800</v>
      </c>
      <c r="U977" s="99">
        <f t="shared" ref="U977:U988" si="1362">T977-M977</f>
        <v>0</v>
      </c>
      <c r="V977" s="255">
        <f t="shared" ref="V977:V988" si="1363">IF(M977=0,"N/A",T977/M977-1)</f>
        <v>0</v>
      </c>
      <c r="W977" s="102" t="s">
        <v>2666</v>
      </c>
      <c r="X977" s="102"/>
      <c r="Y977" s="102"/>
      <c r="Z977" s="192"/>
      <c r="AA977" s="615"/>
      <c r="AB977" s="307"/>
      <c r="AC977" s="515"/>
      <c r="AD977" s="93"/>
      <c r="AE977" s="93"/>
      <c r="AF977" s="93"/>
      <c r="AG977" s="93"/>
      <c r="AH977" s="307"/>
      <c r="AI977" s="307"/>
      <c r="AJ977" s="93"/>
      <c r="AK977" s="93"/>
      <c r="AL977" s="93"/>
      <c r="AM977" s="93"/>
      <c r="AN977" s="93"/>
      <c r="AO977" s="192"/>
      <c r="AP977" s="192"/>
      <c r="AQ977" s="192"/>
    </row>
    <row r="978" spans="1:43" s="115" customFormat="1" ht="15" customHeight="1">
      <c r="A978" s="555" t="s">
        <v>2667</v>
      </c>
      <c r="B978" s="217" t="str">
        <f t="shared" si="1311"/>
        <v>100</v>
      </c>
      <c r="C978" s="217" t="str">
        <f t="shared" si="1312"/>
        <v>30</v>
      </c>
      <c r="D978" s="101" t="str">
        <f t="shared" si="1313"/>
        <v>304</v>
      </c>
      <c r="E978" s="217" t="str">
        <f t="shared" si="1314"/>
        <v>100-30-304</v>
      </c>
      <c r="F978" s="294" t="str">
        <f t="shared" si="1315"/>
        <v>51210</v>
      </c>
      <c r="G978" s="295" t="str">
        <f>VLOOKUP(F978,'GL Category'!A:C,3,FALSE)</f>
        <v>Operations &amp; maintenance</v>
      </c>
      <c r="H978" s="98" t="str">
        <f>VLOOKUP(F978,'GL Category'!A:C,2,FALSE)</f>
        <v>OFFICE SUPPLIES</v>
      </c>
      <c r="I978" s="99">
        <f>SUMIF(Import!$B:$B,$A978,Import!D:D)</f>
        <v>109</v>
      </c>
      <c r="J978" s="99">
        <f>SUMIF(Import!$B:$B,$A978,Import!E:E)</f>
        <v>104</v>
      </c>
      <c r="K978" s="99">
        <f>SUMIF(Import!$B:$B,$A978,Import!F:F)</f>
        <v>0</v>
      </c>
      <c r="L978" s="99">
        <f>SUMIF(Import!$B:$B,$A978,Import!G:G)</f>
        <v>0</v>
      </c>
      <c r="M978" s="99">
        <f>SUMIF(Import!$B:$B,$A978,Import!H:H)</f>
        <v>0</v>
      </c>
      <c r="N978" s="99">
        <f>SUMIF(Import!$B:$B,$A978,Import!I:I)</f>
        <v>0</v>
      </c>
      <c r="O978" s="99">
        <f>SUMIF(Import!$B:$B,$A978,Import!J:J)</f>
        <v>0</v>
      </c>
      <c r="P978" s="99">
        <f t="shared" si="1361"/>
        <v>0</v>
      </c>
      <c r="Q978" s="99">
        <f>SUMIF(Import!$B:$B,$A978,Import!K:K)</f>
        <v>0</v>
      </c>
      <c r="R978" s="99">
        <f>SUMIF(Import!$B:$B,$A978,Import!L:L)</f>
        <v>0</v>
      </c>
      <c r="S978" s="99">
        <f>SUMIF(Import!$B:$B,$A978,Import!M:M)</f>
        <v>0</v>
      </c>
      <c r="T978" s="99">
        <f>SUMIF(Import!$B:$B,$A978,Import!N:N)</f>
        <v>0</v>
      </c>
      <c r="U978" s="99">
        <f t="shared" si="1362"/>
        <v>0</v>
      </c>
      <c r="V978" s="255" t="str">
        <f t="shared" si="1363"/>
        <v>N/A</v>
      </c>
      <c r="W978" s="102" t="s">
        <v>2667</v>
      </c>
      <c r="X978" s="102"/>
      <c r="Y978" s="102"/>
      <c r="Z978" s="192"/>
      <c r="AA978" s="615"/>
      <c r="AB978" s="307"/>
      <c r="AC978" s="515"/>
      <c r="AD978" s="300"/>
      <c r="AE978" s="300"/>
      <c r="AF978" s="300"/>
      <c r="AG978" s="300"/>
      <c r="AH978" s="307"/>
      <c r="AI978" s="307"/>
      <c r="AJ978" s="300"/>
      <c r="AK978" s="300"/>
      <c r="AL978" s="300"/>
      <c r="AM978" s="300"/>
      <c r="AN978" s="300"/>
      <c r="AO978" s="192"/>
      <c r="AP978" s="192"/>
      <c r="AQ978" s="192"/>
    </row>
    <row r="979" spans="1:43" s="115" customFormat="1" ht="15" customHeight="1">
      <c r="A979" s="555" t="s">
        <v>2668</v>
      </c>
      <c r="B979" s="217" t="str">
        <f t="shared" si="1311"/>
        <v>100</v>
      </c>
      <c r="C979" s="217" t="str">
        <f t="shared" si="1312"/>
        <v>30</v>
      </c>
      <c r="D979" s="101" t="str">
        <f t="shared" si="1313"/>
        <v>304</v>
      </c>
      <c r="E979" s="217" t="str">
        <f t="shared" si="1314"/>
        <v>100-30-304</v>
      </c>
      <c r="F979" s="294" t="str">
        <f t="shared" si="1315"/>
        <v>51245</v>
      </c>
      <c r="G979" s="295" t="str">
        <f>VLOOKUP(F979,'GL Category'!A:C,3,FALSE)</f>
        <v>Operations &amp; maintenance</v>
      </c>
      <c r="H979" s="98" t="str">
        <f>VLOOKUP(F979,'GL Category'!A:C,2,FALSE)</f>
        <v>SMALL TOOLS &amp; EQUIPMENT</v>
      </c>
      <c r="I979" s="99">
        <f>SUMIF(Import!$B:$B,$A979,Import!D:D)</f>
        <v>1913.42</v>
      </c>
      <c r="J979" s="99">
        <f>SUMIF(Import!$B:$B,$A979,Import!E:E)</f>
        <v>2211.8200000000002</v>
      </c>
      <c r="K979" s="99">
        <f>SUMIF(Import!$B:$B,$A979,Import!F:F)</f>
        <v>2804.36</v>
      </c>
      <c r="L979" s="99">
        <f>SUMIF(Import!$B:$B,$A979,Import!G:G)</f>
        <v>6414.25</v>
      </c>
      <c r="M979" s="99">
        <f>SUMIF(Import!$B:$B,$A979,Import!H:H)</f>
        <v>3000</v>
      </c>
      <c r="N979" s="99">
        <f>SUMIF(Import!$B:$B,$A979,Import!I:I)</f>
        <v>523.91</v>
      </c>
      <c r="O979" s="99">
        <f>SUMIF(Import!$B:$B,$A979,Import!J:J)</f>
        <v>3000</v>
      </c>
      <c r="P979" s="99">
        <f t="shared" si="1361"/>
        <v>0</v>
      </c>
      <c r="Q979" s="99">
        <f>SUMIF(Import!$B:$B,$A979,Import!K:K)</f>
        <v>3000</v>
      </c>
      <c r="R979" s="99">
        <f>SUMIF(Import!$B:$B,$A979,Import!L:L)</f>
        <v>0</v>
      </c>
      <c r="S979" s="99">
        <f>SUMIF(Import!$B:$B,$A979,Import!M:M)</f>
        <v>0</v>
      </c>
      <c r="T979" s="99">
        <f>SUMIF(Import!$B:$B,$A979,Import!N:N)</f>
        <v>3000</v>
      </c>
      <c r="U979" s="99">
        <f t="shared" si="1362"/>
        <v>0</v>
      </c>
      <c r="V979" s="255">
        <f t="shared" si="1363"/>
        <v>0</v>
      </c>
      <c r="W979" s="102" t="s">
        <v>2668</v>
      </c>
      <c r="X979" s="102"/>
      <c r="Y979" s="102"/>
      <c r="Z979" s="192"/>
      <c r="AA979" s="615"/>
      <c r="AB979" s="307"/>
      <c r="AC979" s="515"/>
      <c r="AD979" s="300"/>
      <c r="AE979" s="300"/>
      <c r="AF979" s="300"/>
      <c r="AG979" s="300"/>
      <c r="AH979" s="307"/>
      <c r="AI979" s="307"/>
      <c r="AJ979" s="300"/>
      <c r="AK979" s="300"/>
      <c r="AL979" s="300"/>
      <c r="AM979" s="300"/>
      <c r="AN979" s="300"/>
      <c r="AO979" s="192"/>
      <c r="AP979" s="192"/>
      <c r="AQ979" s="192"/>
    </row>
    <row r="980" spans="1:43" s="115" customFormat="1" ht="15" customHeight="1">
      <c r="A980" s="555" t="s">
        <v>2669</v>
      </c>
      <c r="B980" s="217" t="str">
        <f t="shared" si="1311"/>
        <v>100</v>
      </c>
      <c r="C980" s="217" t="str">
        <f t="shared" si="1312"/>
        <v>30</v>
      </c>
      <c r="D980" s="101" t="str">
        <f t="shared" si="1313"/>
        <v>304</v>
      </c>
      <c r="E980" s="217" t="str">
        <f t="shared" si="1314"/>
        <v>100-30-304</v>
      </c>
      <c r="F980" s="294" t="str">
        <f t="shared" si="1315"/>
        <v>51255</v>
      </c>
      <c r="G980" s="295" t="str">
        <f>VLOOKUP(F980,'GL Category'!A:C,3,FALSE)</f>
        <v>Operations &amp; maintenance</v>
      </c>
      <c r="H980" s="98" t="str">
        <f>VLOOKUP(F980,'GL Category'!A:C,2,FALSE)</f>
        <v>FUEL/OILS/LUBRICANTS</v>
      </c>
      <c r="I980" s="99">
        <f>SUMIF(Import!$B:$B,$A980,Import!D:D)</f>
        <v>4455.2700000000004</v>
      </c>
      <c r="J980" s="99">
        <f>SUMIF(Import!$B:$B,$A980,Import!E:E)</f>
        <v>7741.59</v>
      </c>
      <c r="K980" s="99">
        <f>SUMIF(Import!$B:$B,$A980,Import!F:F)</f>
        <v>12558.31</v>
      </c>
      <c r="L980" s="99">
        <f>SUMIF(Import!$B:$B,$A980,Import!G:G)</f>
        <v>8317.7099999999991</v>
      </c>
      <c r="M980" s="99">
        <f>SUMIF(Import!$B:$B,$A980,Import!H:H)</f>
        <v>13000</v>
      </c>
      <c r="N980" s="99">
        <f>SUMIF(Import!$B:$B,$A980,Import!I:I)</f>
        <v>6835.26</v>
      </c>
      <c r="O980" s="99">
        <f>SUMIF(Import!$B:$B,$A980,Import!J:J)</f>
        <v>8000</v>
      </c>
      <c r="P980" s="99">
        <f t="shared" si="1361"/>
        <v>-5000</v>
      </c>
      <c r="Q980" s="99">
        <f>SUMIF(Import!$B:$B,$A980,Import!K:K)</f>
        <v>13000</v>
      </c>
      <c r="R980" s="99">
        <f>SUMIF(Import!$B:$B,$A980,Import!L:L)</f>
        <v>0</v>
      </c>
      <c r="S980" s="99">
        <f>SUMIF(Import!$B:$B,$A980,Import!M:M)</f>
        <v>0</v>
      </c>
      <c r="T980" s="99">
        <f>SUMIF(Import!$B:$B,$A980,Import!N:N)</f>
        <v>13000</v>
      </c>
      <c r="U980" s="99">
        <f t="shared" si="1362"/>
        <v>0</v>
      </c>
      <c r="V980" s="255">
        <f t="shared" si="1363"/>
        <v>0</v>
      </c>
      <c r="W980" s="102" t="s">
        <v>2669</v>
      </c>
      <c r="X980" s="102"/>
      <c r="Y980" s="102"/>
      <c r="Z980" s="192"/>
      <c r="AA980" s="615"/>
      <c r="AB980" s="307"/>
      <c r="AC980" s="515"/>
      <c r="AD980" s="300"/>
      <c r="AE980" s="300"/>
      <c r="AF980" s="300"/>
      <c r="AG980" s="300"/>
      <c r="AH980" s="307"/>
      <c r="AI980" s="307"/>
      <c r="AJ980" s="300"/>
      <c r="AK980" s="300"/>
      <c r="AL980" s="300"/>
      <c r="AM980" s="300"/>
      <c r="AN980" s="300"/>
      <c r="AO980" s="192"/>
      <c r="AP980" s="192"/>
      <c r="AQ980" s="192"/>
    </row>
    <row r="981" spans="1:43" s="115" customFormat="1" ht="15" customHeight="1">
      <c r="A981" s="555" t="s">
        <v>2670</v>
      </c>
      <c r="B981" s="217" t="str">
        <f t="shared" ref="B981:B1043" si="1364">LEFT(A981,3)</f>
        <v>100</v>
      </c>
      <c r="C981" s="217" t="str">
        <f t="shared" ref="C981:C1043" si="1365">MID(A981,5,2)</f>
        <v>30</v>
      </c>
      <c r="D981" s="101" t="str">
        <f t="shared" ref="D981:D1043" si="1366">MID(A981,8,3)</f>
        <v>304</v>
      </c>
      <c r="E981" s="217" t="str">
        <f t="shared" ref="E981:E1043" si="1367">LEFT(A981,10)</f>
        <v>100-30-304</v>
      </c>
      <c r="F981" s="294" t="str">
        <f t="shared" ref="F981:F1043" si="1368">RIGHT(A981,5)</f>
        <v>51275</v>
      </c>
      <c r="G981" s="295" t="str">
        <f>VLOOKUP(F981,'GL Category'!A:C,3,FALSE)</f>
        <v>Operations &amp; maintenance</v>
      </c>
      <c r="H981" s="98" t="str">
        <f>VLOOKUP(F981,'GL Category'!A:C,2,FALSE)</f>
        <v>ANIMAL CONTROL SUPPLIES</v>
      </c>
      <c r="I981" s="99">
        <f>SUMIF(Import!$B:$B,$A981,Import!D:D)</f>
        <v>4098.13</v>
      </c>
      <c r="J981" s="99">
        <f>SUMIF(Import!$B:$B,$A981,Import!E:E)</f>
        <v>2303.4899999999998</v>
      </c>
      <c r="K981" s="99">
        <f>SUMIF(Import!$B:$B,$A981,Import!F:F)</f>
        <v>7185.8</v>
      </c>
      <c r="L981" s="99">
        <f>SUMIF(Import!$B:$B,$A981,Import!G:G)</f>
        <v>8128.62</v>
      </c>
      <c r="M981" s="99">
        <f>SUMIF(Import!$B:$B,$A981,Import!H:H)</f>
        <v>4300</v>
      </c>
      <c r="N981" s="99">
        <f>SUMIF(Import!$B:$B,$A981,Import!I:I)</f>
        <v>9000.14</v>
      </c>
      <c r="O981" s="99">
        <f>SUMIF(Import!$B:$B,$A981,Import!J:J)</f>
        <v>10000</v>
      </c>
      <c r="P981" s="99">
        <f t="shared" si="1361"/>
        <v>5700</v>
      </c>
      <c r="Q981" s="99">
        <f>SUMIF(Import!$B:$B,$A981,Import!K:K)</f>
        <v>4300</v>
      </c>
      <c r="R981" s="99">
        <f>SUMIF(Import!$B:$B,$A981,Import!L:L)</f>
        <v>0</v>
      </c>
      <c r="S981" s="99">
        <f>SUMIF(Import!$B:$B,$A981,Import!M:M)</f>
        <v>0</v>
      </c>
      <c r="T981" s="99">
        <f>SUMIF(Import!$B:$B,$A981,Import!N:N)</f>
        <v>4300</v>
      </c>
      <c r="U981" s="99">
        <f t="shared" si="1362"/>
        <v>0</v>
      </c>
      <c r="V981" s="255">
        <f t="shared" si="1363"/>
        <v>0</v>
      </c>
      <c r="W981" s="102" t="s">
        <v>2670</v>
      </c>
      <c r="X981" s="102"/>
      <c r="Y981" s="102"/>
      <c r="Z981" s="192"/>
      <c r="AA981" s="615"/>
      <c r="AB981" s="307"/>
      <c r="AC981" s="515"/>
      <c r="AD981" s="300"/>
      <c r="AE981" s="300"/>
      <c r="AF981" s="300"/>
      <c r="AG981" s="300"/>
      <c r="AH981" s="307"/>
      <c r="AI981" s="307"/>
      <c r="AJ981" s="300"/>
      <c r="AK981" s="300"/>
      <c r="AL981" s="300"/>
      <c r="AM981" s="300"/>
      <c r="AN981" s="300"/>
      <c r="AO981" s="192"/>
      <c r="AP981" s="192"/>
      <c r="AQ981" s="192"/>
    </row>
    <row r="982" spans="1:43" s="115" customFormat="1" ht="15" customHeight="1">
      <c r="A982" s="555" t="s">
        <v>2671</v>
      </c>
      <c r="B982" s="217" t="str">
        <f t="shared" si="1364"/>
        <v>100</v>
      </c>
      <c r="C982" s="217" t="str">
        <f t="shared" si="1365"/>
        <v>30</v>
      </c>
      <c r="D982" s="101" t="str">
        <f t="shared" si="1366"/>
        <v>304</v>
      </c>
      <c r="E982" s="217" t="str">
        <f t="shared" si="1367"/>
        <v>100-30-304</v>
      </c>
      <c r="F982" s="294" t="str">
        <f t="shared" si="1368"/>
        <v>51285</v>
      </c>
      <c r="G982" s="295" t="str">
        <f>VLOOKUP(F982,'GL Category'!A:C,3,FALSE)</f>
        <v>Operations &amp; maintenance</v>
      </c>
      <c r="H982" s="98" t="str">
        <f>VLOOKUP(F982,'GL Category'!A:C,2,FALSE)</f>
        <v>WEARING APPAREL</v>
      </c>
      <c r="I982" s="99">
        <f>SUMIF(Import!$B:$B,$A982,Import!D:D)</f>
        <v>475.86</v>
      </c>
      <c r="J982" s="99">
        <f>SUMIF(Import!$B:$B,$A982,Import!E:E)</f>
        <v>3819.03</v>
      </c>
      <c r="K982" s="99">
        <f>SUMIF(Import!$B:$B,$A982,Import!F:F)</f>
        <v>875.41</v>
      </c>
      <c r="L982" s="99">
        <f>SUMIF(Import!$B:$B,$A982,Import!G:G)</f>
        <v>2478.9899999999998</v>
      </c>
      <c r="M982" s="99">
        <f>SUMIF(Import!$B:$B,$A982,Import!H:H)</f>
        <v>2000</v>
      </c>
      <c r="N982" s="99">
        <f>SUMIF(Import!$B:$B,$A982,Import!I:I)</f>
        <v>2939.35</v>
      </c>
      <c r="O982" s="99">
        <f>SUMIF(Import!$B:$B,$A982,Import!J:J)</f>
        <v>3000</v>
      </c>
      <c r="P982" s="99">
        <f t="shared" si="1361"/>
        <v>1000</v>
      </c>
      <c r="Q982" s="99">
        <f>SUMIF(Import!$B:$B,$A982,Import!K:K)</f>
        <v>2000</v>
      </c>
      <c r="R982" s="99">
        <f>SUMIF(Import!$B:$B,$A982,Import!L:L)</f>
        <v>0</v>
      </c>
      <c r="S982" s="99">
        <f>SUMIF(Import!$B:$B,$A982,Import!M:M)</f>
        <v>0</v>
      </c>
      <c r="T982" s="99">
        <f>SUMIF(Import!$B:$B,$A982,Import!N:N)</f>
        <v>2000</v>
      </c>
      <c r="U982" s="99">
        <f t="shared" si="1362"/>
        <v>0</v>
      </c>
      <c r="V982" s="255">
        <f t="shared" si="1363"/>
        <v>0</v>
      </c>
      <c r="W982" s="102" t="s">
        <v>2671</v>
      </c>
      <c r="X982" s="102"/>
      <c r="Y982" s="102"/>
      <c r="Z982" s="192"/>
      <c r="AA982" s="615"/>
      <c r="AB982" s="307"/>
      <c r="AC982" s="515"/>
      <c r="AD982" s="300"/>
      <c r="AE982" s="300"/>
      <c r="AF982" s="300"/>
      <c r="AG982" s="300"/>
      <c r="AH982" s="307"/>
      <c r="AI982" s="307"/>
      <c r="AJ982" s="300"/>
      <c r="AK982" s="300"/>
      <c r="AL982" s="300"/>
      <c r="AM982" s="300"/>
      <c r="AN982" s="300"/>
      <c r="AO982" s="192"/>
      <c r="AP982" s="192"/>
      <c r="AQ982" s="192"/>
    </row>
    <row r="983" spans="1:43" s="115" customFormat="1" ht="15" customHeight="1">
      <c r="A983" s="555" t="s">
        <v>2672</v>
      </c>
      <c r="B983" s="217" t="str">
        <f t="shared" si="1364"/>
        <v>100</v>
      </c>
      <c r="C983" s="217" t="str">
        <f t="shared" si="1365"/>
        <v>30</v>
      </c>
      <c r="D983" s="101" t="str">
        <f t="shared" si="1366"/>
        <v>304</v>
      </c>
      <c r="E983" s="217" t="str">
        <f t="shared" si="1367"/>
        <v>100-30-304</v>
      </c>
      <c r="F983" s="294" t="str">
        <f t="shared" si="1368"/>
        <v>51299</v>
      </c>
      <c r="G983" s="295" t="str">
        <f>VLOOKUP(F983,'GL Category'!A:C,3,FALSE)</f>
        <v>Operations &amp; maintenance</v>
      </c>
      <c r="H983" s="98" t="str">
        <f>VLOOKUP(F983,'GL Category'!A:C,2,FALSE)</f>
        <v>MISCELLANEOUS SUPPLIES</v>
      </c>
      <c r="I983" s="99">
        <f>SUMIF(Import!$B:$B,$A983,Import!D:D)</f>
        <v>0</v>
      </c>
      <c r="J983" s="99">
        <f>SUMIF(Import!$B:$B,$A983,Import!E:E)</f>
        <v>0</v>
      </c>
      <c r="K983" s="99">
        <f>SUMIF(Import!$B:$B,$A983,Import!F:F)</f>
        <v>0</v>
      </c>
      <c r="L983" s="99">
        <f>SUMIF(Import!$B:$B,$A983,Import!G:G)</f>
        <v>0</v>
      </c>
      <c r="M983" s="99">
        <f>SUMIF(Import!$B:$B,$A983,Import!H:H)</f>
        <v>0</v>
      </c>
      <c r="N983" s="99">
        <f>SUMIF(Import!$B:$B,$A983,Import!I:I)</f>
        <v>0</v>
      </c>
      <c r="O983" s="99">
        <f>SUMIF(Import!$B:$B,$A983,Import!J:J)</f>
        <v>0</v>
      </c>
      <c r="P983" s="99">
        <f t="shared" si="1361"/>
        <v>0</v>
      </c>
      <c r="Q983" s="99">
        <f>SUMIF(Import!$B:$B,$A983,Import!K:K)</f>
        <v>0</v>
      </c>
      <c r="R983" s="99">
        <f>SUMIF(Import!$B:$B,$A983,Import!L:L)</f>
        <v>0</v>
      </c>
      <c r="S983" s="99">
        <f>SUMIF(Import!$B:$B,$A983,Import!M:M)</f>
        <v>0</v>
      </c>
      <c r="T983" s="99">
        <f>SUMIF(Import!$B:$B,$A983,Import!N:N)</f>
        <v>0</v>
      </c>
      <c r="U983" s="99">
        <f t="shared" si="1362"/>
        <v>0</v>
      </c>
      <c r="V983" s="255" t="str">
        <f t="shared" si="1363"/>
        <v>N/A</v>
      </c>
      <c r="W983" s="102" t="s">
        <v>2672</v>
      </c>
      <c r="X983" s="102"/>
      <c r="Y983" s="102"/>
      <c r="Z983" s="192"/>
      <c r="AA983" s="615"/>
      <c r="AB983" s="307"/>
      <c r="AC983" s="515"/>
      <c r="AD983" s="94"/>
      <c r="AE983" s="94"/>
      <c r="AF983" s="94"/>
      <c r="AG983" s="94"/>
      <c r="AH983" s="307"/>
      <c r="AI983" s="307"/>
      <c r="AJ983" s="94"/>
      <c r="AK983" s="94"/>
      <c r="AL983" s="94"/>
      <c r="AM983" s="94"/>
      <c r="AN983" s="94"/>
      <c r="AO983" s="192"/>
      <c r="AP983" s="192"/>
      <c r="AQ983" s="192"/>
    </row>
    <row r="984" spans="1:43" s="115" customFormat="1" ht="15" customHeight="1">
      <c r="A984" s="555" t="s">
        <v>2673</v>
      </c>
      <c r="B984" s="217" t="str">
        <f t="shared" si="1364"/>
        <v>100</v>
      </c>
      <c r="C984" s="217" t="str">
        <f t="shared" si="1365"/>
        <v>30</v>
      </c>
      <c r="D984" s="101" t="str">
        <f t="shared" si="1366"/>
        <v>304</v>
      </c>
      <c r="E984" s="217" t="str">
        <f t="shared" si="1367"/>
        <v>100-30-304</v>
      </c>
      <c r="F984" s="294" t="str">
        <f t="shared" si="1368"/>
        <v>52310</v>
      </c>
      <c r="G984" s="295" t="str">
        <f>VLOOKUP(F984,'GL Category'!A:C,3,FALSE)</f>
        <v>Operations &amp; maintenance</v>
      </c>
      <c r="H984" s="98" t="str">
        <f>VLOOKUP(F984,'GL Category'!A:C,2,FALSE)</f>
        <v>BUILDING MAINTENANCE</v>
      </c>
      <c r="I984" s="99">
        <f>SUMIF(Import!$B:$B,$A984,Import!D:D)</f>
        <v>2965.87</v>
      </c>
      <c r="J984" s="99">
        <f>SUMIF(Import!$B:$B,$A984,Import!E:E)</f>
        <v>4658.04</v>
      </c>
      <c r="K984" s="99">
        <f>SUMIF(Import!$B:$B,$A984,Import!F:F)</f>
        <v>1464.02</v>
      </c>
      <c r="L984" s="99">
        <f>SUMIF(Import!$B:$B,$A984,Import!G:G)</f>
        <v>2552.9499999999998</v>
      </c>
      <c r="M984" s="99">
        <f>SUMIF(Import!$B:$B,$A984,Import!H:H)</f>
        <v>2500</v>
      </c>
      <c r="N984" s="99">
        <f>SUMIF(Import!$B:$B,$A984,Import!I:I)</f>
        <v>8128.65</v>
      </c>
      <c r="O984" s="99">
        <f>SUMIF(Import!$B:$B,$A984,Import!J:J)</f>
        <v>9000</v>
      </c>
      <c r="P984" s="99">
        <f t="shared" si="1361"/>
        <v>6500</v>
      </c>
      <c r="Q984" s="99">
        <f>SUMIF(Import!$B:$B,$A984,Import!K:K)</f>
        <v>5000</v>
      </c>
      <c r="R984" s="99">
        <f>SUMIF(Import!$B:$B,$A984,Import!L:L)</f>
        <v>0</v>
      </c>
      <c r="S984" s="99">
        <f>SUMIF(Import!$B:$B,$A984,Import!M:M)</f>
        <v>0</v>
      </c>
      <c r="T984" s="99">
        <f>SUMIF(Import!$B:$B,$A984,Import!N:N)</f>
        <v>5000</v>
      </c>
      <c r="U984" s="99">
        <f t="shared" si="1362"/>
        <v>2500</v>
      </c>
      <c r="V984" s="255">
        <f t="shared" si="1363"/>
        <v>1</v>
      </c>
      <c r="W984" s="102" t="s">
        <v>2673</v>
      </c>
      <c r="X984" s="102"/>
      <c r="Y984" s="102"/>
      <c r="Z984" s="192"/>
      <c r="AA984" s="615"/>
      <c r="AB984" s="307"/>
      <c r="AC984" s="515"/>
      <c r="AD984" s="93"/>
      <c r="AE984" s="93"/>
      <c r="AF984" s="93"/>
      <c r="AG984" s="93"/>
      <c r="AH984" s="307"/>
      <c r="AI984" s="307"/>
      <c r="AJ984" s="93"/>
      <c r="AK984" s="93"/>
      <c r="AL984" s="93"/>
      <c r="AM984" s="93"/>
      <c r="AN984" s="93"/>
      <c r="AO984" s="192"/>
      <c r="AP984" s="192"/>
      <c r="AQ984" s="192"/>
    </row>
    <row r="985" spans="1:43" s="115" customFormat="1" ht="15" customHeight="1">
      <c r="A985" s="555" t="s">
        <v>2674</v>
      </c>
      <c r="B985" s="217" t="str">
        <f t="shared" si="1364"/>
        <v>100</v>
      </c>
      <c r="C985" s="217" t="str">
        <f t="shared" si="1365"/>
        <v>30</v>
      </c>
      <c r="D985" s="101" t="str">
        <f t="shared" si="1366"/>
        <v>304</v>
      </c>
      <c r="E985" s="217" t="str">
        <f t="shared" si="1367"/>
        <v>100-30-304</v>
      </c>
      <c r="F985" s="294" t="str">
        <f t="shared" si="1368"/>
        <v>52440</v>
      </c>
      <c r="G985" s="295" t="str">
        <f>VLOOKUP(F985,'GL Category'!A:C,3,FALSE)</f>
        <v>Operations &amp; maintenance</v>
      </c>
      <c r="H985" s="98" t="str">
        <f>VLOOKUP(F985,'GL Category'!A:C,2,FALSE)</f>
        <v>RADIO MAINTENANCE</v>
      </c>
      <c r="I985" s="99">
        <f>SUMIF(Import!$B:$B,$A985,Import!D:D)</f>
        <v>593.37</v>
      </c>
      <c r="J985" s="99">
        <f>SUMIF(Import!$B:$B,$A985,Import!E:E)</f>
        <v>303.7</v>
      </c>
      <c r="K985" s="99">
        <f>SUMIF(Import!$B:$B,$A985,Import!F:F)</f>
        <v>308.26</v>
      </c>
      <c r="L985" s="99">
        <f>SUMIF(Import!$B:$B,$A985,Import!G:G)</f>
        <v>312.82</v>
      </c>
      <c r="M985" s="99">
        <f>SUMIF(Import!$B:$B,$A985,Import!H:H)</f>
        <v>550</v>
      </c>
      <c r="N985" s="99">
        <f>SUMIF(Import!$B:$B,$A985,Import!I:I)</f>
        <v>317.38</v>
      </c>
      <c r="O985" s="99">
        <f>SUMIF(Import!$B:$B,$A985,Import!J:J)</f>
        <v>550</v>
      </c>
      <c r="P985" s="99">
        <f t="shared" si="1361"/>
        <v>0</v>
      </c>
      <c r="Q985" s="99">
        <f>SUMIF(Import!$B:$B,$A985,Import!K:K)</f>
        <v>550</v>
      </c>
      <c r="R985" s="99">
        <f>SUMIF(Import!$B:$B,$A985,Import!L:L)</f>
        <v>0</v>
      </c>
      <c r="S985" s="99">
        <f>SUMIF(Import!$B:$B,$A985,Import!M:M)</f>
        <v>0</v>
      </c>
      <c r="T985" s="99">
        <f>SUMIF(Import!$B:$B,$A985,Import!N:N)</f>
        <v>550</v>
      </c>
      <c r="U985" s="99">
        <f t="shared" si="1362"/>
        <v>0</v>
      </c>
      <c r="V985" s="255">
        <f t="shared" si="1363"/>
        <v>0</v>
      </c>
      <c r="W985" s="102" t="s">
        <v>2674</v>
      </c>
      <c r="X985" s="102"/>
      <c r="Y985" s="102"/>
      <c r="Z985" s="192"/>
      <c r="AA985" s="615"/>
      <c r="AB985" s="307"/>
      <c r="AC985" s="515"/>
      <c r="AD985" s="93"/>
      <c r="AE985" s="93"/>
      <c r="AF985" s="93"/>
      <c r="AG985" s="93"/>
      <c r="AH985" s="307"/>
      <c r="AI985" s="307"/>
      <c r="AJ985" s="93"/>
      <c r="AK985" s="93"/>
      <c r="AL985" s="93"/>
      <c r="AM985" s="93"/>
      <c r="AN985" s="93"/>
      <c r="AO985" s="192"/>
      <c r="AP985" s="192"/>
      <c r="AQ985" s="192"/>
    </row>
    <row r="986" spans="1:43" s="115" customFormat="1" ht="15" customHeight="1">
      <c r="A986" s="555" t="s">
        <v>2675</v>
      </c>
      <c r="B986" s="217" t="str">
        <f t="shared" si="1364"/>
        <v>100</v>
      </c>
      <c r="C986" s="217" t="str">
        <f t="shared" si="1365"/>
        <v>30</v>
      </c>
      <c r="D986" s="101" t="str">
        <f t="shared" si="1366"/>
        <v>304</v>
      </c>
      <c r="E986" s="217" t="str">
        <f t="shared" si="1367"/>
        <v>100-30-304</v>
      </c>
      <c r="F986" s="294" t="str">
        <f t="shared" si="1368"/>
        <v>52460</v>
      </c>
      <c r="G986" s="295" t="str">
        <f>VLOOKUP(F986,'GL Category'!A:C,3,FALSE)</f>
        <v>Operations &amp; maintenance</v>
      </c>
      <c r="H986" s="98" t="str">
        <f>VLOOKUP(F986,'GL Category'!A:C,2,FALSE)</f>
        <v>VEHICLE MAINTENANCE</v>
      </c>
      <c r="I986" s="99">
        <f>SUMIF(Import!$B:$B,$A986,Import!D:D)</f>
        <v>2758.88</v>
      </c>
      <c r="J986" s="99">
        <f>SUMIF(Import!$B:$B,$A986,Import!E:E)</f>
        <v>1151.9100000000001</v>
      </c>
      <c r="K986" s="99">
        <f>SUMIF(Import!$B:$B,$A986,Import!F:F)</f>
        <v>9689.33</v>
      </c>
      <c r="L986" s="99">
        <f>SUMIF(Import!$B:$B,$A986,Import!G:G)</f>
        <v>4532.8599999999997</v>
      </c>
      <c r="M986" s="99">
        <f>SUMIF(Import!$B:$B,$A986,Import!H:H)</f>
        <v>3000</v>
      </c>
      <c r="N986" s="99">
        <f>SUMIF(Import!$B:$B,$A986,Import!I:I)</f>
        <v>6117.21</v>
      </c>
      <c r="O986" s="99">
        <f>SUMIF(Import!$B:$B,$A986,Import!J:J)</f>
        <v>8000</v>
      </c>
      <c r="P986" s="99">
        <f t="shared" si="1361"/>
        <v>5000</v>
      </c>
      <c r="Q986" s="99">
        <f>SUMIF(Import!$B:$B,$A986,Import!K:K)</f>
        <v>3000</v>
      </c>
      <c r="R986" s="99">
        <f>SUMIF(Import!$B:$B,$A986,Import!L:L)</f>
        <v>0</v>
      </c>
      <c r="S986" s="99">
        <f>SUMIF(Import!$B:$B,$A986,Import!M:M)</f>
        <v>0</v>
      </c>
      <c r="T986" s="99">
        <f>SUMIF(Import!$B:$B,$A986,Import!N:N)</f>
        <v>3000</v>
      </c>
      <c r="U986" s="99">
        <f t="shared" si="1362"/>
        <v>0</v>
      </c>
      <c r="V986" s="255">
        <f t="shared" si="1363"/>
        <v>0</v>
      </c>
      <c r="W986" s="102" t="s">
        <v>2675</v>
      </c>
      <c r="X986" s="102"/>
      <c r="Y986" s="102"/>
      <c r="Z986" s="192"/>
      <c r="AA986" s="615"/>
      <c r="AB986" s="307"/>
      <c r="AC986" s="515"/>
      <c r="AD986" s="300"/>
      <c r="AE986" s="300"/>
      <c r="AF986" s="300"/>
      <c r="AG986" s="300"/>
      <c r="AH986" s="307"/>
      <c r="AI986" s="307"/>
      <c r="AJ986" s="300"/>
      <c r="AK986" s="300"/>
      <c r="AL986" s="300"/>
      <c r="AM986" s="300"/>
      <c r="AN986" s="300"/>
      <c r="AO986" s="192"/>
      <c r="AP986" s="192"/>
      <c r="AQ986" s="192"/>
    </row>
    <row r="987" spans="1:43" s="115" customFormat="1" ht="15" customHeight="1">
      <c r="A987" s="555" t="s">
        <v>2676</v>
      </c>
      <c r="B987" s="217" t="str">
        <f t="shared" si="1364"/>
        <v>100</v>
      </c>
      <c r="C987" s="217" t="str">
        <f t="shared" si="1365"/>
        <v>30</v>
      </c>
      <c r="D987" s="101" t="str">
        <f t="shared" si="1366"/>
        <v>304</v>
      </c>
      <c r="E987" s="217" t="str">
        <f t="shared" si="1367"/>
        <v>100-30-304</v>
      </c>
      <c r="F987" s="294" t="str">
        <f t="shared" si="1368"/>
        <v>52470</v>
      </c>
      <c r="G987" s="295" t="str">
        <f>VLOOKUP(F987,'GL Category'!A:C,3,FALSE)</f>
        <v>Operations &amp; maintenance</v>
      </c>
      <c r="H987" s="98" t="str">
        <f>VLOOKUP(F987,'GL Category'!A:C,2,FALSE)</f>
        <v>EQUIPMENT MAINTENANCE</v>
      </c>
      <c r="I987" s="99">
        <f>SUMIF(Import!$B:$B,$A987,Import!D:D)</f>
        <v>625</v>
      </c>
      <c r="J987" s="99">
        <f>SUMIF(Import!$B:$B,$A987,Import!E:E)</f>
        <v>190</v>
      </c>
      <c r="K987" s="99">
        <f>SUMIF(Import!$B:$B,$A987,Import!F:F)</f>
        <v>766.15</v>
      </c>
      <c r="L987" s="99">
        <f>SUMIF(Import!$B:$B,$A987,Import!G:G)</f>
        <v>0</v>
      </c>
      <c r="M987" s="99">
        <f>SUMIF(Import!$B:$B,$A987,Import!H:H)</f>
        <v>0</v>
      </c>
      <c r="N987" s="99">
        <f>SUMIF(Import!$B:$B,$A987,Import!I:I)</f>
        <v>485</v>
      </c>
      <c r="O987" s="99">
        <f>SUMIF(Import!$B:$B,$A987,Import!J:J)</f>
        <v>0</v>
      </c>
      <c r="P987" s="99">
        <f t="shared" si="1361"/>
        <v>0</v>
      </c>
      <c r="Q987" s="99">
        <f>SUMIF(Import!$B:$B,$A987,Import!K:K)</f>
        <v>0</v>
      </c>
      <c r="R987" s="99">
        <f>SUMIF(Import!$B:$B,$A987,Import!L:L)</f>
        <v>0</v>
      </c>
      <c r="S987" s="99">
        <f>SUMIF(Import!$B:$B,$A987,Import!M:M)</f>
        <v>0</v>
      </c>
      <c r="T987" s="99">
        <f>SUMIF(Import!$B:$B,$A987,Import!N:N)</f>
        <v>0</v>
      </c>
      <c r="U987" s="99">
        <f t="shared" si="1362"/>
        <v>0</v>
      </c>
      <c r="V987" s="255" t="str">
        <f t="shared" si="1363"/>
        <v>N/A</v>
      </c>
      <c r="W987" s="102" t="s">
        <v>2676</v>
      </c>
      <c r="X987" s="102"/>
      <c r="Y987" s="102"/>
      <c r="Z987" s="192"/>
      <c r="AA987" s="615"/>
      <c r="AB987" s="307"/>
      <c r="AC987" s="515"/>
      <c r="AD987" s="300"/>
      <c r="AE987" s="300"/>
      <c r="AF987" s="300"/>
      <c r="AG987" s="300"/>
      <c r="AH987" s="307"/>
      <c r="AI987" s="307"/>
      <c r="AJ987" s="300"/>
      <c r="AK987" s="300"/>
      <c r="AL987" s="300"/>
      <c r="AM987" s="300"/>
      <c r="AN987" s="300"/>
      <c r="AO987" s="192"/>
      <c r="AP987" s="192"/>
      <c r="AQ987" s="192"/>
    </row>
    <row r="988" spans="1:43" s="115" customFormat="1" ht="15" customHeight="1">
      <c r="A988" s="555" t="s">
        <v>2677</v>
      </c>
      <c r="B988" s="217" t="str">
        <f t="shared" si="1364"/>
        <v>100</v>
      </c>
      <c r="C988" s="217" t="str">
        <f t="shared" si="1365"/>
        <v>30</v>
      </c>
      <c r="D988" s="101" t="str">
        <f t="shared" si="1366"/>
        <v>304</v>
      </c>
      <c r="E988" s="217" t="str">
        <f t="shared" si="1367"/>
        <v>100-30-304</v>
      </c>
      <c r="F988" s="294" t="str">
        <f t="shared" si="1368"/>
        <v>52490</v>
      </c>
      <c r="G988" s="295" t="str">
        <f>VLOOKUP(F988,'GL Category'!A:C,3,FALSE)</f>
        <v>Operations &amp; maintenance</v>
      </c>
      <c r="H988" s="98" t="str">
        <f>VLOOKUP(F988,'GL Category'!A:C,2,FALSE)</f>
        <v>A/C &amp; HEATING MAINTENANCE</v>
      </c>
      <c r="I988" s="99">
        <f>SUMIF(Import!$B:$B,$A988,Import!D:D)</f>
        <v>6724.81</v>
      </c>
      <c r="J988" s="99">
        <f>SUMIF(Import!$B:$B,$A988,Import!E:E)</f>
        <v>5249.55</v>
      </c>
      <c r="K988" s="99">
        <f>SUMIF(Import!$B:$B,$A988,Import!F:F)</f>
        <v>9953.1</v>
      </c>
      <c r="L988" s="99">
        <f>SUMIF(Import!$B:$B,$A988,Import!G:G)</f>
        <v>13514.94</v>
      </c>
      <c r="M988" s="99">
        <f>SUMIF(Import!$B:$B,$A988,Import!H:H)</f>
        <v>6800</v>
      </c>
      <c r="N988" s="99">
        <f>SUMIF(Import!$B:$B,$A988,Import!I:I)</f>
        <v>19028.61</v>
      </c>
      <c r="O988" s="99">
        <f>SUMIF(Import!$B:$B,$A988,Import!J:J)</f>
        <v>20000</v>
      </c>
      <c r="P988" s="99">
        <f t="shared" si="1361"/>
        <v>13200</v>
      </c>
      <c r="Q988" s="99">
        <f>SUMIF(Import!$B:$B,$A988,Import!K:K)</f>
        <v>6800</v>
      </c>
      <c r="R988" s="99">
        <f>SUMIF(Import!$B:$B,$A988,Import!L:L)</f>
        <v>0</v>
      </c>
      <c r="S988" s="99">
        <f>SUMIF(Import!$B:$B,$A988,Import!M:M)</f>
        <v>0</v>
      </c>
      <c r="T988" s="99">
        <f>SUMIF(Import!$B:$B,$A988,Import!N:N)</f>
        <v>6800</v>
      </c>
      <c r="U988" s="99">
        <f t="shared" si="1362"/>
        <v>0</v>
      </c>
      <c r="V988" s="255">
        <f t="shared" si="1363"/>
        <v>0</v>
      </c>
      <c r="W988" s="102" t="s">
        <v>2677</v>
      </c>
      <c r="X988" s="102"/>
      <c r="Y988" s="102"/>
      <c r="Z988" s="192"/>
      <c r="AA988" s="615"/>
      <c r="AB988" s="307"/>
      <c r="AC988" s="515"/>
      <c r="AD988" s="94"/>
      <c r="AE988" s="94"/>
      <c r="AF988" s="94"/>
      <c r="AG988" s="94"/>
      <c r="AH988" s="307"/>
      <c r="AI988" s="307"/>
      <c r="AJ988" s="94"/>
      <c r="AK988" s="94"/>
      <c r="AL988" s="94"/>
      <c r="AM988" s="94"/>
      <c r="AN988" s="94"/>
      <c r="AO988" s="192"/>
      <c r="AP988" s="192"/>
      <c r="AQ988" s="192"/>
    </row>
    <row r="989" spans="1:43" s="115" customFormat="1" ht="27" customHeight="1">
      <c r="A989" s="555"/>
      <c r="B989" s="217"/>
      <c r="C989" s="217"/>
      <c r="D989" s="101"/>
      <c r="E989" s="217"/>
      <c r="F989" s="294"/>
      <c r="G989" s="295"/>
      <c r="H989" s="107" t="str">
        <f>UPPER(G988)&amp;" TOTAL"</f>
        <v>OPERATIONS &amp; MAINTENANCE TOTAL</v>
      </c>
      <c r="I989" s="109">
        <f t="shared" ref="I989" si="1369">SUBTOTAL(9,I977:I988)</f>
        <v>27707.18</v>
      </c>
      <c r="J989" s="109">
        <f t="shared" ref="J989:T989" si="1370">SUBTOTAL(9,J977:J988)</f>
        <v>31689.119999999999</v>
      </c>
      <c r="K989" s="109">
        <f t="shared" ref="K989" si="1371">SUBTOTAL(9,K977:K988)</f>
        <v>50102.239999999998</v>
      </c>
      <c r="L989" s="109">
        <f t="shared" ref="L989" si="1372">SUBTOTAL(9,L977:L988)</f>
        <v>49777.85</v>
      </c>
      <c r="M989" s="109">
        <f t="shared" si="1370"/>
        <v>38950</v>
      </c>
      <c r="N989" s="109">
        <f t="shared" ref="N989" si="1373">SUBTOTAL(9,N977:N988)</f>
        <v>56287.420000000006</v>
      </c>
      <c r="O989" s="109">
        <f t="shared" si="1370"/>
        <v>65350</v>
      </c>
      <c r="P989" s="109">
        <f t="shared" si="1370"/>
        <v>26400</v>
      </c>
      <c r="Q989" s="109">
        <f t="shared" si="1370"/>
        <v>41450</v>
      </c>
      <c r="R989" s="109">
        <f t="shared" si="1370"/>
        <v>0</v>
      </c>
      <c r="S989" s="109">
        <f t="shared" si="1370"/>
        <v>0</v>
      </c>
      <c r="T989" s="109">
        <f t="shared" si="1370"/>
        <v>41450</v>
      </c>
      <c r="U989" s="99">
        <f>T989-M989</f>
        <v>2500</v>
      </c>
      <c r="V989" s="255">
        <f>IF(M989=0,"N/A",T989/M989-1)</f>
        <v>6.4184852374839618E-2</v>
      </c>
      <c r="W989" s="102"/>
      <c r="X989" s="102"/>
      <c r="Y989" s="102"/>
      <c r="Z989" s="192"/>
      <c r="AA989" s="615"/>
      <c r="AB989" s="239"/>
      <c r="AC989" s="239"/>
      <c r="AD989" s="93"/>
      <c r="AE989" s="93"/>
      <c r="AF989" s="93"/>
      <c r="AG989" s="93"/>
      <c r="AH989" s="307"/>
      <c r="AI989" s="307"/>
      <c r="AJ989" s="93"/>
      <c r="AK989" s="93"/>
      <c r="AL989" s="93"/>
      <c r="AM989" s="93"/>
      <c r="AN989" s="93"/>
      <c r="AO989" s="192"/>
      <c r="AP989" s="192"/>
      <c r="AQ989" s="192"/>
    </row>
    <row r="990" spans="1:43" s="115" customFormat="1" ht="15" customHeight="1">
      <c r="A990" s="555"/>
      <c r="B990" s="217"/>
      <c r="C990" s="217"/>
      <c r="D990" s="101"/>
      <c r="E990" s="217"/>
      <c r="F990" s="294"/>
      <c r="G990" s="295"/>
      <c r="H990" s="98"/>
      <c r="I990" s="106"/>
      <c r="J990" s="106"/>
      <c r="K990" s="106"/>
      <c r="L990" s="106"/>
      <c r="M990" s="106"/>
      <c r="N990" s="112"/>
      <c r="O990" s="112"/>
      <c r="P990" s="112"/>
      <c r="Q990" s="113"/>
      <c r="R990" s="113"/>
      <c r="S990" s="113"/>
      <c r="T990" s="113"/>
      <c r="U990" s="99"/>
      <c r="V990" s="255"/>
      <c r="W990" s="102"/>
      <c r="X990" s="102"/>
      <c r="Y990" s="102"/>
      <c r="Z990" s="192"/>
      <c r="AA990" s="615"/>
      <c r="AB990" s="307"/>
      <c r="AC990" s="300"/>
      <c r="AD990" s="300"/>
      <c r="AE990" s="300"/>
      <c r="AF990" s="300"/>
      <c r="AG990" s="300"/>
      <c r="AH990" s="307"/>
      <c r="AI990" s="307"/>
      <c r="AJ990" s="300"/>
      <c r="AK990" s="300"/>
      <c r="AL990" s="300"/>
      <c r="AM990" s="300"/>
      <c r="AN990" s="300"/>
      <c r="AO990" s="192"/>
      <c r="AP990" s="192"/>
      <c r="AQ990" s="192"/>
    </row>
    <row r="991" spans="1:43" s="115" customFormat="1" ht="15" customHeight="1">
      <c r="A991" s="555" t="s">
        <v>2678</v>
      </c>
      <c r="B991" s="217" t="str">
        <f t="shared" si="1364"/>
        <v>100</v>
      </c>
      <c r="C991" s="217" t="str">
        <f t="shared" si="1365"/>
        <v>30</v>
      </c>
      <c r="D991" s="101" t="str">
        <f t="shared" si="1366"/>
        <v>304</v>
      </c>
      <c r="E991" s="217" t="str">
        <f t="shared" si="1367"/>
        <v>100-30-304</v>
      </c>
      <c r="F991" s="294" t="str">
        <f t="shared" si="1368"/>
        <v>53599</v>
      </c>
      <c r="G991" s="295" t="str">
        <f>VLOOKUP(F991,'GL Category'!A:C,3,FALSE)</f>
        <v>Services &amp; other</v>
      </c>
      <c r="H991" s="98" t="str">
        <f>VLOOKUP(F991,'GL Category'!A:C,2,FALSE)</f>
        <v>MISCELLANEOUS SERVICES</v>
      </c>
      <c r="I991" s="99">
        <f>SUMIF(Import!$B:$B,$A991,Import!D:D)</f>
        <v>21181.87</v>
      </c>
      <c r="J991" s="99">
        <f>SUMIF(Import!$B:$B,$A991,Import!E:E)</f>
        <v>38773.81</v>
      </c>
      <c r="K991" s="99">
        <f>SUMIF(Import!$B:$B,$A991,Import!F:F)</f>
        <v>49075.86</v>
      </c>
      <c r="L991" s="99">
        <f>SUMIF(Import!$B:$B,$A991,Import!G:G)</f>
        <v>73746.320000000007</v>
      </c>
      <c r="M991" s="99">
        <f>SUMIF(Import!$B:$B,$A991,Import!H:H)</f>
        <v>60000</v>
      </c>
      <c r="N991" s="99">
        <f>SUMIF(Import!$B:$B,$A991,Import!I:I)</f>
        <v>34118.92</v>
      </c>
      <c r="O991" s="99">
        <f>SUMIF(Import!$B:$B,$A991,Import!J:J)</f>
        <v>70000</v>
      </c>
      <c r="P991" s="99">
        <f t="shared" ref="P991:P1003" si="1374">O991-M991</f>
        <v>10000</v>
      </c>
      <c r="Q991" s="99">
        <f>SUMIF(Import!$B:$B,$A991,Import!K:K)</f>
        <v>79084</v>
      </c>
      <c r="R991" s="99">
        <f>SUMIF(Import!$B:$B,$A991,Import!L:L)</f>
        <v>0</v>
      </c>
      <c r="S991" s="99">
        <f>SUMIF(Import!$B:$B,$A991,Import!M:M)</f>
        <v>0</v>
      </c>
      <c r="T991" s="99">
        <f>SUMIF(Import!$B:$B,$A991,Import!N:N)</f>
        <v>79084</v>
      </c>
      <c r="U991" s="99">
        <f t="shared" ref="U991:U1003" si="1375">T991-M991</f>
        <v>19084</v>
      </c>
      <c r="V991" s="255">
        <f t="shared" ref="V991:V1003" si="1376">IF(M991=0,"N/A",T991/M991-1)</f>
        <v>0.31806666666666672</v>
      </c>
      <c r="W991" s="102" t="s">
        <v>2678</v>
      </c>
      <c r="X991" s="102"/>
      <c r="Y991" s="102"/>
      <c r="Z991" s="192"/>
      <c r="AA991" s="615"/>
      <c r="AB991" s="307"/>
      <c r="AC991" s="515"/>
      <c r="AD991" s="300"/>
      <c r="AE991" s="300"/>
      <c r="AF991" s="300"/>
      <c r="AG991" s="300"/>
      <c r="AH991" s="307"/>
      <c r="AI991" s="307"/>
      <c r="AJ991" s="300"/>
      <c r="AK991" s="300"/>
      <c r="AL991" s="300"/>
      <c r="AM991" s="300"/>
      <c r="AN991" s="300"/>
      <c r="AO991" s="192"/>
      <c r="AP991" s="192"/>
      <c r="AQ991" s="192"/>
    </row>
    <row r="992" spans="1:43" s="115" customFormat="1" ht="15" customHeight="1">
      <c r="A992" s="555" t="s">
        <v>2679</v>
      </c>
      <c r="B992" s="217" t="str">
        <f t="shared" si="1364"/>
        <v>100</v>
      </c>
      <c r="C992" s="217" t="str">
        <f t="shared" si="1365"/>
        <v>30</v>
      </c>
      <c r="D992" s="101" t="str">
        <f t="shared" si="1366"/>
        <v>304</v>
      </c>
      <c r="E992" s="217" t="str">
        <f t="shared" si="1367"/>
        <v>100-30-304</v>
      </c>
      <c r="F992" s="294" t="str">
        <f t="shared" si="1368"/>
        <v>53510</v>
      </c>
      <c r="G992" s="295" t="str">
        <f>VLOOKUP(F992,'GL Category'!A:C,3,FALSE)</f>
        <v>Services &amp; other</v>
      </c>
      <c r="H992" s="98" t="str">
        <f>VLOOKUP(F992,'GL Category'!A:C,2,FALSE)</f>
        <v>DUES &amp; SUBSCRIPTIONS</v>
      </c>
      <c r="I992" s="99">
        <f>SUMIF(Import!$B:$B,$A992,Import!D:D)</f>
        <v>0</v>
      </c>
      <c r="J992" s="99">
        <f>SUMIF(Import!$B:$B,$A992,Import!E:E)</f>
        <v>0</v>
      </c>
      <c r="K992" s="99">
        <f>SUMIF(Import!$B:$B,$A992,Import!F:F)</f>
        <v>0</v>
      </c>
      <c r="L992" s="99">
        <f>SUMIF(Import!$B:$B,$A992,Import!G:G)</f>
        <v>0</v>
      </c>
      <c r="M992" s="99">
        <f>SUMIF(Import!$B:$B,$A992,Import!H:H)</f>
        <v>0</v>
      </c>
      <c r="N992" s="99">
        <f>SUMIF(Import!$B:$B,$A992,Import!I:I)</f>
        <v>0</v>
      </c>
      <c r="O992" s="99">
        <f>SUMIF(Import!$B:$B,$A992,Import!J:J)</f>
        <v>0</v>
      </c>
      <c r="P992" s="99">
        <f t="shared" si="1374"/>
        <v>0</v>
      </c>
      <c r="Q992" s="99">
        <f>SUMIF(Import!$B:$B,$A992,Import!K:K)</f>
        <v>0</v>
      </c>
      <c r="R992" s="99">
        <f>SUMIF(Import!$B:$B,$A992,Import!L:L)</f>
        <v>0</v>
      </c>
      <c r="S992" s="99">
        <f>SUMIF(Import!$B:$B,$A992,Import!M:M)</f>
        <v>0</v>
      </c>
      <c r="T992" s="99">
        <f>SUMIF(Import!$B:$B,$A992,Import!N:N)</f>
        <v>0</v>
      </c>
      <c r="U992" s="99">
        <f t="shared" si="1375"/>
        <v>0</v>
      </c>
      <c r="V992" s="255" t="str">
        <f t="shared" si="1376"/>
        <v>N/A</v>
      </c>
      <c r="W992" s="102" t="s">
        <v>2679</v>
      </c>
      <c r="X992" s="102"/>
      <c r="Y992" s="102"/>
      <c r="Z992" s="192"/>
      <c r="AA992" s="615"/>
      <c r="AB992" s="307"/>
      <c r="AC992" s="515"/>
      <c r="AD992" s="300"/>
      <c r="AE992" s="300"/>
      <c r="AF992" s="300"/>
      <c r="AG992" s="300"/>
      <c r="AH992" s="307"/>
      <c r="AI992" s="307"/>
      <c r="AJ992" s="300"/>
      <c r="AK992" s="300"/>
      <c r="AL992" s="300"/>
      <c r="AM992" s="300"/>
      <c r="AN992" s="300"/>
      <c r="AO992" s="192"/>
      <c r="AP992" s="192"/>
      <c r="AQ992" s="192"/>
    </row>
    <row r="993" spans="1:59" s="115" customFormat="1" ht="15" customHeight="1">
      <c r="A993" s="555" t="s">
        <v>2680</v>
      </c>
      <c r="B993" s="217" t="str">
        <f t="shared" si="1364"/>
        <v>100</v>
      </c>
      <c r="C993" s="217" t="str">
        <f t="shared" si="1365"/>
        <v>30</v>
      </c>
      <c r="D993" s="101" t="str">
        <f t="shared" si="1366"/>
        <v>304</v>
      </c>
      <c r="E993" s="217" t="str">
        <f t="shared" si="1367"/>
        <v>100-30-304</v>
      </c>
      <c r="F993" s="294" t="str">
        <f t="shared" si="1368"/>
        <v>53515</v>
      </c>
      <c r="G993" s="295" t="str">
        <f>VLOOKUP(F993,'GL Category'!A:C,3,FALSE)</f>
        <v>Services &amp; other</v>
      </c>
      <c r="H993" s="98" t="str">
        <f>VLOOKUP(F993,'GL Category'!A:C,2,FALSE)</f>
        <v>TRAVEL, TRAINING &amp; EDUCATION</v>
      </c>
      <c r="I993" s="99">
        <f>SUMIF(Import!$B:$B,$A993,Import!D:D)</f>
        <v>393.91</v>
      </c>
      <c r="J993" s="99">
        <f>SUMIF(Import!$B:$B,$A993,Import!E:E)</f>
        <v>1050</v>
      </c>
      <c r="K993" s="99">
        <f>SUMIF(Import!$B:$B,$A993,Import!F:F)</f>
        <v>500</v>
      </c>
      <c r="L993" s="99">
        <f>SUMIF(Import!$B:$B,$A993,Import!G:G)</f>
        <v>1537.79</v>
      </c>
      <c r="M993" s="99">
        <f>SUMIF(Import!$B:$B,$A993,Import!H:H)</f>
        <v>1000</v>
      </c>
      <c r="N993" s="99">
        <f>SUMIF(Import!$B:$B,$A993,Import!I:I)</f>
        <v>2781.7</v>
      </c>
      <c r="O993" s="99">
        <f>SUMIF(Import!$B:$B,$A993,Import!J:J)</f>
        <v>2500</v>
      </c>
      <c r="P993" s="99">
        <f t="shared" si="1374"/>
        <v>1500</v>
      </c>
      <c r="Q993" s="99">
        <f>SUMIF(Import!$B:$B,$A993,Import!K:K)</f>
        <v>1000</v>
      </c>
      <c r="R993" s="99">
        <f>SUMIF(Import!$B:$B,$A993,Import!L:L)</f>
        <v>0</v>
      </c>
      <c r="S993" s="99">
        <f>SUMIF(Import!$B:$B,$A993,Import!M:M)</f>
        <v>0</v>
      </c>
      <c r="T993" s="99">
        <f>SUMIF(Import!$B:$B,$A993,Import!N:N)</f>
        <v>1000</v>
      </c>
      <c r="U993" s="99">
        <f t="shared" si="1375"/>
        <v>0</v>
      </c>
      <c r="V993" s="255">
        <f t="shared" si="1376"/>
        <v>0</v>
      </c>
      <c r="W993" s="102" t="s">
        <v>2680</v>
      </c>
      <c r="X993" s="102"/>
      <c r="Y993" s="102"/>
      <c r="Z993" s="192"/>
      <c r="AA993" s="615"/>
      <c r="AB993" s="307"/>
      <c r="AC993" s="515"/>
      <c r="AD993" s="300"/>
      <c r="AE993" s="300"/>
      <c r="AF993" s="300"/>
      <c r="AG993" s="300"/>
      <c r="AH993" s="307"/>
      <c r="AI993" s="307"/>
      <c r="AJ993" s="300"/>
      <c r="AK993" s="300"/>
      <c r="AL993" s="300"/>
      <c r="AM993" s="300"/>
      <c r="AN993" s="300"/>
      <c r="AO993" s="192"/>
      <c r="AP993" s="192"/>
      <c r="AQ993" s="192"/>
    </row>
    <row r="994" spans="1:59" s="115" customFormat="1" ht="15" customHeight="1">
      <c r="A994" s="555" t="s">
        <v>2681</v>
      </c>
      <c r="B994" s="217" t="str">
        <f t="shared" si="1364"/>
        <v>100</v>
      </c>
      <c r="C994" s="217" t="str">
        <f t="shared" si="1365"/>
        <v>30</v>
      </c>
      <c r="D994" s="101" t="str">
        <f t="shared" si="1366"/>
        <v>304</v>
      </c>
      <c r="E994" s="217" t="str">
        <f t="shared" si="1367"/>
        <v>100-30-304</v>
      </c>
      <c r="F994" s="294" t="str">
        <f t="shared" si="1368"/>
        <v>53517</v>
      </c>
      <c r="G994" s="295" t="str">
        <f>VLOOKUP(F994,'GL Category'!A:C,3,FALSE)</f>
        <v>Services &amp; other</v>
      </c>
      <c r="H994" s="98" t="str">
        <f>VLOOKUP(F994,'GL Category'!A:C,2,FALSE)</f>
        <v>MEDICAL SERVICES</v>
      </c>
      <c r="I994" s="99">
        <f>SUMIF(Import!$B:$B,$A994,Import!D:D)</f>
        <v>1276</v>
      </c>
      <c r="J994" s="99">
        <f>SUMIF(Import!$B:$B,$A994,Import!E:E)</f>
        <v>2552</v>
      </c>
      <c r="K994" s="99">
        <f>SUMIF(Import!$B:$B,$A994,Import!F:F)</f>
        <v>0</v>
      </c>
      <c r="L994" s="99">
        <f>SUMIF(Import!$B:$B,$A994,Import!G:G)</f>
        <v>0</v>
      </c>
      <c r="M994" s="99">
        <f>SUMIF(Import!$B:$B,$A994,Import!H:H)</f>
        <v>2000</v>
      </c>
      <c r="N994" s="99">
        <f>SUMIF(Import!$B:$B,$A994,Import!I:I)</f>
        <v>0</v>
      </c>
      <c r="O994" s="99">
        <f>SUMIF(Import!$B:$B,$A994,Import!J:J)</f>
        <v>500</v>
      </c>
      <c r="P994" s="99">
        <f t="shared" si="1374"/>
        <v>-1500</v>
      </c>
      <c r="Q994" s="99">
        <f>SUMIF(Import!$B:$B,$A994,Import!K:K)</f>
        <v>2000</v>
      </c>
      <c r="R994" s="99">
        <f>SUMIF(Import!$B:$B,$A994,Import!L:L)</f>
        <v>0</v>
      </c>
      <c r="S994" s="99">
        <f>SUMIF(Import!$B:$B,$A994,Import!M:M)</f>
        <v>0</v>
      </c>
      <c r="T994" s="99">
        <f>SUMIF(Import!$B:$B,$A994,Import!N:N)</f>
        <v>2000</v>
      </c>
      <c r="U994" s="99">
        <f t="shared" si="1375"/>
        <v>0</v>
      </c>
      <c r="V994" s="255">
        <f t="shared" si="1376"/>
        <v>0</v>
      </c>
      <c r="W994" s="102" t="s">
        <v>2681</v>
      </c>
      <c r="X994" s="102"/>
      <c r="Y994" s="102"/>
      <c r="Z994" s="192"/>
      <c r="AA994" s="615"/>
      <c r="AB994" s="307"/>
      <c r="AC994" s="515"/>
      <c r="AD994" s="300"/>
      <c r="AE994" s="300"/>
      <c r="AF994" s="300"/>
      <c r="AG994" s="300"/>
      <c r="AH994" s="307"/>
      <c r="AI994" s="307"/>
      <c r="AJ994" s="300"/>
      <c r="AK994" s="300"/>
      <c r="AL994" s="300"/>
      <c r="AM994" s="300"/>
      <c r="AN994" s="300"/>
      <c r="AO994" s="192"/>
      <c r="AP994" s="192"/>
      <c r="AQ994" s="192"/>
    </row>
    <row r="995" spans="1:59" s="115" customFormat="1" ht="15" customHeight="1">
      <c r="A995" s="555" t="s">
        <v>2682</v>
      </c>
      <c r="B995" s="217" t="str">
        <f t="shared" si="1364"/>
        <v>100</v>
      </c>
      <c r="C995" s="217" t="str">
        <f t="shared" si="1365"/>
        <v>30</v>
      </c>
      <c r="D995" s="101" t="str">
        <f t="shared" si="1366"/>
        <v>304</v>
      </c>
      <c r="E995" s="217" t="str">
        <f t="shared" si="1367"/>
        <v>100-30-304</v>
      </c>
      <c r="F995" s="294" t="str">
        <f t="shared" si="1368"/>
        <v>53524</v>
      </c>
      <c r="G995" s="295" t="str">
        <f>VLOOKUP(F995,'GL Category'!A:C,3,FALSE)</f>
        <v>Services &amp; other</v>
      </c>
      <c r="H995" s="98" t="str">
        <f>VLOOKUP(F995,'GL Category'!A:C,2,FALSE)</f>
        <v>EQUIPMENT RENTAL</v>
      </c>
      <c r="I995" s="99">
        <f>SUMIF(Import!$B:$B,$A995,Import!D:D)</f>
        <v>0</v>
      </c>
      <c r="J995" s="99">
        <f>SUMIF(Import!$B:$B,$A995,Import!E:E)</f>
        <v>0</v>
      </c>
      <c r="K995" s="99">
        <f>SUMIF(Import!$B:$B,$A995,Import!F:F)</f>
        <v>0</v>
      </c>
      <c r="L995" s="99">
        <f>SUMIF(Import!$B:$B,$A995,Import!G:G)</f>
        <v>0</v>
      </c>
      <c r="M995" s="99">
        <f>SUMIF(Import!$B:$B,$A995,Import!H:H)</f>
        <v>0</v>
      </c>
      <c r="N995" s="99">
        <f>SUMIF(Import!$B:$B,$A995,Import!I:I)</f>
        <v>0</v>
      </c>
      <c r="O995" s="99">
        <f>SUMIF(Import!$B:$B,$A995,Import!J:J)</f>
        <v>0</v>
      </c>
      <c r="P995" s="99">
        <f t="shared" si="1374"/>
        <v>0</v>
      </c>
      <c r="Q995" s="99">
        <f>SUMIF(Import!$B:$B,$A995,Import!K:K)</f>
        <v>0</v>
      </c>
      <c r="R995" s="99">
        <f>SUMIF(Import!$B:$B,$A995,Import!L:L)</f>
        <v>0</v>
      </c>
      <c r="S995" s="99">
        <f>SUMIF(Import!$B:$B,$A995,Import!M:M)</f>
        <v>0</v>
      </c>
      <c r="T995" s="99">
        <f>SUMIF(Import!$B:$B,$A995,Import!N:N)</f>
        <v>0</v>
      </c>
      <c r="U995" s="99">
        <f t="shared" si="1375"/>
        <v>0</v>
      </c>
      <c r="V995" s="255" t="str">
        <f t="shared" si="1376"/>
        <v>N/A</v>
      </c>
      <c r="W995" s="102" t="s">
        <v>2682</v>
      </c>
      <c r="X995" s="102"/>
      <c r="Y995" s="102"/>
      <c r="Z995" s="192"/>
      <c r="AA995" s="615"/>
      <c r="AB995" s="307"/>
      <c r="AC995" s="515"/>
      <c r="AD995" s="94"/>
      <c r="AE995" s="94"/>
      <c r="AF995" s="94"/>
      <c r="AG995" s="94"/>
      <c r="AH995" s="307"/>
      <c r="AI995" s="307"/>
      <c r="AJ995" s="94"/>
      <c r="AK995" s="94"/>
      <c r="AL995" s="94"/>
      <c r="AM995" s="94"/>
      <c r="AN995" s="94"/>
      <c r="AO995" s="192"/>
      <c r="AP995" s="192"/>
      <c r="AQ995" s="192"/>
    </row>
    <row r="996" spans="1:59" s="115" customFormat="1" ht="15" customHeight="1">
      <c r="A996" s="555" t="s">
        <v>2683</v>
      </c>
      <c r="B996" s="217" t="str">
        <f t="shared" si="1364"/>
        <v>100</v>
      </c>
      <c r="C996" s="217" t="str">
        <f t="shared" si="1365"/>
        <v>30</v>
      </c>
      <c r="D996" s="101" t="str">
        <f t="shared" si="1366"/>
        <v>304</v>
      </c>
      <c r="E996" s="217" t="str">
        <f t="shared" si="1367"/>
        <v>100-30-304</v>
      </c>
      <c r="F996" s="294" t="str">
        <f t="shared" si="1368"/>
        <v>53560</v>
      </c>
      <c r="G996" s="295" t="str">
        <f>VLOOKUP(F996,'GL Category'!A:C,3,FALSE)</f>
        <v>Services &amp; other</v>
      </c>
      <c r="H996" s="98" t="str">
        <f>VLOOKUP(F996,'GL Category'!A:C,2,FALSE)</f>
        <v>GENERAL INSURANCE</v>
      </c>
      <c r="I996" s="99">
        <f>SUMIF(Import!$B:$B,$A996,Import!D:D)</f>
        <v>0</v>
      </c>
      <c r="J996" s="99">
        <f>SUMIF(Import!$B:$B,$A996,Import!E:E)</f>
        <v>0</v>
      </c>
      <c r="K996" s="99">
        <f>SUMIF(Import!$B:$B,$A996,Import!F:F)</f>
        <v>0</v>
      </c>
      <c r="L996" s="99">
        <f>SUMIF(Import!$B:$B,$A996,Import!G:G)</f>
        <v>0</v>
      </c>
      <c r="M996" s="99">
        <f>SUMIF(Import!$B:$B,$A996,Import!H:H)</f>
        <v>0</v>
      </c>
      <c r="N996" s="99">
        <f>SUMIF(Import!$B:$B,$A996,Import!I:I)</f>
        <v>0</v>
      </c>
      <c r="O996" s="99">
        <f>SUMIF(Import!$B:$B,$A996,Import!J:J)</f>
        <v>0</v>
      </c>
      <c r="P996" s="99">
        <f t="shared" si="1374"/>
        <v>0</v>
      </c>
      <c r="Q996" s="99">
        <f>SUMIF(Import!$B:$B,$A996,Import!K:K)</f>
        <v>0</v>
      </c>
      <c r="R996" s="99">
        <f>SUMIF(Import!$B:$B,$A996,Import!L:L)</f>
        <v>0</v>
      </c>
      <c r="S996" s="99">
        <f>SUMIF(Import!$B:$B,$A996,Import!M:M)</f>
        <v>0</v>
      </c>
      <c r="T996" s="99">
        <f>SUMIF(Import!$B:$B,$A996,Import!N:N)</f>
        <v>0</v>
      </c>
      <c r="U996" s="99">
        <f t="shared" si="1375"/>
        <v>0</v>
      </c>
      <c r="V996" s="255" t="str">
        <f t="shared" si="1376"/>
        <v>N/A</v>
      </c>
      <c r="W996" s="102" t="s">
        <v>2683</v>
      </c>
      <c r="X996" s="102"/>
      <c r="Y996" s="102"/>
      <c r="Z996" s="192"/>
      <c r="AA996" s="615"/>
      <c r="AB996" s="307"/>
      <c r="AC996" s="515"/>
      <c r="AD996" s="300"/>
      <c r="AE996" s="300"/>
      <c r="AF996" s="300"/>
      <c r="AG996" s="300"/>
      <c r="AH996" s="307"/>
      <c r="AI996" s="307"/>
      <c r="AJ996" s="300"/>
      <c r="AK996" s="300"/>
      <c r="AL996" s="300"/>
      <c r="AM996" s="300"/>
      <c r="AN996" s="300"/>
      <c r="AO996" s="192"/>
      <c r="AP996" s="192"/>
      <c r="AQ996" s="192"/>
    </row>
    <row r="997" spans="1:59" ht="15" customHeight="1">
      <c r="A997" s="555" t="s">
        <v>2684</v>
      </c>
      <c r="B997" s="217" t="str">
        <f t="shared" si="1364"/>
        <v>100</v>
      </c>
      <c r="C997" s="217" t="str">
        <f t="shared" si="1365"/>
        <v>30</v>
      </c>
      <c r="D997" s="101" t="str">
        <f t="shared" si="1366"/>
        <v>304</v>
      </c>
      <c r="E997" s="217" t="str">
        <f t="shared" si="1367"/>
        <v>100-30-304</v>
      </c>
      <c r="F997" s="294" t="str">
        <f t="shared" si="1368"/>
        <v>53568</v>
      </c>
      <c r="G997" s="295" t="str">
        <f>VLOOKUP(F997,'GL Category'!A:C,3,FALSE)</f>
        <v>Services &amp; other</v>
      </c>
      <c r="H997" s="98" t="str">
        <f>VLOOKUP(F997,'GL Category'!A:C,2,FALSE)</f>
        <v>LAW ENFORCEMENT LIAB PREMIUMS</v>
      </c>
      <c r="I997" s="99">
        <f>SUMIF(Import!$B:$B,$A997,Import!D:D)</f>
        <v>2103.5700000000002</v>
      </c>
      <c r="J997" s="99">
        <f>SUMIF(Import!$B:$B,$A997,Import!E:E)</f>
        <v>2405.2399999999998</v>
      </c>
      <c r="K997" s="99">
        <f>SUMIF(Import!$B:$B,$A997,Import!F:F)</f>
        <v>4131.6400000000003</v>
      </c>
      <c r="L997" s="99">
        <f>SUMIF(Import!$B:$B,$A997,Import!G:G)</f>
        <v>4276.75</v>
      </c>
      <c r="M997" s="99">
        <f>SUMIF(Import!$B:$B,$A997,Import!H:H)</f>
        <v>4705</v>
      </c>
      <c r="N997" s="99">
        <f>SUMIF(Import!$B:$B,$A997,Import!I:I)</f>
        <v>4685.6400000000003</v>
      </c>
      <c r="O997" s="99">
        <f>SUMIF(Import!$B:$B,$A997,Import!J:J)</f>
        <v>4705</v>
      </c>
      <c r="P997" s="99">
        <f t="shared" si="1374"/>
        <v>0</v>
      </c>
      <c r="Q997" s="99">
        <f>SUMIF(Import!$B:$B,$A997,Import!K:K)</f>
        <v>4705</v>
      </c>
      <c r="R997" s="99">
        <f>SUMIF(Import!$B:$B,$A997,Import!L:L)</f>
        <v>0</v>
      </c>
      <c r="S997" s="99">
        <f>SUMIF(Import!$B:$B,$A997,Import!M:M)</f>
        <v>0</v>
      </c>
      <c r="T997" s="99">
        <f>SUMIF(Import!$B:$B,$A997,Import!N:N)</f>
        <v>4705</v>
      </c>
      <c r="U997" s="99">
        <f t="shared" si="1375"/>
        <v>0</v>
      </c>
      <c r="V997" s="255">
        <f t="shared" si="1376"/>
        <v>0</v>
      </c>
      <c r="W997" s="102" t="s">
        <v>2684</v>
      </c>
      <c r="X997" s="102"/>
      <c r="Y997" s="102"/>
      <c r="AA997" s="615"/>
      <c r="AB997" s="621"/>
      <c r="AC997" s="515"/>
      <c r="AD997" s="300"/>
      <c r="AE997" s="300"/>
      <c r="AF997" s="300"/>
      <c r="AG997" s="300"/>
      <c r="AJ997" s="300"/>
      <c r="AK997" s="300"/>
      <c r="AL997" s="300"/>
      <c r="AM997" s="300"/>
      <c r="AN997" s="300"/>
    </row>
    <row r="998" spans="1:59" ht="15" customHeight="1">
      <c r="A998" s="555" t="s">
        <v>2685</v>
      </c>
      <c r="B998" s="217" t="str">
        <f t="shared" si="1364"/>
        <v>100</v>
      </c>
      <c r="C998" s="217" t="str">
        <f t="shared" si="1365"/>
        <v>30</v>
      </c>
      <c r="D998" s="101" t="str">
        <f t="shared" si="1366"/>
        <v>304</v>
      </c>
      <c r="E998" s="217" t="str">
        <f t="shared" si="1367"/>
        <v>100-30-304</v>
      </c>
      <c r="F998" s="294" t="str">
        <f t="shared" si="1368"/>
        <v>53570</v>
      </c>
      <c r="G998" s="295" t="str">
        <f>VLOOKUP(F998,'GL Category'!A:C,3,FALSE)</f>
        <v>Services &amp; other</v>
      </c>
      <c r="H998" s="98" t="str">
        <f>VLOOKUP(F998,'GL Category'!A:C,2,FALSE)</f>
        <v>TELEPHONE/COMMUNICATIONS</v>
      </c>
      <c r="I998" s="99">
        <f>SUMIF(Import!$B:$B,$A998,Import!D:D)</f>
        <v>0</v>
      </c>
      <c r="J998" s="99">
        <f>SUMIF(Import!$B:$B,$A998,Import!E:E)</f>
        <v>0</v>
      </c>
      <c r="K998" s="99">
        <f>SUMIF(Import!$B:$B,$A998,Import!F:F)</f>
        <v>0</v>
      </c>
      <c r="L998" s="99">
        <f>SUMIF(Import!$B:$B,$A998,Import!G:G)</f>
        <v>0</v>
      </c>
      <c r="M998" s="99">
        <f>SUMIF(Import!$B:$B,$A998,Import!H:H)</f>
        <v>0</v>
      </c>
      <c r="N998" s="99">
        <f>SUMIF(Import!$B:$B,$A998,Import!I:I)</f>
        <v>0</v>
      </c>
      <c r="O998" s="99">
        <f>SUMIF(Import!$B:$B,$A998,Import!J:J)</f>
        <v>0</v>
      </c>
      <c r="P998" s="99">
        <f t="shared" si="1374"/>
        <v>0</v>
      </c>
      <c r="Q998" s="99">
        <f>SUMIF(Import!$B:$B,$A998,Import!K:K)</f>
        <v>0</v>
      </c>
      <c r="R998" s="99">
        <f>SUMIF(Import!$B:$B,$A998,Import!L:L)</f>
        <v>0</v>
      </c>
      <c r="S998" s="99">
        <f>SUMIF(Import!$B:$B,$A998,Import!M:M)</f>
        <v>0</v>
      </c>
      <c r="T998" s="99">
        <f>SUMIF(Import!$B:$B,$A998,Import!N:N)</f>
        <v>0</v>
      </c>
      <c r="U998" s="99">
        <f t="shared" si="1375"/>
        <v>0</v>
      </c>
      <c r="V998" s="255" t="str">
        <f t="shared" si="1376"/>
        <v>N/A</v>
      </c>
      <c r="W998" s="102" t="s">
        <v>2685</v>
      </c>
      <c r="X998" s="102"/>
      <c r="Y998" s="102"/>
      <c r="AA998" s="615"/>
      <c r="AC998" s="515"/>
      <c r="AD998" s="300"/>
      <c r="AE998" s="300"/>
      <c r="AF998" s="300"/>
      <c r="AG998" s="300"/>
      <c r="AJ998" s="300"/>
      <c r="AK998" s="300"/>
      <c r="AL998" s="300"/>
      <c r="AM998" s="300"/>
      <c r="AN998" s="300"/>
    </row>
    <row r="999" spans="1:59" ht="15" customHeight="1">
      <c r="A999" s="555" t="s">
        <v>2686</v>
      </c>
      <c r="B999" s="217" t="str">
        <f t="shared" si="1364"/>
        <v>100</v>
      </c>
      <c r="C999" s="217" t="str">
        <f t="shared" si="1365"/>
        <v>30</v>
      </c>
      <c r="D999" s="101" t="str">
        <f t="shared" si="1366"/>
        <v>304</v>
      </c>
      <c r="E999" s="217" t="str">
        <f t="shared" si="1367"/>
        <v>100-30-304</v>
      </c>
      <c r="F999" s="294" t="str">
        <f t="shared" si="1368"/>
        <v>53571</v>
      </c>
      <c r="G999" s="295" t="str">
        <f>VLOOKUP(F999,'GL Category'!A:C,3,FALSE)</f>
        <v>Services &amp; other</v>
      </c>
      <c r="H999" s="98" t="str">
        <f>VLOOKUP(F999,'GL Category'!A:C,2,FALSE)</f>
        <v>NATURAL GAS UTILITY SERVICE</v>
      </c>
      <c r="I999" s="99">
        <f>SUMIF(Import!$B:$B,$A999,Import!D:D)</f>
        <v>2282.48</v>
      </c>
      <c r="J999" s="99">
        <f>SUMIF(Import!$B:$B,$A999,Import!E:E)</f>
        <v>3770.42</v>
      </c>
      <c r="K999" s="99">
        <f>SUMIF(Import!$B:$B,$A999,Import!F:F)</f>
        <v>3977.96</v>
      </c>
      <c r="L999" s="99">
        <f>SUMIF(Import!$B:$B,$A999,Import!G:G)</f>
        <v>4406.16</v>
      </c>
      <c r="M999" s="99">
        <f>SUMIF(Import!$B:$B,$A999,Import!H:H)</f>
        <v>5060</v>
      </c>
      <c r="N999" s="99">
        <f>SUMIF(Import!$B:$B,$A999,Import!I:I)</f>
        <v>4186.5600000000004</v>
      </c>
      <c r="O999" s="99">
        <f>SUMIF(Import!$B:$B,$A999,Import!J:J)</f>
        <v>5060</v>
      </c>
      <c r="P999" s="99">
        <f t="shared" si="1374"/>
        <v>0</v>
      </c>
      <c r="Q999" s="99">
        <f>SUMIF(Import!$B:$B,$A999,Import!K:K)</f>
        <v>5060</v>
      </c>
      <c r="R999" s="99">
        <f>SUMIF(Import!$B:$B,$A999,Import!L:L)</f>
        <v>0</v>
      </c>
      <c r="S999" s="99">
        <f>SUMIF(Import!$B:$B,$A999,Import!M:M)</f>
        <v>0</v>
      </c>
      <c r="T999" s="99">
        <f>SUMIF(Import!$B:$B,$A999,Import!N:N)</f>
        <v>5060</v>
      </c>
      <c r="U999" s="99">
        <f t="shared" si="1375"/>
        <v>0</v>
      </c>
      <c r="V999" s="255">
        <f t="shared" si="1376"/>
        <v>0</v>
      </c>
      <c r="W999" s="102" t="s">
        <v>2686</v>
      </c>
      <c r="X999" s="102"/>
      <c r="Y999" s="102"/>
      <c r="AA999" s="615"/>
      <c r="AB999" s="621"/>
      <c r="AC999" s="515"/>
      <c r="AD999" s="300"/>
      <c r="AE999" s="300"/>
      <c r="AF999" s="300"/>
      <c r="AG999" s="300"/>
      <c r="AJ999" s="300"/>
      <c r="AK999" s="300"/>
      <c r="AL999" s="300"/>
      <c r="AM999" s="300"/>
      <c r="AN999" s="300"/>
    </row>
    <row r="1000" spans="1:59" ht="15" customHeight="1">
      <c r="A1000" s="555" t="s">
        <v>2687</v>
      </c>
      <c r="B1000" s="217" t="str">
        <f t="shared" si="1364"/>
        <v>100</v>
      </c>
      <c r="C1000" s="217" t="str">
        <f t="shared" si="1365"/>
        <v>30</v>
      </c>
      <c r="D1000" s="101" t="str">
        <f t="shared" si="1366"/>
        <v>304</v>
      </c>
      <c r="E1000" s="217" t="str">
        <f t="shared" si="1367"/>
        <v>100-30-304</v>
      </c>
      <c r="F1000" s="294" t="str">
        <f t="shared" si="1368"/>
        <v>53572</v>
      </c>
      <c r="G1000" s="295" t="str">
        <f>VLOOKUP(F1000,'GL Category'!A:C,3,FALSE)</f>
        <v>Services &amp; other</v>
      </c>
      <c r="H1000" s="98" t="str">
        <f>VLOOKUP(F1000,'GL Category'!A:C,2,FALSE)</f>
        <v>ELECTRICAL UTILITY SERVICE</v>
      </c>
      <c r="I1000" s="99">
        <f>SUMIF(Import!$B:$B,$A1000,Import!D:D)</f>
        <v>15220.12</v>
      </c>
      <c r="J1000" s="99">
        <f>SUMIF(Import!$B:$B,$A1000,Import!E:E)</f>
        <v>15011.28</v>
      </c>
      <c r="K1000" s="99">
        <f>SUMIF(Import!$B:$B,$A1000,Import!F:F)</f>
        <v>22195.93</v>
      </c>
      <c r="L1000" s="99">
        <f>SUMIF(Import!$B:$B,$A1000,Import!G:G)</f>
        <v>26569.52</v>
      </c>
      <c r="M1000" s="99">
        <f>SUMIF(Import!$B:$B,$A1000,Import!H:H)</f>
        <v>31370</v>
      </c>
      <c r="N1000" s="99">
        <f>SUMIF(Import!$B:$B,$A1000,Import!I:I)</f>
        <v>13511.72</v>
      </c>
      <c r="O1000" s="99">
        <f>SUMIF(Import!$B:$B,$A1000,Import!J:J)</f>
        <v>15000</v>
      </c>
      <c r="P1000" s="99">
        <f t="shared" si="1374"/>
        <v>-16370</v>
      </c>
      <c r="Q1000" s="99">
        <f>SUMIF(Import!$B:$B,$A1000,Import!K:K)</f>
        <v>31370</v>
      </c>
      <c r="R1000" s="99">
        <f>SUMIF(Import!$B:$B,$A1000,Import!L:L)</f>
        <v>0</v>
      </c>
      <c r="S1000" s="99">
        <f>SUMIF(Import!$B:$B,$A1000,Import!M:M)</f>
        <v>0</v>
      </c>
      <c r="T1000" s="99">
        <f>SUMIF(Import!$B:$B,$A1000,Import!N:N)</f>
        <v>31370</v>
      </c>
      <c r="U1000" s="99">
        <f t="shared" si="1375"/>
        <v>0</v>
      </c>
      <c r="V1000" s="255">
        <f t="shared" si="1376"/>
        <v>0</v>
      </c>
      <c r="W1000" s="102" t="s">
        <v>2687</v>
      </c>
      <c r="X1000" s="102"/>
      <c r="Y1000" s="102"/>
      <c r="AA1000" s="615"/>
      <c r="AB1000" s="621"/>
      <c r="AC1000" s="515"/>
      <c r="AD1000" s="300"/>
      <c r="AE1000" s="300"/>
      <c r="AF1000" s="300"/>
      <c r="AG1000" s="300"/>
      <c r="AJ1000" s="300"/>
      <c r="AK1000" s="300"/>
      <c r="AL1000" s="300"/>
      <c r="AM1000" s="300"/>
      <c r="AN1000" s="300"/>
    </row>
    <row r="1001" spans="1:59" ht="15" customHeight="1">
      <c r="A1001" s="555" t="s">
        <v>2688</v>
      </c>
      <c r="B1001" s="217" t="str">
        <f t="shared" si="1364"/>
        <v>100</v>
      </c>
      <c r="C1001" s="217" t="str">
        <f t="shared" si="1365"/>
        <v>30</v>
      </c>
      <c r="D1001" s="101" t="str">
        <f t="shared" si="1366"/>
        <v>304</v>
      </c>
      <c r="E1001" s="217" t="str">
        <f t="shared" si="1367"/>
        <v>100-30-304</v>
      </c>
      <c r="F1001" s="294" t="str">
        <f t="shared" si="1368"/>
        <v>53574</v>
      </c>
      <c r="G1001" s="295" t="str">
        <f>VLOOKUP(F1001,'GL Category'!A:C,3,FALSE)</f>
        <v>Services &amp; other</v>
      </c>
      <c r="H1001" s="98" t="str">
        <f>VLOOKUP(F1001,'GL Category'!A:C,2,FALSE)</f>
        <v>WATER/SEWER UTILITY SERVICE</v>
      </c>
      <c r="I1001" s="99">
        <f>SUMIF(Import!$B:$B,$A1001,Import!D:D)</f>
        <v>7786.45</v>
      </c>
      <c r="J1001" s="99">
        <f>SUMIF(Import!$B:$B,$A1001,Import!E:E)</f>
        <v>5081.17</v>
      </c>
      <c r="K1001" s="99">
        <f>SUMIF(Import!$B:$B,$A1001,Import!F:F)</f>
        <v>3808.54</v>
      </c>
      <c r="L1001" s="99">
        <f>SUMIF(Import!$B:$B,$A1001,Import!G:G)</f>
        <v>4250.6899999999996</v>
      </c>
      <c r="M1001" s="99">
        <f>SUMIF(Import!$B:$B,$A1001,Import!H:H)</f>
        <v>8000</v>
      </c>
      <c r="N1001" s="99">
        <f>SUMIF(Import!$B:$B,$A1001,Import!I:I)</f>
        <v>3659.78</v>
      </c>
      <c r="O1001" s="99">
        <f>SUMIF(Import!$B:$B,$A1001,Import!J:J)</f>
        <v>8000</v>
      </c>
      <c r="P1001" s="99">
        <f t="shared" si="1374"/>
        <v>0</v>
      </c>
      <c r="Q1001" s="99">
        <f>SUMIF(Import!$B:$B,$A1001,Import!K:K)</f>
        <v>8000</v>
      </c>
      <c r="R1001" s="99">
        <f>SUMIF(Import!$B:$B,$A1001,Import!L:L)</f>
        <v>0</v>
      </c>
      <c r="S1001" s="99">
        <f>SUMIF(Import!$B:$B,$A1001,Import!M:M)</f>
        <v>0</v>
      </c>
      <c r="T1001" s="99">
        <f>SUMIF(Import!$B:$B,$A1001,Import!N:N)</f>
        <v>8000</v>
      </c>
      <c r="U1001" s="99">
        <f t="shared" si="1375"/>
        <v>0</v>
      </c>
      <c r="V1001" s="255">
        <f t="shared" si="1376"/>
        <v>0</v>
      </c>
      <c r="W1001" s="102" t="s">
        <v>2688</v>
      </c>
      <c r="X1001" s="102"/>
      <c r="Y1001" s="102"/>
      <c r="AA1001" s="615"/>
      <c r="AB1001" s="621"/>
      <c r="AC1001" s="515"/>
      <c r="AD1001" s="94"/>
      <c r="AE1001" s="94"/>
      <c r="AF1001" s="94"/>
      <c r="AG1001" s="94"/>
      <c r="AJ1001" s="94"/>
      <c r="AK1001" s="94"/>
      <c r="AL1001" s="94"/>
      <c r="AM1001" s="94"/>
      <c r="AN1001" s="94"/>
    </row>
    <row r="1002" spans="1:59" ht="15" customHeight="1">
      <c r="A1002" s="555" t="s">
        <v>2689</v>
      </c>
      <c r="B1002" s="217" t="str">
        <f t="shared" si="1364"/>
        <v>100</v>
      </c>
      <c r="C1002" s="217" t="str">
        <f t="shared" si="1365"/>
        <v>30</v>
      </c>
      <c r="D1002" s="101" t="str">
        <f t="shared" si="1366"/>
        <v>304</v>
      </c>
      <c r="E1002" s="217" t="str">
        <f t="shared" si="1367"/>
        <v>100-30-304</v>
      </c>
      <c r="F1002" s="294" t="str">
        <f t="shared" si="1368"/>
        <v>53585</v>
      </c>
      <c r="G1002" s="295" t="str">
        <f>VLOOKUP(F1002,'GL Category'!A:C,3,FALSE)</f>
        <v>Services &amp; other</v>
      </c>
      <c r="H1002" s="98" t="str">
        <f>VLOOKUP(F1002,'GL Category'!A:C,2,FALSE)</f>
        <v>BANKING SERVICES CHARGES</v>
      </c>
      <c r="I1002" s="99">
        <f>SUMIF(Import!$B:$B,$A1002,Import!D:D)</f>
        <v>992.21</v>
      </c>
      <c r="J1002" s="99">
        <f>SUMIF(Import!$B:$B,$A1002,Import!E:E)</f>
        <v>1218.98</v>
      </c>
      <c r="K1002" s="99">
        <f>SUMIF(Import!$B:$B,$A1002,Import!F:F)</f>
        <v>1455.04</v>
      </c>
      <c r="L1002" s="99">
        <f>SUMIF(Import!$B:$B,$A1002,Import!G:G)</f>
        <v>1964.97</v>
      </c>
      <c r="M1002" s="99">
        <f>SUMIF(Import!$B:$B,$A1002,Import!H:H)</f>
        <v>1500</v>
      </c>
      <c r="N1002" s="99">
        <f>SUMIF(Import!$B:$B,$A1002,Import!I:I)</f>
        <v>1744.48</v>
      </c>
      <c r="O1002" s="99">
        <f>SUMIF(Import!$B:$B,$A1002,Import!J:J)</f>
        <v>1500</v>
      </c>
      <c r="P1002" s="99">
        <f t="shared" si="1374"/>
        <v>0</v>
      </c>
      <c r="Q1002" s="99">
        <f>SUMIF(Import!$B:$B,$A1002,Import!K:K)</f>
        <v>1500</v>
      </c>
      <c r="R1002" s="99">
        <f>SUMIF(Import!$B:$B,$A1002,Import!L:L)</f>
        <v>0</v>
      </c>
      <c r="S1002" s="99">
        <f>SUMIF(Import!$B:$B,$A1002,Import!M:M)</f>
        <v>0</v>
      </c>
      <c r="T1002" s="99">
        <f>SUMIF(Import!$B:$B,$A1002,Import!N:N)</f>
        <v>1500</v>
      </c>
      <c r="U1002" s="99">
        <f t="shared" si="1375"/>
        <v>0</v>
      </c>
      <c r="V1002" s="255">
        <f t="shared" si="1376"/>
        <v>0</v>
      </c>
      <c r="W1002" s="102" t="s">
        <v>2689</v>
      </c>
      <c r="X1002" s="102"/>
      <c r="Y1002" s="102"/>
      <c r="AA1002" s="615"/>
      <c r="AC1002" s="515"/>
      <c r="AD1002" s="94"/>
      <c r="AE1002" s="94"/>
      <c r="AF1002" s="94"/>
      <c r="AG1002" s="94"/>
      <c r="AJ1002" s="94"/>
      <c r="AK1002" s="94"/>
      <c r="AL1002" s="94"/>
      <c r="AM1002" s="94"/>
      <c r="AN1002" s="94"/>
    </row>
    <row r="1003" spans="1:59" ht="15" customHeight="1">
      <c r="A1003" s="555" t="s">
        <v>2690</v>
      </c>
      <c r="B1003" s="217" t="str">
        <f t="shared" si="1364"/>
        <v>100</v>
      </c>
      <c r="C1003" s="217" t="str">
        <f t="shared" si="1365"/>
        <v>30</v>
      </c>
      <c r="D1003" s="101" t="str">
        <f t="shared" si="1366"/>
        <v>304</v>
      </c>
      <c r="E1003" s="217" t="str">
        <f t="shared" si="1367"/>
        <v>100-30-304</v>
      </c>
      <c r="F1003" s="294" t="str">
        <f t="shared" si="1368"/>
        <v>55119</v>
      </c>
      <c r="G1003" s="295" t="str">
        <f>VLOOKUP(F1003,'GL Category'!A:C,3,FALSE)</f>
        <v>Services &amp; other</v>
      </c>
      <c r="H1003" s="98" t="str">
        <f>VLOOKUP(F1003,'GL Category'!A:C,2,FALSE)</f>
        <v>OFFICE EQUIP LEASE EXP-CITY</v>
      </c>
      <c r="I1003" s="99">
        <f>SUMIF(Import!$B:$B,$A1003,Import!D:D)</f>
        <v>19512</v>
      </c>
      <c r="J1003" s="99">
        <f>SUMIF(Import!$B:$B,$A1003,Import!E:E)</f>
        <v>19850</v>
      </c>
      <c r="K1003" s="99">
        <f>SUMIF(Import!$B:$B,$A1003,Import!F:F)</f>
        <v>22869</v>
      </c>
      <c r="L1003" s="99">
        <f>SUMIF(Import!$B:$B,$A1003,Import!G:G)</f>
        <v>22542</v>
      </c>
      <c r="M1003" s="99">
        <f>SUMIF(Import!$B:$B,$A1003,Import!H:H)</f>
        <v>27460</v>
      </c>
      <c r="N1003" s="99">
        <f>SUMIF(Import!$B:$B,$A1003,Import!I:I)</f>
        <v>20595</v>
      </c>
      <c r="O1003" s="99">
        <f>SUMIF(Import!$B:$B,$A1003,Import!J:J)</f>
        <v>27460</v>
      </c>
      <c r="P1003" s="99">
        <f t="shared" si="1374"/>
        <v>0</v>
      </c>
      <c r="Q1003" s="99">
        <f>SUMIF(Import!$B:$B,$A1003,Import!K:K)</f>
        <v>27856</v>
      </c>
      <c r="R1003" s="99">
        <f>SUMIF(Import!$B:$B,$A1003,Import!L:L)</f>
        <v>0</v>
      </c>
      <c r="S1003" s="99">
        <f>SUMIF(Import!$B:$B,$A1003,Import!M:M)</f>
        <v>0</v>
      </c>
      <c r="T1003" s="99">
        <f>SUMIF(Import!$B:$B,$A1003,Import!N:N)</f>
        <v>27856</v>
      </c>
      <c r="U1003" s="99">
        <f t="shared" si="1375"/>
        <v>396</v>
      </c>
      <c r="V1003" s="255">
        <f t="shared" si="1376"/>
        <v>1.4420975965039995E-2</v>
      </c>
      <c r="W1003" s="102" t="s">
        <v>2690</v>
      </c>
      <c r="X1003" s="102"/>
      <c r="Y1003" s="102"/>
      <c r="AA1003" s="615"/>
      <c r="AC1003" s="515"/>
      <c r="AD1003" s="300"/>
      <c r="AE1003" s="300"/>
      <c r="AF1003" s="300"/>
      <c r="AG1003" s="300"/>
      <c r="AJ1003" s="300"/>
      <c r="AK1003" s="300"/>
      <c r="AL1003" s="300"/>
      <c r="AM1003" s="300"/>
      <c r="AN1003" s="300"/>
    </row>
    <row r="1004" spans="1:59" ht="15" customHeight="1">
      <c r="A1004" s="555"/>
      <c r="B1004" s="217"/>
      <c r="C1004" s="217"/>
      <c r="D1004" s="101"/>
      <c r="E1004" s="217"/>
      <c r="F1004" s="294"/>
      <c r="G1004" s="295"/>
      <c r="H1004" s="107" t="str">
        <f>UPPER(G1003)&amp;" TOTAL"</f>
        <v>SERVICES &amp; OTHER TOTAL</v>
      </c>
      <c r="I1004" s="109">
        <f t="shared" ref="I1004" si="1377">SUBTOTAL(9,I991:I1003)</f>
        <v>70748.609999999986</v>
      </c>
      <c r="J1004" s="109">
        <f t="shared" ref="J1004:T1004" si="1378">SUBTOTAL(9,J991:J1003)</f>
        <v>89712.9</v>
      </c>
      <c r="K1004" s="109">
        <f t="shared" ref="K1004" si="1379">SUBTOTAL(9,K991:K1003)</f>
        <v>108013.96999999999</v>
      </c>
      <c r="L1004" s="109">
        <f t="shared" ref="L1004" si="1380">SUBTOTAL(9,L991:L1003)</f>
        <v>139294.20000000001</v>
      </c>
      <c r="M1004" s="109">
        <f t="shared" si="1378"/>
        <v>141095</v>
      </c>
      <c r="N1004" s="109">
        <f t="shared" ref="N1004" si="1381">SUBTOTAL(9,N991:N1003)</f>
        <v>85283.799999999988</v>
      </c>
      <c r="O1004" s="109">
        <f t="shared" si="1378"/>
        <v>134725</v>
      </c>
      <c r="P1004" s="109">
        <f t="shared" si="1378"/>
        <v>-6370</v>
      </c>
      <c r="Q1004" s="109">
        <f t="shared" si="1378"/>
        <v>160575</v>
      </c>
      <c r="R1004" s="109">
        <f t="shared" si="1378"/>
        <v>0</v>
      </c>
      <c r="S1004" s="109">
        <f t="shared" si="1378"/>
        <v>0</v>
      </c>
      <c r="T1004" s="109">
        <f t="shared" si="1378"/>
        <v>160575</v>
      </c>
      <c r="U1004" s="99">
        <f>T1004-M1004</f>
        <v>19480</v>
      </c>
      <c r="V1004" s="255">
        <f>IF(M1004=0,"N/A",T1004/M1004-1)</f>
        <v>0.13806300719373477</v>
      </c>
      <c r="W1004" s="102"/>
      <c r="X1004" s="102"/>
      <c r="Y1004" s="102"/>
      <c r="AA1004" s="615"/>
      <c r="AB1004" s="239"/>
      <c r="AC1004" s="239"/>
      <c r="AD1004" s="94"/>
      <c r="AE1004" s="94"/>
      <c r="AF1004" s="94"/>
      <c r="AG1004" s="94"/>
      <c r="AJ1004" s="94"/>
      <c r="AK1004" s="94"/>
      <c r="AL1004" s="94"/>
      <c r="AM1004" s="94"/>
      <c r="AN1004" s="94"/>
    </row>
    <row r="1005" spans="1:59" ht="15" customHeight="1">
      <c r="A1005" s="555"/>
      <c r="B1005" s="217"/>
      <c r="C1005" s="217"/>
      <c r="D1005" s="101"/>
      <c r="E1005" s="217"/>
      <c r="F1005" s="294"/>
      <c r="G1005" s="295"/>
      <c r="H1005" s="98"/>
      <c r="I1005" s="106"/>
      <c r="J1005" s="106"/>
      <c r="K1005" s="106"/>
      <c r="L1005" s="106"/>
      <c r="M1005" s="106"/>
      <c r="N1005" s="112"/>
      <c r="O1005" s="112"/>
      <c r="P1005" s="112"/>
      <c r="Q1005" s="113"/>
      <c r="R1005" s="113"/>
      <c r="S1005" s="113"/>
      <c r="T1005" s="113"/>
      <c r="U1005" s="99"/>
      <c r="V1005" s="255"/>
      <c r="W1005" s="102"/>
      <c r="X1005" s="102"/>
      <c r="Y1005" s="102"/>
      <c r="AA1005" s="615"/>
      <c r="AC1005" s="93"/>
      <c r="AD1005" s="93"/>
      <c r="AE1005" s="93"/>
      <c r="AF1005" s="93"/>
      <c r="AG1005" s="93"/>
      <c r="AJ1005" s="93"/>
      <c r="AK1005" s="93"/>
      <c r="AL1005" s="93"/>
      <c r="AM1005" s="93"/>
      <c r="AN1005" s="93"/>
    </row>
    <row r="1006" spans="1:59" s="75" customFormat="1" ht="15" customHeight="1">
      <c r="A1006" s="555"/>
      <c r="B1006" s="217"/>
      <c r="C1006" s="217"/>
      <c r="D1006" s="101"/>
      <c r="E1006" s="217"/>
      <c r="F1006" s="294"/>
      <c r="G1006" s="295"/>
      <c r="H1006" s="114" t="s">
        <v>763</v>
      </c>
      <c r="I1006" s="108">
        <f t="shared" ref="I1006" si="1382">SUBTOTAL(9,I965:I1005)</f>
        <v>360835.63</v>
      </c>
      <c r="J1006" s="108">
        <f t="shared" ref="J1006:T1006" si="1383">SUBTOTAL(9,J965:J1005)</f>
        <v>371893.79</v>
      </c>
      <c r="K1006" s="108">
        <f t="shared" ref="K1006" si="1384">SUBTOTAL(9,K965:K1005)</f>
        <v>476706.38</v>
      </c>
      <c r="L1006" s="108">
        <f t="shared" ref="L1006" si="1385">SUBTOTAL(9,L965:L1005)</f>
        <v>506420.92</v>
      </c>
      <c r="M1006" s="108">
        <f t="shared" si="1383"/>
        <v>492591</v>
      </c>
      <c r="N1006" s="108">
        <f t="shared" ref="N1006" si="1386">SUBTOTAL(9,N965:N1005)</f>
        <v>367742.21</v>
      </c>
      <c r="O1006" s="108">
        <f t="shared" si="1383"/>
        <v>511181</v>
      </c>
      <c r="P1006" s="108">
        <f t="shared" si="1383"/>
        <v>18590</v>
      </c>
      <c r="Q1006" s="108">
        <f t="shared" si="1383"/>
        <v>528042</v>
      </c>
      <c r="R1006" s="108">
        <f t="shared" si="1383"/>
        <v>0</v>
      </c>
      <c r="S1006" s="108">
        <f t="shared" si="1383"/>
        <v>0</v>
      </c>
      <c r="T1006" s="108">
        <f t="shared" si="1383"/>
        <v>528042</v>
      </c>
      <c r="U1006" s="99">
        <f>T1006-M1006</f>
        <v>35451</v>
      </c>
      <c r="V1006" s="255">
        <f>IF(M1006=0,"N/A",T1006/M1006-1)</f>
        <v>7.1968428168602383E-2</v>
      </c>
      <c r="W1006" s="102"/>
      <c r="X1006" s="102"/>
      <c r="Y1006" s="102"/>
      <c r="Z1006" s="614"/>
      <c r="AA1006" s="615"/>
      <c r="AB1006" s="630"/>
      <c r="AC1006" s="623"/>
      <c r="AD1006" s="623"/>
      <c r="AE1006" s="623"/>
      <c r="AF1006" s="623"/>
      <c r="AG1006" s="623"/>
      <c r="AH1006" s="623"/>
      <c r="AI1006" s="624"/>
      <c r="AJ1006" s="307"/>
      <c r="AK1006" s="307"/>
      <c r="AL1006" s="307"/>
      <c r="AM1006" s="307"/>
      <c r="AN1006" s="307"/>
      <c r="AO1006" s="192"/>
      <c r="AP1006" s="192"/>
      <c r="AQ1006" s="192"/>
      <c r="AR1006" s="115"/>
      <c r="AS1006" s="115"/>
      <c r="AT1006" s="115"/>
      <c r="AU1006" s="115"/>
      <c r="AV1006" s="115"/>
      <c r="AW1006" s="115"/>
      <c r="AX1006" s="115"/>
      <c r="AY1006" s="115"/>
      <c r="AZ1006" s="115"/>
      <c r="BA1006" s="115"/>
      <c r="BB1006" s="115"/>
      <c r="BC1006" s="115"/>
      <c r="BD1006" s="115"/>
      <c r="BE1006" s="74"/>
      <c r="BF1006" s="74"/>
      <c r="BG1006" s="74"/>
    </row>
    <row r="1007" spans="1:59" s="75" customFormat="1" ht="15" customHeight="1">
      <c r="A1007" s="555"/>
      <c r="B1007" s="217"/>
      <c r="C1007" s="217"/>
      <c r="D1007" s="101"/>
      <c r="E1007" s="217"/>
      <c r="F1007" s="294"/>
      <c r="G1007" s="295"/>
      <c r="H1007" s="89"/>
      <c r="I1007" s="233"/>
      <c r="J1007" s="233"/>
      <c r="K1007" s="233"/>
      <c r="L1007" s="233"/>
      <c r="M1007" s="233"/>
      <c r="N1007" s="233"/>
      <c r="O1007" s="233"/>
      <c r="P1007" s="233"/>
      <c r="Q1007" s="233"/>
      <c r="R1007" s="233"/>
      <c r="S1007" s="233"/>
      <c r="T1007" s="233"/>
      <c r="U1007" s="99"/>
      <c r="V1007" s="255"/>
      <c r="W1007" s="102"/>
      <c r="X1007" s="102"/>
      <c r="Y1007" s="102"/>
      <c r="Z1007" s="614"/>
      <c r="AA1007" s="615"/>
      <c r="AB1007" s="624"/>
      <c r="AC1007" s="625"/>
      <c r="AD1007" s="625"/>
      <c r="AE1007" s="625"/>
      <c r="AF1007" s="625"/>
      <c r="AG1007" s="625"/>
      <c r="AH1007" s="623"/>
      <c r="AI1007" s="624"/>
      <c r="AJ1007" s="626"/>
      <c r="AK1007" s="626"/>
      <c r="AL1007" s="626"/>
      <c r="AM1007" s="626"/>
      <c r="AN1007" s="626"/>
      <c r="AO1007" s="192"/>
      <c r="AP1007" s="192"/>
      <c r="AQ1007" s="192"/>
      <c r="AR1007" s="115"/>
      <c r="AS1007" s="115"/>
      <c r="AT1007" s="115"/>
      <c r="AU1007" s="115"/>
      <c r="AV1007" s="115"/>
      <c r="AW1007" s="115"/>
      <c r="AX1007" s="115"/>
      <c r="AY1007" s="115"/>
      <c r="AZ1007" s="115"/>
      <c r="BA1007" s="115"/>
      <c r="BB1007" s="115"/>
      <c r="BC1007" s="115"/>
      <c r="BD1007" s="115"/>
      <c r="BE1007" s="74"/>
      <c r="BF1007" s="74"/>
      <c r="BG1007" s="74"/>
    </row>
    <row r="1008" spans="1:59" ht="15" customHeight="1" thickBot="1">
      <c r="A1008" s="555"/>
      <c r="B1008" s="217"/>
      <c r="C1008" s="217"/>
      <c r="D1008" s="101"/>
      <c r="E1008" s="217"/>
      <c r="F1008" s="294"/>
      <c r="G1008" s="295"/>
      <c r="H1008" s="98"/>
      <c r="I1008" s="218"/>
      <c r="J1008" s="218"/>
      <c r="K1008" s="218"/>
      <c r="L1008" s="218"/>
      <c r="M1008" s="218"/>
      <c r="U1008" s="99"/>
      <c r="V1008" s="255"/>
      <c r="W1008" s="102"/>
      <c r="X1008" s="102"/>
      <c r="Y1008" s="102"/>
      <c r="AA1008" s="615"/>
      <c r="AC1008" s="300"/>
      <c r="AD1008" s="300"/>
      <c r="AE1008" s="300"/>
      <c r="AF1008" s="300"/>
      <c r="AG1008" s="300"/>
      <c r="AJ1008" s="300"/>
      <c r="AK1008" s="300"/>
      <c r="AL1008" s="300"/>
      <c r="AM1008" s="300"/>
      <c r="AN1008" s="300"/>
    </row>
    <row r="1009" spans="1:43" ht="21.75" customHeight="1" thickBot="1">
      <c r="A1009" s="555"/>
      <c r="B1009" s="217"/>
      <c r="C1009" s="217"/>
      <c r="D1009" s="101"/>
      <c r="E1009" s="217"/>
      <c r="F1009" s="294"/>
      <c r="G1009" s="295"/>
      <c r="H1009" s="665" t="s">
        <v>623</v>
      </c>
      <c r="I1009" s="666"/>
      <c r="J1009" s="666"/>
      <c r="K1009" s="666"/>
      <c r="L1009" s="666"/>
      <c r="M1009" s="666"/>
      <c r="N1009" s="666"/>
      <c r="O1009" s="666"/>
      <c r="P1009" s="666"/>
      <c r="Q1009" s="666"/>
      <c r="R1009" s="666"/>
      <c r="S1009" s="666"/>
      <c r="T1009" s="667"/>
      <c r="U1009" s="99"/>
      <c r="V1009" s="255"/>
      <c r="W1009" s="102"/>
      <c r="X1009" s="102"/>
      <c r="Y1009" s="102"/>
      <c r="AA1009" s="615"/>
      <c r="AC1009" s="300"/>
      <c r="AD1009" s="300"/>
      <c r="AE1009" s="300"/>
      <c r="AF1009" s="300"/>
      <c r="AG1009" s="300"/>
      <c r="AJ1009" s="300"/>
      <c r="AK1009" s="300"/>
      <c r="AL1009" s="300"/>
      <c r="AM1009" s="300"/>
      <c r="AN1009" s="300"/>
    </row>
    <row r="1010" spans="1:43" ht="19.5" customHeight="1">
      <c r="A1010" s="555"/>
      <c r="B1010" s="217"/>
      <c r="C1010" s="217"/>
      <c r="D1010" s="101"/>
      <c r="E1010" s="217"/>
      <c r="F1010" s="294"/>
      <c r="G1010" s="295"/>
      <c r="H1010" s="225"/>
      <c r="I1010" s="225"/>
      <c r="J1010" s="225"/>
      <c r="K1010" s="225"/>
      <c r="L1010" s="225"/>
      <c r="M1010" s="225"/>
      <c r="N1010" s="225"/>
      <c r="O1010" s="225"/>
      <c r="P1010" s="225"/>
      <c r="Q1010" s="225"/>
      <c r="R1010" s="225"/>
      <c r="S1010" s="225"/>
      <c r="T1010" s="225"/>
      <c r="U1010" s="99"/>
      <c r="V1010" s="255"/>
      <c r="W1010" s="102"/>
      <c r="X1010" s="102"/>
      <c r="Y1010" s="102"/>
      <c r="AA1010" s="615"/>
      <c r="AC1010" s="300"/>
      <c r="AD1010" s="300"/>
      <c r="AE1010" s="300"/>
      <c r="AF1010" s="300"/>
      <c r="AG1010" s="300"/>
      <c r="AJ1010" s="300"/>
      <c r="AK1010" s="300"/>
      <c r="AL1010" s="300"/>
      <c r="AM1010" s="300"/>
      <c r="AN1010" s="300"/>
    </row>
    <row r="1011" spans="1:43" s="115" customFormat="1" ht="15" customHeight="1">
      <c r="A1011" s="555" t="s">
        <v>2691</v>
      </c>
      <c r="B1011" s="217" t="str">
        <f t="shared" si="1364"/>
        <v>100</v>
      </c>
      <c r="C1011" s="217" t="str">
        <f t="shared" si="1365"/>
        <v>30</v>
      </c>
      <c r="D1011" s="101" t="str">
        <f t="shared" si="1366"/>
        <v>305</v>
      </c>
      <c r="E1011" s="217" t="str">
        <f t="shared" si="1367"/>
        <v>100-30-305</v>
      </c>
      <c r="F1011" s="294" t="str">
        <f t="shared" si="1368"/>
        <v>50101</v>
      </c>
      <c r="G1011" s="295" t="str">
        <f>VLOOKUP(F1011,'GL Category'!A:C,3,FALSE)</f>
        <v>Personnel services</v>
      </c>
      <c r="H1011" s="98" t="str">
        <f>VLOOKUP(F1011,'GL Category'!A:C,2,FALSE)</f>
        <v>EXEMPT SALARIES</v>
      </c>
      <c r="I1011" s="99">
        <f>SUMIF(Import!$B:$B,$A1011,Import!D:D)</f>
        <v>0</v>
      </c>
      <c r="J1011" s="99">
        <f>SUMIF(Import!$B:$B,$A1011,Import!E:E)</f>
        <v>9020.44</v>
      </c>
      <c r="K1011" s="99">
        <f>SUMIF(Import!$B:$B,$A1011,Import!F:F)</f>
        <v>11588.5</v>
      </c>
      <c r="L1011" s="99">
        <f>SUMIF(Import!$B:$B,$A1011,Import!G:G)</f>
        <v>12264.5</v>
      </c>
      <c r="M1011" s="99">
        <f>SUMIF(Import!$B:$B,$A1011,Import!H:H)</f>
        <v>12687</v>
      </c>
      <c r="N1011" s="99">
        <f>SUMIF(Import!$B:$B,$A1011,Import!I:I)</f>
        <v>10004.51</v>
      </c>
      <c r="O1011" s="99">
        <f>SUMIF(Import!$B:$B,$A1011,Import!J:J)</f>
        <v>13191</v>
      </c>
      <c r="P1011" s="99">
        <f t="shared" ref="P1011:P1020" si="1387">O1011-M1011</f>
        <v>504</v>
      </c>
      <c r="Q1011" s="99">
        <f>SUMIF(Import!$B:$B,$A1011,Import!K:K)</f>
        <v>13832</v>
      </c>
      <c r="R1011" s="99">
        <f>SUMIF(Import!$B:$B,$A1011,Import!L:L)</f>
        <v>0</v>
      </c>
      <c r="S1011" s="99">
        <f>SUMIF(Import!$B:$B,$A1011,Import!M:M)</f>
        <v>0</v>
      </c>
      <c r="T1011" s="99">
        <f>SUMIF(Import!$B:$B,$A1011,Import!N:N)</f>
        <v>13832</v>
      </c>
      <c r="U1011" s="99">
        <f t="shared" ref="U1011:U1020" si="1388">T1011-M1011</f>
        <v>1145</v>
      </c>
      <c r="V1011" s="255">
        <f t="shared" ref="V1011:V1020" si="1389">IF(M1011=0,"N/A",T1011/M1011-1)</f>
        <v>9.0249862063529696E-2</v>
      </c>
      <c r="W1011" s="102" t="s">
        <v>2691</v>
      </c>
      <c r="X1011" s="102"/>
      <c r="Y1011" s="102"/>
      <c r="Z1011" s="192"/>
      <c r="AA1011" s="615"/>
      <c r="AB1011" s="307"/>
      <c r="AC1011" s="300"/>
      <c r="AD1011" s="300"/>
      <c r="AE1011" s="300"/>
      <c r="AF1011" s="300"/>
      <c r="AG1011" s="300"/>
      <c r="AH1011" s="307"/>
      <c r="AI1011" s="307"/>
      <c r="AJ1011" s="300"/>
      <c r="AK1011" s="300"/>
      <c r="AL1011" s="300"/>
      <c r="AM1011" s="300"/>
      <c r="AN1011" s="300"/>
      <c r="AO1011" s="192"/>
      <c r="AP1011" s="192"/>
      <c r="AQ1011" s="192"/>
    </row>
    <row r="1012" spans="1:43" s="115" customFormat="1" ht="15" customHeight="1">
      <c r="A1012" s="555" t="s">
        <v>2692</v>
      </c>
      <c r="B1012" s="217" t="str">
        <f t="shared" si="1364"/>
        <v>100</v>
      </c>
      <c r="C1012" s="217" t="str">
        <f t="shared" si="1365"/>
        <v>30</v>
      </c>
      <c r="D1012" s="101" t="str">
        <f t="shared" si="1366"/>
        <v>305</v>
      </c>
      <c r="E1012" s="217" t="str">
        <f t="shared" si="1367"/>
        <v>100-30-305</v>
      </c>
      <c r="F1012" s="294" t="str">
        <f t="shared" si="1368"/>
        <v>50102</v>
      </c>
      <c r="G1012" s="295" t="str">
        <f>VLOOKUP(F1012,'GL Category'!A:C,3,FALSE)</f>
        <v>Personnel services</v>
      </c>
      <c r="H1012" s="98" t="str">
        <f>VLOOKUP(F1012,'GL Category'!A:C,2,FALSE)</f>
        <v>NON EXEMPT SALARIES</v>
      </c>
      <c r="I1012" s="99">
        <f>SUMIF(Import!$B:$B,$A1012,Import!D:D)</f>
        <v>296282.99</v>
      </c>
      <c r="J1012" s="99">
        <f>SUMIF(Import!$B:$B,$A1012,Import!E:E)</f>
        <v>319168.21000000002</v>
      </c>
      <c r="K1012" s="99">
        <f>SUMIF(Import!$B:$B,$A1012,Import!F:F)</f>
        <v>370186.89</v>
      </c>
      <c r="L1012" s="99">
        <f>SUMIF(Import!$B:$B,$A1012,Import!G:G)</f>
        <v>380216.11</v>
      </c>
      <c r="M1012" s="99">
        <f>SUMIF(Import!$B:$B,$A1012,Import!H:H)</f>
        <v>496028</v>
      </c>
      <c r="N1012" s="99">
        <f>SUMIF(Import!$B:$B,$A1012,Import!I:I)</f>
        <v>365627.04</v>
      </c>
      <c r="O1012" s="99">
        <f>SUMIF(Import!$B:$B,$A1012,Import!J:J)</f>
        <v>456405</v>
      </c>
      <c r="P1012" s="99">
        <f t="shared" si="1387"/>
        <v>-39623</v>
      </c>
      <c r="Q1012" s="99">
        <f>SUMIF(Import!$B:$B,$A1012,Import!K:K)</f>
        <v>491054</v>
      </c>
      <c r="R1012" s="99">
        <f>SUMIF(Import!$B:$B,$A1012,Import!L:L)</f>
        <v>0</v>
      </c>
      <c r="S1012" s="99">
        <f>SUMIF(Import!$B:$B,$A1012,Import!M:M)</f>
        <v>0</v>
      </c>
      <c r="T1012" s="99">
        <f>SUMIF(Import!$B:$B,$A1012,Import!N:N)</f>
        <v>491054</v>
      </c>
      <c r="U1012" s="99">
        <f t="shared" si="1388"/>
        <v>-4974</v>
      </c>
      <c r="V1012" s="255">
        <f t="shared" si="1389"/>
        <v>-1.0027659728886307E-2</v>
      </c>
      <c r="W1012" s="102" t="s">
        <v>2692</v>
      </c>
      <c r="X1012" s="102"/>
      <c r="Y1012" s="102"/>
      <c r="Z1012" s="192"/>
      <c r="AA1012" s="615"/>
      <c r="AB1012" s="307"/>
      <c r="AC1012" s="300"/>
      <c r="AD1012" s="300"/>
      <c r="AE1012" s="300"/>
      <c r="AF1012" s="300"/>
      <c r="AG1012" s="300"/>
      <c r="AH1012" s="307"/>
      <c r="AI1012" s="307"/>
      <c r="AJ1012" s="300"/>
      <c r="AK1012" s="300"/>
      <c r="AL1012" s="300"/>
      <c r="AM1012" s="300"/>
      <c r="AN1012" s="300"/>
      <c r="AO1012" s="192"/>
      <c r="AP1012" s="192"/>
      <c r="AQ1012" s="192"/>
    </row>
    <row r="1013" spans="1:43" s="115" customFormat="1" ht="15" customHeight="1">
      <c r="A1013" s="555" t="s">
        <v>2693</v>
      </c>
      <c r="B1013" s="217" t="str">
        <f t="shared" si="1364"/>
        <v>100</v>
      </c>
      <c r="C1013" s="217" t="str">
        <f t="shared" si="1365"/>
        <v>30</v>
      </c>
      <c r="D1013" s="101" t="str">
        <f t="shared" si="1366"/>
        <v>305</v>
      </c>
      <c r="E1013" s="217" t="str">
        <f t="shared" si="1367"/>
        <v>100-30-305</v>
      </c>
      <c r="F1013" s="294" t="str">
        <f t="shared" si="1368"/>
        <v>50109</v>
      </c>
      <c r="G1013" s="295" t="str">
        <f>VLOOKUP(F1013,'GL Category'!A:C,3,FALSE)</f>
        <v>Personnel services</v>
      </c>
      <c r="H1013" s="98" t="str">
        <f>VLOOKUP(F1013,'GL Category'!A:C,2,FALSE)</f>
        <v>OVERTIME</v>
      </c>
      <c r="I1013" s="99">
        <f>SUMIF(Import!$B:$B,$A1013,Import!D:D)</f>
        <v>18920.73</v>
      </c>
      <c r="J1013" s="99">
        <f>SUMIF(Import!$B:$B,$A1013,Import!E:E)</f>
        <v>16933.099999999999</v>
      </c>
      <c r="K1013" s="99">
        <f>SUMIF(Import!$B:$B,$A1013,Import!F:F)</f>
        <v>27683.71</v>
      </c>
      <c r="L1013" s="99">
        <f>SUMIF(Import!$B:$B,$A1013,Import!G:G)</f>
        <v>32310.71</v>
      </c>
      <c r="M1013" s="99">
        <f>SUMIF(Import!$B:$B,$A1013,Import!H:H)</f>
        <v>12214</v>
      </c>
      <c r="N1013" s="99">
        <f>SUMIF(Import!$B:$B,$A1013,Import!I:I)</f>
        <v>23035.05</v>
      </c>
      <c r="O1013" s="99">
        <f>SUMIF(Import!$B:$B,$A1013,Import!J:J)</f>
        <v>28653</v>
      </c>
      <c r="P1013" s="99">
        <f t="shared" si="1387"/>
        <v>16439</v>
      </c>
      <c r="Q1013" s="99">
        <f>SUMIF(Import!$B:$B,$A1013,Import!K:K)</f>
        <v>12456</v>
      </c>
      <c r="R1013" s="99">
        <f>SUMIF(Import!$B:$B,$A1013,Import!L:L)</f>
        <v>0</v>
      </c>
      <c r="S1013" s="99">
        <f>SUMIF(Import!$B:$B,$A1013,Import!M:M)</f>
        <v>0</v>
      </c>
      <c r="T1013" s="99">
        <f>SUMIF(Import!$B:$B,$A1013,Import!N:N)</f>
        <v>12456</v>
      </c>
      <c r="U1013" s="99">
        <f t="shared" si="1388"/>
        <v>242</v>
      </c>
      <c r="V1013" s="255">
        <f t="shared" si="1389"/>
        <v>1.9813328966759469E-2</v>
      </c>
      <c r="W1013" s="102" t="s">
        <v>2693</v>
      </c>
      <c r="X1013" s="102"/>
      <c r="Y1013" s="102"/>
      <c r="Z1013" s="192"/>
      <c r="AA1013" s="615"/>
      <c r="AB1013" s="307"/>
      <c r="AC1013" s="300"/>
      <c r="AD1013" s="300"/>
      <c r="AE1013" s="300"/>
      <c r="AF1013" s="300"/>
      <c r="AG1013" s="300"/>
      <c r="AH1013" s="307"/>
      <c r="AI1013" s="307"/>
      <c r="AJ1013" s="300"/>
      <c r="AK1013" s="300"/>
      <c r="AL1013" s="300"/>
      <c r="AM1013" s="300"/>
      <c r="AN1013" s="300"/>
      <c r="AO1013" s="192"/>
      <c r="AP1013" s="192"/>
      <c r="AQ1013" s="192"/>
    </row>
    <row r="1014" spans="1:43" s="115" customFormat="1" ht="15" customHeight="1">
      <c r="A1014" s="555" t="s">
        <v>2694</v>
      </c>
      <c r="B1014" s="217" t="str">
        <f t="shared" si="1364"/>
        <v>100</v>
      </c>
      <c r="C1014" s="217" t="str">
        <f t="shared" si="1365"/>
        <v>30</v>
      </c>
      <c r="D1014" s="101" t="str">
        <f t="shared" si="1366"/>
        <v>305</v>
      </c>
      <c r="E1014" s="217" t="str">
        <f t="shared" si="1367"/>
        <v>100-30-305</v>
      </c>
      <c r="F1014" s="294" t="str">
        <f t="shared" si="1368"/>
        <v>50110</v>
      </c>
      <c r="G1014" s="295" t="str">
        <f>VLOOKUP(F1014,'GL Category'!A:C,3,FALSE)</f>
        <v>Personnel services</v>
      </c>
      <c r="H1014" s="98" t="str">
        <f>VLOOKUP(F1014,'GL Category'!A:C,2,FALSE)</f>
        <v>PART-TIME WAGES</v>
      </c>
      <c r="I1014" s="99">
        <f>SUMIF(Import!$B:$B,$A1014,Import!D:D)</f>
        <v>0</v>
      </c>
      <c r="J1014" s="99">
        <f>SUMIF(Import!$B:$B,$A1014,Import!E:E)</f>
        <v>0</v>
      </c>
      <c r="K1014" s="99">
        <f>SUMIF(Import!$B:$B,$A1014,Import!F:F)</f>
        <v>0</v>
      </c>
      <c r="L1014" s="99">
        <f>SUMIF(Import!$B:$B,$A1014,Import!G:G)</f>
        <v>0</v>
      </c>
      <c r="M1014" s="99">
        <f>SUMIF(Import!$B:$B,$A1014,Import!H:H)</f>
        <v>0</v>
      </c>
      <c r="N1014" s="99">
        <f>SUMIF(Import!$B:$B,$A1014,Import!I:I)</f>
        <v>0</v>
      </c>
      <c r="O1014" s="99">
        <f>SUMIF(Import!$B:$B,$A1014,Import!J:J)</f>
        <v>0</v>
      </c>
      <c r="P1014" s="99">
        <f t="shared" si="1387"/>
        <v>0</v>
      </c>
      <c r="Q1014" s="99">
        <f>SUMIF(Import!$B:$B,$A1014,Import!K:K)</f>
        <v>0</v>
      </c>
      <c r="R1014" s="99">
        <f>SUMIF(Import!$B:$B,$A1014,Import!L:L)</f>
        <v>0</v>
      </c>
      <c r="S1014" s="99">
        <f>SUMIF(Import!$B:$B,$A1014,Import!M:M)</f>
        <v>0</v>
      </c>
      <c r="T1014" s="99">
        <f>SUMIF(Import!$B:$B,$A1014,Import!N:N)</f>
        <v>0</v>
      </c>
      <c r="U1014" s="99">
        <f t="shared" si="1388"/>
        <v>0</v>
      </c>
      <c r="V1014" s="255" t="str">
        <f t="shared" si="1389"/>
        <v>N/A</v>
      </c>
      <c r="W1014" s="102" t="s">
        <v>2694</v>
      </c>
      <c r="X1014" s="102"/>
      <c r="Y1014" s="102"/>
      <c r="Z1014" s="192"/>
      <c r="AA1014" s="615"/>
      <c r="AB1014" s="307"/>
      <c r="AC1014" s="94"/>
      <c r="AD1014" s="94"/>
      <c r="AE1014" s="94"/>
      <c r="AF1014" s="94"/>
      <c r="AG1014" s="94"/>
      <c r="AH1014" s="307"/>
      <c r="AI1014" s="307"/>
      <c r="AJ1014" s="94"/>
      <c r="AK1014" s="94"/>
      <c r="AL1014" s="94"/>
      <c r="AM1014" s="94"/>
      <c r="AN1014" s="94"/>
      <c r="AO1014" s="192"/>
      <c r="AP1014" s="192"/>
      <c r="AQ1014" s="192"/>
    </row>
    <row r="1015" spans="1:43" s="115" customFormat="1" ht="15" customHeight="1">
      <c r="A1015" s="555" t="s">
        <v>2695</v>
      </c>
      <c r="B1015" s="217" t="str">
        <f t="shared" si="1364"/>
        <v>100</v>
      </c>
      <c r="C1015" s="217" t="str">
        <f t="shared" si="1365"/>
        <v>30</v>
      </c>
      <c r="D1015" s="101" t="str">
        <f t="shared" si="1366"/>
        <v>305</v>
      </c>
      <c r="E1015" s="217" t="str">
        <f t="shared" si="1367"/>
        <v>100-30-305</v>
      </c>
      <c r="F1015" s="294" t="str">
        <f t="shared" si="1368"/>
        <v>50111</v>
      </c>
      <c r="G1015" s="295" t="str">
        <f>VLOOKUP(F1015,'GL Category'!A:C,3,FALSE)</f>
        <v>Personnel services</v>
      </c>
      <c r="H1015" s="98" t="str">
        <f>VLOOKUP(F1015,'GL Category'!A:C,2,FALSE)</f>
        <v>LONGEVITY PAY</v>
      </c>
      <c r="I1015" s="99">
        <f>SUMIF(Import!$B:$B,$A1015,Import!D:D)</f>
        <v>1400</v>
      </c>
      <c r="J1015" s="99">
        <f>SUMIF(Import!$B:$B,$A1015,Import!E:E)</f>
        <v>1485</v>
      </c>
      <c r="K1015" s="99">
        <f>SUMIF(Import!$B:$B,$A1015,Import!F:F)</f>
        <v>1770</v>
      </c>
      <c r="L1015" s="99">
        <f>SUMIF(Import!$B:$B,$A1015,Import!G:G)</f>
        <v>591</v>
      </c>
      <c r="M1015" s="99">
        <f>SUMIF(Import!$B:$B,$A1015,Import!H:H)</f>
        <v>1520</v>
      </c>
      <c r="N1015" s="99">
        <f>SUMIF(Import!$B:$B,$A1015,Import!I:I)</f>
        <v>1083.5</v>
      </c>
      <c r="O1015" s="99">
        <f>SUMIF(Import!$B:$B,$A1015,Import!J:J)</f>
        <v>1084</v>
      </c>
      <c r="P1015" s="99">
        <f t="shared" si="1387"/>
        <v>-436</v>
      </c>
      <c r="Q1015" s="99">
        <f>SUMIF(Import!$B:$B,$A1015,Import!K:K)</f>
        <v>1729</v>
      </c>
      <c r="R1015" s="99">
        <f>SUMIF(Import!$B:$B,$A1015,Import!L:L)</f>
        <v>0</v>
      </c>
      <c r="S1015" s="99">
        <f>SUMIF(Import!$B:$B,$A1015,Import!M:M)</f>
        <v>0</v>
      </c>
      <c r="T1015" s="99">
        <f>SUMIF(Import!$B:$B,$A1015,Import!N:N)</f>
        <v>1729</v>
      </c>
      <c r="U1015" s="99">
        <f t="shared" si="1388"/>
        <v>209</v>
      </c>
      <c r="V1015" s="255">
        <f t="shared" si="1389"/>
        <v>0.13749999999999996</v>
      </c>
      <c r="W1015" s="102" t="s">
        <v>2695</v>
      </c>
      <c r="X1015" s="102"/>
      <c r="Y1015" s="102"/>
      <c r="Z1015" s="192"/>
      <c r="AA1015" s="615"/>
      <c r="AB1015" s="307"/>
      <c r="AC1015" s="94"/>
      <c r="AD1015" s="94"/>
      <c r="AE1015" s="94"/>
      <c r="AF1015" s="94"/>
      <c r="AG1015" s="94"/>
      <c r="AH1015" s="307"/>
      <c r="AI1015" s="307"/>
      <c r="AJ1015" s="94"/>
      <c r="AK1015" s="94"/>
      <c r="AL1015" s="94"/>
      <c r="AM1015" s="94"/>
      <c r="AN1015" s="94"/>
      <c r="AO1015" s="192"/>
      <c r="AP1015" s="192"/>
      <c r="AQ1015" s="192"/>
    </row>
    <row r="1016" spans="1:43" s="115" customFormat="1" ht="15" customHeight="1">
      <c r="A1016" s="555" t="s">
        <v>2696</v>
      </c>
      <c r="B1016" s="217" t="str">
        <f t="shared" si="1364"/>
        <v>100</v>
      </c>
      <c r="C1016" s="217" t="str">
        <f t="shared" si="1365"/>
        <v>30</v>
      </c>
      <c r="D1016" s="101" t="str">
        <f t="shared" si="1366"/>
        <v>305</v>
      </c>
      <c r="E1016" s="217" t="str">
        <f t="shared" si="1367"/>
        <v>100-30-305</v>
      </c>
      <c r="F1016" s="294" t="str">
        <f t="shared" si="1368"/>
        <v>50115</v>
      </c>
      <c r="G1016" s="295" t="str">
        <f>VLOOKUP(F1016,'GL Category'!A:C,3,FALSE)</f>
        <v>Personnel services</v>
      </c>
      <c r="H1016" s="98" t="str">
        <f>VLOOKUP(F1016,'GL Category'!A:C,2,FALSE)</f>
        <v>INCENTIVE/CERTIFICATION PAY</v>
      </c>
      <c r="I1016" s="99">
        <f>SUMIF(Import!$B:$B,$A1016,Import!D:D)</f>
        <v>23200.58</v>
      </c>
      <c r="J1016" s="99">
        <f>SUMIF(Import!$B:$B,$A1016,Import!E:E)</f>
        <v>30151.91</v>
      </c>
      <c r="K1016" s="99">
        <f>SUMIF(Import!$B:$B,$A1016,Import!F:F)</f>
        <v>32012.67</v>
      </c>
      <c r="L1016" s="99">
        <f>SUMIF(Import!$B:$B,$A1016,Import!G:G)</f>
        <v>34821.01</v>
      </c>
      <c r="M1016" s="99">
        <f>SUMIF(Import!$B:$B,$A1016,Import!H:H)</f>
        <v>49321</v>
      </c>
      <c r="N1016" s="99">
        <f>SUMIF(Import!$B:$B,$A1016,Import!I:I)</f>
        <v>31721.96</v>
      </c>
      <c r="O1016" s="99">
        <f>SUMIF(Import!$B:$B,$A1016,Import!J:J)</f>
        <v>57527</v>
      </c>
      <c r="P1016" s="99">
        <f t="shared" si="1387"/>
        <v>8206</v>
      </c>
      <c r="Q1016" s="99">
        <f>SUMIF(Import!$B:$B,$A1016,Import!K:K)</f>
        <v>44721</v>
      </c>
      <c r="R1016" s="99">
        <f>SUMIF(Import!$B:$B,$A1016,Import!L:L)</f>
        <v>0</v>
      </c>
      <c r="S1016" s="99">
        <f>SUMIF(Import!$B:$B,$A1016,Import!M:M)</f>
        <v>0</v>
      </c>
      <c r="T1016" s="99">
        <f>SUMIF(Import!$B:$B,$A1016,Import!N:N)</f>
        <v>44721</v>
      </c>
      <c r="U1016" s="99">
        <f t="shared" si="1388"/>
        <v>-4600</v>
      </c>
      <c r="V1016" s="255">
        <f t="shared" si="1389"/>
        <v>-9.3266559883214084E-2</v>
      </c>
      <c r="W1016" s="102" t="s">
        <v>2696</v>
      </c>
      <c r="X1016" s="102"/>
      <c r="Y1016" s="102"/>
      <c r="Z1016" s="192"/>
      <c r="AA1016" s="615"/>
      <c r="AB1016" s="307"/>
      <c r="AC1016" s="93"/>
      <c r="AD1016" s="93"/>
      <c r="AE1016" s="93"/>
      <c r="AF1016" s="93"/>
      <c r="AG1016" s="93"/>
      <c r="AH1016" s="307"/>
      <c r="AI1016" s="307"/>
      <c r="AJ1016" s="93"/>
      <c r="AK1016" s="93"/>
      <c r="AL1016" s="93"/>
      <c r="AM1016" s="93"/>
      <c r="AN1016" s="93"/>
      <c r="AO1016" s="192"/>
      <c r="AP1016" s="192"/>
      <c r="AQ1016" s="192"/>
    </row>
    <row r="1017" spans="1:43" s="115" customFormat="1" ht="15" customHeight="1">
      <c r="A1017" s="555" t="s">
        <v>2697</v>
      </c>
      <c r="B1017" s="217" t="str">
        <f t="shared" si="1364"/>
        <v>100</v>
      </c>
      <c r="C1017" s="217" t="str">
        <f t="shared" si="1365"/>
        <v>30</v>
      </c>
      <c r="D1017" s="101" t="str">
        <f t="shared" si="1366"/>
        <v>305</v>
      </c>
      <c r="E1017" s="217" t="str">
        <f t="shared" si="1367"/>
        <v>100-30-305</v>
      </c>
      <c r="F1017" s="294" t="str">
        <f t="shared" si="1368"/>
        <v>50610</v>
      </c>
      <c r="G1017" s="295" t="str">
        <f>VLOOKUP(F1017,'GL Category'!A:C,3,FALSE)</f>
        <v>Personnel services</v>
      </c>
      <c r="H1017" s="98" t="str">
        <f>VLOOKUP(F1017,'GL Category'!A:C,2,FALSE)</f>
        <v>SOCIAL SECURITY</v>
      </c>
      <c r="I1017" s="99">
        <f>SUMIF(Import!$B:$B,$A1017,Import!D:D)</f>
        <v>24890.42</v>
      </c>
      <c r="J1017" s="99">
        <f>SUMIF(Import!$B:$B,$A1017,Import!E:E)</f>
        <v>28095.86</v>
      </c>
      <c r="K1017" s="99">
        <f>SUMIF(Import!$B:$B,$A1017,Import!F:F)</f>
        <v>33163.1</v>
      </c>
      <c r="L1017" s="99">
        <f>SUMIF(Import!$B:$B,$A1017,Import!G:G)</f>
        <v>34050.07</v>
      </c>
      <c r="M1017" s="99">
        <f>SUMIF(Import!$B:$B,$A1017,Import!H:H)</f>
        <v>43892</v>
      </c>
      <c r="N1017" s="99">
        <f>SUMIF(Import!$B:$B,$A1017,Import!I:I)</f>
        <v>32060.05</v>
      </c>
      <c r="O1017" s="99">
        <f>SUMIF(Import!$B:$B,$A1017,Import!J:J)</f>
        <v>41354</v>
      </c>
      <c r="P1017" s="99">
        <f t="shared" si="1387"/>
        <v>-2538</v>
      </c>
      <c r="Q1017" s="99">
        <f>SUMIF(Import!$B:$B,$A1017,Import!K:K)</f>
        <v>43209</v>
      </c>
      <c r="R1017" s="99">
        <f>SUMIF(Import!$B:$B,$A1017,Import!L:L)</f>
        <v>0</v>
      </c>
      <c r="S1017" s="99">
        <f>SUMIF(Import!$B:$B,$A1017,Import!M:M)</f>
        <v>0</v>
      </c>
      <c r="T1017" s="99">
        <f>SUMIF(Import!$B:$B,$A1017,Import!N:N)</f>
        <v>43209</v>
      </c>
      <c r="U1017" s="99">
        <f t="shared" si="1388"/>
        <v>-683</v>
      </c>
      <c r="V1017" s="255">
        <f t="shared" si="1389"/>
        <v>-1.5560922263738286E-2</v>
      </c>
      <c r="W1017" s="102" t="s">
        <v>2697</v>
      </c>
      <c r="X1017" s="102"/>
      <c r="Y1017" s="102"/>
      <c r="Z1017" s="192"/>
      <c r="AA1017" s="615"/>
      <c r="AB1017" s="307"/>
      <c r="AC1017" s="300"/>
      <c r="AD1017" s="300"/>
      <c r="AE1017" s="300"/>
      <c r="AF1017" s="300"/>
      <c r="AG1017" s="300"/>
      <c r="AH1017" s="307"/>
      <c r="AI1017" s="307"/>
      <c r="AJ1017" s="300"/>
      <c r="AK1017" s="300"/>
      <c r="AL1017" s="300"/>
      <c r="AM1017" s="300"/>
      <c r="AN1017" s="300"/>
      <c r="AO1017" s="192"/>
      <c r="AP1017" s="192"/>
      <c r="AQ1017" s="192"/>
    </row>
    <row r="1018" spans="1:43" s="115" customFormat="1" ht="15" customHeight="1">
      <c r="A1018" s="555" t="s">
        <v>2698</v>
      </c>
      <c r="B1018" s="217" t="str">
        <f t="shared" si="1364"/>
        <v>100</v>
      </c>
      <c r="C1018" s="217" t="str">
        <f t="shared" si="1365"/>
        <v>30</v>
      </c>
      <c r="D1018" s="101" t="str">
        <f t="shared" si="1366"/>
        <v>305</v>
      </c>
      <c r="E1018" s="217" t="str">
        <f t="shared" si="1367"/>
        <v>100-30-305</v>
      </c>
      <c r="F1018" s="294" t="str">
        <f t="shared" si="1368"/>
        <v>50620</v>
      </c>
      <c r="G1018" s="295" t="str">
        <f>VLOOKUP(F1018,'GL Category'!A:C,3,FALSE)</f>
        <v>Personnel services</v>
      </c>
      <c r="H1018" s="98" t="str">
        <f>VLOOKUP(F1018,'GL Category'!A:C,2,FALSE)</f>
        <v>HEALTH/LIFE INSURANCE</v>
      </c>
      <c r="I1018" s="99">
        <f>SUMIF(Import!$B:$B,$A1018,Import!D:D)</f>
        <v>79945.75</v>
      </c>
      <c r="J1018" s="99">
        <f>SUMIF(Import!$B:$B,$A1018,Import!E:E)</f>
        <v>75078.3</v>
      </c>
      <c r="K1018" s="99">
        <f>SUMIF(Import!$B:$B,$A1018,Import!F:F)</f>
        <v>103714.68</v>
      </c>
      <c r="L1018" s="99">
        <f>SUMIF(Import!$B:$B,$A1018,Import!G:G)</f>
        <v>116009.12</v>
      </c>
      <c r="M1018" s="99">
        <f>SUMIF(Import!$B:$B,$A1018,Import!H:H)</f>
        <v>141602</v>
      </c>
      <c r="N1018" s="99">
        <f>SUMIF(Import!$B:$B,$A1018,Import!I:I)</f>
        <v>93993.03</v>
      </c>
      <c r="O1018" s="99">
        <f>SUMIF(Import!$B:$B,$A1018,Import!J:J)</f>
        <v>126069</v>
      </c>
      <c r="P1018" s="99">
        <f t="shared" si="1387"/>
        <v>-15533</v>
      </c>
      <c r="Q1018" s="99">
        <f>SUMIF(Import!$B:$B,$A1018,Import!K:K)</f>
        <v>136897</v>
      </c>
      <c r="R1018" s="99">
        <f>SUMIF(Import!$B:$B,$A1018,Import!L:L)</f>
        <v>0</v>
      </c>
      <c r="S1018" s="99">
        <f>SUMIF(Import!$B:$B,$A1018,Import!M:M)</f>
        <v>0</v>
      </c>
      <c r="T1018" s="99">
        <f>SUMIF(Import!$B:$B,$A1018,Import!N:N)</f>
        <v>136897</v>
      </c>
      <c r="U1018" s="99">
        <f t="shared" si="1388"/>
        <v>-4705</v>
      </c>
      <c r="V1018" s="255">
        <f t="shared" si="1389"/>
        <v>-3.3226931822996852E-2</v>
      </c>
      <c r="W1018" s="102" t="s">
        <v>2698</v>
      </c>
      <c r="X1018" s="102"/>
      <c r="Y1018" s="102"/>
      <c r="Z1018" s="192"/>
      <c r="AA1018" s="615"/>
      <c r="AB1018" s="307"/>
      <c r="AC1018" s="300"/>
      <c r="AD1018" s="300"/>
      <c r="AE1018" s="300"/>
      <c r="AF1018" s="300"/>
      <c r="AG1018" s="300"/>
      <c r="AH1018" s="307"/>
      <c r="AI1018" s="307"/>
      <c r="AJ1018" s="300"/>
      <c r="AK1018" s="300"/>
      <c r="AL1018" s="300"/>
      <c r="AM1018" s="300"/>
      <c r="AN1018" s="300"/>
      <c r="AO1018" s="192"/>
      <c r="AP1018" s="192"/>
      <c r="AQ1018" s="192"/>
    </row>
    <row r="1019" spans="1:43" s="115" customFormat="1" ht="15" customHeight="1">
      <c r="A1019" s="555" t="s">
        <v>2699</v>
      </c>
      <c r="B1019" s="217" t="str">
        <f t="shared" si="1364"/>
        <v>100</v>
      </c>
      <c r="C1019" s="217" t="str">
        <f t="shared" si="1365"/>
        <v>30</v>
      </c>
      <c r="D1019" s="101" t="str">
        <f t="shared" si="1366"/>
        <v>305</v>
      </c>
      <c r="E1019" s="217" t="str">
        <f t="shared" si="1367"/>
        <v>100-30-305</v>
      </c>
      <c r="F1019" s="294" t="str">
        <f t="shared" si="1368"/>
        <v>50630</v>
      </c>
      <c r="G1019" s="295" t="str">
        <f>VLOOKUP(F1019,'GL Category'!A:C,3,FALSE)</f>
        <v>Personnel services</v>
      </c>
      <c r="H1019" s="98" t="str">
        <f>VLOOKUP(F1019,'GL Category'!A:C,2,FALSE)</f>
        <v>WORKER COMPENSATION</v>
      </c>
      <c r="I1019" s="99">
        <f>SUMIF(Import!$B:$B,$A1019,Import!D:D)</f>
        <v>2704.6</v>
      </c>
      <c r="J1019" s="99">
        <f>SUMIF(Import!$B:$B,$A1019,Import!E:E)</f>
        <v>2584.7399999999998</v>
      </c>
      <c r="K1019" s="99">
        <f>SUMIF(Import!$B:$B,$A1019,Import!F:F)</f>
        <v>3143.59</v>
      </c>
      <c r="L1019" s="99">
        <f>SUMIF(Import!$B:$B,$A1019,Import!G:G)</f>
        <v>5546.98</v>
      </c>
      <c r="M1019" s="99">
        <f>SUMIF(Import!$B:$B,$A1019,Import!H:H)</f>
        <v>8688</v>
      </c>
      <c r="N1019" s="99">
        <f>SUMIF(Import!$B:$B,$A1019,Import!I:I)</f>
        <v>8680.9</v>
      </c>
      <c r="O1019" s="99">
        <f>SUMIF(Import!$B:$B,$A1019,Import!J:J)</f>
        <v>8681</v>
      </c>
      <c r="P1019" s="99">
        <f t="shared" si="1387"/>
        <v>-7</v>
      </c>
      <c r="Q1019" s="99">
        <f>SUMIF(Import!$B:$B,$A1019,Import!K:K)</f>
        <v>8903</v>
      </c>
      <c r="R1019" s="99">
        <f>SUMIF(Import!$B:$B,$A1019,Import!L:L)</f>
        <v>0</v>
      </c>
      <c r="S1019" s="99">
        <f>SUMIF(Import!$B:$B,$A1019,Import!M:M)</f>
        <v>0</v>
      </c>
      <c r="T1019" s="99">
        <f>SUMIF(Import!$B:$B,$A1019,Import!N:N)</f>
        <v>8903</v>
      </c>
      <c r="U1019" s="99">
        <f t="shared" si="1388"/>
        <v>215</v>
      </c>
      <c r="V1019" s="255">
        <f t="shared" si="1389"/>
        <v>2.4746777163904277E-2</v>
      </c>
      <c r="W1019" s="102" t="s">
        <v>2699</v>
      </c>
      <c r="X1019" s="102"/>
      <c r="Y1019" s="102"/>
      <c r="Z1019" s="192"/>
      <c r="AA1019" s="615"/>
      <c r="AB1019" s="307"/>
      <c r="AC1019" s="300"/>
      <c r="AD1019" s="300"/>
      <c r="AE1019" s="300"/>
      <c r="AF1019" s="300"/>
      <c r="AG1019" s="300"/>
      <c r="AH1019" s="307"/>
      <c r="AI1019" s="307"/>
      <c r="AJ1019" s="300"/>
      <c r="AK1019" s="300"/>
      <c r="AL1019" s="300"/>
      <c r="AM1019" s="300"/>
      <c r="AN1019" s="300"/>
      <c r="AO1019" s="192"/>
      <c r="AP1019" s="192"/>
      <c r="AQ1019" s="192"/>
    </row>
    <row r="1020" spans="1:43" s="115" customFormat="1" ht="15" customHeight="1">
      <c r="A1020" s="555" t="s">
        <v>2700</v>
      </c>
      <c r="B1020" s="217" t="str">
        <f t="shared" si="1364"/>
        <v>100</v>
      </c>
      <c r="C1020" s="217" t="str">
        <f t="shared" si="1365"/>
        <v>30</v>
      </c>
      <c r="D1020" s="101" t="str">
        <f t="shared" si="1366"/>
        <v>305</v>
      </c>
      <c r="E1020" s="217" t="str">
        <f t="shared" si="1367"/>
        <v>100-30-305</v>
      </c>
      <c r="F1020" s="294" t="str">
        <f t="shared" si="1368"/>
        <v>50650</v>
      </c>
      <c r="G1020" s="295" t="str">
        <f>VLOOKUP(F1020,'GL Category'!A:C,3,FALSE)</f>
        <v>Personnel services</v>
      </c>
      <c r="H1020" s="98" t="str">
        <f>VLOOKUP(F1020,'GL Category'!A:C,2,FALSE)</f>
        <v>RETIREMENT</v>
      </c>
      <c r="I1020" s="99">
        <f>SUMIF(Import!$B:$B,$A1020,Import!D:D)</f>
        <v>54211.06</v>
      </c>
      <c r="J1020" s="99">
        <f>SUMIF(Import!$B:$B,$A1020,Import!E:E)</f>
        <v>60709.58</v>
      </c>
      <c r="K1020" s="99">
        <f>SUMIF(Import!$B:$B,$A1020,Import!F:F)</f>
        <v>72258.83</v>
      </c>
      <c r="L1020" s="99">
        <f>SUMIF(Import!$B:$B,$A1020,Import!G:G)</f>
        <v>74090.649999999994</v>
      </c>
      <c r="M1020" s="99">
        <f>SUMIF(Import!$B:$B,$A1020,Import!H:H)</f>
        <v>94762</v>
      </c>
      <c r="N1020" s="99">
        <f>SUMIF(Import!$B:$B,$A1020,Import!I:I)</f>
        <v>71401.66</v>
      </c>
      <c r="O1020" s="99">
        <f>SUMIF(Import!$B:$B,$A1020,Import!J:J)</f>
        <v>91256</v>
      </c>
      <c r="P1020" s="99">
        <f t="shared" si="1387"/>
        <v>-3506</v>
      </c>
      <c r="Q1020" s="99">
        <f>SUMIF(Import!$B:$B,$A1020,Import!K:K)</f>
        <v>95702</v>
      </c>
      <c r="R1020" s="99">
        <f>SUMIF(Import!$B:$B,$A1020,Import!L:L)</f>
        <v>0</v>
      </c>
      <c r="S1020" s="99">
        <f>SUMIF(Import!$B:$B,$A1020,Import!M:M)</f>
        <v>0</v>
      </c>
      <c r="T1020" s="99">
        <f>SUMIF(Import!$B:$B,$A1020,Import!N:N)</f>
        <v>95702</v>
      </c>
      <c r="U1020" s="99">
        <f t="shared" si="1388"/>
        <v>940</v>
      </c>
      <c r="V1020" s="255">
        <f t="shared" si="1389"/>
        <v>9.9195880205145137E-3</v>
      </c>
      <c r="W1020" s="102" t="s">
        <v>2700</v>
      </c>
      <c r="X1020" s="102"/>
      <c r="Y1020" s="102"/>
      <c r="Z1020" s="192"/>
      <c r="AA1020" s="615"/>
      <c r="AB1020" s="307"/>
      <c r="AC1020" s="300"/>
      <c r="AD1020" s="300"/>
      <c r="AE1020" s="300"/>
      <c r="AF1020" s="300"/>
      <c r="AG1020" s="300"/>
      <c r="AH1020" s="307"/>
      <c r="AI1020" s="307"/>
      <c r="AJ1020" s="300"/>
      <c r="AK1020" s="300"/>
      <c r="AL1020" s="300"/>
      <c r="AM1020" s="300"/>
      <c r="AN1020" s="300"/>
      <c r="AO1020" s="192"/>
      <c r="AP1020" s="192"/>
      <c r="AQ1020" s="192"/>
    </row>
    <row r="1021" spans="1:43" s="115" customFormat="1" ht="15" customHeight="1">
      <c r="A1021" s="555"/>
      <c r="B1021" s="217"/>
      <c r="C1021" s="217"/>
      <c r="D1021" s="101"/>
      <c r="E1021" s="217"/>
      <c r="F1021" s="294"/>
      <c r="G1021" s="295"/>
      <c r="H1021" s="107" t="str">
        <f>UPPER(G1020)&amp;" TOTAL"</f>
        <v>PERSONNEL SERVICES TOTAL</v>
      </c>
      <c r="I1021" s="108">
        <f t="shared" ref="I1021" si="1390">SUBTOTAL(9,I1011:I1020)</f>
        <v>501556.12999999995</v>
      </c>
      <c r="J1021" s="108">
        <f t="shared" ref="J1021:P1021" si="1391">SUBTOTAL(9,J1011:J1020)</f>
        <v>543227.1399999999</v>
      </c>
      <c r="K1021" s="108">
        <f t="shared" ref="K1021" si="1392">SUBTOTAL(9,K1011:K1020)</f>
        <v>655521.97</v>
      </c>
      <c r="L1021" s="108">
        <f t="shared" ref="L1021" si="1393">SUBTOTAL(9,L1011:L1020)</f>
        <v>689900.15</v>
      </c>
      <c r="M1021" s="108">
        <f t="shared" si="1391"/>
        <v>860714</v>
      </c>
      <c r="N1021" s="109">
        <f t="shared" ref="N1021" si="1394">SUBTOTAL(9,N1011:N1020)</f>
        <v>637607.70000000007</v>
      </c>
      <c r="O1021" s="109">
        <f t="shared" si="1391"/>
        <v>824220</v>
      </c>
      <c r="P1021" s="109">
        <f t="shared" si="1391"/>
        <v>-36494</v>
      </c>
      <c r="Q1021" s="109">
        <f t="shared" ref="Q1021:T1021" si="1395">SUBTOTAL(9,Q1011:Q1020)</f>
        <v>848503</v>
      </c>
      <c r="R1021" s="109">
        <f t="shared" si="1395"/>
        <v>0</v>
      </c>
      <c r="S1021" s="109">
        <f t="shared" si="1395"/>
        <v>0</v>
      </c>
      <c r="T1021" s="109">
        <f t="shared" si="1395"/>
        <v>848503</v>
      </c>
      <c r="U1021" s="99">
        <f>T1021-M1021</f>
        <v>-12211</v>
      </c>
      <c r="V1021" s="255">
        <f>IF(M1021=0,"N/A",T1021/M1021-1)</f>
        <v>-1.4187058651305762E-2</v>
      </c>
      <c r="W1021" s="102"/>
      <c r="X1021" s="102"/>
      <c r="Y1021" s="102"/>
      <c r="Z1021" s="192"/>
      <c r="AA1021" s="615"/>
      <c r="AB1021" s="307"/>
      <c r="AC1021" s="300"/>
      <c r="AD1021" s="300"/>
      <c r="AE1021" s="300"/>
      <c r="AF1021" s="300"/>
      <c r="AG1021" s="300"/>
      <c r="AH1021" s="307"/>
      <c r="AI1021" s="307"/>
      <c r="AJ1021" s="300"/>
      <c r="AK1021" s="300"/>
      <c r="AL1021" s="300"/>
      <c r="AM1021" s="300"/>
      <c r="AN1021" s="300"/>
      <c r="AO1021" s="192"/>
      <c r="AP1021" s="192"/>
      <c r="AQ1021" s="192"/>
    </row>
    <row r="1022" spans="1:43" s="115" customFormat="1" ht="15" customHeight="1">
      <c r="A1022" s="555"/>
      <c r="B1022" s="217"/>
      <c r="C1022" s="217"/>
      <c r="D1022" s="101"/>
      <c r="E1022" s="217"/>
      <c r="F1022" s="294"/>
      <c r="G1022" s="295"/>
      <c r="H1022" s="98"/>
      <c r="I1022" s="106"/>
      <c r="J1022" s="106"/>
      <c r="K1022" s="106"/>
      <c r="L1022" s="106"/>
      <c r="M1022" s="106"/>
      <c r="N1022" s="112"/>
      <c r="O1022" s="112"/>
      <c r="P1022" s="112"/>
      <c r="Q1022" s="113"/>
      <c r="R1022" s="113"/>
      <c r="S1022" s="113"/>
      <c r="T1022" s="113"/>
      <c r="U1022" s="99"/>
      <c r="V1022" s="255"/>
      <c r="W1022" s="102"/>
      <c r="X1022" s="102"/>
      <c r="Y1022" s="102"/>
      <c r="Z1022" s="192"/>
      <c r="AA1022" s="615"/>
      <c r="AB1022" s="307"/>
      <c r="AC1022" s="300"/>
      <c r="AD1022" s="300"/>
      <c r="AE1022" s="300"/>
      <c r="AF1022" s="300"/>
      <c r="AG1022" s="300"/>
      <c r="AH1022" s="307"/>
      <c r="AI1022" s="307"/>
      <c r="AJ1022" s="300"/>
      <c r="AK1022" s="300"/>
      <c r="AL1022" s="300"/>
      <c r="AM1022" s="300"/>
      <c r="AN1022" s="300"/>
      <c r="AO1022" s="192"/>
      <c r="AP1022" s="192"/>
      <c r="AQ1022" s="192"/>
    </row>
    <row r="1023" spans="1:43" s="115" customFormat="1" ht="15" customHeight="1">
      <c r="A1023" s="555" t="s">
        <v>2701</v>
      </c>
      <c r="B1023" s="217" t="str">
        <f t="shared" si="1364"/>
        <v>100</v>
      </c>
      <c r="C1023" s="217" t="str">
        <f t="shared" si="1365"/>
        <v>30</v>
      </c>
      <c r="D1023" s="101" t="str">
        <f t="shared" si="1366"/>
        <v>305</v>
      </c>
      <c r="E1023" s="217" t="str">
        <f t="shared" si="1367"/>
        <v>100-30-305</v>
      </c>
      <c r="F1023" s="294" t="str">
        <f t="shared" si="1368"/>
        <v>51210</v>
      </c>
      <c r="G1023" s="295" t="str">
        <f>VLOOKUP(F1023,'GL Category'!A:C,3,FALSE)</f>
        <v>Operations &amp; maintenance</v>
      </c>
      <c r="H1023" s="98" t="str">
        <f>VLOOKUP(F1023,'GL Category'!A:C,2,FALSE)</f>
        <v>OFFICE SUPPLIES</v>
      </c>
      <c r="I1023" s="99">
        <f>SUMIF(Import!$B:$B,$A1023,Import!D:D)</f>
        <v>0</v>
      </c>
      <c r="J1023" s="99">
        <f>SUMIF(Import!$B:$B,$A1023,Import!E:E)</f>
        <v>0</v>
      </c>
      <c r="K1023" s="99">
        <f>SUMIF(Import!$B:$B,$A1023,Import!F:F)</f>
        <v>0</v>
      </c>
      <c r="L1023" s="99">
        <f>SUMIF(Import!$B:$B,$A1023,Import!G:G)</f>
        <v>0</v>
      </c>
      <c r="M1023" s="99">
        <f>SUMIF(Import!$B:$B,$A1023,Import!H:H)</f>
        <v>0</v>
      </c>
      <c r="N1023" s="99">
        <f>SUMIF(Import!$B:$B,$A1023,Import!I:I)</f>
        <v>0</v>
      </c>
      <c r="O1023" s="99">
        <f>SUMIF(Import!$B:$B,$A1023,Import!J:J)</f>
        <v>0</v>
      </c>
      <c r="P1023" s="99">
        <f t="shared" ref="P1023:P1032" si="1396">O1023-M1023</f>
        <v>0</v>
      </c>
      <c r="Q1023" s="99">
        <f>SUMIF(Import!$B:$B,$A1023,Import!K:K)</f>
        <v>0</v>
      </c>
      <c r="R1023" s="99">
        <f>SUMIF(Import!$B:$B,$A1023,Import!L:L)</f>
        <v>0</v>
      </c>
      <c r="S1023" s="99">
        <f>SUMIF(Import!$B:$B,$A1023,Import!M:M)</f>
        <v>0</v>
      </c>
      <c r="T1023" s="99">
        <f>SUMIF(Import!$B:$B,$A1023,Import!N:N)</f>
        <v>0</v>
      </c>
      <c r="U1023" s="99">
        <f t="shared" ref="U1023:U1032" si="1397">T1023-M1023</f>
        <v>0</v>
      </c>
      <c r="V1023" s="255" t="str">
        <f t="shared" ref="V1023:V1032" si="1398">IF(M1023=0,"N/A",T1023/M1023-1)</f>
        <v>N/A</v>
      </c>
      <c r="W1023" s="102" t="s">
        <v>2701</v>
      </c>
      <c r="X1023" s="102"/>
      <c r="Y1023" s="102"/>
      <c r="Z1023" s="192"/>
      <c r="AA1023" s="615"/>
      <c r="AB1023" s="307"/>
      <c r="AC1023" s="94"/>
      <c r="AD1023" s="94"/>
      <c r="AE1023" s="94"/>
      <c r="AF1023" s="94"/>
      <c r="AG1023" s="94"/>
      <c r="AH1023" s="307"/>
      <c r="AI1023" s="307"/>
      <c r="AJ1023" s="94"/>
      <c r="AK1023" s="94"/>
      <c r="AL1023" s="94"/>
      <c r="AM1023" s="94"/>
      <c r="AN1023" s="94"/>
      <c r="AO1023" s="192"/>
      <c r="AP1023" s="192"/>
      <c r="AQ1023" s="192"/>
    </row>
    <row r="1024" spans="1:43" s="115" customFormat="1" ht="15" customHeight="1">
      <c r="A1024" s="555" t="s">
        <v>2702</v>
      </c>
      <c r="B1024" s="217" t="str">
        <f t="shared" si="1364"/>
        <v>100</v>
      </c>
      <c r="C1024" s="217" t="str">
        <f t="shared" si="1365"/>
        <v>30</v>
      </c>
      <c r="D1024" s="101" t="str">
        <f t="shared" si="1366"/>
        <v>305</v>
      </c>
      <c r="E1024" s="217" t="str">
        <f t="shared" si="1367"/>
        <v>100-30-305</v>
      </c>
      <c r="F1024" s="294" t="str">
        <f t="shared" si="1368"/>
        <v>51225</v>
      </c>
      <c r="G1024" s="295" t="str">
        <f>VLOOKUP(F1024,'GL Category'!A:C,3,FALSE)</f>
        <v>Operations &amp; maintenance</v>
      </c>
      <c r="H1024" s="98" t="str">
        <f>VLOOKUP(F1024,'GL Category'!A:C,2,FALSE)</f>
        <v>JANITORIAL SUPPLIES</v>
      </c>
      <c r="I1024" s="99">
        <f>SUMIF(Import!$B:$B,$A1024,Import!D:D)</f>
        <v>1688.77</v>
      </c>
      <c r="J1024" s="99">
        <f>SUMIF(Import!$B:$B,$A1024,Import!E:E)</f>
        <v>2932.99</v>
      </c>
      <c r="K1024" s="99">
        <f>SUMIF(Import!$B:$B,$A1024,Import!F:F)</f>
        <v>3160.89</v>
      </c>
      <c r="L1024" s="99">
        <f>SUMIF(Import!$B:$B,$A1024,Import!G:G)</f>
        <v>3537.6</v>
      </c>
      <c r="M1024" s="99">
        <f>SUMIF(Import!$B:$B,$A1024,Import!H:H)</f>
        <v>2500</v>
      </c>
      <c r="N1024" s="99">
        <f>SUMIF(Import!$B:$B,$A1024,Import!I:I)</f>
        <v>2894.46</v>
      </c>
      <c r="O1024" s="99">
        <f>SUMIF(Import!$B:$B,$A1024,Import!J:J)</f>
        <v>2500</v>
      </c>
      <c r="P1024" s="99">
        <f t="shared" si="1396"/>
        <v>0</v>
      </c>
      <c r="Q1024" s="99">
        <f>SUMIF(Import!$B:$B,$A1024,Import!K:K)</f>
        <v>2500</v>
      </c>
      <c r="R1024" s="99">
        <f>SUMIF(Import!$B:$B,$A1024,Import!L:L)</f>
        <v>0</v>
      </c>
      <c r="S1024" s="99">
        <f>SUMIF(Import!$B:$B,$A1024,Import!M:M)</f>
        <v>0</v>
      </c>
      <c r="T1024" s="99">
        <f>SUMIF(Import!$B:$B,$A1024,Import!N:N)</f>
        <v>2500</v>
      </c>
      <c r="U1024" s="99">
        <f t="shared" si="1397"/>
        <v>0</v>
      </c>
      <c r="V1024" s="255">
        <f t="shared" si="1398"/>
        <v>0</v>
      </c>
      <c r="W1024" s="102" t="s">
        <v>2702</v>
      </c>
      <c r="X1024" s="102"/>
      <c r="Y1024" s="102"/>
      <c r="Z1024" s="192"/>
      <c r="AA1024" s="615"/>
      <c r="AB1024" s="307"/>
      <c r="AC1024" s="300"/>
      <c r="AD1024" s="300"/>
      <c r="AE1024" s="300"/>
      <c r="AF1024" s="300"/>
      <c r="AG1024" s="300"/>
      <c r="AH1024" s="307"/>
      <c r="AI1024" s="307"/>
      <c r="AJ1024" s="300"/>
      <c r="AK1024" s="300"/>
      <c r="AL1024" s="300"/>
      <c r="AM1024" s="300"/>
      <c r="AN1024" s="300"/>
      <c r="AO1024" s="192"/>
      <c r="AP1024" s="192"/>
      <c r="AQ1024" s="192"/>
    </row>
    <row r="1025" spans="1:43" s="115" customFormat="1" ht="15" customHeight="1">
      <c r="A1025" s="555" t="s">
        <v>2703</v>
      </c>
      <c r="B1025" s="217" t="str">
        <f t="shared" ref="B1025" si="1399">LEFT(A1025,3)</f>
        <v>100</v>
      </c>
      <c r="C1025" s="217" t="str">
        <f t="shared" ref="C1025" si="1400">MID(A1025,5,2)</f>
        <v>30</v>
      </c>
      <c r="D1025" s="101" t="str">
        <f t="shared" ref="D1025" si="1401">MID(A1025,8,3)</f>
        <v>305</v>
      </c>
      <c r="E1025" s="217" t="str">
        <f t="shared" ref="E1025" si="1402">LEFT(A1025,10)</f>
        <v>100-30-305</v>
      </c>
      <c r="F1025" s="294" t="str">
        <f t="shared" ref="F1025" si="1403">RIGHT(A1025,5)</f>
        <v>51285</v>
      </c>
      <c r="G1025" s="295" t="str">
        <f>VLOOKUP(F1025,'GL Category'!A:C,3,FALSE)</f>
        <v>Operations &amp; maintenance</v>
      </c>
      <c r="H1025" s="98" t="str">
        <f>VLOOKUP(F1025,'GL Category'!A:C,2,FALSE)</f>
        <v>WEARING APPAREL</v>
      </c>
      <c r="I1025" s="99">
        <f>SUMIF(Import!$B:$B,$A1025,Import!D:D)</f>
        <v>5628.52</v>
      </c>
      <c r="J1025" s="99">
        <f>SUMIF(Import!$B:$B,$A1025,Import!E:E)</f>
        <v>5286.21</v>
      </c>
      <c r="K1025" s="99">
        <f>SUMIF(Import!$B:$B,$A1025,Import!F:F)</f>
        <v>13517.23</v>
      </c>
      <c r="L1025" s="99">
        <f>SUMIF(Import!$B:$B,$A1025,Import!G:G)</f>
        <v>8519.07</v>
      </c>
      <c r="M1025" s="99">
        <f>SUMIF(Import!$B:$B,$A1025,Import!H:H)</f>
        <v>7000</v>
      </c>
      <c r="N1025" s="99">
        <f>SUMIF(Import!$B:$B,$A1025,Import!I:I)</f>
        <v>4502.6099999999997</v>
      </c>
      <c r="O1025" s="99">
        <f>SUMIF(Import!$B:$B,$A1025,Import!J:J)</f>
        <v>7000</v>
      </c>
      <c r="P1025" s="99">
        <f t="shared" ref="P1025" si="1404">O1025-M1025</f>
        <v>0</v>
      </c>
      <c r="Q1025" s="99">
        <f>SUMIF(Import!$B:$B,$A1025,Import!K:K)</f>
        <v>7000</v>
      </c>
      <c r="R1025" s="99">
        <f>SUMIF(Import!$B:$B,$A1025,Import!L:L)</f>
        <v>0</v>
      </c>
      <c r="S1025" s="99">
        <f>SUMIF(Import!$B:$B,$A1025,Import!M:M)</f>
        <v>0</v>
      </c>
      <c r="T1025" s="99">
        <f>SUMIF(Import!$B:$B,$A1025,Import!N:N)</f>
        <v>7000</v>
      </c>
      <c r="U1025" s="99">
        <f t="shared" ref="U1025" si="1405">T1025-M1025</f>
        <v>0</v>
      </c>
      <c r="V1025" s="255">
        <f t="shared" ref="V1025" si="1406">IF(M1025=0,"N/A",T1025/M1025-1)</f>
        <v>0</v>
      </c>
      <c r="W1025" s="102" t="s">
        <v>2703</v>
      </c>
      <c r="X1025" s="102"/>
      <c r="Y1025" s="102"/>
      <c r="Z1025" s="192"/>
      <c r="AA1025" s="615"/>
      <c r="AB1025" s="307"/>
      <c r="AC1025" s="300"/>
      <c r="AD1025" s="300"/>
      <c r="AE1025" s="300"/>
      <c r="AF1025" s="300"/>
      <c r="AG1025" s="300"/>
      <c r="AH1025" s="307"/>
      <c r="AI1025" s="307"/>
      <c r="AJ1025" s="300"/>
      <c r="AK1025" s="300"/>
      <c r="AL1025" s="300"/>
      <c r="AM1025" s="300"/>
      <c r="AN1025" s="300"/>
      <c r="AO1025" s="192"/>
      <c r="AP1025" s="192"/>
      <c r="AQ1025" s="192"/>
    </row>
    <row r="1026" spans="1:43" s="115" customFormat="1" ht="15" customHeight="1">
      <c r="A1026" s="555" t="s">
        <v>3205</v>
      </c>
      <c r="B1026" s="217" t="str">
        <f t="shared" si="1364"/>
        <v>100</v>
      </c>
      <c r="C1026" s="217" t="str">
        <f t="shared" si="1365"/>
        <v>30</v>
      </c>
      <c r="D1026" s="101" t="str">
        <f t="shared" si="1366"/>
        <v>305</v>
      </c>
      <c r="E1026" s="217" t="str">
        <f t="shared" si="1367"/>
        <v>100-30-305</v>
      </c>
      <c r="F1026" s="294" t="str">
        <f t="shared" si="1368"/>
        <v>51245</v>
      </c>
      <c r="G1026" s="295" t="str">
        <f>VLOOKUP(F1026,'GL Category'!A:C,3,FALSE)</f>
        <v>Operations &amp; maintenance</v>
      </c>
      <c r="H1026" s="98" t="str">
        <f>VLOOKUP(F1026,'GL Category'!A:C,2,FALSE)</f>
        <v>SMALL TOOLS &amp; EQUIPMENT</v>
      </c>
      <c r="I1026" s="99">
        <f>SUMIF(Import!$B:$B,$A1026,Import!D:D)</f>
        <v>153.21</v>
      </c>
      <c r="J1026" s="99">
        <f>SUMIF(Import!$B:$B,$A1026,Import!E:E)</f>
        <v>0</v>
      </c>
      <c r="K1026" s="99">
        <f>SUMIF(Import!$B:$B,$A1026,Import!F:F)</f>
        <v>0</v>
      </c>
      <c r="L1026" s="99">
        <f>SUMIF(Import!$B:$B,$A1026,Import!G:G)</f>
        <v>199.98</v>
      </c>
      <c r="M1026" s="99">
        <f>SUMIF(Import!$B:$B,$A1026,Import!H:H)</f>
        <v>0</v>
      </c>
      <c r="N1026" s="99">
        <f>SUMIF(Import!$B:$B,$A1026,Import!I:I)</f>
        <v>907.67</v>
      </c>
      <c r="O1026" s="99">
        <f>SUMIF(Import!$B:$B,$A1026,Import!J:J)</f>
        <v>0</v>
      </c>
      <c r="P1026" s="99">
        <f t="shared" si="1396"/>
        <v>0</v>
      </c>
      <c r="Q1026" s="99">
        <f>SUMIF(Import!$B:$B,$A1026,Import!K:K)</f>
        <v>0</v>
      </c>
      <c r="R1026" s="99">
        <f>SUMIF(Import!$B:$B,$A1026,Import!L:L)</f>
        <v>0</v>
      </c>
      <c r="S1026" s="99">
        <f>SUMIF(Import!$B:$B,$A1026,Import!M:M)</f>
        <v>0</v>
      </c>
      <c r="T1026" s="99">
        <f>SUMIF(Import!$B:$B,$A1026,Import!N:N)</f>
        <v>0</v>
      </c>
      <c r="U1026" s="99">
        <f t="shared" si="1397"/>
        <v>0</v>
      </c>
      <c r="V1026" s="255" t="str">
        <f t="shared" si="1398"/>
        <v>N/A</v>
      </c>
      <c r="W1026" s="102" t="s">
        <v>2703</v>
      </c>
      <c r="X1026" s="102"/>
      <c r="Y1026" s="102"/>
      <c r="Z1026" s="192"/>
      <c r="AA1026" s="615"/>
      <c r="AB1026" s="307"/>
      <c r="AC1026" s="300"/>
      <c r="AD1026" s="300"/>
      <c r="AE1026" s="300"/>
      <c r="AF1026" s="300"/>
      <c r="AG1026" s="300"/>
      <c r="AH1026" s="307"/>
      <c r="AI1026" s="307"/>
      <c r="AJ1026" s="300"/>
      <c r="AK1026" s="300"/>
      <c r="AL1026" s="300"/>
      <c r="AM1026" s="300"/>
      <c r="AN1026" s="300"/>
      <c r="AO1026" s="192"/>
      <c r="AP1026" s="192"/>
      <c r="AQ1026" s="192"/>
    </row>
    <row r="1027" spans="1:43" s="115" customFormat="1" ht="15" customHeight="1">
      <c r="A1027" s="555" t="s">
        <v>2704</v>
      </c>
      <c r="B1027" s="217" t="str">
        <f t="shared" si="1364"/>
        <v>100</v>
      </c>
      <c r="C1027" s="217" t="str">
        <f t="shared" si="1365"/>
        <v>30</v>
      </c>
      <c r="D1027" s="101" t="str">
        <f t="shared" si="1366"/>
        <v>305</v>
      </c>
      <c r="E1027" s="217" t="str">
        <f t="shared" si="1367"/>
        <v>100-30-305</v>
      </c>
      <c r="F1027" s="294" t="str">
        <f t="shared" si="1368"/>
        <v>51299</v>
      </c>
      <c r="G1027" s="295" t="str">
        <f>VLOOKUP(F1027,'GL Category'!A:C,3,FALSE)</f>
        <v>Operations &amp; maintenance</v>
      </c>
      <c r="H1027" s="98" t="str">
        <f>VLOOKUP(F1027,'GL Category'!A:C,2,FALSE)</f>
        <v>MISCELLANEOUS SUPPLIES</v>
      </c>
      <c r="I1027" s="99">
        <f>SUMIF(Import!$B:$B,$A1027,Import!D:D)</f>
        <v>0</v>
      </c>
      <c r="J1027" s="99">
        <f>SUMIF(Import!$B:$B,$A1027,Import!E:E)</f>
        <v>0</v>
      </c>
      <c r="K1027" s="99">
        <f>SUMIF(Import!$B:$B,$A1027,Import!F:F)</f>
        <v>0</v>
      </c>
      <c r="L1027" s="99">
        <f>SUMIF(Import!$B:$B,$A1027,Import!G:G)</f>
        <v>0</v>
      </c>
      <c r="M1027" s="99">
        <f>SUMIF(Import!$B:$B,$A1027,Import!H:H)</f>
        <v>0</v>
      </c>
      <c r="N1027" s="99">
        <f>SUMIF(Import!$B:$B,$A1027,Import!I:I)</f>
        <v>0</v>
      </c>
      <c r="O1027" s="99">
        <f>SUMIF(Import!$B:$B,$A1027,Import!J:J)</f>
        <v>0</v>
      </c>
      <c r="P1027" s="99">
        <f t="shared" si="1396"/>
        <v>0</v>
      </c>
      <c r="Q1027" s="99">
        <f>SUMIF(Import!$B:$B,$A1027,Import!K:K)</f>
        <v>0</v>
      </c>
      <c r="R1027" s="99">
        <f>SUMIF(Import!$B:$B,$A1027,Import!L:L)</f>
        <v>0</v>
      </c>
      <c r="S1027" s="99">
        <f>SUMIF(Import!$B:$B,$A1027,Import!M:M)</f>
        <v>0</v>
      </c>
      <c r="T1027" s="99">
        <f>SUMIF(Import!$B:$B,$A1027,Import!N:N)</f>
        <v>0</v>
      </c>
      <c r="U1027" s="99">
        <f t="shared" si="1397"/>
        <v>0</v>
      </c>
      <c r="V1027" s="255" t="str">
        <f t="shared" si="1398"/>
        <v>N/A</v>
      </c>
      <c r="W1027" s="102" t="s">
        <v>2704</v>
      </c>
      <c r="X1027" s="102"/>
      <c r="Y1027" s="102"/>
      <c r="Z1027" s="192"/>
      <c r="AA1027" s="615"/>
      <c r="AB1027" s="307"/>
      <c r="AC1027" s="300"/>
      <c r="AD1027" s="300"/>
      <c r="AE1027" s="300"/>
      <c r="AF1027" s="300"/>
      <c r="AG1027" s="300"/>
      <c r="AH1027" s="307"/>
      <c r="AI1027" s="307"/>
      <c r="AJ1027" s="300"/>
      <c r="AK1027" s="300"/>
      <c r="AL1027" s="300"/>
      <c r="AM1027" s="300"/>
      <c r="AN1027" s="300"/>
      <c r="AO1027" s="192"/>
      <c r="AP1027" s="192"/>
      <c r="AQ1027" s="192"/>
    </row>
    <row r="1028" spans="1:43" s="115" customFormat="1" ht="15" customHeight="1">
      <c r="A1028" s="555" t="s">
        <v>2705</v>
      </c>
      <c r="B1028" s="217" t="str">
        <f t="shared" si="1364"/>
        <v>100</v>
      </c>
      <c r="C1028" s="217" t="str">
        <f t="shared" si="1365"/>
        <v>30</v>
      </c>
      <c r="D1028" s="101" t="str">
        <f t="shared" si="1366"/>
        <v>305</v>
      </c>
      <c r="E1028" s="217" t="str">
        <f t="shared" si="1367"/>
        <v>100-30-305</v>
      </c>
      <c r="F1028" s="294" t="str">
        <f t="shared" si="1368"/>
        <v>52310</v>
      </c>
      <c r="G1028" s="295" t="str">
        <f>VLOOKUP(F1028,'GL Category'!A:C,3,FALSE)</f>
        <v>Operations &amp; maintenance</v>
      </c>
      <c r="H1028" s="98" t="str">
        <f>VLOOKUP(F1028,'GL Category'!A:C,2,FALSE)</f>
        <v>BUILDING MAINTENANCE</v>
      </c>
      <c r="I1028" s="99">
        <f>SUMIF(Import!$B:$B,$A1028,Import!D:D)</f>
        <v>5873.57</v>
      </c>
      <c r="J1028" s="99">
        <f>SUMIF(Import!$B:$B,$A1028,Import!E:E)</f>
        <v>3574.72</v>
      </c>
      <c r="K1028" s="99">
        <f>SUMIF(Import!$B:$B,$A1028,Import!F:F)</f>
        <v>6057.15</v>
      </c>
      <c r="L1028" s="99">
        <f>SUMIF(Import!$B:$B,$A1028,Import!G:G)</f>
        <v>1499.51</v>
      </c>
      <c r="M1028" s="99">
        <f>SUMIF(Import!$B:$B,$A1028,Import!H:H)</f>
        <v>12100</v>
      </c>
      <c r="N1028" s="99">
        <f>SUMIF(Import!$B:$B,$A1028,Import!I:I)</f>
        <v>5353.49</v>
      </c>
      <c r="O1028" s="99">
        <f>SUMIF(Import!$B:$B,$A1028,Import!J:J)</f>
        <v>12100</v>
      </c>
      <c r="P1028" s="99">
        <f t="shared" si="1396"/>
        <v>0</v>
      </c>
      <c r="Q1028" s="99">
        <f>SUMIF(Import!$B:$B,$A1028,Import!K:K)</f>
        <v>9000</v>
      </c>
      <c r="R1028" s="99">
        <f>SUMIF(Import!$B:$B,$A1028,Import!L:L)</f>
        <v>0</v>
      </c>
      <c r="S1028" s="99">
        <f>SUMIF(Import!$B:$B,$A1028,Import!M:M)</f>
        <v>0</v>
      </c>
      <c r="T1028" s="99">
        <f>SUMIF(Import!$B:$B,$A1028,Import!N:N)</f>
        <v>9000</v>
      </c>
      <c r="U1028" s="99">
        <f t="shared" si="1397"/>
        <v>-3100</v>
      </c>
      <c r="V1028" s="255">
        <f t="shared" si="1398"/>
        <v>-0.25619834710743805</v>
      </c>
      <c r="W1028" s="102" t="s">
        <v>2705</v>
      </c>
      <c r="X1028" s="102"/>
      <c r="Y1028" s="102"/>
      <c r="Z1028" s="192"/>
      <c r="AA1028" s="615"/>
      <c r="AB1028" s="307"/>
      <c r="AC1028" s="300"/>
      <c r="AD1028" s="300"/>
      <c r="AE1028" s="300"/>
      <c r="AF1028" s="300"/>
      <c r="AG1028" s="300"/>
      <c r="AH1028" s="307"/>
      <c r="AI1028" s="307"/>
      <c r="AJ1028" s="300"/>
      <c r="AK1028" s="300"/>
      <c r="AL1028" s="300"/>
      <c r="AM1028" s="300"/>
      <c r="AN1028" s="300"/>
      <c r="AO1028" s="192"/>
      <c r="AP1028" s="192"/>
      <c r="AQ1028" s="192"/>
    </row>
    <row r="1029" spans="1:43" s="115" customFormat="1" ht="15" customHeight="1">
      <c r="A1029" s="555" t="s">
        <v>2706</v>
      </c>
      <c r="B1029" s="217" t="str">
        <f t="shared" si="1364"/>
        <v>100</v>
      </c>
      <c r="C1029" s="217" t="str">
        <f t="shared" si="1365"/>
        <v>30</v>
      </c>
      <c r="D1029" s="101" t="str">
        <f t="shared" si="1366"/>
        <v>305</v>
      </c>
      <c r="E1029" s="217" t="str">
        <f t="shared" si="1367"/>
        <v>100-30-305</v>
      </c>
      <c r="F1029" s="294" t="str">
        <f t="shared" si="1368"/>
        <v>52440</v>
      </c>
      <c r="G1029" s="295" t="str">
        <f>VLOOKUP(F1029,'GL Category'!A:C,3,FALSE)</f>
        <v>Operations &amp; maintenance</v>
      </c>
      <c r="H1029" s="98" t="str">
        <f>VLOOKUP(F1029,'GL Category'!A:C,2,FALSE)</f>
        <v>RADIO MAINTENANCE</v>
      </c>
      <c r="I1029" s="99">
        <f>SUMIF(Import!$B:$B,$A1029,Import!D:D)</f>
        <v>1292.42</v>
      </c>
      <c r="J1029" s="99">
        <f>SUMIF(Import!$B:$B,$A1029,Import!E:E)</f>
        <v>1089.1600000000001</v>
      </c>
      <c r="K1029" s="99">
        <f>SUMIF(Import!$B:$B,$A1029,Import!F:F)</f>
        <v>1105.46</v>
      </c>
      <c r="L1029" s="99">
        <f>SUMIF(Import!$B:$B,$A1029,Import!G:G)</f>
        <v>1122</v>
      </c>
      <c r="M1029" s="99">
        <f>SUMIF(Import!$B:$B,$A1029,Import!H:H)</f>
        <v>1200</v>
      </c>
      <c r="N1029" s="99">
        <f>SUMIF(Import!$B:$B,$A1029,Import!I:I)</f>
        <v>1138.6300000000001</v>
      </c>
      <c r="O1029" s="99">
        <f>SUMIF(Import!$B:$B,$A1029,Import!J:J)</f>
        <v>1200</v>
      </c>
      <c r="P1029" s="99">
        <f t="shared" si="1396"/>
        <v>0</v>
      </c>
      <c r="Q1029" s="99">
        <f>SUMIF(Import!$B:$B,$A1029,Import!K:K)</f>
        <v>1200</v>
      </c>
      <c r="R1029" s="99">
        <f>SUMIF(Import!$B:$B,$A1029,Import!L:L)</f>
        <v>0</v>
      </c>
      <c r="S1029" s="99">
        <f>SUMIF(Import!$B:$B,$A1029,Import!M:M)</f>
        <v>0</v>
      </c>
      <c r="T1029" s="99">
        <f>SUMIF(Import!$B:$B,$A1029,Import!N:N)</f>
        <v>1200</v>
      </c>
      <c r="U1029" s="99">
        <f t="shared" si="1397"/>
        <v>0</v>
      </c>
      <c r="V1029" s="255">
        <f t="shared" si="1398"/>
        <v>0</v>
      </c>
      <c r="W1029" s="102" t="s">
        <v>2706</v>
      </c>
      <c r="X1029" s="102"/>
      <c r="Y1029" s="102"/>
      <c r="Z1029" s="192"/>
      <c r="AA1029" s="615"/>
      <c r="AB1029" s="307"/>
      <c r="AC1029" s="94"/>
      <c r="AD1029" s="94"/>
      <c r="AE1029" s="94"/>
      <c r="AF1029" s="94"/>
      <c r="AG1029" s="94"/>
      <c r="AH1029" s="307"/>
      <c r="AI1029" s="307"/>
      <c r="AJ1029" s="94"/>
      <c r="AK1029" s="94"/>
      <c r="AL1029" s="94"/>
      <c r="AM1029" s="94"/>
      <c r="AN1029" s="94"/>
      <c r="AO1029" s="192"/>
      <c r="AP1029" s="192"/>
      <c r="AQ1029" s="192"/>
    </row>
    <row r="1030" spans="1:43" s="115" customFormat="1" ht="15" customHeight="1">
      <c r="A1030" s="555" t="s">
        <v>2707</v>
      </c>
      <c r="B1030" s="217" t="str">
        <f t="shared" si="1364"/>
        <v>100</v>
      </c>
      <c r="C1030" s="217" t="str">
        <f t="shared" si="1365"/>
        <v>30</v>
      </c>
      <c r="D1030" s="101" t="str">
        <f t="shared" si="1366"/>
        <v>305</v>
      </c>
      <c r="E1030" s="217" t="str">
        <f t="shared" si="1367"/>
        <v>100-30-305</v>
      </c>
      <c r="F1030" s="294" t="str">
        <f t="shared" si="1368"/>
        <v>52470</v>
      </c>
      <c r="G1030" s="295" t="str">
        <f>VLOOKUP(F1030,'GL Category'!A:C,3,FALSE)</f>
        <v>Operations &amp; maintenance</v>
      </c>
      <c r="H1030" s="98" t="str">
        <f>VLOOKUP(F1030,'GL Category'!A:C,2,FALSE)</f>
        <v>EQUIPMENT MAINTENANCE</v>
      </c>
      <c r="I1030" s="99">
        <f>SUMIF(Import!$B:$B,$A1030,Import!D:D)</f>
        <v>1507.47</v>
      </c>
      <c r="J1030" s="99">
        <f>SUMIF(Import!$B:$B,$A1030,Import!E:E)</f>
        <v>827.96</v>
      </c>
      <c r="K1030" s="99">
        <f>SUMIF(Import!$B:$B,$A1030,Import!F:F)</f>
        <v>1860</v>
      </c>
      <c r="L1030" s="99">
        <f>SUMIF(Import!$B:$B,$A1030,Import!G:G)</f>
        <v>5187.7700000000004</v>
      </c>
      <c r="M1030" s="99">
        <f>SUMIF(Import!$B:$B,$A1030,Import!H:H)</f>
        <v>5000</v>
      </c>
      <c r="N1030" s="99">
        <f>SUMIF(Import!$B:$B,$A1030,Import!I:I)</f>
        <v>1118.6199999999999</v>
      </c>
      <c r="O1030" s="99">
        <f>SUMIF(Import!$B:$B,$A1030,Import!J:J)</f>
        <v>2000</v>
      </c>
      <c r="P1030" s="99">
        <f t="shared" si="1396"/>
        <v>-3000</v>
      </c>
      <c r="Q1030" s="99">
        <f>SUMIF(Import!$B:$B,$A1030,Import!K:K)</f>
        <v>5000</v>
      </c>
      <c r="R1030" s="99">
        <f>SUMIF(Import!$B:$B,$A1030,Import!L:L)</f>
        <v>0</v>
      </c>
      <c r="S1030" s="99">
        <f>SUMIF(Import!$B:$B,$A1030,Import!M:M)</f>
        <v>0</v>
      </c>
      <c r="T1030" s="99">
        <f>SUMIF(Import!$B:$B,$A1030,Import!N:N)</f>
        <v>5000</v>
      </c>
      <c r="U1030" s="99">
        <f t="shared" si="1397"/>
        <v>0</v>
      </c>
      <c r="V1030" s="255">
        <f t="shared" si="1398"/>
        <v>0</v>
      </c>
      <c r="W1030" s="102" t="s">
        <v>2707</v>
      </c>
      <c r="X1030" s="102"/>
      <c r="Y1030" s="102"/>
      <c r="Z1030" s="192"/>
      <c r="AA1030" s="615"/>
      <c r="AB1030" s="307"/>
      <c r="AC1030" s="93"/>
      <c r="AD1030" s="93"/>
      <c r="AE1030" s="93"/>
      <c r="AF1030" s="93"/>
      <c r="AG1030" s="93"/>
      <c r="AH1030" s="307"/>
      <c r="AI1030" s="307"/>
      <c r="AJ1030" s="93"/>
      <c r="AK1030" s="93"/>
      <c r="AL1030" s="93"/>
      <c r="AM1030" s="93"/>
      <c r="AN1030" s="93"/>
      <c r="AO1030" s="192"/>
      <c r="AP1030" s="192"/>
      <c r="AQ1030" s="192"/>
    </row>
    <row r="1031" spans="1:43" s="115" customFormat="1" ht="15" customHeight="1">
      <c r="A1031" s="555" t="s">
        <v>2708</v>
      </c>
      <c r="B1031" s="217" t="str">
        <f t="shared" si="1364"/>
        <v>100</v>
      </c>
      <c r="C1031" s="217" t="str">
        <f t="shared" si="1365"/>
        <v>30</v>
      </c>
      <c r="D1031" s="101" t="str">
        <f t="shared" si="1366"/>
        <v>305</v>
      </c>
      <c r="E1031" s="217" t="str">
        <f t="shared" si="1367"/>
        <v>100-30-305</v>
      </c>
      <c r="F1031" s="294" t="str">
        <f t="shared" si="1368"/>
        <v>52480</v>
      </c>
      <c r="G1031" s="295" t="str">
        <f>VLOOKUP(F1031,'GL Category'!A:C,3,FALSE)</f>
        <v>Operations &amp; maintenance</v>
      </c>
      <c r="H1031" s="98" t="str">
        <f>VLOOKUP(F1031,'GL Category'!A:C,2,FALSE)</f>
        <v>OFFICE EQUIPMENT MAINTENANCE</v>
      </c>
      <c r="I1031" s="99">
        <f>SUMIF(Import!$B:$B,$A1031,Import!D:D)</f>
        <v>514.79999999999995</v>
      </c>
      <c r="J1031" s="99">
        <f>SUMIF(Import!$B:$B,$A1031,Import!E:E)</f>
        <v>1796</v>
      </c>
      <c r="K1031" s="99">
        <f>SUMIF(Import!$B:$B,$A1031,Import!F:F)</f>
        <v>0</v>
      </c>
      <c r="L1031" s="99">
        <f>SUMIF(Import!$B:$B,$A1031,Import!G:G)</f>
        <v>0</v>
      </c>
      <c r="M1031" s="99">
        <f>SUMIF(Import!$B:$B,$A1031,Import!H:H)</f>
        <v>2400</v>
      </c>
      <c r="N1031" s="99">
        <f>SUMIF(Import!$B:$B,$A1031,Import!I:I)</f>
        <v>1789.88</v>
      </c>
      <c r="O1031" s="99">
        <f>SUMIF(Import!$B:$B,$A1031,Import!J:J)</f>
        <v>2400</v>
      </c>
      <c r="P1031" s="99">
        <f t="shared" si="1396"/>
        <v>0</v>
      </c>
      <c r="Q1031" s="99">
        <f>SUMIF(Import!$B:$B,$A1031,Import!K:K)</f>
        <v>2400</v>
      </c>
      <c r="R1031" s="99">
        <f>SUMIF(Import!$B:$B,$A1031,Import!L:L)</f>
        <v>0</v>
      </c>
      <c r="S1031" s="99">
        <f>SUMIF(Import!$B:$B,$A1031,Import!M:M)</f>
        <v>0</v>
      </c>
      <c r="T1031" s="99">
        <f>SUMIF(Import!$B:$B,$A1031,Import!N:N)</f>
        <v>2400</v>
      </c>
      <c r="U1031" s="99">
        <f t="shared" si="1397"/>
        <v>0</v>
      </c>
      <c r="V1031" s="255">
        <f t="shared" si="1398"/>
        <v>0</v>
      </c>
      <c r="W1031" s="102" t="s">
        <v>2708</v>
      </c>
      <c r="X1031" s="102"/>
      <c r="Y1031" s="102"/>
      <c r="Z1031" s="192"/>
      <c r="AA1031" s="615"/>
      <c r="AB1031" s="307"/>
      <c r="AC1031" s="300"/>
      <c r="AD1031" s="300"/>
      <c r="AE1031" s="300"/>
      <c r="AF1031" s="300"/>
      <c r="AG1031" s="300"/>
      <c r="AH1031" s="307"/>
      <c r="AI1031" s="307"/>
      <c r="AJ1031" s="300"/>
      <c r="AK1031" s="300"/>
      <c r="AL1031" s="300"/>
      <c r="AM1031" s="300"/>
      <c r="AN1031" s="300"/>
      <c r="AO1031" s="192"/>
      <c r="AP1031" s="192"/>
      <c r="AQ1031" s="192"/>
    </row>
    <row r="1032" spans="1:43" s="115" customFormat="1" ht="15" customHeight="1">
      <c r="A1032" s="555" t="s">
        <v>2709</v>
      </c>
      <c r="B1032" s="217" t="str">
        <f t="shared" si="1364"/>
        <v>100</v>
      </c>
      <c r="C1032" s="217" t="str">
        <f t="shared" si="1365"/>
        <v>30</v>
      </c>
      <c r="D1032" s="101" t="str">
        <f t="shared" si="1366"/>
        <v>305</v>
      </c>
      <c r="E1032" s="217" t="str">
        <f t="shared" si="1367"/>
        <v>100-30-305</v>
      </c>
      <c r="F1032" s="294" t="str">
        <f t="shared" si="1368"/>
        <v>52490</v>
      </c>
      <c r="G1032" s="295" t="str">
        <f>VLOOKUP(F1032,'GL Category'!A:C,3,FALSE)</f>
        <v>Operations &amp; maintenance</v>
      </c>
      <c r="H1032" s="98" t="str">
        <f>VLOOKUP(F1032,'GL Category'!A:C,2,FALSE)</f>
        <v>A/C &amp; HEATING MAINTENANCE</v>
      </c>
      <c r="I1032" s="99">
        <f>SUMIF(Import!$B:$B,$A1032,Import!D:D)</f>
        <v>15258.83</v>
      </c>
      <c r="J1032" s="99">
        <f>SUMIF(Import!$B:$B,$A1032,Import!E:E)</f>
        <v>19303.439999999999</v>
      </c>
      <c r="K1032" s="99">
        <f>SUMIF(Import!$B:$B,$A1032,Import!F:F)</f>
        <v>41587.31</v>
      </c>
      <c r="L1032" s="99">
        <f>SUMIF(Import!$B:$B,$A1032,Import!G:G)</f>
        <v>12459.07</v>
      </c>
      <c r="M1032" s="99">
        <f>SUMIF(Import!$B:$B,$A1032,Import!H:H)</f>
        <v>36500</v>
      </c>
      <c r="N1032" s="99">
        <f>SUMIF(Import!$B:$B,$A1032,Import!I:I)</f>
        <v>10923.93</v>
      </c>
      <c r="O1032" s="99">
        <f>SUMIF(Import!$B:$B,$A1032,Import!J:J)</f>
        <v>30000</v>
      </c>
      <c r="P1032" s="99">
        <f t="shared" si="1396"/>
        <v>-6500</v>
      </c>
      <c r="Q1032" s="99">
        <f>SUMIF(Import!$B:$B,$A1032,Import!K:K)</f>
        <v>36500</v>
      </c>
      <c r="R1032" s="99">
        <f>SUMIF(Import!$B:$B,$A1032,Import!L:L)</f>
        <v>0</v>
      </c>
      <c r="S1032" s="99">
        <f>SUMIF(Import!$B:$B,$A1032,Import!M:M)</f>
        <v>0</v>
      </c>
      <c r="T1032" s="99">
        <f>SUMIF(Import!$B:$B,$A1032,Import!N:N)</f>
        <v>36500</v>
      </c>
      <c r="U1032" s="99">
        <f t="shared" si="1397"/>
        <v>0</v>
      </c>
      <c r="V1032" s="255">
        <f t="shared" si="1398"/>
        <v>0</v>
      </c>
      <c r="W1032" s="102" t="s">
        <v>2709</v>
      </c>
      <c r="X1032" s="102"/>
      <c r="Y1032" s="102"/>
      <c r="Z1032" s="192"/>
      <c r="AA1032" s="615"/>
      <c r="AB1032" s="307"/>
      <c r="AC1032" s="94"/>
      <c r="AD1032" s="94"/>
      <c r="AE1032" s="94"/>
      <c r="AF1032" s="94"/>
      <c r="AG1032" s="94"/>
      <c r="AH1032" s="307"/>
      <c r="AI1032" s="307"/>
      <c r="AJ1032" s="94"/>
      <c r="AK1032" s="94"/>
      <c r="AL1032" s="94"/>
      <c r="AM1032" s="94"/>
      <c r="AN1032" s="94"/>
      <c r="AO1032" s="192"/>
      <c r="AP1032" s="192"/>
      <c r="AQ1032" s="192"/>
    </row>
    <row r="1033" spans="1:43" s="115" customFormat="1" ht="24.6" customHeight="1">
      <c r="A1033" s="555"/>
      <c r="B1033" s="217"/>
      <c r="C1033" s="217"/>
      <c r="D1033" s="101"/>
      <c r="E1033" s="217"/>
      <c r="F1033" s="294"/>
      <c r="G1033" s="295"/>
      <c r="H1033" s="107" t="str">
        <f>UPPER(G1032)&amp;" TOTAL"</f>
        <v>OPERATIONS &amp; MAINTENANCE TOTAL</v>
      </c>
      <c r="I1033" s="108">
        <f t="shared" ref="I1033" si="1407">SUBTOTAL(9,I1023:I1032)</f>
        <v>31917.589999999997</v>
      </c>
      <c r="J1033" s="108">
        <f t="shared" ref="J1033:T1033" si="1408">SUBTOTAL(9,J1023:J1032)</f>
        <v>34810.479999999996</v>
      </c>
      <c r="K1033" s="108">
        <f t="shared" ref="K1033" si="1409">SUBTOTAL(9,K1023:K1032)</f>
        <v>67288.039999999994</v>
      </c>
      <c r="L1033" s="108">
        <f t="shared" ref="L1033" si="1410">SUBTOTAL(9,L1023:L1032)</f>
        <v>32525</v>
      </c>
      <c r="M1033" s="108">
        <f t="shared" si="1408"/>
        <v>66700</v>
      </c>
      <c r="N1033" s="109">
        <f t="shared" ref="N1033" si="1411">SUBTOTAL(9,N1023:N1032)</f>
        <v>28629.29</v>
      </c>
      <c r="O1033" s="109">
        <f t="shared" si="1408"/>
        <v>57200</v>
      </c>
      <c r="P1033" s="109">
        <f t="shared" si="1408"/>
        <v>-9500</v>
      </c>
      <c r="Q1033" s="109">
        <f t="shared" si="1408"/>
        <v>63600</v>
      </c>
      <c r="R1033" s="109">
        <f t="shared" si="1408"/>
        <v>0</v>
      </c>
      <c r="S1033" s="109">
        <f t="shared" si="1408"/>
        <v>0</v>
      </c>
      <c r="T1033" s="109">
        <f t="shared" si="1408"/>
        <v>63600</v>
      </c>
      <c r="U1033" s="99">
        <f>T1033-M1033</f>
        <v>-3100</v>
      </c>
      <c r="V1033" s="255">
        <f>IF(M1033=0,"N/A",T1033/M1033-1)</f>
        <v>-4.6476761619190454E-2</v>
      </c>
      <c r="W1033" s="102"/>
      <c r="X1033" s="102"/>
      <c r="Y1033" s="102"/>
      <c r="Z1033" s="192"/>
      <c r="AA1033" s="615"/>
      <c r="AB1033" s="307"/>
      <c r="AC1033" s="93"/>
      <c r="AD1033" s="93"/>
      <c r="AE1033" s="93"/>
      <c r="AF1033" s="93"/>
      <c r="AG1033" s="93"/>
      <c r="AH1033" s="307"/>
      <c r="AI1033" s="307"/>
      <c r="AJ1033" s="93"/>
      <c r="AK1033" s="93"/>
      <c r="AL1033" s="93"/>
      <c r="AM1033" s="93"/>
      <c r="AN1033" s="93"/>
      <c r="AO1033" s="192"/>
      <c r="AP1033" s="192"/>
      <c r="AQ1033" s="192"/>
    </row>
    <row r="1034" spans="1:43" s="115" customFormat="1" ht="15" customHeight="1">
      <c r="A1034" s="555"/>
      <c r="B1034" s="217"/>
      <c r="C1034" s="217"/>
      <c r="D1034" s="101"/>
      <c r="E1034" s="217"/>
      <c r="F1034" s="294"/>
      <c r="G1034" s="295"/>
      <c r="H1034" s="98"/>
      <c r="I1034" s="106"/>
      <c r="J1034" s="106"/>
      <c r="K1034" s="106"/>
      <c r="L1034" s="106"/>
      <c r="M1034" s="106"/>
      <c r="N1034" s="112"/>
      <c r="O1034" s="112"/>
      <c r="P1034" s="112"/>
      <c r="Q1034" s="113"/>
      <c r="R1034" s="113"/>
      <c r="S1034" s="113"/>
      <c r="T1034" s="113"/>
      <c r="U1034" s="99"/>
      <c r="V1034" s="255"/>
      <c r="W1034" s="102"/>
      <c r="X1034" s="102"/>
      <c r="Y1034" s="102"/>
      <c r="Z1034" s="192"/>
      <c r="AA1034" s="615"/>
      <c r="AB1034" s="307"/>
      <c r="AC1034" s="300"/>
      <c r="AD1034" s="300"/>
      <c r="AE1034" s="300"/>
      <c r="AF1034" s="300"/>
      <c r="AG1034" s="300"/>
      <c r="AH1034" s="307"/>
      <c r="AI1034" s="307"/>
      <c r="AJ1034" s="300"/>
      <c r="AK1034" s="300"/>
      <c r="AL1034" s="300"/>
      <c r="AM1034" s="300"/>
      <c r="AN1034" s="300"/>
      <c r="AO1034" s="192"/>
      <c r="AP1034" s="192"/>
      <c r="AQ1034" s="192"/>
    </row>
    <row r="1035" spans="1:43" s="115" customFormat="1" ht="15" customHeight="1">
      <c r="A1035" s="555" t="s">
        <v>2710</v>
      </c>
      <c r="B1035" s="217" t="str">
        <f t="shared" si="1364"/>
        <v>100</v>
      </c>
      <c r="C1035" s="217" t="str">
        <f t="shared" si="1365"/>
        <v>30</v>
      </c>
      <c r="D1035" s="101" t="str">
        <f t="shared" si="1366"/>
        <v>305</v>
      </c>
      <c r="E1035" s="217" t="str">
        <f t="shared" si="1367"/>
        <v>100-30-305</v>
      </c>
      <c r="F1035" s="294" t="str">
        <f t="shared" si="1368"/>
        <v>53599</v>
      </c>
      <c r="G1035" s="295" t="str">
        <f>VLOOKUP(F1035,'GL Category'!A:C,3,FALSE)</f>
        <v>Services &amp; other</v>
      </c>
      <c r="H1035" s="98" t="str">
        <f>VLOOKUP(F1035,'GL Category'!A:C,2,FALSE)</f>
        <v>MISCELLANEOUS SERVICES</v>
      </c>
      <c r="I1035" s="99">
        <f>SUMIF(Import!$B:$B,$A1035,Import!D:D)</f>
        <v>0</v>
      </c>
      <c r="J1035" s="99">
        <f>SUMIF(Import!$B:$B,$A1035,Import!E:E)</f>
        <v>0</v>
      </c>
      <c r="K1035" s="99">
        <f>SUMIF(Import!$B:$B,$A1035,Import!F:F)</f>
        <v>0</v>
      </c>
      <c r="L1035" s="99">
        <f>SUMIF(Import!$B:$B,$A1035,Import!G:G)</f>
        <v>0</v>
      </c>
      <c r="M1035" s="99">
        <f>SUMIF(Import!$B:$B,$A1035,Import!H:H)</f>
        <v>0</v>
      </c>
      <c r="N1035" s="99">
        <f>SUMIF(Import!$B:$B,$A1035,Import!I:I)</f>
        <v>0</v>
      </c>
      <c r="O1035" s="99">
        <f>SUMIF(Import!$B:$B,$A1035,Import!J:J)</f>
        <v>0</v>
      </c>
      <c r="P1035" s="99">
        <f t="shared" ref="P1035:P1047" si="1412">O1035-M1035</f>
        <v>0</v>
      </c>
      <c r="Q1035" s="99">
        <f>SUMIF(Import!$B:$B,$A1035,Import!K:K)</f>
        <v>0</v>
      </c>
      <c r="R1035" s="99">
        <f>SUMIF(Import!$B:$B,$A1035,Import!L:L)</f>
        <v>0</v>
      </c>
      <c r="S1035" s="99">
        <f>SUMIF(Import!$B:$B,$A1035,Import!M:M)</f>
        <v>0</v>
      </c>
      <c r="T1035" s="99">
        <f>SUMIF(Import!$B:$B,$A1035,Import!N:N)</f>
        <v>0</v>
      </c>
      <c r="U1035" s="99">
        <f t="shared" ref="U1035:U1047" si="1413">T1035-M1035</f>
        <v>0</v>
      </c>
      <c r="V1035" s="255" t="str">
        <f t="shared" ref="V1035:V1047" si="1414">IF(M1035=0,"N/A",T1035/M1035-1)</f>
        <v>N/A</v>
      </c>
      <c r="W1035" s="102" t="s">
        <v>2710</v>
      </c>
      <c r="X1035" s="102"/>
      <c r="Y1035" s="102"/>
      <c r="Z1035" s="192"/>
      <c r="AA1035" s="615"/>
      <c r="AB1035" s="307"/>
      <c r="AC1035" s="300"/>
      <c r="AD1035" s="300"/>
      <c r="AE1035" s="300"/>
      <c r="AF1035" s="300"/>
      <c r="AG1035" s="300"/>
      <c r="AH1035" s="307"/>
      <c r="AI1035" s="307"/>
      <c r="AJ1035" s="300"/>
      <c r="AK1035" s="300"/>
      <c r="AL1035" s="300"/>
      <c r="AM1035" s="300"/>
      <c r="AN1035" s="300"/>
      <c r="AO1035" s="192"/>
      <c r="AP1035" s="192"/>
      <c r="AQ1035" s="192"/>
    </row>
    <row r="1036" spans="1:43" s="115" customFormat="1" ht="15" customHeight="1">
      <c r="A1036" s="555" t="s">
        <v>2711</v>
      </c>
      <c r="B1036" s="217" t="str">
        <f t="shared" si="1364"/>
        <v>100</v>
      </c>
      <c r="C1036" s="217" t="str">
        <f t="shared" si="1365"/>
        <v>30</v>
      </c>
      <c r="D1036" s="101" t="str">
        <f t="shared" si="1366"/>
        <v>305</v>
      </c>
      <c r="E1036" s="217" t="str">
        <f t="shared" si="1367"/>
        <v>100-30-305</v>
      </c>
      <c r="F1036" s="294" t="str">
        <f t="shared" si="1368"/>
        <v>53510</v>
      </c>
      <c r="G1036" s="295" t="str">
        <f>VLOOKUP(F1036,'GL Category'!A:C,3,FALSE)</f>
        <v>Services &amp; other</v>
      </c>
      <c r="H1036" s="98" t="str">
        <f>VLOOKUP(F1036,'GL Category'!A:C,2,FALSE)</f>
        <v>DUES &amp; SUBSCRIPTIONS</v>
      </c>
      <c r="I1036" s="99">
        <f>SUMIF(Import!$B:$B,$A1036,Import!D:D)</f>
        <v>0</v>
      </c>
      <c r="J1036" s="99">
        <f>SUMIF(Import!$B:$B,$A1036,Import!E:E)</f>
        <v>300</v>
      </c>
      <c r="K1036" s="99">
        <f>SUMIF(Import!$B:$B,$A1036,Import!F:F)</f>
        <v>0</v>
      </c>
      <c r="L1036" s="99">
        <f>SUMIF(Import!$B:$B,$A1036,Import!G:G)</f>
        <v>550</v>
      </c>
      <c r="M1036" s="99">
        <f>SUMIF(Import!$B:$B,$A1036,Import!H:H)</f>
        <v>0</v>
      </c>
      <c r="N1036" s="99">
        <f>SUMIF(Import!$B:$B,$A1036,Import!I:I)</f>
        <v>0</v>
      </c>
      <c r="O1036" s="99">
        <f>SUMIF(Import!$B:$B,$A1036,Import!J:J)</f>
        <v>0</v>
      </c>
      <c r="P1036" s="99">
        <f t="shared" si="1412"/>
        <v>0</v>
      </c>
      <c r="Q1036" s="99">
        <f>SUMIF(Import!$B:$B,$A1036,Import!K:K)</f>
        <v>0</v>
      </c>
      <c r="R1036" s="99">
        <f>SUMIF(Import!$B:$B,$A1036,Import!L:L)</f>
        <v>0</v>
      </c>
      <c r="S1036" s="99">
        <f>SUMIF(Import!$B:$B,$A1036,Import!M:M)</f>
        <v>0</v>
      </c>
      <c r="T1036" s="99">
        <f>SUMIF(Import!$B:$B,$A1036,Import!N:N)</f>
        <v>0</v>
      </c>
      <c r="U1036" s="99">
        <f t="shared" si="1413"/>
        <v>0</v>
      </c>
      <c r="V1036" s="255" t="str">
        <f t="shared" si="1414"/>
        <v>N/A</v>
      </c>
      <c r="W1036" s="102" t="s">
        <v>2711</v>
      </c>
      <c r="X1036" s="102"/>
      <c r="Y1036" s="102"/>
      <c r="Z1036" s="192"/>
      <c r="AA1036" s="615"/>
      <c r="AB1036" s="307"/>
      <c r="AC1036" s="93"/>
      <c r="AD1036" s="93"/>
      <c r="AE1036" s="93"/>
      <c r="AF1036" s="93"/>
      <c r="AG1036" s="93"/>
      <c r="AH1036" s="307"/>
      <c r="AI1036" s="307"/>
      <c r="AJ1036" s="93"/>
      <c r="AK1036" s="93"/>
      <c r="AL1036" s="93"/>
      <c r="AM1036" s="93"/>
      <c r="AN1036" s="93"/>
      <c r="AO1036" s="192"/>
      <c r="AP1036" s="192"/>
      <c r="AQ1036" s="192"/>
    </row>
    <row r="1037" spans="1:43" s="115" customFormat="1" ht="15" customHeight="1">
      <c r="A1037" s="555" t="s">
        <v>2712</v>
      </c>
      <c r="B1037" s="217" t="str">
        <f t="shared" si="1364"/>
        <v>100</v>
      </c>
      <c r="C1037" s="217" t="str">
        <f t="shared" si="1365"/>
        <v>30</v>
      </c>
      <c r="D1037" s="101" t="str">
        <f t="shared" si="1366"/>
        <v>305</v>
      </c>
      <c r="E1037" s="217" t="str">
        <f t="shared" si="1367"/>
        <v>100-30-305</v>
      </c>
      <c r="F1037" s="294" t="str">
        <f t="shared" si="1368"/>
        <v>53515</v>
      </c>
      <c r="G1037" s="295" t="str">
        <f>VLOOKUP(F1037,'GL Category'!A:C,3,FALSE)</f>
        <v>Services &amp; other</v>
      </c>
      <c r="H1037" s="98" t="str">
        <f>VLOOKUP(F1037,'GL Category'!A:C,2,FALSE)</f>
        <v>TRAVEL, TRAINING &amp; EDUCATION</v>
      </c>
      <c r="I1037" s="99">
        <f>SUMIF(Import!$B:$B,$A1037,Import!D:D)</f>
        <v>3487</v>
      </c>
      <c r="J1037" s="99">
        <f>SUMIF(Import!$B:$B,$A1037,Import!E:E)</f>
        <v>2152.6999999999998</v>
      </c>
      <c r="K1037" s="99">
        <f>SUMIF(Import!$B:$B,$A1037,Import!F:F)</f>
        <v>3474</v>
      </c>
      <c r="L1037" s="99">
        <f>SUMIF(Import!$B:$B,$A1037,Import!G:G)</f>
        <v>2445</v>
      </c>
      <c r="M1037" s="99">
        <f>SUMIF(Import!$B:$B,$A1037,Import!H:H)</f>
        <v>4000</v>
      </c>
      <c r="N1037" s="99">
        <f>SUMIF(Import!$B:$B,$A1037,Import!I:I)</f>
        <v>2610</v>
      </c>
      <c r="O1037" s="99">
        <f>SUMIF(Import!$B:$B,$A1037,Import!J:J)</f>
        <v>4000</v>
      </c>
      <c r="P1037" s="99">
        <f t="shared" si="1412"/>
        <v>0</v>
      </c>
      <c r="Q1037" s="99">
        <f>SUMIF(Import!$B:$B,$A1037,Import!K:K)</f>
        <v>4000</v>
      </c>
      <c r="R1037" s="99">
        <f>SUMIF(Import!$B:$B,$A1037,Import!L:L)</f>
        <v>0</v>
      </c>
      <c r="S1037" s="99">
        <f>SUMIF(Import!$B:$B,$A1037,Import!M:M)</f>
        <v>0</v>
      </c>
      <c r="T1037" s="99">
        <f>SUMIF(Import!$B:$B,$A1037,Import!N:N)</f>
        <v>4000</v>
      </c>
      <c r="U1037" s="99">
        <f t="shared" si="1413"/>
        <v>0</v>
      </c>
      <c r="V1037" s="255">
        <f t="shared" si="1414"/>
        <v>0</v>
      </c>
      <c r="W1037" s="102" t="s">
        <v>2712</v>
      </c>
      <c r="X1037" s="102"/>
      <c r="Y1037" s="102"/>
      <c r="Z1037" s="192"/>
      <c r="AA1037" s="615"/>
      <c r="AB1037" s="307"/>
      <c r="AC1037" s="93"/>
      <c r="AD1037" s="93"/>
      <c r="AE1037" s="93"/>
      <c r="AF1037" s="93"/>
      <c r="AG1037" s="93"/>
      <c r="AH1037" s="307"/>
      <c r="AI1037" s="307"/>
      <c r="AJ1037" s="93"/>
      <c r="AK1037" s="93"/>
      <c r="AL1037" s="93"/>
      <c r="AM1037" s="93"/>
      <c r="AN1037" s="93"/>
      <c r="AO1037" s="192"/>
      <c r="AP1037" s="192"/>
      <c r="AQ1037" s="192"/>
    </row>
    <row r="1038" spans="1:43" s="115" customFormat="1" ht="15" customHeight="1">
      <c r="A1038" s="555" t="s">
        <v>2713</v>
      </c>
      <c r="B1038" s="217" t="str">
        <f t="shared" si="1364"/>
        <v>100</v>
      </c>
      <c r="C1038" s="217" t="str">
        <f t="shared" si="1365"/>
        <v>30</v>
      </c>
      <c r="D1038" s="101" t="str">
        <f t="shared" si="1366"/>
        <v>305</v>
      </c>
      <c r="E1038" s="217" t="str">
        <f t="shared" si="1367"/>
        <v>100-30-305</v>
      </c>
      <c r="F1038" s="294" t="str">
        <f t="shared" si="1368"/>
        <v>53517</v>
      </c>
      <c r="G1038" s="295" t="str">
        <f>VLOOKUP(F1038,'GL Category'!A:C,3,FALSE)</f>
        <v>Services &amp; other</v>
      </c>
      <c r="H1038" s="98" t="str">
        <f>VLOOKUP(F1038,'GL Category'!A:C,2,FALSE)</f>
        <v>MEDICAL SERVICES</v>
      </c>
      <c r="I1038" s="99">
        <f>SUMIF(Import!$B:$B,$A1038,Import!D:D)</f>
        <v>0</v>
      </c>
      <c r="J1038" s="99">
        <f>SUMIF(Import!$B:$B,$A1038,Import!E:E)</f>
        <v>0</v>
      </c>
      <c r="K1038" s="99">
        <f>SUMIF(Import!$B:$B,$A1038,Import!F:F)</f>
        <v>0</v>
      </c>
      <c r="L1038" s="99">
        <f>SUMIF(Import!$B:$B,$A1038,Import!G:G)</f>
        <v>0</v>
      </c>
      <c r="M1038" s="99">
        <f>SUMIF(Import!$B:$B,$A1038,Import!H:H)</f>
        <v>0</v>
      </c>
      <c r="N1038" s="99">
        <f>SUMIF(Import!$B:$B,$A1038,Import!I:I)</f>
        <v>0</v>
      </c>
      <c r="O1038" s="99">
        <f>SUMIF(Import!$B:$B,$A1038,Import!J:J)</f>
        <v>0</v>
      </c>
      <c r="P1038" s="99">
        <f t="shared" si="1412"/>
        <v>0</v>
      </c>
      <c r="Q1038" s="99">
        <f>SUMIF(Import!$B:$B,$A1038,Import!K:K)</f>
        <v>0</v>
      </c>
      <c r="R1038" s="99">
        <f>SUMIF(Import!$B:$B,$A1038,Import!L:L)</f>
        <v>0</v>
      </c>
      <c r="S1038" s="99">
        <f>SUMIF(Import!$B:$B,$A1038,Import!M:M)</f>
        <v>0</v>
      </c>
      <c r="T1038" s="99">
        <f>SUMIF(Import!$B:$B,$A1038,Import!N:N)</f>
        <v>0</v>
      </c>
      <c r="U1038" s="99">
        <f t="shared" si="1413"/>
        <v>0</v>
      </c>
      <c r="V1038" s="255" t="str">
        <f t="shared" si="1414"/>
        <v>N/A</v>
      </c>
      <c r="W1038" s="102" t="s">
        <v>2713</v>
      </c>
      <c r="X1038" s="102"/>
      <c r="Y1038" s="102"/>
      <c r="Z1038" s="192"/>
      <c r="AA1038" s="615"/>
      <c r="AB1038" s="307"/>
      <c r="AC1038" s="300"/>
      <c r="AD1038" s="300"/>
      <c r="AE1038" s="300"/>
      <c r="AF1038" s="300"/>
      <c r="AG1038" s="300"/>
      <c r="AH1038" s="307"/>
      <c r="AI1038" s="307"/>
      <c r="AJ1038" s="300"/>
      <c r="AK1038" s="300"/>
      <c r="AL1038" s="300"/>
      <c r="AM1038" s="300"/>
      <c r="AN1038" s="300"/>
      <c r="AO1038" s="192"/>
      <c r="AP1038" s="192"/>
      <c r="AQ1038" s="192"/>
    </row>
    <row r="1039" spans="1:43" s="115" customFormat="1" ht="15" customHeight="1">
      <c r="A1039" s="555" t="s">
        <v>2714</v>
      </c>
      <c r="B1039" s="217" t="str">
        <f t="shared" si="1364"/>
        <v>100</v>
      </c>
      <c r="C1039" s="217" t="str">
        <f t="shared" si="1365"/>
        <v>30</v>
      </c>
      <c r="D1039" s="101" t="str">
        <f t="shared" si="1366"/>
        <v>305</v>
      </c>
      <c r="E1039" s="217" t="str">
        <f t="shared" si="1367"/>
        <v>100-30-305</v>
      </c>
      <c r="F1039" s="294" t="str">
        <f t="shared" si="1368"/>
        <v>53519</v>
      </c>
      <c r="G1039" s="295" t="str">
        <f>VLOOKUP(F1039,'GL Category'!A:C,3,FALSE)</f>
        <v>Services &amp; other</v>
      </c>
      <c r="H1039" s="98" t="str">
        <f>VLOOKUP(F1039,'GL Category'!A:C,2,FALSE)</f>
        <v>JAIL SERVICES</v>
      </c>
      <c r="I1039" s="99">
        <f>SUMIF(Import!$B:$B,$A1039,Import!D:D)</f>
        <v>3644.24</v>
      </c>
      <c r="J1039" s="99">
        <f>SUMIF(Import!$B:$B,$A1039,Import!E:E)</f>
        <v>9001.99</v>
      </c>
      <c r="K1039" s="99">
        <f>SUMIF(Import!$B:$B,$A1039,Import!F:F)</f>
        <v>6336.02</v>
      </c>
      <c r="L1039" s="99">
        <f>SUMIF(Import!$B:$B,$A1039,Import!G:G)</f>
        <v>8052.77</v>
      </c>
      <c r="M1039" s="99">
        <f>SUMIF(Import!$B:$B,$A1039,Import!H:H)</f>
        <v>7000</v>
      </c>
      <c r="N1039" s="99">
        <f>SUMIF(Import!$B:$B,$A1039,Import!I:I)</f>
        <v>3890.55</v>
      </c>
      <c r="O1039" s="99">
        <f>SUMIF(Import!$B:$B,$A1039,Import!J:J)</f>
        <v>7000</v>
      </c>
      <c r="P1039" s="99">
        <f t="shared" si="1412"/>
        <v>0</v>
      </c>
      <c r="Q1039" s="99">
        <f>SUMIF(Import!$B:$B,$A1039,Import!K:K)</f>
        <v>7000</v>
      </c>
      <c r="R1039" s="99">
        <f>SUMIF(Import!$B:$B,$A1039,Import!L:L)</f>
        <v>0</v>
      </c>
      <c r="S1039" s="99">
        <f>SUMIF(Import!$B:$B,$A1039,Import!M:M)</f>
        <v>0</v>
      </c>
      <c r="T1039" s="99">
        <f>SUMIF(Import!$B:$B,$A1039,Import!N:N)</f>
        <v>7000</v>
      </c>
      <c r="U1039" s="99">
        <f t="shared" si="1413"/>
        <v>0</v>
      </c>
      <c r="V1039" s="255">
        <f t="shared" si="1414"/>
        <v>0</v>
      </c>
      <c r="W1039" s="102" t="s">
        <v>2714</v>
      </c>
      <c r="X1039" s="102"/>
      <c r="Y1039" s="102"/>
      <c r="Z1039" s="192"/>
      <c r="AA1039" s="615"/>
      <c r="AB1039" s="307"/>
      <c r="AC1039" s="300"/>
      <c r="AD1039" s="300"/>
      <c r="AE1039" s="300"/>
      <c r="AF1039" s="300"/>
      <c r="AG1039" s="300"/>
      <c r="AH1039" s="307"/>
      <c r="AI1039" s="307"/>
      <c r="AJ1039" s="300"/>
      <c r="AK1039" s="300"/>
      <c r="AL1039" s="300"/>
      <c r="AM1039" s="300"/>
      <c r="AN1039" s="300"/>
      <c r="AO1039" s="192"/>
      <c r="AP1039" s="192"/>
      <c r="AQ1039" s="192"/>
    </row>
    <row r="1040" spans="1:43" s="115" customFormat="1" ht="15" customHeight="1">
      <c r="A1040" s="555" t="s">
        <v>2715</v>
      </c>
      <c r="B1040" s="217" t="str">
        <f t="shared" si="1364"/>
        <v>100</v>
      </c>
      <c r="C1040" s="217" t="str">
        <f t="shared" si="1365"/>
        <v>30</v>
      </c>
      <c r="D1040" s="101" t="str">
        <f t="shared" si="1366"/>
        <v>305</v>
      </c>
      <c r="E1040" s="217" t="str">
        <f t="shared" si="1367"/>
        <v>100-30-305</v>
      </c>
      <c r="F1040" s="294" t="str">
        <f t="shared" si="1368"/>
        <v>53524</v>
      </c>
      <c r="G1040" s="295" t="str">
        <f>VLOOKUP(F1040,'GL Category'!A:C,3,FALSE)</f>
        <v>Services &amp; other</v>
      </c>
      <c r="H1040" s="98" t="str">
        <f>VLOOKUP(F1040,'GL Category'!A:C,2,FALSE)</f>
        <v>EQUIPMENT RENTAL</v>
      </c>
      <c r="I1040" s="99">
        <f>SUMIF(Import!$B:$B,$A1040,Import!D:D)</f>
        <v>0</v>
      </c>
      <c r="J1040" s="99">
        <f>SUMIF(Import!$B:$B,$A1040,Import!E:E)</f>
        <v>0</v>
      </c>
      <c r="K1040" s="99">
        <f>SUMIF(Import!$B:$B,$A1040,Import!F:F)</f>
        <v>0</v>
      </c>
      <c r="L1040" s="99">
        <f>SUMIF(Import!$B:$B,$A1040,Import!G:G)</f>
        <v>0</v>
      </c>
      <c r="M1040" s="99">
        <f>SUMIF(Import!$B:$B,$A1040,Import!H:H)</f>
        <v>0</v>
      </c>
      <c r="N1040" s="99">
        <f>SUMIF(Import!$B:$B,$A1040,Import!I:I)</f>
        <v>0</v>
      </c>
      <c r="O1040" s="99">
        <f>SUMIF(Import!$B:$B,$A1040,Import!J:J)</f>
        <v>0</v>
      </c>
      <c r="P1040" s="99">
        <f t="shared" si="1412"/>
        <v>0</v>
      </c>
      <c r="Q1040" s="99">
        <f>SUMIF(Import!$B:$B,$A1040,Import!K:K)</f>
        <v>0</v>
      </c>
      <c r="R1040" s="99">
        <f>SUMIF(Import!$B:$B,$A1040,Import!L:L)</f>
        <v>0</v>
      </c>
      <c r="S1040" s="99">
        <f>SUMIF(Import!$B:$B,$A1040,Import!M:M)</f>
        <v>0</v>
      </c>
      <c r="T1040" s="99">
        <f>SUMIF(Import!$B:$B,$A1040,Import!N:N)</f>
        <v>0</v>
      </c>
      <c r="U1040" s="99">
        <f t="shared" si="1413"/>
        <v>0</v>
      </c>
      <c r="V1040" s="255" t="str">
        <f t="shared" si="1414"/>
        <v>N/A</v>
      </c>
      <c r="W1040" s="102" t="s">
        <v>2715</v>
      </c>
      <c r="X1040" s="102"/>
      <c r="Y1040" s="102"/>
      <c r="Z1040" s="192"/>
      <c r="AA1040" s="615"/>
      <c r="AB1040" s="307"/>
      <c r="AC1040" s="300"/>
      <c r="AD1040" s="300"/>
      <c r="AE1040" s="300"/>
      <c r="AF1040" s="300"/>
      <c r="AG1040" s="300"/>
      <c r="AH1040" s="307"/>
      <c r="AI1040" s="307"/>
      <c r="AJ1040" s="300"/>
      <c r="AK1040" s="300"/>
      <c r="AL1040" s="300"/>
      <c r="AM1040" s="300"/>
      <c r="AN1040" s="300"/>
      <c r="AO1040" s="192"/>
      <c r="AP1040" s="192"/>
      <c r="AQ1040" s="192"/>
    </row>
    <row r="1041" spans="1:59" s="115" customFormat="1" ht="15" customHeight="1">
      <c r="A1041" s="555" t="s">
        <v>2716</v>
      </c>
      <c r="B1041" s="217" t="str">
        <f t="shared" si="1364"/>
        <v>100</v>
      </c>
      <c r="C1041" s="217" t="str">
        <f t="shared" si="1365"/>
        <v>30</v>
      </c>
      <c r="D1041" s="101" t="str">
        <f t="shared" si="1366"/>
        <v>305</v>
      </c>
      <c r="E1041" s="217" t="str">
        <f t="shared" si="1367"/>
        <v>100-30-305</v>
      </c>
      <c r="F1041" s="294" t="str">
        <f t="shared" si="1368"/>
        <v>53560</v>
      </c>
      <c r="G1041" s="295" t="str">
        <f>VLOOKUP(F1041,'GL Category'!A:C,3,FALSE)</f>
        <v>Services &amp; other</v>
      </c>
      <c r="H1041" s="98" t="str">
        <f>VLOOKUP(F1041,'GL Category'!A:C,2,FALSE)</f>
        <v>GENERAL INSURANCE</v>
      </c>
      <c r="I1041" s="99">
        <f>SUMIF(Import!$B:$B,$A1041,Import!D:D)</f>
        <v>0</v>
      </c>
      <c r="J1041" s="99">
        <f>SUMIF(Import!$B:$B,$A1041,Import!E:E)</f>
        <v>0</v>
      </c>
      <c r="K1041" s="99">
        <f>SUMIF(Import!$B:$B,$A1041,Import!F:F)</f>
        <v>0</v>
      </c>
      <c r="L1041" s="99">
        <f>SUMIF(Import!$B:$B,$A1041,Import!G:G)</f>
        <v>0</v>
      </c>
      <c r="M1041" s="99">
        <f>SUMIF(Import!$B:$B,$A1041,Import!H:H)</f>
        <v>0</v>
      </c>
      <c r="N1041" s="99">
        <f>SUMIF(Import!$B:$B,$A1041,Import!I:I)</f>
        <v>0</v>
      </c>
      <c r="O1041" s="99">
        <f>SUMIF(Import!$B:$B,$A1041,Import!J:J)</f>
        <v>0</v>
      </c>
      <c r="P1041" s="99">
        <f t="shared" si="1412"/>
        <v>0</v>
      </c>
      <c r="Q1041" s="99">
        <f>SUMIF(Import!$B:$B,$A1041,Import!K:K)</f>
        <v>0</v>
      </c>
      <c r="R1041" s="99">
        <f>SUMIF(Import!$B:$B,$A1041,Import!L:L)</f>
        <v>0</v>
      </c>
      <c r="S1041" s="99">
        <f>SUMIF(Import!$B:$B,$A1041,Import!M:M)</f>
        <v>0</v>
      </c>
      <c r="T1041" s="99">
        <f>SUMIF(Import!$B:$B,$A1041,Import!N:N)</f>
        <v>0</v>
      </c>
      <c r="U1041" s="99">
        <f t="shared" si="1413"/>
        <v>0</v>
      </c>
      <c r="V1041" s="255" t="str">
        <f t="shared" si="1414"/>
        <v>N/A</v>
      </c>
      <c r="W1041" s="102" t="s">
        <v>2716</v>
      </c>
      <c r="X1041" s="102"/>
      <c r="Y1041" s="102"/>
      <c r="Z1041" s="192"/>
      <c r="AA1041" s="615"/>
      <c r="AB1041" s="307"/>
      <c r="AC1041" s="300"/>
      <c r="AD1041" s="300"/>
      <c r="AE1041" s="300"/>
      <c r="AF1041" s="300"/>
      <c r="AG1041" s="300"/>
      <c r="AH1041" s="307"/>
      <c r="AI1041" s="307"/>
      <c r="AJ1041" s="300"/>
      <c r="AK1041" s="300"/>
      <c r="AL1041" s="300"/>
      <c r="AM1041" s="300"/>
      <c r="AN1041" s="300"/>
      <c r="AO1041" s="192"/>
      <c r="AP1041" s="192"/>
      <c r="AQ1041" s="192"/>
    </row>
    <row r="1042" spans="1:59" s="115" customFormat="1" ht="15" customHeight="1">
      <c r="A1042" s="555" t="s">
        <v>2717</v>
      </c>
      <c r="B1042" s="217" t="str">
        <f t="shared" si="1364"/>
        <v>100</v>
      </c>
      <c r="C1042" s="217" t="str">
        <f t="shared" si="1365"/>
        <v>30</v>
      </c>
      <c r="D1042" s="101" t="str">
        <f t="shared" si="1366"/>
        <v>305</v>
      </c>
      <c r="E1042" s="217" t="str">
        <f t="shared" si="1367"/>
        <v>100-30-305</v>
      </c>
      <c r="F1042" s="294" t="str">
        <f t="shared" si="1368"/>
        <v>53568</v>
      </c>
      <c r="G1042" s="295" t="str">
        <f>VLOOKUP(F1042,'GL Category'!A:C,3,FALSE)</f>
        <v>Services &amp; other</v>
      </c>
      <c r="H1042" s="98" t="str">
        <f>VLOOKUP(F1042,'GL Category'!A:C,2,FALSE)</f>
        <v>LAW ENFORCEMENT LIAB PREMIUMS</v>
      </c>
      <c r="I1042" s="99">
        <f>SUMIF(Import!$B:$B,$A1042,Import!D:D)</f>
        <v>2103.5700000000002</v>
      </c>
      <c r="J1042" s="99">
        <f>SUMIF(Import!$B:$B,$A1042,Import!E:E)</f>
        <v>2405.2399999999998</v>
      </c>
      <c r="K1042" s="99">
        <f>SUMIF(Import!$B:$B,$A1042,Import!F:F)</f>
        <v>4131.6400000000003</v>
      </c>
      <c r="L1042" s="99">
        <f>SUMIF(Import!$B:$B,$A1042,Import!G:G)</f>
        <v>4276.75</v>
      </c>
      <c r="M1042" s="99">
        <f>SUMIF(Import!$B:$B,$A1042,Import!H:H)</f>
        <v>4705</v>
      </c>
      <c r="N1042" s="99">
        <f>SUMIF(Import!$B:$B,$A1042,Import!I:I)</f>
        <v>4685.6400000000003</v>
      </c>
      <c r="O1042" s="99">
        <f>SUMIF(Import!$B:$B,$A1042,Import!J:J)</f>
        <v>4705</v>
      </c>
      <c r="P1042" s="99">
        <f t="shared" si="1412"/>
        <v>0</v>
      </c>
      <c r="Q1042" s="99">
        <f>SUMIF(Import!$B:$B,$A1042,Import!K:K)</f>
        <v>4705</v>
      </c>
      <c r="R1042" s="99">
        <f>SUMIF(Import!$B:$B,$A1042,Import!L:L)</f>
        <v>0</v>
      </c>
      <c r="S1042" s="99">
        <f>SUMIF(Import!$B:$B,$A1042,Import!M:M)</f>
        <v>0</v>
      </c>
      <c r="T1042" s="99">
        <f>SUMIF(Import!$B:$B,$A1042,Import!N:N)</f>
        <v>4705</v>
      </c>
      <c r="U1042" s="99">
        <f t="shared" si="1413"/>
        <v>0</v>
      </c>
      <c r="V1042" s="255">
        <f t="shared" si="1414"/>
        <v>0</v>
      </c>
      <c r="W1042" s="102" t="s">
        <v>2717</v>
      </c>
      <c r="X1042" s="102"/>
      <c r="Y1042" s="102"/>
      <c r="Z1042" s="192"/>
      <c r="AA1042" s="615"/>
      <c r="AB1042" s="307"/>
      <c r="AC1042" s="300"/>
      <c r="AD1042" s="300"/>
      <c r="AE1042" s="300"/>
      <c r="AF1042" s="300"/>
      <c r="AG1042" s="300"/>
      <c r="AH1042" s="307"/>
      <c r="AI1042" s="307"/>
      <c r="AJ1042" s="300"/>
      <c r="AK1042" s="300"/>
      <c r="AL1042" s="300"/>
      <c r="AM1042" s="300"/>
      <c r="AN1042" s="300"/>
      <c r="AO1042" s="192"/>
      <c r="AP1042" s="192"/>
      <c r="AQ1042" s="192"/>
    </row>
    <row r="1043" spans="1:59" s="115" customFormat="1" ht="15" customHeight="1">
      <c r="A1043" s="555" t="s">
        <v>2718</v>
      </c>
      <c r="B1043" s="217" t="str">
        <f t="shared" si="1364"/>
        <v>100</v>
      </c>
      <c r="C1043" s="217" t="str">
        <f t="shared" si="1365"/>
        <v>30</v>
      </c>
      <c r="D1043" s="101" t="str">
        <f t="shared" si="1366"/>
        <v>305</v>
      </c>
      <c r="E1043" s="217" t="str">
        <f t="shared" si="1367"/>
        <v>100-30-305</v>
      </c>
      <c r="F1043" s="294" t="str">
        <f t="shared" si="1368"/>
        <v>53570</v>
      </c>
      <c r="G1043" s="295" t="str">
        <f>VLOOKUP(F1043,'GL Category'!A:C,3,FALSE)</f>
        <v>Services &amp; other</v>
      </c>
      <c r="H1043" s="98" t="str">
        <f>VLOOKUP(F1043,'GL Category'!A:C,2,FALSE)</f>
        <v>TELEPHONE/COMMUNICATIONS</v>
      </c>
      <c r="I1043" s="99">
        <f>SUMIF(Import!$B:$B,$A1043,Import!D:D)</f>
        <v>0</v>
      </c>
      <c r="J1043" s="99">
        <f>SUMIF(Import!$B:$B,$A1043,Import!E:E)</f>
        <v>0</v>
      </c>
      <c r="K1043" s="99">
        <f>SUMIF(Import!$B:$B,$A1043,Import!F:F)</f>
        <v>0</v>
      </c>
      <c r="L1043" s="99">
        <f>SUMIF(Import!$B:$B,$A1043,Import!G:G)</f>
        <v>0</v>
      </c>
      <c r="M1043" s="99">
        <f>SUMIF(Import!$B:$B,$A1043,Import!H:H)</f>
        <v>0</v>
      </c>
      <c r="N1043" s="99">
        <f>SUMIF(Import!$B:$B,$A1043,Import!I:I)</f>
        <v>0</v>
      </c>
      <c r="O1043" s="99">
        <f>SUMIF(Import!$B:$B,$A1043,Import!J:J)</f>
        <v>0</v>
      </c>
      <c r="P1043" s="99">
        <f t="shared" si="1412"/>
        <v>0</v>
      </c>
      <c r="Q1043" s="99">
        <f>SUMIF(Import!$B:$B,$A1043,Import!K:K)</f>
        <v>0</v>
      </c>
      <c r="R1043" s="99">
        <f>SUMIF(Import!$B:$B,$A1043,Import!L:L)</f>
        <v>0</v>
      </c>
      <c r="S1043" s="99">
        <f>SUMIF(Import!$B:$B,$A1043,Import!M:M)</f>
        <v>0</v>
      </c>
      <c r="T1043" s="99">
        <f>SUMIF(Import!$B:$B,$A1043,Import!N:N)</f>
        <v>0</v>
      </c>
      <c r="U1043" s="99">
        <f t="shared" si="1413"/>
        <v>0</v>
      </c>
      <c r="V1043" s="255" t="str">
        <f t="shared" si="1414"/>
        <v>N/A</v>
      </c>
      <c r="W1043" s="102" t="s">
        <v>2718</v>
      </c>
      <c r="X1043" s="102"/>
      <c r="Y1043" s="102"/>
      <c r="Z1043" s="192"/>
      <c r="AA1043" s="615"/>
      <c r="AB1043" s="307"/>
      <c r="AC1043" s="94"/>
      <c r="AD1043" s="94"/>
      <c r="AE1043" s="94"/>
      <c r="AF1043" s="94"/>
      <c r="AG1043" s="94"/>
      <c r="AH1043" s="307"/>
      <c r="AI1043" s="307"/>
      <c r="AJ1043" s="94"/>
      <c r="AK1043" s="94"/>
      <c r="AL1043" s="94"/>
      <c r="AM1043" s="94"/>
      <c r="AN1043" s="94"/>
      <c r="AO1043" s="192"/>
      <c r="AP1043" s="192"/>
      <c r="AQ1043" s="192"/>
    </row>
    <row r="1044" spans="1:59" ht="15" customHeight="1">
      <c r="A1044" s="555" t="s">
        <v>2719</v>
      </c>
      <c r="B1044" s="217" t="str">
        <f t="shared" ref="B1044:B1047" si="1415">LEFT(A1044,3)</f>
        <v>100</v>
      </c>
      <c r="C1044" s="217" t="str">
        <f t="shared" ref="C1044:C1047" si="1416">MID(A1044,5,2)</f>
        <v>30</v>
      </c>
      <c r="D1044" s="101" t="str">
        <f t="shared" ref="D1044:D1054" si="1417">MID(A1044,8,3)</f>
        <v>305</v>
      </c>
      <c r="E1044" s="217" t="str">
        <f t="shared" ref="E1044:E1047" si="1418">LEFT(A1044,10)</f>
        <v>100-30-305</v>
      </c>
      <c r="F1044" s="294" t="str">
        <f t="shared" ref="F1044:F1047" si="1419">RIGHT(A1044,5)</f>
        <v>53571</v>
      </c>
      <c r="G1044" s="295" t="str">
        <f>VLOOKUP(F1044,'GL Category'!A:C,3,FALSE)</f>
        <v>Services &amp; other</v>
      </c>
      <c r="H1044" s="98" t="str">
        <f>VLOOKUP(F1044,'GL Category'!A:C,2,FALSE)</f>
        <v>NATURAL GAS UTILITY SERVICE</v>
      </c>
      <c r="I1044" s="99">
        <f>SUMIF(Import!$B:$B,$A1044,Import!D:D)</f>
        <v>4343.05</v>
      </c>
      <c r="J1044" s="99">
        <f>SUMIF(Import!$B:$B,$A1044,Import!E:E)</f>
        <v>6140.28</v>
      </c>
      <c r="K1044" s="99">
        <f>SUMIF(Import!$B:$B,$A1044,Import!F:F)</f>
        <v>8388</v>
      </c>
      <c r="L1044" s="99">
        <f>SUMIF(Import!$B:$B,$A1044,Import!G:G)</f>
        <v>7600.38</v>
      </c>
      <c r="M1044" s="99">
        <f>SUMIF(Import!$B:$B,$A1044,Import!H:H)</f>
        <v>5450</v>
      </c>
      <c r="N1044" s="99">
        <f>SUMIF(Import!$B:$B,$A1044,Import!I:I)</f>
        <v>5016.9799999999996</v>
      </c>
      <c r="O1044" s="99">
        <f>SUMIF(Import!$B:$B,$A1044,Import!J:J)</f>
        <v>5450</v>
      </c>
      <c r="P1044" s="99">
        <f t="shared" si="1412"/>
        <v>0</v>
      </c>
      <c r="Q1044" s="99">
        <f>SUMIF(Import!$B:$B,$A1044,Import!K:K)</f>
        <v>5450</v>
      </c>
      <c r="R1044" s="99">
        <f>SUMIF(Import!$B:$B,$A1044,Import!L:L)</f>
        <v>0</v>
      </c>
      <c r="S1044" s="99">
        <f>SUMIF(Import!$B:$B,$A1044,Import!M:M)</f>
        <v>0</v>
      </c>
      <c r="T1044" s="99">
        <f>SUMIF(Import!$B:$B,$A1044,Import!N:N)</f>
        <v>5450</v>
      </c>
      <c r="U1044" s="99">
        <f t="shared" si="1413"/>
        <v>0</v>
      </c>
      <c r="V1044" s="255">
        <f t="shared" si="1414"/>
        <v>0</v>
      </c>
      <c r="W1044" s="102" t="s">
        <v>2719</v>
      </c>
      <c r="X1044" s="102"/>
      <c r="Y1044" s="102"/>
      <c r="AA1044" s="615"/>
      <c r="AC1044" s="93"/>
      <c r="AD1044" s="93"/>
      <c r="AE1044" s="93"/>
      <c r="AF1044" s="93"/>
      <c r="AG1044" s="93"/>
      <c r="AJ1044" s="93"/>
      <c r="AK1044" s="93"/>
      <c r="AL1044" s="93"/>
      <c r="AM1044" s="93"/>
      <c r="AN1044" s="93"/>
    </row>
    <row r="1045" spans="1:59" ht="15" customHeight="1">
      <c r="A1045" s="555" t="s">
        <v>2720</v>
      </c>
      <c r="B1045" s="217" t="str">
        <f t="shared" si="1415"/>
        <v>100</v>
      </c>
      <c r="C1045" s="217" t="str">
        <f t="shared" si="1416"/>
        <v>30</v>
      </c>
      <c r="D1045" s="101" t="str">
        <f t="shared" si="1417"/>
        <v>305</v>
      </c>
      <c r="E1045" s="217" t="str">
        <f t="shared" si="1418"/>
        <v>100-30-305</v>
      </c>
      <c r="F1045" s="294" t="str">
        <f t="shared" si="1419"/>
        <v>53572</v>
      </c>
      <c r="G1045" s="295" t="str">
        <f>VLOOKUP(F1045,'GL Category'!A:C,3,FALSE)</f>
        <v>Services &amp; other</v>
      </c>
      <c r="H1045" s="98" t="str">
        <f>VLOOKUP(F1045,'GL Category'!A:C,2,FALSE)</f>
        <v>ELECTRICAL UTILITY SERVICE</v>
      </c>
      <c r="I1045" s="99">
        <f>SUMIF(Import!$B:$B,$A1045,Import!D:D)</f>
        <v>22693.78</v>
      </c>
      <c r="J1045" s="99">
        <f>SUMIF(Import!$B:$B,$A1045,Import!E:E)</f>
        <v>23945.439999999999</v>
      </c>
      <c r="K1045" s="99">
        <f>SUMIF(Import!$B:$B,$A1045,Import!F:F)</f>
        <v>39145.11</v>
      </c>
      <c r="L1045" s="99">
        <f>SUMIF(Import!$B:$B,$A1045,Import!G:G)</f>
        <v>42252.13</v>
      </c>
      <c r="M1045" s="99">
        <f>SUMIF(Import!$B:$B,$A1045,Import!H:H)</f>
        <v>50830</v>
      </c>
      <c r="N1045" s="99">
        <f>SUMIF(Import!$B:$B,$A1045,Import!I:I)</f>
        <v>21458.98</v>
      </c>
      <c r="O1045" s="99">
        <f>SUMIF(Import!$B:$B,$A1045,Import!J:J)</f>
        <v>38830</v>
      </c>
      <c r="P1045" s="99">
        <f t="shared" si="1412"/>
        <v>-12000</v>
      </c>
      <c r="Q1045" s="99">
        <f>SUMIF(Import!$B:$B,$A1045,Import!K:K)</f>
        <v>50830</v>
      </c>
      <c r="R1045" s="99">
        <f>SUMIF(Import!$B:$B,$A1045,Import!L:L)</f>
        <v>0</v>
      </c>
      <c r="S1045" s="99">
        <f>SUMIF(Import!$B:$B,$A1045,Import!M:M)</f>
        <v>0</v>
      </c>
      <c r="T1045" s="99">
        <f>SUMIF(Import!$B:$B,$A1045,Import!N:N)</f>
        <v>50830</v>
      </c>
      <c r="U1045" s="99">
        <f t="shared" si="1413"/>
        <v>0</v>
      </c>
      <c r="V1045" s="255">
        <f t="shared" si="1414"/>
        <v>0</v>
      </c>
      <c r="W1045" s="102" t="s">
        <v>2720</v>
      </c>
      <c r="X1045" s="102"/>
      <c r="Y1045" s="102"/>
      <c r="AA1045" s="615"/>
      <c r="AC1045" s="300"/>
      <c r="AD1045" s="300"/>
      <c r="AE1045" s="300"/>
      <c r="AF1045" s="300"/>
      <c r="AG1045" s="300"/>
      <c r="AJ1045" s="300"/>
      <c r="AK1045" s="300"/>
      <c r="AL1045" s="300"/>
      <c r="AM1045" s="300"/>
      <c r="AN1045" s="300"/>
    </row>
    <row r="1046" spans="1:59" ht="15" customHeight="1">
      <c r="A1046" s="555" t="s">
        <v>2721</v>
      </c>
      <c r="B1046" s="217" t="str">
        <f t="shared" si="1415"/>
        <v>100</v>
      </c>
      <c r="C1046" s="217" t="str">
        <f t="shared" si="1416"/>
        <v>30</v>
      </c>
      <c r="D1046" s="101" t="str">
        <f t="shared" si="1417"/>
        <v>305</v>
      </c>
      <c r="E1046" s="217" t="str">
        <f t="shared" si="1418"/>
        <v>100-30-305</v>
      </c>
      <c r="F1046" s="294" t="str">
        <f t="shared" si="1419"/>
        <v>53574</v>
      </c>
      <c r="G1046" s="295" t="str">
        <f>VLOOKUP(F1046,'GL Category'!A:C,3,FALSE)</f>
        <v>Services &amp; other</v>
      </c>
      <c r="H1046" s="98" t="str">
        <f>VLOOKUP(F1046,'GL Category'!A:C,2,FALSE)</f>
        <v>WATER/SEWER UTILITY SERVICE</v>
      </c>
      <c r="I1046" s="99">
        <f>SUMIF(Import!$B:$B,$A1046,Import!D:D)</f>
        <v>473.08</v>
      </c>
      <c r="J1046" s="99">
        <f>SUMIF(Import!$B:$B,$A1046,Import!E:E)</f>
        <v>179.96</v>
      </c>
      <c r="K1046" s="99">
        <f>SUMIF(Import!$B:$B,$A1046,Import!F:F)</f>
        <v>0</v>
      </c>
      <c r="L1046" s="99">
        <f>SUMIF(Import!$B:$B,$A1046,Import!G:G)</f>
        <v>751.47</v>
      </c>
      <c r="M1046" s="99">
        <f>SUMIF(Import!$B:$B,$A1046,Import!H:H)</f>
        <v>600</v>
      </c>
      <c r="N1046" s="99">
        <f>SUMIF(Import!$B:$B,$A1046,Import!I:I)</f>
        <v>375.29</v>
      </c>
      <c r="O1046" s="99">
        <f>SUMIF(Import!$B:$B,$A1046,Import!J:J)</f>
        <v>600</v>
      </c>
      <c r="P1046" s="99">
        <f t="shared" si="1412"/>
        <v>0</v>
      </c>
      <c r="Q1046" s="99">
        <f>SUMIF(Import!$B:$B,$A1046,Import!K:K)</f>
        <v>600</v>
      </c>
      <c r="R1046" s="99">
        <f>SUMIF(Import!$B:$B,$A1046,Import!L:L)</f>
        <v>0</v>
      </c>
      <c r="S1046" s="99">
        <f>SUMIF(Import!$B:$B,$A1046,Import!M:M)</f>
        <v>0</v>
      </c>
      <c r="T1046" s="99">
        <f>SUMIF(Import!$B:$B,$A1046,Import!N:N)</f>
        <v>600</v>
      </c>
      <c r="U1046" s="99">
        <f t="shared" si="1413"/>
        <v>0</v>
      </c>
      <c r="V1046" s="255">
        <f t="shared" si="1414"/>
        <v>0</v>
      </c>
      <c r="W1046" s="102" t="s">
        <v>2721</v>
      </c>
      <c r="X1046" s="102"/>
      <c r="Y1046" s="102"/>
      <c r="AA1046" s="615"/>
      <c r="AC1046" s="300"/>
      <c r="AD1046" s="300"/>
      <c r="AE1046" s="300"/>
      <c r="AF1046" s="300"/>
      <c r="AG1046" s="300"/>
      <c r="AJ1046" s="300"/>
      <c r="AK1046" s="300"/>
      <c r="AL1046" s="300"/>
      <c r="AM1046" s="300"/>
      <c r="AN1046" s="300"/>
    </row>
    <row r="1047" spans="1:59" ht="15" customHeight="1">
      <c r="A1047" s="555" t="s">
        <v>2722</v>
      </c>
      <c r="B1047" s="217" t="str">
        <f t="shared" si="1415"/>
        <v>100</v>
      </c>
      <c r="C1047" s="217" t="str">
        <f t="shared" si="1416"/>
        <v>30</v>
      </c>
      <c r="D1047" s="101" t="str">
        <f t="shared" si="1417"/>
        <v>305</v>
      </c>
      <c r="E1047" s="217" t="str">
        <f t="shared" si="1418"/>
        <v>100-30-305</v>
      </c>
      <c r="F1047" s="294" t="str">
        <f t="shared" si="1419"/>
        <v>55119</v>
      </c>
      <c r="G1047" s="295" t="str">
        <f>VLOOKUP(F1047,'GL Category'!A:C,3,FALSE)</f>
        <v>Services &amp; other</v>
      </c>
      <c r="H1047" s="98" t="str">
        <f>VLOOKUP(F1047,'GL Category'!A:C,2,FALSE)</f>
        <v>OFFICE EQUIP LEASE EXP-CITY</v>
      </c>
      <c r="I1047" s="99">
        <f>SUMIF(Import!$B:$B,$A1047,Import!D:D)</f>
        <v>27623</v>
      </c>
      <c r="J1047" s="99">
        <f>SUMIF(Import!$B:$B,$A1047,Import!E:E)</f>
        <v>29322</v>
      </c>
      <c r="K1047" s="99">
        <f>SUMIF(Import!$B:$B,$A1047,Import!F:F)</f>
        <v>29276</v>
      </c>
      <c r="L1047" s="99">
        <f>SUMIF(Import!$B:$B,$A1047,Import!G:G)</f>
        <v>29435</v>
      </c>
      <c r="M1047" s="99">
        <f>SUMIF(Import!$B:$B,$A1047,Import!H:H)</f>
        <v>29158</v>
      </c>
      <c r="N1047" s="99">
        <f>SUMIF(Import!$B:$B,$A1047,Import!I:I)</f>
        <v>21868.5</v>
      </c>
      <c r="O1047" s="99">
        <f>SUMIF(Import!$B:$B,$A1047,Import!J:J)</f>
        <v>29158</v>
      </c>
      <c r="P1047" s="99">
        <f t="shared" si="1412"/>
        <v>0</v>
      </c>
      <c r="Q1047" s="99">
        <f>SUMIF(Import!$B:$B,$A1047,Import!K:K)</f>
        <v>32604</v>
      </c>
      <c r="R1047" s="99">
        <f>SUMIF(Import!$B:$B,$A1047,Import!L:L)</f>
        <v>0</v>
      </c>
      <c r="S1047" s="99">
        <f>SUMIF(Import!$B:$B,$A1047,Import!M:M)</f>
        <v>0</v>
      </c>
      <c r="T1047" s="99">
        <f>SUMIF(Import!$B:$B,$A1047,Import!N:N)</f>
        <v>32604</v>
      </c>
      <c r="U1047" s="99">
        <f t="shared" si="1413"/>
        <v>3446</v>
      </c>
      <c r="V1047" s="255">
        <f t="shared" si="1414"/>
        <v>0.11818368886754915</v>
      </c>
      <c r="W1047" s="102" t="s">
        <v>2722</v>
      </c>
      <c r="X1047" s="102"/>
      <c r="Y1047" s="102"/>
      <c r="AA1047" s="615"/>
      <c r="AC1047" s="92"/>
      <c r="AD1047" s="92"/>
      <c r="AE1047" s="92"/>
      <c r="AF1047" s="92"/>
      <c r="AG1047" s="92"/>
      <c r="AJ1047" s="92"/>
      <c r="AK1047" s="92"/>
      <c r="AL1047" s="92"/>
      <c r="AM1047" s="92"/>
      <c r="AN1047" s="92"/>
    </row>
    <row r="1048" spans="1:59" ht="15" customHeight="1">
      <c r="A1048" s="555"/>
      <c r="B1048" s="217"/>
      <c r="C1048" s="217"/>
      <c r="D1048" s="101"/>
      <c r="E1048" s="217"/>
      <c r="F1048" s="294"/>
      <c r="G1048" s="295"/>
      <c r="H1048" s="107" t="str">
        <f>UPPER(G1047)&amp;" TOTAL"</f>
        <v>SERVICES &amp; OTHER TOTAL</v>
      </c>
      <c r="I1048" s="109">
        <f t="shared" ref="I1048" si="1420">SUBTOTAL(9,I1035:I1047)</f>
        <v>64367.72</v>
      </c>
      <c r="J1048" s="109">
        <f t="shared" ref="J1048:T1048" si="1421">SUBTOTAL(9,J1035:J1047)</f>
        <v>73447.609999999986</v>
      </c>
      <c r="K1048" s="109">
        <f t="shared" ref="K1048" si="1422">SUBTOTAL(9,K1035:K1047)</f>
        <v>90750.77</v>
      </c>
      <c r="L1048" s="109">
        <f t="shared" ref="L1048" si="1423">SUBTOTAL(9,L1035:L1047)</f>
        <v>95363.5</v>
      </c>
      <c r="M1048" s="109">
        <f t="shared" si="1421"/>
        <v>101743</v>
      </c>
      <c r="N1048" s="109">
        <f t="shared" ref="N1048" si="1424">SUBTOTAL(9,N1035:N1047)</f>
        <v>59905.94</v>
      </c>
      <c r="O1048" s="109">
        <f t="shared" si="1421"/>
        <v>89743</v>
      </c>
      <c r="P1048" s="109">
        <f t="shared" si="1421"/>
        <v>-12000</v>
      </c>
      <c r="Q1048" s="109">
        <f t="shared" si="1421"/>
        <v>105189</v>
      </c>
      <c r="R1048" s="109">
        <f t="shared" si="1421"/>
        <v>0</v>
      </c>
      <c r="S1048" s="109">
        <f t="shared" si="1421"/>
        <v>0</v>
      </c>
      <c r="T1048" s="109">
        <f t="shared" si="1421"/>
        <v>105189</v>
      </c>
      <c r="U1048" s="99">
        <f>T1048-M1048</f>
        <v>3446</v>
      </c>
      <c r="V1048" s="255">
        <f>IF(M1048=0,"N/A",T1048/M1048-1)</f>
        <v>3.3869651966228709E-2</v>
      </c>
      <c r="W1048" s="102"/>
      <c r="X1048" s="102"/>
      <c r="Y1048" s="102"/>
      <c r="AA1048" s="615"/>
    </row>
    <row r="1049" spans="1:59" s="75" customFormat="1" ht="15" customHeight="1">
      <c r="A1049" s="555"/>
      <c r="B1049" s="217"/>
      <c r="C1049" s="217"/>
      <c r="D1049" s="101"/>
      <c r="E1049" s="217"/>
      <c r="F1049" s="294"/>
      <c r="G1049" s="295"/>
      <c r="H1049" s="98"/>
      <c r="I1049" s="106"/>
      <c r="J1049" s="106"/>
      <c r="K1049" s="106"/>
      <c r="L1049" s="106"/>
      <c r="M1049" s="106"/>
      <c r="N1049" s="112"/>
      <c r="O1049" s="112"/>
      <c r="P1049" s="112"/>
      <c r="Q1049" s="113"/>
      <c r="R1049" s="113"/>
      <c r="S1049" s="113"/>
      <c r="T1049" s="113"/>
      <c r="U1049" s="99"/>
      <c r="V1049" s="255"/>
      <c r="W1049" s="102"/>
      <c r="X1049" s="102"/>
      <c r="Y1049" s="102"/>
      <c r="Z1049" s="614"/>
      <c r="AA1049" s="615"/>
      <c r="AB1049" s="624"/>
      <c r="AC1049" s="623"/>
      <c r="AD1049" s="623"/>
      <c r="AE1049" s="623"/>
      <c r="AF1049" s="623"/>
      <c r="AG1049" s="623"/>
      <c r="AH1049" s="623"/>
      <c r="AI1049" s="624"/>
      <c r="AJ1049" s="307"/>
      <c r="AK1049" s="307"/>
      <c r="AL1049" s="307"/>
      <c r="AM1049" s="307"/>
      <c r="AN1049" s="307"/>
      <c r="AO1049" s="192"/>
      <c r="AP1049" s="192"/>
      <c r="AQ1049" s="192"/>
      <c r="AR1049" s="115"/>
      <c r="AS1049" s="115"/>
      <c r="AT1049" s="115"/>
      <c r="AU1049" s="115"/>
      <c r="AV1049" s="115"/>
      <c r="AW1049" s="115"/>
      <c r="AX1049" s="115"/>
      <c r="AY1049" s="115"/>
      <c r="AZ1049" s="115"/>
      <c r="BA1049" s="115"/>
      <c r="BB1049" s="115"/>
      <c r="BC1049" s="115"/>
      <c r="BD1049" s="115"/>
      <c r="BE1049" s="74"/>
      <c r="BF1049" s="74"/>
      <c r="BG1049" s="74"/>
    </row>
    <row r="1050" spans="1:59" s="75" customFormat="1" ht="15" customHeight="1">
      <c r="A1050" s="555"/>
      <c r="B1050" s="217"/>
      <c r="C1050" s="217"/>
      <c r="D1050" s="101"/>
      <c r="E1050" s="217"/>
      <c r="F1050" s="294"/>
      <c r="G1050" s="295"/>
      <c r="H1050" s="114" t="s">
        <v>763</v>
      </c>
      <c r="I1050" s="108">
        <f t="shared" ref="I1050" si="1425">SUBTOTAL(9,I1011:I1049)</f>
        <v>597841.43999999994</v>
      </c>
      <c r="J1050" s="108">
        <f t="shared" ref="J1050:T1050" si="1426">SUBTOTAL(9,J1011:J1049)</f>
        <v>651485.22999999963</v>
      </c>
      <c r="K1050" s="108">
        <f t="shared" ref="K1050" si="1427">SUBTOTAL(9,K1011:K1049)</f>
        <v>813560.78</v>
      </c>
      <c r="L1050" s="108">
        <f t="shared" ref="L1050" si="1428">SUBTOTAL(9,L1011:L1049)</f>
        <v>817788.64999999991</v>
      </c>
      <c r="M1050" s="108">
        <f t="shared" si="1426"/>
        <v>1029157</v>
      </c>
      <c r="N1050" s="108">
        <f t="shared" ref="N1050" si="1429">SUBTOTAL(9,N1011:N1049)</f>
        <v>726142.93000000017</v>
      </c>
      <c r="O1050" s="108">
        <f t="shared" si="1426"/>
        <v>971163</v>
      </c>
      <c r="P1050" s="108">
        <f t="shared" si="1426"/>
        <v>-57994</v>
      </c>
      <c r="Q1050" s="108">
        <f t="shared" si="1426"/>
        <v>1017292</v>
      </c>
      <c r="R1050" s="108">
        <f t="shared" si="1426"/>
        <v>0</v>
      </c>
      <c r="S1050" s="108">
        <f t="shared" si="1426"/>
        <v>0</v>
      </c>
      <c r="T1050" s="108">
        <f t="shared" si="1426"/>
        <v>1017292</v>
      </c>
      <c r="U1050" s="99">
        <f>T1050-M1050</f>
        <v>-11865</v>
      </c>
      <c r="V1050" s="255">
        <f>IF(M1050=0,"N/A",T1050/M1050-1)</f>
        <v>-1.1528853226475677E-2</v>
      </c>
      <c r="W1050" s="102"/>
      <c r="X1050" s="102"/>
      <c r="Y1050" s="102"/>
      <c r="Z1050" s="614"/>
      <c r="AA1050" s="615"/>
      <c r="AB1050" s="630"/>
      <c r="AC1050" s="625"/>
      <c r="AD1050" s="625"/>
      <c r="AE1050" s="625"/>
      <c r="AF1050" s="625"/>
      <c r="AG1050" s="625"/>
      <c r="AH1050" s="623"/>
      <c r="AI1050" s="624"/>
      <c r="AJ1050" s="626"/>
      <c r="AK1050" s="626"/>
      <c r="AL1050" s="626"/>
      <c r="AM1050" s="626"/>
      <c r="AN1050" s="626"/>
      <c r="AO1050" s="192"/>
      <c r="AP1050" s="192"/>
      <c r="AQ1050" s="192"/>
      <c r="AR1050" s="115"/>
      <c r="AS1050" s="115"/>
      <c r="AT1050" s="115"/>
      <c r="AU1050" s="115"/>
      <c r="AV1050" s="115"/>
      <c r="AW1050" s="115"/>
      <c r="AX1050" s="115"/>
      <c r="AY1050" s="115"/>
      <c r="AZ1050" s="115"/>
      <c r="BA1050" s="115"/>
      <c r="BB1050" s="115"/>
      <c r="BC1050" s="115"/>
      <c r="BD1050" s="115"/>
      <c r="BE1050" s="74"/>
      <c r="BF1050" s="74"/>
      <c r="BG1050" s="74"/>
    </row>
    <row r="1051" spans="1:59" ht="15" customHeight="1" thickBot="1">
      <c r="A1051" s="555"/>
      <c r="B1051" s="217"/>
      <c r="C1051" s="217"/>
      <c r="D1051" s="101"/>
      <c r="E1051" s="217"/>
      <c r="F1051" s="294"/>
      <c r="G1051" s="295"/>
      <c r="H1051" s="98"/>
      <c r="I1051" s="218"/>
      <c r="J1051" s="218"/>
      <c r="K1051" s="218"/>
      <c r="L1051" s="218"/>
      <c r="M1051" s="218"/>
      <c r="U1051" s="99"/>
      <c r="V1051" s="255"/>
      <c r="W1051" s="102"/>
      <c r="X1051" s="102"/>
      <c r="Y1051" s="102"/>
      <c r="AA1051" s="615"/>
      <c r="AC1051" s="300"/>
      <c r="AD1051" s="300"/>
      <c r="AE1051" s="300"/>
      <c r="AF1051" s="300"/>
      <c r="AG1051" s="300"/>
      <c r="AJ1051" s="300"/>
      <c r="AK1051" s="300"/>
      <c r="AL1051" s="300"/>
      <c r="AM1051" s="300"/>
      <c r="AN1051" s="300"/>
      <c r="AO1051" s="300"/>
      <c r="AP1051" s="300"/>
      <c r="AQ1051" s="300"/>
    </row>
    <row r="1052" spans="1:59" ht="21" customHeight="1" thickBot="1">
      <c r="A1052" s="555"/>
      <c r="B1052" s="217"/>
      <c r="C1052" s="217"/>
      <c r="D1052" s="101"/>
      <c r="E1052" s="217"/>
      <c r="F1052" s="294"/>
      <c r="G1052" s="295"/>
      <c r="H1052" s="668" t="s">
        <v>622</v>
      </c>
      <c r="I1052" s="669"/>
      <c r="J1052" s="669"/>
      <c r="K1052" s="669"/>
      <c r="L1052" s="669"/>
      <c r="M1052" s="669"/>
      <c r="N1052" s="669"/>
      <c r="O1052" s="669"/>
      <c r="P1052" s="669"/>
      <c r="Q1052" s="669"/>
      <c r="R1052" s="669"/>
      <c r="S1052" s="669"/>
      <c r="T1052" s="670"/>
      <c r="U1052" s="99"/>
      <c r="V1052" s="255"/>
      <c r="W1052" s="102"/>
      <c r="X1052" s="102"/>
      <c r="Y1052" s="102"/>
      <c r="AA1052" s="615"/>
      <c r="AC1052" s="300"/>
      <c r="AD1052" s="300"/>
      <c r="AE1052" s="300"/>
      <c r="AF1052" s="300"/>
      <c r="AG1052" s="300"/>
      <c r="AJ1052" s="300"/>
      <c r="AK1052" s="300"/>
      <c r="AL1052" s="300"/>
      <c r="AM1052" s="300"/>
      <c r="AN1052" s="300"/>
      <c r="AO1052" s="300"/>
      <c r="AP1052" s="300"/>
      <c r="AQ1052" s="300"/>
    </row>
    <row r="1053" spans="1:59" ht="15" customHeight="1">
      <c r="A1053" s="555"/>
      <c r="B1053" s="217"/>
      <c r="C1053" s="217"/>
      <c r="D1053" s="101"/>
      <c r="E1053" s="217"/>
      <c r="F1053" s="294"/>
      <c r="G1053" s="295"/>
      <c r="H1053" s="225"/>
      <c r="I1053" s="225"/>
      <c r="J1053" s="225"/>
      <c r="K1053" s="225"/>
      <c r="L1053" s="225"/>
      <c r="M1053" s="225"/>
      <c r="N1053" s="225"/>
      <c r="O1053" s="225"/>
      <c r="P1053" s="225"/>
      <c r="Q1053" s="225"/>
      <c r="R1053" s="225"/>
      <c r="S1053" s="225"/>
      <c r="T1053" s="225"/>
      <c r="U1053" s="99"/>
      <c r="V1053" s="255"/>
      <c r="W1053" s="102"/>
      <c r="X1053" s="102"/>
      <c r="Y1053" s="102"/>
      <c r="Z1053" s="309"/>
      <c r="AA1053" s="615"/>
      <c r="AB1053" s="622"/>
      <c r="AC1053" s="633"/>
      <c r="AE1053" s="622"/>
      <c r="AF1053" s="633"/>
      <c r="AH1053" s="622"/>
      <c r="AI1053" s="633"/>
      <c r="AK1053" s="622"/>
      <c r="AL1053" s="633"/>
      <c r="AN1053" s="622"/>
      <c r="AO1053" s="94"/>
      <c r="AP1053" s="94"/>
      <c r="AQ1053" s="94"/>
    </row>
    <row r="1054" spans="1:59" ht="15" customHeight="1">
      <c r="A1054" s="555"/>
      <c r="B1054" s="217"/>
      <c r="C1054" s="217">
        <v>30</v>
      </c>
      <c r="D1054" s="101" t="str">
        <f t="shared" si="1417"/>
        <v/>
      </c>
      <c r="E1054" s="217"/>
      <c r="F1054" s="294" t="s">
        <v>129</v>
      </c>
      <c r="G1054" s="295" t="str">
        <f>VLOOKUP(F1054,'GL Category'!A:C,3,FALSE)</f>
        <v>Personnel services</v>
      </c>
      <c r="H1054" s="98" t="str">
        <f>VLOOKUP(F1054,'GL Category'!A:C,2,FALSE)</f>
        <v>EXEMPT SALARIES</v>
      </c>
      <c r="I1054" s="99">
        <f>SUMIFS(I$1:I1048,$C$1:$C1048,$C1054,$F$1:$F1048,$F1054)</f>
        <v>448418.78</v>
      </c>
      <c r="J1054" s="99">
        <f>SUMIFS(J$1:J1048,$C$1:$C1048,$C1054,$F$1:$F1048,$F1054)</f>
        <v>484251.3</v>
      </c>
      <c r="K1054" s="99">
        <f>SUMIFS(K$1:K1048,$C$1:$C1048,$C1054,$F$1:$F1048,$F1054)</f>
        <v>577085.64</v>
      </c>
      <c r="L1054" s="99">
        <f>SUMIFS(L$1:L1048,$C$1:$C1048,$C1054,$F$1:$F1048,$F1054)</f>
        <v>608814.03</v>
      </c>
      <c r="M1054" s="99">
        <f>SUMIFS(M$1:M1048,$C$1:$C1048,$C1054,$F$1:$F1048,$F1054)</f>
        <v>603816</v>
      </c>
      <c r="N1054" s="99">
        <f>SUMIFS(N$1:N1048,$C$1:$C1048,$C1054,$F$1:$F1048,$F1054)</f>
        <v>439535.61000000004</v>
      </c>
      <c r="O1054" s="99">
        <f>SUMIFS(O$1:O1048,$C$1:$C1048,$C1054,$F$1:$F1048,$F1054)</f>
        <v>566192</v>
      </c>
      <c r="P1054" s="99">
        <f t="shared" ref="P1054:P1064" si="1430">O1054-M1054</f>
        <v>-37624</v>
      </c>
      <c r="Q1054" s="99">
        <f>SUMIFS(Q$1:Q1048,$C$1:$C1048,$C1054,$F$1:$F1048,$F1054)</f>
        <v>560655</v>
      </c>
      <c r="R1054" s="99">
        <f>SUMIFS(R$1:R1048,$C$1:$C1048,$C1054,$F$1:$F1048,$F1054)</f>
        <v>0</v>
      </c>
      <c r="S1054" s="99">
        <f>SUMIFS(S$1:S1048,$C$1:$C1048,$C1054,$F$1:$F1048,$F1054)</f>
        <v>0</v>
      </c>
      <c r="T1054" s="99">
        <f>SUMIFS(T$1:T1048,$C$1:$C1048,$C1054,$F$1:$F1048,$F1054)</f>
        <v>560655</v>
      </c>
      <c r="U1054" s="99">
        <f t="shared" ref="U1054:U1065" si="1431">T1054-M1054</f>
        <v>-43161</v>
      </c>
      <c r="V1054" s="255">
        <f t="shared" ref="V1054:V1065" si="1432">IF(M1054=0,"N/A",T1054/M1054-1)</f>
        <v>-7.1480384752971138E-2</v>
      </c>
      <c r="W1054" s="102"/>
      <c r="X1054" s="102"/>
      <c r="Y1054" s="102">
        <f t="shared" ref="Y1054:Y1064" si="1433">T1054-X1054</f>
        <v>560655</v>
      </c>
      <c r="Z1054" s="309">
        <f>Y1054*(1+VLOOKUP($F1054,'GL Category'!$A:$H,4,FALSE))</f>
        <v>580277.92499999993</v>
      </c>
      <c r="AA1054" s="615"/>
      <c r="AB1054" s="622">
        <f t="shared" ref="AB1054:AB1058" si="1434">Z1054+AA1054</f>
        <v>580277.92499999993</v>
      </c>
      <c r="AC1054" s="633">
        <f>AB1054*(1+VLOOKUP($F1054,'GL Category'!$A:$H,5,FALSE))</f>
        <v>600587.65237499983</v>
      </c>
      <c r="AE1054" s="622">
        <f t="shared" ref="AE1054:AE1058" si="1435">AC1054+AD1054</f>
        <v>600587.65237499983</v>
      </c>
      <c r="AF1054" s="633">
        <f>AE1054*(1+VLOOKUP($F1054,'GL Category'!$A:$H,6,FALSE))</f>
        <v>621608.22020812472</v>
      </c>
      <c r="AH1054" s="622">
        <f t="shared" ref="AH1054:AH1058" si="1436">AF1054+AG1054</f>
        <v>621608.22020812472</v>
      </c>
      <c r="AI1054" s="633">
        <f>AH1054*(1+VLOOKUP($F1054,'GL Category'!$A:$H,7,FALSE))</f>
        <v>643364.50791540905</v>
      </c>
      <c r="AK1054" s="622">
        <f t="shared" ref="AK1054:AK1058" si="1437">AI1054+AJ1054</f>
        <v>643364.50791540905</v>
      </c>
      <c r="AL1054" s="633">
        <f>AK1054*(1+VLOOKUP($F1054,'GL Category'!$A:$H,8,FALSE))</f>
        <v>665882.26569244836</v>
      </c>
      <c r="AN1054" s="622">
        <f t="shared" ref="AN1054:AN1058" si="1438">AL1054+AM1054</f>
        <v>665882.26569244836</v>
      </c>
      <c r="AO1054" s="93"/>
      <c r="AP1054" s="93"/>
      <c r="AQ1054" s="93"/>
    </row>
    <row r="1055" spans="1:59" ht="15" customHeight="1">
      <c r="A1055" s="555"/>
      <c r="B1055" s="217"/>
      <c r="C1055" s="217">
        <v>30</v>
      </c>
      <c r="D1055" s="101" t="str">
        <f t="shared" ref="D1055:D1113" si="1439">MID(A1055,8,3)</f>
        <v/>
      </c>
      <c r="E1055" s="217"/>
      <c r="F1055" s="294" t="s">
        <v>131</v>
      </c>
      <c r="G1055" s="295" t="str">
        <f>VLOOKUP(F1055,'GL Category'!A:C,3,FALSE)</f>
        <v>Personnel services</v>
      </c>
      <c r="H1055" s="98" t="str">
        <f>VLOOKUP(F1055,'GL Category'!A:C,2,FALSE)</f>
        <v>NON EXEMPT SALARIES</v>
      </c>
      <c r="I1055" s="99">
        <f>SUMIFS(I$1:I1049,$C$1:$C1049,$C1055,$F$1:$F1049,$F1055)</f>
        <v>4630405.7</v>
      </c>
      <c r="J1055" s="99">
        <f>SUMIFS(J$1:J1049,$C$1:$C1049,$C1055,$F$1:$F1049,$F1055)</f>
        <v>4974656.0299999993</v>
      </c>
      <c r="K1055" s="99">
        <f>SUMIFS(K$1:K1049,$C$1:$C1049,$C1055,$F$1:$F1049,$F1055)</f>
        <v>5406699.25</v>
      </c>
      <c r="L1055" s="99">
        <f>SUMIFS(L$1:L1049,$C$1:$C1049,$C1055,$F$1:$F1049,$F1055)</f>
        <v>5694131.4699999997</v>
      </c>
      <c r="M1055" s="99">
        <f>SUMIFS(M$1:M1049,$C$1:$C1049,$C1055,$F$1:$F1049,$F1055)</f>
        <v>6426559</v>
      </c>
      <c r="N1055" s="99">
        <f>SUMIFS(N$1:N1049,$C$1:$C1049,$C1055,$F$1:$F1049,$F1055)</f>
        <v>4736995.93</v>
      </c>
      <c r="O1055" s="99">
        <f>SUMIFS(O$1:O1049,$C$1:$C1049,$C1055,$F$1:$F1049,$F1055)</f>
        <v>6341101</v>
      </c>
      <c r="P1055" s="99">
        <f t="shared" si="1430"/>
        <v>-85458</v>
      </c>
      <c r="Q1055" s="99">
        <f>SUMIFS(Q$1:Q1049,$C$1:$C1049,$C1055,$F$1:$F1049,$F1055)</f>
        <v>7000641</v>
      </c>
      <c r="R1055" s="99">
        <f>SUMIFS(R$1:R1049,$C$1:$C1049,$C1055,$F$1:$F1049,$F1055)</f>
        <v>0</v>
      </c>
      <c r="S1055" s="99">
        <f>SUMIFS(S$1:S1049,$C$1:$C1049,$C1055,$F$1:$F1049,$F1055)</f>
        <v>0</v>
      </c>
      <c r="T1055" s="99">
        <f>SUMIFS(T$1:T1049,$C$1:$C1049,$C1055,$F$1:$F1049,$F1055)</f>
        <v>7000641</v>
      </c>
      <c r="U1055" s="99">
        <f t="shared" si="1431"/>
        <v>574082</v>
      </c>
      <c r="V1055" s="255">
        <f t="shared" si="1432"/>
        <v>8.9329608582135567E-2</v>
      </c>
      <c r="W1055" s="102"/>
      <c r="X1055" s="102"/>
      <c r="Y1055" s="102">
        <f t="shared" si="1433"/>
        <v>7000641</v>
      </c>
      <c r="Z1055" s="309">
        <f>Y1055*(1+VLOOKUP($F1055,'GL Category'!$A:$H,4,FALSE))</f>
        <v>7245663.4349999996</v>
      </c>
      <c r="AA1055" s="615"/>
      <c r="AB1055" s="622">
        <f t="shared" si="1434"/>
        <v>7245663.4349999996</v>
      </c>
      <c r="AC1055" s="633">
        <f>AB1055*(1+VLOOKUP($F1055,'GL Category'!$A:$H,5,FALSE))</f>
        <v>7499261.6552249994</v>
      </c>
      <c r="AE1055" s="622">
        <f t="shared" si="1435"/>
        <v>7499261.6552249994</v>
      </c>
      <c r="AF1055" s="633">
        <f>AE1055*(1+VLOOKUP($F1055,'GL Category'!$A:$H,6,FALSE))</f>
        <v>7761735.8131578742</v>
      </c>
      <c r="AH1055" s="622">
        <f t="shared" si="1436"/>
        <v>7761735.8131578742</v>
      </c>
      <c r="AI1055" s="633">
        <f>AH1055*(1+VLOOKUP($F1055,'GL Category'!$A:$H,7,FALSE))</f>
        <v>8033396.5666183988</v>
      </c>
      <c r="AK1055" s="622">
        <f t="shared" si="1437"/>
        <v>8033396.5666183988</v>
      </c>
      <c r="AL1055" s="633">
        <f>AK1055*(1+VLOOKUP($F1055,'GL Category'!$A:$H,8,FALSE))</f>
        <v>8314565.4464500425</v>
      </c>
      <c r="AN1055" s="622">
        <f t="shared" si="1438"/>
        <v>8314565.4464500425</v>
      </c>
      <c r="AO1055" s="92"/>
      <c r="AP1055" s="92"/>
      <c r="AQ1055" s="92"/>
    </row>
    <row r="1056" spans="1:59" ht="15" customHeight="1">
      <c r="A1056" s="555"/>
      <c r="B1056" s="217"/>
      <c r="C1056" s="217">
        <v>30</v>
      </c>
      <c r="D1056" s="101" t="str">
        <f t="shared" si="1439"/>
        <v/>
      </c>
      <c r="E1056" s="217"/>
      <c r="F1056" s="294" t="s">
        <v>133</v>
      </c>
      <c r="G1056" s="295" t="str">
        <f>VLOOKUP(F1056,'GL Category'!A:C,3,FALSE)</f>
        <v>Personnel services</v>
      </c>
      <c r="H1056" s="98" t="str">
        <f>VLOOKUP(F1056,'GL Category'!A:C,2,FALSE)</f>
        <v>OVERTIME</v>
      </c>
      <c r="I1056" s="99">
        <f>SUMIFS(I$1:I1050,$C$1:$C1050,$C1056,$F$1:$F1050,$F1056)</f>
        <v>233951.97</v>
      </c>
      <c r="J1056" s="99">
        <f>SUMIFS(J$1:J1050,$C$1:$C1050,$C1056,$F$1:$F1050,$F1056)</f>
        <v>310339.87999999995</v>
      </c>
      <c r="K1056" s="99">
        <f>SUMIFS(K$1:K1050,$C$1:$C1050,$C1056,$F$1:$F1050,$F1056)</f>
        <v>351146.95</v>
      </c>
      <c r="L1056" s="99">
        <f>SUMIFS(L$1:L1050,$C$1:$C1050,$C1056,$F$1:$F1050,$F1056)</f>
        <v>621153.32999999984</v>
      </c>
      <c r="M1056" s="99">
        <f>SUMIFS(M$1:M1050,$C$1:$C1050,$C1056,$F$1:$F1050,$F1056)</f>
        <v>325685</v>
      </c>
      <c r="N1056" s="99">
        <f>SUMIFS(N$1:N1050,$C$1:$C1050,$C1056,$F$1:$F1050,$F1056)</f>
        <v>551814.27000000014</v>
      </c>
      <c r="O1056" s="99">
        <f>SUMIFS(O$1:O1050,$C$1:$C1050,$C1056,$F$1:$F1050,$F1056)</f>
        <v>720837</v>
      </c>
      <c r="P1056" s="99">
        <f t="shared" si="1430"/>
        <v>395152</v>
      </c>
      <c r="Q1056" s="99">
        <f>SUMIFS(Q$1:Q1050,$C$1:$C1050,$C1056,$F$1:$F1050,$F1056)</f>
        <v>324354</v>
      </c>
      <c r="R1056" s="99">
        <f>SUMIFS(R$1:R1050,$C$1:$C1050,$C1056,$F$1:$F1050,$F1056)</f>
        <v>0</v>
      </c>
      <c r="S1056" s="99">
        <f>SUMIFS(S$1:S1050,$C$1:$C1050,$C1056,$F$1:$F1050,$F1056)</f>
        <v>0</v>
      </c>
      <c r="T1056" s="99">
        <f>SUMIFS(T$1:T1050,$C$1:$C1050,$C1056,$F$1:$F1050,$F1056)</f>
        <v>324354</v>
      </c>
      <c r="U1056" s="99">
        <f t="shared" si="1431"/>
        <v>-1331</v>
      </c>
      <c r="V1056" s="255">
        <f t="shared" si="1432"/>
        <v>-4.0867709596695834E-3</v>
      </c>
      <c r="W1056" s="102"/>
      <c r="X1056" s="102"/>
      <c r="Y1056" s="102">
        <f t="shared" si="1433"/>
        <v>324354</v>
      </c>
      <c r="Z1056" s="309">
        <f>Y1056*(1+VLOOKUP($F1056,'GL Category'!$A:$H,4,FALSE))</f>
        <v>335706.38999999996</v>
      </c>
      <c r="AA1056" s="615"/>
      <c r="AB1056" s="622">
        <f t="shared" si="1434"/>
        <v>335706.38999999996</v>
      </c>
      <c r="AC1056" s="633">
        <f>AB1056*(1+VLOOKUP($F1056,'GL Category'!$A:$H,5,FALSE))</f>
        <v>347456.11364999996</v>
      </c>
      <c r="AE1056" s="622">
        <f t="shared" si="1435"/>
        <v>347456.11364999996</v>
      </c>
      <c r="AF1056" s="633">
        <f>AE1056*(1+VLOOKUP($F1056,'GL Category'!$A:$H,6,FALSE))</f>
        <v>359617.07762774994</v>
      </c>
      <c r="AH1056" s="622">
        <f t="shared" si="1436"/>
        <v>359617.07762774994</v>
      </c>
      <c r="AI1056" s="633">
        <f>AH1056*(1+VLOOKUP($F1056,'GL Category'!$A:$H,7,FALSE))</f>
        <v>372203.67534472118</v>
      </c>
      <c r="AK1056" s="622">
        <f t="shared" si="1437"/>
        <v>372203.67534472118</v>
      </c>
      <c r="AL1056" s="633">
        <f>AK1056*(1+VLOOKUP($F1056,'GL Category'!$A:$H,8,FALSE))</f>
        <v>385230.80398178642</v>
      </c>
      <c r="AN1056" s="622">
        <f t="shared" si="1438"/>
        <v>385230.80398178642</v>
      </c>
    </row>
    <row r="1057" spans="1:59" s="75" customFormat="1" ht="15" customHeight="1">
      <c r="A1057" s="555"/>
      <c r="B1057" s="217"/>
      <c r="C1057" s="217">
        <v>30</v>
      </c>
      <c r="D1057" s="101" t="str">
        <f t="shared" si="1439"/>
        <v/>
      </c>
      <c r="E1057" s="217"/>
      <c r="F1057" s="294" t="s">
        <v>134</v>
      </c>
      <c r="G1057" s="295" t="str">
        <f>VLOOKUP(F1057,'GL Category'!A:C,3,FALSE)</f>
        <v>Personnel services</v>
      </c>
      <c r="H1057" s="98" t="str">
        <f>VLOOKUP(F1057,'GL Category'!A:C,2,FALSE)</f>
        <v>PART-TIME WAGES</v>
      </c>
      <c r="I1057" s="99">
        <f>SUMIFS(I$1:I1051,$C$1:$C1051,$C1057,$F$1:$F1051,$F1057)</f>
        <v>10622.56</v>
      </c>
      <c r="J1057" s="99">
        <f>SUMIFS(J$1:J1051,$C$1:$C1051,$C1057,$F$1:$F1051,$F1057)</f>
        <v>0</v>
      </c>
      <c r="K1057" s="99">
        <f>SUMIFS(K$1:K1051,$C$1:$C1051,$C1057,$F$1:$F1051,$F1057)</f>
        <v>0</v>
      </c>
      <c r="L1057" s="99">
        <f>SUMIFS(L$1:L1051,$C$1:$C1051,$C1057,$F$1:$F1051,$F1057)</f>
        <v>0</v>
      </c>
      <c r="M1057" s="99">
        <f>SUMIFS(M$1:M1051,$C$1:$C1051,$C1057,$F$1:$F1051,$F1057)</f>
        <v>0</v>
      </c>
      <c r="N1057" s="99">
        <f>SUMIFS(N$1:N1051,$C$1:$C1051,$C1057,$F$1:$F1051,$F1057)</f>
        <v>0</v>
      </c>
      <c r="O1057" s="99">
        <f>SUMIFS(O$1:O1051,$C$1:$C1051,$C1057,$F$1:$F1051,$F1057)</f>
        <v>0</v>
      </c>
      <c r="P1057" s="99">
        <f t="shared" si="1430"/>
        <v>0</v>
      </c>
      <c r="Q1057" s="99">
        <f>SUMIFS(Q$1:Q1051,$C$1:$C1051,$C1057,$F$1:$F1051,$F1057)</f>
        <v>0</v>
      </c>
      <c r="R1057" s="99">
        <f>SUMIFS(R$1:R1051,$C$1:$C1051,$C1057,$F$1:$F1051,$F1057)</f>
        <v>0</v>
      </c>
      <c r="S1057" s="99">
        <f>SUMIFS(S$1:S1051,$C$1:$C1051,$C1057,$F$1:$F1051,$F1057)</f>
        <v>0</v>
      </c>
      <c r="T1057" s="99">
        <f>SUMIFS(T$1:T1051,$C$1:$C1051,$C1057,$F$1:$F1051,$F1057)</f>
        <v>0</v>
      </c>
      <c r="U1057" s="99">
        <f t="shared" si="1431"/>
        <v>0</v>
      </c>
      <c r="V1057" s="255" t="str">
        <f t="shared" si="1432"/>
        <v>N/A</v>
      </c>
      <c r="W1057" s="102"/>
      <c r="X1057" s="102"/>
      <c r="Y1057" s="102">
        <f t="shared" si="1433"/>
        <v>0</v>
      </c>
      <c r="Z1057" s="309">
        <f>Y1057*(1+VLOOKUP($F1057,'GL Category'!$A:$H,4,FALSE))</f>
        <v>0</v>
      </c>
      <c r="AA1057" s="615"/>
      <c r="AB1057" s="622">
        <f t="shared" si="1434"/>
        <v>0</v>
      </c>
      <c r="AC1057" s="633">
        <f>AB1057*(1+VLOOKUP($F1057,'GL Category'!$A:$H,5,FALSE))</f>
        <v>0</v>
      </c>
      <c r="AD1057" s="307"/>
      <c r="AE1057" s="622">
        <f t="shared" si="1435"/>
        <v>0</v>
      </c>
      <c r="AF1057" s="633">
        <f>AE1057*(1+VLOOKUP($F1057,'GL Category'!$A:$H,6,FALSE))</f>
        <v>0</v>
      </c>
      <c r="AG1057" s="307"/>
      <c r="AH1057" s="622">
        <f t="shared" si="1436"/>
        <v>0</v>
      </c>
      <c r="AI1057" s="633">
        <f>AH1057*(1+VLOOKUP($F1057,'GL Category'!$A:$H,7,FALSE))</f>
        <v>0</v>
      </c>
      <c r="AJ1057" s="307"/>
      <c r="AK1057" s="622">
        <f t="shared" si="1437"/>
        <v>0</v>
      </c>
      <c r="AL1057" s="633">
        <f>AK1057*(1+VLOOKUP($F1057,'GL Category'!$A:$H,8,FALSE))</f>
        <v>0</v>
      </c>
      <c r="AM1057" s="307"/>
      <c r="AN1057" s="622">
        <f t="shared" si="1438"/>
        <v>0</v>
      </c>
      <c r="AO1057" s="626"/>
      <c r="AP1057" s="626"/>
      <c r="AQ1057" s="192"/>
      <c r="AR1057" s="115"/>
      <c r="AS1057" s="115"/>
      <c r="AT1057" s="115"/>
      <c r="AU1057" s="115"/>
      <c r="AV1057" s="115"/>
      <c r="AW1057" s="115"/>
      <c r="AX1057" s="115"/>
      <c r="AY1057" s="115"/>
      <c r="AZ1057" s="115"/>
      <c r="BA1057" s="115"/>
      <c r="BB1057" s="115"/>
      <c r="BC1057" s="115"/>
      <c r="BD1057" s="115"/>
      <c r="BE1057" s="74"/>
      <c r="BF1057" s="74"/>
      <c r="BG1057" s="74"/>
    </row>
    <row r="1058" spans="1:59" s="75" customFormat="1" ht="15" customHeight="1">
      <c r="A1058" s="555"/>
      <c r="B1058" s="217"/>
      <c r="C1058" s="217">
        <v>30</v>
      </c>
      <c r="D1058" s="101" t="str">
        <f t="shared" si="1439"/>
        <v/>
      </c>
      <c r="E1058" s="217"/>
      <c r="F1058" s="294" t="s">
        <v>136</v>
      </c>
      <c r="G1058" s="295" t="str">
        <f>VLOOKUP(F1058,'GL Category'!A:C,3,FALSE)</f>
        <v>Personnel services</v>
      </c>
      <c r="H1058" s="98" t="str">
        <f>VLOOKUP(F1058,'GL Category'!A:C,2,FALSE)</f>
        <v>LONGEVITY PAY</v>
      </c>
      <c r="I1058" s="99">
        <f>SUMIFS(I$1:I1052,$C$1:$C1052,$C1058,$F$1:$F1052,$F1058)</f>
        <v>46115</v>
      </c>
      <c r="J1058" s="99">
        <f>SUMIFS(J$1:J1052,$C$1:$C1052,$C1058,$F$1:$F1052,$F1058)</f>
        <v>47905</v>
      </c>
      <c r="K1058" s="99">
        <f>SUMIFS(K$1:K1052,$C$1:$C1052,$C1058,$F$1:$F1052,$F1058)</f>
        <v>48850</v>
      </c>
      <c r="L1058" s="99">
        <f>SUMIFS(L$1:L1052,$C$1:$C1052,$C1058,$F$1:$F1052,$F1058)</f>
        <v>46895</v>
      </c>
      <c r="M1058" s="99">
        <f>SUMIFS(M$1:M1052,$C$1:$C1052,$C1058,$F$1:$F1052,$F1058)</f>
        <v>46175</v>
      </c>
      <c r="N1058" s="99">
        <f>SUMIFS(N$1:N1052,$C$1:$C1052,$C1058,$F$1:$F1052,$F1058)</f>
        <v>44015</v>
      </c>
      <c r="O1058" s="99">
        <f>SUMIFS(O$1:O1052,$C$1:$C1052,$C1058,$F$1:$F1052,$F1058)</f>
        <v>44016</v>
      </c>
      <c r="P1058" s="99">
        <f t="shared" si="1430"/>
        <v>-2159</v>
      </c>
      <c r="Q1058" s="99">
        <f>SUMIFS(Q$1:Q1052,$C$1:$C1052,$C1058,$F$1:$F1052,$F1058)</f>
        <v>47872</v>
      </c>
      <c r="R1058" s="99">
        <f>SUMIFS(R$1:R1052,$C$1:$C1052,$C1058,$F$1:$F1052,$F1058)</f>
        <v>0</v>
      </c>
      <c r="S1058" s="99">
        <f>SUMIFS(S$1:S1052,$C$1:$C1052,$C1058,$F$1:$F1052,$F1058)</f>
        <v>0</v>
      </c>
      <c r="T1058" s="99">
        <f>SUMIFS(T$1:T1052,$C$1:$C1052,$C1058,$F$1:$F1052,$F1058)</f>
        <v>47872</v>
      </c>
      <c r="U1058" s="99">
        <f t="shared" si="1431"/>
        <v>1697</v>
      </c>
      <c r="V1058" s="255">
        <f t="shared" si="1432"/>
        <v>3.6751488900920393E-2</v>
      </c>
      <c r="W1058" s="102"/>
      <c r="X1058" s="102"/>
      <c r="Y1058" s="102">
        <f t="shared" si="1433"/>
        <v>47872</v>
      </c>
      <c r="Z1058" s="309">
        <f>Y1058*(1+VLOOKUP($F1058,'GL Category'!$A:$H,4,FALSE))</f>
        <v>49547.519999999997</v>
      </c>
      <c r="AA1058" s="615"/>
      <c r="AB1058" s="622">
        <f t="shared" si="1434"/>
        <v>49547.519999999997</v>
      </c>
      <c r="AC1058" s="633">
        <f>AB1058*(1+VLOOKUP($F1058,'GL Category'!$A:$H,5,FALSE))</f>
        <v>51281.683199999992</v>
      </c>
      <c r="AD1058" s="307"/>
      <c r="AE1058" s="622">
        <f t="shared" si="1435"/>
        <v>51281.683199999992</v>
      </c>
      <c r="AF1058" s="633">
        <f>AE1058*(1+VLOOKUP($F1058,'GL Category'!$A:$H,6,FALSE))</f>
        <v>53076.542111999988</v>
      </c>
      <c r="AG1058" s="307"/>
      <c r="AH1058" s="622">
        <f t="shared" si="1436"/>
        <v>53076.542111999988</v>
      </c>
      <c r="AI1058" s="633">
        <f>AH1058*(1+VLOOKUP($F1058,'GL Category'!$A:$H,7,FALSE))</f>
        <v>54934.221085919984</v>
      </c>
      <c r="AJ1058" s="307"/>
      <c r="AK1058" s="622">
        <f t="shared" si="1437"/>
        <v>54934.221085919984</v>
      </c>
      <c r="AL1058" s="633">
        <f>AK1058*(1+VLOOKUP($F1058,'GL Category'!$A:$H,8,FALSE))</f>
        <v>56856.918823927183</v>
      </c>
      <c r="AM1058" s="307"/>
      <c r="AN1058" s="622">
        <f t="shared" si="1438"/>
        <v>56856.918823927183</v>
      </c>
      <c r="AO1058" s="626"/>
      <c r="AP1058" s="626"/>
      <c r="AQ1058" s="192"/>
      <c r="AR1058" s="115"/>
      <c r="AS1058" s="115"/>
      <c r="AT1058" s="115"/>
      <c r="AU1058" s="115"/>
      <c r="AV1058" s="115"/>
      <c r="AW1058" s="115"/>
      <c r="AX1058" s="115"/>
      <c r="AY1058" s="115"/>
      <c r="AZ1058" s="115"/>
      <c r="BA1058" s="115"/>
      <c r="BB1058" s="115"/>
      <c r="BC1058" s="115"/>
      <c r="BD1058" s="115"/>
      <c r="BE1058" s="74"/>
      <c r="BF1058" s="74"/>
      <c r="BG1058" s="74"/>
    </row>
    <row r="1059" spans="1:59" ht="15" customHeight="1">
      <c r="A1059" s="555"/>
      <c r="B1059" s="217"/>
      <c r="C1059" s="217">
        <v>30</v>
      </c>
      <c r="D1059" s="101" t="str">
        <f t="shared" si="1439"/>
        <v/>
      </c>
      <c r="E1059" s="217"/>
      <c r="F1059" s="294" t="s">
        <v>249</v>
      </c>
      <c r="G1059" s="295" t="str">
        <f>VLOOKUP(F1059,'GL Category'!A:C,3,FALSE)</f>
        <v>Personnel services</v>
      </c>
      <c r="H1059" s="98" t="str">
        <f>VLOOKUP(F1059,'GL Category'!A:C,2,FALSE)</f>
        <v>TEMPORARY/SEASONAL WAGES</v>
      </c>
      <c r="I1059" s="99">
        <f>SUMIFS(I$1:I1052,$C$1:$C1052,$C1059,$F$1:$F1052,$F1059)</f>
        <v>0</v>
      </c>
      <c r="J1059" s="99">
        <f>SUMIFS(J$1:J1052,$C$1:$C1052,$C1059,$F$1:$F1052,$F1059)</f>
        <v>0</v>
      </c>
      <c r="K1059" s="99">
        <f>SUMIFS(K$1:K1052,$C$1:$C1052,$C1059,$F$1:$F1052,$F1059)</f>
        <v>0</v>
      </c>
      <c r="L1059" s="99">
        <f>SUMIFS(L$1:L1052,$C$1:$C1052,$C1059,$F$1:$F1052,$F1059)</f>
        <v>0</v>
      </c>
      <c r="M1059" s="99">
        <f>SUMIFS(M$1:M1052,$C$1:$C1052,$C1059,$F$1:$F1052,$F1059)</f>
        <v>0</v>
      </c>
      <c r="N1059" s="99">
        <f>SUMIFS(N$1:N1052,$C$1:$C1052,$C1059,$F$1:$F1052,$F1059)</f>
        <v>0</v>
      </c>
      <c r="O1059" s="99">
        <f>SUMIFS(O$1:O1052,$C$1:$C1052,$C1059,$F$1:$F1052,$F1059)</f>
        <v>0</v>
      </c>
      <c r="P1059" s="99">
        <f t="shared" ref="P1059" si="1440">O1059-M1059</f>
        <v>0</v>
      </c>
      <c r="Q1059" s="99">
        <f>SUMIFS(Q$1:Q1052,$C$1:$C1052,$C1059,$F$1:$F1052,$F1059)</f>
        <v>0</v>
      </c>
      <c r="R1059" s="99">
        <f>SUMIFS(R$1:R1052,$C$1:$C1052,$C1059,$F$1:$F1052,$F1059)</f>
        <v>0</v>
      </c>
      <c r="S1059" s="99">
        <f>SUMIFS(S$1:S1052,$C$1:$C1052,$C1059,$F$1:$F1052,$F1059)</f>
        <v>0</v>
      </c>
      <c r="T1059" s="99">
        <f>SUMIFS(T$1:T1052,$C$1:$C1052,$C1059,$F$1:$F1052,$F1059)</f>
        <v>0</v>
      </c>
      <c r="U1059" s="99">
        <f t="shared" si="1431"/>
        <v>0</v>
      </c>
      <c r="V1059" s="255" t="str">
        <f t="shared" si="1432"/>
        <v>N/A</v>
      </c>
      <c r="W1059" s="102"/>
      <c r="X1059" s="102"/>
      <c r="Y1059" s="102">
        <f t="shared" si="1433"/>
        <v>0</v>
      </c>
      <c r="Z1059" s="309">
        <f>Y1059*(1+VLOOKUP($F1059,'GL Category'!$A:$H,4,FALSE))</f>
        <v>0</v>
      </c>
      <c r="AA1059" s="615"/>
      <c r="AB1059" s="622">
        <f t="shared" ref="AB1059:AB1064" si="1441">Z1059+AA1059</f>
        <v>0</v>
      </c>
      <c r="AC1059" s="633">
        <f>AB1059*(1+VLOOKUP($F1059,'GL Category'!$A:$H,5,FALSE))</f>
        <v>0</v>
      </c>
      <c r="AE1059" s="622">
        <f t="shared" ref="AE1059:AE1064" si="1442">AC1059+AD1059</f>
        <v>0</v>
      </c>
      <c r="AF1059" s="633">
        <f>AE1059*(1+VLOOKUP($F1059,'GL Category'!$A:$H,6,FALSE))</f>
        <v>0</v>
      </c>
      <c r="AH1059" s="622">
        <f t="shared" ref="AH1059:AH1064" si="1443">AF1059+AG1059</f>
        <v>0</v>
      </c>
      <c r="AI1059" s="633">
        <f>AH1059*(1+VLOOKUP($F1059,'GL Category'!$A:$H,7,FALSE))</f>
        <v>0</v>
      </c>
      <c r="AK1059" s="622">
        <f t="shared" ref="AK1059:AK1064" si="1444">AI1059+AJ1059</f>
        <v>0</v>
      </c>
      <c r="AL1059" s="633">
        <f>AK1059*(1+VLOOKUP($F1059,'GL Category'!$A:$H,8,FALSE))</f>
        <v>0</v>
      </c>
      <c r="AN1059" s="622">
        <f t="shared" ref="AN1059:AN1064" si="1445">AL1059+AM1059</f>
        <v>0</v>
      </c>
      <c r="AO1059" s="300"/>
      <c r="AP1059" s="300"/>
    </row>
    <row r="1060" spans="1:59" ht="15" customHeight="1">
      <c r="A1060" s="555"/>
      <c r="B1060" s="217"/>
      <c r="C1060" s="217">
        <v>30</v>
      </c>
      <c r="D1060" s="101" t="str">
        <f t="shared" si="1439"/>
        <v/>
      </c>
      <c r="E1060" s="217"/>
      <c r="F1060" s="294" t="s">
        <v>138</v>
      </c>
      <c r="G1060" s="295" t="str">
        <f>VLOOKUP(F1060,'GL Category'!A:C,3,FALSE)</f>
        <v>Personnel services</v>
      </c>
      <c r="H1060" s="98" t="str">
        <f>VLOOKUP(F1060,'GL Category'!A:C,2,FALSE)</f>
        <v>INCENTIVE/CERTIFICATION PAY</v>
      </c>
      <c r="I1060" s="99">
        <f>SUMIFS(I$1:I1053,$C$1:$C1053,$C1060,$F$1:$F1053,$F1060)</f>
        <v>138216.28999999998</v>
      </c>
      <c r="J1060" s="99">
        <f>SUMIFS(J$1:J1053,$C$1:$C1053,$C1060,$F$1:$F1053,$F1060)</f>
        <v>164250.15</v>
      </c>
      <c r="K1060" s="99">
        <f>SUMIFS(K$1:K1053,$C$1:$C1053,$C1060,$F$1:$F1053,$F1060)</f>
        <v>182693.83000000002</v>
      </c>
      <c r="L1060" s="99">
        <f>SUMIFS(L$1:L1053,$C$1:$C1053,$C1060,$F$1:$F1053,$F1060)</f>
        <v>183134.05000000002</v>
      </c>
      <c r="M1060" s="99">
        <f>SUMIFS(M$1:M1053,$C$1:$C1053,$C1060,$F$1:$F1053,$F1060)</f>
        <v>205603</v>
      </c>
      <c r="N1060" s="99">
        <f>SUMIFS(N$1:N1053,$C$1:$C1053,$C1060,$F$1:$F1053,$F1060)</f>
        <v>132173.72</v>
      </c>
      <c r="O1060" s="99">
        <f>SUMIFS(O$1:O1053,$C$1:$C1053,$C1060,$F$1:$F1053,$F1060)</f>
        <v>255076</v>
      </c>
      <c r="P1060" s="99">
        <f t="shared" si="1430"/>
        <v>49473</v>
      </c>
      <c r="Q1060" s="99">
        <f>SUMIFS(Q$1:Q1053,$C$1:$C1053,$C1060,$F$1:$F1053,$F1060)</f>
        <v>198603</v>
      </c>
      <c r="R1060" s="99">
        <f>SUMIFS(R$1:R1053,$C$1:$C1053,$C1060,$F$1:$F1053,$F1060)</f>
        <v>0</v>
      </c>
      <c r="S1060" s="99">
        <f>SUMIFS(S$1:S1053,$C$1:$C1053,$C1060,$F$1:$F1053,$F1060)</f>
        <v>0</v>
      </c>
      <c r="T1060" s="99">
        <f>SUMIFS(T$1:T1053,$C$1:$C1053,$C1060,$F$1:$F1053,$F1060)</f>
        <v>198603</v>
      </c>
      <c r="U1060" s="99">
        <f t="shared" si="1431"/>
        <v>-7000</v>
      </c>
      <c r="V1060" s="255">
        <f t="shared" si="1432"/>
        <v>-3.4046195823990932E-2</v>
      </c>
      <c r="W1060" s="102"/>
      <c r="X1060" s="102"/>
      <c r="Y1060" s="102">
        <f t="shared" si="1433"/>
        <v>198603</v>
      </c>
      <c r="Z1060" s="309">
        <f>Y1060*(1+VLOOKUP($F1060,'GL Category'!$A:$H,4,FALSE))</f>
        <v>205554.10499999998</v>
      </c>
      <c r="AA1060" s="615"/>
      <c r="AB1060" s="622">
        <f t="shared" si="1441"/>
        <v>205554.10499999998</v>
      </c>
      <c r="AC1060" s="633">
        <f>AB1060*(1+VLOOKUP($F1060,'GL Category'!$A:$H,5,FALSE))</f>
        <v>212748.49867499995</v>
      </c>
      <c r="AE1060" s="622">
        <f t="shared" si="1442"/>
        <v>212748.49867499995</v>
      </c>
      <c r="AF1060" s="633">
        <f>AE1060*(1+VLOOKUP($F1060,'GL Category'!$A:$H,6,FALSE))</f>
        <v>220194.69612862493</v>
      </c>
      <c r="AH1060" s="622">
        <f t="shared" si="1443"/>
        <v>220194.69612862493</v>
      </c>
      <c r="AI1060" s="633">
        <f>AH1060*(1+VLOOKUP($F1060,'GL Category'!$A:$H,7,FALSE))</f>
        <v>227901.51049312679</v>
      </c>
      <c r="AK1060" s="622">
        <f t="shared" si="1444"/>
        <v>227901.51049312679</v>
      </c>
      <c r="AL1060" s="633">
        <f>AK1060*(1+VLOOKUP($F1060,'GL Category'!$A:$H,8,FALSE))</f>
        <v>235878.06336038621</v>
      </c>
      <c r="AN1060" s="622">
        <f t="shared" si="1445"/>
        <v>235878.06336038621</v>
      </c>
      <c r="AO1060" s="300"/>
      <c r="AP1060" s="300"/>
    </row>
    <row r="1061" spans="1:59" ht="15" customHeight="1">
      <c r="A1061" s="555"/>
      <c r="B1061" s="217"/>
      <c r="C1061" s="217">
        <v>30</v>
      </c>
      <c r="D1061" s="101" t="str">
        <f t="shared" si="1439"/>
        <v/>
      </c>
      <c r="E1061" s="217"/>
      <c r="F1061" s="294" t="s">
        <v>140</v>
      </c>
      <c r="G1061" s="295" t="str">
        <f>VLOOKUP(F1061,'GL Category'!A:C,3,FALSE)</f>
        <v>Personnel services</v>
      </c>
      <c r="H1061" s="98" t="str">
        <f>VLOOKUP(F1061,'GL Category'!A:C,2,FALSE)</f>
        <v>SOCIAL SECURITY</v>
      </c>
      <c r="I1061" s="99">
        <f>SUMIFS(I$1:I1054,$C$1:$C1054,$C1061,$F$1:$F1054,$F1061)</f>
        <v>397324.79999999993</v>
      </c>
      <c r="J1061" s="99">
        <f>SUMIFS(J$1:J1054,$C$1:$C1054,$C1061,$F$1:$F1054,$F1061)</f>
        <v>433358.25999999995</v>
      </c>
      <c r="K1061" s="99">
        <f>SUMIFS(K$1:K1054,$C$1:$C1054,$C1061,$F$1:$F1054,$F1061)</f>
        <v>480113.74999999994</v>
      </c>
      <c r="L1061" s="99">
        <f>SUMIFS(L$1:L1054,$C$1:$C1054,$C1061,$F$1:$F1054,$F1061)</f>
        <v>520700.06</v>
      </c>
      <c r="M1061" s="99">
        <f>SUMIFS(M$1:M1054,$C$1:$C1054,$C1061,$F$1:$F1054,$F1061)</f>
        <v>567990</v>
      </c>
      <c r="N1061" s="99">
        <f>SUMIFS(N$1:N1054,$C$1:$C1054,$C1061,$F$1:$F1054,$F1061)</f>
        <v>434299.95000000007</v>
      </c>
      <c r="O1061" s="99">
        <f>SUMIFS(O$1:O1054,$C$1:$C1054,$C1061,$F$1:$F1054,$F1061)</f>
        <v>576897</v>
      </c>
      <c r="P1061" s="99">
        <f t="shared" si="1430"/>
        <v>8907</v>
      </c>
      <c r="Q1061" s="99">
        <f>SUMIFS(Q$1:Q1054,$C$1:$C1054,$C1061,$F$1:$F1054,$F1061)</f>
        <v>606110</v>
      </c>
      <c r="R1061" s="99">
        <f>SUMIFS(R$1:R1054,$C$1:$C1054,$C1061,$F$1:$F1054,$F1061)</f>
        <v>0</v>
      </c>
      <c r="S1061" s="99">
        <f>SUMIFS(S$1:S1054,$C$1:$C1054,$C1061,$F$1:$F1054,$F1061)</f>
        <v>0</v>
      </c>
      <c r="T1061" s="99">
        <f>SUMIFS(T$1:T1054,$C$1:$C1054,$C1061,$F$1:$F1054,$F1061)</f>
        <v>606110</v>
      </c>
      <c r="U1061" s="99">
        <f t="shared" si="1431"/>
        <v>38120</v>
      </c>
      <c r="V1061" s="255">
        <f t="shared" si="1432"/>
        <v>6.711385763833877E-2</v>
      </c>
      <c r="W1061" s="102"/>
      <c r="X1061" s="102"/>
      <c r="Y1061" s="102">
        <f t="shared" si="1433"/>
        <v>606110</v>
      </c>
      <c r="Z1061" s="309">
        <f>Y1061*(1+VLOOKUP($F1061,'GL Category'!$A:$H,4,FALSE))</f>
        <v>627323.85</v>
      </c>
      <c r="AA1061" s="615"/>
      <c r="AB1061" s="622">
        <f t="shared" si="1441"/>
        <v>627323.85</v>
      </c>
      <c r="AC1061" s="633">
        <f>AB1061*(1+VLOOKUP($F1061,'GL Category'!$A:$H,5,FALSE))</f>
        <v>649280.1847499999</v>
      </c>
      <c r="AE1061" s="622">
        <f t="shared" si="1442"/>
        <v>649280.1847499999</v>
      </c>
      <c r="AF1061" s="633">
        <f>AE1061*(1+VLOOKUP($F1061,'GL Category'!$A:$H,6,FALSE))</f>
        <v>672004.99121624988</v>
      </c>
      <c r="AH1061" s="622">
        <f t="shared" si="1443"/>
        <v>672004.99121624988</v>
      </c>
      <c r="AI1061" s="633">
        <f>AH1061*(1+VLOOKUP($F1061,'GL Category'!$A:$H,7,FALSE))</f>
        <v>695525.1659088186</v>
      </c>
      <c r="AK1061" s="622">
        <f t="shared" si="1444"/>
        <v>695525.1659088186</v>
      </c>
      <c r="AL1061" s="633">
        <f>AK1061*(1+VLOOKUP($F1061,'GL Category'!$A:$H,8,FALSE))</f>
        <v>719868.54671562719</v>
      </c>
      <c r="AN1061" s="622">
        <f t="shared" si="1445"/>
        <v>719868.54671562719</v>
      </c>
      <c r="AO1061" s="300"/>
      <c r="AP1061" s="300"/>
    </row>
    <row r="1062" spans="1:59" ht="15" customHeight="1">
      <c r="A1062" s="555"/>
      <c r="B1062" s="217"/>
      <c r="C1062" s="217">
        <v>30</v>
      </c>
      <c r="D1062" s="101" t="str">
        <f t="shared" si="1439"/>
        <v/>
      </c>
      <c r="E1062" s="217"/>
      <c r="F1062" s="294" t="s">
        <v>141</v>
      </c>
      <c r="G1062" s="295" t="str">
        <f>VLOOKUP(F1062,'GL Category'!A:C,3,FALSE)</f>
        <v>Personnel services</v>
      </c>
      <c r="H1062" s="98" t="str">
        <f>VLOOKUP(F1062,'GL Category'!A:C,2,FALSE)</f>
        <v>HEALTH/LIFE INSURANCE</v>
      </c>
      <c r="I1062" s="99">
        <f>SUMIFS(I$1:I1055,$C$1:$C1055,$C1062,$F$1:$F1055,$F1062)</f>
        <v>1077369.9400000002</v>
      </c>
      <c r="J1062" s="99">
        <f>SUMIFS(J$1:J1055,$C$1:$C1055,$C1062,$F$1:$F1055,$F1062)</f>
        <v>1177321.21</v>
      </c>
      <c r="K1062" s="99">
        <f>SUMIFS(K$1:K1055,$C$1:$C1055,$C1062,$F$1:$F1055,$F1062)</f>
        <v>1251365.1599999999</v>
      </c>
      <c r="L1062" s="99">
        <f>SUMIFS(L$1:L1055,$C$1:$C1055,$C1062,$F$1:$F1055,$F1062)</f>
        <v>1280849.58</v>
      </c>
      <c r="M1062" s="99">
        <f>SUMIFS(M$1:M1055,$C$1:$C1055,$C1062,$F$1:$F1055,$F1062)</f>
        <v>1279550</v>
      </c>
      <c r="N1062" s="99">
        <f>SUMIFS(N$1:N1055,$C$1:$C1055,$C1062,$F$1:$F1055,$F1062)</f>
        <v>892052.45</v>
      </c>
      <c r="O1062" s="99">
        <f>SUMIFS(O$1:O1055,$C$1:$C1055,$C1062,$F$1:$F1055,$F1062)</f>
        <v>1250661</v>
      </c>
      <c r="P1062" s="99">
        <f t="shared" si="1430"/>
        <v>-28889</v>
      </c>
      <c r="Q1062" s="99">
        <f>SUMIFS(Q$1:Q1055,$C$1:$C1055,$C1062,$F$1:$F1055,$F1062)</f>
        <v>1309967</v>
      </c>
      <c r="R1062" s="99">
        <f>SUMIFS(R$1:R1055,$C$1:$C1055,$C1062,$F$1:$F1055,$F1062)</f>
        <v>0</v>
      </c>
      <c r="S1062" s="99">
        <f>SUMIFS(S$1:S1055,$C$1:$C1055,$C1062,$F$1:$F1055,$F1062)</f>
        <v>0</v>
      </c>
      <c r="T1062" s="99">
        <f>SUMIFS(T$1:T1055,$C$1:$C1055,$C1062,$F$1:$F1055,$F1062)</f>
        <v>1309967</v>
      </c>
      <c r="U1062" s="99">
        <f t="shared" si="1431"/>
        <v>30417</v>
      </c>
      <c r="V1062" s="255">
        <f t="shared" si="1432"/>
        <v>2.3771638466648426E-2</v>
      </c>
      <c r="W1062" s="102"/>
      <c r="X1062" s="102"/>
      <c r="Y1062" s="102">
        <f t="shared" si="1433"/>
        <v>1309967</v>
      </c>
      <c r="Z1062" s="309">
        <f>Y1062*(1+VLOOKUP($F1062,'GL Category'!$A:$H,4,FALSE))</f>
        <v>1355815.845</v>
      </c>
      <c r="AA1062" s="615"/>
      <c r="AB1062" s="622">
        <f t="shared" si="1441"/>
        <v>1355815.845</v>
      </c>
      <c r="AC1062" s="633">
        <f>AB1062*(1+VLOOKUP($F1062,'GL Category'!$A:$H,5,FALSE))</f>
        <v>1403269.3995749999</v>
      </c>
      <c r="AE1062" s="622">
        <f t="shared" si="1442"/>
        <v>1403269.3995749999</v>
      </c>
      <c r="AF1062" s="633">
        <f>AE1062*(1+VLOOKUP($F1062,'GL Category'!$A:$H,6,FALSE))</f>
        <v>1452383.8285601248</v>
      </c>
      <c r="AH1062" s="622">
        <f t="shared" si="1443"/>
        <v>1452383.8285601248</v>
      </c>
      <c r="AI1062" s="633">
        <f>AH1062*(1+VLOOKUP($F1062,'GL Category'!$A:$H,7,FALSE))</f>
        <v>1503217.2625597292</v>
      </c>
      <c r="AK1062" s="622">
        <f t="shared" si="1444"/>
        <v>1503217.2625597292</v>
      </c>
      <c r="AL1062" s="633">
        <f>AK1062*(1+VLOOKUP($F1062,'GL Category'!$A:$H,8,FALSE))</f>
        <v>1555829.8667493195</v>
      </c>
      <c r="AN1062" s="622">
        <f t="shared" si="1445"/>
        <v>1555829.8667493195</v>
      </c>
      <c r="AO1062" s="300"/>
      <c r="AP1062" s="300"/>
    </row>
    <row r="1063" spans="1:59" s="115" customFormat="1" ht="15" customHeight="1">
      <c r="A1063" s="555"/>
      <c r="B1063" s="217"/>
      <c r="C1063" s="217">
        <v>30</v>
      </c>
      <c r="D1063" s="101" t="str">
        <f t="shared" si="1439"/>
        <v/>
      </c>
      <c r="E1063" s="217"/>
      <c r="F1063" s="294" t="s">
        <v>143</v>
      </c>
      <c r="G1063" s="295" t="str">
        <f>VLOOKUP(F1063,'GL Category'!A:C,3,FALSE)</f>
        <v>Personnel services</v>
      </c>
      <c r="H1063" s="98" t="str">
        <f>VLOOKUP(F1063,'GL Category'!A:C,2,FALSE)</f>
        <v>WORKER COMPENSATION</v>
      </c>
      <c r="I1063" s="99">
        <f>SUMIFS(I$1:I1056,$C$1:$C1056,$C1063,$F$1:$F1056,$F1063)</f>
        <v>33080.03</v>
      </c>
      <c r="J1063" s="99">
        <f>SUMIFS(J$1:J1056,$C$1:$C1056,$C1063,$F$1:$F1056,$F1063)</f>
        <v>31979.289999999994</v>
      </c>
      <c r="K1063" s="99">
        <f>SUMIFS(K$1:K1056,$C$1:$C1056,$C1063,$F$1:$F1056,$F1063)</f>
        <v>34582.100000000006</v>
      </c>
      <c r="L1063" s="99">
        <f>SUMIFS(L$1:L1056,$C$1:$C1056,$C1063,$F$1:$F1056,$F1063)</f>
        <v>69680.030000000013</v>
      </c>
      <c r="M1063" s="99">
        <f>SUMIFS(M$1:M1056,$C$1:$C1056,$C1063,$F$1:$F1056,$F1063)</f>
        <v>98132</v>
      </c>
      <c r="N1063" s="99">
        <f>SUMIFS(N$1:N1056,$C$1:$C1056,$C1063,$F$1:$F1056,$F1063)</f>
        <v>98051.819999999992</v>
      </c>
      <c r="O1063" s="99">
        <f>SUMIFS(O$1:O1056,$C$1:$C1056,$C1063,$F$1:$F1056,$F1063)</f>
        <v>98052</v>
      </c>
      <c r="P1063" s="99">
        <f t="shared" si="1430"/>
        <v>-80</v>
      </c>
      <c r="Q1063" s="99">
        <f>SUMIFS(Q$1:Q1056,$C$1:$C1056,$C1063,$F$1:$F1056,$F1063)</f>
        <v>103469</v>
      </c>
      <c r="R1063" s="99">
        <f>SUMIFS(R$1:R1056,$C$1:$C1056,$C1063,$F$1:$F1056,$F1063)</f>
        <v>0</v>
      </c>
      <c r="S1063" s="99">
        <f>SUMIFS(S$1:S1056,$C$1:$C1056,$C1063,$F$1:$F1056,$F1063)</f>
        <v>0</v>
      </c>
      <c r="T1063" s="99">
        <f>SUMIFS(T$1:T1056,$C$1:$C1056,$C1063,$F$1:$F1056,$F1063)</f>
        <v>103469</v>
      </c>
      <c r="U1063" s="99">
        <f t="shared" si="1431"/>
        <v>5337</v>
      </c>
      <c r="V1063" s="255">
        <f t="shared" si="1432"/>
        <v>5.4385929156646196E-2</v>
      </c>
      <c r="W1063" s="102"/>
      <c r="X1063" s="102"/>
      <c r="Y1063" s="102">
        <f t="shared" si="1433"/>
        <v>103469</v>
      </c>
      <c r="Z1063" s="309">
        <f>Y1063*(1+VLOOKUP($F1063,'GL Category'!$A:$H,4,FALSE))</f>
        <v>107090.41499999999</v>
      </c>
      <c r="AA1063" s="615"/>
      <c r="AB1063" s="622">
        <f t="shared" si="1441"/>
        <v>107090.41499999999</v>
      </c>
      <c r="AC1063" s="633">
        <f>AB1063*(1+VLOOKUP($F1063,'GL Category'!$A:$H,5,FALSE))</f>
        <v>110838.57952499998</v>
      </c>
      <c r="AD1063" s="307"/>
      <c r="AE1063" s="622">
        <f t="shared" si="1442"/>
        <v>110838.57952499998</v>
      </c>
      <c r="AF1063" s="633">
        <f>AE1063*(1+VLOOKUP($F1063,'GL Category'!$A:$H,6,FALSE))</f>
        <v>114717.92980837497</v>
      </c>
      <c r="AG1063" s="307"/>
      <c r="AH1063" s="622">
        <f t="shared" si="1443"/>
        <v>114717.92980837497</v>
      </c>
      <c r="AI1063" s="633">
        <f>AH1063*(1+VLOOKUP($F1063,'GL Category'!$A:$H,7,FALSE))</f>
        <v>118733.05735166809</v>
      </c>
      <c r="AJ1063" s="307"/>
      <c r="AK1063" s="622">
        <f t="shared" si="1444"/>
        <v>118733.05735166809</v>
      </c>
      <c r="AL1063" s="633">
        <f>AK1063*(1+VLOOKUP($F1063,'GL Category'!$A:$H,8,FALSE))</f>
        <v>122888.71435897646</v>
      </c>
      <c r="AM1063" s="307"/>
      <c r="AN1063" s="622">
        <f t="shared" si="1445"/>
        <v>122888.71435897646</v>
      </c>
      <c r="AO1063" s="300"/>
      <c r="AP1063" s="300"/>
      <c r="AQ1063" s="192"/>
    </row>
    <row r="1064" spans="1:59" s="115" customFormat="1" ht="15" customHeight="1">
      <c r="A1064" s="555"/>
      <c r="B1064" s="217"/>
      <c r="C1064" s="217">
        <v>30</v>
      </c>
      <c r="D1064" s="101" t="str">
        <f t="shared" si="1439"/>
        <v/>
      </c>
      <c r="E1064" s="217"/>
      <c r="F1064" s="294" t="s">
        <v>147</v>
      </c>
      <c r="G1064" s="295" t="str">
        <f>VLOOKUP(F1064,'GL Category'!A:C,3,FALSE)</f>
        <v>Personnel services</v>
      </c>
      <c r="H1064" s="98" t="str">
        <f>VLOOKUP(F1064,'GL Category'!A:C,2,FALSE)</f>
        <v>RETIREMENT</v>
      </c>
      <c r="I1064" s="99">
        <f>SUMIFS(I$1:I1057,$C$1:$C1057,$C1064,$F$1:$F1057,$F1064)</f>
        <v>873271.11999999988</v>
      </c>
      <c r="J1064" s="99">
        <f>SUMIFS(J$1:J1057,$C$1:$C1057,$C1064,$F$1:$F1057,$F1064)</f>
        <v>967559.15999999992</v>
      </c>
      <c r="K1064" s="99">
        <f>SUMIFS(K$1:K1057,$C$1:$C1057,$C1064,$F$1:$F1057,$F1064)</f>
        <v>1067654.5900000001</v>
      </c>
      <c r="L1064" s="99">
        <f>SUMIFS(L$1:L1057,$C$1:$C1057,$C1064,$F$1:$F1057,$F1064)</f>
        <v>1155672.8899999999</v>
      </c>
      <c r="M1064" s="99">
        <f>SUMIFS(M$1:M1057,$C$1:$C1057,$C1064,$F$1:$F1057,$F1064)</f>
        <v>1260480</v>
      </c>
      <c r="N1064" s="99">
        <f>SUMIFS(N$1:N1057,$C$1:$C1057,$C1064,$F$1:$F1057,$F1064)</f>
        <v>976407.59</v>
      </c>
      <c r="O1064" s="99">
        <f>SUMIFS(O$1:O1057,$C$1:$C1057,$C1064,$F$1:$F1057,$F1064)</f>
        <v>1288562</v>
      </c>
      <c r="P1064" s="99">
        <f t="shared" si="1430"/>
        <v>28082</v>
      </c>
      <c r="Q1064" s="99">
        <f>SUMIFS(Q$1:Q1057,$C$1:$C1057,$C1064,$F$1:$F1057,$F1064)</f>
        <v>1379601</v>
      </c>
      <c r="R1064" s="99">
        <f>SUMIFS(R$1:R1057,$C$1:$C1057,$C1064,$F$1:$F1057,$F1064)</f>
        <v>0</v>
      </c>
      <c r="S1064" s="99">
        <f>SUMIFS(S$1:S1057,$C$1:$C1057,$C1064,$F$1:$F1057,$F1064)</f>
        <v>0</v>
      </c>
      <c r="T1064" s="99">
        <f>SUMIFS(T$1:T1057,$C$1:$C1057,$C1064,$F$1:$F1057,$F1064)</f>
        <v>1379601</v>
      </c>
      <c r="U1064" s="99">
        <f t="shared" si="1431"/>
        <v>119121</v>
      </c>
      <c r="V1064" s="255">
        <f t="shared" si="1432"/>
        <v>9.4504474485910039E-2</v>
      </c>
      <c r="W1064" s="102"/>
      <c r="X1064" s="102"/>
      <c r="Y1064" s="102">
        <f t="shared" si="1433"/>
        <v>1379601</v>
      </c>
      <c r="Z1064" s="309">
        <f>Y1064*(1+VLOOKUP($F1064,'GL Category'!$A:$H,4,FALSE))</f>
        <v>1427887.0349999999</v>
      </c>
      <c r="AA1064" s="615"/>
      <c r="AB1064" s="622">
        <f t="shared" si="1441"/>
        <v>1427887.0349999999</v>
      </c>
      <c r="AC1064" s="633">
        <f>AB1064*(1+VLOOKUP($F1064,'GL Category'!$A:$H,5,FALSE))</f>
        <v>1477863.0812249999</v>
      </c>
      <c r="AD1064" s="307"/>
      <c r="AE1064" s="622">
        <f t="shared" si="1442"/>
        <v>1477863.0812249999</v>
      </c>
      <c r="AF1064" s="633">
        <f>AE1064*(1+VLOOKUP($F1064,'GL Category'!$A:$H,6,FALSE))</f>
        <v>1529588.2890678747</v>
      </c>
      <c r="AG1064" s="307"/>
      <c r="AH1064" s="622">
        <f t="shared" si="1443"/>
        <v>1529588.2890678747</v>
      </c>
      <c r="AI1064" s="633">
        <f>AH1064*(1+VLOOKUP($F1064,'GL Category'!$A:$H,7,FALSE))</f>
        <v>1583123.8791852503</v>
      </c>
      <c r="AJ1064" s="307"/>
      <c r="AK1064" s="622">
        <f t="shared" si="1444"/>
        <v>1583123.8791852503</v>
      </c>
      <c r="AL1064" s="633">
        <f>AK1064*(1+VLOOKUP($F1064,'GL Category'!$A:$H,8,FALSE))</f>
        <v>1638533.2149567339</v>
      </c>
      <c r="AM1064" s="307"/>
      <c r="AN1064" s="622">
        <f t="shared" si="1445"/>
        <v>1638533.2149567339</v>
      </c>
      <c r="AO1064" s="300"/>
      <c r="AP1064" s="300"/>
      <c r="AQ1064" s="192"/>
    </row>
    <row r="1065" spans="1:59" s="115" customFormat="1" ht="15" customHeight="1">
      <c r="A1065" s="555"/>
      <c r="B1065" s="217"/>
      <c r="C1065" s="217"/>
      <c r="D1065" s="101"/>
      <c r="E1065" s="217"/>
      <c r="F1065" s="294"/>
      <c r="G1065" s="295"/>
      <c r="H1065" s="107" t="str">
        <f>UPPER(G1064)&amp;" TOTAL"</f>
        <v>PERSONNEL SERVICES TOTAL</v>
      </c>
      <c r="I1065" s="108">
        <f t="shared" ref="I1065" si="1446">SUBTOTAL(9,I1054:I1064)</f>
        <v>7888776.1900000004</v>
      </c>
      <c r="J1065" s="108">
        <f t="shared" ref="J1065:P1065" si="1447">SUBTOTAL(9,J1054:J1064)</f>
        <v>8591620.2799999993</v>
      </c>
      <c r="K1065" s="108">
        <f t="shared" ref="K1065" si="1448">SUBTOTAL(9,K1054:K1064)</f>
        <v>9400191.2699999996</v>
      </c>
      <c r="L1065" s="108">
        <f t="shared" ref="L1065" si="1449">SUBTOTAL(9,L1054:L1064)</f>
        <v>10181030.439999999</v>
      </c>
      <c r="M1065" s="108">
        <f t="shared" si="1447"/>
        <v>10813990</v>
      </c>
      <c r="N1065" s="109">
        <f t="shared" ref="N1065" si="1450">SUBTOTAL(9,N1054:N1064)</f>
        <v>8305346.3400000008</v>
      </c>
      <c r="O1065" s="109">
        <f t="shared" si="1447"/>
        <v>11141394</v>
      </c>
      <c r="P1065" s="109">
        <f t="shared" si="1447"/>
        <v>327404</v>
      </c>
      <c r="Q1065" s="109">
        <f t="shared" ref="Q1065:T1065" si="1451">SUBTOTAL(9,Q1054:Q1064)</f>
        <v>11531272</v>
      </c>
      <c r="R1065" s="109">
        <f t="shared" si="1451"/>
        <v>0</v>
      </c>
      <c r="S1065" s="109">
        <f t="shared" si="1451"/>
        <v>0</v>
      </c>
      <c r="T1065" s="109">
        <f t="shared" si="1451"/>
        <v>11531272</v>
      </c>
      <c r="U1065" s="99">
        <f t="shared" si="1431"/>
        <v>717282</v>
      </c>
      <c r="V1065" s="255">
        <f t="shared" si="1432"/>
        <v>6.6329079276011838E-2</v>
      </c>
      <c r="W1065" s="102"/>
      <c r="X1065" s="102"/>
      <c r="Y1065" s="102"/>
      <c r="Z1065" s="192"/>
      <c r="AA1065" s="615"/>
      <c r="AB1065" s="307"/>
      <c r="AC1065" s="300"/>
      <c r="AD1065" s="300"/>
      <c r="AE1065" s="300"/>
      <c r="AF1065" s="300"/>
      <c r="AG1065" s="300"/>
      <c r="AH1065" s="307"/>
      <c r="AI1065" s="307"/>
      <c r="AJ1065" s="300"/>
      <c r="AK1065" s="300"/>
      <c r="AL1065" s="300"/>
      <c r="AM1065" s="300"/>
      <c r="AN1065" s="300"/>
      <c r="AO1065" s="300"/>
      <c r="AP1065" s="300"/>
      <c r="AQ1065" s="192"/>
    </row>
    <row r="1066" spans="1:59" s="115" customFormat="1" ht="15" customHeight="1">
      <c r="A1066" s="555"/>
      <c r="B1066" s="217"/>
      <c r="C1066" s="217"/>
      <c r="D1066" s="101"/>
      <c r="E1066" s="217"/>
      <c r="F1066" s="294"/>
      <c r="G1066" s="295"/>
      <c r="H1066" s="98"/>
      <c r="I1066" s="106"/>
      <c r="J1066" s="106"/>
      <c r="K1066" s="106"/>
      <c r="L1066" s="106"/>
      <c r="M1066" s="106"/>
      <c r="N1066" s="112"/>
      <c r="O1066" s="112"/>
      <c r="P1066" s="112"/>
      <c r="Q1066" s="113"/>
      <c r="R1066" s="113"/>
      <c r="S1066" s="113"/>
      <c r="T1066" s="113"/>
      <c r="U1066" s="99"/>
      <c r="V1066" s="255"/>
      <c r="W1066" s="102"/>
      <c r="X1066" s="102"/>
      <c r="Y1066" s="102"/>
      <c r="Z1066" s="192"/>
      <c r="AA1066" s="615"/>
      <c r="AB1066" s="307"/>
      <c r="AC1066" s="300"/>
      <c r="AD1066" s="300"/>
      <c r="AE1066" s="300"/>
      <c r="AF1066" s="300"/>
      <c r="AG1066" s="300"/>
      <c r="AH1066" s="307"/>
      <c r="AI1066" s="307"/>
      <c r="AJ1066" s="300"/>
      <c r="AK1066" s="300"/>
      <c r="AL1066" s="300"/>
      <c r="AM1066" s="300"/>
      <c r="AN1066" s="300"/>
      <c r="AO1066" s="300"/>
      <c r="AP1066" s="300"/>
      <c r="AQ1066" s="192"/>
    </row>
    <row r="1067" spans="1:59" s="115" customFormat="1" ht="15" customHeight="1">
      <c r="A1067" s="555"/>
      <c r="B1067" s="217"/>
      <c r="C1067" s="217">
        <v>30</v>
      </c>
      <c r="D1067" s="101" t="str">
        <f t="shared" si="1439"/>
        <v/>
      </c>
      <c r="E1067" s="217"/>
      <c r="F1067" s="294" t="s">
        <v>148</v>
      </c>
      <c r="G1067" s="295" t="str">
        <f>VLOOKUP(F1067,'GL Category'!A:C,3,FALSE)</f>
        <v>Operations &amp; maintenance</v>
      </c>
      <c r="H1067" s="98" t="str">
        <f>VLOOKUP(F1067,'GL Category'!A:C,2,FALSE)</f>
        <v>OFFICE SUPPLIES</v>
      </c>
      <c r="I1067" s="99">
        <f>SUMIFS(I$1:I1061,$C$1:$C1061,$C1067,$F$1:$F1061,$F1067)</f>
        <v>9683.17</v>
      </c>
      <c r="J1067" s="99">
        <f>SUMIFS(J$1:J1061,$C$1:$C1061,$C1067,$F$1:$F1061,$F1067)</f>
        <v>13520.46</v>
      </c>
      <c r="K1067" s="99">
        <f>SUMIFS(K$1:K1061,$C$1:$C1061,$C1067,$F$1:$F1061,$F1067)</f>
        <v>12923.67</v>
      </c>
      <c r="L1067" s="99">
        <f>SUMIFS(L$1:L1061,$C$1:$C1061,$C1067,$F$1:$F1061,$F1067)</f>
        <v>15443.31</v>
      </c>
      <c r="M1067" s="99">
        <f>SUMIFS(M$1:M1061,$C$1:$C1061,$C1067,$F$1:$F1061,$F1067)</f>
        <v>11000</v>
      </c>
      <c r="N1067" s="99">
        <f>SUMIFS(N$1:N1061,$C$1:$C1061,$C1067,$F$1:$F1061,$F1067)</f>
        <v>10086.209999999999</v>
      </c>
      <c r="O1067" s="99">
        <f>SUMIFS(O$1:O1061,$C$1:$C1061,$C1067,$F$1:$F1061,$F1067)</f>
        <v>11000</v>
      </c>
      <c r="P1067" s="99">
        <f t="shared" ref="P1067:P1085" si="1452">O1067-M1067</f>
        <v>0</v>
      </c>
      <c r="Q1067" s="99">
        <f>SUMIFS(Q$1:Q1061,$C$1:$C1061,$C1067,$F$1:$F1061,$F1067)</f>
        <v>11000</v>
      </c>
      <c r="R1067" s="99">
        <f>SUMIFS(R$1:R1061,$C$1:$C1061,$C1067,$F$1:$F1061,$F1067)</f>
        <v>0</v>
      </c>
      <c r="S1067" s="99">
        <f>SUMIFS(S$1:S1061,$C$1:$C1061,$C1067,$F$1:$F1061,$F1067)</f>
        <v>0</v>
      </c>
      <c r="T1067" s="99">
        <f>SUMIFS(T$1:T1061,$C$1:$C1061,$C1067,$F$1:$F1061,$F1067)</f>
        <v>11000</v>
      </c>
      <c r="U1067" s="99">
        <f t="shared" ref="U1067:U1086" si="1453">T1067-M1067</f>
        <v>0</v>
      </c>
      <c r="V1067" s="255">
        <f t="shared" ref="V1067:V1086" si="1454">IF(M1067=0,"N/A",T1067/M1067-1)</f>
        <v>0</v>
      </c>
      <c r="W1067" s="102"/>
      <c r="X1067" s="102"/>
      <c r="Y1067" s="102">
        <f t="shared" ref="Y1067:Y1085" si="1455">T1067-X1067</f>
        <v>11000</v>
      </c>
      <c r="Z1067" s="309">
        <f>Y1067*(1+VLOOKUP($F1067,'GL Category'!$A:$H,4,FALSE))</f>
        <v>11220</v>
      </c>
      <c r="AA1067" s="615"/>
      <c r="AB1067" s="622">
        <f t="shared" ref="AB1067:AB1085" si="1456">Z1067+AA1067</f>
        <v>11220</v>
      </c>
      <c r="AC1067" s="633">
        <f>AB1067*(1+VLOOKUP($F1067,'GL Category'!$A:$H,5,FALSE))</f>
        <v>11444.4</v>
      </c>
      <c r="AD1067" s="307"/>
      <c r="AE1067" s="622">
        <f t="shared" ref="AE1067:AE1085" si="1457">AC1067+AD1067</f>
        <v>11444.4</v>
      </c>
      <c r="AF1067" s="633">
        <f>AE1067*(1+VLOOKUP($F1067,'GL Category'!$A:$H,6,FALSE))</f>
        <v>11673.288</v>
      </c>
      <c r="AG1067" s="307"/>
      <c r="AH1067" s="622">
        <f t="shared" ref="AH1067:AH1085" si="1458">AF1067+AG1067</f>
        <v>11673.288</v>
      </c>
      <c r="AI1067" s="633">
        <f>AH1067*(1+VLOOKUP($F1067,'GL Category'!$A:$H,7,FALSE))</f>
        <v>11906.753760000001</v>
      </c>
      <c r="AJ1067" s="307"/>
      <c r="AK1067" s="622">
        <f t="shared" ref="AK1067:AK1085" si="1459">AI1067+AJ1067</f>
        <v>11906.753760000001</v>
      </c>
      <c r="AL1067" s="633">
        <f>AK1067*(1+VLOOKUP($F1067,'GL Category'!$A:$H,8,FALSE))</f>
        <v>12144.888835200001</v>
      </c>
      <c r="AM1067" s="307"/>
      <c r="AN1067" s="622">
        <f t="shared" ref="AN1067:AN1085" si="1460">AL1067+AM1067</f>
        <v>12144.888835200001</v>
      </c>
      <c r="AO1067" s="300"/>
      <c r="AP1067" s="300"/>
      <c r="AQ1067" s="192"/>
    </row>
    <row r="1068" spans="1:59" s="115" customFormat="1" ht="15" customHeight="1">
      <c r="A1068" s="555"/>
      <c r="B1068" s="217"/>
      <c r="C1068" s="217">
        <v>30</v>
      </c>
      <c r="D1068" s="101" t="str">
        <f t="shared" si="1439"/>
        <v/>
      </c>
      <c r="E1068" s="217"/>
      <c r="F1068" s="294" t="s">
        <v>154</v>
      </c>
      <c r="G1068" s="295" t="str">
        <f>VLOOKUP(F1068,'GL Category'!A:C,3,FALSE)</f>
        <v>Operations &amp; maintenance</v>
      </c>
      <c r="H1068" s="98" t="str">
        <f>VLOOKUP(F1068,'GL Category'!A:C,2,FALSE)</f>
        <v>JANITORIAL SUPPLIES</v>
      </c>
      <c r="I1068" s="99">
        <f>SUMIFS(I$1:I1063,$C$1:$C1063,$C1068,$F$1:$F1063,$F1068)</f>
        <v>10832.49</v>
      </c>
      <c r="J1068" s="99">
        <f>SUMIFS(J$1:J1063,$C$1:$C1063,$C1068,$F$1:$F1063,$F1068)</f>
        <v>11104.24</v>
      </c>
      <c r="K1068" s="99">
        <f>SUMIFS(K$1:K1063,$C$1:$C1063,$C1068,$F$1:$F1063,$F1068)</f>
        <v>12778.89</v>
      </c>
      <c r="L1068" s="99">
        <f>SUMIFS(L$1:L1063,$C$1:$C1063,$C1068,$F$1:$F1063,$F1068)</f>
        <v>10085.049999999999</v>
      </c>
      <c r="M1068" s="99">
        <f>SUMIFS(M$1:M1063,$C$1:$C1063,$C1068,$F$1:$F1063,$F1068)</f>
        <v>11300</v>
      </c>
      <c r="N1068" s="99">
        <f>SUMIFS(N$1:N1063,$C$1:$C1063,$C1068,$F$1:$F1063,$F1068)</f>
        <v>9333.93</v>
      </c>
      <c r="O1068" s="99">
        <f>SUMIFS(O$1:O1063,$C$1:$C1063,$C1068,$F$1:$F1063,$F1068)</f>
        <v>11300</v>
      </c>
      <c r="P1068" s="99">
        <f t="shared" si="1452"/>
        <v>0</v>
      </c>
      <c r="Q1068" s="99">
        <f>SUMIFS(Q$1:Q1063,$C$1:$C1063,$C1068,$F$1:$F1063,$F1068)</f>
        <v>11300</v>
      </c>
      <c r="R1068" s="99">
        <f>SUMIFS(R$1:R1063,$C$1:$C1063,$C1068,$F$1:$F1063,$F1068)</f>
        <v>0</v>
      </c>
      <c r="S1068" s="99">
        <f>SUMIFS(S$1:S1063,$C$1:$C1063,$C1068,$F$1:$F1063,$F1068)</f>
        <v>0</v>
      </c>
      <c r="T1068" s="99">
        <f>SUMIFS(T$1:T1063,$C$1:$C1063,$C1068,$F$1:$F1063,$F1068)</f>
        <v>11300</v>
      </c>
      <c r="U1068" s="99">
        <f t="shared" si="1453"/>
        <v>0</v>
      </c>
      <c r="V1068" s="255">
        <f t="shared" si="1454"/>
        <v>0</v>
      </c>
      <c r="W1068" s="102"/>
      <c r="X1068" s="102"/>
      <c r="Y1068" s="102">
        <f t="shared" si="1455"/>
        <v>11300</v>
      </c>
      <c r="Z1068" s="309">
        <f>Y1068*(1+VLOOKUP($F1068,'GL Category'!$A:$H,4,FALSE))</f>
        <v>11526</v>
      </c>
      <c r="AA1068" s="615"/>
      <c r="AB1068" s="622">
        <f t="shared" si="1456"/>
        <v>11526</v>
      </c>
      <c r="AC1068" s="633">
        <f>AB1068*(1+VLOOKUP($F1068,'GL Category'!$A:$H,5,FALSE))</f>
        <v>11756.52</v>
      </c>
      <c r="AD1068" s="307"/>
      <c r="AE1068" s="622">
        <f t="shared" si="1457"/>
        <v>11756.52</v>
      </c>
      <c r="AF1068" s="633">
        <f>AE1068*(1+VLOOKUP($F1068,'GL Category'!$A:$H,6,FALSE))</f>
        <v>11991.6504</v>
      </c>
      <c r="AG1068" s="307"/>
      <c r="AH1068" s="622">
        <f t="shared" si="1458"/>
        <v>11991.6504</v>
      </c>
      <c r="AI1068" s="633">
        <f>AH1068*(1+VLOOKUP($F1068,'GL Category'!$A:$H,7,FALSE))</f>
        <v>12231.483408</v>
      </c>
      <c r="AJ1068" s="307"/>
      <c r="AK1068" s="622">
        <f t="shared" si="1459"/>
        <v>12231.483408</v>
      </c>
      <c r="AL1068" s="633">
        <f>AK1068*(1+VLOOKUP($F1068,'GL Category'!$A:$H,8,FALSE))</f>
        <v>12476.11307616</v>
      </c>
      <c r="AM1068" s="307"/>
      <c r="AN1068" s="622">
        <f t="shared" si="1460"/>
        <v>12476.11307616</v>
      </c>
      <c r="AO1068" s="93"/>
      <c r="AP1068" s="93"/>
      <c r="AQ1068" s="192"/>
    </row>
    <row r="1069" spans="1:59" s="115" customFormat="1" ht="15.6" customHeight="1">
      <c r="A1069" s="555"/>
      <c r="B1069" s="217"/>
      <c r="C1069" s="217">
        <v>30</v>
      </c>
      <c r="D1069" s="101" t="str">
        <f t="shared" si="1439"/>
        <v/>
      </c>
      <c r="E1069" s="217"/>
      <c r="F1069" s="294" t="s">
        <v>156</v>
      </c>
      <c r="G1069" s="295" t="str">
        <f>VLOOKUP(F1069,'GL Category'!A:C,3,FALSE)</f>
        <v>Operations &amp; maintenance</v>
      </c>
      <c r="H1069" s="98" t="str">
        <f>VLOOKUP(F1069,'GL Category'!A:C,2,FALSE)</f>
        <v>COMPUTER SUPPLIES</v>
      </c>
      <c r="I1069" s="99">
        <f>SUMIFS(I$1:I1064,$C$1:$C1064,$C1069,$F$1:$F1064,$F1069)</f>
        <v>0</v>
      </c>
      <c r="J1069" s="99">
        <f>SUMIFS(J$1:J1064,$C$1:$C1064,$C1069,$F$1:$F1064,$F1069)</f>
        <v>0</v>
      </c>
      <c r="K1069" s="99">
        <f>SUMIFS(K$1:K1064,$C$1:$C1064,$C1069,$F$1:$F1064,$F1069)</f>
        <v>0</v>
      </c>
      <c r="L1069" s="99">
        <f>SUMIFS(L$1:L1064,$C$1:$C1064,$C1069,$F$1:$F1064,$F1069)</f>
        <v>0</v>
      </c>
      <c r="M1069" s="99">
        <f>SUMIFS(M$1:M1064,$C$1:$C1064,$C1069,$F$1:$F1064,$F1069)</f>
        <v>0</v>
      </c>
      <c r="N1069" s="99">
        <f>SUMIFS(N$1:N1064,$C$1:$C1064,$C1069,$F$1:$F1064,$F1069)</f>
        <v>0</v>
      </c>
      <c r="O1069" s="99">
        <f>SUMIFS(O$1:O1064,$C$1:$C1064,$C1069,$F$1:$F1064,$F1069)</f>
        <v>0</v>
      </c>
      <c r="P1069" s="99">
        <f t="shared" si="1452"/>
        <v>0</v>
      </c>
      <c r="Q1069" s="99">
        <f>SUMIFS(Q$1:Q1064,$C$1:$C1064,$C1069,$F$1:$F1064,$F1069)</f>
        <v>0</v>
      </c>
      <c r="R1069" s="99">
        <f>SUMIFS(R$1:R1064,$C$1:$C1064,$C1069,$F$1:$F1064,$F1069)</f>
        <v>0</v>
      </c>
      <c r="S1069" s="99">
        <f>SUMIFS(S$1:S1064,$C$1:$C1064,$C1069,$F$1:$F1064,$F1069)</f>
        <v>0</v>
      </c>
      <c r="T1069" s="99">
        <f>SUMIFS(T$1:T1064,$C$1:$C1064,$C1069,$F$1:$F1064,$F1069)</f>
        <v>0</v>
      </c>
      <c r="U1069" s="99">
        <f t="shared" si="1453"/>
        <v>0</v>
      </c>
      <c r="V1069" s="255" t="str">
        <f t="shared" si="1454"/>
        <v>N/A</v>
      </c>
      <c r="W1069" s="102"/>
      <c r="X1069" s="102"/>
      <c r="Y1069" s="102">
        <f t="shared" si="1455"/>
        <v>0</v>
      </c>
      <c r="Z1069" s="309">
        <f>Y1069*(1+VLOOKUP($F1069,'GL Category'!$A:$H,4,FALSE))</f>
        <v>0</v>
      </c>
      <c r="AA1069" s="615"/>
      <c r="AB1069" s="622">
        <f t="shared" si="1456"/>
        <v>0</v>
      </c>
      <c r="AC1069" s="633">
        <f>AB1069*(1+VLOOKUP($F1069,'GL Category'!$A:$H,5,FALSE))</f>
        <v>0</v>
      </c>
      <c r="AD1069" s="307"/>
      <c r="AE1069" s="622">
        <f t="shared" si="1457"/>
        <v>0</v>
      </c>
      <c r="AF1069" s="633">
        <f>AE1069*(1+VLOOKUP($F1069,'GL Category'!$A:$H,6,FALSE))</f>
        <v>0</v>
      </c>
      <c r="AG1069" s="307"/>
      <c r="AH1069" s="622">
        <f t="shared" si="1458"/>
        <v>0</v>
      </c>
      <c r="AI1069" s="633">
        <f>AH1069*(1+VLOOKUP($F1069,'GL Category'!$A:$H,7,FALSE))</f>
        <v>0</v>
      </c>
      <c r="AJ1069" s="307"/>
      <c r="AK1069" s="622">
        <f t="shared" si="1459"/>
        <v>0</v>
      </c>
      <c r="AL1069" s="633">
        <f>AK1069*(1+VLOOKUP($F1069,'GL Category'!$A:$H,8,FALSE))</f>
        <v>0</v>
      </c>
      <c r="AM1069" s="307"/>
      <c r="AN1069" s="622">
        <f t="shared" si="1460"/>
        <v>0</v>
      </c>
      <c r="AO1069" s="300"/>
      <c r="AP1069" s="300"/>
      <c r="AQ1069" s="192"/>
    </row>
    <row r="1070" spans="1:59" s="115" customFormat="1" ht="15" customHeight="1">
      <c r="A1070" s="555"/>
      <c r="B1070" s="217"/>
      <c r="C1070" s="217">
        <v>30</v>
      </c>
      <c r="D1070" s="101" t="str">
        <f t="shared" si="1439"/>
        <v/>
      </c>
      <c r="E1070" s="217"/>
      <c r="F1070" s="294" t="s">
        <v>159</v>
      </c>
      <c r="G1070" s="295" t="str">
        <f>VLOOKUP(F1070,'GL Category'!A:C,3,FALSE)</f>
        <v>Operations &amp; maintenance</v>
      </c>
      <c r="H1070" s="98" t="str">
        <f>VLOOKUP(F1070,'GL Category'!A:C,2,FALSE)</f>
        <v>SMALL TOOLS &amp; EQUIPMENT</v>
      </c>
      <c r="I1070" s="99">
        <f>SUMIFS(I$1:I1066,$C$1:$C1066,$C1070,$F$1:$F1066,$F1070)</f>
        <v>11159.69</v>
      </c>
      <c r="J1070" s="99">
        <f>SUMIFS(J$1:J1066,$C$1:$C1066,$C1070,$F$1:$F1066,$F1070)</f>
        <v>13597.05</v>
      </c>
      <c r="K1070" s="99">
        <f>SUMIFS(K$1:K1066,$C$1:$C1066,$C1070,$F$1:$F1066,$F1070)</f>
        <v>18005.93</v>
      </c>
      <c r="L1070" s="99">
        <f>SUMIFS(L$1:L1066,$C$1:$C1066,$C1070,$F$1:$F1066,$F1070)</f>
        <v>22545.84</v>
      </c>
      <c r="M1070" s="99">
        <f>SUMIFS(M$1:M1066,$C$1:$C1066,$C1070,$F$1:$F1066,$F1070)</f>
        <v>14500</v>
      </c>
      <c r="N1070" s="99">
        <f>SUMIFS(N$1:N1066,$C$1:$C1066,$C1070,$F$1:$F1066,$F1070)</f>
        <v>11308.47</v>
      </c>
      <c r="O1070" s="99">
        <f>SUMIFS(O$1:O1066,$C$1:$C1066,$C1070,$F$1:$F1066,$F1070)</f>
        <v>16500</v>
      </c>
      <c r="P1070" s="99">
        <f t="shared" si="1452"/>
        <v>2000</v>
      </c>
      <c r="Q1070" s="99">
        <f>SUMIFS(Q$1:Q1066,$C$1:$C1066,$C1070,$F$1:$F1066,$F1070)</f>
        <v>14500</v>
      </c>
      <c r="R1070" s="99">
        <f>SUMIFS(R$1:R1066,$C$1:$C1066,$C1070,$F$1:$F1066,$F1070)</f>
        <v>0</v>
      </c>
      <c r="S1070" s="99">
        <f>SUMIFS(S$1:S1066,$C$1:$C1066,$C1070,$F$1:$F1066,$F1070)</f>
        <v>0</v>
      </c>
      <c r="T1070" s="99">
        <f>SUMIFS(T$1:T1066,$C$1:$C1066,$C1070,$F$1:$F1066,$F1070)</f>
        <v>14500</v>
      </c>
      <c r="U1070" s="99">
        <f t="shared" si="1453"/>
        <v>0</v>
      </c>
      <c r="V1070" s="255">
        <f t="shared" si="1454"/>
        <v>0</v>
      </c>
      <c r="W1070" s="102"/>
      <c r="X1070" s="102"/>
      <c r="Y1070" s="102">
        <f t="shared" si="1455"/>
        <v>14500</v>
      </c>
      <c r="Z1070" s="309">
        <f>Y1070*(1+VLOOKUP($F1070,'GL Category'!$A:$H,4,FALSE))</f>
        <v>14790</v>
      </c>
      <c r="AA1070" s="615"/>
      <c r="AB1070" s="622">
        <f t="shared" si="1456"/>
        <v>14790</v>
      </c>
      <c r="AC1070" s="633">
        <f>AB1070*(1+VLOOKUP($F1070,'GL Category'!$A:$H,5,FALSE))</f>
        <v>15085.800000000001</v>
      </c>
      <c r="AD1070" s="307"/>
      <c r="AE1070" s="622">
        <f t="shared" si="1457"/>
        <v>15085.800000000001</v>
      </c>
      <c r="AF1070" s="633">
        <f>AE1070*(1+VLOOKUP($F1070,'GL Category'!$A:$H,6,FALSE))</f>
        <v>15387.516000000001</v>
      </c>
      <c r="AG1070" s="307"/>
      <c r="AH1070" s="622">
        <f t="shared" si="1458"/>
        <v>15387.516000000001</v>
      </c>
      <c r="AI1070" s="633">
        <f>AH1070*(1+VLOOKUP($F1070,'GL Category'!$A:$H,7,FALSE))</f>
        <v>15695.266320000002</v>
      </c>
      <c r="AJ1070" s="307"/>
      <c r="AK1070" s="622">
        <f t="shared" si="1459"/>
        <v>15695.266320000002</v>
      </c>
      <c r="AL1070" s="633">
        <f>AK1070*(1+VLOOKUP($F1070,'GL Category'!$A:$H,8,FALSE))</f>
        <v>16009.171646400002</v>
      </c>
      <c r="AM1070" s="307"/>
      <c r="AN1070" s="622">
        <f t="shared" si="1460"/>
        <v>16009.171646400002</v>
      </c>
      <c r="AO1070" s="300"/>
      <c r="AP1070" s="300"/>
      <c r="AQ1070" s="192"/>
    </row>
    <row r="1071" spans="1:59" s="115" customFormat="1" ht="15" customHeight="1">
      <c r="A1071" s="555"/>
      <c r="B1071" s="217"/>
      <c r="C1071" s="217">
        <v>30</v>
      </c>
      <c r="D1071" s="101" t="str">
        <f t="shared" si="1439"/>
        <v/>
      </c>
      <c r="E1071" s="217"/>
      <c r="F1071" s="294" t="s">
        <v>160</v>
      </c>
      <c r="G1071" s="295" t="str">
        <f>VLOOKUP(F1071,'GL Category'!A:C,3,FALSE)</f>
        <v>Operations &amp; maintenance</v>
      </c>
      <c r="H1071" s="98" t="str">
        <f>VLOOKUP(F1071,'GL Category'!A:C,2,FALSE)</f>
        <v>FUEL/OILS/LUBRICANTS</v>
      </c>
      <c r="I1071" s="99">
        <f>SUMIFS(I$1:I1067,$C$1:$C1067,$C1071,$F$1:$F1067,$F1071)</f>
        <v>61520.58</v>
      </c>
      <c r="J1071" s="99">
        <f>SUMIFS(J$1:J1067,$C$1:$C1067,$C1071,$F$1:$F1067,$F1071)</f>
        <v>83135.06</v>
      </c>
      <c r="K1071" s="99">
        <f>SUMIFS(K$1:K1067,$C$1:$C1067,$C1071,$F$1:$F1067,$F1071)</f>
        <v>120071.59999999999</v>
      </c>
      <c r="L1071" s="99">
        <f>SUMIFS(L$1:L1067,$C$1:$C1067,$C1071,$F$1:$F1067,$F1071)</f>
        <v>100456.69999999998</v>
      </c>
      <c r="M1071" s="99">
        <f>SUMIFS(M$1:M1067,$C$1:$C1067,$C1071,$F$1:$F1067,$F1071)</f>
        <v>137000</v>
      </c>
      <c r="N1071" s="99">
        <f>SUMIFS(N$1:N1067,$C$1:$C1067,$C1071,$F$1:$F1067,$F1071)</f>
        <v>75717.259999999995</v>
      </c>
      <c r="O1071" s="99">
        <f>SUMIFS(O$1:O1067,$C$1:$C1067,$C1071,$F$1:$F1067,$F1071)</f>
        <v>130000</v>
      </c>
      <c r="P1071" s="99">
        <f t="shared" si="1452"/>
        <v>-7000</v>
      </c>
      <c r="Q1071" s="99">
        <f>SUMIFS(Q$1:Q1067,$C$1:$C1067,$C1071,$F$1:$F1067,$F1071)</f>
        <v>137000</v>
      </c>
      <c r="R1071" s="99">
        <f>SUMIFS(R$1:R1067,$C$1:$C1067,$C1071,$F$1:$F1067,$F1071)</f>
        <v>0</v>
      </c>
      <c r="S1071" s="99">
        <f>SUMIFS(S$1:S1067,$C$1:$C1067,$C1071,$F$1:$F1067,$F1071)</f>
        <v>0</v>
      </c>
      <c r="T1071" s="99">
        <f>SUMIFS(T$1:T1067,$C$1:$C1067,$C1071,$F$1:$F1067,$F1071)</f>
        <v>137000</v>
      </c>
      <c r="U1071" s="99">
        <f t="shared" si="1453"/>
        <v>0</v>
      </c>
      <c r="V1071" s="255">
        <f t="shared" si="1454"/>
        <v>0</v>
      </c>
      <c r="W1071" s="102"/>
      <c r="X1071" s="102"/>
      <c r="Y1071" s="102">
        <f t="shared" si="1455"/>
        <v>137000</v>
      </c>
      <c r="Z1071" s="309">
        <f>Y1071*(1+VLOOKUP($F1071,'GL Category'!$A:$H,4,FALSE))</f>
        <v>139740</v>
      </c>
      <c r="AA1071" s="615"/>
      <c r="AB1071" s="622">
        <f t="shared" si="1456"/>
        <v>139740</v>
      </c>
      <c r="AC1071" s="633">
        <f>AB1071*(1+VLOOKUP($F1071,'GL Category'!$A:$H,5,FALSE))</f>
        <v>142534.79999999999</v>
      </c>
      <c r="AD1071" s="307"/>
      <c r="AE1071" s="622">
        <f t="shared" si="1457"/>
        <v>142534.79999999999</v>
      </c>
      <c r="AF1071" s="633">
        <f>AE1071*(1+VLOOKUP($F1071,'GL Category'!$A:$H,6,FALSE))</f>
        <v>145385.49599999998</v>
      </c>
      <c r="AG1071" s="307"/>
      <c r="AH1071" s="622">
        <f t="shared" si="1458"/>
        <v>145385.49599999998</v>
      </c>
      <c r="AI1071" s="633">
        <f>AH1071*(1+VLOOKUP($F1071,'GL Category'!$A:$H,7,FALSE))</f>
        <v>148293.20591999998</v>
      </c>
      <c r="AJ1071" s="307"/>
      <c r="AK1071" s="622">
        <f t="shared" si="1459"/>
        <v>148293.20591999998</v>
      </c>
      <c r="AL1071" s="633">
        <f>AK1071*(1+VLOOKUP($F1071,'GL Category'!$A:$H,8,FALSE))</f>
        <v>151259.07003839998</v>
      </c>
      <c r="AM1071" s="307"/>
      <c r="AN1071" s="622">
        <f t="shared" si="1460"/>
        <v>151259.07003839998</v>
      </c>
      <c r="AO1071" s="94"/>
      <c r="AP1071" s="94"/>
      <c r="AQ1071" s="192"/>
    </row>
    <row r="1072" spans="1:59" s="115" customFormat="1" ht="15" customHeight="1">
      <c r="A1072" s="555"/>
      <c r="B1072" s="217"/>
      <c r="C1072" s="217">
        <v>30</v>
      </c>
      <c r="D1072" s="101" t="str">
        <f t="shared" si="1439"/>
        <v/>
      </c>
      <c r="E1072" s="217"/>
      <c r="F1072" s="294" t="s">
        <v>162</v>
      </c>
      <c r="G1072" s="295" t="str">
        <f>VLOOKUP(F1072,'GL Category'!A:C,3,FALSE)</f>
        <v>Operations &amp; maintenance</v>
      </c>
      <c r="H1072" s="98" t="str">
        <f>VLOOKUP(F1072,'GL Category'!A:C,2,FALSE)</f>
        <v>MEETING SPONSORSHIP/SUPPLIES</v>
      </c>
      <c r="I1072" s="99">
        <f>SUMIFS(I$1:I1067,$C$1:$C1067,$C1072,$F$1:$F1067,$F1072)</f>
        <v>0</v>
      </c>
      <c r="J1072" s="99">
        <f>SUMIFS(J$1:J1067,$C$1:$C1067,$C1072,$F$1:$F1067,$F1072)</f>
        <v>0</v>
      </c>
      <c r="K1072" s="99">
        <f>SUMIFS(K$1:K1067,$C$1:$C1067,$C1072,$F$1:$F1067,$F1072)</f>
        <v>0</v>
      </c>
      <c r="L1072" s="99">
        <f>SUMIFS(L$1:L1067,$C$1:$C1067,$C1072,$F$1:$F1067,$F1072)</f>
        <v>0</v>
      </c>
      <c r="M1072" s="99">
        <f>SUMIFS(M$1:M1067,$C$1:$C1067,$C1072,$F$1:$F1067,$F1072)</f>
        <v>0</v>
      </c>
      <c r="N1072" s="99">
        <f>SUMIFS(N$1:N1067,$C$1:$C1067,$C1072,$F$1:$F1067,$F1072)</f>
        <v>0</v>
      </c>
      <c r="O1072" s="99">
        <f>SUMIFS(O$1:O1067,$C$1:$C1067,$C1072,$F$1:$F1067,$F1072)</f>
        <v>0</v>
      </c>
      <c r="P1072" s="99">
        <f t="shared" si="1452"/>
        <v>0</v>
      </c>
      <c r="Q1072" s="99">
        <f>SUMIFS(Q$1:Q1067,$C$1:$C1067,$C1072,$F$1:$F1067,$F1072)</f>
        <v>0</v>
      </c>
      <c r="R1072" s="99">
        <f>SUMIFS(R$1:R1067,$C$1:$C1067,$C1072,$F$1:$F1067,$F1072)</f>
        <v>0</v>
      </c>
      <c r="S1072" s="99">
        <f>SUMIFS(S$1:S1067,$C$1:$C1067,$C1072,$F$1:$F1067,$F1072)</f>
        <v>0</v>
      </c>
      <c r="T1072" s="99">
        <f>SUMIFS(T$1:T1067,$C$1:$C1067,$C1072,$F$1:$F1067,$F1072)</f>
        <v>0</v>
      </c>
      <c r="U1072" s="99">
        <f t="shared" si="1453"/>
        <v>0</v>
      </c>
      <c r="V1072" s="255" t="str">
        <f t="shared" si="1454"/>
        <v>N/A</v>
      </c>
      <c r="W1072" s="102"/>
      <c r="X1072" s="102"/>
      <c r="Y1072" s="102">
        <f t="shared" si="1455"/>
        <v>0</v>
      </c>
      <c r="Z1072" s="309">
        <f>Y1072*(1+VLOOKUP($F1072,'GL Category'!$A:$H,4,FALSE))</f>
        <v>0</v>
      </c>
      <c r="AA1072" s="615"/>
      <c r="AB1072" s="622">
        <f t="shared" si="1456"/>
        <v>0</v>
      </c>
      <c r="AC1072" s="633">
        <f>AB1072*(1+VLOOKUP($F1072,'GL Category'!$A:$H,5,FALSE))</f>
        <v>0</v>
      </c>
      <c r="AD1072" s="307"/>
      <c r="AE1072" s="622">
        <f t="shared" si="1457"/>
        <v>0</v>
      </c>
      <c r="AF1072" s="633">
        <f>AE1072*(1+VLOOKUP($F1072,'GL Category'!$A:$H,6,FALSE))</f>
        <v>0</v>
      </c>
      <c r="AG1072" s="307"/>
      <c r="AH1072" s="622">
        <f t="shared" si="1458"/>
        <v>0</v>
      </c>
      <c r="AI1072" s="633">
        <f>AH1072*(1+VLOOKUP($F1072,'GL Category'!$A:$H,7,FALSE))</f>
        <v>0</v>
      </c>
      <c r="AJ1072" s="307"/>
      <c r="AK1072" s="622">
        <f t="shared" si="1459"/>
        <v>0</v>
      </c>
      <c r="AL1072" s="633">
        <f>AK1072*(1+VLOOKUP($F1072,'GL Category'!$A:$H,8,FALSE))</f>
        <v>0</v>
      </c>
      <c r="AM1072" s="307"/>
      <c r="AN1072" s="622">
        <f t="shared" si="1460"/>
        <v>0</v>
      </c>
      <c r="AO1072" s="93"/>
      <c r="AP1072" s="93"/>
      <c r="AQ1072" s="192"/>
    </row>
    <row r="1073" spans="1:43" s="115" customFormat="1" ht="15" customHeight="1">
      <c r="A1073" s="555"/>
      <c r="B1073" s="217"/>
      <c r="C1073" s="217">
        <v>30</v>
      </c>
      <c r="D1073" s="101" t="str">
        <f t="shared" si="1439"/>
        <v/>
      </c>
      <c r="E1073" s="217"/>
      <c r="F1073" s="294" t="s">
        <v>284</v>
      </c>
      <c r="G1073" s="295" t="str">
        <f>VLOOKUP(F1073,'GL Category'!A:C,3,FALSE)</f>
        <v>Operations &amp; maintenance</v>
      </c>
      <c r="H1073" s="98" t="str">
        <f>VLOOKUP(F1073,'GL Category'!A:C,2,FALSE)</f>
        <v>ANIMAL CONTROL SUPPLIES</v>
      </c>
      <c r="I1073" s="99">
        <f>SUMIFS(I$1:I1068,$C$1:$C1068,$C1073,$F$1:$F1068,$F1073)</f>
        <v>4098.13</v>
      </c>
      <c r="J1073" s="99">
        <f>SUMIFS(J$1:J1068,$C$1:$C1068,$C1073,$F$1:$F1068,$F1073)</f>
        <v>2303.4899999999998</v>
      </c>
      <c r="K1073" s="99">
        <f>SUMIFS(K$1:K1068,$C$1:$C1068,$C1073,$F$1:$F1068,$F1073)</f>
        <v>7185.8</v>
      </c>
      <c r="L1073" s="99">
        <f>SUMIFS(L$1:L1068,$C$1:$C1068,$C1073,$F$1:$F1068,$F1073)</f>
        <v>8128.62</v>
      </c>
      <c r="M1073" s="99">
        <f>SUMIFS(M$1:M1068,$C$1:$C1068,$C1073,$F$1:$F1068,$F1073)</f>
        <v>4300</v>
      </c>
      <c r="N1073" s="99">
        <f>SUMIFS(N$1:N1068,$C$1:$C1068,$C1073,$F$1:$F1068,$F1073)</f>
        <v>9000.14</v>
      </c>
      <c r="O1073" s="99">
        <f>SUMIFS(O$1:O1068,$C$1:$C1068,$C1073,$F$1:$F1068,$F1073)</f>
        <v>10000</v>
      </c>
      <c r="P1073" s="99">
        <f t="shared" si="1452"/>
        <v>5700</v>
      </c>
      <c r="Q1073" s="99">
        <f>SUMIFS(Q$1:Q1068,$C$1:$C1068,$C1073,$F$1:$F1068,$F1073)</f>
        <v>4300</v>
      </c>
      <c r="R1073" s="99">
        <f>SUMIFS(R$1:R1068,$C$1:$C1068,$C1073,$F$1:$F1068,$F1073)</f>
        <v>0</v>
      </c>
      <c r="S1073" s="99">
        <f>SUMIFS(S$1:S1068,$C$1:$C1068,$C1073,$F$1:$F1068,$F1073)</f>
        <v>0</v>
      </c>
      <c r="T1073" s="99">
        <f>SUMIFS(T$1:T1068,$C$1:$C1068,$C1073,$F$1:$F1068,$F1073)</f>
        <v>4300</v>
      </c>
      <c r="U1073" s="99">
        <f t="shared" si="1453"/>
        <v>0</v>
      </c>
      <c r="V1073" s="255">
        <f t="shared" si="1454"/>
        <v>0</v>
      </c>
      <c r="W1073" s="102"/>
      <c r="X1073" s="102"/>
      <c r="Y1073" s="102">
        <f t="shared" si="1455"/>
        <v>4300</v>
      </c>
      <c r="Z1073" s="309">
        <f>Y1073*(1+VLOOKUP($F1073,'GL Category'!$A:$H,4,FALSE))</f>
        <v>4386</v>
      </c>
      <c r="AA1073" s="615"/>
      <c r="AB1073" s="622">
        <f t="shared" si="1456"/>
        <v>4386</v>
      </c>
      <c r="AC1073" s="633">
        <f>AB1073*(1+VLOOKUP($F1073,'GL Category'!$A:$H,5,FALSE))</f>
        <v>4473.72</v>
      </c>
      <c r="AD1073" s="307"/>
      <c r="AE1073" s="622">
        <f t="shared" si="1457"/>
        <v>4473.72</v>
      </c>
      <c r="AF1073" s="633">
        <f>AE1073*(1+VLOOKUP($F1073,'GL Category'!$A:$H,6,FALSE))</f>
        <v>4563.1944000000003</v>
      </c>
      <c r="AG1073" s="307"/>
      <c r="AH1073" s="622">
        <f t="shared" si="1458"/>
        <v>4563.1944000000003</v>
      </c>
      <c r="AI1073" s="633">
        <f>AH1073*(1+VLOOKUP($F1073,'GL Category'!$A:$H,7,FALSE))</f>
        <v>4654.4582880000007</v>
      </c>
      <c r="AJ1073" s="307"/>
      <c r="AK1073" s="622">
        <f t="shared" si="1459"/>
        <v>4654.4582880000007</v>
      </c>
      <c r="AL1073" s="633">
        <f>AK1073*(1+VLOOKUP($F1073,'GL Category'!$A:$H,8,FALSE))</f>
        <v>4747.5474537600012</v>
      </c>
      <c r="AM1073" s="307"/>
      <c r="AN1073" s="622">
        <f t="shared" si="1460"/>
        <v>4747.5474537600012</v>
      </c>
      <c r="AO1073" s="300"/>
      <c r="AP1073" s="300"/>
      <c r="AQ1073" s="192"/>
    </row>
    <row r="1074" spans="1:43" s="115" customFormat="1" ht="15" customHeight="1">
      <c r="A1074" s="555"/>
      <c r="B1074" s="217"/>
      <c r="C1074" s="217">
        <v>30</v>
      </c>
      <c r="D1074" s="101" t="str">
        <f t="shared" si="1439"/>
        <v/>
      </c>
      <c r="E1074" s="217"/>
      <c r="F1074" s="294" t="s">
        <v>166</v>
      </c>
      <c r="G1074" s="295" t="str">
        <f>VLOOKUP(F1074,'GL Category'!A:C,3,FALSE)</f>
        <v>Operations &amp; maintenance</v>
      </c>
      <c r="H1074" s="98" t="str">
        <f>VLOOKUP(F1074,'GL Category'!A:C,2,FALSE)</f>
        <v>WEARING APPAREL</v>
      </c>
      <c r="I1074" s="99">
        <f>SUMIFS(I$1:I1069,$C$1:$C1069,$C1074,$F$1:$F1069,$F1074)</f>
        <v>51888.400000000009</v>
      </c>
      <c r="J1074" s="99">
        <f>SUMIFS(J$1:J1069,$C$1:$C1069,$C1074,$F$1:$F1069,$F1074)</f>
        <v>59249.96</v>
      </c>
      <c r="K1074" s="99">
        <f>SUMIFS(K$1:K1069,$C$1:$C1069,$C1074,$F$1:$F1069,$F1074)</f>
        <v>71166.52</v>
      </c>
      <c r="L1074" s="99">
        <f>SUMIFS(L$1:L1069,$C$1:$C1069,$C1074,$F$1:$F1069,$F1074)</f>
        <v>61453.509999999995</v>
      </c>
      <c r="M1074" s="99">
        <f>SUMIFS(M$1:M1069,$C$1:$C1069,$C1074,$F$1:$F1069,$F1074)</f>
        <v>59000</v>
      </c>
      <c r="N1074" s="99">
        <f>SUMIFS(N$1:N1069,$C$1:$C1069,$C1074,$F$1:$F1069,$F1074)</f>
        <v>54838.130000000005</v>
      </c>
      <c r="O1074" s="99">
        <f>SUMIFS(O$1:O1069,$C$1:$C1069,$C1074,$F$1:$F1069,$F1074)</f>
        <v>61000</v>
      </c>
      <c r="P1074" s="99">
        <f t="shared" si="1452"/>
        <v>2000</v>
      </c>
      <c r="Q1074" s="99">
        <f>SUMIFS(Q$1:Q1069,$C$1:$C1069,$C1074,$F$1:$F1069,$F1074)</f>
        <v>59000</v>
      </c>
      <c r="R1074" s="99">
        <f>SUMIFS(R$1:R1069,$C$1:$C1069,$C1074,$F$1:$F1069,$F1074)</f>
        <v>0</v>
      </c>
      <c r="S1074" s="99">
        <f>SUMIFS(S$1:S1069,$C$1:$C1069,$C1074,$F$1:$F1069,$F1074)</f>
        <v>0</v>
      </c>
      <c r="T1074" s="99">
        <f>SUMIFS(T$1:T1069,$C$1:$C1069,$C1074,$F$1:$F1069,$F1074)</f>
        <v>59000</v>
      </c>
      <c r="U1074" s="99">
        <f t="shared" si="1453"/>
        <v>0</v>
      </c>
      <c r="V1074" s="255">
        <f t="shared" si="1454"/>
        <v>0</v>
      </c>
      <c r="W1074" s="102"/>
      <c r="X1074" s="102"/>
      <c r="Y1074" s="102">
        <f t="shared" si="1455"/>
        <v>59000</v>
      </c>
      <c r="Z1074" s="309">
        <f>Y1074*(1+VLOOKUP($F1074,'GL Category'!$A:$H,4,FALSE))</f>
        <v>60180</v>
      </c>
      <c r="AA1074" s="615"/>
      <c r="AB1074" s="622">
        <f t="shared" si="1456"/>
        <v>60180</v>
      </c>
      <c r="AC1074" s="633">
        <f>AB1074*(1+VLOOKUP($F1074,'GL Category'!$A:$H,5,FALSE))</f>
        <v>61383.6</v>
      </c>
      <c r="AD1074" s="307"/>
      <c r="AE1074" s="622">
        <f t="shared" si="1457"/>
        <v>61383.6</v>
      </c>
      <c r="AF1074" s="633">
        <f>AE1074*(1+VLOOKUP($F1074,'GL Category'!$A:$H,6,FALSE))</f>
        <v>62611.271999999997</v>
      </c>
      <c r="AG1074" s="307"/>
      <c r="AH1074" s="622">
        <f t="shared" si="1458"/>
        <v>62611.271999999997</v>
      </c>
      <c r="AI1074" s="633">
        <f>AH1074*(1+VLOOKUP($F1074,'GL Category'!$A:$H,7,FALSE))</f>
        <v>63863.497439999999</v>
      </c>
      <c r="AJ1074" s="307"/>
      <c r="AK1074" s="622">
        <f t="shared" si="1459"/>
        <v>63863.497439999999</v>
      </c>
      <c r="AL1074" s="633">
        <f>AK1074*(1+VLOOKUP($F1074,'GL Category'!$A:$H,8,FALSE))</f>
        <v>65140.767388799999</v>
      </c>
      <c r="AM1074" s="307"/>
      <c r="AN1074" s="622">
        <f t="shared" si="1460"/>
        <v>65140.767388799999</v>
      </c>
      <c r="AO1074" s="300"/>
      <c r="AP1074" s="300"/>
      <c r="AQ1074" s="192"/>
    </row>
    <row r="1075" spans="1:43" s="115" customFormat="1" ht="15" customHeight="1">
      <c r="A1075" s="555"/>
      <c r="B1075" s="217"/>
      <c r="C1075" s="217">
        <v>30</v>
      </c>
      <c r="D1075" s="101" t="str">
        <f t="shared" si="1439"/>
        <v/>
      </c>
      <c r="E1075" s="217"/>
      <c r="F1075" s="294" t="s">
        <v>333</v>
      </c>
      <c r="G1075" s="295" t="str">
        <f>VLOOKUP(F1075,'GL Category'!A:C,3,FALSE)</f>
        <v>Operations &amp; maintenance</v>
      </c>
      <c r="H1075" s="98" t="str">
        <f>VLOOKUP(F1075,'GL Category'!A:C,2,FALSE)</f>
        <v>BULLET PROOF VEST SUPPLIES</v>
      </c>
      <c r="I1075" s="99">
        <f>SUMIFS(I$1:I1069,$C$1:$C1069,$C1075,$F$1:$F1069,$F1075)</f>
        <v>0</v>
      </c>
      <c r="J1075" s="99">
        <f>SUMIFS(J$1:J1069,$C$1:$C1069,$C1075,$F$1:$F1069,$F1075)</f>
        <v>0</v>
      </c>
      <c r="K1075" s="99">
        <f>SUMIFS(K$1:K1069,$C$1:$C1069,$C1075,$F$1:$F1069,$F1075)</f>
        <v>8835.3700000000008</v>
      </c>
      <c r="L1075" s="99">
        <f>SUMIFS(L$1:L1069,$C$1:$C1069,$C1075,$F$1:$F1069,$F1075)</f>
        <v>3827.5</v>
      </c>
      <c r="M1075" s="99">
        <f>SUMIFS(M$1:M1069,$C$1:$C1069,$C1075,$F$1:$F1069,$F1075)</f>
        <v>10000</v>
      </c>
      <c r="N1075" s="99">
        <f>SUMIFS(N$1:N1069,$C$1:$C1069,$C1075,$F$1:$F1069,$F1075)</f>
        <v>6727.5</v>
      </c>
      <c r="O1075" s="99">
        <f>SUMIFS(O$1:O1069,$C$1:$C1069,$C1075,$F$1:$F1069,$F1075)</f>
        <v>10000</v>
      </c>
      <c r="P1075" s="99">
        <f t="shared" ref="P1075" si="1461">O1075-M1075</f>
        <v>0</v>
      </c>
      <c r="Q1075" s="99">
        <f>SUMIFS(Q$1:Q1069,$C$1:$C1069,$C1075,$F$1:$F1069,$F1075)</f>
        <v>10000</v>
      </c>
      <c r="R1075" s="99">
        <f>SUMIFS(R$1:R1069,$C$1:$C1069,$C1075,$F$1:$F1069,$F1075)</f>
        <v>0</v>
      </c>
      <c r="S1075" s="99">
        <f>SUMIFS(S$1:S1069,$C$1:$C1069,$C1075,$F$1:$F1069,$F1075)</f>
        <v>0</v>
      </c>
      <c r="T1075" s="99">
        <f>SUMIFS(T$1:T1069,$C$1:$C1069,$C1075,$F$1:$F1069,$F1075)</f>
        <v>10000</v>
      </c>
      <c r="U1075" s="99">
        <f t="shared" si="1453"/>
        <v>0</v>
      </c>
      <c r="V1075" s="255">
        <f t="shared" si="1454"/>
        <v>0</v>
      </c>
      <c r="W1075" s="102"/>
      <c r="X1075" s="102"/>
      <c r="Y1075" s="102">
        <f t="shared" si="1455"/>
        <v>10000</v>
      </c>
      <c r="Z1075" s="309">
        <f>Y1075*(1+VLOOKUP($F1075,'GL Category'!$A:$H,4,FALSE))</f>
        <v>10200</v>
      </c>
      <c r="AA1075" s="615"/>
      <c r="AB1075" s="622">
        <f t="shared" si="1456"/>
        <v>10200</v>
      </c>
      <c r="AC1075" s="633">
        <f>AB1075*(1+VLOOKUP($F1075,'GL Category'!$A:$H,5,FALSE))</f>
        <v>10404</v>
      </c>
      <c r="AD1075" s="307"/>
      <c r="AE1075" s="622">
        <f t="shared" si="1457"/>
        <v>10404</v>
      </c>
      <c r="AF1075" s="633">
        <f>AE1075*(1+VLOOKUP($F1075,'GL Category'!$A:$H,6,FALSE))</f>
        <v>10612.08</v>
      </c>
      <c r="AG1075" s="307"/>
      <c r="AH1075" s="622">
        <f t="shared" si="1458"/>
        <v>10612.08</v>
      </c>
      <c r="AI1075" s="633">
        <f>AH1075*(1+VLOOKUP($F1075,'GL Category'!$A:$H,7,FALSE))</f>
        <v>10824.321599999999</v>
      </c>
      <c r="AJ1075" s="307"/>
      <c r="AK1075" s="622">
        <f t="shared" si="1459"/>
        <v>10824.321599999999</v>
      </c>
      <c r="AL1075" s="633">
        <f>AK1075*(1+VLOOKUP($F1075,'GL Category'!$A:$H,8,FALSE))</f>
        <v>11040.808031999999</v>
      </c>
      <c r="AM1075" s="307"/>
      <c r="AN1075" s="622">
        <f t="shared" si="1460"/>
        <v>11040.808031999999</v>
      </c>
      <c r="AO1075" s="300"/>
      <c r="AP1075" s="300"/>
      <c r="AQ1075" s="192"/>
    </row>
    <row r="1076" spans="1:43" s="115" customFormat="1" ht="15" customHeight="1">
      <c r="A1076" s="555"/>
      <c r="B1076" s="217"/>
      <c r="C1076" s="217">
        <v>30</v>
      </c>
      <c r="D1076" s="101" t="str">
        <f t="shared" si="1439"/>
        <v/>
      </c>
      <c r="E1076" s="217"/>
      <c r="F1076" s="294" t="s">
        <v>253</v>
      </c>
      <c r="G1076" s="295" t="str">
        <f>VLOOKUP(F1076,'GL Category'!A:C,3,FALSE)</f>
        <v>Operations &amp; maintenance</v>
      </c>
      <c r="H1076" s="98" t="str">
        <f>VLOOKUP(F1076,'GL Category'!A:C,2,FALSE)</f>
        <v>TRAINING SUPPLIES</v>
      </c>
      <c r="I1076" s="99">
        <f>SUMIFS(I$1:I1069,$C$1:$C1069,$C1076,$F$1:$F1069,$F1076)</f>
        <v>12699.67</v>
      </c>
      <c r="J1076" s="99">
        <f>SUMIFS(J$1:J1069,$C$1:$C1069,$C1076,$F$1:$F1069,$F1076)</f>
        <v>2620.08</v>
      </c>
      <c r="K1076" s="99">
        <f>SUMIFS(K$1:K1069,$C$1:$C1069,$C1076,$F$1:$F1069,$F1076)</f>
        <v>760.72</v>
      </c>
      <c r="L1076" s="99">
        <f>SUMIFS(L$1:L1069,$C$1:$C1069,$C1076,$F$1:$F1069,$F1076)</f>
        <v>3339.62</v>
      </c>
      <c r="M1076" s="99">
        <f>SUMIFS(M$1:M1069,$C$1:$C1069,$C1076,$F$1:$F1069,$F1076)</f>
        <v>2200</v>
      </c>
      <c r="N1076" s="99">
        <f>SUMIFS(N$1:N1069,$C$1:$C1069,$C1076,$F$1:$F1069,$F1076)</f>
        <v>2112.2600000000002</v>
      </c>
      <c r="O1076" s="99">
        <f>SUMIFS(O$1:O1069,$C$1:$C1069,$C1076,$F$1:$F1069,$F1076)</f>
        <v>2200</v>
      </c>
      <c r="P1076" s="99">
        <f t="shared" si="1452"/>
        <v>0</v>
      </c>
      <c r="Q1076" s="99">
        <f>SUMIFS(Q$1:Q1069,$C$1:$C1069,$C1076,$F$1:$F1069,$F1076)</f>
        <v>2200</v>
      </c>
      <c r="R1076" s="99">
        <f>SUMIFS(R$1:R1069,$C$1:$C1069,$C1076,$F$1:$F1069,$F1076)</f>
        <v>0</v>
      </c>
      <c r="S1076" s="99">
        <f>SUMIFS(S$1:S1069,$C$1:$C1069,$C1076,$F$1:$F1069,$F1076)</f>
        <v>0</v>
      </c>
      <c r="T1076" s="99">
        <f>SUMIFS(T$1:T1069,$C$1:$C1069,$C1076,$F$1:$F1069,$F1076)</f>
        <v>2200</v>
      </c>
      <c r="U1076" s="99">
        <f t="shared" si="1453"/>
        <v>0</v>
      </c>
      <c r="V1076" s="255">
        <f t="shared" si="1454"/>
        <v>0</v>
      </c>
      <c r="W1076" s="102"/>
      <c r="X1076" s="102"/>
      <c r="Y1076" s="102">
        <f t="shared" si="1455"/>
        <v>2200</v>
      </c>
      <c r="Z1076" s="309">
        <f>Y1076*(1+VLOOKUP($F1076,'GL Category'!$A:$H,4,FALSE))</f>
        <v>2244</v>
      </c>
      <c r="AA1076" s="615"/>
      <c r="AB1076" s="622">
        <f t="shared" si="1456"/>
        <v>2244</v>
      </c>
      <c r="AC1076" s="633">
        <f>AB1076*(1+VLOOKUP($F1076,'GL Category'!$A:$H,5,FALSE))</f>
        <v>2288.88</v>
      </c>
      <c r="AD1076" s="307"/>
      <c r="AE1076" s="622">
        <f t="shared" si="1457"/>
        <v>2288.88</v>
      </c>
      <c r="AF1076" s="633">
        <f>AE1076*(1+VLOOKUP($F1076,'GL Category'!$A:$H,6,FALSE))</f>
        <v>2334.6576</v>
      </c>
      <c r="AG1076" s="307"/>
      <c r="AH1076" s="622">
        <f t="shared" si="1458"/>
        <v>2334.6576</v>
      </c>
      <c r="AI1076" s="633">
        <f>AH1076*(1+VLOOKUP($F1076,'GL Category'!$A:$H,7,FALSE))</f>
        <v>2381.3507519999998</v>
      </c>
      <c r="AJ1076" s="307"/>
      <c r="AK1076" s="622">
        <f t="shared" si="1459"/>
        <v>2381.3507519999998</v>
      </c>
      <c r="AL1076" s="633">
        <f>AK1076*(1+VLOOKUP($F1076,'GL Category'!$A:$H,8,FALSE))</f>
        <v>2428.9777670399999</v>
      </c>
      <c r="AM1076" s="307"/>
      <c r="AN1076" s="622">
        <f t="shared" si="1460"/>
        <v>2428.9777670399999</v>
      </c>
      <c r="AO1076" s="300"/>
      <c r="AP1076" s="300"/>
      <c r="AQ1076" s="192"/>
    </row>
    <row r="1077" spans="1:43" s="115" customFormat="1" ht="15" customHeight="1">
      <c r="A1077" s="555"/>
      <c r="B1077" s="217"/>
      <c r="C1077" s="217">
        <v>30</v>
      </c>
      <c r="D1077" s="101" t="str">
        <f t="shared" si="1439"/>
        <v/>
      </c>
      <c r="E1077" s="217"/>
      <c r="F1077" s="294" t="s">
        <v>1125</v>
      </c>
      <c r="G1077" s="295" t="str">
        <f>VLOOKUP(F1077,'GL Category'!A:C,3,FALSE)</f>
        <v>Operations &amp; maintenance</v>
      </c>
      <c r="H1077" s="98" t="str">
        <f>VLOOKUP(F1077,'GL Category'!A:C,2,FALSE)</f>
        <v>AMMUNITION</v>
      </c>
      <c r="I1077" s="99">
        <f>SUMIFS(I$1:I1070,$C$1:$C1070,$C1077,$F$1:$F1070,$F1077)</f>
        <v>0</v>
      </c>
      <c r="J1077" s="99">
        <f>SUMIFS(J$1:J1070,$C$1:$C1070,$C1077,$F$1:$F1070,$F1077)</f>
        <v>6627.12</v>
      </c>
      <c r="K1077" s="99">
        <f>SUMIFS(K$1:K1070,$C$1:$C1070,$C1077,$F$1:$F1070,$F1077)</f>
        <v>14967.45</v>
      </c>
      <c r="L1077" s="99">
        <f>SUMIFS(L$1:L1070,$C$1:$C1070,$C1077,$F$1:$F1070,$F1077)</f>
        <v>66760.570000000007</v>
      </c>
      <c r="M1077" s="99">
        <f>SUMIFS(M$1:M1070,$C$1:$C1070,$C1077,$F$1:$F1070,$F1077)</f>
        <v>22800</v>
      </c>
      <c r="N1077" s="99">
        <f>SUMIFS(N$1:N1070,$C$1:$C1070,$C1077,$F$1:$F1070,$F1077)</f>
        <v>6491.6</v>
      </c>
      <c r="O1077" s="99">
        <f>SUMIFS(O$1:O1070,$C$1:$C1070,$C1077,$F$1:$F1070,$F1077)</f>
        <v>22800</v>
      </c>
      <c r="P1077" s="99">
        <f t="shared" ref="P1077" si="1462">O1077-M1077</f>
        <v>0</v>
      </c>
      <c r="Q1077" s="99">
        <f>SUMIFS(Q$1:Q1070,$C$1:$C1070,$C1077,$F$1:$F1070,$F1077)</f>
        <v>22800</v>
      </c>
      <c r="R1077" s="99">
        <f>SUMIFS(R$1:R1070,$C$1:$C1070,$C1077,$F$1:$F1070,$F1077)</f>
        <v>0</v>
      </c>
      <c r="S1077" s="99">
        <f>SUMIFS(S$1:S1070,$C$1:$C1070,$C1077,$F$1:$F1070,$F1077)</f>
        <v>0</v>
      </c>
      <c r="T1077" s="99">
        <f>SUMIFS(T$1:T1070,$C$1:$C1070,$C1077,$F$1:$F1070,$F1077)</f>
        <v>22800</v>
      </c>
      <c r="U1077" s="99">
        <f t="shared" si="1453"/>
        <v>0</v>
      </c>
      <c r="V1077" s="255">
        <f t="shared" si="1454"/>
        <v>0</v>
      </c>
      <c r="W1077" s="102"/>
      <c r="X1077" s="102"/>
      <c r="Y1077" s="102">
        <f t="shared" si="1455"/>
        <v>22800</v>
      </c>
      <c r="Z1077" s="309">
        <f>Y1077*(1+VLOOKUP($F1077,'GL Category'!$A:$H,4,FALSE))</f>
        <v>23256</v>
      </c>
      <c r="AA1077" s="615"/>
      <c r="AB1077" s="622">
        <f t="shared" si="1456"/>
        <v>23256</v>
      </c>
      <c r="AC1077" s="633">
        <f>AB1077*(1+VLOOKUP($F1077,'GL Category'!$A:$H,5,FALSE))</f>
        <v>23721.119999999999</v>
      </c>
      <c r="AD1077" s="307"/>
      <c r="AE1077" s="622">
        <f t="shared" si="1457"/>
        <v>23721.119999999999</v>
      </c>
      <c r="AF1077" s="633">
        <f>AE1077*(1+VLOOKUP($F1077,'GL Category'!$A:$H,6,FALSE))</f>
        <v>24195.542399999998</v>
      </c>
      <c r="AG1077" s="307"/>
      <c r="AH1077" s="622">
        <f t="shared" si="1458"/>
        <v>24195.542399999998</v>
      </c>
      <c r="AI1077" s="633">
        <f>AH1077*(1+VLOOKUP($F1077,'GL Category'!$A:$H,7,FALSE))</f>
        <v>24679.453247999998</v>
      </c>
      <c r="AJ1077" s="307"/>
      <c r="AK1077" s="622">
        <f t="shared" si="1459"/>
        <v>24679.453247999998</v>
      </c>
      <c r="AL1077" s="633">
        <f>AK1077*(1+VLOOKUP($F1077,'GL Category'!$A:$H,8,FALSE))</f>
        <v>25173.042312959999</v>
      </c>
      <c r="AM1077" s="307"/>
      <c r="AN1077" s="622">
        <f t="shared" si="1460"/>
        <v>25173.042312959999</v>
      </c>
      <c r="AO1077" s="300"/>
      <c r="AP1077" s="300"/>
      <c r="AQ1077" s="192"/>
    </row>
    <row r="1078" spans="1:43" s="115" customFormat="1" ht="15" customHeight="1">
      <c r="A1078" s="555"/>
      <c r="B1078" s="217"/>
      <c r="C1078" s="217">
        <v>30</v>
      </c>
      <c r="D1078" s="101" t="str">
        <f t="shared" si="1439"/>
        <v/>
      </c>
      <c r="E1078" s="217"/>
      <c r="F1078" s="294" t="s">
        <v>168</v>
      </c>
      <c r="G1078" s="295" t="str">
        <f>VLOOKUP(F1078,'GL Category'!A:C,3,FALSE)</f>
        <v>Operations &amp; maintenance</v>
      </c>
      <c r="H1078" s="98" t="str">
        <f>VLOOKUP(F1078,'GL Category'!A:C,2,FALSE)</f>
        <v>MISCELLANEOUS SUPPLIES</v>
      </c>
      <c r="I1078" s="99">
        <f>SUMIFS(I$1:I1070,$C$1:$C1070,$C1078,$F$1:$F1070,$F1078)</f>
        <v>2259.8599999999997</v>
      </c>
      <c r="J1078" s="99">
        <f>SUMIFS(J$1:J1070,$C$1:$C1070,$C1078,$F$1:$F1070,$F1078)</f>
        <v>1746.11</v>
      </c>
      <c r="K1078" s="99">
        <f>SUMIFS(K$1:K1070,$C$1:$C1070,$C1078,$F$1:$F1070,$F1078)</f>
        <v>2028.19</v>
      </c>
      <c r="L1078" s="99">
        <f>SUMIFS(L$1:L1070,$C$1:$C1070,$C1078,$F$1:$F1070,$F1078)</f>
        <v>839.54</v>
      </c>
      <c r="M1078" s="99">
        <f>SUMIFS(M$1:M1070,$C$1:$C1070,$C1078,$F$1:$F1070,$F1078)</f>
        <v>2500</v>
      </c>
      <c r="N1078" s="99">
        <f>SUMIFS(N$1:N1070,$C$1:$C1070,$C1078,$F$1:$F1070,$F1078)</f>
        <v>2261.56</v>
      </c>
      <c r="O1078" s="99">
        <f>SUMIFS(O$1:O1070,$C$1:$C1070,$C1078,$F$1:$F1070,$F1078)</f>
        <v>2500</v>
      </c>
      <c r="P1078" s="99">
        <f t="shared" si="1452"/>
        <v>0</v>
      </c>
      <c r="Q1078" s="99">
        <f>SUMIFS(Q$1:Q1070,$C$1:$C1070,$C1078,$F$1:$F1070,$F1078)</f>
        <v>1500</v>
      </c>
      <c r="R1078" s="99">
        <f>SUMIFS(R$1:R1070,$C$1:$C1070,$C1078,$F$1:$F1070,$F1078)</f>
        <v>0</v>
      </c>
      <c r="S1078" s="99">
        <f>SUMIFS(S$1:S1070,$C$1:$C1070,$C1078,$F$1:$F1070,$F1078)</f>
        <v>0</v>
      </c>
      <c r="T1078" s="99">
        <f>SUMIFS(T$1:T1070,$C$1:$C1070,$C1078,$F$1:$F1070,$F1078)</f>
        <v>1500</v>
      </c>
      <c r="U1078" s="99">
        <f t="shared" si="1453"/>
        <v>-1000</v>
      </c>
      <c r="V1078" s="255">
        <f t="shared" si="1454"/>
        <v>-0.4</v>
      </c>
      <c r="W1078" s="102"/>
      <c r="X1078" s="102"/>
      <c r="Y1078" s="102">
        <f t="shared" si="1455"/>
        <v>1500</v>
      </c>
      <c r="Z1078" s="309">
        <f>Y1078*(1+VLOOKUP($F1078,'GL Category'!$A:$H,4,FALSE))</f>
        <v>1530</v>
      </c>
      <c r="AA1078" s="615"/>
      <c r="AB1078" s="622">
        <f t="shared" si="1456"/>
        <v>1530</v>
      </c>
      <c r="AC1078" s="633">
        <f>AB1078*(1+VLOOKUP($F1078,'GL Category'!$A:$H,5,FALSE))</f>
        <v>1560.6000000000001</v>
      </c>
      <c r="AD1078" s="307"/>
      <c r="AE1078" s="622">
        <f t="shared" si="1457"/>
        <v>1560.6000000000001</v>
      </c>
      <c r="AF1078" s="633">
        <f>AE1078*(1+VLOOKUP($F1078,'GL Category'!$A:$H,6,FALSE))</f>
        <v>1591.8120000000001</v>
      </c>
      <c r="AG1078" s="307"/>
      <c r="AH1078" s="622">
        <f t="shared" si="1458"/>
        <v>1591.8120000000001</v>
      </c>
      <c r="AI1078" s="633">
        <f>AH1078*(1+VLOOKUP($F1078,'GL Category'!$A:$H,7,FALSE))</f>
        <v>1623.6482400000002</v>
      </c>
      <c r="AJ1078" s="307"/>
      <c r="AK1078" s="622">
        <f t="shared" si="1459"/>
        <v>1623.6482400000002</v>
      </c>
      <c r="AL1078" s="633">
        <f>AK1078*(1+VLOOKUP($F1078,'GL Category'!$A:$H,8,FALSE))</f>
        <v>1656.1212048000002</v>
      </c>
      <c r="AM1078" s="307"/>
      <c r="AN1078" s="622">
        <f t="shared" si="1460"/>
        <v>1656.1212048000002</v>
      </c>
      <c r="AO1078" s="94"/>
      <c r="AP1078" s="94"/>
      <c r="AQ1078" s="192"/>
    </row>
    <row r="1079" spans="1:43" s="115" customFormat="1" ht="15" customHeight="1">
      <c r="A1079" s="555"/>
      <c r="B1079" s="217"/>
      <c r="C1079" s="217">
        <v>30</v>
      </c>
      <c r="D1079" s="101" t="str">
        <f t="shared" si="1439"/>
        <v/>
      </c>
      <c r="E1079" s="217"/>
      <c r="F1079" s="294" t="s">
        <v>170</v>
      </c>
      <c r="G1079" s="295" t="str">
        <f>VLOOKUP(F1079,'GL Category'!A:C,3,FALSE)</f>
        <v>Operations &amp; maintenance</v>
      </c>
      <c r="H1079" s="98" t="str">
        <f>VLOOKUP(F1079,'GL Category'!A:C,2,FALSE)</f>
        <v>BUILDING MAINTENANCE</v>
      </c>
      <c r="I1079" s="99">
        <f>SUMIFS(I$1:I1071,$C$1:$C1071,$C1079,$F$1:$F1071,$F1079)</f>
        <v>28095.719999999998</v>
      </c>
      <c r="J1079" s="99">
        <f>SUMIFS(J$1:J1071,$C$1:$C1071,$C1079,$F$1:$F1071,$F1079)</f>
        <v>23438.850000000002</v>
      </c>
      <c r="K1079" s="99">
        <f>SUMIFS(K$1:K1071,$C$1:$C1071,$C1079,$F$1:$F1071,$F1079)</f>
        <v>21678.54</v>
      </c>
      <c r="L1079" s="99">
        <f>SUMIFS(L$1:L1071,$C$1:$C1071,$C1079,$F$1:$F1071,$F1079)</f>
        <v>19141.32</v>
      </c>
      <c r="M1079" s="99">
        <f>SUMIFS(M$1:M1071,$C$1:$C1071,$C1079,$F$1:$F1071,$F1079)</f>
        <v>29600</v>
      </c>
      <c r="N1079" s="99">
        <f>SUMIFS(N$1:N1071,$C$1:$C1071,$C1079,$F$1:$F1071,$F1079)</f>
        <v>27605.040000000001</v>
      </c>
      <c r="O1079" s="99">
        <f>SUMIFS(O$1:O1071,$C$1:$C1071,$C1079,$F$1:$F1071,$F1079)</f>
        <v>36100</v>
      </c>
      <c r="P1079" s="99">
        <f t="shared" si="1452"/>
        <v>6500</v>
      </c>
      <c r="Q1079" s="99">
        <f>SUMIFS(Q$1:Q1071,$C$1:$C1071,$C1079,$F$1:$F1071,$F1079)</f>
        <v>29000</v>
      </c>
      <c r="R1079" s="99">
        <f>SUMIFS(R$1:R1071,$C$1:$C1071,$C1079,$F$1:$F1071,$F1079)</f>
        <v>0</v>
      </c>
      <c r="S1079" s="99">
        <f>SUMIFS(S$1:S1071,$C$1:$C1071,$C1079,$F$1:$F1071,$F1079)</f>
        <v>0</v>
      </c>
      <c r="T1079" s="99">
        <f>SUMIFS(T$1:T1071,$C$1:$C1071,$C1079,$F$1:$F1071,$F1079)</f>
        <v>29000</v>
      </c>
      <c r="U1079" s="99">
        <f t="shared" si="1453"/>
        <v>-600</v>
      </c>
      <c r="V1079" s="255">
        <f t="shared" si="1454"/>
        <v>-2.0270270270270285E-2</v>
      </c>
      <c r="W1079" s="102"/>
      <c r="X1079" s="102"/>
      <c r="Y1079" s="102">
        <f t="shared" si="1455"/>
        <v>29000</v>
      </c>
      <c r="Z1079" s="309">
        <f>Y1079*(1+VLOOKUP($F1079,'GL Category'!$A:$H,4,FALSE))</f>
        <v>29580</v>
      </c>
      <c r="AA1079" s="615"/>
      <c r="AB1079" s="622">
        <f t="shared" si="1456"/>
        <v>29580</v>
      </c>
      <c r="AC1079" s="633">
        <f>AB1079*(1+VLOOKUP($F1079,'GL Category'!$A:$H,5,FALSE))</f>
        <v>30171.600000000002</v>
      </c>
      <c r="AD1079" s="307"/>
      <c r="AE1079" s="622">
        <f t="shared" si="1457"/>
        <v>30171.600000000002</v>
      </c>
      <c r="AF1079" s="633">
        <f>AE1079*(1+VLOOKUP($F1079,'GL Category'!$A:$H,6,FALSE))</f>
        <v>30775.032000000003</v>
      </c>
      <c r="AG1079" s="307"/>
      <c r="AH1079" s="622">
        <f t="shared" si="1458"/>
        <v>30775.032000000003</v>
      </c>
      <c r="AI1079" s="633">
        <f>AH1079*(1+VLOOKUP($F1079,'GL Category'!$A:$H,7,FALSE))</f>
        <v>31390.532640000005</v>
      </c>
      <c r="AJ1079" s="307"/>
      <c r="AK1079" s="622">
        <f t="shared" si="1459"/>
        <v>31390.532640000005</v>
      </c>
      <c r="AL1079" s="633">
        <f>AK1079*(1+VLOOKUP($F1079,'GL Category'!$A:$H,8,FALSE))</f>
        <v>32018.343292800004</v>
      </c>
      <c r="AM1079" s="307"/>
      <c r="AN1079" s="622">
        <f t="shared" si="1460"/>
        <v>32018.343292800004</v>
      </c>
      <c r="AO1079" s="93"/>
      <c r="AP1079" s="93"/>
      <c r="AQ1079" s="192"/>
    </row>
    <row r="1080" spans="1:43" s="115" customFormat="1" ht="15" customHeight="1">
      <c r="A1080" s="555"/>
      <c r="B1080" s="217"/>
      <c r="C1080" s="217">
        <v>30</v>
      </c>
      <c r="D1080" s="101" t="str">
        <f t="shared" si="1439"/>
        <v/>
      </c>
      <c r="E1080" s="217"/>
      <c r="F1080" s="294" t="s">
        <v>174</v>
      </c>
      <c r="G1080" s="295" t="str">
        <f>VLOOKUP(F1080,'GL Category'!A:C,3,FALSE)</f>
        <v>Operations &amp; maintenance</v>
      </c>
      <c r="H1080" s="98" t="str">
        <f>VLOOKUP(F1080,'GL Category'!A:C,2,FALSE)</f>
        <v>RADIO MAINTENANCE</v>
      </c>
      <c r="I1080" s="99">
        <f>SUMIFS(I$1:I1072,$C$1:$C1072,$C1080,$F$1:$F1072,$F1080)</f>
        <v>16411.29</v>
      </c>
      <c r="J1080" s="99">
        <f>SUMIFS(J$1:J1072,$C$1:$C1072,$C1080,$F$1:$F1072,$F1080)</f>
        <v>14149.51</v>
      </c>
      <c r="K1080" s="99">
        <f>SUMIFS(K$1:K1072,$C$1:$C1072,$C1080,$F$1:$F1072,$F1080)</f>
        <v>17928.099999999995</v>
      </c>
      <c r="L1080" s="99">
        <f>SUMIFS(L$1:L1072,$C$1:$C1072,$C1080,$F$1:$F1072,$F1080)</f>
        <v>12076.38</v>
      </c>
      <c r="M1080" s="99">
        <f>SUMIFS(M$1:M1072,$C$1:$C1072,$C1080,$F$1:$F1072,$F1080)</f>
        <v>15450</v>
      </c>
      <c r="N1080" s="99">
        <f>SUMIFS(N$1:N1072,$C$1:$C1072,$C1080,$F$1:$F1072,$F1080)</f>
        <v>14137.240000000002</v>
      </c>
      <c r="O1080" s="99">
        <f>SUMIFS(O$1:O1072,$C$1:$C1072,$C1080,$F$1:$F1072,$F1080)</f>
        <v>16350</v>
      </c>
      <c r="P1080" s="99">
        <f t="shared" si="1452"/>
        <v>900</v>
      </c>
      <c r="Q1080" s="99">
        <f>SUMIFS(Q$1:Q1072,$C$1:$C1072,$C1080,$F$1:$F1072,$F1080)</f>
        <v>15450</v>
      </c>
      <c r="R1080" s="99">
        <f>SUMIFS(R$1:R1072,$C$1:$C1072,$C1080,$F$1:$F1072,$F1080)</f>
        <v>0</v>
      </c>
      <c r="S1080" s="99">
        <f>SUMIFS(S$1:S1072,$C$1:$C1072,$C1080,$F$1:$F1072,$F1080)</f>
        <v>0</v>
      </c>
      <c r="T1080" s="99">
        <f>SUMIFS(T$1:T1072,$C$1:$C1072,$C1080,$F$1:$F1072,$F1080)</f>
        <v>15450</v>
      </c>
      <c r="U1080" s="99">
        <f t="shared" si="1453"/>
        <v>0</v>
      </c>
      <c r="V1080" s="255">
        <f t="shared" si="1454"/>
        <v>0</v>
      </c>
      <c r="W1080" s="102"/>
      <c r="X1080" s="102"/>
      <c r="Y1080" s="102">
        <f t="shared" si="1455"/>
        <v>15450</v>
      </c>
      <c r="Z1080" s="309">
        <f>Y1080*(1+VLOOKUP($F1080,'GL Category'!$A:$H,4,FALSE))</f>
        <v>15759</v>
      </c>
      <c r="AA1080" s="615"/>
      <c r="AB1080" s="622">
        <f t="shared" si="1456"/>
        <v>15759</v>
      </c>
      <c r="AC1080" s="633">
        <f>AB1080*(1+VLOOKUP($F1080,'GL Category'!$A:$H,5,FALSE))</f>
        <v>16074.18</v>
      </c>
      <c r="AD1080" s="307"/>
      <c r="AE1080" s="622">
        <f t="shared" si="1457"/>
        <v>16074.18</v>
      </c>
      <c r="AF1080" s="633">
        <f>AE1080*(1+VLOOKUP($F1080,'GL Category'!$A:$H,6,FALSE))</f>
        <v>16395.6636</v>
      </c>
      <c r="AG1080" s="307"/>
      <c r="AH1080" s="622">
        <f t="shared" si="1458"/>
        <v>16395.6636</v>
      </c>
      <c r="AI1080" s="633">
        <f>AH1080*(1+VLOOKUP($F1080,'GL Category'!$A:$H,7,FALSE))</f>
        <v>16723.576872000001</v>
      </c>
      <c r="AJ1080" s="307"/>
      <c r="AK1080" s="622">
        <f t="shared" si="1459"/>
        <v>16723.576872000001</v>
      </c>
      <c r="AL1080" s="633">
        <f>AK1080*(1+VLOOKUP($F1080,'GL Category'!$A:$H,8,FALSE))</f>
        <v>17058.048409440002</v>
      </c>
      <c r="AM1080" s="307"/>
      <c r="AN1080" s="622">
        <f t="shared" si="1460"/>
        <v>17058.048409440002</v>
      </c>
      <c r="AO1080" s="300"/>
      <c r="AP1080" s="300"/>
      <c r="AQ1080" s="192"/>
    </row>
    <row r="1081" spans="1:43" s="115" customFormat="1" ht="15" customHeight="1">
      <c r="A1081" s="555"/>
      <c r="B1081" s="217"/>
      <c r="C1081" s="217">
        <v>30</v>
      </c>
      <c r="D1081" s="101" t="str">
        <f t="shared" si="1439"/>
        <v/>
      </c>
      <c r="E1081" s="217"/>
      <c r="F1081" s="294" t="s">
        <v>240</v>
      </c>
      <c r="G1081" s="295" t="str">
        <f>VLOOKUP(F1081,'GL Category'!A:C,3,FALSE)</f>
        <v>Operations &amp; maintenance</v>
      </c>
      <c r="H1081" s="98" t="str">
        <f>VLOOKUP(F1081,'GL Category'!A:C,2,FALSE)</f>
        <v>VEHICLE MAINTENANCE</v>
      </c>
      <c r="I1081" s="99">
        <f>SUMIFS(I$1:I1073,$C$1:$C1073,$C1081,$F$1:$F1073,$F1081)</f>
        <v>76393.929999999993</v>
      </c>
      <c r="J1081" s="99">
        <f>SUMIFS(J$1:J1073,$C$1:$C1073,$C1081,$F$1:$F1073,$F1081)</f>
        <v>88958.19</v>
      </c>
      <c r="K1081" s="99">
        <f>SUMIFS(K$1:K1073,$C$1:$C1073,$C1081,$F$1:$F1073,$F1081)</f>
        <v>126039.34</v>
      </c>
      <c r="L1081" s="99">
        <f>SUMIFS(L$1:L1073,$C$1:$C1073,$C1081,$F$1:$F1073,$F1081)</f>
        <v>107468.92</v>
      </c>
      <c r="M1081" s="99">
        <f>SUMIFS(M$1:M1073,$C$1:$C1073,$C1081,$F$1:$F1073,$F1081)</f>
        <v>70300</v>
      </c>
      <c r="N1081" s="99">
        <f>SUMIFS(N$1:N1073,$C$1:$C1073,$C1081,$F$1:$F1073,$F1081)</f>
        <v>68467.59</v>
      </c>
      <c r="O1081" s="99">
        <f>SUMIFS(O$1:O1073,$C$1:$C1073,$C1081,$F$1:$F1073,$F1081)</f>
        <v>75300</v>
      </c>
      <c r="P1081" s="99">
        <f t="shared" si="1452"/>
        <v>5000</v>
      </c>
      <c r="Q1081" s="99">
        <f>SUMIFS(Q$1:Q1073,$C$1:$C1073,$C1081,$F$1:$F1073,$F1081)</f>
        <v>70300</v>
      </c>
      <c r="R1081" s="99">
        <f>SUMIFS(R$1:R1073,$C$1:$C1073,$C1081,$F$1:$F1073,$F1081)</f>
        <v>0</v>
      </c>
      <c r="S1081" s="99">
        <f>SUMIFS(S$1:S1073,$C$1:$C1073,$C1081,$F$1:$F1073,$F1081)</f>
        <v>0</v>
      </c>
      <c r="T1081" s="99">
        <f>SUMIFS(T$1:T1073,$C$1:$C1073,$C1081,$F$1:$F1073,$F1081)</f>
        <v>70300</v>
      </c>
      <c r="U1081" s="99">
        <f t="shared" si="1453"/>
        <v>0</v>
      </c>
      <c r="V1081" s="255">
        <f t="shared" si="1454"/>
        <v>0</v>
      </c>
      <c r="W1081" s="102"/>
      <c r="X1081" s="102"/>
      <c r="Y1081" s="102">
        <f t="shared" si="1455"/>
        <v>70300</v>
      </c>
      <c r="Z1081" s="309">
        <f>Y1081*(1+VLOOKUP($F1081,'GL Category'!$A:$H,4,FALSE))</f>
        <v>71706</v>
      </c>
      <c r="AA1081" s="615"/>
      <c r="AB1081" s="622">
        <f t="shared" si="1456"/>
        <v>71706</v>
      </c>
      <c r="AC1081" s="633">
        <f>AB1081*(1+VLOOKUP($F1081,'GL Category'!$A:$H,5,FALSE))</f>
        <v>73140.12</v>
      </c>
      <c r="AD1081" s="307"/>
      <c r="AE1081" s="622">
        <f t="shared" si="1457"/>
        <v>73140.12</v>
      </c>
      <c r="AF1081" s="633">
        <f>AE1081*(1+VLOOKUP($F1081,'GL Category'!$A:$H,6,FALSE))</f>
        <v>74602.922399999996</v>
      </c>
      <c r="AG1081" s="307"/>
      <c r="AH1081" s="622">
        <f t="shared" si="1458"/>
        <v>74602.922399999996</v>
      </c>
      <c r="AI1081" s="633">
        <f>AH1081*(1+VLOOKUP($F1081,'GL Category'!$A:$H,7,FALSE))</f>
        <v>76094.980847999992</v>
      </c>
      <c r="AJ1081" s="307"/>
      <c r="AK1081" s="622">
        <f t="shared" si="1459"/>
        <v>76094.980847999992</v>
      </c>
      <c r="AL1081" s="633">
        <f>AK1081*(1+VLOOKUP($F1081,'GL Category'!$A:$H,8,FALSE))</f>
        <v>77616.880464959992</v>
      </c>
      <c r="AM1081" s="307"/>
      <c r="AN1081" s="622">
        <f t="shared" si="1460"/>
        <v>77616.880464959992</v>
      </c>
      <c r="AO1081" s="300"/>
      <c r="AP1081" s="300"/>
      <c r="AQ1081" s="192"/>
    </row>
    <row r="1082" spans="1:43" s="115" customFormat="1" ht="15" customHeight="1">
      <c r="A1082" s="555"/>
      <c r="B1082" s="217"/>
      <c r="C1082" s="217">
        <v>30</v>
      </c>
      <c r="D1082" s="101" t="str">
        <f t="shared" si="1439"/>
        <v/>
      </c>
      <c r="E1082" s="217"/>
      <c r="F1082" s="294" t="s">
        <v>235</v>
      </c>
      <c r="G1082" s="295" t="str">
        <f>VLOOKUP(F1082,'GL Category'!A:C,3,FALSE)</f>
        <v>Operations &amp; maintenance</v>
      </c>
      <c r="H1082" s="98" t="str">
        <f>VLOOKUP(F1082,'GL Category'!A:C,2,FALSE)</f>
        <v>EQUIPMENT MAINTENANCE</v>
      </c>
      <c r="I1082" s="99">
        <f>SUMIFS(I$1:I1074,$C$1:$C1074,$C1082,$F$1:$F1074,$F1082)</f>
        <v>9258.16</v>
      </c>
      <c r="J1082" s="99">
        <f>SUMIFS(J$1:J1074,$C$1:$C1074,$C1082,$F$1:$F1074,$F1082)</f>
        <v>3521.25</v>
      </c>
      <c r="K1082" s="99">
        <f>SUMIFS(K$1:K1074,$C$1:$C1074,$C1082,$F$1:$F1074,$F1082)</f>
        <v>3695.95</v>
      </c>
      <c r="L1082" s="99">
        <f>SUMIFS(L$1:L1074,$C$1:$C1074,$C1082,$F$1:$F1074,$F1082)</f>
        <v>14016.05</v>
      </c>
      <c r="M1082" s="99">
        <f>SUMIFS(M$1:M1074,$C$1:$C1074,$C1082,$F$1:$F1074,$F1082)</f>
        <v>12750</v>
      </c>
      <c r="N1082" s="99">
        <f>SUMIFS(N$1:N1074,$C$1:$C1074,$C1082,$F$1:$F1074,$F1082)</f>
        <v>12422.259999999998</v>
      </c>
      <c r="O1082" s="99">
        <f>SUMIFS(O$1:O1074,$C$1:$C1074,$C1082,$F$1:$F1074,$F1082)</f>
        <v>16000</v>
      </c>
      <c r="P1082" s="99">
        <f t="shared" si="1452"/>
        <v>3250</v>
      </c>
      <c r="Q1082" s="99">
        <f>SUMIFS(Q$1:Q1074,$C$1:$C1074,$C1082,$F$1:$F1074,$F1082)</f>
        <v>12750</v>
      </c>
      <c r="R1082" s="99">
        <f>SUMIFS(R$1:R1074,$C$1:$C1074,$C1082,$F$1:$F1074,$F1082)</f>
        <v>0</v>
      </c>
      <c r="S1082" s="99">
        <f>SUMIFS(S$1:S1074,$C$1:$C1074,$C1082,$F$1:$F1074,$F1082)</f>
        <v>0</v>
      </c>
      <c r="T1082" s="99">
        <f>SUMIFS(T$1:T1074,$C$1:$C1074,$C1082,$F$1:$F1074,$F1082)</f>
        <v>12750</v>
      </c>
      <c r="U1082" s="99">
        <f t="shared" si="1453"/>
        <v>0</v>
      </c>
      <c r="V1082" s="255">
        <f t="shared" si="1454"/>
        <v>0</v>
      </c>
      <c r="W1082" s="102"/>
      <c r="X1082" s="102"/>
      <c r="Y1082" s="102">
        <f t="shared" si="1455"/>
        <v>12750</v>
      </c>
      <c r="Z1082" s="309">
        <f>Y1082*(1+VLOOKUP($F1082,'GL Category'!$A:$H,4,FALSE))</f>
        <v>13005</v>
      </c>
      <c r="AA1082" s="615"/>
      <c r="AB1082" s="622">
        <f t="shared" si="1456"/>
        <v>13005</v>
      </c>
      <c r="AC1082" s="633">
        <f>AB1082*(1+VLOOKUP($F1082,'GL Category'!$A:$H,5,FALSE))</f>
        <v>13265.1</v>
      </c>
      <c r="AD1082" s="307"/>
      <c r="AE1082" s="622">
        <f t="shared" si="1457"/>
        <v>13265.1</v>
      </c>
      <c r="AF1082" s="633">
        <f>AE1082*(1+VLOOKUP($F1082,'GL Category'!$A:$H,6,FALSE))</f>
        <v>13530.402</v>
      </c>
      <c r="AG1082" s="307"/>
      <c r="AH1082" s="622">
        <f t="shared" si="1458"/>
        <v>13530.402</v>
      </c>
      <c r="AI1082" s="633">
        <f>AH1082*(1+VLOOKUP($F1082,'GL Category'!$A:$H,7,FALSE))</f>
        <v>13801.010040000001</v>
      </c>
      <c r="AJ1082" s="307"/>
      <c r="AK1082" s="622">
        <f t="shared" si="1459"/>
        <v>13801.010040000001</v>
      </c>
      <c r="AL1082" s="633">
        <f>AK1082*(1+VLOOKUP($F1082,'GL Category'!$A:$H,8,FALSE))</f>
        <v>14077.030240800001</v>
      </c>
      <c r="AM1082" s="307"/>
      <c r="AN1082" s="622">
        <f t="shared" si="1460"/>
        <v>14077.030240800001</v>
      </c>
      <c r="AO1082" s="300"/>
      <c r="AP1082" s="300"/>
      <c r="AQ1082" s="192"/>
    </row>
    <row r="1083" spans="1:43" s="115" customFormat="1" ht="15" customHeight="1">
      <c r="A1083" s="555"/>
      <c r="B1083" s="217"/>
      <c r="C1083" s="217">
        <v>30</v>
      </c>
      <c r="D1083" s="101" t="str">
        <f t="shared" si="1439"/>
        <v/>
      </c>
      <c r="E1083" s="217"/>
      <c r="F1083" s="294" t="s">
        <v>176</v>
      </c>
      <c r="G1083" s="295" t="str">
        <f>VLOOKUP(F1083,'GL Category'!A:C,3,FALSE)</f>
        <v>Operations &amp; maintenance</v>
      </c>
      <c r="H1083" s="98" t="str">
        <f>VLOOKUP(F1083,'GL Category'!A:C,2,FALSE)</f>
        <v>OFFICE EQUIPMENT MAINTENANCE</v>
      </c>
      <c r="I1083" s="99">
        <f>SUMIFS(I$1:I1076,$C$1:$C1076,$C1083,$F$1:$F1076,$F1083)</f>
        <v>1083.5899999999999</v>
      </c>
      <c r="J1083" s="99">
        <f>SUMIFS(J$1:J1076,$C$1:$C1076,$C1083,$F$1:$F1076,$F1083)</f>
        <v>1796</v>
      </c>
      <c r="K1083" s="99">
        <f>SUMIFS(K$1:K1076,$C$1:$C1076,$C1083,$F$1:$F1076,$F1083)</f>
        <v>0</v>
      </c>
      <c r="L1083" s="99">
        <f>SUMIFS(L$1:L1076,$C$1:$C1076,$C1083,$F$1:$F1076,$F1083)</f>
        <v>0</v>
      </c>
      <c r="M1083" s="99">
        <f>SUMIFS(M$1:M1076,$C$1:$C1076,$C1083,$F$1:$F1076,$F1083)</f>
        <v>2400</v>
      </c>
      <c r="N1083" s="99">
        <f>SUMIFS(N$1:N1076,$C$1:$C1076,$C1083,$F$1:$F1076,$F1083)</f>
        <v>1789.88</v>
      </c>
      <c r="O1083" s="99">
        <f>SUMIFS(O$1:O1076,$C$1:$C1076,$C1083,$F$1:$F1076,$F1083)</f>
        <v>2400</v>
      </c>
      <c r="P1083" s="99">
        <f t="shared" si="1452"/>
        <v>0</v>
      </c>
      <c r="Q1083" s="99">
        <f>SUMIFS(Q$1:Q1076,$C$1:$C1076,$C1083,$F$1:$F1076,$F1083)</f>
        <v>2400</v>
      </c>
      <c r="R1083" s="99">
        <f>SUMIFS(R$1:R1076,$C$1:$C1076,$C1083,$F$1:$F1076,$F1083)</f>
        <v>0</v>
      </c>
      <c r="S1083" s="99">
        <f>SUMIFS(S$1:S1076,$C$1:$C1076,$C1083,$F$1:$F1076,$F1083)</f>
        <v>0</v>
      </c>
      <c r="T1083" s="99">
        <f>SUMIFS(T$1:T1076,$C$1:$C1076,$C1083,$F$1:$F1076,$F1083)</f>
        <v>2400</v>
      </c>
      <c r="U1083" s="99">
        <f t="shared" si="1453"/>
        <v>0</v>
      </c>
      <c r="V1083" s="255">
        <f t="shared" si="1454"/>
        <v>0</v>
      </c>
      <c r="W1083" s="102"/>
      <c r="X1083" s="102"/>
      <c r="Y1083" s="102">
        <f t="shared" si="1455"/>
        <v>2400</v>
      </c>
      <c r="Z1083" s="309">
        <f>Y1083*(1+VLOOKUP($F1083,'GL Category'!$A:$H,4,FALSE))</f>
        <v>2448</v>
      </c>
      <c r="AA1083" s="615"/>
      <c r="AB1083" s="622">
        <f t="shared" si="1456"/>
        <v>2448</v>
      </c>
      <c r="AC1083" s="633">
        <f>AB1083*(1+VLOOKUP($F1083,'GL Category'!$A:$H,5,FALSE))</f>
        <v>2496.96</v>
      </c>
      <c r="AD1083" s="307"/>
      <c r="AE1083" s="622">
        <f t="shared" si="1457"/>
        <v>2496.96</v>
      </c>
      <c r="AF1083" s="633">
        <f>AE1083*(1+VLOOKUP($F1083,'GL Category'!$A:$H,6,FALSE))</f>
        <v>2546.8992000000003</v>
      </c>
      <c r="AG1083" s="307"/>
      <c r="AH1083" s="622">
        <f t="shared" si="1458"/>
        <v>2546.8992000000003</v>
      </c>
      <c r="AI1083" s="633">
        <f>AH1083*(1+VLOOKUP($F1083,'GL Category'!$A:$H,7,FALSE))</f>
        <v>2597.8371840000004</v>
      </c>
      <c r="AJ1083" s="307"/>
      <c r="AK1083" s="622">
        <f t="shared" si="1459"/>
        <v>2597.8371840000004</v>
      </c>
      <c r="AL1083" s="633">
        <f>AK1083*(1+VLOOKUP($F1083,'GL Category'!$A:$H,8,FALSE))</f>
        <v>2649.7939276800007</v>
      </c>
      <c r="AM1083" s="307"/>
      <c r="AN1083" s="622">
        <f t="shared" si="1460"/>
        <v>2649.7939276800007</v>
      </c>
      <c r="AO1083" s="300"/>
      <c r="AP1083" s="300"/>
      <c r="AQ1083" s="192"/>
    </row>
    <row r="1084" spans="1:43" s="115" customFormat="1" ht="15" customHeight="1">
      <c r="A1084" s="555"/>
      <c r="B1084" s="217"/>
      <c r="C1084" s="217">
        <v>30</v>
      </c>
      <c r="D1084" s="101" t="str">
        <f t="shared" si="1439"/>
        <v/>
      </c>
      <c r="E1084" s="217"/>
      <c r="F1084" s="294" t="s">
        <v>178</v>
      </c>
      <c r="G1084" s="295" t="str">
        <f>VLOOKUP(F1084,'GL Category'!A:C,3,FALSE)</f>
        <v>Operations &amp; maintenance</v>
      </c>
      <c r="H1084" s="98" t="str">
        <f>VLOOKUP(F1084,'GL Category'!A:C,2,FALSE)</f>
        <v>SOFTWARE LICENSE &amp; MAINTENANCE</v>
      </c>
      <c r="I1084" s="99">
        <f>SUMIFS(I$1:I1078,$C$1:$C1078,$C1084,$F$1:$F1078,$F1084)</f>
        <v>0</v>
      </c>
      <c r="J1084" s="99">
        <f>SUMIFS(J$1:J1078,$C$1:$C1078,$C1084,$F$1:$F1078,$F1084)</f>
        <v>0</v>
      </c>
      <c r="K1084" s="99">
        <f>SUMIFS(K$1:K1078,$C$1:$C1078,$C1084,$F$1:$F1078,$F1084)</f>
        <v>0</v>
      </c>
      <c r="L1084" s="99">
        <f>SUMIFS(L$1:L1078,$C$1:$C1078,$C1084,$F$1:$F1078,$F1084)</f>
        <v>0</v>
      </c>
      <c r="M1084" s="99">
        <f>SUMIFS(M$1:M1078,$C$1:$C1078,$C1084,$F$1:$F1078,$F1084)</f>
        <v>0</v>
      </c>
      <c r="N1084" s="99">
        <f>SUMIFS(N$1:N1078,$C$1:$C1078,$C1084,$F$1:$F1078,$F1084)</f>
        <v>0</v>
      </c>
      <c r="O1084" s="99">
        <f>SUMIFS(O$1:O1078,$C$1:$C1078,$C1084,$F$1:$F1078,$F1084)</f>
        <v>0</v>
      </c>
      <c r="P1084" s="99">
        <f t="shared" si="1452"/>
        <v>0</v>
      </c>
      <c r="Q1084" s="99">
        <f>SUMIFS(Q$1:Q1078,$C$1:$C1078,$C1084,$F$1:$F1078,$F1084)</f>
        <v>0</v>
      </c>
      <c r="R1084" s="99">
        <f>SUMIFS(R$1:R1078,$C$1:$C1078,$C1084,$F$1:$F1078,$F1084)</f>
        <v>0</v>
      </c>
      <c r="S1084" s="99">
        <f>SUMIFS(S$1:S1078,$C$1:$C1078,$C1084,$F$1:$F1078,$F1084)</f>
        <v>0</v>
      </c>
      <c r="T1084" s="99">
        <f>SUMIFS(T$1:T1078,$C$1:$C1078,$C1084,$F$1:$F1078,$F1084)</f>
        <v>0</v>
      </c>
      <c r="U1084" s="99">
        <f t="shared" si="1453"/>
        <v>0</v>
      </c>
      <c r="V1084" s="255" t="str">
        <f t="shared" si="1454"/>
        <v>N/A</v>
      </c>
      <c r="W1084" s="102"/>
      <c r="X1084" s="102"/>
      <c r="Y1084" s="102">
        <f t="shared" si="1455"/>
        <v>0</v>
      </c>
      <c r="Z1084" s="309">
        <f>Y1084*(1+VLOOKUP($F1084,'GL Category'!$A:$H,4,FALSE))</f>
        <v>0</v>
      </c>
      <c r="AA1084" s="615"/>
      <c r="AB1084" s="622">
        <f t="shared" si="1456"/>
        <v>0</v>
      </c>
      <c r="AC1084" s="633">
        <f>AB1084*(1+VLOOKUP($F1084,'GL Category'!$A:$H,5,FALSE))</f>
        <v>0</v>
      </c>
      <c r="AD1084" s="307"/>
      <c r="AE1084" s="622">
        <f t="shared" si="1457"/>
        <v>0</v>
      </c>
      <c r="AF1084" s="633">
        <f>AE1084*(1+VLOOKUP($F1084,'GL Category'!$A:$H,6,FALSE))</f>
        <v>0</v>
      </c>
      <c r="AG1084" s="307"/>
      <c r="AH1084" s="622">
        <f t="shared" si="1458"/>
        <v>0</v>
      </c>
      <c r="AI1084" s="633">
        <f>AH1084*(1+VLOOKUP($F1084,'GL Category'!$A:$H,7,FALSE))</f>
        <v>0</v>
      </c>
      <c r="AJ1084" s="307"/>
      <c r="AK1084" s="622">
        <f t="shared" si="1459"/>
        <v>0</v>
      </c>
      <c r="AL1084" s="633">
        <f>AK1084*(1+VLOOKUP($F1084,'GL Category'!$A:$H,8,FALSE))</f>
        <v>0</v>
      </c>
      <c r="AM1084" s="307"/>
      <c r="AN1084" s="622">
        <f t="shared" si="1460"/>
        <v>0</v>
      </c>
      <c r="AO1084" s="300"/>
      <c r="AP1084" s="300"/>
      <c r="AQ1084" s="192"/>
    </row>
    <row r="1085" spans="1:43" s="115" customFormat="1" ht="15" customHeight="1">
      <c r="A1085" s="555"/>
      <c r="B1085" s="217"/>
      <c r="C1085" s="217">
        <v>30</v>
      </c>
      <c r="D1085" s="101" t="str">
        <f t="shared" si="1439"/>
        <v/>
      </c>
      <c r="E1085" s="217"/>
      <c r="F1085" s="294" t="s">
        <v>180</v>
      </c>
      <c r="G1085" s="295" t="str">
        <f>VLOOKUP(F1085,'GL Category'!A:C,3,FALSE)</f>
        <v>Operations &amp; maintenance</v>
      </c>
      <c r="H1085" s="98" t="str">
        <f>VLOOKUP(F1085,'GL Category'!A:C,2,FALSE)</f>
        <v>A/C &amp; HEATING MAINTENANCE</v>
      </c>
      <c r="I1085" s="99">
        <f>SUMIFS(I$1:I1079,$C$1:$C1079,$C1085,$F$1:$F1079,$F1085)</f>
        <v>35268.75</v>
      </c>
      <c r="J1085" s="99">
        <f>SUMIFS(J$1:J1079,$C$1:$C1079,$C1085,$F$1:$F1079,$F1085)</f>
        <v>53663.47</v>
      </c>
      <c r="K1085" s="99">
        <f>SUMIFS(K$1:K1079,$C$1:$C1079,$C1085,$F$1:$F1079,$F1085)</f>
        <v>79041.42</v>
      </c>
      <c r="L1085" s="99">
        <f>SUMIFS(L$1:L1079,$C$1:$C1079,$C1085,$F$1:$F1079,$F1085)</f>
        <v>57873.24</v>
      </c>
      <c r="M1085" s="99">
        <f>SUMIFS(M$1:M1079,$C$1:$C1079,$C1085,$F$1:$F1079,$F1085)</f>
        <v>66300</v>
      </c>
      <c r="N1085" s="99">
        <f>SUMIFS(N$1:N1079,$C$1:$C1079,$C1085,$F$1:$F1079,$F1085)</f>
        <v>41838.04</v>
      </c>
      <c r="O1085" s="99">
        <f>SUMIFS(O$1:O1079,$C$1:$C1079,$C1085,$F$1:$F1079,$F1085)</f>
        <v>72000</v>
      </c>
      <c r="P1085" s="99">
        <f t="shared" si="1452"/>
        <v>5700</v>
      </c>
      <c r="Q1085" s="99">
        <f>SUMIFS(Q$1:Q1079,$C$1:$C1079,$C1085,$F$1:$F1079,$F1085)</f>
        <v>66300</v>
      </c>
      <c r="R1085" s="99">
        <f>SUMIFS(R$1:R1079,$C$1:$C1079,$C1085,$F$1:$F1079,$F1085)</f>
        <v>0</v>
      </c>
      <c r="S1085" s="99">
        <f>SUMIFS(S$1:S1079,$C$1:$C1079,$C1085,$F$1:$F1079,$F1085)</f>
        <v>0</v>
      </c>
      <c r="T1085" s="99">
        <f>SUMIFS(T$1:T1079,$C$1:$C1079,$C1085,$F$1:$F1079,$F1085)</f>
        <v>66300</v>
      </c>
      <c r="U1085" s="99">
        <f t="shared" si="1453"/>
        <v>0</v>
      </c>
      <c r="V1085" s="255">
        <f t="shared" si="1454"/>
        <v>0</v>
      </c>
      <c r="W1085" s="102"/>
      <c r="X1085" s="102"/>
      <c r="Y1085" s="102">
        <f t="shared" si="1455"/>
        <v>66300</v>
      </c>
      <c r="Z1085" s="309">
        <f>Y1085*(1+VLOOKUP($F1085,'GL Category'!$A:$H,4,FALSE))</f>
        <v>67626</v>
      </c>
      <c r="AA1085" s="615"/>
      <c r="AB1085" s="622">
        <f t="shared" si="1456"/>
        <v>67626</v>
      </c>
      <c r="AC1085" s="633">
        <f>AB1085*(1+VLOOKUP($F1085,'GL Category'!$A:$H,5,FALSE))</f>
        <v>68978.52</v>
      </c>
      <c r="AD1085" s="307"/>
      <c r="AE1085" s="622">
        <f t="shared" si="1457"/>
        <v>68978.52</v>
      </c>
      <c r="AF1085" s="633">
        <f>AE1085*(1+VLOOKUP($F1085,'GL Category'!$A:$H,6,FALSE))</f>
        <v>70358.090400000001</v>
      </c>
      <c r="AG1085" s="307"/>
      <c r="AH1085" s="622">
        <f t="shared" si="1458"/>
        <v>70358.090400000001</v>
      </c>
      <c r="AI1085" s="633">
        <f>AH1085*(1+VLOOKUP($F1085,'GL Category'!$A:$H,7,FALSE))</f>
        <v>71765.252208000005</v>
      </c>
      <c r="AJ1085" s="307"/>
      <c r="AK1085" s="622">
        <f t="shared" si="1459"/>
        <v>71765.252208000005</v>
      </c>
      <c r="AL1085" s="633">
        <f>AK1085*(1+VLOOKUP($F1085,'GL Category'!$A:$H,8,FALSE))</f>
        <v>73200.557252160012</v>
      </c>
      <c r="AM1085" s="307"/>
      <c r="AN1085" s="622">
        <f t="shared" si="1460"/>
        <v>73200.557252160012</v>
      </c>
      <c r="AO1085" s="300"/>
      <c r="AP1085" s="300"/>
      <c r="AQ1085" s="192"/>
    </row>
    <row r="1086" spans="1:43" s="115" customFormat="1" ht="26.4" customHeight="1">
      <c r="A1086" s="555"/>
      <c r="B1086" s="217"/>
      <c r="C1086" s="217"/>
      <c r="D1086" s="101"/>
      <c r="E1086" s="217"/>
      <c r="F1086" s="294"/>
      <c r="G1086" s="295"/>
      <c r="H1086" s="107" t="str">
        <f>UPPER(G1085)&amp;" TOTAL"</f>
        <v>OPERATIONS &amp; MAINTENANCE TOTAL</v>
      </c>
      <c r="I1086" s="109">
        <f t="shared" ref="I1086:T1086" si="1463">SUBTOTAL(9,I1067:I1085)</f>
        <v>330653.43000000005</v>
      </c>
      <c r="J1086" s="109">
        <f t="shared" si="1463"/>
        <v>379430.83999999997</v>
      </c>
      <c r="K1086" s="109">
        <f t="shared" si="1463"/>
        <v>517107.48999999987</v>
      </c>
      <c r="L1086" s="109">
        <f t="shared" si="1463"/>
        <v>503456.16999999993</v>
      </c>
      <c r="M1086" s="109">
        <f t="shared" si="1463"/>
        <v>471400</v>
      </c>
      <c r="N1086" s="109">
        <f t="shared" si="1463"/>
        <v>354137.11000000004</v>
      </c>
      <c r="O1086" s="109">
        <f t="shared" si="1463"/>
        <v>495450</v>
      </c>
      <c r="P1086" s="109">
        <f t="shared" si="1463"/>
        <v>24050</v>
      </c>
      <c r="Q1086" s="109">
        <f t="shared" si="1463"/>
        <v>469800</v>
      </c>
      <c r="R1086" s="109">
        <f t="shared" si="1463"/>
        <v>0</v>
      </c>
      <c r="S1086" s="109">
        <f t="shared" si="1463"/>
        <v>0</v>
      </c>
      <c r="T1086" s="109">
        <f t="shared" si="1463"/>
        <v>469800</v>
      </c>
      <c r="U1086" s="99">
        <f t="shared" si="1453"/>
        <v>-1600</v>
      </c>
      <c r="V1086" s="255">
        <f t="shared" si="1454"/>
        <v>-3.3941450997030387E-3</v>
      </c>
      <c r="W1086" s="102"/>
      <c r="X1086" s="102"/>
      <c r="Y1086" s="102"/>
      <c r="Z1086" s="192"/>
      <c r="AA1086" s="615"/>
      <c r="AB1086" s="307"/>
      <c r="AC1086" s="94"/>
      <c r="AD1086" s="94"/>
      <c r="AE1086" s="94"/>
      <c r="AF1086" s="94"/>
      <c r="AG1086" s="94"/>
      <c r="AH1086" s="307"/>
      <c r="AI1086" s="307"/>
      <c r="AJ1086" s="94"/>
      <c r="AK1086" s="94"/>
      <c r="AL1086" s="94"/>
      <c r="AM1086" s="94"/>
      <c r="AN1086" s="94"/>
      <c r="AO1086" s="94"/>
      <c r="AP1086" s="94"/>
      <c r="AQ1086" s="192"/>
    </row>
    <row r="1087" spans="1:43" s="115" customFormat="1" ht="15" customHeight="1">
      <c r="A1087" s="555"/>
      <c r="B1087" s="217"/>
      <c r="C1087" s="217"/>
      <c r="D1087" s="101"/>
      <c r="E1087" s="217"/>
      <c r="F1087" s="294"/>
      <c r="G1087" s="295"/>
      <c r="H1087" s="98"/>
      <c r="I1087" s="106"/>
      <c r="J1087" s="106"/>
      <c r="K1087" s="106"/>
      <c r="L1087" s="106"/>
      <c r="M1087" s="106"/>
      <c r="N1087" s="112"/>
      <c r="O1087" s="112"/>
      <c r="P1087" s="112"/>
      <c r="Q1087" s="113"/>
      <c r="R1087" s="113"/>
      <c r="S1087" s="113"/>
      <c r="T1087" s="113"/>
      <c r="U1087" s="99"/>
      <c r="V1087" s="255"/>
      <c r="W1087" s="102"/>
      <c r="X1087" s="102"/>
      <c r="Y1087" s="102"/>
      <c r="Z1087" s="192"/>
      <c r="AA1087" s="615"/>
      <c r="AB1087" s="307"/>
      <c r="AC1087" s="93"/>
      <c r="AD1087" s="93"/>
      <c r="AE1087" s="93"/>
      <c r="AF1087" s="93"/>
      <c r="AG1087" s="93"/>
      <c r="AH1087" s="307"/>
      <c r="AI1087" s="307"/>
      <c r="AJ1087" s="93"/>
      <c r="AK1087" s="93"/>
      <c r="AL1087" s="93"/>
      <c r="AM1087" s="93"/>
      <c r="AN1087" s="93"/>
      <c r="AO1087" s="93"/>
      <c r="AP1087" s="93"/>
      <c r="AQ1087" s="192"/>
    </row>
    <row r="1088" spans="1:43" s="115" customFormat="1" ht="15" customHeight="1">
      <c r="A1088" s="555"/>
      <c r="B1088" s="217"/>
      <c r="C1088" s="217">
        <v>30</v>
      </c>
      <c r="D1088" s="101" t="str">
        <f t="shared" si="1439"/>
        <v/>
      </c>
      <c r="E1088" s="217"/>
      <c r="F1088" s="294" t="s">
        <v>186</v>
      </c>
      <c r="G1088" s="295" t="str">
        <f>VLOOKUP(F1088,'GL Category'!A:C,3,FALSE)</f>
        <v>Services &amp; other</v>
      </c>
      <c r="H1088" s="98" t="str">
        <f>VLOOKUP(F1088,'GL Category'!A:C,2,FALSE)</f>
        <v>ATTORNEY &amp; LEGAL SERVICES</v>
      </c>
      <c r="I1088" s="99">
        <f>SUMIFS(I$1:I1082,$C$1:$C1082,$C1088,$F$1:$F1082,$F1088)</f>
        <v>3900</v>
      </c>
      <c r="J1088" s="99">
        <f>SUMIFS(J$1:J1082,$C$1:$C1082,$C1088,$F$1:$F1082,$F1088)</f>
        <v>0</v>
      </c>
      <c r="K1088" s="99">
        <f>SUMIFS(K$1:K1082,$C$1:$C1082,$C1088,$F$1:$F1082,$F1088)</f>
        <v>0</v>
      </c>
      <c r="L1088" s="99">
        <f>SUMIFS(L$1:L1082,$C$1:$C1082,$C1088,$F$1:$F1082,$F1088)</f>
        <v>0</v>
      </c>
      <c r="M1088" s="99">
        <f>SUMIFS(M$1:M1082,$C$1:$C1082,$C1088,$F$1:$F1082,$F1088)</f>
        <v>0</v>
      </c>
      <c r="N1088" s="99">
        <f>SUMIFS(N$1:N1082,$C$1:$C1082,$C1088,$F$1:$F1082,$F1088)</f>
        <v>0</v>
      </c>
      <c r="O1088" s="99">
        <f>SUMIFS(O$1:O1082,$C$1:$C1082,$C1088,$F$1:$F1082,$F1088)</f>
        <v>0</v>
      </c>
      <c r="P1088" s="99">
        <f t="shared" ref="P1088:P1110" si="1464">O1088-M1088</f>
        <v>0</v>
      </c>
      <c r="Q1088" s="99">
        <f>SUMIFS(Q$1:Q1082,$C$1:$C1082,$C1088,$F$1:$F1082,$F1088)</f>
        <v>0</v>
      </c>
      <c r="R1088" s="99">
        <f>SUMIFS(R$1:R1082,$C$1:$C1082,$C1088,$F$1:$F1082,$F1088)</f>
        <v>0</v>
      </c>
      <c r="S1088" s="99">
        <f>SUMIFS(S$1:S1082,$C$1:$C1082,$C1088,$F$1:$F1082,$F1088)</f>
        <v>0</v>
      </c>
      <c r="T1088" s="99">
        <f>SUMIFS(T$1:T1082,$C$1:$C1082,$C1088,$F$1:$F1082,$F1088)</f>
        <v>0</v>
      </c>
      <c r="U1088" s="99">
        <f t="shared" ref="U1088:U1111" si="1465">T1088-M1088</f>
        <v>0</v>
      </c>
      <c r="V1088" s="255" t="str">
        <f t="shared" ref="V1088:V1111" si="1466">IF(M1088=0,"N/A",T1088/M1088-1)</f>
        <v>N/A</v>
      </c>
      <c r="W1088" s="102"/>
      <c r="X1088" s="102"/>
      <c r="Y1088" s="102">
        <f t="shared" ref="Y1088:Y1110" si="1467">T1088-X1088</f>
        <v>0</v>
      </c>
      <c r="Z1088" s="309">
        <f>Y1088*(1+VLOOKUP($F1088,'GL Category'!$A:$H,4,FALSE))</f>
        <v>0</v>
      </c>
      <c r="AA1088" s="615"/>
      <c r="AB1088" s="622">
        <f t="shared" ref="AB1088:AB1110" si="1468">Z1088+AA1088</f>
        <v>0</v>
      </c>
      <c r="AC1088" s="633">
        <f>AB1088*(1+VLOOKUP($F1088,'GL Category'!$A:$H,5,FALSE))</f>
        <v>0</v>
      </c>
      <c r="AD1088" s="307"/>
      <c r="AE1088" s="622">
        <f t="shared" ref="AE1088:AE1110" si="1469">AC1088+AD1088</f>
        <v>0</v>
      </c>
      <c r="AF1088" s="633">
        <f>AE1088*(1+VLOOKUP($F1088,'GL Category'!$A:$H,6,FALSE))</f>
        <v>0</v>
      </c>
      <c r="AG1088" s="307"/>
      <c r="AH1088" s="622">
        <f t="shared" ref="AH1088:AH1110" si="1470">AF1088+AG1088</f>
        <v>0</v>
      </c>
      <c r="AI1088" s="633">
        <f>AH1088*(1+VLOOKUP($F1088,'GL Category'!$A:$H,7,FALSE))</f>
        <v>0</v>
      </c>
      <c r="AJ1088" s="307"/>
      <c r="AK1088" s="622">
        <f t="shared" ref="AK1088:AK1110" si="1471">AI1088+AJ1088</f>
        <v>0</v>
      </c>
      <c r="AL1088" s="633">
        <f>AK1088*(1+VLOOKUP($F1088,'GL Category'!$A:$H,8,FALSE))</f>
        <v>0</v>
      </c>
      <c r="AM1088" s="307"/>
      <c r="AN1088" s="622">
        <f t="shared" ref="AN1088:AN1110" si="1472">AL1088+AM1088</f>
        <v>0</v>
      </c>
      <c r="AO1088" s="300"/>
      <c r="AP1088" s="300"/>
      <c r="AQ1088" s="192"/>
    </row>
    <row r="1089" spans="1:43" s="115" customFormat="1" ht="15" customHeight="1">
      <c r="A1089" s="555"/>
      <c r="B1089" s="217"/>
      <c r="C1089" s="217">
        <v>30</v>
      </c>
      <c r="D1089" s="101" t="str">
        <f t="shared" si="1439"/>
        <v/>
      </c>
      <c r="E1089" s="217"/>
      <c r="F1089" s="556" t="s">
        <v>237</v>
      </c>
      <c r="G1089" s="295" t="str">
        <f>VLOOKUP(F1089,'GL Category'!A:C,3,FALSE)</f>
        <v>Services &amp; other</v>
      </c>
      <c r="H1089" s="98" t="str">
        <f>VLOOKUP(F1089,'GL Category'!A:C,2,FALSE)</f>
        <v>MISCELLANEOUS SERVICES</v>
      </c>
      <c r="I1089" s="99">
        <f>SUMIFS(I$1:I1083,$C$1:$C1083,$C1089,$F$1:$F1083,$F1089)</f>
        <v>24029.68</v>
      </c>
      <c r="J1089" s="99">
        <f>SUMIFS(J$1:J1083,$C$1:$C1083,$C1089,$F$1:$F1083,$F1089)</f>
        <v>42236.81</v>
      </c>
      <c r="K1089" s="99">
        <f>SUMIFS(K$1:K1083,$C$1:$C1083,$C1089,$F$1:$F1083,$F1089)</f>
        <v>55565.55</v>
      </c>
      <c r="L1089" s="99">
        <f>SUMIFS(L$1:L1083,$C$1:$C1083,$C1089,$F$1:$F1083,$F1089)</f>
        <v>77500.08</v>
      </c>
      <c r="M1089" s="99">
        <f>SUMIFS(M$1:M1083,$C$1:$C1083,$C1089,$F$1:$F1083,$F1089)</f>
        <v>62500</v>
      </c>
      <c r="N1089" s="99">
        <f>SUMIFS(N$1:N1083,$C$1:$C1083,$C1089,$F$1:$F1083,$F1089)</f>
        <v>42831.1</v>
      </c>
      <c r="O1089" s="99">
        <f>SUMIFS(O$1:O1083,$C$1:$C1083,$C1089,$F$1:$F1083,$F1089)</f>
        <v>80500</v>
      </c>
      <c r="P1089" s="99">
        <f t="shared" si="1464"/>
        <v>18000</v>
      </c>
      <c r="Q1089" s="99">
        <f>SUMIFS(Q$1:Q1083,$C$1:$C1083,$C1089,$F$1:$F1083,$F1089)</f>
        <v>81584</v>
      </c>
      <c r="R1089" s="99">
        <f>SUMIFS(R$1:R1083,$C$1:$C1083,$C1089,$F$1:$F1083,$F1089)</f>
        <v>0</v>
      </c>
      <c r="S1089" s="99">
        <f>SUMIFS(S$1:S1083,$C$1:$C1083,$C1089,$F$1:$F1083,$F1089)</f>
        <v>0</v>
      </c>
      <c r="T1089" s="99">
        <f>SUMIFS(T$1:T1083,$C$1:$C1083,$C1089,$F$1:$F1083,$F1089)</f>
        <v>81584</v>
      </c>
      <c r="U1089" s="99">
        <f t="shared" si="1465"/>
        <v>19084</v>
      </c>
      <c r="V1089" s="255">
        <f t="shared" si="1466"/>
        <v>0.30534400000000006</v>
      </c>
      <c r="W1089" s="102"/>
      <c r="X1089" s="102"/>
      <c r="Y1089" s="102">
        <f t="shared" si="1467"/>
        <v>81584</v>
      </c>
      <c r="Z1089" s="309">
        <f>Y1089*(1+VLOOKUP($F1089,'GL Category'!$A:$H,4,FALSE))</f>
        <v>84031.52</v>
      </c>
      <c r="AA1089" s="615"/>
      <c r="AB1089" s="622">
        <f t="shared" si="1468"/>
        <v>84031.52</v>
      </c>
      <c r="AC1089" s="633">
        <f>AB1089*(1+VLOOKUP($F1089,'GL Category'!$A:$H,5,FALSE))</f>
        <v>86552.46560000001</v>
      </c>
      <c r="AD1089" s="615"/>
      <c r="AE1089" s="622">
        <f t="shared" si="1469"/>
        <v>86552.46560000001</v>
      </c>
      <c r="AF1089" s="633">
        <f>AE1089*(1+VLOOKUP($F1089,'GL Category'!$A:$H,6,FALSE))</f>
        <v>89149.039568000007</v>
      </c>
      <c r="AG1089" s="615"/>
      <c r="AH1089" s="622">
        <f t="shared" si="1470"/>
        <v>89149.039568000007</v>
      </c>
      <c r="AI1089" s="633">
        <f>AH1089*(1+VLOOKUP($F1089,'GL Category'!$A:$H,7,FALSE))</f>
        <v>91823.510755040013</v>
      </c>
      <c r="AJ1089" s="615"/>
      <c r="AK1089" s="622">
        <f t="shared" si="1471"/>
        <v>91823.510755040013</v>
      </c>
      <c r="AL1089" s="633">
        <f>AK1089*(1+VLOOKUP($F1089,'GL Category'!$A:$H,8,FALSE))</f>
        <v>94578.216077691221</v>
      </c>
      <c r="AM1089" s="615"/>
      <c r="AN1089" s="622">
        <f t="shared" si="1472"/>
        <v>94578.216077691221</v>
      </c>
      <c r="AO1089" s="300"/>
      <c r="AP1089" s="300"/>
      <c r="AQ1089" s="192"/>
    </row>
    <row r="1090" spans="1:43" s="115" customFormat="1" ht="15" customHeight="1">
      <c r="A1090" s="555"/>
      <c r="B1090" s="217"/>
      <c r="C1090" s="217">
        <v>30</v>
      </c>
      <c r="D1090" s="101" t="str">
        <f t="shared" si="1439"/>
        <v/>
      </c>
      <c r="E1090" s="217"/>
      <c r="F1090" s="294" t="s">
        <v>189</v>
      </c>
      <c r="G1090" s="295" t="str">
        <f>VLOOKUP(F1090,'GL Category'!A:C,3,FALSE)</f>
        <v>Services &amp; other</v>
      </c>
      <c r="H1090" s="98" t="str">
        <f>VLOOKUP(F1090,'GL Category'!A:C,2,FALSE)</f>
        <v>DUES &amp; SUBSCRIPTIONS</v>
      </c>
      <c r="I1090" s="99">
        <f>SUMIFS(I$1:I1084,$C$1:$C1084,$C1090,$F$1:$F1084,$F1090)</f>
        <v>3689.91</v>
      </c>
      <c r="J1090" s="99">
        <f>SUMIFS(J$1:J1084,$C$1:$C1084,$C1090,$F$1:$F1084,$F1090)</f>
        <v>4737.16</v>
      </c>
      <c r="K1090" s="99">
        <f>SUMIFS(K$1:K1084,$C$1:$C1084,$C1090,$F$1:$F1084,$F1090)</f>
        <v>4817.83</v>
      </c>
      <c r="L1090" s="99">
        <f>SUMIFS(L$1:L1084,$C$1:$C1084,$C1090,$F$1:$F1084,$F1090)</f>
        <v>6777.8099999999995</v>
      </c>
      <c r="M1090" s="99">
        <f>SUMIFS(M$1:M1084,$C$1:$C1084,$C1090,$F$1:$F1084,$F1090)</f>
        <v>5900</v>
      </c>
      <c r="N1090" s="99">
        <f>SUMIFS(N$1:N1084,$C$1:$C1084,$C1090,$F$1:$F1084,$F1090)</f>
        <v>3025.95</v>
      </c>
      <c r="O1090" s="99">
        <f>SUMIFS(O$1:O1084,$C$1:$C1084,$C1090,$F$1:$F1084,$F1090)</f>
        <v>5900</v>
      </c>
      <c r="P1090" s="99">
        <f t="shared" si="1464"/>
        <v>0</v>
      </c>
      <c r="Q1090" s="99">
        <f>SUMIFS(Q$1:Q1084,$C$1:$C1084,$C1090,$F$1:$F1084,$F1090)</f>
        <v>5900</v>
      </c>
      <c r="R1090" s="99">
        <f>SUMIFS(R$1:R1084,$C$1:$C1084,$C1090,$F$1:$F1084,$F1090)</f>
        <v>0</v>
      </c>
      <c r="S1090" s="99">
        <f>SUMIFS(S$1:S1084,$C$1:$C1084,$C1090,$F$1:$F1084,$F1090)</f>
        <v>0</v>
      </c>
      <c r="T1090" s="99">
        <f>SUMIFS(T$1:T1084,$C$1:$C1084,$C1090,$F$1:$F1084,$F1090)</f>
        <v>5900</v>
      </c>
      <c r="U1090" s="99">
        <f t="shared" si="1465"/>
        <v>0</v>
      </c>
      <c r="V1090" s="255">
        <f t="shared" si="1466"/>
        <v>0</v>
      </c>
      <c r="W1090" s="102"/>
      <c r="X1090" s="102"/>
      <c r="Y1090" s="102">
        <f t="shared" si="1467"/>
        <v>5900</v>
      </c>
      <c r="Z1090" s="309">
        <f>Y1090*(1+VLOOKUP($F1090,'GL Category'!$A:$H,4,FALSE))</f>
        <v>6077</v>
      </c>
      <c r="AA1090" s="615"/>
      <c r="AB1090" s="622">
        <f t="shared" si="1468"/>
        <v>6077</v>
      </c>
      <c r="AC1090" s="633">
        <f>AB1090*(1+VLOOKUP($F1090,'GL Category'!$A:$H,5,FALSE))</f>
        <v>6259.31</v>
      </c>
      <c r="AD1090" s="307"/>
      <c r="AE1090" s="622">
        <f t="shared" si="1469"/>
        <v>6259.31</v>
      </c>
      <c r="AF1090" s="633">
        <f>AE1090*(1+VLOOKUP($F1090,'GL Category'!$A:$H,6,FALSE))</f>
        <v>6447.0893000000005</v>
      </c>
      <c r="AG1090" s="307"/>
      <c r="AH1090" s="622">
        <f t="shared" si="1470"/>
        <v>6447.0893000000005</v>
      </c>
      <c r="AI1090" s="633">
        <f>AH1090*(1+VLOOKUP($F1090,'GL Category'!$A:$H,7,FALSE))</f>
        <v>6640.5019790000006</v>
      </c>
      <c r="AJ1090" s="307"/>
      <c r="AK1090" s="622">
        <f t="shared" si="1471"/>
        <v>6640.5019790000006</v>
      </c>
      <c r="AL1090" s="633">
        <f>AK1090*(1+VLOOKUP($F1090,'GL Category'!$A:$H,8,FALSE))</f>
        <v>6839.7170383700004</v>
      </c>
      <c r="AM1090" s="307"/>
      <c r="AN1090" s="622">
        <f t="shared" si="1472"/>
        <v>6839.7170383700004</v>
      </c>
      <c r="AO1090" s="300"/>
      <c r="AP1090" s="300"/>
      <c r="AQ1090" s="192"/>
    </row>
    <row r="1091" spans="1:43" s="115" customFormat="1" ht="15" customHeight="1">
      <c r="A1091" s="555"/>
      <c r="B1091" s="217"/>
      <c r="C1091" s="217">
        <v>30</v>
      </c>
      <c r="D1091" s="101" t="str">
        <f t="shared" si="1439"/>
        <v/>
      </c>
      <c r="E1091" s="217"/>
      <c r="F1091" s="556" t="s">
        <v>264</v>
      </c>
      <c r="G1091" s="295" t="str">
        <f>VLOOKUP(F1091,'GL Category'!A:C,3,FALSE)</f>
        <v>Services &amp; other</v>
      </c>
      <c r="H1091" s="98" t="str">
        <f>VLOOKUP(F1091,'GL Category'!A:C,2,FALSE)</f>
        <v>TRAVEL, TRAINING &amp; EDUCATION</v>
      </c>
      <c r="I1091" s="99">
        <f>SUMIFS(I$1:I1085,$C$1:$C1085,$C1091,$F$1:$F1085,$F1091)</f>
        <v>26332.76</v>
      </c>
      <c r="J1091" s="99">
        <f>SUMIFS(J$1:J1085,$C$1:$C1085,$C1091,$F$1:$F1085,$F1091)</f>
        <v>40119.86</v>
      </c>
      <c r="K1091" s="99">
        <f>SUMIFS(K$1:K1085,$C$1:$C1085,$C1091,$F$1:$F1085,$F1091)</f>
        <v>37788.82</v>
      </c>
      <c r="L1091" s="99">
        <f>SUMIFS(L$1:L1085,$C$1:$C1085,$C1091,$F$1:$F1085,$F1091)</f>
        <v>50227.22</v>
      </c>
      <c r="M1091" s="99">
        <f>SUMIFS(M$1:M1085,$C$1:$C1085,$C1091,$F$1:$F1085,$F1091)</f>
        <v>55000</v>
      </c>
      <c r="N1091" s="99">
        <f>SUMIFS(N$1:N1085,$C$1:$C1085,$C1091,$F$1:$F1085,$F1091)</f>
        <v>37862.839999999997</v>
      </c>
      <c r="O1091" s="99">
        <f>SUMIFS(O$1:O1085,$C$1:$C1085,$C1091,$F$1:$F1085,$F1091)</f>
        <v>56500</v>
      </c>
      <c r="P1091" s="99">
        <f t="shared" si="1464"/>
        <v>1500</v>
      </c>
      <c r="Q1091" s="99">
        <f>SUMIFS(Q$1:Q1085,$C$1:$C1085,$C1091,$F$1:$F1085,$F1091)</f>
        <v>56000</v>
      </c>
      <c r="R1091" s="99">
        <f>SUMIFS(R$1:R1085,$C$1:$C1085,$C1091,$F$1:$F1085,$F1091)</f>
        <v>0</v>
      </c>
      <c r="S1091" s="99">
        <f>SUMIFS(S$1:S1085,$C$1:$C1085,$C1091,$F$1:$F1085,$F1091)</f>
        <v>0</v>
      </c>
      <c r="T1091" s="99">
        <f>SUMIFS(T$1:T1085,$C$1:$C1085,$C1091,$F$1:$F1085,$F1091)</f>
        <v>56000</v>
      </c>
      <c r="U1091" s="99">
        <f t="shared" si="1465"/>
        <v>1000</v>
      </c>
      <c r="V1091" s="255">
        <f t="shared" si="1466"/>
        <v>1.8181818181818077E-2</v>
      </c>
      <c r="W1091" s="102"/>
      <c r="X1091" s="102"/>
      <c r="Y1091" s="102">
        <f t="shared" si="1467"/>
        <v>56000</v>
      </c>
      <c r="Z1091" s="309">
        <f>Y1091*(1+VLOOKUP($F1091,'GL Category'!$A:$H,4,FALSE))</f>
        <v>57680</v>
      </c>
      <c r="AA1091" s="615"/>
      <c r="AB1091" s="622">
        <f t="shared" si="1468"/>
        <v>57680</v>
      </c>
      <c r="AC1091" s="633">
        <f>AB1091*(1+VLOOKUP($F1091,'GL Category'!$A:$H,5,FALSE))</f>
        <v>59410.400000000001</v>
      </c>
      <c r="AD1091" s="307"/>
      <c r="AE1091" s="622">
        <f t="shared" si="1469"/>
        <v>59410.400000000001</v>
      </c>
      <c r="AF1091" s="633">
        <f>AE1091*(1+VLOOKUP($F1091,'GL Category'!$A:$H,6,FALSE))</f>
        <v>61192.712</v>
      </c>
      <c r="AG1091" s="307"/>
      <c r="AH1091" s="622">
        <f t="shared" si="1470"/>
        <v>61192.712</v>
      </c>
      <c r="AI1091" s="633">
        <f>AH1091*(1+VLOOKUP($F1091,'GL Category'!$A:$H,7,FALSE))</f>
        <v>63028.49336</v>
      </c>
      <c r="AJ1091" s="307"/>
      <c r="AK1091" s="622">
        <f t="shared" si="1471"/>
        <v>63028.49336</v>
      </c>
      <c r="AL1091" s="633">
        <f>AK1091*(1+VLOOKUP($F1091,'GL Category'!$A:$H,8,FALSE))</f>
        <v>64919.3481608</v>
      </c>
      <c r="AM1091" s="307"/>
      <c r="AN1091" s="622">
        <f t="shared" si="1472"/>
        <v>64919.3481608</v>
      </c>
      <c r="AO1091" s="300"/>
      <c r="AP1091" s="300"/>
      <c r="AQ1091" s="192"/>
    </row>
    <row r="1092" spans="1:43" s="115" customFormat="1" ht="15" customHeight="1">
      <c r="A1092" s="555"/>
      <c r="B1092" s="217"/>
      <c r="C1092" s="217">
        <v>30</v>
      </c>
      <c r="D1092" s="101" t="str">
        <f t="shared" si="1439"/>
        <v/>
      </c>
      <c r="E1092" s="217"/>
      <c r="F1092" s="294" t="s">
        <v>192</v>
      </c>
      <c r="G1092" s="295" t="str">
        <f>VLOOKUP(F1092,'GL Category'!A:C,3,FALSE)</f>
        <v>Services &amp; other</v>
      </c>
      <c r="H1092" s="98" t="str">
        <f>VLOOKUP(F1092,'GL Category'!A:C,2,FALSE)</f>
        <v>CONSULTING SERVICES</v>
      </c>
      <c r="I1092" s="99">
        <f>SUMIFS(I$1:I1085,$C$1:$C1085,$C1092,$F$1:$F1085,$F1092)</f>
        <v>8500</v>
      </c>
      <c r="J1092" s="99">
        <f>SUMIFS(J$1:J1085,$C$1:$C1085,$C1092,$F$1:$F1085,$F1092)</f>
        <v>8500</v>
      </c>
      <c r="K1092" s="99">
        <f>SUMIFS(K$1:K1085,$C$1:$C1085,$C1092,$F$1:$F1085,$F1092)</f>
        <v>8500</v>
      </c>
      <c r="L1092" s="99">
        <f>SUMIFS(L$1:L1085,$C$1:$C1085,$C1092,$F$1:$F1085,$F1092)</f>
        <v>8500</v>
      </c>
      <c r="M1092" s="99">
        <f>SUMIFS(M$1:M1085,$C$1:$C1085,$C1092,$F$1:$F1085,$F1092)</f>
        <v>8500</v>
      </c>
      <c r="N1092" s="99">
        <f>SUMIFS(N$1:N1085,$C$1:$C1085,$C1092,$F$1:$F1085,$F1092)</f>
        <v>8500</v>
      </c>
      <c r="O1092" s="99">
        <f>SUMIFS(O$1:O1085,$C$1:$C1085,$C1092,$F$1:$F1085,$F1092)</f>
        <v>8500</v>
      </c>
      <c r="P1092" s="99">
        <f t="shared" ref="P1092" si="1473">O1092-M1092</f>
        <v>0</v>
      </c>
      <c r="Q1092" s="99">
        <f>SUMIFS(Q$1:Q1085,$C$1:$C1085,$C1092,$F$1:$F1085,$F1092)</f>
        <v>8500</v>
      </c>
      <c r="R1092" s="99">
        <f>SUMIFS(R$1:R1085,$C$1:$C1085,$C1092,$F$1:$F1085,$F1092)</f>
        <v>0</v>
      </c>
      <c r="S1092" s="99">
        <f>SUMIFS(S$1:S1085,$C$1:$C1085,$C1092,$F$1:$F1085,$F1092)</f>
        <v>0</v>
      </c>
      <c r="T1092" s="99">
        <f>SUMIFS(T$1:T1085,$C$1:$C1085,$C1092,$F$1:$F1085,$F1092)</f>
        <v>8500</v>
      </c>
      <c r="U1092" s="99">
        <f t="shared" si="1465"/>
        <v>0</v>
      </c>
      <c r="V1092" s="255">
        <f t="shared" si="1466"/>
        <v>0</v>
      </c>
      <c r="W1092" s="102"/>
      <c r="X1092" s="102"/>
      <c r="Y1092" s="102">
        <f t="shared" si="1467"/>
        <v>8500</v>
      </c>
      <c r="Z1092" s="309">
        <f>Y1092*(1+VLOOKUP($F1092,'GL Category'!$A:$H,4,FALSE))</f>
        <v>8755</v>
      </c>
      <c r="AA1092" s="615"/>
      <c r="AB1092" s="622">
        <f t="shared" si="1468"/>
        <v>8755</v>
      </c>
      <c r="AC1092" s="633">
        <f>AB1092*(1+VLOOKUP($F1092,'GL Category'!$A:$H,5,FALSE))</f>
        <v>9017.65</v>
      </c>
      <c r="AD1092" s="307"/>
      <c r="AE1092" s="622">
        <f t="shared" si="1469"/>
        <v>9017.65</v>
      </c>
      <c r="AF1092" s="633">
        <f>AE1092*(1+VLOOKUP($F1092,'GL Category'!$A:$H,6,FALSE))</f>
        <v>9288.1795000000002</v>
      </c>
      <c r="AG1092" s="307"/>
      <c r="AH1092" s="622">
        <f t="shared" si="1470"/>
        <v>9288.1795000000002</v>
      </c>
      <c r="AI1092" s="633">
        <f>AH1092*(1+VLOOKUP($F1092,'GL Category'!$A:$H,7,FALSE))</f>
        <v>9566.824885</v>
      </c>
      <c r="AJ1092" s="307"/>
      <c r="AK1092" s="622">
        <f t="shared" si="1471"/>
        <v>9566.824885</v>
      </c>
      <c r="AL1092" s="633">
        <f>AK1092*(1+VLOOKUP($F1092,'GL Category'!$A:$H,8,FALSE))</f>
        <v>9853.8296315500011</v>
      </c>
      <c r="AM1092" s="307"/>
      <c r="AN1092" s="622">
        <f t="shared" si="1472"/>
        <v>9853.8296315500011</v>
      </c>
      <c r="AO1092" s="300"/>
      <c r="AP1092" s="300"/>
      <c r="AQ1092" s="192"/>
    </row>
    <row r="1093" spans="1:43" s="115" customFormat="1" ht="15" customHeight="1">
      <c r="A1093" s="555"/>
      <c r="B1093" s="217"/>
      <c r="C1093" s="217">
        <v>30</v>
      </c>
      <c r="D1093" s="101" t="str">
        <f t="shared" si="1439"/>
        <v/>
      </c>
      <c r="E1093" s="217"/>
      <c r="F1093" s="294" t="s">
        <v>194</v>
      </c>
      <c r="G1093" s="295" t="str">
        <f>VLOOKUP(F1093,'GL Category'!A:C,3,FALSE)</f>
        <v>Services &amp; other</v>
      </c>
      <c r="H1093" s="98" t="str">
        <f>VLOOKUP(F1093,'GL Category'!A:C,2,FALSE)</f>
        <v>MEDICAL SERVICES</v>
      </c>
      <c r="I1093" s="99">
        <f>SUMIFS(I$1:I1086,$C$1:$C1086,$C1093,$F$1:$F1086,$F1093)</f>
        <v>1276</v>
      </c>
      <c r="J1093" s="99">
        <f>SUMIFS(J$1:J1086,$C$1:$C1086,$C1093,$F$1:$F1086,$F1093)</f>
        <v>2552</v>
      </c>
      <c r="K1093" s="99">
        <f>SUMIFS(K$1:K1086,$C$1:$C1086,$C1093,$F$1:$F1086,$F1093)</f>
        <v>0</v>
      </c>
      <c r="L1093" s="99">
        <f>SUMIFS(L$1:L1086,$C$1:$C1086,$C1093,$F$1:$F1086,$F1093)</f>
        <v>0</v>
      </c>
      <c r="M1093" s="99">
        <f>SUMIFS(M$1:M1086,$C$1:$C1086,$C1093,$F$1:$F1086,$F1093)</f>
        <v>2500</v>
      </c>
      <c r="N1093" s="99">
        <f>SUMIFS(N$1:N1086,$C$1:$C1086,$C1093,$F$1:$F1086,$F1093)</f>
        <v>0</v>
      </c>
      <c r="O1093" s="99">
        <f>SUMIFS(O$1:O1086,$C$1:$C1086,$C1093,$F$1:$F1086,$F1093)</f>
        <v>1000</v>
      </c>
      <c r="P1093" s="99">
        <f t="shared" si="1464"/>
        <v>-1500</v>
      </c>
      <c r="Q1093" s="99">
        <f>SUMIFS(Q$1:Q1086,$C$1:$C1086,$C1093,$F$1:$F1086,$F1093)</f>
        <v>2500</v>
      </c>
      <c r="R1093" s="99">
        <f>SUMIFS(R$1:R1086,$C$1:$C1086,$C1093,$F$1:$F1086,$F1093)</f>
        <v>0</v>
      </c>
      <c r="S1093" s="99">
        <f>SUMIFS(S$1:S1086,$C$1:$C1086,$C1093,$F$1:$F1086,$F1093)</f>
        <v>0</v>
      </c>
      <c r="T1093" s="99">
        <f>SUMIFS(T$1:T1086,$C$1:$C1086,$C1093,$F$1:$F1086,$F1093)</f>
        <v>2500</v>
      </c>
      <c r="U1093" s="99">
        <f t="shared" si="1465"/>
        <v>0</v>
      </c>
      <c r="V1093" s="255">
        <f t="shared" si="1466"/>
        <v>0</v>
      </c>
      <c r="W1093" s="102"/>
      <c r="X1093" s="102"/>
      <c r="Y1093" s="102">
        <f t="shared" si="1467"/>
        <v>2500</v>
      </c>
      <c r="Z1093" s="309">
        <f>Y1093*(1+VLOOKUP($F1093,'GL Category'!$A:$H,4,FALSE))</f>
        <v>2575</v>
      </c>
      <c r="AA1093" s="615"/>
      <c r="AB1093" s="622">
        <f t="shared" si="1468"/>
        <v>2575</v>
      </c>
      <c r="AC1093" s="633">
        <f>AB1093*(1+VLOOKUP($F1093,'GL Category'!$A:$H,5,FALSE))</f>
        <v>2652.25</v>
      </c>
      <c r="AD1093" s="307"/>
      <c r="AE1093" s="622">
        <f t="shared" si="1469"/>
        <v>2652.25</v>
      </c>
      <c r="AF1093" s="633">
        <f>AE1093*(1+VLOOKUP($F1093,'GL Category'!$A:$H,6,FALSE))</f>
        <v>2731.8175000000001</v>
      </c>
      <c r="AG1093" s="307"/>
      <c r="AH1093" s="622">
        <f t="shared" si="1470"/>
        <v>2731.8175000000001</v>
      </c>
      <c r="AI1093" s="633">
        <f>AH1093*(1+VLOOKUP($F1093,'GL Category'!$A:$H,7,FALSE))</f>
        <v>2813.7720250000002</v>
      </c>
      <c r="AJ1093" s="307"/>
      <c r="AK1093" s="622">
        <f t="shared" si="1471"/>
        <v>2813.7720250000002</v>
      </c>
      <c r="AL1093" s="633">
        <f>AK1093*(1+VLOOKUP($F1093,'GL Category'!$A:$H,8,FALSE))</f>
        <v>2898.1851857500001</v>
      </c>
      <c r="AM1093" s="307"/>
      <c r="AN1093" s="622">
        <f t="shared" si="1472"/>
        <v>2898.1851857500001</v>
      </c>
      <c r="AO1093" s="300"/>
      <c r="AP1093" s="300"/>
      <c r="AQ1093" s="192"/>
    </row>
    <row r="1094" spans="1:43" s="115" customFormat="1" ht="15" customHeight="1">
      <c r="A1094" s="555"/>
      <c r="B1094" s="217"/>
      <c r="C1094" s="217">
        <v>30</v>
      </c>
      <c r="D1094" s="101" t="str">
        <f t="shared" si="1439"/>
        <v/>
      </c>
      <c r="E1094" s="217"/>
      <c r="F1094" s="294" t="s">
        <v>279</v>
      </c>
      <c r="G1094" s="295" t="str">
        <f>VLOOKUP(F1094,'GL Category'!A:C,3,FALSE)</f>
        <v>Services &amp; other</v>
      </c>
      <c r="H1094" s="98" t="str">
        <f>VLOOKUP(F1094,'GL Category'!A:C,2,FALSE)</f>
        <v>JAIL SERVICES</v>
      </c>
      <c r="I1094" s="99">
        <f>SUMIFS(I$1:I1087,$C$1:$C1087,$C1094,$F$1:$F1087,$F1094)</f>
        <v>3644.24</v>
      </c>
      <c r="J1094" s="99">
        <f>SUMIFS(J$1:J1087,$C$1:$C1087,$C1094,$F$1:$F1087,$F1094)</f>
        <v>9001.99</v>
      </c>
      <c r="K1094" s="99">
        <f>SUMIFS(K$1:K1087,$C$1:$C1087,$C1094,$F$1:$F1087,$F1094)</f>
        <v>6336.02</v>
      </c>
      <c r="L1094" s="99">
        <f>SUMIFS(L$1:L1087,$C$1:$C1087,$C1094,$F$1:$F1087,$F1094)</f>
        <v>8052.77</v>
      </c>
      <c r="M1094" s="99">
        <f>SUMIFS(M$1:M1087,$C$1:$C1087,$C1094,$F$1:$F1087,$F1094)</f>
        <v>7000</v>
      </c>
      <c r="N1094" s="99">
        <f>SUMIFS(N$1:N1087,$C$1:$C1087,$C1094,$F$1:$F1087,$F1094)</f>
        <v>3890.55</v>
      </c>
      <c r="O1094" s="99">
        <f>SUMIFS(O$1:O1087,$C$1:$C1087,$C1094,$F$1:$F1087,$F1094)</f>
        <v>7000</v>
      </c>
      <c r="P1094" s="99">
        <f t="shared" si="1464"/>
        <v>0</v>
      </c>
      <c r="Q1094" s="99">
        <f>SUMIFS(Q$1:Q1087,$C$1:$C1087,$C1094,$F$1:$F1087,$F1094)</f>
        <v>7000</v>
      </c>
      <c r="R1094" s="99">
        <f>SUMIFS(R$1:R1087,$C$1:$C1087,$C1094,$F$1:$F1087,$F1094)</f>
        <v>0</v>
      </c>
      <c r="S1094" s="99">
        <f>SUMIFS(S$1:S1087,$C$1:$C1087,$C1094,$F$1:$F1087,$F1094)</f>
        <v>0</v>
      </c>
      <c r="T1094" s="99">
        <f>SUMIFS(T$1:T1087,$C$1:$C1087,$C1094,$F$1:$F1087,$F1094)</f>
        <v>7000</v>
      </c>
      <c r="U1094" s="99">
        <f t="shared" si="1465"/>
        <v>0</v>
      </c>
      <c r="V1094" s="255">
        <f t="shared" si="1466"/>
        <v>0</v>
      </c>
      <c r="W1094" s="102"/>
      <c r="X1094" s="102"/>
      <c r="Y1094" s="102">
        <f t="shared" si="1467"/>
        <v>7000</v>
      </c>
      <c r="Z1094" s="309">
        <f>Y1094*(1+VLOOKUP($F1094,'GL Category'!$A:$H,4,FALSE))</f>
        <v>7210</v>
      </c>
      <c r="AA1094" s="615"/>
      <c r="AB1094" s="622">
        <f t="shared" si="1468"/>
        <v>7210</v>
      </c>
      <c r="AC1094" s="633">
        <f>AB1094*(1+VLOOKUP($F1094,'GL Category'!$A:$H,5,FALSE))</f>
        <v>7426.3</v>
      </c>
      <c r="AD1094" s="307"/>
      <c r="AE1094" s="622">
        <f t="shared" si="1469"/>
        <v>7426.3</v>
      </c>
      <c r="AF1094" s="633">
        <f>AE1094*(1+VLOOKUP($F1094,'GL Category'!$A:$H,6,FALSE))</f>
        <v>7649.0889999999999</v>
      </c>
      <c r="AG1094" s="307"/>
      <c r="AH1094" s="622">
        <f t="shared" si="1470"/>
        <v>7649.0889999999999</v>
      </c>
      <c r="AI1094" s="633">
        <f>AH1094*(1+VLOOKUP($F1094,'GL Category'!$A:$H,7,FALSE))</f>
        <v>7878.56167</v>
      </c>
      <c r="AJ1094" s="307"/>
      <c r="AK1094" s="622">
        <f t="shared" si="1471"/>
        <v>7878.56167</v>
      </c>
      <c r="AL1094" s="633">
        <f>AK1094*(1+VLOOKUP($F1094,'GL Category'!$A:$H,8,FALSE))</f>
        <v>8114.9185201</v>
      </c>
      <c r="AM1094" s="307"/>
      <c r="AN1094" s="622">
        <f t="shared" si="1472"/>
        <v>8114.9185201</v>
      </c>
      <c r="AO1094" s="300"/>
      <c r="AP1094" s="300"/>
      <c r="AQ1094" s="192"/>
    </row>
    <row r="1095" spans="1:43" s="115" customFormat="1" ht="15" customHeight="1">
      <c r="A1095" s="555"/>
      <c r="B1095" s="217"/>
      <c r="C1095" s="217">
        <v>30</v>
      </c>
      <c r="D1095" s="101" t="str">
        <f t="shared" si="1439"/>
        <v/>
      </c>
      <c r="E1095" s="217"/>
      <c r="F1095" s="294" t="s">
        <v>198</v>
      </c>
      <c r="G1095" s="295" t="str">
        <f>VLOOKUP(F1095,'GL Category'!A:C,3,FALSE)</f>
        <v>Services &amp; other</v>
      </c>
      <c r="H1095" s="98" t="str">
        <f>VLOOKUP(F1095,'GL Category'!A:C,2,FALSE)</f>
        <v>EQUIPMENT RENTAL</v>
      </c>
      <c r="I1095" s="99">
        <f>SUMIFS(I$1:I1088,$C$1:$C1088,$C1095,$F$1:$F1088,$F1095)</f>
        <v>0</v>
      </c>
      <c r="J1095" s="99">
        <f>SUMIFS(J$1:J1088,$C$1:$C1088,$C1095,$F$1:$F1088,$F1095)</f>
        <v>0</v>
      </c>
      <c r="K1095" s="99">
        <f>SUMIFS(K$1:K1088,$C$1:$C1088,$C1095,$F$1:$F1088,$F1095)</f>
        <v>0</v>
      </c>
      <c r="L1095" s="99">
        <f>SUMIFS(L$1:L1088,$C$1:$C1088,$C1095,$F$1:$F1088,$F1095)</f>
        <v>0</v>
      </c>
      <c r="M1095" s="99">
        <f>SUMIFS(M$1:M1088,$C$1:$C1088,$C1095,$F$1:$F1088,$F1095)</f>
        <v>0</v>
      </c>
      <c r="N1095" s="99">
        <f>SUMIFS(N$1:N1088,$C$1:$C1088,$C1095,$F$1:$F1088,$F1095)</f>
        <v>0</v>
      </c>
      <c r="O1095" s="99">
        <f>SUMIFS(O$1:O1088,$C$1:$C1088,$C1095,$F$1:$F1088,$F1095)</f>
        <v>0</v>
      </c>
      <c r="P1095" s="99">
        <f t="shared" si="1464"/>
        <v>0</v>
      </c>
      <c r="Q1095" s="99">
        <f>SUMIFS(Q$1:Q1088,$C$1:$C1088,$C1095,$F$1:$F1088,$F1095)</f>
        <v>0</v>
      </c>
      <c r="R1095" s="99">
        <f>SUMIFS(R$1:R1088,$C$1:$C1088,$C1095,$F$1:$F1088,$F1095)</f>
        <v>0</v>
      </c>
      <c r="S1095" s="99">
        <f>SUMIFS(S$1:S1088,$C$1:$C1088,$C1095,$F$1:$F1088,$F1095)</f>
        <v>0</v>
      </c>
      <c r="T1095" s="99">
        <f>SUMIFS(T$1:T1088,$C$1:$C1088,$C1095,$F$1:$F1088,$F1095)</f>
        <v>0</v>
      </c>
      <c r="U1095" s="99">
        <f t="shared" si="1465"/>
        <v>0</v>
      </c>
      <c r="V1095" s="255" t="str">
        <f t="shared" si="1466"/>
        <v>N/A</v>
      </c>
      <c r="W1095" s="102"/>
      <c r="X1095" s="102"/>
      <c r="Y1095" s="102">
        <f t="shared" si="1467"/>
        <v>0</v>
      </c>
      <c r="Z1095" s="309">
        <f>Y1095*(1+VLOOKUP($F1095,'GL Category'!$A:$H,4,FALSE))</f>
        <v>0</v>
      </c>
      <c r="AA1095" s="615"/>
      <c r="AB1095" s="622">
        <f t="shared" si="1468"/>
        <v>0</v>
      </c>
      <c r="AC1095" s="633">
        <f>AB1095*(1+VLOOKUP($F1095,'GL Category'!$A:$H,5,FALSE))</f>
        <v>0</v>
      </c>
      <c r="AD1095" s="307"/>
      <c r="AE1095" s="622">
        <f t="shared" si="1469"/>
        <v>0</v>
      </c>
      <c r="AF1095" s="633">
        <f>AE1095*(1+VLOOKUP($F1095,'GL Category'!$A:$H,6,FALSE))</f>
        <v>0</v>
      </c>
      <c r="AG1095" s="307"/>
      <c r="AH1095" s="622">
        <f t="shared" si="1470"/>
        <v>0</v>
      </c>
      <c r="AI1095" s="633">
        <f>AH1095*(1+VLOOKUP($F1095,'GL Category'!$A:$H,7,FALSE))</f>
        <v>0</v>
      </c>
      <c r="AJ1095" s="307"/>
      <c r="AK1095" s="622">
        <f t="shared" si="1471"/>
        <v>0</v>
      </c>
      <c r="AL1095" s="633">
        <f>AK1095*(1+VLOOKUP($F1095,'GL Category'!$A:$H,8,FALSE))</f>
        <v>0</v>
      </c>
      <c r="AM1095" s="307"/>
      <c r="AN1095" s="622">
        <f t="shared" si="1472"/>
        <v>0</v>
      </c>
      <c r="AO1095" s="300"/>
      <c r="AP1095" s="300"/>
      <c r="AQ1095" s="192"/>
    </row>
    <row r="1096" spans="1:43" s="115" customFormat="1" ht="15" customHeight="1">
      <c r="A1096" s="555"/>
      <c r="B1096" s="217"/>
      <c r="C1096" s="217">
        <v>30</v>
      </c>
      <c r="D1096" s="101" t="str">
        <f t="shared" si="1439"/>
        <v/>
      </c>
      <c r="E1096" s="217"/>
      <c r="F1096" s="294" t="s">
        <v>281</v>
      </c>
      <c r="G1096" s="295" t="str">
        <f>VLOOKUP(F1096,'GL Category'!A:C,3,FALSE)</f>
        <v>Services &amp; other</v>
      </c>
      <c r="H1096" s="98" t="str">
        <f>VLOOKUP(F1096,'GL Category'!A:C,2,FALSE)</f>
        <v>LABORATORY SERVICES</v>
      </c>
      <c r="I1096" s="99">
        <f>SUMIFS(I$1:I1089,$C$1:$C1089,$C1096,$F$1:$F1089,$F1096)</f>
        <v>41693.49</v>
      </c>
      <c r="J1096" s="99">
        <f>SUMIFS(J$1:J1089,$C$1:$C1089,$C1096,$F$1:$F1089,$F1096)</f>
        <v>53887</v>
      </c>
      <c r="K1096" s="99">
        <f>SUMIFS(K$1:K1089,$C$1:$C1089,$C1096,$F$1:$F1089,$F1096)</f>
        <v>54258</v>
      </c>
      <c r="L1096" s="99">
        <f>SUMIFS(L$1:L1089,$C$1:$C1089,$C1096,$F$1:$F1089,$F1096)</f>
        <v>59043.67</v>
      </c>
      <c r="M1096" s="99">
        <f>SUMIFS(M$1:M1089,$C$1:$C1089,$C1096,$F$1:$F1089,$F1096)</f>
        <v>55000</v>
      </c>
      <c r="N1096" s="99">
        <f>SUMIFS(N$1:N1089,$C$1:$C1089,$C1096,$F$1:$F1089,$F1096)</f>
        <v>46490.61</v>
      </c>
      <c r="O1096" s="99">
        <f>SUMIFS(O$1:O1089,$C$1:$C1089,$C1096,$F$1:$F1089,$F1096)</f>
        <v>55000</v>
      </c>
      <c r="P1096" s="99">
        <f t="shared" si="1464"/>
        <v>0</v>
      </c>
      <c r="Q1096" s="99">
        <f>SUMIFS(Q$1:Q1089,$C$1:$C1089,$C1096,$F$1:$F1089,$F1096)</f>
        <v>55000</v>
      </c>
      <c r="R1096" s="99">
        <f>SUMIFS(R$1:R1089,$C$1:$C1089,$C1096,$F$1:$F1089,$F1096)</f>
        <v>0</v>
      </c>
      <c r="S1096" s="99">
        <f>SUMIFS(S$1:S1089,$C$1:$C1089,$C1096,$F$1:$F1089,$F1096)</f>
        <v>0</v>
      </c>
      <c r="T1096" s="99">
        <f>SUMIFS(T$1:T1089,$C$1:$C1089,$C1096,$F$1:$F1089,$F1096)</f>
        <v>55000</v>
      </c>
      <c r="U1096" s="99">
        <f t="shared" si="1465"/>
        <v>0</v>
      </c>
      <c r="V1096" s="255">
        <f t="shared" si="1466"/>
        <v>0</v>
      </c>
      <c r="W1096" s="102"/>
      <c r="X1096" s="102"/>
      <c r="Y1096" s="102">
        <f t="shared" si="1467"/>
        <v>55000</v>
      </c>
      <c r="Z1096" s="309">
        <f>Y1096*(1+VLOOKUP($F1096,'GL Category'!$A:$H,4,FALSE))</f>
        <v>56650</v>
      </c>
      <c r="AA1096" s="615"/>
      <c r="AB1096" s="622">
        <f t="shared" si="1468"/>
        <v>56650</v>
      </c>
      <c r="AC1096" s="633">
        <f>AB1096*(1+VLOOKUP($F1096,'GL Category'!$A:$H,5,FALSE))</f>
        <v>58349.5</v>
      </c>
      <c r="AD1096" s="307"/>
      <c r="AE1096" s="622">
        <f t="shared" si="1469"/>
        <v>58349.5</v>
      </c>
      <c r="AF1096" s="633">
        <f>AE1096*(1+VLOOKUP($F1096,'GL Category'!$A:$H,6,FALSE))</f>
        <v>60099.985000000001</v>
      </c>
      <c r="AG1096" s="307"/>
      <c r="AH1096" s="622">
        <f t="shared" si="1470"/>
        <v>60099.985000000001</v>
      </c>
      <c r="AI1096" s="633">
        <f>AH1096*(1+VLOOKUP($F1096,'GL Category'!$A:$H,7,FALSE))</f>
        <v>61902.984550000001</v>
      </c>
      <c r="AJ1096" s="307"/>
      <c r="AK1096" s="622">
        <f t="shared" si="1471"/>
        <v>61902.984550000001</v>
      </c>
      <c r="AL1096" s="633">
        <f>AK1096*(1+VLOOKUP($F1096,'GL Category'!$A:$H,8,FALSE))</f>
        <v>63760.074086500004</v>
      </c>
      <c r="AM1096" s="307"/>
      <c r="AN1096" s="622">
        <f t="shared" si="1472"/>
        <v>63760.074086500004</v>
      </c>
      <c r="AO1096" s="300"/>
      <c r="AP1096" s="300"/>
      <c r="AQ1096" s="192"/>
    </row>
    <row r="1097" spans="1:43" s="115" customFormat="1" ht="15" customHeight="1">
      <c r="A1097" s="555"/>
      <c r="B1097" s="217"/>
      <c r="C1097" s="217">
        <v>30</v>
      </c>
      <c r="D1097" s="101" t="str">
        <f t="shared" si="1439"/>
        <v/>
      </c>
      <c r="E1097" s="217"/>
      <c r="F1097" s="294" t="s">
        <v>257</v>
      </c>
      <c r="G1097" s="295" t="str">
        <f>VLOOKUP(F1097,'GL Category'!A:C,3,FALSE)</f>
        <v>Services &amp; other</v>
      </c>
      <c r="H1097" s="98" t="str">
        <f>VLOOKUP(F1097,'GL Category'!A:C,2,FALSE)</f>
        <v>EMPLOYEE ACTIVITIES</v>
      </c>
      <c r="I1097" s="99">
        <f>SUMIFS(I$1:I1090,$C$1:$C1090,$C1097,$F$1:$F1090,$F1097)</f>
        <v>654.86</v>
      </c>
      <c r="J1097" s="99">
        <f>SUMIFS(J$1:J1090,$C$1:$C1090,$C1097,$F$1:$F1090,$F1097)</f>
        <v>1919.63</v>
      </c>
      <c r="K1097" s="99">
        <f>SUMIFS(K$1:K1090,$C$1:$C1090,$C1097,$F$1:$F1090,$F1097)</f>
        <v>2031.4899999999998</v>
      </c>
      <c r="L1097" s="99">
        <f>SUMIFS(L$1:L1090,$C$1:$C1090,$C1097,$F$1:$F1090,$F1097)</f>
        <v>2976.79</v>
      </c>
      <c r="M1097" s="99">
        <f>SUMIFS(M$1:M1090,$C$1:$C1090,$C1097,$F$1:$F1090,$F1097)</f>
        <v>1700</v>
      </c>
      <c r="N1097" s="99">
        <f>SUMIFS(N$1:N1090,$C$1:$C1090,$C1097,$F$1:$F1090,$F1097)</f>
        <v>2056.2799999999997</v>
      </c>
      <c r="O1097" s="99">
        <f>SUMIFS(O$1:O1090,$C$1:$C1090,$C1097,$F$1:$F1090,$F1097)</f>
        <v>1700</v>
      </c>
      <c r="P1097" s="99">
        <f t="shared" si="1464"/>
        <v>0</v>
      </c>
      <c r="Q1097" s="99">
        <f>SUMIFS(Q$1:Q1090,$C$1:$C1090,$C1097,$F$1:$F1090,$F1097)</f>
        <v>1700</v>
      </c>
      <c r="R1097" s="99">
        <f>SUMIFS(R$1:R1090,$C$1:$C1090,$C1097,$F$1:$F1090,$F1097)</f>
        <v>0</v>
      </c>
      <c r="S1097" s="99">
        <f>SUMIFS(S$1:S1090,$C$1:$C1090,$C1097,$F$1:$F1090,$F1097)</f>
        <v>0</v>
      </c>
      <c r="T1097" s="99">
        <f>SUMIFS(T$1:T1090,$C$1:$C1090,$C1097,$F$1:$F1090,$F1097)</f>
        <v>1700</v>
      </c>
      <c r="U1097" s="99">
        <f t="shared" si="1465"/>
        <v>0</v>
      </c>
      <c r="V1097" s="255">
        <f t="shared" si="1466"/>
        <v>0</v>
      </c>
      <c r="W1097" s="102"/>
      <c r="X1097" s="102"/>
      <c r="Y1097" s="102">
        <f t="shared" si="1467"/>
        <v>1700</v>
      </c>
      <c r="Z1097" s="309">
        <f>Y1097*(1+VLOOKUP($F1097,'GL Category'!$A:$H,4,FALSE))</f>
        <v>1751</v>
      </c>
      <c r="AA1097" s="615"/>
      <c r="AB1097" s="622">
        <f t="shared" si="1468"/>
        <v>1751</v>
      </c>
      <c r="AC1097" s="633">
        <f>AB1097*(1+VLOOKUP($F1097,'GL Category'!$A:$H,5,FALSE))</f>
        <v>1803.53</v>
      </c>
      <c r="AD1097" s="307"/>
      <c r="AE1097" s="622">
        <f t="shared" si="1469"/>
        <v>1803.53</v>
      </c>
      <c r="AF1097" s="633">
        <f>AE1097*(1+VLOOKUP($F1097,'GL Category'!$A:$H,6,FALSE))</f>
        <v>1857.6359</v>
      </c>
      <c r="AG1097" s="307"/>
      <c r="AH1097" s="622">
        <f t="shared" si="1470"/>
        <v>1857.6359</v>
      </c>
      <c r="AI1097" s="633">
        <f>AH1097*(1+VLOOKUP($F1097,'GL Category'!$A:$H,7,FALSE))</f>
        <v>1913.364977</v>
      </c>
      <c r="AJ1097" s="307"/>
      <c r="AK1097" s="622">
        <f t="shared" si="1471"/>
        <v>1913.364977</v>
      </c>
      <c r="AL1097" s="633">
        <f>AK1097*(1+VLOOKUP($F1097,'GL Category'!$A:$H,8,FALSE))</f>
        <v>1970.7659263099999</v>
      </c>
      <c r="AM1097" s="307"/>
      <c r="AN1097" s="622">
        <f t="shared" si="1472"/>
        <v>1970.7659263099999</v>
      </c>
      <c r="AO1097" s="300"/>
      <c r="AP1097" s="300"/>
      <c r="AQ1097" s="192"/>
    </row>
    <row r="1098" spans="1:43" s="115" customFormat="1" ht="15" customHeight="1">
      <c r="A1098" s="555"/>
      <c r="B1098" s="217"/>
      <c r="C1098" s="217">
        <v>30</v>
      </c>
      <c r="D1098" s="101" t="str">
        <f t="shared" si="1439"/>
        <v/>
      </c>
      <c r="E1098" s="217"/>
      <c r="F1098" s="294" t="s">
        <v>199</v>
      </c>
      <c r="G1098" s="295" t="str">
        <f>VLOOKUP(F1098,'GL Category'!A:C,3,FALSE)</f>
        <v>Services &amp; other</v>
      </c>
      <c r="H1098" s="98" t="str">
        <f>VLOOKUP(F1098,'GL Category'!A:C,2,FALSE)</f>
        <v>EMPLOYEE RECRUITING/TESTING</v>
      </c>
      <c r="I1098" s="99">
        <f>SUMIFS(I$1:I1091,$C$1:$C1091,$C1098,$F$1:$F1091,$F1098)</f>
        <v>4078.73</v>
      </c>
      <c r="J1098" s="99">
        <f>SUMIFS(J$1:J1091,$C$1:$C1091,$C1098,$F$1:$F1091,$F1098)</f>
        <v>1089.82</v>
      </c>
      <c r="K1098" s="99">
        <f>SUMIFS(K$1:K1091,$C$1:$C1091,$C1098,$F$1:$F1091,$F1098)</f>
        <v>529.75</v>
      </c>
      <c r="L1098" s="99">
        <f>SUMIFS(L$1:L1091,$C$1:$C1091,$C1098,$F$1:$F1091,$F1098)</f>
        <v>9960.7099999999991</v>
      </c>
      <c r="M1098" s="99">
        <f>SUMIFS(M$1:M1091,$C$1:$C1091,$C1098,$F$1:$F1091,$F1098)</f>
        <v>4000</v>
      </c>
      <c r="N1098" s="99">
        <f>SUMIFS(N$1:N1091,$C$1:$C1091,$C1098,$F$1:$F1091,$F1098)</f>
        <v>8499</v>
      </c>
      <c r="O1098" s="99">
        <f>SUMIFS(O$1:O1091,$C$1:$C1091,$C1098,$F$1:$F1091,$F1098)</f>
        <v>8500</v>
      </c>
      <c r="P1098" s="99">
        <f t="shared" si="1464"/>
        <v>4500</v>
      </c>
      <c r="Q1098" s="99">
        <f>SUMIFS(Q$1:Q1091,$C$1:$C1091,$C1098,$F$1:$F1091,$F1098)</f>
        <v>4000</v>
      </c>
      <c r="R1098" s="99">
        <f>SUMIFS(R$1:R1091,$C$1:$C1091,$C1098,$F$1:$F1091,$F1098)</f>
        <v>0</v>
      </c>
      <c r="S1098" s="99">
        <f>SUMIFS(S$1:S1091,$C$1:$C1091,$C1098,$F$1:$F1091,$F1098)</f>
        <v>0</v>
      </c>
      <c r="T1098" s="99">
        <f>SUMIFS(T$1:T1091,$C$1:$C1091,$C1098,$F$1:$F1091,$F1098)</f>
        <v>4000</v>
      </c>
      <c r="U1098" s="99">
        <f t="shared" si="1465"/>
        <v>0</v>
      </c>
      <c r="V1098" s="255">
        <f t="shared" si="1466"/>
        <v>0</v>
      </c>
      <c r="W1098" s="102"/>
      <c r="X1098" s="102"/>
      <c r="Y1098" s="102">
        <f t="shared" si="1467"/>
        <v>4000</v>
      </c>
      <c r="Z1098" s="309">
        <f>Y1098*(1+VLOOKUP($F1098,'GL Category'!$A:$H,4,FALSE))</f>
        <v>4120</v>
      </c>
      <c r="AA1098" s="615"/>
      <c r="AB1098" s="622">
        <f t="shared" si="1468"/>
        <v>4120</v>
      </c>
      <c r="AC1098" s="633">
        <f>AB1098*(1+VLOOKUP($F1098,'GL Category'!$A:$H,5,FALSE))</f>
        <v>4243.6000000000004</v>
      </c>
      <c r="AD1098" s="307"/>
      <c r="AE1098" s="622">
        <f t="shared" si="1469"/>
        <v>4243.6000000000004</v>
      </c>
      <c r="AF1098" s="633">
        <f>AE1098*(1+VLOOKUP($F1098,'GL Category'!$A:$H,6,FALSE))</f>
        <v>4370.9080000000004</v>
      </c>
      <c r="AG1098" s="307"/>
      <c r="AH1098" s="622">
        <f t="shared" si="1470"/>
        <v>4370.9080000000004</v>
      </c>
      <c r="AI1098" s="633">
        <f>AH1098*(1+VLOOKUP($F1098,'GL Category'!$A:$H,7,FALSE))</f>
        <v>4502.0352400000002</v>
      </c>
      <c r="AJ1098" s="307"/>
      <c r="AK1098" s="622">
        <f t="shared" si="1471"/>
        <v>4502.0352400000002</v>
      </c>
      <c r="AL1098" s="633">
        <f>AK1098*(1+VLOOKUP($F1098,'GL Category'!$A:$H,8,FALSE))</f>
        <v>4637.0962972000007</v>
      </c>
      <c r="AM1098" s="307"/>
      <c r="AN1098" s="622">
        <f t="shared" si="1472"/>
        <v>4637.0962972000007</v>
      </c>
      <c r="AO1098" s="300"/>
      <c r="AP1098" s="300"/>
      <c r="AQ1098" s="192"/>
    </row>
    <row r="1099" spans="1:43" s="115" customFormat="1" ht="15" customHeight="1">
      <c r="A1099" s="555"/>
      <c r="B1099" s="217"/>
      <c r="C1099" s="217">
        <v>30</v>
      </c>
      <c r="D1099" s="101" t="str">
        <f t="shared" si="1439"/>
        <v/>
      </c>
      <c r="E1099" s="217"/>
      <c r="F1099" s="294" t="s">
        <v>202</v>
      </c>
      <c r="G1099" s="295" t="str">
        <f>VLOOKUP(F1099,'GL Category'!A:C,3,FALSE)</f>
        <v>Services &amp; other</v>
      </c>
      <c r="H1099" s="98" t="str">
        <f>VLOOKUP(F1099,'GL Category'!A:C,2,FALSE)</f>
        <v>PRINTING &amp; BINDING SERVICES</v>
      </c>
      <c r="I1099" s="99">
        <f>SUMIFS(I$1:I1093,$C$1:$C1093,$C1099,$F$1:$F1093,$F1099)</f>
        <v>605</v>
      </c>
      <c r="J1099" s="99">
        <f>SUMIFS(J$1:J1093,$C$1:$C1093,$C1099,$F$1:$F1093,$F1099)</f>
        <v>1941.4</v>
      </c>
      <c r="K1099" s="99">
        <f>SUMIFS(K$1:K1093,$C$1:$C1093,$C1099,$F$1:$F1093,$F1099)</f>
        <v>380</v>
      </c>
      <c r="L1099" s="99">
        <f>SUMIFS(L$1:L1093,$C$1:$C1093,$C1099,$F$1:$F1093,$F1099)</f>
        <v>1699.95</v>
      </c>
      <c r="M1099" s="99">
        <f>SUMIFS(M$1:M1093,$C$1:$C1093,$C1099,$F$1:$F1093,$F1099)</f>
        <v>1500</v>
      </c>
      <c r="N1099" s="99">
        <f>SUMIFS(N$1:N1093,$C$1:$C1093,$C1099,$F$1:$F1093,$F1099)</f>
        <v>770</v>
      </c>
      <c r="O1099" s="99">
        <f>SUMIFS(O$1:O1093,$C$1:$C1093,$C1099,$F$1:$F1093,$F1099)</f>
        <v>1500</v>
      </c>
      <c r="P1099" s="99">
        <f t="shared" si="1464"/>
        <v>0</v>
      </c>
      <c r="Q1099" s="99">
        <f>SUMIFS(Q$1:Q1093,$C$1:$C1093,$C1099,$F$1:$F1093,$F1099)</f>
        <v>3000</v>
      </c>
      <c r="R1099" s="99">
        <f>SUMIFS(R$1:R1093,$C$1:$C1093,$C1099,$F$1:$F1093,$F1099)</f>
        <v>0</v>
      </c>
      <c r="S1099" s="99">
        <f>SUMIFS(S$1:S1093,$C$1:$C1093,$C1099,$F$1:$F1093,$F1099)</f>
        <v>0</v>
      </c>
      <c r="T1099" s="99">
        <f>SUMIFS(T$1:T1093,$C$1:$C1093,$C1099,$F$1:$F1093,$F1099)</f>
        <v>3000</v>
      </c>
      <c r="U1099" s="99">
        <f t="shared" si="1465"/>
        <v>1500</v>
      </c>
      <c r="V1099" s="255">
        <f t="shared" si="1466"/>
        <v>1</v>
      </c>
      <c r="W1099" s="102"/>
      <c r="X1099" s="102"/>
      <c r="Y1099" s="102">
        <f t="shared" si="1467"/>
        <v>3000</v>
      </c>
      <c r="Z1099" s="309">
        <f>Y1099*(1+VLOOKUP($F1099,'GL Category'!$A:$H,4,FALSE))</f>
        <v>3090</v>
      </c>
      <c r="AA1099" s="615"/>
      <c r="AB1099" s="622">
        <f t="shared" si="1468"/>
        <v>3090</v>
      </c>
      <c r="AC1099" s="633">
        <f>AB1099*(1+VLOOKUP($F1099,'GL Category'!$A:$H,5,FALSE))</f>
        <v>3182.7000000000003</v>
      </c>
      <c r="AD1099" s="307"/>
      <c r="AE1099" s="622">
        <f t="shared" si="1469"/>
        <v>3182.7000000000003</v>
      </c>
      <c r="AF1099" s="633">
        <f>AE1099*(1+VLOOKUP($F1099,'GL Category'!$A:$H,6,FALSE))</f>
        <v>3278.1810000000005</v>
      </c>
      <c r="AG1099" s="307"/>
      <c r="AH1099" s="622">
        <f t="shared" si="1470"/>
        <v>3278.1810000000005</v>
      </c>
      <c r="AI1099" s="633">
        <f>AH1099*(1+VLOOKUP($F1099,'GL Category'!$A:$H,7,FALSE))</f>
        <v>3376.5264300000008</v>
      </c>
      <c r="AJ1099" s="307"/>
      <c r="AK1099" s="622">
        <f t="shared" si="1471"/>
        <v>3376.5264300000008</v>
      </c>
      <c r="AL1099" s="633">
        <f>AK1099*(1+VLOOKUP($F1099,'GL Category'!$A:$H,8,FALSE))</f>
        <v>3477.8222229000007</v>
      </c>
      <c r="AM1099" s="307"/>
      <c r="AN1099" s="622">
        <f t="shared" si="1472"/>
        <v>3477.8222229000007</v>
      </c>
      <c r="AO1099" s="94"/>
      <c r="AP1099" s="94"/>
      <c r="AQ1099" s="192"/>
    </row>
    <row r="1100" spans="1:43" s="115" customFormat="1" ht="15" customHeight="1">
      <c r="A1100" s="555"/>
      <c r="B1100" s="217"/>
      <c r="C1100" s="217">
        <v>30</v>
      </c>
      <c r="D1100" s="101" t="str">
        <f t="shared" si="1439"/>
        <v/>
      </c>
      <c r="E1100" s="217"/>
      <c r="F1100" s="294" t="s">
        <v>204</v>
      </c>
      <c r="G1100" s="295" t="str">
        <f>VLOOKUP(F1100,'GL Category'!A:C,3,FALSE)</f>
        <v>Services &amp; other</v>
      </c>
      <c r="H1100" s="98" t="str">
        <f>VLOOKUP(F1100,'GL Category'!A:C,2,FALSE)</f>
        <v>BAD DEBT EXPENSE</v>
      </c>
      <c r="I1100" s="99">
        <f>SUMIFS(I$1:I1093,$C$1:$C1093,$C1100,$F$1:$F1093,$F1100)</f>
        <v>0</v>
      </c>
      <c r="J1100" s="99">
        <f>SUMIFS(J$1:J1093,$C$1:$C1093,$C1100,$F$1:$F1093,$F1100)</f>
        <v>0</v>
      </c>
      <c r="K1100" s="99">
        <f>SUMIFS(K$1:K1093,$C$1:$C1093,$C1100,$F$1:$F1093,$F1100)</f>
        <v>0</v>
      </c>
      <c r="L1100" s="99">
        <f>SUMIFS(L$1:L1093,$C$1:$C1093,$C1100,$F$1:$F1093,$F1100)</f>
        <v>0</v>
      </c>
      <c r="M1100" s="99">
        <f>SUMIFS(M$1:M1093,$C$1:$C1093,$C1100,$F$1:$F1093,$F1100)</f>
        <v>0</v>
      </c>
      <c r="N1100" s="99">
        <f>SUMIFS(N$1:N1093,$C$1:$C1093,$C1100,$F$1:$F1093,$F1100)</f>
        <v>0</v>
      </c>
      <c r="O1100" s="99">
        <f>SUMIFS(O$1:O1093,$C$1:$C1093,$C1100,$F$1:$F1093,$F1100)</f>
        <v>0</v>
      </c>
      <c r="P1100" s="99">
        <f t="shared" ref="P1100" si="1474">O1100-M1100</f>
        <v>0</v>
      </c>
      <c r="Q1100" s="99">
        <f>SUMIFS(Q$1:Q1093,$C$1:$C1093,$C1100,$F$1:$F1093,$F1100)</f>
        <v>0</v>
      </c>
      <c r="R1100" s="99">
        <f>SUMIFS(R$1:R1093,$C$1:$C1093,$C1100,$F$1:$F1093,$F1100)</f>
        <v>0</v>
      </c>
      <c r="S1100" s="99">
        <f>SUMIFS(S$1:S1093,$C$1:$C1093,$C1100,$F$1:$F1093,$F1100)</f>
        <v>0</v>
      </c>
      <c r="T1100" s="99">
        <f>SUMIFS(T$1:T1093,$C$1:$C1093,$C1100,$F$1:$F1093,$F1100)</f>
        <v>0</v>
      </c>
      <c r="U1100" s="99">
        <f t="shared" si="1465"/>
        <v>0</v>
      </c>
      <c r="V1100" s="255" t="str">
        <f t="shared" si="1466"/>
        <v>N/A</v>
      </c>
      <c r="W1100" s="102"/>
      <c r="X1100" s="102"/>
      <c r="Y1100" s="102">
        <f t="shared" si="1467"/>
        <v>0</v>
      </c>
      <c r="Z1100" s="309">
        <f>Y1100*(1+VLOOKUP($F1100,'GL Category'!$A:$H,4,FALSE))</f>
        <v>0</v>
      </c>
      <c r="AA1100" s="615"/>
      <c r="AB1100" s="622">
        <f t="shared" si="1468"/>
        <v>0</v>
      </c>
      <c r="AC1100" s="633">
        <f>AB1100*(1+VLOOKUP($F1100,'GL Category'!$A:$H,5,FALSE))</f>
        <v>0</v>
      </c>
      <c r="AD1100" s="307"/>
      <c r="AE1100" s="622">
        <f t="shared" si="1469"/>
        <v>0</v>
      </c>
      <c r="AF1100" s="633">
        <f>AE1100*(1+VLOOKUP($F1100,'GL Category'!$A:$H,6,FALSE))</f>
        <v>0</v>
      </c>
      <c r="AG1100" s="307"/>
      <c r="AH1100" s="622">
        <f t="shared" si="1470"/>
        <v>0</v>
      </c>
      <c r="AI1100" s="633">
        <f>AH1100*(1+VLOOKUP($F1100,'GL Category'!$A:$H,7,FALSE))</f>
        <v>0</v>
      </c>
      <c r="AJ1100" s="307"/>
      <c r="AK1100" s="622">
        <f t="shared" si="1471"/>
        <v>0</v>
      </c>
      <c r="AL1100" s="633">
        <f>AK1100*(1+VLOOKUP($F1100,'GL Category'!$A:$H,8,FALSE))</f>
        <v>0</v>
      </c>
      <c r="AM1100" s="307"/>
      <c r="AN1100" s="622">
        <f t="shared" si="1472"/>
        <v>0</v>
      </c>
      <c r="AO1100" s="300"/>
      <c r="AP1100" s="300"/>
      <c r="AQ1100" s="192"/>
    </row>
    <row r="1101" spans="1:43" s="115" customFormat="1" ht="15" customHeight="1">
      <c r="A1101" s="555"/>
      <c r="B1101" s="217"/>
      <c r="C1101" s="217">
        <v>30</v>
      </c>
      <c r="D1101" s="101" t="str">
        <f t="shared" si="1439"/>
        <v/>
      </c>
      <c r="E1101" s="217"/>
      <c r="F1101" s="294" t="s">
        <v>206</v>
      </c>
      <c r="G1101" s="295" t="str">
        <f>VLOOKUP(F1101,'GL Category'!A:C,3,FALSE)</f>
        <v>Services &amp; other</v>
      </c>
      <c r="H1101" s="98" t="str">
        <f>VLOOKUP(F1101,'GL Category'!A:C,2,FALSE)</f>
        <v>FREIGHT &amp; EXPRESS SERVICES</v>
      </c>
      <c r="I1101" s="99">
        <f>SUMIFS(I$1:I1094,$C$1:$C1094,$C1101,$F$1:$F1094,$F1101)</f>
        <v>0</v>
      </c>
      <c r="J1101" s="99">
        <f>SUMIFS(J$1:J1094,$C$1:$C1094,$C1101,$F$1:$F1094,$F1101)</f>
        <v>0</v>
      </c>
      <c r="K1101" s="99">
        <f>SUMIFS(K$1:K1094,$C$1:$C1094,$C1101,$F$1:$F1094,$F1101)</f>
        <v>0</v>
      </c>
      <c r="L1101" s="99">
        <f>SUMIFS(L$1:L1094,$C$1:$C1094,$C1101,$F$1:$F1094,$F1101)</f>
        <v>0</v>
      </c>
      <c r="M1101" s="99">
        <f>SUMIFS(M$1:M1094,$C$1:$C1094,$C1101,$F$1:$F1094,$F1101)</f>
        <v>0</v>
      </c>
      <c r="N1101" s="99">
        <f>SUMIFS(N$1:N1094,$C$1:$C1094,$C1101,$F$1:$F1094,$F1101)</f>
        <v>0</v>
      </c>
      <c r="O1101" s="99">
        <f>SUMIFS(O$1:O1094,$C$1:$C1094,$C1101,$F$1:$F1094,$F1101)</f>
        <v>0</v>
      </c>
      <c r="P1101" s="99">
        <f t="shared" si="1464"/>
        <v>0</v>
      </c>
      <c r="Q1101" s="99">
        <f>SUMIFS(Q$1:Q1094,$C$1:$C1094,$C1101,$F$1:$F1094,$F1101)</f>
        <v>0</v>
      </c>
      <c r="R1101" s="99">
        <f>SUMIFS(R$1:R1094,$C$1:$C1094,$C1101,$F$1:$F1094,$F1101)</f>
        <v>0</v>
      </c>
      <c r="S1101" s="99">
        <f>SUMIFS(S$1:S1094,$C$1:$C1094,$C1101,$F$1:$F1094,$F1101)</f>
        <v>0</v>
      </c>
      <c r="T1101" s="99">
        <f>SUMIFS(T$1:T1094,$C$1:$C1094,$C1101,$F$1:$F1094,$F1101)</f>
        <v>0</v>
      </c>
      <c r="U1101" s="99">
        <f t="shared" si="1465"/>
        <v>0</v>
      </c>
      <c r="V1101" s="255" t="str">
        <f t="shared" si="1466"/>
        <v>N/A</v>
      </c>
      <c r="W1101" s="102"/>
      <c r="X1101" s="102"/>
      <c r="Y1101" s="102">
        <f t="shared" si="1467"/>
        <v>0</v>
      </c>
      <c r="Z1101" s="309">
        <f>Y1101*(1+VLOOKUP($F1101,'GL Category'!$A:$H,4,FALSE))</f>
        <v>0</v>
      </c>
      <c r="AA1101" s="615"/>
      <c r="AB1101" s="622">
        <f t="shared" si="1468"/>
        <v>0</v>
      </c>
      <c r="AC1101" s="633">
        <f>AB1101*(1+VLOOKUP($F1101,'GL Category'!$A:$H,5,FALSE))</f>
        <v>0</v>
      </c>
      <c r="AD1101" s="307"/>
      <c r="AE1101" s="622">
        <f t="shared" si="1469"/>
        <v>0</v>
      </c>
      <c r="AF1101" s="633">
        <f>AE1101*(1+VLOOKUP($F1101,'GL Category'!$A:$H,6,FALSE))</f>
        <v>0</v>
      </c>
      <c r="AG1101" s="307"/>
      <c r="AH1101" s="622">
        <f t="shared" si="1470"/>
        <v>0</v>
      </c>
      <c r="AI1101" s="633">
        <f>AH1101*(1+VLOOKUP($F1101,'GL Category'!$A:$H,7,FALSE))</f>
        <v>0</v>
      </c>
      <c r="AJ1101" s="307"/>
      <c r="AK1101" s="622">
        <f t="shared" si="1471"/>
        <v>0</v>
      </c>
      <c r="AL1101" s="633">
        <f>AK1101*(1+VLOOKUP($F1101,'GL Category'!$A:$H,8,FALSE))</f>
        <v>0</v>
      </c>
      <c r="AM1101" s="307"/>
      <c r="AN1101" s="622">
        <f t="shared" si="1472"/>
        <v>0</v>
      </c>
      <c r="AO1101" s="300"/>
      <c r="AP1101" s="300"/>
      <c r="AQ1101" s="192"/>
    </row>
    <row r="1102" spans="1:43" s="115" customFormat="1" ht="15" customHeight="1">
      <c r="A1102" s="555"/>
      <c r="B1102" s="217"/>
      <c r="C1102" s="217">
        <v>30</v>
      </c>
      <c r="D1102" s="101" t="str">
        <f t="shared" si="1439"/>
        <v/>
      </c>
      <c r="E1102" s="217"/>
      <c r="F1102" s="294" t="s">
        <v>208</v>
      </c>
      <c r="G1102" s="295" t="str">
        <f>VLOOKUP(F1102,'GL Category'!A:C,3,FALSE)</f>
        <v>Services &amp; other</v>
      </c>
      <c r="H1102" s="98" t="str">
        <f>VLOOKUP(F1102,'GL Category'!A:C,2,FALSE)</f>
        <v>GENERAL INSURANCE</v>
      </c>
      <c r="I1102" s="99">
        <f>SUMIFS(I$1:I1095,$C$1:$C1095,$C1102,$F$1:$F1095,$F1102)</f>
        <v>0</v>
      </c>
      <c r="J1102" s="99">
        <f>SUMIFS(J$1:J1095,$C$1:$C1095,$C1102,$F$1:$F1095,$F1102)</f>
        <v>0</v>
      </c>
      <c r="K1102" s="99">
        <f>SUMIFS(K$1:K1095,$C$1:$C1095,$C1102,$F$1:$F1095,$F1102)</f>
        <v>0</v>
      </c>
      <c r="L1102" s="99">
        <f>SUMIFS(L$1:L1095,$C$1:$C1095,$C1102,$F$1:$F1095,$F1102)</f>
        <v>0</v>
      </c>
      <c r="M1102" s="99">
        <f>SUMIFS(M$1:M1095,$C$1:$C1095,$C1102,$F$1:$F1095,$F1102)</f>
        <v>0</v>
      </c>
      <c r="N1102" s="99">
        <f>SUMIFS(N$1:N1095,$C$1:$C1095,$C1102,$F$1:$F1095,$F1102)</f>
        <v>0</v>
      </c>
      <c r="O1102" s="99">
        <f>SUMIFS(O$1:O1095,$C$1:$C1095,$C1102,$F$1:$F1095,$F1102)</f>
        <v>0</v>
      </c>
      <c r="P1102" s="99">
        <f t="shared" si="1464"/>
        <v>0</v>
      </c>
      <c r="Q1102" s="99">
        <f>SUMIFS(Q$1:Q1095,$C$1:$C1095,$C1102,$F$1:$F1095,$F1102)</f>
        <v>0</v>
      </c>
      <c r="R1102" s="99">
        <f>SUMIFS(R$1:R1095,$C$1:$C1095,$C1102,$F$1:$F1095,$F1102)</f>
        <v>0</v>
      </c>
      <c r="S1102" s="99">
        <f>SUMIFS(S$1:S1095,$C$1:$C1095,$C1102,$F$1:$F1095,$F1102)</f>
        <v>0</v>
      </c>
      <c r="T1102" s="99">
        <f>SUMIFS(T$1:T1095,$C$1:$C1095,$C1102,$F$1:$F1095,$F1102)</f>
        <v>0</v>
      </c>
      <c r="U1102" s="99">
        <f t="shared" si="1465"/>
        <v>0</v>
      </c>
      <c r="V1102" s="255" t="str">
        <f t="shared" si="1466"/>
        <v>N/A</v>
      </c>
      <c r="W1102" s="102"/>
      <c r="X1102" s="102"/>
      <c r="Y1102" s="102">
        <f t="shared" si="1467"/>
        <v>0</v>
      </c>
      <c r="Z1102" s="309">
        <f>Y1102*(1+VLOOKUP($F1102,'GL Category'!$A:$H,4,FALSE))</f>
        <v>0</v>
      </c>
      <c r="AA1102" s="615"/>
      <c r="AB1102" s="622">
        <f t="shared" si="1468"/>
        <v>0</v>
      </c>
      <c r="AC1102" s="633">
        <f>AB1102*(1+VLOOKUP($F1102,'GL Category'!$A:$H,5,FALSE))</f>
        <v>0</v>
      </c>
      <c r="AD1102" s="307"/>
      <c r="AE1102" s="622">
        <f t="shared" si="1469"/>
        <v>0</v>
      </c>
      <c r="AF1102" s="633">
        <f>AE1102*(1+VLOOKUP($F1102,'GL Category'!$A:$H,6,FALSE))</f>
        <v>0</v>
      </c>
      <c r="AG1102" s="307"/>
      <c r="AH1102" s="622">
        <f t="shared" si="1470"/>
        <v>0</v>
      </c>
      <c r="AI1102" s="633">
        <f>AH1102*(1+VLOOKUP($F1102,'GL Category'!$A:$H,7,FALSE))</f>
        <v>0</v>
      </c>
      <c r="AJ1102" s="307"/>
      <c r="AK1102" s="622">
        <f t="shared" si="1471"/>
        <v>0</v>
      </c>
      <c r="AL1102" s="633">
        <f>AK1102*(1+VLOOKUP($F1102,'GL Category'!$A:$H,8,FALSE))</f>
        <v>0</v>
      </c>
      <c r="AM1102" s="307"/>
      <c r="AN1102" s="622">
        <f t="shared" si="1472"/>
        <v>0</v>
      </c>
      <c r="AO1102" s="300"/>
      <c r="AP1102" s="300"/>
      <c r="AQ1102" s="192"/>
    </row>
    <row r="1103" spans="1:43" s="115" customFormat="1" ht="15" customHeight="1">
      <c r="A1103" s="555"/>
      <c r="B1103" s="217"/>
      <c r="C1103" s="217">
        <v>30</v>
      </c>
      <c r="D1103" s="101" t="str">
        <f t="shared" si="1439"/>
        <v/>
      </c>
      <c r="E1103" s="217"/>
      <c r="F1103" s="294" t="s">
        <v>277</v>
      </c>
      <c r="G1103" s="295" t="str">
        <f>VLOOKUP(F1103,'GL Category'!A:C,3,FALSE)</f>
        <v>Services &amp; other</v>
      </c>
      <c r="H1103" s="98" t="str">
        <f>VLOOKUP(F1103,'GL Category'!A:C,2,FALSE)</f>
        <v>LAW ENFORCEMENT LIAB PREMIUMS</v>
      </c>
      <c r="I1103" s="99">
        <f>SUMIFS(I$1:I1096,$C$1:$C1096,$C1103,$F$1:$F1096,$F1103)</f>
        <v>19633.32</v>
      </c>
      <c r="J1103" s="99">
        <f>SUMIFS(J$1:J1096,$C$1:$C1096,$C1103,$F$1:$F1096,$F1103)</f>
        <v>22448.869999999995</v>
      </c>
      <c r="K1103" s="99">
        <f>SUMIFS(K$1:K1096,$C$1:$C1096,$C1103,$F$1:$F1096,$F1103)</f>
        <v>41788.559999999998</v>
      </c>
      <c r="L1103" s="99">
        <f>SUMIFS(L$1:L1096,$C$1:$C1096,$C1103,$F$1:$F1096,$F1103)</f>
        <v>41690.15</v>
      </c>
      <c r="M1103" s="99">
        <f>SUMIFS(M$1:M1096,$C$1:$C1096,$C1103,$F$1:$F1096,$F1103)</f>
        <v>45961</v>
      </c>
      <c r="N1103" s="99">
        <f>SUMIFS(N$1:N1096,$C$1:$C1096,$C1103,$F$1:$F1096,$F1103)</f>
        <v>45771.88</v>
      </c>
      <c r="O1103" s="99">
        <f>SUMIFS(O$1:O1096,$C$1:$C1096,$C1103,$F$1:$F1096,$F1103)</f>
        <v>45961</v>
      </c>
      <c r="P1103" s="99">
        <f t="shared" si="1464"/>
        <v>0</v>
      </c>
      <c r="Q1103" s="99">
        <f>SUMIFS(Q$1:Q1096,$C$1:$C1096,$C1103,$F$1:$F1096,$F1103)</f>
        <v>45961</v>
      </c>
      <c r="R1103" s="99">
        <f>SUMIFS(R$1:R1096,$C$1:$C1096,$C1103,$F$1:$F1096,$F1103)</f>
        <v>0</v>
      </c>
      <c r="S1103" s="99">
        <f>SUMIFS(S$1:S1096,$C$1:$C1096,$C1103,$F$1:$F1096,$F1103)</f>
        <v>0</v>
      </c>
      <c r="T1103" s="99">
        <f>SUMIFS(T$1:T1096,$C$1:$C1096,$C1103,$F$1:$F1096,$F1103)</f>
        <v>45961</v>
      </c>
      <c r="U1103" s="99">
        <f t="shared" si="1465"/>
        <v>0</v>
      </c>
      <c r="V1103" s="255">
        <f t="shared" si="1466"/>
        <v>0</v>
      </c>
      <c r="W1103" s="102"/>
      <c r="X1103" s="102"/>
      <c r="Y1103" s="102">
        <f t="shared" si="1467"/>
        <v>45961</v>
      </c>
      <c r="Z1103" s="309">
        <f>Y1103*(1+VLOOKUP($F1103,'GL Category'!$A:$H,4,FALSE))</f>
        <v>47339.83</v>
      </c>
      <c r="AA1103" s="615"/>
      <c r="AB1103" s="622">
        <f t="shared" si="1468"/>
        <v>47339.83</v>
      </c>
      <c r="AC1103" s="633">
        <f>AB1103*(1+VLOOKUP($F1103,'GL Category'!$A:$H,5,FALSE))</f>
        <v>48760.024900000004</v>
      </c>
      <c r="AD1103" s="307"/>
      <c r="AE1103" s="622">
        <f t="shared" si="1469"/>
        <v>48760.024900000004</v>
      </c>
      <c r="AF1103" s="633">
        <f>AE1103*(1+VLOOKUP($F1103,'GL Category'!$A:$H,6,FALSE))</f>
        <v>50222.825647000005</v>
      </c>
      <c r="AG1103" s="307"/>
      <c r="AH1103" s="622">
        <f t="shared" si="1470"/>
        <v>50222.825647000005</v>
      </c>
      <c r="AI1103" s="633">
        <f>AH1103*(1+VLOOKUP($F1103,'GL Category'!$A:$H,7,FALSE))</f>
        <v>51729.510416410005</v>
      </c>
      <c r="AJ1103" s="307"/>
      <c r="AK1103" s="622">
        <f t="shared" si="1471"/>
        <v>51729.510416410005</v>
      </c>
      <c r="AL1103" s="633">
        <f>AK1103*(1+VLOOKUP($F1103,'GL Category'!$A:$H,8,FALSE))</f>
        <v>53281.395728902309</v>
      </c>
      <c r="AM1103" s="307"/>
      <c r="AN1103" s="622">
        <f t="shared" si="1472"/>
        <v>53281.395728902309</v>
      </c>
      <c r="AO1103" s="300"/>
      <c r="AP1103" s="300"/>
      <c r="AQ1103" s="192"/>
    </row>
    <row r="1104" spans="1:43" s="115" customFormat="1" ht="15" customHeight="1">
      <c r="A1104" s="555"/>
      <c r="B1104" s="217"/>
      <c r="C1104" s="217">
        <v>30</v>
      </c>
      <c r="D1104" s="101" t="str">
        <f t="shared" si="1439"/>
        <v/>
      </c>
      <c r="E1104" s="217"/>
      <c r="F1104" s="294" t="s">
        <v>210</v>
      </c>
      <c r="G1104" s="295" t="str">
        <f>VLOOKUP(F1104,'GL Category'!A:C,3,FALSE)</f>
        <v>Services &amp; other</v>
      </c>
      <c r="H1104" s="98" t="str">
        <f>VLOOKUP(F1104,'GL Category'!A:C,2,FALSE)</f>
        <v>TELEPHONE/COMMUNICATIONS</v>
      </c>
      <c r="I1104" s="99">
        <f>SUMIFS(I$1:I1097,$C$1:$C1097,$C1104,$F$1:$F1097,$F1104)</f>
        <v>3842.1000000000004</v>
      </c>
      <c r="J1104" s="99">
        <f>SUMIFS(J$1:J1097,$C$1:$C1097,$C1104,$F$1:$F1097,$F1104)</f>
        <v>6319.3</v>
      </c>
      <c r="K1104" s="99">
        <f>SUMIFS(K$1:K1097,$C$1:$C1097,$C1104,$F$1:$F1097,$F1104)</f>
        <v>6377.0999999999995</v>
      </c>
      <c r="L1104" s="99">
        <f>SUMIFS(L$1:L1097,$C$1:$C1097,$C1104,$F$1:$F1097,$F1104)</f>
        <v>2666.8</v>
      </c>
      <c r="M1104" s="99">
        <f>SUMIFS(M$1:M1097,$C$1:$C1097,$C1104,$F$1:$F1097,$F1104)</f>
        <v>4000</v>
      </c>
      <c r="N1104" s="99">
        <f>SUMIFS(N$1:N1097,$C$1:$C1097,$C1104,$F$1:$F1097,$F1104)</f>
        <v>2055.6</v>
      </c>
      <c r="O1104" s="99">
        <f>SUMIFS(O$1:O1097,$C$1:$C1097,$C1104,$F$1:$F1097,$F1104)</f>
        <v>4000</v>
      </c>
      <c r="P1104" s="99">
        <f t="shared" si="1464"/>
        <v>0</v>
      </c>
      <c r="Q1104" s="99">
        <f>SUMIFS(Q$1:Q1097,$C$1:$C1097,$C1104,$F$1:$F1097,$F1104)</f>
        <v>2000</v>
      </c>
      <c r="R1104" s="99">
        <f>SUMIFS(R$1:R1097,$C$1:$C1097,$C1104,$F$1:$F1097,$F1104)</f>
        <v>0</v>
      </c>
      <c r="S1104" s="99">
        <f>SUMIFS(S$1:S1097,$C$1:$C1097,$C1104,$F$1:$F1097,$F1104)</f>
        <v>0</v>
      </c>
      <c r="T1104" s="99">
        <f>SUMIFS(T$1:T1097,$C$1:$C1097,$C1104,$F$1:$F1097,$F1104)</f>
        <v>2000</v>
      </c>
      <c r="U1104" s="99">
        <f t="shared" si="1465"/>
        <v>-2000</v>
      </c>
      <c r="V1104" s="255">
        <f t="shared" si="1466"/>
        <v>-0.5</v>
      </c>
      <c r="W1104" s="102"/>
      <c r="X1104" s="102"/>
      <c r="Y1104" s="102">
        <f t="shared" si="1467"/>
        <v>2000</v>
      </c>
      <c r="Z1104" s="309">
        <f>Y1104*(1+VLOOKUP($F1104,'GL Category'!$A:$H,4,FALSE))</f>
        <v>2060</v>
      </c>
      <c r="AA1104" s="615"/>
      <c r="AB1104" s="622">
        <f t="shared" si="1468"/>
        <v>2060</v>
      </c>
      <c r="AC1104" s="633">
        <f>AB1104*(1+VLOOKUP($F1104,'GL Category'!$A:$H,5,FALSE))</f>
        <v>2121.8000000000002</v>
      </c>
      <c r="AD1104" s="307"/>
      <c r="AE1104" s="622">
        <f t="shared" si="1469"/>
        <v>2121.8000000000002</v>
      </c>
      <c r="AF1104" s="633">
        <f>AE1104*(1+VLOOKUP($F1104,'GL Category'!$A:$H,6,FALSE))</f>
        <v>2185.4540000000002</v>
      </c>
      <c r="AG1104" s="307"/>
      <c r="AH1104" s="622">
        <f t="shared" si="1470"/>
        <v>2185.4540000000002</v>
      </c>
      <c r="AI1104" s="633">
        <f>AH1104*(1+VLOOKUP($F1104,'GL Category'!$A:$H,7,FALSE))</f>
        <v>2251.0176200000001</v>
      </c>
      <c r="AJ1104" s="307"/>
      <c r="AK1104" s="622">
        <f t="shared" si="1471"/>
        <v>2251.0176200000001</v>
      </c>
      <c r="AL1104" s="633">
        <f>AK1104*(1+VLOOKUP($F1104,'GL Category'!$A:$H,8,FALSE))</f>
        <v>2318.5481486000003</v>
      </c>
      <c r="AM1104" s="307"/>
      <c r="AN1104" s="622">
        <f t="shared" si="1472"/>
        <v>2318.5481486000003</v>
      </c>
      <c r="AO1104" s="300"/>
      <c r="AP1104" s="300"/>
      <c r="AQ1104" s="192"/>
    </row>
    <row r="1105" spans="1:43" s="115" customFormat="1" ht="15" customHeight="1">
      <c r="A1105" s="555"/>
      <c r="B1105" s="217"/>
      <c r="C1105" s="217">
        <v>30</v>
      </c>
      <c r="D1105" s="101" t="str">
        <f t="shared" si="1439"/>
        <v/>
      </c>
      <c r="E1105" s="217"/>
      <c r="F1105" s="294" t="s">
        <v>212</v>
      </c>
      <c r="G1105" s="295" t="str">
        <f>VLOOKUP(F1105,'GL Category'!A:C,3,FALSE)</f>
        <v>Services &amp; other</v>
      </c>
      <c r="H1105" s="98" t="str">
        <f>VLOOKUP(F1105,'GL Category'!A:C,2,FALSE)</f>
        <v>NATURAL GAS UTILITY SERVICE</v>
      </c>
      <c r="I1105" s="99">
        <f>SUMIFS(I$1:I1098,$C$1:$C1098,$C1105,$F$1:$F1098,$F1105)</f>
        <v>10049.23</v>
      </c>
      <c r="J1105" s="99">
        <f>SUMIFS(J$1:J1098,$C$1:$C1098,$C1105,$F$1:$F1098,$F1105)</f>
        <v>15566.309999999998</v>
      </c>
      <c r="K1105" s="99">
        <f>SUMIFS(K$1:K1098,$C$1:$C1098,$C1105,$F$1:$F1098,$F1105)</f>
        <v>18332.830000000002</v>
      </c>
      <c r="L1105" s="99">
        <f>SUMIFS(L$1:L1098,$C$1:$C1098,$C1105,$F$1:$F1098,$F1105)</f>
        <v>18615.77</v>
      </c>
      <c r="M1105" s="99">
        <f>SUMIFS(M$1:M1098,$C$1:$C1098,$C1105,$F$1:$F1098,$F1105)</f>
        <v>18160</v>
      </c>
      <c r="N1105" s="99">
        <f>SUMIFS(N$1:N1098,$C$1:$C1098,$C1105,$F$1:$F1098,$F1105)</f>
        <v>15910.7</v>
      </c>
      <c r="O1105" s="99">
        <f>SUMIFS(O$1:O1098,$C$1:$C1098,$C1105,$F$1:$F1098,$F1105)</f>
        <v>17850</v>
      </c>
      <c r="P1105" s="99">
        <f t="shared" si="1464"/>
        <v>-310</v>
      </c>
      <c r="Q1105" s="99">
        <f>SUMIFS(Q$1:Q1098,$C$1:$C1098,$C1105,$F$1:$F1098,$F1105)</f>
        <v>18160</v>
      </c>
      <c r="R1105" s="99">
        <f>SUMIFS(R$1:R1098,$C$1:$C1098,$C1105,$F$1:$F1098,$F1105)</f>
        <v>0</v>
      </c>
      <c r="S1105" s="99">
        <f>SUMIFS(S$1:S1098,$C$1:$C1098,$C1105,$F$1:$F1098,$F1105)</f>
        <v>0</v>
      </c>
      <c r="T1105" s="99">
        <f>SUMIFS(T$1:T1098,$C$1:$C1098,$C1105,$F$1:$F1098,$F1105)</f>
        <v>18160</v>
      </c>
      <c r="U1105" s="99">
        <f t="shared" si="1465"/>
        <v>0</v>
      </c>
      <c r="V1105" s="255">
        <f t="shared" si="1466"/>
        <v>0</v>
      </c>
      <c r="W1105" s="102"/>
      <c r="X1105" s="102"/>
      <c r="Y1105" s="102">
        <f t="shared" si="1467"/>
        <v>18160</v>
      </c>
      <c r="Z1105" s="309">
        <f>Y1105*(1+VLOOKUP($F1105,'GL Category'!$A:$H,4,FALSE))</f>
        <v>18704.8</v>
      </c>
      <c r="AA1105" s="615"/>
      <c r="AB1105" s="622">
        <f t="shared" si="1468"/>
        <v>18704.8</v>
      </c>
      <c r="AC1105" s="633">
        <f>AB1105*(1+VLOOKUP($F1105,'GL Category'!$A:$H,5,FALSE))</f>
        <v>19265.944</v>
      </c>
      <c r="AD1105" s="307"/>
      <c r="AE1105" s="622">
        <f t="shared" si="1469"/>
        <v>19265.944</v>
      </c>
      <c r="AF1105" s="633">
        <f>AE1105*(1+VLOOKUP($F1105,'GL Category'!$A:$H,6,FALSE))</f>
        <v>19843.922320000001</v>
      </c>
      <c r="AG1105" s="307"/>
      <c r="AH1105" s="622">
        <f t="shared" si="1470"/>
        <v>19843.922320000001</v>
      </c>
      <c r="AI1105" s="633">
        <f>AH1105*(1+VLOOKUP($F1105,'GL Category'!$A:$H,7,FALSE))</f>
        <v>20439.239989600002</v>
      </c>
      <c r="AJ1105" s="307"/>
      <c r="AK1105" s="622">
        <f t="shared" si="1471"/>
        <v>20439.239989600002</v>
      </c>
      <c r="AL1105" s="633">
        <f>AK1105*(1+VLOOKUP($F1105,'GL Category'!$A:$H,8,FALSE))</f>
        <v>21052.417189288004</v>
      </c>
      <c r="AM1105" s="307"/>
      <c r="AN1105" s="622">
        <f t="shared" si="1472"/>
        <v>21052.417189288004</v>
      </c>
      <c r="AO1105" s="300"/>
      <c r="AP1105" s="300"/>
      <c r="AQ1105" s="192"/>
    </row>
    <row r="1106" spans="1:43" s="115" customFormat="1" ht="15" customHeight="1">
      <c r="A1106" s="555"/>
      <c r="B1106" s="217"/>
      <c r="C1106" s="217">
        <v>30</v>
      </c>
      <c r="D1106" s="101" t="str">
        <f t="shared" si="1439"/>
        <v/>
      </c>
      <c r="E1106" s="217"/>
      <c r="F1106" s="294" t="s">
        <v>214</v>
      </c>
      <c r="G1106" s="295" t="str">
        <f>VLOOKUP(F1106,'GL Category'!A:C,3,FALSE)</f>
        <v>Services &amp; other</v>
      </c>
      <c r="H1106" s="98" t="str">
        <f>VLOOKUP(F1106,'GL Category'!A:C,2,FALSE)</f>
        <v>ELECTRICAL UTILITY SERVICE</v>
      </c>
      <c r="I1106" s="99">
        <f>SUMIFS(I$1:I1099,$C$1:$C1099,$C1106,$F$1:$F1099,$F1106)</f>
        <v>83574.25</v>
      </c>
      <c r="J1106" s="99">
        <f>SUMIFS(J$1:J1099,$C$1:$C1099,$C1106,$F$1:$F1099,$F1106)</f>
        <v>83990.54</v>
      </c>
      <c r="K1106" s="99">
        <f>SUMIFS(K$1:K1099,$C$1:$C1099,$C1106,$F$1:$F1099,$F1106)</f>
        <v>127928.81999999999</v>
      </c>
      <c r="L1106" s="99">
        <f>SUMIFS(L$1:L1099,$C$1:$C1099,$C1106,$F$1:$F1099,$F1106)</f>
        <v>148530.21</v>
      </c>
      <c r="M1106" s="99">
        <f>SUMIFS(M$1:M1099,$C$1:$C1099,$C1106,$F$1:$F1099,$F1106)</f>
        <v>176320</v>
      </c>
      <c r="N1106" s="99">
        <f>SUMIFS(N$1:N1099,$C$1:$C1099,$C1106,$F$1:$F1099,$F1106)</f>
        <v>75505.790000000008</v>
      </c>
      <c r="O1106" s="99">
        <f>SUMIFS(O$1:O1099,$C$1:$C1099,$C1106,$F$1:$F1099,$F1106)</f>
        <v>120830</v>
      </c>
      <c r="P1106" s="99">
        <f t="shared" si="1464"/>
        <v>-55490</v>
      </c>
      <c r="Q1106" s="99">
        <f>SUMIFS(Q$1:Q1099,$C$1:$C1099,$C1106,$F$1:$F1099,$F1106)</f>
        <v>176320</v>
      </c>
      <c r="R1106" s="99">
        <f>SUMIFS(R$1:R1099,$C$1:$C1099,$C1106,$F$1:$F1099,$F1106)</f>
        <v>0</v>
      </c>
      <c r="S1106" s="99">
        <f>SUMIFS(S$1:S1099,$C$1:$C1099,$C1106,$F$1:$F1099,$F1106)</f>
        <v>0</v>
      </c>
      <c r="T1106" s="99">
        <f>SUMIFS(T$1:T1099,$C$1:$C1099,$C1106,$F$1:$F1099,$F1106)</f>
        <v>176320</v>
      </c>
      <c r="U1106" s="99">
        <f t="shared" si="1465"/>
        <v>0</v>
      </c>
      <c r="V1106" s="255">
        <f t="shared" si="1466"/>
        <v>0</v>
      </c>
      <c r="W1106" s="102"/>
      <c r="X1106" s="102"/>
      <c r="Y1106" s="102">
        <f t="shared" si="1467"/>
        <v>176320</v>
      </c>
      <c r="Z1106" s="309">
        <f>Y1106*(1+VLOOKUP($F1106,'GL Category'!$A:$H,4,FALSE))</f>
        <v>181609.60000000001</v>
      </c>
      <c r="AA1106" s="615"/>
      <c r="AB1106" s="622">
        <f t="shared" si="1468"/>
        <v>181609.60000000001</v>
      </c>
      <c r="AC1106" s="633">
        <f>AB1106*(1+VLOOKUP($F1106,'GL Category'!$A:$H,5,FALSE))</f>
        <v>187057.88800000001</v>
      </c>
      <c r="AD1106" s="307"/>
      <c r="AE1106" s="622">
        <f t="shared" si="1469"/>
        <v>187057.88800000001</v>
      </c>
      <c r="AF1106" s="633">
        <f>AE1106*(1+VLOOKUP($F1106,'GL Category'!$A:$H,6,FALSE))</f>
        <v>192669.62464000002</v>
      </c>
      <c r="AG1106" s="307"/>
      <c r="AH1106" s="622">
        <f t="shared" si="1470"/>
        <v>192669.62464000002</v>
      </c>
      <c r="AI1106" s="633">
        <f>AH1106*(1+VLOOKUP($F1106,'GL Category'!$A:$H,7,FALSE))</f>
        <v>198449.71337920002</v>
      </c>
      <c r="AJ1106" s="307"/>
      <c r="AK1106" s="622">
        <f t="shared" si="1471"/>
        <v>198449.71337920002</v>
      </c>
      <c r="AL1106" s="633">
        <f>AK1106*(1+VLOOKUP($F1106,'GL Category'!$A:$H,8,FALSE))</f>
        <v>204403.20478057602</v>
      </c>
      <c r="AM1106" s="307"/>
      <c r="AN1106" s="622">
        <f t="shared" si="1472"/>
        <v>204403.20478057602</v>
      </c>
      <c r="AO1106" s="94"/>
      <c r="AP1106" s="94"/>
      <c r="AQ1106" s="192"/>
    </row>
    <row r="1107" spans="1:43" s="115" customFormat="1" ht="15" customHeight="1">
      <c r="A1107" s="555"/>
      <c r="B1107" s="217"/>
      <c r="C1107" s="217">
        <v>30</v>
      </c>
      <c r="D1107" s="101" t="str">
        <f t="shared" si="1439"/>
        <v/>
      </c>
      <c r="E1107" s="217"/>
      <c r="F1107" s="294" t="s">
        <v>216</v>
      </c>
      <c r="G1107" s="295" t="str">
        <f>VLOOKUP(F1107,'GL Category'!A:C,3,FALSE)</f>
        <v>Services &amp; other</v>
      </c>
      <c r="H1107" s="98" t="str">
        <f>VLOOKUP(F1107,'GL Category'!A:C,2,FALSE)</f>
        <v>WATER/SEWER UTILITY SERVICE</v>
      </c>
      <c r="I1107" s="99">
        <f>SUMIFS(I$1:I1101,$C$1:$C1101,$C1107,$F$1:$F1101,$F1107)</f>
        <v>16168.230000000001</v>
      </c>
      <c r="J1107" s="99">
        <f>SUMIFS(J$1:J1101,$C$1:$C1101,$C1107,$F$1:$F1101,$F1107)</f>
        <v>14446.55</v>
      </c>
      <c r="K1107" s="99">
        <f>SUMIFS(K$1:K1101,$C$1:$C1101,$C1107,$F$1:$F1101,$F1107)</f>
        <v>16984.919999999998</v>
      </c>
      <c r="L1107" s="99">
        <f>SUMIFS(L$1:L1101,$C$1:$C1101,$C1107,$F$1:$F1101,$F1107)</f>
        <v>17523.16</v>
      </c>
      <c r="M1107" s="99">
        <f>SUMIFS(M$1:M1101,$C$1:$C1101,$C1107,$F$1:$F1101,$F1107)</f>
        <v>17400</v>
      </c>
      <c r="N1107" s="99">
        <f>SUMIFS(N$1:N1101,$C$1:$C1101,$C1107,$F$1:$F1101,$F1107)</f>
        <v>20582.96</v>
      </c>
      <c r="O1107" s="99">
        <f>SUMIFS(O$1:O1101,$C$1:$C1101,$C1107,$F$1:$F1101,$F1107)</f>
        <v>26100</v>
      </c>
      <c r="P1107" s="99">
        <f t="shared" si="1464"/>
        <v>8700</v>
      </c>
      <c r="Q1107" s="99">
        <f>SUMIFS(Q$1:Q1101,$C$1:$C1101,$C1107,$F$1:$F1101,$F1107)</f>
        <v>17400</v>
      </c>
      <c r="R1107" s="99">
        <f>SUMIFS(R$1:R1101,$C$1:$C1101,$C1107,$F$1:$F1101,$F1107)</f>
        <v>0</v>
      </c>
      <c r="S1107" s="99">
        <f>SUMIFS(S$1:S1101,$C$1:$C1101,$C1107,$F$1:$F1101,$F1107)</f>
        <v>0</v>
      </c>
      <c r="T1107" s="99">
        <f>SUMIFS(T$1:T1101,$C$1:$C1101,$C1107,$F$1:$F1101,$F1107)</f>
        <v>17400</v>
      </c>
      <c r="U1107" s="99">
        <f t="shared" si="1465"/>
        <v>0</v>
      </c>
      <c r="V1107" s="255">
        <f t="shared" si="1466"/>
        <v>0</v>
      </c>
      <c r="W1107" s="102"/>
      <c r="X1107" s="102"/>
      <c r="Y1107" s="102">
        <f t="shared" si="1467"/>
        <v>17400</v>
      </c>
      <c r="Z1107" s="309">
        <f>Y1107*(1+VLOOKUP($F1107,'GL Category'!$A:$H,4,FALSE))</f>
        <v>17922</v>
      </c>
      <c r="AA1107" s="615"/>
      <c r="AB1107" s="622">
        <f t="shared" si="1468"/>
        <v>17922</v>
      </c>
      <c r="AC1107" s="633">
        <f>AB1107*(1+VLOOKUP($F1107,'GL Category'!$A:$H,5,FALSE))</f>
        <v>18459.66</v>
      </c>
      <c r="AD1107" s="307"/>
      <c r="AE1107" s="622">
        <f t="shared" si="1469"/>
        <v>18459.66</v>
      </c>
      <c r="AF1107" s="633">
        <f>AE1107*(1+VLOOKUP($F1107,'GL Category'!$A:$H,6,FALSE))</f>
        <v>19013.449800000002</v>
      </c>
      <c r="AG1107" s="307"/>
      <c r="AH1107" s="622">
        <f t="shared" si="1470"/>
        <v>19013.449800000002</v>
      </c>
      <c r="AI1107" s="633">
        <f>AH1107*(1+VLOOKUP($F1107,'GL Category'!$A:$H,7,FALSE))</f>
        <v>19583.853294000004</v>
      </c>
      <c r="AJ1107" s="307"/>
      <c r="AK1107" s="622">
        <f t="shared" si="1471"/>
        <v>19583.853294000004</v>
      </c>
      <c r="AL1107" s="633">
        <f>AK1107*(1+VLOOKUP($F1107,'GL Category'!$A:$H,8,FALSE))</f>
        <v>20171.368892820006</v>
      </c>
      <c r="AM1107" s="307"/>
      <c r="AN1107" s="622">
        <f t="shared" si="1472"/>
        <v>20171.368892820006</v>
      </c>
      <c r="AO1107" s="93"/>
      <c r="AP1107" s="93"/>
      <c r="AQ1107" s="192"/>
    </row>
    <row r="1108" spans="1:43" s="115" customFormat="1" ht="15" customHeight="1">
      <c r="A1108" s="555"/>
      <c r="B1108" s="217"/>
      <c r="C1108" s="217">
        <v>30</v>
      </c>
      <c r="D1108" s="101" t="str">
        <f t="shared" si="1439"/>
        <v/>
      </c>
      <c r="E1108" s="217"/>
      <c r="F1108" s="294" t="s">
        <v>247</v>
      </c>
      <c r="G1108" s="295" t="str">
        <f>VLOOKUP(F1108,'GL Category'!A:C,3,FALSE)</f>
        <v>Services &amp; other</v>
      </c>
      <c r="H1108" s="98" t="str">
        <f>VLOOKUP(F1108,'GL Category'!A:C,2,FALSE)</f>
        <v>CONTRIBUTION TO OTHER ENTITY</v>
      </c>
      <c r="I1108" s="99">
        <f>SUMIFS(I$1:I1102,$C$1:$C1102,$C1108,$F$1:$F1102,$F1108)</f>
        <v>6183</v>
      </c>
      <c r="J1108" s="99">
        <f>SUMIFS(J$1:J1102,$C$1:$C1102,$C1108,$F$1:$F1102,$F1108)</f>
        <v>6183</v>
      </c>
      <c r="K1108" s="99">
        <f>SUMIFS(K$1:K1102,$C$1:$C1102,$C1108,$F$1:$F1102,$F1108)</f>
        <v>5983</v>
      </c>
      <c r="L1108" s="99">
        <f>SUMIFS(L$1:L1102,$C$1:$C1102,$C1108,$F$1:$F1102,$F1108)</f>
        <v>6483</v>
      </c>
      <c r="M1108" s="99">
        <f>SUMIFS(M$1:M1102,$C$1:$C1102,$C1108,$F$1:$F1102,$F1108)</f>
        <v>9210</v>
      </c>
      <c r="N1108" s="99">
        <f>SUMIFS(N$1:N1102,$C$1:$C1102,$C1108,$F$1:$F1102,$F1108)</f>
        <v>9712</v>
      </c>
      <c r="O1108" s="99">
        <f>SUMIFS(O$1:O1102,$C$1:$C1102,$C1108,$F$1:$F1102,$F1108)</f>
        <v>9210</v>
      </c>
      <c r="P1108" s="99">
        <f t="shared" si="1464"/>
        <v>0</v>
      </c>
      <c r="Q1108" s="99">
        <f>SUMIFS(Q$1:Q1102,$C$1:$C1102,$C1108,$F$1:$F1102,$F1108)</f>
        <v>9210</v>
      </c>
      <c r="R1108" s="99">
        <f>SUMIFS(R$1:R1102,$C$1:$C1102,$C1108,$F$1:$F1102,$F1108)</f>
        <v>0</v>
      </c>
      <c r="S1108" s="99">
        <f>SUMIFS(S$1:S1102,$C$1:$C1102,$C1108,$F$1:$F1102,$F1108)</f>
        <v>0</v>
      </c>
      <c r="T1108" s="99">
        <f>SUMIFS(T$1:T1102,$C$1:$C1102,$C1108,$F$1:$F1102,$F1108)</f>
        <v>9210</v>
      </c>
      <c r="U1108" s="99">
        <f t="shared" si="1465"/>
        <v>0</v>
      </c>
      <c r="V1108" s="255">
        <f t="shared" si="1466"/>
        <v>0</v>
      </c>
      <c r="W1108" s="102"/>
      <c r="X1108" s="102"/>
      <c r="Y1108" s="102">
        <f t="shared" si="1467"/>
        <v>9210</v>
      </c>
      <c r="Z1108" s="309">
        <f>Y1108*(1+VLOOKUP($F1108,'GL Category'!$A:$H,4,FALSE))</f>
        <v>9486.3000000000011</v>
      </c>
      <c r="AA1108" s="615"/>
      <c r="AB1108" s="622">
        <f t="shared" si="1468"/>
        <v>9486.3000000000011</v>
      </c>
      <c r="AC1108" s="633">
        <f>AB1108*(1+VLOOKUP($F1108,'GL Category'!$A:$H,5,FALSE))</f>
        <v>9770.889000000001</v>
      </c>
      <c r="AD1108" s="307"/>
      <c r="AE1108" s="622">
        <f t="shared" si="1469"/>
        <v>9770.889000000001</v>
      </c>
      <c r="AF1108" s="633">
        <f>AE1108*(1+VLOOKUP($F1108,'GL Category'!$A:$H,6,FALSE))</f>
        <v>10064.015670000001</v>
      </c>
      <c r="AG1108" s="307"/>
      <c r="AH1108" s="622">
        <f t="shared" si="1470"/>
        <v>10064.015670000001</v>
      </c>
      <c r="AI1108" s="633">
        <f>AH1108*(1+VLOOKUP($F1108,'GL Category'!$A:$H,7,FALSE))</f>
        <v>10365.936140100001</v>
      </c>
      <c r="AJ1108" s="307"/>
      <c r="AK1108" s="622">
        <f t="shared" si="1471"/>
        <v>10365.936140100001</v>
      </c>
      <c r="AL1108" s="633">
        <f>AK1108*(1+VLOOKUP($F1108,'GL Category'!$A:$H,8,FALSE))</f>
        <v>10676.914224303</v>
      </c>
      <c r="AM1108" s="307"/>
      <c r="AN1108" s="622">
        <f t="shared" si="1472"/>
        <v>10676.914224303</v>
      </c>
      <c r="AO1108" s="300"/>
      <c r="AP1108" s="300"/>
      <c r="AQ1108" s="192"/>
    </row>
    <row r="1109" spans="1:43" s="115" customFormat="1" ht="15" customHeight="1">
      <c r="A1109" s="555"/>
      <c r="B1109" s="217"/>
      <c r="C1109" s="217">
        <v>30</v>
      </c>
      <c r="D1109" s="101" t="str">
        <f t="shared" si="1439"/>
        <v/>
      </c>
      <c r="E1109" s="217"/>
      <c r="F1109" s="294" t="s">
        <v>218</v>
      </c>
      <c r="G1109" s="295" t="str">
        <f>VLOOKUP(F1109,'GL Category'!A:C,3,FALSE)</f>
        <v>Services &amp; other</v>
      </c>
      <c r="H1109" s="98" t="str">
        <f>VLOOKUP(F1109,'GL Category'!A:C,2,FALSE)</f>
        <v>BANKING SERVICES CHARGES</v>
      </c>
      <c r="I1109" s="99">
        <f>SUMIFS(I$1:I1104,$C$1:$C1104,$C1109,$F$1:$F1104,$F1109)</f>
        <v>2067.44</v>
      </c>
      <c r="J1109" s="99">
        <f>SUMIFS(J$1:J1104,$C$1:$C1104,$C1109,$F$1:$F1104,$F1109)</f>
        <v>2527.1800000000003</v>
      </c>
      <c r="K1109" s="99">
        <f>SUMIFS(K$1:K1104,$C$1:$C1104,$C1109,$F$1:$F1104,$F1109)</f>
        <v>2678.24</v>
      </c>
      <c r="L1109" s="99">
        <f>SUMIFS(L$1:L1104,$C$1:$C1104,$C1109,$F$1:$F1104,$F1109)</f>
        <v>3806.05</v>
      </c>
      <c r="M1109" s="99">
        <f>SUMIFS(M$1:M1104,$C$1:$C1104,$C1109,$F$1:$F1104,$F1109)</f>
        <v>2960</v>
      </c>
      <c r="N1109" s="99">
        <f>SUMIFS(N$1:N1104,$C$1:$C1104,$C1109,$F$1:$F1104,$F1109)</f>
        <v>3360.06</v>
      </c>
      <c r="O1109" s="99">
        <f>SUMIFS(O$1:O1104,$C$1:$C1104,$C1109,$F$1:$F1104,$F1109)</f>
        <v>3500</v>
      </c>
      <c r="P1109" s="99">
        <f t="shared" ref="P1109" si="1475">O1109-M1109</f>
        <v>540</v>
      </c>
      <c r="Q1109" s="99">
        <f>SUMIFS(Q$1:Q1104,$C$1:$C1104,$C1109,$F$1:$F1104,$F1109)</f>
        <v>2960</v>
      </c>
      <c r="R1109" s="99">
        <f>SUMIFS(R$1:R1104,$C$1:$C1104,$C1109,$F$1:$F1104,$F1109)</f>
        <v>0</v>
      </c>
      <c r="S1109" s="99">
        <f>SUMIFS(S$1:S1104,$C$1:$C1104,$C1109,$F$1:$F1104,$F1109)</f>
        <v>0</v>
      </c>
      <c r="T1109" s="99">
        <f>SUMIFS(T$1:T1104,$C$1:$C1104,$C1109,$F$1:$F1104,$F1109)</f>
        <v>2960</v>
      </c>
      <c r="U1109" s="99">
        <f t="shared" si="1465"/>
        <v>0</v>
      </c>
      <c r="V1109" s="255">
        <f t="shared" si="1466"/>
        <v>0</v>
      </c>
      <c r="W1109" s="102"/>
      <c r="X1109" s="102"/>
      <c r="Y1109" s="102">
        <f t="shared" si="1467"/>
        <v>2960</v>
      </c>
      <c r="Z1109" s="309">
        <f>Y1109*(1+VLOOKUP($F1109,'GL Category'!$A:$H,4,FALSE))</f>
        <v>3048.8</v>
      </c>
      <c r="AA1109" s="615"/>
      <c r="AB1109" s="622">
        <f t="shared" si="1468"/>
        <v>3048.8</v>
      </c>
      <c r="AC1109" s="633">
        <f>AB1109*(1+VLOOKUP($F1109,'GL Category'!$A:$H,5,FALSE))</f>
        <v>3140.2640000000001</v>
      </c>
      <c r="AD1109" s="307"/>
      <c r="AE1109" s="622">
        <f t="shared" si="1469"/>
        <v>3140.2640000000001</v>
      </c>
      <c r="AF1109" s="633">
        <f>AE1109*(1+VLOOKUP($F1109,'GL Category'!$A:$H,6,FALSE))</f>
        <v>3234.4719200000004</v>
      </c>
      <c r="AG1109" s="307"/>
      <c r="AH1109" s="622">
        <f t="shared" si="1470"/>
        <v>3234.4719200000004</v>
      </c>
      <c r="AI1109" s="633">
        <f>AH1109*(1+VLOOKUP($F1109,'GL Category'!$A:$H,7,FALSE))</f>
        <v>3331.5060776000005</v>
      </c>
      <c r="AJ1109" s="307"/>
      <c r="AK1109" s="622">
        <f t="shared" si="1471"/>
        <v>3331.5060776000005</v>
      </c>
      <c r="AL1109" s="633">
        <f>AK1109*(1+VLOOKUP($F1109,'GL Category'!$A:$H,8,FALSE))</f>
        <v>3431.4512599280006</v>
      </c>
      <c r="AM1109" s="307"/>
      <c r="AN1109" s="622">
        <f t="shared" si="1472"/>
        <v>3431.4512599280006</v>
      </c>
      <c r="AO1109" s="300"/>
      <c r="AP1109" s="300"/>
      <c r="AQ1109" s="192"/>
    </row>
    <row r="1110" spans="1:43" s="115" customFormat="1" ht="15" customHeight="1">
      <c r="A1110" s="555"/>
      <c r="B1110" s="217"/>
      <c r="C1110" s="217">
        <v>30</v>
      </c>
      <c r="D1110" s="101" t="str">
        <f t="shared" si="1439"/>
        <v/>
      </c>
      <c r="E1110" s="217"/>
      <c r="F1110" s="556" t="s">
        <v>3122</v>
      </c>
      <c r="G1110" s="295" t="str">
        <f>VLOOKUP(F1110,'GL Category'!A:C,3,FALSE)</f>
        <v>Services &amp; other</v>
      </c>
      <c r="H1110" s="98" t="str">
        <f>VLOOKUP(F1110,'GL Category'!A:C,2,FALSE)</f>
        <v>OFFICE EQUIP LEASE EXP-CITY</v>
      </c>
      <c r="I1110" s="99">
        <f>SUMIFS(I$1:I1105,$C$1:$C1105,$C1110,$F$1:$F1105,$F1110)</f>
        <v>203563</v>
      </c>
      <c r="J1110" s="99">
        <f>SUMIFS(J$1:J1105,$C$1:$C1105,$C1110,$F$1:$F1105,$F1110)</f>
        <v>232486</v>
      </c>
      <c r="K1110" s="99">
        <f>SUMIFS(K$1:K1105,$C$1:$C1105,$C1110,$F$1:$F1105,$F1110)</f>
        <v>226396</v>
      </c>
      <c r="L1110" s="99">
        <f>SUMIFS(L$1:L1105,$C$1:$C1105,$C1110,$F$1:$F1105,$F1110)</f>
        <v>232215</v>
      </c>
      <c r="M1110" s="99">
        <f>SUMIFS(M$1:M1105,$C$1:$C1105,$C1110,$F$1:$F1105,$F1110)</f>
        <v>286198</v>
      </c>
      <c r="N1110" s="99">
        <f>SUMIFS(N$1:N1105,$C$1:$C1105,$C1110,$F$1:$F1105,$F1110)</f>
        <v>214648.5</v>
      </c>
      <c r="O1110" s="99">
        <f>SUMIFS(O$1:O1105,$C$1:$C1105,$C1110,$F$1:$F1105,$F1110)</f>
        <v>286198</v>
      </c>
      <c r="P1110" s="99">
        <f t="shared" si="1464"/>
        <v>0</v>
      </c>
      <c r="Q1110" s="99">
        <f>SUMIFS(Q$1:Q1105,$C$1:$C1105,$C1110,$F$1:$F1105,$F1110)</f>
        <v>297383</v>
      </c>
      <c r="R1110" s="99">
        <f>SUMIFS(R$1:R1105,$C$1:$C1105,$C1110,$F$1:$F1105,$F1110)</f>
        <v>0</v>
      </c>
      <c r="S1110" s="99">
        <f>SUMIFS(S$1:S1105,$C$1:$C1105,$C1110,$F$1:$F1105,$F1110)</f>
        <v>0</v>
      </c>
      <c r="T1110" s="99">
        <f>SUMIFS(T$1:T1105,$C$1:$C1105,$C1110,$F$1:$F1105,$F1110)</f>
        <v>297383</v>
      </c>
      <c r="U1110" s="99">
        <f t="shared" si="1465"/>
        <v>11185</v>
      </c>
      <c r="V1110" s="255">
        <f t="shared" si="1466"/>
        <v>3.9081335299338216E-2</v>
      </c>
      <c r="W1110" s="102"/>
      <c r="X1110" s="102"/>
      <c r="Y1110" s="102">
        <f t="shared" si="1467"/>
        <v>297383</v>
      </c>
      <c r="Z1110" s="309">
        <f>Y1110*(1+VLOOKUP($F1110,'GL Category'!$A:$H,4,FALSE))</f>
        <v>306304.49</v>
      </c>
      <c r="AA1110" s="615"/>
      <c r="AB1110" s="622">
        <f t="shared" si="1468"/>
        <v>306304.49</v>
      </c>
      <c r="AC1110" s="633">
        <f>AB1110*(1+VLOOKUP($F1110,'GL Category'!$A:$H,5,FALSE))</f>
        <v>315493.62469999999</v>
      </c>
      <c r="AD1110" s="307"/>
      <c r="AE1110" s="622">
        <f t="shared" si="1469"/>
        <v>315493.62469999999</v>
      </c>
      <c r="AF1110" s="633">
        <f>AE1110*(1+VLOOKUP($F1110,'GL Category'!$A:$H,6,FALSE))</f>
        <v>324958.433441</v>
      </c>
      <c r="AG1110" s="307"/>
      <c r="AH1110" s="622">
        <f t="shared" si="1470"/>
        <v>324958.433441</v>
      </c>
      <c r="AI1110" s="633">
        <f>AH1110*(1+VLOOKUP($F1110,'GL Category'!$A:$H,7,FALSE))</f>
        <v>334707.18644423003</v>
      </c>
      <c r="AJ1110" s="307"/>
      <c r="AK1110" s="622">
        <f t="shared" si="1471"/>
        <v>334707.18644423003</v>
      </c>
      <c r="AL1110" s="633">
        <f>AK1110*(1+VLOOKUP($F1110,'GL Category'!$A:$H,8,FALSE))</f>
        <v>344748.40203755692</v>
      </c>
      <c r="AM1110" s="307"/>
      <c r="AN1110" s="622">
        <f t="shared" si="1472"/>
        <v>344748.40203755692</v>
      </c>
      <c r="AO1110" s="300"/>
      <c r="AP1110" s="300"/>
      <c r="AQ1110" s="192"/>
    </row>
    <row r="1111" spans="1:43" s="115" customFormat="1" ht="15" customHeight="1">
      <c r="A1111" s="555"/>
      <c r="B1111" s="217"/>
      <c r="C1111" s="217"/>
      <c r="D1111" s="101"/>
      <c r="E1111" s="217"/>
      <c r="F1111" s="294"/>
      <c r="G1111" s="295"/>
      <c r="H1111" s="107" t="str">
        <f>UPPER(G1110)&amp;" TOTAL"</f>
        <v>SERVICES &amp; OTHER TOTAL</v>
      </c>
      <c r="I1111" s="109">
        <f t="shared" ref="I1111:T1111" si="1476">SUBTOTAL(9,I1088:I1110)</f>
        <v>463485.24000000005</v>
      </c>
      <c r="J1111" s="109">
        <f t="shared" si="1476"/>
        <v>549953.41999999993</v>
      </c>
      <c r="K1111" s="109">
        <f t="shared" si="1476"/>
        <v>616676.92999999993</v>
      </c>
      <c r="L1111" s="109">
        <f t="shared" si="1476"/>
        <v>696269.14</v>
      </c>
      <c r="M1111" s="109">
        <f t="shared" si="1476"/>
        <v>763809</v>
      </c>
      <c r="N1111" s="109">
        <f t="shared" si="1476"/>
        <v>541473.82000000007</v>
      </c>
      <c r="O1111" s="109">
        <f t="shared" si="1476"/>
        <v>739749</v>
      </c>
      <c r="P1111" s="109">
        <f t="shared" si="1476"/>
        <v>-24060</v>
      </c>
      <c r="Q1111" s="109">
        <f t="shared" si="1476"/>
        <v>794578</v>
      </c>
      <c r="R1111" s="109">
        <f t="shared" si="1476"/>
        <v>0</v>
      </c>
      <c r="S1111" s="109">
        <f t="shared" si="1476"/>
        <v>0</v>
      </c>
      <c r="T1111" s="109">
        <f t="shared" si="1476"/>
        <v>794578</v>
      </c>
      <c r="U1111" s="99">
        <f t="shared" si="1465"/>
        <v>30769</v>
      </c>
      <c r="V1111" s="255">
        <f t="shared" si="1466"/>
        <v>4.0283631117203456E-2</v>
      </c>
      <c r="W1111" s="102"/>
      <c r="X1111" s="102"/>
      <c r="Y1111" s="102"/>
      <c r="Z1111" s="192"/>
      <c r="AA1111" s="615"/>
      <c r="AB1111" s="307"/>
      <c r="AC1111" s="300"/>
      <c r="AD1111" s="300"/>
      <c r="AE1111" s="300"/>
      <c r="AF1111" s="300"/>
      <c r="AG1111" s="300"/>
      <c r="AH1111" s="307"/>
      <c r="AI1111" s="307"/>
      <c r="AJ1111" s="300"/>
      <c r="AK1111" s="300"/>
      <c r="AL1111" s="300"/>
      <c r="AM1111" s="300"/>
      <c r="AN1111" s="300"/>
      <c r="AO1111" s="300"/>
      <c r="AP1111" s="300"/>
      <c r="AQ1111" s="192"/>
    </row>
    <row r="1112" spans="1:43" s="115" customFormat="1" ht="15" customHeight="1">
      <c r="A1112" s="555"/>
      <c r="B1112" s="217"/>
      <c r="C1112" s="217"/>
      <c r="D1112" s="101"/>
      <c r="E1112" s="217"/>
      <c r="F1112" s="294"/>
      <c r="G1112" s="295"/>
      <c r="H1112" s="98"/>
      <c r="I1112" s="106"/>
      <c r="J1112" s="106"/>
      <c r="K1112" s="106"/>
      <c r="L1112" s="106"/>
      <c r="M1112" s="106"/>
      <c r="N1112" s="112"/>
      <c r="O1112" s="112"/>
      <c r="P1112" s="112"/>
      <c r="Q1112" s="113"/>
      <c r="R1112" s="113"/>
      <c r="S1112" s="113"/>
      <c r="T1112" s="113"/>
      <c r="U1112" s="99"/>
      <c r="V1112" s="255"/>
      <c r="W1112" s="102"/>
      <c r="X1112" s="102"/>
      <c r="Y1112" s="102"/>
      <c r="Z1112" s="192"/>
      <c r="AA1112" s="615"/>
      <c r="AB1112" s="307"/>
      <c r="AC1112" s="300"/>
      <c r="AD1112" s="300"/>
      <c r="AE1112" s="300"/>
      <c r="AF1112" s="300"/>
      <c r="AG1112" s="300"/>
      <c r="AH1112" s="307"/>
      <c r="AI1112" s="307"/>
      <c r="AJ1112" s="300"/>
      <c r="AK1112" s="300"/>
      <c r="AL1112" s="300"/>
      <c r="AM1112" s="300"/>
      <c r="AN1112" s="300"/>
      <c r="AO1112" s="300"/>
      <c r="AP1112" s="300"/>
      <c r="AQ1112" s="192"/>
    </row>
    <row r="1113" spans="1:43" s="115" customFormat="1" ht="15" customHeight="1">
      <c r="A1113" s="555"/>
      <c r="B1113" s="217"/>
      <c r="C1113" s="217">
        <v>30</v>
      </c>
      <c r="D1113" s="101" t="str">
        <f t="shared" si="1439"/>
        <v/>
      </c>
      <c r="E1113" s="217"/>
      <c r="F1113" s="294" t="s">
        <v>309</v>
      </c>
      <c r="G1113" s="295" t="str">
        <f>VLOOKUP(F1113,'GL Category'!A:C,3,FALSE)</f>
        <v>Transfers to other funds</v>
      </c>
      <c r="H1113" s="98" t="str">
        <f>VLOOKUP(F1113,'GL Category'!A:C,2,FALSE)</f>
        <v>TRANSFER TO PUB SAFTY SPEC REV</v>
      </c>
      <c r="I1113" s="99">
        <f>SUMIFS(I$1:I1108,$C$1:$C1108,$C1113,$F$1:$F1108,$F1113)</f>
        <v>0</v>
      </c>
      <c r="J1113" s="99">
        <f>SUMIFS(J$1:J1108,$C$1:$C1108,$C1113,$F$1:$F1108,$F1113)</f>
        <v>0</v>
      </c>
      <c r="K1113" s="99">
        <f>SUMIFS(K$1:K1108,$C$1:$C1108,$C1113,$F$1:$F1108,$F1113)</f>
        <v>0</v>
      </c>
      <c r="L1113" s="99">
        <f>SUMIFS(L$1:L1108,$C$1:$C1108,$C1113,$F$1:$F1108,$F1113)</f>
        <v>0</v>
      </c>
      <c r="M1113" s="99">
        <f>SUMIFS(M$1:M1108,$C$1:$C1108,$C1113,$F$1:$F1108,$F1113)</f>
        <v>0</v>
      </c>
      <c r="N1113" s="99">
        <f>SUMIFS(N$1:N1108,$C$1:$C1108,$C1113,$F$1:$F1108,$F1113)</f>
        <v>0</v>
      </c>
      <c r="O1113" s="99">
        <f>SUMIFS(O$1:O1108,$C$1:$C1108,$C1113,$F$1:$F1108,$F1113)</f>
        <v>0</v>
      </c>
      <c r="P1113" s="99">
        <f t="shared" ref="P1113" si="1477">O1113-M1113</f>
        <v>0</v>
      </c>
      <c r="Q1113" s="99">
        <f>SUMIFS(Q$1:Q1108,$C$1:$C1108,$C1113,$F$1:$F1108,$F1113)</f>
        <v>0</v>
      </c>
      <c r="R1113" s="99">
        <f>SUMIFS(R$1:R1108,$C$1:$C1108,$C1113,$F$1:$F1108,$F1113)</f>
        <v>0</v>
      </c>
      <c r="S1113" s="99">
        <f>SUMIFS(S$1:S1108,$C$1:$C1108,$C1113,$F$1:$F1108,$F1113)</f>
        <v>0</v>
      </c>
      <c r="T1113" s="99">
        <f>SUMIFS(T$1:T1108,$C$1:$C1108,$C1113,$F$1:$F1108,$F1113)</f>
        <v>0</v>
      </c>
      <c r="U1113" s="99">
        <f>T1113-M1113</f>
        <v>0</v>
      </c>
      <c r="V1113" s="255" t="str">
        <f>IF(M1113=0,"N/A",T1113/M1113-1)</f>
        <v>N/A</v>
      </c>
      <c r="W1113" s="102"/>
      <c r="X1113" s="102"/>
      <c r="Y1113" s="102">
        <f t="shared" ref="Y1113" si="1478">T1113-X1113</f>
        <v>0</v>
      </c>
      <c r="Z1113" s="309">
        <f>Y1113*(1+VLOOKUP($F1113,'GL Category'!$A:$H,4,FALSE))</f>
        <v>0</v>
      </c>
      <c r="AA1113" s="615"/>
      <c r="AB1113" s="622">
        <f>Z1113+AA1113</f>
        <v>0</v>
      </c>
      <c r="AC1113" s="633">
        <f>AB1113*(1+VLOOKUP($F1113,'GL Category'!$A:$H,5,FALSE))</f>
        <v>0</v>
      </c>
      <c r="AD1113" s="307"/>
      <c r="AE1113" s="622">
        <f>AC1113+AD1113</f>
        <v>0</v>
      </c>
      <c r="AF1113" s="633">
        <f>AE1113*(1+VLOOKUP($F1113,'GL Category'!$A:$H,6,FALSE))</f>
        <v>0</v>
      </c>
      <c r="AG1113" s="307"/>
      <c r="AH1113" s="622">
        <f>AF1113+AG1113</f>
        <v>0</v>
      </c>
      <c r="AI1113" s="633">
        <f>AH1113*(1+VLOOKUP($F1113,'GL Category'!$A:$H,7,FALSE))</f>
        <v>0</v>
      </c>
      <c r="AJ1113" s="307"/>
      <c r="AK1113" s="622">
        <f>AI1113+AJ1113</f>
        <v>0</v>
      </c>
      <c r="AL1113" s="633">
        <f>AK1113*(1+VLOOKUP($F1113,'GL Category'!$A:$H,8,FALSE))</f>
        <v>0</v>
      </c>
      <c r="AM1113" s="307"/>
      <c r="AN1113" s="622">
        <f>AL1113+AM1113</f>
        <v>0</v>
      </c>
      <c r="AO1113" s="300"/>
      <c r="AP1113" s="300"/>
      <c r="AQ1113" s="192"/>
    </row>
    <row r="1114" spans="1:43" s="115" customFormat="1" ht="27" customHeight="1">
      <c r="A1114" s="555"/>
      <c r="B1114" s="217"/>
      <c r="C1114" s="217"/>
      <c r="D1114" s="101"/>
      <c r="E1114" s="217"/>
      <c r="F1114" s="294"/>
      <c r="G1114" s="295"/>
      <c r="H1114" s="107" t="str">
        <f>UPPER(G1113)&amp;" TOTAL"</f>
        <v>TRANSFERS TO OTHER FUNDS TOTAL</v>
      </c>
      <c r="I1114" s="109">
        <f t="shared" ref="I1114" si="1479">SUBTOTAL(9,I1113)</f>
        <v>0</v>
      </c>
      <c r="J1114" s="109">
        <f t="shared" ref="J1114:T1114" si="1480">SUBTOTAL(9,J1113)</f>
        <v>0</v>
      </c>
      <c r="K1114" s="109">
        <f t="shared" ref="K1114" si="1481">SUBTOTAL(9,K1113)</f>
        <v>0</v>
      </c>
      <c r="L1114" s="109">
        <f t="shared" ref="L1114" si="1482">SUBTOTAL(9,L1113)</f>
        <v>0</v>
      </c>
      <c r="M1114" s="109">
        <f t="shared" si="1480"/>
        <v>0</v>
      </c>
      <c r="N1114" s="109">
        <f t="shared" ref="N1114" si="1483">SUBTOTAL(9,N1113)</f>
        <v>0</v>
      </c>
      <c r="O1114" s="109">
        <f t="shared" si="1480"/>
        <v>0</v>
      </c>
      <c r="P1114" s="109">
        <f t="shared" si="1480"/>
        <v>0</v>
      </c>
      <c r="Q1114" s="109">
        <f t="shared" si="1480"/>
        <v>0</v>
      </c>
      <c r="R1114" s="109">
        <f t="shared" si="1480"/>
        <v>0</v>
      </c>
      <c r="S1114" s="109">
        <f t="shared" si="1480"/>
        <v>0</v>
      </c>
      <c r="T1114" s="109">
        <f t="shared" si="1480"/>
        <v>0</v>
      </c>
      <c r="U1114" s="99">
        <f>T1114-M1114</f>
        <v>0</v>
      </c>
      <c r="V1114" s="255" t="str">
        <f>IF(M1114=0,"N/A",T1114/M1114-1)</f>
        <v>N/A</v>
      </c>
      <c r="W1114" s="102"/>
      <c r="X1114" s="102"/>
      <c r="Y1114" s="102"/>
      <c r="Z1114" s="192"/>
      <c r="AA1114" s="615"/>
      <c r="AB1114" s="307"/>
      <c r="AC1114" s="300"/>
      <c r="AD1114" s="300"/>
      <c r="AE1114" s="300"/>
      <c r="AF1114" s="300"/>
      <c r="AG1114" s="300"/>
      <c r="AH1114" s="307"/>
      <c r="AI1114" s="307"/>
      <c r="AJ1114" s="300"/>
      <c r="AK1114" s="300"/>
      <c r="AL1114" s="300"/>
      <c r="AM1114" s="300"/>
      <c r="AN1114" s="300"/>
      <c r="AO1114" s="300"/>
      <c r="AP1114" s="300"/>
      <c r="AQ1114" s="192"/>
    </row>
    <row r="1115" spans="1:43" s="115" customFormat="1" ht="15" customHeight="1">
      <c r="A1115" s="555"/>
      <c r="B1115" s="217"/>
      <c r="C1115" s="217"/>
      <c r="D1115" s="101"/>
      <c r="E1115" s="217"/>
      <c r="F1115" s="294"/>
      <c r="G1115" s="295"/>
      <c r="H1115" s="98"/>
      <c r="I1115" s="106"/>
      <c r="J1115" s="106"/>
      <c r="K1115" s="106"/>
      <c r="L1115" s="106"/>
      <c r="M1115" s="106"/>
      <c r="N1115" s="112"/>
      <c r="O1115" s="112"/>
      <c r="P1115" s="112"/>
      <c r="Q1115" s="113"/>
      <c r="R1115" s="113"/>
      <c r="S1115" s="113"/>
      <c r="T1115" s="113"/>
      <c r="U1115" s="99"/>
      <c r="V1115" s="255"/>
      <c r="W1115" s="102"/>
      <c r="X1115" s="102"/>
      <c r="Y1115" s="102"/>
      <c r="Z1115" s="192"/>
      <c r="AA1115" s="615"/>
      <c r="AB1115" s="307"/>
      <c r="AC1115" s="300"/>
      <c r="AD1115" s="300"/>
      <c r="AE1115" s="300"/>
      <c r="AF1115" s="300"/>
      <c r="AG1115" s="300"/>
      <c r="AH1115" s="307"/>
      <c r="AI1115" s="307"/>
      <c r="AJ1115" s="300"/>
      <c r="AK1115" s="300"/>
      <c r="AL1115" s="300"/>
      <c r="AM1115" s="300"/>
      <c r="AN1115" s="300"/>
      <c r="AO1115" s="300"/>
      <c r="AP1115" s="300"/>
      <c r="AQ1115" s="192"/>
    </row>
    <row r="1116" spans="1:43" ht="15" customHeight="1">
      <c r="A1116" s="555"/>
      <c r="B1116" s="217"/>
      <c r="C1116" s="217"/>
      <c r="D1116" s="101"/>
      <c r="E1116" s="217"/>
      <c r="F1116" s="294"/>
      <c r="G1116" s="295"/>
      <c r="H1116" s="114" t="s">
        <v>51</v>
      </c>
      <c r="I1116" s="108">
        <f t="shared" ref="I1116:T1116" si="1484">SUBTOTAL(9,I1054:I1114)</f>
        <v>8682914.8600000013</v>
      </c>
      <c r="J1116" s="108">
        <f t="shared" si="1484"/>
        <v>9521004.5400000028</v>
      </c>
      <c r="K1116" s="108">
        <f t="shared" si="1484"/>
        <v>10533975.689999998</v>
      </c>
      <c r="L1116" s="108">
        <f t="shared" si="1484"/>
        <v>11380755.750000002</v>
      </c>
      <c r="M1116" s="108">
        <f t="shared" si="1484"/>
        <v>12049199</v>
      </c>
      <c r="N1116" s="108">
        <f t="shared" si="1484"/>
        <v>9200957.2699999996</v>
      </c>
      <c r="O1116" s="108">
        <f t="shared" si="1484"/>
        <v>12376593</v>
      </c>
      <c r="P1116" s="108">
        <f t="shared" si="1484"/>
        <v>327394</v>
      </c>
      <c r="Q1116" s="108">
        <f t="shared" si="1484"/>
        <v>12795650</v>
      </c>
      <c r="R1116" s="108">
        <f t="shared" si="1484"/>
        <v>0</v>
      </c>
      <c r="S1116" s="108">
        <f t="shared" si="1484"/>
        <v>0</v>
      </c>
      <c r="T1116" s="108">
        <f t="shared" si="1484"/>
        <v>12795650</v>
      </c>
      <c r="U1116" s="99">
        <f>T1116-M1116</f>
        <v>746451</v>
      </c>
      <c r="V1116" s="255">
        <f>IF(M1116=0,"N/A",T1116/M1116-1)</f>
        <v>6.1950259100210792E-2</v>
      </c>
      <c r="W1116" s="102"/>
      <c r="X1116" s="102"/>
      <c r="Y1116" s="102"/>
      <c r="AA1116" s="615"/>
      <c r="AB1116" s="305"/>
      <c r="AC1116" s="92"/>
      <c r="AD1116" s="92"/>
      <c r="AE1116" s="92"/>
      <c r="AF1116" s="92"/>
      <c r="AG1116" s="92"/>
      <c r="AJ1116" s="92"/>
      <c r="AK1116" s="92"/>
      <c r="AL1116" s="92"/>
      <c r="AM1116" s="92"/>
      <c r="AN1116" s="92"/>
      <c r="AO1116" s="92"/>
      <c r="AP1116" s="92"/>
    </row>
    <row r="1117" spans="1:43" ht="15" customHeight="1" thickBot="1">
      <c r="A1117" s="555"/>
      <c r="B1117" s="217"/>
      <c r="C1117" s="217"/>
      <c r="D1117" s="101"/>
      <c r="E1117" s="217"/>
      <c r="F1117" s="294"/>
      <c r="G1117" s="295"/>
      <c r="H1117" s="98"/>
      <c r="I1117" s="218"/>
      <c r="J1117" s="218"/>
      <c r="K1117" s="218"/>
      <c r="L1117" s="218"/>
      <c r="M1117" s="218"/>
      <c r="U1117" s="99"/>
      <c r="V1117" s="255"/>
      <c r="W1117" s="102"/>
      <c r="X1117" s="102"/>
      <c r="Y1117" s="102"/>
      <c r="AA1117" s="615"/>
      <c r="AC1117" s="300"/>
      <c r="AD1117" s="300"/>
      <c r="AE1117" s="300"/>
      <c r="AF1117" s="300"/>
      <c r="AG1117" s="300"/>
      <c r="AJ1117" s="300"/>
      <c r="AK1117" s="300"/>
      <c r="AL1117" s="300"/>
      <c r="AM1117" s="300"/>
      <c r="AN1117" s="300"/>
    </row>
    <row r="1118" spans="1:43" ht="21.75" customHeight="1" thickBot="1">
      <c r="A1118" s="555"/>
      <c r="B1118" s="217"/>
      <c r="C1118" s="217"/>
      <c r="D1118" s="101"/>
      <c r="E1118" s="217"/>
      <c r="F1118" s="294"/>
      <c r="G1118" s="295"/>
      <c r="H1118" s="665" t="s">
        <v>629</v>
      </c>
      <c r="I1118" s="666"/>
      <c r="J1118" s="666"/>
      <c r="K1118" s="666"/>
      <c r="L1118" s="666"/>
      <c r="M1118" s="666"/>
      <c r="N1118" s="666"/>
      <c r="O1118" s="666"/>
      <c r="P1118" s="666"/>
      <c r="Q1118" s="666"/>
      <c r="R1118" s="666"/>
      <c r="S1118" s="666"/>
      <c r="T1118" s="667"/>
      <c r="U1118" s="99"/>
      <c r="V1118" s="255"/>
      <c r="W1118" s="102"/>
      <c r="X1118" s="102"/>
      <c r="Y1118" s="102"/>
      <c r="AA1118" s="615"/>
      <c r="AC1118" s="300"/>
      <c r="AD1118" s="300"/>
      <c r="AE1118" s="300"/>
      <c r="AF1118" s="300"/>
      <c r="AG1118" s="300"/>
      <c r="AJ1118" s="300"/>
      <c r="AK1118" s="300"/>
      <c r="AL1118" s="300"/>
      <c r="AM1118" s="300"/>
      <c r="AN1118" s="300"/>
    </row>
    <row r="1119" spans="1:43" ht="15" customHeight="1">
      <c r="A1119" s="555"/>
      <c r="B1119" s="217"/>
      <c r="C1119" s="217"/>
      <c r="D1119" s="101"/>
      <c r="E1119" s="217"/>
      <c r="F1119" s="294"/>
      <c r="G1119" s="295"/>
      <c r="H1119" s="225"/>
      <c r="I1119" s="225"/>
      <c r="J1119" s="225"/>
      <c r="K1119" s="225"/>
      <c r="L1119" s="225"/>
      <c r="M1119" s="225"/>
      <c r="N1119" s="225"/>
      <c r="O1119" s="225"/>
      <c r="P1119" s="225"/>
      <c r="Q1119" s="225"/>
      <c r="R1119" s="225"/>
      <c r="S1119" s="225"/>
      <c r="T1119" s="225"/>
      <c r="U1119" s="99"/>
      <c r="V1119" s="255"/>
      <c r="W1119" s="102"/>
      <c r="X1119" s="102"/>
      <c r="Y1119" s="102"/>
      <c r="AA1119" s="615"/>
      <c r="AC1119" s="300"/>
      <c r="AD1119" s="300"/>
      <c r="AE1119" s="300"/>
      <c r="AF1119" s="300"/>
      <c r="AG1119" s="300"/>
      <c r="AJ1119" s="300"/>
      <c r="AK1119" s="300"/>
      <c r="AL1119" s="300"/>
      <c r="AM1119" s="300"/>
      <c r="AN1119" s="300"/>
    </row>
    <row r="1120" spans="1:43" s="115" customFormat="1" ht="15" customHeight="1">
      <c r="A1120" s="555" t="s">
        <v>2723</v>
      </c>
      <c r="B1120" s="217" t="str">
        <f t="shared" ref="B1120:B1157" si="1485">LEFT(A1120,3)</f>
        <v>100</v>
      </c>
      <c r="C1120" s="217" t="str">
        <f t="shared" ref="C1120:C1157" si="1486">MID(A1120,5,2)</f>
        <v>35</v>
      </c>
      <c r="D1120" s="101" t="str">
        <f t="shared" ref="D1120:D1157" si="1487">MID(A1120,8,3)</f>
        <v>351</v>
      </c>
      <c r="E1120" s="217" t="str">
        <f t="shared" ref="E1120:E1157" si="1488">LEFT(A1120,10)</f>
        <v>100-35-351</v>
      </c>
      <c r="F1120" s="294" t="str">
        <f t="shared" ref="F1120:F1157" si="1489">RIGHT(A1120,5)</f>
        <v>50101</v>
      </c>
      <c r="G1120" s="295" t="str">
        <f>VLOOKUP(F1120,'GL Category'!A:C,3,FALSE)</f>
        <v>Personnel services</v>
      </c>
      <c r="H1120" s="98" t="str">
        <f>VLOOKUP(F1120,'GL Category'!A:C,2,FALSE)</f>
        <v>EXEMPT SALARIES</v>
      </c>
      <c r="I1120" s="99">
        <f>SUMIF(Import!$B:$B,$A1120,Import!D:D)</f>
        <v>271573.03999999998</v>
      </c>
      <c r="J1120" s="99">
        <f>SUMIF(Import!$B:$B,$A1120,Import!E:E)</f>
        <v>210823.67</v>
      </c>
      <c r="K1120" s="99">
        <f>SUMIF(Import!$B:$B,$A1120,Import!F:F)</f>
        <v>159018.99</v>
      </c>
      <c r="L1120" s="99">
        <f>SUMIF(Import!$B:$B,$A1120,Import!G:G)</f>
        <v>300319.71000000002</v>
      </c>
      <c r="M1120" s="99">
        <f>SUMIF(Import!$B:$B,$A1120,Import!H:H)</f>
        <v>304846</v>
      </c>
      <c r="N1120" s="99">
        <f>SUMIF(Import!$B:$B,$A1120,Import!I:I)</f>
        <v>233639.09</v>
      </c>
      <c r="O1120" s="99">
        <f>SUMIF(Import!$B:$B,$A1120,Import!J:J)</f>
        <v>306702</v>
      </c>
      <c r="P1120" s="99">
        <f t="shared" ref="P1120:P1128" si="1490">O1120-M1120</f>
        <v>1856</v>
      </c>
      <c r="Q1120" s="99">
        <f>SUMIF(Import!$B:$B,$A1120,Import!K:K)</f>
        <v>317159</v>
      </c>
      <c r="R1120" s="99">
        <f>SUMIF(Import!$B:$B,$A1120,Import!L:L)</f>
        <v>0</v>
      </c>
      <c r="S1120" s="99">
        <f>SUMIF(Import!$B:$B,$A1120,Import!M:M)</f>
        <v>0</v>
      </c>
      <c r="T1120" s="99">
        <f>SUMIF(Import!$B:$B,$A1120,Import!N:N)</f>
        <v>317159</v>
      </c>
      <c r="U1120" s="99">
        <f t="shared" ref="U1120:U1128" si="1491">T1120-M1120</f>
        <v>12313</v>
      </c>
      <c r="V1120" s="255">
        <f t="shared" ref="V1120:V1128" si="1492">IF(M1120=0,"N/A",T1120/M1120-1)</f>
        <v>4.0390885889924677E-2</v>
      </c>
      <c r="W1120" s="102" t="s">
        <v>2723</v>
      </c>
      <c r="X1120" s="102"/>
      <c r="Y1120" s="102"/>
      <c r="Z1120" s="192"/>
      <c r="AA1120" s="615"/>
      <c r="AB1120" s="307"/>
      <c r="AC1120" s="300"/>
      <c r="AD1120" s="300"/>
      <c r="AE1120" s="300"/>
      <c r="AF1120" s="300"/>
      <c r="AG1120" s="300"/>
      <c r="AH1120" s="307"/>
      <c r="AI1120" s="307"/>
      <c r="AJ1120" s="300"/>
      <c r="AK1120" s="300"/>
      <c r="AL1120" s="300"/>
      <c r="AM1120" s="300"/>
      <c r="AN1120" s="300"/>
      <c r="AO1120" s="192"/>
      <c r="AP1120" s="192"/>
      <c r="AQ1120" s="192"/>
    </row>
    <row r="1121" spans="1:43" s="115" customFormat="1" ht="15" customHeight="1">
      <c r="A1121" s="555" t="s">
        <v>2724</v>
      </c>
      <c r="B1121" s="217" t="str">
        <f t="shared" si="1485"/>
        <v>100</v>
      </c>
      <c r="C1121" s="217" t="str">
        <f t="shared" si="1486"/>
        <v>35</v>
      </c>
      <c r="D1121" s="101" t="str">
        <f t="shared" si="1487"/>
        <v>351</v>
      </c>
      <c r="E1121" s="217" t="str">
        <f t="shared" si="1488"/>
        <v>100-35-351</v>
      </c>
      <c r="F1121" s="294" t="str">
        <f t="shared" si="1489"/>
        <v>50102</v>
      </c>
      <c r="G1121" s="295" t="str">
        <f>VLOOKUP(F1121,'GL Category'!A:C,3,FALSE)</f>
        <v>Personnel services</v>
      </c>
      <c r="H1121" s="98" t="str">
        <f>VLOOKUP(F1121,'GL Category'!A:C,2,FALSE)</f>
        <v>NON EXEMPT SALARIES</v>
      </c>
      <c r="I1121" s="99">
        <f>SUMIF(Import!$B:$B,$A1121,Import!D:D)</f>
        <v>330615.12</v>
      </c>
      <c r="J1121" s="99">
        <f>SUMIF(Import!$B:$B,$A1121,Import!E:E)</f>
        <v>344169.21</v>
      </c>
      <c r="K1121" s="99">
        <f>SUMIF(Import!$B:$B,$A1121,Import!F:F)</f>
        <v>343288.83</v>
      </c>
      <c r="L1121" s="99">
        <f>SUMIF(Import!$B:$B,$A1121,Import!G:G)</f>
        <v>375030.45</v>
      </c>
      <c r="M1121" s="99">
        <f>SUMIF(Import!$B:$B,$A1121,Import!H:H)</f>
        <v>414741</v>
      </c>
      <c r="N1121" s="99">
        <f>SUMIF(Import!$B:$B,$A1121,Import!I:I)</f>
        <v>300949.68</v>
      </c>
      <c r="O1121" s="99">
        <f>SUMIF(Import!$B:$B,$A1121,Import!J:J)</f>
        <v>397134</v>
      </c>
      <c r="P1121" s="99">
        <f t="shared" si="1490"/>
        <v>-17607</v>
      </c>
      <c r="Q1121" s="99">
        <f>SUMIF(Import!$B:$B,$A1121,Import!K:K)</f>
        <v>412029</v>
      </c>
      <c r="R1121" s="99">
        <f>SUMIF(Import!$B:$B,$A1121,Import!L:L)</f>
        <v>0</v>
      </c>
      <c r="S1121" s="99">
        <f>SUMIF(Import!$B:$B,$A1121,Import!M:M)</f>
        <v>0</v>
      </c>
      <c r="T1121" s="99">
        <f>SUMIF(Import!$B:$B,$A1121,Import!N:N)</f>
        <v>412029</v>
      </c>
      <c r="U1121" s="99">
        <f t="shared" si="1491"/>
        <v>-2712</v>
      </c>
      <c r="V1121" s="255">
        <f t="shared" si="1492"/>
        <v>-6.5390207382438614E-3</v>
      </c>
      <c r="W1121" s="102" t="s">
        <v>2724</v>
      </c>
      <c r="X1121" s="102"/>
      <c r="Y1121" s="102"/>
      <c r="Z1121" s="192"/>
      <c r="AA1121" s="615"/>
      <c r="AB1121" s="307"/>
      <c r="AC1121" s="300"/>
      <c r="AD1121" s="300"/>
      <c r="AE1121" s="300"/>
      <c r="AF1121" s="300"/>
      <c r="AG1121" s="300"/>
      <c r="AH1121" s="307"/>
      <c r="AI1121" s="307"/>
      <c r="AJ1121" s="300"/>
      <c r="AK1121" s="300"/>
      <c r="AL1121" s="300"/>
      <c r="AM1121" s="300"/>
      <c r="AN1121" s="300"/>
      <c r="AO1121" s="192"/>
      <c r="AP1121" s="192"/>
      <c r="AQ1121" s="192"/>
    </row>
    <row r="1122" spans="1:43" s="115" customFormat="1" ht="15" customHeight="1">
      <c r="A1122" s="555" t="s">
        <v>2725</v>
      </c>
      <c r="B1122" s="217" t="str">
        <f t="shared" si="1485"/>
        <v>100</v>
      </c>
      <c r="C1122" s="217" t="str">
        <f t="shared" si="1486"/>
        <v>35</v>
      </c>
      <c r="D1122" s="101" t="str">
        <f t="shared" si="1487"/>
        <v>351</v>
      </c>
      <c r="E1122" s="217" t="str">
        <f t="shared" si="1488"/>
        <v>100-35-351</v>
      </c>
      <c r="F1122" s="294" t="str">
        <f t="shared" si="1489"/>
        <v>50109</v>
      </c>
      <c r="G1122" s="295" t="str">
        <f>VLOOKUP(F1122,'GL Category'!A:C,3,FALSE)</f>
        <v>Personnel services</v>
      </c>
      <c r="H1122" s="98" t="str">
        <f>VLOOKUP(F1122,'GL Category'!A:C,2,FALSE)</f>
        <v>OVERTIME</v>
      </c>
      <c r="I1122" s="99">
        <f>SUMIF(Import!$B:$B,$A1122,Import!D:D)</f>
        <v>2928.22</v>
      </c>
      <c r="J1122" s="99">
        <f>SUMIF(Import!$B:$B,$A1122,Import!E:E)</f>
        <v>6106.33</v>
      </c>
      <c r="K1122" s="99">
        <f>SUMIF(Import!$B:$B,$A1122,Import!F:F)</f>
        <v>5279.19</v>
      </c>
      <c r="L1122" s="99">
        <f>SUMIF(Import!$B:$B,$A1122,Import!G:G)</f>
        <v>9319.5</v>
      </c>
      <c r="M1122" s="99">
        <f>SUMIF(Import!$B:$B,$A1122,Import!H:H)</f>
        <v>9000</v>
      </c>
      <c r="N1122" s="99">
        <f>SUMIF(Import!$B:$B,$A1122,Import!I:I)</f>
        <v>9604.2999999999993</v>
      </c>
      <c r="O1122" s="99">
        <f>SUMIF(Import!$B:$B,$A1122,Import!J:J)</f>
        <v>9327</v>
      </c>
      <c r="P1122" s="99">
        <f t="shared" si="1490"/>
        <v>327</v>
      </c>
      <c r="Q1122" s="99">
        <f>SUMIF(Import!$B:$B,$A1122,Import!K:K)</f>
        <v>9000</v>
      </c>
      <c r="R1122" s="99">
        <f>SUMIF(Import!$B:$B,$A1122,Import!L:L)</f>
        <v>0</v>
      </c>
      <c r="S1122" s="99">
        <f>SUMIF(Import!$B:$B,$A1122,Import!M:M)</f>
        <v>0</v>
      </c>
      <c r="T1122" s="99">
        <f>SUMIF(Import!$B:$B,$A1122,Import!N:N)</f>
        <v>9000</v>
      </c>
      <c r="U1122" s="99">
        <f t="shared" si="1491"/>
        <v>0</v>
      </c>
      <c r="V1122" s="255">
        <f t="shared" si="1492"/>
        <v>0</v>
      </c>
      <c r="W1122" s="102" t="s">
        <v>2725</v>
      </c>
      <c r="X1122" s="102"/>
      <c r="Y1122" s="102"/>
      <c r="Z1122" s="192"/>
      <c r="AA1122" s="615"/>
      <c r="AB1122" s="307"/>
      <c r="AC1122" s="300"/>
      <c r="AD1122" s="300"/>
      <c r="AE1122" s="300"/>
      <c r="AF1122" s="300"/>
      <c r="AG1122" s="300"/>
      <c r="AH1122" s="307"/>
      <c r="AI1122" s="307"/>
      <c r="AJ1122" s="300"/>
      <c r="AK1122" s="300"/>
      <c r="AL1122" s="300"/>
      <c r="AM1122" s="300"/>
      <c r="AN1122" s="300"/>
      <c r="AO1122" s="192"/>
      <c r="AP1122" s="192"/>
      <c r="AQ1122" s="192"/>
    </row>
    <row r="1123" spans="1:43" s="115" customFormat="1" ht="15" customHeight="1">
      <c r="A1123" s="555" t="s">
        <v>2726</v>
      </c>
      <c r="B1123" s="217" t="str">
        <f t="shared" si="1485"/>
        <v>100</v>
      </c>
      <c r="C1123" s="217" t="str">
        <f t="shared" si="1486"/>
        <v>35</v>
      </c>
      <c r="D1123" s="101" t="str">
        <f t="shared" si="1487"/>
        <v>351</v>
      </c>
      <c r="E1123" s="217" t="str">
        <f t="shared" si="1488"/>
        <v>100-35-351</v>
      </c>
      <c r="F1123" s="294" t="str">
        <f t="shared" si="1489"/>
        <v>50111</v>
      </c>
      <c r="G1123" s="295" t="str">
        <f>VLOOKUP(F1123,'GL Category'!A:C,3,FALSE)</f>
        <v>Personnel services</v>
      </c>
      <c r="H1123" s="98" t="str">
        <f>VLOOKUP(F1123,'GL Category'!A:C,2,FALSE)</f>
        <v>LONGEVITY PAY</v>
      </c>
      <c r="I1123" s="99">
        <f>SUMIF(Import!$B:$B,$A1123,Import!D:D)</f>
        <v>5320</v>
      </c>
      <c r="J1123" s="99">
        <f>SUMIF(Import!$B:$B,$A1123,Import!E:E)</f>
        <v>5560</v>
      </c>
      <c r="K1123" s="99">
        <f>SUMIF(Import!$B:$B,$A1123,Import!F:F)</f>
        <v>4300</v>
      </c>
      <c r="L1123" s="99">
        <f>SUMIF(Import!$B:$B,$A1123,Import!G:G)</f>
        <v>4540</v>
      </c>
      <c r="M1123" s="99">
        <f>SUMIF(Import!$B:$B,$A1123,Import!H:H)</f>
        <v>4899</v>
      </c>
      <c r="N1123" s="99">
        <f>SUMIF(Import!$B:$B,$A1123,Import!I:I)</f>
        <v>4850</v>
      </c>
      <c r="O1123" s="99">
        <f>SUMIF(Import!$B:$B,$A1123,Import!J:J)</f>
        <v>4850</v>
      </c>
      <c r="P1123" s="99">
        <f t="shared" si="1490"/>
        <v>-49</v>
      </c>
      <c r="Q1123" s="99">
        <f>SUMIF(Import!$B:$B,$A1123,Import!K:K)</f>
        <v>4627</v>
      </c>
      <c r="R1123" s="99">
        <f>SUMIF(Import!$B:$B,$A1123,Import!L:L)</f>
        <v>0</v>
      </c>
      <c r="S1123" s="99">
        <f>SUMIF(Import!$B:$B,$A1123,Import!M:M)</f>
        <v>0</v>
      </c>
      <c r="T1123" s="99">
        <f>SUMIF(Import!$B:$B,$A1123,Import!N:N)</f>
        <v>4627</v>
      </c>
      <c r="U1123" s="99">
        <f t="shared" si="1491"/>
        <v>-272</v>
      </c>
      <c r="V1123" s="255">
        <f t="shared" si="1492"/>
        <v>-5.5521535007144296E-2</v>
      </c>
      <c r="W1123" s="102" t="s">
        <v>2726</v>
      </c>
      <c r="X1123" s="102"/>
      <c r="Y1123" s="102"/>
      <c r="Z1123" s="192"/>
      <c r="AA1123" s="615"/>
      <c r="AB1123" s="307"/>
      <c r="AC1123" s="93"/>
      <c r="AD1123" s="93"/>
      <c r="AE1123" s="93"/>
      <c r="AF1123" s="93"/>
      <c r="AG1123" s="93"/>
      <c r="AH1123" s="307"/>
      <c r="AI1123" s="307"/>
      <c r="AJ1123" s="93"/>
      <c r="AK1123" s="93"/>
      <c r="AL1123" s="93"/>
      <c r="AM1123" s="93"/>
      <c r="AN1123" s="93"/>
      <c r="AO1123" s="192"/>
      <c r="AP1123" s="192"/>
      <c r="AQ1123" s="192"/>
    </row>
    <row r="1124" spans="1:43" s="115" customFormat="1" ht="15" customHeight="1">
      <c r="A1124" s="555" t="s">
        <v>2727</v>
      </c>
      <c r="B1124" s="217" t="str">
        <f t="shared" si="1485"/>
        <v>100</v>
      </c>
      <c r="C1124" s="217" t="str">
        <f t="shared" si="1486"/>
        <v>35</v>
      </c>
      <c r="D1124" s="101" t="str">
        <f t="shared" si="1487"/>
        <v>351</v>
      </c>
      <c r="E1124" s="217" t="str">
        <f t="shared" si="1488"/>
        <v>100-35-351</v>
      </c>
      <c r="F1124" s="294" t="str">
        <f t="shared" si="1489"/>
        <v>50115</v>
      </c>
      <c r="G1124" s="295" t="str">
        <f>VLOOKUP(F1124,'GL Category'!A:C,3,FALSE)</f>
        <v>Personnel services</v>
      </c>
      <c r="H1124" s="98" t="str">
        <f>VLOOKUP(F1124,'GL Category'!A:C,2,FALSE)</f>
        <v>INCENTIVE/CERTIFICATION PAY</v>
      </c>
      <c r="I1124" s="99">
        <f>SUMIF(Import!$B:$B,$A1124,Import!D:D)</f>
        <v>4828.57</v>
      </c>
      <c r="J1124" s="99">
        <f>SUMIF(Import!$B:$B,$A1124,Import!E:E)</f>
        <v>3947.21</v>
      </c>
      <c r="K1124" s="99">
        <f>SUMIF(Import!$B:$B,$A1124,Import!F:F)</f>
        <v>3611</v>
      </c>
      <c r="L1124" s="99">
        <f>SUMIF(Import!$B:$B,$A1124,Import!G:G)</f>
        <v>4716</v>
      </c>
      <c r="M1124" s="99">
        <f>SUMIF(Import!$B:$B,$A1124,Import!H:H)</f>
        <v>4800</v>
      </c>
      <c r="N1124" s="99">
        <f>SUMIF(Import!$B:$B,$A1124,Import!I:I)</f>
        <v>3584</v>
      </c>
      <c r="O1124" s="99">
        <f>SUMIF(Import!$B:$B,$A1124,Import!J:J)</f>
        <v>6624</v>
      </c>
      <c r="P1124" s="99">
        <f t="shared" si="1490"/>
        <v>1824</v>
      </c>
      <c r="Q1124" s="99">
        <f>SUMIF(Import!$B:$B,$A1124,Import!K:K)</f>
        <v>4800</v>
      </c>
      <c r="R1124" s="99">
        <f>SUMIF(Import!$B:$B,$A1124,Import!L:L)</f>
        <v>0</v>
      </c>
      <c r="S1124" s="99">
        <f>SUMIF(Import!$B:$B,$A1124,Import!M:M)</f>
        <v>0</v>
      </c>
      <c r="T1124" s="99">
        <f>SUMIF(Import!$B:$B,$A1124,Import!N:N)</f>
        <v>4800</v>
      </c>
      <c r="U1124" s="99">
        <f t="shared" si="1491"/>
        <v>0</v>
      </c>
      <c r="V1124" s="255">
        <f t="shared" si="1492"/>
        <v>0</v>
      </c>
      <c r="W1124" s="102" t="s">
        <v>2727</v>
      </c>
      <c r="X1124" s="102"/>
      <c r="Y1124" s="102"/>
      <c r="Z1124" s="192"/>
      <c r="AA1124" s="615"/>
      <c r="AB1124" s="307"/>
      <c r="AC1124" s="300"/>
      <c r="AD1124" s="300"/>
      <c r="AE1124" s="300"/>
      <c r="AF1124" s="300"/>
      <c r="AG1124" s="300"/>
      <c r="AH1124" s="307"/>
      <c r="AI1124" s="307"/>
      <c r="AJ1124" s="300"/>
      <c r="AK1124" s="300"/>
      <c r="AL1124" s="300"/>
      <c r="AM1124" s="300"/>
      <c r="AN1124" s="300"/>
      <c r="AO1124" s="192"/>
      <c r="AP1124" s="192"/>
      <c r="AQ1124" s="192"/>
    </row>
    <row r="1125" spans="1:43" s="115" customFormat="1" ht="15" customHeight="1">
      <c r="A1125" s="555" t="s">
        <v>2728</v>
      </c>
      <c r="B1125" s="217" t="str">
        <f t="shared" si="1485"/>
        <v>100</v>
      </c>
      <c r="C1125" s="217" t="str">
        <f t="shared" si="1486"/>
        <v>35</v>
      </c>
      <c r="D1125" s="101" t="str">
        <f t="shared" si="1487"/>
        <v>351</v>
      </c>
      <c r="E1125" s="217" t="str">
        <f t="shared" si="1488"/>
        <v>100-35-351</v>
      </c>
      <c r="F1125" s="294" t="str">
        <f t="shared" si="1489"/>
        <v>50610</v>
      </c>
      <c r="G1125" s="295" t="str">
        <f>VLOOKUP(F1125,'GL Category'!A:C,3,FALSE)</f>
        <v>Personnel services</v>
      </c>
      <c r="H1125" s="98" t="str">
        <f>VLOOKUP(F1125,'GL Category'!A:C,2,FALSE)</f>
        <v>SOCIAL SECURITY</v>
      </c>
      <c r="I1125" s="99">
        <f>SUMIF(Import!$B:$B,$A1125,Import!D:D)</f>
        <v>44778.47</v>
      </c>
      <c r="J1125" s="99">
        <f>SUMIF(Import!$B:$B,$A1125,Import!E:E)</f>
        <v>41369.29</v>
      </c>
      <c r="K1125" s="99">
        <f>SUMIF(Import!$B:$B,$A1125,Import!F:F)</f>
        <v>38490.379999999997</v>
      </c>
      <c r="L1125" s="99">
        <f>SUMIF(Import!$B:$B,$A1125,Import!G:G)</f>
        <v>51906.71</v>
      </c>
      <c r="M1125" s="99">
        <f>SUMIF(Import!$B:$B,$A1125,Import!H:H)</f>
        <v>53070</v>
      </c>
      <c r="N1125" s="99">
        <f>SUMIF(Import!$B:$B,$A1125,Import!I:I)</f>
        <v>41514.33</v>
      </c>
      <c r="O1125" s="99">
        <f>SUMIF(Import!$B:$B,$A1125,Import!J:J)</f>
        <v>52669</v>
      </c>
      <c r="P1125" s="99">
        <f t="shared" si="1490"/>
        <v>-401</v>
      </c>
      <c r="Q1125" s="99">
        <f>SUMIF(Import!$B:$B,$A1125,Import!K:K)</f>
        <v>52700</v>
      </c>
      <c r="R1125" s="99">
        <f>SUMIF(Import!$B:$B,$A1125,Import!L:L)</f>
        <v>0</v>
      </c>
      <c r="S1125" s="99">
        <f>SUMIF(Import!$B:$B,$A1125,Import!M:M)</f>
        <v>0</v>
      </c>
      <c r="T1125" s="99">
        <f>SUMIF(Import!$B:$B,$A1125,Import!N:N)</f>
        <v>52700</v>
      </c>
      <c r="U1125" s="99">
        <f t="shared" si="1491"/>
        <v>-370</v>
      </c>
      <c r="V1125" s="255">
        <f t="shared" si="1492"/>
        <v>-6.9719238741284828E-3</v>
      </c>
      <c r="W1125" s="102" t="s">
        <v>2728</v>
      </c>
      <c r="X1125" s="102"/>
      <c r="Y1125" s="102"/>
      <c r="Z1125" s="192"/>
      <c r="AA1125" s="615"/>
      <c r="AB1125" s="307"/>
      <c r="AC1125" s="93"/>
      <c r="AD1125" s="93"/>
      <c r="AE1125" s="93"/>
      <c r="AF1125" s="93"/>
      <c r="AG1125" s="93"/>
      <c r="AH1125" s="307"/>
      <c r="AI1125" s="307"/>
      <c r="AJ1125" s="93"/>
      <c r="AK1125" s="93"/>
      <c r="AL1125" s="93"/>
      <c r="AM1125" s="93"/>
      <c r="AN1125" s="93"/>
      <c r="AO1125" s="192"/>
      <c r="AP1125" s="192"/>
      <c r="AQ1125" s="192"/>
    </row>
    <row r="1126" spans="1:43" s="115" customFormat="1" ht="15" customHeight="1">
      <c r="A1126" s="555" t="s">
        <v>2729</v>
      </c>
      <c r="B1126" s="217" t="str">
        <f t="shared" si="1485"/>
        <v>100</v>
      </c>
      <c r="C1126" s="217" t="str">
        <f t="shared" si="1486"/>
        <v>35</v>
      </c>
      <c r="D1126" s="101" t="str">
        <f t="shared" si="1487"/>
        <v>351</v>
      </c>
      <c r="E1126" s="217" t="str">
        <f t="shared" si="1488"/>
        <v>100-35-351</v>
      </c>
      <c r="F1126" s="294" t="str">
        <f t="shared" si="1489"/>
        <v>50620</v>
      </c>
      <c r="G1126" s="295" t="str">
        <f>VLOOKUP(F1126,'GL Category'!A:C,3,FALSE)</f>
        <v>Personnel services</v>
      </c>
      <c r="H1126" s="98" t="str">
        <f>VLOOKUP(F1126,'GL Category'!A:C,2,FALSE)</f>
        <v>HEALTH/LIFE INSURANCE</v>
      </c>
      <c r="I1126" s="99">
        <f>SUMIF(Import!$B:$B,$A1126,Import!D:D)</f>
        <v>70079.56</v>
      </c>
      <c r="J1126" s="99">
        <f>SUMIF(Import!$B:$B,$A1126,Import!E:E)</f>
        <v>57229.63</v>
      </c>
      <c r="K1126" s="99">
        <f>SUMIF(Import!$B:$B,$A1126,Import!F:F)</f>
        <v>62231.79</v>
      </c>
      <c r="L1126" s="99">
        <f>SUMIF(Import!$B:$B,$A1126,Import!G:G)</f>
        <v>66662.080000000002</v>
      </c>
      <c r="M1126" s="99">
        <f>SUMIF(Import!$B:$B,$A1126,Import!H:H)</f>
        <v>57581</v>
      </c>
      <c r="N1126" s="99">
        <f>SUMIF(Import!$B:$B,$A1126,Import!I:I)</f>
        <v>35874.79</v>
      </c>
      <c r="O1126" s="99">
        <f>SUMIF(Import!$B:$B,$A1126,Import!J:J)</f>
        <v>48517</v>
      </c>
      <c r="P1126" s="99">
        <f t="shared" si="1490"/>
        <v>-9064</v>
      </c>
      <c r="Q1126" s="99">
        <f>SUMIF(Import!$B:$B,$A1126,Import!K:K)</f>
        <v>45360</v>
      </c>
      <c r="R1126" s="99">
        <f>SUMIF(Import!$B:$B,$A1126,Import!L:L)</f>
        <v>0</v>
      </c>
      <c r="S1126" s="99">
        <f>SUMIF(Import!$B:$B,$A1126,Import!M:M)</f>
        <v>0</v>
      </c>
      <c r="T1126" s="99">
        <f>SUMIF(Import!$B:$B,$A1126,Import!N:N)</f>
        <v>45360</v>
      </c>
      <c r="U1126" s="99">
        <f t="shared" si="1491"/>
        <v>-12221</v>
      </c>
      <c r="V1126" s="255">
        <f t="shared" si="1492"/>
        <v>-0.21224014866014829</v>
      </c>
      <c r="W1126" s="102" t="s">
        <v>2729</v>
      </c>
      <c r="X1126" s="102"/>
      <c r="Y1126" s="102"/>
      <c r="Z1126" s="192"/>
      <c r="AA1126" s="615"/>
      <c r="AB1126" s="307"/>
      <c r="AC1126" s="300"/>
      <c r="AD1126" s="300"/>
      <c r="AE1126" s="300"/>
      <c r="AF1126" s="300"/>
      <c r="AG1126" s="300"/>
      <c r="AH1126" s="307"/>
      <c r="AI1126" s="307"/>
      <c r="AJ1126" s="300"/>
      <c r="AK1126" s="300"/>
      <c r="AL1126" s="300"/>
      <c r="AM1126" s="300"/>
      <c r="AN1126" s="300"/>
      <c r="AO1126" s="192"/>
      <c r="AP1126" s="192"/>
      <c r="AQ1126" s="192"/>
    </row>
    <row r="1127" spans="1:43" s="115" customFormat="1" ht="15" customHeight="1">
      <c r="A1127" s="555" t="s">
        <v>2730</v>
      </c>
      <c r="B1127" s="217" t="str">
        <f t="shared" si="1485"/>
        <v>100</v>
      </c>
      <c r="C1127" s="217" t="str">
        <f t="shared" si="1486"/>
        <v>35</v>
      </c>
      <c r="D1127" s="101" t="str">
        <f t="shared" si="1487"/>
        <v>351</v>
      </c>
      <c r="E1127" s="217" t="str">
        <f t="shared" si="1488"/>
        <v>100-35-351</v>
      </c>
      <c r="F1127" s="294" t="str">
        <f t="shared" si="1489"/>
        <v>50630</v>
      </c>
      <c r="G1127" s="295" t="str">
        <f>VLOOKUP(F1127,'GL Category'!A:C,3,FALSE)</f>
        <v>Personnel services</v>
      </c>
      <c r="H1127" s="98" t="str">
        <f>VLOOKUP(F1127,'GL Category'!A:C,2,FALSE)</f>
        <v>WORKER COMPENSATION</v>
      </c>
      <c r="I1127" s="99">
        <f>SUMIF(Import!$B:$B,$A1127,Import!D:D)</f>
        <v>4004.68</v>
      </c>
      <c r="J1127" s="99">
        <f>SUMIF(Import!$B:$B,$A1127,Import!E:E)</f>
        <v>4329.13</v>
      </c>
      <c r="K1127" s="99">
        <f>SUMIF(Import!$B:$B,$A1127,Import!F:F)</f>
        <v>4895.87</v>
      </c>
      <c r="L1127" s="99">
        <f>SUMIF(Import!$B:$B,$A1127,Import!G:G)</f>
        <v>8824.6200000000008</v>
      </c>
      <c r="M1127" s="99">
        <f>SUMIF(Import!$B:$B,$A1127,Import!H:H)</f>
        <v>11937</v>
      </c>
      <c r="N1127" s="99">
        <f>SUMIF(Import!$B:$B,$A1127,Import!I:I)</f>
        <v>11927.25</v>
      </c>
      <c r="O1127" s="99">
        <f>SUMIF(Import!$B:$B,$A1127,Import!J:J)</f>
        <v>11927</v>
      </c>
      <c r="P1127" s="99">
        <f t="shared" si="1490"/>
        <v>-10</v>
      </c>
      <c r="Q1127" s="99">
        <f>SUMIF(Import!$B:$B,$A1127,Import!K:K)</f>
        <v>12653</v>
      </c>
      <c r="R1127" s="99">
        <f>SUMIF(Import!$B:$B,$A1127,Import!L:L)</f>
        <v>0</v>
      </c>
      <c r="S1127" s="99">
        <f>SUMIF(Import!$B:$B,$A1127,Import!M:M)</f>
        <v>0</v>
      </c>
      <c r="T1127" s="99">
        <f>SUMIF(Import!$B:$B,$A1127,Import!N:N)</f>
        <v>12653</v>
      </c>
      <c r="U1127" s="99">
        <f t="shared" si="1491"/>
        <v>716</v>
      </c>
      <c r="V1127" s="255">
        <f t="shared" si="1492"/>
        <v>5.9981569908687193E-2</v>
      </c>
      <c r="W1127" s="102" t="s">
        <v>2730</v>
      </c>
      <c r="X1127" s="102"/>
      <c r="Y1127" s="102"/>
      <c r="Z1127" s="192"/>
      <c r="AA1127" s="615"/>
      <c r="AB1127" s="307"/>
      <c r="AC1127" s="300"/>
      <c r="AD1127" s="300"/>
      <c r="AE1127" s="300"/>
      <c r="AF1127" s="300"/>
      <c r="AG1127" s="300"/>
      <c r="AH1127" s="307"/>
      <c r="AI1127" s="307"/>
      <c r="AJ1127" s="300"/>
      <c r="AK1127" s="300"/>
      <c r="AL1127" s="300"/>
      <c r="AM1127" s="300"/>
      <c r="AN1127" s="300"/>
      <c r="AO1127" s="192"/>
      <c r="AP1127" s="192"/>
      <c r="AQ1127" s="192"/>
    </row>
    <row r="1128" spans="1:43" s="115" customFormat="1" ht="15" customHeight="1">
      <c r="A1128" s="555" t="s">
        <v>2731</v>
      </c>
      <c r="B1128" s="217" t="str">
        <f t="shared" si="1485"/>
        <v>100</v>
      </c>
      <c r="C1128" s="217" t="str">
        <f t="shared" si="1486"/>
        <v>35</v>
      </c>
      <c r="D1128" s="101" t="str">
        <f t="shared" si="1487"/>
        <v>351</v>
      </c>
      <c r="E1128" s="217" t="str">
        <f t="shared" si="1488"/>
        <v>100-35-351</v>
      </c>
      <c r="F1128" s="294" t="str">
        <f t="shared" si="1489"/>
        <v>50650</v>
      </c>
      <c r="G1128" s="295" t="str">
        <f>VLOOKUP(F1128,'GL Category'!A:C,3,FALSE)</f>
        <v>Personnel services</v>
      </c>
      <c r="H1128" s="98" t="str">
        <f>VLOOKUP(F1128,'GL Category'!A:C,2,FALSE)</f>
        <v>RETIREMENT</v>
      </c>
      <c r="I1128" s="99">
        <f>SUMIF(Import!$B:$B,$A1128,Import!D:D)</f>
        <v>97842.16</v>
      </c>
      <c r="J1128" s="99">
        <f>SUMIF(Import!$B:$B,$A1128,Import!E:E)</f>
        <v>91398.93</v>
      </c>
      <c r="K1128" s="99">
        <f>SUMIF(Import!$B:$B,$A1128,Import!F:F)</f>
        <v>83519.31</v>
      </c>
      <c r="L1128" s="99">
        <f>SUMIF(Import!$B:$B,$A1128,Import!G:G)</f>
        <v>112562.61</v>
      </c>
      <c r="M1128" s="99">
        <f>SUMIF(Import!$B:$B,$A1128,Import!H:H)</f>
        <v>122959</v>
      </c>
      <c r="N1128" s="99">
        <f>SUMIF(Import!$B:$B,$A1128,Import!I:I)</f>
        <v>91886.9</v>
      </c>
      <c r="O1128" s="99">
        <f>SUMIF(Import!$B:$B,$A1128,Import!J:J)</f>
        <v>120379</v>
      </c>
      <c r="P1128" s="99">
        <f t="shared" si="1490"/>
        <v>-2580</v>
      </c>
      <c r="Q1128" s="99">
        <f>SUMIF(Import!$B:$B,$A1128,Import!K:K)</f>
        <v>127513</v>
      </c>
      <c r="R1128" s="99">
        <f>SUMIF(Import!$B:$B,$A1128,Import!L:L)</f>
        <v>0</v>
      </c>
      <c r="S1128" s="99">
        <f>SUMIF(Import!$B:$B,$A1128,Import!M:M)</f>
        <v>0</v>
      </c>
      <c r="T1128" s="99">
        <f>SUMIF(Import!$B:$B,$A1128,Import!N:N)</f>
        <v>127513</v>
      </c>
      <c r="U1128" s="99">
        <f t="shared" si="1491"/>
        <v>4554</v>
      </c>
      <c r="V1128" s="255">
        <f t="shared" si="1492"/>
        <v>3.7036735822509881E-2</v>
      </c>
      <c r="W1128" s="102" t="s">
        <v>2731</v>
      </c>
      <c r="X1128" s="102"/>
      <c r="Y1128" s="102"/>
      <c r="Z1128" s="192"/>
      <c r="AA1128" s="615"/>
      <c r="AB1128" s="307"/>
      <c r="AC1128" s="94"/>
      <c r="AD1128" s="94"/>
      <c r="AE1128" s="94"/>
      <c r="AF1128" s="94"/>
      <c r="AG1128" s="94"/>
      <c r="AH1128" s="307"/>
      <c r="AI1128" s="307"/>
      <c r="AJ1128" s="94"/>
      <c r="AK1128" s="94"/>
      <c r="AL1128" s="94"/>
      <c r="AM1128" s="94"/>
      <c r="AN1128" s="94"/>
      <c r="AO1128" s="192"/>
      <c r="AP1128" s="192"/>
      <c r="AQ1128" s="192"/>
    </row>
    <row r="1129" spans="1:43" s="115" customFormat="1" ht="15" customHeight="1">
      <c r="A1129" s="555"/>
      <c r="B1129" s="217"/>
      <c r="C1129" s="217"/>
      <c r="D1129" s="101"/>
      <c r="E1129" s="217"/>
      <c r="F1129" s="294"/>
      <c r="G1129" s="295"/>
      <c r="H1129" s="107" t="str">
        <f>UPPER(G1128)&amp;" TOTAL"</f>
        <v>PERSONNEL SERVICES TOTAL</v>
      </c>
      <c r="I1129" s="108">
        <f t="shared" ref="I1129" si="1493">SUBTOTAL(9,I1120:I1128)</f>
        <v>831969.81999999983</v>
      </c>
      <c r="J1129" s="108">
        <f t="shared" ref="J1129:P1129" si="1494">SUBTOTAL(9,J1120:J1128)</f>
        <v>764933.39999999991</v>
      </c>
      <c r="K1129" s="108">
        <f t="shared" ref="K1129" si="1495">SUBTOTAL(9,K1120:K1128)</f>
        <v>704635.3600000001</v>
      </c>
      <c r="L1129" s="108">
        <f t="shared" ref="L1129" si="1496">SUBTOTAL(9,L1120:L1128)</f>
        <v>933881.67999999993</v>
      </c>
      <c r="M1129" s="108">
        <f t="shared" si="1494"/>
        <v>983833</v>
      </c>
      <c r="N1129" s="109">
        <f t="shared" ref="N1129" si="1497">SUBTOTAL(9,N1120:N1128)</f>
        <v>733830.34000000008</v>
      </c>
      <c r="O1129" s="109">
        <f t="shared" si="1494"/>
        <v>958129</v>
      </c>
      <c r="P1129" s="109">
        <f t="shared" si="1494"/>
        <v>-25704</v>
      </c>
      <c r="Q1129" s="109">
        <f t="shared" ref="Q1129:T1129" si="1498">SUBTOTAL(9,Q1120:Q1128)</f>
        <v>985841</v>
      </c>
      <c r="R1129" s="109">
        <f t="shared" si="1498"/>
        <v>0</v>
      </c>
      <c r="S1129" s="109">
        <f t="shared" si="1498"/>
        <v>0</v>
      </c>
      <c r="T1129" s="109">
        <f t="shared" si="1498"/>
        <v>985841</v>
      </c>
      <c r="U1129" s="99">
        <f>T1129-M1129</f>
        <v>2008</v>
      </c>
      <c r="V1129" s="255">
        <f>IF(M1129=0,"N/A",T1129/M1129-1)</f>
        <v>2.0409967951877661E-3</v>
      </c>
      <c r="W1129" s="102"/>
      <c r="X1129" s="102"/>
      <c r="Y1129" s="102"/>
      <c r="Z1129" s="192"/>
      <c r="AA1129" s="615"/>
      <c r="AB1129" s="307"/>
      <c r="AC1129" s="93"/>
      <c r="AD1129" s="93"/>
      <c r="AE1129" s="93"/>
      <c r="AF1129" s="93"/>
      <c r="AG1129" s="93"/>
      <c r="AH1129" s="307"/>
      <c r="AI1129" s="307"/>
      <c r="AJ1129" s="93"/>
      <c r="AK1129" s="93"/>
      <c r="AL1129" s="93"/>
      <c r="AM1129" s="93"/>
      <c r="AN1129" s="93"/>
      <c r="AO1129" s="192"/>
      <c r="AP1129" s="192"/>
      <c r="AQ1129" s="192"/>
    </row>
    <row r="1130" spans="1:43" s="115" customFormat="1" ht="15" customHeight="1">
      <c r="A1130" s="555"/>
      <c r="B1130" s="217"/>
      <c r="C1130" s="217"/>
      <c r="D1130" s="101"/>
      <c r="E1130" s="217"/>
      <c r="F1130" s="294"/>
      <c r="G1130" s="295"/>
      <c r="H1130" s="98"/>
      <c r="I1130" s="106"/>
      <c r="J1130" s="106"/>
      <c r="K1130" s="106"/>
      <c r="L1130" s="106"/>
      <c r="M1130" s="106"/>
      <c r="N1130" s="112"/>
      <c r="O1130" s="112"/>
      <c r="P1130" s="112"/>
      <c r="Q1130" s="113"/>
      <c r="R1130" s="113"/>
      <c r="S1130" s="113"/>
      <c r="T1130" s="113"/>
      <c r="U1130" s="99"/>
      <c r="V1130" s="255"/>
      <c r="W1130" s="102"/>
      <c r="X1130" s="102"/>
      <c r="Y1130" s="102"/>
      <c r="Z1130" s="192"/>
      <c r="AA1130" s="615"/>
      <c r="AB1130" s="307"/>
      <c r="AC1130" s="300"/>
      <c r="AD1130" s="300"/>
      <c r="AE1130" s="300"/>
      <c r="AF1130" s="300"/>
      <c r="AG1130" s="300"/>
      <c r="AH1130" s="307"/>
      <c r="AI1130" s="307"/>
      <c r="AJ1130" s="300"/>
      <c r="AK1130" s="300"/>
      <c r="AL1130" s="300"/>
      <c r="AM1130" s="300"/>
      <c r="AN1130" s="300"/>
      <c r="AO1130" s="192"/>
      <c r="AP1130" s="192"/>
      <c r="AQ1130" s="192"/>
    </row>
    <row r="1131" spans="1:43" s="115" customFormat="1" ht="15" customHeight="1">
      <c r="A1131" s="555" t="s">
        <v>2732</v>
      </c>
      <c r="B1131" s="217" t="str">
        <f t="shared" si="1485"/>
        <v>100</v>
      </c>
      <c r="C1131" s="217" t="str">
        <f t="shared" si="1486"/>
        <v>35</v>
      </c>
      <c r="D1131" s="101" t="str">
        <f t="shared" si="1487"/>
        <v>351</v>
      </c>
      <c r="E1131" s="217" t="str">
        <f t="shared" si="1488"/>
        <v>100-35-351</v>
      </c>
      <c r="F1131" s="294" t="str">
        <f t="shared" si="1489"/>
        <v>51210</v>
      </c>
      <c r="G1131" s="295" t="str">
        <f>VLOOKUP(F1131,'GL Category'!A:C,3,FALSE)</f>
        <v>Operations &amp; maintenance</v>
      </c>
      <c r="H1131" s="98" t="str">
        <f>VLOOKUP(F1131,'GL Category'!A:C,2,FALSE)</f>
        <v>OFFICE SUPPLIES</v>
      </c>
      <c r="I1131" s="99">
        <f>SUMIF(Import!$B:$B,$A1131,Import!D:D)</f>
        <v>1303.46</v>
      </c>
      <c r="J1131" s="99">
        <f>SUMIF(Import!$B:$B,$A1131,Import!E:E)</f>
        <v>2292.67</v>
      </c>
      <c r="K1131" s="99">
        <f>SUMIF(Import!$B:$B,$A1131,Import!F:F)</f>
        <v>2726.98</v>
      </c>
      <c r="L1131" s="99">
        <f>SUMIF(Import!$B:$B,$A1131,Import!G:G)</f>
        <v>5083.26</v>
      </c>
      <c r="M1131" s="99">
        <f>SUMIF(Import!$B:$B,$A1131,Import!H:H)</f>
        <v>3700</v>
      </c>
      <c r="N1131" s="99">
        <f>SUMIF(Import!$B:$B,$A1131,Import!I:I)</f>
        <v>3080.72</v>
      </c>
      <c r="O1131" s="99">
        <f>SUMIF(Import!$B:$B,$A1131,Import!J:J)</f>
        <v>3700</v>
      </c>
      <c r="P1131" s="99">
        <f t="shared" ref="P1131:P1139" si="1499">O1131-M1131</f>
        <v>0</v>
      </c>
      <c r="Q1131" s="99">
        <f>SUMIF(Import!$B:$B,$A1131,Import!K:K)</f>
        <v>3700</v>
      </c>
      <c r="R1131" s="99">
        <f>SUMIF(Import!$B:$B,$A1131,Import!L:L)</f>
        <v>0</v>
      </c>
      <c r="S1131" s="99">
        <f>SUMIF(Import!$B:$B,$A1131,Import!M:M)</f>
        <v>0</v>
      </c>
      <c r="T1131" s="99">
        <f>SUMIF(Import!$B:$B,$A1131,Import!N:N)</f>
        <v>3700</v>
      </c>
      <c r="U1131" s="99">
        <f t="shared" ref="U1131:U1139" si="1500">T1131-M1131</f>
        <v>0</v>
      </c>
      <c r="V1131" s="255">
        <f t="shared" ref="V1131:V1139" si="1501">IF(M1131=0,"N/A",T1131/M1131-1)</f>
        <v>0</v>
      </c>
      <c r="W1131" s="102" t="s">
        <v>2732</v>
      </c>
      <c r="X1131" s="102"/>
      <c r="Y1131" s="102"/>
      <c r="Z1131" s="192"/>
      <c r="AA1131" s="615"/>
      <c r="AB1131" s="307"/>
      <c r="AC1131" s="94"/>
      <c r="AD1131" s="94"/>
      <c r="AE1131" s="94"/>
      <c r="AF1131" s="94"/>
      <c r="AG1131" s="94"/>
      <c r="AH1131" s="307"/>
      <c r="AI1131" s="307"/>
      <c r="AJ1131" s="94"/>
      <c r="AK1131" s="94"/>
      <c r="AL1131" s="94"/>
      <c r="AM1131" s="94"/>
      <c r="AN1131" s="94"/>
      <c r="AO1131" s="192"/>
      <c r="AP1131" s="192"/>
      <c r="AQ1131" s="192"/>
    </row>
    <row r="1132" spans="1:43" s="115" customFormat="1" ht="15" customHeight="1">
      <c r="A1132" s="555" t="s">
        <v>2733</v>
      </c>
      <c r="B1132" s="217" t="str">
        <f t="shared" si="1485"/>
        <v>100</v>
      </c>
      <c r="C1132" s="217" t="str">
        <f t="shared" si="1486"/>
        <v>35</v>
      </c>
      <c r="D1132" s="101" t="str">
        <f t="shared" si="1487"/>
        <v>351</v>
      </c>
      <c r="E1132" s="217" t="str">
        <f t="shared" si="1488"/>
        <v>100-35-351</v>
      </c>
      <c r="F1132" s="294" t="str">
        <f t="shared" si="1489"/>
        <v>51245</v>
      </c>
      <c r="G1132" s="295" t="str">
        <f>VLOOKUP(F1132,'GL Category'!A:C,3,FALSE)</f>
        <v>Operations &amp; maintenance</v>
      </c>
      <c r="H1132" s="98" t="str">
        <f>VLOOKUP(F1132,'GL Category'!A:C,2,FALSE)</f>
        <v>SMALL TOOLS &amp; EQUIPMENT</v>
      </c>
      <c r="I1132" s="99">
        <f>SUMIF(Import!$B:$B,$A1132,Import!D:D)</f>
        <v>2143.4</v>
      </c>
      <c r="J1132" s="99">
        <f>SUMIF(Import!$B:$B,$A1132,Import!E:E)</f>
        <v>297.48</v>
      </c>
      <c r="K1132" s="99">
        <f>SUMIF(Import!$B:$B,$A1132,Import!F:F)</f>
        <v>3694.35</v>
      </c>
      <c r="L1132" s="99">
        <f>SUMIF(Import!$B:$B,$A1132,Import!G:G)</f>
        <v>562.52</v>
      </c>
      <c r="M1132" s="99">
        <f>SUMIF(Import!$B:$B,$A1132,Import!H:H)</f>
        <v>2500</v>
      </c>
      <c r="N1132" s="99">
        <f>SUMIF(Import!$B:$B,$A1132,Import!I:I)</f>
        <v>242.99</v>
      </c>
      <c r="O1132" s="99">
        <f>SUMIF(Import!$B:$B,$A1132,Import!J:J)</f>
        <v>500</v>
      </c>
      <c r="P1132" s="99">
        <f t="shared" si="1499"/>
        <v>-2000</v>
      </c>
      <c r="Q1132" s="99">
        <f>SUMIF(Import!$B:$B,$A1132,Import!K:K)</f>
        <v>2500</v>
      </c>
      <c r="R1132" s="99">
        <f>SUMIF(Import!$B:$B,$A1132,Import!L:L)</f>
        <v>0</v>
      </c>
      <c r="S1132" s="99">
        <f>SUMIF(Import!$B:$B,$A1132,Import!M:M)</f>
        <v>0</v>
      </c>
      <c r="T1132" s="99">
        <f>SUMIF(Import!$B:$B,$A1132,Import!N:N)</f>
        <v>2500</v>
      </c>
      <c r="U1132" s="99">
        <f t="shared" si="1500"/>
        <v>0</v>
      </c>
      <c r="V1132" s="255">
        <f t="shared" si="1501"/>
        <v>0</v>
      </c>
      <c r="W1132" s="102" t="s">
        <v>2733</v>
      </c>
      <c r="X1132" s="102"/>
      <c r="Y1132" s="102"/>
      <c r="Z1132" s="192"/>
      <c r="AA1132" s="615"/>
      <c r="AB1132" s="307"/>
      <c r="AC1132" s="93"/>
      <c r="AD1132" s="93"/>
      <c r="AE1132" s="93"/>
      <c r="AF1132" s="93"/>
      <c r="AG1132" s="93"/>
      <c r="AH1132" s="307"/>
      <c r="AI1132" s="307"/>
      <c r="AJ1132" s="93"/>
      <c r="AK1132" s="93"/>
      <c r="AL1132" s="93"/>
      <c r="AM1132" s="93"/>
      <c r="AN1132" s="93"/>
      <c r="AO1132" s="192"/>
      <c r="AP1132" s="192"/>
      <c r="AQ1132" s="192"/>
    </row>
    <row r="1133" spans="1:43" s="115" customFormat="1" ht="15" customHeight="1">
      <c r="A1133" s="555" t="s">
        <v>2734</v>
      </c>
      <c r="B1133" s="217" t="str">
        <f t="shared" si="1485"/>
        <v>100</v>
      </c>
      <c r="C1133" s="217" t="str">
        <f t="shared" si="1486"/>
        <v>35</v>
      </c>
      <c r="D1133" s="101" t="str">
        <f t="shared" si="1487"/>
        <v>351</v>
      </c>
      <c r="E1133" s="217" t="str">
        <f t="shared" si="1488"/>
        <v>100-35-351</v>
      </c>
      <c r="F1133" s="294" t="str">
        <f t="shared" si="1489"/>
        <v>51255</v>
      </c>
      <c r="G1133" s="295" t="str">
        <f>VLOOKUP(F1133,'GL Category'!A:C,3,FALSE)</f>
        <v>Operations &amp; maintenance</v>
      </c>
      <c r="H1133" s="98" t="str">
        <f>VLOOKUP(F1133,'GL Category'!A:C,2,FALSE)</f>
        <v>FUEL/OILS/LUBRICANTS</v>
      </c>
      <c r="I1133" s="99">
        <f>SUMIF(Import!$B:$B,$A1133,Import!D:D)</f>
        <v>3084.04</v>
      </c>
      <c r="J1133" s="99">
        <f>SUMIF(Import!$B:$B,$A1133,Import!E:E)</f>
        <v>3828.59</v>
      </c>
      <c r="K1133" s="99">
        <f>SUMIF(Import!$B:$B,$A1133,Import!F:F)</f>
        <v>5686.02</v>
      </c>
      <c r="L1133" s="99">
        <f>SUMIF(Import!$B:$B,$A1133,Import!G:G)</f>
        <v>5544.68</v>
      </c>
      <c r="M1133" s="99">
        <f>SUMIF(Import!$B:$B,$A1133,Import!H:H)</f>
        <v>7000</v>
      </c>
      <c r="N1133" s="99">
        <f>SUMIF(Import!$B:$B,$A1133,Import!I:I)</f>
        <v>2819.6</v>
      </c>
      <c r="O1133" s="99">
        <f>SUMIF(Import!$B:$B,$A1133,Import!J:J)</f>
        <v>4600</v>
      </c>
      <c r="P1133" s="99">
        <f t="shared" si="1499"/>
        <v>-2400</v>
      </c>
      <c r="Q1133" s="99">
        <f>SUMIF(Import!$B:$B,$A1133,Import!K:K)</f>
        <v>7000</v>
      </c>
      <c r="R1133" s="99">
        <f>SUMIF(Import!$B:$B,$A1133,Import!L:L)</f>
        <v>0</v>
      </c>
      <c r="S1133" s="99">
        <f>SUMIF(Import!$B:$B,$A1133,Import!M:M)</f>
        <v>0</v>
      </c>
      <c r="T1133" s="99">
        <f>SUMIF(Import!$B:$B,$A1133,Import!N:N)</f>
        <v>7000</v>
      </c>
      <c r="U1133" s="99">
        <f t="shared" si="1500"/>
        <v>0</v>
      </c>
      <c r="V1133" s="255">
        <f t="shared" si="1501"/>
        <v>0</v>
      </c>
      <c r="W1133" s="102" t="s">
        <v>2734</v>
      </c>
      <c r="X1133" s="102"/>
      <c r="Y1133" s="102"/>
      <c r="Z1133" s="192"/>
      <c r="AA1133" s="615"/>
      <c r="AB1133" s="307"/>
      <c r="AC1133" s="300"/>
      <c r="AD1133" s="300"/>
      <c r="AE1133" s="300"/>
      <c r="AF1133" s="300"/>
      <c r="AG1133" s="300"/>
      <c r="AH1133" s="307"/>
      <c r="AI1133" s="307"/>
      <c r="AJ1133" s="300"/>
      <c r="AK1133" s="300"/>
      <c r="AL1133" s="300"/>
      <c r="AM1133" s="300"/>
      <c r="AN1133" s="300"/>
      <c r="AO1133" s="192"/>
      <c r="AP1133" s="192"/>
      <c r="AQ1133" s="192"/>
    </row>
    <row r="1134" spans="1:43" s="115" customFormat="1" ht="15" customHeight="1">
      <c r="A1134" s="555" t="s">
        <v>2735</v>
      </c>
      <c r="B1134" s="217" t="str">
        <f t="shared" si="1485"/>
        <v>100</v>
      </c>
      <c r="C1134" s="217" t="str">
        <f t="shared" si="1486"/>
        <v>35</v>
      </c>
      <c r="D1134" s="101" t="str">
        <f t="shared" si="1487"/>
        <v>351</v>
      </c>
      <c r="E1134" s="217" t="str">
        <f t="shared" si="1488"/>
        <v>100-35-351</v>
      </c>
      <c r="F1134" s="294" t="str">
        <f t="shared" si="1489"/>
        <v>53511</v>
      </c>
      <c r="G1134" s="295" t="e">
        <f>VLOOKUP(F1134,'GL Category'!A:C,3,FALSE)</f>
        <v>#N/A</v>
      </c>
      <c r="H1134" s="98" t="e">
        <f>VLOOKUP(F1134,'GL Category'!A:C,2,FALSE)</f>
        <v>#N/A</v>
      </c>
      <c r="I1134" s="99">
        <f>SUMIF(Import!$B:$B,$A1134,Import!D:D)</f>
        <v>0</v>
      </c>
      <c r="J1134" s="99">
        <f>SUMIF(Import!$B:$B,$A1134,Import!E:E)</f>
        <v>0</v>
      </c>
      <c r="K1134" s="99">
        <f>SUMIF(Import!$B:$B,$A1134,Import!F:F)</f>
        <v>0</v>
      </c>
      <c r="L1134" s="99">
        <f>SUMIF(Import!$B:$B,$A1134,Import!G:G)</f>
        <v>0</v>
      </c>
      <c r="M1134" s="99">
        <f>SUMIF(Import!$B:$B,$A1134,Import!H:H)</f>
        <v>0</v>
      </c>
      <c r="N1134" s="99">
        <f>SUMIF(Import!$B:$B,$A1134,Import!I:I)</f>
        <v>0</v>
      </c>
      <c r="O1134" s="99">
        <f>SUMIF(Import!$B:$B,$A1134,Import!J:J)</f>
        <v>0</v>
      </c>
      <c r="P1134" s="99">
        <f t="shared" si="1499"/>
        <v>0</v>
      </c>
      <c r="Q1134" s="99">
        <f>SUMIF(Import!$B:$B,$A1134,Import!K:K)</f>
        <v>0</v>
      </c>
      <c r="R1134" s="99">
        <f>SUMIF(Import!$B:$B,$A1134,Import!L:L)</f>
        <v>0</v>
      </c>
      <c r="S1134" s="99">
        <f>SUMIF(Import!$B:$B,$A1134,Import!M:M)</f>
        <v>0</v>
      </c>
      <c r="T1134" s="99">
        <f>SUMIF(Import!$B:$B,$A1134,Import!N:N)</f>
        <v>0</v>
      </c>
      <c r="U1134" s="99">
        <f t="shared" si="1500"/>
        <v>0</v>
      </c>
      <c r="V1134" s="255" t="str">
        <f t="shared" si="1501"/>
        <v>N/A</v>
      </c>
      <c r="W1134" s="102" t="s">
        <v>2735</v>
      </c>
      <c r="X1134" s="102"/>
      <c r="Y1134" s="102"/>
      <c r="Z1134" s="192"/>
      <c r="AA1134" s="615"/>
      <c r="AB1134" s="307"/>
      <c r="AC1134" s="300"/>
      <c r="AD1134" s="300"/>
      <c r="AE1134" s="300"/>
      <c r="AF1134" s="300"/>
      <c r="AG1134" s="300"/>
      <c r="AH1134" s="307"/>
      <c r="AI1134" s="307"/>
      <c r="AJ1134" s="300"/>
      <c r="AK1134" s="300"/>
      <c r="AL1134" s="300"/>
      <c r="AM1134" s="300"/>
      <c r="AN1134" s="300"/>
      <c r="AO1134" s="192"/>
      <c r="AP1134" s="192"/>
      <c r="AQ1134" s="192"/>
    </row>
    <row r="1135" spans="1:43" ht="15" customHeight="1">
      <c r="A1135" s="555" t="s">
        <v>2736</v>
      </c>
      <c r="B1135" s="217" t="str">
        <f t="shared" si="1485"/>
        <v>100</v>
      </c>
      <c r="C1135" s="217" t="str">
        <f t="shared" si="1486"/>
        <v>35</v>
      </c>
      <c r="D1135" s="101" t="str">
        <f t="shared" si="1487"/>
        <v>351</v>
      </c>
      <c r="E1135" s="217" t="str">
        <f t="shared" si="1488"/>
        <v>100-35-351</v>
      </c>
      <c r="F1135" s="294" t="str">
        <f t="shared" si="1489"/>
        <v>51299</v>
      </c>
      <c r="G1135" s="295" t="str">
        <f>VLOOKUP(F1135,'GL Category'!A:C,3,FALSE)</f>
        <v>Operations &amp; maintenance</v>
      </c>
      <c r="H1135" s="98" t="str">
        <f>VLOOKUP(F1135,'GL Category'!A:C,2,FALSE)</f>
        <v>MISCELLANEOUS SUPPLIES</v>
      </c>
      <c r="I1135" s="99">
        <f>SUMIF(Import!$B:$B,$A1135,Import!D:D)</f>
        <v>318.31</v>
      </c>
      <c r="J1135" s="99">
        <f>SUMIF(Import!$B:$B,$A1135,Import!E:E)</f>
        <v>41.53</v>
      </c>
      <c r="K1135" s="99">
        <f>SUMIF(Import!$B:$B,$A1135,Import!F:F)</f>
        <v>602.11</v>
      </c>
      <c r="L1135" s="99">
        <f>SUMIF(Import!$B:$B,$A1135,Import!G:G)</f>
        <v>636.1</v>
      </c>
      <c r="M1135" s="99">
        <f>SUMIF(Import!$B:$B,$A1135,Import!H:H)</f>
        <v>750</v>
      </c>
      <c r="N1135" s="99">
        <f>SUMIF(Import!$B:$B,$A1135,Import!I:I)</f>
        <v>960.94</v>
      </c>
      <c r="O1135" s="99">
        <f>SUMIF(Import!$B:$B,$A1135,Import!J:J)</f>
        <v>750</v>
      </c>
      <c r="P1135" s="99">
        <f t="shared" si="1499"/>
        <v>0</v>
      </c>
      <c r="Q1135" s="99">
        <f>SUMIF(Import!$B:$B,$A1135,Import!K:K)</f>
        <v>750</v>
      </c>
      <c r="R1135" s="99">
        <f>SUMIF(Import!$B:$B,$A1135,Import!L:L)</f>
        <v>0</v>
      </c>
      <c r="S1135" s="99">
        <f>SUMIF(Import!$B:$B,$A1135,Import!M:M)</f>
        <v>0</v>
      </c>
      <c r="T1135" s="99">
        <f>SUMIF(Import!$B:$B,$A1135,Import!N:N)</f>
        <v>750</v>
      </c>
      <c r="U1135" s="99">
        <f t="shared" si="1500"/>
        <v>0</v>
      </c>
      <c r="V1135" s="255">
        <f t="shared" si="1501"/>
        <v>0</v>
      </c>
      <c r="W1135" s="102" t="s">
        <v>2736</v>
      </c>
      <c r="X1135" s="102"/>
      <c r="Y1135" s="102"/>
      <c r="AA1135" s="615"/>
      <c r="AC1135" s="300"/>
      <c r="AD1135" s="300"/>
      <c r="AE1135" s="300"/>
      <c r="AF1135" s="300"/>
      <c r="AG1135" s="300"/>
      <c r="AJ1135" s="300"/>
      <c r="AK1135" s="300"/>
      <c r="AL1135" s="300"/>
      <c r="AM1135" s="300"/>
      <c r="AN1135" s="300"/>
    </row>
    <row r="1136" spans="1:43" ht="15" customHeight="1">
      <c r="A1136" s="555" t="s">
        <v>2737</v>
      </c>
      <c r="B1136" s="217" t="str">
        <f t="shared" si="1485"/>
        <v>100</v>
      </c>
      <c r="C1136" s="217" t="str">
        <f t="shared" si="1486"/>
        <v>35</v>
      </c>
      <c r="D1136" s="101" t="str">
        <f t="shared" si="1487"/>
        <v>351</v>
      </c>
      <c r="E1136" s="217" t="str">
        <f t="shared" si="1488"/>
        <v>100-35-351</v>
      </c>
      <c r="F1136" s="294" t="str">
        <f t="shared" si="1489"/>
        <v>52310</v>
      </c>
      <c r="G1136" s="295" t="str">
        <f>VLOOKUP(F1136,'GL Category'!A:C,3,FALSE)</f>
        <v>Operations &amp; maintenance</v>
      </c>
      <c r="H1136" s="98" t="str">
        <f>VLOOKUP(F1136,'GL Category'!A:C,2,FALSE)</f>
        <v>BUILDING MAINTENANCE</v>
      </c>
      <c r="I1136" s="99">
        <f>SUMIF(Import!$B:$B,$A1136,Import!D:D)</f>
        <v>0</v>
      </c>
      <c r="J1136" s="99">
        <f>SUMIF(Import!$B:$B,$A1136,Import!E:E)</f>
        <v>0</v>
      </c>
      <c r="K1136" s="99">
        <f>SUMIF(Import!$B:$B,$A1136,Import!F:F)</f>
        <v>0</v>
      </c>
      <c r="L1136" s="99">
        <f>SUMIF(Import!$B:$B,$A1136,Import!G:G)</f>
        <v>0</v>
      </c>
      <c r="M1136" s="99">
        <f>SUMIF(Import!$B:$B,$A1136,Import!H:H)</f>
        <v>0</v>
      </c>
      <c r="N1136" s="99">
        <f>SUMIF(Import!$B:$B,$A1136,Import!I:I)</f>
        <v>0</v>
      </c>
      <c r="O1136" s="99">
        <f>SUMIF(Import!$B:$B,$A1136,Import!J:J)</f>
        <v>0</v>
      </c>
      <c r="P1136" s="99">
        <f t="shared" si="1499"/>
        <v>0</v>
      </c>
      <c r="Q1136" s="99">
        <f>SUMIF(Import!$B:$B,$A1136,Import!K:K)</f>
        <v>0</v>
      </c>
      <c r="R1136" s="99">
        <f>SUMIF(Import!$B:$B,$A1136,Import!L:L)</f>
        <v>0</v>
      </c>
      <c r="S1136" s="99">
        <f>SUMIF(Import!$B:$B,$A1136,Import!M:M)</f>
        <v>0</v>
      </c>
      <c r="T1136" s="99">
        <f>SUMIF(Import!$B:$B,$A1136,Import!N:N)</f>
        <v>0</v>
      </c>
      <c r="U1136" s="99">
        <f t="shared" si="1500"/>
        <v>0</v>
      </c>
      <c r="V1136" s="255" t="str">
        <f t="shared" si="1501"/>
        <v>N/A</v>
      </c>
      <c r="W1136" s="102" t="s">
        <v>2737</v>
      </c>
      <c r="X1136" s="102"/>
      <c r="Y1136" s="102"/>
      <c r="AA1136" s="615"/>
      <c r="AC1136" s="300"/>
      <c r="AD1136" s="300"/>
      <c r="AE1136" s="300"/>
      <c r="AF1136" s="300"/>
      <c r="AG1136" s="300"/>
      <c r="AJ1136" s="300"/>
      <c r="AK1136" s="300"/>
      <c r="AL1136" s="300"/>
      <c r="AM1136" s="300"/>
      <c r="AN1136" s="300"/>
    </row>
    <row r="1137" spans="1:59" ht="15" customHeight="1">
      <c r="A1137" s="555" t="s">
        <v>2738</v>
      </c>
      <c r="B1137" s="217" t="str">
        <f t="shared" si="1485"/>
        <v>100</v>
      </c>
      <c r="C1137" s="217" t="str">
        <f t="shared" si="1486"/>
        <v>35</v>
      </c>
      <c r="D1137" s="101" t="str">
        <f t="shared" si="1487"/>
        <v>351</v>
      </c>
      <c r="E1137" s="217" t="str">
        <f t="shared" si="1488"/>
        <v>100-35-351</v>
      </c>
      <c r="F1137" s="294" t="str">
        <f t="shared" si="1489"/>
        <v>52460</v>
      </c>
      <c r="G1137" s="295" t="str">
        <f>VLOOKUP(F1137,'GL Category'!A:C,3,FALSE)</f>
        <v>Operations &amp; maintenance</v>
      </c>
      <c r="H1137" s="98" t="str">
        <f>VLOOKUP(F1137,'GL Category'!A:C,2,FALSE)</f>
        <v>VEHICLE MAINTENANCE</v>
      </c>
      <c r="I1137" s="99">
        <f>SUMIF(Import!$B:$B,$A1137,Import!D:D)</f>
        <v>1350.99</v>
      </c>
      <c r="J1137" s="99">
        <f>SUMIF(Import!$B:$B,$A1137,Import!E:E)</f>
        <v>-10137.52</v>
      </c>
      <c r="K1137" s="99">
        <f>SUMIF(Import!$B:$B,$A1137,Import!F:F)</f>
        <v>828.33</v>
      </c>
      <c r="L1137" s="99">
        <f>SUMIF(Import!$B:$B,$A1137,Import!G:G)</f>
        <v>409.25</v>
      </c>
      <c r="M1137" s="99">
        <f>SUMIF(Import!$B:$B,$A1137,Import!H:H)</f>
        <v>3000</v>
      </c>
      <c r="N1137" s="99">
        <f>SUMIF(Import!$B:$B,$A1137,Import!I:I)</f>
        <v>208.33</v>
      </c>
      <c r="O1137" s="99">
        <f>SUMIF(Import!$B:$B,$A1137,Import!J:J)</f>
        <v>3000</v>
      </c>
      <c r="P1137" s="99">
        <f t="shared" si="1499"/>
        <v>0</v>
      </c>
      <c r="Q1137" s="99">
        <f>SUMIF(Import!$B:$B,$A1137,Import!K:K)</f>
        <v>3000</v>
      </c>
      <c r="R1137" s="99">
        <f>SUMIF(Import!$B:$B,$A1137,Import!L:L)</f>
        <v>0</v>
      </c>
      <c r="S1137" s="99">
        <f>SUMIF(Import!$B:$B,$A1137,Import!M:M)</f>
        <v>0</v>
      </c>
      <c r="T1137" s="99">
        <f>SUMIF(Import!$B:$B,$A1137,Import!N:N)</f>
        <v>3000</v>
      </c>
      <c r="U1137" s="99">
        <f t="shared" si="1500"/>
        <v>0</v>
      </c>
      <c r="V1137" s="255">
        <f t="shared" si="1501"/>
        <v>0</v>
      </c>
      <c r="W1137" s="102" t="s">
        <v>2738</v>
      </c>
      <c r="X1137" s="102"/>
      <c r="Y1137" s="102"/>
      <c r="AA1137" s="615"/>
    </row>
    <row r="1138" spans="1:59" s="75" customFormat="1" ht="15" customHeight="1">
      <c r="A1138" s="555" t="s">
        <v>2739</v>
      </c>
      <c r="B1138" s="217" t="str">
        <f t="shared" si="1485"/>
        <v>100</v>
      </c>
      <c r="C1138" s="217" t="str">
        <f t="shared" si="1486"/>
        <v>35</v>
      </c>
      <c r="D1138" s="101" t="str">
        <f t="shared" si="1487"/>
        <v>351</v>
      </c>
      <c r="E1138" s="217" t="str">
        <f t="shared" si="1488"/>
        <v>100-35-351</v>
      </c>
      <c r="F1138" s="294" t="str">
        <f t="shared" si="1489"/>
        <v>52480</v>
      </c>
      <c r="G1138" s="295" t="str">
        <f>VLOOKUP(F1138,'GL Category'!A:C,3,FALSE)</f>
        <v>Operations &amp; maintenance</v>
      </c>
      <c r="H1138" s="98" t="str">
        <f>VLOOKUP(F1138,'GL Category'!A:C,2,FALSE)</f>
        <v>OFFICE EQUIPMENT MAINTENANCE</v>
      </c>
      <c r="I1138" s="99">
        <f>SUMIF(Import!$B:$B,$A1138,Import!D:D)</f>
        <v>0</v>
      </c>
      <c r="J1138" s="99">
        <f>SUMIF(Import!$B:$B,$A1138,Import!E:E)</f>
        <v>0</v>
      </c>
      <c r="K1138" s="99">
        <f>SUMIF(Import!$B:$B,$A1138,Import!F:F)</f>
        <v>0</v>
      </c>
      <c r="L1138" s="99">
        <f>SUMIF(Import!$B:$B,$A1138,Import!G:G)</f>
        <v>0</v>
      </c>
      <c r="M1138" s="99">
        <f>SUMIF(Import!$B:$B,$A1138,Import!H:H)</f>
        <v>0</v>
      </c>
      <c r="N1138" s="99">
        <f>SUMIF(Import!$B:$B,$A1138,Import!I:I)</f>
        <v>0</v>
      </c>
      <c r="O1138" s="99">
        <f>SUMIF(Import!$B:$B,$A1138,Import!J:J)</f>
        <v>0</v>
      </c>
      <c r="P1138" s="99">
        <f t="shared" si="1499"/>
        <v>0</v>
      </c>
      <c r="Q1138" s="99">
        <f>SUMIF(Import!$B:$B,$A1138,Import!K:K)</f>
        <v>0</v>
      </c>
      <c r="R1138" s="99">
        <f>SUMIF(Import!$B:$B,$A1138,Import!L:L)</f>
        <v>0</v>
      </c>
      <c r="S1138" s="99">
        <f>SUMIF(Import!$B:$B,$A1138,Import!M:M)</f>
        <v>0</v>
      </c>
      <c r="T1138" s="99">
        <f>SUMIF(Import!$B:$B,$A1138,Import!N:N)</f>
        <v>0</v>
      </c>
      <c r="U1138" s="99">
        <f t="shared" si="1500"/>
        <v>0</v>
      </c>
      <c r="V1138" s="255" t="str">
        <f t="shared" si="1501"/>
        <v>N/A</v>
      </c>
      <c r="W1138" s="102" t="s">
        <v>2739</v>
      </c>
      <c r="X1138" s="102"/>
      <c r="Y1138" s="102"/>
      <c r="Z1138" s="614"/>
      <c r="AA1138" s="615"/>
      <c r="AB1138" s="624"/>
      <c r="AC1138" s="623"/>
      <c r="AD1138" s="623"/>
      <c r="AE1138" s="623"/>
      <c r="AF1138" s="623"/>
      <c r="AG1138" s="623"/>
      <c r="AH1138" s="623"/>
      <c r="AI1138" s="624"/>
      <c r="AJ1138" s="307"/>
      <c r="AK1138" s="307"/>
      <c r="AL1138" s="307"/>
      <c r="AM1138" s="307"/>
      <c r="AN1138" s="307"/>
      <c r="AO1138" s="307"/>
      <c r="AP1138" s="307"/>
      <c r="AQ1138" s="192"/>
      <c r="AR1138" s="115"/>
      <c r="AS1138" s="115"/>
      <c r="AT1138" s="115"/>
      <c r="AU1138" s="115"/>
      <c r="AV1138" s="115"/>
      <c r="AW1138" s="115"/>
      <c r="AX1138" s="115"/>
      <c r="AY1138" s="115"/>
      <c r="AZ1138" s="115"/>
      <c r="BA1138" s="115"/>
      <c r="BB1138" s="115"/>
      <c r="BC1138" s="115"/>
      <c r="BD1138" s="115"/>
      <c r="BE1138" s="74"/>
      <c r="BF1138" s="74"/>
      <c r="BG1138" s="74"/>
    </row>
    <row r="1139" spans="1:59" s="75" customFormat="1" ht="15" customHeight="1">
      <c r="A1139" s="555" t="s">
        <v>2740</v>
      </c>
      <c r="B1139" s="217" t="str">
        <f t="shared" si="1485"/>
        <v>100</v>
      </c>
      <c r="C1139" s="217" t="str">
        <f t="shared" si="1486"/>
        <v>35</v>
      </c>
      <c r="D1139" s="101" t="str">
        <f t="shared" si="1487"/>
        <v>351</v>
      </c>
      <c r="E1139" s="217" t="str">
        <f t="shared" si="1488"/>
        <v>100-35-351</v>
      </c>
      <c r="F1139" s="294" t="str">
        <f t="shared" si="1489"/>
        <v>52490</v>
      </c>
      <c r="G1139" s="295" t="str">
        <f>VLOOKUP(F1139,'GL Category'!A:C,3,FALSE)</f>
        <v>Operations &amp; maintenance</v>
      </c>
      <c r="H1139" s="98" t="str">
        <f>VLOOKUP(F1139,'GL Category'!A:C,2,FALSE)</f>
        <v>A/C &amp; HEATING MAINTENANCE</v>
      </c>
      <c r="I1139" s="99">
        <f>SUMIF(Import!$B:$B,$A1139,Import!D:D)</f>
        <v>0</v>
      </c>
      <c r="J1139" s="99">
        <f>SUMIF(Import!$B:$B,$A1139,Import!E:E)</f>
        <v>0</v>
      </c>
      <c r="K1139" s="99">
        <f>SUMIF(Import!$B:$B,$A1139,Import!F:F)</f>
        <v>0</v>
      </c>
      <c r="L1139" s="99">
        <f>SUMIF(Import!$B:$B,$A1139,Import!G:G)</f>
        <v>0</v>
      </c>
      <c r="M1139" s="99">
        <f>SUMIF(Import!$B:$B,$A1139,Import!H:H)</f>
        <v>0</v>
      </c>
      <c r="N1139" s="99">
        <f>SUMIF(Import!$B:$B,$A1139,Import!I:I)</f>
        <v>0</v>
      </c>
      <c r="O1139" s="99">
        <f>SUMIF(Import!$B:$B,$A1139,Import!J:J)</f>
        <v>0</v>
      </c>
      <c r="P1139" s="99">
        <f t="shared" si="1499"/>
        <v>0</v>
      </c>
      <c r="Q1139" s="99">
        <f>SUMIF(Import!$B:$B,$A1139,Import!K:K)</f>
        <v>0</v>
      </c>
      <c r="R1139" s="99">
        <f>SUMIF(Import!$B:$B,$A1139,Import!L:L)</f>
        <v>0</v>
      </c>
      <c r="S1139" s="99">
        <f>SUMIF(Import!$B:$B,$A1139,Import!M:M)</f>
        <v>0</v>
      </c>
      <c r="T1139" s="99">
        <f>SUMIF(Import!$B:$B,$A1139,Import!N:N)</f>
        <v>0</v>
      </c>
      <c r="U1139" s="99">
        <f t="shared" si="1500"/>
        <v>0</v>
      </c>
      <c r="V1139" s="255" t="str">
        <f t="shared" si="1501"/>
        <v>N/A</v>
      </c>
      <c r="W1139" s="102" t="s">
        <v>2740</v>
      </c>
      <c r="X1139" s="102"/>
      <c r="Y1139" s="102"/>
      <c r="Z1139" s="614"/>
      <c r="AA1139" s="615"/>
      <c r="AB1139" s="624"/>
      <c r="AC1139" s="625"/>
      <c r="AD1139" s="625"/>
      <c r="AE1139" s="625"/>
      <c r="AF1139" s="625"/>
      <c r="AG1139" s="625"/>
      <c r="AH1139" s="625"/>
      <c r="AI1139" s="624"/>
      <c r="AJ1139" s="626"/>
      <c r="AK1139" s="626"/>
      <c r="AL1139" s="626"/>
      <c r="AM1139" s="626"/>
      <c r="AN1139" s="626"/>
      <c r="AO1139" s="626"/>
      <c r="AP1139" s="626"/>
      <c r="AQ1139" s="192"/>
      <c r="AR1139" s="115"/>
      <c r="AS1139" s="115"/>
      <c r="AT1139" s="115"/>
      <c r="AU1139" s="115"/>
      <c r="AV1139" s="115"/>
      <c r="AW1139" s="115"/>
      <c r="AX1139" s="115"/>
      <c r="AY1139" s="115"/>
      <c r="AZ1139" s="115"/>
      <c r="BA1139" s="115"/>
      <c r="BB1139" s="115"/>
      <c r="BC1139" s="115"/>
      <c r="BD1139" s="115"/>
      <c r="BE1139" s="74"/>
      <c r="BF1139" s="74"/>
      <c r="BG1139" s="74"/>
    </row>
    <row r="1140" spans="1:59" s="115" customFormat="1" ht="27" customHeight="1">
      <c r="A1140" s="555"/>
      <c r="B1140" s="217"/>
      <c r="C1140" s="217"/>
      <c r="D1140" s="101"/>
      <c r="E1140" s="217"/>
      <c r="F1140" s="294"/>
      <c r="G1140" s="295"/>
      <c r="H1140" s="107" t="str">
        <f>UPPER(G1139)&amp;" TOTAL"</f>
        <v>OPERATIONS &amp; MAINTENANCE TOTAL</v>
      </c>
      <c r="I1140" s="109">
        <f t="shared" ref="I1140" si="1502">SUBTOTAL(9,I1131:I1139)</f>
        <v>8200.2000000000007</v>
      </c>
      <c r="J1140" s="109">
        <f t="shared" ref="J1140:T1140" si="1503">SUBTOTAL(9,J1131:J1139)</f>
        <v>-3677.2500000000009</v>
      </c>
      <c r="K1140" s="109">
        <f t="shared" ref="K1140" si="1504">SUBTOTAL(9,K1131:K1139)</f>
        <v>13537.79</v>
      </c>
      <c r="L1140" s="109">
        <f t="shared" ref="L1140" si="1505">SUBTOTAL(9,L1131:L1139)</f>
        <v>12235.810000000001</v>
      </c>
      <c r="M1140" s="109">
        <f t="shared" si="1503"/>
        <v>16950</v>
      </c>
      <c r="N1140" s="109">
        <f t="shared" ref="N1140" si="1506">SUBTOTAL(9,N1131:N1139)</f>
        <v>7312.58</v>
      </c>
      <c r="O1140" s="109">
        <f t="shared" si="1503"/>
        <v>12550</v>
      </c>
      <c r="P1140" s="109">
        <f t="shared" si="1503"/>
        <v>-4400</v>
      </c>
      <c r="Q1140" s="109">
        <f t="shared" si="1503"/>
        <v>16950</v>
      </c>
      <c r="R1140" s="109">
        <f t="shared" si="1503"/>
        <v>0</v>
      </c>
      <c r="S1140" s="109">
        <f t="shared" si="1503"/>
        <v>0</v>
      </c>
      <c r="T1140" s="109">
        <f t="shared" si="1503"/>
        <v>16950</v>
      </c>
      <c r="U1140" s="99">
        <f>T1140-M1140</f>
        <v>0</v>
      </c>
      <c r="V1140" s="255">
        <f>IF(M1140=0,"N/A",T1140/M1140-1)</f>
        <v>0</v>
      </c>
      <c r="W1140" s="102"/>
      <c r="X1140" s="102"/>
      <c r="Y1140" s="102"/>
      <c r="Z1140" s="192"/>
      <c r="AA1140" s="615"/>
      <c r="AB1140" s="307"/>
      <c r="AC1140" s="300"/>
      <c r="AD1140" s="300"/>
      <c r="AE1140" s="300"/>
      <c r="AF1140" s="300"/>
      <c r="AG1140" s="300"/>
      <c r="AH1140" s="307"/>
      <c r="AI1140" s="307"/>
      <c r="AJ1140" s="300"/>
      <c r="AK1140" s="300"/>
      <c r="AL1140" s="300"/>
      <c r="AM1140" s="300"/>
      <c r="AN1140" s="300"/>
      <c r="AO1140" s="307"/>
      <c r="AP1140" s="307"/>
      <c r="AQ1140" s="192"/>
    </row>
    <row r="1141" spans="1:59" s="115" customFormat="1" ht="15" customHeight="1">
      <c r="A1141" s="555"/>
      <c r="B1141" s="217"/>
      <c r="C1141" s="217"/>
      <c r="D1141" s="101"/>
      <c r="E1141" s="217"/>
      <c r="F1141" s="294"/>
      <c r="G1141" s="295"/>
      <c r="H1141" s="98"/>
      <c r="I1141" s="106"/>
      <c r="J1141" s="106"/>
      <c r="K1141" s="106"/>
      <c r="L1141" s="106"/>
      <c r="M1141" s="106"/>
      <c r="N1141" s="112"/>
      <c r="O1141" s="112"/>
      <c r="P1141" s="112"/>
      <c r="Q1141" s="113"/>
      <c r="R1141" s="113"/>
      <c r="S1141" s="113"/>
      <c r="T1141" s="113"/>
      <c r="U1141" s="99"/>
      <c r="V1141" s="255"/>
      <c r="W1141" s="102"/>
      <c r="X1141" s="102"/>
      <c r="Y1141" s="102"/>
      <c r="Z1141" s="192"/>
      <c r="AA1141" s="615"/>
      <c r="AB1141" s="307"/>
      <c r="AC1141" s="300"/>
      <c r="AD1141" s="300"/>
      <c r="AE1141" s="300"/>
      <c r="AF1141" s="300"/>
      <c r="AG1141" s="300"/>
      <c r="AH1141" s="307"/>
      <c r="AI1141" s="307"/>
      <c r="AJ1141" s="300"/>
      <c r="AK1141" s="300"/>
      <c r="AL1141" s="300"/>
      <c r="AM1141" s="300"/>
      <c r="AN1141" s="300"/>
      <c r="AO1141" s="307"/>
      <c r="AP1141" s="307"/>
      <c r="AQ1141" s="192"/>
    </row>
    <row r="1142" spans="1:59" s="115" customFormat="1" ht="15" customHeight="1">
      <c r="A1142" s="555" t="s">
        <v>2741</v>
      </c>
      <c r="B1142" s="217" t="str">
        <f t="shared" si="1485"/>
        <v>100</v>
      </c>
      <c r="C1142" s="217" t="str">
        <f t="shared" si="1486"/>
        <v>35</v>
      </c>
      <c r="D1142" s="101" t="str">
        <f t="shared" si="1487"/>
        <v>351</v>
      </c>
      <c r="E1142" s="217" t="str">
        <f t="shared" si="1488"/>
        <v>100-35-351</v>
      </c>
      <c r="F1142" s="294" t="str">
        <f t="shared" si="1489"/>
        <v>53505</v>
      </c>
      <c r="G1142" s="295" t="str">
        <f>VLOOKUP(F1142,'GL Category'!A:C,3,FALSE)</f>
        <v>Services &amp; other</v>
      </c>
      <c r="H1142" s="98" t="str">
        <f>VLOOKUP(F1142,'GL Category'!A:C,2,FALSE)</f>
        <v>PUBLIC EDUCATION SERVICES</v>
      </c>
      <c r="I1142" s="99">
        <f>SUMIF(Import!$B:$B,$A1142,Import!D:D)</f>
        <v>2021.23</v>
      </c>
      <c r="J1142" s="99">
        <f>SUMIF(Import!$B:$B,$A1142,Import!E:E)</f>
        <v>4469.5</v>
      </c>
      <c r="K1142" s="99">
        <f>SUMIF(Import!$B:$B,$A1142,Import!F:F)</f>
        <v>4599.8999999999996</v>
      </c>
      <c r="L1142" s="99">
        <f>SUMIF(Import!$B:$B,$A1142,Import!G:G)</f>
        <v>5798.26</v>
      </c>
      <c r="M1142" s="99">
        <f>SUMIF(Import!$B:$B,$A1142,Import!H:H)</f>
        <v>23000</v>
      </c>
      <c r="N1142" s="99">
        <f>SUMIF(Import!$B:$B,$A1142,Import!I:I)</f>
        <v>17496.78</v>
      </c>
      <c r="O1142" s="99">
        <f>SUMIF(Import!$B:$B,$A1142,Import!J:J)</f>
        <v>23000</v>
      </c>
      <c r="P1142" s="99">
        <f t="shared" ref="P1142:P1154" si="1507">O1142-M1142</f>
        <v>0</v>
      </c>
      <c r="Q1142" s="99">
        <f>SUMIF(Import!$B:$B,$A1142,Import!K:K)</f>
        <v>6650</v>
      </c>
      <c r="R1142" s="99">
        <f>SUMIF(Import!$B:$B,$A1142,Import!L:L)</f>
        <v>0</v>
      </c>
      <c r="S1142" s="99">
        <f>SUMIF(Import!$B:$B,$A1142,Import!M:M)</f>
        <v>0</v>
      </c>
      <c r="T1142" s="99">
        <f>SUMIF(Import!$B:$B,$A1142,Import!N:N)</f>
        <v>6650</v>
      </c>
      <c r="U1142" s="99">
        <f t="shared" ref="U1142:U1154" si="1508">T1142-M1142</f>
        <v>-16350</v>
      </c>
      <c r="V1142" s="255">
        <f t="shared" ref="V1142:V1154" si="1509">IF(M1142=0,"N/A",T1142/M1142-1)</f>
        <v>-0.71086956521739131</v>
      </c>
      <c r="W1142" s="102" t="s">
        <v>2741</v>
      </c>
      <c r="X1142" s="102"/>
      <c r="Y1142" s="102"/>
      <c r="Z1142" s="192"/>
      <c r="AA1142" s="615"/>
      <c r="AB1142" s="307"/>
      <c r="AC1142" s="300"/>
      <c r="AD1142" s="300"/>
      <c r="AE1142" s="300"/>
      <c r="AF1142" s="300"/>
      <c r="AG1142" s="300"/>
      <c r="AH1142" s="307"/>
      <c r="AI1142" s="307"/>
      <c r="AJ1142" s="300"/>
      <c r="AK1142" s="300"/>
      <c r="AL1142" s="300"/>
      <c r="AM1142" s="300"/>
      <c r="AN1142" s="300"/>
      <c r="AO1142" s="307"/>
      <c r="AP1142" s="307"/>
      <c r="AQ1142" s="192"/>
    </row>
    <row r="1143" spans="1:59" s="115" customFormat="1" ht="15" customHeight="1">
      <c r="A1143" s="555" t="s">
        <v>2743</v>
      </c>
      <c r="B1143" s="217" t="str">
        <f t="shared" si="1485"/>
        <v>100</v>
      </c>
      <c r="C1143" s="217" t="str">
        <f t="shared" si="1486"/>
        <v>35</v>
      </c>
      <c r="D1143" s="101" t="str">
        <f t="shared" si="1487"/>
        <v>351</v>
      </c>
      <c r="E1143" s="217" t="str">
        <f t="shared" si="1488"/>
        <v>100-35-351</v>
      </c>
      <c r="F1143" s="294" t="str">
        <f t="shared" si="1489"/>
        <v>53510</v>
      </c>
      <c r="G1143" s="295" t="str">
        <f>VLOOKUP(F1143,'GL Category'!A:C,3,FALSE)</f>
        <v>Services &amp; other</v>
      </c>
      <c r="H1143" s="98" t="str">
        <f>VLOOKUP(F1143,'GL Category'!A:C,2,FALSE)</f>
        <v>DUES &amp; SUBSCRIPTIONS</v>
      </c>
      <c r="I1143" s="99">
        <f>SUMIF(Import!$B:$B,$A1143,Import!D:D)</f>
        <v>32504.35</v>
      </c>
      <c r="J1143" s="99">
        <f>SUMIF(Import!$B:$B,$A1143,Import!E:E)</f>
        <v>40195.07</v>
      </c>
      <c r="K1143" s="99">
        <f>SUMIF(Import!$B:$B,$A1143,Import!F:F)</f>
        <v>45383.06</v>
      </c>
      <c r="L1143" s="99">
        <f>SUMIF(Import!$B:$B,$A1143,Import!G:G)</f>
        <v>44315.7</v>
      </c>
      <c r="M1143" s="99">
        <f>SUMIF(Import!$B:$B,$A1143,Import!H:H)</f>
        <v>53445</v>
      </c>
      <c r="N1143" s="99">
        <f>SUMIF(Import!$B:$B,$A1143,Import!I:I)</f>
        <v>47734.01</v>
      </c>
      <c r="O1143" s="99">
        <f>SUMIF(Import!$B:$B,$A1143,Import!J:J)</f>
        <v>53445</v>
      </c>
      <c r="P1143" s="99">
        <f t="shared" si="1507"/>
        <v>0</v>
      </c>
      <c r="Q1143" s="99">
        <f>SUMIF(Import!$B:$B,$A1143,Import!K:K)</f>
        <v>43809</v>
      </c>
      <c r="R1143" s="99">
        <f>SUMIF(Import!$B:$B,$A1143,Import!L:L)</f>
        <v>0</v>
      </c>
      <c r="S1143" s="99">
        <f>SUMIF(Import!$B:$B,$A1143,Import!M:M)</f>
        <v>0</v>
      </c>
      <c r="T1143" s="99">
        <f>SUMIF(Import!$B:$B,$A1143,Import!N:N)</f>
        <v>43809</v>
      </c>
      <c r="U1143" s="99">
        <f t="shared" si="1508"/>
        <v>-9636</v>
      </c>
      <c r="V1143" s="255">
        <f t="shared" si="1509"/>
        <v>-0.18029750210496776</v>
      </c>
      <c r="W1143" s="102" t="s">
        <v>2743</v>
      </c>
      <c r="X1143" s="102"/>
      <c r="Y1143" s="102"/>
      <c r="Z1143" s="192"/>
      <c r="AA1143" s="615"/>
      <c r="AB1143" s="307"/>
      <c r="AC1143" s="300"/>
      <c r="AD1143" s="300"/>
      <c r="AE1143" s="300"/>
      <c r="AF1143" s="300"/>
      <c r="AG1143" s="300"/>
      <c r="AH1143" s="307"/>
      <c r="AI1143" s="307"/>
      <c r="AJ1143" s="300"/>
      <c r="AK1143" s="300"/>
      <c r="AL1143" s="300"/>
      <c r="AM1143" s="300"/>
      <c r="AN1143" s="300"/>
      <c r="AO1143" s="307"/>
      <c r="AP1143" s="307"/>
      <c r="AQ1143" s="192"/>
    </row>
    <row r="1144" spans="1:59" s="115" customFormat="1" ht="15" customHeight="1">
      <c r="A1144" s="555" t="s">
        <v>2744</v>
      </c>
      <c r="B1144" s="217" t="str">
        <f t="shared" si="1485"/>
        <v>100</v>
      </c>
      <c r="C1144" s="217" t="str">
        <f t="shared" si="1486"/>
        <v>35</v>
      </c>
      <c r="D1144" s="101" t="str">
        <f t="shared" si="1487"/>
        <v>351</v>
      </c>
      <c r="E1144" s="217" t="str">
        <f t="shared" si="1488"/>
        <v>100-35-351</v>
      </c>
      <c r="F1144" s="294" t="str">
        <f t="shared" si="1489"/>
        <v>53515</v>
      </c>
      <c r="G1144" s="295" t="str">
        <f>VLOOKUP(F1144,'GL Category'!A:C,3,FALSE)</f>
        <v>Services &amp; other</v>
      </c>
      <c r="H1144" s="98" t="str">
        <f>VLOOKUP(F1144,'GL Category'!A:C,2,FALSE)</f>
        <v>TRAVEL, TRAINING &amp; EDUCATION</v>
      </c>
      <c r="I1144" s="99">
        <f>SUMIF(Import!$B:$B,$A1144,Import!D:D)</f>
        <v>7135.92</v>
      </c>
      <c r="J1144" s="99">
        <f>SUMIF(Import!$B:$B,$A1144,Import!E:E)</f>
        <v>4267</v>
      </c>
      <c r="K1144" s="99">
        <f>SUMIF(Import!$B:$B,$A1144,Import!F:F)</f>
        <v>7604.25</v>
      </c>
      <c r="L1144" s="99">
        <f>SUMIF(Import!$B:$B,$A1144,Import!G:G)</f>
        <v>13554.9</v>
      </c>
      <c r="M1144" s="99">
        <f>SUMIF(Import!$B:$B,$A1144,Import!H:H)</f>
        <v>15170</v>
      </c>
      <c r="N1144" s="99">
        <f>SUMIF(Import!$B:$B,$A1144,Import!I:I)</f>
        <v>13324.13</v>
      </c>
      <c r="O1144" s="99">
        <f>SUMIF(Import!$B:$B,$A1144,Import!J:J)</f>
        <v>15170</v>
      </c>
      <c r="P1144" s="99">
        <f t="shared" si="1507"/>
        <v>0</v>
      </c>
      <c r="Q1144" s="99">
        <f>SUMIF(Import!$B:$B,$A1144,Import!K:K)</f>
        <v>15170</v>
      </c>
      <c r="R1144" s="99">
        <f>SUMIF(Import!$B:$B,$A1144,Import!L:L)</f>
        <v>0</v>
      </c>
      <c r="S1144" s="99">
        <f>SUMIF(Import!$B:$B,$A1144,Import!M:M)</f>
        <v>0</v>
      </c>
      <c r="T1144" s="99">
        <f>SUMIF(Import!$B:$B,$A1144,Import!N:N)</f>
        <v>15170</v>
      </c>
      <c r="U1144" s="99">
        <f t="shared" si="1508"/>
        <v>0</v>
      </c>
      <c r="V1144" s="255">
        <f t="shared" si="1509"/>
        <v>0</v>
      </c>
      <c r="W1144" s="102" t="s">
        <v>2744</v>
      </c>
      <c r="X1144" s="102"/>
      <c r="Y1144" s="102"/>
      <c r="Z1144" s="192"/>
      <c r="AA1144" s="615"/>
      <c r="AB1144" s="307"/>
      <c r="AC1144" s="300"/>
      <c r="AD1144" s="300"/>
      <c r="AE1144" s="300"/>
      <c r="AF1144" s="300"/>
      <c r="AG1144" s="300"/>
      <c r="AH1144" s="307"/>
      <c r="AI1144" s="307"/>
      <c r="AJ1144" s="300"/>
      <c r="AK1144" s="300"/>
      <c r="AL1144" s="300"/>
      <c r="AM1144" s="300"/>
      <c r="AN1144" s="300"/>
      <c r="AO1144" s="307"/>
      <c r="AP1144" s="307"/>
      <c r="AQ1144" s="192"/>
    </row>
    <row r="1145" spans="1:59" s="115" customFormat="1" ht="15" customHeight="1">
      <c r="A1145" s="555" t="s">
        <v>2745</v>
      </c>
      <c r="B1145" s="217" t="str">
        <f t="shared" si="1485"/>
        <v>100</v>
      </c>
      <c r="C1145" s="217" t="str">
        <f t="shared" si="1486"/>
        <v>35</v>
      </c>
      <c r="D1145" s="101" t="str">
        <f t="shared" si="1487"/>
        <v>351</v>
      </c>
      <c r="E1145" s="217" t="str">
        <f t="shared" si="1488"/>
        <v>100-35-351</v>
      </c>
      <c r="F1145" s="294" t="str">
        <f t="shared" si="1489"/>
        <v>53524</v>
      </c>
      <c r="G1145" s="295" t="str">
        <f>VLOOKUP(F1145,'GL Category'!A:C,3,FALSE)</f>
        <v>Services &amp; other</v>
      </c>
      <c r="H1145" s="98" t="str">
        <f>VLOOKUP(F1145,'GL Category'!A:C,2,FALSE)</f>
        <v>EQUIPMENT RENTAL</v>
      </c>
      <c r="I1145" s="99">
        <f>SUMIF(Import!$B:$B,$A1145,Import!D:D)</f>
        <v>0</v>
      </c>
      <c r="J1145" s="99">
        <f>SUMIF(Import!$B:$B,$A1145,Import!E:E)</f>
        <v>0</v>
      </c>
      <c r="K1145" s="99">
        <f>SUMIF(Import!$B:$B,$A1145,Import!F:F)</f>
        <v>0</v>
      </c>
      <c r="L1145" s="99">
        <f>SUMIF(Import!$B:$B,$A1145,Import!G:G)</f>
        <v>0</v>
      </c>
      <c r="M1145" s="99">
        <f>SUMIF(Import!$B:$B,$A1145,Import!H:H)</f>
        <v>0</v>
      </c>
      <c r="N1145" s="99">
        <f>SUMIF(Import!$B:$B,$A1145,Import!I:I)</f>
        <v>0</v>
      </c>
      <c r="O1145" s="99">
        <f>SUMIF(Import!$B:$B,$A1145,Import!J:J)</f>
        <v>0</v>
      </c>
      <c r="P1145" s="99">
        <f t="shared" si="1507"/>
        <v>0</v>
      </c>
      <c r="Q1145" s="99">
        <f>SUMIF(Import!$B:$B,$A1145,Import!K:K)</f>
        <v>0</v>
      </c>
      <c r="R1145" s="99">
        <f>SUMIF(Import!$B:$B,$A1145,Import!L:L)</f>
        <v>0</v>
      </c>
      <c r="S1145" s="99">
        <f>SUMIF(Import!$B:$B,$A1145,Import!M:M)</f>
        <v>0</v>
      </c>
      <c r="T1145" s="99">
        <f>SUMIF(Import!$B:$B,$A1145,Import!N:N)</f>
        <v>0</v>
      </c>
      <c r="U1145" s="99">
        <f t="shared" si="1508"/>
        <v>0</v>
      </c>
      <c r="V1145" s="255" t="str">
        <f t="shared" si="1509"/>
        <v>N/A</v>
      </c>
      <c r="W1145" s="102" t="s">
        <v>2745</v>
      </c>
      <c r="X1145" s="102"/>
      <c r="Y1145" s="102"/>
      <c r="Z1145" s="192"/>
      <c r="AA1145" s="615"/>
      <c r="AB1145" s="307"/>
      <c r="AC1145" s="94"/>
      <c r="AD1145" s="94"/>
      <c r="AE1145" s="94"/>
      <c r="AF1145" s="94"/>
      <c r="AG1145" s="94"/>
      <c r="AH1145" s="307"/>
      <c r="AI1145" s="307"/>
      <c r="AJ1145" s="94"/>
      <c r="AK1145" s="94"/>
      <c r="AL1145" s="94"/>
      <c r="AM1145" s="94"/>
      <c r="AN1145" s="94"/>
      <c r="AO1145" s="307"/>
      <c r="AP1145" s="307"/>
      <c r="AQ1145" s="192"/>
    </row>
    <row r="1146" spans="1:59" s="115" customFormat="1" ht="15" customHeight="1">
      <c r="A1146" s="555" t="s">
        <v>2746</v>
      </c>
      <c r="B1146" s="217" t="str">
        <f t="shared" si="1485"/>
        <v>100</v>
      </c>
      <c r="C1146" s="217" t="str">
        <f t="shared" si="1486"/>
        <v>35</v>
      </c>
      <c r="D1146" s="101" t="str">
        <f t="shared" si="1487"/>
        <v>351</v>
      </c>
      <c r="E1146" s="217" t="str">
        <f t="shared" si="1488"/>
        <v>100-35-351</v>
      </c>
      <c r="F1146" s="294" t="str">
        <f t="shared" si="1489"/>
        <v>53527</v>
      </c>
      <c r="G1146" s="295" t="str">
        <f>VLOOKUP(F1146,'GL Category'!A:C,3,FALSE)</f>
        <v>Services &amp; other</v>
      </c>
      <c r="H1146" s="98" t="str">
        <f>VLOOKUP(F1146,'GL Category'!A:C,2,FALSE)</f>
        <v>EMPLOYEE ACTIVITIES</v>
      </c>
      <c r="I1146" s="99">
        <f>SUMIF(Import!$B:$B,$A1146,Import!D:D)</f>
        <v>1211.04</v>
      </c>
      <c r="J1146" s="99">
        <f>SUMIF(Import!$B:$B,$A1146,Import!E:E)</f>
        <v>2058.46</v>
      </c>
      <c r="K1146" s="99">
        <f>SUMIF(Import!$B:$B,$A1146,Import!F:F)</f>
        <v>433</v>
      </c>
      <c r="L1146" s="99">
        <f>SUMIF(Import!$B:$B,$A1146,Import!G:G)</f>
        <v>1844.71</v>
      </c>
      <c r="M1146" s="99">
        <f>SUMIF(Import!$B:$B,$A1146,Import!H:H)</f>
        <v>2000</v>
      </c>
      <c r="N1146" s="99">
        <f>SUMIF(Import!$B:$B,$A1146,Import!I:I)</f>
        <v>2342.88</v>
      </c>
      <c r="O1146" s="99">
        <f>SUMIF(Import!$B:$B,$A1146,Import!J:J)</f>
        <v>2000</v>
      </c>
      <c r="P1146" s="99">
        <f t="shared" si="1507"/>
        <v>0</v>
      </c>
      <c r="Q1146" s="99">
        <f>SUMIF(Import!$B:$B,$A1146,Import!K:K)</f>
        <v>2000</v>
      </c>
      <c r="R1146" s="99">
        <f>SUMIF(Import!$B:$B,$A1146,Import!L:L)</f>
        <v>0</v>
      </c>
      <c r="S1146" s="99">
        <f>SUMIF(Import!$B:$B,$A1146,Import!M:M)</f>
        <v>0</v>
      </c>
      <c r="T1146" s="99">
        <f>SUMIF(Import!$B:$B,$A1146,Import!N:N)</f>
        <v>2000</v>
      </c>
      <c r="U1146" s="99">
        <f t="shared" si="1508"/>
        <v>0</v>
      </c>
      <c r="V1146" s="255">
        <f t="shared" si="1509"/>
        <v>0</v>
      </c>
      <c r="W1146" s="102" t="s">
        <v>2746</v>
      </c>
      <c r="X1146" s="102"/>
      <c r="Y1146" s="102"/>
      <c r="Z1146" s="192"/>
      <c r="AA1146" s="615"/>
      <c r="AB1146" s="307"/>
      <c r="AC1146" s="300"/>
      <c r="AD1146" s="300"/>
      <c r="AE1146" s="300"/>
      <c r="AF1146" s="300"/>
      <c r="AG1146" s="300"/>
      <c r="AH1146" s="307"/>
      <c r="AI1146" s="307"/>
      <c r="AJ1146" s="300"/>
      <c r="AK1146" s="300"/>
      <c r="AL1146" s="300"/>
      <c r="AM1146" s="300"/>
      <c r="AN1146" s="300"/>
      <c r="AO1146" s="307"/>
      <c r="AP1146" s="307"/>
      <c r="AQ1146" s="192"/>
    </row>
    <row r="1147" spans="1:59" s="115" customFormat="1" ht="15" customHeight="1">
      <c r="A1147" s="555" t="s">
        <v>2747</v>
      </c>
      <c r="B1147" s="217" t="str">
        <f t="shared" si="1485"/>
        <v>100</v>
      </c>
      <c r="C1147" s="217" t="str">
        <f t="shared" si="1486"/>
        <v>35</v>
      </c>
      <c r="D1147" s="101" t="str">
        <f t="shared" si="1487"/>
        <v>351</v>
      </c>
      <c r="E1147" s="217" t="str">
        <f t="shared" si="1488"/>
        <v>100-35-351</v>
      </c>
      <c r="F1147" s="294" t="str">
        <f t="shared" si="1489"/>
        <v>53552</v>
      </c>
      <c r="G1147" s="295" t="str">
        <f>VLOOKUP(F1147,'GL Category'!A:C,3,FALSE)</f>
        <v>Services &amp; other</v>
      </c>
      <c r="H1147" s="98" t="str">
        <f>VLOOKUP(F1147,'GL Category'!A:C,2,FALSE)</f>
        <v>INVESTIGATIVE SERVICES</v>
      </c>
      <c r="I1147" s="99">
        <f>SUMIF(Import!$B:$B,$A1147,Import!D:D)</f>
        <v>99</v>
      </c>
      <c r="J1147" s="99">
        <f>SUMIF(Import!$B:$B,$A1147,Import!E:E)</f>
        <v>323.92</v>
      </c>
      <c r="K1147" s="99">
        <f>SUMIF(Import!$B:$B,$A1147,Import!F:F)</f>
        <v>627.04</v>
      </c>
      <c r="L1147" s="99">
        <f>SUMIF(Import!$B:$B,$A1147,Import!G:G)</f>
        <v>59.76</v>
      </c>
      <c r="M1147" s="99">
        <f>SUMIF(Import!$B:$B,$A1147,Import!H:H)</f>
        <v>700</v>
      </c>
      <c r="N1147" s="99">
        <f>SUMIF(Import!$B:$B,$A1147,Import!I:I)</f>
        <v>808.23</v>
      </c>
      <c r="O1147" s="99">
        <f>SUMIF(Import!$B:$B,$A1147,Import!J:J)</f>
        <v>700</v>
      </c>
      <c r="P1147" s="99">
        <f t="shared" si="1507"/>
        <v>0</v>
      </c>
      <c r="Q1147" s="99">
        <f>SUMIF(Import!$B:$B,$A1147,Import!K:K)</f>
        <v>700</v>
      </c>
      <c r="R1147" s="99">
        <f>SUMIF(Import!$B:$B,$A1147,Import!L:L)</f>
        <v>0</v>
      </c>
      <c r="S1147" s="99">
        <f>SUMIF(Import!$B:$B,$A1147,Import!M:M)</f>
        <v>0</v>
      </c>
      <c r="T1147" s="99">
        <f>SUMIF(Import!$B:$B,$A1147,Import!N:N)</f>
        <v>700</v>
      </c>
      <c r="U1147" s="99">
        <f t="shared" si="1508"/>
        <v>0</v>
      </c>
      <c r="V1147" s="255">
        <f t="shared" si="1509"/>
        <v>0</v>
      </c>
      <c r="W1147" s="102" t="s">
        <v>2747</v>
      </c>
      <c r="X1147" s="102"/>
      <c r="Y1147" s="102"/>
      <c r="Z1147" s="192"/>
      <c r="AA1147" s="615"/>
      <c r="AB1147" s="307"/>
      <c r="AC1147" s="300"/>
      <c r="AD1147" s="300"/>
      <c r="AE1147" s="300"/>
      <c r="AF1147" s="300"/>
      <c r="AG1147" s="300"/>
      <c r="AH1147" s="307"/>
      <c r="AI1147" s="307"/>
      <c r="AJ1147" s="300"/>
      <c r="AK1147" s="300"/>
      <c r="AL1147" s="300"/>
      <c r="AM1147" s="300"/>
      <c r="AN1147" s="300"/>
      <c r="AO1147" s="307"/>
      <c r="AP1147" s="307"/>
      <c r="AQ1147" s="192"/>
    </row>
    <row r="1148" spans="1:59" s="115" customFormat="1" ht="15" customHeight="1">
      <c r="A1148" s="555" t="s">
        <v>2742</v>
      </c>
      <c r="B1148" s="217" t="str">
        <f t="shared" si="1485"/>
        <v>100</v>
      </c>
      <c r="C1148" s="217" t="str">
        <f t="shared" si="1486"/>
        <v>35</v>
      </c>
      <c r="D1148" s="101" t="str">
        <f t="shared" si="1487"/>
        <v>351</v>
      </c>
      <c r="E1148" s="217" t="str">
        <f t="shared" si="1488"/>
        <v>100-35-351</v>
      </c>
      <c r="F1148" s="294" t="str">
        <f t="shared" si="1489"/>
        <v>53599</v>
      </c>
      <c r="G1148" s="295" t="str">
        <f>VLOOKUP(F1148,'GL Category'!A:C,3,FALSE)</f>
        <v>Services &amp; other</v>
      </c>
      <c r="H1148" s="98" t="str">
        <f>VLOOKUP(F1148,'GL Category'!A:C,2,FALSE)</f>
        <v>MISCELLANEOUS SERVICES</v>
      </c>
      <c r="I1148" s="99">
        <f>SUMIF(Import!$B:$B,$A1148,Import!D:D)</f>
        <v>0</v>
      </c>
      <c r="J1148" s="99">
        <f>SUMIF(Import!$B:$B,$A1148,Import!E:E)</f>
        <v>0</v>
      </c>
      <c r="K1148" s="99">
        <f>SUMIF(Import!$B:$B,$A1148,Import!F:F)</f>
        <v>0</v>
      </c>
      <c r="L1148" s="99">
        <f>SUMIF(Import!$B:$B,$A1148,Import!G:G)</f>
        <v>0</v>
      </c>
      <c r="M1148" s="99">
        <f>SUMIF(Import!$B:$B,$A1148,Import!H:H)</f>
        <v>0</v>
      </c>
      <c r="N1148" s="99">
        <f>SUMIF(Import!$B:$B,$A1148,Import!I:I)</f>
        <v>0</v>
      </c>
      <c r="O1148" s="99">
        <f>SUMIF(Import!$B:$B,$A1148,Import!J:J)</f>
        <v>0</v>
      </c>
      <c r="P1148" s="99">
        <f t="shared" si="1507"/>
        <v>0</v>
      </c>
      <c r="Q1148" s="99">
        <f>SUMIF(Import!$B:$B,$A1148,Import!K:K)</f>
        <v>0</v>
      </c>
      <c r="R1148" s="99">
        <f>SUMIF(Import!$B:$B,$A1148,Import!L:L)</f>
        <v>0</v>
      </c>
      <c r="S1148" s="99">
        <f>SUMIF(Import!$B:$B,$A1148,Import!M:M)</f>
        <v>0</v>
      </c>
      <c r="T1148" s="99">
        <f>SUMIF(Import!$B:$B,$A1148,Import!N:N)</f>
        <v>0</v>
      </c>
      <c r="U1148" s="99">
        <f t="shared" si="1508"/>
        <v>0</v>
      </c>
      <c r="V1148" s="255" t="str">
        <f t="shared" si="1509"/>
        <v>N/A</v>
      </c>
      <c r="W1148" s="102" t="s">
        <v>2742</v>
      </c>
      <c r="X1148" s="102"/>
      <c r="Y1148" s="102"/>
      <c r="Z1148" s="192"/>
      <c r="AA1148" s="615"/>
      <c r="AB1148" s="307"/>
      <c r="AC1148" s="300"/>
      <c r="AD1148" s="300"/>
      <c r="AE1148" s="300"/>
      <c r="AF1148" s="300"/>
      <c r="AG1148" s="300"/>
      <c r="AH1148" s="307"/>
      <c r="AI1148" s="307"/>
      <c r="AJ1148" s="300"/>
      <c r="AK1148" s="300"/>
      <c r="AL1148" s="300"/>
      <c r="AM1148" s="300"/>
      <c r="AN1148" s="300"/>
      <c r="AO1148" s="307"/>
      <c r="AP1148" s="307"/>
      <c r="AQ1148" s="192"/>
    </row>
    <row r="1149" spans="1:59" s="115" customFormat="1" ht="15" customHeight="1">
      <c r="A1149" s="555" t="s">
        <v>2748</v>
      </c>
      <c r="B1149" s="217" t="str">
        <f t="shared" si="1485"/>
        <v>100</v>
      </c>
      <c r="C1149" s="217" t="str">
        <f t="shared" si="1486"/>
        <v>35</v>
      </c>
      <c r="D1149" s="101" t="str">
        <f t="shared" si="1487"/>
        <v>351</v>
      </c>
      <c r="E1149" s="217" t="str">
        <f t="shared" si="1488"/>
        <v>100-35-351</v>
      </c>
      <c r="F1149" s="294" t="str">
        <f t="shared" si="1489"/>
        <v>53570</v>
      </c>
      <c r="G1149" s="295" t="str">
        <f>VLOOKUP(F1149,'GL Category'!A:C,3,FALSE)</f>
        <v>Services &amp; other</v>
      </c>
      <c r="H1149" s="98" t="str">
        <f>VLOOKUP(F1149,'GL Category'!A:C,2,FALSE)</f>
        <v>TELEPHONE/COMMUNICATIONS</v>
      </c>
      <c r="I1149" s="99">
        <f>SUMIF(Import!$B:$B,$A1149,Import!D:D)</f>
        <v>98</v>
      </c>
      <c r="J1149" s="99">
        <f>SUMIF(Import!$B:$B,$A1149,Import!E:E)</f>
        <v>98</v>
      </c>
      <c r="K1149" s="99">
        <f>SUMIF(Import!$B:$B,$A1149,Import!F:F)</f>
        <v>84</v>
      </c>
      <c r="L1149" s="99">
        <f>SUMIF(Import!$B:$B,$A1149,Import!G:G)</f>
        <v>5.84</v>
      </c>
      <c r="M1149" s="99">
        <f>SUMIF(Import!$B:$B,$A1149,Import!H:H)</f>
        <v>900</v>
      </c>
      <c r="N1149" s="99">
        <f>SUMIF(Import!$B:$B,$A1149,Import!I:I)</f>
        <v>879.16</v>
      </c>
      <c r="O1149" s="99">
        <f>SUMIF(Import!$B:$B,$A1149,Import!J:J)</f>
        <v>900</v>
      </c>
      <c r="P1149" s="99">
        <f t="shared" si="1507"/>
        <v>0</v>
      </c>
      <c r="Q1149" s="99">
        <f>SUMIF(Import!$B:$B,$A1149,Import!K:K)</f>
        <v>900</v>
      </c>
      <c r="R1149" s="99">
        <f>SUMIF(Import!$B:$B,$A1149,Import!L:L)</f>
        <v>0</v>
      </c>
      <c r="S1149" s="99">
        <f>SUMIF(Import!$B:$B,$A1149,Import!M:M)</f>
        <v>0</v>
      </c>
      <c r="T1149" s="99">
        <f>SUMIF(Import!$B:$B,$A1149,Import!N:N)</f>
        <v>900</v>
      </c>
      <c r="U1149" s="99">
        <f t="shared" si="1508"/>
        <v>0</v>
      </c>
      <c r="V1149" s="255">
        <f t="shared" si="1509"/>
        <v>0</v>
      </c>
      <c r="W1149" s="102" t="s">
        <v>2748</v>
      </c>
      <c r="X1149" s="102"/>
      <c r="Y1149" s="102"/>
      <c r="Z1149" s="192"/>
      <c r="AA1149" s="615"/>
      <c r="AB1149" s="307"/>
      <c r="AC1149" s="94"/>
      <c r="AD1149" s="94"/>
      <c r="AE1149" s="94"/>
      <c r="AF1149" s="94"/>
      <c r="AG1149" s="94"/>
      <c r="AH1149" s="307"/>
      <c r="AI1149" s="307"/>
      <c r="AJ1149" s="94"/>
      <c r="AK1149" s="94"/>
      <c r="AL1149" s="94"/>
      <c r="AM1149" s="94"/>
      <c r="AN1149" s="94"/>
      <c r="AO1149" s="307"/>
      <c r="AP1149" s="307"/>
      <c r="AQ1149" s="192"/>
    </row>
    <row r="1150" spans="1:59" s="115" customFormat="1" ht="15" customHeight="1">
      <c r="A1150" s="555" t="s">
        <v>2749</v>
      </c>
      <c r="B1150" s="217" t="str">
        <f t="shared" si="1485"/>
        <v>100</v>
      </c>
      <c r="C1150" s="217" t="str">
        <f t="shared" si="1486"/>
        <v>35</v>
      </c>
      <c r="D1150" s="101" t="str">
        <f t="shared" si="1487"/>
        <v>351</v>
      </c>
      <c r="E1150" s="217" t="str">
        <f t="shared" si="1488"/>
        <v>100-35-351</v>
      </c>
      <c r="F1150" s="294" t="str">
        <f t="shared" si="1489"/>
        <v>53571</v>
      </c>
      <c r="G1150" s="295" t="str">
        <f>VLOOKUP(F1150,'GL Category'!A:C,3,FALSE)</f>
        <v>Services &amp; other</v>
      </c>
      <c r="H1150" s="98" t="str">
        <f>VLOOKUP(F1150,'GL Category'!A:C,2,FALSE)</f>
        <v>NATURAL GAS UTILITY SERVICE</v>
      </c>
      <c r="I1150" s="99">
        <f>SUMIF(Import!$B:$B,$A1150,Import!D:D)</f>
        <v>0</v>
      </c>
      <c r="J1150" s="99">
        <f>SUMIF(Import!$B:$B,$A1150,Import!E:E)</f>
        <v>0</v>
      </c>
      <c r="K1150" s="99">
        <f>SUMIF(Import!$B:$B,$A1150,Import!F:F)</f>
        <v>0</v>
      </c>
      <c r="L1150" s="99">
        <f>SUMIF(Import!$B:$B,$A1150,Import!G:G)</f>
        <v>0</v>
      </c>
      <c r="M1150" s="99">
        <f>SUMIF(Import!$B:$B,$A1150,Import!H:H)</f>
        <v>0</v>
      </c>
      <c r="N1150" s="99">
        <f>SUMIF(Import!$B:$B,$A1150,Import!I:I)</f>
        <v>0</v>
      </c>
      <c r="O1150" s="99">
        <f>SUMIF(Import!$B:$B,$A1150,Import!J:J)</f>
        <v>0</v>
      </c>
      <c r="P1150" s="99">
        <f t="shared" si="1507"/>
        <v>0</v>
      </c>
      <c r="Q1150" s="99">
        <f>SUMIF(Import!$B:$B,$A1150,Import!K:K)</f>
        <v>0</v>
      </c>
      <c r="R1150" s="99">
        <f>SUMIF(Import!$B:$B,$A1150,Import!L:L)</f>
        <v>0</v>
      </c>
      <c r="S1150" s="99">
        <f>SUMIF(Import!$B:$B,$A1150,Import!M:M)</f>
        <v>0</v>
      </c>
      <c r="T1150" s="99">
        <f>SUMIF(Import!$B:$B,$A1150,Import!N:N)</f>
        <v>0</v>
      </c>
      <c r="U1150" s="99">
        <f t="shared" si="1508"/>
        <v>0</v>
      </c>
      <c r="V1150" s="255" t="str">
        <f t="shared" si="1509"/>
        <v>N/A</v>
      </c>
      <c r="W1150" s="102" t="s">
        <v>2749</v>
      </c>
      <c r="X1150" s="102"/>
      <c r="Y1150" s="102"/>
      <c r="Z1150" s="192"/>
      <c r="AA1150" s="615"/>
      <c r="AB1150" s="307"/>
      <c r="AC1150" s="93"/>
      <c r="AD1150" s="93"/>
      <c r="AE1150" s="93"/>
      <c r="AF1150" s="93"/>
      <c r="AG1150" s="93"/>
      <c r="AH1150" s="307"/>
      <c r="AI1150" s="307"/>
      <c r="AJ1150" s="93"/>
      <c r="AK1150" s="93"/>
      <c r="AL1150" s="93"/>
      <c r="AM1150" s="93"/>
      <c r="AN1150" s="93"/>
      <c r="AO1150" s="307"/>
      <c r="AP1150" s="307"/>
      <c r="AQ1150" s="192"/>
    </row>
    <row r="1151" spans="1:59" s="115" customFormat="1" ht="15" customHeight="1">
      <c r="A1151" s="555" t="s">
        <v>2750</v>
      </c>
      <c r="B1151" s="217" t="str">
        <f t="shared" si="1485"/>
        <v>100</v>
      </c>
      <c r="C1151" s="217" t="str">
        <f t="shared" si="1486"/>
        <v>35</v>
      </c>
      <c r="D1151" s="101" t="str">
        <f t="shared" si="1487"/>
        <v>351</v>
      </c>
      <c r="E1151" s="217" t="str">
        <f t="shared" si="1488"/>
        <v>100-35-351</v>
      </c>
      <c r="F1151" s="294" t="str">
        <f t="shared" si="1489"/>
        <v>53572</v>
      </c>
      <c r="G1151" s="295" t="str">
        <f>VLOOKUP(F1151,'GL Category'!A:C,3,FALSE)</f>
        <v>Services &amp; other</v>
      </c>
      <c r="H1151" s="98" t="str">
        <f>VLOOKUP(F1151,'GL Category'!A:C,2,FALSE)</f>
        <v>ELECTRICAL UTILITY SERVICE</v>
      </c>
      <c r="I1151" s="99">
        <f>SUMIF(Import!$B:$B,$A1151,Import!D:D)</f>
        <v>0</v>
      </c>
      <c r="J1151" s="99">
        <f>SUMIF(Import!$B:$B,$A1151,Import!E:E)</f>
        <v>0</v>
      </c>
      <c r="K1151" s="99">
        <f>SUMIF(Import!$B:$B,$A1151,Import!F:F)</f>
        <v>0</v>
      </c>
      <c r="L1151" s="99">
        <f>SUMIF(Import!$B:$B,$A1151,Import!G:G)</f>
        <v>0</v>
      </c>
      <c r="M1151" s="99">
        <f>SUMIF(Import!$B:$B,$A1151,Import!H:H)</f>
        <v>0</v>
      </c>
      <c r="N1151" s="99">
        <f>SUMIF(Import!$B:$B,$A1151,Import!I:I)</f>
        <v>0</v>
      </c>
      <c r="O1151" s="99">
        <f>SUMIF(Import!$B:$B,$A1151,Import!J:J)</f>
        <v>0</v>
      </c>
      <c r="P1151" s="99">
        <f t="shared" si="1507"/>
        <v>0</v>
      </c>
      <c r="Q1151" s="99">
        <f>SUMIF(Import!$B:$B,$A1151,Import!K:K)</f>
        <v>0</v>
      </c>
      <c r="R1151" s="99">
        <f>SUMIF(Import!$B:$B,$A1151,Import!L:L)</f>
        <v>0</v>
      </c>
      <c r="S1151" s="99">
        <f>SUMIF(Import!$B:$B,$A1151,Import!M:M)</f>
        <v>0</v>
      </c>
      <c r="T1151" s="99">
        <f>SUMIF(Import!$B:$B,$A1151,Import!N:N)</f>
        <v>0</v>
      </c>
      <c r="U1151" s="99">
        <f t="shared" si="1508"/>
        <v>0</v>
      </c>
      <c r="V1151" s="255" t="str">
        <f t="shared" si="1509"/>
        <v>N/A</v>
      </c>
      <c r="W1151" s="102" t="s">
        <v>2750</v>
      </c>
      <c r="X1151" s="102"/>
      <c r="Y1151" s="102"/>
      <c r="Z1151" s="192"/>
      <c r="AA1151" s="615"/>
      <c r="AB1151" s="307"/>
      <c r="AC1151" s="300"/>
      <c r="AD1151" s="300"/>
      <c r="AE1151" s="300"/>
      <c r="AF1151" s="300"/>
      <c r="AG1151" s="300"/>
      <c r="AH1151" s="307"/>
      <c r="AI1151" s="307"/>
      <c r="AJ1151" s="300"/>
      <c r="AK1151" s="300"/>
      <c r="AL1151" s="300"/>
      <c r="AM1151" s="300"/>
      <c r="AN1151" s="300"/>
      <c r="AO1151" s="307"/>
      <c r="AP1151" s="307"/>
      <c r="AQ1151" s="192"/>
    </row>
    <row r="1152" spans="1:59" s="115" customFormat="1" ht="15" customHeight="1">
      <c r="A1152" s="555" t="s">
        <v>2751</v>
      </c>
      <c r="B1152" s="217" t="str">
        <f t="shared" si="1485"/>
        <v>100</v>
      </c>
      <c r="C1152" s="217" t="str">
        <f t="shared" si="1486"/>
        <v>35</v>
      </c>
      <c r="D1152" s="101" t="str">
        <f t="shared" si="1487"/>
        <v>351</v>
      </c>
      <c r="E1152" s="217" t="str">
        <f t="shared" si="1488"/>
        <v>100-35-351</v>
      </c>
      <c r="F1152" s="294" t="str">
        <f t="shared" si="1489"/>
        <v>53574</v>
      </c>
      <c r="G1152" s="295" t="str">
        <f>VLOOKUP(F1152,'GL Category'!A:C,3,FALSE)</f>
        <v>Services &amp; other</v>
      </c>
      <c r="H1152" s="98" t="str">
        <f>VLOOKUP(F1152,'GL Category'!A:C,2,FALSE)</f>
        <v>WATER/SEWER UTILITY SERVICE</v>
      </c>
      <c r="I1152" s="99">
        <f>SUMIF(Import!$B:$B,$A1152,Import!D:D)</f>
        <v>0</v>
      </c>
      <c r="J1152" s="99">
        <f>SUMIF(Import!$B:$B,$A1152,Import!E:E)</f>
        <v>0</v>
      </c>
      <c r="K1152" s="99">
        <f>SUMIF(Import!$B:$B,$A1152,Import!F:F)</f>
        <v>0</v>
      </c>
      <c r="L1152" s="99">
        <f>SUMIF(Import!$B:$B,$A1152,Import!G:G)</f>
        <v>0</v>
      </c>
      <c r="M1152" s="99">
        <f>SUMIF(Import!$B:$B,$A1152,Import!H:H)</f>
        <v>0</v>
      </c>
      <c r="N1152" s="99">
        <f>SUMIF(Import!$B:$B,$A1152,Import!I:I)</f>
        <v>0</v>
      </c>
      <c r="O1152" s="99">
        <f>SUMIF(Import!$B:$B,$A1152,Import!J:J)</f>
        <v>0</v>
      </c>
      <c r="P1152" s="99">
        <f t="shared" si="1507"/>
        <v>0</v>
      </c>
      <c r="Q1152" s="99">
        <f>SUMIF(Import!$B:$B,$A1152,Import!K:K)</f>
        <v>0</v>
      </c>
      <c r="R1152" s="99">
        <f>SUMIF(Import!$B:$B,$A1152,Import!L:L)</f>
        <v>0</v>
      </c>
      <c r="S1152" s="99">
        <f>SUMIF(Import!$B:$B,$A1152,Import!M:M)</f>
        <v>0</v>
      </c>
      <c r="T1152" s="99">
        <f>SUMIF(Import!$B:$B,$A1152,Import!N:N)</f>
        <v>0</v>
      </c>
      <c r="U1152" s="99">
        <f t="shared" si="1508"/>
        <v>0</v>
      </c>
      <c r="V1152" s="255" t="str">
        <f t="shared" si="1509"/>
        <v>N/A</v>
      </c>
      <c r="W1152" s="102" t="s">
        <v>2751</v>
      </c>
      <c r="X1152" s="102"/>
      <c r="Y1152" s="102"/>
      <c r="Z1152" s="192"/>
      <c r="AA1152" s="615"/>
      <c r="AB1152" s="307"/>
      <c r="AC1152" s="300"/>
      <c r="AD1152" s="300"/>
      <c r="AE1152" s="300"/>
      <c r="AF1152" s="300"/>
      <c r="AG1152" s="300"/>
      <c r="AH1152" s="307"/>
      <c r="AI1152" s="307"/>
      <c r="AJ1152" s="300"/>
      <c r="AK1152" s="300"/>
      <c r="AL1152" s="300"/>
      <c r="AM1152" s="300"/>
      <c r="AN1152" s="300"/>
      <c r="AO1152" s="307"/>
      <c r="AP1152" s="307"/>
      <c r="AQ1152" s="192"/>
    </row>
    <row r="1153" spans="1:59" s="115" customFormat="1" ht="15" customHeight="1">
      <c r="A1153" s="555" t="s">
        <v>2752</v>
      </c>
      <c r="B1153" s="217" t="str">
        <f t="shared" si="1485"/>
        <v>100</v>
      </c>
      <c r="C1153" s="217" t="str">
        <f t="shared" si="1486"/>
        <v>35</v>
      </c>
      <c r="D1153" s="101" t="str">
        <f t="shared" si="1487"/>
        <v>351</v>
      </c>
      <c r="E1153" s="217" t="str">
        <f t="shared" si="1488"/>
        <v>100-35-351</v>
      </c>
      <c r="F1153" s="294" t="str">
        <f t="shared" si="1489"/>
        <v>55175</v>
      </c>
      <c r="G1153" s="295" t="str">
        <f>VLOOKUP(F1153,'GL Category'!A:C,3,FALSE)</f>
        <v>Services &amp; other</v>
      </c>
      <c r="H1153" s="98" t="str">
        <f>VLOOKUP(F1153,'GL Category'!A:C,2,FALSE)</f>
        <v>VEHICLE/EQUIP LEASE EXP-CITY</v>
      </c>
      <c r="I1153" s="99">
        <f>SUMIF(Import!$B:$B,$A1153,Import!D:D)</f>
        <v>30857</v>
      </c>
      <c r="J1153" s="99">
        <f>SUMIF(Import!$B:$B,$A1153,Import!E:E)</f>
        <v>37478</v>
      </c>
      <c r="K1153" s="99">
        <f>SUMIF(Import!$B:$B,$A1153,Import!F:F)</f>
        <v>37380</v>
      </c>
      <c r="L1153" s="99">
        <f>SUMIF(Import!$B:$B,$A1153,Import!G:G)</f>
        <v>37380</v>
      </c>
      <c r="M1153" s="99">
        <f>SUMIF(Import!$B:$B,$A1153,Import!H:H)</f>
        <v>41024</v>
      </c>
      <c r="N1153" s="99">
        <f>SUMIF(Import!$B:$B,$A1153,Import!I:I)</f>
        <v>30768</v>
      </c>
      <c r="O1153" s="99">
        <f>SUMIF(Import!$B:$B,$A1153,Import!J:J)</f>
        <v>41024</v>
      </c>
      <c r="P1153" s="99">
        <f t="shared" si="1507"/>
        <v>0</v>
      </c>
      <c r="Q1153" s="99">
        <f>SUMIF(Import!$B:$B,$A1153,Import!K:K)</f>
        <v>53021</v>
      </c>
      <c r="R1153" s="99">
        <f>SUMIF(Import!$B:$B,$A1153,Import!L:L)</f>
        <v>0</v>
      </c>
      <c r="S1153" s="99">
        <f>SUMIF(Import!$B:$B,$A1153,Import!M:M)</f>
        <v>0</v>
      </c>
      <c r="T1153" s="99">
        <f>SUMIF(Import!$B:$B,$A1153,Import!N:N)</f>
        <v>53021</v>
      </c>
      <c r="U1153" s="99">
        <f t="shared" si="1508"/>
        <v>11997</v>
      </c>
      <c r="V1153" s="255">
        <f t="shared" si="1509"/>
        <v>0.29243857254290173</v>
      </c>
      <c r="W1153" s="102" t="s">
        <v>2752</v>
      </c>
      <c r="X1153" s="102"/>
      <c r="Y1153" s="102"/>
      <c r="Z1153" s="192"/>
      <c r="AA1153" s="615"/>
      <c r="AB1153" s="307"/>
      <c r="AC1153" s="300"/>
      <c r="AD1153" s="300"/>
      <c r="AE1153" s="300"/>
      <c r="AF1153" s="300"/>
      <c r="AG1153" s="300"/>
      <c r="AH1153" s="307"/>
      <c r="AI1153" s="307"/>
      <c r="AJ1153" s="300"/>
      <c r="AK1153" s="300"/>
      <c r="AL1153" s="300"/>
      <c r="AM1153" s="300"/>
      <c r="AN1153" s="300"/>
      <c r="AO1153" s="307"/>
      <c r="AP1153" s="307"/>
      <c r="AQ1153" s="192"/>
    </row>
    <row r="1154" spans="1:59" s="115" customFormat="1" ht="15" customHeight="1">
      <c r="A1154" s="555" t="s">
        <v>2753</v>
      </c>
      <c r="B1154" s="217" t="str">
        <f t="shared" si="1485"/>
        <v>100</v>
      </c>
      <c r="C1154" s="217" t="str">
        <f t="shared" si="1486"/>
        <v>35</v>
      </c>
      <c r="D1154" s="101" t="str">
        <f t="shared" si="1487"/>
        <v>351</v>
      </c>
      <c r="E1154" s="217" t="str">
        <f t="shared" si="1488"/>
        <v>100-35-351</v>
      </c>
      <c r="F1154" s="294" t="str">
        <f t="shared" si="1489"/>
        <v>55119</v>
      </c>
      <c r="G1154" s="295" t="str">
        <f>VLOOKUP(F1154,'GL Category'!A:C,3,FALSE)</f>
        <v>Services &amp; other</v>
      </c>
      <c r="H1154" s="98" t="str">
        <f>VLOOKUP(F1154,'GL Category'!A:C,2,FALSE)</f>
        <v>OFFICE EQUIP LEASE EXP-CITY</v>
      </c>
      <c r="I1154" s="99">
        <f>SUMIF(Import!$B:$B,$A1154,Import!D:D)</f>
        <v>66011</v>
      </c>
      <c r="J1154" s="99">
        <f>SUMIF(Import!$B:$B,$A1154,Import!E:E)</f>
        <v>72334</v>
      </c>
      <c r="K1154" s="99">
        <f>SUMIF(Import!$B:$B,$A1154,Import!F:F)</f>
        <v>74370</v>
      </c>
      <c r="L1154" s="99">
        <f>SUMIF(Import!$B:$B,$A1154,Import!G:G)</f>
        <v>74982</v>
      </c>
      <c r="M1154" s="99">
        <f>SUMIF(Import!$B:$B,$A1154,Import!H:H)</f>
        <v>89114</v>
      </c>
      <c r="N1154" s="99">
        <f>SUMIF(Import!$B:$B,$A1154,Import!I:I)</f>
        <v>67869.48</v>
      </c>
      <c r="O1154" s="99">
        <f>SUMIF(Import!$B:$B,$A1154,Import!J:J)</f>
        <v>89114</v>
      </c>
      <c r="P1154" s="99">
        <f t="shared" si="1507"/>
        <v>0</v>
      </c>
      <c r="Q1154" s="99">
        <f>SUMIF(Import!$B:$B,$A1154,Import!K:K)</f>
        <v>55915</v>
      </c>
      <c r="R1154" s="99">
        <f>SUMIF(Import!$B:$B,$A1154,Import!L:L)</f>
        <v>0</v>
      </c>
      <c r="S1154" s="99">
        <f>SUMIF(Import!$B:$B,$A1154,Import!M:M)</f>
        <v>0</v>
      </c>
      <c r="T1154" s="99">
        <f>SUMIF(Import!$B:$B,$A1154,Import!N:N)</f>
        <v>55915</v>
      </c>
      <c r="U1154" s="99">
        <f t="shared" si="1508"/>
        <v>-33199</v>
      </c>
      <c r="V1154" s="255">
        <f t="shared" si="1509"/>
        <v>-0.3725452790807281</v>
      </c>
      <c r="W1154" s="102" t="s">
        <v>2753</v>
      </c>
      <c r="X1154" s="102"/>
      <c r="Y1154" s="102"/>
      <c r="Z1154" s="192"/>
      <c r="AA1154" s="615"/>
      <c r="AB1154" s="307"/>
      <c r="AC1154" s="300"/>
      <c r="AD1154" s="300"/>
      <c r="AE1154" s="300"/>
      <c r="AF1154" s="300"/>
      <c r="AG1154" s="300"/>
      <c r="AH1154" s="307"/>
      <c r="AI1154" s="307"/>
      <c r="AJ1154" s="300"/>
      <c r="AK1154" s="300"/>
      <c r="AL1154" s="300"/>
      <c r="AM1154" s="300"/>
      <c r="AN1154" s="300"/>
      <c r="AO1154" s="307"/>
      <c r="AP1154" s="307"/>
      <c r="AQ1154" s="192"/>
    </row>
    <row r="1155" spans="1:59" s="115" customFormat="1" ht="15" customHeight="1">
      <c r="A1155" s="555"/>
      <c r="B1155" s="217"/>
      <c r="C1155" s="217"/>
      <c r="D1155" s="101"/>
      <c r="E1155" s="217"/>
      <c r="F1155" s="294"/>
      <c r="G1155" s="295"/>
      <c r="H1155" s="107" t="str">
        <f>UPPER(G1154)&amp;" TOTAL"</f>
        <v>SERVICES &amp; OTHER TOTAL</v>
      </c>
      <c r="I1155" s="109">
        <f t="shared" ref="I1155" si="1510">SUBTOTAL(9,I1142:I1154)</f>
        <v>139937.54</v>
      </c>
      <c r="J1155" s="109">
        <f t="shared" ref="J1155:T1155" si="1511">SUBTOTAL(9,J1142:J1154)</f>
        <v>161223.95000000001</v>
      </c>
      <c r="K1155" s="109">
        <f t="shared" ref="K1155" si="1512">SUBTOTAL(9,K1142:K1154)</f>
        <v>170481.25</v>
      </c>
      <c r="L1155" s="109">
        <f t="shared" ref="L1155" si="1513">SUBTOTAL(9,L1142:L1154)</f>
        <v>177941.16999999998</v>
      </c>
      <c r="M1155" s="109">
        <f t="shared" si="1511"/>
        <v>225353</v>
      </c>
      <c r="N1155" s="109">
        <f t="shared" si="1511"/>
        <v>181222.66999999998</v>
      </c>
      <c r="O1155" s="109">
        <f t="shared" si="1511"/>
        <v>225353</v>
      </c>
      <c r="P1155" s="109">
        <f t="shared" si="1511"/>
        <v>0</v>
      </c>
      <c r="Q1155" s="109">
        <f t="shared" si="1511"/>
        <v>178165</v>
      </c>
      <c r="R1155" s="109">
        <f t="shared" si="1511"/>
        <v>0</v>
      </c>
      <c r="S1155" s="109">
        <f t="shared" si="1511"/>
        <v>0</v>
      </c>
      <c r="T1155" s="109">
        <f t="shared" si="1511"/>
        <v>178165</v>
      </c>
      <c r="U1155" s="99">
        <f>T1155-M1155</f>
        <v>-47188</v>
      </c>
      <c r="V1155" s="255">
        <f>IF(M1155=0,"N/A",T1155/M1155-1)</f>
        <v>-0.20939592550354336</v>
      </c>
      <c r="W1155" s="102"/>
      <c r="X1155" s="102"/>
      <c r="Y1155" s="102"/>
      <c r="Z1155" s="192"/>
      <c r="AA1155" s="615"/>
      <c r="AB1155" s="307"/>
      <c r="AC1155" s="94"/>
      <c r="AD1155" s="94"/>
      <c r="AE1155" s="94"/>
      <c r="AF1155" s="94"/>
      <c r="AG1155" s="94"/>
      <c r="AH1155" s="307"/>
      <c r="AI1155" s="307"/>
      <c r="AJ1155" s="94"/>
      <c r="AK1155" s="94"/>
      <c r="AL1155" s="94"/>
      <c r="AM1155" s="94"/>
      <c r="AN1155" s="94"/>
      <c r="AO1155" s="307"/>
      <c r="AP1155" s="307"/>
      <c r="AQ1155" s="192"/>
    </row>
    <row r="1156" spans="1:59" s="115" customFormat="1" ht="15" customHeight="1">
      <c r="A1156" s="555"/>
      <c r="B1156" s="217"/>
      <c r="C1156" s="217"/>
      <c r="D1156" s="101"/>
      <c r="E1156" s="217"/>
      <c r="F1156" s="294"/>
      <c r="G1156" s="295"/>
      <c r="H1156" s="98"/>
      <c r="I1156" s="106"/>
      <c r="J1156" s="106"/>
      <c r="K1156" s="106"/>
      <c r="L1156" s="106"/>
      <c r="M1156" s="106"/>
      <c r="N1156" s="112"/>
      <c r="O1156" s="112"/>
      <c r="P1156" s="112"/>
      <c r="Q1156" s="113"/>
      <c r="R1156" s="113"/>
      <c r="S1156" s="113"/>
      <c r="T1156" s="113"/>
      <c r="U1156" s="99"/>
      <c r="V1156" s="255"/>
      <c r="W1156" s="102"/>
      <c r="X1156" s="102"/>
      <c r="Y1156" s="102"/>
      <c r="Z1156" s="192"/>
      <c r="AA1156" s="615"/>
      <c r="AB1156" s="307"/>
      <c r="AC1156" s="93"/>
      <c r="AD1156" s="93"/>
      <c r="AE1156" s="93"/>
      <c r="AF1156" s="93"/>
      <c r="AG1156" s="93"/>
      <c r="AH1156" s="307"/>
      <c r="AI1156" s="307"/>
      <c r="AJ1156" s="93"/>
      <c r="AK1156" s="93"/>
      <c r="AL1156" s="93"/>
      <c r="AM1156" s="93"/>
      <c r="AN1156" s="93"/>
      <c r="AO1156" s="307"/>
      <c r="AP1156" s="307"/>
      <c r="AQ1156" s="192"/>
    </row>
    <row r="1157" spans="1:59" s="115" customFormat="1" ht="15" customHeight="1">
      <c r="A1157" s="555">
        <v>0</v>
      </c>
      <c r="B1157" s="217" t="str">
        <f t="shared" si="1485"/>
        <v>0</v>
      </c>
      <c r="C1157" s="217" t="str">
        <f t="shared" si="1486"/>
        <v/>
      </c>
      <c r="D1157" s="101" t="str">
        <f t="shared" si="1487"/>
        <v/>
      </c>
      <c r="E1157" s="217" t="str">
        <f t="shared" si="1488"/>
        <v>0</v>
      </c>
      <c r="F1157" s="294" t="str">
        <f t="shared" si="1489"/>
        <v>0</v>
      </c>
      <c r="G1157" s="295" t="e">
        <f>VLOOKUP(F1157,'GL Category'!A:C,3,FALSE)</f>
        <v>#N/A</v>
      </c>
      <c r="H1157" s="98" t="e">
        <f>VLOOKUP(F1157,'GL Category'!A:C,2,FALSE)</f>
        <v>#N/A</v>
      </c>
      <c r="I1157" s="99">
        <f>SUMIF(Import!$B:$B,$A1157,Import!D:D)</f>
        <v>0</v>
      </c>
      <c r="J1157" s="99">
        <f>SUMIF(Import!$B:$B,$A1157,Import!E:E)</f>
        <v>0</v>
      </c>
      <c r="K1157" s="99">
        <f>SUMIF(Import!$B:$B,$A1157,Import!F:F)</f>
        <v>0</v>
      </c>
      <c r="L1157" s="99">
        <f>SUMIF(Import!$B:$B,$A1157,Import!G:G)</f>
        <v>0</v>
      </c>
      <c r="M1157" s="99">
        <f>SUMIF(Import!$B:$B,$A1157,Import!H:H)</f>
        <v>0</v>
      </c>
      <c r="N1157" s="99">
        <f>SUMIF(Import!$B:$B,$A1157,Import!I:I)</f>
        <v>0</v>
      </c>
      <c r="O1157" s="99">
        <f>SUMIF(Import!$B:$B,$A1157,Import!J:J)</f>
        <v>0</v>
      </c>
      <c r="P1157" s="99">
        <f t="shared" ref="P1157" si="1514">O1157-M1157</f>
        <v>0</v>
      </c>
      <c r="Q1157" s="99">
        <f>SUMIF(Import!$B:$B,$A1157,Import!K:K)</f>
        <v>0</v>
      </c>
      <c r="R1157" s="99">
        <f>SUMIF(Import!$B:$B,$A1157,Import!L:L)</f>
        <v>0</v>
      </c>
      <c r="S1157" s="99">
        <f>SUMIF(Import!$B:$B,$A1157,Import!M:M)</f>
        <v>0</v>
      </c>
      <c r="T1157" s="99">
        <f>SUMIF(Import!$B:$B,$A1157,Import!N:N)</f>
        <v>0</v>
      </c>
      <c r="U1157" s="99">
        <f t="shared" ref="U1157" si="1515">T1157-M1157</f>
        <v>0</v>
      </c>
      <c r="V1157" s="255" t="str">
        <f t="shared" ref="V1157" si="1516">IF(M1157=0,"N/A",T1157/M1157-1)</f>
        <v>N/A</v>
      </c>
      <c r="W1157" s="102"/>
      <c r="X1157" s="102"/>
      <c r="Y1157" s="102"/>
      <c r="Z1157" s="192"/>
      <c r="AA1157" s="615"/>
      <c r="AB1157" s="307"/>
      <c r="AC1157" s="300"/>
      <c r="AD1157" s="300"/>
      <c r="AE1157" s="300"/>
      <c r="AF1157" s="300"/>
      <c r="AG1157" s="300"/>
      <c r="AH1157" s="307"/>
      <c r="AI1157" s="307"/>
      <c r="AJ1157" s="300"/>
      <c r="AK1157" s="300"/>
      <c r="AL1157" s="300"/>
      <c r="AM1157" s="300"/>
      <c r="AN1157" s="300"/>
      <c r="AO1157" s="307"/>
      <c r="AP1157" s="307"/>
      <c r="AQ1157" s="192"/>
    </row>
    <row r="1158" spans="1:59" s="115" customFormat="1" ht="15" customHeight="1">
      <c r="A1158" s="555"/>
      <c r="B1158" s="217"/>
      <c r="C1158" s="217"/>
      <c r="D1158" s="101"/>
      <c r="E1158" s="217"/>
      <c r="F1158" s="294"/>
      <c r="G1158" s="295"/>
      <c r="H1158" s="107" t="e">
        <f>UPPER(G1157)&amp;" TOTAL"</f>
        <v>#N/A</v>
      </c>
      <c r="I1158" s="109">
        <f t="shared" ref="I1158:Q1158" si="1517">SUBTOTAL(9,I1157)</f>
        <v>0</v>
      </c>
      <c r="J1158" s="109">
        <f t="shared" si="1517"/>
        <v>0</v>
      </c>
      <c r="K1158" s="109">
        <f t="shared" si="1517"/>
        <v>0</v>
      </c>
      <c r="L1158" s="109">
        <f t="shared" ref="L1158" si="1518">SUBTOTAL(9,L1157)</f>
        <v>0</v>
      </c>
      <c r="M1158" s="109">
        <f t="shared" si="1517"/>
        <v>0</v>
      </c>
      <c r="N1158" s="109">
        <f t="shared" si="1517"/>
        <v>0</v>
      </c>
      <c r="O1158" s="109">
        <f t="shared" si="1517"/>
        <v>0</v>
      </c>
      <c r="P1158" s="109">
        <f t="shared" si="1517"/>
        <v>0</v>
      </c>
      <c r="Q1158" s="109">
        <f t="shared" si="1517"/>
        <v>0</v>
      </c>
      <c r="R1158" s="109">
        <f t="shared" ref="R1158:S1158" si="1519">SUBTOTAL(9,R1144:R1157)</f>
        <v>0</v>
      </c>
      <c r="S1158" s="109">
        <f t="shared" si="1519"/>
        <v>0</v>
      </c>
      <c r="T1158" s="109">
        <f>SUBTOTAL(9,T1157)</f>
        <v>0</v>
      </c>
      <c r="U1158" s="99">
        <f>T1158-M1158</f>
        <v>0</v>
      </c>
      <c r="V1158" s="255" t="str">
        <f>IF(M1158=0,"N/A",T1158/M1158-1)</f>
        <v>N/A</v>
      </c>
      <c r="W1158" s="102"/>
      <c r="X1158" s="102"/>
      <c r="Y1158" s="102"/>
      <c r="Z1158" s="192"/>
      <c r="AA1158" s="615"/>
      <c r="AB1158" s="307"/>
      <c r="AC1158" s="94"/>
      <c r="AD1158" s="94"/>
      <c r="AE1158" s="94"/>
      <c r="AF1158" s="94"/>
      <c r="AG1158" s="94"/>
      <c r="AH1158" s="307"/>
      <c r="AI1158" s="307"/>
      <c r="AJ1158" s="94"/>
      <c r="AK1158" s="94"/>
      <c r="AL1158" s="94"/>
      <c r="AM1158" s="94"/>
      <c r="AN1158" s="94"/>
      <c r="AO1158" s="307"/>
      <c r="AP1158" s="307"/>
      <c r="AQ1158" s="192"/>
    </row>
    <row r="1159" spans="1:59" s="115" customFormat="1" ht="15" customHeight="1">
      <c r="A1159" s="555"/>
      <c r="B1159" s="217"/>
      <c r="C1159" s="217"/>
      <c r="D1159" s="101"/>
      <c r="E1159" s="217"/>
      <c r="F1159" s="294"/>
      <c r="G1159" s="295"/>
      <c r="H1159" s="98"/>
      <c r="I1159" s="106"/>
      <c r="J1159" s="106"/>
      <c r="K1159" s="106"/>
      <c r="L1159" s="106"/>
      <c r="M1159" s="106"/>
      <c r="N1159" s="112"/>
      <c r="O1159" s="112"/>
      <c r="P1159" s="112"/>
      <c r="Q1159" s="113"/>
      <c r="R1159" s="113"/>
      <c r="S1159" s="113"/>
      <c r="T1159" s="113"/>
      <c r="U1159" s="99"/>
      <c r="V1159" s="255"/>
      <c r="W1159" s="102"/>
      <c r="X1159" s="102"/>
      <c r="Y1159" s="102"/>
      <c r="Z1159" s="192"/>
      <c r="AA1159" s="615"/>
      <c r="AB1159" s="307"/>
      <c r="AC1159" s="93"/>
      <c r="AD1159" s="93"/>
      <c r="AE1159" s="93"/>
      <c r="AF1159" s="93"/>
      <c r="AG1159" s="93"/>
      <c r="AH1159" s="307"/>
      <c r="AI1159" s="307"/>
      <c r="AJ1159" s="93"/>
      <c r="AK1159" s="93"/>
      <c r="AL1159" s="93"/>
      <c r="AM1159" s="93"/>
      <c r="AN1159" s="93"/>
      <c r="AO1159" s="307"/>
      <c r="AP1159" s="307"/>
      <c r="AQ1159" s="192"/>
    </row>
    <row r="1160" spans="1:59" s="115" customFormat="1" ht="15" customHeight="1">
      <c r="A1160" s="555"/>
      <c r="B1160" s="217"/>
      <c r="C1160" s="217"/>
      <c r="D1160" s="101"/>
      <c r="E1160" s="217"/>
      <c r="F1160" s="294"/>
      <c r="G1160" s="295"/>
      <c r="H1160" s="114" t="s">
        <v>763</v>
      </c>
      <c r="I1160" s="108">
        <f t="shared" ref="I1160" si="1520">SUBTOTAL(9,I1120:I1156)</f>
        <v>980107.55999999994</v>
      </c>
      <c r="J1160" s="108">
        <f t="shared" ref="J1160:T1160" si="1521">SUBTOTAL(9,J1120:J1156)</f>
        <v>922480.09999999986</v>
      </c>
      <c r="K1160" s="108">
        <f t="shared" ref="K1160" si="1522">SUBTOTAL(9,K1120:K1156)</f>
        <v>888654.40000000014</v>
      </c>
      <c r="L1160" s="108">
        <f t="shared" ref="L1160" si="1523">SUBTOTAL(9,L1120:L1156)</f>
        <v>1124058.6599999999</v>
      </c>
      <c r="M1160" s="108">
        <f t="shared" si="1521"/>
        <v>1226136</v>
      </c>
      <c r="N1160" s="108">
        <f t="shared" si="1521"/>
        <v>922365.59</v>
      </c>
      <c r="O1160" s="108">
        <f t="shared" si="1521"/>
        <v>1196032</v>
      </c>
      <c r="P1160" s="108">
        <f t="shared" si="1521"/>
        <v>-30104</v>
      </c>
      <c r="Q1160" s="108">
        <f t="shared" si="1521"/>
        <v>1180956</v>
      </c>
      <c r="R1160" s="108">
        <f t="shared" si="1521"/>
        <v>0</v>
      </c>
      <c r="S1160" s="108">
        <f t="shared" si="1521"/>
        <v>0</v>
      </c>
      <c r="T1160" s="108">
        <f t="shared" si="1521"/>
        <v>1180956</v>
      </c>
      <c r="U1160" s="99">
        <f>T1160-M1160</f>
        <v>-45180</v>
      </c>
      <c r="V1160" s="255">
        <f>IF(M1160=0,"N/A",T1160/M1160-1)</f>
        <v>-3.6847462271721865E-2</v>
      </c>
      <c r="W1160" s="102"/>
      <c r="X1160" s="102"/>
      <c r="Y1160" s="102"/>
      <c r="Z1160" s="192"/>
      <c r="AA1160" s="615"/>
      <c r="AB1160" s="307"/>
      <c r="AC1160" s="300"/>
      <c r="AD1160" s="300"/>
      <c r="AE1160" s="300"/>
      <c r="AF1160" s="300"/>
      <c r="AG1160" s="300"/>
      <c r="AH1160" s="307"/>
      <c r="AI1160" s="307"/>
      <c r="AJ1160" s="300"/>
      <c r="AK1160" s="300"/>
      <c r="AL1160" s="300"/>
      <c r="AM1160" s="300"/>
      <c r="AN1160" s="300"/>
      <c r="AO1160" s="307"/>
      <c r="AP1160" s="307"/>
      <c r="AQ1160" s="192"/>
    </row>
    <row r="1161" spans="1:59" s="115" customFormat="1" ht="15" customHeight="1" thickBot="1">
      <c r="A1161" s="555"/>
      <c r="B1161" s="217"/>
      <c r="C1161" s="217"/>
      <c r="D1161" s="101"/>
      <c r="E1161" s="217"/>
      <c r="F1161" s="294"/>
      <c r="G1161" s="295"/>
      <c r="H1161" s="98"/>
      <c r="I1161" s="218"/>
      <c r="J1161" s="218"/>
      <c r="K1161" s="218"/>
      <c r="L1161" s="218"/>
      <c r="M1161" s="218"/>
      <c r="N1161" s="96"/>
      <c r="O1161" s="96"/>
      <c r="P1161" s="96"/>
      <c r="Q1161" s="212"/>
      <c r="R1161" s="212"/>
      <c r="S1161" s="212"/>
      <c r="T1161" s="212"/>
      <c r="U1161" s="99"/>
      <c r="V1161" s="255"/>
      <c r="W1161" s="102"/>
      <c r="X1161" s="102"/>
      <c r="Y1161" s="102"/>
      <c r="Z1161" s="192"/>
      <c r="AA1161" s="615"/>
      <c r="AB1161" s="307"/>
      <c r="AC1161" s="300"/>
      <c r="AD1161" s="300"/>
      <c r="AE1161" s="300"/>
      <c r="AF1161" s="300"/>
      <c r="AG1161" s="300"/>
      <c r="AH1161" s="307"/>
      <c r="AI1161" s="307"/>
      <c r="AJ1161" s="300"/>
      <c r="AK1161" s="300"/>
      <c r="AL1161" s="300"/>
      <c r="AM1161" s="300"/>
      <c r="AN1161" s="300"/>
      <c r="AO1161" s="307"/>
      <c r="AP1161" s="307"/>
      <c r="AQ1161" s="192"/>
    </row>
    <row r="1162" spans="1:59" s="115" customFormat="1" ht="21" customHeight="1" thickBot="1">
      <c r="A1162" s="555"/>
      <c r="B1162" s="217"/>
      <c r="C1162" s="217"/>
      <c r="D1162" s="101"/>
      <c r="E1162" s="217"/>
      <c r="F1162" s="294"/>
      <c r="G1162" s="295"/>
      <c r="H1162" s="665" t="s">
        <v>630</v>
      </c>
      <c r="I1162" s="666"/>
      <c r="J1162" s="666"/>
      <c r="K1162" s="666"/>
      <c r="L1162" s="666"/>
      <c r="M1162" s="666"/>
      <c r="N1162" s="666"/>
      <c r="O1162" s="666"/>
      <c r="P1162" s="666"/>
      <c r="Q1162" s="666"/>
      <c r="R1162" s="666"/>
      <c r="S1162" s="666"/>
      <c r="T1162" s="667"/>
      <c r="U1162" s="99"/>
      <c r="V1162" s="255"/>
      <c r="W1162" s="102"/>
      <c r="X1162" s="102"/>
      <c r="Y1162" s="102"/>
      <c r="Z1162" s="192"/>
      <c r="AA1162" s="615"/>
      <c r="AB1162" s="307"/>
      <c r="AC1162" s="300"/>
      <c r="AD1162" s="300"/>
      <c r="AE1162" s="300"/>
      <c r="AF1162" s="300"/>
      <c r="AG1162" s="300"/>
      <c r="AH1162" s="307"/>
      <c r="AI1162" s="307"/>
      <c r="AJ1162" s="300"/>
      <c r="AK1162" s="300"/>
      <c r="AL1162" s="300"/>
      <c r="AM1162" s="300"/>
      <c r="AN1162" s="300"/>
      <c r="AO1162" s="307"/>
      <c r="AP1162" s="307"/>
      <c r="AQ1162" s="192"/>
    </row>
    <row r="1163" spans="1:59" s="115" customFormat="1" ht="15" customHeight="1">
      <c r="A1163" s="555"/>
      <c r="B1163" s="217"/>
      <c r="C1163" s="217"/>
      <c r="D1163" s="101"/>
      <c r="E1163" s="217"/>
      <c r="F1163" s="294"/>
      <c r="G1163" s="295"/>
      <c r="H1163" s="225"/>
      <c r="I1163" s="225"/>
      <c r="J1163" s="225"/>
      <c r="K1163" s="225"/>
      <c r="L1163" s="225"/>
      <c r="M1163" s="225"/>
      <c r="N1163" s="225"/>
      <c r="O1163" s="225"/>
      <c r="P1163" s="225"/>
      <c r="Q1163" s="225"/>
      <c r="R1163" s="225"/>
      <c r="S1163" s="225"/>
      <c r="T1163" s="225"/>
      <c r="U1163" s="99"/>
      <c r="V1163" s="255"/>
      <c r="W1163" s="102"/>
      <c r="X1163" s="102"/>
      <c r="Y1163" s="102"/>
      <c r="Z1163" s="192"/>
      <c r="AA1163" s="615"/>
      <c r="AB1163" s="307"/>
      <c r="AC1163" s="300"/>
      <c r="AD1163" s="300"/>
      <c r="AE1163" s="300"/>
      <c r="AF1163" s="300"/>
      <c r="AG1163" s="300"/>
      <c r="AH1163" s="307"/>
      <c r="AI1163" s="307"/>
      <c r="AJ1163" s="300"/>
      <c r="AK1163" s="300"/>
      <c r="AL1163" s="300"/>
      <c r="AM1163" s="300"/>
      <c r="AN1163" s="300"/>
      <c r="AO1163" s="307"/>
      <c r="AP1163" s="307"/>
      <c r="AQ1163" s="192"/>
    </row>
    <row r="1164" spans="1:59" ht="15" customHeight="1">
      <c r="A1164" s="555" t="s">
        <v>2754</v>
      </c>
      <c r="B1164" s="217" t="str">
        <f t="shared" ref="B1164:B1220" si="1524">LEFT(A1164,3)</f>
        <v>100</v>
      </c>
      <c r="C1164" s="217" t="str">
        <f t="shared" ref="C1164:C1220" si="1525">MID(A1164,5,2)</f>
        <v>35</v>
      </c>
      <c r="D1164" s="101" t="str">
        <f t="shared" ref="D1164:D1220" si="1526">MID(A1164,8,3)</f>
        <v>352</v>
      </c>
      <c r="E1164" s="217" t="str">
        <f t="shared" ref="E1164:E1220" si="1527">LEFT(A1164,10)</f>
        <v>100-35-352</v>
      </c>
      <c r="F1164" s="294" t="str">
        <f t="shared" ref="F1164:F1220" si="1528">RIGHT(A1164,5)</f>
        <v>50102</v>
      </c>
      <c r="G1164" s="295" t="str">
        <f>VLOOKUP(F1164,'GL Category'!A:C,3,FALSE)</f>
        <v>Personnel services</v>
      </c>
      <c r="H1164" s="98" t="str">
        <f>VLOOKUP(F1164,'GL Category'!A:C,2,FALSE)</f>
        <v>NON EXEMPT SALARIES</v>
      </c>
      <c r="I1164" s="99">
        <f>SUMIF(Import!$B:$B,$A1164,Import!D:D)</f>
        <v>2701738.67</v>
      </c>
      <c r="J1164" s="99">
        <f>SUMIF(Import!$B:$B,$A1164,Import!E:E)</f>
        <v>3812629.07</v>
      </c>
      <c r="K1164" s="99">
        <f>SUMIF(Import!$B:$B,$A1164,Import!F:F)</f>
        <v>4080685.04</v>
      </c>
      <c r="L1164" s="99">
        <f>SUMIF(Import!$B:$B,$A1164,Import!G:G)</f>
        <v>4231327.32</v>
      </c>
      <c r="M1164" s="99">
        <f>SUMIF(Import!$B:$B,$A1164,Import!H:H)</f>
        <v>4706591</v>
      </c>
      <c r="N1164" s="99">
        <f>SUMIF(Import!$B:$B,$A1164,Import!I:I)</f>
        <v>3434888.07</v>
      </c>
      <c r="O1164" s="99">
        <f>SUMIF(Import!$B:$B,$A1164,Import!J:J)</f>
        <v>4553837</v>
      </c>
      <c r="P1164" s="99">
        <f t="shared" ref="P1164:P1171" si="1529">O1164-M1164</f>
        <v>-152754</v>
      </c>
      <c r="Q1164" s="99">
        <f>SUMIF(Import!$B:$B,$A1164,Import!K:K)</f>
        <v>4890671</v>
      </c>
      <c r="R1164" s="99">
        <f>SUMIF(Import!$B:$B,$A1164,Import!L:L)</f>
        <v>0</v>
      </c>
      <c r="S1164" s="99">
        <f>SUMIF(Import!$B:$B,$A1164,Import!M:M)</f>
        <v>0</v>
      </c>
      <c r="T1164" s="99">
        <f>SUMIF(Import!$B:$B,$A1164,Import!N:N)</f>
        <v>4890671</v>
      </c>
      <c r="U1164" s="99">
        <f t="shared" ref="U1164:U1171" si="1530">T1164-M1164</f>
        <v>184080</v>
      </c>
      <c r="V1164" s="255">
        <f t="shared" ref="V1164:V1171" si="1531">IF(M1164=0,"N/A",T1164/M1164-1)</f>
        <v>3.9111110355669387E-2</v>
      </c>
      <c r="W1164" s="264" t="s">
        <v>2754</v>
      </c>
      <c r="X1164" s="264"/>
      <c r="Y1164" s="264"/>
      <c r="Z1164" s="88"/>
      <c r="AA1164" s="616"/>
      <c r="AB1164" s="623"/>
      <c r="AC1164" s="300"/>
      <c r="AD1164" s="300"/>
      <c r="AE1164" s="300"/>
      <c r="AF1164" s="300"/>
      <c r="AG1164" s="300"/>
      <c r="AH1164" s="623"/>
      <c r="AI1164" s="623"/>
      <c r="AJ1164" s="300"/>
      <c r="AK1164" s="300"/>
      <c r="AL1164" s="300"/>
      <c r="AM1164" s="300"/>
      <c r="AN1164" s="300"/>
      <c r="AO1164" s="623"/>
      <c r="AP1164" s="623"/>
      <c r="AQ1164" s="88"/>
      <c r="AR1164" s="68"/>
      <c r="AS1164" s="68"/>
      <c r="AT1164" s="68"/>
      <c r="AU1164" s="68"/>
      <c r="AV1164" s="68"/>
      <c r="AW1164" s="68"/>
      <c r="AX1164" s="68"/>
      <c r="AY1164" s="68"/>
      <c r="AZ1164" s="68"/>
      <c r="BA1164" s="68"/>
      <c r="BB1164" s="68"/>
      <c r="BC1164" s="68"/>
      <c r="BD1164" s="68"/>
      <c r="BE1164" s="68"/>
      <c r="BF1164" s="68"/>
      <c r="BG1164" s="68"/>
    </row>
    <row r="1165" spans="1:59" ht="15" customHeight="1">
      <c r="A1165" s="555" t="s">
        <v>2755</v>
      </c>
      <c r="B1165" s="217" t="str">
        <f t="shared" si="1524"/>
        <v>100</v>
      </c>
      <c r="C1165" s="217" t="str">
        <f t="shared" si="1525"/>
        <v>35</v>
      </c>
      <c r="D1165" s="101" t="str">
        <f t="shared" si="1526"/>
        <v>352</v>
      </c>
      <c r="E1165" s="217" t="str">
        <f t="shared" si="1527"/>
        <v>100-35-352</v>
      </c>
      <c r="F1165" s="294" t="str">
        <f t="shared" si="1528"/>
        <v>50109</v>
      </c>
      <c r="G1165" s="295" t="str">
        <f>VLOOKUP(F1165,'GL Category'!A:C,3,FALSE)</f>
        <v>Personnel services</v>
      </c>
      <c r="H1165" s="98" t="str">
        <f>VLOOKUP(F1165,'GL Category'!A:C,2,FALSE)</f>
        <v>OVERTIME</v>
      </c>
      <c r="I1165" s="99">
        <f>SUMIF(Import!$B:$B,$A1165,Import!D:D)</f>
        <v>248508.57</v>
      </c>
      <c r="J1165" s="99">
        <f>SUMIF(Import!$B:$B,$A1165,Import!E:E)</f>
        <v>537269.62</v>
      </c>
      <c r="K1165" s="99">
        <f>SUMIF(Import!$B:$B,$A1165,Import!F:F)</f>
        <v>768448.19</v>
      </c>
      <c r="L1165" s="99">
        <f>SUMIF(Import!$B:$B,$A1165,Import!G:G)</f>
        <v>941106.73</v>
      </c>
      <c r="M1165" s="99">
        <f>SUMIF(Import!$B:$B,$A1165,Import!H:H)</f>
        <v>595020</v>
      </c>
      <c r="N1165" s="99">
        <f>SUMIF(Import!$B:$B,$A1165,Import!I:I)</f>
        <v>527978.14</v>
      </c>
      <c r="O1165" s="99">
        <f>SUMIF(Import!$B:$B,$A1165,Import!J:J)</f>
        <v>698757</v>
      </c>
      <c r="P1165" s="99">
        <f t="shared" si="1529"/>
        <v>103737</v>
      </c>
      <c r="Q1165" s="99">
        <f>SUMIF(Import!$B:$B,$A1165,Import!K:K)</f>
        <v>587556</v>
      </c>
      <c r="R1165" s="99">
        <f>SUMIF(Import!$B:$B,$A1165,Import!L:L)</f>
        <v>0</v>
      </c>
      <c r="S1165" s="99">
        <f>SUMIF(Import!$B:$B,$A1165,Import!M:M)</f>
        <v>0</v>
      </c>
      <c r="T1165" s="99">
        <f>SUMIF(Import!$B:$B,$A1165,Import!N:N)</f>
        <v>587556</v>
      </c>
      <c r="U1165" s="99">
        <f t="shared" si="1530"/>
        <v>-7464</v>
      </c>
      <c r="V1165" s="255">
        <f t="shared" si="1531"/>
        <v>-1.2544116164162511E-2</v>
      </c>
      <c r="W1165" s="264" t="s">
        <v>2755</v>
      </c>
      <c r="X1165" s="264"/>
      <c r="Y1165" s="264"/>
      <c r="Z1165" s="88"/>
      <c r="AA1165" s="616"/>
      <c r="AB1165" s="623"/>
      <c r="AC1165" s="94"/>
      <c r="AD1165" s="94"/>
      <c r="AE1165" s="94"/>
      <c r="AF1165" s="94"/>
      <c r="AG1165" s="94"/>
      <c r="AH1165" s="623"/>
      <c r="AI1165" s="623"/>
      <c r="AJ1165" s="94"/>
      <c r="AK1165" s="94"/>
      <c r="AL1165" s="94"/>
      <c r="AM1165" s="94"/>
      <c r="AN1165" s="94"/>
      <c r="AO1165" s="623"/>
      <c r="AP1165" s="623"/>
      <c r="AQ1165" s="88"/>
      <c r="AR1165" s="68"/>
      <c r="AS1165" s="68"/>
      <c r="AT1165" s="68"/>
      <c r="AU1165" s="68"/>
      <c r="AV1165" s="68"/>
      <c r="AW1165" s="68"/>
      <c r="AX1165" s="68"/>
      <c r="AY1165" s="68"/>
      <c r="AZ1165" s="68"/>
      <c r="BA1165" s="68"/>
      <c r="BB1165" s="68"/>
      <c r="BC1165" s="68"/>
      <c r="BD1165" s="68"/>
      <c r="BE1165" s="68"/>
      <c r="BF1165" s="68"/>
      <c r="BG1165" s="68"/>
    </row>
    <row r="1166" spans="1:59" ht="15" customHeight="1">
      <c r="A1166" s="555" t="s">
        <v>2756</v>
      </c>
      <c r="B1166" s="217" t="str">
        <f t="shared" si="1524"/>
        <v>100</v>
      </c>
      <c r="C1166" s="217" t="str">
        <f t="shared" si="1525"/>
        <v>35</v>
      </c>
      <c r="D1166" s="101" t="str">
        <f t="shared" si="1526"/>
        <v>352</v>
      </c>
      <c r="E1166" s="217" t="str">
        <f t="shared" si="1527"/>
        <v>100-35-352</v>
      </c>
      <c r="F1166" s="294" t="str">
        <f t="shared" si="1528"/>
        <v>50111</v>
      </c>
      <c r="G1166" s="295" t="str">
        <f>VLOOKUP(F1166,'GL Category'!A:C,3,FALSE)</f>
        <v>Personnel services</v>
      </c>
      <c r="H1166" s="98" t="str">
        <f>VLOOKUP(F1166,'GL Category'!A:C,2,FALSE)</f>
        <v>LONGEVITY PAY</v>
      </c>
      <c r="I1166" s="99">
        <f>SUMIF(Import!$B:$B,$A1166,Import!D:D)</f>
        <v>29665</v>
      </c>
      <c r="J1166" s="99">
        <f>SUMIF(Import!$B:$B,$A1166,Import!E:E)</f>
        <v>30690</v>
      </c>
      <c r="K1166" s="99">
        <f>SUMIF(Import!$B:$B,$A1166,Import!F:F)</f>
        <v>32980</v>
      </c>
      <c r="L1166" s="99">
        <f>SUMIF(Import!$B:$B,$A1166,Import!G:G)</f>
        <v>32525</v>
      </c>
      <c r="M1166" s="99">
        <f>SUMIF(Import!$B:$B,$A1166,Import!H:H)</f>
        <v>33647</v>
      </c>
      <c r="N1166" s="99">
        <f>SUMIF(Import!$B:$B,$A1166,Import!I:I)</f>
        <v>33340</v>
      </c>
      <c r="O1166" s="99">
        <f>SUMIF(Import!$B:$B,$A1166,Import!J:J)</f>
        <v>33340</v>
      </c>
      <c r="P1166" s="99">
        <f t="shared" si="1529"/>
        <v>-307</v>
      </c>
      <c r="Q1166" s="99">
        <f>SUMIF(Import!$B:$B,$A1166,Import!K:K)</f>
        <v>35206</v>
      </c>
      <c r="R1166" s="99">
        <f>SUMIF(Import!$B:$B,$A1166,Import!L:L)</f>
        <v>0</v>
      </c>
      <c r="S1166" s="99">
        <f>SUMIF(Import!$B:$B,$A1166,Import!M:M)</f>
        <v>0</v>
      </c>
      <c r="T1166" s="99">
        <f>SUMIF(Import!$B:$B,$A1166,Import!N:N)</f>
        <v>35206</v>
      </c>
      <c r="U1166" s="99">
        <f t="shared" si="1530"/>
        <v>1559</v>
      </c>
      <c r="V1166" s="255">
        <f t="shared" si="1531"/>
        <v>4.6333997087407486E-2</v>
      </c>
      <c r="W1166" s="264" t="s">
        <v>2756</v>
      </c>
      <c r="X1166" s="264"/>
      <c r="Y1166" s="264"/>
      <c r="Z1166" s="88"/>
      <c r="AA1166" s="616"/>
      <c r="AB1166" s="623"/>
      <c r="AC1166" s="93"/>
      <c r="AD1166" s="93"/>
      <c r="AE1166" s="93"/>
      <c r="AF1166" s="93"/>
      <c r="AG1166" s="93"/>
      <c r="AH1166" s="623"/>
      <c r="AI1166" s="623"/>
      <c r="AJ1166" s="93"/>
      <c r="AK1166" s="93"/>
      <c r="AL1166" s="93"/>
      <c r="AM1166" s="93"/>
      <c r="AN1166" s="93"/>
      <c r="AO1166" s="623"/>
      <c r="AP1166" s="623"/>
      <c r="AQ1166" s="88"/>
      <c r="AR1166" s="68"/>
      <c r="AS1166" s="68"/>
      <c r="AT1166" s="68"/>
      <c r="AU1166" s="68"/>
      <c r="AV1166" s="68"/>
      <c r="AW1166" s="68"/>
      <c r="AX1166" s="68"/>
      <c r="AY1166" s="68"/>
      <c r="AZ1166" s="68"/>
      <c r="BA1166" s="68"/>
      <c r="BB1166" s="68"/>
      <c r="BC1166" s="68"/>
      <c r="BD1166" s="68"/>
      <c r="BE1166" s="68"/>
      <c r="BF1166" s="68"/>
      <c r="BG1166" s="68"/>
    </row>
    <row r="1167" spans="1:59" ht="15" customHeight="1">
      <c r="A1167" s="555" t="s">
        <v>2757</v>
      </c>
      <c r="B1167" s="217" t="str">
        <f t="shared" si="1524"/>
        <v>100</v>
      </c>
      <c r="C1167" s="217" t="str">
        <f t="shared" si="1525"/>
        <v>35</v>
      </c>
      <c r="D1167" s="101" t="str">
        <f t="shared" si="1526"/>
        <v>352</v>
      </c>
      <c r="E1167" s="217" t="str">
        <f t="shared" si="1527"/>
        <v>100-35-352</v>
      </c>
      <c r="F1167" s="294" t="str">
        <f t="shared" si="1528"/>
        <v>50115</v>
      </c>
      <c r="G1167" s="295" t="str">
        <f>VLOOKUP(F1167,'GL Category'!A:C,3,FALSE)</f>
        <v>Personnel services</v>
      </c>
      <c r="H1167" s="98" t="str">
        <f>VLOOKUP(F1167,'GL Category'!A:C,2,FALSE)</f>
        <v>INCENTIVE/CERTIFICATION PAY</v>
      </c>
      <c r="I1167" s="99">
        <f>SUMIF(Import!$B:$B,$A1167,Import!D:D)</f>
        <v>21177.51</v>
      </c>
      <c r="J1167" s="99">
        <f>SUMIF(Import!$B:$B,$A1167,Import!E:E)</f>
        <v>32069.54</v>
      </c>
      <c r="K1167" s="99">
        <f>SUMIF(Import!$B:$B,$A1167,Import!F:F)</f>
        <v>32198</v>
      </c>
      <c r="L1167" s="99">
        <f>SUMIF(Import!$B:$B,$A1167,Import!G:G)</f>
        <v>33425.5</v>
      </c>
      <c r="M1167" s="99">
        <f>SUMIF(Import!$B:$B,$A1167,Import!H:H)</f>
        <v>32700</v>
      </c>
      <c r="N1167" s="99">
        <f>SUMIF(Import!$B:$B,$A1167,Import!I:I)</f>
        <v>25249.5</v>
      </c>
      <c r="O1167" s="99">
        <f>SUMIF(Import!$B:$B,$A1167,Import!J:J)</f>
        <v>46227</v>
      </c>
      <c r="P1167" s="99">
        <f t="shared" si="1529"/>
        <v>13527</v>
      </c>
      <c r="Q1167" s="99">
        <f>SUMIF(Import!$B:$B,$A1167,Import!K:K)</f>
        <v>33300</v>
      </c>
      <c r="R1167" s="99">
        <f>SUMIF(Import!$B:$B,$A1167,Import!L:L)</f>
        <v>0</v>
      </c>
      <c r="S1167" s="99">
        <f>SUMIF(Import!$B:$B,$A1167,Import!M:M)</f>
        <v>0</v>
      </c>
      <c r="T1167" s="99">
        <f>SUMIF(Import!$B:$B,$A1167,Import!N:N)</f>
        <v>33300</v>
      </c>
      <c r="U1167" s="99">
        <f t="shared" si="1530"/>
        <v>600</v>
      </c>
      <c r="V1167" s="255">
        <f t="shared" si="1531"/>
        <v>1.8348623853210899E-2</v>
      </c>
      <c r="W1167" s="264" t="s">
        <v>2757</v>
      </c>
      <c r="X1167" s="264"/>
      <c r="Y1167" s="264"/>
      <c r="Z1167" s="88"/>
      <c r="AA1167" s="616"/>
      <c r="AB1167" s="623"/>
      <c r="AC1167" s="300"/>
      <c r="AD1167" s="300"/>
      <c r="AE1167" s="300"/>
      <c r="AF1167" s="300"/>
      <c r="AG1167" s="300"/>
      <c r="AH1167" s="623"/>
      <c r="AI1167" s="623"/>
      <c r="AJ1167" s="300"/>
      <c r="AK1167" s="300"/>
      <c r="AL1167" s="300"/>
      <c r="AM1167" s="300"/>
      <c r="AN1167" s="300"/>
      <c r="AO1167" s="623"/>
      <c r="AP1167" s="623"/>
      <c r="AQ1167" s="88"/>
      <c r="AR1167" s="68"/>
      <c r="AS1167" s="68"/>
      <c r="AT1167" s="68"/>
      <c r="AU1167" s="68"/>
      <c r="AV1167" s="68"/>
      <c r="AW1167" s="68"/>
      <c r="AX1167" s="68"/>
      <c r="AY1167" s="68"/>
      <c r="AZ1167" s="68"/>
      <c r="BA1167" s="68"/>
      <c r="BB1167" s="68"/>
      <c r="BC1167" s="68"/>
      <c r="BD1167" s="68"/>
      <c r="BE1167" s="68"/>
      <c r="BF1167" s="68"/>
      <c r="BG1167" s="68"/>
    </row>
    <row r="1168" spans="1:59" ht="15" customHeight="1">
      <c r="A1168" s="555" t="s">
        <v>2758</v>
      </c>
      <c r="B1168" s="217" t="str">
        <f t="shared" si="1524"/>
        <v>100</v>
      </c>
      <c r="C1168" s="217" t="str">
        <f t="shared" si="1525"/>
        <v>35</v>
      </c>
      <c r="D1168" s="101" t="str">
        <f t="shared" si="1526"/>
        <v>352</v>
      </c>
      <c r="E1168" s="217" t="str">
        <f t="shared" si="1527"/>
        <v>100-35-352</v>
      </c>
      <c r="F1168" s="294" t="str">
        <f t="shared" si="1528"/>
        <v>50610</v>
      </c>
      <c r="G1168" s="295" t="str">
        <f>VLOOKUP(F1168,'GL Category'!A:C,3,FALSE)</f>
        <v>Personnel services</v>
      </c>
      <c r="H1168" s="98" t="str">
        <f>VLOOKUP(F1168,'GL Category'!A:C,2,FALSE)</f>
        <v>SOCIAL SECURITY</v>
      </c>
      <c r="I1168" s="99">
        <f>SUMIF(Import!$B:$B,$A1168,Import!D:D)</f>
        <v>216985.23</v>
      </c>
      <c r="J1168" s="99">
        <f>SUMIF(Import!$B:$B,$A1168,Import!E:E)</f>
        <v>318940.45</v>
      </c>
      <c r="K1168" s="99">
        <f>SUMIF(Import!$B:$B,$A1168,Import!F:F)</f>
        <v>357363.73</v>
      </c>
      <c r="L1168" s="99">
        <f>SUMIF(Import!$B:$B,$A1168,Import!G:G)</f>
        <v>377786.44</v>
      </c>
      <c r="M1168" s="99">
        <f>SUMIF(Import!$B:$B,$A1168,Import!H:H)</f>
        <v>373810</v>
      </c>
      <c r="N1168" s="99">
        <f>SUMIF(Import!$B:$B,$A1168,Import!I:I)</f>
        <v>289171.76</v>
      </c>
      <c r="O1168" s="99">
        <f>SUMIF(Import!$B:$B,$A1168,Import!J:J)</f>
        <v>378027</v>
      </c>
      <c r="P1168" s="99">
        <f t="shared" si="1529"/>
        <v>4217</v>
      </c>
      <c r="Q1168" s="99">
        <f>SUMIF(Import!$B:$B,$A1168,Import!K:K)</f>
        <v>387570</v>
      </c>
      <c r="R1168" s="99">
        <f>SUMIF(Import!$B:$B,$A1168,Import!L:L)</f>
        <v>0</v>
      </c>
      <c r="S1168" s="99">
        <f>SUMIF(Import!$B:$B,$A1168,Import!M:M)</f>
        <v>0</v>
      </c>
      <c r="T1168" s="99">
        <f>SUMIF(Import!$B:$B,$A1168,Import!N:N)</f>
        <v>387570</v>
      </c>
      <c r="U1168" s="99">
        <f t="shared" si="1530"/>
        <v>13760</v>
      </c>
      <c r="V1168" s="255">
        <f t="shared" si="1531"/>
        <v>3.681014419089923E-2</v>
      </c>
      <c r="W1168" s="102" t="s">
        <v>2758</v>
      </c>
      <c r="X1168" s="102"/>
      <c r="Y1168" s="102"/>
      <c r="AA1168" s="615"/>
      <c r="AC1168" s="300"/>
      <c r="AD1168" s="300"/>
      <c r="AE1168" s="300"/>
      <c r="AF1168" s="300"/>
      <c r="AG1168" s="300"/>
      <c r="AJ1168" s="300"/>
      <c r="AK1168" s="300"/>
      <c r="AL1168" s="300"/>
      <c r="AM1168" s="300"/>
      <c r="AN1168" s="300"/>
    </row>
    <row r="1169" spans="1:59" ht="15" customHeight="1">
      <c r="A1169" s="555" t="s">
        <v>2759</v>
      </c>
      <c r="B1169" s="217" t="str">
        <f t="shared" si="1524"/>
        <v>100</v>
      </c>
      <c r="C1169" s="217" t="str">
        <f t="shared" si="1525"/>
        <v>35</v>
      </c>
      <c r="D1169" s="101" t="str">
        <f t="shared" si="1526"/>
        <v>352</v>
      </c>
      <c r="E1169" s="217" t="str">
        <f t="shared" si="1527"/>
        <v>100-35-352</v>
      </c>
      <c r="F1169" s="294" t="str">
        <f t="shared" si="1528"/>
        <v>50620</v>
      </c>
      <c r="G1169" s="295" t="str">
        <f>VLOOKUP(F1169,'GL Category'!A:C,3,FALSE)</f>
        <v>Personnel services</v>
      </c>
      <c r="H1169" s="98" t="str">
        <f>VLOOKUP(F1169,'GL Category'!A:C,2,FALSE)</f>
        <v>HEALTH/LIFE INSURANCE</v>
      </c>
      <c r="I1169" s="99">
        <f>SUMIF(Import!$B:$B,$A1169,Import!D:D)</f>
        <v>503500.62</v>
      </c>
      <c r="J1169" s="99">
        <f>SUMIF(Import!$B:$B,$A1169,Import!E:E)</f>
        <v>742791.7</v>
      </c>
      <c r="K1169" s="99">
        <f>SUMIF(Import!$B:$B,$A1169,Import!F:F)</f>
        <v>784290.3</v>
      </c>
      <c r="L1169" s="99">
        <f>SUMIF(Import!$B:$B,$A1169,Import!G:G)</f>
        <v>781234.56</v>
      </c>
      <c r="M1169" s="99">
        <f>SUMIF(Import!$B:$B,$A1169,Import!H:H)</f>
        <v>784832</v>
      </c>
      <c r="N1169" s="99">
        <f>SUMIF(Import!$B:$B,$A1169,Import!I:I)</f>
        <v>577421.68999999994</v>
      </c>
      <c r="O1169" s="99">
        <f>SUMIF(Import!$B:$B,$A1169,Import!J:J)</f>
        <v>785056</v>
      </c>
      <c r="P1169" s="99">
        <f t="shared" si="1529"/>
        <v>224</v>
      </c>
      <c r="Q1169" s="99">
        <f>SUMIF(Import!$B:$B,$A1169,Import!K:K)</f>
        <v>775264</v>
      </c>
      <c r="R1169" s="99">
        <f>SUMIF(Import!$B:$B,$A1169,Import!L:L)</f>
        <v>0</v>
      </c>
      <c r="S1169" s="99">
        <f>SUMIF(Import!$B:$B,$A1169,Import!M:M)</f>
        <v>0</v>
      </c>
      <c r="T1169" s="99">
        <f>SUMIF(Import!$B:$B,$A1169,Import!N:N)</f>
        <v>775264</v>
      </c>
      <c r="U1169" s="99">
        <f t="shared" si="1530"/>
        <v>-9568</v>
      </c>
      <c r="V1169" s="255">
        <f t="shared" si="1531"/>
        <v>-1.2191144091983963E-2</v>
      </c>
      <c r="W1169" s="102" t="s">
        <v>2759</v>
      </c>
      <c r="X1169" s="102"/>
      <c r="Y1169" s="102"/>
      <c r="AA1169" s="615"/>
      <c r="AC1169" s="94"/>
      <c r="AD1169" s="94"/>
      <c r="AE1169" s="94"/>
      <c r="AF1169" s="94"/>
      <c r="AG1169" s="94"/>
      <c r="AJ1169" s="94"/>
      <c r="AK1169" s="94"/>
      <c r="AL1169" s="94"/>
      <c r="AM1169" s="94"/>
      <c r="AN1169" s="94"/>
    </row>
    <row r="1170" spans="1:59" ht="15" customHeight="1">
      <c r="A1170" s="555" t="s">
        <v>2760</v>
      </c>
      <c r="B1170" s="217" t="str">
        <f t="shared" si="1524"/>
        <v>100</v>
      </c>
      <c r="C1170" s="217" t="str">
        <f t="shared" si="1525"/>
        <v>35</v>
      </c>
      <c r="D1170" s="101" t="str">
        <f t="shared" si="1526"/>
        <v>352</v>
      </c>
      <c r="E1170" s="217" t="str">
        <f t="shared" si="1527"/>
        <v>100-35-352</v>
      </c>
      <c r="F1170" s="294" t="str">
        <f t="shared" si="1528"/>
        <v>50630</v>
      </c>
      <c r="G1170" s="295" t="str">
        <f>VLOOKUP(F1170,'GL Category'!A:C,3,FALSE)</f>
        <v>Personnel services</v>
      </c>
      <c r="H1170" s="98" t="str">
        <f>VLOOKUP(F1170,'GL Category'!A:C,2,FALSE)</f>
        <v>WORKER COMPENSATION</v>
      </c>
      <c r="I1170" s="99">
        <f>SUMIF(Import!$B:$B,$A1170,Import!D:D)</f>
        <v>30967.32</v>
      </c>
      <c r="J1170" s="99">
        <f>SUMIF(Import!$B:$B,$A1170,Import!E:E)</f>
        <v>33380.49</v>
      </c>
      <c r="K1170" s="99">
        <f>SUMIF(Import!$B:$B,$A1170,Import!F:F)</f>
        <v>37280.959999999999</v>
      </c>
      <c r="L1170" s="99">
        <f>SUMIF(Import!$B:$B,$A1170,Import!G:G)</f>
        <v>68088.710000000006</v>
      </c>
      <c r="M1170" s="99">
        <f>SUMIF(Import!$B:$B,$A1170,Import!H:H)</f>
        <v>91097</v>
      </c>
      <c r="N1170" s="99">
        <f>SUMIF(Import!$B:$B,$A1170,Import!I:I)</f>
        <v>91022.6</v>
      </c>
      <c r="O1170" s="99">
        <f>SUMIF(Import!$B:$B,$A1170,Import!J:J)</f>
        <v>91023</v>
      </c>
      <c r="P1170" s="99">
        <f t="shared" si="1529"/>
        <v>-74</v>
      </c>
      <c r="Q1170" s="99">
        <f>SUMIF(Import!$B:$B,$A1170,Import!K:K)</f>
        <v>97792</v>
      </c>
      <c r="R1170" s="99">
        <f>SUMIF(Import!$B:$B,$A1170,Import!L:L)</f>
        <v>0</v>
      </c>
      <c r="S1170" s="99">
        <f>SUMIF(Import!$B:$B,$A1170,Import!M:M)</f>
        <v>0</v>
      </c>
      <c r="T1170" s="99">
        <f>SUMIF(Import!$B:$B,$A1170,Import!N:N)</f>
        <v>97792</v>
      </c>
      <c r="U1170" s="99">
        <f t="shared" si="1530"/>
        <v>6695</v>
      </c>
      <c r="V1170" s="255">
        <f t="shared" si="1531"/>
        <v>7.349308978341762E-2</v>
      </c>
      <c r="W1170" s="102" t="s">
        <v>2760</v>
      </c>
      <c r="X1170" s="102"/>
      <c r="Y1170" s="102"/>
      <c r="AA1170" s="615"/>
      <c r="AC1170" s="93"/>
      <c r="AD1170" s="93"/>
      <c r="AE1170" s="93"/>
      <c r="AF1170" s="93"/>
      <c r="AG1170" s="93"/>
      <c r="AJ1170" s="93"/>
      <c r="AK1170" s="93"/>
      <c r="AL1170" s="93"/>
      <c r="AM1170" s="93"/>
      <c r="AN1170" s="93"/>
    </row>
    <row r="1171" spans="1:59" ht="15" customHeight="1">
      <c r="A1171" s="555" t="s">
        <v>2761</v>
      </c>
      <c r="B1171" s="217" t="str">
        <f t="shared" si="1524"/>
        <v>100</v>
      </c>
      <c r="C1171" s="217" t="str">
        <f t="shared" si="1525"/>
        <v>35</v>
      </c>
      <c r="D1171" s="101" t="str">
        <f t="shared" si="1526"/>
        <v>352</v>
      </c>
      <c r="E1171" s="217" t="str">
        <f t="shared" si="1527"/>
        <v>100-35-352</v>
      </c>
      <c r="F1171" s="294" t="str">
        <f t="shared" si="1528"/>
        <v>50650</v>
      </c>
      <c r="G1171" s="295" t="str">
        <f>VLOOKUP(F1171,'GL Category'!A:C,3,FALSE)</f>
        <v>Personnel services</v>
      </c>
      <c r="H1171" s="98" t="str">
        <f>VLOOKUP(F1171,'GL Category'!A:C,2,FALSE)</f>
        <v>RETIREMENT</v>
      </c>
      <c r="I1171" s="99">
        <f>SUMIF(Import!$B:$B,$A1171,Import!D:D)</f>
        <v>476147.89</v>
      </c>
      <c r="J1171" s="99">
        <f>SUMIF(Import!$B:$B,$A1171,Import!E:E)</f>
        <v>713517.41</v>
      </c>
      <c r="K1171" s="99">
        <f>SUMIF(Import!$B:$B,$A1171,Import!F:F)</f>
        <v>800168.43</v>
      </c>
      <c r="L1171" s="99">
        <f>SUMIF(Import!$B:$B,$A1171,Import!G:G)</f>
        <v>846812.16000000003</v>
      </c>
      <c r="M1171" s="99">
        <f>SUMIF(Import!$B:$B,$A1171,Import!H:H)</f>
        <v>888218</v>
      </c>
      <c r="N1171" s="99">
        <f>SUMIF(Import!$B:$B,$A1171,Import!I:I)</f>
        <v>664354.1</v>
      </c>
      <c r="O1171" s="99">
        <f>SUMIF(Import!$B:$B,$A1171,Import!J:J)</f>
        <v>874308</v>
      </c>
      <c r="P1171" s="99">
        <f t="shared" si="1529"/>
        <v>-13910</v>
      </c>
      <c r="Q1171" s="99">
        <f>SUMIF(Import!$B:$B,$A1171,Import!K:K)</f>
        <v>940087</v>
      </c>
      <c r="R1171" s="99">
        <f>SUMIF(Import!$B:$B,$A1171,Import!L:L)</f>
        <v>0</v>
      </c>
      <c r="S1171" s="99">
        <f>SUMIF(Import!$B:$B,$A1171,Import!M:M)</f>
        <v>0</v>
      </c>
      <c r="T1171" s="99">
        <f>SUMIF(Import!$B:$B,$A1171,Import!N:N)</f>
        <v>940087</v>
      </c>
      <c r="U1171" s="99">
        <f t="shared" si="1530"/>
        <v>51869</v>
      </c>
      <c r="V1171" s="255">
        <f t="shared" si="1531"/>
        <v>5.8396699909256444E-2</v>
      </c>
      <c r="W1171" s="102" t="s">
        <v>2761</v>
      </c>
      <c r="X1171" s="102"/>
      <c r="Y1171" s="102"/>
      <c r="AA1171" s="615"/>
    </row>
    <row r="1172" spans="1:59" s="75" customFormat="1" ht="15" customHeight="1">
      <c r="A1172" s="555"/>
      <c r="B1172" s="217"/>
      <c r="C1172" s="217"/>
      <c r="D1172" s="101"/>
      <c r="E1172" s="217"/>
      <c r="F1172" s="294"/>
      <c r="G1172" s="295"/>
      <c r="H1172" s="107" t="str">
        <f>UPPER(G1171)&amp;" TOTAL"</f>
        <v>PERSONNEL SERVICES TOTAL</v>
      </c>
      <c r="I1172" s="108">
        <f t="shared" ref="I1172" si="1532">SUBTOTAL(9,I1164:I1171)</f>
        <v>4228690.8099999996</v>
      </c>
      <c r="J1172" s="108">
        <f t="shared" ref="J1172:P1172" si="1533">SUBTOTAL(9,J1164:J1171)</f>
        <v>6221288.2800000003</v>
      </c>
      <c r="K1172" s="108">
        <f t="shared" ref="K1172" si="1534">SUBTOTAL(9,K1164:K1171)</f>
        <v>6893414.6500000004</v>
      </c>
      <c r="L1172" s="108">
        <f t="shared" ref="L1172" si="1535">SUBTOTAL(9,L1164:L1171)</f>
        <v>7312306.4200000009</v>
      </c>
      <c r="M1172" s="108">
        <f t="shared" si="1533"/>
        <v>7505915</v>
      </c>
      <c r="N1172" s="109">
        <f t="shared" ref="N1172" si="1536">SUBTOTAL(9,N1164:N1171)</f>
        <v>5643425.8599999994</v>
      </c>
      <c r="O1172" s="109">
        <f t="shared" si="1533"/>
        <v>7460575</v>
      </c>
      <c r="P1172" s="109">
        <f t="shared" si="1533"/>
        <v>-45340</v>
      </c>
      <c r="Q1172" s="109">
        <f t="shared" ref="Q1172:T1172" si="1537">SUBTOTAL(9,Q1164:Q1171)</f>
        <v>7747446</v>
      </c>
      <c r="R1172" s="109">
        <f t="shared" si="1537"/>
        <v>0</v>
      </c>
      <c r="S1172" s="109">
        <f t="shared" si="1537"/>
        <v>0</v>
      </c>
      <c r="T1172" s="109">
        <f t="shared" si="1537"/>
        <v>7747446</v>
      </c>
      <c r="U1172" s="99">
        <f>T1172-M1172</f>
        <v>241531</v>
      </c>
      <c r="V1172" s="255">
        <f>IF(M1172=0,"N/A",T1172/M1172-1)</f>
        <v>3.217875502187284E-2</v>
      </c>
      <c r="W1172" s="102"/>
      <c r="X1172" s="102"/>
      <c r="Y1172" s="102"/>
      <c r="Z1172" s="614"/>
      <c r="AA1172" s="615"/>
      <c r="AB1172" s="624"/>
      <c r="AC1172" s="623"/>
      <c r="AD1172" s="623"/>
      <c r="AE1172" s="623"/>
      <c r="AF1172" s="623"/>
      <c r="AG1172" s="623"/>
      <c r="AH1172" s="623"/>
      <c r="AI1172" s="624"/>
      <c r="AJ1172" s="307"/>
      <c r="AK1172" s="307"/>
      <c r="AL1172" s="307"/>
      <c r="AM1172" s="307"/>
      <c r="AN1172" s="307"/>
      <c r="AO1172" s="192"/>
      <c r="AP1172" s="192"/>
      <c r="AQ1172" s="192"/>
      <c r="AR1172" s="115"/>
      <c r="AS1172" s="115"/>
      <c r="AT1172" s="115"/>
      <c r="AU1172" s="115"/>
      <c r="AV1172" s="115"/>
      <c r="AW1172" s="115"/>
      <c r="AX1172" s="115"/>
      <c r="AY1172" s="115"/>
      <c r="AZ1172" s="115"/>
      <c r="BA1172" s="115"/>
      <c r="BB1172" s="115"/>
      <c r="BC1172" s="115"/>
      <c r="BD1172" s="115"/>
      <c r="BE1172" s="74"/>
      <c r="BF1172" s="74"/>
      <c r="BG1172" s="74"/>
    </row>
    <row r="1173" spans="1:59" s="75" customFormat="1" ht="15" customHeight="1">
      <c r="A1173" s="555"/>
      <c r="B1173" s="217"/>
      <c r="C1173" s="217"/>
      <c r="D1173" s="101"/>
      <c r="E1173" s="217"/>
      <c r="F1173" s="294"/>
      <c r="G1173" s="295"/>
      <c r="H1173" s="98"/>
      <c r="I1173" s="106"/>
      <c r="J1173" s="106"/>
      <c r="K1173" s="106"/>
      <c r="L1173" s="106"/>
      <c r="M1173" s="106"/>
      <c r="N1173" s="112"/>
      <c r="O1173" s="112"/>
      <c r="P1173" s="112"/>
      <c r="Q1173" s="113"/>
      <c r="R1173" s="113"/>
      <c r="S1173" s="113"/>
      <c r="T1173" s="113"/>
      <c r="U1173" s="99"/>
      <c r="V1173" s="255"/>
      <c r="W1173" s="102"/>
      <c r="X1173" s="102"/>
      <c r="Y1173" s="102"/>
      <c r="Z1173" s="614"/>
      <c r="AA1173" s="615"/>
      <c r="AB1173" s="624"/>
      <c r="AC1173" s="625"/>
      <c r="AD1173" s="625"/>
      <c r="AE1173" s="625"/>
      <c r="AF1173" s="625"/>
      <c r="AG1173" s="625"/>
      <c r="AH1173" s="623"/>
      <c r="AI1173" s="624"/>
      <c r="AJ1173" s="626"/>
      <c r="AK1173" s="626"/>
      <c r="AL1173" s="626"/>
      <c r="AM1173" s="626"/>
      <c r="AN1173" s="626"/>
      <c r="AO1173" s="192"/>
      <c r="AP1173" s="192"/>
      <c r="AQ1173" s="192"/>
      <c r="AR1173" s="115"/>
      <c r="AS1173" s="115"/>
      <c r="AT1173" s="115"/>
      <c r="AU1173" s="115"/>
      <c r="AV1173" s="115"/>
      <c r="AW1173" s="115"/>
      <c r="AX1173" s="115"/>
      <c r="AY1173" s="115"/>
      <c r="AZ1173" s="115"/>
      <c r="BA1173" s="115"/>
      <c r="BB1173" s="115"/>
      <c r="BC1173" s="115"/>
      <c r="BD1173" s="115"/>
      <c r="BE1173" s="74"/>
      <c r="BF1173" s="74"/>
      <c r="BG1173" s="74"/>
    </row>
    <row r="1174" spans="1:59" ht="15" customHeight="1">
      <c r="A1174" s="555" t="s">
        <v>2762</v>
      </c>
      <c r="B1174" s="217" t="str">
        <f t="shared" si="1524"/>
        <v>100</v>
      </c>
      <c r="C1174" s="217" t="str">
        <f t="shared" si="1525"/>
        <v>35</v>
      </c>
      <c r="D1174" s="101" t="str">
        <f t="shared" si="1526"/>
        <v>352</v>
      </c>
      <c r="E1174" s="217" t="str">
        <f t="shared" si="1527"/>
        <v>100-35-352</v>
      </c>
      <c r="F1174" s="294" t="str">
        <f t="shared" si="1528"/>
        <v>51210</v>
      </c>
      <c r="G1174" s="295" t="str">
        <f>VLOOKUP(F1174,'GL Category'!A:C,3,FALSE)</f>
        <v>Operations &amp; maintenance</v>
      </c>
      <c r="H1174" s="98" t="str">
        <f>VLOOKUP(F1174,'GL Category'!A:C,2,FALSE)</f>
        <v>OFFICE SUPPLIES</v>
      </c>
      <c r="I1174" s="99">
        <f>SUMIF(Import!$B:$B,$A1174,Import!D:D)</f>
        <v>0</v>
      </c>
      <c r="J1174" s="99">
        <f>SUMIF(Import!$B:$B,$A1174,Import!E:E)</f>
        <v>0</v>
      </c>
      <c r="K1174" s="99">
        <f>SUMIF(Import!$B:$B,$A1174,Import!F:F)</f>
        <v>0</v>
      </c>
      <c r="L1174" s="99">
        <f>SUMIF(Import!$B:$B,$A1174,Import!G:G)</f>
        <v>0</v>
      </c>
      <c r="M1174" s="99">
        <f>SUMIF(Import!$B:$B,$A1174,Import!H:H)</f>
        <v>0</v>
      </c>
      <c r="N1174" s="99">
        <f>SUMIF(Import!$B:$B,$A1174,Import!I:I)</f>
        <v>0</v>
      </c>
      <c r="O1174" s="99">
        <f>SUMIF(Import!$B:$B,$A1174,Import!J:J)</f>
        <v>0</v>
      </c>
      <c r="P1174" s="99">
        <f t="shared" ref="P1174:P1190" si="1538">O1174-M1174</f>
        <v>0</v>
      </c>
      <c r="Q1174" s="99">
        <f>SUMIF(Import!$B:$B,$A1174,Import!K:K)</f>
        <v>0</v>
      </c>
      <c r="R1174" s="99">
        <f>SUMIF(Import!$B:$B,$A1174,Import!L:L)</f>
        <v>0</v>
      </c>
      <c r="S1174" s="99">
        <f>SUMIF(Import!$B:$B,$A1174,Import!M:M)</f>
        <v>0</v>
      </c>
      <c r="T1174" s="99">
        <f>SUMIF(Import!$B:$B,$A1174,Import!N:N)</f>
        <v>0</v>
      </c>
      <c r="U1174" s="99">
        <f t="shared" ref="U1174:U1190" si="1539">T1174-M1174</f>
        <v>0</v>
      </c>
      <c r="V1174" s="255" t="str">
        <f t="shared" ref="V1174:V1190" si="1540">IF(M1174=0,"N/A",T1174/M1174-1)</f>
        <v>N/A</v>
      </c>
      <c r="W1174" s="102" t="s">
        <v>2762</v>
      </c>
      <c r="X1174" s="102"/>
      <c r="Y1174" s="102"/>
      <c r="AA1174" s="615"/>
      <c r="AC1174" s="300"/>
      <c r="AD1174" s="300"/>
      <c r="AE1174" s="300"/>
      <c r="AF1174" s="300"/>
      <c r="AG1174" s="300"/>
      <c r="AJ1174" s="300"/>
      <c r="AK1174" s="300"/>
      <c r="AL1174" s="300"/>
      <c r="AM1174" s="300"/>
      <c r="AN1174" s="300"/>
    </row>
    <row r="1175" spans="1:59" ht="15" customHeight="1">
      <c r="A1175" s="555" t="s">
        <v>2763</v>
      </c>
      <c r="B1175" s="217" t="str">
        <f t="shared" si="1524"/>
        <v>100</v>
      </c>
      <c r="C1175" s="217" t="str">
        <f t="shared" si="1525"/>
        <v>35</v>
      </c>
      <c r="D1175" s="101" t="str">
        <f t="shared" si="1526"/>
        <v>352</v>
      </c>
      <c r="E1175" s="217" t="str">
        <f t="shared" si="1527"/>
        <v>100-35-352</v>
      </c>
      <c r="F1175" s="294" t="str">
        <f t="shared" si="1528"/>
        <v>51225</v>
      </c>
      <c r="G1175" s="295" t="str">
        <f>VLOOKUP(F1175,'GL Category'!A:C,3,FALSE)</f>
        <v>Operations &amp; maintenance</v>
      </c>
      <c r="H1175" s="98" t="str">
        <f>VLOOKUP(F1175,'GL Category'!A:C,2,FALSE)</f>
        <v>JANITORIAL SUPPLIES</v>
      </c>
      <c r="I1175" s="99">
        <f>SUMIF(Import!$B:$B,$A1175,Import!D:D)</f>
        <v>10381.81</v>
      </c>
      <c r="J1175" s="99">
        <f>SUMIF(Import!$B:$B,$A1175,Import!E:E)</f>
        <v>10339.57</v>
      </c>
      <c r="K1175" s="99">
        <f>SUMIF(Import!$B:$B,$A1175,Import!F:F)</f>
        <v>8149.21</v>
      </c>
      <c r="L1175" s="99">
        <f>SUMIF(Import!$B:$B,$A1175,Import!G:G)</f>
        <v>9293.4</v>
      </c>
      <c r="M1175" s="99">
        <f>SUMIF(Import!$B:$B,$A1175,Import!H:H)</f>
        <v>9500</v>
      </c>
      <c r="N1175" s="99">
        <f>SUMIF(Import!$B:$B,$A1175,Import!I:I)</f>
        <v>6853.86</v>
      </c>
      <c r="O1175" s="99">
        <f>SUMIF(Import!$B:$B,$A1175,Import!J:J)</f>
        <v>9500</v>
      </c>
      <c r="P1175" s="99">
        <f t="shared" si="1538"/>
        <v>0</v>
      </c>
      <c r="Q1175" s="99">
        <f>SUMIF(Import!$B:$B,$A1175,Import!K:K)</f>
        <v>9500</v>
      </c>
      <c r="R1175" s="99">
        <f>SUMIF(Import!$B:$B,$A1175,Import!L:L)</f>
        <v>0</v>
      </c>
      <c r="S1175" s="99">
        <f>SUMIF(Import!$B:$B,$A1175,Import!M:M)</f>
        <v>0</v>
      </c>
      <c r="T1175" s="99">
        <f>SUMIF(Import!$B:$B,$A1175,Import!N:N)</f>
        <v>9500</v>
      </c>
      <c r="U1175" s="99">
        <f t="shared" si="1539"/>
        <v>0</v>
      </c>
      <c r="V1175" s="255">
        <f t="shared" si="1540"/>
        <v>0</v>
      </c>
      <c r="W1175" s="102" t="s">
        <v>2763</v>
      </c>
      <c r="X1175" s="102"/>
      <c r="Y1175" s="102"/>
      <c r="AA1175" s="615"/>
      <c r="AC1175" s="300"/>
      <c r="AD1175" s="300"/>
      <c r="AE1175" s="300"/>
      <c r="AF1175" s="300"/>
      <c r="AG1175" s="300"/>
      <c r="AJ1175" s="300"/>
      <c r="AK1175" s="300"/>
      <c r="AL1175" s="300"/>
      <c r="AM1175" s="300"/>
      <c r="AN1175" s="300"/>
    </row>
    <row r="1176" spans="1:59" ht="15" customHeight="1">
      <c r="A1176" s="555" t="s">
        <v>2764</v>
      </c>
      <c r="B1176" s="217" t="str">
        <f t="shared" si="1524"/>
        <v>100</v>
      </c>
      <c r="C1176" s="217" t="str">
        <f t="shared" si="1525"/>
        <v>35</v>
      </c>
      <c r="D1176" s="101" t="str">
        <f t="shared" si="1526"/>
        <v>352</v>
      </c>
      <c r="E1176" s="217" t="str">
        <f t="shared" si="1527"/>
        <v>100-35-352</v>
      </c>
      <c r="F1176" s="294" t="str">
        <f t="shared" si="1528"/>
        <v>51245</v>
      </c>
      <c r="G1176" s="295" t="str">
        <f>VLOOKUP(F1176,'GL Category'!A:C,3,FALSE)</f>
        <v>Operations &amp; maintenance</v>
      </c>
      <c r="H1176" s="98" t="str">
        <f>VLOOKUP(F1176,'GL Category'!A:C,2,FALSE)</f>
        <v>SMALL TOOLS &amp; EQUIPMENT</v>
      </c>
      <c r="I1176" s="99">
        <f>SUMIF(Import!$B:$B,$A1176,Import!D:D)</f>
        <v>28345.41</v>
      </c>
      <c r="J1176" s="99">
        <f>SUMIF(Import!$B:$B,$A1176,Import!E:E)</f>
        <v>19210.25</v>
      </c>
      <c r="K1176" s="99">
        <f>SUMIF(Import!$B:$B,$A1176,Import!F:F)</f>
        <v>27923.33</v>
      </c>
      <c r="L1176" s="99">
        <f>SUMIF(Import!$B:$B,$A1176,Import!G:G)</f>
        <v>32695.48</v>
      </c>
      <c r="M1176" s="99">
        <f>SUMIF(Import!$B:$B,$A1176,Import!H:H)</f>
        <v>29996</v>
      </c>
      <c r="N1176" s="99">
        <f>SUMIF(Import!$B:$B,$A1176,Import!I:I)</f>
        <v>12353.81</v>
      </c>
      <c r="O1176" s="99">
        <f>SUMIF(Import!$B:$B,$A1176,Import!J:J)</f>
        <v>37996</v>
      </c>
      <c r="P1176" s="99">
        <f t="shared" si="1538"/>
        <v>8000</v>
      </c>
      <c r="Q1176" s="99">
        <f>SUMIF(Import!$B:$B,$A1176,Import!K:K)</f>
        <v>33267</v>
      </c>
      <c r="R1176" s="99">
        <f>SUMIF(Import!$B:$B,$A1176,Import!L:L)</f>
        <v>0</v>
      </c>
      <c r="S1176" s="99">
        <f>SUMIF(Import!$B:$B,$A1176,Import!M:M)</f>
        <v>0</v>
      </c>
      <c r="T1176" s="99">
        <f>SUMIF(Import!$B:$B,$A1176,Import!N:N)</f>
        <v>33267</v>
      </c>
      <c r="U1176" s="99">
        <f t="shared" si="1539"/>
        <v>3271</v>
      </c>
      <c r="V1176" s="255">
        <f t="shared" si="1540"/>
        <v>0.10904787304973995</v>
      </c>
      <c r="W1176" s="102" t="s">
        <v>2764</v>
      </c>
      <c r="X1176" s="102"/>
      <c r="Y1176" s="102"/>
      <c r="AA1176" s="615"/>
      <c r="AC1176" s="300"/>
      <c r="AD1176" s="300"/>
      <c r="AE1176" s="300"/>
      <c r="AF1176" s="300"/>
      <c r="AG1176" s="300"/>
      <c r="AJ1176" s="300"/>
      <c r="AK1176" s="300"/>
      <c r="AL1176" s="300"/>
      <c r="AM1176" s="300"/>
      <c r="AN1176" s="300"/>
    </row>
    <row r="1177" spans="1:59" s="115" customFormat="1" ht="15" customHeight="1">
      <c r="A1177" s="555" t="s">
        <v>2765</v>
      </c>
      <c r="B1177" s="217" t="str">
        <f t="shared" si="1524"/>
        <v>100</v>
      </c>
      <c r="C1177" s="217" t="str">
        <f t="shared" si="1525"/>
        <v>35</v>
      </c>
      <c r="D1177" s="101" t="str">
        <f t="shared" si="1526"/>
        <v>352</v>
      </c>
      <c r="E1177" s="217" t="str">
        <f t="shared" si="1527"/>
        <v>100-35-352</v>
      </c>
      <c r="F1177" s="294" t="str">
        <f t="shared" si="1528"/>
        <v>51255</v>
      </c>
      <c r="G1177" s="295" t="str">
        <f>VLOOKUP(F1177,'GL Category'!A:C,3,FALSE)</f>
        <v>Operations &amp; maintenance</v>
      </c>
      <c r="H1177" s="98" t="str">
        <f>VLOOKUP(F1177,'GL Category'!A:C,2,FALSE)</f>
        <v>FUEL/OILS/LUBRICANTS</v>
      </c>
      <c r="I1177" s="99">
        <f>SUMIF(Import!$B:$B,$A1177,Import!D:D)</f>
        <v>20380.259999999998</v>
      </c>
      <c r="J1177" s="99">
        <f>SUMIF(Import!$B:$B,$A1177,Import!E:E)</f>
        <v>26867.13</v>
      </c>
      <c r="K1177" s="99">
        <f>SUMIF(Import!$B:$B,$A1177,Import!F:F)</f>
        <v>44858.74</v>
      </c>
      <c r="L1177" s="99">
        <f>SUMIF(Import!$B:$B,$A1177,Import!G:G)</f>
        <v>38692.54</v>
      </c>
      <c r="M1177" s="99">
        <f>SUMIF(Import!$B:$B,$A1177,Import!H:H)</f>
        <v>42330</v>
      </c>
      <c r="N1177" s="99">
        <f>SUMIF(Import!$B:$B,$A1177,Import!I:I)</f>
        <v>30522.76</v>
      </c>
      <c r="O1177" s="99">
        <f>SUMIF(Import!$B:$B,$A1177,Import!J:J)</f>
        <v>42330</v>
      </c>
      <c r="P1177" s="99">
        <f t="shared" si="1538"/>
        <v>0</v>
      </c>
      <c r="Q1177" s="99">
        <f>SUMIF(Import!$B:$B,$A1177,Import!K:K)</f>
        <v>42330</v>
      </c>
      <c r="R1177" s="99">
        <f>SUMIF(Import!$B:$B,$A1177,Import!L:L)</f>
        <v>0</v>
      </c>
      <c r="S1177" s="99">
        <f>SUMIF(Import!$B:$B,$A1177,Import!M:M)</f>
        <v>0</v>
      </c>
      <c r="T1177" s="99">
        <f>SUMIF(Import!$B:$B,$A1177,Import!N:N)</f>
        <v>42330</v>
      </c>
      <c r="U1177" s="99">
        <f t="shared" si="1539"/>
        <v>0</v>
      </c>
      <c r="V1177" s="255">
        <f t="shared" si="1540"/>
        <v>0</v>
      </c>
      <c r="W1177" s="102" t="s">
        <v>2765</v>
      </c>
      <c r="X1177" s="102"/>
      <c r="Y1177" s="102"/>
      <c r="Z1177" s="192"/>
      <c r="AA1177" s="615"/>
      <c r="AB1177" s="307"/>
      <c r="AC1177" s="300"/>
      <c r="AD1177" s="300"/>
      <c r="AE1177" s="300"/>
      <c r="AF1177" s="300"/>
      <c r="AG1177" s="300"/>
      <c r="AH1177" s="307"/>
      <c r="AI1177" s="307"/>
      <c r="AJ1177" s="300"/>
      <c r="AK1177" s="300"/>
      <c r="AL1177" s="300"/>
      <c r="AM1177" s="300"/>
      <c r="AN1177" s="300"/>
      <c r="AO1177" s="192"/>
      <c r="AP1177" s="192"/>
      <c r="AQ1177" s="192"/>
    </row>
    <row r="1178" spans="1:59" s="115" customFormat="1" ht="15" customHeight="1">
      <c r="A1178" s="555" t="s">
        <v>2766</v>
      </c>
      <c r="B1178" s="217" t="str">
        <f t="shared" si="1524"/>
        <v>100</v>
      </c>
      <c r="C1178" s="217" t="str">
        <f t="shared" si="1525"/>
        <v>35</v>
      </c>
      <c r="D1178" s="101" t="str">
        <f t="shared" si="1526"/>
        <v>352</v>
      </c>
      <c r="E1178" s="217" t="str">
        <f t="shared" si="1527"/>
        <v>100-35-352</v>
      </c>
      <c r="F1178" s="294" t="str">
        <f t="shared" si="1528"/>
        <v>51265</v>
      </c>
      <c r="G1178" s="295" t="str">
        <f>VLOOKUP(F1178,'GL Category'!A:C,3,FALSE)</f>
        <v>Operations &amp; maintenance</v>
      </c>
      <c r="H1178" s="98" t="str">
        <f>VLOOKUP(F1178,'GL Category'!A:C,2,FALSE)</f>
        <v>STREET SIGN/SIGNAL SUPPLIES</v>
      </c>
      <c r="I1178" s="99">
        <f>SUMIF(Import!$B:$B,$A1178,Import!D:D)</f>
        <v>0</v>
      </c>
      <c r="J1178" s="99">
        <f>SUMIF(Import!$B:$B,$A1178,Import!E:E)</f>
        <v>0</v>
      </c>
      <c r="K1178" s="99">
        <f>SUMIF(Import!$B:$B,$A1178,Import!F:F)</f>
        <v>0</v>
      </c>
      <c r="L1178" s="99">
        <f>SUMIF(Import!$B:$B,$A1178,Import!G:G)</f>
        <v>0</v>
      </c>
      <c r="M1178" s="99">
        <f>SUMIF(Import!$B:$B,$A1178,Import!H:H)</f>
        <v>0</v>
      </c>
      <c r="N1178" s="99">
        <f>SUMIF(Import!$B:$B,$A1178,Import!I:I)</f>
        <v>0</v>
      </c>
      <c r="O1178" s="99">
        <f>SUMIF(Import!$B:$B,$A1178,Import!J:J)</f>
        <v>0</v>
      </c>
      <c r="P1178" s="99">
        <f t="shared" si="1538"/>
        <v>0</v>
      </c>
      <c r="Q1178" s="99">
        <f>SUMIF(Import!$B:$B,$A1178,Import!K:K)</f>
        <v>0</v>
      </c>
      <c r="R1178" s="99">
        <f>SUMIF(Import!$B:$B,$A1178,Import!L:L)</f>
        <v>0</v>
      </c>
      <c r="S1178" s="99">
        <f>SUMIF(Import!$B:$B,$A1178,Import!M:M)</f>
        <v>0</v>
      </c>
      <c r="T1178" s="99">
        <f>SUMIF(Import!$B:$B,$A1178,Import!N:N)</f>
        <v>0</v>
      </c>
      <c r="U1178" s="99">
        <f t="shared" si="1539"/>
        <v>0</v>
      </c>
      <c r="V1178" s="255" t="str">
        <f t="shared" si="1540"/>
        <v>N/A</v>
      </c>
      <c r="W1178" s="102" t="s">
        <v>2766</v>
      </c>
      <c r="X1178" s="102"/>
      <c r="Y1178" s="102"/>
      <c r="Z1178" s="192"/>
      <c r="AA1178" s="615"/>
      <c r="AB1178" s="307"/>
      <c r="AC1178" s="300"/>
      <c r="AD1178" s="300"/>
      <c r="AE1178" s="300"/>
      <c r="AF1178" s="300"/>
      <c r="AG1178" s="300"/>
      <c r="AH1178" s="307"/>
      <c r="AI1178" s="307"/>
      <c r="AJ1178" s="300"/>
      <c r="AK1178" s="300"/>
      <c r="AL1178" s="300"/>
      <c r="AM1178" s="300"/>
      <c r="AN1178" s="300"/>
      <c r="AO1178" s="192"/>
      <c r="AP1178" s="192"/>
      <c r="AQ1178" s="192"/>
    </row>
    <row r="1179" spans="1:59" s="115" customFormat="1" ht="15" customHeight="1">
      <c r="A1179" s="555" t="s">
        <v>2767</v>
      </c>
      <c r="B1179" s="217" t="str">
        <f t="shared" si="1524"/>
        <v>100</v>
      </c>
      <c r="C1179" s="217" t="str">
        <f t="shared" si="1525"/>
        <v>35</v>
      </c>
      <c r="D1179" s="101" t="str">
        <f t="shared" si="1526"/>
        <v>352</v>
      </c>
      <c r="E1179" s="217" t="str">
        <f t="shared" si="1527"/>
        <v>100-35-352</v>
      </c>
      <c r="F1179" s="294" t="str">
        <f t="shared" si="1528"/>
        <v>51270</v>
      </c>
      <c r="G1179" s="295" t="str">
        <f>VLOOKUP(F1179,'GL Category'!A:C,3,FALSE)</f>
        <v>Operations &amp; maintenance</v>
      </c>
      <c r="H1179" s="98" t="str">
        <f>VLOOKUP(F1179,'GL Category'!A:C,2,FALSE)</f>
        <v>CHEMICAL SUPPLIES</v>
      </c>
      <c r="I1179" s="99">
        <f>SUMIF(Import!$B:$B,$A1179,Import!D:D)</f>
        <v>5680.08</v>
      </c>
      <c r="J1179" s="99">
        <f>SUMIF(Import!$B:$B,$A1179,Import!E:E)</f>
        <v>4474.8999999999996</v>
      </c>
      <c r="K1179" s="99">
        <f>SUMIF(Import!$B:$B,$A1179,Import!F:F)</f>
        <v>5435.8</v>
      </c>
      <c r="L1179" s="99">
        <f>SUMIF(Import!$B:$B,$A1179,Import!G:G)</f>
        <v>7142.87</v>
      </c>
      <c r="M1179" s="99">
        <f>SUMIF(Import!$B:$B,$A1179,Import!H:H)</f>
        <v>6000</v>
      </c>
      <c r="N1179" s="99">
        <f>SUMIF(Import!$B:$B,$A1179,Import!I:I)</f>
        <v>567.36</v>
      </c>
      <c r="O1179" s="99">
        <f>SUMIF(Import!$B:$B,$A1179,Import!J:J)</f>
        <v>6000</v>
      </c>
      <c r="P1179" s="99">
        <f t="shared" si="1538"/>
        <v>0</v>
      </c>
      <c r="Q1179" s="99">
        <f>SUMIF(Import!$B:$B,$A1179,Import!K:K)</f>
        <v>6000</v>
      </c>
      <c r="R1179" s="99">
        <f>SUMIF(Import!$B:$B,$A1179,Import!L:L)</f>
        <v>0</v>
      </c>
      <c r="S1179" s="99">
        <f>SUMIF(Import!$B:$B,$A1179,Import!M:M)</f>
        <v>0</v>
      </c>
      <c r="T1179" s="99">
        <f>SUMIF(Import!$B:$B,$A1179,Import!N:N)</f>
        <v>6000</v>
      </c>
      <c r="U1179" s="99">
        <f t="shared" si="1539"/>
        <v>0</v>
      </c>
      <c r="V1179" s="255">
        <f t="shared" si="1540"/>
        <v>0</v>
      </c>
      <c r="W1179" s="102" t="s">
        <v>2767</v>
      </c>
      <c r="X1179" s="102"/>
      <c r="Y1179" s="102"/>
      <c r="Z1179" s="192"/>
      <c r="AA1179" s="615"/>
      <c r="AB1179" s="307"/>
      <c r="AC1179" s="94"/>
      <c r="AD1179" s="94"/>
      <c r="AE1179" s="94"/>
      <c r="AF1179" s="94"/>
      <c r="AG1179" s="94"/>
      <c r="AH1179" s="307"/>
      <c r="AI1179" s="307"/>
      <c r="AJ1179" s="94"/>
      <c r="AK1179" s="94"/>
      <c r="AL1179" s="94"/>
      <c r="AM1179" s="94"/>
      <c r="AN1179" s="94"/>
      <c r="AO1179" s="192"/>
      <c r="AP1179" s="192"/>
      <c r="AQ1179" s="192"/>
    </row>
    <row r="1180" spans="1:59" s="115" customFormat="1" ht="15" customHeight="1">
      <c r="A1180" s="555" t="s">
        <v>2768</v>
      </c>
      <c r="B1180" s="217" t="str">
        <f t="shared" si="1524"/>
        <v>100</v>
      </c>
      <c r="C1180" s="217" t="str">
        <f t="shared" si="1525"/>
        <v>35</v>
      </c>
      <c r="D1180" s="101" t="str">
        <f t="shared" si="1526"/>
        <v>352</v>
      </c>
      <c r="E1180" s="217" t="str">
        <f t="shared" si="1527"/>
        <v>100-35-352</v>
      </c>
      <c r="F1180" s="294" t="str">
        <f t="shared" si="1528"/>
        <v>51285</v>
      </c>
      <c r="G1180" s="295" t="str">
        <f>VLOOKUP(F1180,'GL Category'!A:C,3,FALSE)</f>
        <v>Operations &amp; maintenance</v>
      </c>
      <c r="H1180" s="98" t="str">
        <f>VLOOKUP(F1180,'GL Category'!A:C,2,FALSE)</f>
        <v>WEARING APPAREL</v>
      </c>
      <c r="I1180" s="99">
        <f>SUMIF(Import!$B:$B,$A1180,Import!D:D)</f>
        <v>32400.34</v>
      </c>
      <c r="J1180" s="99">
        <f>SUMIF(Import!$B:$B,$A1180,Import!E:E)</f>
        <v>12152.87</v>
      </c>
      <c r="K1180" s="99">
        <f>SUMIF(Import!$B:$B,$A1180,Import!F:F)</f>
        <v>22256.6</v>
      </c>
      <c r="L1180" s="99">
        <f>SUMIF(Import!$B:$B,$A1180,Import!G:G)</f>
        <v>38381.629999999997</v>
      </c>
      <c r="M1180" s="99">
        <f>SUMIF(Import!$B:$B,$A1180,Import!H:H)</f>
        <v>31310</v>
      </c>
      <c r="N1180" s="99">
        <f>SUMIF(Import!$B:$B,$A1180,Import!I:I)</f>
        <v>15093.95</v>
      </c>
      <c r="O1180" s="99">
        <f>SUMIF(Import!$B:$B,$A1180,Import!J:J)</f>
        <v>31310</v>
      </c>
      <c r="P1180" s="99">
        <f t="shared" si="1538"/>
        <v>0</v>
      </c>
      <c r="Q1180" s="99">
        <f>SUMIF(Import!$B:$B,$A1180,Import!K:K)</f>
        <v>31310</v>
      </c>
      <c r="R1180" s="99">
        <f>SUMIF(Import!$B:$B,$A1180,Import!L:L)</f>
        <v>0</v>
      </c>
      <c r="S1180" s="99">
        <f>SUMIF(Import!$B:$B,$A1180,Import!M:M)</f>
        <v>0</v>
      </c>
      <c r="T1180" s="99">
        <f>SUMIF(Import!$B:$B,$A1180,Import!N:N)</f>
        <v>31310</v>
      </c>
      <c r="U1180" s="99">
        <f t="shared" si="1539"/>
        <v>0</v>
      </c>
      <c r="V1180" s="255">
        <f t="shared" si="1540"/>
        <v>0</v>
      </c>
      <c r="W1180" s="102" t="s">
        <v>2768</v>
      </c>
      <c r="X1180" s="102"/>
      <c r="Y1180" s="102"/>
      <c r="Z1180" s="192"/>
      <c r="AA1180" s="615"/>
      <c r="AB1180" s="307"/>
      <c r="AC1180" s="93"/>
      <c r="AD1180" s="93"/>
      <c r="AE1180" s="93"/>
      <c r="AF1180" s="93"/>
      <c r="AG1180" s="93"/>
      <c r="AH1180" s="307"/>
      <c r="AI1180" s="307"/>
      <c r="AJ1180" s="93"/>
      <c r="AK1180" s="93"/>
      <c r="AL1180" s="93"/>
      <c r="AM1180" s="93"/>
      <c r="AN1180" s="93"/>
      <c r="AO1180" s="192"/>
      <c r="AP1180" s="192"/>
      <c r="AQ1180" s="192"/>
    </row>
    <row r="1181" spans="1:59" s="115" customFormat="1" ht="15" customHeight="1">
      <c r="A1181" s="555" t="s">
        <v>2769</v>
      </c>
      <c r="B1181" s="217" t="str">
        <f t="shared" si="1524"/>
        <v>100</v>
      </c>
      <c r="C1181" s="217" t="str">
        <f t="shared" si="1525"/>
        <v>35</v>
      </c>
      <c r="D1181" s="101" t="str">
        <f t="shared" si="1526"/>
        <v>352</v>
      </c>
      <c r="E1181" s="217" t="str">
        <f t="shared" si="1527"/>
        <v>100-35-352</v>
      </c>
      <c r="F1181" s="294" t="str">
        <f t="shared" si="1528"/>
        <v>51290</v>
      </c>
      <c r="G1181" s="295" t="str">
        <f>VLOOKUP(F1181,'GL Category'!A:C,3,FALSE)</f>
        <v>Operations &amp; maintenance</v>
      </c>
      <c r="H1181" s="98" t="str">
        <f>VLOOKUP(F1181,'GL Category'!A:C,2,FALSE)</f>
        <v>FIRE PROTECTIVE CLOTHING</v>
      </c>
      <c r="I1181" s="99">
        <f>SUMIF(Import!$B:$B,$A1181,Import!D:D)</f>
        <v>65772.210000000006</v>
      </c>
      <c r="J1181" s="99">
        <f>SUMIF(Import!$B:$B,$A1181,Import!E:E)</f>
        <v>-11499.29</v>
      </c>
      <c r="K1181" s="99">
        <f>SUMIF(Import!$B:$B,$A1181,Import!F:F)</f>
        <v>70833.460000000006</v>
      </c>
      <c r="L1181" s="99">
        <f>SUMIF(Import!$B:$B,$A1181,Import!G:G)</f>
        <v>67500.89</v>
      </c>
      <c r="M1181" s="99">
        <f>SUMIF(Import!$B:$B,$A1181,Import!H:H)</f>
        <v>112197</v>
      </c>
      <c r="N1181" s="99">
        <f>SUMIF(Import!$B:$B,$A1181,Import!I:I)</f>
        <v>91942.69</v>
      </c>
      <c r="O1181" s="99">
        <f>SUMIF(Import!$B:$B,$A1181,Import!J:J)</f>
        <v>112197</v>
      </c>
      <c r="P1181" s="99">
        <f t="shared" si="1538"/>
        <v>0</v>
      </c>
      <c r="Q1181" s="99">
        <f>SUMIF(Import!$B:$B,$A1181,Import!K:K)</f>
        <v>78485</v>
      </c>
      <c r="R1181" s="99">
        <f>SUMIF(Import!$B:$B,$A1181,Import!L:L)</f>
        <v>0</v>
      </c>
      <c r="S1181" s="99">
        <f>SUMIF(Import!$B:$B,$A1181,Import!M:M)</f>
        <v>0</v>
      </c>
      <c r="T1181" s="99">
        <f>SUMIF(Import!$B:$B,$A1181,Import!N:N)</f>
        <v>78485</v>
      </c>
      <c r="U1181" s="99">
        <f t="shared" si="1539"/>
        <v>-33712</v>
      </c>
      <c r="V1181" s="255">
        <f t="shared" si="1540"/>
        <v>-0.30047149210763213</v>
      </c>
      <c r="W1181" s="102" t="s">
        <v>2769</v>
      </c>
      <c r="X1181" s="102"/>
      <c r="Y1181" s="102"/>
      <c r="Z1181" s="192"/>
      <c r="AA1181" s="615"/>
      <c r="AB1181" s="307"/>
      <c r="AC1181" s="300"/>
      <c r="AD1181" s="300"/>
      <c r="AE1181" s="300"/>
      <c r="AF1181" s="300"/>
      <c r="AG1181" s="300"/>
      <c r="AH1181" s="307"/>
      <c r="AI1181" s="307"/>
      <c r="AJ1181" s="300"/>
      <c r="AK1181" s="300"/>
      <c r="AL1181" s="300"/>
      <c r="AM1181" s="300"/>
      <c r="AN1181" s="300"/>
      <c r="AO1181" s="192"/>
      <c r="AP1181" s="192"/>
      <c r="AQ1181" s="192"/>
    </row>
    <row r="1182" spans="1:59" s="115" customFormat="1" ht="15" customHeight="1">
      <c r="A1182" s="555" t="s">
        <v>2770</v>
      </c>
      <c r="B1182" s="217" t="str">
        <f t="shared" si="1524"/>
        <v>100</v>
      </c>
      <c r="C1182" s="217" t="str">
        <f t="shared" si="1525"/>
        <v>35</v>
      </c>
      <c r="D1182" s="101" t="str">
        <f t="shared" si="1526"/>
        <v>352</v>
      </c>
      <c r="E1182" s="217" t="str">
        <f t="shared" si="1527"/>
        <v>100-35-352</v>
      </c>
      <c r="F1182" s="294" t="str">
        <f t="shared" si="1528"/>
        <v>51292</v>
      </c>
      <c r="G1182" s="295" t="str">
        <f>VLOOKUP(F1182,'GL Category'!A:C,3,FALSE)</f>
        <v>Operations &amp; maintenance</v>
      </c>
      <c r="H1182" s="98" t="str">
        <f>VLOOKUP(F1182,'GL Category'!A:C,2,FALSE)</f>
        <v>TRAINING SUPPLIES</v>
      </c>
      <c r="I1182" s="99">
        <f>SUMIF(Import!$B:$B,$A1182,Import!D:D)</f>
        <v>2692.39</v>
      </c>
      <c r="J1182" s="99">
        <f>SUMIF(Import!$B:$B,$A1182,Import!E:E)</f>
        <v>2768.99</v>
      </c>
      <c r="K1182" s="99">
        <f>SUMIF(Import!$B:$B,$A1182,Import!F:F)</f>
        <v>2991.97</v>
      </c>
      <c r="L1182" s="99">
        <f>SUMIF(Import!$B:$B,$A1182,Import!G:G)</f>
        <v>7361.49</v>
      </c>
      <c r="M1182" s="99">
        <f>SUMIF(Import!$B:$B,$A1182,Import!H:H)</f>
        <v>3100</v>
      </c>
      <c r="N1182" s="99">
        <f>SUMIF(Import!$B:$B,$A1182,Import!I:I)</f>
        <v>714.32</v>
      </c>
      <c r="O1182" s="99">
        <f>SUMIF(Import!$B:$B,$A1182,Import!J:J)</f>
        <v>3100</v>
      </c>
      <c r="P1182" s="99">
        <f t="shared" si="1538"/>
        <v>0</v>
      </c>
      <c r="Q1182" s="99">
        <f>SUMIF(Import!$B:$B,$A1182,Import!K:K)</f>
        <v>3100</v>
      </c>
      <c r="R1182" s="99">
        <f>SUMIF(Import!$B:$B,$A1182,Import!L:L)</f>
        <v>0</v>
      </c>
      <c r="S1182" s="99">
        <f>SUMIF(Import!$B:$B,$A1182,Import!M:M)</f>
        <v>0</v>
      </c>
      <c r="T1182" s="99">
        <f>SUMIF(Import!$B:$B,$A1182,Import!N:N)</f>
        <v>3100</v>
      </c>
      <c r="U1182" s="99">
        <f t="shared" si="1539"/>
        <v>0</v>
      </c>
      <c r="V1182" s="255">
        <f t="shared" si="1540"/>
        <v>0</v>
      </c>
      <c r="W1182" s="102" t="s">
        <v>2770</v>
      </c>
      <c r="X1182" s="102"/>
      <c r="Y1182" s="102"/>
      <c r="Z1182" s="192"/>
      <c r="AA1182" s="615"/>
      <c r="AB1182" s="307"/>
      <c r="AC1182" s="300"/>
      <c r="AD1182" s="300"/>
      <c r="AE1182" s="300"/>
      <c r="AF1182" s="300"/>
      <c r="AG1182" s="300"/>
      <c r="AH1182" s="307"/>
      <c r="AI1182" s="307"/>
      <c r="AJ1182" s="300"/>
      <c r="AK1182" s="300"/>
      <c r="AL1182" s="300"/>
      <c r="AM1182" s="300"/>
      <c r="AN1182" s="300"/>
      <c r="AO1182" s="192"/>
      <c r="AP1182" s="192"/>
      <c r="AQ1182" s="192"/>
    </row>
    <row r="1183" spans="1:59" s="115" customFormat="1" ht="15" customHeight="1">
      <c r="A1183" s="555" t="s">
        <v>2771</v>
      </c>
      <c r="B1183" s="217" t="str">
        <f t="shared" si="1524"/>
        <v>100</v>
      </c>
      <c r="C1183" s="217" t="str">
        <f t="shared" si="1525"/>
        <v>35</v>
      </c>
      <c r="D1183" s="101" t="str">
        <f t="shared" si="1526"/>
        <v>352</v>
      </c>
      <c r="E1183" s="217" t="str">
        <f t="shared" si="1527"/>
        <v>100-35-352</v>
      </c>
      <c r="F1183" s="294" t="str">
        <f t="shared" si="1528"/>
        <v>51299</v>
      </c>
      <c r="G1183" s="295" t="str">
        <f>VLOOKUP(F1183,'GL Category'!A:C,3,FALSE)</f>
        <v>Operations &amp; maintenance</v>
      </c>
      <c r="H1183" s="98" t="str">
        <f>VLOOKUP(F1183,'GL Category'!A:C,2,FALSE)</f>
        <v>MISCELLANEOUS SUPPLIES</v>
      </c>
      <c r="I1183" s="99">
        <f>SUMIF(Import!$B:$B,$A1183,Import!D:D)</f>
        <v>4092.63</v>
      </c>
      <c r="J1183" s="99">
        <f>SUMIF(Import!$B:$B,$A1183,Import!E:E)</f>
        <v>2899.92</v>
      </c>
      <c r="K1183" s="99">
        <f>SUMIF(Import!$B:$B,$A1183,Import!F:F)</f>
        <v>4933.3500000000004</v>
      </c>
      <c r="L1183" s="99">
        <f>SUMIF(Import!$B:$B,$A1183,Import!G:G)</f>
        <v>5204.41</v>
      </c>
      <c r="M1183" s="99">
        <f>SUMIF(Import!$B:$B,$A1183,Import!H:H)</f>
        <v>4500</v>
      </c>
      <c r="N1183" s="99">
        <f>SUMIF(Import!$B:$B,$A1183,Import!I:I)</f>
        <v>4612.07</v>
      </c>
      <c r="O1183" s="99">
        <f>SUMIF(Import!$B:$B,$A1183,Import!J:J)</f>
        <v>4500</v>
      </c>
      <c r="P1183" s="99">
        <f t="shared" si="1538"/>
        <v>0</v>
      </c>
      <c r="Q1183" s="99">
        <f>SUMIF(Import!$B:$B,$A1183,Import!K:K)</f>
        <v>4500</v>
      </c>
      <c r="R1183" s="99">
        <f>SUMIF(Import!$B:$B,$A1183,Import!L:L)</f>
        <v>0</v>
      </c>
      <c r="S1183" s="99">
        <f>SUMIF(Import!$B:$B,$A1183,Import!M:M)</f>
        <v>0</v>
      </c>
      <c r="T1183" s="99">
        <f>SUMIF(Import!$B:$B,$A1183,Import!N:N)</f>
        <v>4500</v>
      </c>
      <c r="U1183" s="99">
        <f t="shared" si="1539"/>
        <v>0</v>
      </c>
      <c r="V1183" s="255">
        <f t="shared" si="1540"/>
        <v>0</v>
      </c>
      <c r="W1183" s="102" t="s">
        <v>2771</v>
      </c>
      <c r="X1183" s="102"/>
      <c r="Y1183" s="102"/>
      <c r="Z1183" s="192"/>
      <c r="AA1183" s="615"/>
      <c r="AB1183" s="307"/>
      <c r="AC1183" s="300"/>
      <c r="AD1183" s="300"/>
      <c r="AE1183" s="300"/>
      <c r="AF1183" s="300"/>
      <c r="AG1183" s="300"/>
      <c r="AH1183" s="307"/>
      <c r="AI1183" s="307"/>
      <c r="AJ1183" s="300"/>
      <c r="AK1183" s="300"/>
      <c r="AL1183" s="300"/>
      <c r="AM1183" s="300"/>
      <c r="AN1183" s="300"/>
      <c r="AO1183" s="192"/>
      <c r="AP1183" s="192"/>
      <c r="AQ1183" s="192"/>
    </row>
    <row r="1184" spans="1:59" s="115" customFormat="1" ht="15" customHeight="1">
      <c r="A1184" s="555" t="s">
        <v>2772</v>
      </c>
      <c r="B1184" s="217" t="str">
        <f t="shared" si="1524"/>
        <v>100</v>
      </c>
      <c r="C1184" s="217" t="str">
        <f t="shared" si="1525"/>
        <v>35</v>
      </c>
      <c r="D1184" s="101" t="str">
        <f t="shared" si="1526"/>
        <v>352</v>
      </c>
      <c r="E1184" s="217" t="str">
        <f t="shared" si="1527"/>
        <v>100-35-352</v>
      </c>
      <c r="F1184" s="294" t="str">
        <f t="shared" si="1528"/>
        <v>52310</v>
      </c>
      <c r="G1184" s="295" t="str">
        <f>VLOOKUP(F1184,'GL Category'!A:C,3,FALSE)</f>
        <v>Operations &amp; maintenance</v>
      </c>
      <c r="H1184" s="98" t="str">
        <f>VLOOKUP(F1184,'GL Category'!A:C,2,FALSE)</f>
        <v>BUILDING MAINTENANCE</v>
      </c>
      <c r="I1184" s="99">
        <f>SUMIF(Import!$B:$B,$A1184,Import!D:D)</f>
        <v>28618.880000000001</v>
      </c>
      <c r="J1184" s="99">
        <f>SUMIF(Import!$B:$B,$A1184,Import!E:E)</f>
        <v>223195.9</v>
      </c>
      <c r="K1184" s="99">
        <f>SUMIF(Import!$B:$B,$A1184,Import!F:F)</f>
        <v>38908.870000000003</v>
      </c>
      <c r="L1184" s="99">
        <f>SUMIF(Import!$B:$B,$A1184,Import!G:G)</f>
        <v>145365.47</v>
      </c>
      <c r="M1184" s="99">
        <f>SUMIF(Import!$B:$B,$A1184,Import!H:H)</f>
        <v>37500</v>
      </c>
      <c r="N1184" s="99">
        <f>SUMIF(Import!$B:$B,$A1184,Import!I:I)</f>
        <v>51400.89</v>
      </c>
      <c r="O1184" s="99">
        <f>SUMIF(Import!$B:$B,$A1184,Import!J:J)</f>
        <v>55000</v>
      </c>
      <c r="P1184" s="99">
        <f t="shared" si="1538"/>
        <v>17500</v>
      </c>
      <c r="Q1184" s="99">
        <f>SUMIF(Import!$B:$B,$A1184,Import!K:K)</f>
        <v>37500</v>
      </c>
      <c r="R1184" s="99">
        <f>SUMIF(Import!$B:$B,$A1184,Import!L:L)</f>
        <v>0</v>
      </c>
      <c r="S1184" s="99">
        <f>SUMIF(Import!$B:$B,$A1184,Import!M:M)</f>
        <v>0</v>
      </c>
      <c r="T1184" s="99">
        <f>SUMIF(Import!$B:$B,$A1184,Import!N:N)</f>
        <v>37500</v>
      </c>
      <c r="U1184" s="99">
        <f t="shared" si="1539"/>
        <v>0</v>
      </c>
      <c r="V1184" s="255">
        <f t="shared" si="1540"/>
        <v>0</v>
      </c>
      <c r="W1184" s="102" t="s">
        <v>2772</v>
      </c>
      <c r="X1184" s="102"/>
      <c r="Y1184" s="102"/>
      <c r="Z1184" s="192"/>
      <c r="AA1184" s="615"/>
      <c r="AB1184" s="307"/>
      <c r="AC1184" s="300"/>
      <c r="AD1184" s="300"/>
      <c r="AE1184" s="300"/>
      <c r="AF1184" s="300"/>
      <c r="AG1184" s="300"/>
      <c r="AH1184" s="307"/>
      <c r="AI1184" s="307"/>
      <c r="AJ1184" s="300"/>
      <c r="AK1184" s="300"/>
      <c r="AL1184" s="300"/>
      <c r="AM1184" s="300"/>
      <c r="AN1184" s="300"/>
      <c r="AO1184" s="192"/>
      <c r="AP1184" s="192"/>
      <c r="AQ1184" s="192"/>
    </row>
    <row r="1185" spans="1:43" s="115" customFormat="1" ht="15" customHeight="1">
      <c r="A1185" s="555" t="s">
        <v>2773</v>
      </c>
      <c r="B1185" s="217" t="str">
        <f t="shared" si="1524"/>
        <v>100</v>
      </c>
      <c r="C1185" s="217" t="str">
        <f t="shared" si="1525"/>
        <v>35</v>
      </c>
      <c r="D1185" s="101" t="str">
        <f t="shared" si="1526"/>
        <v>352</v>
      </c>
      <c r="E1185" s="217" t="str">
        <f t="shared" si="1527"/>
        <v>100-35-352</v>
      </c>
      <c r="F1185" s="294" t="str">
        <f t="shared" si="1528"/>
        <v>52435</v>
      </c>
      <c r="G1185" s="295" t="str">
        <f>VLOOKUP(F1185,'GL Category'!A:C,3,FALSE)</f>
        <v>Operations &amp; maintenance</v>
      </c>
      <c r="H1185" s="98" t="str">
        <f>VLOOKUP(F1185,'GL Category'!A:C,2,FALSE)</f>
        <v>SCBA MAINTENANCE</v>
      </c>
      <c r="I1185" s="99">
        <f>SUMIF(Import!$B:$B,$A1185,Import!D:D)</f>
        <v>39566.480000000003</v>
      </c>
      <c r="J1185" s="99">
        <f>SUMIF(Import!$B:$B,$A1185,Import!E:E)</f>
        <v>1808.95</v>
      </c>
      <c r="K1185" s="99">
        <f>SUMIF(Import!$B:$B,$A1185,Import!F:F)</f>
        <v>15202.77</v>
      </c>
      <c r="L1185" s="99">
        <f>SUMIF(Import!$B:$B,$A1185,Import!G:G)</f>
        <v>45770.7</v>
      </c>
      <c r="M1185" s="99">
        <f>SUMIF(Import!$B:$B,$A1185,Import!H:H)</f>
        <v>13500</v>
      </c>
      <c r="N1185" s="99">
        <f>SUMIF(Import!$B:$B,$A1185,Import!I:I)</f>
        <v>5695.4</v>
      </c>
      <c r="O1185" s="99">
        <f>SUMIF(Import!$B:$B,$A1185,Import!J:J)</f>
        <v>13500</v>
      </c>
      <c r="P1185" s="99">
        <f t="shared" si="1538"/>
        <v>0</v>
      </c>
      <c r="Q1185" s="99">
        <f>SUMIF(Import!$B:$B,$A1185,Import!K:K)</f>
        <v>13500</v>
      </c>
      <c r="R1185" s="99">
        <f>SUMIF(Import!$B:$B,$A1185,Import!L:L)</f>
        <v>0</v>
      </c>
      <c r="S1185" s="99">
        <f>SUMIF(Import!$B:$B,$A1185,Import!M:M)</f>
        <v>0</v>
      </c>
      <c r="T1185" s="99">
        <f>SUMIF(Import!$B:$B,$A1185,Import!N:N)</f>
        <v>13500</v>
      </c>
      <c r="U1185" s="99">
        <f t="shared" si="1539"/>
        <v>0</v>
      </c>
      <c r="V1185" s="255">
        <f t="shared" si="1540"/>
        <v>0</v>
      </c>
      <c r="W1185" s="102" t="s">
        <v>2773</v>
      </c>
      <c r="X1185" s="102"/>
      <c r="Y1185" s="102"/>
      <c r="Z1185" s="192"/>
      <c r="AA1185" s="615"/>
      <c r="AB1185" s="307"/>
      <c r="AC1185" s="300"/>
      <c r="AD1185" s="300"/>
      <c r="AE1185" s="300"/>
      <c r="AF1185" s="300"/>
      <c r="AG1185" s="300"/>
      <c r="AH1185" s="307"/>
      <c r="AI1185" s="307"/>
      <c r="AJ1185" s="300"/>
      <c r="AK1185" s="300"/>
      <c r="AL1185" s="300"/>
      <c r="AM1185" s="300"/>
      <c r="AN1185" s="300"/>
      <c r="AO1185" s="192"/>
      <c r="AP1185" s="192"/>
      <c r="AQ1185" s="192"/>
    </row>
    <row r="1186" spans="1:43" s="115" customFormat="1" ht="15" customHeight="1">
      <c r="A1186" s="555" t="s">
        <v>2774</v>
      </c>
      <c r="B1186" s="217" t="str">
        <f t="shared" si="1524"/>
        <v>100</v>
      </c>
      <c r="C1186" s="217" t="str">
        <f t="shared" si="1525"/>
        <v>35</v>
      </c>
      <c r="D1186" s="101" t="str">
        <f t="shared" si="1526"/>
        <v>352</v>
      </c>
      <c r="E1186" s="217" t="str">
        <f t="shared" si="1527"/>
        <v>100-35-352</v>
      </c>
      <c r="F1186" s="294" t="str">
        <f t="shared" si="1528"/>
        <v>52437</v>
      </c>
      <c r="G1186" s="295" t="e">
        <f>VLOOKUP(F1186,'GL Category'!A:C,3,FALSE)</f>
        <v>#N/A</v>
      </c>
      <c r="H1186" s="98" t="e">
        <f>VLOOKUP(F1186,'GL Category'!A:C,2,FALSE)</f>
        <v>#N/A</v>
      </c>
      <c r="I1186" s="99">
        <f>SUMIF(Import!$B:$B,$A1186,Import!D:D)</f>
        <v>0</v>
      </c>
      <c r="J1186" s="99">
        <f>SUMIF(Import!$B:$B,$A1186,Import!E:E)</f>
        <v>0</v>
      </c>
      <c r="K1186" s="99">
        <f>SUMIF(Import!$B:$B,$A1186,Import!F:F)</f>
        <v>0</v>
      </c>
      <c r="L1186" s="99">
        <f>SUMIF(Import!$B:$B,$A1186,Import!G:G)</f>
        <v>0</v>
      </c>
      <c r="M1186" s="99">
        <f>SUMIF(Import!$B:$B,$A1186,Import!H:H)</f>
        <v>0</v>
      </c>
      <c r="N1186" s="99">
        <f>SUMIF(Import!$B:$B,$A1186,Import!I:I)</f>
        <v>0</v>
      </c>
      <c r="O1186" s="99">
        <f>SUMIF(Import!$B:$B,$A1186,Import!J:J)</f>
        <v>0</v>
      </c>
      <c r="P1186" s="99">
        <f t="shared" si="1538"/>
        <v>0</v>
      </c>
      <c r="Q1186" s="99">
        <f>SUMIF(Import!$B:$B,$A1186,Import!K:K)</f>
        <v>0</v>
      </c>
      <c r="R1186" s="99">
        <f>SUMIF(Import!$B:$B,$A1186,Import!L:L)</f>
        <v>0</v>
      </c>
      <c r="S1186" s="99">
        <f>SUMIF(Import!$B:$B,$A1186,Import!M:M)</f>
        <v>0</v>
      </c>
      <c r="T1186" s="99">
        <f>SUMIF(Import!$B:$B,$A1186,Import!N:N)</f>
        <v>0</v>
      </c>
      <c r="U1186" s="99">
        <f t="shared" si="1539"/>
        <v>0</v>
      </c>
      <c r="V1186" s="255" t="str">
        <f t="shared" si="1540"/>
        <v>N/A</v>
      </c>
      <c r="W1186" s="102" t="s">
        <v>2774</v>
      </c>
      <c r="X1186" s="102"/>
      <c r="Y1186" s="102"/>
      <c r="Z1186" s="192"/>
      <c r="AA1186" s="615"/>
      <c r="AB1186" s="307"/>
      <c r="AC1186" s="300"/>
      <c r="AD1186" s="300"/>
      <c r="AE1186" s="300"/>
      <c r="AF1186" s="300"/>
      <c r="AG1186" s="300"/>
      <c r="AH1186" s="307"/>
      <c r="AI1186" s="307"/>
      <c r="AJ1186" s="300"/>
      <c r="AK1186" s="300"/>
      <c r="AL1186" s="300"/>
      <c r="AM1186" s="300"/>
      <c r="AN1186" s="300"/>
      <c r="AO1186" s="192"/>
      <c r="AP1186" s="192"/>
      <c r="AQ1186" s="192"/>
    </row>
    <row r="1187" spans="1:43" s="115" customFormat="1" ht="15" customHeight="1">
      <c r="A1187" s="555" t="s">
        <v>2775</v>
      </c>
      <c r="B1187" s="217" t="str">
        <f t="shared" si="1524"/>
        <v>100</v>
      </c>
      <c r="C1187" s="217" t="str">
        <f t="shared" si="1525"/>
        <v>35</v>
      </c>
      <c r="D1187" s="101" t="str">
        <f t="shared" si="1526"/>
        <v>352</v>
      </c>
      <c r="E1187" s="217" t="str">
        <f t="shared" si="1527"/>
        <v>100-35-352</v>
      </c>
      <c r="F1187" s="294" t="str">
        <f t="shared" si="1528"/>
        <v>52440</v>
      </c>
      <c r="G1187" s="295" t="str">
        <f>VLOOKUP(F1187,'GL Category'!A:C,3,FALSE)</f>
        <v>Operations &amp; maintenance</v>
      </c>
      <c r="H1187" s="98" t="str">
        <f>VLOOKUP(F1187,'GL Category'!A:C,2,FALSE)</f>
        <v>RADIO MAINTENANCE</v>
      </c>
      <c r="I1187" s="99">
        <f>SUMIF(Import!$B:$B,$A1187,Import!D:D)</f>
        <v>9191.0300000000007</v>
      </c>
      <c r="J1187" s="99">
        <f>SUMIF(Import!$B:$B,$A1187,Import!E:E)</f>
        <v>9003.93</v>
      </c>
      <c r="K1187" s="99">
        <f>SUMIF(Import!$B:$B,$A1187,Import!F:F)</f>
        <v>8530.0300000000007</v>
      </c>
      <c r="L1187" s="99">
        <f>SUMIF(Import!$B:$B,$A1187,Import!G:G)</f>
        <v>8700.67</v>
      </c>
      <c r="M1187" s="99">
        <f>SUMIF(Import!$B:$B,$A1187,Import!H:H)</f>
        <v>22000</v>
      </c>
      <c r="N1187" s="99">
        <f>SUMIF(Import!$B:$B,$A1187,Import!I:I)</f>
        <v>27090.2</v>
      </c>
      <c r="O1187" s="99">
        <f>SUMIF(Import!$B:$B,$A1187,Import!J:J)</f>
        <v>27650</v>
      </c>
      <c r="P1187" s="99">
        <f t="shared" si="1538"/>
        <v>5650</v>
      </c>
      <c r="Q1187" s="99">
        <f>SUMIF(Import!$B:$B,$A1187,Import!K:K)</f>
        <v>7000</v>
      </c>
      <c r="R1187" s="99">
        <f>SUMIF(Import!$B:$B,$A1187,Import!L:L)</f>
        <v>16602</v>
      </c>
      <c r="S1187" s="99">
        <f>SUMIF(Import!$B:$B,$A1187,Import!M:M)</f>
        <v>0</v>
      </c>
      <c r="T1187" s="99">
        <f>SUMIF(Import!$B:$B,$A1187,Import!N:N)</f>
        <v>23602</v>
      </c>
      <c r="U1187" s="99">
        <f t="shared" si="1539"/>
        <v>1602</v>
      </c>
      <c r="V1187" s="255">
        <f t="shared" si="1540"/>
        <v>7.2818181818181893E-2</v>
      </c>
      <c r="W1187" s="102" t="s">
        <v>2775</v>
      </c>
      <c r="X1187" s="102"/>
      <c r="Y1187" s="102"/>
      <c r="Z1187" s="192"/>
      <c r="AA1187" s="615"/>
      <c r="AB1187" s="307"/>
      <c r="AC1187" s="93"/>
      <c r="AD1187" s="93"/>
      <c r="AE1187" s="93"/>
      <c r="AF1187" s="93"/>
      <c r="AG1187" s="93"/>
      <c r="AH1187" s="307"/>
      <c r="AI1187" s="307"/>
      <c r="AJ1187" s="93"/>
      <c r="AK1187" s="93"/>
      <c r="AL1187" s="93"/>
      <c r="AM1187" s="93"/>
      <c r="AN1187" s="93"/>
      <c r="AO1187" s="192"/>
      <c r="AP1187" s="192"/>
      <c r="AQ1187" s="192"/>
    </row>
    <row r="1188" spans="1:43" s="115" customFormat="1" ht="15" customHeight="1">
      <c r="A1188" s="555" t="s">
        <v>2776</v>
      </c>
      <c r="B1188" s="217" t="str">
        <f t="shared" si="1524"/>
        <v>100</v>
      </c>
      <c r="C1188" s="217" t="str">
        <f t="shared" si="1525"/>
        <v>35</v>
      </c>
      <c r="D1188" s="101" t="str">
        <f t="shared" si="1526"/>
        <v>352</v>
      </c>
      <c r="E1188" s="217" t="str">
        <f t="shared" si="1527"/>
        <v>100-35-352</v>
      </c>
      <c r="F1188" s="294" t="str">
        <f t="shared" si="1528"/>
        <v>52460</v>
      </c>
      <c r="G1188" s="295" t="str">
        <f>VLOOKUP(F1188,'GL Category'!A:C,3,FALSE)</f>
        <v>Operations &amp; maintenance</v>
      </c>
      <c r="H1188" s="98" t="str">
        <f>VLOOKUP(F1188,'GL Category'!A:C,2,FALSE)</f>
        <v>VEHICLE MAINTENANCE</v>
      </c>
      <c r="I1188" s="99">
        <f>SUMIF(Import!$B:$B,$A1188,Import!D:D)</f>
        <v>179155.08</v>
      </c>
      <c r="J1188" s="99">
        <f>SUMIF(Import!$B:$B,$A1188,Import!E:E)</f>
        <v>176214.79</v>
      </c>
      <c r="K1188" s="99">
        <f>SUMIF(Import!$B:$B,$A1188,Import!F:F)</f>
        <v>199376.62</v>
      </c>
      <c r="L1188" s="99">
        <f>SUMIF(Import!$B:$B,$A1188,Import!G:G)</f>
        <v>154829.31</v>
      </c>
      <c r="M1188" s="99">
        <f>SUMIF(Import!$B:$B,$A1188,Import!H:H)</f>
        <v>284138</v>
      </c>
      <c r="N1188" s="99">
        <f>SUMIF(Import!$B:$B,$A1188,Import!I:I)</f>
        <v>221987.78</v>
      </c>
      <c r="O1188" s="99">
        <f>SUMIF(Import!$B:$B,$A1188,Import!J:J)</f>
        <v>292138</v>
      </c>
      <c r="P1188" s="99">
        <f t="shared" si="1538"/>
        <v>8000</v>
      </c>
      <c r="Q1188" s="99">
        <f>SUMIF(Import!$B:$B,$A1188,Import!K:K)</f>
        <v>159138</v>
      </c>
      <c r="R1188" s="99">
        <f>SUMIF(Import!$B:$B,$A1188,Import!L:L)</f>
        <v>0</v>
      </c>
      <c r="S1188" s="99">
        <f>SUMIF(Import!$B:$B,$A1188,Import!M:M)</f>
        <v>0</v>
      </c>
      <c r="T1188" s="99">
        <f>SUMIF(Import!$B:$B,$A1188,Import!N:N)</f>
        <v>159138</v>
      </c>
      <c r="U1188" s="99">
        <f t="shared" si="1539"/>
        <v>-125000</v>
      </c>
      <c r="V1188" s="255">
        <f t="shared" si="1540"/>
        <v>-0.43992707768760253</v>
      </c>
      <c r="W1188" s="102" t="s">
        <v>2776</v>
      </c>
      <c r="X1188" s="102"/>
      <c r="Y1188" s="102"/>
      <c r="Z1188" s="192"/>
      <c r="AA1188" s="615"/>
      <c r="AB1188" s="307"/>
      <c r="AC1188" s="300"/>
      <c r="AD1188" s="300"/>
      <c r="AE1188" s="300"/>
      <c r="AF1188" s="300"/>
      <c r="AG1188" s="300"/>
      <c r="AH1188" s="307"/>
      <c r="AI1188" s="307"/>
      <c r="AJ1188" s="300"/>
      <c r="AK1188" s="300"/>
      <c r="AL1188" s="300"/>
      <c r="AM1188" s="300"/>
      <c r="AN1188" s="300"/>
      <c r="AO1188" s="192"/>
      <c r="AP1188" s="192"/>
      <c r="AQ1188" s="192"/>
    </row>
    <row r="1189" spans="1:43" s="115" customFormat="1" ht="15" customHeight="1">
      <c r="A1189" s="555" t="s">
        <v>2777</v>
      </c>
      <c r="B1189" s="217" t="str">
        <f t="shared" si="1524"/>
        <v>100</v>
      </c>
      <c r="C1189" s="217" t="str">
        <f t="shared" si="1525"/>
        <v>35</v>
      </c>
      <c r="D1189" s="101" t="str">
        <f t="shared" si="1526"/>
        <v>352</v>
      </c>
      <c r="E1189" s="217" t="str">
        <f t="shared" si="1527"/>
        <v>100-35-352</v>
      </c>
      <c r="F1189" s="294" t="str">
        <f t="shared" si="1528"/>
        <v>52470</v>
      </c>
      <c r="G1189" s="295" t="str">
        <f>VLOOKUP(F1189,'GL Category'!A:C,3,FALSE)</f>
        <v>Operations &amp; maintenance</v>
      </c>
      <c r="H1189" s="98" t="str">
        <f>VLOOKUP(F1189,'GL Category'!A:C,2,FALSE)</f>
        <v>EQUIPMENT MAINTENANCE</v>
      </c>
      <c r="I1189" s="99">
        <f>SUMIF(Import!$B:$B,$A1189,Import!D:D)</f>
        <v>19820.55</v>
      </c>
      <c r="J1189" s="99">
        <f>SUMIF(Import!$B:$B,$A1189,Import!E:E)</f>
        <v>16533.259999999998</v>
      </c>
      <c r="K1189" s="99">
        <f>SUMIF(Import!$B:$B,$A1189,Import!F:F)</f>
        <v>16231.49</v>
      </c>
      <c r="L1189" s="99">
        <f>SUMIF(Import!$B:$B,$A1189,Import!G:G)</f>
        <v>18946.29</v>
      </c>
      <c r="M1189" s="99">
        <f>SUMIF(Import!$B:$B,$A1189,Import!H:H)</f>
        <v>21225</v>
      </c>
      <c r="N1189" s="99">
        <f>SUMIF(Import!$B:$B,$A1189,Import!I:I)</f>
        <v>5957.26</v>
      </c>
      <c r="O1189" s="99">
        <f>SUMIF(Import!$B:$B,$A1189,Import!J:J)</f>
        <v>21225</v>
      </c>
      <c r="P1189" s="99">
        <f t="shared" si="1538"/>
        <v>0</v>
      </c>
      <c r="Q1189" s="99">
        <f>SUMIF(Import!$B:$B,$A1189,Import!K:K)</f>
        <v>21225</v>
      </c>
      <c r="R1189" s="99">
        <f>SUMIF(Import!$B:$B,$A1189,Import!L:L)</f>
        <v>11000</v>
      </c>
      <c r="S1189" s="99">
        <f>SUMIF(Import!$B:$B,$A1189,Import!M:M)</f>
        <v>0</v>
      </c>
      <c r="T1189" s="99">
        <f>SUMIF(Import!$B:$B,$A1189,Import!N:N)</f>
        <v>32225</v>
      </c>
      <c r="U1189" s="99">
        <f t="shared" si="1539"/>
        <v>11000</v>
      </c>
      <c r="V1189" s="255">
        <f t="shared" si="1540"/>
        <v>0.51825677267373371</v>
      </c>
      <c r="W1189" s="102" t="s">
        <v>2777</v>
      </c>
      <c r="X1189" s="102"/>
      <c r="Y1189" s="102"/>
      <c r="Z1189" s="192"/>
      <c r="AA1189" s="615"/>
      <c r="AB1189" s="307"/>
      <c r="AC1189" s="300"/>
      <c r="AD1189" s="300"/>
      <c r="AE1189" s="300"/>
      <c r="AF1189" s="300"/>
      <c r="AG1189" s="300"/>
      <c r="AH1189" s="307"/>
      <c r="AI1189" s="307"/>
      <c r="AJ1189" s="300"/>
      <c r="AK1189" s="300"/>
      <c r="AL1189" s="300"/>
      <c r="AM1189" s="300"/>
      <c r="AN1189" s="300"/>
      <c r="AO1189" s="192"/>
      <c r="AP1189" s="192"/>
      <c r="AQ1189" s="192"/>
    </row>
    <row r="1190" spans="1:43" s="115" customFormat="1" ht="15" customHeight="1">
      <c r="A1190" s="555" t="s">
        <v>2778</v>
      </c>
      <c r="B1190" s="217" t="str">
        <f t="shared" si="1524"/>
        <v>100</v>
      </c>
      <c r="C1190" s="217" t="str">
        <f t="shared" si="1525"/>
        <v>35</v>
      </c>
      <c r="D1190" s="101" t="str">
        <f t="shared" si="1526"/>
        <v>352</v>
      </c>
      <c r="E1190" s="217" t="str">
        <f t="shared" si="1527"/>
        <v>100-35-352</v>
      </c>
      <c r="F1190" s="294" t="str">
        <f t="shared" si="1528"/>
        <v>52490</v>
      </c>
      <c r="G1190" s="295" t="str">
        <f>VLOOKUP(F1190,'GL Category'!A:C,3,FALSE)</f>
        <v>Operations &amp; maintenance</v>
      </c>
      <c r="H1190" s="98" t="str">
        <f>VLOOKUP(F1190,'GL Category'!A:C,2,FALSE)</f>
        <v>A/C &amp; HEATING MAINTENANCE</v>
      </c>
      <c r="I1190" s="99">
        <f>SUMIF(Import!$B:$B,$A1190,Import!D:D)</f>
        <v>6374.63</v>
      </c>
      <c r="J1190" s="99">
        <f>SUMIF(Import!$B:$B,$A1190,Import!E:E)</f>
        <v>6782.5</v>
      </c>
      <c r="K1190" s="99">
        <f>SUMIF(Import!$B:$B,$A1190,Import!F:F)</f>
        <v>14027.06</v>
      </c>
      <c r="L1190" s="99">
        <f>SUMIF(Import!$B:$B,$A1190,Import!G:G)</f>
        <v>16558.61</v>
      </c>
      <c r="M1190" s="99">
        <f>SUMIF(Import!$B:$B,$A1190,Import!H:H)</f>
        <v>10005</v>
      </c>
      <c r="N1190" s="99">
        <f>SUMIF(Import!$B:$B,$A1190,Import!I:I)</f>
        <v>8963.01</v>
      </c>
      <c r="O1190" s="99">
        <f>SUMIF(Import!$B:$B,$A1190,Import!J:J)</f>
        <v>10005</v>
      </c>
      <c r="P1190" s="99">
        <f t="shared" si="1538"/>
        <v>0</v>
      </c>
      <c r="Q1190" s="99">
        <f>SUMIF(Import!$B:$B,$A1190,Import!K:K)</f>
        <v>10005</v>
      </c>
      <c r="R1190" s="99">
        <f>SUMIF(Import!$B:$B,$A1190,Import!L:L)</f>
        <v>0</v>
      </c>
      <c r="S1190" s="99">
        <f>SUMIF(Import!$B:$B,$A1190,Import!M:M)</f>
        <v>0</v>
      </c>
      <c r="T1190" s="99">
        <f>SUMIF(Import!$B:$B,$A1190,Import!N:N)</f>
        <v>10005</v>
      </c>
      <c r="U1190" s="99">
        <f t="shared" si="1539"/>
        <v>0</v>
      </c>
      <c r="V1190" s="255">
        <f t="shared" si="1540"/>
        <v>0</v>
      </c>
      <c r="W1190" s="102" t="s">
        <v>2778</v>
      </c>
      <c r="X1190" s="102"/>
      <c r="Y1190" s="102"/>
      <c r="Z1190" s="192"/>
      <c r="AA1190" s="615"/>
      <c r="AB1190" s="307"/>
      <c r="AC1190" s="300"/>
      <c r="AD1190" s="300"/>
      <c r="AE1190" s="300"/>
      <c r="AF1190" s="300"/>
      <c r="AG1190" s="300"/>
      <c r="AH1190" s="307"/>
      <c r="AI1190" s="307"/>
      <c r="AJ1190" s="300"/>
      <c r="AK1190" s="300"/>
      <c r="AL1190" s="300"/>
      <c r="AM1190" s="300"/>
      <c r="AN1190" s="300"/>
      <c r="AO1190" s="192"/>
      <c r="AP1190" s="192"/>
      <c r="AQ1190" s="192"/>
    </row>
    <row r="1191" spans="1:43" s="115" customFormat="1" ht="29.1" customHeight="1">
      <c r="A1191" s="555">
        <v>0</v>
      </c>
      <c r="B1191" s="217" t="str">
        <f t="shared" si="1524"/>
        <v>0</v>
      </c>
      <c r="C1191" s="217" t="str">
        <f t="shared" si="1525"/>
        <v/>
      </c>
      <c r="D1191" s="101" t="str">
        <f t="shared" si="1526"/>
        <v/>
      </c>
      <c r="E1191" s="217" t="str">
        <f t="shared" si="1527"/>
        <v>0</v>
      </c>
      <c r="F1191" s="294" t="str">
        <f t="shared" si="1528"/>
        <v>0</v>
      </c>
      <c r="G1191" s="295"/>
      <c r="H1191" s="107" t="str">
        <f>UPPER(G1190)&amp;" TOTAL"</f>
        <v>OPERATIONS &amp; MAINTENANCE TOTAL</v>
      </c>
      <c r="I1191" s="109">
        <f t="shared" ref="I1191" si="1541">SUBTOTAL(9,I1174:I1190)</f>
        <v>452471.77999999997</v>
      </c>
      <c r="J1191" s="109">
        <f t="shared" ref="J1191:T1191" si="1542">SUBTOTAL(9,J1174:J1190)</f>
        <v>500753.67000000004</v>
      </c>
      <c r="K1191" s="109">
        <f t="shared" ref="K1191" si="1543">SUBTOTAL(9,K1174:K1190)</f>
        <v>479659.3</v>
      </c>
      <c r="L1191" s="109">
        <f t="shared" ref="L1191" si="1544">SUBTOTAL(9,L1174:L1190)</f>
        <v>596443.76</v>
      </c>
      <c r="M1191" s="109">
        <f t="shared" si="1542"/>
        <v>627301</v>
      </c>
      <c r="N1191" s="109">
        <f t="shared" ref="N1191" si="1545">SUBTOTAL(9,N1174:N1190)</f>
        <v>483755.36000000004</v>
      </c>
      <c r="O1191" s="109">
        <f t="shared" si="1542"/>
        <v>666451</v>
      </c>
      <c r="P1191" s="109">
        <f t="shared" si="1542"/>
        <v>39150</v>
      </c>
      <c r="Q1191" s="109">
        <f t="shared" si="1542"/>
        <v>456860</v>
      </c>
      <c r="R1191" s="109">
        <f t="shared" si="1542"/>
        <v>27602</v>
      </c>
      <c r="S1191" s="109">
        <f t="shared" si="1542"/>
        <v>0</v>
      </c>
      <c r="T1191" s="109">
        <f t="shared" si="1542"/>
        <v>484462</v>
      </c>
      <c r="U1191" s="99">
        <f>T1191-M1191</f>
        <v>-142839</v>
      </c>
      <c r="V1191" s="255">
        <f>IF(M1191=0,"N/A",T1191/M1191-1)</f>
        <v>-0.22770408464198211</v>
      </c>
      <c r="W1191" s="102"/>
      <c r="X1191" s="102"/>
      <c r="Y1191" s="102"/>
      <c r="Z1191" s="192"/>
      <c r="AA1191" s="615"/>
      <c r="AB1191" s="307"/>
      <c r="AC1191" s="300"/>
      <c r="AD1191" s="300"/>
      <c r="AE1191" s="300"/>
      <c r="AF1191" s="300"/>
      <c r="AG1191" s="300"/>
      <c r="AH1191" s="307"/>
      <c r="AI1191" s="307"/>
      <c r="AJ1191" s="300"/>
      <c r="AK1191" s="300"/>
      <c r="AL1191" s="300"/>
      <c r="AM1191" s="300"/>
      <c r="AN1191" s="300"/>
      <c r="AO1191" s="192"/>
      <c r="AP1191" s="192"/>
      <c r="AQ1191" s="192"/>
    </row>
    <row r="1192" spans="1:43" s="115" customFormat="1" ht="15" customHeight="1">
      <c r="A1192" s="555">
        <v>0</v>
      </c>
      <c r="B1192" s="217" t="str">
        <f t="shared" si="1524"/>
        <v>0</v>
      </c>
      <c r="C1192" s="217" t="str">
        <f t="shared" si="1525"/>
        <v/>
      </c>
      <c r="D1192" s="101" t="str">
        <f t="shared" si="1526"/>
        <v/>
      </c>
      <c r="E1192" s="217" t="str">
        <f t="shared" si="1527"/>
        <v>0</v>
      </c>
      <c r="F1192" s="294" t="str">
        <f t="shared" si="1528"/>
        <v>0</v>
      </c>
      <c r="G1192" s="295"/>
      <c r="H1192" s="98"/>
      <c r="I1192" s="106"/>
      <c r="J1192" s="106"/>
      <c r="K1192" s="106"/>
      <c r="L1192" s="106"/>
      <c r="M1192" s="106"/>
      <c r="N1192" s="112"/>
      <c r="O1192" s="112"/>
      <c r="P1192" s="112"/>
      <c r="Q1192" s="113"/>
      <c r="R1192" s="113"/>
      <c r="S1192" s="113"/>
      <c r="T1192" s="113"/>
      <c r="U1192" s="99"/>
      <c r="V1192" s="255"/>
      <c r="W1192" s="102"/>
      <c r="X1192" s="102"/>
      <c r="Y1192" s="102"/>
      <c r="Z1192" s="192"/>
      <c r="AA1192" s="615"/>
      <c r="AB1192" s="307"/>
      <c r="AC1192" s="300"/>
      <c r="AD1192" s="300"/>
      <c r="AE1192" s="300"/>
      <c r="AF1192" s="300"/>
      <c r="AG1192" s="300"/>
      <c r="AH1192" s="307"/>
      <c r="AI1192" s="307"/>
      <c r="AJ1192" s="300"/>
      <c r="AK1192" s="300"/>
      <c r="AL1192" s="300"/>
      <c r="AM1192" s="300"/>
      <c r="AN1192" s="300"/>
      <c r="AO1192" s="192"/>
      <c r="AP1192" s="192"/>
      <c r="AQ1192" s="192"/>
    </row>
    <row r="1193" spans="1:43" s="115" customFormat="1" ht="15" customHeight="1">
      <c r="A1193" s="555" t="s">
        <v>2780</v>
      </c>
      <c r="B1193" s="217" t="str">
        <f t="shared" si="1524"/>
        <v>100</v>
      </c>
      <c r="C1193" s="217" t="str">
        <f t="shared" si="1525"/>
        <v>35</v>
      </c>
      <c r="D1193" s="101" t="str">
        <f t="shared" si="1526"/>
        <v>352</v>
      </c>
      <c r="E1193" s="217" t="str">
        <f t="shared" si="1527"/>
        <v>100-35-352</v>
      </c>
      <c r="F1193" s="294" t="str">
        <f t="shared" si="1528"/>
        <v>53510</v>
      </c>
      <c r="G1193" s="295" t="str">
        <f>VLOOKUP(F1193,'GL Category'!A:C,3,FALSE)</f>
        <v>Services &amp; other</v>
      </c>
      <c r="H1193" s="98" t="str">
        <f>VLOOKUP(F1193,'GL Category'!A:C,2,FALSE)</f>
        <v>DUES &amp; SUBSCRIPTIONS</v>
      </c>
      <c r="I1193" s="99">
        <f>SUMIF(Import!$B:$B,$A1193,Import!D:D)</f>
        <v>5601.47</v>
      </c>
      <c r="J1193" s="99">
        <f>SUMIF(Import!$B:$B,$A1193,Import!E:E)</f>
        <v>5969.31</v>
      </c>
      <c r="K1193" s="99">
        <f>SUMIF(Import!$B:$B,$A1193,Import!F:F)</f>
        <v>5929.39</v>
      </c>
      <c r="L1193" s="99">
        <f>SUMIF(Import!$B:$B,$A1193,Import!G:G)</f>
        <v>7513.04</v>
      </c>
      <c r="M1193" s="99">
        <f>SUMIF(Import!$B:$B,$A1193,Import!H:H)</f>
        <v>8090</v>
      </c>
      <c r="N1193" s="99">
        <f>SUMIF(Import!$B:$B,$A1193,Import!I:I)</f>
        <v>9622.59</v>
      </c>
      <c r="O1193" s="99">
        <f>SUMIF(Import!$B:$B,$A1193,Import!J:J)</f>
        <v>9700</v>
      </c>
      <c r="P1193" s="99">
        <f t="shared" ref="P1193:P1203" si="1546">O1193-M1193</f>
        <v>1610</v>
      </c>
      <c r="Q1193" s="99">
        <f>SUMIF(Import!$B:$B,$A1193,Import!K:K)</f>
        <v>8090</v>
      </c>
      <c r="R1193" s="99">
        <f>SUMIF(Import!$B:$B,$A1193,Import!L:L)</f>
        <v>0</v>
      </c>
      <c r="S1193" s="99">
        <f>SUMIF(Import!$B:$B,$A1193,Import!M:M)</f>
        <v>0</v>
      </c>
      <c r="T1193" s="99">
        <f>SUMIF(Import!$B:$B,$A1193,Import!N:N)</f>
        <v>8090</v>
      </c>
      <c r="U1193" s="99">
        <f t="shared" ref="U1193:U1203" si="1547">T1193-M1193</f>
        <v>0</v>
      </c>
      <c r="V1193" s="255">
        <f t="shared" ref="V1193:V1203" si="1548">IF(M1193=0,"N/A",T1193/M1193-1)</f>
        <v>0</v>
      </c>
      <c r="W1193" s="102" t="s">
        <v>2780</v>
      </c>
      <c r="X1193" s="102"/>
      <c r="Y1193" s="102"/>
      <c r="Z1193" s="192"/>
      <c r="AA1193" s="615"/>
      <c r="AB1193" s="307"/>
      <c r="AC1193" s="300"/>
      <c r="AD1193" s="300"/>
      <c r="AE1193" s="300"/>
      <c r="AF1193" s="300"/>
      <c r="AG1193" s="300"/>
      <c r="AH1193" s="307"/>
      <c r="AI1193" s="307"/>
      <c r="AJ1193" s="300"/>
      <c r="AK1193" s="300"/>
      <c r="AL1193" s="300"/>
      <c r="AM1193" s="300"/>
      <c r="AN1193" s="300"/>
      <c r="AO1193" s="192"/>
      <c r="AP1193" s="192"/>
      <c r="AQ1193" s="192"/>
    </row>
    <row r="1194" spans="1:43" s="115" customFormat="1" ht="15" customHeight="1">
      <c r="A1194" s="555" t="s">
        <v>2781</v>
      </c>
      <c r="B1194" s="217" t="str">
        <f t="shared" si="1524"/>
        <v>100</v>
      </c>
      <c r="C1194" s="217" t="str">
        <f t="shared" si="1525"/>
        <v>35</v>
      </c>
      <c r="D1194" s="101" t="str">
        <f t="shared" si="1526"/>
        <v>352</v>
      </c>
      <c r="E1194" s="217" t="str">
        <f t="shared" si="1527"/>
        <v>100-35-352</v>
      </c>
      <c r="F1194" s="294" t="str">
        <f t="shared" si="1528"/>
        <v>53515</v>
      </c>
      <c r="G1194" s="295" t="str">
        <f>VLOOKUP(F1194,'GL Category'!A:C,3,FALSE)</f>
        <v>Services &amp; other</v>
      </c>
      <c r="H1194" s="98" t="str">
        <f>VLOOKUP(F1194,'GL Category'!A:C,2,FALSE)</f>
        <v>TRAVEL, TRAINING &amp; EDUCATION</v>
      </c>
      <c r="I1194" s="99">
        <f>SUMIF(Import!$B:$B,$A1194,Import!D:D)</f>
        <v>15268.8</v>
      </c>
      <c r="J1194" s="99">
        <f>SUMIF(Import!$B:$B,$A1194,Import!E:E)</f>
        <v>14494.13</v>
      </c>
      <c r="K1194" s="99">
        <f>SUMIF(Import!$B:$B,$A1194,Import!F:F)</f>
        <v>18568.189999999999</v>
      </c>
      <c r="L1194" s="99">
        <f>SUMIF(Import!$B:$B,$A1194,Import!G:G)</f>
        <v>23579.59</v>
      </c>
      <c r="M1194" s="99">
        <f>SUMIF(Import!$B:$B,$A1194,Import!H:H)</f>
        <v>23965</v>
      </c>
      <c r="N1194" s="99">
        <f>SUMIF(Import!$B:$B,$A1194,Import!I:I)</f>
        <v>17184.32</v>
      </c>
      <c r="O1194" s="99">
        <f>SUMIF(Import!$B:$B,$A1194,Import!J:J)</f>
        <v>33965</v>
      </c>
      <c r="P1194" s="99">
        <f t="shared" si="1546"/>
        <v>10000</v>
      </c>
      <c r="Q1194" s="99">
        <f>SUMIF(Import!$B:$B,$A1194,Import!K:K)</f>
        <v>33965</v>
      </c>
      <c r="R1194" s="99">
        <f>SUMIF(Import!$B:$B,$A1194,Import!L:L)</f>
        <v>0</v>
      </c>
      <c r="S1194" s="99">
        <f>SUMIF(Import!$B:$B,$A1194,Import!M:M)</f>
        <v>0</v>
      </c>
      <c r="T1194" s="99">
        <f>SUMIF(Import!$B:$B,$A1194,Import!N:N)</f>
        <v>33965</v>
      </c>
      <c r="U1194" s="99">
        <f t="shared" si="1547"/>
        <v>10000</v>
      </c>
      <c r="V1194" s="255">
        <f t="shared" si="1548"/>
        <v>0.41727519298977667</v>
      </c>
      <c r="W1194" s="102" t="s">
        <v>2781</v>
      </c>
      <c r="X1194" s="102"/>
      <c r="Y1194" s="102"/>
      <c r="Z1194" s="192"/>
      <c r="AA1194" s="615"/>
      <c r="AB1194" s="307"/>
      <c r="AC1194" s="300"/>
      <c r="AD1194" s="300"/>
      <c r="AE1194" s="300"/>
      <c r="AF1194" s="300"/>
      <c r="AG1194" s="300"/>
      <c r="AH1194" s="307"/>
      <c r="AI1194" s="307"/>
      <c r="AJ1194" s="300"/>
      <c r="AK1194" s="300"/>
      <c r="AL1194" s="300"/>
      <c r="AM1194" s="300"/>
      <c r="AN1194" s="300"/>
      <c r="AO1194" s="192"/>
      <c r="AP1194" s="192"/>
      <c r="AQ1194" s="192"/>
    </row>
    <row r="1195" spans="1:43" s="115" customFormat="1" ht="15" customHeight="1">
      <c r="A1195" s="555" t="s">
        <v>3356</v>
      </c>
      <c r="B1195" s="217" t="str">
        <f t="shared" si="1524"/>
        <v>100</v>
      </c>
      <c r="C1195" s="217" t="str">
        <f t="shared" si="1525"/>
        <v>35</v>
      </c>
      <c r="D1195" s="101" t="str">
        <f t="shared" si="1526"/>
        <v>352</v>
      </c>
      <c r="E1195" s="217" t="str">
        <f t="shared" si="1527"/>
        <v>100-35-352</v>
      </c>
      <c r="F1195" s="294" t="str">
        <f t="shared" si="1528"/>
        <v>53517</v>
      </c>
      <c r="G1195" s="295" t="str">
        <f>VLOOKUP(F1195,'GL Category'!A:C,3,FALSE)</f>
        <v>Services &amp; other</v>
      </c>
      <c r="H1195" s="98" t="str">
        <f>VLOOKUP(F1195,'GL Category'!A:C,2,FALSE)</f>
        <v>MEDICAL SERVICES</v>
      </c>
      <c r="I1195" s="99">
        <f>SUMIF(Import!$B:$B,$A1195,Import!D:D)</f>
        <v>0</v>
      </c>
      <c r="J1195" s="99">
        <f>SUMIF(Import!$B:$B,$A1195,Import!E:E)</f>
        <v>0</v>
      </c>
      <c r="K1195" s="99">
        <f>SUMIF(Import!$B:$B,$A1195,Import!F:F)</f>
        <v>0</v>
      </c>
      <c r="L1195" s="99">
        <f>SUMIF(Import!$B:$B,$A1195,Import!G:G)</f>
        <v>0</v>
      </c>
      <c r="M1195" s="99">
        <f>SUMIF(Import!$B:$B,$A1195,Import!H:H)</f>
        <v>2600</v>
      </c>
      <c r="N1195" s="99">
        <f>SUMIF(Import!$B:$B,$A1195,Import!I:I)</f>
        <v>0</v>
      </c>
      <c r="O1195" s="99">
        <f>SUMIF(Import!$B:$B,$A1195,Import!J:J)</f>
        <v>2600</v>
      </c>
      <c r="P1195" s="99">
        <f t="shared" ref="P1195" si="1549">O1195-M1195</f>
        <v>0</v>
      </c>
      <c r="Q1195" s="99">
        <f>SUMIF(Import!$B:$B,$A1195,Import!K:K)</f>
        <v>2600</v>
      </c>
      <c r="R1195" s="99">
        <f>SUMIF(Import!$B:$B,$A1195,Import!L:L)</f>
        <v>0</v>
      </c>
      <c r="S1195" s="99">
        <f>SUMIF(Import!$B:$B,$A1195,Import!M:M)</f>
        <v>0</v>
      </c>
      <c r="T1195" s="99">
        <f>SUMIF(Import!$B:$B,$A1195,Import!N:N)</f>
        <v>2600</v>
      </c>
      <c r="U1195" s="99">
        <f t="shared" ref="U1195" si="1550">T1195-M1195</f>
        <v>0</v>
      </c>
      <c r="V1195" s="255">
        <f t="shared" ref="V1195" si="1551">IF(M1195=0,"N/A",T1195/M1195-1)</f>
        <v>0</v>
      </c>
      <c r="W1195" s="102" t="s">
        <v>3356</v>
      </c>
      <c r="X1195" s="102"/>
      <c r="Y1195" s="102"/>
      <c r="Z1195" s="192"/>
      <c r="AA1195" s="615"/>
      <c r="AB1195" s="307"/>
      <c r="AC1195" s="300"/>
      <c r="AD1195" s="300"/>
      <c r="AE1195" s="300"/>
      <c r="AF1195" s="300"/>
      <c r="AG1195" s="300"/>
      <c r="AH1195" s="307"/>
      <c r="AI1195" s="307"/>
      <c r="AJ1195" s="300"/>
      <c r="AK1195" s="300"/>
      <c r="AL1195" s="300"/>
      <c r="AM1195" s="300"/>
      <c r="AN1195" s="300"/>
      <c r="AO1195" s="192"/>
      <c r="AP1195" s="192"/>
      <c r="AQ1195" s="192"/>
    </row>
    <row r="1196" spans="1:43" s="115" customFormat="1" ht="15" customHeight="1">
      <c r="A1196" s="555" t="s">
        <v>2782</v>
      </c>
      <c r="B1196" s="217" t="str">
        <f t="shared" si="1524"/>
        <v>100</v>
      </c>
      <c r="C1196" s="217" t="str">
        <f t="shared" si="1525"/>
        <v>35</v>
      </c>
      <c r="D1196" s="101" t="str">
        <f t="shared" si="1526"/>
        <v>352</v>
      </c>
      <c r="E1196" s="217" t="str">
        <f t="shared" si="1527"/>
        <v>100-35-352</v>
      </c>
      <c r="F1196" s="294" t="str">
        <f t="shared" si="1528"/>
        <v>53524</v>
      </c>
      <c r="G1196" s="295" t="str">
        <f>VLOOKUP(F1196,'GL Category'!A:C,3,FALSE)</f>
        <v>Services &amp; other</v>
      </c>
      <c r="H1196" s="98" t="str">
        <f>VLOOKUP(F1196,'GL Category'!A:C,2,FALSE)</f>
        <v>EQUIPMENT RENTAL</v>
      </c>
      <c r="I1196" s="99">
        <f>SUMIF(Import!$B:$B,$A1196,Import!D:D)</f>
        <v>0</v>
      </c>
      <c r="J1196" s="99">
        <f>SUMIF(Import!$B:$B,$A1196,Import!E:E)</f>
        <v>0</v>
      </c>
      <c r="K1196" s="99">
        <f>SUMIF(Import!$B:$B,$A1196,Import!F:F)</f>
        <v>0</v>
      </c>
      <c r="L1196" s="99">
        <f>SUMIF(Import!$B:$B,$A1196,Import!G:G)</f>
        <v>0</v>
      </c>
      <c r="M1196" s="99">
        <f>SUMIF(Import!$B:$B,$A1196,Import!H:H)</f>
        <v>0</v>
      </c>
      <c r="N1196" s="99">
        <f>SUMIF(Import!$B:$B,$A1196,Import!I:I)</f>
        <v>0</v>
      </c>
      <c r="O1196" s="99">
        <f>SUMIF(Import!$B:$B,$A1196,Import!J:J)</f>
        <v>0</v>
      </c>
      <c r="P1196" s="99">
        <f t="shared" si="1546"/>
        <v>0</v>
      </c>
      <c r="Q1196" s="99">
        <f>SUMIF(Import!$B:$B,$A1196,Import!K:K)</f>
        <v>0</v>
      </c>
      <c r="R1196" s="99">
        <f>SUMIF(Import!$B:$B,$A1196,Import!L:L)</f>
        <v>0</v>
      </c>
      <c r="S1196" s="99">
        <f>SUMIF(Import!$B:$B,$A1196,Import!M:M)</f>
        <v>0</v>
      </c>
      <c r="T1196" s="99">
        <f>SUMIF(Import!$B:$B,$A1196,Import!N:N)</f>
        <v>0</v>
      </c>
      <c r="U1196" s="99">
        <f t="shared" si="1547"/>
        <v>0</v>
      </c>
      <c r="V1196" s="255" t="str">
        <f t="shared" si="1548"/>
        <v>N/A</v>
      </c>
      <c r="W1196" s="102" t="s">
        <v>2782</v>
      </c>
      <c r="X1196" s="102"/>
      <c r="Y1196" s="102"/>
      <c r="Z1196" s="192"/>
      <c r="AA1196" s="615"/>
      <c r="AB1196" s="307"/>
      <c r="AC1196" s="300"/>
      <c r="AD1196" s="300"/>
      <c r="AE1196" s="300"/>
      <c r="AF1196" s="300"/>
      <c r="AG1196" s="300"/>
      <c r="AH1196" s="307"/>
      <c r="AI1196" s="307"/>
      <c r="AJ1196" s="300"/>
      <c r="AK1196" s="300"/>
      <c r="AL1196" s="300"/>
      <c r="AM1196" s="300"/>
      <c r="AN1196" s="300"/>
      <c r="AO1196" s="192"/>
      <c r="AP1196" s="192"/>
      <c r="AQ1196" s="192"/>
    </row>
    <row r="1197" spans="1:43" s="115" customFormat="1" ht="15" customHeight="1">
      <c r="A1197" s="555" t="s">
        <v>2783</v>
      </c>
      <c r="B1197" s="217" t="str">
        <f t="shared" si="1524"/>
        <v>100</v>
      </c>
      <c r="C1197" s="217" t="str">
        <f t="shared" si="1525"/>
        <v>35</v>
      </c>
      <c r="D1197" s="101" t="str">
        <f t="shared" si="1526"/>
        <v>352</v>
      </c>
      <c r="E1197" s="217" t="str">
        <f t="shared" si="1527"/>
        <v>100-35-352</v>
      </c>
      <c r="F1197" s="294" t="str">
        <f t="shared" si="1528"/>
        <v>53533</v>
      </c>
      <c r="G1197" s="295" t="str">
        <f>VLOOKUP(F1197,'GL Category'!A:C,3,FALSE)</f>
        <v>Services &amp; other</v>
      </c>
      <c r="H1197" s="98" t="str">
        <f>VLOOKUP(F1197,'GL Category'!A:C,2,FALSE)</f>
        <v>EMPLOYEE RECRUITING/TESTING</v>
      </c>
      <c r="I1197" s="99">
        <f>SUMIF(Import!$B:$B,$A1197,Import!D:D)</f>
        <v>405</v>
      </c>
      <c r="J1197" s="99">
        <f>SUMIF(Import!$B:$B,$A1197,Import!E:E)</f>
        <v>850</v>
      </c>
      <c r="K1197" s="99">
        <f>SUMIF(Import!$B:$B,$A1197,Import!F:F)</f>
        <v>800</v>
      </c>
      <c r="L1197" s="99">
        <f>SUMIF(Import!$B:$B,$A1197,Import!G:G)</f>
        <v>111.64</v>
      </c>
      <c r="M1197" s="99">
        <f>SUMIF(Import!$B:$B,$A1197,Import!H:H)</f>
        <v>1600</v>
      </c>
      <c r="N1197" s="99">
        <f>SUMIF(Import!$B:$B,$A1197,Import!I:I)</f>
        <v>0</v>
      </c>
      <c r="O1197" s="99">
        <f>SUMIF(Import!$B:$B,$A1197,Import!J:J)</f>
        <v>0</v>
      </c>
      <c r="P1197" s="99">
        <f t="shared" si="1546"/>
        <v>-1600</v>
      </c>
      <c r="Q1197" s="99">
        <f>SUMIF(Import!$B:$B,$A1197,Import!K:K)</f>
        <v>1600</v>
      </c>
      <c r="R1197" s="99">
        <f>SUMIF(Import!$B:$B,$A1197,Import!L:L)</f>
        <v>0</v>
      </c>
      <c r="S1197" s="99">
        <f>SUMIF(Import!$B:$B,$A1197,Import!M:M)</f>
        <v>0</v>
      </c>
      <c r="T1197" s="99">
        <f>SUMIF(Import!$B:$B,$A1197,Import!N:N)</f>
        <v>1600</v>
      </c>
      <c r="U1197" s="99">
        <f t="shared" si="1547"/>
        <v>0</v>
      </c>
      <c r="V1197" s="255">
        <f t="shared" si="1548"/>
        <v>0</v>
      </c>
      <c r="W1197" s="102" t="s">
        <v>2783</v>
      </c>
      <c r="X1197" s="102"/>
      <c r="Y1197" s="102"/>
      <c r="Z1197" s="192"/>
      <c r="AA1197" s="615"/>
      <c r="AB1197" s="307"/>
      <c r="AC1197" s="300"/>
      <c r="AD1197" s="300"/>
      <c r="AE1197" s="300"/>
      <c r="AF1197" s="300"/>
      <c r="AG1197" s="300"/>
      <c r="AH1197" s="307"/>
      <c r="AI1197" s="307"/>
      <c r="AJ1197" s="300"/>
      <c r="AK1197" s="300"/>
      <c r="AL1197" s="300"/>
      <c r="AM1197" s="300"/>
      <c r="AN1197" s="300"/>
      <c r="AO1197" s="192"/>
      <c r="AP1197" s="192"/>
      <c r="AQ1197" s="192"/>
    </row>
    <row r="1198" spans="1:43" s="115" customFormat="1" ht="15" customHeight="1">
      <c r="A1198" s="555" t="s">
        <v>2779</v>
      </c>
      <c r="B1198" s="217" t="str">
        <f t="shared" si="1524"/>
        <v>100</v>
      </c>
      <c r="C1198" s="217" t="str">
        <f t="shared" si="1525"/>
        <v>35</v>
      </c>
      <c r="D1198" s="101" t="str">
        <f t="shared" si="1526"/>
        <v>352</v>
      </c>
      <c r="E1198" s="217" t="str">
        <f t="shared" si="1527"/>
        <v>100-35-352</v>
      </c>
      <c r="F1198" s="294" t="str">
        <f t="shared" si="1528"/>
        <v>53599</v>
      </c>
      <c r="G1198" s="295" t="str">
        <f>VLOOKUP(F1198,'GL Category'!A:C,3,FALSE)</f>
        <v>Services &amp; other</v>
      </c>
      <c r="H1198" s="98" t="str">
        <f>VLOOKUP(F1198,'GL Category'!A:C,2,FALSE)</f>
        <v>MISCELLANEOUS SERVICES</v>
      </c>
      <c r="I1198" s="99">
        <f>SUMIF(Import!$B:$B,$A1198,Import!D:D)</f>
        <v>10590</v>
      </c>
      <c r="J1198" s="99">
        <f>SUMIF(Import!$B:$B,$A1198,Import!E:E)</f>
        <v>12831.5</v>
      </c>
      <c r="K1198" s="99">
        <f>SUMIF(Import!$B:$B,$A1198,Import!F:F)</f>
        <v>17842</v>
      </c>
      <c r="L1198" s="99">
        <f>SUMIF(Import!$B:$B,$A1198,Import!G:G)</f>
        <v>6310</v>
      </c>
      <c r="M1198" s="99">
        <f>SUMIF(Import!$B:$B,$A1198,Import!H:H)</f>
        <v>6450</v>
      </c>
      <c r="N1198" s="99">
        <f>SUMIF(Import!$B:$B,$A1198,Import!I:I)</f>
        <v>15070</v>
      </c>
      <c r="O1198" s="99">
        <f>SUMIF(Import!$B:$B,$A1198,Import!J:J)</f>
        <v>12950</v>
      </c>
      <c r="P1198" s="99">
        <f t="shared" si="1546"/>
        <v>6500</v>
      </c>
      <c r="Q1198" s="99">
        <f>SUMIF(Import!$B:$B,$A1198,Import!K:K)</f>
        <v>6450</v>
      </c>
      <c r="R1198" s="99">
        <f>SUMIF(Import!$B:$B,$A1198,Import!L:L)</f>
        <v>0</v>
      </c>
      <c r="S1198" s="99">
        <f>SUMIF(Import!$B:$B,$A1198,Import!M:M)</f>
        <v>0</v>
      </c>
      <c r="T1198" s="99">
        <f>SUMIF(Import!$B:$B,$A1198,Import!N:N)</f>
        <v>6450</v>
      </c>
      <c r="U1198" s="99">
        <f t="shared" si="1547"/>
        <v>0</v>
      </c>
      <c r="V1198" s="255">
        <f t="shared" si="1548"/>
        <v>0</v>
      </c>
      <c r="W1198" s="102" t="s">
        <v>2779</v>
      </c>
      <c r="X1198" s="102"/>
      <c r="Y1198" s="102"/>
      <c r="Z1198" s="192"/>
      <c r="AA1198" s="615"/>
      <c r="AB1198" s="307"/>
      <c r="AC1198" s="300"/>
      <c r="AD1198" s="300"/>
      <c r="AE1198" s="300"/>
      <c r="AF1198" s="300"/>
      <c r="AG1198" s="300"/>
      <c r="AH1198" s="307"/>
      <c r="AI1198" s="307"/>
      <c r="AJ1198" s="300"/>
      <c r="AK1198" s="300"/>
      <c r="AL1198" s="300"/>
      <c r="AM1198" s="300"/>
      <c r="AN1198" s="300"/>
      <c r="AO1198" s="192"/>
      <c r="AP1198" s="192"/>
      <c r="AQ1198" s="192"/>
    </row>
    <row r="1199" spans="1:43" s="115" customFormat="1" ht="15" customHeight="1">
      <c r="A1199" s="555" t="s">
        <v>2784</v>
      </c>
      <c r="B1199" s="217" t="str">
        <f t="shared" si="1524"/>
        <v>100</v>
      </c>
      <c r="C1199" s="217" t="str">
        <f t="shared" si="1525"/>
        <v>35</v>
      </c>
      <c r="D1199" s="101" t="str">
        <f t="shared" si="1526"/>
        <v>352</v>
      </c>
      <c r="E1199" s="217" t="str">
        <f t="shared" si="1527"/>
        <v>100-35-352</v>
      </c>
      <c r="F1199" s="294" t="str">
        <f t="shared" si="1528"/>
        <v>53571</v>
      </c>
      <c r="G1199" s="295" t="str">
        <f>VLOOKUP(F1199,'GL Category'!A:C,3,FALSE)</f>
        <v>Services &amp; other</v>
      </c>
      <c r="H1199" s="98" t="str">
        <f>VLOOKUP(F1199,'GL Category'!A:C,2,FALSE)</f>
        <v>NATURAL GAS UTILITY SERVICE</v>
      </c>
      <c r="I1199" s="99">
        <f>SUMIF(Import!$B:$B,$A1199,Import!D:D)</f>
        <v>5989.62</v>
      </c>
      <c r="J1199" s="99">
        <f>SUMIF(Import!$B:$B,$A1199,Import!E:E)</f>
        <v>8417.8799999999992</v>
      </c>
      <c r="K1199" s="99">
        <f>SUMIF(Import!$B:$B,$A1199,Import!F:F)</f>
        <v>10052.4</v>
      </c>
      <c r="L1199" s="99">
        <f>SUMIF(Import!$B:$B,$A1199,Import!G:G)</f>
        <v>10665.43</v>
      </c>
      <c r="M1199" s="99">
        <f>SUMIF(Import!$B:$B,$A1199,Import!H:H)</f>
        <v>11390</v>
      </c>
      <c r="N1199" s="99">
        <f>SUMIF(Import!$B:$B,$A1199,Import!I:I)</f>
        <v>11122.4</v>
      </c>
      <c r="O1199" s="99">
        <f>SUMIF(Import!$B:$B,$A1199,Import!J:J)</f>
        <v>11390</v>
      </c>
      <c r="P1199" s="99">
        <f t="shared" si="1546"/>
        <v>0</v>
      </c>
      <c r="Q1199" s="99">
        <f>SUMIF(Import!$B:$B,$A1199,Import!K:K)</f>
        <v>11390</v>
      </c>
      <c r="R1199" s="99">
        <f>SUMIF(Import!$B:$B,$A1199,Import!L:L)</f>
        <v>0</v>
      </c>
      <c r="S1199" s="99">
        <f>SUMIF(Import!$B:$B,$A1199,Import!M:M)</f>
        <v>0</v>
      </c>
      <c r="T1199" s="99">
        <f>SUMIF(Import!$B:$B,$A1199,Import!N:N)</f>
        <v>11390</v>
      </c>
      <c r="U1199" s="99">
        <f t="shared" si="1547"/>
        <v>0</v>
      </c>
      <c r="V1199" s="255">
        <f t="shared" si="1548"/>
        <v>0</v>
      </c>
      <c r="W1199" s="102" t="s">
        <v>2784</v>
      </c>
      <c r="X1199" s="102"/>
      <c r="Y1199" s="102"/>
      <c r="Z1199" s="192"/>
      <c r="AA1199" s="615"/>
      <c r="AB1199" s="307"/>
      <c r="AC1199" s="300"/>
      <c r="AD1199" s="300"/>
      <c r="AE1199" s="300"/>
      <c r="AF1199" s="300"/>
      <c r="AG1199" s="300"/>
      <c r="AH1199" s="307"/>
      <c r="AI1199" s="307"/>
      <c r="AJ1199" s="300"/>
      <c r="AK1199" s="300"/>
      <c r="AL1199" s="300"/>
      <c r="AM1199" s="300"/>
      <c r="AN1199" s="300"/>
      <c r="AO1199" s="192"/>
      <c r="AP1199" s="192"/>
      <c r="AQ1199" s="192"/>
    </row>
    <row r="1200" spans="1:43" s="115" customFormat="1" ht="15" customHeight="1">
      <c r="A1200" s="555" t="s">
        <v>2785</v>
      </c>
      <c r="B1200" s="217" t="str">
        <f t="shared" si="1524"/>
        <v>100</v>
      </c>
      <c r="C1200" s="217" t="str">
        <f t="shared" si="1525"/>
        <v>35</v>
      </c>
      <c r="D1200" s="101" t="str">
        <f t="shared" si="1526"/>
        <v>352</v>
      </c>
      <c r="E1200" s="217" t="str">
        <f t="shared" si="1527"/>
        <v>100-35-352</v>
      </c>
      <c r="F1200" s="294" t="str">
        <f t="shared" si="1528"/>
        <v>53572</v>
      </c>
      <c r="G1200" s="295" t="str">
        <f>VLOOKUP(F1200,'GL Category'!A:C,3,FALSE)</f>
        <v>Services &amp; other</v>
      </c>
      <c r="H1200" s="98" t="str">
        <f>VLOOKUP(F1200,'GL Category'!A:C,2,FALSE)</f>
        <v>ELECTRICAL UTILITY SERVICE</v>
      </c>
      <c r="I1200" s="99">
        <f>SUMIF(Import!$B:$B,$A1200,Import!D:D)</f>
        <v>25618.33</v>
      </c>
      <c r="J1200" s="99">
        <f>SUMIF(Import!$B:$B,$A1200,Import!E:E)</f>
        <v>25524.05</v>
      </c>
      <c r="K1200" s="99">
        <f>SUMIF(Import!$B:$B,$A1200,Import!F:F)</f>
        <v>38787.64</v>
      </c>
      <c r="L1200" s="99">
        <f>SUMIF(Import!$B:$B,$A1200,Import!G:G)</f>
        <v>42420.959999999999</v>
      </c>
      <c r="M1200" s="99">
        <f>SUMIF(Import!$B:$B,$A1200,Import!H:H)</f>
        <v>53280</v>
      </c>
      <c r="N1200" s="99">
        <f>SUMIF(Import!$B:$B,$A1200,Import!I:I)</f>
        <v>12370.89</v>
      </c>
      <c r="O1200" s="99">
        <f>SUMIF(Import!$B:$B,$A1200,Import!J:J)</f>
        <v>30000</v>
      </c>
      <c r="P1200" s="99">
        <f t="shared" si="1546"/>
        <v>-23280</v>
      </c>
      <c r="Q1200" s="99">
        <f>SUMIF(Import!$B:$B,$A1200,Import!K:K)</f>
        <v>53280</v>
      </c>
      <c r="R1200" s="99">
        <f>SUMIF(Import!$B:$B,$A1200,Import!L:L)</f>
        <v>0</v>
      </c>
      <c r="S1200" s="99">
        <f>SUMIF(Import!$B:$B,$A1200,Import!M:M)</f>
        <v>0</v>
      </c>
      <c r="T1200" s="99">
        <f>SUMIF(Import!$B:$B,$A1200,Import!N:N)</f>
        <v>53280</v>
      </c>
      <c r="U1200" s="99">
        <f t="shared" si="1547"/>
        <v>0</v>
      </c>
      <c r="V1200" s="255">
        <f t="shared" si="1548"/>
        <v>0</v>
      </c>
      <c r="W1200" s="102" t="s">
        <v>2785</v>
      </c>
      <c r="X1200" s="102"/>
      <c r="Y1200" s="102"/>
      <c r="Z1200" s="192"/>
      <c r="AA1200" s="615"/>
      <c r="AB1200" s="307"/>
      <c r="AC1200" s="94"/>
      <c r="AD1200" s="94"/>
      <c r="AE1200" s="94"/>
      <c r="AF1200" s="94"/>
      <c r="AG1200" s="94"/>
      <c r="AH1200" s="307"/>
      <c r="AI1200" s="307"/>
      <c r="AJ1200" s="94"/>
      <c r="AK1200" s="94"/>
      <c r="AL1200" s="94"/>
      <c r="AM1200" s="94"/>
      <c r="AN1200" s="94"/>
      <c r="AO1200" s="192"/>
      <c r="AP1200" s="192"/>
      <c r="AQ1200" s="192"/>
    </row>
    <row r="1201" spans="1:59" s="115" customFormat="1" ht="15" customHeight="1">
      <c r="A1201" s="555" t="s">
        <v>2786</v>
      </c>
      <c r="B1201" s="217" t="str">
        <f t="shared" si="1524"/>
        <v>100</v>
      </c>
      <c r="C1201" s="217" t="str">
        <f t="shared" si="1525"/>
        <v>35</v>
      </c>
      <c r="D1201" s="101" t="str">
        <f t="shared" si="1526"/>
        <v>352</v>
      </c>
      <c r="E1201" s="217" t="str">
        <f t="shared" si="1527"/>
        <v>100-35-352</v>
      </c>
      <c r="F1201" s="294" t="str">
        <f t="shared" si="1528"/>
        <v>53574</v>
      </c>
      <c r="G1201" s="295" t="str">
        <f>VLOOKUP(F1201,'GL Category'!A:C,3,FALSE)</f>
        <v>Services &amp; other</v>
      </c>
      <c r="H1201" s="98" t="str">
        <f>VLOOKUP(F1201,'GL Category'!A:C,2,FALSE)</f>
        <v>WATER/SEWER UTILITY SERVICE</v>
      </c>
      <c r="I1201" s="99">
        <f>SUMIF(Import!$B:$B,$A1201,Import!D:D)</f>
        <v>12951.21</v>
      </c>
      <c r="J1201" s="99">
        <f>SUMIF(Import!$B:$B,$A1201,Import!E:E)</f>
        <v>14075.94</v>
      </c>
      <c r="K1201" s="99">
        <f>SUMIF(Import!$B:$B,$A1201,Import!F:F)</f>
        <v>14233.22</v>
      </c>
      <c r="L1201" s="99">
        <f>SUMIF(Import!$B:$B,$A1201,Import!G:G)</f>
        <v>14017.79</v>
      </c>
      <c r="M1201" s="99">
        <f>SUMIF(Import!$B:$B,$A1201,Import!H:H)</f>
        <v>17200</v>
      </c>
      <c r="N1201" s="99">
        <f>SUMIF(Import!$B:$B,$A1201,Import!I:I)</f>
        <v>8028.33</v>
      </c>
      <c r="O1201" s="99">
        <f>SUMIF(Import!$B:$B,$A1201,Import!J:J)</f>
        <v>15000</v>
      </c>
      <c r="P1201" s="99">
        <f t="shared" si="1546"/>
        <v>-2200</v>
      </c>
      <c r="Q1201" s="99">
        <f>SUMIF(Import!$B:$B,$A1201,Import!K:K)</f>
        <v>17200</v>
      </c>
      <c r="R1201" s="99">
        <f>SUMIF(Import!$B:$B,$A1201,Import!L:L)</f>
        <v>0</v>
      </c>
      <c r="S1201" s="99">
        <f>SUMIF(Import!$B:$B,$A1201,Import!M:M)</f>
        <v>0</v>
      </c>
      <c r="T1201" s="99">
        <f>SUMIF(Import!$B:$B,$A1201,Import!N:N)</f>
        <v>17200</v>
      </c>
      <c r="U1201" s="99">
        <f t="shared" si="1547"/>
        <v>0</v>
      </c>
      <c r="V1201" s="255">
        <f t="shared" si="1548"/>
        <v>0</v>
      </c>
      <c r="W1201" s="102" t="s">
        <v>2786</v>
      </c>
      <c r="X1201" s="102"/>
      <c r="Y1201" s="102"/>
      <c r="Z1201" s="192"/>
      <c r="AA1201" s="615"/>
      <c r="AB1201" s="307"/>
      <c r="AC1201" s="93"/>
      <c r="AD1201" s="93"/>
      <c r="AE1201" s="93"/>
      <c r="AF1201" s="93"/>
      <c r="AG1201" s="93"/>
      <c r="AH1201" s="307"/>
      <c r="AI1201" s="307"/>
      <c r="AJ1201" s="93"/>
      <c r="AK1201" s="93"/>
      <c r="AL1201" s="93"/>
      <c r="AM1201" s="93"/>
      <c r="AN1201" s="93"/>
      <c r="AO1201" s="192"/>
      <c r="AP1201" s="192"/>
      <c r="AQ1201" s="192"/>
    </row>
    <row r="1202" spans="1:59" s="115" customFormat="1" ht="15" customHeight="1">
      <c r="A1202" s="555" t="s">
        <v>2787</v>
      </c>
      <c r="B1202" s="217" t="str">
        <f t="shared" si="1524"/>
        <v>100</v>
      </c>
      <c r="C1202" s="217" t="str">
        <f t="shared" si="1525"/>
        <v>35</v>
      </c>
      <c r="D1202" s="101" t="str">
        <f t="shared" si="1526"/>
        <v>352</v>
      </c>
      <c r="E1202" s="217" t="str">
        <f t="shared" si="1527"/>
        <v>100-35-352</v>
      </c>
      <c r="F1202" s="294" t="str">
        <f t="shared" si="1528"/>
        <v>55175</v>
      </c>
      <c r="G1202" s="295" t="str">
        <f>VLOOKUP(F1202,'GL Category'!A:C,3,FALSE)</f>
        <v>Services &amp; other</v>
      </c>
      <c r="H1202" s="98" t="str">
        <f>VLOOKUP(F1202,'GL Category'!A:C,2,FALSE)</f>
        <v>VEHICLE/EQUIP LEASE EXP-CITY</v>
      </c>
      <c r="I1202" s="99">
        <f>SUMIF(Import!$B:$B,$A1202,Import!D:D)</f>
        <v>558307</v>
      </c>
      <c r="J1202" s="99">
        <f>SUMIF(Import!$B:$B,$A1202,Import!E:E)</f>
        <v>558391</v>
      </c>
      <c r="K1202" s="99">
        <f>SUMIF(Import!$B:$B,$A1202,Import!F:F)</f>
        <v>581624</v>
      </c>
      <c r="L1202" s="99">
        <f>SUMIF(Import!$B:$B,$A1202,Import!G:G)</f>
        <v>436824</v>
      </c>
      <c r="M1202" s="99">
        <f>SUMIF(Import!$B:$B,$A1202,Import!H:H)</f>
        <v>497528</v>
      </c>
      <c r="N1202" s="99">
        <f>SUMIF(Import!$B:$B,$A1202,Import!I:I)</f>
        <v>373146</v>
      </c>
      <c r="O1202" s="99">
        <f>SUMIF(Import!$B:$B,$A1202,Import!J:J)</f>
        <v>497528</v>
      </c>
      <c r="P1202" s="99">
        <f t="shared" si="1546"/>
        <v>0</v>
      </c>
      <c r="Q1202" s="99">
        <f>SUMIF(Import!$B:$B,$A1202,Import!K:K)</f>
        <v>593951</v>
      </c>
      <c r="R1202" s="99">
        <f>SUMIF(Import!$B:$B,$A1202,Import!L:L)</f>
        <v>0</v>
      </c>
      <c r="S1202" s="99">
        <f>SUMIF(Import!$B:$B,$A1202,Import!M:M)</f>
        <v>0</v>
      </c>
      <c r="T1202" s="99">
        <f>SUMIF(Import!$B:$B,$A1202,Import!N:N)</f>
        <v>593951</v>
      </c>
      <c r="U1202" s="99">
        <f t="shared" si="1547"/>
        <v>96423</v>
      </c>
      <c r="V1202" s="255">
        <f t="shared" si="1548"/>
        <v>0.19380416780563103</v>
      </c>
      <c r="W1202" s="102" t="s">
        <v>2787</v>
      </c>
      <c r="X1202" s="102"/>
      <c r="Y1202" s="102"/>
      <c r="Z1202" s="192"/>
      <c r="AA1202" s="615"/>
      <c r="AB1202" s="307"/>
      <c r="AC1202" s="300"/>
      <c r="AD1202" s="300"/>
      <c r="AE1202" s="300"/>
      <c r="AF1202" s="300"/>
      <c r="AG1202" s="300"/>
      <c r="AH1202" s="307"/>
      <c r="AI1202" s="307"/>
      <c r="AJ1202" s="300"/>
      <c r="AK1202" s="300"/>
      <c r="AL1202" s="300"/>
      <c r="AM1202" s="300"/>
      <c r="AN1202" s="300"/>
      <c r="AO1202" s="192"/>
      <c r="AP1202" s="192"/>
      <c r="AQ1202" s="192"/>
    </row>
    <row r="1203" spans="1:59" s="115" customFormat="1" ht="15" customHeight="1">
      <c r="A1203" s="555" t="s">
        <v>2788</v>
      </c>
      <c r="B1203" s="217" t="str">
        <f t="shared" si="1524"/>
        <v>100</v>
      </c>
      <c r="C1203" s="217" t="str">
        <f t="shared" si="1525"/>
        <v>35</v>
      </c>
      <c r="D1203" s="101" t="str">
        <f t="shared" si="1526"/>
        <v>352</v>
      </c>
      <c r="E1203" s="217" t="str">
        <f t="shared" si="1527"/>
        <v>100-35-352</v>
      </c>
      <c r="F1203" s="294" t="str">
        <f t="shared" si="1528"/>
        <v>55119</v>
      </c>
      <c r="G1203" s="295" t="str">
        <f>VLOOKUP(F1203,'GL Category'!A:C,3,FALSE)</f>
        <v>Services &amp; other</v>
      </c>
      <c r="H1203" s="98" t="str">
        <f>VLOOKUP(F1203,'GL Category'!A:C,2,FALSE)</f>
        <v>OFFICE EQUIP LEASE EXP-CITY</v>
      </c>
      <c r="I1203" s="99">
        <f>SUMIF(Import!$B:$B,$A1203,Import!D:D)</f>
        <v>138845</v>
      </c>
      <c r="J1203" s="99">
        <f>SUMIF(Import!$B:$B,$A1203,Import!E:E)</f>
        <v>165108</v>
      </c>
      <c r="K1203" s="99">
        <f>SUMIF(Import!$B:$B,$A1203,Import!F:F)</f>
        <v>145477</v>
      </c>
      <c r="L1203" s="99">
        <f>SUMIF(Import!$B:$B,$A1203,Import!G:G)</f>
        <v>153980</v>
      </c>
      <c r="M1203" s="99">
        <f>SUMIF(Import!$B:$B,$A1203,Import!H:H)</f>
        <v>166745</v>
      </c>
      <c r="N1203" s="99">
        <f>SUMIF(Import!$B:$B,$A1203,Import!I:I)</f>
        <v>125475.61</v>
      </c>
      <c r="O1203" s="99">
        <f>SUMIF(Import!$B:$B,$A1203,Import!J:J)</f>
        <v>166745</v>
      </c>
      <c r="P1203" s="99">
        <f t="shared" si="1546"/>
        <v>0</v>
      </c>
      <c r="Q1203" s="99">
        <f>SUMIF(Import!$B:$B,$A1203,Import!K:K)</f>
        <v>185088</v>
      </c>
      <c r="R1203" s="99">
        <f>SUMIF(Import!$B:$B,$A1203,Import!L:L)</f>
        <v>0</v>
      </c>
      <c r="S1203" s="99">
        <f>SUMIF(Import!$B:$B,$A1203,Import!M:M)</f>
        <v>6370</v>
      </c>
      <c r="T1203" s="99">
        <f>SUMIF(Import!$B:$B,$A1203,Import!N:N)</f>
        <v>191458</v>
      </c>
      <c r="U1203" s="99">
        <f t="shared" si="1547"/>
        <v>24713</v>
      </c>
      <c r="V1203" s="255">
        <f t="shared" si="1548"/>
        <v>0.14820834207922284</v>
      </c>
      <c r="W1203" s="102" t="s">
        <v>2788</v>
      </c>
      <c r="X1203" s="102"/>
      <c r="Y1203" s="102"/>
      <c r="Z1203" s="192"/>
      <c r="AA1203" s="615"/>
      <c r="AB1203" s="307"/>
      <c r="AC1203" s="300"/>
      <c r="AD1203" s="300"/>
      <c r="AE1203" s="300"/>
      <c r="AF1203" s="300"/>
      <c r="AG1203" s="300"/>
      <c r="AH1203" s="307"/>
      <c r="AI1203" s="307"/>
      <c r="AJ1203" s="300"/>
      <c r="AK1203" s="300"/>
      <c r="AL1203" s="300"/>
      <c r="AM1203" s="300"/>
      <c r="AN1203" s="300"/>
      <c r="AO1203" s="192"/>
      <c r="AP1203" s="192"/>
      <c r="AQ1203" s="192"/>
    </row>
    <row r="1204" spans="1:59" ht="15" customHeight="1">
      <c r="A1204" s="555"/>
      <c r="B1204" s="217"/>
      <c r="C1204" s="217"/>
      <c r="D1204" s="101"/>
      <c r="E1204" s="217"/>
      <c r="F1204" s="294"/>
      <c r="G1204" s="295"/>
      <c r="H1204" s="107" t="str">
        <f>UPPER(G1203)&amp;" TOTAL"</f>
        <v>SERVICES &amp; OTHER TOTAL</v>
      </c>
      <c r="I1204" s="109">
        <f t="shared" ref="I1204" si="1552">SUBTOTAL(9,I1193:I1203)</f>
        <v>773576.42999999993</v>
      </c>
      <c r="J1204" s="109">
        <f t="shared" ref="J1204:T1204" si="1553">SUBTOTAL(9,J1193:J1203)</f>
        <v>805661.81</v>
      </c>
      <c r="K1204" s="109">
        <f t="shared" ref="K1204" si="1554">SUBTOTAL(9,K1193:K1203)</f>
        <v>833313.84</v>
      </c>
      <c r="L1204" s="109">
        <f t="shared" ref="L1204" si="1555">SUBTOTAL(9,L1193:L1203)</f>
        <v>695422.45</v>
      </c>
      <c r="M1204" s="109">
        <f t="shared" si="1553"/>
        <v>788848</v>
      </c>
      <c r="N1204" s="109">
        <f t="shared" ref="N1204" si="1556">SUBTOTAL(9,N1193:N1203)</f>
        <v>572020.14</v>
      </c>
      <c r="O1204" s="109">
        <f t="shared" si="1553"/>
        <v>779878</v>
      </c>
      <c r="P1204" s="109">
        <f t="shared" si="1553"/>
        <v>-8970</v>
      </c>
      <c r="Q1204" s="109">
        <f t="shared" si="1553"/>
        <v>913614</v>
      </c>
      <c r="R1204" s="109">
        <f t="shared" si="1553"/>
        <v>0</v>
      </c>
      <c r="S1204" s="109">
        <f t="shared" si="1553"/>
        <v>6370</v>
      </c>
      <c r="T1204" s="109">
        <f t="shared" si="1553"/>
        <v>919984</v>
      </c>
      <c r="U1204" s="99">
        <f>T1204-M1204</f>
        <v>131136</v>
      </c>
      <c r="V1204" s="255">
        <f>IF(M1204=0,"N/A",T1204/M1204-1)</f>
        <v>0.16623734864004214</v>
      </c>
      <c r="W1204" s="102"/>
      <c r="X1204" s="102"/>
      <c r="Y1204" s="102"/>
      <c r="Z1204" s="88"/>
      <c r="AA1204" s="616"/>
      <c r="AB1204" s="623"/>
      <c r="AC1204" s="300"/>
      <c r="AD1204" s="300"/>
      <c r="AE1204" s="300"/>
      <c r="AF1204" s="300"/>
      <c r="AG1204" s="300"/>
      <c r="AH1204" s="623"/>
      <c r="AI1204" s="623"/>
      <c r="AJ1204" s="300"/>
      <c r="AK1204" s="300"/>
      <c r="AL1204" s="300"/>
      <c r="AM1204" s="300"/>
      <c r="AN1204" s="300"/>
      <c r="AO1204" s="88"/>
      <c r="AP1204" s="88"/>
      <c r="AQ1204" s="88"/>
      <c r="AR1204" s="68"/>
      <c r="AS1204" s="68"/>
      <c r="AT1204" s="68"/>
      <c r="AU1204" s="68"/>
      <c r="AV1204" s="68"/>
      <c r="AW1204" s="68"/>
      <c r="AX1204" s="68"/>
      <c r="AY1204" s="68"/>
      <c r="AZ1204" s="68"/>
      <c r="BA1204" s="68"/>
      <c r="BB1204" s="68"/>
      <c r="BC1204" s="68"/>
      <c r="BD1204" s="68"/>
      <c r="BE1204" s="68"/>
      <c r="BF1204" s="68"/>
      <c r="BG1204" s="68"/>
    </row>
    <row r="1205" spans="1:59" s="115" customFormat="1" ht="15" customHeight="1">
      <c r="A1205" s="555"/>
      <c r="B1205" s="217"/>
      <c r="C1205" s="217"/>
      <c r="D1205" s="101"/>
      <c r="E1205" s="217"/>
      <c r="F1205" s="294"/>
      <c r="G1205" s="295"/>
      <c r="H1205" s="98"/>
      <c r="I1205" s="106"/>
      <c r="J1205" s="106"/>
      <c r="K1205" s="106"/>
      <c r="L1205" s="106"/>
      <c r="M1205" s="106"/>
      <c r="N1205" s="112"/>
      <c r="O1205" s="112"/>
      <c r="P1205" s="112"/>
      <c r="Q1205" s="113"/>
      <c r="R1205" s="113"/>
      <c r="S1205" s="113"/>
      <c r="T1205" s="113"/>
      <c r="U1205" s="99"/>
      <c r="V1205" s="255"/>
      <c r="W1205" s="102"/>
      <c r="X1205" s="102"/>
      <c r="Y1205" s="102"/>
      <c r="Z1205" s="192"/>
      <c r="AA1205" s="615"/>
      <c r="AB1205" s="307"/>
      <c r="AC1205" s="300"/>
      <c r="AD1205" s="300"/>
      <c r="AE1205" s="300"/>
      <c r="AF1205" s="300"/>
      <c r="AG1205" s="300"/>
      <c r="AH1205" s="307"/>
      <c r="AI1205" s="307"/>
      <c r="AJ1205" s="300"/>
      <c r="AK1205" s="300"/>
      <c r="AL1205" s="300"/>
      <c r="AM1205" s="300"/>
      <c r="AN1205" s="300"/>
      <c r="AO1205" s="192"/>
      <c r="AP1205" s="192"/>
      <c r="AQ1205" s="192"/>
    </row>
    <row r="1206" spans="1:59" s="115" customFormat="1" ht="15" customHeight="1">
      <c r="A1206" s="555" t="s">
        <v>2789</v>
      </c>
      <c r="B1206" s="217" t="str">
        <f t="shared" si="1524"/>
        <v>100</v>
      </c>
      <c r="C1206" s="217" t="str">
        <f t="shared" si="1525"/>
        <v>35</v>
      </c>
      <c r="D1206" s="101" t="str">
        <f t="shared" si="1526"/>
        <v>352</v>
      </c>
      <c r="E1206" s="217" t="str">
        <f t="shared" si="1527"/>
        <v>100-35-352</v>
      </c>
      <c r="F1206" s="294" t="str">
        <f t="shared" si="1528"/>
        <v>58830</v>
      </c>
      <c r="G1206" s="295" t="str">
        <f>VLOOKUP(F1206,'GL Category'!A:C,3,FALSE)</f>
        <v>Capital Outlay</v>
      </c>
      <c r="H1206" s="98" t="str">
        <f>VLOOKUP(F1206,'GL Category'!A:C,2,FALSE)</f>
        <v>MACHINERY &amp; EQUIPMENT</v>
      </c>
      <c r="I1206" s="99">
        <f>SUMIF(Import!$B:$B,$A1206,Import!D:D)</f>
        <v>8500</v>
      </c>
      <c r="J1206" s="99">
        <f>SUMIF(Import!$B:$B,$A1206,Import!E:E)</f>
        <v>0</v>
      </c>
      <c r="K1206" s="99">
        <f>SUMIF(Import!$B:$B,$A1206,Import!F:F)</f>
        <v>296730.65999999997</v>
      </c>
      <c r="L1206" s="99">
        <f>SUMIF(Import!$B:$B,$A1206,Import!G:G)</f>
        <v>27887</v>
      </c>
      <c r="M1206" s="99">
        <f>SUMIF(Import!$B:$B,$A1206,Import!H:H)</f>
        <v>8000</v>
      </c>
      <c r="N1206" s="99">
        <f>SUMIF(Import!$B:$B,$A1206,Import!I:I)</f>
        <v>0</v>
      </c>
      <c r="O1206" s="99">
        <f>SUMIF(Import!$B:$B,$A1206,Import!J:J)</f>
        <v>0</v>
      </c>
      <c r="P1206" s="99">
        <f t="shared" ref="P1206:P1207" si="1557">O1206-M1206</f>
        <v>-8000</v>
      </c>
      <c r="Q1206" s="99">
        <f>SUMIF(Import!$B:$B,$A1206,Import!K:K)</f>
        <v>0</v>
      </c>
      <c r="R1206" s="99">
        <f>SUMIF(Import!$B:$B,$A1206,Import!L:L)</f>
        <v>0</v>
      </c>
      <c r="S1206" s="99">
        <f>SUMIF(Import!$B:$B,$A1206,Import!M:M)</f>
        <v>0</v>
      </c>
      <c r="T1206" s="99">
        <f>SUMIF(Import!$B:$B,$A1206,Import!N:N)</f>
        <v>0</v>
      </c>
      <c r="U1206" s="99">
        <f t="shared" ref="U1206:U1207" si="1558">T1206-M1206</f>
        <v>-8000</v>
      </c>
      <c r="V1206" s="255">
        <f t="shared" ref="V1206:V1207" si="1559">IF(M1206=0,"N/A",T1206/M1206-1)</f>
        <v>-1</v>
      </c>
      <c r="W1206" s="102" t="s">
        <v>2789</v>
      </c>
      <c r="X1206" s="102"/>
      <c r="Y1206" s="102"/>
      <c r="Z1206" s="192"/>
      <c r="AA1206" s="615"/>
      <c r="AB1206" s="307"/>
      <c r="AC1206" s="300"/>
      <c r="AD1206" s="300"/>
      <c r="AE1206" s="300"/>
      <c r="AF1206" s="300"/>
      <c r="AG1206" s="300"/>
      <c r="AH1206" s="307"/>
      <c r="AI1206" s="307"/>
      <c r="AJ1206" s="300"/>
      <c r="AK1206" s="300"/>
      <c r="AL1206" s="300"/>
      <c r="AM1206" s="300"/>
      <c r="AN1206" s="300"/>
      <c r="AO1206" s="192"/>
      <c r="AP1206" s="192"/>
      <c r="AQ1206" s="192"/>
    </row>
    <row r="1207" spans="1:59" ht="15" customHeight="1">
      <c r="A1207" s="555" t="s">
        <v>2790</v>
      </c>
      <c r="B1207" s="217" t="str">
        <f t="shared" si="1524"/>
        <v>100</v>
      </c>
      <c r="C1207" s="217" t="str">
        <f t="shared" si="1525"/>
        <v>35</v>
      </c>
      <c r="D1207" s="101" t="str">
        <f t="shared" si="1526"/>
        <v>352</v>
      </c>
      <c r="E1207" s="217" t="str">
        <f t="shared" si="1527"/>
        <v>100-35-352</v>
      </c>
      <c r="F1207" s="294" t="str">
        <f t="shared" si="1528"/>
        <v>58858</v>
      </c>
      <c r="G1207" s="295" t="e">
        <f>VLOOKUP(F1207,'GL Category'!A:C,3,FALSE)</f>
        <v>#N/A</v>
      </c>
      <c r="H1207" s="98" t="e">
        <f>VLOOKUP(F1207,'GL Category'!A:C,2,FALSE)</f>
        <v>#N/A</v>
      </c>
      <c r="I1207" s="99">
        <f>SUMIF(Import!$B:$B,$A1207,Import!D:D)</f>
        <v>0</v>
      </c>
      <c r="J1207" s="99">
        <f>SUMIF(Import!$B:$B,$A1207,Import!E:E)</f>
        <v>0</v>
      </c>
      <c r="K1207" s="99">
        <f>SUMIF(Import!$B:$B,$A1207,Import!F:F)</f>
        <v>0</v>
      </c>
      <c r="L1207" s="99">
        <f>SUMIF(Import!$B:$B,$A1207,Import!G:G)</f>
        <v>0</v>
      </c>
      <c r="M1207" s="99">
        <f>SUMIF(Import!$B:$B,$A1207,Import!H:H)</f>
        <v>0</v>
      </c>
      <c r="N1207" s="99">
        <f>SUMIF(Import!$B:$B,$A1207,Import!I:I)</f>
        <v>0</v>
      </c>
      <c r="O1207" s="99">
        <f>SUMIF(Import!$B:$B,$A1207,Import!J:J)</f>
        <v>0</v>
      </c>
      <c r="P1207" s="99">
        <f t="shared" si="1557"/>
        <v>0</v>
      </c>
      <c r="Q1207" s="99">
        <f>SUMIF(Import!$B:$B,$A1207,Import!K:K)</f>
        <v>0</v>
      </c>
      <c r="R1207" s="99">
        <f>SUMIF(Import!$B:$B,$A1207,Import!L:L)</f>
        <v>0</v>
      </c>
      <c r="S1207" s="99">
        <f>SUMIF(Import!$B:$B,$A1207,Import!M:M)</f>
        <v>0</v>
      </c>
      <c r="T1207" s="99">
        <f>SUMIF(Import!$B:$B,$A1207,Import!N:N)</f>
        <v>0</v>
      </c>
      <c r="U1207" s="99">
        <f t="shared" si="1558"/>
        <v>0</v>
      </c>
      <c r="V1207" s="255" t="str">
        <f t="shared" si="1559"/>
        <v>N/A</v>
      </c>
      <c r="W1207" s="102" t="s">
        <v>2790</v>
      </c>
      <c r="X1207" s="102"/>
      <c r="Y1207" s="102"/>
      <c r="AA1207" s="615"/>
      <c r="AC1207" s="300"/>
      <c r="AD1207" s="300"/>
      <c r="AE1207" s="300"/>
      <c r="AF1207" s="300"/>
      <c r="AG1207" s="300"/>
      <c r="AJ1207" s="300"/>
      <c r="AK1207" s="300"/>
      <c r="AL1207" s="300"/>
      <c r="AM1207" s="300"/>
      <c r="AN1207" s="300"/>
    </row>
    <row r="1208" spans="1:59" ht="15" customHeight="1">
      <c r="A1208" s="555"/>
      <c r="B1208" s="217"/>
      <c r="C1208" s="217"/>
      <c r="D1208" s="101"/>
      <c r="E1208" s="217"/>
      <c r="F1208" s="294"/>
      <c r="G1208" s="295"/>
      <c r="H1208" s="107" t="e">
        <f>UPPER(G1207)&amp;" TOTAL"</f>
        <v>#N/A</v>
      </c>
      <c r="I1208" s="109">
        <f t="shared" ref="I1208" si="1560">SUBTOTAL(9,I1206:I1207)</f>
        <v>8500</v>
      </c>
      <c r="J1208" s="109">
        <f t="shared" ref="J1208:T1208" si="1561">SUBTOTAL(9,J1206:J1207)</f>
        <v>0</v>
      </c>
      <c r="K1208" s="109">
        <f t="shared" ref="K1208" si="1562">SUBTOTAL(9,K1206:K1207)</f>
        <v>296730.65999999997</v>
      </c>
      <c r="L1208" s="109">
        <f t="shared" ref="L1208" si="1563">SUBTOTAL(9,L1206:L1207)</f>
        <v>27887</v>
      </c>
      <c r="M1208" s="109">
        <f t="shared" si="1561"/>
        <v>8000</v>
      </c>
      <c r="N1208" s="109">
        <f t="shared" ref="N1208" si="1564">SUBTOTAL(9,N1206:N1207)</f>
        <v>0</v>
      </c>
      <c r="O1208" s="109">
        <f t="shared" si="1561"/>
        <v>0</v>
      </c>
      <c r="P1208" s="109">
        <f t="shared" si="1561"/>
        <v>-8000</v>
      </c>
      <c r="Q1208" s="109">
        <f t="shared" si="1561"/>
        <v>0</v>
      </c>
      <c r="R1208" s="109">
        <f t="shared" si="1561"/>
        <v>0</v>
      </c>
      <c r="S1208" s="109">
        <f t="shared" si="1561"/>
        <v>0</v>
      </c>
      <c r="T1208" s="109">
        <f t="shared" si="1561"/>
        <v>0</v>
      </c>
      <c r="U1208" s="99">
        <f>T1208-M1208</f>
        <v>-8000</v>
      </c>
      <c r="V1208" s="255">
        <f>IF(M1208=0,"N/A",T1208/M1208-1)</f>
        <v>-1</v>
      </c>
      <c r="W1208" s="102"/>
      <c r="X1208" s="102"/>
      <c r="Y1208" s="102"/>
      <c r="AA1208" s="615"/>
      <c r="AC1208" s="300"/>
      <c r="AD1208" s="300"/>
      <c r="AE1208" s="300"/>
      <c r="AF1208" s="300"/>
      <c r="AG1208" s="300"/>
      <c r="AJ1208" s="300"/>
      <c r="AK1208" s="300"/>
      <c r="AL1208" s="300"/>
      <c r="AM1208" s="300"/>
      <c r="AN1208" s="300"/>
    </row>
    <row r="1209" spans="1:59" ht="15" customHeight="1">
      <c r="A1209" s="555"/>
      <c r="B1209" s="217"/>
      <c r="C1209" s="217"/>
      <c r="D1209" s="101"/>
      <c r="E1209" s="217"/>
      <c r="F1209" s="294"/>
      <c r="G1209" s="295"/>
      <c r="H1209" s="98"/>
      <c r="I1209" s="106"/>
      <c r="J1209" s="106"/>
      <c r="K1209" s="106"/>
      <c r="L1209" s="106"/>
      <c r="M1209" s="106"/>
      <c r="N1209" s="112"/>
      <c r="O1209" s="112"/>
      <c r="P1209" s="112"/>
      <c r="Q1209" s="113"/>
      <c r="R1209" s="113"/>
      <c r="S1209" s="113"/>
      <c r="T1209" s="113"/>
      <c r="U1209" s="99"/>
      <c r="V1209" s="255"/>
      <c r="W1209" s="102"/>
      <c r="X1209" s="102"/>
      <c r="Y1209" s="102"/>
      <c r="AA1209" s="615"/>
      <c r="AC1209" s="300"/>
      <c r="AD1209" s="300"/>
      <c r="AE1209" s="300"/>
      <c r="AF1209" s="300"/>
      <c r="AG1209" s="300"/>
      <c r="AJ1209" s="300"/>
      <c r="AK1209" s="300"/>
      <c r="AL1209" s="300"/>
      <c r="AM1209" s="300"/>
      <c r="AN1209" s="300"/>
    </row>
    <row r="1210" spans="1:59" ht="15" hidden="1" customHeight="1">
      <c r="A1210" s="555">
        <v>0</v>
      </c>
      <c r="B1210" s="217" t="str">
        <f t="shared" si="1524"/>
        <v>0</v>
      </c>
      <c r="C1210" s="217" t="str">
        <f t="shared" si="1525"/>
        <v/>
      </c>
      <c r="D1210" s="101" t="str">
        <f t="shared" si="1526"/>
        <v/>
      </c>
      <c r="E1210" s="217" t="str">
        <f t="shared" si="1527"/>
        <v>0</v>
      </c>
      <c r="F1210" s="294" t="str">
        <f t="shared" si="1528"/>
        <v>0</v>
      </c>
      <c r="G1210" s="295" t="e">
        <f>VLOOKUP(F1210,'GL Category'!A:C,3,FALSE)</f>
        <v>#N/A</v>
      </c>
      <c r="H1210" s="98" t="e">
        <f>VLOOKUP(F1210,'GL Category'!A:C,2,FALSE)</f>
        <v>#N/A</v>
      </c>
      <c r="I1210" s="99">
        <f>SUMIF(Import!$B:$B,$A1210,Import!D:D)</f>
        <v>0</v>
      </c>
      <c r="J1210" s="99">
        <f>SUMIF(Import!$B:$B,$A1210,Import!E:E)</f>
        <v>0</v>
      </c>
      <c r="K1210" s="99">
        <f>SUMIF(Import!$B:$B,$A1210,Import!F:F)</f>
        <v>0</v>
      </c>
      <c r="L1210" s="99">
        <f>SUMIF(Import!$B:$B,$A1210,Import!G:G)</f>
        <v>0</v>
      </c>
      <c r="M1210" s="99">
        <f>SUMIF(Import!$B:$B,$A1210,Import!H:H)</f>
        <v>0</v>
      </c>
      <c r="N1210" s="99">
        <f>SUMIF(Import!$B:$B,$A1210,Import!I:I)</f>
        <v>0</v>
      </c>
      <c r="O1210" s="99">
        <f>SUMIF(Import!$B:$B,$A1210,Import!J:J)</f>
        <v>0</v>
      </c>
      <c r="P1210" s="99">
        <f t="shared" ref="P1210" si="1565">O1210-M1210</f>
        <v>0</v>
      </c>
      <c r="Q1210" s="99">
        <f>SUMIF(Import!$B:$B,$A1210,Import!K:K)</f>
        <v>0</v>
      </c>
      <c r="R1210" s="99">
        <f>SUMIF(Import!$B:$B,$A1210,Import!L:L)</f>
        <v>0</v>
      </c>
      <c r="S1210" s="99">
        <f>SUMIF(Import!$B:$B,$A1210,Import!M:M)</f>
        <v>0</v>
      </c>
      <c r="T1210" s="99">
        <f>SUMIF(Import!$B:$B,$A1210,Import!N:N)</f>
        <v>0</v>
      </c>
      <c r="U1210" s="99">
        <f t="shared" ref="U1210" si="1566">T1210-M1210</f>
        <v>0</v>
      </c>
      <c r="V1210" s="255" t="str">
        <f t="shared" ref="V1210" si="1567">IF(M1210=0,"N/A",T1210/M1210-1)</f>
        <v>N/A</v>
      </c>
      <c r="W1210" s="102"/>
      <c r="X1210" s="102"/>
      <c r="Y1210" s="102"/>
      <c r="AA1210" s="615"/>
      <c r="AC1210" s="300"/>
      <c r="AD1210" s="300"/>
      <c r="AE1210" s="300"/>
      <c r="AF1210" s="300"/>
      <c r="AG1210" s="300"/>
      <c r="AJ1210" s="300"/>
      <c r="AK1210" s="300"/>
      <c r="AL1210" s="300"/>
      <c r="AM1210" s="300"/>
      <c r="AN1210" s="300"/>
    </row>
    <row r="1211" spans="1:59" ht="27" hidden="1" customHeight="1">
      <c r="A1211" s="555"/>
      <c r="B1211" s="217"/>
      <c r="C1211" s="217"/>
      <c r="D1211" s="101"/>
      <c r="E1211" s="217"/>
      <c r="F1211" s="294"/>
      <c r="G1211" s="295"/>
      <c r="H1211" s="107" t="e">
        <f>UPPER(G1210)&amp;" TOTAL"</f>
        <v>#N/A</v>
      </c>
      <c r="I1211" s="109">
        <f t="shared" ref="I1211" si="1568">SUBTOTAL(9,I1209:I1210)</f>
        <v>0</v>
      </c>
      <c r="J1211" s="109">
        <f t="shared" ref="J1211:T1211" si="1569">SUBTOTAL(9,J1209:J1210)</f>
        <v>0</v>
      </c>
      <c r="K1211" s="109">
        <f t="shared" ref="K1211" si="1570">SUBTOTAL(9,K1209:K1210)</f>
        <v>0</v>
      </c>
      <c r="L1211" s="109">
        <f t="shared" ref="L1211" si="1571">SUBTOTAL(9,L1209:L1210)</f>
        <v>0</v>
      </c>
      <c r="M1211" s="109">
        <f t="shared" si="1569"/>
        <v>0</v>
      </c>
      <c r="N1211" s="109">
        <f t="shared" ref="N1211" si="1572">SUBTOTAL(9,N1209:N1210)</f>
        <v>0</v>
      </c>
      <c r="O1211" s="109">
        <f t="shared" si="1569"/>
        <v>0</v>
      </c>
      <c r="P1211" s="109">
        <f t="shared" si="1569"/>
        <v>0</v>
      </c>
      <c r="Q1211" s="109">
        <f t="shared" si="1569"/>
        <v>0</v>
      </c>
      <c r="R1211" s="109">
        <f t="shared" si="1569"/>
        <v>0</v>
      </c>
      <c r="S1211" s="109">
        <f t="shared" si="1569"/>
        <v>0</v>
      </c>
      <c r="T1211" s="109">
        <f t="shared" si="1569"/>
        <v>0</v>
      </c>
      <c r="U1211" s="99">
        <f>T1211-M1211</f>
        <v>0</v>
      </c>
      <c r="V1211" s="255" t="str">
        <f>IF(M1211=0,"N/A",T1211/M1211-1)</f>
        <v>N/A</v>
      </c>
      <c r="W1211" s="102"/>
      <c r="X1211" s="102"/>
      <c r="Y1211" s="102"/>
      <c r="AA1211" s="615"/>
      <c r="AC1211" s="300"/>
      <c r="AD1211" s="300"/>
      <c r="AE1211" s="300"/>
      <c r="AF1211" s="300"/>
      <c r="AG1211" s="300"/>
      <c r="AJ1211" s="300"/>
      <c r="AK1211" s="300"/>
      <c r="AL1211" s="300"/>
      <c r="AM1211" s="300"/>
      <c r="AN1211" s="300"/>
    </row>
    <row r="1212" spans="1:59" ht="15" customHeight="1">
      <c r="A1212" s="555"/>
      <c r="B1212" s="217"/>
      <c r="C1212" s="217"/>
      <c r="D1212" s="101"/>
      <c r="E1212" s="217"/>
      <c r="F1212" s="294"/>
      <c r="G1212" s="295"/>
      <c r="H1212" s="98"/>
      <c r="I1212" s="106"/>
      <c r="J1212" s="106"/>
      <c r="K1212" s="106"/>
      <c r="L1212" s="106"/>
      <c r="M1212" s="106"/>
      <c r="N1212" s="112"/>
      <c r="O1212" s="112"/>
      <c r="P1212" s="112"/>
      <c r="Q1212" s="113"/>
      <c r="R1212" s="113"/>
      <c r="S1212" s="113"/>
      <c r="T1212" s="113"/>
      <c r="U1212" s="99"/>
      <c r="V1212" s="255"/>
      <c r="W1212" s="102"/>
      <c r="X1212" s="102"/>
      <c r="Y1212" s="102"/>
      <c r="AA1212" s="615"/>
      <c r="AC1212" s="300"/>
      <c r="AD1212" s="300"/>
      <c r="AE1212" s="300"/>
      <c r="AF1212" s="300"/>
      <c r="AG1212" s="300"/>
      <c r="AJ1212" s="300"/>
      <c r="AK1212" s="300"/>
      <c r="AL1212" s="300"/>
      <c r="AM1212" s="300"/>
      <c r="AN1212" s="300"/>
    </row>
    <row r="1213" spans="1:59" ht="15" customHeight="1">
      <c r="A1213" s="555"/>
      <c r="B1213" s="217"/>
      <c r="C1213" s="217"/>
      <c r="D1213" s="101"/>
      <c r="E1213" s="217"/>
      <c r="F1213" s="294"/>
      <c r="G1213" s="295"/>
      <c r="H1213" s="114" t="s">
        <v>763</v>
      </c>
      <c r="I1213" s="108">
        <f t="shared" ref="I1213" si="1573">SUBTOTAL(9,I1164:I1211)</f>
        <v>5463239.0199999986</v>
      </c>
      <c r="J1213" s="108">
        <f t="shared" ref="J1213:T1213" si="1574">SUBTOTAL(9,J1164:J1211)</f>
        <v>7527703.7600000007</v>
      </c>
      <c r="K1213" s="108">
        <f t="shared" ref="K1213" si="1575">SUBTOTAL(9,K1164:K1211)</f>
        <v>8503118.4499999993</v>
      </c>
      <c r="L1213" s="108">
        <f t="shared" ref="L1213" si="1576">SUBTOTAL(9,L1164:L1211)</f>
        <v>8632059.6300000008</v>
      </c>
      <c r="M1213" s="108">
        <f t="shared" si="1574"/>
        <v>8930064</v>
      </c>
      <c r="N1213" s="108">
        <f t="shared" ref="N1213" si="1577">SUBTOTAL(9,N1164:N1211)</f>
        <v>6699201.3600000013</v>
      </c>
      <c r="O1213" s="108">
        <f t="shared" si="1574"/>
        <v>8906904</v>
      </c>
      <c r="P1213" s="108">
        <f t="shared" si="1574"/>
        <v>-23160</v>
      </c>
      <c r="Q1213" s="108">
        <f t="shared" si="1574"/>
        <v>9117920</v>
      </c>
      <c r="R1213" s="108">
        <f t="shared" si="1574"/>
        <v>27602</v>
      </c>
      <c r="S1213" s="108">
        <f t="shared" si="1574"/>
        <v>6370</v>
      </c>
      <c r="T1213" s="108">
        <f t="shared" si="1574"/>
        <v>9151892</v>
      </c>
      <c r="U1213" s="99">
        <f>T1213-M1213</f>
        <v>221828</v>
      </c>
      <c r="V1213" s="255">
        <f>IF(M1213=0,"N/A",T1213/M1213-1)</f>
        <v>2.4840583449345921E-2</v>
      </c>
      <c r="W1213" s="102"/>
      <c r="X1213" s="102"/>
      <c r="Y1213" s="102"/>
      <c r="AA1213" s="615"/>
      <c r="AC1213" s="94"/>
      <c r="AD1213" s="94"/>
      <c r="AE1213" s="94"/>
      <c r="AF1213" s="94"/>
      <c r="AG1213" s="94"/>
      <c r="AJ1213" s="94"/>
      <c r="AK1213" s="94"/>
      <c r="AL1213" s="94"/>
      <c r="AM1213" s="94"/>
      <c r="AN1213" s="94"/>
    </row>
    <row r="1214" spans="1:59" ht="15" customHeight="1" thickBot="1">
      <c r="A1214" s="555"/>
      <c r="B1214" s="217"/>
      <c r="C1214" s="217"/>
      <c r="D1214" s="101"/>
      <c r="E1214" s="217"/>
      <c r="F1214" s="294"/>
      <c r="G1214" s="295"/>
      <c r="H1214" s="98"/>
      <c r="I1214" s="218"/>
      <c r="J1214" s="218"/>
      <c r="K1214" s="218"/>
      <c r="L1214" s="218"/>
      <c r="M1214" s="218"/>
      <c r="U1214" s="99"/>
      <c r="V1214" s="255"/>
      <c r="W1214" s="102"/>
      <c r="X1214" s="102"/>
      <c r="Y1214" s="102"/>
      <c r="AA1214" s="615"/>
      <c r="AC1214" s="93"/>
      <c r="AD1214" s="93"/>
      <c r="AE1214" s="93"/>
      <c r="AF1214" s="93"/>
      <c r="AG1214" s="93"/>
      <c r="AJ1214" s="93"/>
      <c r="AK1214" s="93"/>
      <c r="AL1214" s="93"/>
      <c r="AM1214" s="93"/>
      <c r="AN1214" s="93"/>
    </row>
    <row r="1215" spans="1:59" ht="20.25" customHeight="1" thickBot="1">
      <c r="A1215" s="555"/>
      <c r="B1215" s="217"/>
      <c r="C1215" s="217"/>
      <c r="D1215" s="101"/>
      <c r="E1215" s="217"/>
      <c r="F1215" s="294"/>
      <c r="G1215" s="295"/>
      <c r="H1215" s="665" t="s">
        <v>631</v>
      </c>
      <c r="I1215" s="666"/>
      <c r="J1215" s="666"/>
      <c r="K1215" s="666"/>
      <c r="L1215" s="666"/>
      <c r="M1215" s="666"/>
      <c r="N1215" s="666"/>
      <c r="O1215" s="666"/>
      <c r="P1215" s="666"/>
      <c r="Q1215" s="666"/>
      <c r="R1215" s="666"/>
      <c r="S1215" s="666"/>
      <c r="T1215" s="667"/>
      <c r="U1215" s="99"/>
      <c r="V1215" s="255"/>
      <c r="W1215" s="102"/>
      <c r="X1215" s="102"/>
      <c r="Y1215" s="102"/>
      <c r="AA1215" s="615"/>
      <c r="AC1215" s="300"/>
      <c r="AD1215" s="300"/>
      <c r="AE1215" s="300"/>
      <c r="AF1215" s="300"/>
      <c r="AG1215" s="300"/>
      <c r="AJ1215" s="300"/>
      <c r="AK1215" s="300"/>
      <c r="AL1215" s="300"/>
      <c r="AM1215" s="300"/>
      <c r="AN1215" s="300"/>
    </row>
    <row r="1216" spans="1:59" ht="15" customHeight="1">
      <c r="A1216" s="555"/>
      <c r="B1216" s="217"/>
      <c r="C1216" s="217"/>
      <c r="D1216" s="101"/>
      <c r="E1216" s="217"/>
      <c r="F1216" s="294"/>
      <c r="G1216" s="295"/>
      <c r="H1216" s="225"/>
      <c r="I1216" s="225"/>
      <c r="J1216" s="225"/>
      <c r="K1216" s="225"/>
      <c r="L1216" s="225"/>
      <c r="M1216" s="225"/>
      <c r="N1216" s="225"/>
      <c r="O1216" s="225"/>
      <c r="P1216" s="225"/>
      <c r="Q1216" s="225"/>
      <c r="R1216" s="225"/>
      <c r="S1216" s="225"/>
      <c r="T1216" s="225"/>
      <c r="U1216" s="99"/>
      <c r="V1216" s="255"/>
      <c r="W1216" s="102"/>
      <c r="X1216" s="102"/>
      <c r="Y1216" s="102"/>
      <c r="AA1216" s="615"/>
      <c r="AC1216" s="92"/>
      <c r="AD1216" s="92"/>
      <c r="AE1216" s="92"/>
      <c r="AF1216" s="92"/>
      <c r="AG1216" s="92"/>
      <c r="AJ1216" s="92"/>
      <c r="AK1216" s="92"/>
      <c r="AL1216" s="92"/>
      <c r="AM1216" s="92"/>
      <c r="AN1216" s="92"/>
    </row>
    <row r="1217" spans="1:43" ht="15" customHeight="1">
      <c r="A1217" s="555" t="s">
        <v>2791</v>
      </c>
      <c r="B1217" s="217" t="str">
        <f t="shared" si="1524"/>
        <v>100</v>
      </c>
      <c r="C1217" s="217" t="str">
        <f t="shared" si="1525"/>
        <v>35</v>
      </c>
      <c r="D1217" s="101" t="str">
        <f t="shared" si="1526"/>
        <v>353</v>
      </c>
      <c r="E1217" s="217" t="str">
        <f t="shared" si="1527"/>
        <v>100-35-353</v>
      </c>
      <c r="F1217" s="294" t="str">
        <f t="shared" si="1528"/>
        <v>51226</v>
      </c>
      <c r="G1217" s="295" t="str">
        <f>VLOOKUP(F1217,'GL Category'!A:C,3,FALSE)</f>
        <v>Operations &amp; maintenance</v>
      </c>
      <c r="H1217" s="98" t="str">
        <f>VLOOKUP(F1217,'GL Category'!A:C,2,FALSE)</f>
        <v>MEDICAL SUPPLIES</v>
      </c>
      <c r="I1217" s="99">
        <f>SUMIF(Import!$B:$B,$A1217,Import!D:D)</f>
        <v>74189.59</v>
      </c>
      <c r="J1217" s="99">
        <f>SUMIF(Import!$B:$B,$A1217,Import!E:E)</f>
        <v>98686.1</v>
      </c>
      <c r="K1217" s="99">
        <f>SUMIF(Import!$B:$B,$A1217,Import!F:F)</f>
        <v>115177.23</v>
      </c>
      <c r="L1217" s="99">
        <f>SUMIF(Import!$B:$B,$A1217,Import!G:G)</f>
        <v>100529.76</v>
      </c>
      <c r="M1217" s="99">
        <f>SUMIF(Import!$B:$B,$A1217,Import!H:H)</f>
        <v>82460</v>
      </c>
      <c r="N1217" s="99">
        <f>SUMIF(Import!$B:$B,$A1217,Import!I:I)</f>
        <v>83303.649999999994</v>
      </c>
      <c r="O1217" s="99">
        <f>SUMIF(Import!$B:$B,$A1217,Import!J:J)</f>
        <v>120000</v>
      </c>
      <c r="P1217" s="99">
        <f t="shared" ref="P1217:P1223" si="1578">O1217-M1217</f>
        <v>37540</v>
      </c>
      <c r="Q1217" s="99">
        <f>SUMIF(Import!$B:$B,$A1217,Import!K:K)</f>
        <v>82460</v>
      </c>
      <c r="R1217" s="99">
        <f>SUMIF(Import!$B:$B,$A1217,Import!L:L)</f>
        <v>22540</v>
      </c>
      <c r="S1217" s="99">
        <f>SUMIF(Import!$B:$B,$A1217,Import!M:M)</f>
        <v>0</v>
      </c>
      <c r="T1217" s="99">
        <f>SUMIF(Import!$B:$B,$A1217,Import!N:N)</f>
        <v>105000</v>
      </c>
      <c r="U1217" s="99">
        <f t="shared" ref="U1217:U1223" si="1579">T1217-M1217</f>
        <v>22540</v>
      </c>
      <c r="V1217" s="255">
        <f t="shared" ref="V1217:V1223" si="1580">IF(M1217=0,"N/A",T1217/M1217-1)</f>
        <v>0.27334465195246183</v>
      </c>
      <c r="W1217" s="102" t="s">
        <v>2791</v>
      </c>
      <c r="X1217" s="102"/>
      <c r="Y1217" s="102"/>
      <c r="AA1217" s="615"/>
      <c r="AC1217" s="300"/>
      <c r="AD1217" s="300"/>
      <c r="AE1217" s="300"/>
      <c r="AF1217" s="300"/>
      <c r="AG1217" s="300"/>
      <c r="AJ1217" s="300"/>
      <c r="AK1217" s="300"/>
      <c r="AL1217" s="300"/>
      <c r="AM1217" s="300"/>
      <c r="AN1217" s="300"/>
      <c r="AO1217" s="300"/>
    </row>
    <row r="1218" spans="1:43" ht="15" customHeight="1">
      <c r="A1218" s="555" t="s">
        <v>2792</v>
      </c>
      <c r="B1218" s="217" t="str">
        <f t="shared" si="1524"/>
        <v>100</v>
      </c>
      <c r="C1218" s="217" t="str">
        <f t="shared" si="1525"/>
        <v>35</v>
      </c>
      <c r="D1218" s="101" t="str">
        <f t="shared" si="1526"/>
        <v>353</v>
      </c>
      <c r="E1218" s="217" t="str">
        <f t="shared" si="1527"/>
        <v>100-35-353</v>
      </c>
      <c r="F1218" s="294" t="str">
        <f t="shared" si="1528"/>
        <v>51210</v>
      </c>
      <c r="G1218" s="295" t="str">
        <f>VLOOKUP(F1218,'GL Category'!A:C,3,FALSE)</f>
        <v>Operations &amp; maintenance</v>
      </c>
      <c r="H1218" s="98" t="str">
        <f>VLOOKUP(F1218,'GL Category'!A:C,2,FALSE)</f>
        <v>OFFICE SUPPLIES</v>
      </c>
      <c r="I1218" s="99">
        <f>SUMIF(Import!$B:$B,$A1218,Import!D:D)</f>
        <v>0</v>
      </c>
      <c r="J1218" s="99">
        <f>SUMIF(Import!$B:$B,$A1218,Import!E:E)</f>
        <v>0</v>
      </c>
      <c r="K1218" s="99">
        <f>SUMIF(Import!$B:$B,$A1218,Import!F:F)</f>
        <v>0</v>
      </c>
      <c r="L1218" s="99">
        <f>SUMIF(Import!$B:$B,$A1218,Import!G:G)</f>
        <v>0</v>
      </c>
      <c r="M1218" s="99">
        <f>SUMIF(Import!$B:$B,$A1218,Import!H:H)</f>
        <v>0</v>
      </c>
      <c r="N1218" s="99">
        <f>SUMIF(Import!$B:$B,$A1218,Import!I:I)</f>
        <v>0</v>
      </c>
      <c r="O1218" s="99">
        <f>SUMIF(Import!$B:$B,$A1218,Import!J:J)</f>
        <v>0</v>
      </c>
      <c r="P1218" s="99">
        <f t="shared" si="1578"/>
        <v>0</v>
      </c>
      <c r="Q1218" s="99">
        <f>SUMIF(Import!$B:$B,$A1218,Import!K:K)</f>
        <v>0</v>
      </c>
      <c r="R1218" s="99">
        <f>SUMIF(Import!$B:$B,$A1218,Import!L:L)</f>
        <v>0</v>
      </c>
      <c r="S1218" s="99">
        <f>SUMIF(Import!$B:$B,$A1218,Import!M:M)</f>
        <v>0</v>
      </c>
      <c r="T1218" s="99">
        <f>SUMIF(Import!$B:$B,$A1218,Import!N:N)</f>
        <v>0</v>
      </c>
      <c r="U1218" s="99">
        <f t="shared" si="1579"/>
        <v>0</v>
      </c>
      <c r="V1218" s="255" t="str">
        <f t="shared" si="1580"/>
        <v>N/A</v>
      </c>
      <c r="W1218" s="102" t="s">
        <v>2792</v>
      </c>
      <c r="X1218" s="102"/>
      <c r="Y1218" s="102"/>
      <c r="AA1218" s="615"/>
      <c r="AC1218" s="300"/>
      <c r="AD1218" s="300"/>
      <c r="AE1218" s="300"/>
      <c r="AF1218" s="300"/>
      <c r="AG1218" s="300"/>
      <c r="AJ1218" s="300"/>
      <c r="AK1218" s="300"/>
      <c r="AL1218" s="300"/>
      <c r="AM1218" s="300"/>
      <c r="AN1218" s="300"/>
      <c r="AO1218" s="300"/>
    </row>
    <row r="1219" spans="1:43" ht="15" customHeight="1">
      <c r="A1219" s="555" t="s">
        <v>2793</v>
      </c>
      <c r="B1219" s="217" t="str">
        <f t="shared" si="1524"/>
        <v>100</v>
      </c>
      <c r="C1219" s="217" t="str">
        <f t="shared" si="1525"/>
        <v>35</v>
      </c>
      <c r="D1219" s="101" t="str">
        <f t="shared" si="1526"/>
        <v>353</v>
      </c>
      <c r="E1219" s="217" t="str">
        <f t="shared" si="1527"/>
        <v>100-35-353</v>
      </c>
      <c r="F1219" s="294" t="str">
        <f t="shared" si="1528"/>
        <v>51245</v>
      </c>
      <c r="G1219" s="295" t="str">
        <f>VLOOKUP(F1219,'GL Category'!A:C,3,FALSE)</f>
        <v>Operations &amp; maintenance</v>
      </c>
      <c r="H1219" s="98" t="str">
        <f>VLOOKUP(F1219,'GL Category'!A:C,2,FALSE)</f>
        <v>SMALL TOOLS &amp; EQUIPMENT</v>
      </c>
      <c r="I1219" s="99">
        <f>SUMIF(Import!$B:$B,$A1219,Import!D:D)</f>
        <v>3952.6</v>
      </c>
      <c r="J1219" s="99">
        <f>SUMIF(Import!$B:$B,$A1219,Import!E:E)</f>
        <v>10876.15</v>
      </c>
      <c r="K1219" s="99">
        <f>SUMIF(Import!$B:$B,$A1219,Import!F:F)</f>
        <v>7558.86</v>
      </c>
      <c r="L1219" s="99">
        <f>SUMIF(Import!$B:$B,$A1219,Import!G:G)</f>
        <v>4795.68</v>
      </c>
      <c r="M1219" s="99">
        <f>SUMIF(Import!$B:$B,$A1219,Import!H:H)</f>
        <v>7000</v>
      </c>
      <c r="N1219" s="99">
        <f>SUMIF(Import!$B:$B,$A1219,Import!I:I)</f>
        <v>3554.23</v>
      </c>
      <c r="O1219" s="99">
        <f>SUMIF(Import!$B:$B,$A1219,Import!J:J)</f>
        <v>7500</v>
      </c>
      <c r="P1219" s="99">
        <f t="shared" si="1578"/>
        <v>500</v>
      </c>
      <c r="Q1219" s="99">
        <f>SUMIF(Import!$B:$B,$A1219,Import!K:K)</f>
        <v>7000</v>
      </c>
      <c r="R1219" s="99">
        <f>SUMIF(Import!$B:$B,$A1219,Import!L:L)</f>
        <v>0</v>
      </c>
      <c r="S1219" s="99">
        <f>SUMIF(Import!$B:$B,$A1219,Import!M:M)</f>
        <v>0</v>
      </c>
      <c r="T1219" s="99">
        <f>SUMIF(Import!$B:$B,$A1219,Import!N:N)</f>
        <v>7000</v>
      </c>
      <c r="U1219" s="99">
        <f t="shared" si="1579"/>
        <v>0</v>
      </c>
      <c r="V1219" s="255">
        <f t="shared" si="1580"/>
        <v>0</v>
      </c>
      <c r="W1219" s="102" t="s">
        <v>2793</v>
      </c>
      <c r="X1219" s="102"/>
      <c r="Y1219" s="102"/>
      <c r="AA1219" s="615"/>
      <c r="AC1219" s="300"/>
      <c r="AD1219" s="300"/>
      <c r="AE1219" s="300"/>
      <c r="AF1219" s="300"/>
      <c r="AG1219" s="300"/>
      <c r="AJ1219" s="300"/>
      <c r="AK1219" s="300"/>
      <c r="AL1219" s="300"/>
      <c r="AM1219" s="300"/>
      <c r="AN1219" s="300"/>
      <c r="AO1219" s="300"/>
    </row>
    <row r="1220" spans="1:43" ht="15" customHeight="1">
      <c r="A1220" s="555" t="s">
        <v>2794</v>
      </c>
      <c r="B1220" s="217" t="str">
        <f t="shared" si="1524"/>
        <v>100</v>
      </c>
      <c r="C1220" s="217" t="str">
        <f t="shared" si="1525"/>
        <v>35</v>
      </c>
      <c r="D1220" s="101" t="str">
        <f t="shared" si="1526"/>
        <v>353</v>
      </c>
      <c r="E1220" s="217" t="str">
        <f t="shared" si="1527"/>
        <v>100-35-353</v>
      </c>
      <c r="F1220" s="294" t="str">
        <f t="shared" si="1528"/>
        <v>51255</v>
      </c>
      <c r="G1220" s="295" t="str">
        <f>VLOOKUP(F1220,'GL Category'!A:C,3,FALSE)</f>
        <v>Operations &amp; maintenance</v>
      </c>
      <c r="H1220" s="98" t="str">
        <f>VLOOKUP(F1220,'GL Category'!A:C,2,FALSE)</f>
        <v>FUEL/OILS/LUBRICANTS</v>
      </c>
      <c r="I1220" s="99">
        <f>SUMIF(Import!$B:$B,$A1220,Import!D:D)</f>
        <v>12075.34</v>
      </c>
      <c r="J1220" s="99">
        <f>SUMIF(Import!$B:$B,$A1220,Import!E:E)</f>
        <v>15555.62</v>
      </c>
      <c r="K1220" s="99">
        <f>SUMIF(Import!$B:$B,$A1220,Import!F:F)</f>
        <v>27104.44</v>
      </c>
      <c r="L1220" s="99">
        <f>SUMIF(Import!$B:$B,$A1220,Import!G:G)</f>
        <v>25569.040000000001</v>
      </c>
      <c r="M1220" s="99">
        <f>SUMIF(Import!$B:$B,$A1220,Import!H:H)</f>
        <v>26000</v>
      </c>
      <c r="N1220" s="99">
        <f>SUMIF(Import!$B:$B,$A1220,Import!I:I)</f>
        <v>18693.14</v>
      </c>
      <c r="O1220" s="99">
        <f>SUMIF(Import!$B:$B,$A1220,Import!J:J)</f>
        <v>26000</v>
      </c>
      <c r="P1220" s="99">
        <f t="shared" si="1578"/>
        <v>0</v>
      </c>
      <c r="Q1220" s="99">
        <f>SUMIF(Import!$B:$B,$A1220,Import!K:K)</f>
        <v>26000</v>
      </c>
      <c r="R1220" s="99">
        <f>SUMIF(Import!$B:$B,$A1220,Import!L:L)</f>
        <v>0</v>
      </c>
      <c r="S1220" s="99">
        <f>SUMIF(Import!$B:$B,$A1220,Import!M:M)</f>
        <v>0</v>
      </c>
      <c r="T1220" s="99">
        <f>SUMIF(Import!$B:$B,$A1220,Import!N:N)</f>
        <v>26000</v>
      </c>
      <c r="U1220" s="99">
        <f t="shared" si="1579"/>
        <v>0</v>
      </c>
      <c r="V1220" s="255">
        <f t="shared" si="1580"/>
        <v>0</v>
      </c>
      <c r="W1220" s="102" t="s">
        <v>2794</v>
      </c>
      <c r="X1220" s="102"/>
      <c r="Y1220" s="102"/>
      <c r="AA1220" s="615"/>
      <c r="AC1220" s="300"/>
      <c r="AD1220" s="300"/>
      <c r="AE1220" s="300"/>
      <c r="AF1220" s="300"/>
      <c r="AG1220" s="300"/>
      <c r="AJ1220" s="300"/>
      <c r="AK1220" s="300"/>
      <c r="AL1220" s="300"/>
      <c r="AM1220" s="300"/>
      <c r="AN1220" s="300"/>
      <c r="AO1220" s="300"/>
    </row>
    <row r="1221" spans="1:43" s="115" customFormat="1" ht="15" customHeight="1">
      <c r="A1221" s="555" t="s">
        <v>2795</v>
      </c>
      <c r="B1221" s="217" t="str">
        <f t="shared" ref="B1221:B1259" si="1581">LEFT(A1221,3)</f>
        <v>100</v>
      </c>
      <c r="C1221" s="217" t="str">
        <f t="shared" ref="C1221:C1259" si="1582">MID(A1221,5,2)</f>
        <v>35</v>
      </c>
      <c r="D1221" s="101" t="str">
        <f t="shared" ref="D1221:D1259" si="1583">MID(A1221,8,3)</f>
        <v>353</v>
      </c>
      <c r="E1221" s="217" t="str">
        <f t="shared" ref="E1221:E1259" si="1584">LEFT(A1221,10)</f>
        <v>100-35-353</v>
      </c>
      <c r="F1221" s="294" t="str">
        <f t="shared" ref="F1221:F1259" si="1585">RIGHT(A1221,5)</f>
        <v>51292</v>
      </c>
      <c r="G1221" s="295" t="str">
        <f>VLOOKUP(F1221,'GL Category'!A:C,3,FALSE)</f>
        <v>Operations &amp; maintenance</v>
      </c>
      <c r="H1221" s="98" t="str">
        <f>VLOOKUP(F1221,'GL Category'!A:C,2,FALSE)</f>
        <v>TRAINING SUPPLIES</v>
      </c>
      <c r="I1221" s="99">
        <f>SUMIF(Import!$B:$B,$A1221,Import!D:D)</f>
        <v>207.39</v>
      </c>
      <c r="J1221" s="99">
        <f>SUMIF(Import!$B:$B,$A1221,Import!E:E)</f>
        <v>0</v>
      </c>
      <c r="K1221" s="99">
        <f>SUMIF(Import!$B:$B,$A1221,Import!F:F)</f>
        <v>0</v>
      </c>
      <c r="L1221" s="99">
        <f>SUMIF(Import!$B:$B,$A1221,Import!G:G)</f>
        <v>0</v>
      </c>
      <c r="M1221" s="99">
        <f>SUMIF(Import!$B:$B,$A1221,Import!H:H)</f>
        <v>750</v>
      </c>
      <c r="N1221" s="99">
        <f>SUMIF(Import!$B:$B,$A1221,Import!I:I)</f>
        <v>0</v>
      </c>
      <c r="O1221" s="99">
        <f>SUMIF(Import!$B:$B,$A1221,Import!J:J)</f>
        <v>750</v>
      </c>
      <c r="P1221" s="99">
        <f t="shared" si="1578"/>
        <v>0</v>
      </c>
      <c r="Q1221" s="99">
        <f>SUMIF(Import!$B:$B,$A1221,Import!K:K)</f>
        <v>750</v>
      </c>
      <c r="R1221" s="99">
        <f>SUMIF(Import!$B:$B,$A1221,Import!L:L)</f>
        <v>0</v>
      </c>
      <c r="S1221" s="99">
        <f>SUMIF(Import!$B:$B,$A1221,Import!M:M)</f>
        <v>0</v>
      </c>
      <c r="T1221" s="99">
        <f>SUMIF(Import!$B:$B,$A1221,Import!N:N)</f>
        <v>750</v>
      </c>
      <c r="U1221" s="99">
        <f t="shared" si="1579"/>
        <v>0</v>
      </c>
      <c r="V1221" s="255">
        <f t="shared" si="1580"/>
        <v>0</v>
      </c>
      <c r="W1221" s="102" t="s">
        <v>2795</v>
      </c>
      <c r="X1221" s="102"/>
      <c r="Y1221" s="102"/>
      <c r="Z1221" s="192"/>
      <c r="AA1221" s="615"/>
      <c r="AB1221" s="307"/>
      <c r="AC1221" s="300"/>
      <c r="AD1221" s="300"/>
      <c r="AE1221" s="300"/>
      <c r="AF1221" s="300"/>
      <c r="AG1221" s="300"/>
      <c r="AH1221" s="307"/>
      <c r="AI1221" s="307"/>
      <c r="AJ1221" s="300"/>
      <c r="AK1221" s="300"/>
      <c r="AL1221" s="300"/>
      <c r="AM1221" s="300"/>
      <c r="AN1221" s="300"/>
      <c r="AO1221" s="300"/>
      <c r="AP1221" s="192"/>
      <c r="AQ1221" s="192"/>
    </row>
    <row r="1222" spans="1:43" s="115" customFormat="1" ht="15" customHeight="1">
      <c r="A1222" s="555" t="s">
        <v>2796</v>
      </c>
      <c r="B1222" s="217" t="str">
        <f t="shared" si="1581"/>
        <v>100</v>
      </c>
      <c r="C1222" s="217" t="str">
        <f t="shared" si="1582"/>
        <v>35</v>
      </c>
      <c r="D1222" s="101" t="str">
        <f t="shared" si="1583"/>
        <v>353</v>
      </c>
      <c r="E1222" s="217" t="str">
        <f t="shared" si="1584"/>
        <v>100-35-353</v>
      </c>
      <c r="F1222" s="294" t="str">
        <f t="shared" si="1585"/>
        <v>52460</v>
      </c>
      <c r="G1222" s="295" t="str">
        <f>VLOOKUP(F1222,'GL Category'!A:C,3,FALSE)</f>
        <v>Operations &amp; maintenance</v>
      </c>
      <c r="H1222" s="98" t="str">
        <f>VLOOKUP(F1222,'GL Category'!A:C,2,FALSE)</f>
        <v>VEHICLE MAINTENANCE</v>
      </c>
      <c r="I1222" s="99">
        <f>SUMIF(Import!$B:$B,$A1222,Import!D:D)</f>
        <v>27556.720000000001</v>
      </c>
      <c r="J1222" s="99">
        <f>SUMIF(Import!$B:$B,$A1222,Import!E:E)</f>
        <v>19690.16</v>
      </c>
      <c r="K1222" s="99">
        <f>SUMIF(Import!$B:$B,$A1222,Import!F:F)</f>
        <v>19607.349999999999</v>
      </c>
      <c r="L1222" s="99">
        <f>SUMIF(Import!$B:$B,$A1222,Import!G:G)</f>
        <v>33734.51</v>
      </c>
      <c r="M1222" s="99">
        <f>SUMIF(Import!$B:$B,$A1222,Import!H:H)</f>
        <v>23500</v>
      </c>
      <c r="N1222" s="99">
        <f>SUMIF(Import!$B:$B,$A1222,Import!I:I)</f>
        <v>21319.39</v>
      </c>
      <c r="O1222" s="99">
        <f>SUMIF(Import!$B:$B,$A1222,Import!J:J)</f>
        <v>23500</v>
      </c>
      <c r="P1222" s="99">
        <f t="shared" si="1578"/>
        <v>0</v>
      </c>
      <c r="Q1222" s="99">
        <f>SUMIF(Import!$B:$B,$A1222,Import!K:K)</f>
        <v>23500</v>
      </c>
      <c r="R1222" s="99">
        <f>SUMIF(Import!$B:$B,$A1222,Import!L:L)</f>
        <v>0</v>
      </c>
      <c r="S1222" s="99">
        <f>SUMIF(Import!$B:$B,$A1222,Import!M:M)</f>
        <v>0</v>
      </c>
      <c r="T1222" s="99">
        <f>SUMIF(Import!$B:$B,$A1222,Import!N:N)</f>
        <v>23500</v>
      </c>
      <c r="U1222" s="99">
        <f t="shared" si="1579"/>
        <v>0</v>
      </c>
      <c r="V1222" s="255">
        <f t="shared" si="1580"/>
        <v>0</v>
      </c>
      <c r="W1222" s="102" t="s">
        <v>2796</v>
      </c>
      <c r="X1222" s="102"/>
      <c r="Y1222" s="102"/>
      <c r="Z1222" s="192"/>
      <c r="AA1222" s="615"/>
      <c r="AB1222" s="307"/>
      <c r="AC1222" s="93"/>
      <c r="AD1222" s="93"/>
      <c r="AE1222" s="93"/>
      <c r="AF1222" s="93"/>
      <c r="AG1222" s="93"/>
      <c r="AH1222" s="307"/>
      <c r="AI1222" s="307"/>
      <c r="AJ1222" s="93"/>
      <c r="AK1222" s="93"/>
      <c r="AL1222" s="93"/>
      <c r="AM1222" s="93"/>
      <c r="AN1222" s="93"/>
      <c r="AO1222" s="93"/>
      <c r="AP1222" s="192"/>
      <c r="AQ1222" s="192"/>
    </row>
    <row r="1223" spans="1:43" s="115" customFormat="1" ht="15" customHeight="1">
      <c r="A1223" s="555" t="s">
        <v>2797</v>
      </c>
      <c r="B1223" s="217" t="str">
        <f t="shared" si="1581"/>
        <v>100</v>
      </c>
      <c r="C1223" s="217" t="str">
        <f t="shared" si="1582"/>
        <v>35</v>
      </c>
      <c r="D1223" s="101" t="str">
        <f t="shared" si="1583"/>
        <v>353</v>
      </c>
      <c r="E1223" s="217" t="str">
        <f t="shared" si="1584"/>
        <v>100-35-353</v>
      </c>
      <c r="F1223" s="294" t="str">
        <f t="shared" si="1585"/>
        <v>52470</v>
      </c>
      <c r="G1223" s="295" t="str">
        <f>VLOOKUP(F1223,'GL Category'!A:C,3,FALSE)</f>
        <v>Operations &amp; maintenance</v>
      </c>
      <c r="H1223" s="98" t="str">
        <f>VLOOKUP(F1223,'GL Category'!A:C,2,FALSE)</f>
        <v>EQUIPMENT MAINTENANCE</v>
      </c>
      <c r="I1223" s="99">
        <f>SUMIF(Import!$B:$B,$A1223,Import!D:D)</f>
        <v>25347.96</v>
      </c>
      <c r="J1223" s="99">
        <f>SUMIF(Import!$B:$B,$A1223,Import!E:E)</f>
        <v>17119.759999999998</v>
      </c>
      <c r="K1223" s="99">
        <f>SUMIF(Import!$B:$B,$A1223,Import!F:F)</f>
        <v>21663.34</v>
      </c>
      <c r="L1223" s="99">
        <f>SUMIF(Import!$B:$B,$A1223,Import!G:G)</f>
        <v>27161.040000000001</v>
      </c>
      <c r="M1223" s="99">
        <f>SUMIF(Import!$B:$B,$A1223,Import!H:H)</f>
        <v>35665</v>
      </c>
      <c r="N1223" s="99">
        <f>SUMIF(Import!$B:$B,$A1223,Import!I:I)</f>
        <v>24700.080000000002</v>
      </c>
      <c r="O1223" s="99">
        <f>SUMIF(Import!$B:$B,$A1223,Import!J:J)</f>
        <v>35665</v>
      </c>
      <c r="P1223" s="99">
        <f t="shared" si="1578"/>
        <v>0</v>
      </c>
      <c r="Q1223" s="99">
        <f>SUMIF(Import!$B:$B,$A1223,Import!K:K)</f>
        <v>35665</v>
      </c>
      <c r="R1223" s="99">
        <f>SUMIF(Import!$B:$B,$A1223,Import!L:L)</f>
        <v>0</v>
      </c>
      <c r="S1223" s="99">
        <f>SUMIF(Import!$B:$B,$A1223,Import!M:M)</f>
        <v>0</v>
      </c>
      <c r="T1223" s="99">
        <f>SUMIF(Import!$B:$B,$A1223,Import!N:N)</f>
        <v>35665</v>
      </c>
      <c r="U1223" s="99">
        <f t="shared" si="1579"/>
        <v>0</v>
      </c>
      <c r="V1223" s="255">
        <f t="shared" si="1580"/>
        <v>0</v>
      </c>
      <c r="W1223" s="102" t="s">
        <v>2797</v>
      </c>
      <c r="X1223" s="102"/>
      <c r="Y1223" s="102"/>
      <c r="Z1223" s="192"/>
      <c r="AA1223" s="615"/>
      <c r="AB1223" s="307"/>
      <c r="AC1223" s="300"/>
      <c r="AD1223" s="300"/>
      <c r="AE1223" s="300"/>
      <c r="AF1223" s="300"/>
      <c r="AG1223" s="300"/>
      <c r="AH1223" s="307"/>
      <c r="AI1223" s="307"/>
      <c r="AJ1223" s="300"/>
      <c r="AK1223" s="300"/>
      <c r="AL1223" s="300"/>
      <c r="AM1223" s="300"/>
      <c r="AN1223" s="300"/>
      <c r="AO1223" s="300"/>
      <c r="AP1223" s="192"/>
      <c r="AQ1223" s="192"/>
    </row>
    <row r="1224" spans="1:43" s="115" customFormat="1" ht="25.35" customHeight="1">
      <c r="A1224" s="555"/>
      <c r="B1224" s="217"/>
      <c r="C1224" s="217"/>
      <c r="D1224" s="101"/>
      <c r="E1224" s="217"/>
      <c r="F1224" s="294"/>
      <c r="G1224" s="295"/>
      <c r="H1224" s="107" t="str">
        <f>UPPER(G1223)&amp;" TOTAL"</f>
        <v>OPERATIONS &amp; MAINTENANCE TOTAL</v>
      </c>
      <c r="I1224" s="109">
        <f t="shared" ref="I1224" si="1586">SUBTOTAL(9,I1217:I1223)</f>
        <v>143329.60000000001</v>
      </c>
      <c r="J1224" s="109">
        <f t="shared" ref="J1224:T1224" si="1587">SUBTOTAL(9,J1217:J1223)</f>
        <v>161927.79</v>
      </c>
      <c r="K1224" s="109">
        <f t="shared" ref="K1224" si="1588">SUBTOTAL(9,K1217:K1223)</f>
        <v>191111.22</v>
      </c>
      <c r="L1224" s="109">
        <f t="shared" ref="L1224" si="1589">SUBTOTAL(9,L1217:L1223)</f>
        <v>191790.03000000003</v>
      </c>
      <c r="M1224" s="109">
        <f t="shared" si="1587"/>
        <v>175375</v>
      </c>
      <c r="N1224" s="109">
        <f t="shared" ref="N1224" si="1590">SUBTOTAL(9,N1217:N1223)</f>
        <v>151570.49</v>
      </c>
      <c r="O1224" s="109">
        <f t="shared" si="1587"/>
        <v>213415</v>
      </c>
      <c r="P1224" s="109">
        <f t="shared" si="1587"/>
        <v>38040</v>
      </c>
      <c r="Q1224" s="109">
        <f t="shared" si="1587"/>
        <v>175375</v>
      </c>
      <c r="R1224" s="109">
        <f t="shared" si="1587"/>
        <v>22540</v>
      </c>
      <c r="S1224" s="109">
        <f t="shared" si="1587"/>
        <v>0</v>
      </c>
      <c r="T1224" s="109">
        <f t="shared" si="1587"/>
        <v>197915</v>
      </c>
      <c r="U1224" s="99">
        <f>T1224-M1224</f>
        <v>22540</v>
      </c>
      <c r="V1224" s="255">
        <f>IF(M1224=0,"N/A",T1224/M1224-1)</f>
        <v>0.12852459016393447</v>
      </c>
      <c r="W1224" s="102"/>
      <c r="X1224" s="102"/>
      <c r="Y1224" s="102"/>
      <c r="Z1224" s="192"/>
      <c r="AA1224" s="615"/>
      <c r="AB1224" s="307"/>
      <c r="AC1224" s="300"/>
      <c r="AD1224" s="300"/>
      <c r="AE1224" s="300"/>
      <c r="AF1224" s="300"/>
      <c r="AG1224" s="300"/>
      <c r="AH1224" s="307"/>
      <c r="AI1224" s="307"/>
      <c r="AJ1224" s="300"/>
      <c r="AK1224" s="300"/>
      <c r="AL1224" s="300"/>
      <c r="AM1224" s="300"/>
      <c r="AN1224" s="300"/>
      <c r="AO1224" s="300"/>
      <c r="AP1224" s="192"/>
      <c r="AQ1224" s="192"/>
    </row>
    <row r="1225" spans="1:43" s="115" customFormat="1" ht="15" customHeight="1">
      <c r="A1225" s="555"/>
      <c r="B1225" s="217"/>
      <c r="C1225" s="217"/>
      <c r="D1225" s="101"/>
      <c r="E1225" s="217"/>
      <c r="F1225" s="294"/>
      <c r="G1225" s="295"/>
      <c r="H1225" s="98"/>
      <c r="I1225" s="106"/>
      <c r="J1225" s="106"/>
      <c r="K1225" s="106"/>
      <c r="L1225" s="106"/>
      <c r="M1225" s="106"/>
      <c r="N1225" s="112"/>
      <c r="O1225" s="112"/>
      <c r="P1225" s="112"/>
      <c r="Q1225" s="113"/>
      <c r="R1225" s="113"/>
      <c r="S1225" s="113"/>
      <c r="T1225" s="113"/>
      <c r="U1225" s="99"/>
      <c r="V1225" s="255"/>
      <c r="W1225" s="102"/>
      <c r="X1225" s="102"/>
      <c r="Y1225" s="102"/>
      <c r="Z1225" s="192"/>
      <c r="AA1225" s="615"/>
      <c r="AB1225" s="307"/>
      <c r="AC1225" s="300"/>
      <c r="AD1225" s="300"/>
      <c r="AE1225" s="300"/>
      <c r="AF1225" s="300"/>
      <c r="AG1225" s="300"/>
      <c r="AH1225" s="307"/>
      <c r="AI1225" s="307"/>
      <c r="AJ1225" s="300"/>
      <c r="AK1225" s="300"/>
      <c r="AL1225" s="300"/>
      <c r="AM1225" s="300"/>
      <c r="AN1225" s="300"/>
      <c r="AO1225" s="300"/>
      <c r="AP1225" s="192"/>
      <c r="AQ1225" s="192"/>
    </row>
    <row r="1226" spans="1:43" s="115" customFormat="1" ht="15" customHeight="1">
      <c r="A1226" s="555" t="s">
        <v>2798</v>
      </c>
      <c r="B1226" s="217" t="str">
        <f t="shared" si="1581"/>
        <v>100</v>
      </c>
      <c r="C1226" s="217" t="str">
        <f t="shared" si="1582"/>
        <v>35</v>
      </c>
      <c r="D1226" s="101" t="str">
        <f t="shared" si="1583"/>
        <v>353</v>
      </c>
      <c r="E1226" s="217" t="str">
        <f t="shared" si="1584"/>
        <v>100-35-353</v>
      </c>
      <c r="F1226" s="294" t="str">
        <f t="shared" si="1585"/>
        <v>53505</v>
      </c>
      <c r="G1226" s="295" t="str">
        <f>VLOOKUP(F1226,'GL Category'!A:C,3,FALSE)</f>
        <v>Services &amp; other</v>
      </c>
      <c r="H1226" s="98" t="str">
        <f>VLOOKUP(F1226,'GL Category'!A:C,2,FALSE)</f>
        <v>PUBLIC EDUCATION SERVICES</v>
      </c>
      <c r="I1226" s="99">
        <f>SUMIF(Import!$B:$B,$A1226,Import!D:D)</f>
        <v>0</v>
      </c>
      <c r="J1226" s="99">
        <f>SUMIF(Import!$B:$B,$A1226,Import!E:E)</f>
        <v>0</v>
      </c>
      <c r="K1226" s="99">
        <f>SUMIF(Import!$B:$B,$A1226,Import!F:F)</f>
        <v>0</v>
      </c>
      <c r="L1226" s="99">
        <f>SUMIF(Import!$B:$B,$A1226,Import!G:G)</f>
        <v>0</v>
      </c>
      <c r="M1226" s="99">
        <f>SUMIF(Import!$B:$B,$A1226,Import!H:H)</f>
        <v>0</v>
      </c>
      <c r="N1226" s="99">
        <f>SUMIF(Import!$B:$B,$A1226,Import!I:I)</f>
        <v>0</v>
      </c>
      <c r="O1226" s="99">
        <f>SUMIF(Import!$B:$B,$A1226,Import!J:J)</f>
        <v>0</v>
      </c>
      <c r="P1226" s="99">
        <f t="shared" ref="P1226:P1233" si="1591">O1226-M1226</f>
        <v>0</v>
      </c>
      <c r="Q1226" s="99">
        <f>SUMIF(Import!$B:$B,$A1226,Import!K:K)</f>
        <v>0</v>
      </c>
      <c r="R1226" s="99">
        <f>SUMIF(Import!$B:$B,$A1226,Import!L:L)</f>
        <v>0</v>
      </c>
      <c r="S1226" s="99">
        <f>SUMIF(Import!$B:$B,$A1226,Import!M:M)</f>
        <v>0</v>
      </c>
      <c r="T1226" s="99">
        <f>SUMIF(Import!$B:$B,$A1226,Import!N:N)</f>
        <v>0</v>
      </c>
      <c r="U1226" s="99">
        <f t="shared" ref="U1226:U1233" si="1592">T1226-M1226</f>
        <v>0</v>
      </c>
      <c r="V1226" s="255" t="str">
        <f t="shared" ref="V1226:V1233" si="1593">IF(M1226=0,"N/A",T1226/M1226-1)</f>
        <v>N/A</v>
      </c>
      <c r="W1226" s="102" t="s">
        <v>2798</v>
      </c>
      <c r="X1226" s="102"/>
      <c r="Y1226" s="102"/>
      <c r="Z1226" s="192"/>
      <c r="AA1226" s="615"/>
      <c r="AB1226" s="307"/>
      <c r="AC1226" s="300"/>
      <c r="AD1226" s="300"/>
      <c r="AE1226" s="300"/>
      <c r="AF1226" s="300"/>
      <c r="AG1226" s="300"/>
      <c r="AH1226" s="307"/>
      <c r="AI1226" s="307"/>
      <c r="AJ1226" s="300"/>
      <c r="AK1226" s="300"/>
      <c r="AL1226" s="300"/>
      <c r="AM1226" s="300"/>
      <c r="AN1226" s="300"/>
      <c r="AO1226" s="300"/>
      <c r="AP1226" s="192"/>
      <c r="AQ1226" s="192"/>
    </row>
    <row r="1227" spans="1:43" s="115" customFormat="1" ht="15" customHeight="1">
      <c r="A1227" s="555" t="s">
        <v>2800</v>
      </c>
      <c r="B1227" s="217" t="str">
        <f t="shared" si="1581"/>
        <v>100</v>
      </c>
      <c r="C1227" s="217" t="str">
        <f t="shared" si="1582"/>
        <v>35</v>
      </c>
      <c r="D1227" s="101" t="str">
        <f t="shared" si="1583"/>
        <v>353</v>
      </c>
      <c r="E1227" s="217" t="str">
        <f t="shared" si="1584"/>
        <v>100-35-353</v>
      </c>
      <c r="F1227" s="294" t="str">
        <f t="shared" si="1585"/>
        <v>53510</v>
      </c>
      <c r="G1227" s="295" t="str">
        <f>VLOOKUP(F1227,'GL Category'!A:C,3,FALSE)</f>
        <v>Services &amp; other</v>
      </c>
      <c r="H1227" s="98" t="str">
        <f>VLOOKUP(F1227,'GL Category'!A:C,2,FALSE)</f>
        <v>DUES &amp; SUBSCRIPTIONS</v>
      </c>
      <c r="I1227" s="99">
        <f>SUMIF(Import!$B:$B,$A1227,Import!D:D)</f>
        <v>5334.06</v>
      </c>
      <c r="J1227" s="99">
        <f>SUMIF(Import!$B:$B,$A1227,Import!E:E)</f>
        <v>7001.2</v>
      </c>
      <c r="K1227" s="99">
        <f>SUMIF(Import!$B:$B,$A1227,Import!F:F)</f>
        <v>5739.72</v>
      </c>
      <c r="L1227" s="99">
        <f>SUMIF(Import!$B:$B,$A1227,Import!G:G)</f>
        <v>10622.88</v>
      </c>
      <c r="M1227" s="99">
        <f>SUMIF(Import!$B:$B,$A1227,Import!H:H)</f>
        <v>12210</v>
      </c>
      <c r="N1227" s="99">
        <f>SUMIF(Import!$B:$B,$A1227,Import!I:I)</f>
        <v>1591.42</v>
      </c>
      <c r="O1227" s="99">
        <f>SUMIF(Import!$B:$B,$A1227,Import!J:J)</f>
        <v>7960</v>
      </c>
      <c r="P1227" s="99">
        <f t="shared" si="1591"/>
        <v>-4250</v>
      </c>
      <c r="Q1227" s="99">
        <f>SUMIF(Import!$B:$B,$A1227,Import!K:K)</f>
        <v>12210</v>
      </c>
      <c r="R1227" s="99">
        <f>SUMIF(Import!$B:$B,$A1227,Import!L:L)</f>
        <v>0</v>
      </c>
      <c r="S1227" s="99">
        <f>SUMIF(Import!$B:$B,$A1227,Import!M:M)</f>
        <v>0</v>
      </c>
      <c r="T1227" s="99">
        <f>SUMIF(Import!$B:$B,$A1227,Import!N:N)</f>
        <v>12210</v>
      </c>
      <c r="U1227" s="99">
        <f t="shared" si="1592"/>
        <v>0</v>
      </c>
      <c r="V1227" s="255">
        <f t="shared" si="1593"/>
        <v>0</v>
      </c>
      <c r="W1227" s="102" t="s">
        <v>2800</v>
      </c>
      <c r="X1227" s="102"/>
      <c r="Y1227" s="102"/>
      <c r="Z1227" s="192"/>
      <c r="AA1227" s="615"/>
      <c r="AB1227" s="307"/>
      <c r="AC1227" s="93"/>
      <c r="AD1227" s="93"/>
      <c r="AE1227" s="93"/>
      <c r="AF1227" s="93"/>
      <c r="AG1227" s="93"/>
      <c r="AH1227" s="307"/>
      <c r="AI1227" s="307"/>
      <c r="AJ1227" s="93"/>
      <c r="AK1227" s="93"/>
      <c r="AL1227" s="93"/>
      <c r="AM1227" s="93"/>
      <c r="AN1227" s="93"/>
      <c r="AO1227" s="93"/>
      <c r="AP1227" s="192"/>
      <c r="AQ1227" s="192"/>
    </row>
    <row r="1228" spans="1:43" s="115" customFormat="1" ht="15" customHeight="1">
      <c r="A1228" s="555" t="s">
        <v>2801</v>
      </c>
      <c r="B1228" s="217" t="str">
        <f t="shared" si="1581"/>
        <v>100</v>
      </c>
      <c r="C1228" s="217" t="str">
        <f t="shared" si="1582"/>
        <v>35</v>
      </c>
      <c r="D1228" s="101" t="str">
        <f t="shared" si="1583"/>
        <v>353</v>
      </c>
      <c r="E1228" s="217" t="str">
        <f t="shared" si="1584"/>
        <v>100-35-353</v>
      </c>
      <c r="F1228" s="294" t="str">
        <f t="shared" si="1585"/>
        <v>53515</v>
      </c>
      <c r="G1228" s="295" t="str">
        <f>VLOOKUP(F1228,'GL Category'!A:C,3,FALSE)</f>
        <v>Services &amp; other</v>
      </c>
      <c r="H1228" s="98" t="str">
        <f>VLOOKUP(F1228,'GL Category'!A:C,2,FALSE)</f>
        <v>TRAVEL, TRAINING &amp; EDUCATION</v>
      </c>
      <c r="I1228" s="99">
        <f>SUMIF(Import!$B:$B,$A1228,Import!D:D)</f>
        <v>19531.310000000001</v>
      </c>
      <c r="J1228" s="99">
        <f>SUMIF(Import!$B:$B,$A1228,Import!E:E)</f>
        <v>15284</v>
      </c>
      <c r="K1228" s="99">
        <f>SUMIF(Import!$B:$B,$A1228,Import!F:F)</f>
        <v>16403.580000000002</v>
      </c>
      <c r="L1228" s="99">
        <f>SUMIF(Import!$B:$B,$A1228,Import!G:G)</f>
        <v>33009.4</v>
      </c>
      <c r="M1228" s="99">
        <f>SUMIF(Import!$B:$B,$A1228,Import!H:H)</f>
        <v>22400</v>
      </c>
      <c r="N1228" s="99">
        <f>SUMIF(Import!$B:$B,$A1228,Import!I:I)</f>
        <v>16295</v>
      </c>
      <c r="O1228" s="99">
        <f>SUMIF(Import!$B:$B,$A1228,Import!J:J)</f>
        <v>27400</v>
      </c>
      <c r="P1228" s="99">
        <f t="shared" si="1591"/>
        <v>5000</v>
      </c>
      <c r="Q1228" s="99">
        <f>SUMIF(Import!$B:$B,$A1228,Import!K:K)</f>
        <v>27400</v>
      </c>
      <c r="R1228" s="99">
        <f>SUMIF(Import!$B:$B,$A1228,Import!L:L)</f>
        <v>0</v>
      </c>
      <c r="S1228" s="99">
        <f>SUMIF(Import!$B:$B,$A1228,Import!M:M)</f>
        <v>0</v>
      </c>
      <c r="T1228" s="99">
        <f>SUMIF(Import!$B:$B,$A1228,Import!N:N)</f>
        <v>27400</v>
      </c>
      <c r="U1228" s="99">
        <f t="shared" si="1592"/>
        <v>5000</v>
      </c>
      <c r="V1228" s="255">
        <f t="shared" si="1593"/>
        <v>0.22321428571428581</v>
      </c>
      <c r="W1228" s="102" t="s">
        <v>2801</v>
      </c>
      <c r="X1228" s="102"/>
      <c r="Y1228" s="102"/>
      <c r="Z1228" s="192"/>
      <c r="AA1228" s="615"/>
      <c r="AB1228" s="307"/>
      <c r="AC1228" s="300"/>
      <c r="AD1228" s="300"/>
      <c r="AE1228" s="300"/>
      <c r="AF1228" s="300"/>
      <c r="AG1228" s="300"/>
      <c r="AH1228" s="307"/>
      <c r="AI1228" s="307"/>
      <c r="AJ1228" s="300"/>
      <c r="AK1228" s="300"/>
      <c r="AL1228" s="300"/>
      <c r="AM1228" s="300"/>
      <c r="AN1228" s="300"/>
      <c r="AO1228" s="300"/>
      <c r="AP1228" s="192"/>
      <c r="AQ1228" s="192"/>
    </row>
    <row r="1229" spans="1:43" s="115" customFormat="1" ht="15" customHeight="1">
      <c r="A1229" s="555" t="s">
        <v>2802</v>
      </c>
      <c r="B1229" s="217" t="str">
        <f t="shared" si="1581"/>
        <v>100</v>
      </c>
      <c r="C1229" s="217" t="str">
        <f t="shared" si="1582"/>
        <v>35</v>
      </c>
      <c r="D1229" s="101" t="str">
        <f t="shared" si="1583"/>
        <v>353</v>
      </c>
      <c r="E1229" s="217" t="str">
        <f t="shared" si="1584"/>
        <v>100-35-353</v>
      </c>
      <c r="F1229" s="294" t="str">
        <f t="shared" si="1585"/>
        <v>53517</v>
      </c>
      <c r="G1229" s="295" t="str">
        <f>VLOOKUP(F1229,'GL Category'!A:C,3,FALSE)</f>
        <v>Services &amp; other</v>
      </c>
      <c r="H1229" s="98" t="str">
        <f>VLOOKUP(F1229,'GL Category'!A:C,2,FALSE)</f>
        <v>MEDICAL SERVICES</v>
      </c>
      <c r="I1229" s="99">
        <f>SUMIF(Import!$B:$B,$A1229,Import!D:D)</f>
        <v>13900</v>
      </c>
      <c r="J1229" s="99">
        <f>SUMIF(Import!$B:$B,$A1229,Import!E:E)</f>
        <v>14206.6</v>
      </c>
      <c r="K1229" s="99">
        <f>SUMIF(Import!$B:$B,$A1229,Import!F:F)</f>
        <v>13095</v>
      </c>
      <c r="L1229" s="99">
        <f>SUMIF(Import!$B:$B,$A1229,Import!G:G)</f>
        <v>0</v>
      </c>
      <c r="M1229" s="99">
        <f>SUMIF(Import!$B:$B,$A1229,Import!H:H)</f>
        <v>0</v>
      </c>
      <c r="N1229" s="99">
        <f>SUMIF(Import!$B:$B,$A1229,Import!I:I)</f>
        <v>0</v>
      </c>
      <c r="O1229" s="99">
        <f>SUMIF(Import!$B:$B,$A1229,Import!J:J)</f>
        <v>0</v>
      </c>
      <c r="P1229" s="99">
        <f t="shared" si="1591"/>
        <v>0</v>
      </c>
      <c r="Q1229" s="99">
        <f>SUMIF(Import!$B:$B,$A1229,Import!K:K)</f>
        <v>0</v>
      </c>
      <c r="R1229" s="99">
        <f>SUMIF(Import!$B:$B,$A1229,Import!L:L)</f>
        <v>0</v>
      </c>
      <c r="S1229" s="99">
        <f>SUMIF(Import!$B:$B,$A1229,Import!M:M)</f>
        <v>0</v>
      </c>
      <c r="T1229" s="99">
        <f>SUMIF(Import!$B:$B,$A1229,Import!N:N)</f>
        <v>0</v>
      </c>
      <c r="U1229" s="99">
        <f t="shared" si="1592"/>
        <v>0</v>
      </c>
      <c r="V1229" s="255" t="str">
        <f t="shared" si="1593"/>
        <v>N/A</v>
      </c>
      <c r="W1229" s="102" t="s">
        <v>2802</v>
      </c>
      <c r="X1229" s="102"/>
      <c r="Y1229" s="102"/>
      <c r="Z1229" s="192"/>
      <c r="AA1229" s="615"/>
      <c r="AB1229" s="307"/>
      <c r="AC1229" s="300"/>
      <c r="AD1229" s="300"/>
      <c r="AE1229" s="300"/>
      <c r="AF1229" s="300"/>
      <c r="AG1229" s="300"/>
      <c r="AH1229" s="307"/>
      <c r="AI1229" s="307"/>
      <c r="AJ1229" s="300"/>
      <c r="AK1229" s="300"/>
      <c r="AL1229" s="300"/>
      <c r="AM1229" s="300"/>
      <c r="AN1229" s="300"/>
      <c r="AO1229" s="300"/>
      <c r="AP1229" s="192"/>
      <c r="AQ1229" s="192"/>
    </row>
    <row r="1230" spans="1:43" s="115" customFormat="1" ht="15" customHeight="1">
      <c r="A1230" s="555" t="s">
        <v>2803</v>
      </c>
      <c r="B1230" s="217" t="str">
        <f t="shared" si="1581"/>
        <v>100</v>
      </c>
      <c r="C1230" s="217" t="str">
        <f t="shared" si="1582"/>
        <v>35</v>
      </c>
      <c r="D1230" s="101" t="str">
        <f t="shared" si="1583"/>
        <v>353</v>
      </c>
      <c r="E1230" s="217" t="str">
        <f t="shared" si="1584"/>
        <v>100-35-353</v>
      </c>
      <c r="F1230" s="294" t="str">
        <f t="shared" si="1585"/>
        <v>53520</v>
      </c>
      <c r="G1230" s="295" t="str">
        <f>VLOOKUP(F1230,'GL Category'!A:C,3,FALSE)</f>
        <v>Services &amp; other</v>
      </c>
      <c r="H1230" s="98" t="str">
        <f>VLOOKUP(F1230,'GL Category'!A:C,2,FALSE)</f>
        <v>AMBULANCE BILLING FEES</v>
      </c>
      <c r="I1230" s="99">
        <f>SUMIF(Import!$B:$B,$A1230,Import!D:D)</f>
        <v>93447.56</v>
      </c>
      <c r="J1230" s="99">
        <f>SUMIF(Import!$B:$B,$A1230,Import!E:E)</f>
        <v>113443.81</v>
      </c>
      <c r="K1230" s="99">
        <f>SUMIF(Import!$B:$B,$A1230,Import!F:F)</f>
        <v>122834.49</v>
      </c>
      <c r="L1230" s="99">
        <f>SUMIF(Import!$B:$B,$A1230,Import!G:G)</f>
        <v>122189.61</v>
      </c>
      <c r="M1230" s="99">
        <f>SUMIF(Import!$B:$B,$A1230,Import!H:H)</f>
        <v>115000</v>
      </c>
      <c r="N1230" s="99">
        <f>SUMIF(Import!$B:$B,$A1230,Import!I:I)</f>
        <v>112314.54</v>
      </c>
      <c r="O1230" s="99">
        <f>SUMIF(Import!$B:$B,$A1230,Import!J:J)</f>
        <v>120000</v>
      </c>
      <c r="P1230" s="99">
        <f t="shared" si="1591"/>
        <v>5000</v>
      </c>
      <c r="Q1230" s="99">
        <f>SUMIF(Import!$B:$B,$A1230,Import!K:K)</f>
        <v>115000</v>
      </c>
      <c r="R1230" s="99">
        <f>SUMIF(Import!$B:$B,$A1230,Import!L:L)</f>
        <v>10000</v>
      </c>
      <c r="S1230" s="99">
        <f>SUMIF(Import!$B:$B,$A1230,Import!M:M)</f>
        <v>0</v>
      </c>
      <c r="T1230" s="99">
        <f>SUMIF(Import!$B:$B,$A1230,Import!N:N)</f>
        <v>125000</v>
      </c>
      <c r="U1230" s="99">
        <f t="shared" si="1592"/>
        <v>10000</v>
      </c>
      <c r="V1230" s="255">
        <f t="shared" si="1593"/>
        <v>8.6956521739130377E-2</v>
      </c>
      <c r="W1230" s="102" t="s">
        <v>2803</v>
      </c>
      <c r="X1230" s="102"/>
      <c r="Y1230" s="102"/>
      <c r="Z1230" s="192"/>
      <c r="AA1230" s="615"/>
      <c r="AB1230" s="307"/>
      <c r="AC1230" s="300"/>
      <c r="AD1230" s="300"/>
      <c r="AE1230" s="300"/>
      <c r="AF1230" s="300"/>
      <c r="AG1230" s="300"/>
      <c r="AH1230" s="307"/>
      <c r="AI1230" s="307"/>
      <c r="AJ1230" s="300"/>
      <c r="AK1230" s="300"/>
      <c r="AL1230" s="300"/>
      <c r="AM1230" s="300"/>
      <c r="AN1230" s="300"/>
      <c r="AO1230" s="300"/>
      <c r="AP1230" s="192"/>
      <c r="AQ1230" s="192"/>
    </row>
    <row r="1231" spans="1:43" s="115" customFormat="1" ht="15" customHeight="1">
      <c r="A1231" s="555" t="s">
        <v>2799</v>
      </c>
      <c r="B1231" s="217" t="str">
        <f t="shared" si="1581"/>
        <v>100</v>
      </c>
      <c r="C1231" s="217" t="str">
        <f t="shared" si="1582"/>
        <v>35</v>
      </c>
      <c r="D1231" s="101" t="str">
        <f t="shared" si="1583"/>
        <v>353</v>
      </c>
      <c r="E1231" s="217" t="str">
        <f t="shared" si="1584"/>
        <v>100-35-353</v>
      </c>
      <c r="F1231" s="294" t="str">
        <f t="shared" si="1585"/>
        <v>53599</v>
      </c>
      <c r="G1231" s="295" t="str">
        <f>VLOOKUP(F1231,'GL Category'!A:C,3,FALSE)</f>
        <v>Services &amp; other</v>
      </c>
      <c r="H1231" s="98" t="str">
        <f>VLOOKUP(F1231,'GL Category'!A:C,2,FALSE)</f>
        <v>MISCELLANEOUS SERVICES</v>
      </c>
      <c r="I1231" s="99">
        <f>SUMIF(Import!$B:$B,$A1231,Import!D:D)</f>
        <v>12446.31</v>
      </c>
      <c r="J1231" s="99">
        <f>SUMIF(Import!$B:$B,$A1231,Import!E:E)</f>
        <v>12149.66</v>
      </c>
      <c r="K1231" s="99">
        <f>SUMIF(Import!$B:$B,$A1231,Import!F:F)</f>
        <v>12603.78</v>
      </c>
      <c r="L1231" s="99">
        <f>SUMIF(Import!$B:$B,$A1231,Import!G:G)</f>
        <v>47880</v>
      </c>
      <c r="M1231" s="99">
        <f>SUMIF(Import!$B:$B,$A1231,Import!H:H)</f>
        <v>14600</v>
      </c>
      <c r="N1231" s="99">
        <f>SUMIF(Import!$B:$B,$A1231,Import!I:I)</f>
        <v>13167.33</v>
      </c>
      <c r="O1231" s="99">
        <f>SUMIF(Import!$B:$B,$A1231,Import!J:J)</f>
        <v>14600</v>
      </c>
      <c r="P1231" s="99">
        <f t="shared" si="1591"/>
        <v>0</v>
      </c>
      <c r="Q1231" s="99">
        <f>SUMIF(Import!$B:$B,$A1231,Import!K:K)</f>
        <v>14600</v>
      </c>
      <c r="R1231" s="99">
        <f>SUMIF(Import!$B:$B,$A1231,Import!L:L)</f>
        <v>0</v>
      </c>
      <c r="S1231" s="99">
        <f>SUMIF(Import!$B:$B,$A1231,Import!M:M)</f>
        <v>0</v>
      </c>
      <c r="T1231" s="99">
        <f>SUMIF(Import!$B:$B,$A1231,Import!N:N)</f>
        <v>14600</v>
      </c>
      <c r="U1231" s="99">
        <f t="shared" si="1592"/>
        <v>0</v>
      </c>
      <c r="V1231" s="255">
        <f t="shared" si="1593"/>
        <v>0</v>
      </c>
      <c r="W1231" s="102" t="s">
        <v>2799</v>
      </c>
      <c r="X1231" s="102"/>
      <c r="Y1231" s="102"/>
      <c r="Z1231" s="192"/>
      <c r="AA1231" s="615"/>
      <c r="AB1231" s="307"/>
      <c r="AC1231" s="94"/>
      <c r="AD1231" s="94"/>
      <c r="AE1231" s="94"/>
      <c r="AF1231" s="94"/>
      <c r="AG1231" s="94"/>
      <c r="AH1231" s="307"/>
      <c r="AI1231" s="307"/>
      <c r="AJ1231" s="94"/>
      <c r="AK1231" s="94"/>
      <c r="AL1231" s="94"/>
      <c r="AM1231" s="94"/>
      <c r="AN1231" s="94"/>
      <c r="AO1231" s="94"/>
      <c r="AP1231" s="192"/>
      <c r="AQ1231" s="192"/>
    </row>
    <row r="1232" spans="1:43" s="115" customFormat="1" ht="15" customHeight="1">
      <c r="A1232" s="555" t="s">
        <v>2804</v>
      </c>
      <c r="B1232" s="217" t="str">
        <f t="shared" si="1581"/>
        <v>100</v>
      </c>
      <c r="C1232" s="217" t="str">
        <f t="shared" si="1582"/>
        <v>35</v>
      </c>
      <c r="D1232" s="101" t="str">
        <f t="shared" si="1583"/>
        <v>353</v>
      </c>
      <c r="E1232" s="217" t="str">
        <f t="shared" si="1584"/>
        <v>100-35-353</v>
      </c>
      <c r="F1232" s="294" t="str">
        <f t="shared" si="1585"/>
        <v>55175</v>
      </c>
      <c r="G1232" s="295" t="str">
        <f>VLOOKUP(F1232,'GL Category'!A:C,3,FALSE)</f>
        <v>Services &amp; other</v>
      </c>
      <c r="H1232" s="98" t="str">
        <f>VLOOKUP(F1232,'GL Category'!A:C,2,FALSE)</f>
        <v>VEHICLE/EQUIP LEASE EXP-CITY</v>
      </c>
      <c r="I1232" s="99">
        <f>SUMIF(Import!$B:$B,$A1232,Import!D:D)</f>
        <v>18948</v>
      </c>
      <c r="J1232" s="99">
        <f>SUMIF(Import!$B:$B,$A1232,Import!E:E)</f>
        <v>18948</v>
      </c>
      <c r="K1232" s="99">
        <f>SUMIF(Import!$B:$B,$A1232,Import!F:F)</f>
        <v>32888</v>
      </c>
      <c r="L1232" s="99">
        <f>SUMIF(Import!$B:$B,$A1232,Import!G:G)</f>
        <v>71565</v>
      </c>
      <c r="M1232" s="99">
        <f>SUMIF(Import!$B:$B,$A1232,Import!H:H)</f>
        <v>116877</v>
      </c>
      <c r="N1232" s="99">
        <f>SUMIF(Import!$B:$B,$A1232,Import!I:I)</f>
        <v>87657.75</v>
      </c>
      <c r="O1232" s="99">
        <f>SUMIF(Import!$B:$B,$A1232,Import!J:J)</f>
        <v>116877</v>
      </c>
      <c r="P1232" s="99">
        <f t="shared" si="1591"/>
        <v>0</v>
      </c>
      <c r="Q1232" s="99">
        <f>SUMIF(Import!$B:$B,$A1232,Import!K:K)</f>
        <v>136296</v>
      </c>
      <c r="R1232" s="99">
        <f>SUMIF(Import!$B:$B,$A1232,Import!L:L)</f>
        <v>0</v>
      </c>
      <c r="S1232" s="99">
        <f>SUMIF(Import!$B:$B,$A1232,Import!M:M)</f>
        <v>0</v>
      </c>
      <c r="T1232" s="99">
        <f>SUMIF(Import!$B:$B,$A1232,Import!N:N)</f>
        <v>136296</v>
      </c>
      <c r="U1232" s="99">
        <f t="shared" si="1592"/>
        <v>19419</v>
      </c>
      <c r="V1232" s="255">
        <f t="shared" si="1593"/>
        <v>0.16614902846582313</v>
      </c>
      <c r="W1232" s="102" t="s">
        <v>2804</v>
      </c>
      <c r="X1232" s="102"/>
      <c r="Y1232" s="102"/>
      <c r="Z1232" s="192"/>
      <c r="AA1232" s="615"/>
      <c r="AB1232" s="307"/>
      <c r="AC1232" s="300"/>
      <c r="AD1232" s="300"/>
      <c r="AE1232" s="300"/>
      <c r="AF1232" s="300"/>
      <c r="AG1232" s="300"/>
      <c r="AH1232" s="307"/>
      <c r="AI1232" s="307"/>
      <c r="AJ1232" s="300"/>
      <c r="AK1232" s="300"/>
      <c r="AL1232" s="300"/>
      <c r="AM1232" s="300"/>
      <c r="AN1232" s="300"/>
      <c r="AO1232" s="300"/>
      <c r="AP1232" s="192"/>
      <c r="AQ1232" s="192"/>
    </row>
    <row r="1233" spans="1:59" s="115" customFormat="1" ht="15" customHeight="1">
      <c r="A1233" s="555" t="s">
        <v>2805</v>
      </c>
      <c r="B1233" s="217" t="str">
        <f t="shared" si="1581"/>
        <v>100</v>
      </c>
      <c r="C1233" s="217" t="str">
        <f t="shared" si="1582"/>
        <v>35</v>
      </c>
      <c r="D1233" s="101" t="str">
        <f t="shared" si="1583"/>
        <v>353</v>
      </c>
      <c r="E1233" s="217" t="str">
        <f t="shared" si="1584"/>
        <v>100-35-353</v>
      </c>
      <c r="F1233" s="294" t="str">
        <f t="shared" si="1585"/>
        <v>55119</v>
      </c>
      <c r="G1233" s="295" t="str">
        <f>VLOOKUP(F1233,'GL Category'!A:C,3,FALSE)</f>
        <v>Services &amp; other</v>
      </c>
      <c r="H1233" s="98" t="str">
        <f>VLOOKUP(F1233,'GL Category'!A:C,2,FALSE)</f>
        <v>OFFICE EQUIP LEASE EXP-CITY</v>
      </c>
      <c r="I1233" s="99">
        <f>SUMIF(Import!$B:$B,$A1233,Import!D:D)</f>
        <v>26236</v>
      </c>
      <c r="J1233" s="99">
        <f>SUMIF(Import!$B:$B,$A1233,Import!E:E)</f>
        <v>28011</v>
      </c>
      <c r="K1233" s="99">
        <f>SUMIF(Import!$B:$B,$A1233,Import!F:F)</f>
        <v>28882</v>
      </c>
      <c r="L1233" s="99">
        <f>SUMIF(Import!$B:$B,$A1233,Import!G:G)</f>
        <v>28764</v>
      </c>
      <c r="M1233" s="99">
        <f>SUMIF(Import!$B:$B,$A1233,Import!H:H)</f>
        <v>23950</v>
      </c>
      <c r="N1233" s="99">
        <f>SUMIF(Import!$B:$B,$A1233,Import!I:I)</f>
        <v>17962.5</v>
      </c>
      <c r="O1233" s="99">
        <f>SUMIF(Import!$B:$B,$A1233,Import!J:J)</f>
        <v>23950</v>
      </c>
      <c r="P1233" s="99">
        <f t="shared" si="1591"/>
        <v>0</v>
      </c>
      <c r="Q1233" s="99">
        <f>SUMIF(Import!$B:$B,$A1233,Import!K:K)</f>
        <v>24814</v>
      </c>
      <c r="R1233" s="99">
        <f>SUMIF(Import!$B:$B,$A1233,Import!L:L)</f>
        <v>0</v>
      </c>
      <c r="S1233" s="99">
        <f>SUMIF(Import!$B:$B,$A1233,Import!M:M)</f>
        <v>0</v>
      </c>
      <c r="T1233" s="99">
        <f>SUMIF(Import!$B:$B,$A1233,Import!N:N)</f>
        <v>24814</v>
      </c>
      <c r="U1233" s="99">
        <f t="shared" si="1592"/>
        <v>864</v>
      </c>
      <c r="V1233" s="255">
        <f t="shared" si="1593"/>
        <v>3.6075156576200307E-2</v>
      </c>
      <c r="W1233" s="102" t="s">
        <v>2805</v>
      </c>
      <c r="X1233" s="102"/>
      <c r="Y1233" s="102"/>
      <c r="Z1233" s="192"/>
      <c r="AA1233" s="615"/>
      <c r="AB1233" s="307"/>
      <c r="AC1233" s="300"/>
      <c r="AD1233" s="300"/>
      <c r="AE1233" s="300"/>
      <c r="AF1233" s="300"/>
      <c r="AG1233" s="300"/>
      <c r="AH1233" s="307"/>
      <c r="AI1233" s="307"/>
      <c r="AJ1233" s="300"/>
      <c r="AK1233" s="300"/>
      <c r="AL1233" s="300"/>
      <c r="AM1233" s="300"/>
      <c r="AN1233" s="300"/>
      <c r="AO1233" s="300"/>
      <c r="AP1233" s="192"/>
      <c r="AQ1233" s="192"/>
    </row>
    <row r="1234" spans="1:59" ht="15" customHeight="1">
      <c r="A1234" s="555"/>
      <c r="B1234" s="217"/>
      <c r="C1234" s="217"/>
      <c r="D1234" s="101"/>
      <c r="E1234" s="217"/>
      <c r="F1234" s="294"/>
      <c r="G1234" s="295"/>
      <c r="H1234" s="107" t="str">
        <f>UPPER(G1233)&amp;" TOTAL"</f>
        <v>SERVICES &amp; OTHER TOTAL</v>
      </c>
      <c r="I1234" s="109">
        <f t="shared" ref="I1234" si="1594">SUBTOTAL(9,I1226:I1233)</f>
        <v>189843.24</v>
      </c>
      <c r="J1234" s="109">
        <f t="shared" ref="J1234:T1234" si="1595">SUBTOTAL(9,J1226:J1233)</f>
        <v>209044.27</v>
      </c>
      <c r="K1234" s="109">
        <f t="shared" ref="K1234" si="1596">SUBTOTAL(9,K1226:K1233)</f>
        <v>232446.57</v>
      </c>
      <c r="L1234" s="109">
        <f t="shared" ref="L1234" si="1597">SUBTOTAL(9,L1226:L1233)</f>
        <v>314030.89</v>
      </c>
      <c r="M1234" s="109">
        <f t="shared" si="1595"/>
        <v>305037</v>
      </c>
      <c r="N1234" s="109">
        <f t="shared" ref="N1234" si="1598">SUBTOTAL(9,N1226:N1233)</f>
        <v>248988.53999999998</v>
      </c>
      <c r="O1234" s="109">
        <f t="shared" si="1595"/>
        <v>310787</v>
      </c>
      <c r="P1234" s="109">
        <f t="shared" si="1595"/>
        <v>5750</v>
      </c>
      <c r="Q1234" s="109">
        <f t="shared" si="1595"/>
        <v>330320</v>
      </c>
      <c r="R1234" s="109">
        <f t="shared" si="1595"/>
        <v>10000</v>
      </c>
      <c r="S1234" s="109">
        <f t="shared" si="1595"/>
        <v>0</v>
      </c>
      <c r="T1234" s="109">
        <f t="shared" si="1595"/>
        <v>340320</v>
      </c>
      <c r="U1234" s="99">
        <f>T1234-M1234</f>
        <v>35283</v>
      </c>
      <c r="V1234" s="255">
        <f>IF(M1234=0,"N/A",T1234/M1234-1)</f>
        <v>0.11566793536521791</v>
      </c>
      <c r="W1234" s="102"/>
      <c r="X1234" s="102"/>
      <c r="Y1234" s="102"/>
      <c r="Z1234" s="88"/>
      <c r="AA1234" s="616"/>
      <c r="AB1234" s="623"/>
      <c r="AC1234" s="300"/>
      <c r="AD1234" s="300"/>
      <c r="AE1234" s="300"/>
      <c r="AF1234" s="300"/>
      <c r="AG1234" s="300"/>
      <c r="AH1234" s="623"/>
      <c r="AI1234" s="623"/>
      <c r="AJ1234" s="300"/>
      <c r="AK1234" s="300"/>
      <c r="AL1234" s="300"/>
      <c r="AM1234" s="300"/>
      <c r="AN1234" s="300"/>
      <c r="AO1234" s="300"/>
      <c r="AP1234" s="88"/>
      <c r="AQ1234" s="88"/>
      <c r="AR1234" s="68"/>
      <c r="AS1234" s="68"/>
      <c r="AT1234" s="68"/>
      <c r="AU1234" s="68"/>
      <c r="AV1234" s="68"/>
      <c r="AW1234" s="68"/>
      <c r="AX1234" s="68"/>
      <c r="AY1234" s="68"/>
      <c r="AZ1234" s="68"/>
      <c r="BA1234" s="68"/>
      <c r="BB1234" s="68"/>
      <c r="BC1234" s="68"/>
      <c r="BD1234" s="68"/>
      <c r="BE1234" s="68"/>
      <c r="BF1234" s="68"/>
      <c r="BG1234" s="68"/>
    </row>
    <row r="1235" spans="1:59" s="115" customFormat="1" ht="15" customHeight="1">
      <c r="A1235" s="555"/>
      <c r="B1235" s="217"/>
      <c r="C1235" s="217"/>
      <c r="D1235" s="101"/>
      <c r="E1235" s="217"/>
      <c r="F1235" s="294"/>
      <c r="G1235" s="295"/>
      <c r="H1235" s="98"/>
      <c r="I1235" s="106"/>
      <c r="J1235" s="106"/>
      <c r="K1235" s="106"/>
      <c r="L1235" s="106"/>
      <c r="M1235" s="106"/>
      <c r="N1235" s="112"/>
      <c r="O1235" s="112"/>
      <c r="P1235" s="112"/>
      <c r="Q1235" s="113"/>
      <c r="R1235" s="113"/>
      <c r="S1235" s="113"/>
      <c r="T1235" s="113"/>
      <c r="U1235" s="99"/>
      <c r="V1235" s="255"/>
      <c r="W1235" s="102"/>
      <c r="X1235" s="102"/>
      <c r="Y1235" s="102"/>
      <c r="Z1235" s="192"/>
      <c r="AA1235" s="615"/>
      <c r="AB1235" s="307"/>
      <c r="AC1235" s="300"/>
      <c r="AD1235" s="300"/>
      <c r="AE1235" s="300"/>
      <c r="AF1235" s="300"/>
      <c r="AG1235" s="300"/>
      <c r="AH1235" s="307"/>
      <c r="AI1235" s="307"/>
      <c r="AJ1235" s="300"/>
      <c r="AK1235" s="300"/>
      <c r="AL1235" s="300"/>
      <c r="AM1235" s="300"/>
      <c r="AN1235" s="300"/>
      <c r="AO1235" s="300"/>
      <c r="AP1235" s="192"/>
      <c r="AQ1235" s="192"/>
    </row>
    <row r="1236" spans="1:59" s="115" customFormat="1" ht="15" customHeight="1">
      <c r="A1236" s="555" t="s">
        <v>2806</v>
      </c>
      <c r="B1236" s="217" t="str">
        <f t="shared" si="1581"/>
        <v>100</v>
      </c>
      <c r="C1236" s="217" t="str">
        <f t="shared" si="1582"/>
        <v>35</v>
      </c>
      <c r="D1236" s="101" t="str">
        <f t="shared" si="1583"/>
        <v>353</v>
      </c>
      <c r="E1236" s="217" t="str">
        <f t="shared" si="1584"/>
        <v>100-35-353</v>
      </c>
      <c r="F1236" s="294" t="str">
        <f t="shared" si="1585"/>
        <v>58830</v>
      </c>
      <c r="G1236" s="295" t="str">
        <f>VLOOKUP(F1236,'GL Category'!A:C,3,FALSE)</f>
        <v>Capital Outlay</v>
      </c>
      <c r="H1236" s="98" t="str">
        <f>VLOOKUP(F1236,'GL Category'!A:C,2,FALSE)</f>
        <v>MACHINERY &amp; EQUIPMENT</v>
      </c>
      <c r="I1236" s="99">
        <f>SUMIF(Import!$B:$B,$A1236,Import!D:D)</f>
        <v>0</v>
      </c>
      <c r="J1236" s="99">
        <f>SUMIF(Import!$B:$B,$A1236,Import!E:E)</f>
        <v>0</v>
      </c>
      <c r="K1236" s="99">
        <f>SUMIF(Import!$B:$B,$A1236,Import!F:F)</f>
        <v>0</v>
      </c>
      <c r="L1236" s="99">
        <f>SUMIF(Import!$B:$B,$A1236,Import!G:G)</f>
        <v>0</v>
      </c>
      <c r="M1236" s="99">
        <f>SUMIF(Import!$B:$B,$A1236,Import!H:H)</f>
        <v>0</v>
      </c>
      <c r="N1236" s="99">
        <f>SUMIF(Import!$B:$B,$A1236,Import!I:I)</f>
        <v>0</v>
      </c>
      <c r="O1236" s="99">
        <f>SUMIF(Import!$B:$B,$A1236,Import!J:J)</f>
        <v>0</v>
      </c>
      <c r="P1236" s="99">
        <f t="shared" ref="P1236" si="1599">O1236-M1236</f>
        <v>0</v>
      </c>
      <c r="Q1236" s="99">
        <f>SUMIF(Import!$B:$B,$A1236,Import!K:K)</f>
        <v>0</v>
      </c>
      <c r="R1236" s="99">
        <f>SUMIF(Import!$B:$B,$A1236,Import!L:L)</f>
        <v>0</v>
      </c>
      <c r="S1236" s="99">
        <f>SUMIF(Import!$B:$B,$A1236,Import!M:M)</f>
        <v>0</v>
      </c>
      <c r="T1236" s="99">
        <f>SUMIF(Import!$B:$B,$A1236,Import!N:N)</f>
        <v>0</v>
      </c>
      <c r="U1236" s="99">
        <f t="shared" ref="U1236" si="1600">T1236-M1236</f>
        <v>0</v>
      </c>
      <c r="V1236" s="255" t="str">
        <f t="shared" ref="V1236" si="1601">IF(M1236=0,"N/A",T1236/M1236-1)</f>
        <v>N/A</v>
      </c>
      <c r="W1236" s="102" t="s">
        <v>2806</v>
      </c>
      <c r="X1236" s="102"/>
      <c r="Y1236" s="102"/>
      <c r="Z1236" s="192"/>
      <c r="AA1236" s="615"/>
      <c r="AB1236" s="307"/>
      <c r="AC1236" s="300"/>
      <c r="AD1236" s="300"/>
      <c r="AE1236" s="300"/>
      <c r="AF1236" s="300"/>
      <c r="AG1236" s="300"/>
      <c r="AH1236" s="307"/>
      <c r="AI1236" s="307"/>
      <c r="AJ1236" s="300"/>
      <c r="AK1236" s="300"/>
      <c r="AL1236" s="300"/>
      <c r="AM1236" s="300"/>
      <c r="AN1236" s="300"/>
      <c r="AO1236" s="300"/>
      <c r="AP1236" s="192"/>
      <c r="AQ1236" s="192"/>
    </row>
    <row r="1237" spans="1:59" s="115" customFormat="1" ht="15" customHeight="1">
      <c r="A1237" s="555"/>
      <c r="B1237" s="217"/>
      <c r="C1237" s="217"/>
      <c r="D1237" s="101"/>
      <c r="E1237" s="217"/>
      <c r="F1237" s="294"/>
      <c r="G1237" s="295"/>
      <c r="H1237" s="107" t="str">
        <f>UPPER(G1236)&amp;" TOTAL"</f>
        <v>CAPITAL OUTLAY TOTAL</v>
      </c>
      <c r="I1237" s="108">
        <f t="shared" ref="I1237" si="1602">SUBTOTAL(9,I1236:I1236)</f>
        <v>0</v>
      </c>
      <c r="J1237" s="108">
        <f t="shared" ref="J1237:P1237" si="1603">SUBTOTAL(9,J1236:J1236)</f>
        <v>0</v>
      </c>
      <c r="K1237" s="108">
        <f t="shared" ref="K1237" si="1604">SUBTOTAL(9,K1236:K1236)</f>
        <v>0</v>
      </c>
      <c r="L1237" s="108">
        <f t="shared" ref="L1237" si="1605">SUBTOTAL(9,L1236:L1236)</f>
        <v>0</v>
      </c>
      <c r="M1237" s="108">
        <f t="shared" si="1603"/>
        <v>0</v>
      </c>
      <c r="N1237" s="109">
        <f t="shared" ref="N1237" si="1606">SUBTOTAL(9,N1236:N1236)</f>
        <v>0</v>
      </c>
      <c r="O1237" s="109">
        <f t="shared" si="1603"/>
        <v>0</v>
      </c>
      <c r="P1237" s="109">
        <f t="shared" si="1603"/>
        <v>0</v>
      </c>
      <c r="Q1237" s="109">
        <f t="shared" ref="Q1237:T1237" si="1607">SUBTOTAL(9,Q1236:Q1236)</f>
        <v>0</v>
      </c>
      <c r="R1237" s="109">
        <f t="shared" si="1607"/>
        <v>0</v>
      </c>
      <c r="S1237" s="109">
        <f t="shared" si="1607"/>
        <v>0</v>
      </c>
      <c r="T1237" s="109">
        <f t="shared" si="1607"/>
        <v>0</v>
      </c>
      <c r="U1237" s="99">
        <f>T1237-M1237</f>
        <v>0</v>
      </c>
      <c r="V1237" s="255" t="str">
        <f>IF(M1237=0,"N/A",T1237/M1237-1)</f>
        <v>N/A</v>
      </c>
      <c r="W1237" s="102"/>
      <c r="X1237" s="102"/>
      <c r="Y1237" s="102"/>
      <c r="Z1237" s="192"/>
      <c r="AA1237" s="615"/>
      <c r="AB1237" s="307"/>
      <c r="AC1237" s="94"/>
      <c r="AD1237" s="94"/>
      <c r="AE1237" s="94"/>
      <c r="AF1237" s="94"/>
      <c r="AG1237" s="94"/>
      <c r="AH1237" s="307"/>
      <c r="AI1237" s="307"/>
      <c r="AJ1237" s="94"/>
      <c r="AK1237" s="94"/>
      <c r="AL1237" s="94"/>
      <c r="AM1237" s="94"/>
      <c r="AN1237" s="94"/>
      <c r="AO1237" s="94"/>
      <c r="AP1237" s="192"/>
      <c r="AQ1237" s="192"/>
    </row>
    <row r="1238" spans="1:59" s="115" customFormat="1" ht="15" customHeight="1">
      <c r="A1238" s="555"/>
      <c r="B1238" s="217"/>
      <c r="C1238" s="217"/>
      <c r="D1238" s="101"/>
      <c r="E1238" s="217"/>
      <c r="F1238" s="294"/>
      <c r="G1238" s="295"/>
      <c r="H1238" s="98"/>
      <c r="I1238" s="106"/>
      <c r="J1238" s="106"/>
      <c r="K1238" s="106"/>
      <c r="L1238" s="106"/>
      <c r="M1238" s="106"/>
      <c r="N1238" s="112"/>
      <c r="O1238" s="112"/>
      <c r="P1238" s="112"/>
      <c r="Q1238" s="113"/>
      <c r="R1238" s="113"/>
      <c r="S1238" s="113"/>
      <c r="T1238" s="113"/>
      <c r="U1238" s="99"/>
      <c r="V1238" s="255"/>
      <c r="W1238" s="102"/>
      <c r="X1238" s="102"/>
      <c r="Y1238" s="102"/>
      <c r="Z1238" s="192"/>
      <c r="AA1238" s="615"/>
      <c r="AB1238" s="307"/>
      <c r="AC1238" s="93"/>
      <c r="AD1238" s="93"/>
      <c r="AE1238" s="93"/>
      <c r="AF1238" s="93"/>
      <c r="AG1238" s="93"/>
      <c r="AH1238" s="307"/>
      <c r="AI1238" s="307"/>
      <c r="AJ1238" s="93"/>
      <c r="AK1238" s="93"/>
      <c r="AL1238" s="93"/>
      <c r="AM1238" s="93"/>
      <c r="AN1238" s="93"/>
      <c r="AO1238" s="93"/>
      <c r="AP1238" s="192"/>
      <c r="AQ1238" s="192"/>
    </row>
    <row r="1239" spans="1:59" s="115" customFormat="1" ht="15" customHeight="1">
      <c r="A1239" s="555"/>
      <c r="B1239" s="217"/>
      <c r="C1239" s="217"/>
      <c r="D1239" s="101"/>
      <c r="E1239" s="217"/>
      <c r="F1239" s="294"/>
      <c r="G1239" s="295"/>
      <c r="H1239" s="114" t="s">
        <v>763</v>
      </c>
      <c r="I1239" s="108">
        <f t="shared" ref="I1239" si="1608">SUBTOTAL(9,I1217:I1236)</f>
        <v>333172.84000000003</v>
      </c>
      <c r="J1239" s="108">
        <f t="shared" ref="J1239:T1239" si="1609">SUBTOTAL(9,J1217:J1236)</f>
        <v>370972.06</v>
      </c>
      <c r="K1239" s="108">
        <f t="shared" ref="K1239" si="1610">SUBTOTAL(9,K1217:K1236)</f>
        <v>423557.79000000004</v>
      </c>
      <c r="L1239" s="108">
        <f t="shared" ref="L1239" si="1611">SUBTOTAL(9,L1217:L1236)</f>
        <v>505820.92000000004</v>
      </c>
      <c r="M1239" s="108">
        <f t="shared" si="1609"/>
        <v>480412</v>
      </c>
      <c r="N1239" s="108">
        <f t="shared" ref="N1239" si="1612">SUBTOTAL(9,N1217:N1236)</f>
        <v>400559.03</v>
      </c>
      <c r="O1239" s="108">
        <f t="shared" si="1609"/>
        <v>524202</v>
      </c>
      <c r="P1239" s="108">
        <f t="shared" si="1609"/>
        <v>43790</v>
      </c>
      <c r="Q1239" s="108">
        <f t="shared" si="1609"/>
        <v>505695</v>
      </c>
      <c r="R1239" s="108">
        <f t="shared" si="1609"/>
        <v>32540</v>
      </c>
      <c r="S1239" s="108">
        <f t="shared" si="1609"/>
        <v>0</v>
      </c>
      <c r="T1239" s="108">
        <f t="shared" si="1609"/>
        <v>538235</v>
      </c>
      <c r="U1239" s="99">
        <f>T1239-M1239</f>
        <v>57823</v>
      </c>
      <c r="V1239" s="255">
        <f>IF(M1239=0,"N/A",T1239/M1239-1)</f>
        <v>0.12036127324046864</v>
      </c>
      <c r="W1239" s="102"/>
      <c r="X1239" s="102"/>
      <c r="Y1239" s="102"/>
      <c r="Z1239" s="192"/>
      <c r="AA1239" s="615"/>
      <c r="AB1239" s="307"/>
      <c r="AC1239" s="300"/>
      <c r="AD1239" s="300"/>
      <c r="AE1239" s="300"/>
      <c r="AF1239" s="300"/>
      <c r="AG1239" s="300"/>
      <c r="AH1239" s="307"/>
      <c r="AI1239" s="307"/>
      <c r="AJ1239" s="300"/>
      <c r="AK1239" s="300"/>
      <c r="AL1239" s="300"/>
      <c r="AM1239" s="300"/>
      <c r="AN1239" s="300"/>
      <c r="AO1239" s="300"/>
      <c r="AP1239" s="192"/>
      <c r="AQ1239" s="192"/>
    </row>
    <row r="1240" spans="1:59" s="115" customFormat="1" ht="15" customHeight="1" thickBot="1">
      <c r="A1240" s="555"/>
      <c r="B1240" s="217"/>
      <c r="C1240" s="217"/>
      <c r="D1240" s="101"/>
      <c r="E1240" s="217"/>
      <c r="F1240" s="294"/>
      <c r="G1240" s="295"/>
      <c r="H1240" s="98"/>
      <c r="I1240" s="218"/>
      <c r="J1240" s="218"/>
      <c r="K1240" s="218"/>
      <c r="L1240" s="218"/>
      <c r="M1240" s="218"/>
      <c r="N1240" s="96"/>
      <c r="O1240" s="96"/>
      <c r="P1240" s="96"/>
      <c r="Q1240" s="212"/>
      <c r="R1240" s="212"/>
      <c r="S1240" s="212"/>
      <c r="T1240" s="212"/>
      <c r="U1240" s="99"/>
      <c r="V1240" s="255"/>
      <c r="W1240" s="102"/>
      <c r="X1240" s="102"/>
      <c r="Y1240" s="102"/>
      <c r="Z1240" s="192"/>
      <c r="AA1240" s="615"/>
      <c r="AB1240" s="307"/>
      <c r="AC1240" s="300"/>
      <c r="AD1240" s="300"/>
      <c r="AE1240" s="300"/>
      <c r="AF1240" s="300"/>
      <c r="AG1240" s="300"/>
      <c r="AH1240" s="307"/>
      <c r="AI1240" s="307"/>
      <c r="AJ1240" s="300"/>
      <c r="AK1240" s="300"/>
      <c r="AL1240" s="300"/>
      <c r="AM1240" s="300"/>
      <c r="AN1240" s="300"/>
      <c r="AO1240" s="300"/>
      <c r="AP1240" s="192"/>
      <c r="AQ1240" s="192"/>
    </row>
    <row r="1241" spans="1:59" s="115" customFormat="1" ht="21" customHeight="1" thickBot="1">
      <c r="A1241" s="555"/>
      <c r="B1241" s="217"/>
      <c r="C1241" s="217"/>
      <c r="D1241" s="101"/>
      <c r="E1241" s="217"/>
      <c r="F1241" s="294"/>
      <c r="G1241" s="295"/>
      <c r="H1241" s="665" t="s">
        <v>632</v>
      </c>
      <c r="I1241" s="666"/>
      <c r="J1241" s="666"/>
      <c r="K1241" s="666"/>
      <c r="L1241" s="666"/>
      <c r="M1241" s="666"/>
      <c r="N1241" s="666"/>
      <c r="O1241" s="666"/>
      <c r="P1241" s="666"/>
      <c r="Q1241" s="666"/>
      <c r="R1241" s="666"/>
      <c r="S1241" s="666"/>
      <c r="T1241" s="667"/>
      <c r="U1241" s="99"/>
      <c r="V1241" s="255"/>
      <c r="W1241" s="102"/>
      <c r="X1241" s="102"/>
      <c r="Y1241" s="102"/>
      <c r="Z1241" s="192"/>
      <c r="AA1241" s="615"/>
      <c r="AB1241" s="307"/>
      <c r="AC1241" s="300"/>
      <c r="AD1241" s="300"/>
      <c r="AE1241" s="300"/>
      <c r="AF1241" s="300"/>
      <c r="AG1241" s="300"/>
      <c r="AH1241" s="307"/>
      <c r="AI1241" s="307"/>
      <c r="AJ1241" s="300"/>
      <c r="AK1241" s="300"/>
      <c r="AL1241" s="300"/>
      <c r="AM1241" s="300"/>
      <c r="AN1241" s="300"/>
      <c r="AO1241" s="300"/>
      <c r="AP1241" s="192"/>
      <c r="AQ1241" s="192"/>
    </row>
    <row r="1242" spans="1:59" s="115" customFormat="1" ht="15" customHeight="1">
      <c r="A1242" s="555"/>
      <c r="B1242" s="217"/>
      <c r="C1242" s="217"/>
      <c r="D1242" s="101"/>
      <c r="E1242" s="217"/>
      <c r="F1242" s="294"/>
      <c r="G1242" s="295"/>
      <c r="H1242" s="225"/>
      <c r="I1242" s="225"/>
      <c r="J1242" s="225"/>
      <c r="K1242" s="225"/>
      <c r="L1242" s="225"/>
      <c r="M1242" s="225"/>
      <c r="N1242" s="225"/>
      <c r="O1242" s="225"/>
      <c r="P1242" s="225"/>
      <c r="Q1242" s="225"/>
      <c r="R1242" s="225"/>
      <c r="S1242" s="225"/>
      <c r="T1242" s="225"/>
      <c r="U1242" s="99"/>
      <c r="V1242" s="255"/>
      <c r="W1242" s="102"/>
      <c r="X1242" s="102"/>
      <c r="Y1242" s="102"/>
      <c r="Z1242" s="192"/>
      <c r="AA1242" s="615"/>
      <c r="AB1242" s="307"/>
      <c r="AC1242" s="300"/>
      <c r="AD1242" s="300"/>
      <c r="AE1242" s="300"/>
      <c r="AF1242" s="300"/>
      <c r="AG1242" s="300"/>
      <c r="AH1242" s="307"/>
      <c r="AI1242" s="307"/>
      <c r="AJ1242" s="300"/>
      <c r="AK1242" s="300"/>
      <c r="AL1242" s="300"/>
      <c r="AM1242" s="300"/>
      <c r="AN1242" s="300"/>
      <c r="AO1242" s="300"/>
      <c r="AP1242" s="192"/>
      <c r="AQ1242" s="192"/>
    </row>
    <row r="1243" spans="1:59" s="115" customFormat="1" ht="15" customHeight="1">
      <c r="A1243" s="555" t="s">
        <v>2807</v>
      </c>
      <c r="B1243" s="217" t="str">
        <f t="shared" si="1581"/>
        <v>100</v>
      </c>
      <c r="C1243" s="217" t="str">
        <f t="shared" si="1582"/>
        <v>35</v>
      </c>
      <c r="D1243" s="101" t="str">
        <f t="shared" si="1583"/>
        <v>354</v>
      </c>
      <c r="E1243" s="217" t="str">
        <f t="shared" si="1584"/>
        <v>100-35-354</v>
      </c>
      <c r="F1243" s="294" t="str">
        <f t="shared" si="1585"/>
        <v>51245</v>
      </c>
      <c r="G1243" s="295" t="str">
        <f>VLOOKUP(F1243,'GL Category'!A:C,3,FALSE)</f>
        <v>Operations &amp; maintenance</v>
      </c>
      <c r="H1243" s="98" t="str">
        <f>VLOOKUP(F1243,'GL Category'!A:C,2,FALSE)</f>
        <v>SMALL TOOLS &amp; EQUIPMENT</v>
      </c>
      <c r="I1243" s="99">
        <f>SUMIF(Import!$B:$B,$A1243,Import!D:D)</f>
        <v>1050.3599999999999</v>
      </c>
      <c r="J1243" s="99">
        <f>SUMIF(Import!$B:$B,$A1243,Import!E:E)</f>
        <v>77.349999999999994</v>
      </c>
      <c r="K1243" s="99">
        <f>SUMIF(Import!$B:$B,$A1243,Import!F:F)</f>
        <v>0</v>
      </c>
      <c r="L1243" s="99">
        <f>SUMIF(Import!$B:$B,$A1243,Import!G:G)</f>
        <v>934.79</v>
      </c>
      <c r="M1243" s="99">
        <f>SUMIF(Import!$B:$B,$A1243,Import!H:H)</f>
        <v>2450</v>
      </c>
      <c r="N1243" s="99">
        <f>SUMIF(Import!$B:$B,$A1243,Import!I:I)</f>
        <v>764.64</v>
      </c>
      <c r="O1243" s="99">
        <f>SUMIF(Import!$B:$B,$A1243,Import!J:J)</f>
        <v>2450</v>
      </c>
      <c r="P1243" s="99">
        <f t="shared" ref="P1243:P1249" si="1613">O1243-M1243</f>
        <v>0</v>
      </c>
      <c r="Q1243" s="99">
        <f>SUMIF(Import!$B:$B,$A1243,Import!K:K)</f>
        <v>2450</v>
      </c>
      <c r="R1243" s="99">
        <f>SUMIF(Import!$B:$B,$A1243,Import!L:L)</f>
        <v>0</v>
      </c>
      <c r="S1243" s="99">
        <f>SUMIF(Import!$B:$B,$A1243,Import!M:M)</f>
        <v>0</v>
      </c>
      <c r="T1243" s="99">
        <f>SUMIF(Import!$B:$B,$A1243,Import!N:N)</f>
        <v>2450</v>
      </c>
      <c r="U1243" s="99">
        <f t="shared" ref="U1243:U1249" si="1614">T1243-M1243</f>
        <v>0</v>
      </c>
      <c r="V1243" s="255">
        <f t="shared" ref="V1243:V1249" si="1615">IF(M1243=0,"N/A",T1243/M1243-1)</f>
        <v>0</v>
      </c>
      <c r="W1243" s="102" t="s">
        <v>2807</v>
      </c>
      <c r="X1243" s="102"/>
      <c r="Y1243" s="102"/>
      <c r="Z1243" s="192"/>
      <c r="AA1243" s="615"/>
      <c r="AB1243" s="307"/>
      <c r="AC1243" s="94"/>
      <c r="AD1243" s="94"/>
      <c r="AE1243" s="94"/>
      <c r="AF1243" s="94"/>
      <c r="AG1243" s="94"/>
      <c r="AH1243" s="307"/>
      <c r="AI1243" s="307"/>
      <c r="AJ1243" s="94"/>
      <c r="AK1243" s="94"/>
      <c r="AL1243" s="94"/>
      <c r="AM1243" s="94"/>
      <c r="AN1243" s="94"/>
      <c r="AO1243" s="94"/>
      <c r="AP1243" s="192"/>
      <c r="AQ1243" s="192"/>
    </row>
    <row r="1244" spans="1:59" s="115" customFormat="1" ht="15" customHeight="1">
      <c r="A1244" s="555" t="s">
        <v>2808</v>
      </c>
      <c r="B1244" s="217" t="str">
        <f t="shared" si="1581"/>
        <v>100</v>
      </c>
      <c r="C1244" s="217" t="str">
        <f t="shared" si="1582"/>
        <v>35</v>
      </c>
      <c r="D1244" s="101" t="str">
        <f t="shared" si="1583"/>
        <v>354</v>
      </c>
      <c r="E1244" s="217" t="str">
        <f t="shared" si="1584"/>
        <v>100-35-354</v>
      </c>
      <c r="F1244" s="294" t="str">
        <f t="shared" si="1585"/>
        <v>51255</v>
      </c>
      <c r="G1244" s="295" t="str">
        <f>VLOOKUP(F1244,'GL Category'!A:C,3,FALSE)</f>
        <v>Operations &amp; maintenance</v>
      </c>
      <c r="H1244" s="98" t="str">
        <f>VLOOKUP(F1244,'GL Category'!A:C,2,FALSE)</f>
        <v>FUEL/OILS/LUBRICANTS</v>
      </c>
      <c r="I1244" s="99">
        <f>SUMIF(Import!$B:$B,$A1244,Import!D:D)</f>
        <v>71.040000000000006</v>
      </c>
      <c r="J1244" s="99">
        <f>SUMIF(Import!$B:$B,$A1244,Import!E:E)</f>
        <v>47.34</v>
      </c>
      <c r="K1244" s="99">
        <f>SUMIF(Import!$B:$B,$A1244,Import!F:F)</f>
        <v>156.27000000000001</v>
      </c>
      <c r="L1244" s="99">
        <f>SUMIF(Import!$B:$B,$A1244,Import!G:G)</f>
        <v>0</v>
      </c>
      <c r="M1244" s="99">
        <f>SUMIF(Import!$B:$B,$A1244,Import!H:H)</f>
        <v>500</v>
      </c>
      <c r="N1244" s="99">
        <f>SUMIF(Import!$B:$B,$A1244,Import!I:I)</f>
        <v>0</v>
      </c>
      <c r="O1244" s="99">
        <f>SUMIF(Import!$B:$B,$A1244,Import!J:J)</f>
        <v>500</v>
      </c>
      <c r="P1244" s="99">
        <f t="shared" si="1613"/>
        <v>0</v>
      </c>
      <c r="Q1244" s="99">
        <f>SUMIF(Import!$B:$B,$A1244,Import!K:K)</f>
        <v>500</v>
      </c>
      <c r="R1244" s="99">
        <f>SUMIF(Import!$B:$B,$A1244,Import!L:L)</f>
        <v>0</v>
      </c>
      <c r="S1244" s="99">
        <f>SUMIF(Import!$B:$B,$A1244,Import!M:M)</f>
        <v>0</v>
      </c>
      <c r="T1244" s="99">
        <f>SUMIF(Import!$B:$B,$A1244,Import!N:N)</f>
        <v>500</v>
      </c>
      <c r="U1244" s="99">
        <f t="shared" si="1614"/>
        <v>0</v>
      </c>
      <c r="V1244" s="255">
        <f t="shared" si="1615"/>
        <v>0</v>
      </c>
      <c r="W1244" s="102" t="s">
        <v>2808</v>
      </c>
      <c r="X1244" s="102"/>
      <c r="Y1244" s="102"/>
      <c r="Z1244" s="192"/>
      <c r="AA1244" s="615"/>
      <c r="AB1244" s="307"/>
      <c r="AC1244" s="94"/>
      <c r="AD1244" s="94"/>
      <c r="AE1244" s="94"/>
      <c r="AF1244" s="94"/>
      <c r="AG1244" s="94"/>
      <c r="AH1244" s="307"/>
      <c r="AI1244" s="307"/>
      <c r="AJ1244" s="94"/>
      <c r="AK1244" s="94"/>
      <c r="AL1244" s="94"/>
      <c r="AM1244" s="94"/>
      <c r="AN1244" s="94"/>
      <c r="AO1244" s="94"/>
      <c r="AP1244" s="192"/>
      <c r="AQ1244" s="192"/>
    </row>
    <row r="1245" spans="1:59" s="115" customFormat="1" ht="15" customHeight="1">
      <c r="A1245" s="555" t="s">
        <v>2809</v>
      </c>
      <c r="B1245" s="217" t="str">
        <f t="shared" si="1581"/>
        <v>100</v>
      </c>
      <c r="C1245" s="217" t="str">
        <f t="shared" si="1582"/>
        <v>35</v>
      </c>
      <c r="D1245" s="101" t="str">
        <f t="shared" si="1583"/>
        <v>354</v>
      </c>
      <c r="E1245" s="217" t="str">
        <f t="shared" si="1584"/>
        <v>100-35-354</v>
      </c>
      <c r="F1245" s="294" t="str">
        <f t="shared" si="1585"/>
        <v>53511</v>
      </c>
      <c r="G1245" s="295" t="e">
        <f>VLOOKUP(F1245,'GL Category'!A:C,3,FALSE)</f>
        <v>#N/A</v>
      </c>
      <c r="H1245" s="98" t="e">
        <f>VLOOKUP(F1245,'GL Category'!A:C,2,FALSE)</f>
        <v>#N/A</v>
      </c>
      <c r="I1245" s="99">
        <f>SUMIF(Import!$B:$B,$A1245,Import!D:D)</f>
        <v>0</v>
      </c>
      <c r="J1245" s="99">
        <f>SUMIF(Import!$B:$B,$A1245,Import!E:E)</f>
        <v>0</v>
      </c>
      <c r="K1245" s="99">
        <f>SUMIF(Import!$B:$B,$A1245,Import!F:F)</f>
        <v>0</v>
      </c>
      <c r="L1245" s="99">
        <f>SUMIF(Import!$B:$B,$A1245,Import!G:G)</f>
        <v>0</v>
      </c>
      <c r="M1245" s="99">
        <f>SUMIF(Import!$B:$B,$A1245,Import!H:H)</f>
        <v>0</v>
      </c>
      <c r="N1245" s="99">
        <f>SUMIF(Import!$B:$B,$A1245,Import!I:I)</f>
        <v>0</v>
      </c>
      <c r="O1245" s="99">
        <f>SUMIF(Import!$B:$B,$A1245,Import!J:J)</f>
        <v>0</v>
      </c>
      <c r="P1245" s="99">
        <f t="shared" si="1613"/>
        <v>0</v>
      </c>
      <c r="Q1245" s="99">
        <f>SUMIF(Import!$B:$B,$A1245,Import!K:K)</f>
        <v>0</v>
      </c>
      <c r="R1245" s="99">
        <f>SUMIF(Import!$B:$B,$A1245,Import!L:L)</f>
        <v>0</v>
      </c>
      <c r="S1245" s="99">
        <f>SUMIF(Import!$B:$B,$A1245,Import!M:M)</f>
        <v>0</v>
      </c>
      <c r="T1245" s="99">
        <f>SUMIF(Import!$B:$B,$A1245,Import!N:N)</f>
        <v>0</v>
      </c>
      <c r="U1245" s="99">
        <f t="shared" si="1614"/>
        <v>0</v>
      </c>
      <c r="V1245" s="255" t="str">
        <f t="shared" si="1615"/>
        <v>N/A</v>
      </c>
      <c r="W1245" s="102" t="s">
        <v>2809</v>
      </c>
      <c r="X1245" s="102"/>
      <c r="Y1245" s="102"/>
      <c r="Z1245" s="192"/>
      <c r="AA1245" s="615"/>
      <c r="AB1245" s="307"/>
      <c r="AC1245" s="300"/>
      <c r="AD1245" s="300"/>
      <c r="AE1245" s="300"/>
      <c r="AF1245" s="300"/>
      <c r="AG1245" s="300"/>
      <c r="AH1245" s="307"/>
      <c r="AI1245" s="307"/>
      <c r="AJ1245" s="300"/>
      <c r="AK1245" s="300"/>
      <c r="AL1245" s="300"/>
      <c r="AM1245" s="300"/>
      <c r="AN1245" s="300"/>
      <c r="AO1245" s="300"/>
      <c r="AP1245" s="192"/>
      <c r="AQ1245" s="192"/>
    </row>
    <row r="1246" spans="1:59" s="115" customFormat="1" ht="15" customHeight="1">
      <c r="A1246" s="555" t="s">
        <v>2810</v>
      </c>
      <c r="B1246" s="217" t="str">
        <f t="shared" si="1581"/>
        <v>100</v>
      </c>
      <c r="C1246" s="217" t="str">
        <f t="shared" si="1582"/>
        <v>35</v>
      </c>
      <c r="D1246" s="101" t="str">
        <f t="shared" si="1583"/>
        <v>354</v>
      </c>
      <c r="E1246" s="217" t="str">
        <f t="shared" si="1584"/>
        <v>100-35-354</v>
      </c>
      <c r="F1246" s="294" t="str">
        <f t="shared" si="1585"/>
        <v>51292</v>
      </c>
      <c r="G1246" s="295" t="str">
        <f>VLOOKUP(F1246,'GL Category'!A:C,3,FALSE)</f>
        <v>Operations &amp; maintenance</v>
      </c>
      <c r="H1246" s="98" t="str">
        <f>VLOOKUP(F1246,'GL Category'!A:C,2,FALSE)</f>
        <v>TRAINING SUPPLIES</v>
      </c>
      <c r="I1246" s="99">
        <f>SUMIF(Import!$B:$B,$A1246,Import!D:D)</f>
        <v>0</v>
      </c>
      <c r="J1246" s="99">
        <f>SUMIF(Import!$B:$B,$A1246,Import!E:E)</f>
        <v>0</v>
      </c>
      <c r="K1246" s="99">
        <f>SUMIF(Import!$B:$B,$A1246,Import!F:F)</f>
        <v>0</v>
      </c>
      <c r="L1246" s="99">
        <f>SUMIF(Import!$B:$B,$A1246,Import!G:G)</f>
        <v>0</v>
      </c>
      <c r="M1246" s="99">
        <f>SUMIF(Import!$B:$B,$A1246,Import!H:H)</f>
        <v>500</v>
      </c>
      <c r="N1246" s="99">
        <f>SUMIF(Import!$B:$B,$A1246,Import!I:I)</f>
        <v>0</v>
      </c>
      <c r="O1246" s="99">
        <f>SUMIF(Import!$B:$B,$A1246,Import!J:J)</f>
        <v>500</v>
      </c>
      <c r="P1246" s="99">
        <f t="shared" si="1613"/>
        <v>0</v>
      </c>
      <c r="Q1246" s="99">
        <f>SUMIF(Import!$B:$B,$A1246,Import!K:K)</f>
        <v>500</v>
      </c>
      <c r="R1246" s="99">
        <f>SUMIF(Import!$B:$B,$A1246,Import!L:L)</f>
        <v>0</v>
      </c>
      <c r="S1246" s="99">
        <f>SUMIF(Import!$B:$B,$A1246,Import!M:M)</f>
        <v>0</v>
      </c>
      <c r="T1246" s="99">
        <f>SUMIF(Import!$B:$B,$A1246,Import!N:N)</f>
        <v>500</v>
      </c>
      <c r="U1246" s="99">
        <f t="shared" si="1614"/>
        <v>0</v>
      </c>
      <c r="V1246" s="255">
        <f t="shared" si="1615"/>
        <v>0</v>
      </c>
      <c r="W1246" s="102" t="s">
        <v>2810</v>
      </c>
      <c r="X1246" s="102"/>
      <c r="Y1246" s="102"/>
      <c r="Z1246" s="192"/>
      <c r="AA1246" s="615"/>
      <c r="AB1246" s="307"/>
      <c r="AC1246" s="300"/>
      <c r="AD1246" s="300"/>
      <c r="AE1246" s="300"/>
      <c r="AF1246" s="300"/>
      <c r="AG1246" s="300"/>
      <c r="AH1246" s="307"/>
      <c r="AI1246" s="307"/>
      <c r="AJ1246" s="300"/>
      <c r="AK1246" s="300"/>
      <c r="AL1246" s="300"/>
      <c r="AM1246" s="300"/>
      <c r="AN1246" s="300"/>
      <c r="AO1246" s="300"/>
      <c r="AP1246" s="192"/>
      <c r="AQ1246" s="192"/>
    </row>
    <row r="1247" spans="1:59" s="115" customFormat="1" ht="15" customHeight="1">
      <c r="A1247" s="555" t="s">
        <v>2811</v>
      </c>
      <c r="B1247" s="217" t="str">
        <f t="shared" si="1581"/>
        <v>100</v>
      </c>
      <c r="C1247" s="217" t="str">
        <f t="shared" si="1582"/>
        <v>35</v>
      </c>
      <c r="D1247" s="101" t="str">
        <f t="shared" si="1583"/>
        <v>354</v>
      </c>
      <c r="E1247" s="217" t="str">
        <f t="shared" si="1584"/>
        <v>100-35-354</v>
      </c>
      <c r="F1247" s="294" t="str">
        <f t="shared" si="1585"/>
        <v>52440</v>
      </c>
      <c r="G1247" s="295" t="str">
        <f>VLOOKUP(F1247,'GL Category'!A:C,3,FALSE)</f>
        <v>Operations &amp; maintenance</v>
      </c>
      <c r="H1247" s="98" t="str">
        <f>VLOOKUP(F1247,'GL Category'!A:C,2,FALSE)</f>
        <v>RADIO MAINTENANCE</v>
      </c>
      <c r="I1247" s="99">
        <f>SUMIF(Import!$B:$B,$A1247,Import!D:D)</f>
        <v>0</v>
      </c>
      <c r="J1247" s="99">
        <f>SUMIF(Import!$B:$B,$A1247,Import!E:E)</f>
        <v>0</v>
      </c>
      <c r="K1247" s="99">
        <f>SUMIF(Import!$B:$B,$A1247,Import!F:F)</f>
        <v>0</v>
      </c>
      <c r="L1247" s="99">
        <f>SUMIF(Import!$B:$B,$A1247,Import!G:G)</f>
        <v>0</v>
      </c>
      <c r="M1247" s="99">
        <f>SUMIF(Import!$B:$B,$A1247,Import!H:H)</f>
        <v>500</v>
      </c>
      <c r="N1247" s="99">
        <f>SUMIF(Import!$B:$B,$A1247,Import!I:I)</f>
        <v>0</v>
      </c>
      <c r="O1247" s="99">
        <f>SUMIF(Import!$B:$B,$A1247,Import!J:J)</f>
        <v>500</v>
      </c>
      <c r="P1247" s="99">
        <f t="shared" si="1613"/>
        <v>0</v>
      </c>
      <c r="Q1247" s="99">
        <f>SUMIF(Import!$B:$B,$A1247,Import!K:K)</f>
        <v>500</v>
      </c>
      <c r="R1247" s="99">
        <f>SUMIF(Import!$B:$B,$A1247,Import!L:L)</f>
        <v>0</v>
      </c>
      <c r="S1247" s="99">
        <f>SUMIF(Import!$B:$B,$A1247,Import!M:M)</f>
        <v>0</v>
      </c>
      <c r="T1247" s="99">
        <f>SUMIF(Import!$B:$B,$A1247,Import!N:N)</f>
        <v>500</v>
      </c>
      <c r="U1247" s="99">
        <f t="shared" si="1614"/>
        <v>0</v>
      </c>
      <c r="V1247" s="255">
        <f t="shared" si="1615"/>
        <v>0</v>
      </c>
      <c r="W1247" s="102" t="s">
        <v>2811</v>
      </c>
      <c r="X1247" s="102"/>
      <c r="Y1247" s="102"/>
      <c r="Z1247" s="192"/>
      <c r="AA1247" s="615"/>
      <c r="AB1247" s="307"/>
      <c r="AC1247" s="300"/>
      <c r="AD1247" s="300"/>
      <c r="AE1247" s="300"/>
      <c r="AF1247" s="300"/>
      <c r="AG1247" s="300"/>
      <c r="AH1247" s="307"/>
      <c r="AI1247" s="307"/>
      <c r="AJ1247" s="300"/>
      <c r="AK1247" s="300"/>
      <c r="AL1247" s="300"/>
      <c r="AM1247" s="300"/>
      <c r="AN1247" s="300"/>
      <c r="AO1247" s="300"/>
      <c r="AP1247" s="192"/>
      <c r="AQ1247" s="192"/>
    </row>
    <row r="1248" spans="1:59" s="115" customFormat="1" ht="15" customHeight="1">
      <c r="A1248" s="555" t="s">
        <v>2812</v>
      </c>
      <c r="B1248" s="217" t="str">
        <f t="shared" si="1581"/>
        <v>100</v>
      </c>
      <c r="C1248" s="217" t="str">
        <f t="shared" si="1582"/>
        <v>35</v>
      </c>
      <c r="D1248" s="101" t="str">
        <f t="shared" si="1583"/>
        <v>354</v>
      </c>
      <c r="E1248" s="217" t="str">
        <f t="shared" si="1584"/>
        <v>100-35-354</v>
      </c>
      <c r="F1248" s="294" t="str">
        <f t="shared" si="1585"/>
        <v>52460</v>
      </c>
      <c r="G1248" s="295" t="str">
        <f>VLOOKUP(F1248,'GL Category'!A:C,3,FALSE)</f>
        <v>Operations &amp; maintenance</v>
      </c>
      <c r="H1248" s="98" t="str">
        <f>VLOOKUP(F1248,'GL Category'!A:C,2,FALSE)</f>
        <v>VEHICLE MAINTENANCE</v>
      </c>
      <c r="I1248" s="99">
        <f>SUMIF(Import!$B:$B,$A1248,Import!D:D)</f>
        <v>706.66</v>
      </c>
      <c r="J1248" s="99">
        <f>SUMIF(Import!$B:$B,$A1248,Import!E:E)</f>
        <v>957.95</v>
      </c>
      <c r="K1248" s="99">
        <f>SUMIF(Import!$B:$B,$A1248,Import!F:F)</f>
        <v>809.54</v>
      </c>
      <c r="L1248" s="99">
        <f>SUMIF(Import!$B:$B,$A1248,Import!G:G)</f>
        <v>1305.46</v>
      </c>
      <c r="M1248" s="99">
        <f>SUMIF(Import!$B:$B,$A1248,Import!H:H)</f>
        <v>9965</v>
      </c>
      <c r="N1248" s="99">
        <f>SUMIF(Import!$B:$B,$A1248,Import!I:I)</f>
        <v>9159.06</v>
      </c>
      <c r="O1248" s="99">
        <f>SUMIF(Import!$B:$B,$A1248,Import!J:J)</f>
        <v>9965</v>
      </c>
      <c r="P1248" s="99">
        <f t="shared" si="1613"/>
        <v>0</v>
      </c>
      <c r="Q1248" s="99">
        <f>SUMIF(Import!$B:$B,$A1248,Import!K:K)</f>
        <v>1965</v>
      </c>
      <c r="R1248" s="99">
        <f>SUMIF(Import!$B:$B,$A1248,Import!L:L)</f>
        <v>0</v>
      </c>
      <c r="S1248" s="99">
        <f>SUMIF(Import!$B:$B,$A1248,Import!M:M)</f>
        <v>0</v>
      </c>
      <c r="T1248" s="99">
        <f>SUMIF(Import!$B:$B,$A1248,Import!N:N)</f>
        <v>1965</v>
      </c>
      <c r="U1248" s="99">
        <f t="shared" si="1614"/>
        <v>-8000</v>
      </c>
      <c r="V1248" s="255">
        <f t="shared" si="1615"/>
        <v>-0.80280983442047171</v>
      </c>
      <c r="W1248" s="102" t="s">
        <v>2812</v>
      </c>
      <c r="X1248" s="102"/>
      <c r="Y1248" s="102"/>
      <c r="Z1248" s="192"/>
      <c r="AA1248" s="615"/>
      <c r="AB1248" s="307"/>
      <c r="AC1248" s="300"/>
      <c r="AD1248" s="300"/>
      <c r="AE1248" s="300"/>
      <c r="AF1248" s="300"/>
      <c r="AG1248" s="300"/>
      <c r="AH1248" s="307"/>
      <c r="AI1248" s="307"/>
      <c r="AJ1248" s="300"/>
      <c r="AK1248" s="300"/>
      <c r="AL1248" s="300"/>
      <c r="AM1248" s="300"/>
      <c r="AN1248" s="300"/>
      <c r="AO1248" s="300"/>
      <c r="AP1248" s="192"/>
      <c r="AQ1248" s="192"/>
    </row>
    <row r="1249" spans="1:59" s="115" customFormat="1" ht="15" customHeight="1">
      <c r="A1249" s="555" t="s">
        <v>2813</v>
      </c>
      <c r="B1249" s="217" t="str">
        <f t="shared" si="1581"/>
        <v>100</v>
      </c>
      <c r="C1249" s="217" t="str">
        <f t="shared" si="1582"/>
        <v>35</v>
      </c>
      <c r="D1249" s="101" t="str">
        <f t="shared" si="1583"/>
        <v>354</v>
      </c>
      <c r="E1249" s="217" t="str">
        <f t="shared" si="1584"/>
        <v>100-35-354</v>
      </c>
      <c r="F1249" s="294" t="str">
        <f t="shared" si="1585"/>
        <v>52470</v>
      </c>
      <c r="G1249" s="295" t="str">
        <f>VLOOKUP(F1249,'GL Category'!A:C,3,FALSE)</f>
        <v>Operations &amp; maintenance</v>
      </c>
      <c r="H1249" s="98" t="str">
        <f>VLOOKUP(F1249,'GL Category'!A:C,2,FALSE)</f>
        <v>EQUIPMENT MAINTENANCE</v>
      </c>
      <c r="I1249" s="99">
        <f>SUMIF(Import!$B:$B,$A1249,Import!D:D)</f>
        <v>1182.4000000000001</v>
      </c>
      <c r="J1249" s="99">
        <f>SUMIF(Import!$B:$B,$A1249,Import!E:E)</f>
        <v>1932.78</v>
      </c>
      <c r="K1249" s="99">
        <f>SUMIF(Import!$B:$B,$A1249,Import!F:F)</f>
        <v>201.56</v>
      </c>
      <c r="L1249" s="99">
        <f>SUMIF(Import!$B:$B,$A1249,Import!G:G)</f>
        <v>40562.870000000003</v>
      </c>
      <c r="M1249" s="99">
        <f>SUMIF(Import!$B:$B,$A1249,Import!H:H)</f>
        <v>8000</v>
      </c>
      <c r="N1249" s="99">
        <f>SUMIF(Import!$B:$B,$A1249,Import!I:I)</f>
        <v>10155.32</v>
      </c>
      <c r="O1249" s="99">
        <f>SUMIF(Import!$B:$B,$A1249,Import!J:J)</f>
        <v>10500</v>
      </c>
      <c r="P1249" s="99">
        <f t="shared" si="1613"/>
        <v>2500</v>
      </c>
      <c r="Q1249" s="99">
        <f>SUMIF(Import!$B:$B,$A1249,Import!K:K)</f>
        <v>13250</v>
      </c>
      <c r="R1249" s="99">
        <f>SUMIF(Import!$B:$B,$A1249,Import!L:L)</f>
        <v>0</v>
      </c>
      <c r="S1249" s="99">
        <f>SUMIF(Import!$B:$B,$A1249,Import!M:M)</f>
        <v>0</v>
      </c>
      <c r="T1249" s="99">
        <f>SUMIF(Import!$B:$B,$A1249,Import!N:N)</f>
        <v>13250</v>
      </c>
      <c r="U1249" s="99">
        <f t="shared" si="1614"/>
        <v>5250</v>
      </c>
      <c r="V1249" s="255">
        <f t="shared" si="1615"/>
        <v>0.65625</v>
      </c>
      <c r="W1249" s="102" t="s">
        <v>2813</v>
      </c>
      <c r="X1249" s="102"/>
      <c r="Y1249" s="102"/>
      <c r="Z1249" s="192"/>
      <c r="AA1249" s="615"/>
      <c r="AB1249" s="307"/>
      <c r="AC1249" s="300"/>
      <c r="AD1249" s="300"/>
      <c r="AE1249" s="300"/>
      <c r="AF1249" s="300"/>
      <c r="AG1249" s="300"/>
      <c r="AH1249" s="307"/>
      <c r="AI1249" s="307"/>
      <c r="AJ1249" s="300"/>
      <c r="AK1249" s="300"/>
      <c r="AL1249" s="300"/>
      <c r="AM1249" s="300"/>
      <c r="AN1249" s="300"/>
      <c r="AO1249" s="300"/>
      <c r="AP1249" s="192"/>
      <c r="AQ1249" s="192"/>
    </row>
    <row r="1250" spans="1:59" ht="25.35" customHeight="1">
      <c r="A1250" s="555"/>
      <c r="B1250" s="217"/>
      <c r="C1250" s="217"/>
      <c r="D1250" s="101"/>
      <c r="E1250" s="217"/>
      <c r="F1250" s="294"/>
      <c r="G1250" s="295"/>
      <c r="H1250" s="107" t="str">
        <f>UPPER(G1249)&amp;" TOTAL"</f>
        <v>OPERATIONS &amp; MAINTENANCE TOTAL</v>
      </c>
      <c r="I1250" s="108">
        <f t="shared" ref="I1250" si="1616">SUBTOTAL(9,I1243:I1249)</f>
        <v>3010.46</v>
      </c>
      <c r="J1250" s="108">
        <f t="shared" ref="J1250:P1250" si="1617">SUBTOTAL(9,J1243:J1249)</f>
        <v>3015.42</v>
      </c>
      <c r="K1250" s="108">
        <f t="shared" ref="K1250" si="1618">SUBTOTAL(9,K1243:K1249)</f>
        <v>1167.3699999999999</v>
      </c>
      <c r="L1250" s="108">
        <f t="shared" ref="L1250" si="1619">SUBTOTAL(9,L1243:L1249)</f>
        <v>42803.12</v>
      </c>
      <c r="M1250" s="108">
        <f t="shared" si="1617"/>
        <v>21915</v>
      </c>
      <c r="N1250" s="109">
        <f t="shared" ref="N1250" si="1620">SUBTOTAL(9,N1243:N1249)</f>
        <v>20079.019999999997</v>
      </c>
      <c r="O1250" s="109">
        <f t="shared" si="1617"/>
        <v>24415</v>
      </c>
      <c r="P1250" s="109">
        <f t="shared" si="1617"/>
        <v>2500</v>
      </c>
      <c r="Q1250" s="109">
        <f t="shared" ref="Q1250:T1250" si="1621">SUBTOTAL(9,Q1243:Q1249)</f>
        <v>19165</v>
      </c>
      <c r="R1250" s="109">
        <f t="shared" si="1621"/>
        <v>0</v>
      </c>
      <c r="S1250" s="109">
        <f t="shared" si="1621"/>
        <v>0</v>
      </c>
      <c r="T1250" s="109">
        <f t="shared" si="1621"/>
        <v>19165</v>
      </c>
      <c r="U1250" s="99">
        <f>T1250-M1250</f>
        <v>-2750</v>
      </c>
      <c r="V1250" s="255">
        <f>IF(M1250=0,"N/A",T1250/M1250-1)</f>
        <v>-0.12548482774355463</v>
      </c>
      <c r="W1250" s="102"/>
      <c r="X1250" s="102"/>
      <c r="Y1250" s="102"/>
      <c r="AA1250" s="615"/>
      <c r="AC1250" s="93"/>
      <c r="AD1250" s="93"/>
      <c r="AE1250" s="93"/>
      <c r="AF1250" s="93"/>
      <c r="AG1250" s="93"/>
      <c r="AJ1250" s="93"/>
      <c r="AK1250" s="93"/>
      <c r="AL1250" s="93"/>
      <c r="AM1250" s="93"/>
      <c r="AN1250" s="93"/>
      <c r="AO1250" s="93"/>
    </row>
    <row r="1251" spans="1:59" ht="15" customHeight="1">
      <c r="A1251" s="555"/>
      <c r="B1251" s="217"/>
      <c r="C1251" s="217"/>
      <c r="D1251" s="101"/>
      <c r="E1251" s="217"/>
      <c r="F1251" s="294"/>
      <c r="G1251" s="295"/>
      <c r="H1251" s="98"/>
      <c r="I1251" s="106"/>
      <c r="J1251" s="106"/>
      <c r="K1251" s="106"/>
      <c r="L1251" s="106"/>
      <c r="M1251" s="106"/>
      <c r="N1251" s="112"/>
      <c r="O1251" s="112"/>
      <c r="P1251" s="112"/>
      <c r="Q1251" s="113"/>
      <c r="R1251" s="113"/>
      <c r="S1251" s="113"/>
      <c r="T1251" s="113"/>
      <c r="U1251" s="99"/>
      <c r="V1251" s="255"/>
      <c r="W1251" s="102"/>
      <c r="X1251" s="102"/>
      <c r="Y1251" s="102"/>
      <c r="AA1251" s="615"/>
      <c r="AC1251" s="300"/>
      <c r="AD1251" s="300"/>
      <c r="AE1251" s="300"/>
      <c r="AF1251" s="300"/>
      <c r="AG1251" s="300"/>
      <c r="AJ1251" s="300"/>
      <c r="AK1251" s="300"/>
      <c r="AL1251" s="300"/>
      <c r="AM1251" s="300"/>
      <c r="AN1251" s="300"/>
      <c r="AO1251" s="300"/>
    </row>
    <row r="1252" spans="1:59" ht="15" customHeight="1">
      <c r="A1252" s="555" t="s">
        <v>2815</v>
      </c>
      <c r="B1252" s="217" t="str">
        <f t="shared" si="1581"/>
        <v>100</v>
      </c>
      <c r="C1252" s="217" t="str">
        <f t="shared" si="1582"/>
        <v>35</v>
      </c>
      <c r="D1252" s="101" t="str">
        <f t="shared" si="1583"/>
        <v>354</v>
      </c>
      <c r="E1252" s="217" t="str">
        <f t="shared" si="1584"/>
        <v>100-35-354</v>
      </c>
      <c r="F1252" s="294" t="str">
        <f t="shared" si="1585"/>
        <v>53510</v>
      </c>
      <c r="G1252" s="295" t="str">
        <f>VLOOKUP(F1252,'GL Category'!A:C,3,FALSE)</f>
        <v>Services &amp; other</v>
      </c>
      <c r="H1252" s="98" t="str">
        <f>VLOOKUP(F1252,'GL Category'!A:C,2,FALSE)</f>
        <v>DUES &amp; SUBSCRIPTIONS</v>
      </c>
      <c r="I1252" s="99">
        <f>SUMIF(Import!$B:$B,$A1252,Import!D:D)</f>
        <v>7750</v>
      </c>
      <c r="J1252" s="99">
        <f>SUMIF(Import!$B:$B,$A1252,Import!E:E)</f>
        <v>7750</v>
      </c>
      <c r="K1252" s="99">
        <f>SUMIF(Import!$B:$B,$A1252,Import!F:F)</f>
        <v>7750</v>
      </c>
      <c r="L1252" s="99">
        <f>SUMIF(Import!$B:$B,$A1252,Import!G:G)</f>
        <v>6812.5</v>
      </c>
      <c r="M1252" s="99">
        <f>SUMIF(Import!$B:$B,$A1252,Import!H:H)</f>
        <v>8000</v>
      </c>
      <c r="N1252" s="99">
        <f>SUMIF(Import!$B:$B,$A1252,Import!I:I)</f>
        <v>6812.5</v>
      </c>
      <c r="O1252" s="99">
        <f>SUMIF(Import!$B:$B,$A1252,Import!J:J)</f>
        <v>8000</v>
      </c>
      <c r="P1252" s="99">
        <f t="shared" ref="P1252:P1256" si="1622">O1252-M1252</f>
        <v>0</v>
      </c>
      <c r="Q1252" s="99">
        <f>SUMIF(Import!$B:$B,$A1252,Import!K:K)</f>
        <v>8000</v>
      </c>
      <c r="R1252" s="99">
        <f>SUMIF(Import!$B:$B,$A1252,Import!L:L)</f>
        <v>0</v>
      </c>
      <c r="S1252" s="99">
        <f>SUMIF(Import!$B:$B,$A1252,Import!M:M)</f>
        <v>0</v>
      </c>
      <c r="T1252" s="99">
        <f>SUMIF(Import!$B:$B,$A1252,Import!N:N)</f>
        <v>8000</v>
      </c>
      <c r="U1252" s="99">
        <f t="shared" ref="U1252:U1256" si="1623">T1252-M1252</f>
        <v>0</v>
      </c>
      <c r="V1252" s="255">
        <f t="shared" ref="V1252:V1256" si="1624">IF(M1252=0,"N/A",T1252/M1252-1)</f>
        <v>0</v>
      </c>
      <c r="W1252" s="102" t="s">
        <v>2815</v>
      </c>
      <c r="X1252" s="102"/>
      <c r="Y1252" s="102"/>
      <c r="AA1252" s="615"/>
      <c r="AC1252" s="300"/>
      <c r="AD1252" s="300"/>
      <c r="AE1252" s="300"/>
      <c r="AF1252" s="300"/>
      <c r="AG1252" s="300"/>
      <c r="AJ1252" s="300"/>
      <c r="AK1252" s="300"/>
      <c r="AL1252" s="300"/>
      <c r="AM1252" s="300"/>
      <c r="AN1252" s="300"/>
      <c r="AO1252" s="300"/>
    </row>
    <row r="1253" spans="1:59" ht="15" customHeight="1">
      <c r="A1253" s="555" t="s">
        <v>2816</v>
      </c>
      <c r="B1253" s="217" t="str">
        <f t="shared" si="1581"/>
        <v>100</v>
      </c>
      <c r="C1253" s="217" t="str">
        <f t="shared" si="1582"/>
        <v>35</v>
      </c>
      <c r="D1253" s="101" t="str">
        <f t="shared" si="1583"/>
        <v>354</v>
      </c>
      <c r="E1253" s="217" t="str">
        <f t="shared" si="1584"/>
        <v>100-35-354</v>
      </c>
      <c r="F1253" s="294" t="str">
        <f t="shared" si="1585"/>
        <v>53515</v>
      </c>
      <c r="G1253" s="295" t="str">
        <f>VLOOKUP(F1253,'GL Category'!A:C,3,FALSE)</f>
        <v>Services &amp; other</v>
      </c>
      <c r="H1253" s="98" t="str">
        <f>VLOOKUP(F1253,'GL Category'!A:C,2,FALSE)</f>
        <v>TRAVEL, TRAINING &amp; EDUCATION</v>
      </c>
      <c r="I1253" s="99">
        <f>SUMIF(Import!$B:$B,$A1253,Import!D:D)</f>
        <v>0</v>
      </c>
      <c r="J1253" s="99">
        <f>SUMIF(Import!$B:$B,$A1253,Import!E:E)</f>
        <v>0</v>
      </c>
      <c r="K1253" s="99">
        <f>SUMIF(Import!$B:$B,$A1253,Import!F:F)</f>
        <v>0</v>
      </c>
      <c r="L1253" s="99">
        <f>SUMIF(Import!$B:$B,$A1253,Import!G:G)</f>
        <v>0</v>
      </c>
      <c r="M1253" s="99">
        <f>SUMIF(Import!$B:$B,$A1253,Import!H:H)</f>
        <v>4000</v>
      </c>
      <c r="N1253" s="99">
        <f>SUMIF(Import!$B:$B,$A1253,Import!I:I)</f>
        <v>300</v>
      </c>
      <c r="O1253" s="99">
        <f>SUMIF(Import!$B:$B,$A1253,Import!J:J)</f>
        <v>4000</v>
      </c>
      <c r="P1253" s="99">
        <f t="shared" si="1622"/>
        <v>0</v>
      </c>
      <c r="Q1253" s="99">
        <f>SUMIF(Import!$B:$B,$A1253,Import!K:K)</f>
        <v>4000</v>
      </c>
      <c r="R1253" s="99">
        <f>SUMIF(Import!$B:$B,$A1253,Import!L:L)</f>
        <v>0</v>
      </c>
      <c r="S1253" s="99">
        <f>SUMIF(Import!$B:$B,$A1253,Import!M:M)</f>
        <v>0</v>
      </c>
      <c r="T1253" s="99">
        <f>SUMIF(Import!$B:$B,$A1253,Import!N:N)</f>
        <v>4000</v>
      </c>
      <c r="U1253" s="99">
        <f t="shared" si="1623"/>
        <v>0</v>
      </c>
      <c r="V1253" s="255">
        <f t="shared" si="1624"/>
        <v>0</v>
      </c>
      <c r="W1253" s="102" t="s">
        <v>2816</v>
      </c>
      <c r="X1253" s="102"/>
      <c r="Y1253" s="102"/>
      <c r="AA1253" s="615"/>
      <c r="AC1253" s="94"/>
      <c r="AD1253" s="94"/>
      <c r="AE1253" s="94"/>
      <c r="AF1253" s="94"/>
      <c r="AG1253" s="94"/>
      <c r="AJ1253" s="94"/>
      <c r="AK1253" s="94"/>
      <c r="AL1253" s="94"/>
      <c r="AM1253" s="94"/>
      <c r="AN1253" s="94"/>
      <c r="AO1253" s="94"/>
    </row>
    <row r="1254" spans="1:59" s="75" customFormat="1" ht="15" customHeight="1">
      <c r="A1254" s="555" t="s">
        <v>2817</v>
      </c>
      <c r="B1254" s="217" t="str">
        <f t="shared" si="1581"/>
        <v>100</v>
      </c>
      <c r="C1254" s="217" t="str">
        <f t="shared" si="1582"/>
        <v>35</v>
      </c>
      <c r="D1254" s="101" t="str">
        <f t="shared" si="1583"/>
        <v>354</v>
      </c>
      <c r="E1254" s="217" t="str">
        <f t="shared" si="1584"/>
        <v>100-35-354</v>
      </c>
      <c r="F1254" s="294" t="str">
        <f t="shared" si="1585"/>
        <v>53572</v>
      </c>
      <c r="G1254" s="295" t="str">
        <f>VLOOKUP(F1254,'GL Category'!A:C,3,FALSE)</f>
        <v>Services &amp; other</v>
      </c>
      <c r="H1254" s="98" t="str">
        <f>VLOOKUP(F1254,'GL Category'!A:C,2,FALSE)</f>
        <v>ELECTRICAL UTILITY SERVICE</v>
      </c>
      <c r="I1254" s="99">
        <f>SUMIF(Import!$B:$B,$A1254,Import!D:D)</f>
        <v>1692.65</v>
      </c>
      <c r="J1254" s="99">
        <f>SUMIF(Import!$B:$B,$A1254,Import!E:E)</f>
        <v>22268.04</v>
      </c>
      <c r="K1254" s="99">
        <f>SUMIF(Import!$B:$B,$A1254,Import!F:F)</f>
        <v>1726.54</v>
      </c>
      <c r="L1254" s="99">
        <f>SUMIF(Import!$B:$B,$A1254,Import!G:G)</f>
        <v>1794.84</v>
      </c>
      <c r="M1254" s="99">
        <f>SUMIF(Import!$B:$B,$A1254,Import!H:H)</f>
        <v>1890</v>
      </c>
      <c r="N1254" s="99">
        <f>SUMIF(Import!$B:$B,$A1254,Import!I:I)</f>
        <v>8079.98</v>
      </c>
      <c r="O1254" s="99">
        <f>SUMIF(Import!$B:$B,$A1254,Import!J:J)</f>
        <v>10000</v>
      </c>
      <c r="P1254" s="99">
        <f t="shared" si="1622"/>
        <v>8110</v>
      </c>
      <c r="Q1254" s="99">
        <f>SUMIF(Import!$B:$B,$A1254,Import!K:K)</f>
        <v>1890</v>
      </c>
      <c r="R1254" s="99">
        <f>SUMIF(Import!$B:$B,$A1254,Import!L:L)</f>
        <v>0</v>
      </c>
      <c r="S1254" s="99">
        <f>SUMIF(Import!$B:$B,$A1254,Import!M:M)</f>
        <v>0</v>
      </c>
      <c r="T1254" s="99">
        <f>SUMIF(Import!$B:$B,$A1254,Import!N:N)</f>
        <v>1890</v>
      </c>
      <c r="U1254" s="99">
        <f t="shared" si="1623"/>
        <v>0</v>
      </c>
      <c r="V1254" s="255">
        <f t="shared" si="1624"/>
        <v>0</v>
      </c>
      <c r="W1254" s="102" t="s">
        <v>2817</v>
      </c>
      <c r="X1254" s="102"/>
      <c r="Y1254" s="102"/>
      <c r="Z1254" s="614"/>
      <c r="AA1254" s="615"/>
      <c r="AB1254" s="624"/>
      <c r="AC1254" s="623"/>
      <c r="AD1254" s="623"/>
      <c r="AE1254" s="623"/>
      <c r="AF1254" s="623"/>
      <c r="AG1254" s="623"/>
      <c r="AH1254" s="623"/>
      <c r="AI1254" s="624"/>
      <c r="AJ1254" s="307"/>
      <c r="AK1254" s="307"/>
      <c r="AL1254" s="307"/>
      <c r="AM1254" s="307"/>
      <c r="AN1254" s="307"/>
      <c r="AO1254" s="192"/>
      <c r="AP1254" s="192"/>
      <c r="AQ1254" s="192"/>
      <c r="AR1254" s="115"/>
      <c r="AS1254" s="115"/>
      <c r="AT1254" s="115"/>
      <c r="AU1254" s="115"/>
      <c r="AV1254" s="115"/>
      <c r="AW1254" s="115"/>
      <c r="AX1254" s="115"/>
      <c r="AY1254" s="115"/>
      <c r="AZ1254" s="115"/>
      <c r="BA1254" s="115"/>
      <c r="BB1254" s="115"/>
      <c r="BC1254" s="115"/>
      <c r="BD1254" s="115"/>
      <c r="BE1254" s="74"/>
      <c r="BF1254" s="74"/>
      <c r="BG1254" s="74"/>
    </row>
    <row r="1255" spans="1:59" ht="15" customHeight="1">
      <c r="A1255" s="555" t="s">
        <v>2814</v>
      </c>
      <c r="B1255" s="217" t="str">
        <f t="shared" si="1581"/>
        <v>100</v>
      </c>
      <c r="C1255" s="217" t="str">
        <f t="shared" si="1582"/>
        <v>35</v>
      </c>
      <c r="D1255" s="101" t="str">
        <f t="shared" si="1583"/>
        <v>354</v>
      </c>
      <c r="E1255" s="217" t="str">
        <f t="shared" si="1584"/>
        <v>100-35-354</v>
      </c>
      <c r="F1255" s="294" t="str">
        <f t="shared" si="1585"/>
        <v>53599</v>
      </c>
      <c r="G1255" s="295" t="str">
        <f>VLOOKUP(F1255,'GL Category'!A:C,3,FALSE)</f>
        <v>Services &amp; other</v>
      </c>
      <c r="H1255" s="98" t="str">
        <f>VLOOKUP(F1255,'GL Category'!A:C,2,FALSE)</f>
        <v>MISCELLANEOUS SERVICES</v>
      </c>
      <c r="I1255" s="99">
        <f>SUMIF(Import!$B:$B,$A1255,Import!D:D)</f>
        <v>0</v>
      </c>
      <c r="J1255" s="99">
        <f>SUMIF(Import!$B:$B,$A1255,Import!E:E)</f>
        <v>0</v>
      </c>
      <c r="K1255" s="99">
        <f>SUMIF(Import!$B:$B,$A1255,Import!F:F)</f>
        <v>0</v>
      </c>
      <c r="L1255" s="99">
        <f>SUMIF(Import!$B:$B,$A1255,Import!G:G)</f>
        <v>0</v>
      </c>
      <c r="M1255" s="99">
        <f>SUMIF(Import!$B:$B,$A1255,Import!H:H)</f>
        <v>0</v>
      </c>
      <c r="N1255" s="99">
        <f>SUMIF(Import!$B:$B,$A1255,Import!I:I)</f>
        <v>0</v>
      </c>
      <c r="O1255" s="99">
        <f>SUMIF(Import!$B:$B,$A1255,Import!J:J)</f>
        <v>0</v>
      </c>
      <c r="P1255" s="99">
        <f t="shared" si="1622"/>
        <v>0</v>
      </c>
      <c r="Q1255" s="99">
        <f>SUMIF(Import!$B:$B,$A1255,Import!K:K)</f>
        <v>0</v>
      </c>
      <c r="R1255" s="99">
        <f>SUMIF(Import!$B:$B,$A1255,Import!L:L)</f>
        <v>0</v>
      </c>
      <c r="S1255" s="99">
        <f>SUMIF(Import!$B:$B,$A1255,Import!M:M)</f>
        <v>0</v>
      </c>
      <c r="T1255" s="99">
        <f>SUMIF(Import!$B:$B,$A1255,Import!N:N)</f>
        <v>0</v>
      </c>
      <c r="U1255" s="99">
        <f t="shared" si="1623"/>
        <v>0</v>
      </c>
      <c r="V1255" s="255" t="str">
        <f t="shared" si="1624"/>
        <v>N/A</v>
      </c>
      <c r="W1255" s="102" t="s">
        <v>2814</v>
      </c>
      <c r="X1255" s="102"/>
      <c r="Y1255" s="102"/>
      <c r="AA1255" s="615"/>
      <c r="AC1255" s="300"/>
      <c r="AD1255" s="300"/>
      <c r="AE1255" s="300"/>
      <c r="AF1255" s="300"/>
      <c r="AG1255" s="300"/>
      <c r="AJ1255" s="300"/>
      <c r="AK1255" s="300"/>
      <c r="AL1255" s="300"/>
      <c r="AM1255" s="300"/>
      <c r="AN1255" s="300"/>
    </row>
    <row r="1256" spans="1:59" ht="15" customHeight="1">
      <c r="A1256" s="555" t="s">
        <v>2818</v>
      </c>
      <c r="B1256" s="217" t="str">
        <f t="shared" si="1581"/>
        <v>100</v>
      </c>
      <c r="C1256" s="217" t="str">
        <f t="shared" si="1582"/>
        <v>35</v>
      </c>
      <c r="D1256" s="101" t="str">
        <f t="shared" si="1583"/>
        <v>354</v>
      </c>
      <c r="E1256" s="217" t="str">
        <f t="shared" si="1584"/>
        <v>100-35-354</v>
      </c>
      <c r="F1256" s="294" t="str">
        <f t="shared" si="1585"/>
        <v>55119</v>
      </c>
      <c r="G1256" s="295" t="str">
        <f>VLOOKUP(F1256,'GL Category'!A:C,3,FALSE)</f>
        <v>Services &amp; other</v>
      </c>
      <c r="H1256" s="98" t="str">
        <f>VLOOKUP(F1256,'GL Category'!A:C,2,FALSE)</f>
        <v>OFFICE EQUIP LEASE EXP-CITY</v>
      </c>
      <c r="I1256" s="99">
        <f>SUMIF(Import!$B:$B,$A1256,Import!D:D)</f>
        <v>1560</v>
      </c>
      <c r="J1256" s="99">
        <f>SUMIF(Import!$B:$B,$A1256,Import!E:E)</f>
        <v>1560</v>
      </c>
      <c r="K1256" s="99">
        <f>SUMIF(Import!$B:$B,$A1256,Import!F:F)</f>
        <v>1560</v>
      </c>
      <c r="L1256" s="99">
        <f>SUMIF(Import!$B:$B,$A1256,Import!G:G)</f>
        <v>1560</v>
      </c>
      <c r="M1256" s="99">
        <f>SUMIF(Import!$B:$B,$A1256,Import!H:H)</f>
        <v>1560</v>
      </c>
      <c r="N1256" s="99">
        <f>SUMIF(Import!$B:$B,$A1256,Import!I:I)</f>
        <v>1170</v>
      </c>
      <c r="O1256" s="99">
        <f>SUMIF(Import!$B:$B,$A1256,Import!J:J)</f>
        <v>1560</v>
      </c>
      <c r="P1256" s="99">
        <f t="shared" si="1622"/>
        <v>0</v>
      </c>
      <c r="Q1256" s="99">
        <f>SUMIF(Import!$B:$B,$A1256,Import!K:K)</f>
        <v>1560</v>
      </c>
      <c r="R1256" s="99">
        <f>SUMIF(Import!$B:$B,$A1256,Import!L:L)</f>
        <v>0</v>
      </c>
      <c r="S1256" s="99">
        <f>SUMIF(Import!$B:$B,$A1256,Import!M:M)</f>
        <v>0</v>
      </c>
      <c r="T1256" s="99">
        <f>SUMIF(Import!$B:$B,$A1256,Import!N:N)</f>
        <v>1560</v>
      </c>
      <c r="U1256" s="99">
        <f t="shared" si="1623"/>
        <v>0</v>
      </c>
      <c r="V1256" s="255">
        <f t="shared" si="1624"/>
        <v>0</v>
      </c>
      <c r="W1256" s="102" t="s">
        <v>2818</v>
      </c>
      <c r="X1256" s="102"/>
      <c r="Y1256" s="102"/>
      <c r="AA1256" s="615"/>
      <c r="AC1256" s="300"/>
      <c r="AD1256" s="300"/>
      <c r="AE1256" s="300"/>
      <c r="AF1256" s="300"/>
      <c r="AG1256" s="300"/>
      <c r="AJ1256" s="300"/>
      <c r="AK1256" s="300"/>
      <c r="AL1256" s="300"/>
      <c r="AM1256" s="300"/>
      <c r="AN1256" s="300"/>
    </row>
    <row r="1257" spans="1:59" ht="15" customHeight="1">
      <c r="A1257" s="555"/>
      <c r="B1257" s="217"/>
      <c r="C1257" s="217"/>
      <c r="D1257" s="101"/>
      <c r="E1257" s="217"/>
      <c r="F1257" s="294"/>
      <c r="G1257" s="295"/>
      <c r="H1257" s="107" t="str">
        <f>UPPER(G1256)&amp;" TOTAL"</f>
        <v>SERVICES &amp; OTHER TOTAL</v>
      </c>
      <c r="I1257" s="108">
        <f t="shared" ref="I1257" si="1625">SUBTOTAL(9,I1252:I1256)</f>
        <v>11002.65</v>
      </c>
      <c r="J1257" s="108">
        <f t="shared" ref="J1257:T1257" si="1626">SUBTOTAL(9,J1252:J1256)</f>
        <v>31578.04</v>
      </c>
      <c r="K1257" s="108">
        <f t="shared" ref="K1257" si="1627">SUBTOTAL(9,K1252:K1256)</f>
        <v>11036.54</v>
      </c>
      <c r="L1257" s="108">
        <f t="shared" ref="L1257" si="1628">SUBTOTAL(9,L1252:L1256)</f>
        <v>10167.34</v>
      </c>
      <c r="M1257" s="108">
        <f t="shared" si="1626"/>
        <v>15450</v>
      </c>
      <c r="N1257" s="109">
        <f t="shared" ref="N1257" si="1629">SUBTOTAL(9,N1252:N1256)</f>
        <v>16362.48</v>
      </c>
      <c r="O1257" s="109">
        <f t="shared" si="1626"/>
        <v>23560</v>
      </c>
      <c r="P1257" s="109">
        <f t="shared" si="1626"/>
        <v>8110</v>
      </c>
      <c r="Q1257" s="109">
        <f t="shared" si="1626"/>
        <v>15450</v>
      </c>
      <c r="R1257" s="109">
        <f t="shared" si="1626"/>
        <v>0</v>
      </c>
      <c r="S1257" s="109">
        <f t="shared" si="1626"/>
        <v>0</v>
      </c>
      <c r="T1257" s="109">
        <f t="shared" si="1626"/>
        <v>15450</v>
      </c>
      <c r="U1257" s="99">
        <f>T1257-M1257</f>
        <v>0</v>
      </c>
      <c r="V1257" s="255">
        <f>IF(M1257=0,"N/A",T1257/M1257-1)</f>
        <v>0</v>
      </c>
      <c r="W1257" s="102"/>
      <c r="X1257" s="102"/>
      <c r="Y1257" s="102"/>
      <c r="AA1257" s="615"/>
      <c r="AC1257" s="300"/>
      <c r="AD1257" s="300"/>
      <c r="AE1257" s="300"/>
      <c r="AF1257" s="300"/>
      <c r="AG1257" s="300"/>
      <c r="AJ1257" s="300"/>
      <c r="AK1257" s="300"/>
      <c r="AL1257" s="300"/>
      <c r="AM1257" s="300"/>
      <c r="AN1257" s="300"/>
    </row>
    <row r="1258" spans="1:59" s="115" customFormat="1" ht="15" customHeight="1">
      <c r="A1258" s="555"/>
      <c r="B1258" s="217"/>
      <c r="C1258" s="217"/>
      <c r="D1258" s="101"/>
      <c r="E1258" s="217"/>
      <c r="F1258" s="294"/>
      <c r="G1258" s="295"/>
      <c r="H1258" s="98"/>
      <c r="I1258" s="106"/>
      <c r="J1258" s="106"/>
      <c r="K1258" s="106"/>
      <c r="L1258" s="106"/>
      <c r="M1258" s="106"/>
      <c r="N1258" s="112"/>
      <c r="O1258" s="112"/>
      <c r="P1258" s="112"/>
      <c r="Q1258" s="113"/>
      <c r="R1258" s="113"/>
      <c r="S1258" s="113"/>
      <c r="T1258" s="113"/>
      <c r="U1258" s="99"/>
      <c r="V1258" s="255"/>
      <c r="W1258" s="102"/>
      <c r="X1258" s="102"/>
      <c r="Y1258" s="102"/>
      <c r="Z1258" s="192"/>
      <c r="AA1258" s="615"/>
      <c r="AB1258" s="307"/>
      <c r="AC1258" s="300"/>
      <c r="AD1258" s="300"/>
      <c r="AE1258" s="300"/>
      <c r="AF1258" s="300"/>
      <c r="AG1258" s="300"/>
      <c r="AH1258" s="307"/>
      <c r="AI1258" s="307"/>
      <c r="AJ1258" s="300"/>
      <c r="AK1258" s="300"/>
      <c r="AL1258" s="300"/>
      <c r="AM1258" s="300"/>
      <c r="AN1258" s="300"/>
      <c r="AO1258" s="300"/>
      <c r="AP1258" s="192"/>
      <c r="AQ1258" s="192"/>
    </row>
    <row r="1259" spans="1:59" s="115" customFormat="1" ht="15" customHeight="1">
      <c r="A1259" s="555" t="s">
        <v>2819</v>
      </c>
      <c r="B1259" s="217" t="str">
        <f t="shared" si="1581"/>
        <v>100</v>
      </c>
      <c r="C1259" s="217" t="str">
        <f t="shared" si="1582"/>
        <v>35</v>
      </c>
      <c r="D1259" s="101" t="str">
        <f t="shared" si="1583"/>
        <v>354</v>
      </c>
      <c r="E1259" s="217" t="str">
        <f t="shared" si="1584"/>
        <v>100-35-354</v>
      </c>
      <c r="F1259" s="294" t="str">
        <f t="shared" si="1585"/>
        <v>58830</v>
      </c>
      <c r="G1259" s="295" t="str">
        <f>VLOOKUP(F1259,'GL Category'!A:C,3,FALSE)</f>
        <v>Capital Outlay</v>
      </c>
      <c r="H1259" s="98" t="str">
        <f>VLOOKUP(F1259,'GL Category'!A:C,2,FALSE)</f>
        <v>MACHINERY &amp; EQUIPMENT</v>
      </c>
      <c r="I1259" s="99">
        <f>SUMIF(Import!$B:$B,$A1259,Import!D:D)</f>
        <v>14843.62</v>
      </c>
      <c r="J1259" s="99">
        <f>SUMIF(Import!$B:$B,$A1259,Import!E:E)</f>
        <v>0</v>
      </c>
      <c r="K1259" s="99">
        <f>SUMIF(Import!$B:$B,$A1259,Import!F:F)</f>
        <v>0</v>
      </c>
      <c r="L1259" s="99">
        <f>SUMIF(Import!$B:$B,$A1259,Import!G:G)</f>
        <v>58942.34</v>
      </c>
      <c r="M1259" s="99">
        <f>SUMIF(Import!$B:$B,$A1259,Import!H:H)</f>
        <v>47600</v>
      </c>
      <c r="N1259" s="99">
        <f>SUMIF(Import!$B:$B,$A1259,Import!I:I)</f>
        <v>0</v>
      </c>
      <c r="O1259" s="99">
        <f>SUMIF(Import!$B:$B,$A1259,Import!J:J)</f>
        <v>0</v>
      </c>
      <c r="P1259" s="99">
        <f t="shared" ref="P1259" si="1630">O1259-M1259</f>
        <v>-47600</v>
      </c>
      <c r="Q1259" s="99">
        <f>SUMIF(Import!$B:$B,$A1259,Import!K:K)</f>
        <v>0</v>
      </c>
      <c r="R1259" s="99">
        <f>SUMIF(Import!$B:$B,$A1259,Import!L:L)</f>
        <v>58024</v>
      </c>
      <c r="S1259" s="99">
        <f>SUMIF(Import!$B:$B,$A1259,Import!M:M)</f>
        <v>0</v>
      </c>
      <c r="T1259" s="99">
        <f>SUMIF(Import!$B:$B,$A1259,Import!N:N)</f>
        <v>58024</v>
      </c>
      <c r="U1259" s="99">
        <f t="shared" ref="U1259" si="1631">T1259-M1259</f>
        <v>10424</v>
      </c>
      <c r="V1259" s="255">
        <f t="shared" ref="V1259" si="1632">IF(M1259=0,"N/A",T1259/M1259-1)</f>
        <v>0.21899159663865553</v>
      </c>
      <c r="W1259" s="102" t="s">
        <v>2819</v>
      </c>
      <c r="X1259" s="102"/>
      <c r="Y1259" s="102"/>
      <c r="Z1259" s="192"/>
      <c r="AA1259" s="615"/>
      <c r="AB1259" s="307"/>
      <c r="AC1259" s="300"/>
      <c r="AD1259" s="300"/>
      <c r="AE1259" s="300"/>
      <c r="AF1259" s="300"/>
      <c r="AG1259" s="300"/>
      <c r="AH1259" s="307"/>
      <c r="AI1259" s="307"/>
      <c r="AJ1259" s="300"/>
      <c r="AK1259" s="300"/>
      <c r="AL1259" s="300"/>
      <c r="AM1259" s="300"/>
      <c r="AN1259" s="300"/>
      <c r="AO1259" s="300"/>
      <c r="AP1259" s="192"/>
      <c r="AQ1259" s="192"/>
    </row>
    <row r="1260" spans="1:59" s="115" customFormat="1" ht="15" customHeight="1">
      <c r="A1260" s="555"/>
      <c r="B1260" s="217"/>
      <c r="C1260" s="217"/>
      <c r="D1260" s="101"/>
      <c r="E1260" s="217"/>
      <c r="F1260" s="294"/>
      <c r="G1260" s="295"/>
      <c r="H1260" s="107" t="str">
        <f>UPPER(G1259)&amp;" TOTAL"</f>
        <v>CAPITAL OUTLAY TOTAL</v>
      </c>
      <c r="I1260" s="108">
        <f t="shared" ref="I1260" si="1633">SUBTOTAL(9,I1259:I1259)</f>
        <v>14843.62</v>
      </c>
      <c r="J1260" s="108">
        <f t="shared" ref="J1260:T1260" si="1634">SUBTOTAL(9,J1259:J1259)</f>
        <v>0</v>
      </c>
      <c r="K1260" s="108">
        <f t="shared" ref="K1260" si="1635">SUBTOTAL(9,K1259:K1259)</f>
        <v>0</v>
      </c>
      <c r="L1260" s="108">
        <f t="shared" ref="L1260" si="1636">SUBTOTAL(9,L1259:L1259)</f>
        <v>58942.34</v>
      </c>
      <c r="M1260" s="108">
        <f t="shared" si="1634"/>
        <v>47600</v>
      </c>
      <c r="N1260" s="109">
        <f t="shared" ref="N1260" si="1637">SUBTOTAL(9,N1259:N1259)</f>
        <v>0</v>
      </c>
      <c r="O1260" s="109">
        <f t="shared" si="1634"/>
        <v>0</v>
      </c>
      <c r="P1260" s="109">
        <f t="shared" si="1634"/>
        <v>-47600</v>
      </c>
      <c r="Q1260" s="109">
        <f t="shared" si="1634"/>
        <v>0</v>
      </c>
      <c r="R1260" s="109">
        <f t="shared" si="1634"/>
        <v>58024</v>
      </c>
      <c r="S1260" s="109">
        <f t="shared" si="1634"/>
        <v>0</v>
      </c>
      <c r="T1260" s="109">
        <f t="shared" si="1634"/>
        <v>58024</v>
      </c>
      <c r="U1260" s="99">
        <f>T1260-M1260</f>
        <v>10424</v>
      </c>
      <c r="V1260" s="255">
        <f>IF(M1260=0,"N/A",T1260/M1260-1)</f>
        <v>0.21899159663865553</v>
      </c>
      <c r="W1260" s="102"/>
      <c r="X1260" s="102"/>
      <c r="Y1260" s="102"/>
      <c r="Z1260" s="192"/>
      <c r="AA1260" s="615"/>
      <c r="AB1260" s="307"/>
      <c r="AC1260" s="94"/>
      <c r="AD1260" s="94"/>
      <c r="AE1260" s="94"/>
      <c r="AF1260" s="94"/>
      <c r="AG1260" s="94"/>
      <c r="AH1260" s="307"/>
      <c r="AI1260" s="307"/>
      <c r="AJ1260" s="94"/>
      <c r="AK1260" s="94"/>
      <c r="AL1260" s="94"/>
      <c r="AM1260" s="94"/>
      <c r="AN1260" s="94"/>
      <c r="AO1260" s="94"/>
      <c r="AP1260" s="192"/>
      <c r="AQ1260" s="192"/>
    </row>
    <row r="1261" spans="1:59" s="115" customFormat="1" ht="15" customHeight="1">
      <c r="A1261" s="555"/>
      <c r="B1261" s="217"/>
      <c r="C1261" s="217"/>
      <c r="D1261" s="101"/>
      <c r="E1261" s="217"/>
      <c r="F1261" s="294"/>
      <c r="G1261" s="295"/>
      <c r="H1261" s="98"/>
      <c r="I1261" s="106"/>
      <c r="J1261" s="106"/>
      <c r="K1261" s="106"/>
      <c r="L1261" s="106"/>
      <c r="M1261" s="106"/>
      <c r="N1261" s="112"/>
      <c r="O1261" s="112"/>
      <c r="P1261" s="112"/>
      <c r="Q1261" s="113"/>
      <c r="R1261" s="113"/>
      <c r="S1261" s="113"/>
      <c r="T1261" s="113"/>
      <c r="U1261" s="99"/>
      <c r="V1261" s="255"/>
      <c r="W1261" s="102"/>
      <c r="X1261" s="102"/>
      <c r="Y1261" s="102"/>
      <c r="Z1261" s="192"/>
      <c r="AA1261" s="615"/>
      <c r="AB1261" s="307"/>
      <c r="AC1261" s="93"/>
      <c r="AD1261" s="93"/>
      <c r="AE1261" s="93"/>
      <c r="AF1261" s="93"/>
      <c r="AG1261" s="93"/>
      <c r="AH1261" s="307"/>
      <c r="AI1261" s="307"/>
      <c r="AJ1261" s="93"/>
      <c r="AK1261" s="93"/>
      <c r="AL1261" s="93"/>
      <c r="AM1261" s="93"/>
      <c r="AN1261" s="93"/>
      <c r="AO1261" s="93"/>
      <c r="AP1261" s="192"/>
      <c r="AQ1261" s="192"/>
    </row>
    <row r="1262" spans="1:59" ht="15" customHeight="1">
      <c r="A1262" s="555"/>
      <c r="B1262" s="217"/>
      <c r="C1262" s="217"/>
      <c r="D1262" s="101"/>
      <c r="E1262" s="217"/>
      <c r="F1262" s="294"/>
      <c r="G1262" s="295"/>
      <c r="H1262" s="98"/>
      <c r="I1262" s="106"/>
      <c r="J1262" s="106"/>
      <c r="K1262" s="106"/>
      <c r="L1262" s="106"/>
      <c r="M1262" s="106"/>
      <c r="N1262" s="112"/>
      <c r="O1262" s="112"/>
      <c r="P1262" s="112"/>
      <c r="Q1262" s="113"/>
      <c r="R1262" s="113"/>
      <c r="S1262" s="113"/>
      <c r="T1262" s="113"/>
      <c r="U1262" s="99"/>
      <c r="V1262" s="255"/>
      <c r="W1262" s="102"/>
      <c r="X1262" s="102"/>
      <c r="Y1262" s="102"/>
      <c r="AA1262" s="615"/>
      <c r="AC1262" s="300"/>
      <c r="AD1262" s="300"/>
      <c r="AE1262" s="300"/>
      <c r="AF1262" s="300"/>
      <c r="AG1262" s="300"/>
      <c r="AJ1262" s="300"/>
      <c r="AK1262" s="300"/>
      <c r="AL1262" s="300"/>
      <c r="AM1262" s="300"/>
      <c r="AN1262" s="300"/>
    </row>
    <row r="1263" spans="1:59" s="115" customFormat="1" ht="15" customHeight="1">
      <c r="A1263" s="555"/>
      <c r="B1263" s="217"/>
      <c r="C1263" s="217"/>
      <c r="D1263" s="101"/>
      <c r="E1263" s="217"/>
      <c r="F1263" s="294"/>
      <c r="G1263" s="295"/>
      <c r="H1263" s="114" t="s">
        <v>763</v>
      </c>
      <c r="I1263" s="108">
        <f t="shared" ref="I1263" si="1638">SUBTOTAL(9,I1243:I1262)</f>
        <v>28856.73</v>
      </c>
      <c r="J1263" s="108">
        <f t="shared" ref="J1263:T1263" si="1639">SUBTOTAL(9,J1243:J1262)</f>
        <v>34593.46</v>
      </c>
      <c r="K1263" s="108">
        <f t="shared" ref="K1263" si="1640">SUBTOTAL(9,K1243:K1262)</f>
        <v>12203.91</v>
      </c>
      <c r="L1263" s="108">
        <f t="shared" ref="L1263" si="1641">SUBTOTAL(9,L1243:L1262)</f>
        <v>111912.79999999999</v>
      </c>
      <c r="M1263" s="108">
        <f t="shared" si="1639"/>
        <v>84965</v>
      </c>
      <c r="N1263" s="108">
        <f t="shared" ref="N1263" si="1642">SUBTOTAL(9,N1243:N1262)</f>
        <v>36441.5</v>
      </c>
      <c r="O1263" s="108">
        <f t="shared" si="1639"/>
        <v>47975</v>
      </c>
      <c r="P1263" s="108">
        <f t="shared" si="1639"/>
        <v>-36990</v>
      </c>
      <c r="Q1263" s="108">
        <f t="shared" si="1639"/>
        <v>34615</v>
      </c>
      <c r="R1263" s="108">
        <f t="shared" si="1639"/>
        <v>58024</v>
      </c>
      <c r="S1263" s="108">
        <f t="shared" si="1639"/>
        <v>0</v>
      </c>
      <c r="T1263" s="108">
        <f t="shared" si="1639"/>
        <v>92639</v>
      </c>
      <c r="U1263" s="99">
        <f>T1263-M1263</f>
        <v>7674</v>
      </c>
      <c r="V1263" s="255">
        <f>IF(M1263=0,"N/A",T1263/M1263-1)</f>
        <v>9.031954334137593E-2</v>
      </c>
      <c r="W1263" s="102"/>
      <c r="X1263" s="102"/>
      <c r="Y1263" s="102"/>
      <c r="Z1263" s="192"/>
      <c r="AA1263" s="615"/>
      <c r="AB1263" s="307"/>
      <c r="AC1263" s="300"/>
      <c r="AD1263" s="300"/>
      <c r="AE1263" s="300"/>
      <c r="AF1263" s="300"/>
      <c r="AG1263" s="300"/>
      <c r="AH1263" s="307"/>
      <c r="AI1263" s="307"/>
      <c r="AJ1263" s="300"/>
      <c r="AK1263" s="300"/>
      <c r="AL1263" s="300"/>
      <c r="AM1263" s="300"/>
      <c r="AN1263" s="300"/>
      <c r="AO1263" s="192"/>
      <c r="AP1263" s="192"/>
      <c r="AQ1263" s="192"/>
    </row>
    <row r="1264" spans="1:59" ht="15" customHeight="1" thickBot="1">
      <c r="A1264" s="555"/>
      <c r="B1264" s="217"/>
      <c r="C1264" s="217"/>
      <c r="D1264" s="101"/>
      <c r="E1264" s="217"/>
      <c r="F1264" s="294"/>
      <c r="G1264" s="295"/>
      <c r="H1264" s="98"/>
      <c r="I1264" s="218"/>
      <c r="J1264" s="218"/>
      <c r="K1264" s="218"/>
      <c r="L1264" s="218"/>
      <c r="M1264" s="218"/>
      <c r="U1264" s="99"/>
      <c r="V1264" s="255"/>
      <c r="W1264" s="102"/>
      <c r="X1264" s="102"/>
      <c r="Y1264" s="102"/>
      <c r="AA1264" s="615"/>
      <c r="AC1264" s="300"/>
      <c r="AD1264" s="300"/>
      <c r="AE1264" s="300"/>
      <c r="AF1264" s="300"/>
      <c r="AG1264" s="300"/>
      <c r="AJ1264" s="300"/>
      <c r="AK1264" s="300"/>
      <c r="AL1264" s="300"/>
      <c r="AM1264" s="300"/>
      <c r="AN1264" s="300"/>
    </row>
    <row r="1265" spans="1:43" ht="23.25" customHeight="1" thickBot="1">
      <c r="A1265" s="555"/>
      <c r="B1265" s="217"/>
      <c r="C1265" s="217"/>
      <c r="D1265" s="101"/>
      <c r="E1265" s="217"/>
      <c r="F1265" s="294"/>
      <c r="G1265" s="295"/>
      <c r="H1265" s="668" t="s">
        <v>628</v>
      </c>
      <c r="I1265" s="669"/>
      <c r="J1265" s="669"/>
      <c r="K1265" s="669"/>
      <c r="L1265" s="669"/>
      <c r="M1265" s="669"/>
      <c r="N1265" s="669"/>
      <c r="O1265" s="669"/>
      <c r="P1265" s="669"/>
      <c r="Q1265" s="669"/>
      <c r="R1265" s="669"/>
      <c r="S1265" s="669"/>
      <c r="T1265" s="670"/>
      <c r="U1265" s="99"/>
      <c r="V1265" s="255"/>
      <c r="W1265" s="102"/>
      <c r="X1265" s="102"/>
      <c r="Y1265" s="102"/>
      <c r="AA1265" s="615"/>
      <c r="AC1265" s="300"/>
      <c r="AD1265" s="300"/>
      <c r="AE1265" s="300"/>
      <c r="AF1265" s="300"/>
      <c r="AG1265" s="300"/>
      <c r="AJ1265" s="300"/>
      <c r="AK1265" s="300"/>
      <c r="AL1265" s="300"/>
      <c r="AM1265" s="300"/>
      <c r="AN1265" s="300"/>
    </row>
    <row r="1266" spans="1:43" ht="15" customHeight="1">
      <c r="A1266" s="555"/>
      <c r="B1266" s="217"/>
      <c r="C1266" s="217"/>
      <c r="D1266" s="101"/>
      <c r="E1266" s="217"/>
      <c r="F1266" s="294"/>
      <c r="G1266" s="295"/>
      <c r="H1266" s="225"/>
      <c r="I1266" s="225"/>
      <c r="J1266" s="225"/>
      <c r="K1266" s="225"/>
      <c r="L1266" s="225"/>
      <c r="M1266" s="225"/>
      <c r="N1266" s="225"/>
      <c r="O1266" s="225"/>
      <c r="P1266" s="225"/>
      <c r="Q1266" s="225"/>
      <c r="R1266" s="225"/>
      <c r="S1266" s="225"/>
      <c r="T1266" s="225"/>
      <c r="U1266" s="99"/>
      <c r="V1266" s="255"/>
      <c r="W1266" s="102"/>
      <c r="X1266" s="102"/>
      <c r="Y1266" s="102"/>
      <c r="AA1266" s="615"/>
      <c r="AC1266" s="300"/>
      <c r="AD1266" s="300"/>
      <c r="AE1266" s="300"/>
      <c r="AF1266" s="300"/>
      <c r="AG1266" s="300"/>
      <c r="AJ1266" s="300"/>
      <c r="AK1266" s="300"/>
      <c r="AL1266" s="300"/>
      <c r="AM1266" s="300"/>
      <c r="AN1266" s="300"/>
    </row>
    <row r="1267" spans="1:43" s="115" customFormat="1" ht="15" customHeight="1">
      <c r="A1267" s="555"/>
      <c r="B1267" s="217"/>
      <c r="C1267" s="217">
        <v>35</v>
      </c>
      <c r="D1267" s="101"/>
      <c r="E1267" s="217"/>
      <c r="F1267" s="294" t="s">
        <v>129</v>
      </c>
      <c r="G1267" s="295" t="str">
        <f>VLOOKUP(F1267,'GL Category'!A:C,3,FALSE)</f>
        <v>Personnel services</v>
      </c>
      <c r="H1267" s="98" t="str">
        <f>VLOOKUP(F1267,'GL Category'!A:C,2,FALSE)</f>
        <v>EXEMPT SALARIES</v>
      </c>
      <c r="I1267" s="99">
        <f>SUMIFS(I$1:I1257,$C$1:$C1257,$C1267,$F$1:$F1257,$F1267)</f>
        <v>271573.03999999998</v>
      </c>
      <c r="J1267" s="99">
        <f>SUMIFS(J$1:J1257,$C$1:$C1257,$C1267,$F$1:$F1257,$F1267)</f>
        <v>210823.67</v>
      </c>
      <c r="K1267" s="99">
        <f>SUMIFS(K$1:K1257,$C$1:$C1257,$C1267,$F$1:$F1257,$F1267)</f>
        <v>159018.99</v>
      </c>
      <c r="L1267" s="99">
        <f>SUMIFS(L$1:L1257,$C$1:$C1257,$C1267,$F$1:$F1257,$F1267)</f>
        <v>300319.71000000002</v>
      </c>
      <c r="M1267" s="99">
        <f>SUMIFS(M$1:M1257,$C$1:$C1257,$C1267,$F$1:$F1257,$F1267)</f>
        <v>304846</v>
      </c>
      <c r="N1267" s="99">
        <f>SUMIFS(N$1:N1257,$C$1:$C1257,$C1267,$F$1:$F1257,$F1267)</f>
        <v>233639.09</v>
      </c>
      <c r="O1267" s="99">
        <f>SUMIFS(O$1:O1257,$C$1:$C1257,$C1267,$F$1:$F1257,$F1267)</f>
        <v>306702</v>
      </c>
      <c r="P1267" s="99">
        <f t="shared" ref="P1267:P1275" si="1643">O1267-M1267</f>
        <v>1856</v>
      </c>
      <c r="Q1267" s="99">
        <f>SUMIFS(Q$1:Q1257,$C$1:$C1257,$C1267,$F$1:$F1257,$F1267)</f>
        <v>317159</v>
      </c>
      <c r="R1267" s="99">
        <f>SUMIFS(R$1:R1257,$C$1:$C1257,$C1267,$F$1:$F1257,$F1267)</f>
        <v>0</v>
      </c>
      <c r="S1267" s="99">
        <f>SUMIFS(S$1:S1257,$C$1:$C1257,$C1267,$F$1:$F1257,$F1267)</f>
        <v>0</v>
      </c>
      <c r="T1267" s="99">
        <f>SUMIFS(T$1:T1257,$C$1:$C1257,$C1267,$F$1:$F1257,$F1267)</f>
        <v>317159</v>
      </c>
      <c r="U1267" s="99">
        <f t="shared" ref="U1267:U1276" si="1644">T1267-M1267</f>
        <v>12313</v>
      </c>
      <c r="V1267" s="255">
        <f t="shared" ref="V1267:V1276" si="1645">IF(M1267=0,"N/A",T1267/M1267-1)</f>
        <v>4.0390885889924677E-2</v>
      </c>
      <c r="W1267" s="102"/>
      <c r="X1267" s="102"/>
      <c r="Y1267" s="102">
        <f t="shared" ref="Y1267:Y1275" si="1646">T1267-X1267</f>
        <v>317159</v>
      </c>
      <c r="Z1267" s="309">
        <f>Y1267*(1+VLOOKUP($F1267,'GL Category'!$A:$H,4,FALSE))</f>
        <v>328259.565</v>
      </c>
      <c r="AA1267" s="615"/>
      <c r="AB1267" s="622">
        <f t="shared" ref="AB1267:AB1272" si="1647">Z1267+AA1267</f>
        <v>328259.565</v>
      </c>
      <c r="AC1267" s="633">
        <f>AB1267*(1+VLOOKUP($F1267,'GL Category'!$A:$H,5,FALSE))</f>
        <v>339748.649775</v>
      </c>
      <c r="AD1267" s="307"/>
      <c r="AE1267" s="622">
        <f t="shared" ref="AE1267:AE1272" si="1648">AC1267+AD1267</f>
        <v>339748.649775</v>
      </c>
      <c r="AF1267" s="633">
        <f>AE1267*(1+VLOOKUP($F1267,'GL Category'!$A:$H,6,FALSE))</f>
        <v>351639.85251712496</v>
      </c>
      <c r="AG1267" s="307"/>
      <c r="AH1267" s="622">
        <f t="shared" ref="AH1267:AH1272" si="1649">AF1267+AG1267</f>
        <v>351639.85251712496</v>
      </c>
      <c r="AI1267" s="633">
        <f>AH1267*(1+VLOOKUP($F1267,'GL Category'!$A:$H,7,FALSE))</f>
        <v>363947.24735522433</v>
      </c>
      <c r="AJ1267" s="307"/>
      <c r="AK1267" s="622">
        <f t="shared" ref="AK1267:AK1272" si="1650">AI1267+AJ1267</f>
        <v>363947.24735522433</v>
      </c>
      <c r="AL1267" s="633">
        <f>AK1267*(1+VLOOKUP($F1267,'GL Category'!$A:$H,8,FALSE))</f>
        <v>376685.40101265715</v>
      </c>
      <c r="AM1267" s="307"/>
      <c r="AN1267" s="622">
        <f t="shared" ref="AN1267:AN1272" si="1651">AL1267+AM1267</f>
        <v>376685.40101265715</v>
      </c>
      <c r="AO1267" s="192"/>
      <c r="AP1267" s="192"/>
      <c r="AQ1267" s="192"/>
    </row>
    <row r="1268" spans="1:43" s="115" customFormat="1" ht="15" customHeight="1">
      <c r="A1268" s="555"/>
      <c r="B1268" s="217"/>
      <c r="C1268" s="217">
        <v>35</v>
      </c>
      <c r="D1268" s="101"/>
      <c r="E1268" s="217"/>
      <c r="F1268" s="294" t="s">
        <v>131</v>
      </c>
      <c r="G1268" s="295" t="str">
        <f>VLOOKUP(F1268,'GL Category'!A:C,3,FALSE)</f>
        <v>Personnel services</v>
      </c>
      <c r="H1268" s="98" t="str">
        <f>VLOOKUP(F1268,'GL Category'!A:C,2,FALSE)</f>
        <v>NON EXEMPT SALARIES</v>
      </c>
      <c r="I1268" s="99">
        <f>SUMIFS(I$1:I1262,$C$1:$C1262,$C1268,$F$1:$F1262,$F1268)</f>
        <v>3032353.79</v>
      </c>
      <c r="J1268" s="99">
        <f>SUMIFS(J$1:J1262,$C$1:$C1262,$C1268,$F$1:$F1262,$F1268)</f>
        <v>4156798.28</v>
      </c>
      <c r="K1268" s="99">
        <f>SUMIFS(K$1:K1262,$C$1:$C1262,$C1268,$F$1:$F1262,$F1268)</f>
        <v>4423973.87</v>
      </c>
      <c r="L1268" s="99">
        <f>SUMIFS(L$1:L1262,$C$1:$C1262,$C1268,$F$1:$F1262,$F1268)</f>
        <v>4606357.7700000005</v>
      </c>
      <c r="M1268" s="99">
        <f>SUMIFS(M$1:M1262,$C$1:$C1262,$C1268,$F$1:$F1262,$F1268)</f>
        <v>5121332</v>
      </c>
      <c r="N1268" s="99">
        <f>SUMIFS(N$1:N1262,$C$1:$C1262,$C1268,$F$1:$F1262,$F1268)</f>
        <v>3735837.75</v>
      </c>
      <c r="O1268" s="99">
        <f>SUMIFS(O$1:O1262,$C$1:$C1262,$C1268,$F$1:$F1262,$F1268)</f>
        <v>4950971</v>
      </c>
      <c r="P1268" s="99">
        <f t="shared" si="1643"/>
        <v>-170361</v>
      </c>
      <c r="Q1268" s="99">
        <f>SUMIFS(Q$1:Q1262,$C$1:$C1262,$C1268,$F$1:$F1262,$F1268)</f>
        <v>5302700</v>
      </c>
      <c r="R1268" s="99">
        <f>SUMIFS(R$1:R1262,$C$1:$C1262,$C1268,$F$1:$F1262,$F1268)</f>
        <v>0</v>
      </c>
      <c r="S1268" s="99">
        <f>SUMIFS(S$1:S1262,$C$1:$C1262,$C1268,$F$1:$F1262,$F1268)</f>
        <v>0</v>
      </c>
      <c r="T1268" s="99">
        <f>SUMIFS(T$1:T1262,$C$1:$C1262,$C1268,$F$1:$F1262,$F1268)</f>
        <v>5302700</v>
      </c>
      <c r="U1268" s="99">
        <f t="shared" si="1644"/>
        <v>181368</v>
      </c>
      <c r="V1268" s="255">
        <f t="shared" si="1645"/>
        <v>3.5414224268217831E-2</v>
      </c>
      <c r="W1268" s="102"/>
      <c r="X1268" s="102"/>
      <c r="Y1268" s="102">
        <f t="shared" si="1646"/>
        <v>5302700</v>
      </c>
      <c r="Z1268" s="309">
        <f>Y1268*(1+VLOOKUP($F1268,'GL Category'!$A:$H,4,FALSE))</f>
        <v>5488294.5</v>
      </c>
      <c r="AA1268" s="615"/>
      <c r="AB1268" s="622">
        <f t="shared" si="1647"/>
        <v>5488294.5</v>
      </c>
      <c r="AC1268" s="633">
        <f>AB1268*(1+VLOOKUP($F1268,'GL Category'!$A:$H,5,FALSE))</f>
        <v>5680384.8074999992</v>
      </c>
      <c r="AD1268" s="307"/>
      <c r="AE1268" s="622">
        <f t="shared" si="1648"/>
        <v>5680384.8074999992</v>
      </c>
      <c r="AF1268" s="633">
        <f>AE1268*(1+VLOOKUP($F1268,'GL Category'!$A:$H,6,FALSE))</f>
        <v>5879198.2757624984</v>
      </c>
      <c r="AG1268" s="307"/>
      <c r="AH1268" s="622">
        <f t="shared" si="1649"/>
        <v>5879198.2757624984</v>
      </c>
      <c r="AI1268" s="633">
        <f>AH1268*(1+VLOOKUP($F1268,'GL Category'!$A:$H,7,FALSE))</f>
        <v>6084970.2154141851</v>
      </c>
      <c r="AJ1268" s="307"/>
      <c r="AK1268" s="622">
        <f t="shared" si="1650"/>
        <v>6084970.2154141851</v>
      </c>
      <c r="AL1268" s="633">
        <f>AK1268*(1+VLOOKUP($F1268,'GL Category'!$A:$H,8,FALSE))</f>
        <v>6297944.1729536811</v>
      </c>
      <c r="AM1268" s="307"/>
      <c r="AN1268" s="622">
        <f t="shared" si="1651"/>
        <v>6297944.1729536811</v>
      </c>
      <c r="AO1268" s="192"/>
      <c r="AP1268" s="192"/>
      <c r="AQ1268" s="192"/>
    </row>
    <row r="1269" spans="1:43" s="115" customFormat="1" ht="15" customHeight="1">
      <c r="A1269" s="555"/>
      <c r="B1269" s="217"/>
      <c r="C1269" s="217">
        <v>35</v>
      </c>
      <c r="D1269" s="101"/>
      <c r="E1269" s="217"/>
      <c r="F1269" s="294" t="s">
        <v>133</v>
      </c>
      <c r="G1269" s="295" t="str">
        <f>VLOOKUP(F1269,'GL Category'!A:C,3,FALSE)</f>
        <v>Personnel services</v>
      </c>
      <c r="H1269" s="98" t="str">
        <f>VLOOKUP(F1269,'GL Category'!A:C,2,FALSE)</f>
        <v>OVERTIME</v>
      </c>
      <c r="I1269" s="99">
        <f>SUMIFS(I$1:I1263,$C$1:$C1263,$C1269,$F$1:$F1263,$F1269)</f>
        <v>251436.79</v>
      </c>
      <c r="J1269" s="99">
        <f>SUMIFS(J$1:J1263,$C$1:$C1263,$C1269,$F$1:$F1263,$F1269)</f>
        <v>543375.94999999995</v>
      </c>
      <c r="K1269" s="99">
        <f>SUMIFS(K$1:K1263,$C$1:$C1263,$C1269,$F$1:$F1263,$F1269)</f>
        <v>773727.37999999989</v>
      </c>
      <c r="L1269" s="99">
        <f>SUMIFS(L$1:L1263,$C$1:$C1263,$C1269,$F$1:$F1263,$F1269)</f>
        <v>950426.23</v>
      </c>
      <c r="M1269" s="99">
        <f>SUMIFS(M$1:M1263,$C$1:$C1263,$C1269,$F$1:$F1263,$F1269)</f>
        <v>604020</v>
      </c>
      <c r="N1269" s="99">
        <f>SUMIFS(N$1:N1263,$C$1:$C1263,$C1269,$F$1:$F1263,$F1269)</f>
        <v>537582.44000000006</v>
      </c>
      <c r="O1269" s="99">
        <f>SUMIFS(O$1:O1263,$C$1:$C1263,$C1269,$F$1:$F1263,$F1269)</f>
        <v>708084</v>
      </c>
      <c r="P1269" s="99">
        <f t="shared" si="1643"/>
        <v>104064</v>
      </c>
      <c r="Q1269" s="99">
        <f>SUMIFS(Q$1:Q1263,$C$1:$C1263,$C1269,$F$1:$F1263,$F1269)</f>
        <v>596556</v>
      </c>
      <c r="R1269" s="99">
        <f>SUMIFS(R$1:R1263,$C$1:$C1263,$C1269,$F$1:$F1263,$F1269)</f>
        <v>0</v>
      </c>
      <c r="S1269" s="99">
        <f>SUMIFS(S$1:S1263,$C$1:$C1263,$C1269,$F$1:$F1263,$F1269)</f>
        <v>0</v>
      </c>
      <c r="T1269" s="99">
        <f>SUMIFS(T$1:T1263,$C$1:$C1263,$C1269,$F$1:$F1263,$F1269)</f>
        <v>596556</v>
      </c>
      <c r="U1269" s="99">
        <f t="shared" si="1644"/>
        <v>-7464</v>
      </c>
      <c r="V1269" s="255">
        <f t="shared" si="1645"/>
        <v>-1.2357206715009394E-2</v>
      </c>
      <c r="W1269" s="102"/>
      <c r="X1269" s="102"/>
      <c r="Y1269" s="102">
        <f t="shared" si="1646"/>
        <v>596556</v>
      </c>
      <c r="Z1269" s="309">
        <f>Y1269*(1+VLOOKUP($F1269,'GL Category'!$A:$H,4,FALSE))</f>
        <v>617435.46</v>
      </c>
      <c r="AA1269" s="615"/>
      <c r="AB1269" s="622">
        <f t="shared" si="1647"/>
        <v>617435.46</v>
      </c>
      <c r="AC1269" s="633">
        <f>AB1269*(1+VLOOKUP($F1269,'GL Category'!$A:$H,5,FALSE))</f>
        <v>639045.70109999995</v>
      </c>
      <c r="AD1269" s="307"/>
      <c r="AE1269" s="622">
        <f t="shared" si="1648"/>
        <v>639045.70109999995</v>
      </c>
      <c r="AF1269" s="633">
        <f>AE1269*(1+VLOOKUP($F1269,'GL Category'!$A:$H,6,FALSE))</f>
        <v>661412.3006384999</v>
      </c>
      <c r="AG1269" s="307"/>
      <c r="AH1269" s="622">
        <f t="shared" si="1649"/>
        <v>661412.3006384999</v>
      </c>
      <c r="AI1269" s="633">
        <f>AH1269*(1+VLOOKUP($F1269,'GL Category'!$A:$H,7,FALSE))</f>
        <v>684561.73116084735</v>
      </c>
      <c r="AJ1269" s="307"/>
      <c r="AK1269" s="622">
        <f t="shared" si="1650"/>
        <v>684561.73116084735</v>
      </c>
      <c r="AL1269" s="633">
        <f>AK1269*(1+VLOOKUP($F1269,'GL Category'!$A:$H,8,FALSE))</f>
        <v>708521.39175147691</v>
      </c>
      <c r="AM1269" s="307"/>
      <c r="AN1269" s="622">
        <f t="shared" si="1651"/>
        <v>708521.39175147691</v>
      </c>
      <c r="AO1269" s="192"/>
      <c r="AP1269" s="192"/>
      <c r="AQ1269" s="192"/>
    </row>
    <row r="1270" spans="1:43" s="115" customFormat="1" ht="15" customHeight="1">
      <c r="A1270" s="555"/>
      <c r="B1270" s="217"/>
      <c r="C1270" s="217">
        <v>35</v>
      </c>
      <c r="D1270" s="101"/>
      <c r="E1270" s="217"/>
      <c r="F1270" s="294" t="s">
        <v>136</v>
      </c>
      <c r="G1270" s="295" t="str">
        <f>VLOOKUP(F1270,'GL Category'!A:C,3,FALSE)</f>
        <v>Personnel services</v>
      </c>
      <c r="H1270" s="98" t="str">
        <f>VLOOKUP(F1270,'GL Category'!A:C,2,FALSE)</f>
        <v>LONGEVITY PAY</v>
      </c>
      <c r="I1270" s="99">
        <f>SUMIFS(I$1:I1264,$C$1:$C1264,$C1270,$F$1:$F1264,$F1270)</f>
        <v>34985</v>
      </c>
      <c r="J1270" s="99">
        <f>SUMIFS(J$1:J1264,$C$1:$C1264,$C1270,$F$1:$F1264,$F1270)</f>
        <v>36250</v>
      </c>
      <c r="K1270" s="99">
        <f>SUMIFS(K$1:K1264,$C$1:$C1264,$C1270,$F$1:$F1264,$F1270)</f>
        <v>37280</v>
      </c>
      <c r="L1270" s="99">
        <f>SUMIFS(L$1:L1264,$C$1:$C1264,$C1270,$F$1:$F1264,$F1270)</f>
        <v>37065</v>
      </c>
      <c r="M1270" s="99">
        <f>SUMIFS(M$1:M1264,$C$1:$C1264,$C1270,$F$1:$F1264,$F1270)</f>
        <v>38546</v>
      </c>
      <c r="N1270" s="99">
        <f>SUMIFS(N$1:N1264,$C$1:$C1264,$C1270,$F$1:$F1264,$F1270)</f>
        <v>38190</v>
      </c>
      <c r="O1270" s="99">
        <f>SUMIFS(O$1:O1264,$C$1:$C1264,$C1270,$F$1:$F1264,$F1270)</f>
        <v>38190</v>
      </c>
      <c r="P1270" s="99">
        <f t="shared" si="1643"/>
        <v>-356</v>
      </c>
      <c r="Q1270" s="99">
        <f>SUMIFS(Q$1:Q1264,$C$1:$C1264,$C1270,$F$1:$F1264,$F1270)</f>
        <v>39833</v>
      </c>
      <c r="R1270" s="99">
        <f>SUMIFS(R$1:R1264,$C$1:$C1264,$C1270,$F$1:$F1264,$F1270)</f>
        <v>0</v>
      </c>
      <c r="S1270" s="99">
        <f>SUMIFS(S$1:S1264,$C$1:$C1264,$C1270,$F$1:$F1264,$F1270)</f>
        <v>0</v>
      </c>
      <c r="T1270" s="99">
        <f>SUMIFS(T$1:T1264,$C$1:$C1264,$C1270,$F$1:$F1264,$F1270)</f>
        <v>39833</v>
      </c>
      <c r="U1270" s="99">
        <f t="shared" si="1644"/>
        <v>1287</v>
      </c>
      <c r="V1270" s="255">
        <f t="shared" si="1645"/>
        <v>3.3388678462097143E-2</v>
      </c>
      <c r="W1270" s="102"/>
      <c r="X1270" s="102"/>
      <c r="Y1270" s="102">
        <f t="shared" si="1646"/>
        <v>39833</v>
      </c>
      <c r="Z1270" s="309">
        <f>Y1270*(1+VLOOKUP($F1270,'GL Category'!$A:$H,4,FALSE))</f>
        <v>41227.154999999999</v>
      </c>
      <c r="AA1270" s="615"/>
      <c r="AB1270" s="622">
        <f t="shared" si="1647"/>
        <v>41227.154999999999</v>
      </c>
      <c r="AC1270" s="633">
        <f>AB1270*(1+VLOOKUP($F1270,'GL Category'!$A:$H,5,FALSE))</f>
        <v>42670.105424999994</v>
      </c>
      <c r="AD1270" s="307"/>
      <c r="AE1270" s="622">
        <f t="shared" si="1648"/>
        <v>42670.105424999994</v>
      </c>
      <c r="AF1270" s="633">
        <f>AE1270*(1+VLOOKUP($F1270,'GL Category'!$A:$H,6,FALSE))</f>
        <v>44163.559114874988</v>
      </c>
      <c r="AG1270" s="307"/>
      <c r="AH1270" s="622">
        <f t="shared" si="1649"/>
        <v>44163.559114874988</v>
      </c>
      <c r="AI1270" s="633">
        <f>AH1270*(1+VLOOKUP($F1270,'GL Category'!$A:$H,7,FALSE))</f>
        <v>45709.283683895606</v>
      </c>
      <c r="AJ1270" s="307"/>
      <c r="AK1270" s="622">
        <f t="shared" si="1650"/>
        <v>45709.283683895606</v>
      </c>
      <c r="AL1270" s="633">
        <f>AK1270*(1+VLOOKUP($F1270,'GL Category'!$A:$H,8,FALSE))</f>
        <v>47309.108612831951</v>
      </c>
      <c r="AM1270" s="307"/>
      <c r="AN1270" s="622">
        <f t="shared" si="1651"/>
        <v>47309.108612831951</v>
      </c>
      <c r="AO1270" s="192"/>
      <c r="AP1270" s="192"/>
      <c r="AQ1270" s="192"/>
    </row>
    <row r="1271" spans="1:43" s="115" customFormat="1" ht="15" customHeight="1">
      <c r="A1271" s="555"/>
      <c r="B1271" s="217"/>
      <c r="C1271" s="217">
        <v>35</v>
      </c>
      <c r="D1271" s="101"/>
      <c r="E1271" s="217"/>
      <c r="F1271" s="294" t="s">
        <v>138</v>
      </c>
      <c r="G1271" s="295" t="str">
        <f>VLOOKUP(F1271,'GL Category'!A:C,3,FALSE)</f>
        <v>Personnel services</v>
      </c>
      <c r="H1271" s="98" t="str">
        <f>VLOOKUP(F1271,'GL Category'!A:C,2,FALSE)</f>
        <v>INCENTIVE/CERTIFICATION PAY</v>
      </c>
      <c r="I1271" s="99">
        <f>SUMIFS(I$1:I1265,$C$1:$C1265,$C1271,$F$1:$F1265,$F1271)</f>
        <v>26006.079999999998</v>
      </c>
      <c r="J1271" s="99">
        <f>SUMIFS(J$1:J1265,$C$1:$C1265,$C1271,$F$1:$F1265,$F1271)</f>
        <v>36016.75</v>
      </c>
      <c r="K1271" s="99">
        <f>SUMIFS(K$1:K1265,$C$1:$C1265,$C1271,$F$1:$F1265,$F1271)</f>
        <v>35809</v>
      </c>
      <c r="L1271" s="99">
        <f>SUMIFS(L$1:L1265,$C$1:$C1265,$C1271,$F$1:$F1265,$F1271)</f>
        <v>38141.5</v>
      </c>
      <c r="M1271" s="99">
        <f>SUMIFS(M$1:M1265,$C$1:$C1265,$C1271,$F$1:$F1265,$F1271)</f>
        <v>37500</v>
      </c>
      <c r="N1271" s="99">
        <f>SUMIFS(N$1:N1265,$C$1:$C1265,$C1271,$F$1:$F1265,$F1271)</f>
        <v>28833.5</v>
      </c>
      <c r="O1271" s="99">
        <f>SUMIFS(O$1:O1265,$C$1:$C1265,$C1271,$F$1:$F1265,$F1271)</f>
        <v>52851</v>
      </c>
      <c r="P1271" s="99">
        <f t="shared" si="1643"/>
        <v>15351</v>
      </c>
      <c r="Q1271" s="99">
        <f>SUMIFS(Q$1:Q1265,$C$1:$C1265,$C1271,$F$1:$F1265,$F1271)</f>
        <v>38100</v>
      </c>
      <c r="R1271" s="99">
        <f>SUMIFS(R$1:R1265,$C$1:$C1265,$C1271,$F$1:$F1265,$F1271)</f>
        <v>0</v>
      </c>
      <c r="S1271" s="99">
        <f>SUMIFS(S$1:S1265,$C$1:$C1265,$C1271,$F$1:$F1265,$F1271)</f>
        <v>0</v>
      </c>
      <c r="T1271" s="99">
        <f>SUMIFS(T$1:T1265,$C$1:$C1265,$C1271,$F$1:$F1265,$F1271)</f>
        <v>38100</v>
      </c>
      <c r="U1271" s="99">
        <f t="shared" si="1644"/>
        <v>600</v>
      </c>
      <c r="V1271" s="255">
        <f t="shared" si="1645"/>
        <v>1.6000000000000014E-2</v>
      </c>
      <c r="W1271" s="102"/>
      <c r="X1271" s="102"/>
      <c r="Y1271" s="102">
        <f t="shared" si="1646"/>
        <v>38100</v>
      </c>
      <c r="Z1271" s="309">
        <f>Y1271*(1+VLOOKUP($F1271,'GL Category'!$A:$H,4,FALSE))</f>
        <v>39433.5</v>
      </c>
      <c r="AA1271" s="615"/>
      <c r="AB1271" s="622">
        <f t="shared" si="1647"/>
        <v>39433.5</v>
      </c>
      <c r="AC1271" s="633">
        <f>AB1271*(1+VLOOKUP($F1271,'GL Category'!$A:$H,5,FALSE))</f>
        <v>40813.672499999993</v>
      </c>
      <c r="AD1271" s="307"/>
      <c r="AE1271" s="622">
        <f t="shared" si="1648"/>
        <v>40813.672499999993</v>
      </c>
      <c r="AF1271" s="633">
        <f>AE1271*(1+VLOOKUP($F1271,'GL Category'!$A:$H,6,FALSE))</f>
        <v>42242.151037499993</v>
      </c>
      <c r="AG1271" s="307"/>
      <c r="AH1271" s="622">
        <f t="shared" si="1649"/>
        <v>42242.151037499993</v>
      </c>
      <c r="AI1271" s="633">
        <f>AH1271*(1+VLOOKUP($F1271,'GL Category'!$A:$H,7,FALSE))</f>
        <v>43720.626323812488</v>
      </c>
      <c r="AJ1271" s="307"/>
      <c r="AK1271" s="622">
        <f t="shared" si="1650"/>
        <v>43720.626323812488</v>
      </c>
      <c r="AL1271" s="633">
        <f>AK1271*(1+VLOOKUP($F1271,'GL Category'!$A:$H,8,FALSE))</f>
        <v>45250.84824514592</v>
      </c>
      <c r="AM1271" s="307"/>
      <c r="AN1271" s="622">
        <f t="shared" si="1651"/>
        <v>45250.84824514592</v>
      </c>
      <c r="AO1271" s="192"/>
      <c r="AP1271" s="192"/>
      <c r="AQ1271" s="192"/>
    </row>
    <row r="1272" spans="1:43" s="115" customFormat="1" ht="15" customHeight="1">
      <c r="A1272" s="555"/>
      <c r="B1272" s="217"/>
      <c r="C1272" s="217">
        <v>35</v>
      </c>
      <c r="D1272" s="101"/>
      <c r="E1272" s="217"/>
      <c r="F1272" s="294" t="s">
        <v>140</v>
      </c>
      <c r="G1272" s="295" t="str">
        <f>VLOOKUP(F1272,'GL Category'!A:C,3,FALSE)</f>
        <v>Personnel services</v>
      </c>
      <c r="H1272" s="98" t="str">
        <f>VLOOKUP(F1272,'GL Category'!A:C,2,FALSE)</f>
        <v>SOCIAL SECURITY</v>
      </c>
      <c r="I1272" s="99">
        <f>SUMIFS(I$1:I1266,$C$1:$C1266,$C1272,$F$1:$F1266,$F1272)</f>
        <v>261763.7</v>
      </c>
      <c r="J1272" s="99">
        <f>SUMIFS(J$1:J1266,$C$1:$C1266,$C1272,$F$1:$F1266,$F1272)</f>
        <v>360309.74</v>
      </c>
      <c r="K1272" s="99">
        <f>SUMIFS(K$1:K1266,$C$1:$C1266,$C1272,$F$1:$F1266,$F1272)</f>
        <v>395854.11</v>
      </c>
      <c r="L1272" s="99">
        <f>SUMIFS(L$1:L1266,$C$1:$C1266,$C1272,$F$1:$F1266,$F1272)</f>
        <v>429693.15</v>
      </c>
      <c r="M1272" s="99">
        <f>SUMIFS(M$1:M1266,$C$1:$C1266,$C1272,$F$1:$F1266,$F1272)</f>
        <v>426880</v>
      </c>
      <c r="N1272" s="99">
        <f>SUMIFS(N$1:N1266,$C$1:$C1266,$C1272,$F$1:$F1266,$F1272)</f>
        <v>330686.09000000003</v>
      </c>
      <c r="O1272" s="99">
        <f>SUMIFS(O$1:O1266,$C$1:$C1266,$C1272,$F$1:$F1266,$F1272)</f>
        <v>430696</v>
      </c>
      <c r="P1272" s="99">
        <f t="shared" si="1643"/>
        <v>3816</v>
      </c>
      <c r="Q1272" s="99">
        <f>SUMIFS(Q$1:Q1266,$C$1:$C1266,$C1272,$F$1:$F1266,$F1272)</f>
        <v>440270</v>
      </c>
      <c r="R1272" s="99">
        <f>SUMIFS(R$1:R1266,$C$1:$C1266,$C1272,$F$1:$F1266,$F1272)</f>
        <v>0</v>
      </c>
      <c r="S1272" s="99">
        <f>SUMIFS(S$1:S1266,$C$1:$C1266,$C1272,$F$1:$F1266,$F1272)</f>
        <v>0</v>
      </c>
      <c r="T1272" s="99">
        <f>SUMIFS(T$1:T1266,$C$1:$C1266,$C1272,$F$1:$F1266,$F1272)</f>
        <v>440270</v>
      </c>
      <c r="U1272" s="99">
        <f t="shared" si="1644"/>
        <v>13390</v>
      </c>
      <c r="V1272" s="255">
        <f t="shared" si="1645"/>
        <v>3.1367128935532174E-2</v>
      </c>
      <c r="W1272" s="102"/>
      <c r="X1272" s="102"/>
      <c r="Y1272" s="102">
        <f t="shared" si="1646"/>
        <v>440270</v>
      </c>
      <c r="Z1272" s="309">
        <f>Y1272*(1+VLOOKUP($F1272,'GL Category'!$A:$H,4,FALSE))</f>
        <v>455679.44999999995</v>
      </c>
      <c r="AA1272" s="615"/>
      <c r="AB1272" s="622">
        <f t="shared" si="1647"/>
        <v>455679.44999999995</v>
      </c>
      <c r="AC1272" s="633">
        <f>AB1272*(1+VLOOKUP($F1272,'GL Category'!$A:$H,5,FALSE))</f>
        <v>471628.23074999993</v>
      </c>
      <c r="AD1272" s="307"/>
      <c r="AE1272" s="622">
        <f t="shared" si="1648"/>
        <v>471628.23074999993</v>
      </c>
      <c r="AF1272" s="633">
        <f>AE1272*(1+VLOOKUP($F1272,'GL Category'!$A:$H,6,FALSE))</f>
        <v>488135.21882624988</v>
      </c>
      <c r="AG1272" s="307"/>
      <c r="AH1272" s="622">
        <f t="shared" si="1649"/>
        <v>488135.21882624988</v>
      </c>
      <c r="AI1272" s="633">
        <f>AH1272*(1+VLOOKUP($F1272,'GL Category'!$A:$H,7,FALSE))</f>
        <v>505219.9514851686</v>
      </c>
      <c r="AJ1272" s="307"/>
      <c r="AK1272" s="622">
        <f t="shared" si="1650"/>
        <v>505219.9514851686</v>
      </c>
      <c r="AL1272" s="633">
        <f>AK1272*(1+VLOOKUP($F1272,'GL Category'!$A:$H,8,FALSE))</f>
        <v>522902.64978714945</v>
      </c>
      <c r="AM1272" s="307"/>
      <c r="AN1272" s="622">
        <f t="shared" si="1651"/>
        <v>522902.64978714945</v>
      </c>
      <c r="AO1272" s="192"/>
      <c r="AP1272" s="192"/>
      <c r="AQ1272" s="192"/>
    </row>
    <row r="1273" spans="1:43" s="115" customFormat="1" ht="15" customHeight="1">
      <c r="A1273" s="555"/>
      <c r="B1273" s="217"/>
      <c r="C1273" s="217">
        <v>35</v>
      </c>
      <c r="D1273" s="101"/>
      <c r="E1273" s="217"/>
      <c r="F1273" s="294" t="s">
        <v>141</v>
      </c>
      <c r="G1273" s="295" t="str">
        <f>VLOOKUP(F1273,'GL Category'!A:C,3,FALSE)</f>
        <v>Personnel services</v>
      </c>
      <c r="H1273" s="98" t="str">
        <f>VLOOKUP(F1273,'GL Category'!A:C,2,FALSE)</f>
        <v>HEALTH/LIFE INSURANCE</v>
      </c>
      <c r="I1273" s="99">
        <f>SUMIFS(I$1:I1267,$C$1:$C1267,$C1273,$F$1:$F1267,$F1273)</f>
        <v>573580.17999999993</v>
      </c>
      <c r="J1273" s="99">
        <f>SUMIFS(J$1:J1267,$C$1:$C1267,$C1273,$F$1:$F1267,$F1273)</f>
        <v>800021.33</v>
      </c>
      <c r="K1273" s="99">
        <f>SUMIFS(K$1:K1267,$C$1:$C1267,$C1273,$F$1:$F1267,$F1273)</f>
        <v>846522.09000000008</v>
      </c>
      <c r="L1273" s="99">
        <f>SUMIFS(L$1:L1267,$C$1:$C1267,$C1273,$F$1:$F1267,$F1273)</f>
        <v>847896.64</v>
      </c>
      <c r="M1273" s="99">
        <f>SUMIFS(M$1:M1267,$C$1:$C1267,$C1273,$F$1:$F1267,$F1273)</f>
        <v>842413</v>
      </c>
      <c r="N1273" s="99">
        <f>SUMIFS(N$1:N1267,$C$1:$C1267,$C1273,$F$1:$F1267,$F1273)</f>
        <v>613296.48</v>
      </c>
      <c r="O1273" s="99">
        <f>SUMIFS(O$1:O1267,$C$1:$C1267,$C1273,$F$1:$F1267,$F1273)</f>
        <v>833573</v>
      </c>
      <c r="P1273" s="99">
        <f t="shared" si="1643"/>
        <v>-8840</v>
      </c>
      <c r="Q1273" s="99">
        <f>SUMIFS(Q$1:Q1267,$C$1:$C1267,$C1273,$F$1:$F1267,$F1273)</f>
        <v>820624</v>
      </c>
      <c r="R1273" s="99">
        <f>SUMIFS(R$1:R1267,$C$1:$C1267,$C1273,$F$1:$F1267,$F1273)</f>
        <v>0</v>
      </c>
      <c r="S1273" s="99">
        <f>SUMIFS(S$1:S1267,$C$1:$C1267,$C1273,$F$1:$F1267,$F1273)</f>
        <v>0</v>
      </c>
      <c r="T1273" s="99">
        <f>SUMIFS(T$1:T1267,$C$1:$C1267,$C1273,$F$1:$F1267,$F1273)</f>
        <v>820624</v>
      </c>
      <c r="U1273" s="99">
        <f t="shared" si="1644"/>
        <v>-21789</v>
      </c>
      <c r="V1273" s="255">
        <f t="shared" si="1645"/>
        <v>-2.5864985464374324E-2</v>
      </c>
      <c r="W1273" s="102"/>
      <c r="X1273" s="102"/>
      <c r="Y1273" s="102">
        <f t="shared" si="1646"/>
        <v>820624</v>
      </c>
      <c r="Z1273" s="309">
        <f>Y1273*(1+VLOOKUP($F1273,'GL Category'!$A:$H,4,FALSE))</f>
        <v>849345.84</v>
      </c>
      <c r="AA1273" s="615"/>
      <c r="AB1273" s="622">
        <f t="shared" ref="AB1273:AB1275" si="1652">Z1273+AA1273</f>
        <v>849345.84</v>
      </c>
      <c r="AC1273" s="633">
        <f>AB1273*(1+VLOOKUP($F1273,'GL Category'!$A:$H,5,FALSE))</f>
        <v>879072.94439999992</v>
      </c>
      <c r="AD1273" s="307"/>
      <c r="AE1273" s="622">
        <f t="shared" ref="AE1273:AE1275" si="1653">AC1273+AD1273</f>
        <v>879072.94439999992</v>
      </c>
      <c r="AF1273" s="633">
        <f>AE1273*(1+VLOOKUP($F1273,'GL Category'!$A:$H,6,FALSE))</f>
        <v>909840.49745399982</v>
      </c>
      <c r="AG1273" s="307"/>
      <c r="AH1273" s="622">
        <f t="shared" ref="AH1273:AH1275" si="1654">AF1273+AG1273</f>
        <v>909840.49745399982</v>
      </c>
      <c r="AI1273" s="633">
        <f>AH1273*(1+VLOOKUP($F1273,'GL Category'!$A:$H,7,FALSE))</f>
        <v>941684.9148648897</v>
      </c>
      <c r="AJ1273" s="307"/>
      <c r="AK1273" s="622">
        <f t="shared" ref="AK1273:AK1275" si="1655">AI1273+AJ1273</f>
        <v>941684.9148648897</v>
      </c>
      <c r="AL1273" s="633">
        <f>AK1273*(1+VLOOKUP($F1273,'GL Category'!$A:$H,8,FALSE))</f>
        <v>974643.88688516081</v>
      </c>
      <c r="AM1273" s="307"/>
      <c r="AN1273" s="622">
        <f t="shared" ref="AN1273:AN1275" si="1656">AL1273+AM1273</f>
        <v>974643.88688516081</v>
      </c>
      <c r="AO1273" s="192"/>
      <c r="AP1273" s="192"/>
      <c r="AQ1273" s="192"/>
    </row>
    <row r="1274" spans="1:43" s="115" customFormat="1" ht="15" customHeight="1">
      <c r="A1274" s="555"/>
      <c r="B1274" s="217"/>
      <c r="C1274" s="217">
        <v>35</v>
      </c>
      <c r="D1274" s="101"/>
      <c r="E1274" s="217"/>
      <c r="F1274" s="294" t="s">
        <v>143</v>
      </c>
      <c r="G1274" s="295" t="str">
        <f>VLOOKUP(F1274,'GL Category'!A:C,3,FALSE)</f>
        <v>Personnel services</v>
      </c>
      <c r="H1274" s="98" t="str">
        <f>VLOOKUP(F1274,'GL Category'!A:C,2,FALSE)</f>
        <v>WORKER COMPENSATION</v>
      </c>
      <c r="I1274" s="99">
        <f>SUMIFS(I$1:I1268,$C$1:$C1268,$C1274,$F$1:$F1268,$F1274)</f>
        <v>34972</v>
      </c>
      <c r="J1274" s="99">
        <f>SUMIFS(J$1:J1268,$C$1:$C1268,$C1274,$F$1:$F1268,$F1274)</f>
        <v>37709.619999999995</v>
      </c>
      <c r="K1274" s="99">
        <f>SUMIFS(K$1:K1268,$C$1:$C1268,$C1274,$F$1:$F1268,$F1274)</f>
        <v>42176.83</v>
      </c>
      <c r="L1274" s="99">
        <f>SUMIFS(L$1:L1268,$C$1:$C1268,$C1274,$F$1:$F1268,$F1274)</f>
        <v>76913.33</v>
      </c>
      <c r="M1274" s="99">
        <f>SUMIFS(M$1:M1268,$C$1:$C1268,$C1274,$F$1:$F1268,$F1274)</f>
        <v>103034</v>
      </c>
      <c r="N1274" s="99">
        <f>SUMIFS(N$1:N1268,$C$1:$C1268,$C1274,$F$1:$F1268,$F1274)</f>
        <v>102949.85</v>
      </c>
      <c r="O1274" s="99">
        <f>SUMIFS(O$1:O1268,$C$1:$C1268,$C1274,$F$1:$F1268,$F1274)</f>
        <v>102950</v>
      </c>
      <c r="P1274" s="99">
        <f t="shared" si="1643"/>
        <v>-84</v>
      </c>
      <c r="Q1274" s="99">
        <f>SUMIFS(Q$1:Q1268,$C$1:$C1268,$C1274,$F$1:$F1268,$F1274)</f>
        <v>110445</v>
      </c>
      <c r="R1274" s="99">
        <f>SUMIFS(R$1:R1268,$C$1:$C1268,$C1274,$F$1:$F1268,$F1274)</f>
        <v>0</v>
      </c>
      <c r="S1274" s="99">
        <f>SUMIFS(S$1:S1268,$C$1:$C1268,$C1274,$F$1:$F1268,$F1274)</f>
        <v>0</v>
      </c>
      <c r="T1274" s="99">
        <f>SUMIFS(T$1:T1268,$C$1:$C1268,$C1274,$F$1:$F1268,$F1274)</f>
        <v>110445</v>
      </c>
      <c r="U1274" s="99">
        <f t="shared" si="1644"/>
        <v>7411</v>
      </c>
      <c r="V1274" s="255">
        <f t="shared" si="1645"/>
        <v>7.1927713182056374E-2</v>
      </c>
      <c r="W1274" s="102"/>
      <c r="X1274" s="102"/>
      <c r="Y1274" s="102">
        <f t="shared" si="1646"/>
        <v>110445</v>
      </c>
      <c r="Z1274" s="309">
        <f>Y1274*(1+VLOOKUP($F1274,'GL Category'!$A:$H,4,FALSE))</f>
        <v>114310.575</v>
      </c>
      <c r="AA1274" s="615"/>
      <c r="AB1274" s="622">
        <f t="shared" si="1652"/>
        <v>114310.575</v>
      </c>
      <c r="AC1274" s="633">
        <f>AB1274*(1+VLOOKUP($F1274,'GL Category'!$A:$H,5,FALSE))</f>
        <v>118311.44512499998</v>
      </c>
      <c r="AD1274" s="307"/>
      <c r="AE1274" s="622">
        <f t="shared" si="1653"/>
        <v>118311.44512499998</v>
      </c>
      <c r="AF1274" s="633">
        <f>AE1274*(1+VLOOKUP($F1274,'GL Category'!$A:$H,6,FALSE))</f>
        <v>122452.34570437498</v>
      </c>
      <c r="AG1274" s="307"/>
      <c r="AH1274" s="622">
        <f t="shared" si="1654"/>
        <v>122452.34570437498</v>
      </c>
      <c r="AI1274" s="633">
        <f>AH1274*(1+VLOOKUP($F1274,'GL Category'!$A:$H,7,FALSE))</f>
        <v>126738.17780402809</v>
      </c>
      <c r="AJ1274" s="307"/>
      <c r="AK1274" s="622">
        <f t="shared" si="1655"/>
        <v>126738.17780402809</v>
      </c>
      <c r="AL1274" s="633">
        <f>AK1274*(1+VLOOKUP($F1274,'GL Category'!$A:$H,8,FALSE))</f>
        <v>131174.01402716906</v>
      </c>
      <c r="AM1274" s="307"/>
      <c r="AN1274" s="622">
        <f t="shared" si="1656"/>
        <v>131174.01402716906</v>
      </c>
      <c r="AO1274" s="192"/>
      <c r="AP1274" s="192"/>
      <c r="AQ1274" s="192"/>
    </row>
    <row r="1275" spans="1:43" s="115" customFormat="1" ht="15" customHeight="1">
      <c r="A1275" s="555"/>
      <c r="B1275" s="217"/>
      <c r="C1275" s="217">
        <v>35</v>
      </c>
      <c r="D1275" s="101"/>
      <c r="E1275" s="217"/>
      <c r="F1275" s="294" t="s">
        <v>147</v>
      </c>
      <c r="G1275" s="295" t="str">
        <f>VLOOKUP(F1275,'GL Category'!A:C,3,FALSE)</f>
        <v>Personnel services</v>
      </c>
      <c r="H1275" s="98" t="str">
        <f>VLOOKUP(F1275,'GL Category'!A:C,2,FALSE)</f>
        <v>RETIREMENT</v>
      </c>
      <c r="I1275" s="99">
        <f>SUMIFS(I$1:I1269,$C$1:$C1269,$C1275,$F$1:$F1269,$F1275)</f>
        <v>573990.05000000005</v>
      </c>
      <c r="J1275" s="99">
        <f>SUMIFS(J$1:J1269,$C$1:$C1269,$C1275,$F$1:$F1269,$F1275)</f>
        <v>804916.34000000008</v>
      </c>
      <c r="K1275" s="99">
        <f>SUMIFS(K$1:K1269,$C$1:$C1269,$C1275,$F$1:$F1269,$F1275)</f>
        <v>883687.74</v>
      </c>
      <c r="L1275" s="99">
        <f>SUMIFS(L$1:L1269,$C$1:$C1269,$C1275,$F$1:$F1269,$F1275)</f>
        <v>959374.77</v>
      </c>
      <c r="M1275" s="99">
        <f>SUMIFS(M$1:M1269,$C$1:$C1269,$C1275,$F$1:$F1269,$F1275)</f>
        <v>1011177</v>
      </c>
      <c r="N1275" s="99">
        <f>SUMIFS(N$1:N1269,$C$1:$C1269,$C1275,$F$1:$F1269,$F1275)</f>
        <v>756241</v>
      </c>
      <c r="O1275" s="99">
        <f>SUMIFS(O$1:O1269,$C$1:$C1269,$C1275,$F$1:$F1269,$F1275)</f>
        <v>994687</v>
      </c>
      <c r="P1275" s="99">
        <f t="shared" si="1643"/>
        <v>-16490</v>
      </c>
      <c r="Q1275" s="99">
        <f>SUMIFS(Q$1:Q1269,$C$1:$C1269,$C1275,$F$1:$F1269,$F1275)</f>
        <v>1067600</v>
      </c>
      <c r="R1275" s="99">
        <f>SUMIFS(R$1:R1269,$C$1:$C1269,$C1275,$F$1:$F1269,$F1275)</f>
        <v>0</v>
      </c>
      <c r="S1275" s="99">
        <f>SUMIFS(S$1:S1269,$C$1:$C1269,$C1275,$F$1:$F1269,$F1275)</f>
        <v>0</v>
      </c>
      <c r="T1275" s="99">
        <f>SUMIFS(T$1:T1269,$C$1:$C1269,$C1275,$F$1:$F1269,$F1275)</f>
        <v>1067600</v>
      </c>
      <c r="U1275" s="99">
        <f t="shared" si="1644"/>
        <v>56423</v>
      </c>
      <c r="V1275" s="255">
        <f t="shared" si="1645"/>
        <v>5.5799330878768094E-2</v>
      </c>
      <c r="W1275" s="102"/>
      <c r="X1275" s="102"/>
      <c r="Y1275" s="102">
        <f t="shared" si="1646"/>
        <v>1067600</v>
      </c>
      <c r="Z1275" s="309">
        <f>Y1275*(1+VLOOKUP($F1275,'GL Category'!$A:$H,4,FALSE))</f>
        <v>1104966</v>
      </c>
      <c r="AA1275" s="615"/>
      <c r="AB1275" s="622">
        <f t="shared" si="1652"/>
        <v>1104966</v>
      </c>
      <c r="AC1275" s="633">
        <f>AB1275*(1+VLOOKUP($F1275,'GL Category'!$A:$H,5,FALSE))</f>
        <v>1143639.8099999998</v>
      </c>
      <c r="AD1275" s="307"/>
      <c r="AE1275" s="622">
        <f t="shared" si="1653"/>
        <v>1143639.8099999998</v>
      </c>
      <c r="AF1275" s="633">
        <f>AE1275*(1+VLOOKUP($F1275,'GL Category'!$A:$H,6,FALSE))</f>
        <v>1183667.2033499996</v>
      </c>
      <c r="AG1275" s="307"/>
      <c r="AH1275" s="622">
        <f t="shared" si="1654"/>
        <v>1183667.2033499996</v>
      </c>
      <c r="AI1275" s="633">
        <f>AH1275*(1+VLOOKUP($F1275,'GL Category'!$A:$H,7,FALSE))</f>
        <v>1225095.5554672496</v>
      </c>
      <c r="AJ1275" s="307"/>
      <c r="AK1275" s="622">
        <f t="shared" si="1655"/>
        <v>1225095.5554672496</v>
      </c>
      <c r="AL1275" s="633">
        <f>AK1275*(1+VLOOKUP($F1275,'GL Category'!$A:$H,8,FALSE))</f>
        <v>1267973.8999086032</v>
      </c>
      <c r="AM1275" s="307"/>
      <c r="AN1275" s="622">
        <f t="shared" si="1656"/>
        <v>1267973.8999086032</v>
      </c>
      <c r="AO1275" s="192"/>
      <c r="AP1275" s="192"/>
      <c r="AQ1275" s="192"/>
    </row>
    <row r="1276" spans="1:43" s="115" customFormat="1" ht="15" customHeight="1">
      <c r="A1276" s="555"/>
      <c r="B1276" s="217"/>
      <c r="C1276" s="217"/>
      <c r="D1276" s="101"/>
      <c r="E1276" s="217"/>
      <c r="F1276" s="294"/>
      <c r="G1276" s="295"/>
      <c r="H1276" s="107" t="str">
        <f>UPPER(G1275)&amp;" TOTAL"</f>
        <v>PERSONNEL SERVICES TOTAL</v>
      </c>
      <c r="I1276" s="108">
        <f t="shared" ref="I1276" si="1657">SUBTOTAL(9,I1267:I1275)</f>
        <v>5060660.63</v>
      </c>
      <c r="J1276" s="108">
        <f t="shared" ref="J1276:P1276" si="1658">SUBTOTAL(9,J1267:J1275)</f>
        <v>6986221.6800000006</v>
      </c>
      <c r="K1276" s="108">
        <f t="shared" ref="K1276" si="1659">SUBTOTAL(9,K1267:K1275)</f>
        <v>7598050.0100000007</v>
      </c>
      <c r="L1276" s="108">
        <f t="shared" ref="L1276" si="1660">SUBTOTAL(9,L1267:L1275)</f>
        <v>8246188.1000000015</v>
      </c>
      <c r="M1276" s="108">
        <f t="shared" si="1658"/>
        <v>8489748</v>
      </c>
      <c r="N1276" s="109">
        <f t="shared" ref="N1276" si="1661">SUBTOTAL(9,N1267:N1275)</f>
        <v>6377256.1999999993</v>
      </c>
      <c r="O1276" s="109">
        <f t="shared" si="1658"/>
        <v>8418704</v>
      </c>
      <c r="P1276" s="109">
        <f t="shared" si="1658"/>
        <v>-71044</v>
      </c>
      <c r="Q1276" s="109">
        <f t="shared" ref="Q1276:T1276" si="1662">SUBTOTAL(9,Q1267:Q1275)</f>
        <v>8733287</v>
      </c>
      <c r="R1276" s="109">
        <f t="shared" si="1662"/>
        <v>0</v>
      </c>
      <c r="S1276" s="109">
        <f t="shared" si="1662"/>
        <v>0</v>
      </c>
      <c r="T1276" s="109">
        <f t="shared" si="1662"/>
        <v>8733287</v>
      </c>
      <c r="U1276" s="99">
        <f t="shared" si="1644"/>
        <v>243539</v>
      </c>
      <c r="V1276" s="255">
        <f t="shared" si="1645"/>
        <v>2.8686246046407904E-2</v>
      </c>
      <c r="W1276" s="102"/>
      <c r="X1276" s="102"/>
      <c r="Y1276" s="102"/>
      <c r="Z1276" s="192"/>
      <c r="AA1276" s="615"/>
      <c r="AB1276" s="307"/>
      <c r="AC1276" s="93"/>
      <c r="AD1276" s="93"/>
      <c r="AE1276" s="93"/>
      <c r="AF1276" s="93"/>
      <c r="AG1276" s="93"/>
      <c r="AH1276" s="307"/>
      <c r="AI1276" s="307"/>
      <c r="AJ1276" s="93"/>
      <c r="AK1276" s="93"/>
      <c r="AL1276" s="93"/>
      <c r="AM1276" s="93"/>
      <c r="AN1276" s="93"/>
      <c r="AO1276" s="192"/>
      <c r="AP1276" s="192"/>
      <c r="AQ1276" s="192"/>
    </row>
    <row r="1277" spans="1:43" s="115" customFormat="1" ht="15" customHeight="1">
      <c r="A1277" s="555"/>
      <c r="B1277" s="217"/>
      <c r="C1277" s="217"/>
      <c r="D1277" s="101"/>
      <c r="E1277" s="217"/>
      <c r="F1277" s="294"/>
      <c r="G1277" s="295"/>
      <c r="H1277" s="98"/>
      <c r="I1277" s="106"/>
      <c r="J1277" s="106"/>
      <c r="K1277" s="106"/>
      <c r="L1277" s="106"/>
      <c r="M1277" s="106"/>
      <c r="N1277" s="112"/>
      <c r="O1277" s="112"/>
      <c r="P1277" s="112"/>
      <c r="Q1277" s="113"/>
      <c r="R1277" s="113"/>
      <c r="S1277" s="113"/>
      <c r="T1277" s="113"/>
      <c r="U1277" s="99"/>
      <c r="V1277" s="255"/>
      <c r="W1277" s="102"/>
      <c r="X1277" s="102"/>
      <c r="Y1277" s="102"/>
      <c r="Z1277" s="192"/>
      <c r="AA1277" s="615"/>
      <c r="AB1277" s="307"/>
      <c r="AC1277" s="300"/>
      <c r="AD1277" s="300"/>
      <c r="AE1277" s="300"/>
      <c r="AF1277" s="300"/>
      <c r="AG1277" s="300"/>
      <c r="AH1277" s="307"/>
      <c r="AI1277" s="307"/>
      <c r="AJ1277" s="300"/>
      <c r="AK1277" s="300"/>
      <c r="AL1277" s="300"/>
      <c r="AM1277" s="300"/>
      <c r="AN1277" s="300"/>
      <c r="AO1277" s="192"/>
      <c r="AP1277" s="192"/>
      <c r="AQ1277" s="192"/>
    </row>
    <row r="1278" spans="1:43" s="115" customFormat="1" ht="15" customHeight="1">
      <c r="A1278" s="555"/>
      <c r="B1278" s="217"/>
      <c r="C1278" s="217">
        <v>35</v>
      </c>
      <c r="D1278" s="101"/>
      <c r="E1278" s="217"/>
      <c r="F1278" s="294" t="s">
        <v>148</v>
      </c>
      <c r="G1278" s="295" t="str">
        <f>VLOOKUP(F1278,'GL Category'!A:C,3,FALSE)</f>
        <v>Operations &amp; maintenance</v>
      </c>
      <c r="H1278" s="98" t="str">
        <f>VLOOKUP(F1278,'GL Category'!A:C,2,FALSE)</f>
        <v>OFFICE SUPPLIES</v>
      </c>
      <c r="I1278" s="99">
        <f>SUMIFS(I$1:I1272,$C$1:$C1272,$C1278,$F$1:$F1272,$F1278)</f>
        <v>1303.46</v>
      </c>
      <c r="J1278" s="99">
        <f>SUMIFS(J$1:J1272,$C$1:$C1272,$C1278,$F$1:$F1272,$F1278)</f>
        <v>2292.67</v>
      </c>
      <c r="K1278" s="99">
        <f>SUMIFS(K$1:K1272,$C$1:$C1272,$C1278,$F$1:$F1272,$F1278)</f>
        <v>2726.98</v>
      </c>
      <c r="L1278" s="99">
        <f>SUMIFS(L$1:L1272,$C$1:$C1272,$C1278,$F$1:$F1272,$F1278)</f>
        <v>5083.26</v>
      </c>
      <c r="M1278" s="99">
        <f>SUMIFS(M$1:M1272,$C$1:$C1272,$C1278,$F$1:$F1272,$F1278)</f>
        <v>3700</v>
      </c>
      <c r="N1278" s="99">
        <f>SUMIFS(N$1:N1272,$C$1:$C1272,$C1278,$F$1:$F1272,$F1278)</f>
        <v>3080.72</v>
      </c>
      <c r="O1278" s="99">
        <f>SUMIFS(O$1:O1272,$C$1:$C1272,$C1278,$F$1:$F1272,$F1278)</f>
        <v>3700</v>
      </c>
      <c r="P1278" s="99">
        <f t="shared" ref="P1278:P1298" si="1663">O1278-M1278</f>
        <v>0</v>
      </c>
      <c r="Q1278" s="99">
        <f>SUMIFS(Q$1:Q1272,$C$1:$C1272,$C1278,$F$1:$F1272,$F1278)</f>
        <v>3700</v>
      </c>
      <c r="R1278" s="99">
        <f>SUMIFS(R$1:R1272,$C$1:$C1272,$C1278,$F$1:$F1272,$F1278)</f>
        <v>0</v>
      </c>
      <c r="S1278" s="99">
        <f>SUMIFS(S$1:S1272,$C$1:$C1272,$C1278,$F$1:$F1272,$F1278)</f>
        <v>0</v>
      </c>
      <c r="T1278" s="99">
        <f>SUMIFS(T$1:T1272,$C$1:$C1272,$C1278,$F$1:$F1272,$F1278)</f>
        <v>3700</v>
      </c>
      <c r="U1278" s="99">
        <f t="shared" ref="U1278:U1299" si="1664">T1278-M1278</f>
        <v>0</v>
      </c>
      <c r="V1278" s="255">
        <f t="shared" ref="V1278:V1299" si="1665">IF(M1278=0,"N/A",T1278/M1278-1)</f>
        <v>0</v>
      </c>
      <c r="W1278" s="102"/>
      <c r="X1278" s="102"/>
      <c r="Y1278" s="102">
        <f t="shared" ref="Y1278:Y1298" si="1666">T1278-X1278</f>
        <v>3700</v>
      </c>
      <c r="Z1278" s="309">
        <f>Y1278*(1+VLOOKUP($F1278,'GL Category'!$A:$H,4,FALSE))</f>
        <v>3774</v>
      </c>
      <c r="AA1278" s="615"/>
      <c r="AB1278" s="622">
        <f t="shared" ref="AB1278:AB1298" si="1667">Z1278+AA1278</f>
        <v>3774</v>
      </c>
      <c r="AC1278" s="633">
        <f>AB1278*(1+VLOOKUP($F1278,'GL Category'!$A:$H,5,FALSE))</f>
        <v>3849.48</v>
      </c>
      <c r="AD1278" s="307"/>
      <c r="AE1278" s="622">
        <f t="shared" ref="AE1278:AE1298" si="1668">AC1278+AD1278</f>
        <v>3849.48</v>
      </c>
      <c r="AF1278" s="633">
        <f>AE1278*(1+VLOOKUP($F1278,'GL Category'!$A:$H,6,FALSE))</f>
        <v>3926.4695999999999</v>
      </c>
      <c r="AG1278" s="307"/>
      <c r="AH1278" s="622">
        <f t="shared" ref="AH1278:AH1298" si="1669">AF1278+AG1278</f>
        <v>3926.4695999999999</v>
      </c>
      <c r="AI1278" s="633">
        <f>AH1278*(1+VLOOKUP($F1278,'GL Category'!$A:$H,7,FALSE))</f>
        <v>4004.9989919999998</v>
      </c>
      <c r="AJ1278" s="307"/>
      <c r="AK1278" s="622">
        <f t="shared" ref="AK1278:AK1298" si="1670">AI1278+AJ1278</f>
        <v>4004.9989919999998</v>
      </c>
      <c r="AL1278" s="633">
        <f>AK1278*(1+VLOOKUP($F1278,'GL Category'!$A:$H,8,FALSE))</f>
        <v>4085.0989718400001</v>
      </c>
      <c r="AM1278" s="307"/>
      <c r="AN1278" s="622">
        <f t="shared" ref="AN1278:AN1298" si="1671">AL1278+AM1278</f>
        <v>4085.0989718400001</v>
      </c>
      <c r="AO1278" s="192"/>
      <c r="AP1278" s="192"/>
      <c r="AQ1278" s="192"/>
    </row>
    <row r="1279" spans="1:43" s="115" customFormat="1" ht="15" customHeight="1">
      <c r="A1279" s="555"/>
      <c r="B1279" s="217"/>
      <c r="C1279" s="217">
        <v>35</v>
      </c>
      <c r="D1279" s="101"/>
      <c r="E1279" s="217"/>
      <c r="F1279" s="294" t="s">
        <v>154</v>
      </c>
      <c r="G1279" s="295" t="str">
        <f>VLOOKUP(F1279,'GL Category'!A:C,3,FALSE)</f>
        <v>Operations &amp; maintenance</v>
      </c>
      <c r="H1279" s="98" t="str">
        <f>VLOOKUP(F1279,'GL Category'!A:C,2,FALSE)</f>
        <v>JANITORIAL SUPPLIES</v>
      </c>
      <c r="I1279" s="99">
        <f>SUMIFS(I$1:I1273,$C$1:$C1273,$C1279,$F$1:$F1273,$F1279)</f>
        <v>10381.81</v>
      </c>
      <c r="J1279" s="99">
        <f>SUMIFS(J$1:J1273,$C$1:$C1273,$C1279,$F$1:$F1273,$F1279)</f>
        <v>10339.57</v>
      </c>
      <c r="K1279" s="99">
        <f>SUMIFS(K$1:K1273,$C$1:$C1273,$C1279,$F$1:$F1273,$F1279)</f>
        <v>8149.21</v>
      </c>
      <c r="L1279" s="99">
        <f>SUMIFS(L$1:L1273,$C$1:$C1273,$C1279,$F$1:$F1273,$F1279)</f>
        <v>9293.4</v>
      </c>
      <c r="M1279" s="99">
        <f>SUMIFS(M$1:M1273,$C$1:$C1273,$C1279,$F$1:$F1273,$F1279)</f>
        <v>9500</v>
      </c>
      <c r="N1279" s="99">
        <f>SUMIFS(N$1:N1273,$C$1:$C1273,$C1279,$F$1:$F1273,$F1279)</f>
        <v>6853.86</v>
      </c>
      <c r="O1279" s="99">
        <f>SUMIFS(O$1:O1273,$C$1:$C1273,$C1279,$F$1:$F1273,$F1279)</f>
        <v>9500</v>
      </c>
      <c r="P1279" s="99">
        <f t="shared" si="1663"/>
        <v>0</v>
      </c>
      <c r="Q1279" s="99">
        <f>SUMIFS(Q$1:Q1273,$C$1:$C1273,$C1279,$F$1:$F1273,$F1279)</f>
        <v>9500</v>
      </c>
      <c r="R1279" s="99">
        <f>SUMIFS(R$1:R1273,$C$1:$C1273,$C1279,$F$1:$F1273,$F1279)</f>
        <v>0</v>
      </c>
      <c r="S1279" s="99">
        <f>SUMIFS(S$1:S1273,$C$1:$C1273,$C1279,$F$1:$F1273,$F1279)</f>
        <v>0</v>
      </c>
      <c r="T1279" s="99">
        <f>SUMIFS(T$1:T1273,$C$1:$C1273,$C1279,$F$1:$F1273,$F1279)</f>
        <v>9500</v>
      </c>
      <c r="U1279" s="99">
        <f t="shared" si="1664"/>
        <v>0</v>
      </c>
      <c r="V1279" s="255">
        <f t="shared" si="1665"/>
        <v>0</v>
      </c>
      <c r="W1279" s="102"/>
      <c r="X1279" s="102"/>
      <c r="Y1279" s="102">
        <f t="shared" si="1666"/>
        <v>9500</v>
      </c>
      <c r="Z1279" s="309">
        <f>Y1279*(1+VLOOKUP($F1279,'GL Category'!$A:$H,4,FALSE))</f>
        <v>9690</v>
      </c>
      <c r="AA1279" s="615"/>
      <c r="AB1279" s="622">
        <f t="shared" si="1667"/>
        <v>9690</v>
      </c>
      <c r="AC1279" s="633">
        <f>AB1279*(1+VLOOKUP($F1279,'GL Category'!$A:$H,5,FALSE))</f>
        <v>9883.7999999999993</v>
      </c>
      <c r="AD1279" s="307"/>
      <c r="AE1279" s="622">
        <f t="shared" si="1668"/>
        <v>9883.7999999999993</v>
      </c>
      <c r="AF1279" s="633">
        <f>AE1279*(1+VLOOKUP($F1279,'GL Category'!$A:$H,6,FALSE))</f>
        <v>10081.475999999999</v>
      </c>
      <c r="AG1279" s="307"/>
      <c r="AH1279" s="622">
        <f t="shared" si="1669"/>
        <v>10081.475999999999</v>
      </c>
      <c r="AI1279" s="633">
        <f>AH1279*(1+VLOOKUP($F1279,'GL Category'!$A:$H,7,FALSE))</f>
        <v>10283.105519999999</v>
      </c>
      <c r="AJ1279" s="307"/>
      <c r="AK1279" s="622">
        <f t="shared" si="1670"/>
        <v>10283.105519999999</v>
      </c>
      <c r="AL1279" s="633">
        <f>AK1279*(1+VLOOKUP($F1279,'GL Category'!$A:$H,8,FALSE))</f>
        <v>10488.7676304</v>
      </c>
      <c r="AM1279" s="307"/>
      <c r="AN1279" s="622">
        <f t="shared" si="1671"/>
        <v>10488.7676304</v>
      </c>
      <c r="AO1279" s="192"/>
      <c r="AP1279" s="192"/>
      <c r="AQ1279" s="192"/>
    </row>
    <row r="1280" spans="1:43" s="115" customFormat="1" ht="15" customHeight="1">
      <c r="A1280" s="555"/>
      <c r="B1280" s="217"/>
      <c r="C1280" s="217">
        <v>35</v>
      </c>
      <c r="D1280" s="101"/>
      <c r="E1280" s="217"/>
      <c r="F1280" s="294" t="s">
        <v>251</v>
      </c>
      <c r="G1280" s="295" t="str">
        <f>VLOOKUP(F1280,'GL Category'!A:C,3,FALSE)</f>
        <v>Operations &amp; maintenance</v>
      </c>
      <c r="H1280" s="98" t="str">
        <f>VLOOKUP(F1280,'GL Category'!A:C,2,FALSE)</f>
        <v>MEDICAL SUPPLIES</v>
      </c>
      <c r="I1280" s="99">
        <f>SUMIFS(I$1:I1274,$C$1:$C1274,$C1280,$F$1:$F1274,$F1280)</f>
        <v>74189.59</v>
      </c>
      <c r="J1280" s="99">
        <f>SUMIFS(J$1:J1274,$C$1:$C1274,$C1280,$F$1:$F1274,$F1280)</f>
        <v>98686.1</v>
      </c>
      <c r="K1280" s="99">
        <f>SUMIFS(K$1:K1274,$C$1:$C1274,$C1280,$F$1:$F1274,$F1280)</f>
        <v>115177.23</v>
      </c>
      <c r="L1280" s="99">
        <f>SUMIFS(L$1:L1274,$C$1:$C1274,$C1280,$F$1:$F1274,$F1280)</f>
        <v>100529.76</v>
      </c>
      <c r="M1280" s="99">
        <f>SUMIFS(M$1:M1274,$C$1:$C1274,$C1280,$F$1:$F1274,$F1280)</f>
        <v>82460</v>
      </c>
      <c r="N1280" s="99">
        <f>SUMIFS(N$1:N1274,$C$1:$C1274,$C1280,$F$1:$F1274,$F1280)</f>
        <v>83303.649999999994</v>
      </c>
      <c r="O1280" s="99">
        <f>SUMIFS(O$1:O1274,$C$1:$C1274,$C1280,$F$1:$F1274,$F1280)</f>
        <v>120000</v>
      </c>
      <c r="P1280" s="99">
        <f t="shared" si="1663"/>
        <v>37540</v>
      </c>
      <c r="Q1280" s="99">
        <f>SUMIFS(Q$1:Q1274,$C$1:$C1274,$C1280,$F$1:$F1274,$F1280)</f>
        <v>82460</v>
      </c>
      <c r="R1280" s="99">
        <f>SUMIFS(R$1:R1274,$C$1:$C1274,$C1280,$F$1:$F1274,$F1280)</f>
        <v>22540</v>
      </c>
      <c r="S1280" s="99">
        <f>SUMIFS(S$1:S1274,$C$1:$C1274,$C1280,$F$1:$F1274,$F1280)</f>
        <v>0</v>
      </c>
      <c r="T1280" s="99">
        <f>SUMIFS(T$1:T1274,$C$1:$C1274,$C1280,$F$1:$F1274,$F1280)</f>
        <v>105000</v>
      </c>
      <c r="U1280" s="99">
        <f t="shared" si="1664"/>
        <v>22540</v>
      </c>
      <c r="V1280" s="255">
        <f t="shared" si="1665"/>
        <v>0.27334465195246183</v>
      </c>
      <c r="W1280" s="102"/>
      <c r="X1280" s="102"/>
      <c r="Y1280" s="102">
        <f t="shared" si="1666"/>
        <v>105000</v>
      </c>
      <c r="Z1280" s="309">
        <f>Y1280*(1+VLOOKUP($F1280,'GL Category'!$A:$H,4,FALSE))</f>
        <v>107100</v>
      </c>
      <c r="AA1280" s="615"/>
      <c r="AB1280" s="622">
        <f t="shared" si="1667"/>
        <v>107100</v>
      </c>
      <c r="AC1280" s="633">
        <f>AB1280*(1+VLOOKUP($F1280,'GL Category'!$A:$H,5,FALSE))</f>
        <v>109242</v>
      </c>
      <c r="AD1280" s="307"/>
      <c r="AE1280" s="622">
        <f t="shared" si="1668"/>
        <v>109242</v>
      </c>
      <c r="AF1280" s="633">
        <f>AE1280*(1+VLOOKUP($F1280,'GL Category'!$A:$H,6,FALSE))</f>
        <v>111426.84</v>
      </c>
      <c r="AG1280" s="307"/>
      <c r="AH1280" s="622">
        <f t="shared" si="1669"/>
        <v>111426.84</v>
      </c>
      <c r="AI1280" s="633">
        <f>AH1280*(1+VLOOKUP($F1280,'GL Category'!$A:$H,7,FALSE))</f>
        <v>113655.3768</v>
      </c>
      <c r="AJ1280" s="307"/>
      <c r="AK1280" s="622">
        <f t="shared" si="1670"/>
        <v>113655.3768</v>
      </c>
      <c r="AL1280" s="633">
        <f>AK1280*(1+VLOOKUP($F1280,'GL Category'!$A:$H,8,FALSE))</f>
        <v>115928.48433599999</v>
      </c>
      <c r="AM1280" s="307"/>
      <c r="AN1280" s="622">
        <f t="shared" si="1671"/>
        <v>115928.48433599999</v>
      </c>
      <c r="AO1280" s="192"/>
      <c r="AP1280" s="192"/>
      <c r="AQ1280" s="192"/>
    </row>
    <row r="1281" spans="1:59" s="115" customFormat="1" ht="15" customHeight="1">
      <c r="A1281" s="555"/>
      <c r="B1281" s="217"/>
      <c r="C1281" s="217">
        <v>35</v>
      </c>
      <c r="D1281" s="101"/>
      <c r="E1281" s="217"/>
      <c r="F1281" s="294" t="s">
        <v>156</v>
      </c>
      <c r="G1281" s="295" t="str">
        <f>VLOOKUP(F1281,'GL Category'!A:C,3,FALSE)</f>
        <v>Operations &amp; maintenance</v>
      </c>
      <c r="H1281" s="98" t="str">
        <f>VLOOKUP(F1281,'GL Category'!A:C,2,FALSE)</f>
        <v>COMPUTER SUPPLIES</v>
      </c>
      <c r="I1281" s="99">
        <f>SUMIFS(I$1:I1275,$C$1:$C1275,$C1281,$F$1:$F1275,$F1281)</f>
        <v>0</v>
      </c>
      <c r="J1281" s="99">
        <f>SUMIFS(J$1:J1275,$C$1:$C1275,$C1281,$F$1:$F1275,$F1281)</f>
        <v>0</v>
      </c>
      <c r="K1281" s="99">
        <f>SUMIFS(K$1:K1275,$C$1:$C1275,$C1281,$F$1:$F1275,$F1281)</f>
        <v>0</v>
      </c>
      <c r="L1281" s="99">
        <f>SUMIFS(L$1:L1275,$C$1:$C1275,$C1281,$F$1:$F1275,$F1281)</f>
        <v>0</v>
      </c>
      <c r="M1281" s="99">
        <f>SUMIFS(M$1:M1275,$C$1:$C1275,$C1281,$F$1:$F1275,$F1281)</f>
        <v>0</v>
      </c>
      <c r="N1281" s="99">
        <f>SUMIFS(N$1:N1275,$C$1:$C1275,$C1281,$F$1:$F1275,$F1281)</f>
        <v>0</v>
      </c>
      <c r="O1281" s="99">
        <f>SUMIFS(O$1:O1275,$C$1:$C1275,$C1281,$F$1:$F1275,$F1281)</f>
        <v>0</v>
      </c>
      <c r="P1281" s="99">
        <f t="shared" si="1663"/>
        <v>0</v>
      </c>
      <c r="Q1281" s="99">
        <f>SUMIFS(Q$1:Q1275,$C$1:$C1275,$C1281,$F$1:$F1275,$F1281)</f>
        <v>0</v>
      </c>
      <c r="R1281" s="99">
        <f>SUMIFS(R$1:R1275,$C$1:$C1275,$C1281,$F$1:$F1275,$F1281)</f>
        <v>0</v>
      </c>
      <c r="S1281" s="99">
        <f>SUMIFS(S$1:S1275,$C$1:$C1275,$C1281,$F$1:$F1275,$F1281)</f>
        <v>0</v>
      </c>
      <c r="T1281" s="99">
        <f>SUMIFS(T$1:T1275,$C$1:$C1275,$C1281,$F$1:$F1275,$F1281)</f>
        <v>0</v>
      </c>
      <c r="U1281" s="99">
        <f t="shared" si="1664"/>
        <v>0</v>
      </c>
      <c r="V1281" s="255" t="str">
        <f t="shared" si="1665"/>
        <v>N/A</v>
      </c>
      <c r="W1281" s="102"/>
      <c r="X1281" s="102"/>
      <c r="Y1281" s="102">
        <f t="shared" si="1666"/>
        <v>0</v>
      </c>
      <c r="Z1281" s="309">
        <f>Y1281*(1+VLOOKUP($F1281,'GL Category'!$A:$H,4,FALSE))</f>
        <v>0</v>
      </c>
      <c r="AA1281" s="615"/>
      <c r="AB1281" s="622">
        <f t="shared" si="1667"/>
        <v>0</v>
      </c>
      <c r="AC1281" s="633">
        <f>AB1281*(1+VLOOKUP($F1281,'GL Category'!$A:$H,5,FALSE))</f>
        <v>0</v>
      </c>
      <c r="AD1281" s="307"/>
      <c r="AE1281" s="622">
        <f t="shared" si="1668"/>
        <v>0</v>
      </c>
      <c r="AF1281" s="633">
        <f>AE1281*(1+VLOOKUP($F1281,'GL Category'!$A:$H,6,FALSE))</f>
        <v>0</v>
      </c>
      <c r="AG1281" s="307"/>
      <c r="AH1281" s="622">
        <f t="shared" si="1669"/>
        <v>0</v>
      </c>
      <c r="AI1281" s="633">
        <f>AH1281*(1+VLOOKUP($F1281,'GL Category'!$A:$H,7,FALSE))</f>
        <v>0</v>
      </c>
      <c r="AJ1281" s="307"/>
      <c r="AK1281" s="622">
        <f t="shared" si="1670"/>
        <v>0</v>
      </c>
      <c r="AL1281" s="633">
        <f>AK1281*(1+VLOOKUP($F1281,'GL Category'!$A:$H,8,FALSE))</f>
        <v>0</v>
      </c>
      <c r="AM1281" s="307"/>
      <c r="AN1281" s="622">
        <f t="shared" si="1671"/>
        <v>0</v>
      </c>
      <c r="AO1281" s="192"/>
      <c r="AP1281" s="192"/>
      <c r="AQ1281" s="192"/>
    </row>
    <row r="1282" spans="1:59" s="115" customFormat="1" ht="15" customHeight="1">
      <c r="A1282" s="555"/>
      <c r="B1282" s="217"/>
      <c r="C1282" s="217">
        <v>35</v>
      </c>
      <c r="D1282" s="101"/>
      <c r="E1282" s="217"/>
      <c r="F1282" s="294" t="s">
        <v>159</v>
      </c>
      <c r="G1282" s="295" t="str">
        <f>VLOOKUP(F1282,'GL Category'!A:C,3,FALSE)</f>
        <v>Operations &amp; maintenance</v>
      </c>
      <c r="H1282" s="98" t="str">
        <f>VLOOKUP(F1282,'GL Category'!A:C,2,FALSE)</f>
        <v>SMALL TOOLS &amp; EQUIPMENT</v>
      </c>
      <c r="I1282" s="99">
        <f>SUMIFS(I$1:I1277,$C$1:$C1277,$C1282,$F$1:$F1277,$F1282)</f>
        <v>35491.770000000004</v>
      </c>
      <c r="J1282" s="99">
        <f>SUMIFS(J$1:J1277,$C$1:$C1277,$C1282,$F$1:$F1277,$F1282)</f>
        <v>30461.229999999996</v>
      </c>
      <c r="K1282" s="99">
        <f>SUMIFS(K$1:K1277,$C$1:$C1277,$C1282,$F$1:$F1277,$F1282)</f>
        <v>39176.54</v>
      </c>
      <c r="L1282" s="99">
        <f>SUMIFS(L$1:L1277,$C$1:$C1277,$C1282,$F$1:$F1277,$F1282)</f>
        <v>38988.47</v>
      </c>
      <c r="M1282" s="99">
        <f>SUMIFS(M$1:M1277,$C$1:$C1277,$C1282,$F$1:$F1277,$F1282)</f>
        <v>41946</v>
      </c>
      <c r="N1282" s="99">
        <f>SUMIFS(N$1:N1277,$C$1:$C1277,$C1282,$F$1:$F1277,$F1282)</f>
        <v>16915.669999999998</v>
      </c>
      <c r="O1282" s="99">
        <f>SUMIFS(O$1:O1277,$C$1:$C1277,$C1282,$F$1:$F1277,$F1282)</f>
        <v>48446</v>
      </c>
      <c r="P1282" s="99">
        <f t="shared" si="1663"/>
        <v>6500</v>
      </c>
      <c r="Q1282" s="99">
        <f>SUMIFS(Q$1:Q1277,$C$1:$C1277,$C1282,$F$1:$F1277,$F1282)</f>
        <v>45217</v>
      </c>
      <c r="R1282" s="99">
        <f>SUMIFS(R$1:R1277,$C$1:$C1277,$C1282,$F$1:$F1277,$F1282)</f>
        <v>0</v>
      </c>
      <c r="S1282" s="99">
        <f>SUMIFS(S$1:S1277,$C$1:$C1277,$C1282,$F$1:$F1277,$F1282)</f>
        <v>0</v>
      </c>
      <c r="T1282" s="99">
        <f>SUMIFS(T$1:T1277,$C$1:$C1277,$C1282,$F$1:$F1277,$F1282)</f>
        <v>45217</v>
      </c>
      <c r="U1282" s="99">
        <f t="shared" si="1664"/>
        <v>3271</v>
      </c>
      <c r="V1282" s="255">
        <f t="shared" si="1665"/>
        <v>7.7981213941734628E-2</v>
      </c>
      <c r="W1282" s="102"/>
      <c r="X1282" s="102"/>
      <c r="Y1282" s="102">
        <f t="shared" si="1666"/>
        <v>45217</v>
      </c>
      <c r="Z1282" s="309">
        <f>Y1282*(1+VLOOKUP($F1282,'GL Category'!$A:$H,4,FALSE))</f>
        <v>46121.340000000004</v>
      </c>
      <c r="AA1282" s="615"/>
      <c r="AB1282" s="622">
        <f t="shared" si="1667"/>
        <v>46121.340000000004</v>
      </c>
      <c r="AC1282" s="633">
        <f>AB1282*(1+VLOOKUP($F1282,'GL Category'!$A:$H,5,FALSE))</f>
        <v>47043.766800000005</v>
      </c>
      <c r="AD1282" s="307"/>
      <c r="AE1282" s="622">
        <f t="shared" si="1668"/>
        <v>47043.766800000005</v>
      </c>
      <c r="AF1282" s="633">
        <f>AE1282*(1+VLOOKUP($F1282,'GL Category'!$A:$H,6,FALSE))</f>
        <v>47984.642136000002</v>
      </c>
      <c r="AG1282" s="307"/>
      <c r="AH1282" s="622">
        <f t="shared" si="1669"/>
        <v>47984.642136000002</v>
      </c>
      <c r="AI1282" s="633">
        <f>AH1282*(1+VLOOKUP($F1282,'GL Category'!$A:$H,7,FALSE))</f>
        <v>48944.334978720006</v>
      </c>
      <c r="AJ1282" s="307"/>
      <c r="AK1282" s="622">
        <f t="shared" si="1670"/>
        <v>48944.334978720006</v>
      </c>
      <c r="AL1282" s="633">
        <f>AK1282*(1+VLOOKUP($F1282,'GL Category'!$A:$H,8,FALSE))</f>
        <v>49923.221678294409</v>
      </c>
      <c r="AM1282" s="307"/>
      <c r="AN1282" s="622">
        <f t="shared" si="1671"/>
        <v>49923.221678294409</v>
      </c>
      <c r="AO1282" s="192"/>
      <c r="AP1282" s="192"/>
      <c r="AQ1282" s="192"/>
    </row>
    <row r="1283" spans="1:59" s="115" customFormat="1" ht="15" customHeight="1">
      <c r="A1283" s="555"/>
      <c r="B1283" s="217"/>
      <c r="C1283" s="217">
        <v>35</v>
      </c>
      <c r="D1283" s="101"/>
      <c r="E1283" s="217"/>
      <c r="F1283" s="294" t="s">
        <v>160</v>
      </c>
      <c r="G1283" s="295" t="str">
        <f>VLOOKUP(F1283,'GL Category'!A:C,3,FALSE)</f>
        <v>Operations &amp; maintenance</v>
      </c>
      <c r="H1283" s="98" t="str">
        <f>VLOOKUP(F1283,'GL Category'!A:C,2,FALSE)</f>
        <v>FUEL/OILS/LUBRICANTS</v>
      </c>
      <c r="I1283" s="99">
        <f>SUMIFS(I$1:I1278,$C$1:$C1278,$C1283,$F$1:$F1278,$F1283)</f>
        <v>35610.68</v>
      </c>
      <c r="J1283" s="99">
        <f>SUMIFS(J$1:J1278,$C$1:$C1278,$C1283,$F$1:$F1278,$F1283)</f>
        <v>46298.68</v>
      </c>
      <c r="K1283" s="99">
        <f>SUMIFS(K$1:K1278,$C$1:$C1278,$C1283,$F$1:$F1278,$F1283)</f>
        <v>77805.47</v>
      </c>
      <c r="L1283" s="99">
        <f>SUMIFS(L$1:L1278,$C$1:$C1278,$C1283,$F$1:$F1278,$F1283)</f>
        <v>69806.260000000009</v>
      </c>
      <c r="M1283" s="99">
        <f>SUMIFS(M$1:M1278,$C$1:$C1278,$C1283,$F$1:$F1278,$F1283)</f>
        <v>75830</v>
      </c>
      <c r="N1283" s="99">
        <f>SUMIFS(N$1:N1278,$C$1:$C1278,$C1283,$F$1:$F1278,$F1283)</f>
        <v>52035.5</v>
      </c>
      <c r="O1283" s="99">
        <f>SUMIFS(O$1:O1278,$C$1:$C1278,$C1283,$F$1:$F1278,$F1283)</f>
        <v>73430</v>
      </c>
      <c r="P1283" s="99">
        <f t="shared" si="1663"/>
        <v>-2400</v>
      </c>
      <c r="Q1283" s="99">
        <f>SUMIFS(Q$1:Q1278,$C$1:$C1278,$C1283,$F$1:$F1278,$F1283)</f>
        <v>75830</v>
      </c>
      <c r="R1283" s="99">
        <f>SUMIFS(R$1:R1278,$C$1:$C1278,$C1283,$F$1:$F1278,$F1283)</f>
        <v>0</v>
      </c>
      <c r="S1283" s="99">
        <f>SUMIFS(S$1:S1278,$C$1:$C1278,$C1283,$F$1:$F1278,$F1283)</f>
        <v>0</v>
      </c>
      <c r="T1283" s="99">
        <f>SUMIFS(T$1:T1278,$C$1:$C1278,$C1283,$F$1:$F1278,$F1283)</f>
        <v>75830</v>
      </c>
      <c r="U1283" s="99">
        <f t="shared" si="1664"/>
        <v>0</v>
      </c>
      <c r="V1283" s="255">
        <f t="shared" si="1665"/>
        <v>0</v>
      </c>
      <c r="W1283" s="102"/>
      <c r="X1283" s="102"/>
      <c r="Y1283" s="102">
        <f t="shared" si="1666"/>
        <v>75830</v>
      </c>
      <c r="Z1283" s="309">
        <f>Y1283*(1+VLOOKUP($F1283,'GL Category'!$A:$H,4,FALSE))</f>
        <v>77346.600000000006</v>
      </c>
      <c r="AA1283" s="615"/>
      <c r="AB1283" s="622">
        <f t="shared" si="1667"/>
        <v>77346.600000000006</v>
      </c>
      <c r="AC1283" s="633">
        <f>AB1283*(1+VLOOKUP($F1283,'GL Category'!$A:$H,5,FALSE))</f>
        <v>78893.532000000007</v>
      </c>
      <c r="AD1283" s="307"/>
      <c r="AE1283" s="622">
        <f t="shared" si="1668"/>
        <v>78893.532000000007</v>
      </c>
      <c r="AF1283" s="633">
        <f>AE1283*(1+VLOOKUP($F1283,'GL Category'!$A:$H,6,FALSE))</f>
        <v>80471.402640000015</v>
      </c>
      <c r="AG1283" s="307"/>
      <c r="AH1283" s="622">
        <f t="shared" si="1669"/>
        <v>80471.402640000015</v>
      </c>
      <c r="AI1283" s="633">
        <f>AH1283*(1+VLOOKUP($F1283,'GL Category'!$A:$H,7,FALSE))</f>
        <v>82080.830692800009</v>
      </c>
      <c r="AJ1283" s="307"/>
      <c r="AK1283" s="622">
        <f t="shared" si="1670"/>
        <v>82080.830692800009</v>
      </c>
      <c r="AL1283" s="633">
        <f>AK1283*(1+VLOOKUP($F1283,'GL Category'!$A:$H,8,FALSE))</f>
        <v>83722.447306656017</v>
      </c>
      <c r="AM1283" s="307"/>
      <c r="AN1283" s="622">
        <f t="shared" si="1671"/>
        <v>83722.447306656017</v>
      </c>
      <c r="AO1283" s="192"/>
      <c r="AP1283" s="192"/>
      <c r="AQ1283" s="192"/>
    </row>
    <row r="1284" spans="1:59" ht="15" customHeight="1">
      <c r="A1284" s="555"/>
      <c r="B1284" s="217"/>
      <c r="C1284" s="217">
        <v>35</v>
      </c>
      <c r="D1284" s="101"/>
      <c r="E1284" s="217"/>
      <c r="F1284" s="294" t="s">
        <v>162</v>
      </c>
      <c r="G1284" s="295" t="str">
        <f>VLOOKUP(F1284,'GL Category'!A:C,3,FALSE)</f>
        <v>Operations &amp; maintenance</v>
      </c>
      <c r="H1284" s="98" t="str">
        <f>VLOOKUP(F1284,'GL Category'!A:C,2,FALSE)</f>
        <v>MEETING SPONSORSHIP/SUPPLIES</v>
      </c>
      <c r="I1284" s="99">
        <f>SUMIFS(I$1:I1279,$C$1:$C1279,$C1284,$F$1:$F1279,$F1284)</f>
        <v>0</v>
      </c>
      <c r="J1284" s="99">
        <f>SUMIFS(J$1:J1279,$C$1:$C1279,$C1284,$F$1:$F1279,$F1284)</f>
        <v>0</v>
      </c>
      <c r="K1284" s="99">
        <f>SUMIFS(K$1:K1279,$C$1:$C1279,$C1284,$F$1:$F1279,$F1284)</f>
        <v>0</v>
      </c>
      <c r="L1284" s="99">
        <f>SUMIFS(L$1:L1279,$C$1:$C1279,$C1284,$F$1:$F1279,$F1284)</f>
        <v>0</v>
      </c>
      <c r="M1284" s="99">
        <f>SUMIFS(M$1:M1279,$C$1:$C1279,$C1284,$F$1:$F1279,$F1284)</f>
        <v>0</v>
      </c>
      <c r="N1284" s="99">
        <f>SUMIFS(N$1:N1279,$C$1:$C1279,$C1284,$F$1:$F1279,$F1284)</f>
        <v>0</v>
      </c>
      <c r="O1284" s="99">
        <f>SUMIFS(O$1:O1279,$C$1:$C1279,$C1284,$F$1:$F1279,$F1284)</f>
        <v>0</v>
      </c>
      <c r="P1284" s="99">
        <f t="shared" si="1663"/>
        <v>0</v>
      </c>
      <c r="Q1284" s="99">
        <f>SUMIFS(Q$1:Q1279,$C$1:$C1279,$C1284,$F$1:$F1279,$F1284)</f>
        <v>0</v>
      </c>
      <c r="R1284" s="99">
        <f>SUMIFS(R$1:R1279,$C$1:$C1279,$C1284,$F$1:$F1279,$F1284)</f>
        <v>0</v>
      </c>
      <c r="S1284" s="99">
        <f>SUMIFS(S$1:S1279,$C$1:$C1279,$C1284,$F$1:$F1279,$F1284)</f>
        <v>0</v>
      </c>
      <c r="T1284" s="99">
        <f>SUMIFS(T$1:T1279,$C$1:$C1279,$C1284,$F$1:$F1279,$F1284)</f>
        <v>0</v>
      </c>
      <c r="U1284" s="99">
        <f t="shared" si="1664"/>
        <v>0</v>
      </c>
      <c r="V1284" s="255" t="str">
        <f t="shared" si="1665"/>
        <v>N/A</v>
      </c>
      <c r="W1284" s="102"/>
      <c r="X1284" s="102"/>
      <c r="Y1284" s="102">
        <f t="shared" si="1666"/>
        <v>0</v>
      </c>
      <c r="Z1284" s="309">
        <f>Y1284*(1+VLOOKUP($F1284,'GL Category'!$A:$H,4,FALSE))</f>
        <v>0</v>
      </c>
      <c r="AA1284" s="615"/>
      <c r="AB1284" s="622">
        <f t="shared" si="1667"/>
        <v>0</v>
      </c>
      <c r="AC1284" s="633">
        <f>AB1284*(1+VLOOKUP($F1284,'GL Category'!$A:$H,5,FALSE))</f>
        <v>0</v>
      </c>
      <c r="AE1284" s="622">
        <f t="shared" si="1668"/>
        <v>0</v>
      </c>
      <c r="AF1284" s="633">
        <f>AE1284*(1+VLOOKUP($F1284,'GL Category'!$A:$H,6,FALSE))</f>
        <v>0</v>
      </c>
      <c r="AH1284" s="622">
        <f t="shared" si="1669"/>
        <v>0</v>
      </c>
      <c r="AI1284" s="633">
        <f>AH1284*(1+VLOOKUP($F1284,'GL Category'!$A:$H,7,FALSE))</f>
        <v>0</v>
      </c>
      <c r="AK1284" s="622">
        <f t="shared" si="1670"/>
        <v>0</v>
      </c>
      <c r="AL1284" s="633">
        <f>AK1284*(1+VLOOKUP($F1284,'GL Category'!$A:$H,8,FALSE))</f>
        <v>0</v>
      </c>
      <c r="AN1284" s="622">
        <f t="shared" si="1671"/>
        <v>0</v>
      </c>
    </row>
    <row r="1285" spans="1:59" ht="15" customHeight="1">
      <c r="A1285" s="555"/>
      <c r="B1285" s="217"/>
      <c r="C1285" s="217">
        <v>35</v>
      </c>
      <c r="D1285" s="101"/>
      <c r="E1285" s="217"/>
      <c r="F1285" s="294" t="s">
        <v>233</v>
      </c>
      <c r="G1285" s="295" t="str">
        <f>VLOOKUP(F1285,'GL Category'!A:C,3,FALSE)</f>
        <v>Operations &amp; maintenance</v>
      </c>
      <c r="H1285" s="98" t="str">
        <f>VLOOKUP(F1285,'GL Category'!A:C,2,FALSE)</f>
        <v>STREET SIGN/SIGNAL SUPPLIES</v>
      </c>
      <c r="I1285" s="99">
        <f>SUMIFS(I$1:I1280,$C$1:$C1280,$C1285,$F$1:$F1280,$F1285)</f>
        <v>0</v>
      </c>
      <c r="J1285" s="99">
        <f>SUMIFS(J$1:J1280,$C$1:$C1280,$C1285,$F$1:$F1280,$F1285)</f>
        <v>0</v>
      </c>
      <c r="K1285" s="99">
        <f>SUMIFS(K$1:K1280,$C$1:$C1280,$C1285,$F$1:$F1280,$F1285)</f>
        <v>0</v>
      </c>
      <c r="L1285" s="99">
        <f>SUMIFS(L$1:L1280,$C$1:$C1280,$C1285,$F$1:$F1280,$F1285)</f>
        <v>0</v>
      </c>
      <c r="M1285" s="99">
        <f>SUMIFS(M$1:M1280,$C$1:$C1280,$C1285,$F$1:$F1280,$F1285)</f>
        <v>0</v>
      </c>
      <c r="N1285" s="99">
        <f>SUMIFS(N$1:N1280,$C$1:$C1280,$C1285,$F$1:$F1280,$F1285)</f>
        <v>0</v>
      </c>
      <c r="O1285" s="99">
        <f>SUMIFS(O$1:O1280,$C$1:$C1280,$C1285,$F$1:$F1280,$F1285)</f>
        <v>0</v>
      </c>
      <c r="P1285" s="99">
        <f t="shared" si="1663"/>
        <v>0</v>
      </c>
      <c r="Q1285" s="99">
        <f>SUMIFS(Q$1:Q1280,$C$1:$C1280,$C1285,$F$1:$F1280,$F1285)</f>
        <v>0</v>
      </c>
      <c r="R1285" s="99">
        <f>SUMIFS(R$1:R1280,$C$1:$C1280,$C1285,$F$1:$F1280,$F1285)</f>
        <v>0</v>
      </c>
      <c r="S1285" s="99">
        <f>SUMIFS(S$1:S1280,$C$1:$C1280,$C1285,$F$1:$F1280,$F1285)</f>
        <v>0</v>
      </c>
      <c r="T1285" s="99">
        <f>SUMIFS(T$1:T1280,$C$1:$C1280,$C1285,$F$1:$F1280,$F1285)</f>
        <v>0</v>
      </c>
      <c r="U1285" s="99">
        <f t="shared" si="1664"/>
        <v>0</v>
      </c>
      <c r="V1285" s="255" t="str">
        <f t="shared" si="1665"/>
        <v>N/A</v>
      </c>
      <c r="W1285" s="102"/>
      <c r="X1285" s="102"/>
      <c r="Y1285" s="102">
        <f t="shared" si="1666"/>
        <v>0</v>
      </c>
      <c r="Z1285" s="309">
        <f>Y1285*(1+VLOOKUP($F1285,'GL Category'!$A:$H,4,FALSE))</f>
        <v>0</v>
      </c>
      <c r="AA1285" s="615"/>
      <c r="AB1285" s="622">
        <f t="shared" si="1667"/>
        <v>0</v>
      </c>
      <c r="AC1285" s="633">
        <f>AB1285*(1+VLOOKUP($F1285,'GL Category'!$A:$H,5,FALSE))</f>
        <v>0</v>
      </c>
      <c r="AE1285" s="622">
        <f t="shared" si="1668"/>
        <v>0</v>
      </c>
      <c r="AF1285" s="633">
        <f>AE1285*(1+VLOOKUP($F1285,'GL Category'!$A:$H,6,FALSE))</f>
        <v>0</v>
      </c>
      <c r="AH1285" s="622">
        <f t="shared" si="1669"/>
        <v>0</v>
      </c>
      <c r="AI1285" s="633">
        <f>AH1285*(1+VLOOKUP($F1285,'GL Category'!$A:$H,7,FALSE))</f>
        <v>0</v>
      </c>
      <c r="AK1285" s="622">
        <f t="shared" si="1670"/>
        <v>0</v>
      </c>
      <c r="AL1285" s="633">
        <f>AK1285*(1+VLOOKUP($F1285,'GL Category'!$A:$H,8,FALSE))</f>
        <v>0</v>
      </c>
      <c r="AN1285" s="622">
        <f t="shared" si="1671"/>
        <v>0</v>
      </c>
    </row>
    <row r="1286" spans="1:59" ht="15" customHeight="1">
      <c r="A1286" s="555"/>
      <c r="B1286" s="217"/>
      <c r="C1286" s="217">
        <v>35</v>
      </c>
      <c r="D1286" s="101"/>
      <c r="E1286" s="217"/>
      <c r="F1286" s="294" t="s">
        <v>275</v>
      </c>
      <c r="G1286" s="295" t="str">
        <f>VLOOKUP(F1286,'GL Category'!A:C,3,FALSE)</f>
        <v>Operations &amp; maintenance</v>
      </c>
      <c r="H1286" s="98" t="str">
        <f>VLOOKUP(F1286,'GL Category'!A:C,2,FALSE)</f>
        <v>CHEMICAL SUPPLIES</v>
      </c>
      <c r="I1286" s="99">
        <f>SUMIFS(I$1:I1281,$C$1:$C1281,$C1286,$F$1:$F1281,$F1286)</f>
        <v>5680.08</v>
      </c>
      <c r="J1286" s="99">
        <f>SUMIFS(J$1:J1281,$C$1:$C1281,$C1286,$F$1:$F1281,$F1286)</f>
        <v>4474.8999999999996</v>
      </c>
      <c r="K1286" s="99">
        <f>SUMIFS(K$1:K1281,$C$1:$C1281,$C1286,$F$1:$F1281,$F1286)</f>
        <v>5435.8</v>
      </c>
      <c r="L1286" s="99">
        <f>SUMIFS(L$1:L1281,$C$1:$C1281,$C1286,$F$1:$F1281,$F1286)</f>
        <v>7142.87</v>
      </c>
      <c r="M1286" s="99">
        <f>SUMIFS(M$1:M1281,$C$1:$C1281,$C1286,$F$1:$F1281,$F1286)</f>
        <v>6000</v>
      </c>
      <c r="N1286" s="99">
        <f>SUMIFS(N$1:N1281,$C$1:$C1281,$C1286,$F$1:$F1281,$F1286)</f>
        <v>567.36</v>
      </c>
      <c r="O1286" s="99">
        <f>SUMIFS(O$1:O1281,$C$1:$C1281,$C1286,$F$1:$F1281,$F1286)</f>
        <v>6000</v>
      </c>
      <c r="P1286" s="99">
        <f t="shared" si="1663"/>
        <v>0</v>
      </c>
      <c r="Q1286" s="99">
        <f>SUMIFS(Q$1:Q1281,$C$1:$C1281,$C1286,$F$1:$F1281,$F1286)</f>
        <v>6000</v>
      </c>
      <c r="R1286" s="99">
        <f>SUMIFS(R$1:R1281,$C$1:$C1281,$C1286,$F$1:$F1281,$F1286)</f>
        <v>0</v>
      </c>
      <c r="S1286" s="99">
        <f>SUMIFS(S$1:S1281,$C$1:$C1281,$C1286,$F$1:$F1281,$F1286)</f>
        <v>0</v>
      </c>
      <c r="T1286" s="99">
        <f>SUMIFS(T$1:T1281,$C$1:$C1281,$C1286,$F$1:$F1281,$F1286)</f>
        <v>6000</v>
      </c>
      <c r="U1286" s="99">
        <f t="shared" si="1664"/>
        <v>0</v>
      </c>
      <c r="V1286" s="255">
        <f t="shared" si="1665"/>
        <v>0</v>
      </c>
      <c r="W1286" s="102"/>
      <c r="X1286" s="102"/>
      <c r="Y1286" s="102">
        <f t="shared" si="1666"/>
        <v>6000</v>
      </c>
      <c r="Z1286" s="309">
        <f>Y1286*(1+VLOOKUP($F1286,'GL Category'!$A:$H,4,FALSE))</f>
        <v>6120</v>
      </c>
      <c r="AA1286" s="615"/>
      <c r="AB1286" s="622">
        <f t="shared" si="1667"/>
        <v>6120</v>
      </c>
      <c r="AC1286" s="633">
        <f>AB1286*(1+VLOOKUP($F1286,'GL Category'!$A:$H,5,FALSE))</f>
        <v>6242.4000000000005</v>
      </c>
      <c r="AE1286" s="622">
        <f t="shared" si="1668"/>
        <v>6242.4000000000005</v>
      </c>
      <c r="AF1286" s="633">
        <f>AE1286*(1+VLOOKUP($F1286,'GL Category'!$A:$H,6,FALSE))</f>
        <v>6367.2480000000005</v>
      </c>
      <c r="AH1286" s="622">
        <f t="shared" si="1669"/>
        <v>6367.2480000000005</v>
      </c>
      <c r="AI1286" s="633">
        <f>AH1286*(1+VLOOKUP($F1286,'GL Category'!$A:$H,7,FALSE))</f>
        <v>6494.5929600000009</v>
      </c>
      <c r="AK1286" s="622">
        <f t="shared" si="1670"/>
        <v>6494.5929600000009</v>
      </c>
      <c r="AL1286" s="633">
        <f>AK1286*(1+VLOOKUP($F1286,'GL Category'!$A:$H,8,FALSE))</f>
        <v>6624.4848192000009</v>
      </c>
      <c r="AN1286" s="622">
        <f t="shared" si="1671"/>
        <v>6624.4848192000009</v>
      </c>
    </row>
    <row r="1287" spans="1:59" ht="15" customHeight="1">
      <c r="A1287" s="555"/>
      <c r="B1287" s="217"/>
      <c r="C1287" s="217">
        <v>35</v>
      </c>
      <c r="D1287" s="101"/>
      <c r="E1287" s="217"/>
      <c r="F1287" s="294" t="s">
        <v>166</v>
      </c>
      <c r="G1287" s="295" t="str">
        <f>VLOOKUP(F1287,'GL Category'!A:C,3,FALSE)</f>
        <v>Operations &amp; maintenance</v>
      </c>
      <c r="H1287" s="98" t="str">
        <f>VLOOKUP(F1287,'GL Category'!A:C,2,FALSE)</f>
        <v>WEARING APPAREL</v>
      </c>
      <c r="I1287" s="99">
        <f>SUMIFS(I$1:I1281,$C$1:$C1281,$C1287,$F$1:$F1281,$F1287)</f>
        <v>32400.34</v>
      </c>
      <c r="J1287" s="99">
        <f>SUMIFS(J$1:J1281,$C$1:$C1281,$C1287,$F$1:$F1281,$F1287)</f>
        <v>12152.87</v>
      </c>
      <c r="K1287" s="99">
        <f>SUMIFS(K$1:K1281,$C$1:$C1281,$C1287,$F$1:$F1281,$F1287)</f>
        <v>22256.6</v>
      </c>
      <c r="L1287" s="99">
        <f>SUMIFS(L$1:L1281,$C$1:$C1281,$C1287,$F$1:$F1281,$F1287)</f>
        <v>38381.629999999997</v>
      </c>
      <c r="M1287" s="99">
        <f>SUMIFS(M$1:M1281,$C$1:$C1281,$C1287,$F$1:$F1281,$F1287)</f>
        <v>31310</v>
      </c>
      <c r="N1287" s="99">
        <f>SUMIFS(N$1:N1281,$C$1:$C1281,$C1287,$F$1:$F1281,$F1287)</f>
        <v>15093.95</v>
      </c>
      <c r="O1287" s="99">
        <f>SUMIFS(O$1:O1281,$C$1:$C1281,$C1287,$F$1:$F1281,$F1287)</f>
        <v>31310</v>
      </c>
      <c r="P1287" s="99">
        <f t="shared" si="1663"/>
        <v>0</v>
      </c>
      <c r="Q1287" s="99">
        <f>SUMIFS(Q$1:Q1281,$C$1:$C1281,$C1287,$F$1:$F1281,$F1287)</f>
        <v>31310</v>
      </c>
      <c r="R1287" s="99">
        <f>SUMIFS(R$1:R1281,$C$1:$C1281,$C1287,$F$1:$F1281,$F1287)</f>
        <v>0</v>
      </c>
      <c r="S1287" s="99">
        <f>SUMIFS(S$1:S1281,$C$1:$C1281,$C1287,$F$1:$F1281,$F1287)</f>
        <v>0</v>
      </c>
      <c r="T1287" s="99">
        <f>SUMIFS(T$1:T1281,$C$1:$C1281,$C1287,$F$1:$F1281,$F1287)</f>
        <v>31310</v>
      </c>
      <c r="U1287" s="99">
        <f t="shared" si="1664"/>
        <v>0</v>
      </c>
      <c r="V1287" s="255">
        <f t="shared" si="1665"/>
        <v>0</v>
      </c>
      <c r="W1287" s="102"/>
      <c r="X1287" s="102"/>
      <c r="Y1287" s="102">
        <f t="shared" si="1666"/>
        <v>31310</v>
      </c>
      <c r="Z1287" s="309">
        <f>Y1287*(1+VLOOKUP($F1287,'GL Category'!$A:$H,4,FALSE))</f>
        <v>31936.2</v>
      </c>
      <c r="AA1287" s="615"/>
      <c r="AB1287" s="622">
        <f t="shared" si="1667"/>
        <v>31936.2</v>
      </c>
      <c r="AC1287" s="633">
        <f>AB1287*(1+VLOOKUP($F1287,'GL Category'!$A:$H,5,FALSE))</f>
        <v>32574.924000000003</v>
      </c>
      <c r="AE1287" s="622">
        <f t="shared" si="1668"/>
        <v>32574.924000000003</v>
      </c>
      <c r="AF1287" s="633">
        <f>AE1287*(1+VLOOKUP($F1287,'GL Category'!$A:$H,6,FALSE))</f>
        <v>33226.422480000001</v>
      </c>
      <c r="AH1287" s="622">
        <f t="shared" si="1669"/>
        <v>33226.422480000001</v>
      </c>
      <c r="AI1287" s="633">
        <f>AH1287*(1+VLOOKUP($F1287,'GL Category'!$A:$H,7,FALSE))</f>
        <v>33890.950929600003</v>
      </c>
      <c r="AK1287" s="622">
        <f t="shared" si="1670"/>
        <v>33890.950929600003</v>
      </c>
      <c r="AL1287" s="633">
        <f>AK1287*(1+VLOOKUP($F1287,'GL Category'!$A:$H,8,FALSE))</f>
        <v>34568.769948192006</v>
      </c>
      <c r="AN1287" s="622">
        <f t="shared" si="1671"/>
        <v>34568.769948192006</v>
      </c>
    </row>
    <row r="1288" spans="1:59" s="75" customFormat="1" ht="15" customHeight="1">
      <c r="A1288" s="555"/>
      <c r="B1288" s="217"/>
      <c r="C1288" s="217">
        <v>35</v>
      </c>
      <c r="D1288" s="101"/>
      <c r="E1288" s="217"/>
      <c r="F1288" s="294" t="s">
        <v>285</v>
      </c>
      <c r="G1288" s="295" t="str">
        <f>VLOOKUP(F1288,'GL Category'!A:C,3,FALSE)</f>
        <v>Operations &amp; maintenance</v>
      </c>
      <c r="H1288" s="98" t="str">
        <f>VLOOKUP(F1288,'GL Category'!A:C,2,FALSE)</f>
        <v>FIRE PROTECTIVE CLOTHING</v>
      </c>
      <c r="I1288" s="99">
        <f>SUMIFS(I$1:I1282,$C$1:$C1282,$C1288,$F$1:$F1282,$F1288)</f>
        <v>65772.210000000006</v>
      </c>
      <c r="J1288" s="99">
        <f>SUMIFS(J$1:J1282,$C$1:$C1282,$C1288,$F$1:$F1282,$F1288)</f>
        <v>-11499.29</v>
      </c>
      <c r="K1288" s="99">
        <f>SUMIFS(K$1:K1282,$C$1:$C1282,$C1288,$F$1:$F1282,$F1288)</f>
        <v>70833.460000000006</v>
      </c>
      <c r="L1288" s="99">
        <f>SUMIFS(L$1:L1282,$C$1:$C1282,$C1288,$F$1:$F1282,$F1288)</f>
        <v>67500.89</v>
      </c>
      <c r="M1288" s="99">
        <f>SUMIFS(M$1:M1282,$C$1:$C1282,$C1288,$F$1:$F1282,$F1288)</f>
        <v>112197</v>
      </c>
      <c r="N1288" s="99">
        <f>SUMIFS(N$1:N1282,$C$1:$C1282,$C1288,$F$1:$F1282,$F1288)</f>
        <v>91942.69</v>
      </c>
      <c r="O1288" s="99">
        <f>SUMIFS(O$1:O1282,$C$1:$C1282,$C1288,$F$1:$F1282,$F1288)</f>
        <v>112197</v>
      </c>
      <c r="P1288" s="99">
        <f t="shared" si="1663"/>
        <v>0</v>
      </c>
      <c r="Q1288" s="99">
        <f>SUMIFS(Q$1:Q1282,$C$1:$C1282,$C1288,$F$1:$F1282,$F1288)</f>
        <v>78485</v>
      </c>
      <c r="R1288" s="99">
        <f>SUMIFS(R$1:R1282,$C$1:$C1282,$C1288,$F$1:$F1282,$F1288)</f>
        <v>0</v>
      </c>
      <c r="S1288" s="99">
        <f>SUMIFS(S$1:S1282,$C$1:$C1282,$C1288,$F$1:$F1282,$F1288)</f>
        <v>0</v>
      </c>
      <c r="T1288" s="99">
        <f>SUMIFS(T$1:T1282,$C$1:$C1282,$C1288,$F$1:$F1282,$F1288)</f>
        <v>78485</v>
      </c>
      <c r="U1288" s="99">
        <f t="shared" si="1664"/>
        <v>-33712</v>
      </c>
      <c r="V1288" s="255">
        <f t="shared" si="1665"/>
        <v>-0.30047149210763213</v>
      </c>
      <c r="W1288" s="102"/>
      <c r="X1288" s="102"/>
      <c r="Y1288" s="102">
        <f t="shared" si="1666"/>
        <v>78485</v>
      </c>
      <c r="Z1288" s="309">
        <f>Y1288*(1+VLOOKUP($F1288,'GL Category'!$A:$H,4,FALSE))</f>
        <v>80054.7</v>
      </c>
      <c r="AA1288" s="615"/>
      <c r="AB1288" s="622">
        <f t="shared" si="1667"/>
        <v>80054.7</v>
      </c>
      <c r="AC1288" s="633">
        <f>AB1288*(1+VLOOKUP($F1288,'GL Category'!$A:$H,5,FALSE))</f>
        <v>81655.793999999994</v>
      </c>
      <c r="AD1288" s="307"/>
      <c r="AE1288" s="622">
        <f t="shared" si="1668"/>
        <v>81655.793999999994</v>
      </c>
      <c r="AF1288" s="633">
        <f>AE1288*(1+VLOOKUP($F1288,'GL Category'!$A:$H,6,FALSE))</f>
        <v>83288.909879999992</v>
      </c>
      <c r="AG1288" s="307"/>
      <c r="AH1288" s="622">
        <f t="shared" si="1669"/>
        <v>83288.909879999992</v>
      </c>
      <c r="AI1288" s="633">
        <f>AH1288*(1+VLOOKUP($F1288,'GL Category'!$A:$H,7,FALSE))</f>
        <v>84954.688077599989</v>
      </c>
      <c r="AJ1288" s="307"/>
      <c r="AK1288" s="622">
        <f t="shared" si="1670"/>
        <v>84954.688077599989</v>
      </c>
      <c r="AL1288" s="633">
        <f>AK1288*(1+VLOOKUP($F1288,'GL Category'!$A:$H,8,FALSE))</f>
        <v>86653.781839151983</v>
      </c>
      <c r="AM1288" s="307"/>
      <c r="AN1288" s="622">
        <f t="shared" si="1671"/>
        <v>86653.781839151983</v>
      </c>
      <c r="AO1288" s="307"/>
      <c r="AP1288" s="307"/>
      <c r="AQ1288" s="192"/>
      <c r="AR1288" s="115"/>
      <c r="AS1288" s="115"/>
      <c r="AT1288" s="115"/>
      <c r="AU1288" s="115"/>
      <c r="AV1288" s="115"/>
      <c r="AW1288" s="115"/>
      <c r="AX1288" s="115"/>
      <c r="AY1288" s="115"/>
      <c r="AZ1288" s="115"/>
      <c r="BA1288" s="115"/>
      <c r="BB1288" s="115"/>
      <c r="BC1288" s="115"/>
      <c r="BD1288" s="115"/>
      <c r="BE1288" s="74"/>
      <c r="BF1288" s="74"/>
      <c r="BG1288" s="74"/>
    </row>
    <row r="1289" spans="1:59" s="115" customFormat="1" ht="15" customHeight="1">
      <c r="A1289" s="555"/>
      <c r="B1289" s="217"/>
      <c r="C1289" s="217">
        <v>35</v>
      </c>
      <c r="D1289" s="101"/>
      <c r="E1289" s="217"/>
      <c r="F1289" s="294" t="s">
        <v>253</v>
      </c>
      <c r="G1289" s="295" t="str">
        <f>VLOOKUP(F1289,'GL Category'!A:C,3,FALSE)</f>
        <v>Operations &amp; maintenance</v>
      </c>
      <c r="H1289" s="98" t="str">
        <f>VLOOKUP(F1289,'GL Category'!A:C,2,FALSE)</f>
        <v>TRAINING SUPPLIES</v>
      </c>
      <c r="I1289" s="99">
        <f>SUMIFS(I$1:I1283,$C$1:$C1283,$C1289,$F$1:$F1283,$F1289)</f>
        <v>2899.7799999999997</v>
      </c>
      <c r="J1289" s="99">
        <f>SUMIFS(J$1:J1283,$C$1:$C1283,$C1289,$F$1:$F1283,$F1289)</f>
        <v>2768.99</v>
      </c>
      <c r="K1289" s="99">
        <f>SUMIFS(K$1:K1283,$C$1:$C1283,$C1289,$F$1:$F1283,$F1289)</f>
        <v>2991.97</v>
      </c>
      <c r="L1289" s="99">
        <f>SUMIFS(L$1:L1283,$C$1:$C1283,$C1289,$F$1:$F1283,$F1289)</f>
        <v>7361.49</v>
      </c>
      <c r="M1289" s="99">
        <f>SUMIFS(M$1:M1283,$C$1:$C1283,$C1289,$F$1:$F1283,$F1289)</f>
        <v>4350</v>
      </c>
      <c r="N1289" s="99">
        <f>SUMIFS(N$1:N1283,$C$1:$C1283,$C1289,$F$1:$F1283,$F1289)</f>
        <v>714.32</v>
      </c>
      <c r="O1289" s="99">
        <f>SUMIFS(O$1:O1283,$C$1:$C1283,$C1289,$F$1:$F1283,$F1289)</f>
        <v>4350</v>
      </c>
      <c r="P1289" s="99">
        <f t="shared" si="1663"/>
        <v>0</v>
      </c>
      <c r="Q1289" s="99">
        <f>SUMIFS(Q$1:Q1283,$C$1:$C1283,$C1289,$F$1:$F1283,$F1289)</f>
        <v>4350</v>
      </c>
      <c r="R1289" s="99">
        <f>SUMIFS(R$1:R1283,$C$1:$C1283,$C1289,$F$1:$F1283,$F1289)</f>
        <v>0</v>
      </c>
      <c r="S1289" s="99">
        <f>SUMIFS(S$1:S1283,$C$1:$C1283,$C1289,$F$1:$F1283,$F1289)</f>
        <v>0</v>
      </c>
      <c r="T1289" s="99">
        <f>SUMIFS(T$1:T1283,$C$1:$C1283,$C1289,$F$1:$F1283,$F1289)</f>
        <v>4350</v>
      </c>
      <c r="U1289" s="99">
        <f t="shared" si="1664"/>
        <v>0</v>
      </c>
      <c r="V1289" s="255">
        <f t="shared" si="1665"/>
        <v>0</v>
      </c>
      <c r="W1289" s="102"/>
      <c r="X1289" s="102"/>
      <c r="Y1289" s="102">
        <f t="shared" si="1666"/>
        <v>4350</v>
      </c>
      <c r="Z1289" s="309">
        <f>Y1289*(1+VLOOKUP($F1289,'GL Category'!$A:$H,4,FALSE))</f>
        <v>4437</v>
      </c>
      <c r="AA1289" s="615"/>
      <c r="AB1289" s="622">
        <f t="shared" si="1667"/>
        <v>4437</v>
      </c>
      <c r="AC1289" s="633">
        <f>AB1289*(1+VLOOKUP($F1289,'GL Category'!$A:$H,5,FALSE))</f>
        <v>4525.74</v>
      </c>
      <c r="AD1289" s="307"/>
      <c r="AE1289" s="622">
        <f t="shared" si="1668"/>
        <v>4525.74</v>
      </c>
      <c r="AF1289" s="633">
        <f>AE1289*(1+VLOOKUP($F1289,'GL Category'!$A:$H,6,FALSE))</f>
        <v>4616.2547999999997</v>
      </c>
      <c r="AG1289" s="307"/>
      <c r="AH1289" s="622">
        <f t="shared" si="1669"/>
        <v>4616.2547999999997</v>
      </c>
      <c r="AI1289" s="633">
        <f>AH1289*(1+VLOOKUP($F1289,'GL Category'!$A:$H,7,FALSE))</f>
        <v>4708.5798960000002</v>
      </c>
      <c r="AJ1289" s="307"/>
      <c r="AK1289" s="622">
        <f t="shared" si="1670"/>
        <v>4708.5798960000002</v>
      </c>
      <c r="AL1289" s="633">
        <f>AK1289*(1+VLOOKUP($F1289,'GL Category'!$A:$H,8,FALSE))</f>
        <v>4802.75149392</v>
      </c>
      <c r="AM1289" s="307"/>
      <c r="AN1289" s="622">
        <f t="shared" si="1671"/>
        <v>4802.75149392</v>
      </c>
      <c r="AO1289" s="192"/>
      <c r="AP1289" s="192"/>
      <c r="AQ1289" s="192"/>
    </row>
    <row r="1290" spans="1:59" s="115" customFormat="1" ht="15" customHeight="1">
      <c r="A1290" s="555"/>
      <c r="B1290" s="217"/>
      <c r="C1290" s="217">
        <v>35</v>
      </c>
      <c r="D1290" s="101"/>
      <c r="E1290" s="217"/>
      <c r="F1290" s="294" t="s">
        <v>168</v>
      </c>
      <c r="G1290" s="295" t="str">
        <f>VLOOKUP(F1290,'GL Category'!A:C,3,FALSE)</f>
        <v>Operations &amp; maintenance</v>
      </c>
      <c r="H1290" s="98" t="str">
        <f>VLOOKUP(F1290,'GL Category'!A:C,2,FALSE)</f>
        <v>MISCELLANEOUS SUPPLIES</v>
      </c>
      <c r="I1290" s="99">
        <f>SUMIFS(I$1:I1284,$C$1:$C1284,$C1290,$F$1:$F1284,$F1290)</f>
        <v>4410.9400000000005</v>
      </c>
      <c r="J1290" s="99">
        <f>SUMIFS(J$1:J1284,$C$1:$C1284,$C1290,$F$1:$F1284,$F1290)</f>
        <v>2941.4500000000003</v>
      </c>
      <c r="K1290" s="99">
        <f>SUMIFS(K$1:K1284,$C$1:$C1284,$C1290,$F$1:$F1284,$F1290)</f>
        <v>5535.46</v>
      </c>
      <c r="L1290" s="99">
        <f>SUMIFS(L$1:L1284,$C$1:$C1284,$C1290,$F$1:$F1284,$F1290)</f>
        <v>5840.51</v>
      </c>
      <c r="M1290" s="99">
        <f>SUMIFS(M$1:M1284,$C$1:$C1284,$C1290,$F$1:$F1284,$F1290)</f>
        <v>5250</v>
      </c>
      <c r="N1290" s="99">
        <f>SUMIFS(N$1:N1284,$C$1:$C1284,$C1290,$F$1:$F1284,$F1290)</f>
        <v>5573.01</v>
      </c>
      <c r="O1290" s="99">
        <f>SUMIFS(O$1:O1284,$C$1:$C1284,$C1290,$F$1:$F1284,$F1290)</f>
        <v>5250</v>
      </c>
      <c r="P1290" s="99">
        <f t="shared" si="1663"/>
        <v>0</v>
      </c>
      <c r="Q1290" s="99">
        <f>SUMIFS(Q$1:Q1284,$C$1:$C1284,$C1290,$F$1:$F1284,$F1290)</f>
        <v>5250</v>
      </c>
      <c r="R1290" s="99">
        <f>SUMIFS(R$1:R1284,$C$1:$C1284,$C1290,$F$1:$F1284,$F1290)</f>
        <v>0</v>
      </c>
      <c r="S1290" s="99">
        <f>SUMIFS(S$1:S1284,$C$1:$C1284,$C1290,$F$1:$F1284,$F1290)</f>
        <v>0</v>
      </c>
      <c r="T1290" s="99">
        <f>SUMIFS(T$1:T1284,$C$1:$C1284,$C1290,$F$1:$F1284,$F1290)</f>
        <v>5250</v>
      </c>
      <c r="U1290" s="99">
        <f t="shared" si="1664"/>
        <v>0</v>
      </c>
      <c r="V1290" s="255">
        <f t="shared" si="1665"/>
        <v>0</v>
      </c>
      <c r="W1290" s="102"/>
      <c r="X1290" s="102"/>
      <c r="Y1290" s="102">
        <f t="shared" si="1666"/>
        <v>5250</v>
      </c>
      <c r="Z1290" s="309">
        <f>Y1290*(1+VLOOKUP($F1290,'GL Category'!$A:$H,4,FALSE))</f>
        <v>5355</v>
      </c>
      <c r="AA1290" s="615"/>
      <c r="AB1290" s="622">
        <f t="shared" si="1667"/>
        <v>5355</v>
      </c>
      <c r="AC1290" s="633">
        <f>AB1290*(1+VLOOKUP($F1290,'GL Category'!$A:$H,5,FALSE))</f>
        <v>5462.1</v>
      </c>
      <c r="AD1290" s="307"/>
      <c r="AE1290" s="622">
        <f t="shared" si="1668"/>
        <v>5462.1</v>
      </c>
      <c r="AF1290" s="633">
        <f>AE1290*(1+VLOOKUP($F1290,'GL Category'!$A:$H,6,FALSE))</f>
        <v>5571.3420000000006</v>
      </c>
      <c r="AG1290" s="307"/>
      <c r="AH1290" s="622">
        <f t="shared" si="1669"/>
        <v>5571.3420000000006</v>
      </c>
      <c r="AI1290" s="633">
        <f>AH1290*(1+VLOOKUP($F1290,'GL Category'!$A:$H,7,FALSE))</f>
        <v>5682.7688400000006</v>
      </c>
      <c r="AJ1290" s="307"/>
      <c r="AK1290" s="622">
        <f t="shared" si="1670"/>
        <v>5682.7688400000006</v>
      </c>
      <c r="AL1290" s="633">
        <f>AK1290*(1+VLOOKUP($F1290,'GL Category'!$A:$H,8,FALSE))</f>
        <v>5796.424216800001</v>
      </c>
      <c r="AM1290" s="307"/>
      <c r="AN1290" s="622">
        <f t="shared" si="1671"/>
        <v>5796.424216800001</v>
      </c>
      <c r="AO1290" s="192"/>
      <c r="AP1290" s="192"/>
      <c r="AQ1290" s="192"/>
    </row>
    <row r="1291" spans="1:59" s="115" customFormat="1" ht="15" customHeight="1">
      <c r="A1291" s="555"/>
      <c r="B1291" s="217"/>
      <c r="C1291" s="217">
        <v>35</v>
      </c>
      <c r="D1291" s="101"/>
      <c r="E1291" s="217"/>
      <c r="F1291" s="294" t="s">
        <v>170</v>
      </c>
      <c r="G1291" s="295" t="str">
        <f>VLOOKUP(F1291,'GL Category'!A:C,3,FALSE)</f>
        <v>Operations &amp; maintenance</v>
      </c>
      <c r="H1291" s="98" t="str">
        <f>VLOOKUP(F1291,'GL Category'!A:C,2,FALSE)</f>
        <v>BUILDING MAINTENANCE</v>
      </c>
      <c r="I1291" s="99">
        <f>SUMIFS(I$1:I1285,$C$1:$C1285,$C1291,$F$1:$F1285,$F1291)</f>
        <v>28618.880000000001</v>
      </c>
      <c r="J1291" s="99">
        <f>SUMIFS(J$1:J1285,$C$1:$C1285,$C1291,$F$1:$F1285,$F1291)</f>
        <v>223195.9</v>
      </c>
      <c r="K1291" s="99">
        <f>SUMIFS(K$1:K1285,$C$1:$C1285,$C1291,$F$1:$F1285,$F1291)</f>
        <v>38908.870000000003</v>
      </c>
      <c r="L1291" s="99">
        <f>SUMIFS(L$1:L1285,$C$1:$C1285,$C1291,$F$1:$F1285,$F1291)</f>
        <v>145365.47</v>
      </c>
      <c r="M1291" s="99">
        <f>SUMIFS(M$1:M1285,$C$1:$C1285,$C1291,$F$1:$F1285,$F1291)</f>
        <v>37500</v>
      </c>
      <c r="N1291" s="99">
        <f>SUMIFS(N$1:N1285,$C$1:$C1285,$C1291,$F$1:$F1285,$F1291)</f>
        <v>51400.89</v>
      </c>
      <c r="O1291" s="99">
        <f>SUMIFS(O$1:O1285,$C$1:$C1285,$C1291,$F$1:$F1285,$F1291)</f>
        <v>55000</v>
      </c>
      <c r="P1291" s="99">
        <f t="shared" si="1663"/>
        <v>17500</v>
      </c>
      <c r="Q1291" s="99">
        <f>SUMIFS(Q$1:Q1285,$C$1:$C1285,$C1291,$F$1:$F1285,$F1291)</f>
        <v>37500</v>
      </c>
      <c r="R1291" s="99">
        <f>SUMIFS(R$1:R1285,$C$1:$C1285,$C1291,$F$1:$F1285,$F1291)</f>
        <v>0</v>
      </c>
      <c r="S1291" s="99">
        <f>SUMIFS(S$1:S1285,$C$1:$C1285,$C1291,$F$1:$F1285,$F1291)</f>
        <v>0</v>
      </c>
      <c r="T1291" s="99">
        <f>SUMIFS(T$1:T1285,$C$1:$C1285,$C1291,$F$1:$F1285,$F1291)</f>
        <v>37500</v>
      </c>
      <c r="U1291" s="99">
        <f t="shared" si="1664"/>
        <v>0</v>
      </c>
      <c r="V1291" s="255">
        <f t="shared" si="1665"/>
        <v>0</v>
      </c>
      <c r="W1291" s="102"/>
      <c r="X1291" s="102"/>
      <c r="Y1291" s="102">
        <f t="shared" si="1666"/>
        <v>37500</v>
      </c>
      <c r="Z1291" s="309">
        <f>Y1291*(1+VLOOKUP($F1291,'GL Category'!$A:$H,4,FALSE))</f>
        <v>38250</v>
      </c>
      <c r="AA1291" s="615"/>
      <c r="AB1291" s="622">
        <f t="shared" si="1667"/>
        <v>38250</v>
      </c>
      <c r="AC1291" s="633">
        <f>AB1291*(1+VLOOKUP($F1291,'GL Category'!$A:$H,5,FALSE))</f>
        <v>39015</v>
      </c>
      <c r="AD1291" s="307"/>
      <c r="AE1291" s="622">
        <f t="shared" si="1668"/>
        <v>39015</v>
      </c>
      <c r="AF1291" s="633">
        <f>AE1291*(1+VLOOKUP($F1291,'GL Category'!$A:$H,6,FALSE))</f>
        <v>39795.300000000003</v>
      </c>
      <c r="AG1291" s="307"/>
      <c r="AH1291" s="622">
        <f t="shared" si="1669"/>
        <v>39795.300000000003</v>
      </c>
      <c r="AI1291" s="633">
        <f>AH1291*(1+VLOOKUP($F1291,'GL Category'!$A:$H,7,FALSE))</f>
        <v>40591.206000000006</v>
      </c>
      <c r="AJ1291" s="307"/>
      <c r="AK1291" s="622">
        <f t="shared" si="1670"/>
        <v>40591.206000000006</v>
      </c>
      <c r="AL1291" s="633">
        <f>AK1291*(1+VLOOKUP($F1291,'GL Category'!$A:$H,8,FALSE))</f>
        <v>41403.030120000003</v>
      </c>
      <c r="AM1291" s="307"/>
      <c r="AN1291" s="622">
        <f t="shared" si="1671"/>
        <v>41403.030120000003</v>
      </c>
      <c r="AO1291" s="192"/>
      <c r="AP1291" s="192"/>
      <c r="AQ1291" s="192"/>
    </row>
    <row r="1292" spans="1:59" s="115" customFormat="1" ht="15" customHeight="1">
      <c r="A1292" s="555"/>
      <c r="B1292" s="217"/>
      <c r="C1292" s="217">
        <v>35</v>
      </c>
      <c r="D1292" s="101"/>
      <c r="E1292" s="217"/>
      <c r="F1292" s="294" t="s">
        <v>289</v>
      </c>
      <c r="G1292" s="295" t="str">
        <f>VLOOKUP(F1292,'GL Category'!A:C,3,FALSE)</f>
        <v>Operations &amp; maintenance</v>
      </c>
      <c r="H1292" s="98" t="str">
        <f>VLOOKUP(F1292,'GL Category'!A:C,2,FALSE)</f>
        <v>SCBA MAINTENANCE</v>
      </c>
      <c r="I1292" s="99">
        <f>SUMIFS(I$1:I1286,$C$1:$C1286,$C1292,$F$1:$F1286,$F1292)</f>
        <v>39566.480000000003</v>
      </c>
      <c r="J1292" s="99">
        <f>SUMIFS(J$1:J1286,$C$1:$C1286,$C1292,$F$1:$F1286,$F1292)</f>
        <v>1808.95</v>
      </c>
      <c r="K1292" s="99">
        <f>SUMIFS(K$1:K1286,$C$1:$C1286,$C1292,$F$1:$F1286,$F1292)</f>
        <v>15202.77</v>
      </c>
      <c r="L1292" s="99">
        <f>SUMIFS(L$1:L1286,$C$1:$C1286,$C1292,$F$1:$F1286,$F1292)</f>
        <v>45770.7</v>
      </c>
      <c r="M1292" s="99">
        <f>SUMIFS(M$1:M1286,$C$1:$C1286,$C1292,$F$1:$F1286,$F1292)</f>
        <v>13500</v>
      </c>
      <c r="N1292" s="99">
        <f>SUMIFS(N$1:N1286,$C$1:$C1286,$C1292,$F$1:$F1286,$F1292)</f>
        <v>5695.4</v>
      </c>
      <c r="O1292" s="99">
        <f>SUMIFS(O$1:O1286,$C$1:$C1286,$C1292,$F$1:$F1286,$F1292)</f>
        <v>13500</v>
      </c>
      <c r="P1292" s="99">
        <f t="shared" si="1663"/>
        <v>0</v>
      </c>
      <c r="Q1292" s="99">
        <f>SUMIFS(Q$1:Q1286,$C$1:$C1286,$C1292,$F$1:$F1286,$F1292)</f>
        <v>13500</v>
      </c>
      <c r="R1292" s="99">
        <f>SUMIFS(R$1:R1286,$C$1:$C1286,$C1292,$F$1:$F1286,$F1292)</f>
        <v>0</v>
      </c>
      <c r="S1292" s="99">
        <f>SUMIFS(S$1:S1286,$C$1:$C1286,$C1292,$F$1:$F1286,$F1292)</f>
        <v>0</v>
      </c>
      <c r="T1292" s="99">
        <f>SUMIFS(T$1:T1286,$C$1:$C1286,$C1292,$F$1:$F1286,$F1292)</f>
        <v>13500</v>
      </c>
      <c r="U1292" s="99">
        <f t="shared" si="1664"/>
        <v>0</v>
      </c>
      <c r="V1292" s="255">
        <f t="shared" si="1665"/>
        <v>0</v>
      </c>
      <c r="W1292" s="102"/>
      <c r="X1292" s="102"/>
      <c r="Y1292" s="102">
        <f t="shared" si="1666"/>
        <v>13500</v>
      </c>
      <c r="Z1292" s="309">
        <f>Y1292*(1+VLOOKUP($F1292,'GL Category'!$A:$H,4,FALSE))</f>
        <v>13770</v>
      </c>
      <c r="AA1292" s="615"/>
      <c r="AB1292" s="622">
        <f t="shared" si="1667"/>
        <v>13770</v>
      </c>
      <c r="AC1292" s="633">
        <f>AB1292*(1+VLOOKUP($F1292,'GL Category'!$A:$H,5,FALSE))</f>
        <v>14045.4</v>
      </c>
      <c r="AD1292" s="307"/>
      <c r="AE1292" s="622">
        <f t="shared" si="1668"/>
        <v>14045.4</v>
      </c>
      <c r="AF1292" s="633">
        <f>AE1292*(1+VLOOKUP($F1292,'GL Category'!$A:$H,6,FALSE))</f>
        <v>14326.307999999999</v>
      </c>
      <c r="AG1292" s="307"/>
      <c r="AH1292" s="622">
        <f t="shared" si="1669"/>
        <v>14326.307999999999</v>
      </c>
      <c r="AI1292" s="633">
        <f>AH1292*(1+VLOOKUP($F1292,'GL Category'!$A:$H,7,FALSE))</f>
        <v>14612.834159999999</v>
      </c>
      <c r="AJ1292" s="307"/>
      <c r="AK1292" s="622">
        <f t="shared" si="1670"/>
        <v>14612.834159999999</v>
      </c>
      <c r="AL1292" s="633">
        <f>AK1292*(1+VLOOKUP($F1292,'GL Category'!$A:$H,8,FALSE))</f>
        <v>14905.0908432</v>
      </c>
      <c r="AM1292" s="307"/>
      <c r="AN1292" s="622">
        <f t="shared" si="1671"/>
        <v>14905.0908432</v>
      </c>
      <c r="AO1292" s="192"/>
      <c r="AP1292" s="192"/>
      <c r="AQ1292" s="192"/>
    </row>
    <row r="1293" spans="1:59" s="115" customFormat="1" ht="15" customHeight="1">
      <c r="A1293" s="555"/>
      <c r="B1293" s="217"/>
      <c r="C1293" s="217">
        <v>35</v>
      </c>
      <c r="D1293" s="101"/>
      <c r="E1293" s="217"/>
      <c r="F1293" s="294" t="s">
        <v>174</v>
      </c>
      <c r="G1293" s="295" t="str">
        <f>VLOOKUP(F1293,'GL Category'!A:C,3,FALSE)</f>
        <v>Operations &amp; maintenance</v>
      </c>
      <c r="H1293" s="98" t="str">
        <f>VLOOKUP(F1293,'GL Category'!A:C,2,FALSE)</f>
        <v>RADIO MAINTENANCE</v>
      </c>
      <c r="I1293" s="99">
        <f>SUMIFS(I$1:I1287,$C$1:$C1287,$C1293,$F$1:$F1287,$F1293)</f>
        <v>9191.0300000000007</v>
      </c>
      <c r="J1293" s="99">
        <f>SUMIFS(J$1:J1287,$C$1:$C1287,$C1293,$F$1:$F1287,$F1293)</f>
        <v>9003.93</v>
      </c>
      <c r="K1293" s="99">
        <f>SUMIFS(K$1:K1287,$C$1:$C1287,$C1293,$F$1:$F1287,$F1293)</f>
        <v>8530.0300000000007</v>
      </c>
      <c r="L1293" s="99">
        <f>SUMIFS(L$1:L1287,$C$1:$C1287,$C1293,$F$1:$F1287,$F1293)</f>
        <v>8700.67</v>
      </c>
      <c r="M1293" s="99">
        <f>SUMIFS(M$1:M1287,$C$1:$C1287,$C1293,$F$1:$F1287,$F1293)</f>
        <v>22500</v>
      </c>
      <c r="N1293" s="99">
        <f>SUMIFS(N$1:N1287,$C$1:$C1287,$C1293,$F$1:$F1287,$F1293)</f>
        <v>27090.2</v>
      </c>
      <c r="O1293" s="99">
        <f>SUMIFS(O$1:O1287,$C$1:$C1287,$C1293,$F$1:$F1287,$F1293)</f>
        <v>28150</v>
      </c>
      <c r="P1293" s="99">
        <f t="shared" si="1663"/>
        <v>5650</v>
      </c>
      <c r="Q1293" s="99">
        <f>SUMIFS(Q$1:Q1287,$C$1:$C1287,$C1293,$F$1:$F1287,$F1293)</f>
        <v>7500</v>
      </c>
      <c r="R1293" s="99">
        <f>SUMIFS(R$1:R1287,$C$1:$C1287,$C1293,$F$1:$F1287,$F1293)</f>
        <v>16602</v>
      </c>
      <c r="S1293" s="99">
        <f>SUMIFS(S$1:S1287,$C$1:$C1287,$C1293,$F$1:$F1287,$F1293)</f>
        <v>0</v>
      </c>
      <c r="T1293" s="99">
        <f>SUMIFS(T$1:T1287,$C$1:$C1287,$C1293,$F$1:$F1287,$F1293)</f>
        <v>24102</v>
      </c>
      <c r="U1293" s="99">
        <f t="shared" si="1664"/>
        <v>1602</v>
      </c>
      <c r="V1293" s="255">
        <f t="shared" si="1665"/>
        <v>7.119999999999993E-2</v>
      </c>
      <c r="W1293" s="102"/>
      <c r="X1293" s="102"/>
      <c r="Y1293" s="102">
        <f t="shared" si="1666"/>
        <v>24102</v>
      </c>
      <c r="Z1293" s="309">
        <f>Y1293*(1+VLOOKUP($F1293,'GL Category'!$A:$H,4,FALSE))</f>
        <v>24584.04</v>
      </c>
      <c r="AA1293" s="615"/>
      <c r="AB1293" s="622">
        <f t="shared" si="1667"/>
        <v>24584.04</v>
      </c>
      <c r="AC1293" s="633">
        <f>AB1293*(1+VLOOKUP($F1293,'GL Category'!$A:$H,5,FALSE))</f>
        <v>25075.720800000003</v>
      </c>
      <c r="AD1293" s="307"/>
      <c r="AE1293" s="622">
        <f t="shared" si="1668"/>
        <v>25075.720800000003</v>
      </c>
      <c r="AF1293" s="633">
        <f>AE1293*(1+VLOOKUP($F1293,'GL Category'!$A:$H,6,FALSE))</f>
        <v>25577.235216000005</v>
      </c>
      <c r="AG1293" s="307"/>
      <c r="AH1293" s="622">
        <f t="shared" si="1669"/>
        <v>25577.235216000005</v>
      </c>
      <c r="AI1293" s="633">
        <f>AH1293*(1+VLOOKUP($F1293,'GL Category'!$A:$H,7,FALSE))</f>
        <v>26088.779920320005</v>
      </c>
      <c r="AJ1293" s="307"/>
      <c r="AK1293" s="622">
        <f t="shared" si="1670"/>
        <v>26088.779920320005</v>
      </c>
      <c r="AL1293" s="633">
        <f>AK1293*(1+VLOOKUP($F1293,'GL Category'!$A:$H,8,FALSE))</f>
        <v>26610.555518726404</v>
      </c>
      <c r="AM1293" s="307"/>
      <c r="AN1293" s="622">
        <f t="shared" si="1671"/>
        <v>26610.555518726404</v>
      </c>
      <c r="AO1293" s="192"/>
      <c r="AP1293" s="192"/>
      <c r="AQ1293" s="192"/>
    </row>
    <row r="1294" spans="1:59" ht="15" customHeight="1">
      <c r="A1294" s="555"/>
      <c r="B1294" s="217"/>
      <c r="C1294" s="217">
        <v>35</v>
      </c>
      <c r="D1294" s="101"/>
      <c r="E1294" s="217"/>
      <c r="F1294" s="294" t="s">
        <v>240</v>
      </c>
      <c r="G1294" s="295" t="str">
        <f>VLOOKUP(F1294,'GL Category'!A:C,3,FALSE)</f>
        <v>Operations &amp; maintenance</v>
      </c>
      <c r="H1294" s="98" t="str">
        <f>VLOOKUP(F1294,'GL Category'!A:C,2,FALSE)</f>
        <v>VEHICLE MAINTENANCE</v>
      </c>
      <c r="I1294" s="99">
        <f>SUMIFS(I$1:I1288,$C$1:$C1288,$C1294,$F$1:$F1288,$F1294)</f>
        <v>208769.44999999998</v>
      </c>
      <c r="J1294" s="99">
        <f>SUMIFS(J$1:J1288,$C$1:$C1288,$C1294,$F$1:$F1288,$F1294)</f>
        <v>186725.38000000003</v>
      </c>
      <c r="K1294" s="99">
        <f>SUMIFS(K$1:K1288,$C$1:$C1288,$C1294,$F$1:$F1288,$F1294)</f>
        <v>220621.84</v>
      </c>
      <c r="L1294" s="99">
        <f>SUMIFS(L$1:L1288,$C$1:$C1288,$C1294,$F$1:$F1288,$F1294)</f>
        <v>190278.53</v>
      </c>
      <c r="M1294" s="99">
        <f>SUMIFS(M$1:M1288,$C$1:$C1288,$C1294,$F$1:$F1288,$F1294)</f>
        <v>320603</v>
      </c>
      <c r="N1294" s="99">
        <f>SUMIFS(N$1:N1288,$C$1:$C1288,$C1294,$F$1:$F1288,$F1294)</f>
        <v>252674.56</v>
      </c>
      <c r="O1294" s="99">
        <f>SUMIFS(O$1:O1288,$C$1:$C1288,$C1294,$F$1:$F1288,$F1294)</f>
        <v>328603</v>
      </c>
      <c r="P1294" s="99">
        <f t="shared" si="1663"/>
        <v>8000</v>
      </c>
      <c r="Q1294" s="99">
        <f>SUMIFS(Q$1:Q1288,$C$1:$C1288,$C1294,$F$1:$F1288,$F1294)</f>
        <v>187603</v>
      </c>
      <c r="R1294" s="99">
        <f>SUMIFS(R$1:R1288,$C$1:$C1288,$C1294,$F$1:$F1288,$F1294)</f>
        <v>0</v>
      </c>
      <c r="S1294" s="99">
        <f>SUMIFS(S$1:S1288,$C$1:$C1288,$C1294,$F$1:$F1288,$F1294)</f>
        <v>0</v>
      </c>
      <c r="T1294" s="99">
        <f>SUMIFS(T$1:T1288,$C$1:$C1288,$C1294,$F$1:$F1288,$F1294)</f>
        <v>187603</v>
      </c>
      <c r="U1294" s="99">
        <f t="shared" si="1664"/>
        <v>-133000</v>
      </c>
      <c r="V1294" s="255">
        <f t="shared" si="1665"/>
        <v>-0.41484327969482504</v>
      </c>
      <c r="W1294" s="102"/>
      <c r="X1294" s="102"/>
      <c r="Y1294" s="102">
        <f t="shared" si="1666"/>
        <v>187603</v>
      </c>
      <c r="Z1294" s="309">
        <f>Y1294*(1+VLOOKUP($F1294,'GL Category'!$A:$H,4,FALSE))</f>
        <v>191355.06</v>
      </c>
      <c r="AA1294" s="615"/>
      <c r="AB1294" s="622">
        <f t="shared" si="1667"/>
        <v>191355.06</v>
      </c>
      <c r="AC1294" s="633">
        <f>AB1294*(1+VLOOKUP($F1294,'GL Category'!$A:$H,5,FALSE))</f>
        <v>195182.1612</v>
      </c>
      <c r="AE1294" s="622">
        <f t="shared" si="1668"/>
        <v>195182.1612</v>
      </c>
      <c r="AF1294" s="633">
        <f>AE1294*(1+VLOOKUP($F1294,'GL Category'!$A:$H,6,FALSE))</f>
        <v>199085.804424</v>
      </c>
      <c r="AH1294" s="622">
        <f t="shared" si="1669"/>
        <v>199085.804424</v>
      </c>
      <c r="AI1294" s="633">
        <f>AH1294*(1+VLOOKUP($F1294,'GL Category'!$A:$H,7,FALSE))</f>
        <v>203067.52051248</v>
      </c>
      <c r="AK1294" s="622">
        <f t="shared" si="1670"/>
        <v>203067.52051248</v>
      </c>
      <c r="AL1294" s="633">
        <f>AK1294*(1+VLOOKUP($F1294,'GL Category'!$A:$H,8,FALSE))</f>
        <v>207128.87092272961</v>
      </c>
      <c r="AN1294" s="622">
        <f t="shared" si="1671"/>
        <v>207128.87092272961</v>
      </c>
    </row>
    <row r="1295" spans="1:59" ht="15" customHeight="1">
      <c r="A1295" s="555"/>
      <c r="B1295" s="217"/>
      <c r="C1295" s="217">
        <v>35</v>
      </c>
      <c r="D1295" s="101"/>
      <c r="E1295" s="217"/>
      <c r="F1295" s="294" t="s">
        <v>235</v>
      </c>
      <c r="G1295" s="295" t="str">
        <f>VLOOKUP(F1295,'GL Category'!A:C,3,FALSE)</f>
        <v>Operations &amp; maintenance</v>
      </c>
      <c r="H1295" s="98" t="str">
        <f>VLOOKUP(F1295,'GL Category'!A:C,2,FALSE)</f>
        <v>EQUIPMENT MAINTENANCE</v>
      </c>
      <c r="I1295" s="99">
        <f>SUMIFS(I$1:I1289,$C$1:$C1289,$C1295,$F$1:$F1289,$F1295)</f>
        <v>46350.909999999996</v>
      </c>
      <c r="J1295" s="99">
        <f>SUMIFS(J$1:J1289,$C$1:$C1289,$C1295,$F$1:$F1289,$F1295)</f>
        <v>35585.799999999996</v>
      </c>
      <c r="K1295" s="99">
        <f>SUMIFS(K$1:K1289,$C$1:$C1289,$C1295,$F$1:$F1289,$F1295)</f>
        <v>38096.39</v>
      </c>
      <c r="L1295" s="99">
        <f>SUMIFS(L$1:L1289,$C$1:$C1289,$C1295,$F$1:$F1289,$F1295)</f>
        <v>86670.200000000012</v>
      </c>
      <c r="M1295" s="99">
        <f>SUMIFS(M$1:M1289,$C$1:$C1289,$C1295,$F$1:$F1289,$F1295)</f>
        <v>64890</v>
      </c>
      <c r="N1295" s="99">
        <f>SUMIFS(N$1:N1289,$C$1:$C1289,$C1295,$F$1:$F1289,$F1295)</f>
        <v>40812.660000000003</v>
      </c>
      <c r="O1295" s="99">
        <f>SUMIFS(O$1:O1289,$C$1:$C1289,$C1295,$F$1:$F1289,$F1295)</f>
        <v>67390</v>
      </c>
      <c r="P1295" s="99">
        <f t="shared" si="1663"/>
        <v>2500</v>
      </c>
      <c r="Q1295" s="99">
        <f>SUMIFS(Q$1:Q1289,$C$1:$C1289,$C1295,$F$1:$F1289,$F1295)</f>
        <v>70140</v>
      </c>
      <c r="R1295" s="99">
        <f>SUMIFS(R$1:R1289,$C$1:$C1289,$C1295,$F$1:$F1289,$F1295)</f>
        <v>11000</v>
      </c>
      <c r="S1295" s="99">
        <f>SUMIFS(S$1:S1289,$C$1:$C1289,$C1295,$F$1:$F1289,$F1295)</f>
        <v>0</v>
      </c>
      <c r="T1295" s="99">
        <f>SUMIFS(T$1:T1289,$C$1:$C1289,$C1295,$F$1:$F1289,$F1295)</f>
        <v>81140</v>
      </c>
      <c r="U1295" s="99">
        <f t="shared" si="1664"/>
        <v>16250</v>
      </c>
      <c r="V1295" s="255">
        <f t="shared" si="1665"/>
        <v>0.25042379411311444</v>
      </c>
      <c r="W1295" s="102"/>
      <c r="X1295" s="102"/>
      <c r="Y1295" s="102">
        <f t="shared" si="1666"/>
        <v>81140</v>
      </c>
      <c r="Z1295" s="309">
        <f>Y1295*(1+VLOOKUP($F1295,'GL Category'!$A:$H,4,FALSE))</f>
        <v>82762.8</v>
      </c>
      <c r="AA1295" s="615"/>
      <c r="AB1295" s="622">
        <f t="shared" si="1667"/>
        <v>82762.8</v>
      </c>
      <c r="AC1295" s="633">
        <f>AB1295*(1+VLOOKUP($F1295,'GL Category'!$A:$H,5,FALSE))</f>
        <v>84418.056000000011</v>
      </c>
      <c r="AE1295" s="622">
        <f t="shared" si="1668"/>
        <v>84418.056000000011</v>
      </c>
      <c r="AF1295" s="633">
        <f>AE1295*(1+VLOOKUP($F1295,'GL Category'!$A:$H,6,FALSE))</f>
        <v>86106.417120000013</v>
      </c>
      <c r="AH1295" s="622">
        <f t="shared" si="1669"/>
        <v>86106.417120000013</v>
      </c>
      <c r="AI1295" s="633">
        <f>AH1295*(1+VLOOKUP($F1295,'GL Category'!$A:$H,7,FALSE))</f>
        <v>87828.545462400012</v>
      </c>
      <c r="AK1295" s="622">
        <f t="shared" si="1670"/>
        <v>87828.545462400012</v>
      </c>
      <c r="AL1295" s="633">
        <f>AK1295*(1+VLOOKUP($F1295,'GL Category'!$A:$H,8,FALSE))</f>
        <v>89585.116371648008</v>
      </c>
      <c r="AN1295" s="622">
        <f t="shared" si="1671"/>
        <v>89585.116371648008</v>
      </c>
    </row>
    <row r="1296" spans="1:59" ht="15" customHeight="1">
      <c r="A1296" s="555"/>
      <c r="B1296" s="217"/>
      <c r="C1296" s="217">
        <v>35</v>
      </c>
      <c r="D1296" s="101"/>
      <c r="E1296" s="217"/>
      <c r="F1296" s="294" t="s">
        <v>176</v>
      </c>
      <c r="G1296" s="295" t="str">
        <f>VLOOKUP(F1296,'GL Category'!A:C,3,FALSE)</f>
        <v>Operations &amp; maintenance</v>
      </c>
      <c r="H1296" s="98" t="str">
        <f>VLOOKUP(F1296,'GL Category'!A:C,2,FALSE)</f>
        <v>OFFICE EQUIPMENT MAINTENANCE</v>
      </c>
      <c r="I1296" s="99">
        <f>SUMIFS(I$1:I1290,$C$1:$C1290,$C1296,$F$1:$F1290,$F1296)</f>
        <v>0</v>
      </c>
      <c r="J1296" s="99">
        <f>SUMIFS(J$1:J1290,$C$1:$C1290,$C1296,$F$1:$F1290,$F1296)</f>
        <v>0</v>
      </c>
      <c r="K1296" s="99">
        <f>SUMIFS(K$1:K1290,$C$1:$C1290,$C1296,$F$1:$F1290,$F1296)</f>
        <v>0</v>
      </c>
      <c r="L1296" s="99">
        <f>SUMIFS(L$1:L1290,$C$1:$C1290,$C1296,$F$1:$F1290,$F1296)</f>
        <v>0</v>
      </c>
      <c r="M1296" s="99">
        <f>SUMIFS(M$1:M1290,$C$1:$C1290,$C1296,$F$1:$F1290,$F1296)</f>
        <v>0</v>
      </c>
      <c r="N1296" s="99">
        <f>SUMIFS(N$1:N1290,$C$1:$C1290,$C1296,$F$1:$F1290,$F1296)</f>
        <v>0</v>
      </c>
      <c r="O1296" s="99">
        <f>SUMIFS(O$1:O1290,$C$1:$C1290,$C1296,$F$1:$F1290,$F1296)</f>
        <v>0</v>
      </c>
      <c r="P1296" s="99">
        <f t="shared" si="1663"/>
        <v>0</v>
      </c>
      <c r="Q1296" s="99">
        <f>SUMIFS(Q$1:Q1290,$C$1:$C1290,$C1296,$F$1:$F1290,$F1296)</f>
        <v>0</v>
      </c>
      <c r="R1296" s="99">
        <f>SUMIFS(R$1:R1290,$C$1:$C1290,$C1296,$F$1:$F1290,$F1296)</f>
        <v>0</v>
      </c>
      <c r="S1296" s="99">
        <f>SUMIFS(S$1:S1290,$C$1:$C1290,$C1296,$F$1:$F1290,$F1296)</f>
        <v>0</v>
      </c>
      <c r="T1296" s="99">
        <f>SUMIFS(T$1:T1290,$C$1:$C1290,$C1296,$F$1:$F1290,$F1296)</f>
        <v>0</v>
      </c>
      <c r="U1296" s="99">
        <f t="shared" si="1664"/>
        <v>0</v>
      </c>
      <c r="V1296" s="255" t="str">
        <f t="shared" si="1665"/>
        <v>N/A</v>
      </c>
      <c r="W1296" s="102"/>
      <c r="X1296" s="102"/>
      <c r="Y1296" s="102">
        <f t="shared" si="1666"/>
        <v>0</v>
      </c>
      <c r="Z1296" s="309">
        <f>Y1296*(1+VLOOKUP($F1296,'GL Category'!$A:$H,4,FALSE))</f>
        <v>0</v>
      </c>
      <c r="AA1296" s="615"/>
      <c r="AB1296" s="622">
        <f t="shared" si="1667"/>
        <v>0</v>
      </c>
      <c r="AC1296" s="633">
        <f>AB1296*(1+VLOOKUP($F1296,'GL Category'!$A:$H,5,FALSE))</f>
        <v>0</v>
      </c>
      <c r="AE1296" s="622">
        <f t="shared" si="1668"/>
        <v>0</v>
      </c>
      <c r="AF1296" s="633">
        <f>AE1296*(1+VLOOKUP($F1296,'GL Category'!$A:$H,6,FALSE))</f>
        <v>0</v>
      </c>
      <c r="AH1296" s="622">
        <f t="shared" si="1669"/>
        <v>0</v>
      </c>
      <c r="AI1296" s="633">
        <f>AH1296*(1+VLOOKUP($F1296,'GL Category'!$A:$H,7,FALSE))</f>
        <v>0</v>
      </c>
      <c r="AK1296" s="622">
        <f t="shared" si="1670"/>
        <v>0</v>
      </c>
      <c r="AL1296" s="633">
        <f>AK1296*(1+VLOOKUP($F1296,'GL Category'!$A:$H,8,FALSE))</f>
        <v>0</v>
      </c>
      <c r="AN1296" s="622">
        <f t="shared" si="1671"/>
        <v>0</v>
      </c>
    </row>
    <row r="1297" spans="1:59" s="75" customFormat="1" ht="15" customHeight="1">
      <c r="A1297" s="555"/>
      <c r="B1297" s="217"/>
      <c r="C1297" s="217">
        <v>35</v>
      </c>
      <c r="D1297" s="101"/>
      <c r="E1297" s="217"/>
      <c r="F1297" s="294" t="s">
        <v>178</v>
      </c>
      <c r="G1297" s="295" t="str">
        <f>VLOOKUP(F1297,'GL Category'!A:C,3,FALSE)</f>
        <v>Operations &amp; maintenance</v>
      </c>
      <c r="H1297" s="98" t="str">
        <f>VLOOKUP(F1297,'GL Category'!A:C,2,FALSE)</f>
        <v>SOFTWARE LICENSE &amp; MAINTENANCE</v>
      </c>
      <c r="I1297" s="99">
        <f>SUMIFS(I$1:I1291,$C$1:$C1291,$C1297,$F$1:$F1291,$F1297)</f>
        <v>0</v>
      </c>
      <c r="J1297" s="99">
        <f>SUMIFS(J$1:J1291,$C$1:$C1291,$C1297,$F$1:$F1291,$F1297)</f>
        <v>0</v>
      </c>
      <c r="K1297" s="99">
        <f>SUMIFS(K$1:K1291,$C$1:$C1291,$C1297,$F$1:$F1291,$F1297)</f>
        <v>0</v>
      </c>
      <c r="L1297" s="99">
        <f>SUMIFS(L$1:L1291,$C$1:$C1291,$C1297,$F$1:$F1291,$F1297)</f>
        <v>0</v>
      </c>
      <c r="M1297" s="99">
        <f>SUMIFS(M$1:M1291,$C$1:$C1291,$C1297,$F$1:$F1291,$F1297)</f>
        <v>0</v>
      </c>
      <c r="N1297" s="99">
        <f>SUMIFS(N$1:N1291,$C$1:$C1291,$C1297,$F$1:$F1291,$F1297)</f>
        <v>0</v>
      </c>
      <c r="O1297" s="99">
        <f>SUMIFS(O$1:O1291,$C$1:$C1291,$C1297,$F$1:$F1291,$F1297)</f>
        <v>0</v>
      </c>
      <c r="P1297" s="99">
        <f t="shared" si="1663"/>
        <v>0</v>
      </c>
      <c r="Q1297" s="99">
        <f>SUMIFS(Q$1:Q1291,$C$1:$C1291,$C1297,$F$1:$F1291,$F1297)</f>
        <v>0</v>
      </c>
      <c r="R1297" s="99">
        <f>SUMIFS(R$1:R1291,$C$1:$C1291,$C1297,$F$1:$F1291,$F1297)</f>
        <v>0</v>
      </c>
      <c r="S1297" s="99">
        <f>SUMIFS(S$1:S1291,$C$1:$C1291,$C1297,$F$1:$F1291,$F1297)</f>
        <v>0</v>
      </c>
      <c r="T1297" s="99">
        <f>SUMIFS(T$1:T1291,$C$1:$C1291,$C1297,$F$1:$F1291,$F1297)</f>
        <v>0</v>
      </c>
      <c r="U1297" s="99">
        <f t="shared" si="1664"/>
        <v>0</v>
      </c>
      <c r="V1297" s="255" t="str">
        <f t="shared" si="1665"/>
        <v>N/A</v>
      </c>
      <c r="W1297" s="102"/>
      <c r="X1297" s="102"/>
      <c r="Y1297" s="102">
        <f t="shared" si="1666"/>
        <v>0</v>
      </c>
      <c r="Z1297" s="309">
        <f>Y1297*(1+VLOOKUP($F1297,'GL Category'!$A:$H,4,FALSE))</f>
        <v>0</v>
      </c>
      <c r="AA1297" s="615"/>
      <c r="AB1297" s="622">
        <f t="shared" si="1667"/>
        <v>0</v>
      </c>
      <c r="AC1297" s="633">
        <f>AB1297*(1+VLOOKUP($F1297,'GL Category'!$A:$H,5,FALSE))</f>
        <v>0</v>
      </c>
      <c r="AD1297" s="307"/>
      <c r="AE1297" s="622">
        <f t="shared" si="1668"/>
        <v>0</v>
      </c>
      <c r="AF1297" s="633">
        <f>AE1297*(1+VLOOKUP($F1297,'GL Category'!$A:$H,6,FALSE))</f>
        <v>0</v>
      </c>
      <c r="AG1297" s="307"/>
      <c r="AH1297" s="622">
        <f t="shared" si="1669"/>
        <v>0</v>
      </c>
      <c r="AI1297" s="633">
        <f>AH1297*(1+VLOOKUP($F1297,'GL Category'!$A:$H,7,FALSE))</f>
        <v>0</v>
      </c>
      <c r="AJ1297" s="307"/>
      <c r="AK1297" s="622">
        <f t="shared" si="1670"/>
        <v>0</v>
      </c>
      <c r="AL1297" s="633">
        <f>AK1297*(1+VLOOKUP($F1297,'GL Category'!$A:$H,8,FALSE))</f>
        <v>0</v>
      </c>
      <c r="AM1297" s="307"/>
      <c r="AN1297" s="622">
        <f t="shared" si="1671"/>
        <v>0</v>
      </c>
      <c r="AO1297" s="307"/>
      <c r="AP1297" s="307"/>
      <c r="AQ1297" s="192"/>
      <c r="AR1297" s="115"/>
      <c r="AS1297" s="115"/>
      <c r="AT1297" s="115"/>
      <c r="AU1297" s="115"/>
      <c r="AV1297" s="115"/>
      <c r="AW1297" s="115"/>
      <c r="AX1297" s="115"/>
      <c r="AY1297" s="115"/>
      <c r="AZ1297" s="115"/>
      <c r="BA1297" s="115"/>
      <c r="BB1297" s="115"/>
      <c r="BC1297" s="115"/>
      <c r="BD1297" s="115"/>
      <c r="BE1297" s="74"/>
      <c r="BF1297" s="74"/>
      <c r="BG1297" s="74"/>
    </row>
    <row r="1298" spans="1:59" s="75" customFormat="1" ht="15" customHeight="1">
      <c r="A1298" s="555"/>
      <c r="B1298" s="217"/>
      <c r="C1298" s="217">
        <v>35</v>
      </c>
      <c r="D1298" s="101"/>
      <c r="E1298" s="217"/>
      <c r="F1298" s="294" t="s">
        <v>180</v>
      </c>
      <c r="G1298" s="295" t="str">
        <f>VLOOKUP(F1298,'GL Category'!A:C,3,FALSE)</f>
        <v>Operations &amp; maintenance</v>
      </c>
      <c r="H1298" s="98" t="str">
        <f>VLOOKUP(F1298,'GL Category'!A:C,2,FALSE)</f>
        <v>A/C &amp; HEATING MAINTENANCE</v>
      </c>
      <c r="I1298" s="99">
        <f>SUMIFS(I$1:I1292,$C$1:$C1292,$C1298,$F$1:$F1292,$F1298)</f>
        <v>6374.63</v>
      </c>
      <c r="J1298" s="99">
        <f>SUMIFS(J$1:J1292,$C$1:$C1292,$C1298,$F$1:$F1292,$F1298)</f>
        <v>6782.5</v>
      </c>
      <c r="K1298" s="99">
        <f>SUMIFS(K$1:K1292,$C$1:$C1292,$C1298,$F$1:$F1292,$F1298)</f>
        <v>14027.06</v>
      </c>
      <c r="L1298" s="99">
        <f>SUMIFS(L$1:L1292,$C$1:$C1292,$C1298,$F$1:$F1292,$F1298)</f>
        <v>16558.61</v>
      </c>
      <c r="M1298" s="99">
        <f>SUMIFS(M$1:M1292,$C$1:$C1292,$C1298,$F$1:$F1292,$F1298)</f>
        <v>10005</v>
      </c>
      <c r="N1298" s="99">
        <f>SUMIFS(N$1:N1292,$C$1:$C1292,$C1298,$F$1:$F1292,$F1298)</f>
        <v>8963.01</v>
      </c>
      <c r="O1298" s="99">
        <f>SUMIFS(O$1:O1292,$C$1:$C1292,$C1298,$F$1:$F1292,$F1298)</f>
        <v>10005</v>
      </c>
      <c r="P1298" s="99">
        <f t="shared" si="1663"/>
        <v>0</v>
      </c>
      <c r="Q1298" s="99">
        <f>SUMIFS(Q$1:Q1292,$C$1:$C1292,$C1298,$F$1:$F1292,$F1298)</f>
        <v>10005</v>
      </c>
      <c r="R1298" s="99">
        <f>SUMIFS(R$1:R1292,$C$1:$C1292,$C1298,$F$1:$F1292,$F1298)</f>
        <v>0</v>
      </c>
      <c r="S1298" s="99">
        <f>SUMIFS(S$1:S1292,$C$1:$C1292,$C1298,$F$1:$F1292,$F1298)</f>
        <v>0</v>
      </c>
      <c r="T1298" s="99">
        <f>SUMIFS(T$1:T1292,$C$1:$C1292,$C1298,$F$1:$F1292,$F1298)</f>
        <v>10005</v>
      </c>
      <c r="U1298" s="99">
        <f t="shared" si="1664"/>
        <v>0</v>
      </c>
      <c r="V1298" s="255">
        <f t="shared" si="1665"/>
        <v>0</v>
      </c>
      <c r="W1298" s="102"/>
      <c r="X1298" s="102"/>
      <c r="Y1298" s="102">
        <f t="shared" si="1666"/>
        <v>10005</v>
      </c>
      <c r="Z1298" s="309">
        <f>Y1298*(1+VLOOKUP($F1298,'GL Category'!$A:$H,4,FALSE))</f>
        <v>10205.1</v>
      </c>
      <c r="AA1298" s="615"/>
      <c r="AB1298" s="622">
        <f t="shared" si="1667"/>
        <v>10205.1</v>
      </c>
      <c r="AC1298" s="633">
        <f>AB1298*(1+VLOOKUP($F1298,'GL Category'!$A:$H,5,FALSE))</f>
        <v>10409.202000000001</v>
      </c>
      <c r="AD1298" s="307"/>
      <c r="AE1298" s="622">
        <f t="shared" si="1668"/>
        <v>10409.202000000001</v>
      </c>
      <c r="AF1298" s="633">
        <f>AE1298*(1+VLOOKUP($F1298,'GL Category'!$A:$H,6,FALSE))</f>
        <v>10617.386040000001</v>
      </c>
      <c r="AG1298" s="307"/>
      <c r="AH1298" s="622">
        <f t="shared" si="1669"/>
        <v>10617.386040000001</v>
      </c>
      <c r="AI1298" s="633">
        <f>AH1298*(1+VLOOKUP($F1298,'GL Category'!$A:$H,7,FALSE))</f>
        <v>10829.733760800002</v>
      </c>
      <c r="AJ1298" s="307"/>
      <c r="AK1298" s="622">
        <f t="shared" si="1670"/>
        <v>10829.733760800002</v>
      </c>
      <c r="AL1298" s="633">
        <f>AK1298*(1+VLOOKUP($F1298,'GL Category'!$A:$H,8,FALSE))</f>
        <v>11046.328436016001</v>
      </c>
      <c r="AM1298" s="307"/>
      <c r="AN1298" s="622">
        <f t="shared" si="1671"/>
        <v>11046.328436016001</v>
      </c>
      <c r="AO1298" s="626"/>
      <c r="AP1298" s="626"/>
      <c r="AQ1298" s="192"/>
      <c r="AR1298" s="115"/>
      <c r="AS1298" s="115"/>
      <c r="AT1298" s="115"/>
      <c r="AU1298" s="115"/>
      <c r="AV1298" s="115"/>
      <c r="AW1298" s="115"/>
      <c r="AX1298" s="115"/>
      <c r="AY1298" s="115"/>
      <c r="AZ1298" s="115"/>
      <c r="BA1298" s="115"/>
      <c r="BB1298" s="115"/>
      <c r="BC1298" s="115"/>
      <c r="BD1298" s="115"/>
      <c r="BE1298" s="74"/>
      <c r="BF1298" s="74"/>
      <c r="BG1298" s="74"/>
    </row>
    <row r="1299" spans="1:59" s="115" customFormat="1" ht="25.35" customHeight="1">
      <c r="A1299" s="555"/>
      <c r="B1299" s="217"/>
      <c r="C1299" s="217"/>
      <c r="D1299" s="101"/>
      <c r="E1299" s="217"/>
      <c r="F1299" s="294"/>
      <c r="G1299" s="295"/>
      <c r="H1299" s="107" t="str">
        <f>UPPER(G1298)&amp;" TOTAL"</f>
        <v>OPERATIONS &amp; MAINTENANCE TOTAL</v>
      </c>
      <c r="I1299" s="109">
        <f t="shared" ref="I1299:T1299" si="1672">SUBTOTAL(9,I1278:I1298)</f>
        <v>607012.04</v>
      </c>
      <c r="J1299" s="109">
        <f t="shared" si="1672"/>
        <v>662019.63</v>
      </c>
      <c r="K1299" s="109">
        <f t="shared" si="1672"/>
        <v>685475.68</v>
      </c>
      <c r="L1299" s="109">
        <f t="shared" si="1672"/>
        <v>843272.72000000009</v>
      </c>
      <c r="M1299" s="109">
        <f t="shared" si="1672"/>
        <v>841541</v>
      </c>
      <c r="N1299" s="109">
        <f t="shared" si="1672"/>
        <v>662717.45000000007</v>
      </c>
      <c r="O1299" s="109">
        <f t="shared" si="1672"/>
        <v>916831</v>
      </c>
      <c r="P1299" s="109">
        <f t="shared" si="1672"/>
        <v>75290</v>
      </c>
      <c r="Q1299" s="109">
        <f t="shared" si="1672"/>
        <v>668350</v>
      </c>
      <c r="R1299" s="109">
        <f t="shared" si="1672"/>
        <v>50142</v>
      </c>
      <c r="S1299" s="109">
        <f t="shared" si="1672"/>
        <v>0</v>
      </c>
      <c r="T1299" s="109">
        <f t="shared" si="1672"/>
        <v>718492</v>
      </c>
      <c r="U1299" s="99">
        <f t="shared" si="1664"/>
        <v>-123049</v>
      </c>
      <c r="V1299" s="255">
        <f t="shared" si="1665"/>
        <v>-0.14621866314297227</v>
      </c>
      <c r="W1299" s="102"/>
      <c r="X1299" s="102"/>
      <c r="Y1299" s="102"/>
      <c r="Z1299" s="192"/>
      <c r="AA1299" s="615"/>
      <c r="AB1299" s="307"/>
      <c r="AC1299" s="300"/>
      <c r="AD1299" s="300"/>
      <c r="AE1299" s="300"/>
      <c r="AF1299" s="300"/>
      <c r="AG1299" s="300"/>
      <c r="AH1299" s="307"/>
      <c r="AI1299" s="307"/>
      <c r="AJ1299" s="300"/>
      <c r="AK1299" s="300"/>
      <c r="AL1299" s="300"/>
      <c r="AM1299" s="300"/>
      <c r="AN1299" s="300"/>
      <c r="AO1299" s="307"/>
      <c r="AP1299" s="307"/>
      <c r="AQ1299" s="192"/>
    </row>
    <row r="1300" spans="1:59" s="115" customFormat="1" ht="15" customHeight="1">
      <c r="A1300" s="555"/>
      <c r="B1300" s="217"/>
      <c r="C1300" s="217"/>
      <c r="D1300" s="101"/>
      <c r="E1300" s="217"/>
      <c r="F1300" s="294"/>
      <c r="G1300" s="295"/>
      <c r="H1300" s="98"/>
      <c r="I1300" s="106"/>
      <c r="J1300" s="106"/>
      <c r="K1300" s="106"/>
      <c r="L1300" s="106"/>
      <c r="M1300" s="106"/>
      <c r="N1300" s="112"/>
      <c r="O1300" s="112"/>
      <c r="P1300" s="112"/>
      <c r="Q1300" s="113"/>
      <c r="R1300" s="113"/>
      <c r="S1300" s="113"/>
      <c r="T1300" s="113"/>
      <c r="U1300" s="99"/>
      <c r="V1300" s="255"/>
      <c r="W1300" s="102"/>
      <c r="X1300" s="102"/>
      <c r="Y1300" s="102"/>
      <c r="Z1300" s="192"/>
      <c r="AA1300" s="615"/>
      <c r="AB1300" s="307"/>
      <c r="AC1300" s="300"/>
      <c r="AD1300" s="300"/>
      <c r="AE1300" s="300"/>
      <c r="AF1300" s="300"/>
      <c r="AG1300" s="300"/>
      <c r="AH1300" s="307"/>
      <c r="AI1300" s="307"/>
      <c r="AJ1300" s="300"/>
      <c r="AK1300" s="300"/>
      <c r="AL1300" s="300"/>
      <c r="AM1300" s="300"/>
      <c r="AN1300" s="300"/>
      <c r="AO1300" s="307"/>
      <c r="AP1300" s="307"/>
      <c r="AQ1300" s="192"/>
    </row>
    <row r="1301" spans="1:59" s="115" customFormat="1" ht="15" customHeight="1">
      <c r="A1301" s="555"/>
      <c r="B1301" s="217"/>
      <c r="C1301" s="217">
        <v>35</v>
      </c>
      <c r="D1301" s="101"/>
      <c r="E1301" s="217"/>
      <c r="F1301" s="294" t="s">
        <v>184</v>
      </c>
      <c r="G1301" s="295" t="str">
        <f>VLOOKUP(F1301,'GL Category'!A:C,3,FALSE)</f>
        <v>Services &amp; other</v>
      </c>
      <c r="H1301" s="98" t="str">
        <f>VLOOKUP(F1301,'GL Category'!A:C,2,FALSE)</f>
        <v>PUBLIC EDUCATION SERVICES</v>
      </c>
      <c r="I1301" s="99">
        <f>SUMIFS(I$1:I1295,$C$1:$C1295,$C1301,$F$1:$F1295,$F1301)</f>
        <v>2021.23</v>
      </c>
      <c r="J1301" s="99">
        <f>SUMIFS(J$1:J1295,$C$1:$C1295,$C1301,$F$1:$F1295,$F1301)</f>
        <v>4469.5</v>
      </c>
      <c r="K1301" s="99">
        <f>SUMIFS(K$1:K1295,$C$1:$C1295,$C1301,$F$1:$F1295,$F1301)</f>
        <v>4599.8999999999996</v>
      </c>
      <c r="L1301" s="99">
        <f>SUMIFS(L$1:L1295,$C$1:$C1295,$C1301,$F$1:$F1295,$F1301)</f>
        <v>5798.26</v>
      </c>
      <c r="M1301" s="99">
        <f>SUMIFS(M$1:M1295,$C$1:$C1295,$C1301,$F$1:$F1295,$F1301)</f>
        <v>23000</v>
      </c>
      <c r="N1301" s="99">
        <f>SUMIFS(N$1:N1295,$C$1:$C1295,$C1301,$F$1:$F1295,$F1301)</f>
        <v>17496.78</v>
      </c>
      <c r="O1301" s="99">
        <f>SUMIFS(O$1:O1295,$C$1:$C1295,$C1301,$F$1:$F1295,$F1301)</f>
        <v>23000</v>
      </c>
      <c r="P1301" s="99">
        <f t="shared" ref="P1301:P1319" si="1673">O1301-M1301</f>
        <v>0</v>
      </c>
      <c r="Q1301" s="99">
        <f>SUMIFS(Q$1:Q1295,$C$1:$C1295,$C1301,$F$1:$F1295,$F1301)</f>
        <v>6650</v>
      </c>
      <c r="R1301" s="99">
        <f>SUMIFS(R$1:R1295,$C$1:$C1295,$C1301,$F$1:$F1295,$F1301)</f>
        <v>0</v>
      </c>
      <c r="S1301" s="99">
        <f>SUMIFS(S$1:S1295,$C$1:$C1295,$C1301,$F$1:$F1295,$F1301)</f>
        <v>0</v>
      </c>
      <c r="T1301" s="99">
        <f>SUMIFS(T$1:T1295,$C$1:$C1295,$C1301,$F$1:$F1295,$F1301)</f>
        <v>6650</v>
      </c>
      <c r="U1301" s="99">
        <f t="shared" ref="U1301:U1320" si="1674">T1301-M1301</f>
        <v>-16350</v>
      </c>
      <c r="V1301" s="255">
        <f t="shared" ref="V1301:V1320" si="1675">IF(M1301=0,"N/A",T1301/M1301-1)</f>
        <v>-0.71086956521739131</v>
      </c>
      <c r="W1301" s="102"/>
      <c r="X1301" s="102"/>
      <c r="Y1301" s="102">
        <f t="shared" ref="Y1301:Y1319" si="1676">T1301-X1301</f>
        <v>6650</v>
      </c>
      <c r="Z1301" s="309">
        <f>Y1301*(1+VLOOKUP($F1301,'GL Category'!$A:$H,4,FALSE))</f>
        <v>6849.5</v>
      </c>
      <c r="AA1301" s="615"/>
      <c r="AB1301" s="622">
        <f t="shared" ref="AB1301:AB1319" si="1677">Z1301+AA1301</f>
        <v>6849.5</v>
      </c>
      <c r="AC1301" s="633">
        <f>AB1301*(1+VLOOKUP($F1301,'GL Category'!$A:$H,5,FALSE))</f>
        <v>7054.9850000000006</v>
      </c>
      <c r="AD1301" s="307"/>
      <c r="AE1301" s="622">
        <f t="shared" ref="AE1301:AE1319" si="1678">AC1301+AD1301</f>
        <v>7054.9850000000006</v>
      </c>
      <c r="AF1301" s="633">
        <f>AE1301*(1+VLOOKUP($F1301,'GL Category'!$A:$H,6,FALSE))</f>
        <v>7266.6345500000007</v>
      </c>
      <c r="AG1301" s="307"/>
      <c r="AH1301" s="622">
        <f t="shared" ref="AH1301:AH1319" si="1679">AF1301+AG1301</f>
        <v>7266.6345500000007</v>
      </c>
      <c r="AI1301" s="633">
        <f>AH1301*(1+VLOOKUP($F1301,'GL Category'!$A:$H,7,FALSE))</f>
        <v>7484.633586500001</v>
      </c>
      <c r="AJ1301" s="307"/>
      <c r="AK1301" s="622">
        <f t="shared" ref="AK1301:AK1319" si="1680">AI1301+AJ1301</f>
        <v>7484.633586500001</v>
      </c>
      <c r="AL1301" s="633">
        <f>AK1301*(1+VLOOKUP($F1301,'GL Category'!$A:$H,8,FALSE))</f>
        <v>7709.1725940950009</v>
      </c>
      <c r="AM1301" s="307"/>
      <c r="AN1301" s="622">
        <f t="shared" ref="AN1301:AN1319" si="1681">AL1301+AM1301</f>
        <v>7709.1725940950009</v>
      </c>
      <c r="AO1301" s="307"/>
      <c r="AP1301" s="307"/>
      <c r="AQ1301" s="192"/>
    </row>
    <row r="1302" spans="1:59" s="115" customFormat="1" ht="15" customHeight="1">
      <c r="A1302" s="555"/>
      <c r="B1302" s="217"/>
      <c r="C1302" s="217">
        <v>35</v>
      </c>
      <c r="D1302" s="101"/>
      <c r="E1302" s="217"/>
      <c r="F1302" s="294" t="s">
        <v>189</v>
      </c>
      <c r="G1302" s="295" t="str">
        <f>VLOOKUP(F1302,'GL Category'!A:C,3,FALSE)</f>
        <v>Services &amp; other</v>
      </c>
      <c r="H1302" s="98" t="str">
        <f>VLOOKUP(F1302,'GL Category'!A:C,2,FALSE)</f>
        <v>DUES &amp; SUBSCRIPTIONS</v>
      </c>
      <c r="I1302" s="99">
        <f>SUMIFS(I$1:I1297,$C$1:$C1297,$C1302,$F$1:$F1297,$F1302)</f>
        <v>51189.88</v>
      </c>
      <c r="J1302" s="99">
        <f>SUMIFS(J$1:J1297,$C$1:$C1297,$C1302,$F$1:$F1297,$F1302)</f>
        <v>60915.579999999994</v>
      </c>
      <c r="K1302" s="99">
        <f>SUMIFS(K$1:K1297,$C$1:$C1297,$C1302,$F$1:$F1297,$F1302)</f>
        <v>64802.17</v>
      </c>
      <c r="L1302" s="99">
        <f>SUMIFS(L$1:L1297,$C$1:$C1297,$C1302,$F$1:$F1297,$F1302)</f>
        <v>69264.12</v>
      </c>
      <c r="M1302" s="99">
        <f>SUMIFS(M$1:M1297,$C$1:$C1297,$C1302,$F$1:$F1297,$F1302)</f>
        <v>81745</v>
      </c>
      <c r="N1302" s="99">
        <f>SUMIFS(N$1:N1297,$C$1:$C1297,$C1302,$F$1:$F1297,$F1302)</f>
        <v>65760.52</v>
      </c>
      <c r="O1302" s="99">
        <f>SUMIFS(O$1:O1297,$C$1:$C1297,$C1302,$F$1:$F1297,$F1302)</f>
        <v>79105</v>
      </c>
      <c r="P1302" s="99">
        <f t="shared" si="1673"/>
        <v>-2640</v>
      </c>
      <c r="Q1302" s="99">
        <f>SUMIFS(Q$1:Q1297,$C$1:$C1297,$C1302,$F$1:$F1297,$F1302)</f>
        <v>72109</v>
      </c>
      <c r="R1302" s="99">
        <f>SUMIFS(R$1:R1297,$C$1:$C1297,$C1302,$F$1:$F1297,$F1302)</f>
        <v>0</v>
      </c>
      <c r="S1302" s="99">
        <f>SUMIFS(S$1:S1297,$C$1:$C1297,$C1302,$F$1:$F1297,$F1302)</f>
        <v>0</v>
      </c>
      <c r="T1302" s="99">
        <f>SUMIFS(T$1:T1297,$C$1:$C1297,$C1302,$F$1:$F1297,$F1302)</f>
        <v>72109</v>
      </c>
      <c r="U1302" s="99">
        <f t="shared" si="1674"/>
        <v>-9636</v>
      </c>
      <c r="V1302" s="255">
        <f t="shared" si="1675"/>
        <v>-0.11787876934369079</v>
      </c>
      <c r="W1302" s="102"/>
      <c r="X1302" s="102"/>
      <c r="Y1302" s="102">
        <f t="shared" si="1676"/>
        <v>72109</v>
      </c>
      <c r="Z1302" s="309">
        <f>Y1302*(1+VLOOKUP($F1302,'GL Category'!$A:$H,4,FALSE))</f>
        <v>74272.27</v>
      </c>
      <c r="AA1302" s="615"/>
      <c r="AB1302" s="622">
        <f t="shared" si="1677"/>
        <v>74272.27</v>
      </c>
      <c r="AC1302" s="633">
        <f>AB1302*(1+VLOOKUP($F1302,'GL Category'!$A:$H,5,FALSE))</f>
        <v>76500.438099999999</v>
      </c>
      <c r="AD1302" s="307"/>
      <c r="AE1302" s="622">
        <f t="shared" si="1678"/>
        <v>76500.438099999999</v>
      </c>
      <c r="AF1302" s="633">
        <f>AE1302*(1+VLOOKUP($F1302,'GL Category'!$A:$H,6,FALSE))</f>
        <v>78795.451243000003</v>
      </c>
      <c r="AG1302" s="307"/>
      <c r="AH1302" s="622">
        <f t="shared" si="1679"/>
        <v>78795.451243000003</v>
      </c>
      <c r="AI1302" s="633">
        <f>AH1302*(1+VLOOKUP($F1302,'GL Category'!$A:$H,7,FALSE))</f>
        <v>81159.314780290006</v>
      </c>
      <c r="AJ1302" s="307"/>
      <c r="AK1302" s="622">
        <f t="shared" si="1680"/>
        <v>81159.314780290006</v>
      </c>
      <c r="AL1302" s="633">
        <f>AK1302*(1+VLOOKUP($F1302,'GL Category'!$A:$H,8,FALSE))</f>
        <v>83594.094223698703</v>
      </c>
      <c r="AM1302" s="307"/>
      <c r="AN1302" s="622">
        <f t="shared" si="1681"/>
        <v>83594.094223698703</v>
      </c>
      <c r="AO1302" s="307"/>
      <c r="AP1302" s="307"/>
      <c r="AQ1302" s="192"/>
    </row>
    <row r="1303" spans="1:59" s="115" customFormat="1" ht="15" customHeight="1">
      <c r="A1303" s="555"/>
      <c r="B1303" s="217"/>
      <c r="C1303" s="217">
        <v>35</v>
      </c>
      <c r="D1303" s="101"/>
      <c r="E1303" s="217"/>
      <c r="F1303" s="556" t="s">
        <v>264</v>
      </c>
      <c r="G1303" s="295" t="str">
        <f>VLOOKUP(F1303,'GL Category'!A:C,3,FALSE)</f>
        <v>Services &amp; other</v>
      </c>
      <c r="H1303" s="98" t="str">
        <f>VLOOKUP(F1303,'GL Category'!A:C,2,FALSE)</f>
        <v>TRAVEL, TRAINING &amp; EDUCATION</v>
      </c>
      <c r="I1303" s="99">
        <f>SUMIFS(I$1:I1298,$C$1:$C1298,$C1303,$F$1:$F1298,$F1303)</f>
        <v>41936.03</v>
      </c>
      <c r="J1303" s="99">
        <f>SUMIFS(J$1:J1298,$C$1:$C1298,$C1303,$F$1:$F1298,$F1303)</f>
        <v>34045.129999999997</v>
      </c>
      <c r="K1303" s="99">
        <f>SUMIFS(K$1:K1298,$C$1:$C1298,$C1303,$F$1:$F1298,$F1303)</f>
        <v>42576.020000000004</v>
      </c>
      <c r="L1303" s="99">
        <f>SUMIFS(L$1:L1298,$C$1:$C1298,$C1303,$F$1:$F1298,$F1303)</f>
        <v>70143.89</v>
      </c>
      <c r="M1303" s="99">
        <f>SUMIFS(M$1:M1298,$C$1:$C1298,$C1303,$F$1:$F1298,$F1303)</f>
        <v>65535</v>
      </c>
      <c r="N1303" s="99">
        <f>SUMIFS(N$1:N1298,$C$1:$C1298,$C1303,$F$1:$F1298,$F1303)</f>
        <v>47103.45</v>
      </c>
      <c r="O1303" s="99">
        <f>SUMIFS(O$1:O1298,$C$1:$C1298,$C1303,$F$1:$F1298,$F1303)</f>
        <v>80535</v>
      </c>
      <c r="P1303" s="99">
        <f t="shared" si="1673"/>
        <v>15000</v>
      </c>
      <c r="Q1303" s="99">
        <f>SUMIFS(Q$1:Q1298,$C$1:$C1298,$C1303,$F$1:$F1298,$F1303)</f>
        <v>80535</v>
      </c>
      <c r="R1303" s="99">
        <f>SUMIFS(R$1:R1298,$C$1:$C1298,$C1303,$F$1:$F1298,$F1303)</f>
        <v>0</v>
      </c>
      <c r="S1303" s="99">
        <f>SUMIFS(S$1:S1298,$C$1:$C1298,$C1303,$F$1:$F1298,$F1303)</f>
        <v>0</v>
      </c>
      <c r="T1303" s="99">
        <f>SUMIFS(T$1:T1298,$C$1:$C1298,$C1303,$F$1:$F1298,$F1303)</f>
        <v>80535</v>
      </c>
      <c r="U1303" s="99">
        <f t="shared" si="1674"/>
        <v>15000</v>
      </c>
      <c r="V1303" s="255">
        <f t="shared" si="1675"/>
        <v>0.2288853284504464</v>
      </c>
      <c r="W1303" s="102"/>
      <c r="X1303" s="102"/>
      <c r="Y1303" s="102">
        <f t="shared" si="1676"/>
        <v>80535</v>
      </c>
      <c r="Z1303" s="309">
        <f>Y1303*(1+VLOOKUP($F1303,'GL Category'!$A:$H,4,FALSE))</f>
        <v>82951.05</v>
      </c>
      <c r="AA1303" s="615"/>
      <c r="AB1303" s="622">
        <f t="shared" si="1677"/>
        <v>82951.05</v>
      </c>
      <c r="AC1303" s="633">
        <f>AB1303*(1+VLOOKUP($F1303,'GL Category'!$A:$H,5,FALSE))</f>
        <v>85439.5815</v>
      </c>
      <c r="AD1303" s="307"/>
      <c r="AE1303" s="622">
        <f t="shared" si="1678"/>
        <v>85439.5815</v>
      </c>
      <c r="AF1303" s="633">
        <f>AE1303*(1+VLOOKUP($F1303,'GL Category'!$A:$H,6,FALSE))</f>
        <v>88002.768945000003</v>
      </c>
      <c r="AG1303" s="307"/>
      <c r="AH1303" s="622">
        <f t="shared" si="1679"/>
        <v>88002.768945000003</v>
      </c>
      <c r="AI1303" s="633">
        <f>AH1303*(1+VLOOKUP($F1303,'GL Category'!$A:$H,7,FALSE))</f>
        <v>90642.852013349999</v>
      </c>
      <c r="AJ1303" s="307"/>
      <c r="AK1303" s="622">
        <f t="shared" si="1680"/>
        <v>90642.852013349999</v>
      </c>
      <c r="AL1303" s="633">
        <f>AK1303*(1+VLOOKUP($F1303,'GL Category'!$A:$H,8,FALSE))</f>
        <v>93362.1375737505</v>
      </c>
      <c r="AM1303" s="307"/>
      <c r="AN1303" s="622">
        <f t="shared" si="1681"/>
        <v>93362.1375737505</v>
      </c>
      <c r="AO1303" s="307"/>
      <c r="AP1303" s="307"/>
      <c r="AQ1303" s="192"/>
    </row>
    <row r="1304" spans="1:59" s="115" customFormat="1" ht="15" customHeight="1">
      <c r="A1304" s="555"/>
      <c r="B1304" s="217"/>
      <c r="C1304" s="217">
        <v>35</v>
      </c>
      <c r="D1304" s="101"/>
      <c r="E1304" s="217"/>
      <c r="F1304" s="294" t="s">
        <v>194</v>
      </c>
      <c r="G1304" s="295" t="str">
        <f>VLOOKUP(F1304,'GL Category'!A:C,3,FALSE)</f>
        <v>Services &amp; other</v>
      </c>
      <c r="H1304" s="98" t="str">
        <f>VLOOKUP(F1304,'GL Category'!A:C,2,FALSE)</f>
        <v>MEDICAL SERVICES</v>
      </c>
      <c r="I1304" s="99">
        <f>SUMIFS(I$1:I1299,$C$1:$C1299,$C1304,$F$1:$F1299,$F1304)</f>
        <v>13900</v>
      </c>
      <c r="J1304" s="99">
        <f>SUMIFS(J$1:J1299,$C$1:$C1299,$C1304,$F$1:$F1299,$F1304)</f>
        <v>14206.6</v>
      </c>
      <c r="K1304" s="99">
        <f>SUMIFS(K$1:K1299,$C$1:$C1299,$C1304,$F$1:$F1299,$F1304)</f>
        <v>13095</v>
      </c>
      <c r="L1304" s="99">
        <f>SUMIFS(L$1:L1299,$C$1:$C1299,$C1304,$F$1:$F1299,$F1304)</f>
        <v>0</v>
      </c>
      <c r="M1304" s="99">
        <f>SUMIFS(M$1:M1299,$C$1:$C1299,$C1304,$F$1:$F1299,$F1304)</f>
        <v>2600</v>
      </c>
      <c r="N1304" s="99">
        <f>SUMIFS(N$1:N1299,$C$1:$C1299,$C1304,$F$1:$F1299,$F1304)</f>
        <v>0</v>
      </c>
      <c r="O1304" s="99">
        <f>SUMIFS(O$1:O1299,$C$1:$C1299,$C1304,$F$1:$F1299,$F1304)</f>
        <v>2600</v>
      </c>
      <c r="P1304" s="99">
        <f t="shared" si="1673"/>
        <v>0</v>
      </c>
      <c r="Q1304" s="99">
        <f>SUMIFS(Q$1:Q1299,$C$1:$C1299,$C1304,$F$1:$F1299,$F1304)</f>
        <v>2600</v>
      </c>
      <c r="R1304" s="99">
        <f>SUMIFS(R$1:R1299,$C$1:$C1299,$C1304,$F$1:$F1299,$F1304)</f>
        <v>0</v>
      </c>
      <c r="S1304" s="99">
        <f>SUMIFS(S$1:S1299,$C$1:$C1299,$C1304,$F$1:$F1299,$F1304)</f>
        <v>0</v>
      </c>
      <c r="T1304" s="99">
        <f>SUMIFS(T$1:T1299,$C$1:$C1299,$C1304,$F$1:$F1299,$F1304)</f>
        <v>2600</v>
      </c>
      <c r="U1304" s="99">
        <f t="shared" si="1674"/>
        <v>0</v>
      </c>
      <c r="V1304" s="255">
        <f t="shared" si="1675"/>
        <v>0</v>
      </c>
      <c r="W1304" s="102"/>
      <c r="X1304" s="102"/>
      <c r="Y1304" s="102">
        <f t="shared" si="1676"/>
        <v>2600</v>
      </c>
      <c r="Z1304" s="309">
        <f>Y1304*(1+VLOOKUP($F1304,'GL Category'!$A:$H,4,FALSE))</f>
        <v>2678</v>
      </c>
      <c r="AA1304" s="615"/>
      <c r="AB1304" s="622">
        <f t="shared" si="1677"/>
        <v>2678</v>
      </c>
      <c r="AC1304" s="633">
        <f>AB1304*(1+VLOOKUP($F1304,'GL Category'!$A:$H,5,FALSE))</f>
        <v>2758.34</v>
      </c>
      <c r="AD1304" s="307"/>
      <c r="AE1304" s="622">
        <f t="shared" si="1678"/>
        <v>2758.34</v>
      </c>
      <c r="AF1304" s="633">
        <f>AE1304*(1+VLOOKUP($F1304,'GL Category'!$A:$H,6,FALSE))</f>
        <v>2841.0902000000001</v>
      </c>
      <c r="AG1304" s="307"/>
      <c r="AH1304" s="622">
        <f t="shared" si="1679"/>
        <v>2841.0902000000001</v>
      </c>
      <c r="AI1304" s="633">
        <f>AH1304*(1+VLOOKUP($F1304,'GL Category'!$A:$H,7,FALSE))</f>
        <v>2926.3229060000003</v>
      </c>
      <c r="AJ1304" s="307"/>
      <c r="AK1304" s="622">
        <f t="shared" si="1680"/>
        <v>2926.3229060000003</v>
      </c>
      <c r="AL1304" s="633">
        <f>AK1304*(1+VLOOKUP($F1304,'GL Category'!$A:$H,8,FALSE))</f>
        <v>3014.1125931800002</v>
      </c>
      <c r="AM1304" s="307"/>
      <c r="AN1304" s="622">
        <f t="shared" si="1681"/>
        <v>3014.1125931800002</v>
      </c>
      <c r="AO1304" s="307"/>
      <c r="AP1304" s="307"/>
      <c r="AQ1304" s="192"/>
    </row>
    <row r="1305" spans="1:59" s="115" customFormat="1" ht="15" customHeight="1">
      <c r="A1305" s="555"/>
      <c r="B1305" s="217"/>
      <c r="C1305" s="217">
        <v>35</v>
      </c>
      <c r="D1305" s="101"/>
      <c r="E1305" s="217"/>
      <c r="F1305" s="294" t="s">
        <v>198</v>
      </c>
      <c r="G1305" s="295" t="str">
        <f>VLOOKUP(F1305,'GL Category'!A:C,3,FALSE)</f>
        <v>Services &amp; other</v>
      </c>
      <c r="H1305" s="98" t="str">
        <f>VLOOKUP(F1305,'GL Category'!A:C,2,FALSE)</f>
        <v>EQUIPMENT RENTAL</v>
      </c>
      <c r="I1305" s="99">
        <f>SUMIFS(I$1:I1300,$C$1:$C1300,$C1305,$F$1:$F1300,$F1305)</f>
        <v>0</v>
      </c>
      <c r="J1305" s="99">
        <f>SUMIFS(J$1:J1300,$C$1:$C1300,$C1305,$F$1:$F1300,$F1305)</f>
        <v>0</v>
      </c>
      <c r="K1305" s="99">
        <f>SUMIFS(K$1:K1300,$C$1:$C1300,$C1305,$F$1:$F1300,$F1305)</f>
        <v>0</v>
      </c>
      <c r="L1305" s="99">
        <f>SUMIFS(L$1:L1300,$C$1:$C1300,$C1305,$F$1:$F1300,$F1305)</f>
        <v>0</v>
      </c>
      <c r="M1305" s="99">
        <f>SUMIFS(M$1:M1300,$C$1:$C1300,$C1305,$F$1:$F1300,$F1305)</f>
        <v>0</v>
      </c>
      <c r="N1305" s="99">
        <f>SUMIFS(N$1:N1300,$C$1:$C1300,$C1305,$F$1:$F1300,$F1305)</f>
        <v>0</v>
      </c>
      <c r="O1305" s="99">
        <f>SUMIFS(O$1:O1300,$C$1:$C1300,$C1305,$F$1:$F1300,$F1305)</f>
        <v>0</v>
      </c>
      <c r="P1305" s="99">
        <f t="shared" si="1673"/>
        <v>0</v>
      </c>
      <c r="Q1305" s="99">
        <f>SUMIFS(Q$1:Q1300,$C$1:$C1300,$C1305,$F$1:$F1300,$F1305)</f>
        <v>0</v>
      </c>
      <c r="R1305" s="99">
        <f>SUMIFS(R$1:R1300,$C$1:$C1300,$C1305,$F$1:$F1300,$F1305)</f>
        <v>0</v>
      </c>
      <c r="S1305" s="99">
        <f>SUMIFS(S$1:S1300,$C$1:$C1300,$C1305,$F$1:$F1300,$F1305)</f>
        <v>0</v>
      </c>
      <c r="T1305" s="99">
        <f>SUMIFS(T$1:T1300,$C$1:$C1300,$C1305,$F$1:$F1300,$F1305)</f>
        <v>0</v>
      </c>
      <c r="U1305" s="99">
        <f t="shared" si="1674"/>
        <v>0</v>
      </c>
      <c r="V1305" s="255" t="str">
        <f t="shared" si="1675"/>
        <v>N/A</v>
      </c>
      <c r="W1305" s="102"/>
      <c r="X1305" s="102"/>
      <c r="Y1305" s="102">
        <f t="shared" si="1676"/>
        <v>0</v>
      </c>
      <c r="Z1305" s="309">
        <f>Y1305*(1+VLOOKUP($F1305,'GL Category'!$A:$H,4,FALSE))</f>
        <v>0</v>
      </c>
      <c r="AA1305" s="615"/>
      <c r="AB1305" s="622">
        <f t="shared" si="1677"/>
        <v>0</v>
      </c>
      <c r="AC1305" s="633">
        <f>AB1305*(1+VLOOKUP($F1305,'GL Category'!$A:$H,5,FALSE))</f>
        <v>0</v>
      </c>
      <c r="AD1305" s="307"/>
      <c r="AE1305" s="622">
        <f t="shared" si="1678"/>
        <v>0</v>
      </c>
      <c r="AF1305" s="633">
        <f>AE1305*(1+VLOOKUP($F1305,'GL Category'!$A:$H,6,FALSE))</f>
        <v>0</v>
      </c>
      <c r="AG1305" s="307"/>
      <c r="AH1305" s="622">
        <f t="shared" si="1679"/>
        <v>0</v>
      </c>
      <c r="AI1305" s="633">
        <f>AH1305*(1+VLOOKUP($F1305,'GL Category'!$A:$H,7,FALSE))</f>
        <v>0</v>
      </c>
      <c r="AJ1305" s="307"/>
      <c r="AK1305" s="622">
        <f t="shared" si="1680"/>
        <v>0</v>
      </c>
      <c r="AL1305" s="633">
        <f>AK1305*(1+VLOOKUP($F1305,'GL Category'!$A:$H,8,FALSE))</f>
        <v>0</v>
      </c>
      <c r="AM1305" s="307"/>
      <c r="AN1305" s="622">
        <f t="shared" si="1681"/>
        <v>0</v>
      </c>
      <c r="AO1305" s="307"/>
      <c r="AP1305" s="307"/>
      <c r="AQ1305" s="192"/>
    </row>
    <row r="1306" spans="1:59" s="115" customFormat="1" ht="15" customHeight="1">
      <c r="A1306" s="555"/>
      <c r="B1306" s="217"/>
      <c r="C1306" s="217">
        <v>35</v>
      </c>
      <c r="D1306" s="101"/>
      <c r="E1306" s="217"/>
      <c r="F1306" s="294" t="s">
        <v>257</v>
      </c>
      <c r="G1306" s="295" t="str">
        <f>VLOOKUP(F1306,'GL Category'!A:C,3,FALSE)</f>
        <v>Services &amp; other</v>
      </c>
      <c r="H1306" s="98" t="str">
        <f>VLOOKUP(F1306,'GL Category'!A:C,2,FALSE)</f>
        <v>EMPLOYEE ACTIVITIES</v>
      </c>
      <c r="I1306" s="99">
        <f>SUMIFS(I$1:I1301,$C$1:$C1301,$C1306,$F$1:$F1301,$F1306)</f>
        <v>1211.04</v>
      </c>
      <c r="J1306" s="99">
        <f>SUMIFS(J$1:J1301,$C$1:$C1301,$C1306,$F$1:$F1301,$F1306)</f>
        <v>2058.46</v>
      </c>
      <c r="K1306" s="99">
        <f>SUMIFS(K$1:K1301,$C$1:$C1301,$C1306,$F$1:$F1301,$F1306)</f>
        <v>433</v>
      </c>
      <c r="L1306" s="99">
        <f>SUMIFS(L$1:L1301,$C$1:$C1301,$C1306,$F$1:$F1301,$F1306)</f>
        <v>1844.71</v>
      </c>
      <c r="M1306" s="99">
        <f>SUMIFS(M$1:M1301,$C$1:$C1301,$C1306,$F$1:$F1301,$F1306)</f>
        <v>2000</v>
      </c>
      <c r="N1306" s="99">
        <f>SUMIFS(N$1:N1301,$C$1:$C1301,$C1306,$F$1:$F1301,$F1306)</f>
        <v>2342.88</v>
      </c>
      <c r="O1306" s="99">
        <f>SUMIFS(O$1:O1301,$C$1:$C1301,$C1306,$F$1:$F1301,$F1306)</f>
        <v>2000</v>
      </c>
      <c r="P1306" s="99">
        <f t="shared" si="1673"/>
        <v>0</v>
      </c>
      <c r="Q1306" s="99">
        <f>SUMIFS(Q$1:Q1301,$C$1:$C1301,$C1306,$F$1:$F1301,$F1306)</f>
        <v>2000</v>
      </c>
      <c r="R1306" s="99">
        <f>SUMIFS(R$1:R1301,$C$1:$C1301,$C1306,$F$1:$F1301,$F1306)</f>
        <v>0</v>
      </c>
      <c r="S1306" s="99">
        <f>SUMIFS(S$1:S1301,$C$1:$C1301,$C1306,$F$1:$F1301,$F1306)</f>
        <v>0</v>
      </c>
      <c r="T1306" s="99">
        <f>SUMIFS(T$1:T1301,$C$1:$C1301,$C1306,$F$1:$F1301,$F1306)</f>
        <v>2000</v>
      </c>
      <c r="U1306" s="99">
        <f t="shared" si="1674"/>
        <v>0</v>
      </c>
      <c r="V1306" s="255">
        <f t="shared" si="1675"/>
        <v>0</v>
      </c>
      <c r="W1306" s="102"/>
      <c r="X1306" s="102"/>
      <c r="Y1306" s="102">
        <f t="shared" si="1676"/>
        <v>2000</v>
      </c>
      <c r="Z1306" s="309">
        <f>Y1306*(1+VLOOKUP($F1306,'GL Category'!$A:$H,4,FALSE))</f>
        <v>2060</v>
      </c>
      <c r="AA1306" s="615"/>
      <c r="AB1306" s="622">
        <f t="shared" si="1677"/>
        <v>2060</v>
      </c>
      <c r="AC1306" s="633">
        <f>AB1306*(1+VLOOKUP($F1306,'GL Category'!$A:$H,5,FALSE))</f>
        <v>2121.8000000000002</v>
      </c>
      <c r="AD1306" s="307"/>
      <c r="AE1306" s="622">
        <f t="shared" si="1678"/>
        <v>2121.8000000000002</v>
      </c>
      <c r="AF1306" s="633">
        <f>AE1306*(1+VLOOKUP($F1306,'GL Category'!$A:$H,6,FALSE))</f>
        <v>2185.4540000000002</v>
      </c>
      <c r="AG1306" s="307"/>
      <c r="AH1306" s="622">
        <f t="shared" si="1679"/>
        <v>2185.4540000000002</v>
      </c>
      <c r="AI1306" s="633">
        <f>AH1306*(1+VLOOKUP($F1306,'GL Category'!$A:$H,7,FALSE))</f>
        <v>2251.0176200000001</v>
      </c>
      <c r="AJ1306" s="307"/>
      <c r="AK1306" s="622">
        <f t="shared" si="1680"/>
        <v>2251.0176200000001</v>
      </c>
      <c r="AL1306" s="633">
        <f>AK1306*(1+VLOOKUP($F1306,'GL Category'!$A:$H,8,FALSE))</f>
        <v>2318.5481486000003</v>
      </c>
      <c r="AM1306" s="307"/>
      <c r="AN1306" s="622">
        <f t="shared" si="1681"/>
        <v>2318.5481486000003</v>
      </c>
      <c r="AO1306" s="307"/>
      <c r="AP1306" s="307"/>
      <c r="AQ1306" s="192"/>
    </row>
    <row r="1307" spans="1:59" s="115" customFormat="1" ht="15" customHeight="1">
      <c r="A1307" s="555"/>
      <c r="B1307" s="217"/>
      <c r="C1307" s="217">
        <v>35</v>
      </c>
      <c r="D1307" s="101"/>
      <c r="E1307" s="217"/>
      <c r="F1307" s="294" t="s">
        <v>199</v>
      </c>
      <c r="G1307" s="295" t="str">
        <f>VLOOKUP(F1307,'GL Category'!A:C,3,FALSE)</f>
        <v>Services &amp; other</v>
      </c>
      <c r="H1307" s="98" t="str">
        <f>VLOOKUP(F1307,'GL Category'!A:C,2,FALSE)</f>
        <v>EMPLOYEE RECRUITING/TESTING</v>
      </c>
      <c r="I1307" s="99">
        <f>SUMIFS(I$1:I1301,$C$1:$C1301,$C1307,$F$1:$F1301,$F1307)</f>
        <v>405</v>
      </c>
      <c r="J1307" s="99">
        <f>SUMIFS(J$1:J1301,$C$1:$C1301,$C1307,$F$1:$F1301,$F1307)</f>
        <v>850</v>
      </c>
      <c r="K1307" s="99">
        <f>SUMIFS(K$1:K1301,$C$1:$C1301,$C1307,$F$1:$F1301,$F1307)</f>
        <v>800</v>
      </c>
      <c r="L1307" s="99">
        <f>SUMIFS(L$1:L1301,$C$1:$C1301,$C1307,$F$1:$F1301,$F1307)</f>
        <v>111.64</v>
      </c>
      <c r="M1307" s="99">
        <f>SUMIFS(M$1:M1301,$C$1:$C1301,$C1307,$F$1:$F1301,$F1307)</f>
        <v>1600</v>
      </c>
      <c r="N1307" s="99">
        <f>SUMIFS(N$1:N1301,$C$1:$C1301,$C1307,$F$1:$F1301,$F1307)</f>
        <v>0</v>
      </c>
      <c r="O1307" s="99">
        <f>SUMIFS(O$1:O1301,$C$1:$C1301,$C1307,$F$1:$F1301,$F1307)</f>
        <v>0</v>
      </c>
      <c r="P1307" s="99">
        <f t="shared" si="1673"/>
        <v>-1600</v>
      </c>
      <c r="Q1307" s="99">
        <f>SUMIFS(Q$1:Q1301,$C$1:$C1301,$C1307,$F$1:$F1301,$F1307)</f>
        <v>1600</v>
      </c>
      <c r="R1307" s="99">
        <f>SUMIFS(R$1:R1301,$C$1:$C1301,$C1307,$F$1:$F1301,$F1307)</f>
        <v>0</v>
      </c>
      <c r="S1307" s="99">
        <f>SUMIFS(S$1:S1301,$C$1:$C1301,$C1307,$F$1:$F1301,$F1307)</f>
        <v>0</v>
      </c>
      <c r="T1307" s="99">
        <f>SUMIFS(T$1:T1301,$C$1:$C1301,$C1307,$F$1:$F1301,$F1307)</f>
        <v>1600</v>
      </c>
      <c r="U1307" s="99">
        <f t="shared" si="1674"/>
        <v>0</v>
      </c>
      <c r="V1307" s="255">
        <f t="shared" si="1675"/>
        <v>0</v>
      </c>
      <c r="W1307" s="102"/>
      <c r="X1307" s="102"/>
      <c r="Y1307" s="102">
        <f t="shared" si="1676"/>
        <v>1600</v>
      </c>
      <c r="Z1307" s="309">
        <f>Y1307*(1+VLOOKUP($F1307,'GL Category'!$A:$H,4,FALSE))</f>
        <v>1648</v>
      </c>
      <c r="AA1307" s="615"/>
      <c r="AB1307" s="622">
        <f t="shared" si="1677"/>
        <v>1648</v>
      </c>
      <c r="AC1307" s="633">
        <f>AB1307*(1+VLOOKUP($F1307,'GL Category'!$A:$H,5,FALSE))</f>
        <v>1697.44</v>
      </c>
      <c r="AD1307" s="307"/>
      <c r="AE1307" s="622">
        <f t="shared" si="1678"/>
        <v>1697.44</v>
      </c>
      <c r="AF1307" s="633">
        <f>AE1307*(1+VLOOKUP($F1307,'GL Category'!$A:$H,6,FALSE))</f>
        <v>1748.3632</v>
      </c>
      <c r="AG1307" s="307"/>
      <c r="AH1307" s="622">
        <f t="shared" si="1679"/>
        <v>1748.3632</v>
      </c>
      <c r="AI1307" s="633">
        <f>AH1307*(1+VLOOKUP($F1307,'GL Category'!$A:$H,7,FALSE))</f>
        <v>1800.8140960000001</v>
      </c>
      <c r="AJ1307" s="307"/>
      <c r="AK1307" s="622">
        <f t="shared" si="1680"/>
        <v>1800.8140960000001</v>
      </c>
      <c r="AL1307" s="633">
        <f>AK1307*(1+VLOOKUP($F1307,'GL Category'!$A:$H,8,FALSE))</f>
        <v>1854.83851888</v>
      </c>
      <c r="AM1307" s="307"/>
      <c r="AN1307" s="622">
        <f t="shared" si="1681"/>
        <v>1854.83851888</v>
      </c>
      <c r="AO1307" s="307"/>
      <c r="AP1307" s="307"/>
      <c r="AQ1307" s="192"/>
    </row>
    <row r="1308" spans="1:59" s="115" customFormat="1" ht="15" customHeight="1">
      <c r="A1308" s="555"/>
      <c r="B1308" s="217"/>
      <c r="C1308" s="217">
        <v>35</v>
      </c>
      <c r="D1308" s="101"/>
      <c r="E1308" s="217"/>
      <c r="F1308" s="294" t="s">
        <v>842</v>
      </c>
      <c r="G1308" s="295" t="str">
        <f>VLOOKUP(F1308,'GL Category'!A:C,3,FALSE)</f>
        <v>Services &amp; other</v>
      </c>
      <c r="H1308" s="98" t="str">
        <f>VLOOKUP(F1308,'GL Category'!A:C,2,FALSE)</f>
        <v>AMBULANCE BILLING FEES</v>
      </c>
      <c r="I1308" s="99">
        <f>SUMIFS(I$1:I1301,$C$1:$C1301,$C1308,$F$1:$F1301,$F1308)</f>
        <v>93447.56</v>
      </c>
      <c r="J1308" s="99">
        <f>SUMIFS(J$1:J1301,$C$1:$C1301,$C1308,$F$1:$F1301,$F1308)</f>
        <v>113443.81</v>
      </c>
      <c r="K1308" s="99">
        <f>SUMIFS(K$1:K1301,$C$1:$C1301,$C1308,$F$1:$F1301,$F1308)</f>
        <v>122834.49</v>
      </c>
      <c r="L1308" s="99">
        <f>SUMIFS(L$1:L1301,$C$1:$C1301,$C1308,$F$1:$F1301,$F1308)</f>
        <v>122189.61</v>
      </c>
      <c r="M1308" s="99">
        <f>SUMIFS(M$1:M1301,$C$1:$C1301,$C1308,$F$1:$F1301,$F1308)</f>
        <v>115000</v>
      </c>
      <c r="N1308" s="99">
        <f>SUMIFS(N$1:N1301,$C$1:$C1301,$C1308,$F$1:$F1301,$F1308)</f>
        <v>112314.54</v>
      </c>
      <c r="O1308" s="99">
        <f>SUMIFS(O$1:O1301,$C$1:$C1301,$C1308,$F$1:$F1301,$F1308)</f>
        <v>120000</v>
      </c>
      <c r="P1308" s="99">
        <f>O1308-M1308</f>
        <v>5000</v>
      </c>
      <c r="Q1308" s="99">
        <f>SUMIFS(Q$1:Q1301,$C$1:$C1301,$C1308,$F$1:$F1301,$F1308)</f>
        <v>115000</v>
      </c>
      <c r="R1308" s="99">
        <f>SUMIFS(R$1:R1301,$C$1:$C1301,$C1308,$F$1:$F1301,$F1308)</f>
        <v>10000</v>
      </c>
      <c r="S1308" s="99">
        <f>SUMIFS(S$1:S1301,$C$1:$C1301,$C1308,$F$1:$F1301,$F1308)</f>
        <v>0</v>
      </c>
      <c r="T1308" s="99">
        <f>SUMIFS(T$1:T1301,$C$1:$C1301,$C1308,$F$1:$F1301,$F1308)</f>
        <v>125000</v>
      </c>
      <c r="U1308" s="99">
        <f t="shared" si="1674"/>
        <v>10000</v>
      </c>
      <c r="V1308" s="255">
        <f t="shared" si="1675"/>
        <v>8.6956521739130377E-2</v>
      </c>
      <c r="W1308" s="102"/>
      <c r="X1308" s="102"/>
      <c r="Y1308" s="102">
        <f t="shared" si="1676"/>
        <v>125000</v>
      </c>
      <c r="Z1308" s="309">
        <f>Y1308*(1+VLOOKUP($F1308,'GL Category'!$A:$H,4,FALSE))</f>
        <v>128750</v>
      </c>
      <c r="AA1308" s="615"/>
      <c r="AB1308" s="622">
        <f t="shared" si="1677"/>
        <v>128750</v>
      </c>
      <c r="AC1308" s="633">
        <f>AB1308*(1+VLOOKUP($F1308,'GL Category'!$A:$H,5,FALSE))</f>
        <v>132612.5</v>
      </c>
      <c r="AD1308" s="307"/>
      <c r="AE1308" s="622">
        <f t="shared" si="1678"/>
        <v>132612.5</v>
      </c>
      <c r="AF1308" s="633">
        <f>AE1308*(1+VLOOKUP($F1308,'GL Category'!$A:$H,6,FALSE))</f>
        <v>136590.875</v>
      </c>
      <c r="AG1308" s="307"/>
      <c r="AH1308" s="622">
        <f t="shared" si="1679"/>
        <v>136590.875</v>
      </c>
      <c r="AI1308" s="633">
        <f>AH1308*(1+VLOOKUP($F1308,'GL Category'!$A:$H,7,FALSE))</f>
        <v>140688.60125000001</v>
      </c>
      <c r="AJ1308" s="307"/>
      <c r="AK1308" s="622">
        <f t="shared" si="1680"/>
        <v>140688.60125000001</v>
      </c>
      <c r="AL1308" s="633">
        <f>AK1308*(1+VLOOKUP($F1308,'GL Category'!$A:$H,8,FALSE))</f>
        <v>144909.2592875</v>
      </c>
      <c r="AM1308" s="307"/>
      <c r="AN1308" s="622">
        <f t="shared" si="1681"/>
        <v>144909.2592875</v>
      </c>
      <c r="AO1308" s="307"/>
      <c r="AP1308" s="307"/>
      <c r="AQ1308" s="192"/>
    </row>
    <row r="1309" spans="1:59" s="115" customFormat="1" ht="15" customHeight="1">
      <c r="A1309" s="555"/>
      <c r="B1309" s="217"/>
      <c r="C1309" s="217">
        <v>35</v>
      </c>
      <c r="D1309" s="101"/>
      <c r="E1309" s="217"/>
      <c r="F1309" s="294" t="s">
        <v>202</v>
      </c>
      <c r="G1309" s="295" t="str">
        <f>VLOOKUP(F1309,'GL Category'!A:C,3,FALSE)</f>
        <v>Services &amp; other</v>
      </c>
      <c r="H1309" s="98" t="str">
        <f>VLOOKUP(F1309,'GL Category'!A:C,2,FALSE)</f>
        <v>PRINTING &amp; BINDING SERVICES</v>
      </c>
      <c r="I1309" s="99">
        <f>SUMIFS(I$1:I1302,$C$1:$C1302,$C1309,$F$1:$F1302,$F1309)</f>
        <v>0</v>
      </c>
      <c r="J1309" s="99">
        <f>SUMIFS(J$1:J1302,$C$1:$C1302,$C1309,$F$1:$F1302,$F1309)</f>
        <v>0</v>
      </c>
      <c r="K1309" s="99">
        <f>SUMIFS(K$1:K1302,$C$1:$C1302,$C1309,$F$1:$F1302,$F1309)</f>
        <v>0</v>
      </c>
      <c r="L1309" s="99">
        <f>SUMIFS(L$1:L1302,$C$1:$C1302,$C1309,$F$1:$F1302,$F1309)</f>
        <v>0</v>
      </c>
      <c r="M1309" s="99">
        <f>SUMIFS(M$1:M1302,$C$1:$C1302,$C1309,$F$1:$F1302,$F1309)</f>
        <v>0</v>
      </c>
      <c r="N1309" s="99">
        <f>SUMIFS(N$1:N1302,$C$1:$C1302,$C1309,$F$1:$F1302,$F1309)</f>
        <v>0</v>
      </c>
      <c r="O1309" s="99">
        <f>SUMIFS(O$1:O1302,$C$1:$C1302,$C1309,$F$1:$F1302,$F1309)</f>
        <v>0</v>
      </c>
      <c r="P1309" s="99">
        <f t="shared" si="1673"/>
        <v>0</v>
      </c>
      <c r="Q1309" s="99">
        <f>SUMIFS(Q$1:Q1302,$C$1:$C1302,$C1309,$F$1:$F1302,$F1309)</f>
        <v>0</v>
      </c>
      <c r="R1309" s="99">
        <f>SUMIFS(R$1:R1302,$C$1:$C1302,$C1309,$F$1:$F1302,$F1309)</f>
        <v>0</v>
      </c>
      <c r="S1309" s="99">
        <f>SUMIFS(S$1:S1302,$C$1:$C1302,$C1309,$F$1:$F1302,$F1309)</f>
        <v>0</v>
      </c>
      <c r="T1309" s="99">
        <f>SUMIFS(T$1:T1302,$C$1:$C1302,$C1309,$F$1:$F1302,$F1309)</f>
        <v>0</v>
      </c>
      <c r="U1309" s="99">
        <f t="shared" si="1674"/>
        <v>0</v>
      </c>
      <c r="V1309" s="255" t="str">
        <f t="shared" si="1675"/>
        <v>N/A</v>
      </c>
      <c r="W1309" s="102"/>
      <c r="X1309" s="102"/>
      <c r="Y1309" s="102">
        <f t="shared" si="1676"/>
        <v>0</v>
      </c>
      <c r="Z1309" s="309">
        <f>Y1309*(1+VLOOKUP($F1309,'GL Category'!$A:$H,4,FALSE))</f>
        <v>0</v>
      </c>
      <c r="AA1309" s="615"/>
      <c r="AB1309" s="622">
        <f t="shared" si="1677"/>
        <v>0</v>
      </c>
      <c r="AC1309" s="633">
        <f>AB1309*(1+VLOOKUP($F1309,'GL Category'!$A:$H,5,FALSE))</f>
        <v>0</v>
      </c>
      <c r="AD1309" s="307"/>
      <c r="AE1309" s="622">
        <f t="shared" si="1678"/>
        <v>0</v>
      </c>
      <c r="AF1309" s="633">
        <f>AE1309*(1+VLOOKUP($F1309,'GL Category'!$A:$H,6,FALSE))</f>
        <v>0</v>
      </c>
      <c r="AG1309" s="307"/>
      <c r="AH1309" s="622">
        <f t="shared" si="1679"/>
        <v>0</v>
      </c>
      <c r="AI1309" s="633">
        <f>AH1309*(1+VLOOKUP($F1309,'GL Category'!$A:$H,7,FALSE))</f>
        <v>0</v>
      </c>
      <c r="AJ1309" s="307"/>
      <c r="AK1309" s="622">
        <f t="shared" si="1680"/>
        <v>0</v>
      </c>
      <c r="AL1309" s="633">
        <f>AK1309*(1+VLOOKUP($F1309,'GL Category'!$A:$H,8,FALSE))</f>
        <v>0</v>
      </c>
      <c r="AM1309" s="307"/>
      <c r="AN1309" s="622">
        <f t="shared" si="1681"/>
        <v>0</v>
      </c>
      <c r="AO1309" s="307"/>
      <c r="AP1309" s="307"/>
      <c r="AQ1309" s="192"/>
    </row>
    <row r="1310" spans="1:59" s="115" customFormat="1" ht="15" customHeight="1">
      <c r="A1310" s="555"/>
      <c r="B1310" s="217"/>
      <c r="C1310" s="217">
        <v>35</v>
      </c>
      <c r="D1310" s="101"/>
      <c r="E1310" s="217"/>
      <c r="F1310" s="294" t="s">
        <v>206</v>
      </c>
      <c r="G1310" s="295" t="str">
        <f>VLOOKUP(F1310,'GL Category'!A:C,3,FALSE)</f>
        <v>Services &amp; other</v>
      </c>
      <c r="H1310" s="98" t="str">
        <f>VLOOKUP(F1310,'GL Category'!A:C,2,FALSE)</f>
        <v>FREIGHT &amp; EXPRESS SERVICES</v>
      </c>
      <c r="I1310" s="99">
        <f>SUMIFS(I$1:I1303,$C$1:$C1303,$C1310,$F$1:$F1303,$F1310)</f>
        <v>0</v>
      </c>
      <c r="J1310" s="99">
        <f>SUMIFS(J$1:J1303,$C$1:$C1303,$C1310,$F$1:$F1303,$F1310)</f>
        <v>0</v>
      </c>
      <c r="K1310" s="99">
        <f>SUMIFS(K$1:K1303,$C$1:$C1303,$C1310,$F$1:$F1303,$F1310)</f>
        <v>0</v>
      </c>
      <c r="L1310" s="99">
        <f>SUMIFS(L$1:L1303,$C$1:$C1303,$C1310,$F$1:$F1303,$F1310)</f>
        <v>0</v>
      </c>
      <c r="M1310" s="99">
        <f>SUMIFS(M$1:M1303,$C$1:$C1303,$C1310,$F$1:$F1303,$F1310)</f>
        <v>0</v>
      </c>
      <c r="N1310" s="99">
        <f>SUMIFS(N$1:N1303,$C$1:$C1303,$C1310,$F$1:$F1303,$F1310)</f>
        <v>0</v>
      </c>
      <c r="O1310" s="99">
        <f>SUMIFS(O$1:O1303,$C$1:$C1303,$C1310,$F$1:$F1303,$F1310)</f>
        <v>0</v>
      </c>
      <c r="P1310" s="99">
        <f t="shared" si="1673"/>
        <v>0</v>
      </c>
      <c r="Q1310" s="99">
        <f>SUMIFS(Q$1:Q1303,$C$1:$C1303,$C1310,$F$1:$F1303,$F1310)</f>
        <v>0</v>
      </c>
      <c r="R1310" s="99">
        <f>SUMIFS(R$1:R1303,$C$1:$C1303,$C1310,$F$1:$F1303,$F1310)</f>
        <v>0</v>
      </c>
      <c r="S1310" s="99">
        <f>SUMIFS(S$1:S1303,$C$1:$C1303,$C1310,$F$1:$F1303,$F1310)</f>
        <v>0</v>
      </c>
      <c r="T1310" s="99">
        <f>SUMIFS(T$1:T1303,$C$1:$C1303,$C1310,$F$1:$F1303,$F1310)</f>
        <v>0</v>
      </c>
      <c r="U1310" s="99">
        <f t="shared" si="1674"/>
        <v>0</v>
      </c>
      <c r="V1310" s="255" t="str">
        <f t="shared" si="1675"/>
        <v>N/A</v>
      </c>
      <c r="W1310" s="102"/>
      <c r="X1310" s="102"/>
      <c r="Y1310" s="102">
        <f t="shared" si="1676"/>
        <v>0</v>
      </c>
      <c r="Z1310" s="309">
        <f>Y1310*(1+VLOOKUP($F1310,'GL Category'!$A:$H,4,FALSE))</f>
        <v>0</v>
      </c>
      <c r="AA1310" s="615"/>
      <c r="AB1310" s="622">
        <f t="shared" si="1677"/>
        <v>0</v>
      </c>
      <c r="AC1310" s="633">
        <f>AB1310*(1+VLOOKUP($F1310,'GL Category'!$A:$H,5,FALSE))</f>
        <v>0</v>
      </c>
      <c r="AD1310" s="307"/>
      <c r="AE1310" s="622">
        <f t="shared" si="1678"/>
        <v>0</v>
      </c>
      <c r="AF1310" s="633">
        <f>AE1310*(1+VLOOKUP($F1310,'GL Category'!$A:$H,6,FALSE))</f>
        <v>0</v>
      </c>
      <c r="AG1310" s="307"/>
      <c r="AH1310" s="622">
        <f t="shared" si="1679"/>
        <v>0</v>
      </c>
      <c r="AI1310" s="633">
        <f>AH1310*(1+VLOOKUP($F1310,'GL Category'!$A:$H,7,FALSE))</f>
        <v>0</v>
      </c>
      <c r="AJ1310" s="307"/>
      <c r="AK1310" s="622">
        <f t="shared" si="1680"/>
        <v>0</v>
      </c>
      <c r="AL1310" s="633">
        <f>AK1310*(1+VLOOKUP($F1310,'GL Category'!$A:$H,8,FALSE))</f>
        <v>0</v>
      </c>
      <c r="AM1310" s="307"/>
      <c r="AN1310" s="622">
        <f t="shared" si="1681"/>
        <v>0</v>
      </c>
      <c r="AO1310" s="307"/>
      <c r="AP1310" s="307"/>
      <c r="AQ1310" s="192"/>
    </row>
    <row r="1311" spans="1:59" s="115" customFormat="1" ht="15" customHeight="1">
      <c r="A1311" s="555"/>
      <c r="B1311" s="217"/>
      <c r="C1311" s="217">
        <v>35</v>
      </c>
      <c r="D1311" s="101"/>
      <c r="E1311" s="217"/>
      <c r="F1311" s="294" t="s">
        <v>260</v>
      </c>
      <c r="G1311" s="295" t="str">
        <f>VLOOKUP(F1311,'GL Category'!A:C,3,FALSE)</f>
        <v>Services &amp; other</v>
      </c>
      <c r="H1311" s="98" t="str">
        <f>VLOOKUP(F1311,'GL Category'!A:C,2,FALSE)</f>
        <v>INVESTIGATIVE SERVICES</v>
      </c>
      <c r="I1311" s="99">
        <f>SUMIFS(I$1:I1304,$C$1:$C1304,$C1311,$F$1:$F1304,$F1311)</f>
        <v>99</v>
      </c>
      <c r="J1311" s="99">
        <f>SUMIFS(J$1:J1304,$C$1:$C1304,$C1311,$F$1:$F1304,$F1311)</f>
        <v>323.92</v>
      </c>
      <c r="K1311" s="99">
        <f>SUMIFS(K$1:K1304,$C$1:$C1304,$C1311,$F$1:$F1304,$F1311)</f>
        <v>627.04</v>
      </c>
      <c r="L1311" s="99">
        <f>SUMIFS(L$1:L1304,$C$1:$C1304,$C1311,$F$1:$F1304,$F1311)</f>
        <v>59.76</v>
      </c>
      <c r="M1311" s="99">
        <f>SUMIFS(M$1:M1304,$C$1:$C1304,$C1311,$F$1:$F1304,$F1311)</f>
        <v>700</v>
      </c>
      <c r="N1311" s="99">
        <f>SUMIFS(N$1:N1304,$C$1:$C1304,$C1311,$F$1:$F1304,$F1311)</f>
        <v>808.23</v>
      </c>
      <c r="O1311" s="99">
        <f>SUMIFS(O$1:O1304,$C$1:$C1304,$C1311,$F$1:$F1304,$F1311)</f>
        <v>700</v>
      </c>
      <c r="P1311" s="99">
        <f t="shared" si="1673"/>
        <v>0</v>
      </c>
      <c r="Q1311" s="99">
        <f>SUMIFS(Q$1:Q1304,$C$1:$C1304,$C1311,$F$1:$F1304,$F1311)</f>
        <v>700</v>
      </c>
      <c r="R1311" s="99">
        <f>SUMIFS(R$1:R1304,$C$1:$C1304,$C1311,$F$1:$F1304,$F1311)</f>
        <v>0</v>
      </c>
      <c r="S1311" s="99">
        <f>SUMIFS(S$1:S1304,$C$1:$C1304,$C1311,$F$1:$F1304,$F1311)</f>
        <v>0</v>
      </c>
      <c r="T1311" s="99">
        <f>SUMIFS(T$1:T1304,$C$1:$C1304,$C1311,$F$1:$F1304,$F1311)</f>
        <v>700</v>
      </c>
      <c r="U1311" s="99">
        <f t="shared" si="1674"/>
        <v>0</v>
      </c>
      <c r="V1311" s="255">
        <f t="shared" si="1675"/>
        <v>0</v>
      </c>
      <c r="W1311" s="102"/>
      <c r="X1311" s="102"/>
      <c r="Y1311" s="102">
        <f t="shared" si="1676"/>
        <v>700</v>
      </c>
      <c r="Z1311" s="309">
        <f>Y1311*(1+VLOOKUP($F1311,'GL Category'!$A:$H,4,FALSE))</f>
        <v>721</v>
      </c>
      <c r="AA1311" s="615"/>
      <c r="AB1311" s="622">
        <f t="shared" si="1677"/>
        <v>721</v>
      </c>
      <c r="AC1311" s="633">
        <f>AB1311*(1+VLOOKUP($F1311,'GL Category'!$A:$H,5,FALSE))</f>
        <v>742.63</v>
      </c>
      <c r="AD1311" s="307"/>
      <c r="AE1311" s="622">
        <f t="shared" si="1678"/>
        <v>742.63</v>
      </c>
      <c r="AF1311" s="633">
        <f>AE1311*(1+VLOOKUP($F1311,'GL Category'!$A:$H,6,FALSE))</f>
        <v>764.90890000000002</v>
      </c>
      <c r="AG1311" s="307"/>
      <c r="AH1311" s="622">
        <f t="shared" si="1679"/>
        <v>764.90890000000002</v>
      </c>
      <c r="AI1311" s="633">
        <f>AH1311*(1+VLOOKUP($F1311,'GL Category'!$A:$H,7,FALSE))</f>
        <v>787.85616700000003</v>
      </c>
      <c r="AJ1311" s="307"/>
      <c r="AK1311" s="622">
        <f t="shared" si="1680"/>
        <v>787.85616700000003</v>
      </c>
      <c r="AL1311" s="633">
        <f>AK1311*(1+VLOOKUP($F1311,'GL Category'!$A:$H,8,FALSE))</f>
        <v>811.49185201</v>
      </c>
      <c r="AM1311" s="307"/>
      <c r="AN1311" s="622">
        <f t="shared" si="1681"/>
        <v>811.49185201</v>
      </c>
      <c r="AO1311" s="307"/>
      <c r="AP1311" s="307"/>
      <c r="AQ1311" s="192"/>
    </row>
    <row r="1312" spans="1:59" s="115" customFormat="1" ht="15" customHeight="1">
      <c r="A1312" s="555"/>
      <c r="B1312" s="217"/>
      <c r="C1312" s="217">
        <v>35</v>
      </c>
      <c r="D1312" s="101"/>
      <c r="E1312" s="217"/>
      <c r="F1312" s="294" t="s">
        <v>208</v>
      </c>
      <c r="G1312" s="295" t="str">
        <f>VLOOKUP(F1312,'GL Category'!A:C,3,FALSE)</f>
        <v>Services &amp; other</v>
      </c>
      <c r="H1312" s="98" t="str">
        <f>VLOOKUP(F1312,'GL Category'!A:C,2,FALSE)</f>
        <v>GENERAL INSURANCE</v>
      </c>
      <c r="I1312" s="99">
        <f>SUMIFS(I$1:I1305,$C$1:$C1305,$C1312,$F$1:$F1305,$F1312)</f>
        <v>0</v>
      </c>
      <c r="J1312" s="99">
        <f>SUMIFS(J$1:J1305,$C$1:$C1305,$C1312,$F$1:$F1305,$F1312)</f>
        <v>0</v>
      </c>
      <c r="K1312" s="99">
        <f>SUMIFS(K$1:K1305,$C$1:$C1305,$C1312,$F$1:$F1305,$F1312)</f>
        <v>0</v>
      </c>
      <c r="L1312" s="99">
        <f>SUMIFS(L$1:L1305,$C$1:$C1305,$C1312,$F$1:$F1305,$F1312)</f>
        <v>0</v>
      </c>
      <c r="M1312" s="99">
        <f>SUMIFS(M$1:M1305,$C$1:$C1305,$C1312,$F$1:$F1305,$F1312)</f>
        <v>0</v>
      </c>
      <c r="N1312" s="99">
        <f>SUMIFS(N$1:N1305,$C$1:$C1305,$C1312,$F$1:$F1305,$F1312)</f>
        <v>0</v>
      </c>
      <c r="O1312" s="99">
        <f>SUMIFS(O$1:O1305,$C$1:$C1305,$C1312,$F$1:$F1305,$F1312)</f>
        <v>0</v>
      </c>
      <c r="P1312" s="99">
        <f t="shared" si="1673"/>
        <v>0</v>
      </c>
      <c r="Q1312" s="99">
        <f>SUMIFS(Q$1:Q1305,$C$1:$C1305,$C1312,$F$1:$F1305,$F1312)</f>
        <v>0</v>
      </c>
      <c r="R1312" s="99">
        <f>SUMIFS(R$1:R1305,$C$1:$C1305,$C1312,$F$1:$F1305,$F1312)</f>
        <v>0</v>
      </c>
      <c r="S1312" s="99">
        <f>SUMIFS(S$1:S1305,$C$1:$C1305,$C1312,$F$1:$F1305,$F1312)</f>
        <v>0</v>
      </c>
      <c r="T1312" s="99">
        <f>SUMIFS(T$1:T1305,$C$1:$C1305,$C1312,$F$1:$F1305,$F1312)</f>
        <v>0</v>
      </c>
      <c r="U1312" s="99">
        <f t="shared" si="1674"/>
        <v>0</v>
      </c>
      <c r="V1312" s="255" t="str">
        <f t="shared" si="1675"/>
        <v>N/A</v>
      </c>
      <c r="W1312" s="102"/>
      <c r="X1312" s="102"/>
      <c r="Y1312" s="102">
        <f t="shared" si="1676"/>
        <v>0</v>
      </c>
      <c r="Z1312" s="309">
        <f>Y1312*(1+VLOOKUP($F1312,'GL Category'!$A:$H,4,FALSE))</f>
        <v>0</v>
      </c>
      <c r="AA1312" s="615"/>
      <c r="AB1312" s="622">
        <f t="shared" si="1677"/>
        <v>0</v>
      </c>
      <c r="AC1312" s="633">
        <f>AB1312*(1+VLOOKUP($F1312,'GL Category'!$A:$H,5,FALSE))</f>
        <v>0</v>
      </c>
      <c r="AD1312" s="307"/>
      <c r="AE1312" s="622">
        <f t="shared" si="1678"/>
        <v>0</v>
      </c>
      <c r="AF1312" s="633">
        <f>AE1312*(1+VLOOKUP($F1312,'GL Category'!$A:$H,6,FALSE))</f>
        <v>0</v>
      </c>
      <c r="AG1312" s="307"/>
      <c r="AH1312" s="622">
        <f t="shared" si="1679"/>
        <v>0</v>
      </c>
      <c r="AI1312" s="633">
        <f>AH1312*(1+VLOOKUP($F1312,'GL Category'!$A:$H,7,FALSE))</f>
        <v>0</v>
      </c>
      <c r="AJ1312" s="307"/>
      <c r="AK1312" s="622">
        <f t="shared" si="1680"/>
        <v>0</v>
      </c>
      <c r="AL1312" s="633">
        <f>AK1312*(1+VLOOKUP($F1312,'GL Category'!$A:$H,8,FALSE))</f>
        <v>0</v>
      </c>
      <c r="AM1312" s="307"/>
      <c r="AN1312" s="622">
        <f t="shared" si="1681"/>
        <v>0</v>
      </c>
      <c r="AO1312" s="307"/>
      <c r="AP1312" s="307"/>
      <c r="AQ1312" s="192"/>
    </row>
    <row r="1313" spans="1:43" s="115" customFormat="1" ht="15" customHeight="1">
      <c r="A1313" s="555"/>
      <c r="B1313" s="217"/>
      <c r="C1313" s="217">
        <v>35</v>
      </c>
      <c r="D1313" s="101"/>
      <c r="E1313" s="217"/>
      <c r="F1313" s="294" t="s">
        <v>210</v>
      </c>
      <c r="G1313" s="295" t="str">
        <f>VLOOKUP(F1313,'GL Category'!A:C,3,FALSE)</f>
        <v>Services &amp; other</v>
      </c>
      <c r="H1313" s="98" t="str">
        <f>VLOOKUP(F1313,'GL Category'!A:C,2,FALSE)</f>
        <v>TELEPHONE/COMMUNICATIONS</v>
      </c>
      <c r="I1313" s="99">
        <f>SUMIFS(I$1:I1306,$C$1:$C1306,$C1313,$F$1:$F1306,$F1313)</f>
        <v>98</v>
      </c>
      <c r="J1313" s="99">
        <f>SUMIFS(J$1:J1306,$C$1:$C1306,$C1313,$F$1:$F1306,$F1313)</f>
        <v>98</v>
      </c>
      <c r="K1313" s="99">
        <f>SUMIFS(K$1:K1306,$C$1:$C1306,$C1313,$F$1:$F1306,$F1313)</f>
        <v>84</v>
      </c>
      <c r="L1313" s="99">
        <f>SUMIFS(L$1:L1306,$C$1:$C1306,$C1313,$F$1:$F1306,$F1313)</f>
        <v>5.84</v>
      </c>
      <c r="M1313" s="99">
        <f>SUMIFS(M$1:M1306,$C$1:$C1306,$C1313,$F$1:$F1306,$F1313)</f>
        <v>900</v>
      </c>
      <c r="N1313" s="99">
        <f>SUMIFS(N$1:N1306,$C$1:$C1306,$C1313,$F$1:$F1306,$F1313)</f>
        <v>879.16</v>
      </c>
      <c r="O1313" s="99">
        <f>SUMIFS(O$1:O1306,$C$1:$C1306,$C1313,$F$1:$F1306,$F1313)</f>
        <v>900</v>
      </c>
      <c r="P1313" s="99">
        <f t="shared" si="1673"/>
        <v>0</v>
      </c>
      <c r="Q1313" s="99">
        <f>SUMIFS(Q$1:Q1306,$C$1:$C1306,$C1313,$F$1:$F1306,$F1313)</f>
        <v>900</v>
      </c>
      <c r="R1313" s="99">
        <f>SUMIFS(R$1:R1306,$C$1:$C1306,$C1313,$F$1:$F1306,$F1313)</f>
        <v>0</v>
      </c>
      <c r="S1313" s="99">
        <f>SUMIFS(S$1:S1306,$C$1:$C1306,$C1313,$F$1:$F1306,$F1313)</f>
        <v>0</v>
      </c>
      <c r="T1313" s="99">
        <f>SUMIFS(T$1:T1306,$C$1:$C1306,$C1313,$F$1:$F1306,$F1313)</f>
        <v>900</v>
      </c>
      <c r="U1313" s="99">
        <f t="shared" si="1674"/>
        <v>0</v>
      </c>
      <c r="V1313" s="255">
        <f t="shared" si="1675"/>
        <v>0</v>
      </c>
      <c r="W1313" s="102"/>
      <c r="X1313" s="102"/>
      <c r="Y1313" s="102">
        <f t="shared" si="1676"/>
        <v>900</v>
      </c>
      <c r="Z1313" s="309">
        <f>Y1313*(1+VLOOKUP($F1313,'GL Category'!$A:$H,4,FALSE))</f>
        <v>927</v>
      </c>
      <c r="AA1313" s="615"/>
      <c r="AB1313" s="622">
        <f t="shared" si="1677"/>
        <v>927</v>
      </c>
      <c r="AC1313" s="633">
        <f>AB1313*(1+VLOOKUP($F1313,'GL Category'!$A:$H,5,FALSE))</f>
        <v>954.81000000000006</v>
      </c>
      <c r="AD1313" s="307"/>
      <c r="AE1313" s="622">
        <f t="shared" si="1678"/>
        <v>954.81000000000006</v>
      </c>
      <c r="AF1313" s="633">
        <f>AE1313*(1+VLOOKUP($F1313,'GL Category'!$A:$H,6,FALSE))</f>
        <v>983.4543000000001</v>
      </c>
      <c r="AG1313" s="307"/>
      <c r="AH1313" s="622">
        <f t="shared" si="1679"/>
        <v>983.4543000000001</v>
      </c>
      <c r="AI1313" s="633">
        <f>AH1313*(1+VLOOKUP($F1313,'GL Category'!$A:$H,7,FALSE))</f>
        <v>1012.9579290000001</v>
      </c>
      <c r="AJ1313" s="307"/>
      <c r="AK1313" s="622">
        <f t="shared" si="1680"/>
        <v>1012.9579290000001</v>
      </c>
      <c r="AL1313" s="633">
        <f>AK1313*(1+VLOOKUP($F1313,'GL Category'!$A:$H,8,FALSE))</f>
        <v>1043.3466668700003</v>
      </c>
      <c r="AM1313" s="307"/>
      <c r="AN1313" s="622">
        <f t="shared" si="1681"/>
        <v>1043.3466668700003</v>
      </c>
      <c r="AO1313" s="307"/>
      <c r="AP1313" s="307"/>
      <c r="AQ1313" s="192"/>
    </row>
    <row r="1314" spans="1:43" s="115" customFormat="1" ht="15" customHeight="1">
      <c r="A1314" s="555"/>
      <c r="B1314" s="217"/>
      <c r="C1314" s="217">
        <v>35</v>
      </c>
      <c r="D1314" s="101"/>
      <c r="E1314" s="217"/>
      <c r="F1314" s="294" t="s">
        <v>212</v>
      </c>
      <c r="G1314" s="295" t="str">
        <f>VLOOKUP(F1314,'GL Category'!A:C,3,FALSE)</f>
        <v>Services &amp; other</v>
      </c>
      <c r="H1314" s="98" t="str">
        <f>VLOOKUP(F1314,'GL Category'!A:C,2,FALSE)</f>
        <v>NATURAL GAS UTILITY SERVICE</v>
      </c>
      <c r="I1314" s="99">
        <f>SUMIFS(I$1:I1307,$C$1:$C1307,$C1314,$F$1:$F1307,$F1314)</f>
        <v>5989.62</v>
      </c>
      <c r="J1314" s="99">
        <f>SUMIFS(J$1:J1307,$C$1:$C1307,$C1314,$F$1:$F1307,$F1314)</f>
        <v>8417.8799999999992</v>
      </c>
      <c r="K1314" s="99">
        <f>SUMIFS(K$1:K1307,$C$1:$C1307,$C1314,$F$1:$F1307,$F1314)</f>
        <v>10052.4</v>
      </c>
      <c r="L1314" s="99">
        <f>SUMIFS(L$1:L1307,$C$1:$C1307,$C1314,$F$1:$F1307,$F1314)</f>
        <v>10665.43</v>
      </c>
      <c r="M1314" s="99">
        <f>SUMIFS(M$1:M1307,$C$1:$C1307,$C1314,$F$1:$F1307,$F1314)</f>
        <v>11390</v>
      </c>
      <c r="N1314" s="99">
        <f>SUMIFS(N$1:N1307,$C$1:$C1307,$C1314,$F$1:$F1307,$F1314)</f>
        <v>11122.4</v>
      </c>
      <c r="O1314" s="99">
        <f>SUMIFS(O$1:O1307,$C$1:$C1307,$C1314,$F$1:$F1307,$F1314)</f>
        <v>11390</v>
      </c>
      <c r="P1314" s="99">
        <f t="shared" si="1673"/>
        <v>0</v>
      </c>
      <c r="Q1314" s="99">
        <f>SUMIFS(Q$1:Q1307,$C$1:$C1307,$C1314,$F$1:$F1307,$F1314)</f>
        <v>11390</v>
      </c>
      <c r="R1314" s="99">
        <f>SUMIFS(R$1:R1307,$C$1:$C1307,$C1314,$F$1:$F1307,$F1314)</f>
        <v>0</v>
      </c>
      <c r="S1314" s="99">
        <f>SUMIFS(S$1:S1307,$C$1:$C1307,$C1314,$F$1:$F1307,$F1314)</f>
        <v>0</v>
      </c>
      <c r="T1314" s="99">
        <f>SUMIFS(T$1:T1307,$C$1:$C1307,$C1314,$F$1:$F1307,$F1314)</f>
        <v>11390</v>
      </c>
      <c r="U1314" s="99">
        <f t="shared" si="1674"/>
        <v>0</v>
      </c>
      <c r="V1314" s="255">
        <f t="shared" si="1675"/>
        <v>0</v>
      </c>
      <c r="W1314" s="102"/>
      <c r="X1314" s="102"/>
      <c r="Y1314" s="102">
        <f t="shared" si="1676"/>
        <v>11390</v>
      </c>
      <c r="Z1314" s="309">
        <f>Y1314*(1+VLOOKUP($F1314,'GL Category'!$A:$H,4,FALSE))</f>
        <v>11731.7</v>
      </c>
      <c r="AA1314" s="615"/>
      <c r="AB1314" s="622">
        <f t="shared" si="1677"/>
        <v>11731.7</v>
      </c>
      <c r="AC1314" s="633">
        <f>AB1314*(1+VLOOKUP($F1314,'GL Category'!$A:$H,5,FALSE))</f>
        <v>12083.651000000002</v>
      </c>
      <c r="AD1314" s="307"/>
      <c r="AE1314" s="622">
        <f t="shared" si="1678"/>
        <v>12083.651000000002</v>
      </c>
      <c r="AF1314" s="633">
        <f>AE1314*(1+VLOOKUP($F1314,'GL Category'!$A:$H,6,FALSE))</f>
        <v>12446.160530000003</v>
      </c>
      <c r="AG1314" s="307"/>
      <c r="AH1314" s="622">
        <f t="shared" si="1679"/>
        <v>12446.160530000003</v>
      </c>
      <c r="AI1314" s="633">
        <f>AH1314*(1+VLOOKUP($F1314,'GL Category'!$A:$H,7,FALSE))</f>
        <v>12819.545345900004</v>
      </c>
      <c r="AJ1314" s="307"/>
      <c r="AK1314" s="622">
        <f t="shared" si="1680"/>
        <v>12819.545345900004</v>
      </c>
      <c r="AL1314" s="633">
        <f>AK1314*(1+VLOOKUP($F1314,'GL Category'!$A:$H,8,FALSE))</f>
        <v>13204.131706277005</v>
      </c>
      <c r="AM1314" s="307"/>
      <c r="AN1314" s="622">
        <f t="shared" si="1681"/>
        <v>13204.131706277005</v>
      </c>
      <c r="AO1314" s="307"/>
      <c r="AP1314" s="307"/>
      <c r="AQ1314" s="192"/>
    </row>
    <row r="1315" spans="1:43" s="115" customFormat="1" ht="15" customHeight="1">
      <c r="A1315" s="555"/>
      <c r="B1315" s="217"/>
      <c r="C1315" s="217">
        <v>35</v>
      </c>
      <c r="D1315" s="101"/>
      <c r="E1315" s="217"/>
      <c r="F1315" s="294" t="s">
        <v>214</v>
      </c>
      <c r="G1315" s="295" t="str">
        <f>VLOOKUP(F1315,'GL Category'!A:C,3,FALSE)</f>
        <v>Services &amp; other</v>
      </c>
      <c r="H1315" s="98" t="str">
        <f>VLOOKUP(F1315,'GL Category'!A:C,2,FALSE)</f>
        <v>ELECTRICAL UTILITY SERVICE</v>
      </c>
      <c r="I1315" s="99">
        <f>SUMIFS(I$1:I1309,$C$1:$C1309,$C1315,$F$1:$F1309,$F1315)</f>
        <v>27310.980000000003</v>
      </c>
      <c r="J1315" s="99">
        <f>SUMIFS(J$1:J1309,$C$1:$C1309,$C1315,$F$1:$F1309,$F1315)</f>
        <v>47792.09</v>
      </c>
      <c r="K1315" s="99">
        <f>SUMIFS(K$1:K1309,$C$1:$C1309,$C1315,$F$1:$F1309,$F1315)</f>
        <v>40514.18</v>
      </c>
      <c r="L1315" s="99">
        <f>SUMIFS(L$1:L1309,$C$1:$C1309,$C1315,$F$1:$F1309,$F1315)</f>
        <v>44215.799999999996</v>
      </c>
      <c r="M1315" s="99">
        <f>SUMIFS(M$1:M1309,$C$1:$C1309,$C1315,$F$1:$F1309,$F1315)</f>
        <v>55170</v>
      </c>
      <c r="N1315" s="99">
        <f>SUMIFS(N$1:N1309,$C$1:$C1309,$C1315,$F$1:$F1309,$F1315)</f>
        <v>20450.87</v>
      </c>
      <c r="O1315" s="99">
        <f>SUMIFS(O$1:O1309,$C$1:$C1309,$C1315,$F$1:$F1309,$F1315)</f>
        <v>40000</v>
      </c>
      <c r="P1315" s="99">
        <f t="shared" si="1673"/>
        <v>-15170</v>
      </c>
      <c r="Q1315" s="99">
        <f>SUMIFS(Q$1:Q1309,$C$1:$C1309,$C1315,$F$1:$F1309,$F1315)</f>
        <v>55170</v>
      </c>
      <c r="R1315" s="99">
        <f>SUMIFS(R$1:R1309,$C$1:$C1309,$C1315,$F$1:$F1309,$F1315)</f>
        <v>0</v>
      </c>
      <c r="S1315" s="99">
        <f>SUMIFS(S$1:S1309,$C$1:$C1309,$C1315,$F$1:$F1309,$F1315)</f>
        <v>0</v>
      </c>
      <c r="T1315" s="99">
        <f>SUMIFS(T$1:T1309,$C$1:$C1309,$C1315,$F$1:$F1309,$F1315)</f>
        <v>55170</v>
      </c>
      <c r="U1315" s="99">
        <f t="shared" si="1674"/>
        <v>0</v>
      </c>
      <c r="V1315" s="255">
        <f t="shared" si="1675"/>
        <v>0</v>
      </c>
      <c r="W1315" s="102"/>
      <c r="X1315" s="102"/>
      <c r="Y1315" s="102">
        <f t="shared" si="1676"/>
        <v>55170</v>
      </c>
      <c r="Z1315" s="309">
        <f>Y1315*(1+VLOOKUP($F1315,'GL Category'!$A:$H,4,FALSE))</f>
        <v>56825.1</v>
      </c>
      <c r="AA1315" s="615"/>
      <c r="AB1315" s="622">
        <f t="shared" si="1677"/>
        <v>56825.1</v>
      </c>
      <c r="AC1315" s="633">
        <f>AB1315*(1+VLOOKUP($F1315,'GL Category'!$A:$H,5,FALSE))</f>
        <v>58529.853000000003</v>
      </c>
      <c r="AD1315" s="307"/>
      <c r="AE1315" s="622">
        <f t="shared" si="1678"/>
        <v>58529.853000000003</v>
      </c>
      <c r="AF1315" s="633">
        <f>AE1315*(1+VLOOKUP($F1315,'GL Category'!$A:$H,6,FALSE))</f>
        <v>60285.748590000003</v>
      </c>
      <c r="AG1315" s="307"/>
      <c r="AH1315" s="622">
        <f t="shared" si="1679"/>
        <v>60285.748590000003</v>
      </c>
      <c r="AI1315" s="633">
        <f>AH1315*(1+VLOOKUP($F1315,'GL Category'!$A:$H,7,FALSE))</f>
        <v>62094.321047700003</v>
      </c>
      <c r="AJ1315" s="307"/>
      <c r="AK1315" s="622">
        <f t="shared" si="1680"/>
        <v>62094.321047700003</v>
      </c>
      <c r="AL1315" s="633">
        <f>AK1315*(1+VLOOKUP($F1315,'GL Category'!$A:$H,8,FALSE))</f>
        <v>63957.150679131002</v>
      </c>
      <c r="AM1315" s="307"/>
      <c r="AN1315" s="622">
        <f t="shared" si="1681"/>
        <v>63957.150679131002</v>
      </c>
      <c r="AO1315" s="307"/>
      <c r="AP1315" s="307"/>
      <c r="AQ1315" s="192"/>
    </row>
    <row r="1316" spans="1:43" s="115" customFormat="1" ht="15" customHeight="1">
      <c r="A1316" s="555"/>
      <c r="B1316" s="217"/>
      <c r="C1316" s="217">
        <v>35</v>
      </c>
      <c r="D1316" s="101"/>
      <c r="E1316" s="217"/>
      <c r="F1316" s="294" t="s">
        <v>216</v>
      </c>
      <c r="G1316" s="295" t="str">
        <f>VLOOKUP(F1316,'GL Category'!A:C,3,FALSE)</f>
        <v>Services &amp; other</v>
      </c>
      <c r="H1316" s="98" t="str">
        <f>VLOOKUP(F1316,'GL Category'!A:C,2,FALSE)</f>
        <v>WATER/SEWER UTILITY SERVICE</v>
      </c>
      <c r="I1316" s="99">
        <f>SUMIFS(I$1:I1310,$C$1:$C1310,$C1316,$F$1:$F1310,$F1316)</f>
        <v>12951.21</v>
      </c>
      <c r="J1316" s="99">
        <f>SUMIFS(J$1:J1310,$C$1:$C1310,$C1316,$F$1:$F1310,$F1316)</f>
        <v>14075.94</v>
      </c>
      <c r="K1316" s="99">
        <f>SUMIFS(K$1:K1310,$C$1:$C1310,$C1316,$F$1:$F1310,$F1316)</f>
        <v>14233.22</v>
      </c>
      <c r="L1316" s="99">
        <f>SUMIFS(L$1:L1310,$C$1:$C1310,$C1316,$F$1:$F1310,$F1316)</f>
        <v>14017.79</v>
      </c>
      <c r="M1316" s="99">
        <f>SUMIFS(M$1:M1310,$C$1:$C1310,$C1316,$F$1:$F1310,$F1316)</f>
        <v>17200</v>
      </c>
      <c r="N1316" s="99">
        <f>SUMIFS(N$1:N1310,$C$1:$C1310,$C1316,$F$1:$F1310,$F1316)</f>
        <v>8028.33</v>
      </c>
      <c r="O1316" s="99">
        <f>SUMIFS(O$1:O1310,$C$1:$C1310,$C1316,$F$1:$F1310,$F1316)</f>
        <v>15000</v>
      </c>
      <c r="P1316" s="99">
        <f t="shared" si="1673"/>
        <v>-2200</v>
      </c>
      <c r="Q1316" s="99">
        <f>SUMIFS(Q$1:Q1310,$C$1:$C1310,$C1316,$F$1:$F1310,$F1316)</f>
        <v>17200</v>
      </c>
      <c r="R1316" s="99">
        <f>SUMIFS(R$1:R1310,$C$1:$C1310,$C1316,$F$1:$F1310,$F1316)</f>
        <v>0</v>
      </c>
      <c r="S1316" s="99">
        <f>SUMIFS(S$1:S1310,$C$1:$C1310,$C1316,$F$1:$F1310,$F1316)</f>
        <v>0</v>
      </c>
      <c r="T1316" s="99">
        <f>SUMIFS(T$1:T1310,$C$1:$C1310,$C1316,$F$1:$F1310,$F1316)</f>
        <v>17200</v>
      </c>
      <c r="U1316" s="99">
        <f t="shared" si="1674"/>
        <v>0</v>
      </c>
      <c r="V1316" s="255">
        <f t="shared" si="1675"/>
        <v>0</v>
      </c>
      <c r="W1316" s="102"/>
      <c r="X1316" s="102"/>
      <c r="Y1316" s="102">
        <f t="shared" si="1676"/>
        <v>17200</v>
      </c>
      <c r="Z1316" s="309">
        <f>Y1316*(1+VLOOKUP($F1316,'GL Category'!$A:$H,4,FALSE))</f>
        <v>17716</v>
      </c>
      <c r="AA1316" s="615"/>
      <c r="AB1316" s="622">
        <f t="shared" si="1677"/>
        <v>17716</v>
      </c>
      <c r="AC1316" s="633">
        <f>AB1316*(1+VLOOKUP($F1316,'GL Category'!$A:$H,5,FALSE))</f>
        <v>18247.48</v>
      </c>
      <c r="AD1316" s="307"/>
      <c r="AE1316" s="622">
        <f t="shared" si="1678"/>
        <v>18247.48</v>
      </c>
      <c r="AF1316" s="633">
        <f>AE1316*(1+VLOOKUP($F1316,'GL Category'!$A:$H,6,FALSE))</f>
        <v>18794.904399999999</v>
      </c>
      <c r="AG1316" s="307"/>
      <c r="AH1316" s="622">
        <f t="shared" si="1679"/>
        <v>18794.904399999999</v>
      </c>
      <c r="AI1316" s="633">
        <f>AH1316*(1+VLOOKUP($F1316,'GL Category'!$A:$H,7,FALSE))</f>
        <v>19358.751531999998</v>
      </c>
      <c r="AJ1316" s="307"/>
      <c r="AK1316" s="622">
        <f t="shared" si="1680"/>
        <v>19358.751531999998</v>
      </c>
      <c r="AL1316" s="633">
        <f>AK1316*(1+VLOOKUP($F1316,'GL Category'!$A:$H,8,FALSE))</f>
        <v>19939.514077960001</v>
      </c>
      <c r="AM1316" s="307"/>
      <c r="AN1316" s="622">
        <f t="shared" si="1681"/>
        <v>19939.514077960001</v>
      </c>
      <c r="AO1316" s="307"/>
      <c r="AP1316" s="307"/>
      <c r="AQ1316" s="192"/>
    </row>
    <row r="1317" spans="1:43" s="115" customFormat="1" ht="15" customHeight="1">
      <c r="A1317" s="555"/>
      <c r="B1317" s="217"/>
      <c r="C1317" s="217">
        <v>35</v>
      </c>
      <c r="D1317" s="101"/>
      <c r="E1317" s="217"/>
      <c r="F1317" s="294" t="s">
        <v>237</v>
      </c>
      <c r="G1317" s="295" t="str">
        <f>VLOOKUP(F1317,'GL Category'!A:C,3,FALSE)</f>
        <v>Services &amp; other</v>
      </c>
      <c r="H1317" s="98" t="str">
        <f>VLOOKUP(F1317,'GL Category'!A:C,2,FALSE)</f>
        <v>MISCELLANEOUS SERVICES</v>
      </c>
      <c r="I1317" s="99">
        <f>SUMIFS(I$1:I1312,$C$1:$C1312,$C1317,$F$1:$F1312,$F1317)</f>
        <v>23036.309999999998</v>
      </c>
      <c r="J1317" s="99">
        <f>SUMIFS(J$1:J1312,$C$1:$C1312,$C1317,$F$1:$F1312,$F1317)</f>
        <v>24981.16</v>
      </c>
      <c r="K1317" s="99">
        <f>SUMIFS(K$1:K1312,$C$1:$C1312,$C1317,$F$1:$F1312,$F1317)</f>
        <v>30445.78</v>
      </c>
      <c r="L1317" s="99">
        <f>SUMIFS(L$1:L1312,$C$1:$C1312,$C1317,$F$1:$F1312,$F1317)</f>
        <v>54190</v>
      </c>
      <c r="M1317" s="99">
        <f>SUMIFS(M$1:M1312,$C$1:$C1312,$C1317,$F$1:$F1312,$F1317)</f>
        <v>21050</v>
      </c>
      <c r="N1317" s="99">
        <f>SUMIFS(N$1:N1312,$C$1:$C1312,$C1317,$F$1:$F1312,$F1317)</f>
        <v>28237.33</v>
      </c>
      <c r="O1317" s="99">
        <f>SUMIFS(O$1:O1312,$C$1:$C1312,$C1317,$F$1:$F1312,$F1317)</f>
        <v>27550</v>
      </c>
      <c r="P1317" s="99">
        <f t="shared" si="1673"/>
        <v>6500</v>
      </c>
      <c r="Q1317" s="99">
        <f>SUMIFS(Q$1:Q1312,$C$1:$C1312,$C1317,$F$1:$F1312,$F1317)</f>
        <v>21050</v>
      </c>
      <c r="R1317" s="99">
        <f>SUMIFS(R$1:R1312,$C$1:$C1312,$C1317,$F$1:$F1312,$F1317)</f>
        <v>0</v>
      </c>
      <c r="S1317" s="99">
        <f>SUMIFS(S$1:S1312,$C$1:$C1312,$C1317,$F$1:$F1312,$F1317)</f>
        <v>0</v>
      </c>
      <c r="T1317" s="99">
        <f>SUMIFS(T$1:T1312,$C$1:$C1312,$C1317,$F$1:$F1312,$F1317)</f>
        <v>21050</v>
      </c>
      <c r="U1317" s="99">
        <f t="shared" si="1674"/>
        <v>0</v>
      </c>
      <c r="V1317" s="255">
        <f t="shared" si="1675"/>
        <v>0</v>
      </c>
      <c r="W1317" s="102"/>
      <c r="X1317" s="102"/>
      <c r="Y1317" s="102">
        <f t="shared" si="1676"/>
        <v>21050</v>
      </c>
      <c r="Z1317" s="309">
        <f>Y1317*(1+VLOOKUP($F1317,'GL Category'!$A:$H,4,FALSE))</f>
        <v>21681.5</v>
      </c>
      <c r="AA1317" s="615"/>
      <c r="AB1317" s="622">
        <f t="shared" si="1677"/>
        <v>21681.5</v>
      </c>
      <c r="AC1317" s="633">
        <f>AB1317*(1+VLOOKUP($F1317,'GL Category'!$A:$H,5,FALSE))</f>
        <v>22331.945</v>
      </c>
      <c r="AD1317" s="615"/>
      <c r="AE1317" s="622">
        <f t="shared" si="1678"/>
        <v>22331.945</v>
      </c>
      <c r="AF1317" s="633">
        <f>AE1317*(1+VLOOKUP($F1317,'GL Category'!$A:$H,6,FALSE))</f>
        <v>23001.903350000001</v>
      </c>
      <c r="AG1317" s="615"/>
      <c r="AH1317" s="622">
        <f t="shared" si="1679"/>
        <v>23001.903350000001</v>
      </c>
      <c r="AI1317" s="633">
        <f>AH1317*(1+VLOOKUP($F1317,'GL Category'!$A:$H,7,FALSE))</f>
        <v>23691.960450500002</v>
      </c>
      <c r="AJ1317" s="615"/>
      <c r="AK1317" s="622">
        <f t="shared" si="1680"/>
        <v>23691.960450500002</v>
      </c>
      <c r="AL1317" s="633">
        <f>AK1317*(1+VLOOKUP($F1317,'GL Category'!$A:$H,8,FALSE))</f>
        <v>24402.719264015002</v>
      </c>
      <c r="AM1317" s="615"/>
      <c r="AN1317" s="622">
        <f t="shared" si="1681"/>
        <v>24402.719264015002</v>
      </c>
      <c r="AO1317" s="307"/>
      <c r="AP1317" s="307"/>
      <c r="AQ1317" s="192"/>
    </row>
    <row r="1318" spans="1:43" s="115" customFormat="1" ht="15" customHeight="1">
      <c r="A1318" s="555"/>
      <c r="B1318" s="217"/>
      <c r="C1318" s="217">
        <v>35</v>
      </c>
      <c r="D1318" s="101"/>
      <c r="E1318" s="217"/>
      <c r="F1318" s="556" t="s">
        <v>3124</v>
      </c>
      <c r="G1318" s="295" t="str">
        <f>VLOOKUP(F1318,'GL Category'!A:C,3,FALSE)</f>
        <v>Services &amp; other</v>
      </c>
      <c r="H1318" s="98" t="str">
        <f>VLOOKUP(F1318,'GL Category'!A:C,2,FALSE)</f>
        <v>VEHICLE/EQUIP LEASE EXP-CITY</v>
      </c>
      <c r="I1318" s="99">
        <f>SUMIFS(I$1:I1312,$C$1:$C1312,$C1318,$F$1:$F1312,$F1318)</f>
        <v>608112</v>
      </c>
      <c r="J1318" s="99">
        <f>SUMIFS(J$1:J1312,$C$1:$C1312,$C1318,$F$1:$F1312,$F1318)</f>
        <v>614817</v>
      </c>
      <c r="K1318" s="99">
        <f>SUMIFS(K$1:K1312,$C$1:$C1312,$C1318,$F$1:$F1312,$F1318)</f>
        <v>651892</v>
      </c>
      <c r="L1318" s="99">
        <f>SUMIFS(L$1:L1312,$C$1:$C1312,$C1318,$F$1:$F1312,$F1318)</f>
        <v>545769</v>
      </c>
      <c r="M1318" s="99">
        <f>SUMIFS(M$1:M1312,$C$1:$C1312,$C1318,$F$1:$F1312,$F1318)</f>
        <v>655429</v>
      </c>
      <c r="N1318" s="99">
        <f>SUMIFS(N$1:N1312,$C$1:$C1312,$C1318,$F$1:$F1312,$F1318)</f>
        <v>491571.75</v>
      </c>
      <c r="O1318" s="99">
        <f>SUMIFS(O$1:O1312,$C$1:$C1312,$C1318,$F$1:$F1312,$F1318)</f>
        <v>655429</v>
      </c>
      <c r="P1318" s="99">
        <f>O1318-M1318</f>
        <v>0</v>
      </c>
      <c r="Q1318" s="99">
        <f>SUMIFS(Q$1:Q1312,$C$1:$C1312,$C1318,$F$1:$F1312,$F1318)</f>
        <v>783268</v>
      </c>
      <c r="R1318" s="99">
        <f>SUMIFS(R$1:R1312,$C$1:$C1312,$C1318,$F$1:$F1312,$F1318)</f>
        <v>0</v>
      </c>
      <c r="S1318" s="99">
        <f>SUMIFS(S$1:S1312,$C$1:$C1312,$C1318,$F$1:$F1312,$F1318)</f>
        <v>0</v>
      </c>
      <c r="T1318" s="99">
        <f>SUMIFS(T$1:T1312,$C$1:$C1312,$C1318,$F$1:$F1312,$F1318)</f>
        <v>783268</v>
      </c>
      <c r="U1318" s="99">
        <f t="shared" si="1674"/>
        <v>127839</v>
      </c>
      <c r="V1318" s="255">
        <f t="shared" si="1675"/>
        <v>0.19504629792090378</v>
      </c>
      <c r="W1318" s="102"/>
      <c r="X1318" s="102"/>
      <c r="Y1318" s="102">
        <f t="shared" si="1676"/>
        <v>783268</v>
      </c>
      <c r="Z1318" s="309">
        <f>Y1318*(1+VLOOKUP($F1318,'GL Category'!$A:$H,4,FALSE))</f>
        <v>806766.04</v>
      </c>
      <c r="AA1318" s="615"/>
      <c r="AB1318" s="622">
        <f t="shared" si="1677"/>
        <v>806766.04</v>
      </c>
      <c r="AC1318" s="633">
        <f>AB1318*(1+VLOOKUP($F1318,'GL Category'!$A:$H,5,FALSE))</f>
        <v>830969.02120000008</v>
      </c>
      <c r="AD1318" s="307"/>
      <c r="AE1318" s="622">
        <f t="shared" si="1678"/>
        <v>830969.02120000008</v>
      </c>
      <c r="AF1318" s="633">
        <f>AE1318*(1+VLOOKUP($F1318,'GL Category'!$A:$H,6,FALSE))</f>
        <v>855898.09183600009</v>
      </c>
      <c r="AG1318" s="307"/>
      <c r="AH1318" s="622">
        <f t="shared" si="1679"/>
        <v>855898.09183600009</v>
      </c>
      <c r="AI1318" s="633">
        <f>AH1318*(1+VLOOKUP($F1318,'GL Category'!$A:$H,7,FALSE))</f>
        <v>881575.03459108016</v>
      </c>
      <c r="AJ1318" s="307"/>
      <c r="AK1318" s="622">
        <f t="shared" si="1680"/>
        <v>881575.03459108016</v>
      </c>
      <c r="AL1318" s="633">
        <f>AK1318*(1+VLOOKUP($F1318,'GL Category'!$A:$H,8,FALSE))</f>
        <v>908022.28562881262</v>
      </c>
      <c r="AM1318" s="307"/>
      <c r="AN1318" s="622">
        <f t="shared" si="1681"/>
        <v>908022.28562881262</v>
      </c>
      <c r="AO1318" s="307"/>
      <c r="AP1318" s="307"/>
      <c r="AQ1318" s="192"/>
    </row>
    <row r="1319" spans="1:43" s="115" customFormat="1" ht="15" customHeight="1">
      <c r="A1319" s="555"/>
      <c r="B1319" s="217"/>
      <c r="C1319" s="217">
        <v>35</v>
      </c>
      <c r="D1319" s="101"/>
      <c r="E1319" s="217"/>
      <c r="F1319" s="556" t="s">
        <v>3122</v>
      </c>
      <c r="G1319" s="295" t="str">
        <f>VLOOKUP(F1319,'GL Category'!A:C,3,FALSE)</f>
        <v>Services &amp; other</v>
      </c>
      <c r="H1319" s="98" t="str">
        <f>VLOOKUP(F1319,'GL Category'!A:C,2,FALSE)</f>
        <v>OFFICE EQUIP LEASE EXP-CITY</v>
      </c>
      <c r="I1319" s="99">
        <f>SUMIFS(I$1:I1313,$C$1:$C1313,$C1319,$F$1:$F1313,$F1319)</f>
        <v>232652</v>
      </c>
      <c r="J1319" s="99">
        <f>SUMIFS(J$1:J1313,$C$1:$C1313,$C1319,$F$1:$F1313,$F1319)</f>
        <v>267013</v>
      </c>
      <c r="K1319" s="99">
        <f>SUMIFS(K$1:K1313,$C$1:$C1313,$C1319,$F$1:$F1313,$F1319)</f>
        <v>250289</v>
      </c>
      <c r="L1319" s="99">
        <f>SUMIFS(L$1:L1313,$C$1:$C1313,$C1319,$F$1:$F1313,$F1319)</f>
        <v>259286</v>
      </c>
      <c r="M1319" s="99">
        <f>SUMIFS(M$1:M1313,$C$1:$C1313,$C1319,$F$1:$F1313,$F1319)</f>
        <v>281369</v>
      </c>
      <c r="N1319" s="99">
        <f>SUMIFS(N$1:N1313,$C$1:$C1313,$C1319,$F$1:$F1313,$F1319)</f>
        <v>212477.59</v>
      </c>
      <c r="O1319" s="99">
        <f>SUMIFS(O$1:O1313,$C$1:$C1313,$C1319,$F$1:$F1313,$F1319)</f>
        <v>281369</v>
      </c>
      <c r="P1319" s="99">
        <f t="shared" si="1673"/>
        <v>0</v>
      </c>
      <c r="Q1319" s="99">
        <f>SUMIFS(Q$1:Q1313,$C$1:$C1313,$C1319,$F$1:$F1313,$F1319)</f>
        <v>267377</v>
      </c>
      <c r="R1319" s="99">
        <f>SUMIFS(R$1:R1313,$C$1:$C1313,$C1319,$F$1:$F1313,$F1319)</f>
        <v>0</v>
      </c>
      <c r="S1319" s="99">
        <f>SUMIFS(S$1:S1313,$C$1:$C1313,$C1319,$F$1:$F1313,$F1319)</f>
        <v>6370</v>
      </c>
      <c r="T1319" s="99">
        <f>SUMIFS(T$1:T1313,$C$1:$C1313,$C1319,$F$1:$F1313,$F1319)</f>
        <v>273747</v>
      </c>
      <c r="U1319" s="99">
        <f t="shared" si="1674"/>
        <v>-7622</v>
      </c>
      <c r="V1319" s="255">
        <f t="shared" si="1675"/>
        <v>-2.7088982794835292E-2</v>
      </c>
      <c r="W1319" s="102"/>
      <c r="X1319" s="102"/>
      <c r="Y1319" s="102">
        <f t="shared" si="1676"/>
        <v>273747</v>
      </c>
      <c r="Z1319" s="309">
        <f>Y1319*(1+VLOOKUP($F1319,'GL Category'!$A:$H,4,FALSE))</f>
        <v>281959.41000000003</v>
      </c>
      <c r="AA1319" s="615"/>
      <c r="AB1319" s="622">
        <f t="shared" si="1677"/>
        <v>281959.41000000003</v>
      </c>
      <c r="AC1319" s="633">
        <f>AB1319*(1+VLOOKUP($F1319,'GL Category'!$A:$H,5,FALSE))</f>
        <v>290418.19230000005</v>
      </c>
      <c r="AD1319" s="307"/>
      <c r="AE1319" s="622">
        <f t="shared" si="1678"/>
        <v>290418.19230000005</v>
      </c>
      <c r="AF1319" s="633">
        <f>AE1319*(1+VLOOKUP($F1319,'GL Category'!$A:$H,6,FALSE))</f>
        <v>299130.73806900007</v>
      </c>
      <c r="AG1319" s="307"/>
      <c r="AH1319" s="622">
        <f t="shared" si="1679"/>
        <v>299130.73806900007</v>
      </c>
      <c r="AI1319" s="633">
        <f>AH1319*(1+VLOOKUP($F1319,'GL Category'!$A:$H,7,FALSE))</f>
        <v>308104.66021107009</v>
      </c>
      <c r="AJ1319" s="307"/>
      <c r="AK1319" s="622">
        <f t="shared" si="1680"/>
        <v>308104.66021107009</v>
      </c>
      <c r="AL1319" s="633">
        <f>AK1319*(1+VLOOKUP($F1319,'GL Category'!$A:$H,8,FALSE))</f>
        <v>317347.80001740222</v>
      </c>
      <c r="AM1319" s="307"/>
      <c r="AN1319" s="622">
        <f t="shared" si="1681"/>
        <v>317347.80001740222</v>
      </c>
      <c r="AO1319" s="307"/>
      <c r="AP1319" s="307"/>
      <c r="AQ1319" s="192"/>
    </row>
    <row r="1320" spans="1:43" s="115" customFormat="1" ht="15" customHeight="1">
      <c r="A1320" s="555"/>
      <c r="B1320" s="217"/>
      <c r="C1320" s="217"/>
      <c r="D1320" s="101"/>
      <c r="E1320" s="217"/>
      <c r="F1320" s="294"/>
      <c r="G1320" s="295"/>
      <c r="H1320" s="107" t="str">
        <f>UPPER(G1319)&amp;" TOTAL"</f>
        <v>SERVICES &amp; OTHER TOTAL</v>
      </c>
      <c r="I1320" s="109">
        <f t="shared" ref="I1320:T1320" si="1682">SUBTOTAL(9,I1301:I1319)</f>
        <v>1114359.8599999999</v>
      </c>
      <c r="J1320" s="109">
        <f t="shared" si="1682"/>
        <v>1207508.07</v>
      </c>
      <c r="K1320" s="109">
        <f t="shared" si="1682"/>
        <v>1247278.2</v>
      </c>
      <c r="L1320" s="109">
        <f t="shared" si="1682"/>
        <v>1197561.8500000001</v>
      </c>
      <c r="M1320" s="109">
        <f t="shared" si="1682"/>
        <v>1334688</v>
      </c>
      <c r="N1320" s="109">
        <f t="shared" si="1682"/>
        <v>1018593.83</v>
      </c>
      <c r="O1320" s="109">
        <f t="shared" si="1682"/>
        <v>1339578</v>
      </c>
      <c r="P1320" s="109">
        <f t="shared" si="1682"/>
        <v>4890</v>
      </c>
      <c r="Q1320" s="109">
        <f t="shared" si="1682"/>
        <v>1437549</v>
      </c>
      <c r="R1320" s="109">
        <f t="shared" si="1682"/>
        <v>10000</v>
      </c>
      <c r="S1320" s="109">
        <f t="shared" si="1682"/>
        <v>6370</v>
      </c>
      <c r="T1320" s="109">
        <f t="shared" si="1682"/>
        <v>1453919</v>
      </c>
      <c r="U1320" s="99">
        <f t="shared" si="1674"/>
        <v>119231</v>
      </c>
      <c r="V1320" s="255">
        <f t="shared" si="1675"/>
        <v>8.9332488191997017E-2</v>
      </c>
      <c r="W1320" s="102"/>
      <c r="X1320" s="102"/>
      <c r="Y1320" s="102"/>
      <c r="Z1320" s="192"/>
      <c r="AA1320" s="615"/>
      <c r="AB1320" s="307"/>
      <c r="AC1320" s="94"/>
      <c r="AD1320" s="94"/>
      <c r="AE1320" s="94"/>
      <c r="AF1320" s="94"/>
      <c r="AG1320" s="94"/>
      <c r="AH1320" s="307"/>
      <c r="AI1320" s="307"/>
      <c r="AJ1320" s="94"/>
      <c r="AK1320" s="94"/>
      <c r="AL1320" s="94"/>
      <c r="AM1320" s="94"/>
      <c r="AN1320" s="94"/>
      <c r="AO1320" s="307"/>
      <c r="AP1320" s="307"/>
      <c r="AQ1320" s="192"/>
    </row>
    <row r="1321" spans="1:43" s="115" customFormat="1" ht="15" customHeight="1">
      <c r="A1321" s="555"/>
      <c r="B1321" s="217"/>
      <c r="C1321" s="217"/>
      <c r="D1321" s="101"/>
      <c r="E1321" s="217"/>
      <c r="F1321" s="294"/>
      <c r="G1321" s="295"/>
      <c r="H1321" s="98"/>
      <c r="I1321" s="106"/>
      <c r="J1321" s="106"/>
      <c r="K1321" s="106"/>
      <c r="L1321" s="106"/>
      <c r="M1321" s="106"/>
      <c r="N1321" s="112"/>
      <c r="O1321" s="112"/>
      <c r="P1321" s="112"/>
      <c r="Q1321" s="113"/>
      <c r="R1321" s="113"/>
      <c r="S1321" s="113"/>
      <c r="T1321" s="113"/>
      <c r="U1321" s="99"/>
      <c r="V1321" s="255"/>
      <c r="W1321" s="102"/>
      <c r="X1321" s="102"/>
      <c r="Y1321" s="102"/>
      <c r="Z1321" s="192"/>
      <c r="AA1321" s="615"/>
      <c r="AB1321" s="307"/>
      <c r="AC1321" s="93"/>
      <c r="AD1321" s="93"/>
      <c r="AE1321" s="93"/>
      <c r="AF1321" s="93"/>
      <c r="AG1321" s="93"/>
      <c r="AH1321" s="307"/>
      <c r="AI1321" s="307"/>
      <c r="AJ1321" s="93"/>
      <c r="AK1321" s="93"/>
      <c r="AL1321" s="93"/>
      <c r="AM1321" s="93"/>
      <c r="AN1321" s="93"/>
      <c r="AO1321" s="307"/>
      <c r="AP1321" s="307"/>
      <c r="AQ1321" s="192"/>
    </row>
    <row r="1322" spans="1:43" s="115" customFormat="1" ht="15" customHeight="1">
      <c r="A1322" s="555"/>
      <c r="B1322" s="217"/>
      <c r="C1322" s="217">
        <v>35</v>
      </c>
      <c r="D1322" s="101"/>
      <c r="E1322" s="217"/>
      <c r="F1322" s="294" t="s">
        <v>267</v>
      </c>
      <c r="G1322" s="295" t="str">
        <f>VLOOKUP(F1322,'GL Category'!A:C,3,FALSE)</f>
        <v>Capital Outlay</v>
      </c>
      <c r="H1322" s="98" t="str">
        <f>VLOOKUP(F1322,'GL Category'!A:C,2,FALSE)</f>
        <v>MACHINERY &amp; EQUIPMENT</v>
      </c>
      <c r="I1322" s="99">
        <f>SUMIFS(I$1:I1316,$C$1:$C1316,$C1322,$F$1:$F1316,$F1322)</f>
        <v>23343.620000000003</v>
      </c>
      <c r="J1322" s="99">
        <f>SUMIFS(J$1:J1316,$C$1:$C1316,$C1322,$F$1:$F1316,$F1322)</f>
        <v>0</v>
      </c>
      <c r="K1322" s="99">
        <f>SUMIFS(K$1:K1316,$C$1:$C1316,$C1322,$F$1:$F1316,$F1322)</f>
        <v>296730.65999999997</v>
      </c>
      <c r="L1322" s="99">
        <f>SUMIFS(L$1:L1316,$C$1:$C1316,$C1322,$F$1:$F1316,$F1322)</f>
        <v>86829.34</v>
      </c>
      <c r="M1322" s="99">
        <f>SUMIFS(M$1:M1316,$C$1:$C1316,$C1322,$F$1:$F1316,$F1322)</f>
        <v>55600</v>
      </c>
      <c r="N1322" s="99">
        <f>SUMIFS(N$1:N1316,$C$1:$C1316,$C1322,$F$1:$F1316,$F1322)</f>
        <v>0</v>
      </c>
      <c r="O1322" s="99">
        <f>SUMIFS(O$1:O1316,$C$1:$C1316,$C1322,$F$1:$F1316,$F1322)</f>
        <v>0</v>
      </c>
      <c r="P1322" s="99">
        <f>O1322-M1322</f>
        <v>-55600</v>
      </c>
      <c r="Q1322" s="99">
        <f>SUMIFS(Q$1:Q1316,$C$1:$C1316,$C1322,$F$1:$F1316,$F1322)</f>
        <v>0</v>
      </c>
      <c r="R1322" s="99">
        <f>SUMIFS(R$1:R1316,$C$1:$C1316,$C1322,$F$1:$F1316,$F1322)</f>
        <v>58024</v>
      </c>
      <c r="S1322" s="99">
        <f>SUMIFS(S$1:S1316,$C$1:$C1316,$C1322,$F$1:$F1316,$F1322)</f>
        <v>0</v>
      </c>
      <c r="T1322" s="99">
        <f>SUMIFS(T$1:T1316,$C$1:$C1316,$C1322,$F$1:$F1316,$F1322)</f>
        <v>58024</v>
      </c>
      <c r="U1322" s="99">
        <f>T1322-M1322</f>
        <v>2424</v>
      </c>
      <c r="V1322" s="255">
        <f>IF(M1322=0,"N/A",T1322/M1322-1)</f>
        <v>4.3597122302158287E-2</v>
      </c>
      <c r="W1322" s="102"/>
      <c r="X1322" s="102">
        <v>58024</v>
      </c>
      <c r="Y1322" s="102">
        <f t="shared" ref="Y1322:Y1323" si="1683">T1322-X1322</f>
        <v>0</v>
      </c>
      <c r="Z1322" s="309">
        <f>Y1322*(1+VLOOKUP($F1322,'GL Category'!$A:$H,4,FALSE))</f>
        <v>0</v>
      </c>
      <c r="AA1322" s="615"/>
      <c r="AB1322" s="622">
        <f t="shared" ref="AB1322:AB1323" si="1684">Z1322+AA1322</f>
        <v>0</v>
      </c>
      <c r="AC1322" s="633">
        <f>AB1322*(1+VLOOKUP($F1322,'GL Category'!$A:$H,5,FALSE))</f>
        <v>0</v>
      </c>
      <c r="AD1322" s="307"/>
      <c r="AE1322" s="622">
        <f t="shared" ref="AE1322:AE1323" si="1685">AC1322+AD1322</f>
        <v>0</v>
      </c>
      <c r="AF1322" s="633">
        <f>AE1322*(1+VLOOKUP($F1322,'GL Category'!$A:$H,6,FALSE))</f>
        <v>0</v>
      </c>
      <c r="AG1322" s="307"/>
      <c r="AH1322" s="622">
        <f t="shared" ref="AH1322:AH1323" si="1686">AF1322+AG1322</f>
        <v>0</v>
      </c>
      <c r="AI1322" s="633">
        <f>AH1322*(1+VLOOKUP($F1322,'GL Category'!$A:$H,7,FALSE))</f>
        <v>0</v>
      </c>
      <c r="AJ1322" s="307"/>
      <c r="AK1322" s="622">
        <f t="shared" ref="AK1322:AK1323" si="1687">AI1322+AJ1322</f>
        <v>0</v>
      </c>
      <c r="AL1322" s="633">
        <f>AK1322*(1+VLOOKUP($F1322,'GL Category'!$A:$H,8,FALSE))</f>
        <v>0</v>
      </c>
      <c r="AM1322" s="307"/>
      <c r="AN1322" s="622">
        <f t="shared" ref="AN1322:AN1323" si="1688">AL1322+AM1322</f>
        <v>0</v>
      </c>
      <c r="AO1322" s="307"/>
      <c r="AP1322" s="307"/>
      <c r="AQ1322" s="192"/>
    </row>
    <row r="1323" spans="1:43" s="115" customFormat="1" ht="15" customHeight="1">
      <c r="A1323" s="555"/>
      <c r="B1323" s="217"/>
      <c r="C1323" s="217">
        <v>35</v>
      </c>
      <c r="D1323" s="101"/>
      <c r="E1323" s="217"/>
      <c r="F1323" s="294" t="s">
        <v>222</v>
      </c>
      <c r="G1323" s="295" t="str">
        <f>VLOOKUP(F1323,'GL Category'!A:C,3,FALSE)</f>
        <v>Capital Outlay</v>
      </c>
      <c r="H1323" s="98" t="str">
        <f>VLOOKUP(F1323,'GL Category'!A:C,2,FALSE)</f>
        <v>OFFICE MACHINERY &amp; EQUIPMENT</v>
      </c>
      <c r="I1323" s="99">
        <f>SUMIFS(I$1:I1316,$C$1:$C1316,$C1323,$F$1:$F1316,$F1323)</f>
        <v>0</v>
      </c>
      <c r="J1323" s="99">
        <f>SUMIFS(J$1:J1316,$C$1:$C1316,$C1323,$F$1:$F1316,$F1323)</f>
        <v>0</v>
      </c>
      <c r="K1323" s="99">
        <f>SUMIFS(K$1:K1316,$C$1:$C1316,$C1323,$F$1:$F1316,$F1323)</f>
        <v>0</v>
      </c>
      <c r="L1323" s="99">
        <f>SUMIFS(L$1:L1316,$C$1:$C1316,$C1323,$F$1:$F1316,$F1323)</f>
        <v>0</v>
      </c>
      <c r="M1323" s="99">
        <f>SUMIFS(M$1:M1316,$C$1:$C1316,$C1323,$F$1:$F1316,$F1323)</f>
        <v>0</v>
      </c>
      <c r="N1323" s="99">
        <f>SUMIFS(N$1:N1316,$C$1:$C1316,$C1323,$F$1:$F1316,$F1323)</f>
        <v>0</v>
      </c>
      <c r="O1323" s="99">
        <f>SUMIFS(O$1:O1316,$C$1:$C1316,$C1323,$F$1:$F1316,$F1323)</f>
        <v>0</v>
      </c>
      <c r="P1323" s="99">
        <f>O1323-M1323</f>
        <v>0</v>
      </c>
      <c r="Q1323" s="99">
        <f>SUMIFS(Q$1:Q1316,$C$1:$C1316,$C1323,$F$1:$F1316,$F1323)</f>
        <v>0</v>
      </c>
      <c r="R1323" s="99">
        <f>SUMIFS(R$1:R1316,$C$1:$C1316,$C1323,$F$1:$F1316,$F1323)</f>
        <v>0</v>
      </c>
      <c r="S1323" s="99">
        <f>SUMIFS(S$1:S1316,$C$1:$C1316,$C1323,$F$1:$F1316,$F1323)</f>
        <v>0</v>
      </c>
      <c r="T1323" s="99">
        <f>SUMIFS(T$1:T1316,$C$1:$C1316,$C1323,$F$1:$F1316,$F1323)</f>
        <v>0</v>
      </c>
      <c r="U1323" s="99">
        <f>T1323-M1323</f>
        <v>0</v>
      </c>
      <c r="V1323" s="255" t="str">
        <f>IF(M1323=0,"N/A",T1323/M1323-1)</f>
        <v>N/A</v>
      </c>
      <c r="W1323" s="102"/>
      <c r="X1323" s="102"/>
      <c r="Y1323" s="102">
        <f t="shared" si="1683"/>
        <v>0</v>
      </c>
      <c r="Z1323" s="309">
        <f>Y1323*(1+VLOOKUP($F1323,'GL Category'!$A:$H,4,FALSE))</f>
        <v>0</v>
      </c>
      <c r="AA1323" s="615"/>
      <c r="AB1323" s="622">
        <f t="shared" si="1684"/>
        <v>0</v>
      </c>
      <c r="AC1323" s="633">
        <f>AB1323*(1+VLOOKUP($F1323,'GL Category'!$A:$H,5,FALSE))</f>
        <v>0</v>
      </c>
      <c r="AD1323" s="307"/>
      <c r="AE1323" s="622">
        <f t="shared" si="1685"/>
        <v>0</v>
      </c>
      <c r="AF1323" s="633">
        <f>AE1323*(1+VLOOKUP($F1323,'GL Category'!$A:$H,6,FALSE))</f>
        <v>0</v>
      </c>
      <c r="AG1323" s="307"/>
      <c r="AH1323" s="622">
        <f t="shared" si="1686"/>
        <v>0</v>
      </c>
      <c r="AI1323" s="633">
        <f>AH1323*(1+VLOOKUP($F1323,'GL Category'!$A:$H,7,FALSE))</f>
        <v>0</v>
      </c>
      <c r="AJ1323" s="307"/>
      <c r="AK1323" s="622">
        <f t="shared" si="1687"/>
        <v>0</v>
      </c>
      <c r="AL1323" s="633">
        <f>AK1323*(1+VLOOKUP($F1323,'GL Category'!$A:$H,8,FALSE))</f>
        <v>0</v>
      </c>
      <c r="AM1323" s="307"/>
      <c r="AN1323" s="622">
        <f t="shared" si="1688"/>
        <v>0</v>
      </c>
      <c r="AO1323" s="307"/>
      <c r="AP1323" s="307"/>
      <c r="AQ1323" s="192"/>
    </row>
    <row r="1324" spans="1:43" s="115" customFormat="1" ht="15" customHeight="1">
      <c r="A1324" s="555"/>
      <c r="B1324" s="217"/>
      <c r="C1324" s="217"/>
      <c r="D1324" s="101"/>
      <c r="E1324" s="217"/>
      <c r="F1324" s="294"/>
      <c r="G1324" s="295"/>
      <c r="H1324" s="107" t="str">
        <f>UPPER(G1323)&amp;" TOTAL"</f>
        <v>CAPITAL OUTLAY TOTAL</v>
      </c>
      <c r="I1324" s="109">
        <f t="shared" ref="I1324:T1324" si="1689">SUBTOTAL(9,I1322:I1323)</f>
        <v>23343.620000000003</v>
      </c>
      <c r="J1324" s="109">
        <f t="shared" si="1689"/>
        <v>0</v>
      </c>
      <c r="K1324" s="109">
        <f t="shared" si="1689"/>
        <v>296730.65999999997</v>
      </c>
      <c r="L1324" s="109">
        <f t="shared" si="1689"/>
        <v>86829.34</v>
      </c>
      <c r="M1324" s="109">
        <f t="shared" si="1689"/>
        <v>55600</v>
      </c>
      <c r="N1324" s="109">
        <f t="shared" si="1689"/>
        <v>0</v>
      </c>
      <c r="O1324" s="109">
        <f t="shared" si="1689"/>
        <v>0</v>
      </c>
      <c r="P1324" s="109">
        <f t="shared" si="1689"/>
        <v>-55600</v>
      </c>
      <c r="Q1324" s="109">
        <f t="shared" si="1689"/>
        <v>0</v>
      </c>
      <c r="R1324" s="109">
        <f t="shared" si="1689"/>
        <v>58024</v>
      </c>
      <c r="S1324" s="109">
        <f t="shared" si="1689"/>
        <v>0</v>
      </c>
      <c r="T1324" s="109">
        <f t="shared" si="1689"/>
        <v>58024</v>
      </c>
      <c r="U1324" s="99">
        <f>T1324-M1324</f>
        <v>2424</v>
      </c>
      <c r="V1324" s="255">
        <f>IF(M1324=0,"N/A",T1324/M1324-1)</f>
        <v>4.3597122302158287E-2</v>
      </c>
      <c r="W1324" s="102"/>
      <c r="X1324" s="102"/>
      <c r="Y1324" s="102"/>
      <c r="Z1324" s="192"/>
      <c r="AA1324" s="615"/>
      <c r="AB1324" s="307"/>
      <c r="AC1324" s="94"/>
      <c r="AD1324" s="94"/>
      <c r="AE1324" s="94"/>
      <c r="AF1324" s="94"/>
      <c r="AG1324" s="94"/>
      <c r="AH1324" s="307"/>
      <c r="AI1324" s="307"/>
      <c r="AJ1324" s="94"/>
      <c r="AK1324" s="94"/>
      <c r="AL1324" s="94"/>
      <c r="AM1324" s="94"/>
      <c r="AN1324" s="94"/>
      <c r="AO1324" s="307"/>
      <c r="AP1324" s="307"/>
      <c r="AQ1324" s="192"/>
    </row>
    <row r="1325" spans="1:43" s="115" customFormat="1" ht="15" customHeight="1">
      <c r="A1325" s="555"/>
      <c r="B1325" s="217"/>
      <c r="C1325" s="217"/>
      <c r="D1325" s="101"/>
      <c r="E1325" s="217"/>
      <c r="F1325" s="294"/>
      <c r="G1325" s="295"/>
      <c r="H1325" s="98"/>
      <c r="I1325" s="106"/>
      <c r="J1325" s="106"/>
      <c r="K1325" s="106"/>
      <c r="L1325" s="106"/>
      <c r="M1325" s="106"/>
      <c r="N1325" s="112"/>
      <c r="O1325" s="112"/>
      <c r="P1325" s="112"/>
      <c r="Q1325" s="113"/>
      <c r="R1325" s="113"/>
      <c r="S1325" s="113"/>
      <c r="T1325" s="113"/>
      <c r="U1325" s="99"/>
      <c r="V1325" s="255"/>
      <c r="W1325" s="102"/>
      <c r="X1325" s="102"/>
      <c r="Y1325" s="102"/>
      <c r="Z1325" s="192"/>
      <c r="AA1325" s="615"/>
      <c r="AB1325" s="307"/>
      <c r="AC1325" s="93"/>
      <c r="AD1325" s="93"/>
      <c r="AE1325" s="93"/>
      <c r="AF1325" s="93"/>
      <c r="AG1325" s="93"/>
      <c r="AH1325" s="307"/>
      <c r="AI1325" s="307"/>
      <c r="AJ1325" s="93"/>
      <c r="AK1325" s="93"/>
      <c r="AL1325" s="93"/>
      <c r="AM1325" s="93"/>
      <c r="AN1325" s="93"/>
      <c r="AO1325" s="307"/>
      <c r="AP1325" s="307"/>
      <c r="AQ1325" s="192"/>
    </row>
    <row r="1326" spans="1:43" s="115" customFormat="1" ht="15" customHeight="1">
      <c r="A1326" s="555"/>
      <c r="B1326" s="217"/>
      <c r="C1326" s="217"/>
      <c r="D1326" s="101"/>
      <c r="E1326" s="217"/>
      <c r="F1326" s="294"/>
      <c r="G1326" s="295"/>
      <c r="H1326" s="98"/>
      <c r="I1326" s="106"/>
      <c r="J1326" s="106"/>
      <c r="K1326" s="106"/>
      <c r="L1326" s="106"/>
      <c r="M1326" s="106"/>
      <c r="N1326" s="112"/>
      <c r="O1326" s="112"/>
      <c r="P1326" s="112"/>
      <c r="Q1326" s="113"/>
      <c r="R1326" s="113"/>
      <c r="S1326" s="113"/>
      <c r="T1326" s="113"/>
      <c r="U1326" s="99"/>
      <c r="V1326" s="255"/>
      <c r="W1326" s="102"/>
      <c r="X1326" s="102"/>
      <c r="Y1326" s="102"/>
      <c r="Z1326" s="192"/>
      <c r="AA1326" s="615"/>
      <c r="AB1326" s="307"/>
      <c r="AC1326" s="93"/>
      <c r="AD1326" s="93"/>
      <c r="AE1326" s="93"/>
      <c r="AF1326" s="93"/>
      <c r="AG1326" s="93"/>
      <c r="AH1326" s="307"/>
      <c r="AI1326" s="307"/>
      <c r="AJ1326" s="93"/>
      <c r="AK1326" s="93"/>
      <c r="AL1326" s="93"/>
      <c r="AM1326" s="93"/>
      <c r="AN1326" s="93"/>
      <c r="AO1326" s="307"/>
      <c r="AP1326" s="307"/>
      <c r="AQ1326" s="192"/>
    </row>
    <row r="1327" spans="1:43" s="115" customFormat="1" ht="15" customHeight="1">
      <c r="A1327" s="555"/>
      <c r="B1327" s="217"/>
      <c r="C1327" s="217"/>
      <c r="D1327" s="101"/>
      <c r="E1327" s="217"/>
      <c r="F1327" s="294"/>
      <c r="G1327" s="295"/>
      <c r="H1327" s="114" t="s">
        <v>51</v>
      </c>
      <c r="I1327" s="108">
        <f t="shared" ref="I1327:T1327" si="1690">SUBTOTAL(9,I1267:I1325)</f>
        <v>6805376.1500000004</v>
      </c>
      <c r="J1327" s="108">
        <f t="shared" si="1690"/>
        <v>8855749.3800000008</v>
      </c>
      <c r="K1327" s="108">
        <f t="shared" si="1690"/>
        <v>9827534.5499999989</v>
      </c>
      <c r="L1327" s="108">
        <f t="shared" si="1690"/>
        <v>10373852.01</v>
      </c>
      <c r="M1327" s="108">
        <f t="shared" si="1690"/>
        <v>10721577</v>
      </c>
      <c r="N1327" s="108">
        <f t="shared" si="1690"/>
        <v>8058567.4800000014</v>
      </c>
      <c r="O1327" s="108">
        <f t="shared" si="1690"/>
        <v>10675113</v>
      </c>
      <c r="P1327" s="108">
        <f t="shared" si="1690"/>
        <v>-46464</v>
      </c>
      <c r="Q1327" s="108">
        <f t="shared" si="1690"/>
        <v>10839186</v>
      </c>
      <c r="R1327" s="108">
        <f t="shared" si="1690"/>
        <v>118166</v>
      </c>
      <c r="S1327" s="108">
        <f t="shared" si="1690"/>
        <v>6370</v>
      </c>
      <c r="T1327" s="108">
        <f t="shared" si="1690"/>
        <v>10963722</v>
      </c>
      <c r="U1327" s="99">
        <f>T1327-M1327</f>
        <v>242145</v>
      </c>
      <c r="V1327" s="255">
        <f>IF(M1327=0,"N/A",T1327/M1327-1)</f>
        <v>2.2584830571099834E-2</v>
      </c>
      <c r="W1327" s="102"/>
      <c r="X1327" s="102"/>
      <c r="Y1327" s="102"/>
      <c r="Z1327" s="192"/>
      <c r="AA1327" s="615"/>
      <c r="AB1327" s="305"/>
      <c r="AC1327" s="300"/>
      <c r="AD1327" s="300"/>
      <c r="AE1327" s="300"/>
      <c r="AF1327" s="300"/>
      <c r="AG1327" s="300"/>
      <c r="AH1327" s="307"/>
      <c r="AI1327" s="307"/>
      <c r="AJ1327" s="300"/>
      <c r="AK1327" s="300"/>
      <c r="AL1327" s="300"/>
      <c r="AM1327" s="300"/>
      <c r="AN1327" s="300"/>
      <c r="AO1327" s="307"/>
      <c r="AP1327" s="307"/>
      <c r="AQ1327" s="192"/>
    </row>
    <row r="1328" spans="1:43" s="115" customFormat="1" ht="15" customHeight="1" thickBot="1">
      <c r="A1328" s="555"/>
      <c r="B1328" s="217"/>
      <c r="C1328" s="217"/>
      <c r="D1328" s="101"/>
      <c r="E1328" s="217"/>
      <c r="F1328" s="294"/>
      <c r="G1328" s="295"/>
      <c r="H1328" s="98"/>
      <c r="I1328" s="218"/>
      <c r="J1328" s="218"/>
      <c r="K1328" s="218"/>
      <c r="L1328" s="218"/>
      <c r="M1328" s="218"/>
      <c r="N1328" s="96"/>
      <c r="O1328" s="96"/>
      <c r="P1328" s="96"/>
      <c r="Q1328" s="212"/>
      <c r="R1328" s="212"/>
      <c r="S1328" s="212"/>
      <c r="T1328" s="212"/>
      <c r="U1328" s="99"/>
      <c r="V1328" s="255"/>
      <c r="W1328" s="102"/>
      <c r="X1328" s="102"/>
      <c r="Y1328" s="102"/>
      <c r="Z1328" s="192"/>
      <c r="AA1328" s="615"/>
      <c r="AB1328" s="307"/>
      <c r="AC1328" s="300"/>
      <c r="AD1328" s="300"/>
      <c r="AE1328" s="300"/>
      <c r="AF1328" s="300"/>
      <c r="AG1328" s="300"/>
      <c r="AH1328" s="307"/>
      <c r="AI1328" s="307"/>
      <c r="AJ1328" s="300"/>
      <c r="AK1328" s="300"/>
      <c r="AL1328" s="300"/>
      <c r="AM1328" s="300"/>
      <c r="AN1328" s="300"/>
      <c r="AO1328" s="192"/>
      <c r="AP1328" s="192"/>
      <c r="AQ1328" s="192"/>
    </row>
    <row r="1329" spans="1:43" s="115" customFormat="1" ht="26.25" customHeight="1" thickBot="1">
      <c r="A1329" s="555"/>
      <c r="B1329" s="217"/>
      <c r="C1329" s="217"/>
      <c r="D1329" s="101"/>
      <c r="E1329" s="217"/>
      <c r="F1329" s="294"/>
      <c r="G1329" s="295"/>
      <c r="H1329" s="665" t="s">
        <v>637</v>
      </c>
      <c r="I1329" s="666"/>
      <c r="J1329" s="666"/>
      <c r="K1329" s="666"/>
      <c r="L1329" s="666"/>
      <c r="M1329" s="666"/>
      <c r="N1329" s="666"/>
      <c r="O1329" s="666"/>
      <c r="P1329" s="666"/>
      <c r="Q1329" s="666"/>
      <c r="R1329" s="666"/>
      <c r="S1329" s="666"/>
      <c r="T1329" s="667"/>
      <c r="U1329" s="99"/>
      <c r="V1329" s="255"/>
      <c r="W1329" s="102"/>
      <c r="X1329" s="102"/>
      <c r="Y1329" s="102"/>
      <c r="Z1329" s="192"/>
      <c r="AA1329" s="615"/>
      <c r="AB1329" s="307"/>
      <c r="AC1329" s="94"/>
      <c r="AD1329" s="94"/>
      <c r="AE1329" s="94"/>
      <c r="AF1329" s="94"/>
      <c r="AG1329" s="94"/>
      <c r="AH1329" s="307"/>
      <c r="AI1329" s="307"/>
      <c r="AJ1329" s="94"/>
      <c r="AK1329" s="94"/>
      <c r="AL1329" s="94"/>
      <c r="AM1329" s="94"/>
      <c r="AN1329" s="94"/>
      <c r="AO1329" s="192"/>
      <c r="AP1329" s="192"/>
      <c r="AQ1329" s="192"/>
    </row>
    <row r="1330" spans="1:43" s="115" customFormat="1" ht="15" customHeight="1">
      <c r="A1330" s="555"/>
      <c r="B1330" s="217"/>
      <c r="C1330" s="217"/>
      <c r="D1330" s="101"/>
      <c r="E1330" s="217"/>
      <c r="F1330" s="294"/>
      <c r="G1330" s="295"/>
      <c r="H1330" s="225"/>
      <c r="I1330" s="225"/>
      <c r="J1330" s="225"/>
      <c r="K1330" s="225"/>
      <c r="L1330" s="225"/>
      <c r="M1330" s="225"/>
      <c r="N1330" s="225"/>
      <c r="O1330" s="225"/>
      <c r="P1330" s="225"/>
      <c r="Q1330" s="225"/>
      <c r="R1330" s="225"/>
      <c r="S1330" s="225"/>
      <c r="T1330" s="225"/>
      <c r="U1330" s="99"/>
      <c r="V1330" s="255"/>
      <c r="W1330" s="102"/>
      <c r="X1330" s="102"/>
      <c r="Y1330" s="102"/>
      <c r="Z1330" s="192"/>
      <c r="AA1330" s="615"/>
      <c r="AB1330" s="307"/>
      <c r="AC1330" s="93"/>
      <c r="AD1330" s="93"/>
      <c r="AE1330" s="93"/>
      <c r="AF1330" s="93"/>
      <c r="AG1330" s="93"/>
      <c r="AH1330" s="307"/>
      <c r="AI1330" s="307"/>
      <c r="AJ1330" s="93"/>
      <c r="AK1330" s="93"/>
      <c r="AL1330" s="93"/>
      <c r="AM1330" s="93"/>
      <c r="AN1330" s="93"/>
      <c r="AO1330" s="192"/>
      <c r="AP1330" s="192"/>
      <c r="AQ1330" s="192"/>
    </row>
    <row r="1331" spans="1:43" s="115" customFormat="1" ht="15" customHeight="1">
      <c r="A1331" s="555" t="s">
        <v>2820</v>
      </c>
      <c r="B1331" s="217" t="str">
        <f t="shared" ref="B1331:B1334" si="1691">LEFT(A1331,3)</f>
        <v>100</v>
      </c>
      <c r="C1331" s="217" t="str">
        <f t="shared" ref="C1331:C1334" si="1692">MID(A1331,5,2)</f>
        <v>50</v>
      </c>
      <c r="D1331" s="101" t="str">
        <f t="shared" ref="D1331:D1334" si="1693">MID(A1331,8,3)</f>
        <v>501</v>
      </c>
      <c r="E1331" s="217" t="str">
        <f t="shared" ref="E1331:E1334" si="1694">LEFT(A1331,10)</f>
        <v>100-50-501</v>
      </c>
      <c r="F1331" s="294" t="str">
        <f t="shared" ref="F1331:F1334" si="1695">RIGHT(A1331,5)</f>
        <v>50101</v>
      </c>
      <c r="G1331" s="295" t="str">
        <f>VLOOKUP(F1331,'GL Category'!A:C,3,FALSE)</f>
        <v>Personnel services</v>
      </c>
      <c r="H1331" s="98" t="str">
        <f>VLOOKUP(F1331,'GL Category'!A:C,2,FALSE)</f>
        <v>EXEMPT SALARIES</v>
      </c>
      <c r="I1331" s="99">
        <f>SUMIF(Import!$B:$B,$A1331,Import!D:D)</f>
        <v>260429.64</v>
      </c>
      <c r="J1331" s="99">
        <f>SUMIF(Import!$B:$B,$A1331,Import!E:E)</f>
        <v>238801.97</v>
      </c>
      <c r="K1331" s="99">
        <f>SUMIF(Import!$B:$B,$A1331,Import!F:F)</f>
        <v>159642.75</v>
      </c>
      <c r="L1331" s="99">
        <f>SUMIF(Import!$B:$B,$A1331,Import!G:G)</f>
        <v>260627.97</v>
      </c>
      <c r="M1331" s="99">
        <f>SUMIF(Import!$B:$B,$A1331,Import!H:H)</f>
        <v>296089</v>
      </c>
      <c r="N1331" s="99">
        <f>SUMIF(Import!$B:$B,$A1331,Import!I:I)</f>
        <v>226933.22</v>
      </c>
      <c r="O1331" s="99">
        <f>SUMIF(Import!$B:$B,$A1331,Import!J:J)</f>
        <v>297900</v>
      </c>
      <c r="P1331" s="99">
        <f t="shared" ref="P1331:P1340" si="1696">O1331-M1331</f>
        <v>1811</v>
      </c>
      <c r="Q1331" s="99">
        <f>SUMIF(Import!$B:$B,$A1331,Import!K:K)</f>
        <v>308059</v>
      </c>
      <c r="R1331" s="99">
        <f>SUMIF(Import!$B:$B,$A1331,Import!L:L)</f>
        <v>0</v>
      </c>
      <c r="S1331" s="99">
        <f>SUMIF(Import!$B:$B,$A1331,Import!M:M)</f>
        <v>0</v>
      </c>
      <c r="T1331" s="99">
        <f>SUMIF(Import!$B:$B,$A1331,Import!N:N)</f>
        <v>308059</v>
      </c>
      <c r="U1331" s="99">
        <f t="shared" ref="U1331:U1340" si="1697">T1331-M1331</f>
        <v>11970</v>
      </c>
      <c r="V1331" s="255">
        <f t="shared" ref="V1331:V1340" si="1698">IF(M1331=0,"N/A",T1331/M1331-1)</f>
        <v>4.0427033763496878E-2</v>
      </c>
      <c r="W1331" s="102" t="s">
        <v>2820</v>
      </c>
      <c r="X1331" s="102"/>
      <c r="Y1331" s="102"/>
      <c r="Z1331" s="192"/>
      <c r="AA1331" s="615"/>
      <c r="AB1331" s="307"/>
      <c r="AC1331" s="300"/>
      <c r="AD1331" s="300"/>
      <c r="AE1331" s="300"/>
      <c r="AF1331" s="300"/>
      <c r="AG1331" s="300"/>
      <c r="AH1331" s="307"/>
      <c r="AI1331" s="307"/>
      <c r="AJ1331" s="300"/>
      <c r="AK1331" s="300"/>
      <c r="AL1331" s="300"/>
      <c r="AM1331" s="300"/>
      <c r="AN1331" s="300"/>
      <c r="AO1331" s="192"/>
      <c r="AP1331" s="192"/>
      <c r="AQ1331" s="192"/>
    </row>
    <row r="1332" spans="1:43" s="115" customFormat="1" ht="15" customHeight="1">
      <c r="A1332" s="555" t="s">
        <v>2821</v>
      </c>
      <c r="B1332" s="217" t="str">
        <f t="shared" si="1691"/>
        <v>100</v>
      </c>
      <c r="C1332" s="217" t="str">
        <f t="shared" si="1692"/>
        <v>50</v>
      </c>
      <c r="D1332" s="101" t="str">
        <f t="shared" si="1693"/>
        <v>501</v>
      </c>
      <c r="E1332" s="217" t="str">
        <f t="shared" si="1694"/>
        <v>100-50-501</v>
      </c>
      <c r="F1332" s="294" t="str">
        <f t="shared" si="1695"/>
        <v>50102</v>
      </c>
      <c r="G1332" s="295" t="str">
        <f>VLOOKUP(F1332,'GL Category'!A:C,3,FALSE)</f>
        <v>Personnel services</v>
      </c>
      <c r="H1332" s="98" t="str">
        <f>VLOOKUP(F1332,'GL Category'!A:C,2,FALSE)</f>
        <v>NON EXEMPT SALARIES</v>
      </c>
      <c r="I1332" s="99">
        <f>SUMIF(Import!$B:$B,$A1332,Import!D:D)</f>
        <v>45687.38</v>
      </c>
      <c r="J1332" s="99">
        <f>SUMIF(Import!$B:$B,$A1332,Import!E:E)</f>
        <v>46983.58</v>
      </c>
      <c r="K1332" s="99">
        <f>SUMIF(Import!$B:$B,$A1332,Import!F:F)</f>
        <v>29508.28</v>
      </c>
      <c r="L1332" s="99">
        <f>SUMIF(Import!$B:$B,$A1332,Import!G:G)</f>
        <v>35197.72</v>
      </c>
      <c r="M1332" s="99">
        <f>SUMIF(Import!$B:$B,$A1332,Import!H:H)</f>
        <v>39806</v>
      </c>
      <c r="N1332" s="99">
        <f>SUMIF(Import!$B:$B,$A1332,Import!I:I)</f>
        <v>30528.01</v>
      </c>
      <c r="O1332" s="99">
        <f>SUMIF(Import!$B:$B,$A1332,Import!J:J)</f>
        <v>40064</v>
      </c>
      <c r="P1332" s="99">
        <f t="shared" si="1696"/>
        <v>258</v>
      </c>
      <c r="Q1332" s="99">
        <f>SUMIF(Import!$B:$B,$A1332,Import!K:K)</f>
        <v>41771</v>
      </c>
      <c r="R1332" s="99">
        <f>SUMIF(Import!$B:$B,$A1332,Import!L:L)</f>
        <v>0</v>
      </c>
      <c r="S1332" s="99">
        <f>SUMIF(Import!$B:$B,$A1332,Import!M:M)</f>
        <v>0</v>
      </c>
      <c r="T1332" s="99">
        <f>SUMIF(Import!$B:$B,$A1332,Import!N:N)</f>
        <v>41771</v>
      </c>
      <c r="U1332" s="99">
        <f t="shared" si="1697"/>
        <v>1965</v>
      </c>
      <c r="V1332" s="255">
        <f t="shared" si="1698"/>
        <v>4.9364417424508922E-2</v>
      </c>
      <c r="W1332" s="102" t="s">
        <v>2821</v>
      </c>
      <c r="X1332" s="102"/>
      <c r="Y1332" s="102"/>
      <c r="Z1332" s="192"/>
      <c r="AA1332" s="615"/>
      <c r="AB1332" s="307"/>
      <c r="AC1332" s="300"/>
      <c r="AD1332" s="300"/>
      <c r="AE1332" s="300"/>
      <c r="AF1332" s="300"/>
      <c r="AG1332" s="300"/>
      <c r="AH1332" s="307"/>
      <c r="AI1332" s="307"/>
      <c r="AJ1332" s="300"/>
      <c r="AK1332" s="300"/>
      <c r="AL1332" s="300"/>
      <c r="AM1332" s="300"/>
      <c r="AN1332" s="300"/>
      <c r="AO1332" s="192"/>
      <c r="AP1332" s="192"/>
      <c r="AQ1332" s="192"/>
    </row>
    <row r="1333" spans="1:43" s="115" customFormat="1" ht="15" customHeight="1">
      <c r="A1333" s="555" t="s">
        <v>2822</v>
      </c>
      <c r="B1333" s="217" t="str">
        <f t="shared" si="1691"/>
        <v>100</v>
      </c>
      <c r="C1333" s="217" t="str">
        <f t="shared" si="1692"/>
        <v>50</v>
      </c>
      <c r="D1333" s="101" t="str">
        <f t="shared" si="1693"/>
        <v>501</v>
      </c>
      <c r="E1333" s="217" t="str">
        <f t="shared" si="1694"/>
        <v>100-50-501</v>
      </c>
      <c r="F1333" s="294" t="str">
        <f t="shared" si="1695"/>
        <v>50109</v>
      </c>
      <c r="G1333" s="295" t="str">
        <f>VLOOKUP(F1333,'GL Category'!A:C,3,FALSE)</f>
        <v>Personnel services</v>
      </c>
      <c r="H1333" s="98" t="str">
        <f>VLOOKUP(F1333,'GL Category'!A:C,2,FALSE)</f>
        <v>OVERTIME</v>
      </c>
      <c r="I1333" s="99">
        <f>SUMIF(Import!$B:$B,$A1333,Import!D:D)</f>
        <v>378.73</v>
      </c>
      <c r="J1333" s="99">
        <f>SUMIF(Import!$B:$B,$A1333,Import!E:E)</f>
        <v>151.27000000000001</v>
      </c>
      <c r="K1333" s="99">
        <f>SUMIF(Import!$B:$B,$A1333,Import!F:F)</f>
        <v>62.54</v>
      </c>
      <c r="L1333" s="99">
        <f>SUMIF(Import!$B:$B,$A1333,Import!G:G)</f>
        <v>41.45</v>
      </c>
      <c r="M1333" s="99">
        <f>SUMIF(Import!$B:$B,$A1333,Import!H:H)</f>
        <v>600</v>
      </c>
      <c r="N1333" s="99">
        <f>SUMIF(Import!$B:$B,$A1333,Import!I:I)</f>
        <v>71.34</v>
      </c>
      <c r="O1333" s="99">
        <f>SUMIF(Import!$B:$B,$A1333,Import!J:J)</f>
        <v>110</v>
      </c>
      <c r="P1333" s="99">
        <f t="shared" si="1696"/>
        <v>-490</v>
      </c>
      <c r="Q1333" s="99">
        <f>SUMIF(Import!$B:$B,$A1333,Import!K:K)</f>
        <v>600</v>
      </c>
      <c r="R1333" s="99">
        <f>SUMIF(Import!$B:$B,$A1333,Import!L:L)</f>
        <v>0</v>
      </c>
      <c r="S1333" s="99">
        <f>SUMIF(Import!$B:$B,$A1333,Import!M:M)</f>
        <v>0</v>
      </c>
      <c r="T1333" s="99">
        <f>SUMIF(Import!$B:$B,$A1333,Import!N:N)</f>
        <v>600</v>
      </c>
      <c r="U1333" s="99">
        <f t="shared" si="1697"/>
        <v>0</v>
      </c>
      <c r="V1333" s="255">
        <f t="shared" si="1698"/>
        <v>0</v>
      </c>
      <c r="W1333" s="102" t="s">
        <v>2822</v>
      </c>
      <c r="X1333" s="102"/>
      <c r="Y1333" s="102"/>
      <c r="Z1333" s="192"/>
      <c r="AA1333" s="615"/>
      <c r="AB1333" s="307"/>
      <c r="AC1333" s="300"/>
      <c r="AD1333" s="300"/>
      <c r="AE1333" s="300"/>
      <c r="AF1333" s="300"/>
      <c r="AG1333" s="300"/>
      <c r="AH1333" s="307"/>
      <c r="AI1333" s="307"/>
      <c r="AJ1333" s="300"/>
      <c r="AK1333" s="300"/>
      <c r="AL1333" s="300"/>
      <c r="AM1333" s="300"/>
      <c r="AN1333" s="300"/>
      <c r="AO1333" s="192"/>
      <c r="AP1333" s="192"/>
      <c r="AQ1333" s="192"/>
    </row>
    <row r="1334" spans="1:43" s="115" customFormat="1" ht="15" customHeight="1">
      <c r="A1334" s="555" t="s">
        <v>2823</v>
      </c>
      <c r="B1334" s="217" t="str">
        <f t="shared" si="1691"/>
        <v>100</v>
      </c>
      <c r="C1334" s="217" t="str">
        <f t="shared" si="1692"/>
        <v>50</v>
      </c>
      <c r="D1334" s="101" t="str">
        <f t="shared" si="1693"/>
        <v>501</v>
      </c>
      <c r="E1334" s="217" t="str">
        <f t="shared" si="1694"/>
        <v>100-50-501</v>
      </c>
      <c r="F1334" s="294" t="str">
        <f t="shared" si="1695"/>
        <v>50111</v>
      </c>
      <c r="G1334" s="295" t="str">
        <f>VLOOKUP(F1334,'GL Category'!A:C,3,FALSE)</f>
        <v>Personnel services</v>
      </c>
      <c r="H1334" s="98" t="str">
        <f>VLOOKUP(F1334,'GL Category'!A:C,2,FALSE)</f>
        <v>LONGEVITY PAY</v>
      </c>
      <c r="I1334" s="99">
        <f>SUMIF(Import!$B:$B,$A1334,Import!D:D)</f>
        <v>860</v>
      </c>
      <c r="J1334" s="99">
        <f>SUMIF(Import!$B:$B,$A1334,Import!E:E)</f>
        <v>1040</v>
      </c>
      <c r="K1334" s="99">
        <f>SUMIF(Import!$B:$B,$A1334,Import!F:F)</f>
        <v>710</v>
      </c>
      <c r="L1334" s="99">
        <f>SUMIF(Import!$B:$B,$A1334,Import!G:G)</f>
        <v>365</v>
      </c>
      <c r="M1334" s="99">
        <f>SUMIF(Import!$B:$B,$A1334,Import!H:H)</f>
        <v>1281</v>
      </c>
      <c r="N1334" s="99">
        <f>SUMIF(Import!$B:$B,$A1334,Import!I:I)</f>
        <v>1265</v>
      </c>
      <c r="O1334" s="99">
        <f>SUMIF(Import!$B:$B,$A1334,Import!J:J)</f>
        <v>1265</v>
      </c>
      <c r="P1334" s="99">
        <f t="shared" si="1696"/>
        <v>-16</v>
      </c>
      <c r="Q1334" s="99">
        <f>SUMIF(Import!$B:$B,$A1334,Import!K:K)</f>
        <v>1464</v>
      </c>
      <c r="R1334" s="99">
        <f>SUMIF(Import!$B:$B,$A1334,Import!L:L)</f>
        <v>0</v>
      </c>
      <c r="S1334" s="99">
        <f>SUMIF(Import!$B:$B,$A1334,Import!M:M)</f>
        <v>0</v>
      </c>
      <c r="T1334" s="99">
        <f>SUMIF(Import!$B:$B,$A1334,Import!N:N)</f>
        <v>1464</v>
      </c>
      <c r="U1334" s="99">
        <f t="shared" si="1697"/>
        <v>183</v>
      </c>
      <c r="V1334" s="255">
        <f t="shared" si="1698"/>
        <v>0.14285714285714279</v>
      </c>
      <c r="W1334" s="102" t="s">
        <v>2823</v>
      </c>
      <c r="X1334" s="102"/>
      <c r="Y1334" s="102"/>
      <c r="Z1334" s="192"/>
      <c r="AA1334" s="615"/>
      <c r="AB1334" s="307"/>
      <c r="AC1334" s="300"/>
      <c r="AD1334" s="300"/>
      <c r="AE1334" s="300"/>
      <c r="AF1334" s="300"/>
      <c r="AG1334" s="300"/>
      <c r="AH1334" s="307"/>
      <c r="AI1334" s="307"/>
      <c r="AJ1334" s="300"/>
      <c r="AK1334" s="300"/>
      <c r="AL1334" s="300"/>
      <c r="AM1334" s="300"/>
      <c r="AN1334" s="300"/>
      <c r="AO1334" s="192"/>
      <c r="AP1334" s="192"/>
      <c r="AQ1334" s="192"/>
    </row>
    <row r="1335" spans="1:43" s="115" customFormat="1" ht="15" customHeight="1">
      <c r="A1335" s="555" t="s">
        <v>3389</v>
      </c>
      <c r="B1335" s="217" t="str">
        <f t="shared" ref="B1335" si="1699">LEFT(A1335,3)</f>
        <v>100</v>
      </c>
      <c r="C1335" s="217" t="str">
        <f t="shared" ref="C1335" si="1700">MID(A1335,5,2)</f>
        <v>50</v>
      </c>
      <c r="D1335" s="101" t="str">
        <f t="shared" ref="D1335" si="1701">MID(A1335,8,3)</f>
        <v>501</v>
      </c>
      <c r="E1335" s="217" t="str">
        <f t="shared" ref="E1335" si="1702">LEFT(A1335,10)</f>
        <v>100-50-501</v>
      </c>
      <c r="F1335" s="294" t="str">
        <f t="shared" ref="F1335" si="1703">RIGHT(A1335,5)</f>
        <v>50115</v>
      </c>
      <c r="G1335" s="295" t="str">
        <f>VLOOKUP(F1335,'GL Category'!A:C,3,FALSE)</f>
        <v>Personnel services</v>
      </c>
      <c r="H1335" s="98" t="str">
        <f>VLOOKUP(F1335,'GL Category'!A:C,2,FALSE)</f>
        <v>INCENTIVE/CERTIFICATION PAY</v>
      </c>
      <c r="I1335" s="99">
        <f>SUMIF(Import!$B:$B,$A1335,Import!D:D)</f>
        <v>0</v>
      </c>
      <c r="J1335" s="99">
        <f>SUMIF(Import!$B:$B,$A1335,Import!E:E)</f>
        <v>0</v>
      </c>
      <c r="K1335" s="99">
        <f>SUMIF(Import!$B:$B,$A1335,Import!F:F)</f>
        <v>0</v>
      </c>
      <c r="L1335" s="99">
        <f>SUMIF(Import!$B:$B,$A1335,Import!G:G)</f>
        <v>528.5</v>
      </c>
      <c r="M1335" s="99">
        <f>SUMIF(Import!$B:$B,$A1335,Import!H:H)</f>
        <v>1050</v>
      </c>
      <c r="N1335" s="99">
        <f>SUMIF(Import!$B:$B,$A1335,Import!I:I)</f>
        <v>784</v>
      </c>
      <c r="O1335" s="99">
        <f>SUMIF(Import!$B:$B,$A1335,Import!J:J)</f>
        <v>796</v>
      </c>
      <c r="P1335" s="99">
        <f t="shared" ref="P1335" si="1704">O1335-M1335</f>
        <v>-254</v>
      </c>
      <c r="Q1335" s="99">
        <f>SUMIF(Import!$B:$B,$A1335,Import!K:K)</f>
        <v>1050</v>
      </c>
      <c r="R1335" s="99">
        <f>SUMIF(Import!$B:$B,$A1335,Import!L:L)</f>
        <v>0</v>
      </c>
      <c r="S1335" s="99">
        <f>SUMIF(Import!$B:$B,$A1335,Import!M:M)</f>
        <v>0</v>
      </c>
      <c r="T1335" s="99">
        <f>SUMIF(Import!$B:$B,$A1335,Import!N:N)</f>
        <v>1050</v>
      </c>
      <c r="U1335" s="99">
        <f t="shared" ref="U1335" si="1705">T1335-M1335</f>
        <v>0</v>
      </c>
      <c r="V1335" s="255">
        <f t="shared" si="1698"/>
        <v>0</v>
      </c>
      <c r="W1335" s="102" t="s">
        <v>3389</v>
      </c>
      <c r="X1335" s="102"/>
      <c r="Y1335" s="102"/>
      <c r="Z1335" s="192"/>
      <c r="AA1335" s="615"/>
      <c r="AB1335" s="307"/>
      <c r="AC1335" s="300"/>
      <c r="AD1335" s="300"/>
      <c r="AE1335" s="300"/>
      <c r="AF1335" s="300"/>
      <c r="AG1335" s="300"/>
      <c r="AH1335" s="307"/>
      <c r="AI1335" s="307"/>
      <c r="AJ1335" s="300"/>
      <c r="AK1335" s="300"/>
      <c r="AL1335" s="300"/>
      <c r="AM1335" s="300"/>
      <c r="AN1335" s="300"/>
      <c r="AO1335" s="192"/>
      <c r="AP1335" s="192"/>
      <c r="AQ1335" s="192"/>
    </row>
    <row r="1336" spans="1:43" s="115" customFormat="1" ht="15" customHeight="1">
      <c r="A1336" s="555" t="s">
        <v>2824</v>
      </c>
      <c r="B1336" s="217" t="str">
        <f t="shared" ref="B1336:B1389" si="1706">LEFT(A1336,3)</f>
        <v>100</v>
      </c>
      <c r="C1336" s="217" t="str">
        <f t="shared" ref="C1336:C1389" si="1707">MID(A1336,5,2)</f>
        <v>50</v>
      </c>
      <c r="D1336" s="101" t="str">
        <f t="shared" ref="D1336:D1389" si="1708">MID(A1336,8,3)</f>
        <v>501</v>
      </c>
      <c r="E1336" s="217" t="str">
        <f t="shared" ref="E1336:E1389" si="1709">LEFT(A1336,10)</f>
        <v>100-50-501</v>
      </c>
      <c r="F1336" s="294" t="str">
        <f t="shared" ref="F1336:F1389" si="1710">RIGHT(A1336,5)</f>
        <v>50120</v>
      </c>
      <c r="G1336" s="295" t="str">
        <f>VLOOKUP(F1336,'GL Category'!A:C,3,FALSE)</f>
        <v>Personnel services</v>
      </c>
      <c r="H1336" s="98" t="str">
        <f>VLOOKUP(F1336,'GL Category'!A:C,2,FALSE)</f>
        <v>AUTO ALLOWANCE</v>
      </c>
      <c r="I1336" s="99">
        <f>SUMIF(Import!$B:$B,$A1336,Import!D:D)</f>
        <v>4800</v>
      </c>
      <c r="J1336" s="99">
        <f>SUMIF(Import!$B:$B,$A1336,Import!E:E)</f>
        <v>4800</v>
      </c>
      <c r="K1336" s="99">
        <f>SUMIF(Import!$B:$B,$A1336,Import!F:F)</f>
        <v>4800</v>
      </c>
      <c r="L1336" s="99">
        <f>SUMIF(Import!$B:$B,$A1336,Import!G:G)</f>
        <v>5016</v>
      </c>
      <c r="M1336" s="99">
        <f>SUMIF(Import!$B:$B,$A1336,Import!H:H)</f>
        <v>4800</v>
      </c>
      <c r="N1336" s="99">
        <f>SUMIF(Import!$B:$B,$A1336,Import!I:I)</f>
        <v>3584</v>
      </c>
      <c r="O1336" s="99">
        <f>SUMIF(Import!$B:$B,$A1336,Import!J:J)</f>
        <v>4804</v>
      </c>
      <c r="P1336" s="99">
        <f t="shared" si="1696"/>
        <v>4</v>
      </c>
      <c r="Q1336" s="99">
        <f>SUMIF(Import!$B:$B,$A1336,Import!K:K)</f>
        <v>4800</v>
      </c>
      <c r="R1336" s="99">
        <f>SUMIF(Import!$B:$B,$A1336,Import!L:L)</f>
        <v>0</v>
      </c>
      <c r="S1336" s="99">
        <f>SUMIF(Import!$B:$B,$A1336,Import!M:M)</f>
        <v>0</v>
      </c>
      <c r="T1336" s="99">
        <f>SUMIF(Import!$B:$B,$A1336,Import!N:N)</f>
        <v>4800</v>
      </c>
      <c r="U1336" s="99">
        <f t="shared" si="1697"/>
        <v>0</v>
      </c>
      <c r="V1336" s="255">
        <f t="shared" si="1698"/>
        <v>0</v>
      </c>
      <c r="W1336" s="102" t="s">
        <v>2824</v>
      </c>
      <c r="X1336" s="102"/>
      <c r="Y1336" s="102"/>
      <c r="Z1336" s="192"/>
      <c r="AA1336" s="615"/>
      <c r="AB1336" s="307"/>
      <c r="AC1336" s="92"/>
      <c r="AD1336" s="92"/>
      <c r="AE1336" s="92"/>
      <c r="AF1336" s="92"/>
      <c r="AG1336" s="92"/>
      <c r="AH1336" s="307"/>
      <c r="AI1336" s="307"/>
      <c r="AJ1336" s="92"/>
      <c r="AK1336" s="92"/>
      <c r="AL1336" s="92"/>
      <c r="AM1336" s="92"/>
      <c r="AN1336" s="92"/>
      <c r="AO1336" s="192"/>
      <c r="AP1336" s="192"/>
      <c r="AQ1336" s="192"/>
    </row>
    <row r="1337" spans="1:43" s="115" customFormat="1" ht="15" customHeight="1">
      <c r="A1337" s="555" t="s">
        <v>2825</v>
      </c>
      <c r="B1337" s="217" t="str">
        <f t="shared" si="1706"/>
        <v>100</v>
      </c>
      <c r="C1337" s="217" t="str">
        <f t="shared" si="1707"/>
        <v>50</v>
      </c>
      <c r="D1337" s="101" t="str">
        <f t="shared" si="1708"/>
        <v>501</v>
      </c>
      <c r="E1337" s="217" t="str">
        <f t="shared" si="1709"/>
        <v>100-50-501</v>
      </c>
      <c r="F1337" s="294" t="str">
        <f t="shared" si="1710"/>
        <v>50610</v>
      </c>
      <c r="G1337" s="295" t="str">
        <f>VLOOKUP(F1337,'GL Category'!A:C,3,FALSE)</f>
        <v>Personnel services</v>
      </c>
      <c r="H1337" s="98" t="str">
        <f>VLOOKUP(F1337,'GL Category'!A:C,2,FALSE)</f>
        <v>SOCIAL SECURITY</v>
      </c>
      <c r="I1337" s="99">
        <f>SUMIF(Import!$B:$B,$A1337,Import!D:D)</f>
        <v>22576.36</v>
      </c>
      <c r="J1337" s="99">
        <f>SUMIF(Import!$B:$B,$A1337,Import!E:E)</f>
        <v>20249.41</v>
      </c>
      <c r="K1337" s="99">
        <f>SUMIF(Import!$B:$B,$A1337,Import!F:F)</f>
        <v>13523.39</v>
      </c>
      <c r="L1337" s="99">
        <f>SUMIF(Import!$B:$B,$A1337,Import!G:G)</f>
        <v>18489.73</v>
      </c>
      <c r="M1337" s="99">
        <f>SUMIF(Import!$B:$B,$A1337,Import!H:H)</f>
        <v>23470</v>
      </c>
      <c r="N1337" s="99">
        <f>SUMIF(Import!$B:$B,$A1337,Import!I:I)</f>
        <v>18997.03</v>
      </c>
      <c r="O1337" s="99">
        <f>SUMIF(Import!$B:$B,$A1337,Import!J:J)</f>
        <v>23982</v>
      </c>
      <c r="P1337" s="99">
        <f t="shared" si="1696"/>
        <v>512</v>
      </c>
      <c r="Q1337" s="99">
        <f>SUMIF(Import!$B:$B,$A1337,Import!K:K)</f>
        <v>23910</v>
      </c>
      <c r="R1337" s="99">
        <f>SUMIF(Import!$B:$B,$A1337,Import!L:L)</f>
        <v>0</v>
      </c>
      <c r="S1337" s="99">
        <f>SUMIF(Import!$B:$B,$A1337,Import!M:M)</f>
        <v>0</v>
      </c>
      <c r="T1337" s="99">
        <f>SUMIF(Import!$B:$B,$A1337,Import!N:N)</f>
        <v>23910</v>
      </c>
      <c r="U1337" s="99">
        <f t="shared" si="1697"/>
        <v>440</v>
      </c>
      <c r="V1337" s="255">
        <f t="shared" si="1698"/>
        <v>1.8747337025990518E-2</v>
      </c>
      <c r="W1337" s="102" t="s">
        <v>2825</v>
      </c>
      <c r="X1337" s="102"/>
      <c r="Y1337" s="102"/>
      <c r="Z1337" s="192"/>
      <c r="AA1337" s="615"/>
      <c r="AB1337" s="307"/>
      <c r="AC1337" s="300"/>
      <c r="AD1337" s="300"/>
      <c r="AE1337" s="300"/>
      <c r="AF1337" s="300"/>
      <c r="AG1337" s="300"/>
      <c r="AH1337" s="307"/>
      <c r="AI1337" s="307"/>
      <c r="AJ1337" s="300"/>
      <c r="AK1337" s="300"/>
      <c r="AL1337" s="300"/>
      <c r="AM1337" s="300"/>
      <c r="AN1337" s="300"/>
      <c r="AO1337" s="192"/>
      <c r="AP1337" s="192"/>
      <c r="AQ1337" s="192"/>
    </row>
    <row r="1338" spans="1:43" s="115" customFormat="1" ht="15" customHeight="1">
      <c r="A1338" s="555" t="s">
        <v>2826</v>
      </c>
      <c r="B1338" s="217" t="str">
        <f t="shared" si="1706"/>
        <v>100</v>
      </c>
      <c r="C1338" s="217" t="str">
        <f t="shared" si="1707"/>
        <v>50</v>
      </c>
      <c r="D1338" s="101" t="str">
        <f t="shared" si="1708"/>
        <v>501</v>
      </c>
      <c r="E1338" s="217" t="str">
        <f t="shared" si="1709"/>
        <v>100-50-501</v>
      </c>
      <c r="F1338" s="294" t="str">
        <f t="shared" si="1710"/>
        <v>50620</v>
      </c>
      <c r="G1338" s="295" t="str">
        <f>VLOOKUP(F1338,'GL Category'!A:C,3,FALSE)</f>
        <v>Personnel services</v>
      </c>
      <c r="H1338" s="98" t="str">
        <f>VLOOKUP(F1338,'GL Category'!A:C,2,FALSE)</f>
        <v>HEALTH/LIFE INSURANCE</v>
      </c>
      <c r="I1338" s="99">
        <f>SUMIF(Import!$B:$B,$A1338,Import!D:D)</f>
        <v>32487.439999999999</v>
      </c>
      <c r="J1338" s="99">
        <f>SUMIF(Import!$B:$B,$A1338,Import!E:E)</f>
        <v>38542.199999999997</v>
      </c>
      <c r="K1338" s="99">
        <f>SUMIF(Import!$B:$B,$A1338,Import!F:F)</f>
        <v>28578.03</v>
      </c>
      <c r="L1338" s="99">
        <f>SUMIF(Import!$B:$B,$A1338,Import!G:G)</f>
        <v>37435.85</v>
      </c>
      <c r="M1338" s="99">
        <f>SUMIF(Import!$B:$B,$A1338,Import!H:H)</f>
        <v>45459</v>
      </c>
      <c r="N1338" s="99">
        <f>SUMIF(Import!$B:$B,$A1338,Import!I:I)</f>
        <v>34686.67</v>
      </c>
      <c r="O1338" s="99">
        <f>SUMIF(Import!$B:$B,$A1338,Import!J:J)</f>
        <v>46620</v>
      </c>
      <c r="P1338" s="99">
        <f t="shared" si="1696"/>
        <v>1161</v>
      </c>
      <c r="Q1338" s="99">
        <f>SUMIF(Import!$B:$B,$A1338,Import!K:K)</f>
        <v>45804</v>
      </c>
      <c r="R1338" s="99">
        <f>SUMIF(Import!$B:$B,$A1338,Import!L:L)</f>
        <v>0</v>
      </c>
      <c r="S1338" s="99">
        <f>SUMIF(Import!$B:$B,$A1338,Import!M:M)</f>
        <v>0</v>
      </c>
      <c r="T1338" s="99">
        <f>SUMIF(Import!$B:$B,$A1338,Import!N:N)</f>
        <v>45804</v>
      </c>
      <c r="U1338" s="99">
        <f t="shared" si="1697"/>
        <v>345</v>
      </c>
      <c r="V1338" s="255">
        <f t="shared" si="1698"/>
        <v>7.5892562528871998E-3</v>
      </c>
      <c r="W1338" s="102" t="s">
        <v>2826</v>
      </c>
      <c r="X1338" s="102"/>
      <c r="Y1338" s="102"/>
      <c r="Z1338" s="192"/>
      <c r="AA1338" s="615"/>
      <c r="AB1338" s="307"/>
      <c r="AC1338" s="94"/>
      <c r="AD1338" s="94"/>
      <c r="AE1338" s="94"/>
      <c r="AF1338" s="94"/>
      <c r="AG1338" s="94"/>
      <c r="AH1338" s="307"/>
      <c r="AI1338" s="307"/>
      <c r="AJ1338" s="94"/>
      <c r="AK1338" s="94"/>
      <c r="AL1338" s="94"/>
      <c r="AM1338" s="94"/>
      <c r="AN1338" s="94"/>
      <c r="AO1338" s="192"/>
      <c r="AP1338" s="192"/>
      <c r="AQ1338" s="192"/>
    </row>
    <row r="1339" spans="1:43" s="115" customFormat="1" ht="15" customHeight="1">
      <c r="A1339" s="555" t="s">
        <v>2827</v>
      </c>
      <c r="B1339" s="217" t="str">
        <f t="shared" si="1706"/>
        <v>100</v>
      </c>
      <c r="C1339" s="217" t="str">
        <f t="shared" si="1707"/>
        <v>50</v>
      </c>
      <c r="D1339" s="101" t="str">
        <f t="shared" si="1708"/>
        <v>501</v>
      </c>
      <c r="E1339" s="217" t="str">
        <f t="shared" si="1709"/>
        <v>100-50-501</v>
      </c>
      <c r="F1339" s="294" t="str">
        <f t="shared" si="1710"/>
        <v>50630</v>
      </c>
      <c r="G1339" s="295" t="str">
        <f>VLOOKUP(F1339,'GL Category'!A:C,3,FALSE)</f>
        <v>Personnel services</v>
      </c>
      <c r="H1339" s="98" t="str">
        <f>VLOOKUP(F1339,'GL Category'!A:C,2,FALSE)</f>
        <v>WORKER COMPENSATION</v>
      </c>
      <c r="I1339" s="99">
        <f>SUMIF(Import!$B:$B,$A1339,Import!D:D)</f>
        <v>269.36</v>
      </c>
      <c r="J1339" s="99">
        <f>SUMIF(Import!$B:$B,$A1339,Import!E:E)</f>
        <v>261.83999999999997</v>
      </c>
      <c r="K1339" s="99">
        <f>SUMIF(Import!$B:$B,$A1339,Import!F:F)</f>
        <v>290.3</v>
      </c>
      <c r="L1339" s="99">
        <f>SUMIF(Import!$B:$B,$A1339,Import!G:G)</f>
        <v>346.86</v>
      </c>
      <c r="M1339" s="99">
        <f>SUMIF(Import!$B:$B,$A1339,Import!H:H)</f>
        <v>494</v>
      </c>
      <c r="N1339" s="99">
        <f>SUMIF(Import!$B:$B,$A1339,Import!I:I)</f>
        <v>493.6</v>
      </c>
      <c r="O1339" s="99">
        <f>SUMIF(Import!$B:$B,$A1339,Import!J:J)</f>
        <v>494</v>
      </c>
      <c r="P1339" s="99">
        <f t="shared" si="1696"/>
        <v>0</v>
      </c>
      <c r="Q1339" s="99">
        <f>SUMIF(Import!$B:$B,$A1339,Import!K:K)</f>
        <v>496</v>
      </c>
      <c r="R1339" s="99">
        <f>SUMIF(Import!$B:$B,$A1339,Import!L:L)</f>
        <v>0</v>
      </c>
      <c r="S1339" s="99">
        <f>SUMIF(Import!$B:$B,$A1339,Import!M:M)</f>
        <v>0</v>
      </c>
      <c r="T1339" s="99">
        <f>SUMIF(Import!$B:$B,$A1339,Import!N:N)</f>
        <v>496</v>
      </c>
      <c r="U1339" s="99">
        <f t="shared" si="1697"/>
        <v>2</v>
      </c>
      <c r="V1339" s="255">
        <f t="shared" si="1698"/>
        <v>4.0485829959513442E-3</v>
      </c>
      <c r="W1339" s="102" t="s">
        <v>2827</v>
      </c>
      <c r="X1339" s="102"/>
      <c r="Y1339" s="102"/>
      <c r="Z1339" s="192"/>
      <c r="AA1339" s="615"/>
      <c r="AB1339" s="307"/>
      <c r="AC1339" s="93"/>
      <c r="AD1339" s="93"/>
      <c r="AE1339" s="93"/>
      <c r="AF1339" s="93"/>
      <c r="AG1339" s="93"/>
      <c r="AH1339" s="307"/>
      <c r="AI1339" s="307"/>
      <c r="AJ1339" s="93"/>
      <c r="AK1339" s="93"/>
      <c r="AL1339" s="93"/>
      <c r="AM1339" s="93"/>
      <c r="AN1339" s="93"/>
      <c r="AO1339" s="192"/>
      <c r="AP1339" s="192"/>
      <c r="AQ1339" s="192"/>
    </row>
    <row r="1340" spans="1:43" s="115" customFormat="1" ht="15" customHeight="1">
      <c r="A1340" s="555" t="s">
        <v>2828</v>
      </c>
      <c r="B1340" s="217" t="str">
        <f t="shared" si="1706"/>
        <v>100</v>
      </c>
      <c r="C1340" s="217" t="str">
        <f t="shared" si="1707"/>
        <v>50</v>
      </c>
      <c r="D1340" s="101" t="str">
        <f t="shared" si="1708"/>
        <v>501</v>
      </c>
      <c r="E1340" s="217" t="str">
        <f t="shared" si="1709"/>
        <v>100-50-501</v>
      </c>
      <c r="F1340" s="294" t="str">
        <f t="shared" si="1710"/>
        <v>50650</v>
      </c>
      <c r="G1340" s="295" t="str">
        <f>VLOOKUP(F1340,'GL Category'!A:C,3,FALSE)</f>
        <v>Personnel services</v>
      </c>
      <c r="H1340" s="98" t="str">
        <f>VLOOKUP(F1340,'GL Category'!A:C,2,FALSE)</f>
        <v>RETIREMENT</v>
      </c>
      <c r="I1340" s="99">
        <f>SUMIF(Import!$B:$B,$A1340,Import!D:D)</f>
        <v>49590.25</v>
      </c>
      <c r="J1340" s="99">
        <f>SUMIF(Import!$B:$B,$A1340,Import!E:E)</f>
        <v>47135.040000000001</v>
      </c>
      <c r="K1340" s="99">
        <f>SUMIF(Import!$B:$B,$A1340,Import!F:F)</f>
        <v>31572.03</v>
      </c>
      <c r="L1340" s="99">
        <f>SUMIF(Import!$B:$B,$A1340,Import!G:G)</f>
        <v>47495.25</v>
      </c>
      <c r="M1340" s="99">
        <f>SUMIF(Import!$B:$B,$A1340,Import!H:H)</f>
        <v>57208</v>
      </c>
      <c r="N1340" s="99">
        <f>SUMIF(Import!$B:$B,$A1340,Import!I:I)</f>
        <v>43750.37</v>
      </c>
      <c r="O1340" s="99">
        <f>SUMIF(Import!$B:$B,$A1340,Import!J:J)</f>
        <v>57451</v>
      </c>
      <c r="P1340" s="99">
        <f t="shared" si="1696"/>
        <v>243</v>
      </c>
      <c r="Q1340" s="99">
        <f>SUMIF(Import!$B:$B,$A1340,Import!K:K)</f>
        <v>60983</v>
      </c>
      <c r="R1340" s="99">
        <f>SUMIF(Import!$B:$B,$A1340,Import!L:L)</f>
        <v>0</v>
      </c>
      <c r="S1340" s="99">
        <f>SUMIF(Import!$B:$B,$A1340,Import!M:M)</f>
        <v>0</v>
      </c>
      <c r="T1340" s="99">
        <f>SUMIF(Import!$B:$B,$A1340,Import!N:N)</f>
        <v>60983</v>
      </c>
      <c r="U1340" s="99">
        <f t="shared" si="1697"/>
        <v>3775</v>
      </c>
      <c r="V1340" s="255">
        <f t="shared" si="1698"/>
        <v>6.5987274507061988E-2</v>
      </c>
      <c r="W1340" s="102" t="s">
        <v>2828</v>
      </c>
      <c r="X1340" s="102"/>
      <c r="Y1340" s="102"/>
      <c r="Z1340" s="192"/>
      <c r="AA1340" s="615"/>
      <c r="AB1340" s="307"/>
      <c r="AC1340" s="300"/>
      <c r="AD1340" s="300"/>
      <c r="AE1340" s="300"/>
      <c r="AF1340" s="300"/>
      <c r="AG1340" s="300"/>
      <c r="AH1340" s="307"/>
      <c r="AI1340" s="307"/>
      <c r="AJ1340" s="300"/>
      <c r="AK1340" s="300"/>
      <c r="AL1340" s="300"/>
      <c r="AM1340" s="300"/>
      <c r="AN1340" s="300"/>
      <c r="AO1340" s="192"/>
      <c r="AP1340" s="192"/>
      <c r="AQ1340" s="192"/>
    </row>
    <row r="1341" spans="1:43" s="115" customFormat="1" ht="15" customHeight="1">
      <c r="A1341" s="555"/>
      <c r="B1341" s="217"/>
      <c r="C1341" s="217"/>
      <c r="D1341" s="101"/>
      <c r="E1341" s="217"/>
      <c r="F1341" s="294"/>
      <c r="G1341" s="295"/>
      <c r="H1341" s="107" t="str">
        <f>UPPER(G1340)&amp;" TOTAL"</f>
        <v>PERSONNEL SERVICES TOTAL</v>
      </c>
      <c r="I1341" s="108">
        <f t="shared" ref="I1341" si="1711">SUBTOTAL(9,I1331:I1340)</f>
        <v>417079.16</v>
      </c>
      <c r="J1341" s="108">
        <f t="shared" ref="J1341:P1341" si="1712">SUBTOTAL(9,J1331:J1340)</f>
        <v>397965.31</v>
      </c>
      <c r="K1341" s="108">
        <f t="shared" ref="K1341" si="1713">SUBTOTAL(9,K1331:K1340)</f>
        <v>268687.32</v>
      </c>
      <c r="L1341" s="108">
        <f t="shared" ref="L1341" si="1714">SUBTOTAL(9,L1331:L1340)</f>
        <v>405544.32999999996</v>
      </c>
      <c r="M1341" s="108">
        <f t="shared" si="1712"/>
        <v>470257</v>
      </c>
      <c r="N1341" s="109">
        <f t="shared" ref="N1341" si="1715">SUBTOTAL(9,N1331:N1340)</f>
        <v>361093.23999999993</v>
      </c>
      <c r="O1341" s="109">
        <f t="shared" si="1712"/>
        <v>473486</v>
      </c>
      <c r="P1341" s="109">
        <f t="shared" si="1712"/>
        <v>3229</v>
      </c>
      <c r="Q1341" s="109">
        <f t="shared" ref="Q1341:T1341" si="1716">SUBTOTAL(9,Q1331:Q1340)</f>
        <v>488937</v>
      </c>
      <c r="R1341" s="109">
        <f t="shared" si="1716"/>
        <v>0</v>
      </c>
      <c r="S1341" s="109">
        <f t="shared" si="1716"/>
        <v>0</v>
      </c>
      <c r="T1341" s="109">
        <f t="shared" si="1716"/>
        <v>488937</v>
      </c>
      <c r="U1341" s="99">
        <f>T1341-M1341</f>
        <v>18680</v>
      </c>
      <c r="V1341" s="255">
        <f>IF(M1341=0,"N/A",T1341/M1341-1)</f>
        <v>3.9722959998468976E-2</v>
      </c>
      <c r="W1341" s="102"/>
      <c r="X1341" s="102"/>
      <c r="Y1341" s="102"/>
      <c r="Z1341" s="192"/>
      <c r="AA1341" s="615"/>
      <c r="AB1341" s="307"/>
      <c r="AC1341" s="300"/>
      <c r="AD1341" s="300"/>
      <c r="AE1341" s="300"/>
      <c r="AF1341" s="300"/>
      <c r="AG1341" s="300"/>
      <c r="AH1341" s="307"/>
      <c r="AI1341" s="307"/>
      <c r="AJ1341" s="300"/>
      <c r="AK1341" s="300"/>
      <c r="AL1341" s="300"/>
      <c r="AM1341" s="300"/>
      <c r="AN1341" s="300"/>
      <c r="AO1341" s="192"/>
      <c r="AP1341" s="192"/>
      <c r="AQ1341" s="192"/>
    </row>
    <row r="1342" spans="1:43" s="115" customFormat="1" ht="15" customHeight="1">
      <c r="A1342" s="555"/>
      <c r="B1342" s="217"/>
      <c r="C1342" s="217"/>
      <c r="D1342" s="101"/>
      <c r="E1342" s="217"/>
      <c r="F1342" s="294"/>
      <c r="G1342" s="295"/>
      <c r="H1342" s="98"/>
      <c r="I1342" s="106"/>
      <c r="J1342" s="106"/>
      <c r="K1342" s="106"/>
      <c r="L1342" s="106"/>
      <c r="M1342" s="106"/>
      <c r="N1342" s="112"/>
      <c r="O1342" s="112"/>
      <c r="P1342" s="112"/>
      <c r="Q1342" s="113"/>
      <c r="R1342" s="113"/>
      <c r="S1342" s="113"/>
      <c r="T1342" s="113"/>
      <c r="U1342" s="99"/>
      <c r="V1342" s="255"/>
      <c r="W1342" s="102"/>
      <c r="X1342" s="102"/>
      <c r="Y1342" s="102"/>
      <c r="Z1342" s="192"/>
      <c r="AA1342" s="615"/>
      <c r="AB1342" s="307"/>
      <c r="AC1342" s="300"/>
      <c r="AD1342" s="300"/>
      <c r="AE1342" s="300"/>
      <c r="AF1342" s="300"/>
      <c r="AG1342" s="300"/>
      <c r="AH1342" s="307"/>
      <c r="AI1342" s="307"/>
      <c r="AJ1342" s="300"/>
      <c r="AK1342" s="300"/>
      <c r="AL1342" s="300"/>
      <c r="AM1342" s="300"/>
      <c r="AN1342" s="300"/>
      <c r="AO1342" s="192"/>
      <c r="AP1342" s="192"/>
      <c r="AQ1342" s="192"/>
    </row>
    <row r="1343" spans="1:43" s="115" customFormat="1" ht="15" customHeight="1">
      <c r="A1343" s="555" t="s">
        <v>2829</v>
      </c>
      <c r="B1343" s="217" t="str">
        <f t="shared" si="1706"/>
        <v>100</v>
      </c>
      <c r="C1343" s="217" t="str">
        <f t="shared" si="1707"/>
        <v>50</v>
      </c>
      <c r="D1343" s="101" t="str">
        <f t="shared" si="1708"/>
        <v>501</v>
      </c>
      <c r="E1343" s="217" t="str">
        <f t="shared" si="1709"/>
        <v>100-50-501</v>
      </c>
      <c r="F1343" s="294" t="str">
        <f t="shared" si="1710"/>
        <v>51210</v>
      </c>
      <c r="G1343" s="295" t="str">
        <f>VLOOKUP(F1343,'GL Category'!A:C,3,FALSE)</f>
        <v>Operations &amp; maintenance</v>
      </c>
      <c r="H1343" s="98" t="str">
        <f>VLOOKUP(F1343,'GL Category'!A:C,2,FALSE)</f>
        <v>OFFICE SUPPLIES</v>
      </c>
      <c r="I1343" s="99">
        <f>SUMIF(Import!$B:$B,$A1343,Import!D:D)</f>
        <v>768.73</v>
      </c>
      <c r="J1343" s="99">
        <f>SUMIF(Import!$B:$B,$A1343,Import!E:E)</f>
        <v>1603.54</v>
      </c>
      <c r="K1343" s="99">
        <f>SUMIF(Import!$B:$B,$A1343,Import!F:F)</f>
        <v>1554.33</v>
      </c>
      <c r="L1343" s="99">
        <f>SUMIF(Import!$B:$B,$A1343,Import!G:G)</f>
        <v>1758.77</v>
      </c>
      <c r="M1343" s="99">
        <f>SUMIF(Import!$B:$B,$A1343,Import!H:H)</f>
        <v>1400</v>
      </c>
      <c r="N1343" s="99">
        <f>SUMIF(Import!$B:$B,$A1343,Import!I:I)</f>
        <v>490.09</v>
      </c>
      <c r="O1343" s="99">
        <f>SUMIF(Import!$B:$B,$A1343,Import!J:J)</f>
        <v>2000</v>
      </c>
      <c r="P1343" s="99">
        <f t="shared" ref="P1343:P1346" si="1717">O1343-M1343</f>
        <v>600</v>
      </c>
      <c r="Q1343" s="99">
        <f>SUMIF(Import!$B:$B,$A1343,Import!K:K)</f>
        <v>1750</v>
      </c>
      <c r="R1343" s="99">
        <f>SUMIF(Import!$B:$B,$A1343,Import!L:L)</f>
        <v>0</v>
      </c>
      <c r="S1343" s="99">
        <f>SUMIF(Import!$B:$B,$A1343,Import!M:M)</f>
        <v>0</v>
      </c>
      <c r="T1343" s="99">
        <f>SUMIF(Import!$B:$B,$A1343,Import!N:N)</f>
        <v>1750</v>
      </c>
      <c r="U1343" s="99">
        <f t="shared" ref="U1343:U1346" si="1718">T1343-M1343</f>
        <v>350</v>
      </c>
      <c r="V1343" s="255">
        <f t="shared" ref="V1343:V1346" si="1719">IF(M1343=0,"N/A",T1343/M1343-1)</f>
        <v>0.25</v>
      </c>
      <c r="W1343" s="102" t="s">
        <v>2829</v>
      </c>
      <c r="X1343" s="102"/>
      <c r="Y1343" s="102"/>
      <c r="Z1343" s="192"/>
      <c r="AA1343" s="615"/>
      <c r="AB1343" s="307"/>
      <c r="AC1343" s="300"/>
      <c r="AD1343" s="300"/>
      <c r="AE1343" s="300"/>
      <c r="AF1343" s="300"/>
      <c r="AG1343" s="300"/>
      <c r="AH1343" s="307"/>
      <c r="AI1343" s="307"/>
      <c r="AJ1343" s="300"/>
      <c r="AK1343" s="300"/>
      <c r="AL1343" s="300"/>
      <c r="AM1343" s="300"/>
      <c r="AN1343" s="300"/>
      <c r="AO1343" s="192"/>
      <c r="AP1343" s="192"/>
      <c r="AQ1343" s="192"/>
    </row>
    <row r="1344" spans="1:43" s="115" customFormat="1" ht="15" customHeight="1">
      <c r="A1344" s="555" t="s">
        <v>2830</v>
      </c>
      <c r="B1344" s="217" t="str">
        <f t="shared" si="1706"/>
        <v>100</v>
      </c>
      <c r="C1344" s="217" t="str">
        <f t="shared" si="1707"/>
        <v>50</v>
      </c>
      <c r="D1344" s="101" t="str">
        <f t="shared" si="1708"/>
        <v>501</v>
      </c>
      <c r="E1344" s="217" t="str">
        <f t="shared" si="1709"/>
        <v>100-50-501</v>
      </c>
      <c r="F1344" s="294" t="str">
        <f t="shared" si="1710"/>
        <v>51245</v>
      </c>
      <c r="G1344" s="295" t="str">
        <f>VLOOKUP(F1344,'GL Category'!A:C,3,FALSE)</f>
        <v>Operations &amp; maintenance</v>
      </c>
      <c r="H1344" s="98" t="str">
        <f>VLOOKUP(F1344,'GL Category'!A:C,2,FALSE)</f>
        <v>SMALL TOOLS &amp; EQUIPMENT</v>
      </c>
      <c r="I1344" s="99">
        <f>SUMIF(Import!$B:$B,$A1344,Import!D:D)</f>
        <v>0</v>
      </c>
      <c r="J1344" s="99">
        <f>SUMIF(Import!$B:$B,$A1344,Import!E:E)</f>
        <v>0</v>
      </c>
      <c r="K1344" s="99">
        <f>SUMIF(Import!$B:$B,$A1344,Import!F:F)</f>
        <v>0</v>
      </c>
      <c r="L1344" s="99">
        <f>SUMIF(Import!$B:$B,$A1344,Import!G:G)</f>
        <v>85.82</v>
      </c>
      <c r="M1344" s="99">
        <f>SUMIF(Import!$B:$B,$A1344,Import!H:H)</f>
        <v>0</v>
      </c>
      <c r="N1344" s="99">
        <f>SUMIF(Import!$B:$B,$A1344,Import!I:I)</f>
        <v>0</v>
      </c>
      <c r="O1344" s="99">
        <f>SUMIF(Import!$B:$B,$A1344,Import!J:J)</f>
        <v>0</v>
      </c>
      <c r="P1344" s="99">
        <f t="shared" si="1717"/>
        <v>0</v>
      </c>
      <c r="Q1344" s="99">
        <f>SUMIF(Import!$B:$B,$A1344,Import!K:K)</f>
        <v>0</v>
      </c>
      <c r="R1344" s="99">
        <f>SUMIF(Import!$B:$B,$A1344,Import!L:L)</f>
        <v>0</v>
      </c>
      <c r="S1344" s="99">
        <f>SUMIF(Import!$B:$B,$A1344,Import!M:M)</f>
        <v>0</v>
      </c>
      <c r="T1344" s="99">
        <f>SUMIF(Import!$B:$B,$A1344,Import!N:N)</f>
        <v>0</v>
      </c>
      <c r="U1344" s="99">
        <f t="shared" si="1718"/>
        <v>0</v>
      </c>
      <c r="V1344" s="255" t="str">
        <f t="shared" si="1719"/>
        <v>N/A</v>
      </c>
      <c r="W1344" s="102" t="s">
        <v>2830</v>
      </c>
      <c r="X1344" s="102"/>
      <c r="Y1344" s="102"/>
      <c r="Z1344" s="192"/>
      <c r="AA1344" s="615"/>
      <c r="AB1344" s="307"/>
      <c r="AC1344" s="94"/>
      <c r="AD1344" s="94"/>
      <c r="AE1344" s="94"/>
      <c r="AF1344" s="94"/>
      <c r="AG1344" s="94"/>
      <c r="AH1344" s="307"/>
      <c r="AI1344" s="307"/>
      <c r="AJ1344" s="94"/>
      <c r="AK1344" s="94"/>
      <c r="AL1344" s="94"/>
      <c r="AM1344" s="94"/>
      <c r="AN1344" s="94"/>
      <c r="AO1344" s="192"/>
      <c r="AP1344" s="192"/>
      <c r="AQ1344" s="192"/>
    </row>
    <row r="1345" spans="1:59" s="115" customFormat="1" ht="15" customHeight="1">
      <c r="A1345" s="555" t="s">
        <v>3369</v>
      </c>
      <c r="B1345" s="217" t="str">
        <f t="shared" ref="B1345" si="1720">LEFT(A1345,3)</f>
        <v>100</v>
      </c>
      <c r="C1345" s="217" t="str">
        <f t="shared" ref="C1345" si="1721">MID(A1345,5,2)</f>
        <v>50</v>
      </c>
      <c r="D1345" s="101" t="str">
        <f t="shared" ref="D1345" si="1722">MID(A1345,8,3)</f>
        <v>501</v>
      </c>
      <c r="E1345" s="217" t="str">
        <f t="shared" ref="E1345" si="1723">LEFT(A1345,10)</f>
        <v>100-50-501</v>
      </c>
      <c r="F1345" s="294" t="str">
        <f t="shared" ref="F1345" si="1724">RIGHT(A1345,5)</f>
        <v>51285</v>
      </c>
      <c r="G1345" s="295" t="str">
        <f>VLOOKUP(F1345,'GL Category'!A:C,3,FALSE)</f>
        <v>Operations &amp; maintenance</v>
      </c>
      <c r="H1345" s="98" t="str">
        <f>VLOOKUP(F1345,'GL Category'!A:C,2,FALSE)</f>
        <v>WEARING APPAREL</v>
      </c>
      <c r="I1345" s="99">
        <f>SUMIF(Import!$B:$B,$A1345,Import!D:D)</f>
        <v>0</v>
      </c>
      <c r="J1345" s="99">
        <f>SUMIF(Import!$B:$B,$A1345,Import!E:E)</f>
        <v>0</v>
      </c>
      <c r="K1345" s="99">
        <f>SUMIF(Import!$B:$B,$A1345,Import!F:F)</f>
        <v>634.42999999999995</v>
      </c>
      <c r="L1345" s="99">
        <f>SUMIF(Import!$B:$B,$A1345,Import!G:G)</f>
        <v>501.64</v>
      </c>
      <c r="M1345" s="99">
        <f>SUMIF(Import!$B:$B,$A1345,Import!H:H)</f>
        <v>0</v>
      </c>
      <c r="N1345" s="99">
        <f>SUMIF(Import!$B:$B,$A1345,Import!I:I)</f>
        <v>247.06</v>
      </c>
      <c r="O1345" s="99">
        <f>SUMIF(Import!$B:$B,$A1345,Import!J:J)</f>
        <v>600</v>
      </c>
      <c r="P1345" s="99">
        <f t="shared" ref="P1345" si="1725">O1345-M1345</f>
        <v>600</v>
      </c>
      <c r="Q1345" s="99">
        <f>SUMIF(Import!$B:$B,$A1345,Import!K:K)</f>
        <v>0</v>
      </c>
      <c r="R1345" s="99">
        <f>SUMIF(Import!$B:$B,$A1345,Import!L:L)</f>
        <v>0</v>
      </c>
      <c r="S1345" s="99">
        <f>SUMIF(Import!$B:$B,$A1345,Import!M:M)</f>
        <v>0</v>
      </c>
      <c r="T1345" s="99">
        <f>SUMIF(Import!$B:$B,$A1345,Import!N:N)</f>
        <v>0</v>
      </c>
      <c r="U1345" s="99">
        <f t="shared" ref="U1345" si="1726">T1345-M1345</f>
        <v>0</v>
      </c>
      <c r="V1345" s="255" t="str">
        <f t="shared" ref="V1345" si="1727">IF(M1345=0,"N/A",T1345/M1345-1)</f>
        <v>N/A</v>
      </c>
      <c r="W1345" s="102" t="s">
        <v>2830</v>
      </c>
      <c r="X1345" s="102"/>
      <c r="Y1345" s="102"/>
      <c r="Z1345" s="192"/>
      <c r="AA1345" s="615"/>
      <c r="AB1345" s="307"/>
      <c r="AC1345" s="94"/>
      <c r="AD1345" s="94"/>
      <c r="AE1345" s="94"/>
      <c r="AF1345" s="94"/>
      <c r="AG1345" s="94"/>
      <c r="AH1345" s="307"/>
      <c r="AI1345" s="307"/>
      <c r="AJ1345" s="94"/>
      <c r="AK1345" s="94"/>
      <c r="AL1345" s="94"/>
      <c r="AM1345" s="94"/>
      <c r="AN1345" s="94"/>
      <c r="AO1345" s="192"/>
      <c r="AP1345" s="192"/>
      <c r="AQ1345" s="192"/>
    </row>
    <row r="1346" spans="1:59" s="115" customFormat="1" ht="15" customHeight="1">
      <c r="A1346" s="555" t="s">
        <v>2831</v>
      </c>
      <c r="B1346" s="217" t="str">
        <f t="shared" si="1706"/>
        <v>100</v>
      </c>
      <c r="C1346" s="217" t="str">
        <f t="shared" si="1707"/>
        <v>50</v>
      </c>
      <c r="D1346" s="101" t="str">
        <f t="shared" si="1708"/>
        <v>501</v>
      </c>
      <c r="E1346" s="217" t="str">
        <f t="shared" si="1709"/>
        <v>100-50-501</v>
      </c>
      <c r="F1346" s="294" t="str">
        <f t="shared" si="1710"/>
        <v>51299</v>
      </c>
      <c r="G1346" s="295" t="str">
        <f>VLOOKUP(F1346,'GL Category'!A:C,3,FALSE)</f>
        <v>Operations &amp; maintenance</v>
      </c>
      <c r="H1346" s="98" t="str">
        <f>VLOOKUP(F1346,'GL Category'!A:C,2,FALSE)</f>
        <v>MISCELLANEOUS SUPPLIES</v>
      </c>
      <c r="I1346" s="99">
        <f>SUMIF(Import!$B:$B,$A1346,Import!D:D)</f>
        <v>0</v>
      </c>
      <c r="J1346" s="99">
        <f>SUMIF(Import!$B:$B,$A1346,Import!E:E)</f>
        <v>0</v>
      </c>
      <c r="K1346" s="99">
        <f>SUMIF(Import!$B:$B,$A1346,Import!F:F)</f>
        <v>2402.21</v>
      </c>
      <c r="L1346" s="99">
        <f>SUMIF(Import!$B:$B,$A1346,Import!G:G)</f>
        <v>0</v>
      </c>
      <c r="M1346" s="99">
        <f>SUMIF(Import!$B:$B,$A1346,Import!H:H)</f>
        <v>0</v>
      </c>
      <c r="N1346" s="99">
        <f>SUMIF(Import!$B:$B,$A1346,Import!I:I)</f>
        <v>17.100000000000001</v>
      </c>
      <c r="O1346" s="99">
        <f>SUMIF(Import!$B:$B,$A1346,Import!J:J)</f>
        <v>17.100000000000001</v>
      </c>
      <c r="P1346" s="99">
        <f t="shared" si="1717"/>
        <v>17.100000000000001</v>
      </c>
      <c r="Q1346" s="99">
        <f>SUMIF(Import!$B:$B,$A1346,Import!K:K)</f>
        <v>0</v>
      </c>
      <c r="R1346" s="99">
        <f>SUMIF(Import!$B:$B,$A1346,Import!L:L)</f>
        <v>0</v>
      </c>
      <c r="S1346" s="99">
        <f>SUMIF(Import!$B:$B,$A1346,Import!M:M)</f>
        <v>0</v>
      </c>
      <c r="T1346" s="99">
        <f>SUMIF(Import!$B:$B,$A1346,Import!N:N)</f>
        <v>0</v>
      </c>
      <c r="U1346" s="99">
        <f t="shared" si="1718"/>
        <v>0</v>
      </c>
      <c r="V1346" s="255" t="str">
        <f t="shared" si="1719"/>
        <v>N/A</v>
      </c>
      <c r="W1346" s="102" t="s">
        <v>2831</v>
      </c>
      <c r="X1346" s="102"/>
      <c r="Y1346" s="102"/>
      <c r="Z1346" s="192"/>
      <c r="AA1346" s="615"/>
      <c r="AB1346" s="307"/>
      <c r="AC1346" s="300"/>
      <c r="AD1346" s="300"/>
      <c r="AE1346" s="300"/>
      <c r="AF1346" s="300"/>
      <c r="AG1346" s="300"/>
      <c r="AH1346" s="307"/>
      <c r="AI1346" s="307"/>
      <c r="AJ1346" s="300"/>
      <c r="AK1346" s="300"/>
      <c r="AL1346" s="300"/>
      <c r="AM1346" s="300"/>
      <c r="AN1346" s="300"/>
      <c r="AO1346" s="192"/>
      <c r="AP1346" s="192"/>
      <c r="AQ1346" s="192"/>
    </row>
    <row r="1347" spans="1:59" s="75" customFormat="1" ht="23.1" customHeight="1">
      <c r="A1347" s="555"/>
      <c r="B1347" s="217"/>
      <c r="C1347" s="217"/>
      <c r="D1347" s="101"/>
      <c r="E1347" s="217"/>
      <c r="F1347" s="294"/>
      <c r="G1347" s="295"/>
      <c r="H1347" s="107" t="str">
        <f>UPPER(G1346)&amp;" TOTAL"</f>
        <v>OPERATIONS &amp; MAINTENANCE TOTAL</v>
      </c>
      <c r="I1347" s="109">
        <f t="shared" ref="I1347" si="1728">SUBTOTAL(9,I1343:I1346)</f>
        <v>768.73</v>
      </c>
      <c r="J1347" s="109">
        <f t="shared" ref="J1347:T1347" si="1729">SUBTOTAL(9,J1343:J1346)</f>
        <v>1603.54</v>
      </c>
      <c r="K1347" s="109">
        <f t="shared" ref="K1347" si="1730">SUBTOTAL(9,K1343:K1346)</f>
        <v>4590.9699999999993</v>
      </c>
      <c r="L1347" s="109">
        <f t="shared" ref="L1347" si="1731">SUBTOTAL(9,L1343:L1346)</f>
        <v>2346.23</v>
      </c>
      <c r="M1347" s="109">
        <f t="shared" si="1729"/>
        <v>1400</v>
      </c>
      <c r="N1347" s="109">
        <f t="shared" ref="N1347" si="1732">SUBTOTAL(9,N1343:N1346)</f>
        <v>754.25</v>
      </c>
      <c r="O1347" s="109">
        <f t="shared" si="1729"/>
        <v>2617.1</v>
      </c>
      <c r="P1347" s="109">
        <f t="shared" si="1729"/>
        <v>1217.0999999999999</v>
      </c>
      <c r="Q1347" s="109">
        <f t="shared" si="1729"/>
        <v>1750</v>
      </c>
      <c r="R1347" s="109">
        <f t="shared" si="1729"/>
        <v>0</v>
      </c>
      <c r="S1347" s="109">
        <f t="shared" si="1729"/>
        <v>0</v>
      </c>
      <c r="T1347" s="109">
        <f t="shared" si="1729"/>
        <v>1750</v>
      </c>
      <c r="U1347" s="99">
        <f>T1347-M1347</f>
        <v>350</v>
      </c>
      <c r="V1347" s="255">
        <f>IF(M1347=0,"N/A",T1347/M1347-1)</f>
        <v>0.25</v>
      </c>
      <c r="W1347" s="102"/>
      <c r="X1347" s="102"/>
      <c r="Y1347" s="102"/>
      <c r="Z1347" s="614"/>
      <c r="AA1347" s="615"/>
      <c r="AB1347" s="624"/>
      <c r="AC1347" s="625"/>
      <c r="AD1347" s="625"/>
      <c r="AE1347" s="625"/>
      <c r="AF1347" s="625"/>
      <c r="AG1347" s="625"/>
      <c r="AH1347" s="623"/>
      <c r="AI1347" s="624"/>
      <c r="AJ1347" s="626"/>
      <c r="AK1347" s="626"/>
      <c r="AL1347" s="626"/>
      <c r="AM1347" s="626"/>
      <c r="AN1347" s="626"/>
      <c r="AO1347" s="192"/>
      <c r="AP1347" s="192"/>
      <c r="AQ1347" s="192"/>
      <c r="AR1347" s="115"/>
      <c r="AS1347" s="115"/>
      <c r="AT1347" s="115"/>
      <c r="AU1347" s="115"/>
      <c r="AV1347" s="115"/>
      <c r="AW1347" s="115"/>
      <c r="AX1347" s="115"/>
      <c r="AY1347" s="115"/>
      <c r="AZ1347" s="115"/>
      <c r="BA1347" s="115"/>
      <c r="BB1347" s="115"/>
      <c r="BC1347" s="115"/>
      <c r="BD1347" s="115"/>
      <c r="BE1347" s="74"/>
      <c r="BF1347" s="74"/>
      <c r="BG1347" s="74"/>
    </row>
    <row r="1348" spans="1:59" ht="15" customHeight="1">
      <c r="A1348" s="555"/>
      <c r="B1348" s="217"/>
      <c r="C1348" s="217"/>
      <c r="D1348" s="101"/>
      <c r="E1348" s="217"/>
      <c r="F1348" s="294"/>
      <c r="G1348" s="295"/>
      <c r="H1348" s="98"/>
      <c r="I1348" s="106"/>
      <c r="J1348" s="106"/>
      <c r="K1348" s="106"/>
      <c r="L1348" s="106"/>
      <c r="M1348" s="106"/>
      <c r="N1348" s="112"/>
      <c r="O1348" s="112"/>
      <c r="P1348" s="112"/>
      <c r="Q1348" s="113"/>
      <c r="R1348" s="113"/>
      <c r="S1348" s="113"/>
      <c r="T1348" s="113"/>
      <c r="U1348" s="99"/>
      <c r="V1348" s="255"/>
      <c r="W1348" s="102"/>
      <c r="X1348" s="102"/>
      <c r="Y1348" s="102"/>
      <c r="AA1348" s="615"/>
      <c r="AC1348" s="300"/>
      <c r="AD1348" s="300"/>
      <c r="AE1348" s="300"/>
      <c r="AF1348" s="300"/>
      <c r="AG1348" s="300"/>
      <c r="AJ1348" s="300"/>
      <c r="AK1348" s="300"/>
      <c r="AL1348" s="300"/>
      <c r="AM1348" s="300"/>
      <c r="AN1348" s="300"/>
    </row>
    <row r="1349" spans="1:59" ht="15" customHeight="1">
      <c r="A1349" s="555" t="s">
        <v>2833</v>
      </c>
      <c r="B1349" s="217" t="str">
        <f t="shared" si="1706"/>
        <v>100</v>
      </c>
      <c r="C1349" s="217" t="str">
        <f t="shared" si="1707"/>
        <v>50</v>
      </c>
      <c r="D1349" s="101" t="str">
        <f t="shared" si="1708"/>
        <v>501</v>
      </c>
      <c r="E1349" s="217" t="str">
        <f t="shared" si="1709"/>
        <v>100-50-501</v>
      </c>
      <c r="F1349" s="294" t="str">
        <f t="shared" si="1710"/>
        <v>53510</v>
      </c>
      <c r="G1349" s="295" t="str">
        <f>VLOOKUP(F1349,'GL Category'!A:C,3,FALSE)</f>
        <v>Services &amp; other</v>
      </c>
      <c r="H1349" s="98" t="str">
        <f>VLOOKUP(F1349,'GL Category'!A:C,2,FALSE)</f>
        <v>DUES &amp; SUBSCRIPTIONS</v>
      </c>
      <c r="I1349" s="99">
        <f>SUMIF(Import!$B:$B,$A1349,Import!D:D)</f>
        <v>2113</v>
      </c>
      <c r="J1349" s="99">
        <f>SUMIF(Import!$B:$B,$A1349,Import!E:E)</f>
        <v>3891.1</v>
      </c>
      <c r="K1349" s="99">
        <f>SUMIF(Import!$B:$B,$A1349,Import!F:F)</f>
        <v>1841.38</v>
      </c>
      <c r="L1349" s="99">
        <f>SUMIF(Import!$B:$B,$A1349,Import!G:G)</f>
        <v>2591</v>
      </c>
      <c r="M1349" s="99">
        <f>SUMIF(Import!$B:$B,$A1349,Import!H:H)</f>
        <v>2500</v>
      </c>
      <c r="N1349" s="99">
        <f>SUMIF(Import!$B:$B,$A1349,Import!I:I)</f>
        <v>1850</v>
      </c>
      <c r="O1349" s="99">
        <f>SUMIF(Import!$B:$B,$A1349,Import!J:J)</f>
        <v>2000</v>
      </c>
      <c r="P1349" s="99">
        <f t="shared" ref="P1349:P1352" si="1733">O1349-M1349</f>
        <v>-500</v>
      </c>
      <c r="Q1349" s="99">
        <f>SUMIF(Import!$B:$B,$A1349,Import!K:K)</f>
        <v>3000</v>
      </c>
      <c r="R1349" s="99">
        <f>SUMIF(Import!$B:$B,$A1349,Import!L:L)</f>
        <v>0</v>
      </c>
      <c r="S1349" s="99">
        <f>SUMIF(Import!$B:$B,$A1349,Import!M:M)</f>
        <v>0</v>
      </c>
      <c r="T1349" s="99">
        <f>SUMIF(Import!$B:$B,$A1349,Import!N:N)</f>
        <v>3000</v>
      </c>
      <c r="U1349" s="99">
        <f t="shared" ref="U1349:U1352" si="1734">T1349-M1349</f>
        <v>500</v>
      </c>
      <c r="V1349" s="255">
        <f t="shared" ref="V1349:V1352" si="1735">IF(M1349=0,"N/A",T1349/M1349-1)</f>
        <v>0.19999999999999996</v>
      </c>
      <c r="W1349" s="102" t="s">
        <v>2833</v>
      </c>
      <c r="X1349" s="102"/>
      <c r="Y1349" s="102"/>
      <c r="AA1349" s="615"/>
      <c r="AC1349" s="300"/>
      <c r="AD1349" s="300"/>
      <c r="AE1349" s="300"/>
      <c r="AF1349" s="300"/>
      <c r="AG1349" s="300"/>
      <c r="AJ1349" s="300"/>
      <c r="AK1349" s="300"/>
      <c r="AL1349" s="300"/>
      <c r="AM1349" s="300"/>
      <c r="AN1349" s="300"/>
    </row>
    <row r="1350" spans="1:59" ht="15" customHeight="1">
      <c r="A1350" s="555" t="s">
        <v>2834</v>
      </c>
      <c r="B1350" s="217" t="str">
        <f t="shared" si="1706"/>
        <v>100</v>
      </c>
      <c r="C1350" s="217" t="str">
        <f t="shared" si="1707"/>
        <v>50</v>
      </c>
      <c r="D1350" s="101" t="str">
        <f t="shared" si="1708"/>
        <v>501</v>
      </c>
      <c r="E1350" s="217" t="str">
        <f t="shared" si="1709"/>
        <v>100-50-501</v>
      </c>
      <c r="F1350" s="294" t="str">
        <f t="shared" si="1710"/>
        <v>53515</v>
      </c>
      <c r="G1350" s="295" t="str">
        <f>VLOOKUP(F1350,'GL Category'!A:C,3,FALSE)</f>
        <v>Services &amp; other</v>
      </c>
      <c r="H1350" s="98" t="str">
        <f>VLOOKUP(F1350,'GL Category'!A:C,2,FALSE)</f>
        <v>TRAVEL, TRAINING &amp; EDUCATION</v>
      </c>
      <c r="I1350" s="99">
        <f>SUMIF(Import!$B:$B,$A1350,Import!D:D)</f>
        <v>4582.99</v>
      </c>
      <c r="J1350" s="99">
        <f>SUMIF(Import!$B:$B,$A1350,Import!E:E)</f>
        <v>2095.34</v>
      </c>
      <c r="K1350" s="99">
        <f>SUMIF(Import!$B:$B,$A1350,Import!F:F)</f>
        <v>5881.64</v>
      </c>
      <c r="L1350" s="99">
        <f>SUMIF(Import!$B:$B,$A1350,Import!G:G)</f>
        <v>4077.13</v>
      </c>
      <c r="M1350" s="99">
        <f>SUMIF(Import!$B:$B,$A1350,Import!H:H)</f>
        <v>4350</v>
      </c>
      <c r="N1350" s="99">
        <f>SUMIF(Import!$B:$B,$A1350,Import!I:I)</f>
        <v>2528.0300000000002</v>
      </c>
      <c r="O1350" s="99">
        <f>SUMIF(Import!$B:$B,$A1350,Import!J:J)</f>
        <v>4350</v>
      </c>
      <c r="P1350" s="99">
        <f t="shared" si="1733"/>
        <v>0</v>
      </c>
      <c r="Q1350" s="99">
        <f>SUMIF(Import!$B:$B,$A1350,Import!K:K)</f>
        <v>4500</v>
      </c>
      <c r="R1350" s="99">
        <f>SUMIF(Import!$B:$B,$A1350,Import!L:L)</f>
        <v>0</v>
      </c>
      <c r="S1350" s="99">
        <f>SUMIF(Import!$B:$B,$A1350,Import!M:M)</f>
        <v>0</v>
      </c>
      <c r="T1350" s="99">
        <f>SUMIF(Import!$B:$B,$A1350,Import!N:N)</f>
        <v>4500</v>
      </c>
      <c r="U1350" s="99">
        <f t="shared" si="1734"/>
        <v>150</v>
      </c>
      <c r="V1350" s="255">
        <f t="shared" si="1735"/>
        <v>3.4482758620689724E-2</v>
      </c>
      <c r="W1350" s="102" t="s">
        <v>2834</v>
      </c>
      <c r="X1350" s="102"/>
      <c r="Y1350" s="102"/>
      <c r="AA1350" s="615"/>
      <c r="AC1350" s="300"/>
      <c r="AD1350" s="300"/>
      <c r="AE1350" s="300"/>
      <c r="AF1350" s="300"/>
      <c r="AG1350" s="300"/>
      <c r="AJ1350" s="300"/>
      <c r="AK1350" s="300"/>
      <c r="AL1350" s="300"/>
      <c r="AM1350" s="300"/>
      <c r="AN1350" s="300"/>
    </row>
    <row r="1351" spans="1:59" s="115" customFormat="1" ht="15" customHeight="1">
      <c r="A1351" s="555" t="s">
        <v>2832</v>
      </c>
      <c r="B1351" s="217" t="str">
        <f t="shared" si="1706"/>
        <v>100</v>
      </c>
      <c r="C1351" s="217" t="str">
        <f t="shared" si="1707"/>
        <v>50</v>
      </c>
      <c r="D1351" s="101" t="str">
        <f t="shared" si="1708"/>
        <v>501</v>
      </c>
      <c r="E1351" s="217" t="str">
        <f t="shared" si="1709"/>
        <v>100-50-501</v>
      </c>
      <c r="F1351" s="294" t="str">
        <f t="shared" si="1710"/>
        <v>53599</v>
      </c>
      <c r="G1351" s="295" t="str">
        <f>VLOOKUP(F1351,'GL Category'!A:C,3,FALSE)</f>
        <v>Services &amp; other</v>
      </c>
      <c r="H1351" s="98" t="str">
        <f>VLOOKUP(F1351,'GL Category'!A:C,2,FALSE)</f>
        <v>MISCELLANEOUS SERVICES</v>
      </c>
      <c r="I1351" s="99">
        <f>SUMIF(Import!$B:$B,$A1351,Import!D:D)</f>
        <v>56700</v>
      </c>
      <c r="J1351" s="99">
        <f>SUMIF(Import!$B:$B,$A1351,Import!E:E)</f>
        <v>20311.03</v>
      </c>
      <c r="K1351" s="99">
        <f>SUMIF(Import!$B:$B,$A1351,Import!F:F)</f>
        <v>8500</v>
      </c>
      <c r="L1351" s="99">
        <f>SUMIF(Import!$B:$B,$A1351,Import!G:G)</f>
        <v>0</v>
      </c>
      <c r="M1351" s="99">
        <f>SUMIF(Import!$B:$B,$A1351,Import!H:H)</f>
        <v>0</v>
      </c>
      <c r="N1351" s="99">
        <f>SUMIF(Import!$B:$B,$A1351,Import!I:I)</f>
        <v>0</v>
      </c>
      <c r="O1351" s="99">
        <f>SUMIF(Import!$B:$B,$A1351,Import!J:J)</f>
        <v>0</v>
      </c>
      <c r="P1351" s="99">
        <f t="shared" si="1733"/>
        <v>0</v>
      </c>
      <c r="Q1351" s="99">
        <f>SUMIF(Import!$B:$B,$A1351,Import!K:K)</f>
        <v>0</v>
      </c>
      <c r="R1351" s="99">
        <f>SUMIF(Import!$B:$B,$A1351,Import!L:L)</f>
        <v>0</v>
      </c>
      <c r="S1351" s="99">
        <f>SUMIF(Import!$B:$B,$A1351,Import!M:M)</f>
        <v>0</v>
      </c>
      <c r="T1351" s="99">
        <f>SUMIF(Import!$B:$B,$A1351,Import!N:N)</f>
        <v>0</v>
      </c>
      <c r="U1351" s="99">
        <f t="shared" si="1734"/>
        <v>0</v>
      </c>
      <c r="V1351" s="255" t="str">
        <f t="shared" si="1735"/>
        <v>N/A</v>
      </c>
      <c r="W1351" s="102" t="s">
        <v>2832</v>
      </c>
      <c r="X1351" s="102"/>
      <c r="Y1351" s="102"/>
      <c r="Z1351" s="192"/>
      <c r="AA1351" s="615"/>
      <c r="AB1351" s="307"/>
      <c r="AC1351" s="93"/>
      <c r="AD1351" s="93"/>
      <c r="AE1351" s="93"/>
      <c r="AF1351" s="93"/>
      <c r="AG1351" s="93"/>
      <c r="AH1351" s="307"/>
      <c r="AI1351" s="307"/>
      <c r="AJ1351" s="93"/>
      <c r="AK1351" s="93"/>
      <c r="AL1351" s="93"/>
      <c r="AM1351" s="93"/>
      <c r="AN1351" s="93"/>
      <c r="AO1351" s="192"/>
      <c r="AP1351" s="192"/>
      <c r="AQ1351" s="192"/>
    </row>
    <row r="1352" spans="1:59" s="115" customFormat="1" ht="15" customHeight="1">
      <c r="A1352" s="555" t="s">
        <v>2835</v>
      </c>
      <c r="B1352" s="217" t="str">
        <f t="shared" si="1706"/>
        <v>100</v>
      </c>
      <c r="C1352" s="217" t="str">
        <f t="shared" si="1707"/>
        <v>50</v>
      </c>
      <c r="D1352" s="101" t="str">
        <f t="shared" si="1708"/>
        <v>501</v>
      </c>
      <c r="E1352" s="217" t="str">
        <f t="shared" si="1709"/>
        <v>100-50-501</v>
      </c>
      <c r="F1352" s="294" t="str">
        <f t="shared" si="1710"/>
        <v>55119</v>
      </c>
      <c r="G1352" s="295" t="str">
        <f>VLOOKUP(F1352,'GL Category'!A:C,3,FALSE)</f>
        <v>Services &amp; other</v>
      </c>
      <c r="H1352" s="98" t="str">
        <f>VLOOKUP(F1352,'GL Category'!A:C,2,FALSE)</f>
        <v>OFFICE EQUIP LEASE EXP-CITY</v>
      </c>
      <c r="I1352" s="99">
        <f>SUMIF(Import!$B:$B,$A1352,Import!D:D)</f>
        <v>64481</v>
      </c>
      <c r="J1352" s="99">
        <f>SUMIF(Import!$B:$B,$A1352,Import!E:E)</f>
        <v>70296</v>
      </c>
      <c r="K1352" s="99">
        <f>SUMIF(Import!$B:$B,$A1352,Import!F:F)</f>
        <v>66396</v>
      </c>
      <c r="L1352" s="99">
        <f>SUMIF(Import!$B:$B,$A1352,Import!G:G)</f>
        <v>137260</v>
      </c>
      <c r="M1352" s="99">
        <f>SUMIF(Import!$B:$B,$A1352,Import!H:H)</f>
        <v>74260</v>
      </c>
      <c r="N1352" s="99">
        <f>SUMIF(Import!$B:$B,$A1352,Import!I:I)</f>
        <v>55695</v>
      </c>
      <c r="O1352" s="99">
        <f>SUMIF(Import!$B:$B,$A1352,Import!J:J)</f>
        <v>74260</v>
      </c>
      <c r="P1352" s="99">
        <f t="shared" si="1733"/>
        <v>0</v>
      </c>
      <c r="Q1352" s="99">
        <f>SUMIF(Import!$B:$B,$A1352,Import!K:K)</f>
        <v>81642</v>
      </c>
      <c r="R1352" s="99">
        <f>SUMIF(Import!$B:$B,$A1352,Import!L:L)</f>
        <v>0</v>
      </c>
      <c r="S1352" s="99">
        <f>SUMIF(Import!$B:$B,$A1352,Import!M:M)</f>
        <v>0</v>
      </c>
      <c r="T1352" s="99">
        <f>SUMIF(Import!$B:$B,$A1352,Import!N:N)</f>
        <v>81642</v>
      </c>
      <c r="U1352" s="99">
        <f t="shared" si="1734"/>
        <v>7382</v>
      </c>
      <c r="V1352" s="255">
        <f t="shared" si="1735"/>
        <v>9.9407487207110234E-2</v>
      </c>
      <c r="W1352" s="102" t="s">
        <v>2835</v>
      </c>
      <c r="X1352" s="102"/>
      <c r="Y1352" s="102"/>
      <c r="Z1352" s="192"/>
      <c r="AA1352" s="615"/>
      <c r="AB1352" s="307"/>
      <c r="AC1352" s="300"/>
      <c r="AD1352" s="300"/>
      <c r="AE1352" s="300"/>
      <c r="AF1352" s="300"/>
      <c r="AG1352" s="300"/>
      <c r="AH1352" s="307"/>
      <c r="AI1352" s="307"/>
      <c r="AJ1352" s="300"/>
      <c r="AK1352" s="300"/>
      <c r="AL1352" s="300"/>
      <c r="AM1352" s="300"/>
      <c r="AN1352" s="300"/>
      <c r="AO1352" s="192"/>
      <c r="AP1352" s="192"/>
      <c r="AQ1352" s="192"/>
    </row>
    <row r="1353" spans="1:59" s="115" customFormat="1" ht="15" customHeight="1">
      <c r="A1353" s="555"/>
      <c r="B1353" s="217"/>
      <c r="C1353" s="217"/>
      <c r="D1353" s="101"/>
      <c r="E1353" s="217"/>
      <c r="F1353" s="294"/>
      <c r="G1353" s="295"/>
      <c r="H1353" s="107" t="str">
        <f>UPPER(G1352)&amp;" TOTAL"</f>
        <v>SERVICES &amp; OTHER TOTAL</v>
      </c>
      <c r="I1353" s="109">
        <f t="shared" ref="I1353" si="1736">SUBTOTAL(9,I1349:I1352)</f>
        <v>127876.98999999999</v>
      </c>
      <c r="J1353" s="109">
        <f t="shared" ref="J1353:T1353" si="1737">SUBTOTAL(9,J1349:J1352)</f>
        <v>96593.47</v>
      </c>
      <c r="K1353" s="109">
        <f t="shared" ref="K1353" si="1738">SUBTOTAL(9,K1349:K1352)</f>
        <v>82619.02</v>
      </c>
      <c r="L1353" s="109">
        <f t="shared" ref="L1353" si="1739">SUBTOTAL(9,L1349:L1352)</f>
        <v>143928.13</v>
      </c>
      <c r="M1353" s="109">
        <f t="shared" si="1737"/>
        <v>81110</v>
      </c>
      <c r="N1353" s="109">
        <f t="shared" ref="N1353" si="1740">SUBTOTAL(9,N1349:N1352)</f>
        <v>60073.03</v>
      </c>
      <c r="O1353" s="109">
        <f t="shared" si="1737"/>
        <v>80610</v>
      </c>
      <c r="P1353" s="109">
        <f t="shared" si="1737"/>
        <v>-500</v>
      </c>
      <c r="Q1353" s="109">
        <f t="shared" si="1737"/>
        <v>89142</v>
      </c>
      <c r="R1353" s="109">
        <f t="shared" si="1737"/>
        <v>0</v>
      </c>
      <c r="S1353" s="109">
        <f t="shared" si="1737"/>
        <v>0</v>
      </c>
      <c r="T1353" s="109">
        <f t="shared" si="1737"/>
        <v>89142</v>
      </c>
      <c r="U1353" s="99">
        <f>T1353-M1353</f>
        <v>8032</v>
      </c>
      <c r="V1353" s="255">
        <f>IF(M1353=0,"N/A",T1353/M1353-1)</f>
        <v>9.902601405498701E-2</v>
      </c>
      <c r="W1353" s="102"/>
      <c r="X1353" s="102"/>
      <c r="Y1353" s="102"/>
      <c r="Z1353" s="192"/>
      <c r="AA1353" s="615"/>
      <c r="AB1353" s="307"/>
      <c r="AC1353" s="300"/>
      <c r="AD1353" s="300"/>
      <c r="AE1353" s="300"/>
      <c r="AF1353" s="300"/>
      <c r="AG1353" s="300"/>
      <c r="AH1353" s="307"/>
      <c r="AI1353" s="307"/>
      <c r="AJ1353" s="300"/>
      <c r="AK1353" s="300"/>
      <c r="AL1353" s="300"/>
      <c r="AM1353" s="300"/>
      <c r="AN1353" s="300"/>
      <c r="AO1353" s="192"/>
      <c r="AP1353" s="192"/>
      <c r="AQ1353" s="192"/>
    </row>
    <row r="1354" spans="1:59" s="115" customFormat="1" ht="15" customHeight="1">
      <c r="A1354" s="555"/>
      <c r="B1354" s="217"/>
      <c r="C1354" s="217"/>
      <c r="D1354" s="101"/>
      <c r="E1354" s="217"/>
      <c r="F1354" s="294"/>
      <c r="G1354" s="295"/>
      <c r="H1354" s="98"/>
      <c r="I1354" s="106"/>
      <c r="J1354" s="106"/>
      <c r="K1354" s="106"/>
      <c r="L1354" s="106"/>
      <c r="M1354" s="106"/>
      <c r="N1354" s="112"/>
      <c r="O1354" s="112"/>
      <c r="P1354" s="112"/>
      <c r="Q1354" s="113"/>
      <c r="R1354" s="113"/>
      <c r="S1354" s="113"/>
      <c r="T1354" s="113"/>
      <c r="U1354" s="99"/>
      <c r="V1354" s="255"/>
      <c r="W1354" s="102"/>
      <c r="X1354" s="102"/>
      <c r="Y1354" s="102"/>
      <c r="Z1354" s="192"/>
      <c r="AA1354" s="615"/>
      <c r="AB1354" s="307"/>
      <c r="AC1354" s="300"/>
      <c r="AD1354" s="300"/>
      <c r="AE1354" s="300"/>
      <c r="AF1354" s="300"/>
      <c r="AG1354" s="300"/>
      <c r="AH1354" s="307"/>
      <c r="AI1354" s="307"/>
      <c r="AJ1354" s="300"/>
      <c r="AK1354" s="300"/>
      <c r="AL1354" s="300"/>
      <c r="AM1354" s="300"/>
      <c r="AN1354" s="300"/>
      <c r="AO1354" s="192"/>
      <c r="AP1354" s="192"/>
      <c r="AQ1354" s="192"/>
    </row>
    <row r="1355" spans="1:59" s="115" customFormat="1" ht="15" customHeight="1">
      <c r="A1355" s="555"/>
      <c r="B1355" s="217"/>
      <c r="C1355" s="217"/>
      <c r="D1355" s="101"/>
      <c r="E1355" s="217"/>
      <c r="F1355" s="294"/>
      <c r="G1355" s="295"/>
      <c r="H1355" s="114" t="s">
        <v>763</v>
      </c>
      <c r="I1355" s="108">
        <f t="shared" ref="I1355" si="1741">SUBTOTAL(9,I1331:I1354)</f>
        <v>545724.87999999989</v>
      </c>
      <c r="J1355" s="108">
        <f t="shared" ref="J1355:T1355" si="1742">SUBTOTAL(9,J1331:J1354)</f>
        <v>496162.31999999995</v>
      </c>
      <c r="K1355" s="108">
        <f t="shared" ref="K1355" si="1743">SUBTOTAL(9,K1331:K1354)</f>
        <v>355897.31000000006</v>
      </c>
      <c r="L1355" s="108">
        <f t="shared" ref="L1355" si="1744">SUBTOTAL(9,L1331:L1354)</f>
        <v>551818.68999999994</v>
      </c>
      <c r="M1355" s="108">
        <f t="shared" si="1742"/>
        <v>552767</v>
      </c>
      <c r="N1355" s="108">
        <f t="shared" ref="N1355" si="1745">SUBTOTAL(9,N1331:N1354)</f>
        <v>421920.51999999996</v>
      </c>
      <c r="O1355" s="108">
        <f t="shared" si="1742"/>
        <v>556713.1</v>
      </c>
      <c r="P1355" s="108">
        <f t="shared" si="1742"/>
        <v>3946.1000000000004</v>
      </c>
      <c r="Q1355" s="108">
        <f t="shared" si="1742"/>
        <v>579829</v>
      </c>
      <c r="R1355" s="108">
        <f t="shared" si="1742"/>
        <v>0</v>
      </c>
      <c r="S1355" s="108">
        <f t="shared" si="1742"/>
        <v>0</v>
      </c>
      <c r="T1355" s="108">
        <f t="shared" si="1742"/>
        <v>579829</v>
      </c>
      <c r="U1355" s="99">
        <f>T1355-M1355</f>
        <v>27062</v>
      </c>
      <c r="V1355" s="255">
        <f>IF(M1355=0,"N/A",T1355/M1355-1)</f>
        <v>4.895733645460032E-2</v>
      </c>
      <c r="W1355" s="102"/>
      <c r="X1355" s="102"/>
      <c r="Y1355" s="102"/>
      <c r="Z1355" s="192"/>
      <c r="AA1355" s="615"/>
      <c r="AB1355" s="307"/>
      <c r="AC1355" s="300"/>
      <c r="AD1355" s="300"/>
      <c r="AE1355" s="300"/>
      <c r="AF1355" s="300"/>
      <c r="AG1355" s="300"/>
      <c r="AH1355" s="307"/>
      <c r="AI1355" s="307"/>
      <c r="AJ1355" s="300"/>
      <c r="AK1355" s="300"/>
      <c r="AL1355" s="300"/>
      <c r="AM1355" s="300"/>
      <c r="AN1355" s="300"/>
      <c r="AO1355" s="192"/>
      <c r="AP1355" s="192"/>
      <c r="AQ1355" s="192"/>
    </row>
    <row r="1356" spans="1:59" s="115" customFormat="1" ht="15" customHeight="1" thickBot="1">
      <c r="A1356" s="555"/>
      <c r="B1356" s="217"/>
      <c r="C1356" s="217"/>
      <c r="D1356" s="101"/>
      <c r="E1356" s="217"/>
      <c r="F1356" s="294"/>
      <c r="G1356" s="295"/>
      <c r="H1356" s="98"/>
      <c r="I1356" s="218"/>
      <c r="J1356" s="218"/>
      <c r="K1356" s="218"/>
      <c r="L1356" s="218"/>
      <c r="M1356" s="218"/>
      <c r="N1356" s="96"/>
      <c r="O1356" s="96"/>
      <c r="P1356" s="96"/>
      <c r="Q1356" s="212"/>
      <c r="R1356" s="212"/>
      <c r="S1356" s="212"/>
      <c r="T1356" s="212"/>
      <c r="U1356" s="99"/>
      <c r="V1356" s="255"/>
      <c r="W1356" s="102"/>
      <c r="X1356" s="102"/>
      <c r="Y1356" s="102"/>
      <c r="Z1356" s="192"/>
      <c r="AA1356" s="615"/>
      <c r="AB1356" s="307"/>
      <c r="AC1356" s="300"/>
      <c r="AD1356" s="300"/>
      <c r="AE1356" s="300"/>
      <c r="AF1356" s="300"/>
      <c r="AG1356" s="300"/>
      <c r="AH1356" s="307"/>
      <c r="AI1356" s="307"/>
      <c r="AJ1356" s="300"/>
      <c r="AK1356" s="300"/>
      <c r="AL1356" s="300"/>
      <c r="AM1356" s="300"/>
      <c r="AN1356" s="300"/>
      <c r="AO1356" s="192"/>
      <c r="AP1356" s="192"/>
      <c r="AQ1356" s="192"/>
    </row>
    <row r="1357" spans="1:59" s="115" customFormat="1" ht="27" customHeight="1" thickBot="1">
      <c r="A1357" s="555"/>
      <c r="B1357" s="217"/>
      <c r="C1357" s="217"/>
      <c r="D1357" s="101"/>
      <c r="E1357" s="217"/>
      <c r="F1357" s="294"/>
      <c r="G1357" s="295"/>
      <c r="H1357" s="665" t="s">
        <v>636</v>
      </c>
      <c r="I1357" s="666"/>
      <c r="J1357" s="666"/>
      <c r="K1357" s="666"/>
      <c r="L1357" s="666"/>
      <c r="M1357" s="666"/>
      <c r="N1357" s="666"/>
      <c r="O1357" s="666"/>
      <c r="P1357" s="666"/>
      <c r="Q1357" s="666"/>
      <c r="R1357" s="666"/>
      <c r="S1357" s="666"/>
      <c r="T1357" s="667"/>
      <c r="U1357" s="99"/>
      <c r="V1357" s="255"/>
      <c r="W1357" s="102"/>
      <c r="X1357" s="102"/>
      <c r="Y1357" s="102"/>
      <c r="Z1357" s="192"/>
      <c r="AA1357" s="615"/>
      <c r="AB1357" s="307"/>
      <c r="AC1357" s="94"/>
      <c r="AD1357" s="94"/>
      <c r="AE1357" s="94"/>
      <c r="AF1357" s="94"/>
      <c r="AG1357" s="94"/>
      <c r="AH1357" s="307"/>
      <c r="AI1357" s="307"/>
      <c r="AJ1357" s="94"/>
      <c r="AK1357" s="94"/>
      <c r="AL1357" s="94"/>
      <c r="AM1357" s="94"/>
      <c r="AN1357" s="94"/>
      <c r="AO1357" s="192"/>
      <c r="AP1357" s="192"/>
      <c r="AQ1357" s="192"/>
    </row>
    <row r="1358" spans="1:59" s="115" customFormat="1" ht="15" customHeight="1">
      <c r="A1358" s="555"/>
      <c r="B1358" s="217"/>
      <c r="C1358" s="217"/>
      <c r="D1358" s="101"/>
      <c r="E1358" s="217"/>
      <c r="F1358" s="294"/>
      <c r="G1358" s="295"/>
      <c r="H1358" s="225"/>
      <c r="I1358" s="225"/>
      <c r="J1358" s="225"/>
      <c r="K1358" s="225"/>
      <c r="L1358" s="225"/>
      <c r="M1358" s="225"/>
      <c r="N1358" s="225"/>
      <c r="O1358" s="225"/>
      <c r="P1358" s="225"/>
      <c r="Q1358" s="225"/>
      <c r="R1358" s="225"/>
      <c r="S1358" s="225"/>
      <c r="T1358" s="225"/>
      <c r="U1358" s="99"/>
      <c r="V1358" s="255"/>
      <c r="W1358" s="102"/>
      <c r="X1358" s="102"/>
      <c r="Y1358" s="102"/>
      <c r="Z1358" s="192"/>
      <c r="AA1358" s="615"/>
      <c r="AB1358" s="307"/>
      <c r="AC1358" s="93"/>
      <c r="AD1358" s="93"/>
      <c r="AE1358" s="93"/>
      <c r="AF1358" s="93"/>
      <c r="AG1358" s="93"/>
      <c r="AH1358" s="307"/>
      <c r="AI1358" s="307"/>
      <c r="AJ1358" s="93"/>
      <c r="AK1358" s="93"/>
      <c r="AL1358" s="93"/>
      <c r="AM1358" s="93"/>
      <c r="AN1358" s="93"/>
      <c r="AO1358" s="192"/>
      <c r="AP1358" s="192"/>
      <c r="AQ1358" s="192"/>
    </row>
    <row r="1359" spans="1:59" s="115" customFormat="1" ht="15" customHeight="1">
      <c r="A1359" s="555" t="s">
        <v>2836</v>
      </c>
      <c r="B1359" s="217" t="str">
        <f t="shared" si="1706"/>
        <v>100</v>
      </c>
      <c r="C1359" s="217" t="str">
        <f t="shared" si="1707"/>
        <v>50</v>
      </c>
      <c r="D1359" s="101" t="str">
        <f t="shared" si="1708"/>
        <v>502</v>
      </c>
      <c r="E1359" s="217" t="str">
        <f t="shared" si="1709"/>
        <v>100-50-502</v>
      </c>
      <c r="F1359" s="294" t="str">
        <f t="shared" si="1710"/>
        <v>50101</v>
      </c>
      <c r="G1359" s="295" t="str">
        <f>VLOOKUP(F1359,'GL Category'!A:C,3,FALSE)</f>
        <v>Personnel services</v>
      </c>
      <c r="H1359" s="98" t="str">
        <f>VLOOKUP(F1359,'GL Category'!A:C,2,FALSE)</f>
        <v>EXEMPT SALARIES</v>
      </c>
      <c r="I1359" s="99">
        <f>SUMIF(Import!$B:$B,$A1359,Import!D:D)</f>
        <v>126488.44</v>
      </c>
      <c r="J1359" s="99">
        <f>SUMIF(Import!$B:$B,$A1359,Import!E:E)</f>
        <v>199297.86</v>
      </c>
      <c r="K1359" s="99">
        <f>SUMIF(Import!$B:$B,$A1359,Import!F:F)</f>
        <v>212732.33</v>
      </c>
      <c r="L1359" s="99">
        <f>SUMIF(Import!$B:$B,$A1359,Import!G:G)</f>
        <v>223641.82</v>
      </c>
      <c r="M1359" s="99">
        <f>SUMIF(Import!$B:$B,$A1359,Import!H:H)</f>
        <v>275540</v>
      </c>
      <c r="N1359" s="99">
        <f>SUMIF(Import!$B:$B,$A1359,Import!I:I)</f>
        <v>177697.56</v>
      </c>
      <c r="O1359" s="99">
        <f>SUMIF(Import!$B:$B,$A1359,Import!J:J)</f>
        <v>233266</v>
      </c>
      <c r="P1359" s="99">
        <f t="shared" ref="P1359:P1369" si="1746">O1359-M1359</f>
        <v>-42274</v>
      </c>
      <c r="Q1359" s="99">
        <f>SUMIF(Import!$B:$B,$A1359,Import!K:K)</f>
        <v>241219</v>
      </c>
      <c r="R1359" s="99">
        <f>SUMIF(Import!$B:$B,$A1359,Import!L:L)</f>
        <v>0</v>
      </c>
      <c r="S1359" s="99">
        <f>SUMIF(Import!$B:$B,$A1359,Import!M:M)</f>
        <v>0</v>
      </c>
      <c r="T1359" s="99">
        <f>SUMIF(Import!$B:$B,$A1359,Import!N:N)</f>
        <v>241219</v>
      </c>
      <c r="U1359" s="99">
        <f t="shared" ref="U1359:U1369" si="1747">T1359-M1359</f>
        <v>-34321</v>
      </c>
      <c r="V1359" s="255">
        <f t="shared" ref="V1359:V1369" si="1748">IF(M1359=0,"N/A",T1359/M1359-1)</f>
        <v>-0.12455904768817594</v>
      </c>
      <c r="W1359" s="102" t="s">
        <v>2836</v>
      </c>
      <c r="X1359" s="102"/>
      <c r="Y1359" s="102"/>
      <c r="Z1359" s="192"/>
      <c r="AA1359" s="615"/>
      <c r="AB1359" s="307"/>
      <c r="AC1359" s="300"/>
      <c r="AD1359" s="300"/>
      <c r="AE1359" s="300"/>
      <c r="AF1359" s="300"/>
      <c r="AG1359" s="300"/>
      <c r="AH1359" s="307"/>
      <c r="AI1359" s="307"/>
      <c r="AJ1359" s="300"/>
      <c r="AK1359" s="300"/>
      <c r="AL1359" s="300"/>
      <c r="AM1359" s="300"/>
      <c r="AN1359" s="300"/>
      <c r="AO1359" s="192"/>
      <c r="AP1359" s="192"/>
      <c r="AQ1359" s="192"/>
    </row>
    <row r="1360" spans="1:59" s="115" customFormat="1" ht="15" customHeight="1">
      <c r="A1360" s="555" t="s">
        <v>2837</v>
      </c>
      <c r="B1360" s="217" t="str">
        <f t="shared" si="1706"/>
        <v>100</v>
      </c>
      <c r="C1360" s="217" t="str">
        <f t="shared" si="1707"/>
        <v>50</v>
      </c>
      <c r="D1360" s="101" t="str">
        <f t="shared" si="1708"/>
        <v>502</v>
      </c>
      <c r="E1360" s="217" t="str">
        <f t="shared" si="1709"/>
        <v>100-50-502</v>
      </c>
      <c r="F1360" s="294" t="str">
        <f t="shared" si="1710"/>
        <v>50102</v>
      </c>
      <c r="G1360" s="295" t="str">
        <f>VLOOKUP(F1360,'GL Category'!A:C,3,FALSE)</f>
        <v>Personnel services</v>
      </c>
      <c r="H1360" s="98" t="str">
        <f>VLOOKUP(F1360,'GL Category'!A:C,2,FALSE)</f>
        <v>NON EXEMPT SALARIES</v>
      </c>
      <c r="I1360" s="99">
        <f>SUMIF(Import!$B:$B,$A1360,Import!D:D)</f>
        <v>120418.77</v>
      </c>
      <c r="J1360" s="99">
        <f>SUMIF(Import!$B:$B,$A1360,Import!E:E)</f>
        <v>118151.29</v>
      </c>
      <c r="K1360" s="99">
        <f>SUMIF(Import!$B:$B,$A1360,Import!F:F)</f>
        <v>111439.83</v>
      </c>
      <c r="L1360" s="99">
        <f>SUMIF(Import!$B:$B,$A1360,Import!G:G)</f>
        <v>116725.79</v>
      </c>
      <c r="M1360" s="99">
        <f>SUMIF(Import!$B:$B,$A1360,Import!H:H)</f>
        <v>120433</v>
      </c>
      <c r="N1360" s="99">
        <f>SUMIF(Import!$B:$B,$A1360,Import!I:I)</f>
        <v>77643.759999999995</v>
      </c>
      <c r="O1360" s="99">
        <f>SUMIF(Import!$B:$B,$A1360,Import!J:J)</f>
        <v>121913</v>
      </c>
      <c r="P1360" s="99">
        <f t="shared" si="1746"/>
        <v>1480</v>
      </c>
      <c r="Q1360" s="99">
        <f>SUMIF(Import!$B:$B,$A1360,Import!K:K)</f>
        <v>166730</v>
      </c>
      <c r="R1360" s="99">
        <f>SUMIF(Import!$B:$B,$A1360,Import!L:L)</f>
        <v>0</v>
      </c>
      <c r="S1360" s="99">
        <f>SUMIF(Import!$B:$B,$A1360,Import!M:M)</f>
        <v>0</v>
      </c>
      <c r="T1360" s="99">
        <f>SUMIF(Import!$B:$B,$A1360,Import!N:N)</f>
        <v>166730</v>
      </c>
      <c r="U1360" s="99">
        <f t="shared" si="1747"/>
        <v>46297</v>
      </c>
      <c r="V1360" s="255">
        <f t="shared" si="1748"/>
        <v>0.38442121345478397</v>
      </c>
      <c r="W1360" s="102" t="s">
        <v>2837</v>
      </c>
      <c r="X1360" s="102"/>
      <c r="Y1360" s="102"/>
      <c r="Z1360" s="192"/>
      <c r="AA1360" s="615"/>
      <c r="AB1360" s="307"/>
      <c r="AC1360" s="300"/>
      <c r="AD1360" s="300"/>
      <c r="AE1360" s="300"/>
      <c r="AF1360" s="300"/>
      <c r="AG1360" s="300"/>
      <c r="AH1360" s="307"/>
      <c r="AI1360" s="307"/>
      <c r="AJ1360" s="300"/>
      <c r="AK1360" s="300"/>
      <c r="AL1360" s="300"/>
      <c r="AM1360" s="300"/>
      <c r="AN1360" s="300"/>
      <c r="AO1360" s="192"/>
      <c r="AP1360" s="192"/>
      <c r="AQ1360" s="192"/>
    </row>
    <row r="1361" spans="1:59" s="115" customFormat="1" ht="15" customHeight="1">
      <c r="A1361" s="555" t="s">
        <v>2838</v>
      </c>
      <c r="B1361" s="217" t="str">
        <f t="shared" si="1706"/>
        <v>100</v>
      </c>
      <c r="C1361" s="217" t="str">
        <f t="shared" si="1707"/>
        <v>50</v>
      </c>
      <c r="D1361" s="101" t="str">
        <f t="shared" si="1708"/>
        <v>502</v>
      </c>
      <c r="E1361" s="217" t="str">
        <f t="shared" si="1709"/>
        <v>100-50-502</v>
      </c>
      <c r="F1361" s="294" t="str">
        <f t="shared" si="1710"/>
        <v>50109</v>
      </c>
      <c r="G1361" s="295" t="str">
        <f>VLOOKUP(F1361,'GL Category'!A:C,3,FALSE)</f>
        <v>Personnel services</v>
      </c>
      <c r="H1361" s="98" t="str">
        <f>VLOOKUP(F1361,'GL Category'!A:C,2,FALSE)</f>
        <v>OVERTIME</v>
      </c>
      <c r="I1361" s="99">
        <f>SUMIF(Import!$B:$B,$A1361,Import!D:D)</f>
        <v>3239.02</v>
      </c>
      <c r="J1361" s="99">
        <f>SUMIF(Import!$B:$B,$A1361,Import!E:E)</f>
        <v>3019.38</v>
      </c>
      <c r="K1361" s="99">
        <f>SUMIF(Import!$B:$B,$A1361,Import!F:F)</f>
        <v>2257.84</v>
      </c>
      <c r="L1361" s="99">
        <f>SUMIF(Import!$B:$B,$A1361,Import!G:G)</f>
        <v>3309.93</v>
      </c>
      <c r="M1361" s="99">
        <f>SUMIF(Import!$B:$B,$A1361,Import!H:H)</f>
        <v>16000</v>
      </c>
      <c r="N1361" s="99">
        <f>SUMIF(Import!$B:$B,$A1361,Import!I:I)</f>
        <v>4051.83</v>
      </c>
      <c r="O1361" s="99">
        <f>SUMIF(Import!$B:$B,$A1361,Import!J:J)</f>
        <v>5837</v>
      </c>
      <c r="P1361" s="99">
        <f t="shared" si="1746"/>
        <v>-10163</v>
      </c>
      <c r="Q1361" s="99">
        <f>SUMIF(Import!$B:$B,$A1361,Import!K:K)</f>
        <v>16000</v>
      </c>
      <c r="R1361" s="99">
        <f>SUMIF(Import!$B:$B,$A1361,Import!L:L)</f>
        <v>0</v>
      </c>
      <c r="S1361" s="99">
        <f>SUMIF(Import!$B:$B,$A1361,Import!M:M)</f>
        <v>0</v>
      </c>
      <c r="T1361" s="99">
        <f>SUMIF(Import!$B:$B,$A1361,Import!N:N)</f>
        <v>16000</v>
      </c>
      <c r="U1361" s="99">
        <f t="shared" si="1747"/>
        <v>0</v>
      </c>
      <c r="V1361" s="255">
        <f t="shared" si="1748"/>
        <v>0</v>
      </c>
      <c r="W1361" s="102" t="s">
        <v>2838</v>
      </c>
      <c r="X1361" s="102"/>
      <c r="Y1361" s="102"/>
      <c r="Z1361" s="192"/>
      <c r="AA1361" s="615"/>
      <c r="AB1361" s="307"/>
      <c r="AC1361" s="300"/>
      <c r="AD1361" s="300"/>
      <c r="AE1361" s="300"/>
      <c r="AF1361" s="300"/>
      <c r="AG1361" s="300"/>
      <c r="AH1361" s="307"/>
      <c r="AI1361" s="307"/>
      <c r="AJ1361" s="300"/>
      <c r="AK1361" s="300"/>
      <c r="AL1361" s="300"/>
      <c r="AM1361" s="300"/>
      <c r="AN1361" s="300"/>
      <c r="AO1361" s="192"/>
      <c r="AP1361" s="192"/>
      <c r="AQ1361" s="192"/>
    </row>
    <row r="1362" spans="1:59" s="115" customFormat="1" ht="15" customHeight="1">
      <c r="A1362" s="555" t="s">
        <v>2839</v>
      </c>
      <c r="B1362" s="217" t="str">
        <f t="shared" si="1706"/>
        <v>100</v>
      </c>
      <c r="C1362" s="217" t="str">
        <f t="shared" si="1707"/>
        <v>50</v>
      </c>
      <c r="D1362" s="101" t="str">
        <f t="shared" si="1708"/>
        <v>502</v>
      </c>
      <c r="E1362" s="217" t="str">
        <f t="shared" si="1709"/>
        <v>100-50-502</v>
      </c>
      <c r="F1362" s="294" t="str">
        <f t="shared" si="1710"/>
        <v>50111</v>
      </c>
      <c r="G1362" s="295" t="str">
        <f>VLOOKUP(F1362,'GL Category'!A:C,3,FALSE)</f>
        <v>Personnel services</v>
      </c>
      <c r="H1362" s="98" t="str">
        <f>VLOOKUP(F1362,'GL Category'!A:C,2,FALSE)</f>
        <v>LONGEVITY PAY</v>
      </c>
      <c r="I1362" s="99">
        <f>SUMIF(Import!$B:$B,$A1362,Import!D:D)</f>
        <v>1990</v>
      </c>
      <c r="J1362" s="99">
        <f>SUMIF(Import!$B:$B,$A1362,Import!E:E)</f>
        <v>2170</v>
      </c>
      <c r="K1362" s="99">
        <f>SUMIF(Import!$B:$B,$A1362,Import!F:F)</f>
        <v>1780</v>
      </c>
      <c r="L1362" s="99">
        <f>SUMIF(Import!$B:$B,$A1362,Import!G:G)</f>
        <v>2145</v>
      </c>
      <c r="M1362" s="99">
        <f>SUMIF(Import!$B:$B,$A1362,Import!H:H)</f>
        <v>2469</v>
      </c>
      <c r="N1362" s="99">
        <f>SUMIF(Import!$B:$B,$A1362,Import!I:I)</f>
        <v>2385</v>
      </c>
      <c r="O1362" s="99">
        <f>SUMIF(Import!$B:$B,$A1362,Import!J:J)</f>
        <v>2385</v>
      </c>
      <c r="P1362" s="99">
        <f t="shared" si="1746"/>
        <v>-84</v>
      </c>
      <c r="Q1362" s="99">
        <f>SUMIF(Import!$B:$B,$A1362,Import!K:K)</f>
        <v>2172</v>
      </c>
      <c r="R1362" s="99">
        <f>SUMIF(Import!$B:$B,$A1362,Import!L:L)</f>
        <v>0</v>
      </c>
      <c r="S1362" s="99">
        <f>SUMIF(Import!$B:$B,$A1362,Import!M:M)</f>
        <v>0</v>
      </c>
      <c r="T1362" s="99">
        <f>SUMIF(Import!$B:$B,$A1362,Import!N:N)</f>
        <v>2172</v>
      </c>
      <c r="U1362" s="99">
        <f t="shared" si="1747"/>
        <v>-297</v>
      </c>
      <c r="V1362" s="255">
        <f t="shared" si="1748"/>
        <v>-0.12029161603888217</v>
      </c>
      <c r="W1362" s="102" t="s">
        <v>2839</v>
      </c>
      <c r="X1362" s="102"/>
      <c r="Y1362" s="102"/>
      <c r="Z1362" s="192"/>
      <c r="AA1362" s="615"/>
      <c r="AB1362" s="307"/>
      <c r="AC1362" s="300"/>
      <c r="AD1362" s="300"/>
      <c r="AE1362" s="300"/>
      <c r="AF1362" s="300"/>
      <c r="AG1362" s="300"/>
      <c r="AH1362" s="307"/>
      <c r="AI1362" s="307"/>
      <c r="AJ1362" s="300"/>
      <c r="AK1362" s="300"/>
      <c r="AL1362" s="300"/>
      <c r="AM1362" s="300"/>
      <c r="AN1362" s="300"/>
      <c r="AO1362" s="192"/>
      <c r="AP1362" s="192"/>
      <c r="AQ1362" s="192"/>
    </row>
    <row r="1363" spans="1:59" s="115" customFormat="1" ht="15" customHeight="1">
      <c r="A1363" s="555" t="s">
        <v>2840</v>
      </c>
      <c r="B1363" s="217" t="str">
        <f t="shared" si="1706"/>
        <v>100</v>
      </c>
      <c r="C1363" s="217" t="str">
        <f t="shared" si="1707"/>
        <v>50</v>
      </c>
      <c r="D1363" s="101" t="str">
        <f t="shared" si="1708"/>
        <v>502</v>
      </c>
      <c r="E1363" s="217" t="str">
        <f t="shared" si="1709"/>
        <v>100-50-502</v>
      </c>
      <c r="F1363" s="294" t="str">
        <f t="shared" si="1710"/>
        <v>50112</v>
      </c>
      <c r="G1363" s="295" t="str">
        <f>VLOOKUP(F1363,'GL Category'!A:C,3,FALSE)</f>
        <v>Personnel services</v>
      </c>
      <c r="H1363" s="98" t="str">
        <f>VLOOKUP(F1363,'GL Category'!A:C,2,FALSE)</f>
        <v>TEMPORARY/SEASONAL WAGES</v>
      </c>
      <c r="I1363" s="99">
        <f>SUMIF(Import!$B:$B,$A1363,Import!D:D)</f>
        <v>0</v>
      </c>
      <c r="J1363" s="99">
        <f>SUMIF(Import!$B:$B,$A1363,Import!E:E)</f>
        <v>0</v>
      </c>
      <c r="K1363" s="99">
        <f>SUMIF(Import!$B:$B,$A1363,Import!F:F)</f>
        <v>0</v>
      </c>
      <c r="L1363" s="99">
        <f>SUMIF(Import!$B:$B,$A1363,Import!G:G)</f>
        <v>0</v>
      </c>
      <c r="M1363" s="99">
        <f>SUMIF(Import!$B:$B,$A1363,Import!H:H)</f>
        <v>0</v>
      </c>
      <c r="N1363" s="99">
        <f>SUMIF(Import!$B:$B,$A1363,Import!I:I)</f>
        <v>0</v>
      </c>
      <c r="O1363" s="99">
        <f>SUMIF(Import!$B:$B,$A1363,Import!J:J)</f>
        <v>0</v>
      </c>
      <c r="P1363" s="99">
        <f t="shared" si="1746"/>
        <v>0</v>
      </c>
      <c r="Q1363" s="99">
        <f>SUMIF(Import!$B:$B,$A1363,Import!K:K)</f>
        <v>0</v>
      </c>
      <c r="R1363" s="99">
        <f>SUMIF(Import!$B:$B,$A1363,Import!L:L)</f>
        <v>0</v>
      </c>
      <c r="S1363" s="99">
        <f>SUMIF(Import!$B:$B,$A1363,Import!M:M)</f>
        <v>0</v>
      </c>
      <c r="T1363" s="99">
        <f>SUMIF(Import!$B:$B,$A1363,Import!N:N)</f>
        <v>0</v>
      </c>
      <c r="U1363" s="99">
        <f t="shared" si="1747"/>
        <v>0</v>
      </c>
      <c r="V1363" s="255" t="str">
        <f t="shared" si="1748"/>
        <v>N/A</v>
      </c>
      <c r="W1363" s="102" t="s">
        <v>2840</v>
      </c>
      <c r="X1363" s="102"/>
      <c r="Y1363" s="102"/>
      <c r="Z1363" s="192"/>
      <c r="AA1363" s="615"/>
      <c r="AB1363" s="307"/>
      <c r="AC1363" s="300"/>
      <c r="AD1363" s="300"/>
      <c r="AE1363" s="300"/>
      <c r="AF1363" s="300"/>
      <c r="AG1363" s="300"/>
      <c r="AH1363" s="307"/>
      <c r="AI1363" s="307"/>
      <c r="AJ1363" s="300"/>
      <c r="AK1363" s="300"/>
      <c r="AL1363" s="300"/>
      <c r="AM1363" s="300"/>
      <c r="AN1363" s="300"/>
      <c r="AO1363" s="192"/>
      <c r="AP1363" s="192"/>
      <c r="AQ1363" s="192"/>
    </row>
    <row r="1364" spans="1:59" s="115" customFormat="1" ht="15" customHeight="1">
      <c r="A1364" s="555" t="s">
        <v>3232</v>
      </c>
      <c r="B1364" s="217" t="str">
        <f t="shared" ref="B1364" si="1749">LEFT(A1364,3)</f>
        <v>100</v>
      </c>
      <c r="C1364" s="217" t="str">
        <f t="shared" ref="C1364" si="1750">MID(A1364,5,2)</f>
        <v>50</v>
      </c>
      <c r="D1364" s="101" t="str">
        <f t="shared" ref="D1364" si="1751">MID(A1364,8,3)</f>
        <v>502</v>
      </c>
      <c r="E1364" s="217" t="str">
        <f t="shared" ref="E1364" si="1752">LEFT(A1364,10)</f>
        <v>100-50-502</v>
      </c>
      <c r="F1364" s="294" t="str">
        <f t="shared" ref="F1364" si="1753">RIGHT(A1364,5)</f>
        <v>50115</v>
      </c>
      <c r="G1364" s="295" t="str">
        <f>VLOOKUP(F1364,'GL Category'!A:C,3,FALSE)</f>
        <v>Personnel services</v>
      </c>
      <c r="H1364" s="98" t="str">
        <f>VLOOKUP(F1364,'GL Category'!A:C,2,FALSE)</f>
        <v>INCENTIVE/CERTIFICATION PAY</v>
      </c>
      <c r="I1364" s="99">
        <f>SUMIF(Import!$B:$B,$A1364,Import!D:D)</f>
        <v>0</v>
      </c>
      <c r="J1364" s="99">
        <f>SUMIF(Import!$B:$B,$A1364,Import!E:E)</f>
        <v>112.5</v>
      </c>
      <c r="K1364" s="99">
        <f>SUMIF(Import!$B:$B,$A1364,Import!F:F)</f>
        <v>0</v>
      </c>
      <c r="L1364" s="99">
        <f>SUMIF(Import!$B:$B,$A1364,Import!G:G)</f>
        <v>0</v>
      </c>
      <c r="M1364" s="99">
        <f>SUMIF(Import!$B:$B,$A1364,Import!H:H)</f>
        <v>0</v>
      </c>
      <c r="N1364" s="99">
        <f>SUMIF(Import!$B:$B,$A1364,Import!I:I)</f>
        <v>0</v>
      </c>
      <c r="O1364" s="99">
        <f>SUMIF(Import!$B:$B,$A1364,Import!J:J)</f>
        <v>0</v>
      </c>
      <c r="P1364" s="99">
        <f t="shared" ref="P1364" si="1754">O1364-M1364</f>
        <v>0</v>
      </c>
      <c r="Q1364" s="99">
        <f>SUMIF(Import!$B:$B,$A1364,Import!K:K)</f>
        <v>0</v>
      </c>
      <c r="R1364" s="99">
        <f>SUMIF(Import!$B:$B,$A1364,Import!L:L)</f>
        <v>0</v>
      </c>
      <c r="S1364" s="99">
        <f>SUMIF(Import!$B:$B,$A1364,Import!M:M)</f>
        <v>0</v>
      </c>
      <c r="T1364" s="99">
        <f>SUMIF(Import!$B:$B,$A1364,Import!N:N)</f>
        <v>0</v>
      </c>
      <c r="U1364" s="99">
        <f t="shared" ref="U1364" si="1755">T1364-M1364</f>
        <v>0</v>
      </c>
      <c r="V1364" s="255" t="str">
        <f t="shared" ref="V1364" si="1756">IF(M1364=0,"N/A",T1364/M1364-1)</f>
        <v>N/A</v>
      </c>
      <c r="W1364" s="102" t="s">
        <v>2840</v>
      </c>
      <c r="X1364" s="102"/>
      <c r="Y1364" s="102"/>
      <c r="Z1364" s="192"/>
      <c r="AA1364" s="615"/>
      <c r="AB1364" s="307"/>
      <c r="AC1364" s="300"/>
      <c r="AD1364" s="300"/>
      <c r="AE1364" s="300"/>
      <c r="AF1364" s="300"/>
      <c r="AG1364" s="300"/>
      <c r="AH1364" s="307"/>
      <c r="AI1364" s="307"/>
      <c r="AJ1364" s="300"/>
      <c r="AK1364" s="300"/>
      <c r="AL1364" s="300"/>
      <c r="AM1364" s="300"/>
      <c r="AN1364" s="300"/>
      <c r="AO1364" s="192"/>
      <c r="AP1364" s="192"/>
      <c r="AQ1364" s="192"/>
    </row>
    <row r="1365" spans="1:59" s="115" customFormat="1" ht="15" customHeight="1">
      <c r="A1365" s="555" t="s">
        <v>2841</v>
      </c>
      <c r="B1365" s="217" t="str">
        <f t="shared" si="1706"/>
        <v>100</v>
      </c>
      <c r="C1365" s="217" t="str">
        <f t="shared" si="1707"/>
        <v>50</v>
      </c>
      <c r="D1365" s="101" t="str">
        <f t="shared" si="1708"/>
        <v>502</v>
      </c>
      <c r="E1365" s="217" t="str">
        <f t="shared" si="1709"/>
        <v>100-50-502</v>
      </c>
      <c r="F1365" s="294" t="str">
        <f t="shared" si="1710"/>
        <v>50120</v>
      </c>
      <c r="G1365" s="295" t="str">
        <f>VLOOKUP(F1365,'GL Category'!A:C,3,FALSE)</f>
        <v>Personnel services</v>
      </c>
      <c r="H1365" s="98" t="str">
        <f>VLOOKUP(F1365,'GL Category'!A:C,2,FALSE)</f>
        <v>AUTO ALLOWANCE</v>
      </c>
      <c r="I1365" s="99">
        <f>SUMIF(Import!$B:$B,$A1365,Import!D:D)</f>
        <v>4200</v>
      </c>
      <c r="J1365" s="99">
        <f>SUMIF(Import!$B:$B,$A1365,Import!E:E)</f>
        <v>4200</v>
      </c>
      <c r="K1365" s="99">
        <f>SUMIF(Import!$B:$B,$A1365,Import!F:F)</f>
        <v>4200</v>
      </c>
      <c r="L1365" s="99">
        <f>SUMIF(Import!$B:$B,$A1365,Import!G:G)</f>
        <v>4389</v>
      </c>
      <c r="M1365" s="99">
        <f>SUMIF(Import!$B:$B,$A1365,Import!H:H)</f>
        <v>4200</v>
      </c>
      <c r="N1365" s="99">
        <f>SUMIF(Import!$B:$B,$A1365,Import!I:I)</f>
        <v>3136</v>
      </c>
      <c r="O1365" s="99">
        <f>SUMIF(Import!$B:$B,$A1365,Import!J:J)</f>
        <v>4204</v>
      </c>
      <c r="P1365" s="99">
        <f t="shared" si="1746"/>
        <v>4</v>
      </c>
      <c r="Q1365" s="99">
        <f>SUMIF(Import!$B:$B,$A1365,Import!K:K)</f>
        <v>4200</v>
      </c>
      <c r="R1365" s="99">
        <f>SUMIF(Import!$B:$B,$A1365,Import!L:L)</f>
        <v>0</v>
      </c>
      <c r="S1365" s="99">
        <f>SUMIF(Import!$B:$B,$A1365,Import!M:M)</f>
        <v>0</v>
      </c>
      <c r="T1365" s="99">
        <f>SUMIF(Import!$B:$B,$A1365,Import!N:N)</f>
        <v>4200</v>
      </c>
      <c r="U1365" s="99">
        <f t="shared" si="1747"/>
        <v>0</v>
      </c>
      <c r="V1365" s="255">
        <f t="shared" si="1748"/>
        <v>0</v>
      </c>
      <c r="W1365" s="102" t="s">
        <v>2841</v>
      </c>
      <c r="X1365" s="102"/>
      <c r="Y1365" s="102"/>
      <c r="Z1365" s="192"/>
      <c r="AA1365" s="615"/>
      <c r="AB1365" s="307"/>
      <c r="AC1365" s="94"/>
      <c r="AD1365" s="94"/>
      <c r="AE1365" s="94"/>
      <c r="AF1365" s="94"/>
      <c r="AG1365" s="94"/>
      <c r="AH1365" s="307"/>
      <c r="AI1365" s="307"/>
      <c r="AJ1365" s="94"/>
      <c r="AK1365" s="94"/>
      <c r="AL1365" s="94"/>
      <c r="AM1365" s="94"/>
      <c r="AN1365" s="94"/>
      <c r="AO1365" s="192"/>
      <c r="AP1365" s="192"/>
      <c r="AQ1365" s="192"/>
    </row>
    <row r="1366" spans="1:59" ht="15" customHeight="1">
      <c r="A1366" s="555" t="s">
        <v>2842</v>
      </c>
      <c r="B1366" s="217" t="str">
        <f t="shared" si="1706"/>
        <v>100</v>
      </c>
      <c r="C1366" s="217" t="str">
        <f t="shared" si="1707"/>
        <v>50</v>
      </c>
      <c r="D1366" s="101" t="str">
        <f t="shared" si="1708"/>
        <v>502</v>
      </c>
      <c r="E1366" s="217" t="str">
        <f t="shared" si="1709"/>
        <v>100-50-502</v>
      </c>
      <c r="F1366" s="294" t="str">
        <f t="shared" si="1710"/>
        <v>50610</v>
      </c>
      <c r="G1366" s="295" t="str">
        <f>VLOOKUP(F1366,'GL Category'!A:C,3,FALSE)</f>
        <v>Personnel services</v>
      </c>
      <c r="H1366" s="98" t="str">
        <f>VLOOKUP(F1366,'GL Category'!A:C,2,FALSE)</f>
        <v>SOCIAL SECURITY</v>
      </c>
      <c r="I1366" s="99">
        <f>SUMIF(Import!$B:$B,$A1366,Import!D:D)</f>
        <v>19022.939999999999</v>
      </c>
      <c r="J1366" s="99">
        <f>SUMIF(Import!$B:$B,$A1366,Import!E:E)</f>
        <v>24706.41</v>
      </c>
      <c r="K1366" s="99">
        <f>SUMIF(Import!$B:$B,$A1366,Import!F:F)</f>
        <v>24854.86</v>
      </c>
      <c r="L1366" s="99">
        <f>SUMIF(Import!$B:$B,$A1366,Import!G:G)</f>
        <v>26314.71</v>
      </c>
      <c r="M1366" s="99">
        <f>SUMIF(Import!$B:$B,$A1366,Import!H:H)</f>
        <v>31380</v>
      </c>
      <c r="N1366" s="99">
        <f>SUMIF(Import!$B:$B,$A1366,Import!I:I)</f>
        <v>20008.900000000001</v>
      </c>
      <c r="O1366" s="99">
        <f>SUMIF(Import!$B:$B,$A1366,Import!J:J)</f>
        <v>27634</v>
      </c>
      <c r="P1366" s="99">
        <f t="shared" si="1746"/>
        <v>-3746</v>
      </c>
      <c r="Q1366" s="99">
        <f>SUMIF(Import!$B:$B,$A1366,Import!K:K)</f>
        <v>31920</v>
      </c>
      <c r="R1366" s="99">
        <f>SUMIF(Import!$B:$B,$A1366,Import!L:L)</f>
        <v>0</v>
      </c>
      <c r="S1366" s="99">
        <f>SUMIF(Import!$B:$B,$A1366,Import!M:M)</f>
        <v>0</v>
      </c>
      <c r="T1366" s="99">
        <f>SUMIF(Import!$B:$B,$A1366,Import!N:N)</f>
        <v>31920</v>
      </c>
      <c r="U1366" s="99">
        <f t="shared" si="1747"/>
        <v>540</v>
      </c>
      <c r="V1366" s="255">
        <f t="shared" si="1748"/>
        <v>1.7208413001912115E-2</v>
      </c>
      <c r="W1366" s="102" t="s">
        <v>2842</v>
      </c>
      <c r="X1366" s="102"/>
      <c r="Y1366" s="102"/>
      <c r="AA1366" s="615"/>
      <c r="AC1366" s="300"/>
      <c r="AD1366" s="300"/>
      <c r="AE1366" s="300"/>
      <c r="AF1366" s="300"/>
      <c r="AG1366" s="300"/>
      <c r="AJ1366" s="300"/>
      <c r="AK1366" s="300"/>
      <c r="AL1366" s="300"/>
      <c r="AM1366" s="300"/>
      <c r="AN1366" s="300"/>
    </row>
    <row r="1367" spans="1:59" ht="15" customHeight="1">
      <c r="A1367" s="555" t="s">
        <v>2843</v>
      </c>
      <c r="B1367" s="217" t="str">
        <f t="shared" si="1706"/>
        <v>100</v>
      </c>
      <c r="C1367" s="217" t="str">
        <f t="shared" si="1707"/>
        <v>50</v>
      </c>
      <c r="D1367" s="101" t="str">
        <f t="shared" si="1708"/>
        <v>502</v>
      </c>
      <c r="E1367" s="217" t="str">
        <f t="shared" si="1709"/>
        <v>100-50-502</v>
      </c>
      <c r="F1367" s="294" t="str">
        <f t="shared" si="1710"/>
        <v>50620</v>
      </c>
      <c r="G1367" s="295" t="str">
        <f>VLOOKUP(F1367,'GL Category'!A:C,3,FALSE)</f>
        <v>Personnel services</v>
      </c>
      <c r="H1367" s="98" t="str">
        <f>VLOOKUP(F1367,'GL Category'!A:C,2,FALSE)</f>
        <v>HEALTH/LIFE INSURANCE</v>
      </c>
      <c r="I1367" s="99">
        <f>SUMIF(Import!$B:$B,$A1367,Import!D:D)</f>
        <v>39724.6</v>
      </c>
      <c r="J1367" s="99">
        <f>SUMIF(Import!$B:$B,$A1367,Import!E:E)</f>
        <v>35835.75</v>
      </c>
      <c r="K1367" s="99">
        <f>SUMIF(Import!$B:$B,$A1367,Import!F:F)</f>
        <v>48862.76</v>
      </c>
      <c r="L1367" s="99">
        <f>SUMIF(Import!$B:$B,$A1367,Import!G:G)</f>
        <v>50759.7</v>
      </c>
      <c r="M1367" s="99">
        <f>SUMIF(Import!$B:$B,$A1367,Import!H:H)</f>
        <v>64125</v>
      </c>
      <c r="N1367" s="99">
        <f>SUMIF(Import!$B:$B,$A1367,Import!I:I)</f>
        <v>34090.01</v>
      </c>
      <c r="O1367" s="99">
        <f>SUMIF(Import!$B:$B,$A1367,Import!J:J)</f>
        <v>53909</v>
      </c>
      <c r="P1367" s="99">
        <f t="shared" si="1746"/>
        <v>-10216</v>
      </c>
      <c r="Q1367" s="99">
        <f>SUMIF(Import!$B:$B,$A1367,Import!K:K)</f>
        <v>64497</v>
      </c>
      <c r="R1367" s="99">
        <f>SUMIF(Import!$B:$B,$A1367,Import!L:L)</f>
        <v>0</v>
      </c>
      <c r="S1367" s="99">
        <f>SUMIF(Import!$B:$B,$A1367,Import!M:M)</f>
        <v>0</v>
      </c>
      <c r="T1367" s="99">
        <f>SUMIF(Import!$B:$B,$A1367,Import!N:N)</f>
        <v>64497</v>
      </c>
      <c r="U1367" s="99">
        <f t="shared" si="1747"/>
        <v>372</v>
      </c>
      <c r="V1367" s="255">
        <f t="shared" si="1748"/>
        <v>5.8011695906432514E-3</v>
      </c>
      <c r="W1367" s="102" t="s">
        <v>2843</v>
      </c>
      <c r="X1367" s="102"/>
      <c r="Y1367" s="102"/>
      <c r="AA1367" s="615"/>
      <c r="AC1367" s="94"/>
      <c r="AD1367" s="94"/>
      <c r="AE1367" s="94"/>
      <c r="AF1367" s="94"/>
      <c r="AG1367" s="94"/>
      <c r="AJ1367" s="94"/>
      <c r="AK1367" s="94"/>
      <c r="AL1367" s="94"/>
      <c r="AM1367" s="94"/>
      <c r="AN1367" s="94"/>
    </row>
    <row r="1368" spans="1:59" ht="15" customHeight="1">
      <c r="A1368" s="555" t="s">
        <v>2844</v>
      </c>
      <c r="B1368" s="217" t="str">
        <f t="shared" si="1706"/>
        <v>100</v>
      </c>
      <c r="C1368" s="217" t="str">
        <f t="shared" si="1707"/>
        <v>50</v>
      </c>
      <c r="D1368" s="101" t="str">
        <f t="shared" si="1708"/>
        <v>502</v>
      </c>
      <c r="E1368" s="217" t="str">
        <f t="shared" si="1709"/>
        <v>100-50-502</v>
      </c>
      <c r="F1368" s="294" t="str">
        <f t="shared" si="1710"/>
        <v>50630</v>
      </c>
      <c r="G1368" s="295" t="str">
        <f>VLOOKUP(F1368,'GL Category'!A:C,3,FALSE)</f>
        <v>Personnel services</v>
      </c>
      <c r="H1368" s="98" t="str">
        <f>VLOOKUP(F1368,'GL Category'!A:C,2,FALSE)</f>
        <v>WORKER COMPENSATION</v>
      </c>
      <c r="I1368" s="99">
        <f>SUMIF(Import!$B:$B,$A1368,Import!D:D)</f>
        <v>322.5</v>
      </c>
      <c r="J1368" s="99">
        <f>SUMIF(Import!$B:$B,$A1368,Import!E:E)</f>
        <v>405.14</v>
      </c>
      <c r="K1368" s="99">
        <f>SUMIF(Import!$B:$B,$A1368,Import!F:F)</f>
        <v>425.89</v>
      </c>
      <c r="L1368" s="99">
        <f>SUMIF(Import!$B:$B,$A1368,Import!G:G)</f>
        <v>780.43</v>
      </c>
      <c r="M1368" s="99">
        <f>SUMIF(Import!$B:$B,$A1368,Import!H:H)</f>
        <v>1087</v>
      </c>
      <c r="N1368" s="99">
        <f>SUMIF(Import!$B:$B,$A1368,Import!I:I)</f>
        <v>1086.1199999999999</v>
      </c>
      <c r="O1368" s="99">
        <f>SUMIF(Import!$B:$B,$A1368,Import!J:J)</f>
        <v>1086</v>
      </c>
      <c r="P1368" s="99">
        <f t="shared" si="1746"/>
        <v>-1</v>
      </c>
      <c r="Q1368" s="99">
        <f>SUMIF(Import!$B:$B,$A1368,Import!K:K)</f>
        <v>1081</v>
      </c>
      <c r="R1368" s="99">
        <f>SUMIF(Import!$B:$B,$A1368,Import!L:L)</f>
        <v>0</v>
      </c>
      <c r="S1368" s="99">
        <f>SUMIF(Import!$B:$B,$A1368,Import!M:M)</f>
        <v>0</v>
      </c>
      <c r="T1368" s="99">
        <f>SUMIF(Import!$B:$B,$A1368,Import!N:N)</f>
        <v>1081</v>
      </c>
      <c r="U1368" s="99">
        <f t="shared" si="1747"/>
        <v>-6</v>
      </c>
      <c r="V1368" s="255">
        <f t="shared" si="1748"/>
        <v>-5.5197792088316211E-3</v>
      </c>
      <c r="W1368" s="102" t="s">
        <v>2844</v>
      </c>
      <c r="X1368" s="102"/>
      <c r="Y1368" s="102"/>
      <c r="AA1368" s="615"/>
      <c r="AC1368" s="93"/>
      <c r="AD1368" s="93"/>
      <c r="AE1368" s="93"/>
      <c r="AF1368" s="93"/>
      <c r="AG1368" s="93"/>
      <c r="AJ1368" s="93"/>
      <c r="AK1368" s="93"/>
      <c r="AL1368" s="93"/>
      <c r="AM1368" s="93"/>
      <c r="AN1368" s="93"/>
    </row>
    <row r="1369" spans="1:59" ht="15" customHeight="1">
      <c r="A1369" s="555" t="s">
        <v>2845</v>
      </c>
      <c r="B1369" s="217" t="str">
        <f t="shared" si="1706"/>
        <v>100</v>
      </c>
      <c r="C1369" s="217" t="str">
        <f t="shared" si="1707"/>
        <v>50</v>
      </c>
      <c r="D1369" s="101" t="str">
        <f t="shared" si="1708"/>
        <v>502</v>
      </c>
      <c r="E1369" s="217" t="str">
        <f t="shared" si="1709"/>
        <v>100-50-502</v>
      </c>
      <c r="F1369" s="294" t="str">
        <f t="shared" si="1710"/>
        <v>50650</v>
      </c>
      <c r="G1369" s="295" t="str">
        <f>VLOOKUP(F1369,'GL Category'!A:C,3,FALSE)</f>
        <v>Personnel services</v>
      </c>
      <c r="H1369" s="98" t="str">
        <f>VLOOKUP(F1369,'GL Category'!A:C,2,FALSE)</f>
        <v>RETIREMENT</v>
      </c>
      <c r="I1369" s="99">
        <f>SUMIF(Import!$B:$B,$A1369,Import!D:D)</f>
        <v>40714.58</v>
      </c>
      <c r="J1369" s="99">
        <f>SUMIF(Import!$B:$B,$A1369,Import!E:E)</f>
        <v>52829.46</v>
      </c>
      <c r="K1369" s="99">
        <f>SUMIF(Import!$B:$B,$A1369,Import!F:F)</f>
        <v>53815.519999999997</v>
      </c>
      <c r="L1369" s="99">
        <f>SUMIF(Import!$B:$B,$A1369,Import!G:G)</f>
        <v>56854.2</v>
      </c>
      <c r="M1369" s="99">
        <f>SUMIF(Import!$B:$B,$A1369,Import!H:H)</f>
        <v>69757</v>
      </c>
      <c r="N1369" s="99">
        <f>SUMIF(Import!$B:$B,$A1369,Import!I:I)</f>
        <v>44110.05</v>
      </c>
      <c r="O1369" s="99">
        <f>SUMIF(Import!$B:$B,$A1369,Import!J:J)</f>
        <v>61732</v>
      </c>
      <c r="P1369" s="99">
        <f t="shared" si="1746"/>
        <v>-8025</v>
      </c>
      <c r="Q1369" s="99">
        <f>SUMIF(Import!$B:$B,$A1369,Import!K:K)</f>
        <v>73442</v>
      </c>
      <c r="R1369" s="99">
        <f>SUMIF(Import!$B:$B,$A1369,Import!L:L)</f>
        <v>0</v>
      </c>
      <c r="S1369" s="99">
        <f>SUMIF(Import!$B:$B,$A1369,Import!M:M)</f>
        <v>0</v>
      </c>
      <c r="T1369" s="99">
        <f>SUMIF(Import!$B:$B,$A1369,Import!N:N)</f>
        <v>73442</v>
      </c>
      <c r="U1369" s="99">
        <f t="shared" si="1747"/>
        <v>3685</v>
      </c>
      <c r="V1369" s="255">
        <f t="shared" si="1748"/>
        <v>5.2826239660535901E-2</v>
      </c>
      <c r="W1369" s="102" t="s">
        <v>2845</v>
      </c>
      <c r="X1369" s="102"/>
      <c r="Y1369" s="102"/>
      <c r="AA1369" s="615"/>
    </row>
    <row r="1370" spans="1:59" ht="15" customHeight="1">
      <c r="A1370" s="555"/>
      <c r="B1370" s="217"/>
      <c r="C1370" s="217"/>
      <c r="D1370" s="101"/>
      <c r="E1370" s="217"/>
      <c r="F1370" s="294"/>
      <c r="G1370" s="295"/>
      <c r="H1370" s="107" t="str">
        <f>UPPER(G1369)&amp;" TOTAL"</f>
        <v>PERSONNEL SERVICES TOTAL</v>
      </c>
      <c r="I1370" s="108">
        <f t="shared" ref="I1370" si="1757">SUBTOTAL(9,I1359:I1369)</f>
        <v>356120.85</v>
      </c>
      <c r="J1370" s="108">
        <f t="shared" ref="J1370:T1370" si="1758">SUBTOTAL(9,J1359:J1369)</f>
        <v>440727.79</v>
      </c>
      <c r="K1370" s="108">
        <f t="shared" ref="K1370" si="1759">SUBTOTAL(9,K1359:K1369)</f>
        <v>460369.03</v>
      </c>
      <c r="L1370" s="108">
        <f t="shared" ref="L1370" si="1760">SUBTOTAL(9,L1359:L1369)</f>
        <v>484920.58</v>
      </c>
      <c r="M1370" s="108">
        <f t="shared" si="1758"/>
        <v>584991</v>
      </c>
      <c r="N1370" s="108">
        <f t="shared" ref="N1370" si="1761">SUBTOTAL(9,N1359:N1369)</f>
        <v>364209.23000000004</v>
      </c>
      <c r="O1370" s="108">
        <f t="shared" si="1758"/>
        <v>511966</v>
      </c>
      <c r="P1370" s="108">
        <f t="shared" si="1758"/>
        <v>-73025</v>
      </c>
      <c r="Q1370" s="108">
        <f t="shared" si="1758"/>
        <v>601261</v>
      </c>
      <c r="R1370" s="108">
        <f t="shared" si="1758"/>
        <v>0</v>
      </c>
      <c r="S1370" s="108">
        <f t="shared" si="1758"/>
        <v>0</v>
      </c>
      <c r="T1370" s="108">
        <f t="shared" si="1758"/>
        <v>601261</v>
      </c>
      <c r="U1370" s="99">
        <f>T1370-M1370</f>
        <v>16270</v>
      </c>
      <c r="V1370" s="255">
        <f>IF(M1370=0,"N/A",T1370/M1370-1)</f>
        <v>2.7812393694945703E-2</v>
      </c>
      <c r="W1370" s="102"/>
      <c r="X1370" s="102"/>
      <c r="Y1370" s="102"/>
      <c r="AA1370" s="615"/>
    </row>
    <row r="1371" spans="1:59" s="75" customFormat="1" ht="15" customHeight="1">
      <c r="A1371" s="555"/>
      <c r="B1371" s="217"/>
      <c r="C1371" s="217"/>
      <c r="D1371" s="101"/>
      <c r="E1371" s="217"/>
      <c r="F1371" s="294"/>
      <c r="G1371" s="295"/>
      <c r="H1371" s="98"/>
      <c r="I1371" s="106"/>
      <c r="J1371" s="106"/>
      <c r="K1371" s="106"/>
      <c r="L1371" s="106"/>
      <c r="M1371" s="106"/>
      <c r="N1371" s="112"/>
      <c r="O1371" s="112"/>
      <c r="P1371" s="112"/>
      <c r="Q1371" s="113"/>
      <c r="R1371" s="113"/>
      <c r="S1371" s="113"/>
      <c r="T1371" s="113"/>
      <c r="U1371" s="99"/>
      <c r="V1371" s="255"/>
      <c r="W1371" s="102"/>
      <c r="X1371" s="102"/>
      <c r="Y1371" s="102"/>
      <c r="Z1371" s="614"/>
      <c r="AA1371" s="615"/>
      <c r="AB1371" s="624"/>
      <c r="AC1371" s="623"/>
      <c r="AD1371" s="623"/>
      <c r="AE1371" s="623"/>
      <c r="AF1371" s="623"/>
      <c r="AG1371" s="623"/>
      <c r="AH1371" s="623"/>
      <c r="AI1371" s="624"/>
      <c r="AJ1371" s="307"/>
      <c r="AK1371" s="307"/>
      <c r="AL1371" s="307"/>
      <c r="AM1371" s="307"/>
      <c r="AN1371" s="307"/>
      <c r="AO1371" s="192"/>
      <c r="AP1371" s="192"/>
      <c r="AQ1371" s="192"/>
      <c r="AR1371" s="115"/>
      <c r="AS1371" s="115"/>
      <c r="AT1371" s="115"/>
      <c r="AU1371" s="115"/>
      <c r="AV1371" s="115"/>
      <c r="AW1371" s="115"/>
      <c r="AX1371" s="115"/>
      <c r="AY1371" s="115"/>
      <c r="AZ1371" s="115"/>
      <c r="BA1371" s="115"/>
      <c r="BB1371" s="115"/>
      <c r="BC1371" s="115"/>
      <c r="BD1371" s="115"/>
      <c r="BE1371" s="74"/>
      <c r="BF1371" s="74"/>
      <c r="BG1371" s="74"/>
    </row>
    <row r="1372" spans="1:59" s="75" customFormat="1" ht="15" customHeight="1">
      <c r="A1372" s="555" t="s">
        <v>2846</v>
      </c>
      <c r="B1372" s="217" t="str">
        <f t="shared" si="1706"/>
        <v>100</v>
      </c>
      <c r="C1372" s="217" t="str">
        <f t="shared" si="1707"/>
        <v>50</v>
      </c>
      <c r="D1372" s="101" t="str">
        <f t="shared" si="1708"/>
        <v>502</v>
      </c>
      <c r="E1372" s="217" t="str">
        <f t="shared" si="1709"/>
        <v>100-50-502</v>
      </c>
      <c r="F1372" s="294" t="str">
        <f t="shared" si="1710"/>
        <v>51210</v>
      </c>
      <c r="G1372" s="295" t="str">
        <f>VLOOKUP(F1372,'GL Category'!A:C,3,FALSE)</f>
        <v>Operations &amp; maintenance</v>
      </c>
      <c r="H1372" s="98" t="str">
        <f>VLOOKUP(F1372,'GL Category'!A:C,2,FALSE)</f>
        <v>OFFICE SUPPLIES</v>
      </c>
      <c r="I1372" s="99">
        <f>SUMIF(Import!$B:$B,$A1372,Import!D:D)</f>
        <v>251.16</v>
      </c>
      <c r="J1372" s="99">
        <f>SUMIF(Import!$B:$B,$A1372,Import!E:E)</f>
        <v>774.96</v>
      </c>
      <c r="K1372" s="99">
        <f>SUMIF(Import!$B:$B,$A1372,Import!F:F)</f>
        <v>413.56</v>
      </c>
      <c r="L1372" s="99">
        <f>SUMIF(Import!$B:$B,$A1372,Import!G:G)</f>
        <v>215.86</v>
      </c>
      <c r="M1372" s="99">
        <f>SUMIF(Import!$B:$B,$A1372,Import!H:H)</f>
        <v>550</v>
      </c>
      <c r="N1372" s="99">
        <f>SUMIF(Import!$B:$B,$A1372,Import!I:I)</f>
        <v>28.98</v>
      </c>
      <c r="O1372" s="99">
        <f>SUMIF(Import!$B:$B,$A1372,Import!J:J)</f>
        <v>550</v>
      </c>
      <c r="P1372" s="99">
        <f t="shared" ref="P1372:P1378" si="1762">O1372-M1372</f>
        <v>0</v>
      </c>
      <c r="Q1372" s="99">
        <f>SUMIF(Import!$B:$B,$A1372,Import!K:K)</f>
        <v>550</v>
      </c>
      <c r="R1372" s="99">
        <f>SUMIF(Import!$B:$B,$A1372,Import!L:L)</f>
        <v>0</v>
      </c>
      <c r="S1372" s="99">
        <f>SUMIF(Import!$B:$B,$A1372,Import!M:M)</f>
        <v>0</v>
      </c>
      <c r="T1372" s="99">
        <f>SUMIF(Import!$B:$B,$A1372,Import!N:N)</f>
        <v>550</v>
      </c>
      <c r="U1372" s="99">
        <f t="shared" ref="U1372:U1378" si="1763">T1372-M1372</f>
        <v>0</v>
      </c>
      <c r="V1372" s="255">
        <f t="shared" ref="V1372:V1378" si="1764">IF(M1372=0,"N/A",T1372/M1372-1)</f>
        <v>0</v>
      </c>
      <c r="W1372" s="102" t="s">
        <v>2846</v>
      </c>
      <c r="X1372" s="102"/>
      <c r="Y1372" s="102"/>
      <c r="Z1372" s="614"/>
      <c r="AA1372" s="615"/>
      <c r="AB1372" s="624"/>
      <c r="AC1372" s="625"/>
      <c r="AD1372" s="625"/>
      <c r="AE1372" s="625"/>
      <c r="AF1372" s="625"/>
      <c r="AG1372" s="625"/>
      <c r="AH1372" s="623"/>
      <c r="AI1372" s="624"/>
      <c r="AJ1372" s="626"/>
      <c r="AK1372" s="626"/>
      <c r="AL1372" s="626"/>
      <c r="AM1372" s="626"/>
      <c r="AN1372" s="626"/>
      <c r="AO1372" s="192"/>
      <c r="AP1372" s="192"/>
      <c r="AQ1372" s="192"/>
      <c r="AR1372" s="115"/>
      <c r="AS1372" s="115"/>
      <c r="AT1372" s="115"/>
      <c r="AU1372" s="115"/>
      <c r="AV1372" s="115"/>
      <c r="AW1372" s="115"/>
      <c r="AX1372" s="115"/>
      <c r="AY1372" s="115"/>
      <c r="AZ1372" s="115"/>
      <c r="BA1372" s="115"/>
      <c r="BB1372" s="115"/>
      <c r="BC1372" s="115"/>
      <c r="BD1372" s="115"/>
      <c r="BE1372" s="74"/>
      <c r="BF1372" s="74"/>
      <c r="BG1372" s="74"/>
    </row>
    <row r="1373" spans="1:59" ht="15" customHeight="1">
      <c r="A1373" s="555" t="s">
        <v>2847</v>
      </c>
      <c r="B1373" s="217" t="str">
        <f t="shared" si="1706"/>
        <v>100</v>
      </c>
      <c r="C1373" s="217" t="str">
        <f t="shared" si="1707"/>
        <v>50</v>
      </c>
      <c r="D1373" s="101" t="str">
        <f t="shared" si="1708"/>
        <v>502</v>
      </c>
      <c r="E1373" s="217" t="str">
        <f t="shared" si="1709"/>
        <v>100-50-502</v>
      </c>
      <c r="F1373" s="294" t="str">
        <f t="shared" si="1710"/>
        <v>51245</v>
      </c>
      <c r="G1373" s="295" t="str">
        <f>VLOOKUP(F1373,'GL Category'!A:C,3,FALSE)</f>
        <v>Operations &amp; maintenance</v>
      </c>
      <c r="H1373" s="98" t="str">
        <f>VLOOKUP(F1373,'GL Category'!A:C,2,FALSE)</f>
        <v>SMALL TOOLS &amp; EQUIPMENT</v>
      </c>
      <c r="I1373" s="99">
        <f>SUMIF(Import!$B:$B,$A1373,Import!D:D)</f>
        <v>0</v>
      </c>
      <c r="J1373" s="99">
        <f>SUMIF(Import!$B:$B,$A1373,Import!E:E)</f>
        <v>0</v>
      </c>
      <c r="K1373" s="99">
        <f>SUMIF(Import!$B:$B,$A1373,Import!F:F)</f>
        <v>0</v>
      </c>
      <c r="L1373" s="99">
        <f>SUMIF(Import!$B:$B,$A1373,Import!G:G)</f>
        <v>0</v>
      </c>
      <c r="M1373" s="99">
        <f>SUMIF(Import!$B:$B,$A1373,Import!H:H)</f>
        <v>0</v>
      </c>
      <c r="N1373" s="99">
        <f>SUMIF(Import!$B:$B,$A1373,Import!I:I)</f>
        <v>0</v>
      </c>
      <c r="O1373" s="99">
        <f>SUMIF(Import!$B:$B,$A1373,Import!J:J)</f>
        <v>0</v>
      </c>
      <c r="P1373" s="99">
        <f t="shared" si="1762"/>
        <v>0</v>
      </c>
      <c r="Q1373" s="99">
        <f>SUMIF(Import!$B:$B,$A1373,Import!K:K)</f>
        <v>0</v>
      </c>
      <c r="R1373" s="99">
        <f>SUMIF(Import!$B:$B,$A1373,Import!L:L)</f>
        <v>0</v>
      </c>
      <c r="S1373" s="99">
        <f>SUMIF(Import!$B:$B,$A1373,Import!M:M)</f>
        <v>0</v>
      </c>
      <c r="T1373" s="99">
        <f>SUMIF(Import!$B:$B,$A1373,Import!N:N)</f>
        <v>0</v>
      </c>
      <c r="U1373" s="99">
        <f t="shared" si="1763"/>
        <v>0</v>
      </c>
      <c r="V1373" s="255" t="str">
        <f t="shared" si="1764"/>
        <v>N/A</v>
      </c>
      <c r="W1373" s="102" t="s">
        <v>2847</v>
      </c>
      <c r="X1373" s="102"/>
      <c r="Y1373" s="102"/>
      <c r="AA1373" s="615"/>
      <c r="AC1373" s="300"/>
      <c r="AD1373" s="300"/>
      <c r="AE1373" s="300"/>
      <c r="AF1373" s="300"/>
      <c r="AG1373" s="300"/>
      <c r="AJ1373" s="300"/>
      <c r="AK1373" s="300"/>
      <c r="AL1373" s="300"/>
      <c r="AM1373" s="300"/>
      <c r="AN1373" s="300"/>
    </row>
    <row r="1374" spans="1:59" ht="15" customHeight="1">
      <c r="A1374" s="555" t="s">
        <v>2848</v>
      </c>
      <c r="B1374" s="217" t="str">
        <f t="shared" si="1706"/>
        <v>100</v>
      </c>
      <c r="C1374" s="217" t="str">
        <f t="shared" si="1707"/>
        <v>50</v>
      </c>
      <c r="D1374" s="101" t="str">
        <f t="shared" si="1708"/>
        <v>502</v>
      </c>
      <c r="E1374" s="217" t="str">
        <f t="shared" si="1709"/>
        <v>100-50-502</v>
      </c>
      <c r="F1374" s="294" t="str">
        <f t="shared" si="1710"/>
        <v>51255</v>
      </c>
      <c r="G1374" s="295" t="str">
        <f>VLOOKUP(F1374,'GL Category'!A:C,3,FALSE)</f>
        <v>Operations &amp; maintenance</v>
      </c>
      <c r="H1374" s="98" t="str">
        <f>VLOOKUP(F1374,'GL Category'!A:C,2,FALSE)</f>
        <v>FUEL/OILS/LUBRICANTS</v>
      </c>
      <c r="I1374" s="99">
        <f>SUMIF(Import!$B:$B,$A1374,Import!D:D)</f>
        <v>1531.13</v>
      </c>
      <c r="J1374" s="99">
        <f>SUMIF(Import!$B:$B,$A1374,Import!E:E)</f>
        <v>1799.2</v>
      </c>
      <c r="K1374" s="99">
        <f>SUMIF(Import!$B:$B,$A1374,Import!F:F)</f>
        <v>2659.44</v>
      </c>
      <c r="L1374" s="99">
        <f>SUMIF(Import!$B:$B,$A1374,Import!G:G)</f>
        <v>1886.63</v>
      </c>
      <c r="M1374" s="99">
        <f>SUMIF(Import!$B:$B,$A1374,Import!H:H)</f>
        <v>4000</v>
      </c>
      <c r="N1374" s="99">
        <f>SUMIF(Import!$B:$B,$A1374,Import!I:I)</f>
        <v>1417.27</v>
      </c>
      <c r="O1374" s="99">
        <f>SUMIF(Import!$B:$B,$A1374,Import!J:J)</f>
        <v>2000</v>
      </c>
      <c r="P1374" s="99">
        <f t="shared" si="1762"/>
        <v>-2000</v>
      </c>
      <c r="Q1374" s="99">
        <f>SUMIF(Import!$B:$B,$A1374,Import!K:K)</f>
        <v>3000</v>
      </c>
      <c r="R1374" s="99">
        <f>SUMIF(Import!$B:$B,$A1374,Import!L:L)</f>
        <v>0</v>
      </c>
      <c r="S1374" s="99">
        <f>SUMIF(Import!$B:$B,$A1374,Import!M:M)</f>
        <v>0</v>
      </c>
      <c r="T1374" s="99">
        <f>SUMIF(Import!$B:$B,$A1374,Import!N:N)</f>
        <v>3000</v>
      </c>
      <c r="U1374" s="99">
        <f t="shared" si="1763"/>
        <v>-1000</v>
      </c>
      <c r="V1374" s="255">
        <f t="shared" si="1764"/>
        <v>-0.25</v>
      </c>
      <c r="W1374" s="102" t="s">
        <v>2848</v>
      </c>
      <c r="X1374" s="102"/>
      <c r="Y1374" s="102"/>
      <c r="AA1374" s="615"/>
      <c r="AC1374" s="300"/>
      <c r="AD1374" s="300"/>
      <c r="AE1374" s="300"/>
      <c r="AF1374" s="300"/>
      <c r="AG1374" s="300"/>
      <c r="AJ1374" s="300"/>
      <c r="AK1374" s="300"/>
      <c r="AL1374" s="300"/>
      <c r="AM1374" s="300"/>
      <c r="AN1374" s="300"/>
    </row>
    <row r="1375" spans="1:59" s="115" customFormat="1" ht="15" customHeight="1">
      <c r="A1375" s="555" t="s">
        <v>2849</v>
      </c>
      <c r="B1375" s="217" t="str">
        <f t="shared" si="1706"/>
        <v>100</v>
      </c>
      <c r="C1375" s="217" t="str">
        <f t="shared" si="1707"/>
        <v>50</v>
      </c>
      <c r="D1375" s="101" t="str">
        <f t="shared" si="1708"/>
        <v>502</v>
      </c>
      <c r="E1375" s="217" t="str">
        <f t="shared" si="1709"/>
        <v>100-50-502</v>
      </c>
      <c r="F1375" s="294" t="str">
        <f t="shared" si="1710"/>
        <v>51285</v>
      </c>
      <c r="G1375" s="295" t="str">
        <f>VLOOKUP(F1375,'GL Category'!A:C,3,FALSE)</f>
        <v>Operations &amp; maintenance</v>
      </c>
      <c r="H1375" s="98" t="str">
        <f>VLOOKUP(F1375,'GL Category'!A:C,2,FALSE)</f>
        <v>WEARING APPAREL</v>
      </c>
      <c r="I1375" s="99">
        <f>SUMIF(Import!$B:$B,$A1375,Import!D:D)</f>
        <v>584.64</v>
      </c>
      <c r="J1375" s="99">
        <f>SUMIF(Import!$B:$B,$A1375,Import!E:E)</f>
        <v>188.99</v>
      </c>
      <c r="K1375" s="99">
        <f>SUMIF(Import!$B:$B,$A1375,Import!F:F)</f>
        <v>522.54</v>
      </c>
      <c r="L1375" s="99">
        <f>SUMIF(Import!$B:$B,$A1375,Import!G:G)</f>
        <v>577.16</v>
      </c>
      <c r="M1375" s="99">
        <f>SUMIF(Import!$B:$B,$A1375,Import!H:H)</f>
        <v>750</v>
      </c>
      <c r="N1375" s="99">
        <f>SUMIF(Import!$B:$B,$A1375,Import!I:I)</f>
        <v>0</v>
      </c>
      <c r="O1375" s="99">
        <f>SUMIF(Import!$B:$B,$A1375,Import!J:J)</f>
        <v>750</v>
      </c>
      <c r="P1375" s="99">
        <f t="shared" si="1762"/>
        <v>0</v>
      </c>
      <c r="Q1375" s="99">
        <f>SUMIF(Import!$B:$B,$A1375,Import!K:K)</f>
        <v>750</v>
      </c>
      <c r="R1375" s="99">
        <f>SUMIF(Import!$B:$B,$A1375,Import!L:L)</f>
        <v>0</v>
      </c>
      <c r="S1375" s="99">
        <f>SUMIF(Import!$B:$B,$A1375,Import!M:M)</f>
        <v>0</v>
      </c>
      <c r="T1375" s="99">
        <f>SUMIF(Import!$B:$B,$A1375,Import!N:N)</f>
        <v>750</v>
      </c>
      <c r="U1375" s="99">
        <f t="shared" si="1763"/>
        <v>0</v>
      </c>
      <c r="V1375" s="255">
        <f t="shared" si="1764"/>
        <v>0</v>
      </c>
      <c r="W1375" s="102" t="s">
        <v>2849</v>
      </c>
      <c r="X1375" s="102"/>
      <c r="Y1375" s="102"/>
      <c r="Z1375" s="192"/>
      <c r="AA1375" s="615"/>
      <c r="AB1375" s="307"/>
      <c r="AC1375" s="300"/>
      <c r="AD1375" s="300"/>
      <c r="AE1375" s="300"/>
      <c r="AF1375" s="300"/>
      <c r="AG1375" s="300"/>
      <c r="AH1375" s="307"/>
      <c r="AI1375" s="307"/>
      <c r="AJ1375" s="300"/>
      <c r="AK1375" s="300"/>
      <c r="AL1375" s="300"/>
      <c r="AM1375" s="300"/>
      <c r="AN1375" s="300"/>
      <c r="AO1375" s="192"/>
      <c r="AP1375" s="192"/>
      <c r="AQ1375" s="192"/>
    </row>
    <row r="1376" spans="1:59" s="115" customFormat="1" ht="15" customHeight="1">
      <c r="A1376" s="555" t="s">
        <v>2850</v>
      </c>
      <c r="B1376" s="217" t="str">
        <f t="shared" si="1706"/>
        <v>100</v>
      </c>
      <c r="C1376" s="217" t="str">
        <f t="shared" si="1707"/>
        <v>50</v>
      </c>
      <c r="D1376" s="101" t="str">
        <f t="shared" si="1708"/>
        <v>502</v>
      </c>
      <c r="E1376" s="217" t="str">
        <f t="shared" si="1709"/>
        <v>100-50-502</v>
      </c>
      <c r="F1376" s="294" t="str">
        <f t="shared" si="1710"/>
        <v>51287</v>
      </c>
      <c r="G1376" s="295" t="str">
        <f>VLOOKUP(F1376,'GL Category'!A:C,3,FALSE)</f>
        <v>Operations &amp; maintenance</v>
      </c>
      <c r="H1376" s="98" t="str">
        <f>VLOOKUP(F1376,'GL Category'!A:C,2,FALSE)</f>
        <v>SAFETY EQUIPMENT/SUPPLIES</v>
      </c>
      <c r="I1376" s="99">
        <f>SUMIF(Import!$B:$B,$A1376,Import!D:D)</f>
        <v>152.80000000000001</v>
      </c>
      <c r="J1376" s="99">
        <f>SUMIF(Import!$B:$B,$A1376,Import!E:E)</f>
        <v>0</v>
      </c>
      <c r="K1376" s="99">
        <f>SUMIF(Import!$B:$B,$A1376,Import!F:F)</f>
        <v>0</v>
      </c>
      <c r="L1376" s="99">
        <f>SUMIF(Import!$B:$B,$A1376,Import!G:G)</f>
        <v>933.61</v>
      </c>
      <c r="M1376" s="99">
        <f>SUMIF(Import!$B:$B,$A1376,Import!H:H)</f>
        <v>0</v>
      </c>
      <c r="N1376" s="99">
        <f>SUMIF(Import!$B:$B,$A1376,Import!I:I)</f>
        <v>0</v>
      </c>
      <c r="O1376" s="99">
        <f>SUMIF(Import!$B:$B,$A1376,Import!J:J)</f>
        <v>0</v>
      </c>
      <c r="P1376" s="99">
        <f t="shared" si="1762"/>
        <v>0</v>
      </c>
      <c r="Q1376" s="99">
        <f>SUMIF(Import!$B:$B,$A1376,Import!K:K)</f>
        <v>0</v>
      </c>
      <c r="R1376" s="99">
        <f>SUMIF(Import!$B:$B,$A1376,Import!L:L)</f>
        <v>0</v>
      </c>
      <c r="S1376" s="99">
        <f>SUMIF(Import!$B:$B,$A1376,Import!M:M)</f>
        <v>0</v>
      </c>
      <c r="T1376" s="99">
        <f>SUMIF(Import!$B:$B,$A1376,Import!N:N)</f>
        <v>0</v>
      </c>
      <c r="U1376" s="99">
        <f t="shared" si="1763"/>
        <v>0</v>
      </c>
      <c r="V1376" s="255" t="str">
        <f t="shared" si="1764"/>
        <v>N/A</v>
      </c>
      <c r="W1376" s="102" t="s">
        <v>2850</v>
      </c>
      <c r="X1376" s="102"/>
      <c r="Y1376" s="102"/>
      <c r="Z1376" s="192"/>
      <c r="AA1376" s="615"/>
      <c r="AB1376" s="307"/>
      <c r="AC1376" s="94"/>
      <c r="AD1376" s="94"/>
      <c r="AE1376" s="94"/>
      <c r="AF1376" s="94"/>
      <c r="AG1376" s="94"/>
      <c r="AH1376" s="307"/>
      <c r="AI1376" s="307"/>
      <c r="AJ1376" s="94"/>
      <c r="AK1376" s="94"/>
      <c r="AL1376" s="94"/>
      <c r="AM1376" s="94"/>
      <c r="AN1376" s="94"/>
      <c r="AO1376" s="192"/>
      <c r="AP1376" s="192"/>
      <c r="AQ1376" s="192"/>
    </row>
    <row r="1377" spans="1:43" s="115" customFormat="1" ht="15" customHeight="1">
      <c r="A1377" s="555" t="s">
        <v>2851</v>
      </c>
      <c r="B1377" s="217" t="str">
        <f t="shared" si="1706"/>
        <v>100</v>
      </c>
      <c r="C1377" s="217" t="str">
        <f t="shared" si="1707"/>
        <v>50</v>
      </c>
      <c r="D1377" s="101" t="str">
        <f t="shared" si="1708"/>
        <v>502</v>
      </c>
      <c r="E1377" s="217" t="str">
        <f t="shared" si="1709"/>
        <v>100-50-502</v>
      </c>
      <c r="F1377" s="294" t="str">
        <f t="shared" si="1710"/>
        <v>51299</v>
      </c>
      <c r="G1377" s="295" t="str">
        <f>VLOOKUP(F1377,'GL Category'!A:C,3,FALSE)</f>
        <v>Operations &amp; maintenance</v>
      </c>
      <c r="H1377" s="98" t="str">
        <f>VLOOKUP(F1377,'GL Category'!A:C,2,FALSE)</f>
        <v>MISCELLANEOUS SUPPLIES</v>
      </c>
      <c r="I1377" s="99">
        <f>SUMIF(Import!$B:$B,$A1377,Import!D:D)</f>
        <v>0</v>
      </c>
      <c r="J1377" s="99">
        <f>SUMIF(Import!$B:$B,$A1377,Import!E:E)</f>
        <v>0</v>
      </c>
      <c r="K1377" s="99">
        <f>SUMIF(Import!$B:$B,$A1377,Import!F:F)</f>
        <v>0</v>
      </c>
      <c r="L1377" s="99">
        <f>SUMIF(Import!$B:$B,$A1377,Import!G:G)</f>
        <v>0</v>
      </c>
      <c r="M1377" s="99">
        <f>SUMIF(Import!$B:$B,$A1377,Import!H:H)</f>
        <v>0</v>
      </c>
      <c r="N1377" s="99">
        <f>SUMIF(Import!$B:$B,$A1377,Import!I:I)</f>
        <v>0</v>
      </c>
      <c r="O1377" s="99">
        <f>SUMIF(Import!$B:$B,$A1377,Import!J:J)</f>
        <v>0</v>
      </c>
      <c r="P1377" s="99">
        <f t="shared" si="1762"/>
        <v>0</v>
      </c>
      <c r="Q1377" s="99">
        <f>SUMIF(Import!$B:$B,$A1377,Import!K:K)</f>
        <v>0</v>
      </c>
      <c r="R1377" s="99">
        <f>SUMIF(Import!$B:$B,$A1377,Import!L:L)</f>
        <v>0</v>
      </c>
      <c r="S1377" s="99">
        <f>SUMIF(Import!$B:$B,$A1377,Import!M:M)</f>
        <v>0</v>
      </c>
      <c r="T1377" s="99">
        <f>SUMIF(Import!$B:$B,$A1377,Import!N:N)</f>
        <v>0</v>
      </c>
      <c r="U1377" s="99">
        <f t="shared" si="1763"/>
        <v>0</v>
      </c>
      <c r="V1377" s="255" t="str">
        <f t="shared" si="1764"/>
        <v>N/A</v>
      </c>
      <c r="W1377" s="102" t="s">
        <v>2851</v>
      </c>
      <c r="X1377" s="102"/>
      <c r="Y1377" s="102"/>
      <c r="Z1377" s="192"/>
      <c r="AA1377" s="615"/>
      <c r="AB1377" s="307"/>
      <c r="AC1377" s="93"/>
      <c r="AD1377" s="93"/>
      <c r="AE1377" s="93"/>
      <c r="AF1377" s="93"/>
      <c r="AG1377" s="93"/>
      <c r="AH1377" s="307"/>
      <c r="AI1377" s="307"/>
      <c r="AJ1377" s="93"/>
      <c r="AK1377" s="93"/>
      <c r="AL1377" s="93"/>
      <c r="AM1377" s="93"/>
      <c r="AN1377" s="93"/>
      <c r="AO1377" s="192"/>
      <c r="AP1377" s="192"/>
      <c r="AQ1377" s="192"/>
    </row>
    <row r="1378" spans="1:43" s="115" customFormat="1" ht="15" customHeight="1">
      <c r="A1378" s="555" t="s">
        <v>2852</v>
      </c>
      <c r="B1378" s="217" t="str">
        <f t="shared" si="1706"/>
        <v>100</v>
      </c>
      <c r="C1378" s="217" t="str">
        <f t="shared" si="1707"/>
        <v>50</v>
      </c>
      <c r="D1378" s="101" t="str">
        <f t="shared" si="1708"/>
        <v>502</v>
      </c>
      <c r="E1378" s="217" t="str">
        <f t="shared" si="1709"/>
        <v>100-50-502</v>
      </c>
      <c r="F1378" s="294" t="str">
        <f t="shared" si="1710"/>
        <v>52460</v>
      </c>
      <c r="G1378" s="295" t="str">
        <f>VLOOKUP(F1378,'GL Category'!A:C,3,FALSE)</f>
        <v>Operations &amp; maintenance</v>
      </c>
      <c r="H1378" s="98" t="str">
        <f>VLOOKUP(F1378,'GL Category'!A:C,2,FALSE)</f>
        <v>VEHICLE MAINTENANCE</v>
      </c>
      <c r="I1378" s="99">
        <f>SUMIF(Import!$B:$B,$A1378,Import!D:D)</f>
        <v>1325</v>
      </c>
      <c r="J1378" s="99">
        <f>SUMIF(Import!$B:$B,$A1378,Import!E:E)</f>
        <v>85.19</v>
      </c>
      <c r="K1378" s="99">
        <f>SUMIF(Import!$B:$B,$A1378,Import!F:F)</f>
        <v>0</v>
      </c>
      <c r="L1378" s="99">
        <f>SUMIF(Import!$B:$B,$A1378,Import!G:G)</f>
        <v>78</v>
      </c>
      <c r="M1378" s="99">
        <f>SUMIF(Import!$B:$B,$A1378,Import!H:H)</f>
        <v>0</v>
      </c>
      <c r="N1378" s="99">
        <f>SUMIF(Import!$B:$B,$A1378,Import!I:I)</f>
        <v>22.47</v>
      </c>
      <c r="O1378" s="99">
        <f>SUMIF(Import!$B:$B,$A1378,Import!J:J)</f>
        <v>0</v>
      </c>
      <c r="P1378" s="99">
        <f t="shared" si="1762"/>
        <v>0</v>
      </c>
      <c r="Q1378" s="99">
        <f>SUMIF(Import!$B:$B,$A1378,Import!K:K)</f>
        <v>0</v>
      </c>
      <c r="R1378" s="99">
        <f>SUMIF(Import!$B:$B,$A1378,Import!L:L)</f>
        <v>0</v>
      </c>
      <c r="S1378" s="99">
        <f>SUMIF(Import!$B:$B,$A1378,Import!M:M)</f>
        <v>0</v>
      </c>
      <c r="T1378" s="99">
        <f>SUMIF(Import!$B:$B,$A1378,Import!N:N)</f>
        <v>0</v>
      </c>
      <c r="U1378" s="99">
        <f t="shared" si="1763"/>
        <v>0</v>
      </c>
      <c r="V1378" s="255" t="str">
        <f t="shared" si="1764"/>
        <v>N/A</v>
      </c>
      <c r="W1378" s="102" t="s">
        <v>2852</v>
      </c>
      <c r="X1378" s="102"/>
      <c r="Y1378" s="102"/>
      <c r="Z1378" s="192"/>
      <c r="AA1378" s="615"/>
      <c r="AB1378" s="307"/>
      <c r="AC1378" s="300"/>
      <c r="AD1378" s="300"/>
      <c r="AE1378" s="300"/>
      <c r="AF1378" s="300"/>
      <c r="AG1378" s="300"/>
      <c r="AH1378" s="307"/>
      <c r="AI1378" s="307"/>
      <c r="AJ1378" s="300"/>
      <c r="AK1378" s="300"/>
      <c r="AL1378" s="300"/>
      <c r="AM1378" s="300"/>
      <c r="AN1378" s="300"/>
      <c r="AO1378" s="192"/>
      <c r="AP1378" s="192"/>
      <c r="AQ1378" s="192"/>
    </row>
    <row r="1379" spans="1:43" s="115" customFormat="1" ht="28.35" customHeight="1">
      <c r="A1379" s="555"/>
      <c r="B1379" s="217"/>
      <c r="C1379" s="217"/>
      <c r="D1379" s="101"/>
      <c r="E1379" s="217"/>
      <c r="F1379" s="294"/>
      <c r="G1379" s="295"/>
      <c r="H1379" s="107" t="str">
        <f>UPPER(G1378)&amp;" TOTAL"</f>
        <v>OPERATIONS &amp; MAINTENANCE TOTAL</v>
      </c>
      <c r="I1379" s="109">
        <f t="shared" ref="I1379" si="1765">SUBTOTAL(9,I1372:I1378)</f>
        <v>3844.7300000000005</v>
      </c>
      <c r="J1379" s="109">
        <f t="shared" ref="J1379:T1379" si="1766">SUBTOTAL(9,J1372:J1378)</f>
        <v>2848.3399999999997</v>
      </c>
      <c r="K1379" s="109">
        <f t="shared" ref="K1379" si="1767">SUBTOTAL(9,K1372:K1378)</f>
        <v>3595.54</v>
      </c>
      <c r="L1379" s="109">
        <f t="shared" ref="L1379" si="1768">SUBTOTAL(9,L1372:L1378)</f>
        <v>3691.26</v>
      </c>
      <c r="M1379" s="109">
        <f t="shared" si="1766"/>
        <v>5300</v>
      </c>
      <c r="N1379" s="109">
        <f t="shared" ref="N1379" si="1769">SUBTOTAL(9,N1372:N1378)</f>
        <v>1468.72</v>
      </c>
      <c r="O1379" s="109">
        <f t="shared" si="1766"/>
        <v>3300</v>
      </c>
      <c r="P1379" s="109">
        <f t="shared" si="1766"/>
        <v>-2000</v>
      </c>
      <c r="Q1379" s="109">
        <f t="shared" si="1766"/>
        <v>4300</v>
      </c>
      <c r="R1379" s="109">
        <f t="shared" si="1766"/>
        <v>0</v>
      </c>
      <c r="S1379" s="109">
        <f t="shared" si="1766"/>
        <v>0</v>
      </c>
      <c r="T1379" s="109">
        <f t="shared" si="1766"/>
        <v>4300</v>
      </c>
      <c r="U1379" s="99">
        <f>T1379-M1379</f>
        <v>-1000</v>
      </c>
      <c r="V1379" s="255">
        <f>IF(M1379=0,"N/A",T1379/M1379-1)</f>
        <v>-0.18867924528301883</v>
      </c>
      <c r="W1379" s="102"/>
      <c r="X1379" s="102"/>
      <c r="Y1379" s="102"/>
      <c r="Z1379" s="192"/>
      <c r="AA1379" s="615"/>
      <c r="AB1379" s="307"/>
      <c r="AC1379" s="93"/>
      <c r="AD1379" s="93"/>
      <c r="AE1379" s="93"/>
      <c r="AF1379" s="93"/>
      <c r="AG1379" s="93"/>
      <c r="AH1379" s="307"/>
      <c r="AI1379" s="307"/>
      <c r="AJ1379" s="93"/>
      <c r="AK1379" s="93"/>
      <c r="AL1379" s="93"/>
      <c r="AM1379" s="93"/>
      <c r="AN1379" s="93"/>
      <c r="AO1379" s="192"/>
      <c r="AP1379" s="192"/>
      <c r="AQ1379" s="192"/>
    </row>
    <row r="1380" spans="1:43" s="115" customFormat="1" ht="15" customHeight="1">
      <c r="A1380" s="555"/>
      <c r="B1380" s="217"/>
      <c r="C1380" s="217"/>
      <c r="D1380" s="101"/>
      <c r="E1380" s="217"/>
      <c r="F1380" s="294"/>
      <c r="G1380" s="295"/>
      <c r="H1380" s="98"/>
      <c r="I1380" s="106"/>
      <c r="J1380" s="106"/>
      <c r="K1380" s="106"/>
      <c r="L1380" s="106"/>
      <c r="M1380" s="106"/>
      <c r="N1380" s="112"/>
      <c r="O1380" s="112"/>
      <c r="P1380" s="112"/>
      <c r="Q1380" s="113"/>
      <c r="R1380" s="113"/>
      <c r="S1380" s="113"/>
      <c r="T1380" s="113"/>
      <c r="U1380" s="99"/>
      <c r="V1380" s="255"/>
      <c r="W1380" s="102"/>
      <c r="X1380" s="102"/>
      <c r="Y1380" s="102"/>
      <c r="Z1380" s="192"/>
      <c r="AA1380" s="615"/>
      <c r="AB1380" s="307"/>
      <c r="AC1380" s="300"/>
      <c r="AD1380" s="300"/>
      <c r="AE1380" s="300"/>
      <c r="AF1380" s="300"/>
      <c r="AG1380" s="300"/>
      <c r="AH1380" s="307"/>
      <c r="AI1380" s="307"/>
      <c r="AJ1380" s="300"/>
      <c r="AK1380" s="300"/>
      <c r="AL1380" s="300"/>
      <c r="AM1380" s="300"/>
      <c r="AN1380" s="300"/>
      <c r="AO1380" s="192"/>
      <c r="AP1380" s="192"/>
      <c r="AQ1380" s="192"/>
    </row>
    <row r="1381" spans="1:43" s="115" customFormat="1" ht="15" customHeight="1">
      <c r="A1381" s="555" t="s">
        <v>2854</v>
      </c>
      <c r="B1381" s="217" t="str">
        <f t="shared" si="1706"/>
        <v>100</v>
      </c>
      <c r="C1381" s="217" t="str">
        <f t="shared" si="1707"/>
        <v>50</v>
      </c>
      <c r="D1381" s="101" t="str">
        <f t="shared" si="1708"/>
        <v>502</v>
      </c>
      <c r="E1381" s="217" t="str">
        <f t="shared" si="1709"/>
        <v>100-50-502</v>
      </c>
      <c r="F1381" s="294" t="str">
        <f t="shared" si="1710"/>
        <v>53510</v>
      </c>
      <c r="G1381" s="295" t="str">
        <f>VLOOKUP(F1381,'GL Category'!A:C,3,FALSE)</f>
        <v>Services &amp; other</v>
      </c>
      <c r="H1381" s="98" t="str">
        <f>VLOOKUP(F1381,'GL Category'!A:C,2,FALSE)</f>
        <v>DUES &amp; SUBSCRIPTIONS</v>
      </c>
      <c r="I1381" s="99">
        <f>SUMIF(Import!$B:$B,$A1381,Import!D:D)</f>
        <v>600</v>
      </c>
      <c r="J1381" s="99">
        <f>SUMIF(Import!$B:$B,$A1381,Import!E:E)</f>
        <v>858</v>
      </c>
      <c r="K1381" s="99">
        <f>SUMIF(Import!$B:$B,$A1381,Import!F:F)</f>
        <v>785</v>
      </c>
      <c r="L1381" s="99">
        <f>SUMIF(Import!$B:$B,$A1381,Import!G:G)</f>
        <v>807</v>
      </c>
      <c r="M1381" s="99">
        <f>SUMIF(Import!$B:$B,$A1381,Import!H:H)</f>
        <v>1000</v>
      </c>
      <c r="N1381" s="99">
        <f>SUMIF(Import!$B:$B,$A1381,Import!I:I)</f>
        <v>272</v>
      </c>
      <c r="O1381" s="99">
        <f>SUMIF(Import!$B:$B,$A1381,Import!J:J)</f>
        <v>1000</v>
      </c>
      <c r="P1381" s="99">
        <f t="shared" ref="P1381:P1386" si="1770">O1381-M1381</f>
        <v>0</v>
      </c>
      <c r="Q1381" s="99">
        <f>SUMIF(Import!$B:$B,$A1381,Import!K:K)</f>
        <v>1000</v>
      </c>
      <c r="R1381" s="99">
        <f>SUMIF(Import!$B:$B,$A1381,Import!L:L)</f>
        <v>0</v>
      </c>
      <c r="S1381" s="99">
        <f>SUMIF(Import!$B:$B,$A1381,Import!M:M)</f>
        <v>0</v>
      </c>
      <c r="T1381" s="99">
        <f>SUMIF(Import!$B:$B,$A1381,Import!N:N)</f>
        <v>1000</v>
      </c>
      <c r="U1381" s="99">
        <f t="shared" ref="U1381:U1386" si="1771">T1381-M1381</f>
        <v>0</v>
      </c>
      <c r="V1381" s="255">
        <f t="shared" ref="V1381:V1386" si="1772">IF(M1381=0,"N/A",T1381/M1381-1)</f>
        <v>0</v>
      </c>
      <c r="W1381" s="102" t="s">
        <v>2854</v>
      </c>
      <c r="X1381" s="102"/>
      <c r="Y1381" s="102"/>
      <c r="Z1381" s="192"/>
      <c r="AA1381" s="615"/>
      <c r="AB1381" s="307"/>
      <c r="AC1381" s="93"/>
      <c r="AD1381" s="93"/>
      <c r="AE1381" s="93"/>
      <c r="AF1381" s="93"/>
      <c r="AG1381" s="93"/>
      <c r="AH1381" s="307"/>
      <c r="AI1381" s="307"/>
      <c r="AJ1381" s="93"/>
      <c r="AK1381" s="93"/>
      <c r="AL1381" s="93"/>
      <c r="AM1381" s="93"/>
      <c r="AN1381" s="93"/>
      <c r="AO1381" s="192"/>
      <c r="AP1381" s="192"/>
      <c r="AQ1381" s="192"/>
    </row>
    <row r="1382" spans="1:43" s="115" customFormat="1" ht="15" customHeight="1">
      <c r="A1382" s="555" t="s">
        <v>2855</v>
      </c>
      <c r="B1382" s="217" t="str">
        <f t="shared" si="1706"/>
        <v>100</v>
      </c>
      <c r="C1382" s="217" t="str">
        <f t="shared" si="1707"/>
        <v>50</v>
      </c>
      <c r="D1382" s="101" t="str">
        <f t="shared" si="1708"/>
        <v>502</v>
      </c>
      <c r="E1382" s="217" t="str">
        <f t="shared" si="1709"/>
        <v>100-50-502</v>
      </c>
      <c r="F1382" s="294" t="str">
        <f t="shared" si="1710"/>
        <v>53515</v>
      </c>
      <c r="G1382" s="295" t="str">
        <f>VLOOKUP(F1382,'GL Category'!A:C,3,FALSE)</f>
        <v>Services &amp; other</v>
      </c>
      <c r="H1382" s="98" t="str">
        <f>VLOOKUP(F1382,'GL Category'!A:C,2,FALSE)</f>
        <v>TRAVEL, TRAINING &amp; EDUCATION</v>
      </c>
      <c r="I1382" s="99">
        <f>SUMIF(Import!$B:$B,$A1382,Import!D:D)</f>
        <v>4263.66</v>
      </c>
      <c r="J1382" s="99">
        <f>SUMIF(Import!$B:$B,$A1382,Import!E:E)</f>
        <v>5688.18</v>
      </c>
      <c r="K1382" s="99">
        <f>SUMIF(Import!$B:$B,$A1382,Import!F:F)</f>
        <v>4008.27</v>
      </c>
      <c r="L1382" s="99">
        <f>SUMIF(Import!$B:$B,$A1382,Import!G:G)</f>
        <v>5795.63</v>
      </c>
      <c r="M1382" s="99">
        <f>SUMIF(Import!$B:$B,$A1382,Import!H:H)</f>
        <v>8000</v>
      </c>
      <c r="N1382" s="99">
        <f>SUMIF(Import!$B:$B,$A1382,Import!I:I)</f>
        <v>2774.81</v>
      </c>
      <c r="O1382" s="99">
        <f>SUMIF(Import!$B:$B,$A1382,Import!J:J)</f>
        <v>8000</v>
      </c>
      <c r="P1382" s="99">
        <f t="shared" si="1770"/>
        <v>0</v>
      </c>
      <c r="Q1382" s="99">
        <f>SUMIF(Import!$B:$B,$A1382,Import!K:K)</f>
        <v>8000</v>
      </c>
      <c r="R1382" s="99">
        <f>SUMIF(Import!$B:$B,$A1382,Import!L:L)</f>
        <v>0</v>
      </c>
      <c r="S1382" s="99">
        <f>SUMIF(Import!$B:$B,$A1382,Import!M:M)</f>
        <v>0</v>
      </c>
      <c r="T1382" s="99">
        <f>SUMIF(Import!$B:$B,$A1382,Import!N:N)</f>
        <v>8000</v>
      </c>
      <c r="U1382" s="99">
        <f t="shared" si="1771"/>
        <v>0</v>
      </c>
      <c r="V1382" s="255">
        <f t="shared" si="1772"/>
        <v>0</v>
      </c>
      <c r="W1382" s="102" t="s">
        <v>2855</v>
      </c>
      <c r="X1382" s="102"/>
      <c r="Y1382" s="102"/>
      <c r="Z1382" s="192"/>
      <c r="AA1382" s="615"/>
      <c r="AB1382" s="307"/>
      <c r="AC1382" s="300"/>
      <c r="AD1382" s="300"/>
      <c r="AE1382" s="300"/>
      <c r="AF1382" s="300"/>
      <c r="AG1382" s="300"/>
      <c r="AH1382" s="307"/>
      <c r="AI1382" s="307"/>
      <c r="AJ1382" s="300"/>
      <c r="AK1382" s="300"/>
      <c r="AL1382" s="300"/>
      <c r="AM1382" s="300"/>
      <c r="AN1382" s="300"/>
      <c r="AO1382" s="192"/>
      <c r="AP1382" s="192"/>
      <c r="AQ1382" s="192"/>
    </row>
    <row r="1383" spans="1:43" s="115" customFormat="1" ht="15" customHeight="1">
      <c r="A1383" s="555" t="s">
        <v>2856</v>
      </c>
      <c r="B1383" s="217" t="str">
        <f t="shared" si="1706"/>
        <v>100</v>
      </c>
      <c r="C1383" s="217" t="str">
        <f t="shared" si="1707"/>
        <v>50</v>
      </c>
      <c r="D1383" s="101" t="str">
        <f t="shared" si="1708"/>
        <v>502</v>
      </c>
      <c r="E1383" s="217" t="str">
        <f t="shared" si="1709"/>
        <v>100-50-502</v>
      </c>
      <c r="F1383" s="294" t="str">
        <f t="shared" si="1710"/>
        <v>53543</v>
      </c>
      <c r="G1383" s="295" t="str">
        <f>VLOOKUP(F1383,'GL Category'!A:C,3,FALSE)</f>
        <v>Services &amp; other</v>
      </c>
      <c r="H1383" s="98" t="str">
        <f>VLOOKUP(F1383,'GL Category'!A:C,2,FALSE)</f>
        <v>ENGINEERING/DESIGN SERVICES</v>
      </c>
      <c r="I1383" s="99">
        <f>SUMIF(Import!$B:$B,$A1383,Import!D:D)</f>
        <v>128474.75</v>
      </c>
      <c r="J1383" s="99">
        <f>SUMIF(Import!$B:$B,$A1383,Import!E:E)</f>
        <v>181416.88</v>
      </c>
      <c r="K1383" s="99">
        <f>SUMIF(Import!$B:$B,$A1383,Import!F:F)</f>
        <v>197500.76</v>
      </c>
      <c r="L1383" s="99">
        <f>SUMIF(Import!$B:$B,$A1383,Import!G:G)</f>
        <v>406500.32</v>
      </c>
      <c r="M1383" s="99">
        <f>SUMIF(Import!$B:$B,$A1383,Import!H:H)</f>
        <v>296500</v>
      </c>
      <c r="N1383" s="99">
        <f>SUMIF(Import!$B:$B,$A1383,Import!I:I)</f>
        <v>155001.99</v>
      </c>
      <c r="O1383" s="99">
        <f>SUMIF(Import!$B:$B,$A1383,Import!J:J)</f>
        <v>296500</v>
      </c>
      <c r="P1383" s="99">
        <f t="shared" si="1770"/>
        <v>0</v>
      </c>
      <c r="Q1383" s="99">
        <f>SUMIF(Import!$B:$B,$A1383,Import!K:K)</f>
        <v>96500</v>
      </c>
      <c r="R1383" s="99">
        <f>SUMIF(Import!$B:$B,$A1383,Import!L:L)</f>
        <v>200000</v>
      </c>
      <c r="S1383" s="99">
        <f>SUMIF(Import!$B:$B,$A1383,Import!M:M)</f>
        <v>0</v>
      </c>
      <c r="T1383" s="99">
        <f>SUMIF(Import!$B:$B,$A1383,Import!N:N)</f>
        <v>296500</v>
      </c>
      <c r="U1383" s="99">
        <f t="shared" si="1771"/>
        <v>0</v>
      </c>
      <c r="V1383" s="255">
        <f t="shared" si="1772"/>
        <v>0</v>
      </c>
      <c r="W1383" s="102" t="s">
        <v>2856</v>
      </c>
      <c r="X1383" s="102"/>
      <c r="Y1383" s="102"/>
      <c r="Z1383" s="192"/>
      <c r="AA1383" s="615"/>
      <c r="AB1383" s="307"/>
      <c r="AC1383" s="300"/>
      <c r="AD1383" s="300"/>
      <c r="AE1383" s="300"/>
      <c r="AF1383" s="300"/>
      <c r="AG1383" s="300"/>
      <c r="AH1383" s="307"/>
      <c r="AI1383" s="307"/>
      <c r="AJ1383" s="300"/>
      <c r="AK1383" s="300"/>
      <c r="AL1383" s="300"/>
      <c r="AM1383" s="300"/>
      <c r="AN1383" s="300"/>
      <c r="AO1383" s="192"/>
      <c r="AP1383" s="192"/>
      <c r="AQ1383" s="192"/>
    </row>
    <row r="1384" spans="1:43" s="115" customFormat="1" ht="15" customHeight="1">
      <c r="A1384" s="555" t="s">
        <v>2853</v>
      </c>
      <c r="B1384" s="217" t="str">
        <f t="shared" si="1706"/>
        <v>100</v>
      </c>
      <c r="C1384" s="217" t="str">
        <f t="shared" si="1707"/>
        <v>50</v>
      </c>
      <c r="D1384" s="101" t="str">
        <f t="shared" si="1708"/>
        <v>502</v>
      </c>
      <c r="E1384" s="217" t="str">
        <f t="shared" si="1709"/>
        <v>100-50-502</v>
      </c>
      <c r="F1384" s="294" t="str">
        <f t="shared" si="1710"/>
        <v>53599</v>
      </c>
      <c r="G1384" s="295" t="str">
        <f>VLOOKUP(F1384,'GL Category'!A:C,3,FALSE)</f>
        <v>Services &amp; other</v>
      </c>
      <c r="H1384" s="98" t="str">
        <f>VLOOKUP(F1384,'GL Category'!A:C,2,FALSE)</f>
        <v>MISCELLANEOUS SERVICES</v>
      </c>
      <c r="I1384" s="99">
        <f>SUMIF(Import!$B:$B,$A1384,Import!D:D)</f>
        <v>0</v>
      </c>
      <c r="J1384" s="99">
        <f>SUMIF(Import!$B:$B,$A1384,Import!E:E)</f>
        <v>0</v>
      </c>
      <c r="K1384" s="99">
        <f>SUMIF(Import!$B:$B,$A1384,Import!F:F)</f>
        <v>0</v>
      </c>
      <c r="L1384" s="99">
        <f>SUMIF(Import!$B:$B,$A1384,Import!G:G)</f>
        <v>0</v>
      </c>
      <c r="M1384" s="99">
        <f>SUMIF(Import!$B:$B,$A1384,Import!H:H)</f>
        <v>0</v>
      </c>
      <c r="N1384" s="99">
        <f>SUMIF(Import!$B:$B,$A1384,Import!I:I)</f>
        <v>0</v>
      </c>
      <c r="O1384" s="99">
        <f>SUMIF(Import!$B:$B,$A1384,Import!J:J)</f>
        <v>0</v>
      </c>
      <c r="P1384" s="99">
        <f t="shared" si="1770"/>
        <v>0</v>
      </c>
      <c r="Q1384" s="99">
        <f>SUMIF(Import!$B:$B,$A1384,Import!K:K)</f>
        <v>0</v>
      </c>
      <c r="R1384" s="99">
        <f>SUMIF(Import!$B:$B,$A1384,Import!L:L)</f>
        <v>0</v>
      </c>
      <c r="S1384" s="99">
        <f>SUMIF(Import!$B:$B,$A1384,Import!M:M)</f>
        <v>0</v>
      </c>
      <c r="T1384" s="99">
        <f>SUMIF(Import!$B:$B,$A1384,Import!N:N)</f>
        <v>0</v>
      </c>
      <c r="U1384" s="99">
        <f t="shared" si="1771"/>
        <v>0</v>
      </c>
      <c r="V1384" s="255" t="str">
        <f t="shared" si="1772"/>
        <v>N/A</v>
      </c>
      <c r="W1384" s="102" t="s">
        <v>2853</v>
      </c>
      <c r="X1384" s="102"/>
      <c r="Y1384" s="102"/>
      <c r="Z1384" s="192"/>
      <c r="AA1384" s="615"/>
      <c r="AB1384" s="307"/>
      <c r="AC1384" s="300"/>
      <c r="AD1384" s="300"/>
      <c r="AE1384" s="300"/>
      <c r="AF1384" s="300"/>
      <c r="AG1384" s="300"/>
      <c r="AH1384" s="307"/>
      <c r="AI1384" s="307"/>
      <c r="AJ1384" s="300"/>
      <c r="AK1384" s="300"/>
      <c r="AL1384" s="300"/>
      <c r="AM1384" s="300"/>
      <c r="AN1384" s="300"/>
      <c r="AO1384" s="192"/>
      <c r="AP1384" s="192"/>
      <c r="AQ1384" s="192"/>
    </row>
    <row r="1385" spans="1:43" s="115" customFormat="1" ht="15" customHeight="1">
      <c r="A1385" s="555" t="s">
        <v>2857</v>
      </c>
      <c r="B1385" s="217" t="str">
        <f t="shared" si="1706"/>
        <v>100</v>
      </c>
      <c r="C1385" s="217" t="str">
        <f t="shared" si="1707"/>
        <v>50</v>
      </c>
      <c r="D1385" s="101" t="str">
        <f t="shared" si="1708"/>
        <v>502</v>
      </c>
      <c r="E1385" s="217" t="str">
        <f t="shared" si="1709"/>
        <v>100-50-502</v>
      </c>
      <c r="F1385" s="294" t="str">
        <f t="shared" si="1710"/>
        <v>55175</v>
      </c>
      <c r="G1385" s="295" t="str">
        <f>VLOOKUP(F1385,'GL Category'!A:C,3,FALSE)</f>
        <v>Services &amp; other</v>
      </c>
      <c r="H1385" s="98" t="str">
        <f>VLOOKUP(F1385,'GL Category'!A:C,2,FALSE)</f>
        <v>VEHICLE/EQUIP LEASE EXP-CITY</v>
      </c>
      <c r="I1385" s="99">
        <f>SUMIF(Import!$B:$B,$A1385,Import!D:D)</f>
        <v>845</v>
      </c>
      <c r="J1385" s="99">
        <f>SUMIF(Import!$B:$B,$A1385,Import!E:E)</f>
        <v>5249</v>
      </c>
      <c r="K1385" s="99">
        <f>SUMIF(Import!$B:$B,$A1385,Import!F:F)</f>
        <v>6170</v>
      </c>
      <c r="L1385" s="99">
        <f>SUMIF(Import!$B:$B,$A1385,Import!G:G)</f>
        <v>7936</v>
      </c>
      <c r="M1385" s="99">
        <f>SUMIF(Import!$B:$B,$A1385,Import!H:H)</f>
        <v>7076</v>
      </c>
      <c r="N1385" s="99">
        <f>SUMIF(Import!$B:$B,$A1385,Import!I:I)</f>
        <v>5307</v>
      </c>
      <c r="O1385" s="99">
        <f>SUMIF(Import!$B:$B,$A1385,Import!J:J)</f>
        <v>7076</v>
      </c>
      <c r="P1385" s="99">
        <f t="shared" si="1770"/>
        <v>0</v>
      </c>
      <c r="Q1385" s="99">
        <f>SUMIF(Import!$B:$B,$A1385,Import!K:K)</f>
        <v>7076</v>
      </c>
      <c r="R1385" s="99">
        <f>SUMIF(Import!$B:$B,$A1385,Import!L:L)</f>
        <v>0</v>
      </c>
      <c r="S1385" s="99">
        <f>SUMIF(Import!$B:$B,$A1385,Import!M:M)</f>
        <v>0</v>
      </c>
      <c r="T1385" s="99">
        <f>SUMIF(Import!$B:$B,$A1385,Import!N:N)</f>
        <v>7076</v>
      </c>
      <c r="U1385" s="99">
        <f t="shared" si="1771"/>
        <v>0</v>
      </c>
      <c r="V1385" s="255">
        <f t="shared" si="1772"/>
        <v>0</v>
      </c>
      <c r="W1385" s="102" t="s">
        <v>2857</v>
      </c>
      <c r="X1385" s="102"/>
      <c r="Y1385" s="102"/>
      <c r="Z1385" s="192"/>
      <c r="AA1385" s="615"/>
      <c r="AB1385" s="307"/>
      <c r="AC1385" s="300"/>
      <c r="AD1385" s="300"/>
      <c r="AE1385" s="300"/>
      <c r="AF1385" s="300"/>
      <c r="AG1385" s="300"/>
      <c r="AH1385" s="307"/>
      <c r="AI1385" s="307"/>
      <c r="AJ1385" s="300"/>
      <c r="AK1385" s="300"/>
      <c r="AL1385" s="300"/>
      <c r="AM1385" s="300"/>
      <c r="AN1385" s="300"/>
      <c r="AO1385" s="192"/>
      <c r="AP1385" s="192"/>
      <c r="AQ1385" s="192"/>
    </row>
    <row r="1386" spans="1:43" s="115" customFormat="1" ht="15" customHeight="1">
      <c r="A1386" s="555" t="s">
        <v>2858</v>
      </c>
      <c r="B1386" s="217" t="str">
        <f t="shared" si="1706"/>
        <v>100</v>
      </c>
      <c r="C1386" s="217" t="str">
        <f t="shared" si="1707"/>
        <v>50</v>
      </c>
      <c r="D1386" s="101" t="str">
        <f t="shared" si="1708"/>
        <v>502</v>
      </c>
      <c r="E1386" s="217" t="str">
        <f t="shared" si="1709"/>
        <v>100-50-502</v>
      </c>
      <c r="F1386" s="294" t="str">
        <f t="shared" si="1710"/>
        <v>55119</v>
      </c>
      <c r="G1386" s="295" t="str">
        <f>VLOOKUP(F1386,'GL Category'!A:C,3,FALSE)</f>
        <v>Services &amp; other</v>
      </c>
      <c r="H1386" s="98" t="str">
        <f>VLOOKUP(F1386,'GL Category'!A:C,2,FALSE)</f>
        <v>OFFICE EQUIP LEASE EXP-CITY</v>
      </c>
      <c r="I1386" s="99">
        <f>SUMIF(Import!$B:$B,$A1386,Import!D:D)</f>
        <v>20731</v>
      </c>
      <c r="J1386" s="99">
        <f>SUMIF(Import!$B:$B,$A1386,Import!E:E)</f>
        <v>23343</v>
      </c>
      <c r="K1386" s="99">
        <f>SUMIF(Import!$B:$B,$A1386,Import!F:F)</f>
        <v>23566</v>
      </c>
      <c r="L1386" s="99">
        <f>SUMIF(Import!$B:$B,$A1386,Import!G:G)</f>
        <v>23883</v>
      </c>
      <c r="M1386" s="99">
        <f>SUMIF(Import!$B:$B,$A1386,Import!H:H)</f>
        <v>24880</v>
      </c>
      <c r="N1386" s="99">
        <f>SUMIF(Import!$B:$B,$A1386,Import!I:I)</f>
        <v>18660</v>
      </c>
      <c r="O1386" s="99">
        <f>SUMIF(Import!$B:$B,$A1386,Import!J:J)</f>
        <v>24880</v>
      </c>
      <c r="P1386" s="99">
        <f t="shared" si="1770"/>
        <v>0</v>
      </c>
      <c r="Q1386" s="99">
        <f>SUMIF(Import!$B:$B,$A1386,Import!K:K)</f>
        <v>30953</v>
      </c>
      <c r="R1386" s="99">
        <f>SUMIF(Import!$B:$B,$A1386,Import!L:L)</f>
        <v>0</v>
      </c>
      <c r="S1386" s="99">
        <f>SUMIF(Import!$B:$B,$A1386,Import!M:M)</f>
        <v>0</v>
      </c>
      <c r="T1386" s="99">
        <f>SUMIF(Import!$B:$B,$A1386,Import!N:N)</f>
        <v>30953</v>
      </c>
      <c r="U1386" s="99">
        <f t="shared" si="1771"/>
        <v>6073</v>
      </c>
      <c r="V1386" s="255">
        <f t="shared" si="1772"/>
        <v>0.2440916398713826</v>
      </c>
      <c r="W1386" s="102" t="s">
        <v>2858</v>
      </c>
      <c r="X1386" s="102"/>
      <c r="Y1386" s="102"/>
      <c r="Z1386" s="192"/>
      <c r="AA1386" s="615"/>
      <c r="AB1386" s="307"/>
      <c r="AC1386" s="300"/>
      <c r="AD1386" s="300"/>
      <c r="AE1386" s="300"/>
      <c r="AF1386" s="300"/>
      <c r="AG1386" s="300"/>
      <c r="AH1386" s="307"/>
      <c r="AI1386" s="307"/>
      <c r="AJ1386" s="300"/>
      <c r="AK1386" s="300"/>
      <c r="AL1386" s="300"/>
      <c r="AM1386" s="300"/>
      <c r="AN1386" s="300"/>
      <c r="AO1386" s="192"/>
      <c r="AP1386" s="192"/>
      <c r="AQ1386" s="192"/>
    </row>
    <row r="1387" spans="1:43" s="115" customFormat="1" ht="15" customHeight="1">
      <c r="A1387" s="555"/>
      <c r="B1387" s="217"/>
      <c r="C1387" s="217"/>
      <c r="D1387" s="101"/>
      <c r="E1387" s="217"/>
      <c r="F1387" s="294"/>
      <c r="G1387" s="295"/>
      <c r="H1387" s="107" t="str">
        <f>UPPER(G1386)&amp;" TOTAL"</f>
        <v>SERVICES &amp; OTHER TOTAL</v>
      </c>
      <c r="I1387" s="109">
        <f t="shared" ref="I1387" si="1773">SUBTOTAL(9,I1381:I1386)</f>
        <v>154914.41</v>
      </c>
      <c r="J1387" s="109">
        <f t="shared" ref="J1387:T1387" si="1774">SUBTOTAL(9,J1381:J1386)</f>
        <v>216555.06</v>
      </c>
      <c r="K1387" s="109">
        <f t="shared" ref="K1387" si="1775">SUBTOTAL(9,K1381:K1386)</f>
        <v>232030.03</v>
      </c>
      <c r="L1387" s="109">
        <f t="shared" ref="L1387" si="1776">SUBTOTAL(9,L1381:L1386)</f>
        <v>444921.95</v>
      </c>
      <c r="M1387" s="109">
        <f t="shared" si="1774"/>
        <v>337456</v>
      </c>
      <c r="N1387" s="109">
        <f t="shared" ref="N1387" si="1777">SUBTOTAL(9,N1381:N1386)</f>
        <v>182015.8</v>
      </c>
      <c r="O1387" s="109">
        <f t="shared" si="1774"/>
        <v>337456</v>
      </c>
      <c r="P1387" s="109">
        <f t="shared" si="1774"/>
        <v>0</v>
      </c>
      <c r="Q1387" s="109">
        <f t="shared" si="1774"/>
        <v>143529</v>
      </c>
      <c r="R1387" s="109">
        <f t="shared" si="1774"/>
        <v>200000</v>
      </c>
      <c r="S1387" s="109">
        <f t="shared" si="1774"/>
        <v>0</v>
      </c>
      <c r="T1387" s="109">
        <f t="shared" si="1774"/>
        <v>343529</v>
      </c>
      <c r="U1387" s="99">
        <f>T1387-M1387</f>
        <v>6073</v>
      </c>
      <c r="V1387" s="255">
        <f>IF(M1387=0,"N/A",T1387/M1387-1)</f>
        <v>1.7996420274050573E-2</v>
      </c>
      <c r="W1387" s="102"/>
      <c r="X1387" s="102"/>
      <c r="Y1387" s="102"/>
      <c r="Z1387" s="192"/>
      <c r="AA1387" s="615"/>
      <c r="AB1387" s="307"/>
      <c r="AC1387" s="300"/>
      <c r="AD1387" s="300"/>
      <c r="AE1387" s="300"/>
      <c r="AF1387" s="300"/>
      <c r="AG1387" s="300"/>
      <c r="AH1387" s="307"/>
      <c r="AI1387" s="307"/>
      <c r="AJ1387" s="300"/>
      <c r="AK1387" s="300"/>
      <c r="AL1387" s="300"/>
      <c r="AM1387" s="300"/>
      <c r="AN1387" s="300"/>
      <c r="AO1387" s="192"/>
      <c r="AP1387" s="192"/>
      <c r="AQ1387" s="192"/>
    </row>
    <row r="1388" spans="1:43" s="115" customFormat="1" ht="15" customHeight="1">
      <c r="A1388" s="555"/>
      <c r="B1388" s="217"/>
      <c r="C1388" s="217"/>
      <c r="D1388" s="101"/>
      <c r="E1388" s="217"/>
      <c r="F1388" s="294"/>
      <c r="G1388" s="295"/>
      <c r="H1388" s="98"/>
      <c r="I1388" s="106"/>
      <c r="J1388" s="106"/>
      <c r="K1388" s="106"/>
      <c r="L1388" s="106"/>
      <c r="M1388" s="106"/>
      <c r="N1388" s="112"/>
      <c r="O1388" s="112"/>
      <c r="P1388" s="112"/>
      <c r="Q1388" s="113"/>
      <c r="R1388" s="113"/>
      <c r="S1388" s="113"/>
      <c r="T1388" s="113"/>
      <c r="U1388" s="99"/>
      <c r="V1388" s="255"/>
      <c r="W1388" s="102"/>
      <c r="X1388" s="102"/>
      <c r="Y1388" s="102"/>
      <c r="Z1388" s="192"/>
      <c r="AA1388" s="615"/>
      <c r="AB1388" s="307"/>
      <c r="AC1388" s="300"/>
      <c r="AD1388" s="300"/>
      <c r="AE1388" s="300"/>
      <c r="AF1388" s="300"/>
      <c r="AG1388" s="300"/>
      <c r="AH1388" s="307"/>
      <c r="AI1388" s="307"/>
      <c r="AJ1388" s="300"/>
      <c r="AK1388" s="300"/>
      <c r="AL1388" s="300"/>
      <c r="AM1388" s="300"/>
      <c r="AN1388" s="300"/>
      <c r="AO1388" s="192"/>
      <c r="AP1388" s="192"/>
      <c r="AQ1388" s="192"/>
    </row>
    <row r="1389" spans="1:43" s="115" customFormat="1" ht="15" customHeight="1">
      <c r="A1389" s="555" t="s">
        <v>2859</v>
      </c>
      <c r="B1389" s="217" t="str">
        <f t="shared" si="1706"/>
        <v>100</v>
      </c>
      <c r="C1389" s="217" t="str">
        <f t="shared" si="1707"/>
        <v>50</v>
      </c>
      <c r="D1389" s="101" t="str">
        <f t="shared" si="1708"/>
        <v>502</v>
      </c>
      <c r="E1389" s="217" t="str">
        <f t="shared" si="1709"/>
        <v>100-50-502</v>
      </c>
      <c r="F1389" s="294" t="str">
        <f t="shared" si="1710"/>
        <v>58840</v>
      </c>
      <c r="G1389" s="295" t="str">
        <f>VLOOKUP(F1389,'GL Category'!A:C,3,FALSE)</f>
        <v>Capital Outlay</v>
      </c>
      <c r="H1389" s="98" t="str">
        <f>VLOOKUP(F1389,'GL Category'!A:C,2,FALSE)</f>
        <v>MOTOR VEHICLES</v>
      </c>
      <c r="I1389" s="99">
        <f>SUMIF(Import!$B:$B,$A1389,Import!D:D)</f>
        <v>0</v>
      </c>
      <c r="J1389" s="99">
        <f>SUMIF(Import!$B:$B,$A1389,Import!E:E)</f>
        <v>0</v>
      </c>
      <c r="K1389" s="99">
        <f>SUMIF(Import!$B:$B,$A1389,Import!F:F)</f>
        <v>0</v>
      </c>
      <c r="L1389" s="99">
        <f>SUMIF(Import!$B:$B,$A1389,Import!G:G)</f>
        <v>0</v>
      </c>
      <c r="M1389" s="99">
        <f>SUMIF(Import!$B:$B,$A1389,Import!H:H)</f>
        <v>0</v>
      </c>
      <c r="N1389" s="99">
        <f>SUMIF(Import!$B:$B,$A1389,Import!I:I)</f>
        <v>0</v>
      </c>
      <c r="O1389" s="99">
        <f>SUMIF(Import!$B:$B,$A1389,Import!J:J)</f>
        <v>0</v>
      </c>
      <c r="P1389" s="99">
        <f t="shared" ref="P1389" si="1778">O1389-M1389</f>
        <v>0</v>
      </c>
      <c r="Q1389" s="99">
        <f>SUMIF(Import!$B:$B,$A1389,Import!K:K)</f>
        <v>0</v>
      </c>
      <c r="R1389" s="99">
        <f>SUMIF(Import!$B:$B,$A1389,Import!L:L)</f>
        <v>0</v>
      </c>
      <c r="S1389" s="99">
        <f>SUMIF(Import!$B:$B,$A1389,Import!M:M)</f>
        <v>0</v>
      </c>
      <c r="T1389" s="99">
        <f>SUMIF(Import!$B:$B,$A1389,Import!N:N)</f>
        <v>0</v>
      </c>
      <c r="U1389" s="99">
        <f t="shared" ref="U1389" si="1779">T1389-M1389</f>
        <v>0</v>
      </c>
      <c r="V1389" s="255" t="str">
        <f t="shared" ref="V1389" si="1780">IF(M1389=0,"N/A",T1389/M1389-1)</f>
        <v>N/A</v>
      </c>
      <c r="W1389" s="102" t="s">
        <v>2859</v>
      </c>
      <c r="X1389" s="102"/>
      <c r="Y1389" s="102"/>
      <c r="Z1389" s="192"/>
      <c r="AA1389" s="615"/>
      <c r="AB1389" s="307"/>
      <c r="AC1389" s="300"/>
      <c r="AD1389" s="300"/>
      <c r="AE1389" s="300"/>
      <c r="AF1389" s="300"/>
      <c r="AG1389" s="300"/>
      <c r="AH1389" s="307"/>
      <c r="AI1389" s="307"/>
      <c r="AJ1389" s="300"/>
      <c r="AK1389" s="300"/>
      <c r="AL1389" s="300"/>
      <c r="AM1389" s="300"/>
      <c r="AN1389" s="300"/>
      <c r="AO1389" s="192"/>
      <c r="AP1389" s="192"/>
      <c r="AQ1389" s="192"/>
    </row>
    <row r="1390" spans="1:43" ht="15" customHeight="1">
      <c r="A1390" s="555"/>
      <c r="B1390" s="217"/>
      <c r="C1390" s="217"/>
      <c r="D1390" s="101"/>
      <c r="E1390" s="217"/>
      <c r="F1390" s="294"/>
      <c r="G1390" s="295"/>
      <c r="H1390" s="107" t="str">
        <f>UPPER(G1389)&amp;" TOTAL"</f>
        <v>CAPITAL OUTLAY TOTAL</v>
      </c>
      <c r="I1390" s="109">
        <f t="shared" ref="I1390" si="1781">SUBTOTAL(9,I1389)</f>
        <v>0</v>
      </c>
      <c r="J1390" s="109">
        <f t="shared" ref="J1390:T1390" si="1782">SUBTOTAL(9,J1389)</f>
        <v>0</v>
      </c>
      <c r="K1390" s="109">
        <f t="shared" ref="K1390" si="1783">SUBTOTAL(9,K1389)</f>
        <v>0</v>
      </c>
      <c r="L1390" s="109">
        <f t="shared" ref="L1390" si="1784">SUBTOTAL(9,L1389)</f>
        <v>0</v>
      </c>
      <c r="M1390" s="109">
        <f t="shared" si="1782"/>
        <v>0</v>
      </c>
      <c r="N1390" s="109">
        <f t="shared" ref="N1390" si="1785">SUBTOTAL(9,N1389)</f>
        <v>0</v>
      </c>
      <c r="O1390" s="109">
        <f t="shared" si="1782"/>
        <v>0</v>
      </c>
      <c r="P1390" s="109">
        <f t="shared" si="1782"/>
        <v>0</v>
      </c>
      <c r="Q1390" s="109">
        <f t="shared" si="1782"/>
        <v>0</v>
      </c>
      <c r="R1390" s="109">
        <f t="shared" si="1782"/>
        <v>0</v>
      </c>
      <c r="S1390" s="109">
        <f t="shared" si="1782"/>
        <v>0</v>
      </c>
      <c r="T1390" s="109">
        <f t="shared" si="1782"/>
        <v>0</v>
      </c>
      <c r="U1390" s="99">
        <f>T1390-M1390</f>
        <v>0</v>
      </c>
      <c r="V1390" s="255" t="str">
        <f>IF(M1390=0,"N/A",T1390/M1390-1)</f>
        <v>N/A</v>
      </c>
      <c r="W1390" s="102"/>
      <c r="X1390" s="102"/>
      <c r="Y1390" s="102"/>
      <c r="AA1390" s="615"/>
      <c r="AC1390" s="300"/>
      <c r="AD1390" s="300"/>
      <c r="AE1390" s="300"/>
      <c r="AF1390" s="300"/>
      <c r="AG1390" s="300"/>
      <c r="AJ1390" s="300"/>
      <c r="AK1390" s="300"/>
      <c r="AL1390" s="300"/>
      <c r="AM1390" s="300"/>
      <c r="AN1390" s="300"/>
    </row>
    <row r="1391" spans="1:43" ht="15" customHeight="1">
      <c r="A1391" s="555"/>
      <c r="B1391" s="217"/>
      <c r="C1391" s="217"/>
      <c r="D1391" s="101"/>
      <c r="E1391" s="217"/>
      <c r="F1391" s="294"/>
      <c r="G1391" s="295"/>
      <c r="H1391" s="98"/>
      <c r="I1391" s="106"/>
      <c r="J1391" s="106"/>
      <c r="K1391" s="106"/>
      <c r="L1391" s="106"/>
      <c r="M1391" s="106"/>
      <c r="N1391" s="106"/>
      <c r="O1391" s="106"/>
      <c r="P1391" s="106"/>
      <c r="Q1391" s="106"/>
      <c r="R1391" s="106"/>
      <c r="S1391" s="106"/>
      <c r="T1391" s="106"/>
      <c r="U1391" s="99"/>
      <c r="V1391" s="255"/>
      <c r="W1391" s="102"/>
      <c r="X1391" s="102"/>
      <c r="Y1391" s="102"/>
      <c r="AA1391" s="615"/>
      <c r="AC1391" s="300"/>
      <c r="AD1391" s="300"/>
      <c r="AE1391" s="300"/>
      <c r="AF1391" s="300"/>
      <c r="AG1391" s="300"/>
      <c r="AJ1391" s="300"/>
      <c r="AK1391" s="300"/>
      <c r="AL1391" s="300"/>
      <c r="AM1391" s="300"/>
      <c r="AN1391" s="300"/>
    </row>
    <row r="1392" spans="1:43" s="115" customFormat="1" ht="29.4" customHeight="1">
      <c r="A1392" s="555" t="s">
        <v>2860</v>
      </c>
      <c r="B1392" s="217" t="str">
        <f t="shared" ref="B1392:B1441" si="1786">LEFT(A1392,3)</f>
        <v>100</v>
      </c>
      <c r="C1392" s="217" t="str">
        <f t="shared" ref="C1392:C1441" si="1787">MID(A1392,5,2)</f>
        <v>50</v>
      </c>
      <c r="D1392" s="101" t="str">
        <f t="shared" ref="D1392:D1441" si="1788">MID(A1392,8,3)</f>
        <v>502</v>
      </c>
      <c r="E1392" s="217" t="str">
        <f t="shared" ref="E1392:E1441" si="1789">LEFT(A1392,10)</f>
        <v>100-50-502</v>
      </c>
      <c r="F1392" s="294" t="str">
        <f t="shared" ref="F1392:F1441" si="1790">RIGHT(A1392,5)</f>
        <v>59170</v>
      </c>
      <c r="G1392" s="295" t="str">
        <f>VLOOKUP(F1392,'GL Category'!A:C,3,FALSE)</f>
        <v>Transfers to other funds</v>
      </c>
      <c r="H1392" s="98" t="str">
        <f>VLOOKUP(F1392,'GL Category'!A:C,2,FALSE)</f>
        <v>TRANSFER TO CIP-STREET IMPROVE</v>
      </c>
      <c r="I1392" s="99">
        <f>SUMIF(Import!$B:$B,$A1392,Import!D:D)</f>
        <v>0</v>
      </c>
      <c r="J1392" s="99">
        <f>SUMIF(Import!$B:$B,$A1392,Import!E:E)</f>
        <v>0</v>
      </c>
      <c r="K1392" s="99">
        <f>SUMIF(Import!$B:$B,$A1392,Import!F:F)</f>
        <v>0</v>
      </c>
      <c r="L1392" s="99">
        <f>SUMIF(Import!$B:$B,$A1392,Import!G:G)</f>
        <v>0</v>
      </c>
      <c r="M1392" s="99">
        <f>SUMIF(Import!$B:$B,$A1392,Import!H:H)</f>
        <v>0</v>
      </c>
      <c r="N1392" s="99">
        <f>SUMIF(Import!$B:$B,$A1392,Import!I:I)</f>
        <v>0</v>
      </c>
      <c r="O1392" s="99">
        <f>SUMIF(Import!$B:$B,$A1392,Import!J:J)</f>
        <v>0</v>
      </c>
      <c r="P1392" s="99">
        <f t="shared" ref="P1392:P1393" si="1791">O1392-M1392</f>
        <v>0</v>
      </c>
      <c r="Q1392" s="99">
        <f>SUMIF(Import!$B:$B,$A1392,Import!K:K)</f>
        <v>0</v>
      </c>
      <c r="R1392" s="99">
        <f>SUMIF(Import!$B:$B,$A1392,Import!L:L)</f>
        <v>0</v>
      </c>
      <c r="S1392" s="99">
        <f>SUMIF(Import!$B:$B,$A1392,Import!M:M)</f>
        <v>0</v>
      </c>
      <c r="T1392" s="99">
        <f>SUMIF(Import!$B:$B,$A1392,Import!N:N)</f>
        <v>0</v>
      </c>
      <c r="U1392" s="99">
        <f t="shared" ref="U1392:U1393" si="1792">T1392-M1392</f>
        <v>0</v>
      </c>
      <c r="V1392" s="255" t="str">
        <f t="shared" ref="V1392:V1393" si="1793">IF(M1392=0,"N/A",T1392/M1392-1)</f>
        <v>N/A</v>
      </c>
      <c r="W1392" s="102" t="s">
        <v>2860</v>
      </c>
      <c r="X1392" s="102"/>
      <c r="Y1392" s="102"/>
      <c r="Z1392" s="192"/>
      <c r="AA1392" s="615"/>
      <c r="AB1392" s="307"/>
      <c r="AC1392" s="300"/>
      <c r="AD1392" s="300"/>
      <c r="AE1392" s="300"/>
      <c r="AF1392" s="300"/>
      <c r="AG1392" s="300"/>
      <c r="AH1392" s="307"/>
      <c r="AI1392" s="307"/>
      <c r="AJ1392" s="300"/>
      <c r="AK1392" s="300"/>
      <c r="AL1392" s="300"/>
      <c r="AM1392" s="300"/>
      <c r="AN1392" s="300"/>
      <c r="AO1392" s="192"/>
      <c r="AP1392" s="192"/>
      <c r="AQ1392" s="192"/>
    </row>
    <row r="1393" spans="1:44" s="115" customFormat="1" ht="15" customHeight="1">
      <c r="A1393" s="555" t="s">
        <v>2861</v>
      </c>
      <c r="B1393" s="217" t="str">
        <f t="shared" si="1786"/>
        <v>100</v>
      </c>
      <c r="C1393" s="217" t="str">
        <f t="shared" si="1787"/>
        <v>50</v>
      </c>
      <c r="D1393" s="101" t="str">
        <f t="shared" si="1788"/>
        <v>502</v>
      </c>
      <c r="E1393" s="217" t="str">
        <f t="shared" si="1789"/>
        <v>100-50-502</v>
      </c>
      <c r="F1393" s="294" t="str">
        <f t="shared" si="1790"/>
        <v>59406</v>
      </c>
      <c r="G1393" s="295" t="str">
        <f>VLOOKUP(F1393,'GL Category'!A:C,3,FALSE)</f>
        <v>Transfers to other funds</v>
      </c>
      <c r="H1393" s="98" t="str">
        <f>VLOOKUP(F1393,'GL Category'!A:C,2,FALSE)</f>
        <v>TRANSFER TO CIP-DRAINAGE</v>
      </c>
      <c r="I1393" s="99">
        <f>SUMIF(Import!$B:$B,$A1393,Import!D:D)</f>
        <v>0</v>
      </c>
      <c r="J1393" s="99">
        <f>SUMIF(Import!$B:$B,$A1393,Import!E:E)</f>
        <v>0</v>
      </c>
      <c r="K1393" s="99">
        <f>SUMIF(Import!$B:$B,$A1393,Import!F:F)</f>
        <v>0</v>
      </c>
      <c r="L1393" s="99">
        <f>SUMIF(Import!$B:$B,$A1393,Import!G:G)</f>
        <v>0</v>
      </c>
      <c r="M1393" s="99">
        <f>SUMIF(Import!$B:$B,$A1393,Import!H:H)</f>
        <v>0</v>
      </c>
      <c r="N1393" s="99">
        <f>SUMIF(Import!$B:$B,$A1393,Import!I:I)</f>
        <v>0</v>
      </c>
      <c r="O1393" s="99">
        <f>SUMIF(Import!$B:$B,$A1393,Import!J:J)</f>
        <v>0</v>
      </c>
      <c r="P1393" s="99">
        <f t="shared" si="1791"/>
        <v>0</v>
      </c>
      <c r="Q1393" s="99">
        <f>SUMIF(Import!$B:$B,$A1393,Import!K:K)</f>
        <v>0</v>
      </c>
      <c r="R1393" s="99">
        <f>SUMIF(Import!$B:$B,$A1393,Import!L:L)</f>
        <v>0</v>
      </c>
      <c r="S1393" s="99">
        <f>SUMIF(Import!$B:$B,$A1393,Import!M:M)</f>
        <v>0</v>
      </c>
      <c r="T1393" s="99">
        <f>SUMIF(Import!$B:$B,$A1393,Import!N:N)</f>
        <v>0</v>
      </c>
      <c r="U1393" s="99">
        <f t="shared" si="1792"/>
        <v>0</v>
      </c>
      <c r="V1393" s="255" t="str">
        <f t="shared" si="1793"/>
        <v>N/A</v>
      </c>
      <c r="W1393" s="102" t="s">
        <v>2861</v>
      </c>
      <c r="X1393" s="102"/>
      <c r="Y1393" s="102"/>
      <c r="Z1393" s="192"/>
      <c r="AA1393" s="615"/>
      <c r="AB1393" s="307"/>
      <c r="AC1393" s="300"/>
      <c r="AD1393" s="300"/>
      <c r="AE1393" s="300"/>
      <c r="AF1393" s="300"/>
      <c r="AG1393" s="300"/>
      <c r="AH1393" s="307"/>
      <c r="AI1393" s="307"/>
      <c r="AJ1393" s="300"/>
      <c r="AK1393" s="300"/>
      <c r="AL1393" s="300"/>
      <c r="AM1393" s="300"/>
      <c r="AN1393" s="300"/>
      <c r="AO1393" s="192"/>
      <c r="AP1393" s="192"/>
      <c r="AQ1393" s="192"/>
    </row>
    <row r="1394" spans="1:44" ht="24" customHeight="1">
      <c r="A1394" s="555"/>
      <c r="B1394" s="217"/>
      <c r="C1394" s="217"/>
      <c r="D1394" s="101"/>
      <c r="E1394" s="217"/>
      <c r="F1394" s="294"/>
      <c r="G1394" s="295"/>
      <c r="H1394" s="107" t="str">
        <f>UPPER(G1393)&amp;" TOTAL"</f>
        <v>TRANSFERS TO OTHER FUNDS TOTAL</v>
      </c>
      <c r="I1394" s="109">
        <f t="shared" ref="I1394" si="1794">SUBTOTAL(9,I1392:I1393)</f>
        <v>0</v>
      </c>
      <c r="J1394" s="109">
        <f t="shared" ref="J1394:T1394" si="1795">SUBTOTAL(9,J1392:J1393)</f>
        <v>0</v>
      </c>
      <c r="K1394" s="109">
        <f t="shared" ref="K1394" si="1796">SUBTOTAL(9,K1392:K1393)</f>
        <v>0</v>
      </c>
      <c r="L1394" s="109">
        <f t="shared" ref="L1394" si="1797">SUBTOTAL(9,L1392:L1393)</f>
        <v>0</v>
      </c>
      <c r="M1394" s="109">
        <f t="shared" si="1795"/>
        <v>0</v>
      </c>
      <c r="N1394" s="109">
        <f t="shared" ref="N1394" si="1798">SUBTOTAL(9,N1392:N1393)</f>
        <v>0</v>
      </c>
      <c r="O1394" s="109">
        <f t="shared" si="1795"/>
        <v>0</v>
      </c>
      <c r="P1394" s="109">
        <f t="shared" si="1795"/>
        <v>0</v>
      </c>
      <c r="Q1394" s="109">
        <f t="shared" si="1795"/>
        <v>0</v>
      </c>
      <c r="R1394" s="109">
        <f t="shared" si="1795"/>
        <v>0</v>
      </c>
      <c r="S1394" s="109">
        <f t="shared" si="1795"/>
        <v>0</v>
      </c>
      <c r="T1394" s="109">
        <f t="shared" si="1795"/>
        <v>0</v>
      </c>
      <c r="U1394" s="99">
        <f>T1394-M1394</f>
        <v>0</v>
      </c>
      <c r="V1394" s="255" t="str">
        <f>IF(M1394=0,"N/A",T1394/M1394-1)</f>
        <v>N/A</v>
      </c>
      <c r="W1394" s="102"/>
      <c r="X1394" s="102"/>
      <c r="Y1394" s="102"/>
      <c r="AA1394" s="615"/>
      <c r="AC1394" s="300"/>
      <c r="AD1394" s="300"/>
      <c r="AE1394" s="300"/>
      <c r="AF1394" s="300"/>
      <c r="AG1394" s="300"/>
      <c r="AJ1394" s="300"/>
      <c r="AK1394" s="300"/>
      <c r="AL1394" s="300"/>
      <c r="AM1394" s="300"/>
      <c r="AN1394" s="300"/>
    </row>
    <row r="1395" spans="1:44" ht="15" customHeight="1">
      <c r="A1395" s="555"/>
      <c r="B1395" s="217"/>
      <c r="C1395" s="217"/>
      <c r="D1395" s="101"/>
      <c r="E1395" s="217"/>
      <c r="F1395" s="294"/>
      <c r="G1395" s="295"/>
      <c r="H1395" s="98"/>
      <c r="I1395" s="106"/>
      <c r="J1395" s="106"/>
      <c r="K1395" s="106"/>
      <c r="L1395" s="106"/>
      <c r="M1395" s="106"/>
      <c r="N1395" s="112"/>
      <c r="O1395" s="112"/>
      <c r="P1395" s="112"/>
      <c r="Q1395" s="113"/>
      <c r="R1395" s="113"/>
      <c r="S1395" s="113"/>
      <c r="T1395" s="113"/>
      <c r="U1395" s="99"/>
      <c r="V1395" s="255"/>
      <c r="W1395" s="102"/>
      <c r="X1395" s="102"/>
      <c r="Y1395" s="102"/>
      <c r="AA1395" s="615"/>
      <c r="AC1395" s="300"/>
      <c r="AD1395" s="300"/>
      <c r="AE1395" s="300"/>
      <c r="AF1395" s="300"/>
      <c r="AG1395" s="300"/>
      <c r="AJ1395" s="300"/>
      <c r="AK1395" s="300"/>
      <c r="AL1395" s="300"/>
      <c r="AM1395" s="300"/>
      <c r="AN1395" s="300"/>
    </row>
    <row r="1396" spans="1:44" ht="15" customHeight="1">
      <c r="A1396" s="555"/>
      <c r="B1396" s="217"/>
      <c r="C1396" s="217"/>
      <c r="D1396" s="101"/>
      <c r="E1396" s="217"/>
      <c r="F1396" s="294"/>
      <c r="G1396" s="295"/>
      <c r="H1396" s="114" t="s">
        <v>763</v>
      </c>
      <c r="I1396" s="108">
        <f t="shared" ref="I1396" si="1799">SUBTOTAL(9,I1359:I1394)</f>
        <v>514879.98999999993</v>
      </c>
      <c r="J1396" s="108">
        <f t="shared" ref="J1396:T1396" si="1800">SUBTOTAL(9,J1359:J1394)</f>
        <v>660131.18999999994</v>
      </c>
      <c r="K1396" s="108">
        <f t="shared" ref="K1396" si="1801">SUBTOTAL(9,K1359:K1394)</f>
        <v>695994.60000000009</v>
      </c>
      <c r="L1396" s="108">
        <f t="shared" ref="L1396" si="1802">SUBTOTAL(9,L1359:L1394)</f>
        <v>933533.79</v>
      </c>
      <c r="M1396" s="108">
        <f t="shared" si="1800"/>
        <v>927747</v>
      </c>
      <c r="N1396" s="108">
        <f t="shared" ref="N1396" si="1803">SUBTOTAL(9,N1359:N1394)</f>
        <v>547693.75</v>
      </c>
      <c r="O1396" s="108">
        <f t="shared" si="1800"/>
        <v>852722</v>
      </c>
      <c r="P1396" s="108">
        <f t="shared" si="1800"/>
        <v>-75025</v>
      </c>
      <c r="Q1396" s="108">
        <f t="shared" si="1800"/>
        <v>749090</v>
      </c>
      <c r="R1396" s="108">
        <f t="shared" si="1800"/>
        <v>200000</v>
      </c>
      <c r="S1396" s="108">
        <f t="shared" si="1800"/>
        <v>0</v>
      </c>
      <c r="T1396" s="108">
        <f t="shared" si="1800"/>
        <v>949090</v>
      </c>
      <c r="U1396" s="99">
        <f>T1396-M1396</f>
        <v>21343</v>
      </c>
      <c r="V1396" s="255">
        <f>IF(M1396=0,"N/A",T1396/M1396-1)</f>
        <v>2.3005194304050569E-2</v>
      </c>
      <c r="W1396" s="102"/>
      <c r="X1396" s="102"/>
      <c r="Y1396" s="102"/>
      <c r="AA1396" s="615"/>
      <c r="AC1396" s="300"/>
      <c r="AD1396" s="300"/>
      <c r="AE1396" s="300"/>
      <c r="AF1396" s="300"/>
      <c r="AG1396" s="300"/>
      <c r="AJ1396" s="300"/>
      <c r="AK1396" s="300"/>
      <c r="AL1396" s="300"/>
      <c r="AM1396" s="300"/>
      <c r="AN1396" s="300"/>
      <c r="AO1396" s="300"/>
      <c r="AP1396" s="300"/>
      <c r="AQ1396" s="300"/>
      <c r="AR1396" s="300"/>
    </row>
    <row r="1397" spans="1:44" ht="15" customHeight="1" thickBot="1">
      <c r="A1397" s="555"/>
      <c r="B1397" s="217"/>
      <c r="C1397" s="217"/>
      <c r="D1397" s="101"/>
      <c r="E1397" s="217"/>
      <c r="F1397" s="294"/>
      <c r="G1397" s="295"/>
      <c r="H1397" s="98"/>
      <c r="I1397" s="218"/>
      <c r="J1397" s="218"/>
      <c r="K1397" s="218"/>
      <c r="L1397" s="218"/>
      <c r="M1397" s="218"/>
      <c r="U1397" s="99"/>
      <c r="V1397" s="255"/>
      <c r="W1397" s="102"/>
      <c r="X1397" s="102"/>
      <c r="Y1397" s="102"/>
      <c r="AA1397" s="615"/>
      <c r="AC1397" s="300"/>
      <c r="AD1397" s="300"/>
      <c r="AE1397" s="300"/>
      <c r="AF1397" s="300"/>
      <c r="AG1397" s="300"/>
      <c r="AJ1397" s="300"/>
      <c r="AK1397" s="300"/>
      <c r="AL1397" s="300"/>
      <c r="AM1397" s="300"/>
      <c r="AN1397" s="300"/>
      <c r="AO1397" s="300"/>
      <c r="AP1397" s="300"/>
      <c r="AQ1397" s="300"/>
      <c r="AR1397" s="300"/>
    </row>
    <row r="1398" spans="1:44" ht="23.25" customHeight="1" thickBot="1">
      <c r="A1398" s="555"/>
      <c r="B1398" s="217"/>
      <c r="C1398" s="217"/>
      <c r="D1398" s="101"/>
      <c r="E1398" s="217"/>
      <c r="F1398" s="294"/>
      <c r="G1398" s="295"/>
      <c r="H1398" s="665" t="s">
        <v>635</v>
      </c>
      <c r="I1398" s="666"/>
      <c r="J1398" s="666"/>
      <c r="K1398" s="666"/>
      <c r="L1398" s="666"/>
      <c r="M1398" s="666"/>
      <c r="N1398" s="666"/>
      <c r="O1398" s="666"/>
      <c r="P1398" s="666"/>
      <c r="Q1398" s="666"/>
      <c r="R1398" s="666"/>
      <c r="S1398" s="666"/>
      <c r="T1398" s="667"/>
      <c r="U1398" s="99"/>
      <c r="V1398" s="255"/>
      <c r="W1398" s="102"/>
      <c r="X1398" s="102"/>
      <c r="Y1398" s="102"/>
      <c r="AA1398" s="615"/>
      <c r="AC1398" s="300"/>
      <c r="AD1398" s="300"/>
      <c r="AE1398" s="300"/>
      <c r="AF1398" s="300"/>
      <c r="AG1398" s="300"/>
      <c r="AJ1398" s="300"/>
      <c r="AK1398" s="300"/>
      <c r="AL1398" s="300"/>
      <c r="AM1398" s="300"/>
      <c r="AN1398" s="300"/>
      <c r="AO1398" s="300"/>
      <c r="AP1398" s="300"/>
      <c r="AQ1398" s="300"/>
      <c r="AR1398" s="300"/>
    </row>
    <row r="1399" spans="1:44" ht="15" customHeight="1">
      <c r="A1399" s="555"/>
      <c r="B1399" s="217"/>
      <c r="C1399" s="217"/>
      <c r="D1399" s="101"/>
      <c r="E1399" s="217"/>
      <c r="F1399" s="294"/>
      <c r="G1399" s="295"/>
      <c r="H1399" s="225"/>
      <c r="I1399" s="225"/>
      <c r="J1399" s="225"/>
      <c r="K1399" s="225"/>
      <c r="L1399" s="225"/>
      <c r="M1399" s="225"/>
      <c r="N1399" s="225"/>
      <c r="O1399" s="225"/>
      <c r="P1399" s="225"/>
      <c r="Q1399" s="225"/>
      <c r="R1399" s="225"/>
      <c r="S1399" s="225"/>
      <c r="T1399" s="225"/>
      <c r="U1399" s="99"/>
      <c r="V1399" s="255"/>
      <c r="W1399" s="102"/>
      <c r="X1399" s="102"/>
      <c r="Y1399" s="102"/>
      <c r="AA1399" s="615"/>
      <c r="AC1399" s="300"/>
      <c r="AD1399" s="300"/>
      <c r="AE1399" s="300"/>
      <c r="AF1399" s="300"/>
      <c r="AG1399" s="300"/>
      <c r="AJ1399" s="300"/>
      <c r="AK1399" s="300"/>
      <c r="AL1399" s="300"/>
      <c r="AM1399" s="300"/>
      <c r="AN1399" s="300"/>
      <c r="AO1399" s="300"/>
      <c r="AP1399" s="300"/>
      <c r="AQ1399" s="300"/>
      <c r="AR1399" s="300"/>
    </row>
    <row r="1400" spans="1:44" ht="15" customHeight="1">
      <c r="A1400" s="555" t="s">
        <v>2862</v>
      </c>
      <c r="B1400" s="217" t="str">
        <f t="shared" si="1786"/>
        <v>100</v>
      </c>
      <c r="C1400" s="217" t="str">
        <f t="shared" si="1787"/>
        <v>50</v>
      </c>
      <c r="D1400" s="101" t="str">
        <f t="shared" si="1788"/>
        <v>503</v>
      </c>
      <c r="E1400" s="217" t="str">
        <f t="shared" si="1789"/>
        <v>100-50-503</v>
      </c>
      <c r="F1400" s="294" t="str">
        <f t="shared" si="1790"/>
        <v>50101</v>
      </c>
      <c r="G1400" s="295" t="str">
        <f>VLOOKUP(F1400,'GL Category'!A:C,3,FALSE)</f>
        <v>Personnel services</v>
      </c>
      <c r="H1400" s="98" t="str">
        <f>VLOOKUP(F1400,'GL Category'!A:C,2,FALSE)</f>
        <v>EXEMPT SALARIES</v>
      </c>
      <c r="I1400" s="99">
        <f>SUMIF(Import!$B:$B,$A1400,Import!D:D)</f>
        <v>44109.29</v>
      </c>
      <c r="J1400" s="99">
        <f>SUMIF(Import!$B:$B,$A1400,Import!E:E)</f>
        <v>45350.95</v>
      </c>
      <c r="K1400" s="99">
        <f>SUMIF(Import!$B:$B,$A1400,Import!F:F)</f>
        <v>47565.41</v>
      </c>
      <c r="L1400" s="99">
        <f>SUMIF(Import!$B:$B,$A1400,Import!G:G)</f>
        <v>44343.13</v>
      </c>
      <c r="M1400" s="99">
        <f>SUMIF(Import!$B:$B,$A1400,Import!H:H)</f>
        <v>52801</v>
      </c>
      <c r="N1400" s="99">
        <f>SUMIF(Import!$B:$B,$A1400,Import!I:I)</f>
        <v>0</v>
      </c>
      <c r="O1400" s="99">
        <f>SUMIF(Import!$B:$B,$A1400,Import!J:J)</f>
        <v>0</v>
      </c>
      <c r="P1400" s="99">
        <f t="shared" ref="P1400:P1407" si="1804">O1400-M1400</f>
        <v>-52801</v>
      </c>
      <c r="Q1400" s="99">
        <f>SUMIF(Import!$B:$B,$A1400,Import!K:K)</f>
        <v>0</v>
      </c>
      <c r="R1400" s="99">
        <f>SUMIF(Import!$B:$B,$A1400,Import!L:L)</f>
        <v>0</v>
      </c>
      <c r="S1400" s="99">
        <f>SUMIF(Import!$B:$B,$A1400,Import!M:M)</f>
        <v>0</v>
      </c>
      <c r="T1400" s="99">
        <f>SUMIF(Import!$B:$B,$A1400,Import!N:N)</f>
        <v>0</v>
      </c>
      <c r="U1400" s="99">
        <f t="shared" ref="U1400:U1407" si="1805">T1400-M1400</f>
        <v>-52801</v>
      </c>
      <c r="V1400" s="255">
        <f t="shared" ref="V1400:V1407" si="1806">IF(M1400=0,"N/A",T1400/M1400-1)</f>
        <v>-1</v>
      </c>
      <c r="W1400" s="102" t="s">
        <v>2862</v>
      </c>
      <c r="X1400" s="102"/>
      <c r="Y1400" s="102"/>
      <c r="AA1400" s="615"/>
      <c r="AC1400" s="300"/>
      <c r="AD1400" s="300"/>
      <c r="AE1400" s="300"/>
      <c r="AF1400" s="300"/>
      <c r="AG1400" s="300"/>
      <c r="AJ1400" s="300"/>
      <c r="AK1400" s="300"/>
      <c r="AL1400" s="300"/>
      <c r="AM1400" s="300"/>
      <c r="AN1400" s="300"/>
      <c r="AO1400" s="300"/>
      <c r="AP1400" s="300"/>
      <c r="AQ1400" s="300"/>
      <c r="AR1400" s="300"/>
    </row>
    <row r="1401" spans="1:44" s="115" customFormat="1" ht="15" customHeight="1">
      <c r="A1401" s="555" t="s">
        <v>2863</v>
      </c>
      <c r="B1401" s="217" t="str">
        <f t="shared" si="1786"/>
        <v>100</v>
      </c>
      <c r="C1401" s="217" t="str">
        <f t="shared" si="1787"/>
        <v>50</v>
      </c>
      <c r="D1401" s="101" t="str">
        <f t="shared" si="1788"/>
        <v>503</v>
      </c>
      <c r="E1401" s="217" t="str">
        <f t="shared" si="1789"/>
        <v>100-50-503</v>
      </c>
      <c r="F1401" s="294" t="str">
        <f t="shared" si="1790"/>
        <v>50102</v>
      </c>
      <c r="G1401" s="295" t="str">
        <f>VLOOKUP(F1401,'GL Category'!A:C,3,FALSE)</f>
        <v>Personnel services</v>
      </c>
      <c r="H1401" s="98" t="str">
        <f>VLOOKUP(F1401,'GL Category'!A:C,2,FALSE)</f>
        <v>NON EXEMPT SALARIES</v>
      </c>
      <c r="I1401" s="99">
        <f>SUMIF(Import!$B:$B,$A1401,Import!D:D)</f>
        <v>338762.05</v>
      </c>
      <c r="J1401" s="99">
        <f>SUMIF(Import!$B:$B,$A1401,Import!E:E)</f>
        <v>345386.77</v>
      </c>
      <c r="K1401" s="99">
        <f>SUMIF(Import!$B:$B,$A1401,Import!F:F)</f>
        <v>374701.82</v>
      </c>
      <c r="L1401" s="99">
        <f>SUMIF(Import!$B:$B,$A1401,Import!G:G)</f>
        <v>370859.36</v>
      </c>
      <c r="M1401" s="99">
        <f>SUMIF(Import!$B:$B,$A1401,Import!H:H)</f>
        <v>345820</v>
      </c>
      <c r="N1401" s="99">
        <f>SUMIF(Import!$B:$B,$A1401,Import!I:I)</f>
        <v>257852.64</v>
      </c>
      <c r="O1401" s="99">
        <f>SUMIF(Import!$B:$B,$A1401,Import!J:J)</f>
        <v>358217</v>
      </c>
      <c r="P1401" s="99">
        <f t="shared" si="1804"/>
        <v>12397</v>
      </c>
      <c r="Q1401" s="99">
        <f>SUMIF(Import!$B:$B,$A1401,Import!K:K)</f>
        <v>419546</v>
      </c>
      <c r="R1401" s="99">
        <f>SUMIF(Import!$B:$B,$A1401,Import!L:L)</f>
        <v>0</v>
      </c>
      <c r="S1401" s="99">
        <f>SUMIF(Import!$B:$B,$A1401,Import!M:M)</f>
        <v>0</v>
      </c>
      <c r="T1401" s="99">
        <f>SUMIF(Import!$B:$B,$A1401,Import!N:N)</f>
        <v>419546</v>
      </c>
      <c r="U1401" s="99">
        <f t="shared" si="1805"/>
        <v>73726</v>
      </c>
      <c r="V1401" s="255">
        <f t="shared" si="1806"/>
        <v>0.21319183390203</v>
      </c>
      <c r="W1401" s="102" t="s">
        <v>2863</v>
      </c>
      <c r="X1401" s="102"/>
      <c r="Y1401" s="102"/>
      <c r="Z1401" s="192"/>
      <c r="AA1401" s="615"/>
      <c r="AB1401" s="307"/>
      <c r="AC1401" s="300"/>
      <c r="AD1401" s="300"/>
      <c r="AE1401" s="300"/>
      <c r="AF1401" s="300"/>
      <c r="AG1401" s="300"/>
      <c r="AH1401" s="307"/>
      <c r="AI1401" s="307"/>
      <c r="AJ1401" s="300"/>
      <c r="AK1401" s="300"/>
      <c r="AL1401" s="300"/>
      <c r="AM1401" s="300"/>
      <c r="AN1401" s="300"/>
      <c r="AO1401" s="300"/>
      <c r="AP1401" s="300"/>
      <c r="AQ1401" s="300"/>
      <c r="AR1401" s="300"/>
    </row>
    <row r="1402" spans="1:44" s="115" customFormat="1" ht="15" customHeight="1">
      <c r="A1402" s="555" t="s">
        <v>2864</v>
      </c>
      <c r="B1402" s="217" t="str">
        <f t="shared" si="1786"/>
        <v>100</v>
      </c>
      <c r="C1402" s="217" t="str">
        <f t="shared" si="1787"/>
        <v>50</v>
      </c>
      <c r="D1402" s="101" t="str">
        <f t="shared" si="1788"/>
        <v>503</v>
      </c>
      <c r="E1402" s="217" t="str">
        <f t="shared" si="1789"/>
        <v>100-50-503</v>
      </c>
      <c r="F1402" s="294" t="str">
        <f t="shared" si="1790"/>
        <v>50109</v>
      </c>
      <c r="G1402" s="295" t="str">
        <f>VLOOKUP(F1402,'GL Category'!A:C,3,FALSE)</f>
        <v>Personnel services</v>
      </c>
      <c r="H1402" s="98" t="str">
        <f>VLOOKUP(F1402,'GL Category'!A:C,2,FALSE)</f>
        <v>OVERTIME</v>
      </c>
      <c r="I1402" s="99">
        <f>SUMIF(Import!$B:$B,$A1402,Import!D:D)</f>
        <v>35480.35</v>
      </c>
      <c r="J1402" s="99">
        <f>SUMIF(Import!$B:$B,$A1402,Import!E:E)</f>
        <v>30768.82</v>
      </c>
      <c r="K1402" s="99">
        <f>SUMIF(Import!$B:$B,$A1402,Import!F:F)</f>
        <v>23647.98</v>
      </c>
      <c r="L1402" s="99">
        <f>SUMIF(Import!$B:$B,$A1402,Import!G:G)</f>
        <v>23314.95</v>
      </c>
      <c r="M1402" s="99">
        <f>SUMIF(Import!$B:$B,$A1402,Import!H:H)</f>
        <v>31051</v>
      </c>
      <c r="N1402" s="99">
        <f>SUMIF(Import!$B:$B,$A1402,Import!I:I)</f>
        <v>3984.91</v>
      </c>
      <c r="O1402" s="99">
        <f>SUMIF(Import!$B:$B,$A1402,Import!J:J)</f>
        <v>2604</v>
      </c>
      <c r="P1402" s="99">
        <f t="shared" si="1804"/>
        <v>-28447</v>
      </c>
      <c r="Q1402" s="99">
        <f>SUMIF(Import!$B:$B,$A1402,Import!K:K)</f>
        <v>30927</v>
      </c>
      <c r="R1402" s="99">
        <f>SUMIF(Import!$B:$B,$A1402,Import!L:L)</f>
        <v>0</v>
      </c>
      <c r="S1402" s="99">
        <f>SUMIF(Import!$B:$B,$A1402,Import!M:M)</f>
        <v>0</v>
      </c>
      <c r="T1402" s="99">
        <f>SUMIF(Import!$B:$B,$A1402,Import!N:N)</f>
        <v>30927</v>
      </c>
      <c r="U1402" s="99">
        <f t="shared" si="1805"/>
        <v>-124</v>
      </c>
      <c r="V1402" s="255">
        <f t="shared" si="1806"/>
        <v>-3.9934301632797986E-3</v>
      </c>
      <c r="W1402" s="102" t="s">
        <v>2864</v>
      </c>
      <c r="X1402" s="102"/>
      <c r="Y1402" s="102"/>
      <c r="Z1402" s="192"/>
      <c r="AA1402" s="615"/>
      <c r="AB1402" s="307"/>
      <c r="AC1402" s="300"/>
      <c r="AD1402" s="300"/>
      <c r="AE1402" s="300"/>
      <c r="AF1402" s="300"/>
      <c r="AG1402" s="300"/>
      <c r="AH1402" s="307"/>
      <c r="AI1402" s="307"/>
      <c r="AJ1402" s="300"/>
      <c r="AK1402" s="300"/>
      <c r="AL1402" s="300"/>
      <c r="AM1402" s="300"/>
      <c r="AN1402" s="300"/>
      <c r="AO1402" s="300"/>
      <c r="AP1402" s="300"/>
      <c r="AQ1402" s="300"/>
      <c r="AR1402" s="300"/>
    </row>
    <row r="1403" spans="1:44" s="115" customFormat="1" ht="15" customHeight="1">
      <c r="A1403" s="555" t="s">
        <v>2865</v>
      </c>
      <c r="B1403" s="217" t="str">
        <f t="shared" si="1786"/>
        <v>100</v>
      </c>
      <c r="C1403" s="217" t="str">
        <f t="shared" si="1787"/>
        <v>50</v>
      </c>
      <c r="D1403" s="101" t="str">
        <f t="shared" si="1788"/>
        <v>503</v>
      </c>
      <c r="E1403" s="217" t="str">
        <f t="shared" si="1789"/>
        <v>100-50-503</v>
      </c>
      <c r="F1403" s="294" t="str">
        <f t="shared" si="1790"/>
        <v>50111</v>
      </c>
      <c r="G1403" s="295" t="str">
        <f>VLOOKUP(F1403,'GL Category'!A:C,3,FALSE)</f>
        <v>Personnel services</v>
      </c>
      <c r="H1403" s="98" t="str">
        <f>VLOOKUP(F1403,'GL Category'!A:C,2,FALSE)</f>
        <v>LONGEVITY PAY</v>
      </c>
      <c r="I1403" s="99">
        <f>SUMIF(Import!$B:$B,$A1403,Import!D:D)</f>
        <v>4245</v>
      </c>
      <c r="J1403" s="99">
        <f>SUMIF(Import!$B:$B,$A1403,Import!E:E)</f>
        <v>4695</v>
      </c>
      <c r="K1403" s="99">
        <f>SUMIF(Import!$B:$B,$A1403,Import!F:F)</f>
        <v>2920</v>
      </c>
      <c r="L1403" s="99">
        <f>SUMIF(Import!$B:$B,$A1403,Import!G:G)</f>
        <v>2695</v>
      </c>
      <c r="M1403" s="99">
        <f>SUMIF(Import!$B:$B,$A1403,Import!H:H)</f>
        <v>960</v>
      </c>
      <c r="N1403" s="99">
        <f>SUMIF(Import!$B:$B,$A1403,Import!I:I)</f>
        <v>980</v>
      </c>
      <c r="O1403" s="99">
        <f>SUMIF(Import!$B:$B,$A1403,Import!J:J)</f>
        <v>980</v>
      </c>
      <c r="P1403" s="99">
        <f t="shared" si="1804"/>
        <v>20</v>
      </c>
      <c r="Q1403" s="99">
        <f>SUMIF(Import!$B:$B,$A1403,Import!K:K)</f>
        <v>1662</v>
      </c>
      <c r="R1403" s="99">
        <f>SUMIF(Import!$B:$B,$A1403,Import!L:L)</f>
        <v>0</v>
      </c>
      <c r="S1403" s="99">
        <f>SUMIF(Import!$B:$B,$A1403,Import!M:M)</f>
        <v>0</v>
      </c>
      <c r="T1403" s="99">
        <f>SUMIF(Import!$B:$B,$A1403,Import!N:N)</f>
        <v>1662</v>
      </c>
      <c r="U1403" s="99">
        <f t="shared" si="1805"/>
        <v>702</v>
      </c>
      <c r="V1403" s="255">
        <f t="shared" si="1806"/>
        <v>0.73124999999999996</v>
      </c>
      <c r="W1403" s="102" t="s">
        <v>2865</v>
      </c>
      <c r="X1403" s="102"/>
      <c r="Y1403" s="102"/>
      <c r="Z1403" s="192"/>
      <c r="AA1403" s="615"/>
      <c r="AB1403" s="307"/>
      <c r="AC1403" s="300"/>
      <c r="AD1403" s="300"/>
      <c r="AE1403" s="300"/>
      <c r="AF1403" s="300"/>
      <c r="AG1403" s="300"/>
      <c r="AH1403" s="307"/>
      <c r="AI1403" s="307"/>
      <c r="AJ1403" s="300"/>
      <c r="AK1403" s="300"/>
      <c r="AL1403" s="300"/>
      <c r="AM1403" s="300"/>
      <c r="AN1403" s="300"/>
      <c r="AO1403" s="300"/>
      <c r="AP1403" s="300"/>
      <c r="AQ1403" s="300"/>
      <c r="AR1403" s="300"/>
    </row>
    <row r="1404" spans="1:44" s="115" customFormat="1" ht="15" customHeight="1">
      <c r="A1404" s="555" t="s">
        <v>2866</v>
      </c>
      <c r="B1404" s="217" t="str">
        <f t="shared" si="1786"/>
        <v>100</v>
      </c>
      <c r="C1404" s="217" t="str">
        <f t="shared" si="1787"/>
        <v>50</v>
      </c>
      <c r="D1404" s="101" t="str">
        <f t="shared" si="1788"/>
        <v>503</v>
      </c>
      <c r="E1404" s="217" t="str">
        <f t="shared" si="1789"/>
        <v>100-50-503</v>
      </c>
      <c r="F1404" s="294" t="str">
        <f t="shared" si="1790"/>
        <v>50610</v>
      </c>
      <c r="G1404" s="295" t="str">
        <f>VLOOKUP(F1404,'GL Category'!A:C,3,FALSE)</f>
        <v>Personnel services</v>
      </c>
      <c r="H1404" s="98" t="str">
        <f>VLOOKUP(F1404,'GL Category'!A:C,2,FALSE)</f>
        <v>SOCIAL SECURITY</v>
      </c>
      <c r="I1404" s="99">
        <f>SUMIF(Import!$B:$B,$A1404,Import!D:D)</f>
        <v>30648.34</v>
      </c>
      <c r="J1404" s="99">
        <f>SUMIF(Import!$B:$B,$A1404,Import!E:E)</f>
        <v>30934.36</v>
      </c>
      <c r="K1404" s="99">
        <f>SUMIF(Import!$B:$B,$A1404,Import!F:F)</f>
        <v>32525.360000000001</v>
      </c>
      <c r="L1404" s="99">
        <f>SUMIF(Import!$B:$B,$A1404,Import!G:G)</f>
        <v>27152.65</v>
      </c>
      <c r="M1404" s="99">
        <f>SUMIF(Import!$B:$B,$A1404,Import!H:H)</f>
        <v>32980</v>
      </c>
      <c r="N1404" s="99">
        <f>SUMIF(Import!$B:$B,$A1404,Import!I:I)</f>
        <v>19200.599999999999</v>
      </c>
      <c r="O1404" s="99">
        <f>SUMIF(Import!$B:$B,$A1404,Import!J:J)</f>
        <v>27653</v>
      </c>
      <c r="P1404" s="99">
        <f t="shared" si="1804"/>
        <v>-5327</v>
      </c>
      <c r="Q1404" s="99">
        <f>SUMIF(Import!$B:$B,$A1404,Import!K:K)</f>
        <v>34720</v>
      </c>
      <c r="R1404" s="99">
        <f>SUMIF(Import!$B:$B,$A1404,Import!L:L)</f>
        <v>0</v>
      </c>
      <c r="S1404" s="99">
        <f>SUMIF(Import!$B:$B,$A1404,Import!M:M)</f>
        <v>0</v>
      </c>
      <c r="T1404" s="99">
        <f>SUMIF(Import!$B:$B,$A1404,Import!N:N)</f>
        <v>34720</v>
      </c>
      <c r="U1404" s="99">
        <f t="shared" si="1805"/>
        <v>1740</v>
      </c>
      <c r="V1404" s="255">
        <f t="shared" si="1806"/>
        <v>5.2759248029108585E-2</v>
      </c>
      <c r="W1404" s="102" t="s">
        <v>2866</v>
      </c>
      <c r="X1404" s="102"/>
      <c r="Y1404" s="102"/>
      <c r="Z1404" s="192"/>
      <c r="AA1404" s="615"/>
      <c r="AB1404" s="307"/>
      <c r="AC1404" s="300"/>
      <c r="AD1404" s="300"/>
      <c r="AE1404" s="300"/>
      <c r="AF1404" s="300"/>
      <c r="AG1404" s="300"/>
      <c r="AH1404" s="307"/>
      <c r="AI1404" s="307"/>
      <c r="AJ1404" s="300"/>
      <c r="AK1404" s="300"/>
      <c r="AL1404" s="300"/>
      <c r="AM1404" s="300"/>
      <c r="AN1404" s="300"/>
      <c r="AO1404" s="300"/>
      <c r="AP1404" s="300"/>
      <c r="AQ1404" s="300"/>
      <c r="AR1404" s="300"/>
    </row>
    <row r="1405" spans="1:44" s="115" customFormat="1" ht="15" customHeight="1">
      <c r="A1405" s="555" t="s">
        <v>2867</v>
      </c>
      <c r="B1405" s="217" t="str">
        <f t="shared" si="1786"/>
        <v>100</v>
      </c>
      <c r="C1405" s="217" t="str">
        <f t="shared" si="1787"/>
        <v>50</v>
      </c>
      <c r="D1405" s="101" t="str">
        <f t="shared" si="1788"/>
        <v>503</v>
      </c>
      <c r="E1405" s="217" t="str">
        <f t="shared" si="1789"/>
        <v>100-50-503</v>
      </c>
      <c r="F1405" s="294" t="str">
        <f t="shared" si="1790"/>
        <v>50620</v>
      </c>
      <c r="G1405" s="295" t="str">
        <f>VLOOKUP(F1405,'GL Category'!A:C,3,FALSE)</f>
        <v>Personnel services</v>
      </c>
      <c r="H1405" s="98" t="str">
        <f>VLOOKUP(F1405,'GL Category'!A:C,2,FALSE)</f>
        <v>HEALTH/LIFE INSURANCE</v>
      </c>
      <c r="I1405" s="99">
        <f>SUMIF(Import!$B:$B,$A1405,Import!D:D)</f>
        <v>108405.02</v>
      </c>
      <c r="J1405" s="99">
        <f>SUMIF(Import!$B:$B,$A1405,Import!E:E)</f>
        <v>114682.31</v>
      </c>
      <c r="K1405" s="99">
        <f>SUMIF(Import!$B:$B,$A1405,Import!F:F)</f>
        <v>133932.19</v>
      </c>
      <c r="L1405" s="99">
        <f>SUMIF(Import!$B:$B,$A1405,Import!G:G)</f>
        <v>125275.64</v>
      </c>
      <c r="M1405" s="99">
        <f>SUMIF(Import!$B:$B,$A1405,Import!H:H)</f>
        <v>133793</v>
      </c>
      <c r="N1405" s="99">
        <f>SUMIF(Import!$B:$B,$A1405,Import!I:I)</f>
        <v>70419.77</v>
      </c>
      <c r="O1405" s="99">
        <f>SUMIF(Import!$B:$B,$A1405,Import!J:J)</f>
        <v>106952</v>
      </c>
      <c r="P1405" s="99">
        <f t="shared" si="1804"/>
        <v>-26841</v>
      </c>
      <c r="Q1405" s="99">
        <f>SUMIF(Import!$B:$B,$A1405,Import!K:K)</f>
        <v>123926</v>
      </c>
      <c r="R1405" s="99">
        <f>SUMIF(Import!$B:$B,$A1405,Import!L:L)</f>
        <v>0</v>
      </c>
      <c r="S1405" s="99">
        <f>SUMIF(Import!$B:$B,$A1405,Import!M:M)</f>
        <v>0</v>
      </c>
      <c r="T1405" s="99">
        <f>SUMIF(Import!$B:$B,$A1405,Import!N:N)</f>
        <v>123926</v>
      </c>
      <c r="U1405" s="99">
        <f t="shared" si="1805"/>
        <v>-9867</v>
      </c>
      <c r="V1405" s="255">
        <f t="shared" si="1806"/>
        <v>-7.3748252898133693E-2</v>
      </c>
      <c r="W1405" s="102" t="s">
        <v>2867</v>
      </c>
      <c r="X1405" s="102"/>
      <c r="Y1405" s="102"/>
      <c r="Z1405" s="192"/>
      <c r="AA1405" s="615"/>
      <c r="AB1405" s="307"/>
      <c r="AC1405" s="300"/>
      <c r="AD1405" s="300"/>
      <c r="AE1405" s="300"/>
      <c r="AF1405" s="300"/>
      <c r="AG1405" s="300"/>
      <c r="AH1405" s="307"/>
      <c r="AI1405" s="307"/>
      <c r="AJ1405" s="300"/>
      <c r="AK1405" s="300"/>
      <c r="AL1405" s="300"/>
      <c r="AM1405" s="300"/>
      <c r="AN1405" s="300"/>
      <c r="AO1405" s="300"/>
      <c r="AP1405" s="300"/>
      <c r="AQ1405" s="300"/>
      <c r="AR1405" s="300"/>
    </row>
    <row r="1406" spans="1:44" s="115" customFormat="1" ht="15" customHeight="1">
      <c r="A1406" s="555" t="s">
        <v>2868</v>
      </c>
      <c r="B1406" s="217" t="str">
        <f t="shared" si="1786"/>
        <v>100</v>
      </c>
      <c r="C1406" s="217" t="str">
        <f t="shared" si="1787"/>
        <v>50</v>
      </c>
      <c r="D1406" s="101" t="str">
        <f t="shared" si="1788"/>
        <v>503</v>
      </c>
      <c r="E1406" s="217" t="str">
        <f t="shared" si="1789"/>
        <v>100-50-503</v>
      </c>
      <c r="F1406" s="294" t="str">
        <f t="shared" si="1790"/>
        <v>50630</v>
      </c>
      <c r="G1406" s="295" t="str">
        <f>VLOOKUP(F1406,'GL Category'!A:C,3,FALSE)</f>
        <v>Personnel services</v>
      </c>
      <c r="H1406" s="98" t="str">
        <f>VLOOKUP(F1406,'GL Category'!A:C,2,FALSE)</f>
        <v>WORKER COMPENSATION</v>
      </c>
      <c r="I1406" s="99">
        <f>SUMIF(Import!$B:$B,$A1406,Import!D:D)</f>
        <v>5766.52</v>
      </c>
      <c r="J1406" s="99">
        <f>SUMIF(Import!$B:$B,$A1406,Import!E:E)</f>
        <v>5145.6000000000004</v>
      </c>
      <c r="K1406" s="99">
        <f>SUMIF(Import!$B:$B,$A1406,Import!F:F)</f>
        <v>5816.41</v>
      </c>
      <c r="L1406" s="99">
        <f>SUMIF(Import!$B:$B,$A1406,Import!G:G)</f>
        <v>9617.0499999999993</v>
      </c>
      <c r="M1406" s="99">
        <f>SUMIF(Import!$B:$B,$A1406,Import!H:H)</f>
        <v>11439</v>
      </c>
      <c r="N1406" s="99">
        <f>SUMIF(Import!$B:$B,$A1406,Import!I:I)</f>
        <v>11429.66</v>
      </c>
      <c r="O1406" s="99">
        <f>SUMIF(Import!$B:$B,$A1406,Import!J:J)</f>
        <v>11430</v>
      </c>
      <c r="P1406" s="99">
        <f t="shared" si="1804"/>
        <v>-9</v>
      </c>
      <c r="Q1406" s="99">
        <f>SUMIF(Import!$B:$B,$A1406,Import!K:K)</f>
        <v>11024</v>
      </c>
      <c r="R1406" s="99">
        <f>SUMIF(Import!$B:$B,$A1406,Import!L:L)</f>
        <v>0</v>
      </c>
      <c r="S1406" s="99">
        <f>SUMIF(Import!$B:$B,$A1406,Import!M:M)</f>
        <v>0</v>
      </c>
      <c r="T1406" s="99">
        <f>SUMIF(Import!$B:$B,$A1406,Import!N:N)</f>
        <v>11024</v>
      </c>
      <c r="U1406" s="99">
        <f t="shared" si="1805"/>
        <v>-415</v>
      </c>
      <c r="V1406" s="255">
        <f t="shared" si="1806"/>
        <v>-3.6279395052015051E-2</v>
      </c>
      <c r="W1406" s="102" t="s">
        <v>2868</v>
      </c>
      <c r="X1406" s="102"/>
      <c r="Y1406" s="102"/>
      <c r="Z1406" s="192"/>
      <c r="AA1406" s="615"/>
      <c r="AB1406" s="307"/>
      <c r="AC1406" s="92"/>
      <c r="AD1406" s="92"/>
      <c r="AE1406" s="92"/>
      <c r="AF1406" s="92"/>
      <c r="AG1406" s="92"/>
      <c r="AH1406" s="307"/>
      <c r="AI1406" s="307"/>
      <c r="AJ1406" s="92"/>
      <c r="AK1406" s="92"/>
      <c r="AL1406" s="92"/>
      <c r="AM1406" s="92"/>
      <c r="AN1406" s="92"/>
      <c r="AO1406" s="92"/>
      <c r="AP1406" s="92"/>
      <c r="AQ1406" s="92"/>
      <c r="AR1406" s="92"/>
    </row>
    <row r="1407" spans="1:44" s="115" customFormat="1" ht="15" customHeight="1">
      <c r="A1407" s="555" t="s">
        <v>2869</v>
      </c>
      <c r="B1407" s="217" t="str">
        <f t="shared" si="1786"/>
        <v>100</v>
      </c>
      <c r="C1407" s="217" t="str">
        <f t="shared" si="1787"/>
        <v>50</v>
      </c>
      <c r="D1407" s="101" t="str">
        <f t="shared" si="1788"/>
        <v>503</v>
      </c>
      <c r="E1407" s="217" t="str">
        <f t="shared" si="1789"/>
        <v>100-50-503</v>
      </c>
      <c r="F1407" s="294" t="str">
        <f t="shared" si="1790"/>
        <v>50650</v>
      </c>
      <c r="G1407" s="295" t="str">
        <f>VLOOKUP(F1407,'GL Category'!A:C,3,FALSE)</f>
        <v>Personnel services</v>
      </c>
      <c r="H1407" s="98" t="str">
        <f>VLOOKUP(F1407,'GL Category'!A:C,2,FALSE)</f>
        <v>RETIREMENT</v>
      </c>
      <c r="I1407" s="99">
        <f>SUMIF(Import!$B:$B,$A1407,Import!D:D)</f>
        <v>67149.95</v>
      </c>
      <c r="J1407" s="99">
        <f>SUMIF(Import!$B:$B,$A1407,Import!E:E)</f>
        <v>68838.100000000006</v>
      </c>
      <c r="K1407" s="99">
        <f>SUMIF(Import!$B:$B,$A1407,Import!F:F)</f>
        <v>73129.95</v>
      </c>
      <c r="L1407" s="99">
        <f>SUMIF(Import!$B:$B,$A1407,Import!G:G)</f>
        <v>70212.929999999993</v>
      </c>
      <c r="M1407" s="99">
        <f>SUMIF(Import!$B:$B,$A1407,Import!H:H)</f>
        <v>71226</v>
      </c>
      <c r="N1407" s="99">
        <f>SUMIF(Import!$B:$B,$A1407,Import!I:I)</f>
        <v>43612.83</v>
      </c>
      <c r="O1407" s="99">
        <f>SUMIF(Import!$B:$B,$A1407,Import!J:J)</f>
        <v>61673</v>
      </c>
      <c r="P1407" s="99">
        <f t="shared" si="1804"/>
        <v>-9553</v>
      </c>
      <c r="Q1407" s="99">
        <f>SUMIF(Import!$B:$B,$A1407,Import!K:K)</f>
        <v>76767</v>
      </c>
      <c r="R1407" s="99">
        <f>SUMIF(Import!$B:$B,$A1407,Import!L:L)</f>
        <v>0</v>
      </c>
      <c r="S1407" s="99">
        <f>SUMIF(Import!$B:$B,$A1407,Import!M:M)</f>
        <v>0</v>
      </c>
      <c r="T1407" s="99">
        <f>SUMIF(Import!$B:$B,$A1407,Import!N:N)</f>
        <v>76767</v>
      </c>
      <c r="U1407" s="99">
        <f t="shared" si="1805"/>
        <v>5541</v>
      </c>
      <c r="V1407" s="255">
        <f t="shared" si="1806"/>
        <v>7.7794625558082808E-2</v>
      </c>
      <c r="W1407" s="102" t="s">
        <v>2869</v>
      </c>
      <c r="X1407" s="102"/>
      <c r="Y1407" s="102"/>
      <c r="Z1407" s="192"/>
      <c r="AA1407" s="615"/>
      <c r="AB1407" s="307"/>
      <c r="AC1407" s="93"/>
      <c r="AD1407" s="93"/>
      <c r="AE1407" s="93"/>
      <c r="AF1407" s="93"/>
      <c r="AG1407" s="93"/>
      <c r="AH1407" s="307"/>
      <c r="AI1407" s="307"/>
      <c r="AJ1407" s="93"/>
      <c r="AK1407" s="93"/>
      <c r="AL1407" s="93"/>
      <c r="AM1407" s="93"/>
      <c r="AN1407" s="93"/>
      <c r="AO1407" s="93"/>
      <c r="AP1407" s="93"/>
      <c r="AQ1407" s="93"/>
      <c r="AR1407" s="93"/>
    </row>
    <row r="1408" spans="1:44" s="115" customFormat="1" ht="15" customHeight="1">
      <c r="A1408" s="555"/>
      <c r="B1408" s="217"/>
      <c r="C1408" s="217"/>
      <c r="D1408" s="101"/>
      <c r="E1408" s="217"/>
      <c r="F1408" s="294"/>
      <c r="G1408" s="295"/>
      <c r="H1408" s="107" t="str">
        <f>UPPER(G1407)&amp;" TOTAL"</f>
        <v>PERSONNEL SERVICES TOTAL</v>
      </c>
      <c r="I1408" s="108">
        <f t="shared" ref="I1408" si="1807">SUBTOTAL(9,I1400:I1407)</f>
        <v>634566.5199999999</v>
      </c>
      <c r="J1408" s="108">
        <f t="shared" ref="J1408:P1408" si="1808">SUBTOTAL(9,J1400:J1407)</f>
        <v>645801.90999999992</v>
      </c>
      <c r="K1408" s="108">
        <f t="shared" ref="K1408" si="1809">SUBTOTAL(9,K1400:K1407)</f>
        <v>694239.12</v>
      </c>
      <c r="L1408" s="108">
        <f t="shared" ref="L1408" si="1810">SUBTOTAL(9,L1400:L1407)</f>
        <v>673470.71</v>
      </c>
      <c r="M1408" s="108">
        <f t="shared" si="1808"/>
        <v>680070</v>
      </c>
      <c r="N1408" s="109">
        <f t="shared" ref="N1408" si="1811">SUBTOTAL(9,N1400:N1407)</f>
        <v>407480.41000000003</v>
      </c>
      <c r="O1408" s="109">
        <f t="shared" si="1808"/>
        <v>569509</v>
      </c>
      <c r="P1408" s="109">
        <f t="shared" si="1808"/>
        <v>-110561</v>
      </c>
      <c r="Q1408" s="109">
        <f t="shared" ref="Q1408:T1408" si="1812">SUBTOTAL(9,Q1400:Q1407)</f>
        <v>698572</v>
      </c>
      <c r="R1408" s="109">
        <f t="shared" si="1812"/>
        <v>0</v>
      </c>
      <c r="S1408" s="109">
        <f t="shared" si="1812"/>
        <v>0</v>
      </c>
      <c r="T1408" s="109">
        <f t="shared" si="1812"/>
        <v>698572</v>
      </c>
      <c r="U1408" s="99">
        <f>T1408-M1408</f>
        <v>18502</v>
      </c>
      <c r="V1408" s="255">
        <f>IF(M1408=0,"N/A",T1408/M1408-1)</f>
        <v>2.7206022909406435E-2</v>
      </c>
      <c r="W1408" s="102"/>
      <c r="X1408" s="102"/>
      <c r="Y1408" s="102"/>
      <c r="Z1408" s="192"/>
      <c r="AA1408" s="615"/>
      <c r="AB1408" s="307"/>
      <c r="AC1408" s="300"/>
      <c r="AD1408" s="300"/>
      <c r="AE1408" s="300"/>
      <c r="AF1408" s="300"/>
      <c r="AG1408" s="300"/>
      <c r="AH1408" s="307"/>
      <c r="AI1408" s="307"/>
      <c r="AJ1408" s="300"/>
      <c r="AK1408" s="300"/>
      <c r="AL1408" s="300"/>
      <c r="AM1408" s="300"/>
      <c r="AN1408" s="300"/>
      <c r="AO1408" s="300"/>
      <c r="AP1408" s="300"/>
      <c r="AQ1408" s="300"/>
      <c r="AR1408" s="300"/>
    </row>
    <row r="1409" spans="1:59" s="115" customFormat="1" ht="15" customHeight="1">
      <c r="A1409" s="555"/>
      <c r="B1409" s="217"/>
      <c r="C1409" s="217"/>
      <c r="D1409" s="101"/>
      <c r="E1409" s="217"/>
      <c r="F1409" s="294"/>
      <c r="G1409" s="295"/>
      <c r="H1409" s="98"/>
      <c r="I1409" s="106"/>
      <c r="J1409" s="106"/>
      <c r="K1409" s="106"/>
      <c r="L1409" s="106"/>
      <c r="M1409" s="106"/>
      <c r="N1409" s="112"/>
      <c r="O1409" s="112"/>
      <c r="P1409" s="112"/>
      <c r="Q1409" s="113"/>
      <c r="R1409" s="113"/>
      <c r="S1409" s="113"/>
      <c r="T1409" s="113"/>
      <c r="U1409" s="99"/>
      <c r="V1409" s="255"/>
      <c r="W1409" s="102"/>
      <c r="X1409" s="102"/>
      <c r="Y1409" s="102"/>
      <c r="Z1409" s="192"/>
      <c r="AA1409" s="615"/>
      <c r="AB1409" s="307"/>
      <c r="AC1409" s="300"/>
      <c r="AD1409" s="300"/>
      <c r="AE1409" s="300"/>
      <c r="AF1409" s="300"/>
      <c r="AG1409" s="300"/>
      <c r="AH1409" s="307"/>
      <c r="AI1409" s="307"/>
      <c r="AJ1409" s="300"/>
      <c r="AK1409" s="300"/>
      <c r="AL1409" s="300"/>
      <c r="AM1409" s="300"/>
      <c r="AN1409" s="300"/>
      <c r="AO1409" s="300"/>
      <c r="AP1409" s="300"/>
      <c r="AQ1409" s="300"/>
      <c r="AR1409" s="300"/>
    </row>
    <row r="1410" spans="1:59" s="115" customFormat="1" ht="15" customHeight="1">
      <c r="A1410" s="555" t="s">
        <v>2870</v>
      </c>
      <c r="B1410" s="217" t="str">
        <f t="shared" si="1786"/>
        <v>100</v>
      </c>
      <c r="C1410" s="217" t="str">
        <f t="shared" si="1787"/>
        <v>50</v>
      </c>
      <c r="D1410" s="101" t="str">
        <f t="shared" si="1788"/>
        <v>503</v>
      </c>
      <c r="E1410" s="217" t="str">
        <f t="shared" si="1789"/>
        <v>100-50-503</v>
      </c>
      <c r="F1410" s="294" t="str">
        <f t="shared" si="1790"/>
        <v>51210</v>
      </c>
      <c r="G1410" s="295" t="str">
        <f>VLOOKUP(F1410,'GL Category'!A:C,3,FALSE)</f>
        <v>Operations &amp; maintenance</v>
      </c>
      <c r="H1410" s="98" t="str">
        <f>VLOOKUP(F1410,'GL Category'!A:C,2,FALSE)</f>
        <v>OFFICE SUPPLIES</v>
      </c>
      <c r="I1410" s="99">
        <f>SUMIF(Import!$B:$B,$A1410,Import!D:D)</f>
        <v>18</v>
      </c>
      <c r="J1410" s="99">
        <f>SUMIF(Import!$B:$B,$A1410,Import!E:E)</f>
        <v>0</v>
      </c>
      <c r="K1410" s="99">
        <f>SUMIF(Import!$B:$B,$A1410,Import!F:F)</f>
        <v>0</v>
      </c>
      <c r="L1410" s="99">
        <f>SUMIF(Import!$B:$B,$A1410,Import!G:G)</f>
        <v>62</v>
      </c>
      <c r="M1410" s="99">
        <f>SUMIF(Import!$B:$B,$A1410,Import!H:H)</f>
        <v>0</v>
      </c>
      <c r="N1410" s="99">
        <f>SUMIF(Import!$B:$B,$A1410,Import!I:I)</f>
        <v>0</v>
      </c>
      <c r="O1410" s="99">
        <f>SUMIF(Import!$B:$B,$A1410,Import!J:J)</f>
        <v>0</v>
      </c>
      <c r="P1410" s="99">
        <f t="shared" ref="P1410:P1422" si="1813">O1410-M1410</f>
        <v>0</v>
      </c>
      <c r="Q1410" s="99">
        <f>SUMIF(Import!$B:$B,$A1410,Import!K:K)</f>
        <v>0</v>
      </c>
      <c r="R1410" s="99">
        <f>SUMIF(Import!$B:$B,$A1410,Import!L:L)</f>
        <v>0</v>
      </c>
      <c r="S1410" s="99">
        <f>SUMIF(Import!$B:$B,$A1410,Import!M:M)</f>
        <v>0</v>
      </c>
      <c r="T1410" s="99">
        <f>SUMIF(Import!$B:$B,$A1410,Import!N:N)</f>
        <v>0</v>
      </c>
      <c r="U1410" s="99">
        <f t="shared" ref="U1410:U1422" si="1814">T1410-M1410</f>
        <v>0</v>
      </c>
      <c r="V1410" s="255" t="str">
        <f t="shared" ref="V1410:V1422" si="1815">IF(M1410=0,"N/A",T1410/M1410-1)</f>
        <v>N/A</v>
      </c>
      <c r="W1410" s="102" t="s">
        <v>2870</v>
      </c>
      <c r="X1410" s="102"/>
      <c r="Y1410" s="102"/>
      <c r="Z1410" s="192"/>
      <c r="AA1410" s="615"/>
      <c r="AB1410" s="307"/>
      <c r="AC1410" s="300"/>
      <c r="AD1410" s="300"/>
      <c r="AE1410" s="300"/>
      <c r="AF1410" s="300"/>
      <c r="AG1410" s="300"/>
      <c r="AH1410" s="307"/>
      <c r="AI1410" s="307"/>
      <c r="AJ1410" s="300"/>
      <c r="AK1410" s="300"/>
      <c r="AL1410" s="300"/>
      <c r="AM1410" s="300"/>
      <c r="AN1410" s="300"/>
      <c r="AO1410" s="300"/>
      <c r="AP1410" s="300"/>
      <c r="AQ1410" s="300"/>
      <c r="AR1410" s="300"/>
    </row>
    <row r="1411" spans="1:59" s="115" customFormat="1" ht="15" customHeight="1">
      <c r="A1411" s="555" t="s">
        <v>2871</v>
      </c>
      <c r="B1411" s="217" t="str">
        <f t="shared" si="1786"/>
        <v>100</v>
      </c>
      <c r="C1411" s="217" t="str">
        <f t="shared" si="1787"/>
        <v>50</v>
      </c>
      <c r="D1411" s="101" t="str">
        <f t="shared" si="1788"/>
        <v>503</v>
      </c>
      <c r="E1411" s="217" t="str">
        <f t="shared" si="1789"/>
        <v>100-50-503</v>
      </c>
      <c r="F1411" s="294" t="str">
        <f t="shared" si="1790"/>
        <v>51245</v>
      </c>
      <c r="G1411" s="295" t="str">
        <f>VLOOKUP(F1411,'GL Category'!A:C,3,FALSE)</f>
        <v>Operations &amp; maintenance</v>
      </c>
      <c r="H1411" s="98" t="str">
        <f>VLOOKUP(F1411,'GL Category'!A:C,2,FALSE)</f>
        <v>SMALL TOOLS &amp; EQUIPMENT</v>
      </c>
      <c r="I1411" s="99">
        <f>SUMIF(Import!$B:$B,$A1411,Import!D:D)</f>
        <v>12479.16</v>
      </c>
      <c r="J1411" s="99">
        <f>SUMIF(Import!$B:$B,$A1411,Import!E:E)</f>
        <v>6293.22</v>
      </c>
      <c r="K1411" s="99">
        <f>SUMIF(Import!$B:$B,$A1411,Import!F:F)</f>
        <v>8131.69</v>
      </c>
      <c r="L1411" s="99">
        <f>SUMIF(Import!$B:$B,$A1411,Import!G:G)</f>
        <v>8425.77</v>
      </c>
      <c r="M1411" s="99">
        <f>SUMIF(Import!$B:$B,$A1411,Import!H:H)</f>
        <v>10940</v>
      </c>
      <c r="N1411" s="99">
        <f>SUMIF(Import!$B:$B,$A1411,Import!I:I)</f>
        <v>2374.39</v>
      </c>
      <c r="O1411" s="99">
        <f>SUMIF(Import!$B:$B,$A1411,Import!J:J)</f>
        <v>9000</v>
      </c>
      <c r="P1411" s="99">
        <f t="shared" si="1813"/>
        <v>-1940</v>
      </c>
      <c r="Q1411" s="99">
        <f>SUMIF(Import!$B:$B,$A1411,Import!K:K)</f>
        <v>9500</v>
      </c>
      <c r="R1411" s="99">
        <f>SUMIF(Import!$B:$B,$A1411,Import!L:L)</f>
        <v>0</v>
      </c>
      <c r="S1411" s="99">
        <f>SUMIF(Import!$B:$B,$A1411,Import!M:M)</f>
        <v>0</v>
      </c>
      <c r="T1411" s="99">
        <f>SUMIF(Import!$B:$B,$A1411,Import!N:N)</f>
        <v>9500</v>
      </c>
      <c r="U1411" s="99">
        <f t="shared" si="1814"/>
        <v>-1440</v>
      </c>
      <c r="V1411" s="255">
        <f t="shared" si="1815"/>
        <v>-0.13162705667276053</v>
      </c>
      <c r="W1411" s="102" t="s">
        <v>2871</v>
      </c>
      <c r="X1411" s="102"/>
      <c r="Y1411" s="102"/>
      <c r="Z1411" s="192"/>
      <c r="AA1411" s="615"/>
      <c r="AB1411" s="307"/>
      <c r="AC1411" s="300"/>
      <c r="AD1411" s="300"/>
      <c r="AE1411" s="300"/>
      <c r="AF1411" s="300"/>
      <c r="AG1411" s="300"/>
      <c r="AH1411" s="307"/>
      <c r="AI1411" s="307"/>
      <c r="AJ1411" s="300"/>
      <c r="AK1411" s="300"/>
      <c r="AL1411" s="300"/>
      <c r="AM1411" s="300"/>
      <c r="AN1411" s="300"/>
      <c r="AO1411" s="300"/>
      <c r="AP1411" s="300"/>
      <c r="AQ1411" s="300"/>
      <c r="AR1411" s="300"/>
    </row>
    <row r="1412" spans="1:59" s="115" customFormat="1" ht="15" customHeight="1">
      <c r="A1412" s="555" t="s">
        <v>2872</v>
      </c>
      <c r="B1412" s="217" t="str">
        <f t="shared" si="1786"/>
        <v>100</v>
      </c>
      <c r="C1412" s="217" t="str">
        <f t="shared" si="1787"/>
        <v>50</v>
      </c>
      <c r="D1412" s="101" t="str">
        <f t="shared" si="1788"/>
        <v>503</v>
      </c>
      <c r="E1412" s="217" t="str">
        <f t="shared" si="1789"/>
        <v>100-50-503</v>
      </c>
      <c r="F1412" s="294" t="str">
        <f t="shared" si="1790"/>
        <v>51255</v>
      </c>
      <c r="G1412" s="295" t="str">
        <f>VLOOKUP(F1412,'GL Category'!A:C,3,FALSE)</f>
        <v>Operations &amp; maintenance</v>
      </c>
      <c r="H1412" s="98" t="str">
        <f>VLOOKUP(F1412,'GL Category'!A:C,2,FALSE)</f>
        <v>FUEL/OILS/LUBRICANTS</v>
      </c>
      <c r="I1412" s="99">
        <f>SUMIF(Import!$B:$B,$A1412,Import!D:D)</f>
        <v>17585.46</v>
      </c>
      <c r="J1412" s="99">
        <f>SUMIF(Import!$B:$B,$A1412,Import!E:E)</f>
        <v>21806.12</v>
      </c>
      <c r="K1412" s="99">
        <f>SUMIF(Import!$B:$B,$A1412,Import!F:F)</f>
        <v>35876.93</v>
      </c>
      <c r="L1412" s="99">
        <f>SUMIF(Import!$B:$B,$A1412,Import!G:G)</f>
        <v>14911.78</v>
      </c>
      <c r="M1412" s="99">
        <f>SUMIF(Import!$B:$B,$A1412,Import!H:H)</f>
        <v>35000</v>
      </c>
      <c r="N1412" s="99">
        <f>SUMIF(Import!$B:$B,$A1412,Import!I:I)</f>
        <v>7706.1</v>
      </c>
      <c r="O1412" s="99">
        <f>SUMIF(Import!$B:$B,$A1412,Import!J:J)</f>
        <v>35000</v>
      </c>
      <c r="P1412" s="99">
        <f t="shared" si="1813"/>
        <v>0</v>
      </c>
      <c r="Q1412" s="99">
        <f>SUMIF(Import!$B:$B,$A1412,Import!K:K)</f>
        <v>35000</v>
      </c>
      <c r="R1412" s="99">
        <f>SUMIF(Import!$B:$B,$A1412,Import!L:L)</f>
        <v>0</v>
      </c>
      <c r="S1412" s="99">
        <f>SUMIF(Import!$B:$B,$A1412,Import!M:M)</f>
        <v>0</v>
      </c>
      <c r="T1412" s="99">
        <f>SUMIF(Import!$B:$B,$A1412,Import!N:N)</f>
        <v>35000</v>
      </c>
      <c r="U1412" s="99">
        <f t="shared" si="1814"/>
        <v>0</v>
      </c>
      <c r="V1412" s="255">
        <f t="shared" si="1815"/>
        <v>0</v>
      </c>
      <c r="W1412" s="102" t="s">
        <v>2872</v>
      </c>
      <c r="X1412" s="102"/>
      <c r="Y1412" s="102"/>
      <c r="Z1412" s="192"/>
      <c r="AA1412" s="615"/>
      <c r="AB1412" s="307"/>
      <c r="AC1412" s="300"/>
      <c r="AD1412" s="300"/>
      <c r="AE1412" s="300"/>
      <c r="AF1412" s="300"/>
      <c r="AG1412" s="300"/>
      <c r="AH1412" s="307"/>
      <c r="AI1412" s="307"/>
      <c r="AJ1412" s="300"/>
      <c r="AK1412" s="300"/>
      <c r="AL1412" s="300"/>
      <c r="AM1412" s="300"/>
      <c r="AN1412" s="300"/>
      <c r="AO1412" s="300"/>
      <c r="AP1412" s="300"/>
      <c r="AQ1412" s="300"/>
      <c r="AR1412" s="300"/>
    </row>
    <row r="1413" spans="1:59" s="115" customFormat="1" ht="15" customHeight="1">
      <c r="A1413" s="555" t="s">
        <v>2873</v>
      </c>
      <c r="B1413" s="217" t="str">
        <f t="shared" si="1786"/>
        <v>100</v>
      </c>
      <c r="C1413" s="217" t="str">
        <f t="shared" si="1787"/>
        <v>50</v>
      </c>
      <c r="D1413" s="101" t="str">
        <f t="shared" si="1788"/>
        <v>503</v>
      </c>
      <c r="E1413" s="217" t="str">
        <f t="shared" si="1789"/>
        <v>100-50-503</v>
      </c>
      <c r="F1413" s="294" t="str">
        <f t="shared" si="1790"/>
        <v>51265</v>
      </c>
      <c r="G1413" s="295" t="str">
        <f>VLOOKUP(F1413,'GL Category'!A:C,3,FALSE)</f>
        <v>Operations &amp; maintenance</v>
      </c>
      <c r="H1413" s="98" t="str">
        <f>VLOOKUP(F1413,'GL Category'!A:C,2,FALSE)</f>
        <v>STREET SIGN/SIGNAL SUPPLIES</v>
      </c>
      <c r="I1413" s="99">
        <f>SUMIF(Import!$B:$B,$A1413,Import!D:D)</f>
        <v>43987.56</v>
      </c>
      <c r="J1413" s="99">
        <f>SUMIF(Import!$B:$B,$A1413,Import!E:E)</f>
        <v>21716.32</v>
      </c>
      <c r="K1413" s="99">
        <f>SUMIF(Import!$B:$B,$A1413,Import!F:F)</f>
        <v>35487.74</v>
      </c>
      <c r="L1413" s="99">
        <f>SUMIF(Import!$B:$B,$A1413,Import!G:G)</f>
        <v>44433.8</v>
      </c>
      <c r="M1413" s="99">
        <f>SUMIF(Import!$B:$B,$A1413,Import!H:H)</f>
        <v>50000</v>
      </c>
      <c r="N1413" s="99">
        <f>SUMIF(Import!$B:$B,$A1413,Import!I:I)</f>
        <v>8444.9</v>
      </c>
      <c r="O1413" s="99">
        <f>SUMIF(Import!$B:$B,$A1413,Import!J:J)</f>
        <v>45000</v>
      </c>
      <c r="P1413" s="99">
        <f t="shared" si="1813"/>
        <v>-5000</v>
      </c>
      <c r="Q1413" s="99">
        <f>SUMIF(Import!$B:$B,$A1413,Import!K:K)</f>
        <v>50000</v>
      </c>
      <c r="R1413" s="99">
        <f>SUMIF(Import!$B:$B,$A1413,Import!L:L)</f>
        <v>0</v>
      </c>
      <c r="S1413" s="99">
        <f>SUMIF(Import!$B:$B,$A1413,Import!M:M)</f>
        <v>0</v>
      </c>
      <c r="T1413" s="99">
        <f>SUMIF(Import!$B:$B,$A1413,Import!N:N)</f>
        <v>50000</v>
      </c>
      <c r="U1413" s="99">
        <f t="shared" si="1814"/>
        <v>0</v>
      </c>
      <c r="V1413" s="255">
        <f t="shared" si="1815"/>
        <v>0</v>
      </c>
      <c r="W1413" s="102" t="s">
        <v>2873</v>
      </c>
      <c r="X1413" s="102"/>
      <c r="Y1413" s="102"/>
      <c r="Z1413" s="192"/>
      <c r="AA1413" s="615"/>
      <c r="AB1413" s="307"/>
      <c r="AC1413" s="93"/>
      <c r="AD1413" s="93"/>
      <c r="AE1413" s="93"/>
      <c r="AF1413" s="93"/>
      <c r="AG1413" s="93"/>
      <c r="AH1413" s="307"/>
      <c r="AI1413" s="307"/>
      <c r="AJ1413" s="93"/>
      <c r="AK1413" s="93"/>
      <c r="AL1413" s="93"/>
      <c r="AM1413" s="93"/>
      <c r="AN1413" s="93"/>
      <c r="AO1413" s="93"/>
      <c r="AP1413" s="93"/>
      <c r="AQ1413" s="93"/>
      <c r="AR1413" s="93"/>
    </row>
    <row r="1414" spans="1:59" s="115" customFormat="1" ht="15" customHeight="1">
      <c r="A1414" s="555" t="s">
        <v>2874</v>
      </c>
      <c r="B1414" s="217" t="str">
        <f t="shared" si="1786"/>
        <v>100</v>
      </c>
      <c r="C1414" s="217" t="str">
        <f t="shared" si="1787"/>
        <v>50</v>
      </c>
      <c r="D1414" s="101" t="str">
        <f t="shared" si="1788"/>
        <v>503</v>
      </c>
      <c r="E1414" s="217" t="str">
        <f t="shared" si="1789"/>
        <v>100-50-503</v>
      </c>
      <c r="F1414" s="294" t="str">
        <f t="shared" si="1790"/>
        <v>51270</v>
      </c>
      <c r="G1414" s="295" t="str">
        <f>VLOOKUP(F1414,'GL Category'!A:C,3,FALSE)</f>
        <v>Operations &amp; maintenance</v>
      </c>
      <c r="H1414" s="98" t="str">
        <f>VLOOKUP(F1414,'GL Category'!A:C,2,FALSE)</f>
        <v>CHEMICAL SUPPLIES</v>
      </c>
      <c r="I1414" s="99">
        <f>SUMIF(Import!$B:$B,$A1414,Import!D:D)</f>
        <v>2614.11</v>
      </c>
      <c r="J1414" s="99">
        <f>SUMIF(Import!$B:$B,$A1414,Import!E:E)</f>
        <v>159.44</v>
      </c>
      <c r="K1414" s="99">
        <f>SUMIF(Import!$B:$B,$A1414,Import!F:F)</f>
        <v>0</v>
      </c>
      <c r="L1414" s="99">
        <f>SUMIF(Import!$B:$B,$A1414,Import!G:G)</f>
        <v>2208.4</v>
      </c>
      <c r="M1414" s="99">
        <f>SUMIF(Import!$B:$B,$A1414,Import!H:H)</f>
        <v>3000</v>
      </c>
      <c r="N1414" s="99">
        <f>SUMIF(Import!$B:$B,$A1414,Import!I:I)</f>
        <v>0</v>
      </c>
      <c r="O1414" s="99">
        <f>SUMIF(Import!$B:$B,$A1414,Import!J:J)</f>
        <v>2500</v>
      </c>
      <c r="P1414" s="99">
        <f t="shared" si="1813"/>
        <v>-500</v>
      </c>
      <c r="Q1414" s="99">
        <f>SUMIF(Import!$B:$B,$A1414,Import!K:K)</f>
        <v>0</v>
      </c>
      <c r="R1414" s="99">
        <f>SUMIF(Import!$B:$B,$A1414,Import!L:L)</f>
        <v>0</v>
      </c>
      <c r="S1414" s="99">
        <f>SUMIF(Import!$B:$B,$A1414,Import!M:M)</f>
        <v>0</v>
      </c>
      <c r="T1414" s="99">
        <f>SUMIF(Import!$B:$B,$A1414,Import!N:N)</f>
        <v>0</v>
      </c>
      <c r="U1414" s="99">
        <f t="shared" si="1814"/>
        <v>-3000</v>
      </c>
      <c r="V1414" s="255">
        <f t="shared" si="1815"/>
        <v>-1</v>
      </c>
      <c r="W1414" s="102" t="s">
        <v>2874</v>
      </c>
      <c r="X1414" s="102"/>
      <c r="Y1414" s="102"/>
      <c r="Z1414" s="192"/>
      <c r="AA1414" s="615"/>
      <c r="AB1414" s="307"/>
      <c r="AC1414" s="300"/>
      <c r="AD1414" s="300"/>
      <c r="AE1414" s="300"/>
      <c r="AF1414" s="300"/>
      <c r="AG1414" s="300"/>
      <c r="AH1414" s="307"/>
      <c r="AI1414" s="307"/>
      <c r="AJ1414" s="300"/>
      <c r="AK1414" s="300"/>
      <c r="AL1414" s="300"/>
      <c r="AM1414" s="300"/>
      <c r="AN1414" s="300"/>
      <c r="AO1414" s="300"/>
      <c r="AP1414" s="300"/>
      <c r="AQ1414" s="300"/>
      <c r="AR1414" s="300"/>
    </row>
    <row r="1415" spans="1:59" s="115" customFormat="1" ht="15" customHeight="1">
      <c r="A1415" s="555" t="s">
        <v>2875</v>
      </c>
      <c r="B1415" s="217" t="str">
        <f t="shared" si="1786"/>
        <v>100</v>
      </c>
      <c r="C1415" s="217" t="str">
        <f t="shared" si="1787"/>
        <v>50</v>
      </c>
      <c r="D1415" s="101" t="str">
        <f t="shared" si="1788"/>
        <v>503</v>
      </c>
      <c r="E1415" s="217" t="str">
        <f t="shared" si="1789"/>
        <v>100-50-503</v>
      </c>
      <c r="F1415" s="294" t="str">
        <f t="shared" si="1790"/>
        <v>51285</v>
      </c>
      <c r="G1415" s="295" t="str">
        <f>VLOOKUP(F1415,'GL Category'!A:C,3,FALSE)</f>
        <v>Operations &amp; maintenance</v>
      </c>
      <c r="H1415" s="98" t="str">
        <f>VLOOKUP(F1415,'GL Category'!A:C,2,FALSE)</f>
        <v>WEARING APPAREL</v>
      </c>
      <c r="I1415" s="99">
        <f>SUMIF(Import!$B:$B,$A1415,Import!D:D)</f>
        <v>4729.4799999999996</v>
      </c>
      <c r="J1415" s="99">
        <f>SUMIF(Import!$B:$B,$A1415,Import!E:E)</f>
        <v>4722.3900000000003</v>
      </c>
      <c r="K1415" s="99">
        <f>SUMIF(Import!$B:$B,$A1415,Import!F:F)</f>
        <v>5180.83</v>
      </c>
      <c r="L1415" s="99">
        <f>SUMIF(Import!$B:$B,$A1415,Import!G:G)</f>
        <v>5896.23</v>
      </c>
      <c r="M1415" s="99">
        <f>SUMIF(Import!$B:$B,$A1415,Import!H:H)</f>
        <v>6800</v>
      </c>
      <c r="N1415" s="99">
        <f>SUMIF(Import!$B:$B,$A1415,Import!I:I)</f>
        <v>4012.26</v>
      </c>
      <c r="O1415" s="99">
        <f>SUMIF(Import!$B:$B,$A1415,Import!J:J)</f>
        <v>6000</v>
      </c>
      <c r="P1415" s="99">
        <f t="shared" si="1813"/>
        <v>-800</v>
      </c>
      <c r="Q1415" s="99">
        <f>SUMIF(Import!$B:$B,$A1415,Import!K:K)</f>
        <v>6800</v>
      </c>
      <c r="R1415" s="99">
        <f>SUMIF(Import!$B:$B,$A1415,Import!L:L)</f>
        <v>0</v>
      </c>
      <c r="S1415" s="99">
        <f>SUMIF(Import!$B:$B,$A1415,Import!M:M)</f>
        <v>0</v>
      </c>
      <c r="T1415" s="99">
        <f>SUMIF(Import!$B:$B,$A1415,Import!N:N)</f>
        <v>6800</v>
      </c>
      <c r="U1415" s="99">
        <f t="shared" si="1814"/>
        <v>0</v>
      </c>
      <c r="V1415" s="255">
        <f t="shared" si="1815"/>
        <v>0</v>
      </c>
      <c r="W1415" s="102" t="s">
        <v>2875</v>
      </c>
      <c r="X1415" s="102"/>
      <c r="Y1415" s="102"/>
      <c r="Z1415" s="192"/>
      <c r="AA1415" s="615"/>
      <c r="AB1415" s="307"/>
      <c r="AC1415" s="300"/>
      <c r="AD1415" s="300"/>
      <c r="AE1415" s="300"/>
      <c r="AF1415" s="300"/>
      <c r="AG1415" s="300"/>
      <c r="AH1415" s="307"/>
      <c r="AI1415" s="307"/>
      <c r="AJ1415" s="300"/>
      <c r="AK1415" s="300"/>
      <c r="AL1415" s="300"/>
      <c r="AM1415" s="300"/>
      <c r="AN1415" s="300"/>
      <c r="AO1415" s="300"/>
      <c r="AP1415" s="300"/>
      <c r="AQ1415" s="300"/>
      <c r="AR1415" s="300"/>
    </row>
    <row r="1416" spans="1:59" s="115" customFormat="1" ht="15" customHeight="1">
      <c r="A1416" s="555" t="s">
        <v>2876</v>
      </c>
      <c r="B1416" s="217" t="str">
        <f t="shared" si="1786"/>
        <v>100</v>
      </c>
      <c r="C1416" s="217" t="str">
        <f t="shared" si="1787"/>
        <v>50</v>
      </c>
      <c r="D1416" s="101" t="str">
        <f t="shared" si="1788"/>
        <v>503</v>
      </c>
      <c r="E1416" s="217" t="str">
        <f t="shared" si="1789"/>
        <v>100-50-503</v>
      </c>
      <c r="F1416" s="294" t="str">
        <f t="shared" si="1790"/>
        <v>51287</v>
      </c>
      <c r="G1416" s="295" t="str">
        <f>VLOOKUP(F1416,'GL Category'!A:C,3,FALSE)</f>
        <v>Operations &amp; maintenance</v>
      </c>
      <c r="H1416" s="98" t="str">
        <f>VLOOKUP(F1416,'GL Category'!A:C,2,FALSE)</f>
        <v>SAFETY EQUIPMENT/SUPPLIES</v>
      </c>
      <c r="I1416" s="99">
        <f>SUMIF(Import!$B:$B,$A1416,Import!D:D)</f>
        <v>4787.43</v>
      </c>
      <c r="J1416" s="99">
        <f>SUMIF(Import!$B:$B,$A1416,Import!E:E)</f>
        <v>6942.99</v>
      </c>
      <c r="K1416" s="99">
        <f>SUMIF(Import!$B:$B,$A1416,Import!F:F)</f>
        <v>7743.42</v>
      </c>
      <c r="L1416" s="99">
        <f>SUMIF(Import!$B:$B,$A1416,Import!G:G)</f>
        <v>3051.72</v>
      </c>
      <c r="M1416" s="99">
        <f>SUMIF(Import!$B:$B,$A1416,Import!H:H)</f>
        <v>4900</v>
      </c>
      <c r="N1416" s="99">
        <f>SUMIF(Import!$B:$B,$A1416,Import!I:I)</f>
        <v>3038.34</v>
      </c>
      <c r="O1416" s="99">
        <f>SUMIF(Import!$B:$B,$A1416,Import!J:J)</f>
        <v>4900</v>
      </c>
      <c r="P1416" s="99">
        <f t="shared" si="1813"/>
        <v>0</v>
      </c>
      <c r="Q1416" s="99">
        <f>SUMIF(Import!$B:$B,$A1416,Import!K:K)</f>
        <v>6000</v>
      </c>
      <c r="R1416" s="99">
        <f>SUMIF(Import!$B:$B,$A1416,Import!L:L)</f>
        <v>0</v>
      </c>
      <c r="S1416" s="99">
        <f>SUMIF(Import!$B:$B,$A1416,Import!M:M)</f>
        <v>0</v>
      </c>
      <c r="T1416" s="99">
        <f>SUMIF(Import!$B:$B,$A1416,Import!N:N)</f>
        <v>6000</v>
      </c>
      <c r="U1416" s="99">
        <f t="shared" si="1814"/>
        <v>1100</v>
      </c>
      <c r="V1416" s="255">
        <f t="shared" si="1815"/>
        <v>0.22448979591836737</v>
      </c>
      <c r="W1416" s="102" t="s">
        <v>2876</v>
      </c>
      <c r="X1416" s="102"/>
      <c r="Y1416" s="102"/>
      <c r="Z1416" s="192"/>
      <c r="AA1416" s="615"/>
      <c r="AB1416" s="307"/>
      <c r="AC1416" s="300"/>
      <c r="AD1416" s="300"/>
      <c r="AE1416" s="300"/>
      <c r="AF1416" s="300"/>
      <c r="AG1416" s="300"/>
      <c r="AH1416" s="307"/>
      <c r="AI1416" s="307"/>
      <c r="AJ1416" s="300"/>
      <c r="AK1416" s="300"/>
      <c r="AL1416" s="300"/>
      <c r="AM1416" s="300"/>
      <c r="AN1416" s="300"/>
      <c r="AO1416" s="300"/>
      <c r="AP1416" s="300"/>
      <c r="AQ1416" s="300"/>
      <c r="AR1416" s="300"/>
    </row>
    <row r="1417" spans="1:59" s="115" customFormat="1" ht="15" customHeight="1">
      <c r="A1417" s="555" t="s">
        <v>2877</v>
      </c>
      <c r="B1417" s="217" t="str">
        <f t="shared" si="1786"/>
        <v>100</v>
      </c>
      <c r="C1417" s="217" t="str">
        <f t="shared" si="1787"/>
        <v>50</v>
      </c>
      <c r="D1417" s="101" t="str">
        <f t="shared" si="1788"/>
        <v>503</v>
      </c>
      <c r="E1417" s="217" t="str">
        <f t="shared" si="1789"/>
        <v>100-50-503</v>
      </c>
      <c r="F1417" s="294" t="str">
        <f t="shared" si="1790"/>
        <v>51299</v>
      </c>
      <c r="G1417" s="295" t="str">
        <f>VLOOKUP(F1417,'GL Category'!A:C,3,FALSE)</f>
        <v>Operations &amp; maintenance</v>
      </c>
      <c r="H1417" s="98" t="str">
        <f>VLOOKUP(F1417,'GL Category'!A:C,2,FALSE)</f>
        <v>MISCELLANEOUS SUPPLIES</v>
      </c>
      <c r="I1417" s="99">
        <f>SUMIF(Import!$B:$B,$A1417,Import!D:D)</f>
        <v>0</v>
      </c>
      <c r="J1417" s="99">
        <f>SUMIF(Import!$B:$B,$A1417,Import!E:E)</f>
        <v>0</v>
      </c>
      <c r="K1417" s="99">
        <f>SUMIF(Import!$B:$B,$A1417,Import!F:F)</f>
        <v>0</v>
      </c>
      <c r="L1417" s="99">
        <f>SUMIF(Import!$B:$B,$A1417,Import!G:G)</f>
        <v>0</v>
      </c>
      <c r="M1417" s="99">
        <f>SUMIF(Import!$B:$B,$A1417,Import!H:H)</f>
        <v>0</v>
      </c>
      <c r="N1417" s="99">
        <f>SUMIF(Import!$B:$B,$A1417,Import!I:I)</f>
        <v>0</v>
      </c>
      <c r="O1417" s="99">
        <f>SUMIF(Import!$B:$B,$A1417,Import!J:J)</f>
        <v>0</v>
      </c>
      <c r="P1417" s="99">
        <f t="shared" si="1813"/>
        <v>0</v>
      </c>
      <c r="Q1417" s="99">
        <f>SUMIF(Import!$B:$B,$A1417,Import!K:K)</f>
        <v>0</v>
      </c>
      <c r="R1417" s="99">
        <f>SUMIF(Import!$B:$B,$A1417,Import!L:L)</f>
        <v>0</v>
      </c>
      <c r="S1417" s="99">
        <f>SUMIF(Import!$B:$B,$A1417,Import!M:M)</f>
        <v>0</v>
      </c>
      <c r="T1417" s="99">
        <f>SUMIF(Import!$B:$B,$A1417,Import!N:N)</f>
        <v>0</v>
      </c>
      <c r="U1417" s="99">
        <f t="shared" si="1814"/>
        <v>0</v>
      </c>
      <c r="V1417" s="255" t="str">
        <f t="shared" si="1815"/>
        <v>N/A</v>
      </c>
      <c r="W1417" s="102" t="s">
        <v>2877</v>
      </c>
      <c r="X1417" s="102"/>
      <c r="Y1417" s="102"/>
      <c r="Z1417" s="192"/>
      <c r="AA1417" s="615"/>
      <c r="AB1417" s="307"/>
      <c r="AC1417" s="94"/>
      <c r="AD1417" s="94"/>
      <c r="AE1417" s="94"/>
      <c r="AF1417" s="94"/>
      <c r="AG1417" s="94"/>
      <c r="AH1417" s="307"/>
      <c r="AI1417" s="307"/>
      <c r="AJ1417" s="94"/>
      <c r="AK1417" s="94"/>
      <c r="AL1417" s="94"/>
      <c r="AM1417" s="94"/>
      <c r="AN1417" s="94"/>
      <c r="AO1417" s="94"/>
      <c r="AP1417" s="94"/>
      <c r="AQ1417" s="94"/>
      <c r="AR1417" s="94"/>
    </row>
    <row r="1418" spans="1:59" s="115" customFormat="1" ht="15" customHeight="1">
      <c r="A1418" s="555" t="s">
        <v>2878</v>
      </c>
      <c r="B1418" s="217" t="str">
        <f t="shared" si="1786"/>
        <v>100</v>
      </c>
      <c r="C1418" s="217" t="str">
        <f t="shared" si="1787"/>
        <v>50</v>
      </c>
      <c r="D1418" s="101" t="str">
        <f t="shared" si="1788"/>
        <v>503</v>
      </c>
      <c r="E1418" s="217" t="str">
        <f t="shared" si="1789"/>
        <v>100-50-503</v>
      </c>
      <c r="F1418" s="294" t="str">
        <f t="shared" si="1790"/>
        <v>52320</v>
      </c>
      <c r="G1418" s="295" t="str">
        <f>VLOOKUP(F1418,'GL Category'!A:C,3,FALSE)</f>
        <v>Operations &amp; maintenance</v>
      </c>
      <c r="H1418" s="98" t="str">
        <f>VLOOKUP(F1418,'GL Category'!A:C,2,FALSE)</f>
        <v>STREET MAINTENANCE</v>
      </c>
      <c r="I1418" s="99">
        <f>SUMIF(Import!$B:$B,$A1418,Import!D:D)</f>
        <v>599591.39</v>
      </c>
      <c r="J1418" s="99">
        <f>SUMIF(Import!$B:$B,$A1418,Import!E:E)</f>
        <v>659877.4</v>
      </c>
      <c r="K1418" s="99">
        <f>SUMIF(Import!$B:$B,$A1418,Import!F:F)</f>
        <v>599125.01</v>
      </c>
      <c r="L1418" s="99">
        <f>SUMIF(Import!$B:$B,$A1418,Import!G:G)</f>
        <v>225237.21</v>
      </c>
      <c r="M1418" s="99">
        <f>SUMIF(Import!$B:$B,$A1418,Import!H:H)</f>
        <v>848000</v>
      </c>
      <c r="N1418" s="99">
        <f>SUMIF(Import!$B:$B,$A1418,Import!I:I)</f>
        <v>86013.64</v>
      </c>
      <c r="O1418" s="99">
        <f>SUMIF(Import!$B:$B,$A1418,Import!J:J)</f>
        <v>700000</v>
      </c>
      <c r="P1418" s="99">
        <f t="shared" si="1813"/>
        <v>-148000</v>
      </c>
      <c r="Q1418" s="99">
        <f>SUMIF(Import!$B:$B,$A1418,Import!K:K)</f>
        <v>835000</v>
      </c>
      <c r="R1418" s="99">
        <f>SUMIF(Import!$B:$B,$A1418,Import!L:L)</f>
        <v>0</v>
      </c>
      <c r="S1418" s="99">
        <f>SUMIF(Import!$B:$B,$A1418,Import!M:M)</f>
        <v>0</v>
      </c>
      <c r="T1418" s="99">
        <f>SUMIF(Import!$B:$B,$A1418,Import!N:N)</f>
        <v>835000</v>
      </c>
      <c r="U1418" s="99">
        <f t="shared" si="1814"/>
        <v>-13000</v>
      </c>
      <c r="V1418" s="255">
        <f t="shared" si="1815"/>
        <v>-1.5330188679245293E-2</v>
      </c>
      <c r="W1418" s="102" t="s">
        <v>2878</v>
      </c>
      <c r="X1418" s="102"/>
      <c r="Y1418" s="102"/>
      <c r="Z1418" s="192"/>
      <c r="AA1418" s="615"/>
      <c r="AB1418" s="307"/>
      <c r="AC1418" s="300"/>
      <c r="AD1418" s="300"/>
      <c r="AE1418" s="300"/>
      <c r="AF1418" s="300"/>
      <c r="AG1418" s="300"/>
      <c r="AH1418" s="307"/>
      <c r="AI1418" s="307"/>
      <c r="AJ1418" s="300"/>
      <c r="AK1418" s="300"/>
      <c r="AL1418" s="300"/>
      <c r="AM1418" s="300"/>
      <c r="AN1418" s="300"/>
      <c r="AO1418" s="300"/>
      <c r="AP1418" s="300"/>
      <c r="AQ1418" s="300"/>
      <c r="AR1418" s="300"/>
    </row>
    <row r="1419" spans="1:59" s="115" customFormat="1" ht="15" customHeight="1">
      <c r="A1419" s="555" t="s">
        <v>2879</v>
      </c>
      <c r="B1419" s="217" t="str">
        <f t="shared" si="1786"/>
        <v>100</v>
      </c>
      <c r="C1419" s="217" t="str">
        <f t="shared" si="1787"/>
        <v>50</v>
      </c>
      <c r="D1419" s="101" t="str">
        <f t="shared" si="1788"/>
        <v>503</v>
      </c>
      <c r="E1419" s="217" t="str">
        <f t="shared" si="1789"/>
        <v>100-50-503</v>
      </c>
      <c r="F1419" s="294" t="str">
        <f t="shared" si="1790"/>
        <v>52350</v>
      </c>
      <c r="G1419" s="295" t="str">
        <f>VLOOKUP(F1419,'GL Category'!A:C,3,FALSE)</f>
        <v>Operations &amp; maintenance</v>
      </c>
      <c r="H1419" s="98" t="str">
        <f>VLOOKUP(F1419,'GL Category'!A:C,2,FALSE)</f>
        <v>SIGN &amp; SIGNAL MAINTENANCE</v>
      </c>
      <c r="I1419" s="99">
        <f>SUMIF(Import!$B:$B,$A1419,Import!D:D)</f>
        <v>14560.73</v>
      </c>
      <c r="J1419" s="99">
        <f>SUMIF(Import!$B:$B,$A1419,Import!E:E)</f>
        <v>89237.39</v>
      </c>
      <c r="K1419" s="99">
        <f>SUMIF(Import!$B:$B,$A1419,Import!F:F)</f>
        <v>39656</v>
      </c>
      <c r="L1419" s="99">
        <f>SUMIF(Import!$B:$B,$A1419,Import!G:G)</f>
        <v>27286.41</v>
      </c>
      <c r="M1419" s="99">
        <f>SUMIF(Import!$B:$B,$A1419,Import!H:H)</f>
        <v>25000</v>
      </c>
      <c r="N1419" s="99">
        <f>SUMIF(Import!$B:$B,$A1419,Import!I:I)</f>
        <v>47216.959999999999</v>
      </c>
      <c r="O1419" s="99">
        <f>SUMIF(Import!$B:$B,$A1419,Import!J:J)</f>
        <v>100000</v>
      </c>
      <c r="P1419" s="99">
        <f t="shared" si="1813"/>
        <v>75000</v>
      </c>
      <c r="Q1419" s="99">
        <f>SUMIF(Import!$B:$B,$A1419,Import!K:K)</f>
        <v>36000</v>
      </c>
      <c r="R1419" s="99">
        <f>SUMIF(Import!$B:$B,$A1419,Import!L:L)</f>
        <v>0</v>
      </c>
      <c r="S1419" s="99">
        <f>SUMIF(Import!$B:$B,$A1419,Import!M:M)</f>
        <v>0</v>
      </c>
      <c r="T1419" s="99">
        <f>SUMIF(Import!$B:$B,$A1419,Import!N:N)</f>
        <v>36000</v>
      </c>
      <c r="U1419" s="99">
        <f t="shared" si="1814"/>
        <v>11000</v>
      </c>
      <c r="V1419" s="255">
        <f t="shared" si="1815"/>
        <v>0.43999999999999995</v>
      </c>
      <c r="W1419" s="102" t="s">
        <v>2879</v>
      </c>
      <c r="X1419" s="102"/>
      <c r="Y1419" s="102"/>
      <c r="Z1419" s="192"/>
      <c r="AA1419" s="615"/>
      <c r="AB1419" s="307"/>
      <c r="AC1419" s="300"/>
      <c r="AD1419" s="300"/>
      <c r="AE1419" s="300"/>
      <c r="AF1419" s="300"/>
      <c r="AG1419" s="300"/>
      <c r="AH1419" s="307"/>
      <c r="AI1419" s="307"/>
      <c r="AJ1419" s="300"/>
      <c r="AK1419" s="300"/>
      <c r="AL1419" s="300"/>
      <c r="AM1419" s="300"/>
      <c r="AN1419" s="300"/>
      <c r="AO1419" s="300"/>
      <c r="AP1419" s="300"/>
      <c r="AQ1419" s="300"/>
      <c r="AR1419" s="300"/>
    </row>
    <row r="1420" spans="1:59" s="115" customFormat="1" ht="15" customHeight="1">
      <c r="A1420" s="555" t="s">
        <v>2880</v>
      </c>
      <c r="B1420" s="217" t="str">
        <f t="shared" si="1786"/>
        <v>100</v>
      </c>
      <c r="C1420" s="217" t="str">
        <f t="shared" si="1787"/>
        <v>50</v>
      </c>
      <c r="D1420" s="101" t="str">
        <f t="shared" si="1788"/>
        <v>503</v>
      </c>
      <c r="E1420" s="217" t="str">
        <f t="shared" si="1789"/>
        <v>100-50-503</v>
      </c>
      <c r="F1420" s="294" t="str">
        <f t="shared" si="1790"/>
        <v>52440</v>
      </c>
      <c r="G1420" s="295" t="str">
        <f>VLOOKUP(F1420,'GL Category'!A:C,3,FALSE)</f>
        <v>Operations &amp; maintenance</v>
      </c>
      <c r="H1420" s="98" t="str">
        <f>VLOOKUP(F1420,'GL Category'!A:C,2,FALSE)</f>
        <v>RADIO MAINTENANCE</v>
      </c>
      <c r="I1420" s="99">
        <f>SUMIF(Import!$B:$B,$A1420,Import!D:D)</f>
        <v>12819.53</v>
      </c>
      <c r="J1420" s="99">
        <f>SUMIF(Import!$B:$B,$A1420,Import!E:E)</f>
        <v>1420.44</v>
      </c>
      <c r="K1420" s="99">
        <f>SUMIF(Import!$B:$B,$A1420,Import!F:F)</f>
        <v>874.29</v>
      </c>
      <c r="L1420" s="99">
        <f>SUMIF(Import!$B:$B,$A1420,Import!G:G)</f>
        <v>299.7</v>
      </c>
      <c r="M1420" s="99">
        <f>SUMIF(Import!$B:$B,$A1420,Import!H:H)</f>
        <v>500</v>
      </c>
      <c r="N1420" s="99">
        <f>SUMIF(Import!$B:$B,$A1420,Import!I:I)</f>
        <v>233.13</v>
      </c>
      <c r="O1420" s="99">
        <f>SUMIF(Import!$B:$B,$A1420,Import!J:J)</f>
        <v>500</v>
      </c>
      <c r="P1420" s="99">
        <f t="shared" si="1813"/>
        <v>0</v>
      </c>
      <c r="Q1420" s="99">
        <f>SUMIF(Import!$B:$B,$A1420,Import!K:K)</f>
        <v>500</v>
      </c>
      <c r="R1420" s="99">
        <f>SUMIF(Import!$B:$B,$A1420,Import!L:L)</f>
        <v>0</v>
      </c>
      <c r="S1420" s="99">
        <f>SUMIF(Import!$B:$B,$A1420,Import!M:M)</f>
        <v>0</v>
      </c>
      <c r="T1420" s="99">
        <f>SUMIF(Import!$B:$B,$A1420,Import!N:N)</f>
        <v>500</v>
      </c>
      <c r="U1420" s="99">
        <f t="shared" si="1814"/>
        <v>0</v>
      </c>
      <c r="V1420" s="255">
        <f t="shared" si="1815"/>
        <v>0</v>
      </c>
      <c r="W1420" s="102" t="s">
        <v>2880</v>
      </c>
      <c r="X1420" s="102"/>
      <c r="Y1420" s="102"/>
      <c r="Z1420" s="192"/>
      <c r="AA1420" s="615"/>
      <c r="AB1420" s="307"/>
      <c r="AC1420" s="300"/>
      <c r="AD1420" s="300"/>
      <c r="AE1420" s="300"/>
      <c r="AF1420" s="300"/>
      <c r="AG1420" s="300"/>
      <c r="AH1420" s="307"/>
      <c r="AI1420" s="307"/>
      <c r="AJ1420" s="300"/>
      <c r="AK1420" s="300"/>
      <c r="AL1420" s="300"/>
      <c r="AM1420" s="300"/>
      <c r="AN1420" s="300"/>
      <c r="AO1420" s="300"/>
      <c r="AP1420" s="300"/>
      <c r="AQ1420" s="300"/>
      <c r="AR1420" s="300"/>
    </row>
    <row r="1421" spans="1:59" s="115" customFormat="1" ht="15" customHeight="1">
      <c r="A1421" s="555" t="s">
        <v>2881</v>
      </c>
      <c r="B1421" s="217" t="str">
        <f t="shared" si="1786"/>
        <v>100</v>
      </c>
      <c r="C1421" s="217" t="str">
        <f t="shared" si="1787"/>
        <v>50</v>
      </c>
      <c r="D1421" s="101" t="str">
        <f t="shared" si="1788"/>
        <v>503</v>
      </c>
      <c r="E1421" s="217" t="str">
        <f t="shared" si="1789"/>
        <v>100-50-503</v>
      </c>
      <c r="F1421" s="294" t="str">
        <f t="shared" si="1790"/>
        <v>52460</v>
      </c>
      <c r="G1421" s="295" t="str">
        <f>VLOOKUP(F1421,'GL Category'!A:C,3,FALSE)</f>
        <v>Operations &amp; maintenance</v>
      </c>
      <c r="H1421" s="98" t="str">
        <f>VLOOKUP(F1421,'GL Category'!A:C,2,FALSE)</f>
        <v>VEHICLE MAINTENANCE</v>
      </c>
      <c r="I1421" s="99">
        <f>SUMIF(Import!$B:$B,$A1421,Import!D:D)</f>
        <v>17093.310000000001</v>
      </c>
      <c r="J1421" s="99">
        <f>SUMIF(Import!$B:$B,$A1421,Import!E:E)</f>
        <v>19575.43</v>
      </c>
      <c r="K1421" s="99">
        <f>SUMIF(Import!$B:$B,$A1421,Import!F:F)</f>
        <v>33390.370000000003</v>
      </c>
      <c r="L1421" s="99">
        <f>SUMIF(Import!$B:$B,$A1421,Import!G:G)</f>
        <v>29430.799999999999</v>
      </c>
      <c r="M1421" s="99">
        <f>SUMIF(Import!$B:$B,$A1421,Import!H:H)</f>
        <v>21897</v>
      </c>
      <c r="N1421" s="99">
        <f>SUMIF(Import!$B:$B,$A1421,Import!I:I)</f>
        <v>12336.5</v>
      </c>
      <c r="O1421" s="99">
        <f>SUMIF(Import!$B:$B,$A1421,Import!J:J)</f>
        <v>21897</v>
      </c>
      <c r="P1421" s="99">
        <f t="shared" si="1813"/>
        <v>0</v>
      </c>
      <c r="Q1421" s="99">
        <f>SUMIF(Import!$B:$B,$A1421,Import!K:K)</f>
        <v>25000</v>
      </c>
      <c r="R1421" s="99">
        <f>SUMIF(Import!$B:$B,$A1421,Import!L:L)</f>
        <v>0</v>
      </c>
      <c r="S1421" s="99">
        <f>SUMIF(Import!$B:$B,$A1421,Import!M:M)</f>
        <v>0</v>
      </c>
      <c r="T1421" s="99">
        <f>SUMIF(Import!$B:$B,$A1421,Import!N:N)</f>
        <v>25000</v>
      </c>
      <c r="U1421" s="99">
        <f t="shared" si="1814"/>
        <v>3103</v>
      </c>
      <c r="V1421" s="255">
        <f t="shared" si="1815"/>
        <v>0.14170890989633289</v>
      </c>
      <c r="W1421" s="102" t="s">
        <v>2881</v>
      </c>
      <c r="X1421" s="102"/>
      <c r="Y1421" s="102"/>
      <c r="Z1421" s="192"/>
      <c r="AA1421" s="615"/>
      <c r="AB1421" s="307"/>
      <c r="AC1421" s="300"/>
      <c r="AD1421" s="300"/>
      <c r="AE1421" s="300"/>
      <c r="AF1421" s="300"/>
      <c r="AG1421" s="300"/>
      <c r="AH1421" s="307"/>
      <c r="AI1421" s="307"/>
      <c r="AJ1421" s="300"/>
      <c r="AK1421" s="300"/>
      <c r="AL1421" s="300"/>
      <c r="AM1421" s="300"/>
      <c r="AN1421" s="300"/>
      <c r="AO1421" s="300"/>
      <c r="AP1421" s="300"/>
      <c r="AQ1421" s="300"/>
      <c r="AR1421" s="300"/>
    </row>
    <row r="1422" spans="1:59" s="115" customFormat="1" ht="15" customHeight="1">
      <c r="A1422" s="555" t="s">
        <v>2882</v>
      </c>
      <c r="B1422" s="217" t="str">
        <f t="shared" si="1786"/>
        <v>100</v>
      </c>
      <c r="C1422" s="217" t="str">
        <f t="shared" si="1787"/>
        <v>50</v>
      </c>
      <c r="D1422" s="101" t="str">
        <f t="shared" si="1788"/>
        <v>503</v>
      </c>
      <c r="E1422" s="217" t="str">
        <f t="shared" si="1789"/>
        <v>100-50-503</v>
      </c>
      <c r="F1422" s="294" t="str">
        <f t="shared" si="1790"/>
        <v>52470</v>
      </c>
      <c r="G1422" s="295" t="str">
        <f>VLOOKUP(F1422,'GL Category'!A:C,3,FALSE)</f>
        <v>Operations &amp; maintenance</v>
      </c>
      <c r="H1422" s="98" t="str">
        <f>VLOOKUP(F1422,'GL Category'!A:C,2,FALSE)</f>
        <v>EQUIPMENT MAINTENANCE</v>
      </c>
      <c r="I1422" s="99">
        <f>SUMIF(Import!$B:$B,$A1422,Import!D:D)</f>
        <v>9947.2800000000007</v>
      </c>
      <c r="J1422" s="99">
        <f>SUMIF(Import!$B:$B,$A1422,Import!E:E)</f>
        <v>20746.89</v>
      </c>
      <c r="K1422" s="99">
        <f>SUMIF(Import!$B:$B,$A1422,Import!F:F)</f>
        <v>22427.69</v>
      </c>
      <c r="L1422" s="99">
        <f>SUMIF(Import!$B:$B,$A1422,Import!G:G)</f>
        <v>39729.269999999997</v>
      </c>
      <c r="M1422" s="99">
        <f>SUMIF(Import!$B:$B,$A1422,Import!H:H)</f>
        <v>23500</v>
      </c>
      <c r="N1422" s="99">
        <f>SUMIF(Import!$B:$B,$A1422,Import!I:I)</f>
        <v>24890.799999999999</v>
      </c>
      <c r="O1422" s="99">
        <f>SUMIF(Import!$B:$B,$A1422,Import!J:J)</f>
        <v>23500</v>
      </c>
      <c r="P1422" s="99">
        <f t="shared" si="1813"/>
        <v>0</v>
      </c>
      <c r="Q1422" s="99">
        <f>SUMIF(Import!$B:$B,$A1422,Import!K:K)</f>
        <v>23500</v>
      </c>
      <c r="R1422" s="99">
        <f>SUMIF(Import!$B:$B,$A1422,Import!L:L)</f>
        <v>0</v>
      </c>
      <c r="S1422" s="99">
        <f>SUMIF(Import!$B:$B,$A1422,Import!M:M)</f>
        <v>0</v>
      </c>
      <c r="T1422" s="99">
        <f>SUMIF(Import!$B:$B,$A1422,Import!N:N)</f>
        <v>23500</v>
      </c>
      <c r="U1422" s="99">
        <f t="shared" si="1814"/>
        <v>0</v>
      </c>
      <c r="V1422" s="255">
        <f t="shared" si="1815"/>
        <v>0</v>
      </c>
      <c r="W1422" s="102" t="s">
        <v>2882</v>
      </c>
      <c r="X1422" s="102"/>
      <c r="Y1422" s="102"/>
      <c r="Z1422" s="192"/>
      <c r="AA1422" s="615"/>
      <c r="AB1422" s="307"/>
      <c r="AC1422" s="300"/>
      <c r="AD1422" s="300"/>
      <c r="AE1422" s="300"/>
      <c r="AF1422" s="300"/>
      <c r="AG1422" s="300"/>
      <c r="AH1422" s="307"/>
      <c r="AI1422" s="307"/>
      <c r="AJ1422" s="300"/>
      <c r="AK1422" s="300"/>
      <c r="AL1422" s="300"/>
      <c r="AM1422" s="300"/>
      <c r="AN1422" s="300"/>
      <c r="AO1422" s="300"/>
      <c r="AP1422" s="300"/>
      <c r="AQ1422" s="300"/>
      <c r="AR1422" s="300"/>
    </row>
    <row r="1423" spans="1:59" ht="24" customHeight="1">
      <c r="A1423" s="555"/>
      <c r="B1423" s="217"/>
      <c r="C1423" s="217"/>
      <c r="D1423" s="101"/>
      <c r="E1423" s="217"/>
      <c r="F1423" s="294"/>
      <c r="G1423" s="295"/>
      <c r="H1423" s="107" t="str">
        <f>UPPER(G1422)&amp;" TOTAL"</f>
        <v>OPERATIONS &amp; MAINTENANCE TOTAL</v>
      </c>
      <c r="I1423" s="109">
        <f t="shared" ref="I1423" si="1816">SUBTOTAL(9,I1410:I1422)</f>
        <v>740213.44000000006</v>
      </c>
      <c r="J1423" s="109">
        <f t="shared" ref="J1423:T1423" si="1817">SUBTOTAL(9,J1410:J1422)</f>
        <v>852498.03</v>
      </c>
      <c r="K1423" s="109">
        <f t="shared" ref="K1423" si="1818">SUBTOTAL(9,K1410:K1422)</f>
        <v>787893.97</v>
      </c>
      <c r="L1423" s="109">
        <f t="shared" ref="L1423" si="1819">SUBTOTAL(9,L1410:L1422)</f>
        <v>400973.08999999997</v>
      </c>
      <c r="M1423" s="109">
        <f t="shared" si="1817"/>
        <v>1029537</v>
      </c>
      <c r="N1423" s="109">
        <f t="shared" ref="N1423" si="1820">SUBTOTAL(9,N1410:N1422)</f>
        <v>196267.02</v>
      </c>
      <c r="O1423" s="109">
        <f t="shared" si="1817"/>
        <v>948297</v>
      </c>
      <c r="P1423" s="109">
        <f t="shared" si="1817"/>
        <v>-81240</v>
      </c>
      <c r="Q1423" s="109">
        <f t="shared" si="1817"/>
        <v>1027300</v>
      </c>
      <c r="R1423" s="109">
        <f t="shared" si="1817"/>
        <v>0</v>
      </c>
      <c r="S1423" s="109">
        <f t="shared" si="1817"/>
        <v>0</v>
      </c>
      <c r="T1423" s="109">
        <f t="shared" si="1817"/>
        <v>1027300</v>
      </c>
      <c r="U1423" s="99">
        <f>T1423-M1423</f>
        <v>-2237</v>
      </c>
      <c r="V1423" s="255">
        <f>IF(M1423=0,"N/A",T1423/M1423-1)</f>
        <v>-2.1728213750452641E-3</v>
      </c>
      <c r="W1423" s="102"/>
      <c r="X1423" s="102"/>
      <c r="Y1423" s="102"/>
      <c r="Z1423" s="88"/>
      <c r="AA1423" s="616"/>
      <c r="AB1423" s="623"/>
      <c r="AC1423" s="300"/>
      <c r="AD1423" s="300"/>
      <c r="AE1423" s="300"/>
      <c r="AF1423" s="300"/>
      <c r="AG1423" s="300"/>
      <c r="AH1423" s="623"/>
      <c r="AI1423" s="623"/>
      <c r="AJ1423" s="300"/>
      <c r="AK1423" s="300"/>
      <c r="AL1423" s="300"/>
      <c r="AM1423" s="300"/>
      <c r="AN1423" s="300"/>
      <c r="AO1423" s="300"/>
      <c r="AP1423" s="300"/>
      <c r="AQ1423" s="300"/>
      <c r="AR1423" s="300"/>
      <c r="AS1423" s="68"/>
      <c r="AT1423" s="68"/>
      <c r="AU1423" s="68"/>
      <c r="AV1423" s="68"/>
      <c r="AW1423" s="68"/>
      <c r="AX1423" s="68"/>
      <c r="AY1423" s="68"/>
      <c r="AZ1423" s="68"/>
      <c r="BA1423" s="68"/>
      <c r="BB1423" s="68"/>
      <c r="BC1423" s="68"/>
      <c r="BD1423" s="68"/>
      <c r="BE1423" s="68"/>
      <c r="BF1423" s="68"/>
      <c r="BG1423" s="68"/>
    </row>
    <row r="1424" spans="1:59" ht="15" customHeight="1">
      <c r="A1424" s="555"/>
      <c r="B1424" s="217"/>
      <c r="C1424" s="217"/>
      <c r="D1424" s="101"/>
      <c r="E1424" s="217"/>
      <c r="F1424" s="294"/>
      <c r="G1424" s="295"/>
      <c r="H1424" s="98"/>
      <c r="I1424" s="106"/>
      <c r="J1424" s="106"/>
      <c r="K1424" s="106"/>
      <c r="L1424" s="106"/>
      <c r="M1424" s="106"/>
      <c r="N1424" s="112"/>
      <c r="O1424" s="112"/>
      <c r="P1424" s="112"/>
      <c r="Q1424" s="113"/>
      <c r="R1424" s="113"/>
      <c r="S1424" s="113"/>
      <c r="T1424" s="113"/>
      <c r="U1424" s="99"/>
      <c r="V1424" s="255"/>
      <c r="W1424" s="102"/>
      <c r="X1424" s="102"/>
      <c r="Y1424" s="102"/>
      <c r="AA1424" s="615"/>
      <c r="AC1424" s="300"/>
      <c r="AD1424" s="300"/>
      <c r="AE1424" s="300"/>
      <c r="AF1424" s="300"/>
      <c r="AG1424" s="300"/>
      <c r="AJ1424" s="300"/>
      <c r="AK1424" s="300"/>
      <c r="AL1424" s="300"/>
      <c r="AM1424" s="300"/>
      <c r="AN1424" s="300"/>
      <c r="AO1424" s="300"/>
      <c r="AP1424" s="300"/>
      <c r="AQ1424" s="300"/>
      <c r="AR1424" s="300"/>
    </row>
    <row r="1425" spans="1:44" ht="15" customHeight="1">
      <c r="A1425" s="555" t="s">
        <v>2884</v>
      </c>
      <c r="B1425" s="217" t="str">
        <f t="shared" si="1786"/>
        <v>100</v>
      </c>
      <c r="C1425" s="217" t="str">
        <f t="shared" si="1787"/>
        <v>50</v>
      </c>
      <c r="D1425" s="101" t="str">
        <f t="shared" si="1788"/>
        <v>503</v>
      </c>
      <c r="E1425" s="217" t="str">
        <f t="shared" si="1789"/>
        <v>100-50-503</v>
      </c>
      <c r="F1425" s="294" t="str">
        <f t="shared" si="1790"/>
        <v>53510</v>
      </c>
      <c r="G1425" s="295" t="str">
        <f>VLOOKUP(F1425,'GL Category'!A:C,3,FALSE)</f>
        <v>Services &amp; other</v>
      </c>
      <c r="H1425" s="98" t="str">
        <f>VLOOKUP(F1425,'GL Category'!A:C,2,FALSE)</f>
        <v>DUES &amp; SUBSCRIPTIONS</v>
      </c>
      <c r="I1425" s="99">
        <f>SUMIF(Import!$B:$B,$A1425,Import!D:D)</f>
        <v>275</v>
      </c>
      <c r="J1425" s="99">
        <f>SUMIF(Import!$B:$B,$A1425,Import!E:E)</f>
        <v>1302</v>
      </c>
      <c r="K1425" s="99">
        <f>SUMIF(Import!$B:$B,$A1425,Import!F:F)</f>
        <v>638</v>
      </c>
      <c r="L1425" s="99">
        <f>SUMIF(Import!$B:$B,$A1425,Import!G:G)</f>
        <v>1294.2</v>
      </c>
      <c r="M1425" s="99">
        <f>SUMIF(Import!$B:$B,$A1425,Import!H:H)</f>
        <v>1200</v>
      </c>
      <c r="N1425" s="99">
        <f>SUMIF(Import!$B:$B,$A1425,Import!I:I)</f>
        <v>470.29</v>
      </c>
      <c r="O1425" s="99">
        <f>SUMIF(Import!$B:$B,$A1425,Import!J:J)</f>
        <v>1200</v>
      </c>
      <c r="P1425" s="99">
        <f t="shared" ref="P1425:P1433" si="1821">O1425-M1425</f>
        <v>0</v>
      </c>
      <c r="Q1425" s="99">
        <f>SUMIF(Import!$B:$B,$A1425,Import!K:K)</f>
        <v>1200</v>
      </c>
      <c r="R1425" s="99">
        <f>SUMIF(Import!$B:$B,$A1425,Import!L:L)</f>
        <v>0</v>
      </c>
      <c r="S1425" s="99">
        <f>SUMIF(Import!$B:$B,$A1425,Import!M:M)</f>
        <v>0</v>
      </c>
      <c r="T1425" s="99">
        <f>SUMIF(Import!$B:$B,$A1425,Import!N:N)</f>
        <v>1200</v>
      </c>
      <c r="U1425" s="99">
        <f t="shared" ref="U1425:U1433" si="1822">T1425-M1425</f>
        <v>0</v>
      </c>
      <c r="V1425" s="255">
        <f t="shared" ref="V1425:V1433" si="1823">IF(M1425=0,"N/A",T1425/M1425-1)</f>
        <v>0</v>
      </c>
      <c r="W1425" s="102" t="s">
        <v>2884</v>
      </c>
      <c r="X1425" s="102"/>
      <c r="Y1425" s="102"/>
      <c r="AA1425" s="615"/>
      <c r="AC1425" s="94"/>
      <c r="AD1425" s="94"/>
      <c r="AE1425" s="94"/>
      <c r="AF1425" s="94"/>
      <c r="AG1425" s="94"/>
      <c r="AJ1425" s="94"/>
      <c r="AK1425" s="94"/>
      <c r="AL1425" s="94"/>
      <c r="AM1425" s="94"/>
      <c r="AN1425" s="94"/>
      <c r="AO1425" s="94"/>
      <c r="AP1425" s="94"/>
      <c r="AQ1425" s="94"/>
      <c r="AR1425" s="94"/>
    </row>
    <row r="1426" spans="1:44" ht="15" customHeight="1">
      <c r="A1426" s="555" t="s">
        <v>2885</v>
      </c>
      <c r="B1426" s="217" t="str">
        <f t="shared" si="1786"/>
        <v>100</v>
      </c>
      <c r="C1426" s="217" t="str">
        <f t="shared" si="1787"/>
        <v>50</v>
      </c>
      <c r="D1426" s="101" t="str">
        <f t="shared" si="1788"/>
        <v>503</v>
      </c>
      <c r="E1426" s="217" t="str">
        <f t="shared" si="1789"/>
        <v>100-50-503</v>
      </c>
      <c r="F1426" s="294" t="str">
        <f t="shared" si="1790"/>
        <v>53515</v>
      </c>
      <c r="G1426" s="295" t="str">
        <f>VLOOKUP(F1426,'GL Category'!A:C,3,FALSE)</f>
        <v>Services &amp; other</v>
      </c>
      <c r="H1426" s="98" t="str">
        <f>VLOOKUP(F1426,'GL Category'!A:C,2,FALSE)</f>
        <v>TRAVEL, TRAINING &amp; EDUCATION</v>
      </c>
      <c r="I1426" s="99">
        <f>SUMIF(Import!$B:$B,$A1426,Import!D:D)</f>
        <v>1737.9</v>
      </c>
      <c r="J1426" s="99">
        <f>SUMIF(Import!$B:$B,$A1426,Import!E:E)</f>
        <v>778.8</v>
      </c>
      <c r="K1426" s="99">
        <f>SUMIF(Import!$B:$B,$A1426,Import!F:F)</f>
        <v>2971.56</v>
      </c>
      <c r="L1426" s="99">
        <f>SUMIF(Import!$B:$B,$A1426,Import!G:G)</f>
        <v>6423.96</v>
      </c>
      <c r="M1426" s="99">
        <f>SUMIF(Import!$B:$B,$A1426,Import!H:H)</f>
        <v>8700</v>
      </c>
      <c r="N1426" s="99">
        <f>SUMIF(Import!$B:$B,$A1426,Import!I:I)</f>
        <v>373.99</v>
      </c>
      <c r="O1426" s="99">
        <f>SUMIF(Import!$B:$B,$A1426,Import!J:J)</f>
        <v>4500</v>
      </c>
      <c r="P1426" s="99">
        <f t="shared" si="1821"/>
        <v>-4200</v>
      </c>
      <c r="Q1426" s="99">
        <f>SUMIF(Import!$B:$B,$A1426,Import!K:K)</f>
        <v>7000</v>
      </c>
      <c r="R1426" s="99">
        <f>SUMIF(Import!$B:$B,$A1426,Import!L:L)</f>
        <v>0</v>
      </c>
      <c r="S1426" s="99">
        <f>SUMIF(Import!$B:$B,$A1426,Import!M:M)</f>
        <v>0</v>
      </c>
      <c r="T1426" s="99">
        <f>SUMIF(Import!$B:$B,$A1426,Import!N:N)</f>
        <v>7000</v>
      </c>
      <c r="U1426" s="99">
        <f t="shared" si="1822"/>
        <v>-1700</v>
      </c>
      <c r="V1426" s="255">
        <f t="shared" si="1823"/>
        <v>-0.1954022988505747</v>
      </c>
      <c r="W1426" s="102" t="s">
        <v>2885</v>
      </c>
      <c r="X1426" s="102"/>
      <c r="Y1426" s="102"/>
      <c r="AA1426" s="615"/>
      <c r="AC1426" s="93"/>
      <c r="AD1426" s="93"/>
      <c r="AE1426" s="93"/>
      <c r="AF1426" s="93"/>
      <c r="AG1426" s="93"/>
      <c r="AJ1426" s="93"/>
      <c r="AK1426" s="93"/>
      <c r="AL1426" s="93"/>
      <c r="AM1426" s="93"/>
      <c r="AN1426" s="93"/>
      <c r="AO1426" s="93"/>
      <c r="AP1426" s="93"/>
      <c r="AQ1426" s="93"/>
      <c r="AR1426" s="93"/>
    </row>
    <row r="1427" spans="1:44" ht="15" customHeight="1">
      <c r="A1427" s="555" t="s">
        <v>2886</v>
      </c>
      <c r="B1427" s="217" t="str">
        <f t="shared" si="1786"/>
        <v>100</v>
      </c>
      <c r="C1427" s="217" t="str">
        <f t="shared" si="1787"/>
        <v>50</v>
      </c>
      <c r="D1427" s="101" t="str">
        <f t="shared" si="1788"/>
        <v>503</v>
      </c>
      <c r="E1427" s="217" t="str">
        <f t="shared" si="1789"/>
        <v>100-50-503</v>
      </c>
      <c r="F1427" s="294" t="str">
        <f t="shared" si="1790"/>
        <v>53524</v>
      </c>
      <c r="G1427" s="295" t="str">
        <f>VLOOKUP(F1427,'GL Category'!A:C,3,FALSE)</f>
        <v>Services &amp; other</v>
      </c>
      <c r="H1427" s="98" t="str">
        <f>VLOOKUP(F1427,'GL Category'!A:C,2,FALSE)</f>
        <v>EQUIPMENT RENTAL</v>
      </c>
      <c r="I1427" s="99">
        <f>SUMIF(Import!$B:$B,$A1427,Import!D:D)</f>
        <v>8298.5400000000009</v>
      </c>
      <c r="J1427" s="99">
        <f>SUMIF(Import!$B:$B,$A1427,Import!E:E)</f>
        <v>10770.75</v>
      </c>
      <c r="K1427" s="99">
        <f>SUMIF(Import!$B:$B,$A1427,Import!F:F)</f>
        <v>8754.2800000000007</v>
      </c>
      <c r="L1427" s="99">
        <f>SUMIF(Import!$B:$B,$A1427,Import!G:G)</f>
        <v>7005.5</v>
      </c>
      <c r="M1427" s="99">
        <f>SUMIF(Import!$B:$B,$A1427,Import!H:H)</f>
        <v>9000</v>
      </c>
      <c r="N1427" s="99">
        <f>SUMIF(Import!$B:$B,$A1427,Import!I:I)</f>
        <v>317</v>
      </c>
      <c r="O1427" s="99">
        <f>SUMIF(Import!$B:$B,$A1427,Import!J:J)</f>
        <v>9000</v>
      </c>
      <c r="P1427" s="99">
        <f t="shared" si="1821"/>
        <v>0</v>
      </c>
      <c r="Q1427" s="99">
        <f>SUMIF(Import!$B:$B,$A1427,Import!K:K)</f>
        <v>9000</v>
      </c>
      <c r="R1427" s="99">
        <f>SUMIF(Import!$B:$B,$A1427,Import!L:L)</f>
        <v>0</v>
      </c>
      <c r="S1427" s="99">
        <f>SUMIF(Import!$B:$B,$A1427,Import!M:M)</f>
        <v>0</v>
      </c>
      <c r="T1427" s="99">
        <f>SUMIF(Import!$B:$B,$A1427,Import!N:N)</f>
        <v>9000</v>
      </c>
      <c r="U1427" s="99">
        <f t="shared" si="1822"/>
        <v>0</v>
      </c>
      <c r="V1427" s="255">
        <f t="shared" si="1823"/>
        <v>0</v>
      </c>
      <c r="W1427" s="102" t="s">
        <v>2886</v>
      </c>
      <c r="X1427" s="102"/>
      <c r="Y1427" s="102"/>
      <c r="AA1427" s="615"/>
      <c r="AC1427" s="93"/>
      <c r="AD1427" s="93"/>
      <c r="AE1427" s="93"/>
      <c r="AF1427" s="93"/>
      <c r="AG1427" s="93"/>
      <c r="AJ1427" s="93"/>
      <c r="AK1427" s="93"/>
      <c r="AL1427" s="93"/>
      <c r="AM1427" s="93"/>
      <c r="AN1427" s="93"/>
      <c r="AO1427" s="93"/>
      <c r="AP1427" s="93"/>
      <c r="AQ1427" s="93"/>
      <c r="AR1427" s="93"/>
    </row>
    <row r="1428" spans="1:44" ht="15" customHeight="1">
      <c r="A1428" s="555" t="s">
        <v>2887</v>
      </c>
      <c r="B1428" s="217" t="str">
        <f t="shared" si="1786"/>
        <v>100</v>
      </c>
      <c r="C1428" s="217" t="str">
        <f t="shared" si="1787"/>
        <v>50</v>
      </c>
      <c r="D1428" s="101" t="str">
        <f t="shared" si="1788"/>
        <v>503</v>
      </c>
      <c r="E1428" s="217" t="str">
        <f t="shared" si="1789"/>
        <v>100-50-503</v>
      </c>
      <c r="F1428" s="294" t="str">
        <f t="shared" si="1790"/>
        <v>53525</v>
      </c>
      <c r="G1428" s="295" t="str">
        <f>VLOOKUP(F1428,'GL Category'!A:C,3,FALSE)</f>
        <v>Services &amp; other</v>
      </c>
      <c r="H1428" s="98" t="str">
        <f>VLOOKUP(F1428,'GL Category'!A:C,2,FALSE)</f>
        <v>LANDSCAPE SERVICES</v>
      </c>
      <c r="I1428" s="99">
        <f>SUMIF(Import!$B:$B,$A1428,Import!D:D)</f>
        <v>64782.6</v>
      </c>
      <c r="J1428" s="99">
        <f>SUMIF(Import!$B:$B,$A1428,Import!E:E)</f>
        <v>39868.75</v>
      </c>
      <c r="K1428" s="99">
        <f>SUMIF(Import!$B:$B,$A1428,Import!F:F)</f>
        <v>59825.3</v>
      </c>
      <c r="L1428" s="99">
        <f>SUMIF(Import!$B:$B,$A1428,Import!G:G)</f>
        <v>93252.42</v>
      </c>
      <c r="M1428" s="99">
        <f>SUMIF(Import!$B:$B,$A1428,Import!H:H)</f>
        <v>84000</v>
      </c>
      <c r="N1428" s="99">
        <f>SUMIF(Import!$B:$B,$A1428,Import!I:I)</f>
        <v>62429</v>
      </c>
      <c r="O1428" s="99">
        <f>SUMIF(Import!$B:$B,$A1428,Import!J:J)</f>
        <v>130000</v>
      </c>
      <c r="P1428" s="99">
        <f t="shared" si="1821"/>
        <v>46000</v>
      </c>
      <c r="Q1428" s="99">
        <f>SUMIF(Import!$B:$B,$A1428,Import!K:K)</f>
        <v>84000</v>
      </c>
      <c r="R1428" s="99">
        <f>SUMIF(Import!$B:$B,$A1428,Import!L:L)</f>
        <v>44000</v>
      </c>
      <c r="S1428" s="99">
        <f>SUMIF(Import!$B:$B,$A1428,Import!M:M)</f>
        <v>0</v>
      </c>
      <c r="T1428" s="99">
        <f>SUMIF(Import!$B:$B,$A1428,Import!N:N)</f>
        <v>128000</v>
      </c>
      <c r="U1428" s="99">
        <f t="shared" si="1822"/>
        <v>44000</v>
      </c>
      <c r="V1428" s="255">
        <f t="shared" si="1823"/>
        <v>0.52380952380952372</v>
      </c>
      <c r="W1428" s="102" t="s">
        <v>2887</v>
      </c>
      <c r="X1428" s="102"/>
      <c r="Y1428" s="102"/>
      <c r="AA1428" s="615"/>
      <c r="AC1428" s="93"/>
      <c r="AD1428" s="93"/>
      <c r="AE1428" s="93"/>
      <c r="AF1428" s="93"/>
      <c r="AG1428" s="93"/>
      <c r="AJ1428" s="93"/>
      <c r="AK1428" s="93"/>
      <c r="AL1428" s="93"/>
      <c r="AM1428" s="93"/>
      <c r="AN1428" s="93"/>
      <c r="AO1428" s="93"/>
      <c r="AP1428" s="93"/>
      <c r="AQ1428" s="93"/>
      <c r="AR1428" s="93"/>
    </row>
    <row r="1429" spans="1:44" ht="15" customHeight="1">
      <c r="A1429" s="555" t="s">
        <v>3390</v>
      </c>
      <c r="B1429" s="217" t="str">
        <f t="shared" ref="B1429" si="1824">LEFT(A1429,3)</f>
        <v>100</v>
      </c>
      <c r="C1429" s="217" t="str">
        <f t="shared" ref="C1429" si="1825">MID(A1429,5,2)</f>
        <v>50</v>
      </c>
      <c r="D1429" s="101" t="str">
        <f t="shared" ref="D1429" si="1826">MID(A1429,8,3)</f>
        <v>503</v>
      </c>
      <c r="E1429" s="217" t="str">
        <f t="shared" ref="E1429" si="1827">LEFT(A1429,10)</f>
        <v>100-50-503</v>
      </c>
      <c r="F1429" s="294" t="str">
        <f t="shared" ref="F1429" si="1828">RIGHT(A1429,5)</f>
        <v>53530</v>
      </c>
      <c r="G1429" s="295" t="str">
        <f>VLOOKUP(F1429,'GL Category'!A:C,3,FALSE)</f>
        <v>Services &amp; other</v>
      </c>
      <c r="H1429" s="98" t="str">
        <f>VLOOKUP(F1429,'GL Category'!A:C,2,FALSE)</f>
        <v>DEBRIS &amp; WASTE DISPOSAL SVCS</v>
      </c>
      <c r="I1429" s="99">
        <f>SUMIF(Import!$B:$B,$A1429,Import!D:D)</f>
        <v>0</v>
      </c>
      <c r="J1429" s="99">
        <f>SUMIF(Import!$B:$B,$A1429,Import!E:E)</f>
        <v>0</v>
      </c>
      <c r="K1429" s="99">
        <f>SUMIF(Import!$B:$B,$A1429,Import!F:F)</f>
        <v>0</v>
      </c>
      <c r="L1429" s="99">
        <f>SUMIF(Import!$B:$B,$A1429,Import!G:G)</f>
        <v>8700.32</v>
      </c>
      <c r="M1429" s="99">
        <f>SUMIF(Import!$B:$B,$A1429,Import!H:H)</f>
        <v>0</v>
      </c>
      <c r="N1429" s="99">
        <f>SUMIF(Import!$B:$B,$A1429,Import!I:I)</f>
        <v>0</v>
      </c>
      <c r="O1429" s="99">
        <f>SUMIF(Import!$B:$B,$A1429,Import!J:J)</f>
        <v>2000</v>
      </c>
      <c r="P1429" s="99">
        <f t="shared" ref="P1429" si="1829">O1429-M1429</f>
        <v>2000</v>
      </c>
      <c r="Q1429" s="99">
        <f>SUMIF(Import!$B:$B,$A1429,Import!K:K)</f>
        <v>3000</v>
      </c>
      <c r="R1429" s="99">
        <f>SUMIF(Import!$B:$B,$A1429,Import!L:L)</f>
        <v>0</v>
      </c>
      <c r="S1429" s="99">
        <f>SUMIF(Import!$B:$B,$A1429,Import!M:M)</f>
        <v>0</v>
      </c>
      <c r="T1429" s="99">
        <f>SUMIF(Import!$B:$B,$A1429,Import!N:N)</f>
        <v>3000</v>
      </c>
      <c r="U1429" s="99">
        <f t="shared" ref="U1429" si="1830">T1429-M1429</f>
        <v>3000</v>
      </c>
      <c r="V1429" s="255" t="str">
        <f t="shared" ref="V1429" si="1831">IF(M1429=0,"N/A",T1429/M1429-1)</f>
        <v>N/A</v>
      </c>
      <c r="W1429" s="102" t="s">
        <v>2887</v>
      </c>
      <c r="X1429" s="102"/>
      <c r="Y1429" s="102"/>
      <c r="AA1429" s="615"/>
      <c r="AC1429" s="93"/>
      <c r="AD1429" s="93"/>
      <c r="AE1429" s="93"/>
      <c r="AF1429" s="93"/>
      <c r="AG1429" s="93"/>
      <c r="AJ1429" s="93"/>
      <c r="AK1429" s="93"/>
      <c r="AL1429" s="93"/>
      <c r="AM1429" s="93"/>
      <c r="AN1429" s="93"/>
      <c r="AO1429" s="93"/>
      <c r="AP1429" s="93"/>
      <c r="AQ1429" s="93"/>
      <c r="AR1429" s="93"/>
    </row>
    <row r="1430" spans="1:44" ht="15" customHeight="1">
      <c r="A1430" s="555" t="s">
        <v>2883</v>
      </c>
      <c r="B1430" s="217" t="str">
        <f t="shared" si="1786"/>
        <v>100</v>
      </c>
      <c r="C1430" s="217" t="str">
        <f t="shared" si="1787"/>
        <v>50</v>
      </c>
      <c r="D1430" s="101" t="str">
        <f t="shared" si="1788"/>
        <v>503</v>
      </c>
      <c r="E1430" s="217" t="str">
        <f t="shared" si="1789"/>
        <v>100-50-503</v>
      </c>
      <c r="F1430" s="294" t="str">
        <f t="shared" si="1790"/>
        <v>53599</v>
      </c>
      <c r="G1430" s="295" t="str">
        <f>VLOOKUP(F1430,'GL Category'!A:C,3,FALSE)</f>
        <v>Services &amp; other</v>
      </c>
      <c r="H1430" s="98" t="str">
        <f>VLOOKUP(F1430,'GL Category'!A:C,2,FALSE)</f>
        <v>MISCELLANEOUS SERVICES</v>
      </c>
      <c r="I1430" s="99">
        <f>SUMIF(Import!$B:$B,$A1430,Import!D:D)</f>
        <v>0</v>
      </c>
      <c r="J1430" s="99">
        <f>SUMIF(Import!$B:$B,$A1430,Import!E:E)</f>
        <v>33457.81</v>
      </c>
      <c r="K1430" s="99">
        <f>SUMIF(Import!$B:$B,$A1430,Import!F:F)</f>
        <v>20303.29</v>
      </c>
      <c r="L1430" s="99">
        <f>SUMIF(Import!$B:$B,$A1430,Import!G:G)</f>
        <v>7946.47</v>
      </c>
      <c r="M1430" s="99">
        <f>SUMIF(Import!$B:$B,$A1430,Import!H:H)</f>
        <v>2500</v>
      </c>
      <c r="N1430" s="99">
        <f>SUMIF(Import!$B:$B,$A1430,Import!I:I)</f>
        <v>0</v>
      </c>
      <c r="O1430" s="99">
        <f>SUMIF(Import!$B:$B,$A1430,Import!J:J)</f>
        <v>2500</v>
      </c>
      <c r="P1430" s="99">
        <f t="shared" si="1821"/>
        <v>0</v>
      </c>
      <c r="Q1430" s="99">
        <f>SUMIF(Import!$B:$B,$A1430,Import!K:K)</f>
        <v>2500</v>
      </c>
      <c r="R1430" s="99">
        <f>SUMIF(Import!$B:$B,$A1430,Import!L:L)</f>
        <v>0</v>
      </c>
      <c r="S1430" s="99">
        <f>SUMIF(Import!$B:$B,$A1430,Import!M:M)</f>
        <v>0</v>
      </c>
      <c r="T1430" s="99">
        <f>SUMIF(Import!$B:$B,$A1430,Import!N:N)</f>
        <v>2500</v>
      </c>
      <c r="U1430" s="99">
        <f t="shared" si="1822"/>
        <v>0</v>
      </c>
      <c r="V1430" s="255">
        <f t="shared" si="1823"/>
        <v>0</v>
      </c>
      <c r="W1430" s="102" t="s">
        <v>2883</v>
      </c>
      <c r="X1430" s="102"/>
      <c r="Y1430" s="102"/>
      <c r="AA1430" s="615"/>
      <c r="AC1430" s="300"/>
      <c r="AD1430" s="300"/>
      <c r="AE1430" s="300"/>
      <c r="AF1430" s="300"/>
      <c r="AG1430" s="300"/>
      <c r="AJ1430" s="300"/>
      <c r="AK1430" s="300"/>
      <c r="AL1430" s="300"/>
      <c r="AM1430" s="300"/>
      <c r="AN1430" s="300"/>
    </row>
    <row r="1431" spans="1:44" ht="15" customHeight="1">
      <c r="A1431" s="555" t="s">
        <v>2888</v>
      </c>
      <c r="B1431" s="217" t="str">
        <f t="shared" si="1786"/>
        <v>100</v>
      </c>
      <c r="C1431" s="217" t="str">
        <f t="shared" si="1787"/>
        <v>50</v>
      </c>
      <c r="D1431" s="101" t="str">
        <f t="shared" si="1788"/>
        <v>503</v>
      </c>
      <c r="E1431" s="217" t="str">
        <f t="shared" si="1789"/>
        <v>100-50-503</v>
      </c>
      <c r="F1431" s="294" t="str">
        <f t="shared" si="1790"/>
        <v>53574</v>
      </c>
      <c r="G1431" s="295" t="str">
        <f>VLOOKUP(F1431,'GL Category'!A:C,3,FALSE)</f>
        <v>Services &amp; other</v>
      </c>
      <c r="H1431" s="98" t="str">
        <f>VLOOKUP(F1431,'GL Category'!A:C,2,FALSE)</f>
        <v>WATER/SEWER UTILITY SERVICE</v>
      </c>
      <c r="I1431" s="99">
        <f>SUMIF(Import!$B:$B,$A1431,Import!D:D)</f>
        <v>7531.64</v>
      </c>
      <c r="J1431" s="99">
        <f>SUMIF(Import!$B:$B,$A1431,Import!E:E)</f>
        <v>9008.5300000000007</v>
      </c>
      <c r="K1431" s="99">
        <f>SUMIF(Import!$B:$B,$A1431,Import!F:F)</f>
        <v>7819.24</v>
      </c>
      <c r="L1431" s="99">
        <f>SUMIF(Import!$B:$B,$A1431,Import!G:G)</f>
        <v>7297.38</v>
      </c>
      <c r="M1431" s="99">
        <f>SUMIF(Import!$B:$B,$A1431,Import!H:H)</f>
        <v>8750</v>
      </c>
      <c r="N1431" s="99">
        <f>SUMIF(Import!$B:$B,$A1431,Import!I:I)</f>
        <v>8582.0499999999993</v>
      </c>
      <c r="O1431" s="99">
        <f>SUMIF(Import!$B:$B,$A1431,Import!J:J)</f>
        <v>9000</v>
      </c>
      <c r="P1431" s="99">
        <f t="shared" si="1821"/>
        <v>250</v>
      </c>
      <c r="Q1431" s="99">
        <f>SUMIF(Import!$B:$B,$A1431,Import!K:K)</f>
        <v>8750</v>
      </c>
      <c r="R1431" s="99">
        <f>SUMIF(Import!$B:$B,$A1431,Import!L:L)</f>
        <v>0</v>
      </c>
      <c r="S1431" s="99">
        <f>SUMIF(Import!$B:$B,$A1431,Import!M:M)</f>
        <v>0</v>
      </c>
      <c r="T1431" s="99">
        <f>SUMIF(Import!$B:$B,$A1431,Import!N:N)</f>
        <v>8750</v>
      </c>
      <c r="U1431" s="99">
        <f t="shared" si="1822"/>
        <v>0</v>
      </c>
      <c r="V1431" s="255">
        <f t="shared" si="1823"/>
        <v>0</v>
      </c>
      <c r="W1431" s="102" t="s">
        <v>2888</v>
      </c>
      <c r="X1431" s="102"/>
      <c r="Y1431" s="102"/>
      <c r="AA1431" s="615"/>
      <c r="AC1431" s="300"/>
      <c r="AD1431" s="300"/>
      <c r="AE1431" s="300"/>
      <c r="AF1431" s="300"/>
      <c r="AG1431" s="300"/>
      <c r="AJ1431" s="300"/>
      <c r="AK1431" s="300"/>
      <c r="AL1431" s="300"/>
      <c r="AM1431" s="300"/>
      <c r="AN1431" s="300"/>
    </row>
    <row r="1432" spans="1:44" s="115" customFormat="1" ht="15" customHeight="1">
      <c r="A1432" s="555" t="s">
        <v>2890</v>
      </c>
      <c r="B1432" s="217" t="str">
        <f t="shared" si="1786"/>
        <v>100</v>
      </c>
      <c r="C1432" s="217" t="str">
        <f t="shared" si="1787"/>
        <v>50</v>
      </c>
      <c r="D1432" s="101" t="str">
        <f t="shared" si="1788"/>
        <v>503</v>
      </c>
      <c r="E1432" s="217" t="str">
        <f t="shared" si="1789"/>
        <v>100-50-503</v>
      </c>
      <c r="F1432" s="294" t="str">
        <f t="shared" si="1790"/>
        <v>55175</v>
      </c>
      <c r="G1432" s="295" t="str">
        <f>VLOOKUP(F1432,'GL Category'!A:C,3,FALSE)</f>
        <v>Services &amp; other</v>
      </c>
      <c r="H1432" s="98" t="str">
        <f>VLOOKUP(F1432,'GL Category'!A:C,2,FALSE)</f>
        <v>VEHICLE/EQUIP LEASE EXP-CITY</v>
      </c>
      <c r="I1432" s="99">
        <f>SUMIF(Import!$B:$B,$A1432,Import!D:D)</f>
        <v>283656</v>
      </c>
      <c r="J1432" s="99">
        <f>SUMIF(Import!$B:$B,$A1432,Import!E:E)</f>
        <v>194687</v>
      </c>
      <c r="K1432" s="99">
        <f>SUMIF(Import!$B:$B,$A1432,Import!F:F)</f>
        <v>170390</v>
      </c>
      <c r="L1432" s="99">
        <f>SUMIF(Import!$B:$B,$A1432,Import!G:G)</f>
        <v>127811</v>
      </c>
      <c r="M1432" s="99">
        <f>SUMIF(Import!$B:$B,$A1432,Import!H:H)</f>
        <v>369017</v>
      </c>
      <c r="N1432" s="99">
        <f>SUMIF(Import!$B:$B,$A1432,Import!I:I)</f>
        <v>276762.75</v>
      </c>
      <c r="O1432" s="99">
        <f>SUMIF(Import!$B:$B,$A1432,Import!J:J)</f>
        <v>369017</v>
      </c>
      <c r="P1432" s="99">
        <f t="shared" si="1821"/>
        <v>0</v>
      </c>
      <c r="Q1432" s="99">
        <f>SUMIF(Import!$B:$B,$A1432,Import!K:K)</f>
        <v>134866</v>
      </c>
      <c r="R1432" s="99">
        <f>SUMIF(Import!$B:$B,$A1432,Import!L:L)</f>
        <v>0</v>
      </c>
      <c r="S1432" s="99">
        <f>SUMIF(Import!$B:$B,$A1432,Import!M:M)</f>
        <v>75000</v>
      </c>
      <c r="T1432" s="99">
        <f>SUMIF(Import!$B:$B,$A1432,Import!N:N)</f>
        <v>209866</v>
      </c>
      <c r="U1432" s="99">
        <f t="shared" si="1822"/>
        <v>-159151</v>
      </c>
      <c r="V1432" s="255">
        <f t="shared" si="1823"/>
        <v>-0.43128365359861465</v>
      </c>
      <c r="W1432" s="102" t="s">
        <v>2890</v>
      </c>
      <c r="X1432" s="102"/>
      <c r="Y1432" s="102"/>
      <c r="Z1432" s="192"/>
      <c r="AA1432" s="615"/>
      <c r="AB1432" s="307"/>
      <c r="AC1432" s="300"/>
      <c r="AD1432" s="300"/>
      <c r="AE1432" s="300"/>
      <c r="AF1432" s="300"/>
      <c r="AG1432" s="300"/>
      <c r="AH1432" s="307"/>
      <c r="AI1432" s="307"/>
      <c r="AJ1432" s="300"/>
      <c r="AK1432" s="300"/>
      <c r="AL1432" s="300"/>
      <c r="AM1432" s="300"/>
      <c r="AN1432" s="300"/>
      <c r="AO1432" s="192"/>
      <c r="AP1432" s="192"/>
      <c r="AQ1432" s="192"/>
    </row>
    <row r="1433" spans="1:44" s="115" customFormat="1" ht="15" customHeight="1">
      <c r="A1433" s="555" t="s">
        <v>2891</v>
      </c>
      <c r="B1433" s="217" t="str">
        <f t="shared" si="1786"/>
        <v>100</v>
      </c>
      <c r="C1433" s="217" t="str">
        <f t="shared" si="1787"/>
        <v>50</v>
      </c>
      <c r="D1433" s="101" t="str">
        <f t="shared" si="1788"/>
        <v>503</v>
      </c>
      <c r="E1433" s="217" t="str">
        <f t="shared" si="1789"/>
        <v>100-50-503</v>
      </c>
      <c r="F1433" s="294" t="str">
        <f t="shared" si="1790"/>
        <v>55119</v>
      </c>
      <c r="G1433" s="295" t="str">
        <f>VLOOKUP(F1433,'GL Category'!A:C,3,FALSE)</f>
        <v>Services &amp; other</v>
      </c>
      <c r="H1433" s="98" t="str">
        <f>VLOOKUP(F1433,'GL Category'!A:C,2,FALSE)</f>
        <v>OFFICE EQUIP LEASE EXP-CITY</v>
      </c>
      <c r="I1433" s="99">
        <f>SUMIF(Import!$B:$B,$A1433,Import!D:D)</f>
        <v>25319</v>
      </c>
      <c r="J1433" s="99">
        <f>SUMIF(Import!$B:$B,$A1433,Import!E:E)</f>
        <v>30261</v>
      </c>
      <c r="K1433" s="99">
        <f>SUMIF(Import!$B:$B,$A1433,Import!F:F)</f>
        <v>28021</v>
      </c>
      <c r="L1433" s="99">
        <f>SUMIF(Import!$B:$B,$A1433,Import!G:G)</f>
        <v>61729</v>
      </c>
      <c r="M1433" s="99">
        <f>SUMIF(Import!$B:$B,$A1433,Import!H:H)</f>
        <v>26080</v>
      </c>
      <c r="N1433" s="99">
        <f>SUMIF(Import!$B:$B,$A1433,Import!I:I)</f>
        <v>19560</v>
      </c>
      <c r="O1433" s="99">
        <f>SUMIF(Import!$B:$B,$A1433,Import!J:J)</f>
        <v>26080</v>
      </c>
      <c r="P1433" s="99">
        <f t="shared" si="1821"/>
        <v>0</v>
      </c>
      <c r="Q1433" s="99">
        <f>SUMIF(Import!$B:$B,$A1433,Import!K:K)</f>
        <v>26214</v>
      </c>
      <c r="R1433" s="99">
        <f>SUMIF(Import!$B:$B,$A1433,Import!L:L)</f>
        <v>0</v>
      </c>
      <c r="S1433" s="99">
        <f>SUMIF(Import!$B:$B,$A1433,Import!M:M)</f>
        <v>450000</v>
      </c>
      <c r="T1433" s="99">
        <f>SUMIF(Import!$B:$B,$A1433,Import!N:N)</f>
        <v>476214</v>
      </c>
      <c r="U1433" s="99">
        <f t="shared" si="1822"/>
        <v>450134</v>
      </c>
      <c r="V1433" s="255">
        <f t="shared" si="1823"/>
        <v>17.259739263803681</v>
      </c>
      <c r="W1433" s="102" t="s">
        <v>2891</v>
      </c>
      <c r="X1433" s="102"/>
      <c r="Y1433" s="102"/>
      <c r="Z1433" s="192"/>
      <c r="AA1433" s="615"/>
      <c r="AB1433" s="307"/>
      <c r="AC1433" s="300"/>
      <c r="AD1433" s="300"/>
      <c r="AE1433" s="300"/>
      <c r="AF1433" s="300"/>
      <c r="AG1433" s="300"/>
      <c r="AH1433" s="307"/>
      <c r="AI1433" s="307"/>
      <c r="AJ1433" s="300"/>
      <c r="AK1433" s="300"/>
      <c r="AL1433" s="300"/>
      <c r="AM1433" s="300"/>
      <c r="AN1433" s="300"/>
      <c r="AO1433" s="192"/>
      <c r="AP1433" s="192"/>
      <c r="AQ1433" s="192"/>
    </row>
    <row r="1434" spans="1:44" s="115" customFormat="1" ht="15" customHeight="1">
      <c r="A1434" s="555"/>
      <c r="B1434" s="217"/>
      <c r="C1434" s="217"/>
      <c r="D1434" s="101"/>
      <c r="E1434" s="217"/>
      <c r="F1434" s="294"/>
      <c r="G1434" s="295"/>
      <c r="H1434" s="107" t="str">
        <f>UPPER(G1433)&amp;" TOTAL"</f>
        <v>SERVICES &amp; OTHER TOTAL</v>
      </c>
      <c r="I1434" s="108">
        <f t="shared" ref="I1434" si="1832">SUBTOTAL(9,I1425:I1433)</f>
        <v>391600.68</v>
      </c>
      <c r="J1434" s="108">
        <f t="shared" ref="J1434:T1434" si="1833">SUBTOTAL(9,J1425:J1433)</f>
        <v>320134.64</v>
      </c>
      <c r="K1434" s="108">
        <f t="shared" ref="K1434" si="1834">SUBTOTAL(9,K1425:K1433)</f>
        <v>298722.67</v>
      </c>
      <c r="L1434" s="108">
        <f t="shared" ref="L1434" si="1835">SUBTOTAL(9,L1425:L1433)</f>
        <v>321460.25</v>
      </c>
      <c r="M1434" s="108">
        <f t="shared" si="1833"/>
        <v>509247</v>
      </c>
      <c r="N1434" s="109">
        <f t="shared" ref="N1434" si="1836">SUBTOTAL(9,N1425:N1433)</f>
        <v>368495.08</v>
      </c>
      <c r="O1434" s="109">
        <f t="shared" si="1833"/>
        <v>553297</v>
      </c>
      <c r="P1434" s="109">
        <f t="shared" si="1833"/>
        <v>44050</v>
      </c>
      <c r="Q1434" s="109">
        <f t="shared" si="1833"/>
        <v>276530</v>
      </c>
      <c r="R1434" s="109">
        <f t="shared" si="1833"/>
        <v>44000</v>
      </c>
      <c r="S1434" s="109">
        <f t="shared" si="1833"/>
        <v>525000</v>
      </c>
      <c r="T1434" s="109">
        <f t="shared" si="1833"/>
        <v>845530</v>
      </c>
      <c r="U1434" s="99">
        <f>T1434-M1434</f>
        <v>336283</v>
      </c>
      <c r="V1434" s="255">
        <f>IF(M1434=0,"N/A",T1434/M1434-1)</f>
        <v>0.66035342378060147</v>
      </c>
      <c r="W1434" s="102"/>
      <c r="X1434" s="102"/>
      <c r="Y1434" s="102"/>
      <c r="Z1434" s="192"/>
      <c r="AA1434" s="615"/>
      <c r="AB1434" s="307"/>
      <c r="AC1434" s="94"/>
      <c r="AD1434" s="94"/>
      <c r="AE1434" s="94"/>
      <c r="AF1434" s="94"/>
      <c r="AG1434" s="94"/>
      <c r="AH1434" s="307"/>
      <c r="AI1434" s="307"/>
      <c r="AJ1434" s="94"/>
      <c r="AK1434" s="94"/>
      <c r="AL1434" s="94"/>
      <c r="AM1434" s="94"/>
      <c r="AN1434" s="94"/>
      <c r="AO1434" s="192"/>
      <c r="AP1434" s="192"/>
      <c r="AQ1434" s="192"/>
    </row>
    <row r="1435" spans="1:44" s="115" customFormat="1" ht="15" customHeight="1">
      <c r="A1435" s="555"/>
      <c r="B1435" s="217"/>
      <c r="C1435" s="217"/>
      <c r="D1435" s="101"/>
      <c r="E1435" s="217"/>
      <c r="F1435" s="294"/>
      <c r="G1435" s="295"/>
      <c r="H1435" s="98"/>
      <c r="I1435" s="106"/>
      <c r="J1435" s="106"/>
      <c r="K1435" s="106"/>
      <c r="L1435" s="106"/>
      <c r="M1435" s="106"/>
      <c r="N1435" s="112"/>
      <c r="O1435" s="112"/>
      <c r="P1435" s="112"/>
      <c r="Q1435" s="113"/>
      <c r="R1435" s="113"/>
      <c r="S1435" s="113"/>
      <c r="T1435" s="113"/>
      <c r="U1435" s="99"/>
      <c r="V1435" s="255"/>
      <c r="W1435" s="102"/>
      <c r="X1435" s="102"/>
      <c r="Y1435" s="102"/>
      <c r="Z1435" s="192"/>
      <c r="AA1435" s="615"/>
      <c r="AB1435" s="307"/>
      <c r="AC1435" s="93"/>
      <c r="AD1435" s="93"/>
      <c r="AE1435" s="93"/>
      <c r="AF1435" s="93"/>
      <c r="AG1435" s="93"/>
      <c r="AH1435" s="307"/>
      <c r="AI1435" s="307"/>
      <c r="AJ1435" s="93"/>
      <c r="AK1435" s="93"/>
      <c r="AL1435" s="93"/>
      <c r="AM1435" s="93"/>
      <c r="AN1435" s="93"/>
      <c r="AO1435" s="192"/>
      <c r="AP1435" s="192"/>
      <c r="AQ1435" s="192"/>
    </row>
    <row r="1436" spans="1:44" s="115" customFormat="1" ht="15" customHeight="1">
      <c r="A1436" s="555" t="s">
        <v>2892</v>
      </c>
      <c r="B1436" s="217" t="str">
        <f t="shared" si="1786"/>
        <v>100</v>
      </c>
      <c r="C1436" s="217" t="str">
        <f t="shared" si="1787"/>
        <v>50</v>
      </c>
      <c r="D1436" s="101" t="str">
        <f t="shared" si="1788"/>
        <v>503</v>
      </c>
      <c r="E1436" s="217" t="str">
        <f t="shared" si="1789"/>
        <v>100-50-503</v>
      </c>
      <c r="F1436" s="294" t="str">
        <f t="shared" si="1790"/>
        <v>58829</v>
      </c>
      <c r="G1436" s="295" t="str">
        <f>VLOOKUP(F1436,'GL Category'!A:C,3,FALSE)</f>
        <v>Capital Outlay</v>
      </c>
      <c r="H1436" s="98" t="str">
        <f>VLOOKUP(F1436,'GL Category'!A:C,2,FALSE)</f>
        <v>STREET/ROAD/BRIDGE IMPROVEMENT</v>
      </c>
      <c r="I1436" s="99">
        <f>SUMIF(Import!$B:$B,$A1436,Import!D:D)</f>
        <v>24845</v>
      </c>
      <c r="J1436" s="99">
        <f>SUMIF(Import!$B:$B,$A1436,Import!E:E)</f>
        <v>0</v>
      </c>
      <c r="K1436" s="99">
        <f>SUMIF(Import!$B:$B,$A1436,Import!F:F)</f>
        <v>0</v>
      </c>
      <c r="L1436" s="99">
        <f>SUMIF(Import!$B:$B,$A1436,Import!G:G)</f>
        <v>0</v>
      </c>
      <c r="M1436" s="99">
        <f>SUMIF(Import!$B:$B,$A1436,Import!H:H)</f>
        <v>0</v>
      </c>
      <c r="N1436" s="99">
        <f>SUMIF(Import!$B:$B,$A1436,Import!I:I)</f>
        <v>0</v>
      </c>
      <c r="O1436" s="99">
        <f>SUMIF(Import!$B:$B,$A1436,Import!J:J)</f>
        <v>0</v>
      </c>
      <c r="P1436" s="99">
        <f t="shared" ref="P1436:P1438" si="1837">O1436-M1436</f>
        <v>0</v>
      </c>
      <c r="Q1436" s="99">
        <f>SUMIF(Import!$B:$B,$A1436,Import!K:K)</f>
        <v>0</v>
      </c>
      <c r="R1436" s="99">
        <f>SUMIF(Import!$B:$B,$A1436,Import!L:L)</f>
        <v>0</v>
      </c>
      <c r="S1436" s="99">
        <f>SUMIF(Import!$B:$B,$A1436,Import!M:M)</f>
        <v>0</v>
      </c>
      <c r="T1436" s="99">
        <f>SUMIF(Import!$B:$B,$A1436,Import!N:N)</f>
        <v>0</v>
      </c>
      <c r="U1436" s="99">
        <f t="shared" ref="U1436:U1438" si="1838">T1436-M1436</f>
        <v>0</v>
      </c>
      <c r="V1436" s="255" t="str">
        <f t="shared" ref="V1436:V1438" si="1839">IF(M1436=0,"N/A",T1436/M1436-1)</f>
        <v>N/A</v>
      </c>
      <c r="W1436" s="102" t="s">
        <v>2892</v>
      </c>
      <c r="X1436" s="102"/>
      <c r="Y1436" s="102"/>
      <c r="Z1436" s="192"/>
      <c r="AA1436" s="615"/>
      <c r="AB1436" s="307"/>
      <c r="AC1436" s="92"/>
      <c r="AD1436" s="92"/>
      <c r="AE1436" s="92"/>
      <c r="AF1436" s="92"/>
      <c r="AG1436" s="92"/>
      <c r="AH1436" s="307"/>
      <c r="AI1436" s="307"/>
      <c r="AJ1436" s="92"/>
      <c r="AK1436" s="92"/>
      <c r="AL1436" s="92"/>
      <c r="AM1436" s="92"/>
      <c r="AN1436" s="92"/>
      <c r="AO1436" s="192"/>
      <c r="AP1436" s="192"/>
      <c r="AQ1436" s="192"/>
    </row>
    <row r="1437" spans="1:44" s="115" customFormat="1" ht="15" customHeight="1">
      <c r="A1437" s="555" t="s">
        <v>2893</v>
      </c>
      <c r="B1437" s="217" t="str">
        <f t="shared" si="1786"/>
        <v>100</v>
      </c>
      <c r="C1437" s="217" t="str">
        <f t="shared" si="1787"/>
        <v>50</v>
      </c>
      <c r="D1437" s="101" t="str">
        <f t="shared" si="1788"/>
        <v>503</v>
      </c>
      <c r="E1437" s="217" t="str">
        <f t="shared" si="1789"/>
        <v>100-50-503</v>
      </c>
      <c r="F1437" s="294" t="str">
        <f t="shared" si="1790"/>
        <v>58830</v>
      </c>
      <c r="G1437" s="295" t="str">
        <f>VLOOKUP(F1437,'GL Category'!A:C,3,FALSE)</f>
        <v>Capital Outlay</v>
      </c>
      <c r="H1437" s="98" t="str">
        <f>VLOOKUP(F1437,'GL Category'!A:C,2,FALSE)</f>
        <v>MACHINERY &amp; EQUIPMENT</v>
      </c>
      <c r="I1437" s="99">
        <f>SUMIF(Import!$B:$B,$A1437,Import!D:D)</f>
        <v>44367</v>
      </c>
      <c r="J1437" s="99">
        <f>SUMIF(Import!$B:$B,$A1437,Import!E:E)</f>
        <v>0</v>
      </c>
      <c r="K1437" s="99">
        <f>SUMIF(Import!$B:$B,$A1437,Import!F:F)</f>
        <v>0</v>
      </c>
      <c r="L1437" s="99">
        <f>SUMIF(Import!$B:$B,$A1437,Import!G:G)</f>
        <v>0</v>
      </c>
      <c r="M1437" s="99">
        <f>SUMIF(Import!$B:$B,$A1437,Import!H:H)</f>
        <v>0</v>
      </c>
      <c r="N1437" s="99">
        <f>SUMIF(Import!$B:$B,$A1437,Import!I:I)</f>
        <v>0</v>
      </c>
      <c r="O1437" s="99">
        <f>SUMIF(Import!$B:$B,$A1437,Import!J:J)</f>
        <v>0</v>
      </c>
      <c r="P1437" s="99">
        <f t="shared" si="1837"/>
        <v>0</v>
      </c>
      <c r="Q1437" s="99">
        <f>SUMIF(Import!$B:$B,$A1437,Import!K:K)</f>
        <v>0</v>
      </c>
      <c r="R1437" s="99">
        <f>SUMIF(Import!$B:$B,$A1437,Import!L:L)</f>
        <v>0</v>
      </c>
      <c r="S1437" s="99">
        <f>SUMIF(Import!$B:$B,$A1437,Import!M:M)</f>
        <v>0</v>
      </c>
      <c r="T1437" s="99">
        <f>SUMIF(Import!$B:$B,$A1437,Import!N:N)</f>
        <v>0</v>
      </c>
      <c r="U1437" s="99">
        <f t="shared" si="1838"/>
        <v>0</v>
      </c>
      <c r="V1437" s="255" t="str">
        <f t="shared" si="1839"/>
        <v>N/A</v>
      </c>
      <c r="W1437" s="102" t="s">
        <v>2893</v>
      </c>
      <c r="X1437" s="102"/>
      <c r="Y1437" s="102"/>
      <c r="Z1437" s="192"/>
      <c r="AA1437" s="615"/>
      <c r="AB1437" s="307"/>
      <c r="AC1437" s="93"/>
      <c r="AD1437" s="93"/>
      <c r="AE1437" s="93"/>
      <c r="AF1437" s="93"/>
      <c r="AG1437" s="93"/>
      <c r="AH1437" s="307"/>
      <c r="AI1437" s="307"/>
      <c r="AJ1437" s="93"/>
      <c r="AK1437" s="93"/>
      <c r="AL1437" s="93"/>
      <c r="AM1437" s="93"/>
      <c r="AN1437" s="93"/>
      <c r="AO1437" s="192"/>
      <c r="AP1437" s="192"/>
      <c r="AQ1437" s="192"/>
    </row>
    <row r="1438" spans="1:44" s="115" customFormat="1" ht="15" customHeight="1">
      <c r="A1438" s="555" t="s">
        <v>2894</v>
      </c>
      <c r="B1438" s="217" t="str">
        <f t="shared" si="1786"/>
        <v>100</v>
      </c>
      <c r="C1438" s="217" t="str">
        <f t="shared" si="1787"/>
        <v>50</v>
      </c>
      <c r="D1438" s="101" t="str">
        <f t="shared" si="1788"/>
        <v>503</v>
      </c>
      <c r="E1438" s="217" t="str">
        <f t="shared" si="1789"/>
        <v>100-50-503</v>
      </c>
      <c r="F1438" s="294" t="str">
        <f t="shared" si="1790"/>
        <v>58858</v>
      </c>
      <c r="G1438" s="295" t="e">
        <f>VLOOKUP(F1438,'GL Category'!A:C,3,FALSE)</f>
        <v>#N/A</v>
      </c>
      <c r="H1438" s="98" t="e">
        <f>VLOOKUP(F1438,'GL Category'!A:C,2,FALSE)</f>
        <v>#N/A</v>
      </c>
      <c r="I1438" s="99">
        <f>SUMIF(Import!$B:$B,$A1438,Import!D:D)</f>
        <v>0</v>
      </c>
      <c r="J1438" s="99">
        <f>SUMIF(Import!$B:$B,$A1438,Import!E:E)</f>
        <v>0</v>
      </c>
      <c r="K1438" s="99">
        <f>SUMIF(Import!$B:$B,$A1438,Import!F:F)</f>
        <v>0</v>
      </c>
      <c r="L1438" s="99">
        <f>SUMIF(Import!$B:$B,$A1438,Import!G:G)</f>
        <v>0</v>
      </c>
      <c r="M1438" s="99">
        <f>SUMIF(Import!$B:$B,$A1438,Import!H:H)</f>
        <v>0</v>
      </c>
      <c r="N1438" s="99">
        <f>SUMIF(Import!$B:$B,$A1438,Import!I:I)</f>
        <v>0</v>
      </c>
      <c r="O1438" s="99">
        <f>SUMIF(Import!$B:$B,$A1438,Import!J:J)</f>
        <v>0</v>
      </c>
      <c r="P1438" s="99">
        <f t="shared" si="1837"/>
        <v>0</v>
      </c>
      <c r="Q1438" s="99">
        <f>SUMIF(Import!$B:$B,$A1438,Import!K:K)</f>
        <v>0</v>
      </c>
      <c r="R1438" s="99">
        <f>SUMIF(Import!$B:$B,$A1438,Import!L:L)</f>
        <v>0</v>
      </c>
      <c r="S1438" s="99">
        <f>SUMIF(Import!$B:$B,$A1438,Import!M:M)</f>
        <v>0</v>
      </c>
      <c r="T1438" s="99">
        <f>SUMIF(Import!$B:$B,$A1438,Import!N:N)</f>
        <v>0</v>
      </c>
      <c r="U1438" s="99">
        <f t="shared" si="1838"/>
        <v>0</v>
      </c>
      <c r="V1438" s="255" t="str">
        <f t="shared" si="1839"/>
        <v>N/A</v>
      </c>
      <c r="W1438" s="102" t="s">
        <v>2894</v>
      </c>
      <c r="X1438" s="102"/>
      <c r="Y1438" s="102"/>
      <c r="Z1438" s="192"/>
      <c r="AA1438" s="615"/>
      <c r="AB1438" s="307"/>
      <c r="AC1438" s="300"/>
      <c r="AD1438" s="300"/>
      <c r="AE1438" s="300"/>
      <c r="AF1438" s="300"/>
      <c r="AG1438" s="300"/>
      <c r="AH1438" s="307"/>
      <c r="AI1438" s="307"/>
      <c r="AJ1438" s="300"/>
      <c r="AK1438" s="300"/>
      <c r="AL1438" s="300"/>
      <c r="AM1438" s="300"/>
      <c r="AN1438" s="300"/>
      <c r="AO1438" s="192"/>
      <c r="AP1438" s="192"/>
      <c r="AQ1438" s="192"/>
    </row>
    <row r="1439" spans="1:44" ht="15" customHeight="1">
      <c r="A1439" s="555"/>
      <c r="B1439" s="217"/>
      <c r="C1439" s="217"/>
      <c r="D1439" s="101"/>
      <c r="E1439" s="217"/>
      <c r="F1439" s="294"/>
      <c r="G1439" s="295"/>
      <c r="H1439" s="107" t="e">
        <f>UPPER(G1438)&amp;" TOTAL"</f>
        <v>#N/A</v>
      </c>
      <c r="I1439" s="109">
        <f t="shared" ref="I1439" si="1840">SUBTOTAL(9,I1436:I1438)</f>
        <v>69212</v>
      </c>
      <c r="J1439" s="109">
        <f t="shared" ref="J1439:T1439" si="1841">SUBTOTAL(9,J1436:J1438)</f>
        <v>0</v>
      </c>
      <c r="K1439" s="109">
        <f t="shared" ref="K1439" si="1842">SUBTOTAL(9,K1436:K1438)</f>
        <v>0</v>
      </c>
      <c r="L1439" s="109">
        <f t="shared" ref="L1439" si="1843">SUBTOTAL(9,L1436:L1438)</f>
        <v>0</v>
      </c>
      <c r="M1439" s="109">
        <f t="shared" si="1841"/>
        <v>0</v>
      </c>
      <c r="N1439" s="109">
        <f t="shared" ref="N1439" si="1844">SUBTOTAL(9,N1436:N1438)</f>
        <v>0</v>
      </c>
      <c r="O1439" s="109">
        <f t="shared" si="1841"/>
        <v>0</v>
      </c>
      <c r="P1439" s="109">
        <f t="shared" si="1841"/>
        <v>0</v>
      </c>
      <c r="Q1439" s="109">
        <f t="shared" si="1841"/>
        <v>0</v>
      </c>
      <c r="R1439" s="109">
        <f t="shared" si="1841"/>
        <v>0</v>
      </c>
      <c r="S1439" s="109">
        <f t="shared" si="1841"/>
        <v>0</v>
      </c>
      <c r="T1439" s="109">
        <f t="shared" si="1841"/>
        <v>0</v>
      </c>
      <c r="U1439" s="99">
        <f>T1439-M1439</f>
        <v>0</v>
      </c>
      <c r="V1439" s="255" t="str">
        <f>IF(M1439=0,"N/A",T1439/M1439-1)</f>
        <v>N/A</v>
      </c>
      <c r="W1439" s="102"/>
      <c r="X1439" s="102"/>
      <c r="Y1439" s="102"/>
      <c r="AA1439" s="615"/>
      <c r="AC1439" s="300"/>
      <c r="AD1439" s="300"/>
      <c r="AE1439" s="300"/>
      <c r="AF1439" s="300"/>
      <c r="AG1439" s="300"/>
      <c r="AJ1439" s="300"/>
      <c r="AK1439" s="300"/>
      <c r="AL1439" s="300"/>
      <c r="AM1439" s="300"/>
      <c r="AN1439" s="300"/>
    </row>
    <row r="1440" spans="1:44" ht="15" customHeight="1">
      <c r="A1440" s="555"/>
      <c r="B1440" s="217"/>
      <c r="C1440" s="217"/>
      <c r="D1440" s="101"/>
      <c r="E1440" s="217"/>
      <c r="F1440" s="294"/>
      <c r="G1440" s="295"/>
      <c r="H1440" s="98"/>
      <c r="I1440" s="106"/>
      <c r="J1440" s="106"/>
      <c r="K1440" s="106"/>
      <c r="L1440" s="106"/>
      <c r="M1440" s="106"/>
      <c r="N1440" s="112"/>
      <c r="O1440" s="112"/>
      <c r="P1440" s="112"/>
      <c r="Q1440" s="113"/>
      <c r="R1440" s="113"/>
      <c r="S1440" s="113"/>
      <c r="T1440" s="113"/>
      <c r="U1440" s="99"/>
      <c r="V1440" s="255"/>
      <c r="W1440" s="102"/>
      <c r="X1440" s="102"/>
      <c r="Y1440" s="102"/>
      <c r="AA1440" s="615"/>
      <c r="AC1440" s="300"/>
      <c r="AD1440" s="300"/>
      <c r="AE1440" s="300"/>
      <c r="AF1440" s="300"/>
      <c r="AG1440" s="300"/>
      <c r="AJ1440" s="300"/>
      <c r="AK1440" s="300"/>
      <c r="AL1440" s="300"/>
      <c r="AM1440" s="300"/>
      <c r="AN1440" s="300"/>
    </row>
    <row r="1441" spans="1:43" s="115" customFormat="1" ht="15" customHeight="1">
      <c r="A1441" s="555" t="s">
        <v>2895</v>
      </c>
      <c r="B1441" s="217" t="str">
        <f t="shared" si="1786"/>
        <v>100</v>
      </c>
      <c r="C1441" s="217" t="str">
        <f t="shared" si="1787"/>
        <v>50</v>
      </c>
      <c r="D1441" s="101" t="str">
        <f t="shared" si="1788"/>
        <v>503</v>
      </c>
      <c r="E1441" s="217" t="str">
        <f t="shared" si="1789"/>
        <v>100-50-503</v>
      </c>
      <c r="F1441" s="294" t="str">
        <f t="shared" si="1790"/>
        <v>59170</v>
      </c>
      <c r="G1441" s="295" t="str">
        <f>VLOOKUP(F1441,'GL Category'!A:C,3,FALSE)</f>
        <v>Transfers to other funds</v>
      </c>
      <c r="H1441" s="98" t="str">
        <f>VLOOKUP(F1441,'GL Category'!A:C,2,FALSE)</f>
        <v>TRANSFER TO CIP-STREET IMPROVE</v>
      </c>
      <c r="I1441" s="99">
        <f>SUMIF(Import!$B:$B,$A1441,Import!D:D)</f>
        <v>3905693</v>
      </c>
      <c r="J1441" s="99">
        <f>SUMIF(Import!$B:$B,$A1441,Import!E:E)</f>
        <v>2200336</v>
      </c>
      <c r="K1441" s="99">
        <f>SUMIF(Import!$B:$B,$A1441,Import!F:F)</f>
        <v>7700057</v>
      </c>
      <c r="L1441" s="99">
        <f>SUMIF(Import!$B:$B,$A1441,Import!G:G)</f>
        <v>6175000</v>
      </c>
      <c r="M1441" s="99">
        <f>SUMIF(Import!$B:$B,$A1441,Import!H:H)</f>
        <v>2495000</v>
      </c>
      <c r="N1441" s="99">
        <f>SUMIF(Import!$B:$B,$A1441,Import!I:I)</f>
        <v>1871250</v>
      </c>
      <c r="O1441" s="99">
        <f>SUMIF(Import!$B:$B,$A1441,Import!J:J)</f>
        <v>2495000</v>
      </c>
      <c r="P1441" s="99">
        <f t="shared" ref="P1441" si="1845">O1441-M1441</f>
        <v>0</v>
      </c>
      <c r="Q1441" s="99">
        <f>SUMIF(Import!$B:$B,$A1441,Import!K:K)</f>
        <v>6435000</v>
      </c>
      <c r="R1441" s="99">
        <f>SUMIF(Import!$B:$B,$A1441,Import!L:L)</f>
        <v>0</v>
      </c>
      <c r="S1441" s="99">
        <f>SUMIF(Import!$B:$B,$A1441,Import!M:M)</f>
        <v>0</v>
      </c>
      <c r="T1441" s="99">
        <f>SUMIF(Import!$B:$B,$A1441,Import!N:N)</f>
        <v>6435000</v>
      </c>
      <c r="U1441" s="99">
        <f t="shared" ref="U1441" si="1846">T1441-M1441</f>
        <v>3940000</v>
      </c>
      <c r="V1441" s="255">
        <f t="shared" ref="V1441" si="1847">IF(M1441=0,"N/A",T1441/M1441-1)</f>
        <v>1.5791583166332663</v>
      </c>
      <c r="W1441" s="102" t="s">
        <v>2895</v>
      </c>
      <c r="X1441" s="102"/>
      <c r="Y1441" s="102"/>
      <c r="Z1441" s="192"/>
      <c r="AA1441" s="615"/>
      <c r="AB1441" s="307"/>
      <c r="AC1441" s="300"/>
      <c r="AD1441" s="300"/>
      <c r="AE1441" s="300"/>
      <c r="AF1441" s="300"/>
      <c r="AG1441" s="300"/>
      <c r="AH1441" s="307"/>
      <c r="AI1441" s="307"/>
      <c r="AJ1441" s="300"/>
      <c r="AK1441" s="300"/>
      <c r="AL1441" s="300"/>
      <c r="AM1441" s="300"/>
      <c r="AN1441" s="300"/>
      <c r="AO1441" s="192"/>
      <c r="AP1441" s="192"/>
      <c r="AQ1441" s="192"/>
    </row>
    <row r="1442" spans="1:43" ht="28.35" customHeight="1">
      <c r="A1442" s="555"/>
      <c r="B1442" s="217"/>
      <c r="C1442" s="217"/>
      <c r="D1442" s="101"/>
      <c r="E1442" s="217"/>
      <c r="F1442" s="294"/>
      <c r="G1442" s="295"/>
      <c r="H1442" s="107" t="str">
        <f>UPPER(G1441)&amp;" TOTAL"</f>
        <v>TRANSFERS TO OTHER FUNDS TOTAL</v>
      </c>
      <c r="I1442" s="109">
        <f t="shared" ref="I1442" si="1848">SUBTOTAL(9,I1441)</f>
        <v>3905693</v>
      </c>
      <c r="J1442" s="109">
        <f t="shared" ref="J1442:T1442" si="1849">SUBTOTAL(9,J1441)</f>
        <v>2200336</v>
      </c>
      <c r="K1442" s="109">
        <f t="shared" ref="K1442" si="1850">SUBTOTAL(9,K1441)</f>
        <v>7700057</v>
      </c>
      <c r="L1442" s="109">
        <f t="shared" ref="L1442" si="1851">SUBTOTAL(9,L1441)</f>
        <v>6175000</v>
      </c>
      <c r="M1442" s="109">
        <f t="shared" si="1849"/>
        <v>2495000</v>
      </c>
      <c r="N1442" s="109">
        <f t="shared" ref="N1442" si="1852">SUBTOTAL(9,N1441)</f>
        <v>1871250</v>
      </c>
      <c r="O1442" s="109">
        <f t="shared" si="1849"/>
        <v>2495000</v>
      </c>
      <c r="P1442" s="109">
        <f t="shared" si="1849"/>
        <v>0</v>
      </c>
      <c r="Q1442" s="109">
        <f t="shared" si="1849"/>
        <v>6435000</v>
      </c>
      <c r="R1442" s="109">
        <f t="shared" si="1849"/>
        <v>0</v>
      </c>
      <c r="S1442" s="109">
        <f t="shared" si="1849"/>
        <v>0</v>
      </c>
      <c r="T1442" s="109">
        <f t="shared" si="1849"/>
        <v>6435000</v>
      </c>
      <c r="U1442" s="99">
        <f>T1442-M1442</f>
        <v>3940000</v>
      </c>
      <c r="V1442" s="255">
        <f>IF(M1442=0,"N/A",T1442/M1442-1)</f>
        <v>1.5791583166332663</v>
      </c>
      <c r="W1442" s="102"/>
      <c r="X1442" s="102"/>
      <c r="Y1442" s="102"/>
      <c r="AA1442" s="615"/>
      <c r="AC1442" s="300"/>
      <c r="AD1442" s="300"/>
      <c r="AE1442" s="300"/>
      <c r="AF1442" s="300"/>
      <c r="AG1442" s="300"/>
      <c r="AJ1442" s="300"/>
      <c r="AK1442" s="300"/>
      <c r="AL1442" s="300"/>
      <c r="AM1442" s="300"/>
      <c r="AN1442" s="300"/>
    </row>
    <row r="1443" spans="1:43" ht="15" customHeight="1">
      <c r="A1443" s="555"/>
      <c r="B1443" s="217"/>
      <c r="C1443" s="217"/>
      <c r="D1443" s="101"/>
      <c r="E1443" s="217"/>
      <c r="F1443" s="294"/>
      <c r="G1443" s="295"/>
      <c r="H1443" s="98"/>
      <c r="I1443" s="106"/>
      <c r="J1443" s="106"/>
      <c r="K1443" s="106"/>
      <c r="L1443" s="106"/>
      <c r="M1443" s="106"/>
      <c r="N1443" s="112"/>
      <c r="O1443" s="112"/>
      <c r="P1443" s="112"/>
      <c r="Q1443" s="113"/>
      <c r="R1443" s="113"/>
      <c r="S1443" s="113"/>
      <c r="T1443" s="113"/>
      <c r="U1443" s="99"/>
      <c r="V1443" s="255"/>
      <c r="W1443" s="102"/>
      <c r="X1443" s="102"/>
      <c r="Y1443" s="102"/>
      <c r="AA1443" s="615"/>
      <c r="AC1443" s="300"/>
      <c r="AD1443" s="300"/>
      <c r="AE1443" s="300"/>
      <c r="AF1443" s="300"/>
      <c r="AG1443" s="300"/>
      <c r="AJ1443" s="300"/>
      <c r="AK1443" s="300"/>
      <c r="AL1443" s="300"/>
      <c r="AM1443" s="300"/>
      <c r="AN1443" s="300"/>
    </row>
    <row r="1444" spans="1:43" ht="15" customHeight="1">
      <c r="A1444" s="555"/>
      <c r="B1444" s="217"/>
      <c r="C1444" s="217"/>
      <c r="D1444" s="101"/>
      <c r="E1444" s="217"/>
      <c r="F1444" s="294"/>
      <c r="G1444" s="295"/>
      <c r="H1444" s="114" t="s">
        <v>763</v>
      </c>
      <c r="I1444" s="108">
        <f t="shared" ref="I1444" si="1853">SUBTOTAL(9,I1400:I1442)</f>
        <v>5741285.6399999997</v>
      </c>
      <c r="J1444" s="108">
        <f t="shared" ref="J1444:T1444" si="1854">SUBTOTAL(9,J1400:J1442)</f>
        <v>4018770.5799999996</v>
      </c>
      <c r="K1444" s="108">
        <f t="shared" ref="K1444" si="1855">SUBTOTAL(9,K1400:K1442)</f>
        <v>9480912.7599999998</v>
      </c>
      <c r="L1444" s="108">
        <f t="shared" ref="L1444" si="1856">SUBTOTAL(9,L1400:L1442)</f>
        <v>7570904.0499999998</v>
      </c>
      <c r="M1444" s="108">
        <f t="shared" si="1854"/>
        <v>4713854</v>
      </c>
      <c r="N1444" s="108">
        <f t="shared" ref="N1444" si="1857">SUBTOTAL(9,N1400:N1442)</f>
        <v>2843492.5100000002</v>
      </c>
      <c r="O1444" s="108">
        <f t="shared" si="1854"/>
        <v>4566103</v>
      </c>
      <c r="P1444" s="108">
        <f t="shared" si="1854"/>
        <v>-147751</v>
      </c>
      <c r="Q1444" s="108">
        <f t="shared" si="1854"/>
        <v>8437402</v>
      </c>
      <c r="R1444" s="108">
        <f t="shared" si="1854"/>
        <v>44000</v>
      </c>
      <c r="S1444" s="108">
        <f t="shared" si="1854"/>
        <v>525000</v>
      </c>
      <c r="T1444" s="108">
        <f t="shared" si="1854"/>
        <v>9006402</v>
      </c>
      <c r="U1444" s="99">
        <f>T1444-M1444</f>
        <v>4292548</v>
      </c>
      <c r="V1444" s="255">
        <f>IF(M1444=0,"N/A",T1444/M1444-1)</f>
        <v>0.91062387591978888</v>
      </c>
      <c r="W1444" s="102"/>
      <c r="X1444" s="102"/>
      <c r="Y1444" s="102"/>
      <c r="AA1444" s="615"/>
      <c r="AC1444" s="300"/>
      <c r="AD1444" s="300"/>
      <c r="AE1444" s="300"/>
      <c r="AF1444" s="300"/>
      <c r="AG1444" s="300"/>
      <c r="AJ1444" s="300"/>
      <c r="AK1444" s="300"/>
      <c r="AL1444" s="300"/>
      <c r="AM1444" s="300"/>
      <c r="AN1444" s="300"/>
    </row>
    <row r="1445" spans="1:43" ht="15" customHeight="1">
      <c r="A1445" s="555"/>
      <c r="B1445" s="217"/>
      <c r="C1445" s="217"/>
      <c r="D1445" s="101"/>
      <c r="E1445" s="217"/>
      <c r="F1445" s="294"/>
      <c r="G1445" s="295"/>
      <c r="H1445" s="98"/>
      <c r="I1445" s="218"/>
      <c r="J1445" s="218"/>
      <c r="K1445" s="218"/>
      <c r="L1445" s="218"/>
      <c r="M1445" s="218"/>
      <c r="U1445" s="99"/>
      <c r="V1445" s="255"/>
      <c r="W1445" s="102"/>
      <c r="X1445" s="102"/>
      <c r="Y1445" s="102"/>
      <c r="AA1445" s="615"/>
      <c r="AC1445" s="94"/>
      <c r="AD1445" s="94"/>
      <c r="AE1445" s="94"/>
      <c r="AF1445" s="94"/>
      <c r="AG1445" s="94"/>
      <c r="AJ1445" s="94"/>
      <c r="AK1445" s="94"/>
      <c r="AL1445" s="94"/>
      <c r="AM1445" s="94"/>
      <c r="AN1445" s="94"/>
    </row>
    <row r="1446" spans="1:43" ht="15" customHeight="1" thickBot="1">
      <c r="A1446" s="555"/>
      <c r="B1446" s="217"/>
      <c r="C1446" s="217"/>
      <c r="D1446" s="101"/>
      <c r="E1446" s="217"/>
      <c r="F1446" s="294"/>
      <c r="G1446" s="295"/>
      <c r="H1446" s="98"/>
      <c r="I1446" s="218"/>
      <c r="J1446" s="218"/>
      <c r="K1446" s="218"/>
      <c r="L1446" s="218"/>
      <c r="M1446" s="218"/>
      <c r="U1446" s="99"/>
      <c r="V1446" s="255"/>
      <c r="W1446" s="102"/>
      <c r="X1446" s="102"/>
      <c r="Y1446" s="102"/>
      <c r="AA1446" s="615"/>
      <c r="AC1446" s="93"/>
      <c r="AD1446" s="93"/>
      <c r="AE1446" s="93"/>
      <c r="AF1446" s="93"/>
      <c r="AG1446" s="93"/>
      <c r="AJ1446" s="93"/>
      <c r="AK1446" s="93"/>
      <c r="AL1446" s="93"/>
      <c r="AM1446" s="93"/>
      <c r="AN1446" s="93"/>
    </row>
    <row r="1447" spans="1:43" ht="19.5" customHeight="1" thickBot="1">
      <c r="A1447" s="555"/>
      <c r="B1447" s="217"/>
      <c r="C1447" s="217"/>
      <c r="D1447" s="101"/>
      <c r="E1447" s="217"/>
      <c r="F1447" s="294"/>
      <c r="G1447" s="295"/>
      <c r="H1447" s="665" t="s">
        <v>634</v>
      </c>
      <c r="I1447" s="666"/>
      <c r="J1447" s="666"/>
      <c r="K1447" s="666"/>
      <c r="L1447" s="666"/>
      <c r="M1447" s="666"/>
      <c r="N1447" s="666"/>
      <c r="O1447" s="666"/>
      <c r="P1447" s="666"/>
      <c r="Q1447" s="666"/>
      <c r="R1447" s="666"/>
      <c r="S1447" s="666"/>
      <c r="T1447" s="667"/>
      <c r="U1447" s="99"/>
      <c r="V1447" s="255"/>
      <c r="W1447" s="102"/>
      <c r="X1447" s="102"/>
      <c r="Y1447" s="102"/>
      <c r="AA1447" s="615"/>
      <c r="AC1447" s="300"/>
      <c r="AD1447" s="300"/>
      <c r="AE1447" s="300"/>
      <c r="AF1447" s="300"/>
      <c r="AG1447" s="300"/>
      <c r="AJ1447" s="300"/>
      <c r="AK1447" s="300"/>
      <c r="AL1447" s="300"/>
      <c r="AM1447" s="300"/>
      <c r="AN1447" s="300"/>
    </row>
    <row r="1448" spans="1:43" ht="15" customHeight="1">
      <c r="A1448" s="555"/>
      <c r="B1448" s="217"/>
      <c r="C1448" s="217"/>
      <c r="D1448" s="101"/>
      <c r="E1448" s="217"/>
      <c r="F1448" s="294"/>
      <c r="G1448" s="295"/>
      <c r="H1448" s="225"/>
      <c r="I1448" s="225"/>
      <c r="J1448" s="225"/>
      <c r="K1448" s="225"/>
      <c r="L1448" s="225"/>
      <c r="M1448" s="225"/>
      <c r="N1448" s="225"/>
      <c r="O1448" s="225"/>
      <c r="P1448" s="225"/>
      <c r="Q1448" s="225"/>
      <c r="R1448" s="225"/>
      <c r="S1448" s="225"/>
      <c r="T1448" s="225"/>
      <c r="U1448" s="99"/>
      <c r="V1448" s="255"/>
      <c r="W1448" s="102"/>
      <c r="X1448" s="102"/>
      <c r="Y1448" s="102"/>
      <c r="AA1448" s="615"/>
      <c r="AC1448" s="300"/>
      <c r="AD1448" s="300"/>
      <c r="AE1448" s="300"/>
      <c r="AF1448" s="300"/>
      <c r="AG1448" s="300"/>
      <c r="AJ1448" s="300"/>
      <c r="AK1448" s="300"/>
      <c r="AL1448" s="300"/>
      <c r="AM1448" s="300"/>
      <c r="AN1448" s="300"/>
    </row>
    <row r="1449" spans="1:43" ht="15" customHeight="1">
      <c r="A1449" s="555" t="s">
        <v>2896</v>
      </c>
      <c r="B1449" s="217" t="str">
        <f t="shared" ref="B1449" si="1858">LEFT(A1449,3)</f>
        <v>100</v>
      </c>
      <c r="C1449" s="217" t="str">
        <f t="shared" ref="C1449" si="1859">MID(A1449,5,2)</f>
        <v>50</v>
      </c>
      <c r="D1449" s="101" t="str">
        <f t="shared" ref="D1449:D1457" si="1860">MID(A1449,8,3)</f>
        <v>504</v>
      </c>
      <c r="E1449" s="217" t="str">
        <f t="shared" ref="E1449:E1457" si="1861">LEFT(A1449,10)</f>
        <v>100-50-504</v>
      </c>
      <c r="F1449" s="294" t="str">
        <f t="shared" ref="F1449" si="1862">RIGHT(A1449,5)</f>
        <v>53572</v>
      </c>
      <c r="G1449" s="295" t="str">
        <f>VLOOKUP(F1449,'GL Category'!A:C,3,FALSE)</f>
        <v>Services &amp; other</v>
      </c>
      <c r="H1449" s="98" t="str">
        <f>VLOOKUP(F1449,'GL Category'!A:C,2,FALSE)</f>
        <v>ELECTRICAL UTILITY SERVICE</v>
      </c>
      <c r="I1449" s="99">
        <f>SUMIF(Import!$B:$B,$A1449,Import!D:D)</f>
        <v>433210.03</v>
      </c>
      <c r="J1449" s="99">
        <f>SUMIF(Import!$B:$B,$A1449,Import!E:E)</f>
        <v>457944.75</v>
      </c>
      <c r="K1449" s="99">
        <f>SUMIF(Import!$B:$B,$A1449,Import!F:F)</f>
        <v>471501.6</v>
      </c>
      <c r="L1449" s="99">
        <f>SUMIF(Import!$B:$B,$A1449,Import!G:G)</f>
        <v>438841.38</v>
      </c>
      <c r="M1449" s="99">
        <f>SUMIF(Import!$B:$B,$A1449,Import!H:H)</f>
        <v>487660</v>
      </c>
      <c r="N1449" s="99">
        <f>SUMIF(Import!$B:$B,$A1449,Import!I:I)</f>
        <v>243570.3</v>
      </c>
      <c r="O1449" s="99">
        <f>SUMIF(Import!$B:$B,$A1449,Import!J:J)</f>
        <v>487660</v>
      </c>
      <c r="P1449" s="99">
        <f t="shared" ref="P1449" si="1863">O1449-M1449</f>
        <v>0</v>
      </c>
      <c r="Q1449" s="99">
        <f>SUMIF(Import!$B:$B,$A1449,Import!K:K)</f>
        <v>487660</v>
      </c>
      <c r="R1449" s="99">
        <f>SUMIF(Import!$B:$B,$A1449,Import!L:L)</f>
        <v>0</v>
      </c>
      <c r="S1449" s="99">
        <f>SUMIF(Import!$B:$B,$A1449,Import!M:M)</f>
        <v>0</v>
      </c>
      <c r="T1449" s="99">
        <f>SUMIF(Import!$B:$B,$A1449,Import!N:N)</f>
        <v>487660</v>
      </c>
      <c r="U1449" s="99">
        <f t="shared" ref="U1449" si="1864">T1449-M1449</f>
        <v>0</v>
      </c>
      <c r="V1449" s="255">
        <f t="shared" ref="V1449" si="1865">IF(M1449=0,"N/A",T1449/M1449-1)</f>
        <v>0</v>
      </c>
      <c r="W1449" s="102" t="s">
        <v>2896</v>
      </c>
      <c r="X1449" s="102"/>
      <c r="Y1449" s="102"/>
      <c r="AA1449" s="615"/>
      <c r="AC1449" s="94"/>
      <c r="AD1449" s="94"/>
      <c r="AE1449" s="94"/>
      <c r="AF1449" s="94"/>
      <c r="AG1449" s="94"/>
      <c r="AJ1449" s="94"/>
      <c r="AK1449" s="94"/>
      <c r="AL1449" s="94"/>
      <c r="AM1449" s="94"/>
      <c r="AN1449" s="94"/>
    </row>
    <row r="1450" spans="1:43" ht="15" customHeight="1">
      <c r="A1450" s="555"/>
      <c r="B1450" s="217"/>
      <c r="C1450" s="217"/>
      <c r="D1450" s="101"/>
      <c r="E1450" s="217"/>
      <c r="F1450" s="294"/>
      <c r="G1450" s="295"/>
      <c r="H1450" s="107" t="str">
        <f>UPPER(G1449)&amp;" TOTAL"</f>
        <v>SERVICES &amp; OTHER TOTAL</v>
      </c>
      <c r="I1450" s="108">
        <f t="shared" ref="I1450" si="1866">SUBTOTAL(9,I1449:I1449)</f>
        <v>433210.03</v>
      </c>
      <c r="J1450" s="108">
        <f t="shared" ref="J1450:O1450" si="1867">SUBTOTAL(9,J1449:J1449)</f>
        <v>457944.75</v>
      </c>
      <c r="K1450" s="108">
        <f t="shared" ref="K1450" si="1868">SUBTOTAL(9,K1449:K1449)</f>
        <v>471501.6</v>
      </c>
      <c r="L1450" s="108">
        <f t="shared" ref="L1450" si="1869">SUBTOTAL(9,L1449:L1449)</f>
        <v>438841.38</v>
      </c>
      <c r="M1450" s="108">
        <f t="shared" si="1867"/>
        <v>487660</v>
      </c>
      <c r="N1450" s="108">
        <f t="shared" ref="N1450" si="1870">SUBTOTAL(9,N1449:N1449)</f>
        <v>243570.3</v>
      </c>
      <c r="O1450" s="108">
        <f t="shared" si="1867"/>
        <v>487660</v>
      </c>
      <c r="P1450" s="108">
        <f>SUBTOTAL(9,P1449:P1449)</f>
        <v>0</v>
      </c>
      <c r="Q1450" s="108">
        <f t="shared" ref="Q1450:T1450" si="1871">SUBTOTAL(9,Q1449:Q1449)</f>
        <v>487660</v>
      </c>
      <c r="R1450" s="108">
        <f t="shared" si="1871"/>
        <v>0</v>
      </c>
      <c r="S1450" s="108">
        <f t="shared" si="1871"/>
        <v>0</v>
      </c>
      <c r="T1450" s="108">
        <f t="shared" si="1871"/>
        <v>487660</v>
      </c>
      <c r="U1450" s="99">
        <f>T1450-M1450</f>
        <v>0</v>
      </c>
      <c r="V1450" s="255">
        <f>IF(M1450=0,"N/A",T1450/M1450-1)</f>
        <v>0</v>
      </c>
      <c r="W1450" s="102"/>
      <c r="X1450" s="102"/>
      <c r="Y1450" s="102"/>
      <c r="AA1450" s="615"/>
      <c r="AC1450" s="93"/>
      <c r="AD1450" s="93"/>
      <c r="AE1450" s="93"/>
      <c r="AF1450" s="93"/>
      <c r="AG1450" s="93"/>
      <c r="AJ1450" s="93"/>
      <c r="AK1450" s="93"/>
      <c r="AL1450" s="93"/>
      <c r="AM1450" s="93"/>
      <c r="AN1450" s="93"/>
    </row>
    <row r="1451" spans="1:43" ht="15" customHeight="1">
      <c r="A1451" s="555"/>
      <c r="B1451" s="217"/>
      <c r="C1451" s="217"/>
      <c r="D1451" s="101"/>
      <c r="E1451" s="217"/>
      <c r="F1451" s="294"/>
      <c r="G1451" s="295"/>
      <c r="H1451" s="98"/>
      <c r="I1451" s="106"/>
      <c r="J1451" s="106"/>
      <c r="K1451" s="106"/>
      <c r="L1451" s="106"/>
      <c r="M1451" s="106"/>
      <c r="N1451" s="112"/>
      <c r="O1451" s="112"/>
      <c r="P1451" s="112"/>
      <c r="Q1451" s="113"/>
      <c r="R1451" s="113"/>
      <c r="S1451" s="113"/>
      <c r="T1451" s="113"/>
      <c r="U1451" s="99"/>
      <c r="V1451" s="255"/>
      <c r="W1451" s="102"/>
      <c r="X1451" s="102"/>
      <c r="Y1451" s="102"/>
      <c r="AA1451" s="615"/>
      <c r="AC1451" s="92"/>
      <c r="AD1451" s="92"/>
      <c r="AE1451" s="92"/>
      <c r="AF1451" s="92"/>
      <c r="AG1451" s="92"/>
      <c r="AJ1451" s="92"/>
      <c r="AK1451" s="92"/>
      <c r="AL1451" s="92"/>
      <c r="AM1451" s="92"/>
      <c r="AN1451" s="92"/>
    </row>
    <row r="1452" spans="1:43" ht="15" customHeight="1">
      <c r="A1452" s="555"/>
      <c r="B1452" s="217"/>
      <c r="C1452" s="217"/>
      <c r="D1452" s="101"/>
      <c r="E1452" s="217"/>
      <c r="F1452" s="294"/>
      <c r="G1452" s="295"/>
      <c r="H1452" s="114" t="s">
        <v>763</v>
      </c>
      <c r="I1452" s="108">
        <f t="shared" ref="I1452" si="1872">SUBTOTAL(9,I1449:I1451)</f>
        <v>433210.03</v>
      </c>
      <c r="J1452" s="108">
        <f t="shared" ref="J1452:O1452" si="1873">SUBTOTAL(9,J1449:J1451)</f>
        <v>457944.75</v>
      </c>
      <c r="K1452" s="108">
        <f t="shared" ref="K1452" si="1874">SUBTOTAL(9,K1449:K1451)</f>
        <v>471501.6</v>
      </c>
      <c r="L1452" s="108">
        <f t="shared" ref="L1452" si="1875">SUBTOTAL(9,L1449:L1451)</f>
        <v>438841.38</v>
      </c>
      <c r="M1452" s="108">
        <f t="shared" si="1873"/>
        <v>487660</v>
      </c>
      <c r="N1452" s="108">
        <f t="shared" ref="N1452" si="1876">SUBTOTAL(9,N1449:N1451)</f>
        <v>243570.3</v>
      </c>
      <c r="O1452" s="108">
        <f t="shared" si="1873"/>
        <v>487660</v>
      </c>
      <c r="P1452" s="108">
        <f>SUBTOTAL(9,P1449:P1451)</f>
        <v>0</v>
      </c>
      <c r="Q1452" s="108">
        <f t="shared" ref="Q1452:T1452" si="1877">SUBTOTAL(9,Q1449:Q1451)</f>
        <v>487660</v>
      </c>
      <c r="R1452" s="108">
        <f t="shared" si="1877"/>
        <v>0</v>
      </c>
      <c r="S1452" s="108">
        <f t="shared" si="1877"/>
        <v>0</v>
      </c>
      <c r="T1452" s="108">
        <f t="shared" si="1877"/>
        <v>487660</v>
      </c>
      <c r="U1452" s="99">
        <f>T1452-M1452</f>
        <v>0</v>
      </c>
      <c r="V1452" s="255">
        <f>IF(M1452=0,"N/A",T1452/M1452-1)</f>
        <v>0</v>
      </c>
      <c r="W1452" s="102"/>
      <c r="X1452" s="102"/>
      <c r="Y1452" s="102"/>
      <c r="AA1452" s="615"/>
      <c r="AC1452" s="300"/>
      <c r="AD1452" s="300"/>
      <c r="AE1452" s="300"/>
      <c r="AF1452" s="300"/>
      <c r="AG1452" s="300"/>
      <c r="AJ1452" s="300"/>
      <c r="AK1452" s="300"/>
      <c r="AL1452" s="300"/>
      <c r="AM1452" s="300"/>
      <c r="AN1452" s="300"/>
    </row>
    <row r="1453" spans="1:43" s="115" customFormat="1" ht="15" customHeight="1">
      <c r="A1453" s="555"/>
      <c r="B1453" s="217"/>
      <c r="C1453" s="217"/>
      <c r="D1453" s="101"/>
      <c r="E1453" s="217"/>
      <c r="F1453" s="294"/>
      <c r="G1453" s="295"/>
      <c r="H1453" s="98"/>
      <c r="I1453" s="218"/>
      <c r="J1453" s="218"/>
      <c r="K1453" s="218"/>
      <c r="L1453" s="218"/>
      <c r="M1453" s="218"/>
      <c r="N1453" s="96"/>
      <c r="O1453" s="96"/>
      <c r="P1453" s="96"/>
      <c r="Q1453" s="212"/>
      <c r="R1453" s="212"/>
      <c r="S1453" s="212"/>
      <c r="T1453" s="212"/>
      <c r="U1453" s="99"/>
      <c r="V1453" s="255"/>
      <c r="W1453" s="102"/>
      <c r="X1453" s="102"/>
      <c r="Y1453" s="102"/>
      <c r="Z1453" s="192"/>
      <c r="AA1453" s="615"/>
      <c r="AB1453" s="307"/>
      <c r="AC1453" s="300"/>
      <c r="AD1453" s="300"/>
      <c r="AE1453" s="300"/>
      <c r="AF1453" s="300"/>
      <c r="AG1453" s="300"/>
      <c r="AH1453" s="307"/>
      <c r="AI1453" s="307"/>
      <c r="AJ1453" s="300"/>
      <c r="AK1453" s="300"/>
      <c r="AL1453" s="300"/>
      <c r="AM1453" s="300"/>
      <c r="AN1453" s="300"/>
      <c r="AO1453" s="192"/>
      <c r="AP1453" s="192"/>
      <c r="AQ1453" s="192"/>
    </row>
    <row r="1454" spans="1:43" s="115" customFormat="1" ht="15" customHeight="1" thickBot="1">
      <c r="A1454" s="555"/>
      <c r="B1454" s="217"/>
      <c r="C1454" s="217"/>
      <c r="D1454" s="101"/>
      <c r="E1454" s="217"/>
      <c r="F1454" s="294"/>
      <c r="G1454" s="295"/>
      <c r="H1454" s="98"/>
      <c r="I1454" s="218"/>
      <c r="J1454" s="218"/>
      <c r="K1454" s="218"/>
      <c r="L1454" s="218"/>
      <c r="M1454" s="218"/>
      <c r="N1454" s="96"/>
      <c r="O1454" s="96"/>
      <c r="P1454" s="96"/>
      <c r="Q1454" s="212"/>
      <c r="R1454" s="212"/>
      <c r="S1454" s="212"/>
      <c r="T1454" s="212"/>
      <c r="U1454" s="99"/>
      <c r="V1454" s="255"/>
      <c r="W1454" s="102"/>
      <c r="X1454" s="102"/>
      <c r="Y1454" s="102"/>
      <c r="Z1454" s="192"/>
      <c r="AA1454" s="615"/>
      <c r="AB1454" s="307"/>
      <c r="AC1454" s="300"/>
      <c r="AD1454" s="300"/>
      <c r="AE1454" s="300"/>
      <c r="AF1454" s="300"/>
      <c r="AG1454" s="300"/>
      <c r="AH1454" s="307"/>
      <c r="AI1454" s="307"/>
      <c r="AJ1454" s="300"/>
      <c r="AK1454" s="300"/>
      <c r="AL1454" s="300"/>
      <c r="AM1454" s="300"/>
      <c r="AN1454" s="300"/>
      <c r="AO1454" s="192"/>
      <c r="AP1454" s="192"/>
      <c r="AQ1454" s="192"/>
    </row>
    <row r="1455" spans="1:43" s="115" customFormat="1" ht="26.25" customHeight="1" thickBot="1">
      <c r="A1455" s="555"/>
      <c r="B1455" s="217"/>
      <c r="C1455" s="217"/>
      <c r="D1455" s="101"/>
      <c r="E1455" s="217"/>
      <c r="F1455" s="294"/>
      <c r="G1455" s="295"/>
      <c r="H1455" s="668" t="s">
        <v>633</v>
      </c>
      <c r="I1455" s="669"/>
      <c r="J1455" s="669"/>
      <c r="K1455" s="669"/>
      <c r="L1455" s="669"/>
      <c r="M1455" s="669"/>
      <c r="N1455" s="669"/>
      <c r="O1455" s="669"/>
      <c r="P1455" s="669"/>
      <c r="Q1455" s="669"/>
      <c r="R1455" s="669"/>
      <c r="S1455" s="669"/>
      <c r="T1455" s="670"/>
      <c r="U1455" s="99"/>
      <c r="V1455" s="255"/>
      <c r="W1455" s="102"/>
      <c r="X1455" s="102"/>
      <c r="Y1455" s="102"/>
      <c r="Z1455" s="192"/>
      <c r="AA1455" s="615"/>
      <c r="AB1455" s="307"/>
      <c r="AC1455" s="94"/>
      <c r="AD1455" s="94"/>
      <c r="AE1455" s="94"/>
      <c r="AF1455" s="94"/>
      <c r="AG1455" s="94"/>
      <c r="AH1455" s="307"/>
      <c r="AI1455" s="307"/>
      <c r="AJ1455" s="94"/>
      <c r="AK1455" s="94"/>
      <c r="AL1455" s="94"/>
      <c r="AM1455" s="94"/>
      <c r="AN1455" s="94"/>
      <c r="AO1455" s="192"/>
      <c r="AP1455" s="192"/>
      <c r="AQ1455" s="192"/>
    </row>
    <row r="1456" spans="1:43" s="115" customFormat="1" ht="9.75" customHeight="1">
      <c r="A1456" s="555"/>
      <c r="B1456" s="217"/>
      <c r="C1456" s="217"/>
      <c r="D1456" s="101"/>
      <c r="E1456" s="217"/>
      <c r="F1456" s="294"/>
      <c r="G1456" s="295"/>
      <c r="H1456" s="225"/>
      <c r="I1456" s="225"/>
      <c r="J1456" s="225"/>
      <c r="K1456" s="225"/>
      <c r="L1456" s="225"/>
      <c r="M1456" s="225"/>
      <c r="N1456" s="225"/>
      <c r="O1456" s="225"/>
      <c r="P1456" s="225"/>
      <c r="Q1456" s="225"/>
      <c r="R1456" s="225"/>
      <c r="S1456" s="225"/>
      <c r="T1456" s="225"/>
      <c r="U1456" s="99"/>
      <c r="V1456" s="255"/>
      <c r="W1456" s="102"/>
      <c r="X1456" s="102"/>
      <c r="Y1456" s="102"/>
      <c r="Z1456" s="192"/>
      <c r="AA1456" s="615"/>
      <c r="AB1456" s="307"/>
      <c r="AC1456" s="93"/>
      <c r="AD1456" s="93"/>
      <c r="AE1456" s="93"/>
      <c r="AF1456" s="93"/>
      <c r="AG1456" s="93"/>
      <c r="AH1456" s="307"/>
      <c r="AI1456" s="307"/>
      <c r="AJ1456" s="93"/>
      <c r="AK1456" s="93"/>
      <c r="AL1456" s="93"/>
      <c r="AM1456" s="93"/>
      <c r="AN1456" s="93"/>
      <c r="AO1456" s="192"/>
      <c r="AP1456" s="192"/>
      <c r="AQ1456" s="192"/>
    </row>
    <row r="1457" spans="1:43" s="115" customFormat="1" ht="15" customHeight="1">
      <c r="A1457" s="555"/>
      <c r="B1457" s="217"/>
      <c r="C1457" s="217">
        <v>50</v>
      </c>
      <c r="D1457" s="101" t="str">
        <f t="shared" si="1860"/>
        <v/>
      </c>
      <c r="E1457" s="217" t="str">
        <f t="shared" si="1861"/>
        <v/>
      </c>
      <c r="F1457" s="294" t="s">
        <v>129</v>
      </c>
      <c r="G1457" s="295" t="str">
        <f>VLOOKUP(F1457,'GL Category'!A:C,3,FALSE)</f>
        <v>Personnel services</v>
      </c>
      <c r="H1457" s="98" t="str">
        <f>VLOOKUP(F1457,'GL Category'!A:C,2,FALSE)</f>
        <v>EXEMPT SALARIES</v>
      </c>
      <c r="I1457" s="99">
        <f>SUMIFS(I$1:I1451,$C$1:$C1451,$C1457,$F$1:$F1451,$F1457)</f>
        <v>431027.37</v>
      </c>
      <c r="J1457" s="99">
        <f>SUMIFS(J$1:J1451,$C$1:$C1451,$C1457,$F$1:$F1451,$F1457)</f>
        <v>483450.77999999997</v>
      </c>
      <c r="K1457" s="99">
        <f>SUMIFS(K$1:K1451,$C$1:$C1451,$C1457,$F$1:$F1451,$F1457)</f>
        <v>419940.49</v>
      </c>
      <c r="L1457" s="99">
        <f>SUMIFS(L$1:L1451,$C$1:$C1451,$C1457,$F$1:$F1451,$F1457)</f>
        <v>528612.92000000004</v>
      </c>
      <c r="M1457" s="99">
        <f>SUMIFS(M$1:M1451,$C$1:$C1451,$C1457,$F$1:$F1451,$F1457)</f>
        <v>624430</v>
      </c>
      <c r="N1457" s="99">
        <f>SUMIFS(N$1:N1451,$C$1:$C1451,$C1457,$F$1:$F1451,$F1457)</f>
        <v>404630.78</v>
      </c>
      <c r="O1457" s="99">
        <f>SUMIFS(O$1:O1451,$C$1:$C1451,$C1457,$F$1:$F1451,$F1457)</f>
        <v>531166</v>
      </c>
      <c r="P1457" s="99">
        <f t="shared" ref="P1457:P1467" si="1878">O1457-M1457</f>
        <v>-93264</v>
      </c>
      <c r="Q1457" s="99">
        <f>SUMIFS(Q$1:Q1451,$C$1:$C1451,$C1457,$F$1:$F1451,$F1457)</f>
        <v>549278</v>
      </c>
      <c r="R1457" s="99">
        <f>SUMIFS(R$1:R1451,$C$1:$C1451,$C1457,$F$1:$F1451,$F1457)</f>
        <v>0</v>
      </c>
      <c r="S1457" s="99">
        <f>SUMIFS(S$1:S1451,$C$1:$C1451,$C1457,$F$1:$F1451,$F1457)</f>
        <v>0</v>
      </c>
      <c r="T1457" s="99">
        <f>SUMIFS(T$1:T1451,$C$1:$C1451,$C1457,$F$1:$F1451,$F1457)</f>
        <v>549278</v>
      </c>
      <c r="U1457" s="99">
        <f t="shared" ref="U1457:U1468" si="1879">T1457-M1457</f>
        <v>-75152</v>
      </c>
      <c r="V1457" s="255">
        <f t="shared" ref="V1457:V1468" si="1880">IF(M1457=0,"N/A",T1457/M1457-1)</f>
        <v>-0.120352961901254</v>
      </c>
      <c r="W1457" s="102"/>
      <c r="X1457" s="102"/>
      <c r="Y1457" s="102">
        <f t="shared" ref="Y1457:Y1467" si="1881">T1457-X1457</f>
        <v>549278</v>
      </c>
      <c r="Z1457" s="309">
        <f>Y1457*(1+VLOOKUP($F1457,'GL Category'!$A:$H,4,FALSE))</f>
        <v>568502.73</v>
      </c>
      <c r="AA1457" s="615"/>
      <c r="AB1457" s="622">
        <f t="shared" ref="AB1457:AB1467" si="1882">Z1457+AA1457</f>
        <v>568502.73</v>
      </c>
      <c r="AC1457" s="633">
        <f>AB1457*(1+VLOOKUP($F1457,'GL Category'!$A:$H,5,FALSE))</f>
        <v>588400.32554999995</v>
      </c>
      <c r="AD1457" s="307"/>
      <c r="AE1457" s="622">
        <f t="shared" ref="AE1457:AE1467" si="1883">AC1457+AD1457</f>
        <v>588400.32554999995</v>
      </c>
      <c r="AF1457" s="633">
        <f>AE1457*(1+VLOOKUP($F1457,'GL Category'!$A:$H,6,FALSE))</f>
        <v>608994.33694424992</v>
      </c>
      <c r="AG1457" s="307"/>
      <c r="AH1457" s="622">
        <f t="shared" ref="AH1457:AH1467" si="1884">AF1457+AG1457</f>
        <v>608994.33694424992</v>
      </c>
      <c r="AI1457" s="633">
        <f>AH1457*(1+VLOOKUP($F1457,'GL Category'!$A:$H,7,FALSE))</f>
        <v>630309.13873729866</v>
      </c>
      <c r="AJ1457" s="307"/>
      <c r="AK1457" s="622">
        <f t="shared" ref="AK1457:AK1467" si="1885">AI1457+AJ1457</f>
        <v>630309.13873729866</v>
      </c>
      <c r="AL1457" s="633">
        <f>AK1457*(1+VLOOKUP($F1457,'GL Category'!$A:$H,8,FALSE))</f>
        <v>652369.95859310403</v>
      </c>
      <c r="AM1457" s="307"/>
      <c r="AN1457" s="622">
        <f t="shared" ref="AN1457:AN1467" si="1886">AL1457+AM1457</f>
        <v>652369.95859310403</v>
      </c>
      <c r="AO1457" s="192"/>
      <c r="AP1457" s="192"/>
      <c r="AQ1457" s="192"/>
    </row>
    <row r="1458" spans="1:43" s="115" customFormat="1" ht="15" customHeight="1">
      <c r="A1458" s="555"/>
      <c r="B1458" s="217"/>
      <c r="C1458" s="217">
        <v>50</v>
      </c>
      <c r="D1458" s="101" t="str">
        <f t="shared" ref="D1458:D1513" si="1887">MID(A1458,8,3)</f>
        <v/>
      </c>
      <c r="E1458" s="217" t="str">
        <f t="shared" ref="E1458:E1513" si="1888">LEFT(A1458,10)</f>
        <v/>
      </c>
      <c r="F1458" s="294" t="s">
        <v>131</v>
      </c>
      <c r="G1458" s="295" t="str">
        <f>VLOOKUP(F1458,'GL Category'!A:C,3,FALSE)</f>
        <v>Personnel services</v>
      </c>
      <c r="H1458" s="98" t="str">
        <f>VLOOKUP(F1458,'GL Category'!A:C,2,FALSE)</f>
        <v>NON EXEMPT SALARIES</v>
      </c>
      <c r="I1458" s="99">
        <f>SUMIFS(I$1:I1452,$C$1:$C1452,$C1458,$F$1:$F1452,$F1458)</f>
        <v>504868.19999999995</v>
      </c>
      <c r="J1458" s="99">
        <f>SUMIFS(J$1:J1452,$C$1:$C1452,$C1458,$F$1:$F1452,$F1458)</f>
        <v>510521.64</v>
      </c>
      <c r="K1458" s="99">
        <f>SUMIFS(K$1:K1452,$C$1:$C1452,$C1458,$F$1:$F1452,$F1458)</f>
        <v>515649.93</v>
      </c>
      <c r="L1458" s="99">
        <f>SUMIFS(L$1:L1452,$C$1:$C1452,$C1458,$F$1:$F1452,$F1458)</f>
        <v>522782.87</v>
      </c>
      <c r="M1458" s="99">
        <f>SUMIFS(M$1:M1452,$C$1:$C1452,$C1458,$F$1:$F1452,$F1458)</f>
        <v>506059</v>
      </c>
      <c r="N1458" s="99">
        <f>SUMIFS(N$1:N1452,$C$1:$C1452,$C1458,$F$1:$F1452,$F1458)</f>
        <v>366024.41000000003</v>
      </c>
      <c r="O1458" s="99">
        <f>SUMIFS(O$1:O1452,$C$1:$C1452,$C1458,$F$1:$F1452,$F1458)</f>
        <v>520194</v>
      </c>
      <c r="P1458" s="99">
        <f t="shared" si="1878"/>
        <v>14135</v>
      </c>
      <c r="Q1458" s="99">
        <f>SUMIFS(Q$1:Q1452,$C$1:$C1452,$C1458,$F$1:$F1452,$F1458)</f>
        <v>628047</v>
      </c>
      <c r="R1458" s="99">
        <f>SUMIFS(R$1:R1452,$C$1:$C1452,$C1458,$F$1:$F1452,$F1458)</f>
        <v>0</v>
      </c>
      <c r="S1458" s="99">
        <f>SUMIFS(S$1:S1452,$C$1:$C1452,$C1458,$F$1:$F1452,$F1458)</f>
        <v>0</v>
      </c>
      <c r="T1458" s="99">
        <f>SUMIFS(T$1:T1452,$C$1:$C1452,$C1458,$F$1:$F1452,$F1458)</f>
        <v>628047</v>
      </c>
      <c r="U1458" s="99">
        <f t="shared" si="1879"/>
        <v>121988</v>
      </c>
      <c r="V1458" s="255">
        <f t="shared" si="1880"/>
        <v>0.24105489676104952</v>
      </c>
      <c r="W1458" s="102"/>
      <c r="X1458" s="102"/>
      <c r="Y1458" s="102">
        <f t="shared" si="1881"/>
        <v>628047</v>
      </c>
      <c r="Z1458" s="309">
        <f>Y1458*(1+VLOOKUP($F1458,'GL Category'!$A:$H,4,FALSE))</f>
        <v>650028.6449999999</v>
      </c>
      <c r="AA1458" s="615"/>
      <c r="AB1458" s="622">
        <f t="shared" si="1882"/>
        <v>650028.6449999999</v>
      </c>
      <c r="AC1458" s="633">
        <f>AB1458*(1+VLOOKUP($F1458,'GL Category'!$A:$H,5,FALSE))</f>
        <v>672779.64757499984</v>
      </c>
      <c r="AD1458" s="307"/>
      <c r="AE1458" s="622">
        <f t="shared" si="1883"/>
        <v>672779.64757499984</v>
      </c>
      <c r="AF1458" s="633">
        <f>AE1458*(1+VLOOKUP($F1458,'GL Category'!$A:$H,6,FALSE))</f>
        <v>696326.93524012482</v>
      </c>
      <c r="AG1458" s="307"/>
      <c r="AH1458" s="622">
        <f t="shared" si="1884"/>
        <v>696326.93524012482</v>
      </c>
      <c r="AI1458" s="633">
        <f>AH1458*(1+VLOOKUP($F1458,'GL Category'!$A:$H,7,FALSE))</f>
        <v>720698.37797352916</v>
      </c>
      <c r="AJ1458" s="307"/>
      <c r="AK1458" s="622">
        <f t="shared" si="1885"/>
        <v>720698.37797352916</v>
      </c>
      <c r="AL1458" s="633">
        <f>AK1458*(1+VLOOKUP($F1458,'GL Category'!$A:$H,8,FALSE))</f>
        <v>745922.82120260259</v>
      </c>
      <c r="AM1458" s="307"/>
      <c r="AN1458" s="622">
        <f t="shared" si="1886"/>
        <v>745922.82120260259</v>
      </c>
      <c r="AO1458" s="192"/>
      <c r="AP1458" s="192"/>
      <c r="AQ1458" s="192"/>
    </row>
    <row r="1459" spans="1:43" s="115" customFormat="1" ht="15" customHeight="1">
      <c r="A1459" s="555"/>
      <c r="B1459" s="217"/>
      <c r="C1459" s="217">
        <v>50</v>
      </c>
      <c r="D1459" s="101" t="str">
        <f t="shared" si="1887"/>
        <v/>
      </c>
      <c r="E1459" s="217" t="str">
        <f t="shared" si="1888"/>
        <v/>
      </c>
      <c r="F1459" s="294" t="s">
        <v>133</v>
      </c>
      <c r="G1459" s="295" t="str">
        <f>VLOOKUP(F1459,'GL Category'!A:C,3,FALSE)</f>
        <v>Personnel services</v>
      </c>
      <c r="H1459" s="98" t="str">
        <f>VLOOKUP(F1459,'GL Category'!A:C,2,FALSE)</f>
        <v>OVERTIME</v>
      </c>
      <c r="I1459" s="99">
        <f>SUMIFS(I$1:I1453,$C$1:$C1453,$C1459,$F$1:$F1453,$F1459)</f>
        <v>39098.1</v>
      </c>
      <c r="J1459" s="99">
        <f>SUMIFS(J$1:J1453,$C$1:$C1453,$C1459,$F$1:$F1453,$F1459)</f>
        <v>33939.47</v>
      </c>
      <c r="K1459" s="99">
        <f>SUMIFS(K$1:K1453,$C$1:$C1453,$C1459,$F$1:$F1453,$F1459)</f>
        <v>25968.36</v>
      </c>
      <c r="L1459" s="99">
        <f>SUMIFS(L$1:L1453,$C$1:$C1453,$C1459,$F$1:$F1453,$F1459)</f>
        <v>26666.33</v>
      </c>
      <c r="M1459" s="99">
        <f>SUMIFS(M$1:M1453,$C$1:$C1453,$C1459,$F$1:$F1453,$F1459)</f>
        <v>47651</v>
      </c>
      <c r="N1459" s="99">
        <f>SUMIFS(N$1:N1453,$C$1:$C1453,$C1459,$F$1:$F1453,$F1459)</f>
        <v>8108.08</v>
      </c>
      <c r="O1459" s="99">
        <f>SUMIFS(O$1:O1453,$C$1:$C1453,$C1459,$F$1:$F1453,$F1459)</f>
        <v>8551</v>
      </c>
      <c r="P1459" s="99">
        <f t="shared" si="1878"/>
        <v>-39100</v>
      </c>
      <c r="Q1459" s="99">
        <f>SUMIFS(Q$1:Q1453,$C$1:$C1453,$C1459,$F$1:$F1453,$F1459)</f>
        <v>47527</v>
      </c>
      <c r="R1459" s="99">
        <f>SUMIFS(R$1:R1453,$C$1:$C1453,$C1459,$F$1:$F1453,$F1459)</f>
        <v>0</v>
      </c>
      <c r="S1459" s="99">
        <f>SUMIFS(S$1:S1453,$C$1:$C1453,$C1459,$F$1:$F1453,$F1459)</f>
        <v>0</v>
      </c>
      <c r="T1459" s="99">
        <f>SUMIFS(T$1:T1453,$C$1:$C1453,$C1459,$F$1:$F1453,$F1459)</f>
        <v>47527</v>
      </c>
      <c r="U1459" s="99">
        <f t="shared" si="1879"/>
        <v>-124</v>
      </c>
      <c r="V1459" s="255">
        <f t="shared" si="1880"/>
        <v>-2.6022538876413481E-3</v>
      </c>
      <c r="W1459" s="102"/>
      <c r="X1459" s="102"/>
      <c r="Y1459" s="102">
        <f t="shared" si="1881"/>
        <v>47527</v>
      </c>
      <c r="Z1459" s="309">
        <f>Y1459*(1+VLOOKUP($F1459,'GL Category'!$A:$H,4,FALSE))</f>
        <v>49190.445</v>
      </c>
      <c r="AA1459" s="615"/>
      <c r="AB1459" s="622">
        <f t="shared" si="1882"/>
        <v>49190.445</v>
      </c>
      <c r="AC1459" s="633">
        <f>AB1459*(1+VLOOKUP($F1459,'GL Category'!$A:$H,5,FALSE))</f>
        <v>50912.110574999999</v>
      </c>
      <c r="AD1459" s="307"/>
      <c r="AE1459" s="622">
        <f t="shared" si="1883"/>
        <v>50912.110574999999</v>
      </c>
      <c r="AF1459" s="633">
        <f>AE1459*(1+VLOOKUP($F1459,'GL Category'!$A:$H,6,FALSE))</f>
        <v>52694.034445124991</v>
      </c>
      <c r="AG1459" s="307"/>
      <c r="AH1459" s="622">
        <f t="shared" si="1884"/>
        <v>52694.034445124991</v>
      </c>
      <c r="AI1459" s="633">
        <f>AH1459*(1+VLOOKUP($F1459,'GL Category'!$A:$H,7,FALSE))</f>
        <v>54538.325650704362</v>
      </c>
      <c r="AJ1459" s="307"/>
      <c r="AK1459" s="622">
        <f t="shared" si="1885"/>
        <v>54538.325650704362</v>
      </c>
      <c r="AL1459" s="633">
        <f>AK1459*(1+VLOOKUP($F1459,'GL Category'!$A:$H,8,FALSE))</f>
        <v>56447.167048479008</v>
      </c>
      <c r="AM1459" s="307"/>
      <c r="AN1459" s="622">
        <f t="shared" si="1886"/>
        <v>56447.167048479008</v>
      </c>
      <c r="AO1459" s="192"/>
      <c r="AP1459" s="192"/>
      <c r="AQ1459" s="192"/>
    </row>
    <row r="1460" spans="1:43" s="115" customFormat="1" ht="15" customHeight="1">
      <c r="A1460" s="555"/>
      <c r="B1460" s="217"/>
      <c r="C1460" s="217">
        <v>50</v>
      </c>
      <c r="D1460" s="101" t="str">
        <f t="shared" si="1887"/>
        <v/>
      </c>
      <c r="E1460" s="217" t="str">
        <f t="shared" si="1888"/>
        <v/>
      </c>
      <c r="F1460" s="294" t="s">
        <v>136</v>
      </c>
      <c r="G1460" s="295" t="str">
        <f>VLOOKUP(F1460,'GL Category'!A:C,3,FALSE)</f>
        <v>Personnel services</v>
      </c>
      <c r="H1460" s="98" t="str">
        <f>VLOOKUP(F1460,'GL Category'!A:C,2,FALSE)</f>
        <v>LONGEVITY PAY</v>
      </c>
      <c r="I1460" s="99">
        <f>SUMIFS(I$1:I1454,$C$1:$C1454,$C1460,$F$1:$F1454,$F1460)</f>
        <v>7095</v>
      </c>
      <c r="J1460" s="99">
        <f>SUMIFS(J$1:J1454,$C$1:$C1454,$C1460,$F$1:$F1454,$F1460)</f>
        <v>7905</v>
      </c>
      <c r="K1460" s="99">
        <f>SUMIFS(K$1:K1454,$C$1:$C1454,$C1460,$F$1:$F1454,$F1460)</f>
        <v>5410</v>
      </c>
      <c r="L1460" s="99">
        <f>SUMIFS(L$1:L1454,$C$1:$C1454,$C1460,$F$1:$F1454,$F1460)</f>
        <v>5205</v>
      </c>
      <c r="M1460" s="99">
        <f>SUMIFS(M$1:M1454,$C$1:$C1454,$C1460,$F$1:$F1454,$F1460)</f>
        <v>4710</v>
      </c>
      <c r="N1460" s="99">
        <f>SUMIFS(N$1:N1454,$C$1:$C1454,$C1460,$F$1:$F1454,$F1460)</f>
        <v>4630</v>
      </c>
      <c r="O1460" s="99">
        <f>SUMIFS(O$1:O1454,$C$1:$C1454,$C1460,$F$1:$F1454,$F1460)</f>
        <v>4630</v>
      </c>
      <c r="P1460" s="99">
        <f t="shared" si="1878"/>
        <v>-80</v>
      </c>
      <c r="Q1460" s="99">
        <f>SUMIFS(Q$1:Q1454,$C$1:$C1454,$C1460,$F$1:$F1454,$F1460)</f>
        <v>5298</v>
      </c>
      <c r="R1460" s="99">
        <f>SUMIFS(R$1:R1454,$C$1:$C1454,$C1460,$F$1:$F1454,$F1460)</f>
        <v>0</v>
      </c>
      <c r="S1460" s="99">
        <f>SUMIFS(S$1:S1454,$C$1:$C1454,$C1460,$F$1:$F1454,$F1460)</f>
        <v>0</v>
      </c>
      <c r="T1460" s="99">
        <f>SUMIFS(T$1:T1454,$C$1:$C1454,$C1460,$F$1:$F1454,$F1460)</f>
        <v>5298</v>
      </c>
      <c r="U1460" s="99">
        <f t="shared" si="1879"/>
        <v>588</v>
      </c>
      <c r="V1460" s="255">
        <f t="shared" si="1880"/>
        <v>0.12484076433121016</v>
      </c>
      <c r="W1460" s="102"/>
      <c r="X1460" s="102"/>
      <c r="Y1460" s="102">
        <f t="shared" si="1881"/>
        <v>5298</v>
      </c>
      <c r="Z1460" s="309">
        <f>Y1460*(1+VLOOKUP($F1460,'GL Category'!$A:$H,4,FALSE))</f>
        <v>5483.4299999999994</v>
      </c>
      <c r="AA1460" s="615"/>
      <c r="AB1460" s="622">
        <f t="shared" si="1882"/>
        <v>5483.4299999999994</v>
      </c>
      <c r="AC1460" s="633">
        <f>AB1460*(1+VLOOKUP($F1460,'GL Category'!$A:$H,5,FALSE))</f>
        <v>5675.3500499999991</v>
      </c>
      <c r="AD1460" s="307"/>
      <c r="AE1460" s="622">
        <f t="shared" si="1883"/>
        <v>5675.3500499999991</v>
      </c>
      <c r="AF1460" s="633">
        <f>AE1460*(1+VLOOKUP($F1460,'GL Category'!$A:$H,6,FALSE))</f>
        <v>5873.9873017499986</v>
      </c>
      <c r="AG1460" s="307"/>
      <c r="AH1460" s="622">
        <f t="shared" si="1884"/>
        <v>5873.9873017499986</v>
      </c>
      <c r="AI1460" s="633">
        <f>AH1460*(1+VLOOKUP($F1460,'GL Category'!$A:$H,7,FALSE))</f>
        <v>6079.5768573112482</v>
      </c>
      <c r="AJ1460" s="307"/>
      <c r="AK1460" s="622">
        <f t="shared" si="1885"/>
        <v>6079.5768573112482</v>
      </c>
      <c r="AL1460" s="633">
        <f>AK1460*(1+VLOOKUP($F1460,'GL Category'!$A:$H,8,FALSE))</f>
        <v>6292.3620473171413</v>
      </c>
      <c r="AM1460" s="307"/>
      <c r="AN1460" s="622">
        <f t="shared" si="1886"/>
        <v>6292.3620473171413</v>
      </c>
      <c r="AO1460" s="192"/>
      <c r="AP1460" s="192"/>
      <c r="AQ1460" s="192"/>
    </row>
    <row r="1461" spans="1:43" s="115" customFormat="1" ht="15" customHeight="1">
      <c r="A1461" s="555"/>
      <c r="B1461" s="217"/>
      <c r="C1461" s="217">
        <v>50</v>
      </c>
      <c r="D1461" s="101" t="str">
        <f t="shared" si="1887"/>
        <v/>
      </c>
      <c r="E1461" s="217" t="str">
        <f t="shared" si="1888"/>
        <v/>
      </c>
      <c r="F1461" s="294" t="s">
        <v>249</v>
      </c>
      <c r="G1461" s="295" t="str">
        <f>VLOOKUP(F1461,'GL Category'!A:C,3,FALSE)</f>
        <v>Personnel services</v>
      </c>
      <c r="H1461" s="98" t="str">
        <f>VLOOKUP(F1461,'GL Category'!A:C,2,FALSE)</f>
        <v>TEMPORARY/SEASONAL WAGES</v>
      </c>
      <c r="I1461" s="99">
        <f>SUMIFS(I$1:I1455,$C$1:$C1455,$C1461,$F$1:$F1455,$F1461)</f>
        <v>0</v>
      </c>
      <c r="J1461" s="99">
        <f>SUMIFS(J$1:J1455,$C$1:$C1455,$C1461,$F$1:$F1455,$F1461)</f>
        <v>0</v>
      </c>
      <c r="K1461" s="99">
        <f>SUMIFS(K$1:K1455,$C$1:$C1455,$C1461,$F$1:$F1455,$F1461)</f>
        <v>0</v>
      </c>
      <c r="L1461" s="99">
        <f>SUMIFS(L$1:L1455,$C$1:$C1455,$C1461,$F$1:$F1455,$F1461)</f>
        <v>0</v>
      </c>
      <c r="M1461" s="99">
        <f>SUMIFS(M$1:M1455,$C$1:$C1455,$C1461,$F$1:$F1455,$F1461)</f>
        <v>0</v>
      </c>
      <c r="N1461" s="99">
        <f>SUMIFS(N$1:N1455,$C$1:$C1455,$C1461,$F$1:$F1455,$F1461)</f>
        <v>0</v>
      </c>
      <c r="O1461" s="99">
        <f>SUMIFS(O$1:O1455,$C$1:$C1455,$C1461,$F$1:$F1455,$F1461)</f>
        <v>0</v>
      </c>
      <c r="P1461" s="99">
        <f t="shared" ref="P1461" si="1889">O1461-M1461</f>
        <v>0</v>
      </c>
      <c r="Q1461" s="99">
        <f>SUMIFS(Q$1:Q1455,$C$1:$C1455,$C1461,$F$1:$F1455,$F1461)</f>
        <v>0</v>
      </c>
      <c r="R1461" s="99">
        <f>SUMIFS(R$1:R1455,$C$1:$C1455,$C1461,$F$1:$F1455,$F1461)</f>
        <v>0</v>
      </c>
      <c r="S1461" s="99">
        <f>SUMIFS(S$1:S1455,$C$1:$C1455,$C1461,$F$1:$F1455,$F1461)</f>
        <v>0</v>
      </c>
      <c r="T1461" s="99">
        <f>SUMIFS(T$1:T1455,$C$1:$C1455,$C1461,$F$1:$F1455,$F1461)</f>
        <v>0</v>
      </c>
      <c r="U1461" s="99">
        <f t="shared" si="1879"/>
        <v>0</v>
      </c>
      <c r="V1461" s="255" t="str">
        <f t="shared" si="1880"/>
        <v>N/A</v>
      </c>
      <c r="W1461" s="102"/>
      <c r="X1461" s="102"/>
      <c r="Y1461" s="102">
        <f t="shared" si="1881"/>
        <v>0</v>
      </c>
      <c r="Z1461" s="309">
        <f>Y1461*(1+VLOOKUP($F1461,'GL Category'!$A:$H,4,FALSE))</f>
        <v>0</v>
      </c>
      <c r="AA1461" s="615"/>
      <c r="AB1461" s="622">
        <f t="shared" si="1882"/>
        <v>0</v>
      </c>
      <c r="AC1461" s="633">
        <f>AB1461*(1+VLOOKUP($F1461,'GL Category'!$A:$H,5,FALSE))</f>
        <v>0</v>
      </c>
      <c r="AD1461" s="307"/>
      <c r="AE1461" s="622">
        <f t="shared" si="1883"/>
        <v>0</v>
      </c>
      <c r="AF1461" s="633">
        <f>AE1461*(1+VLOOKUP($F1461,'GL Category'!$A:$H,6,FALSE))</f>
        <v>0</v>
      </c>
      <c r="AG1461" s="307"/>
      <c r="AH1461" s="622">
        <f t="shared" si="1884"/>
        <v>0</v>
      </c>
      <c r="AI1461" s="633">
        <f>AH1461*(1+VLOOKUP($F1461,'GL Category'!$A:$H,7,FALSE))</f>
        <v>0</v>
      </c>
      <c r="AJ1461" s="307"/>
      <c r="AK1461" s="622">
        <f t="shared" si="1885"/>
        <v>0</v>
      </c>
      <c r="AL1461" s="633">
        <f>AK1461*(1+VLOOKUP($F1461,'GL Category'!$A:$H,8,FALSE))</f>
        <v>0</v>
      </c>
      <c r="AM1461" s="307"/>
      <c r="AN1461" s="622">
        <f t="shared" si="1886"/>
        <v>0</v>
      </c>
      <c r="AO1461" s="192"/>
      <c r="AP1461" s="192"/>
      <c r="AQ1461" s="192"/>
    </row>
    <row r="1462" spans="1:43" s="115" customFormat="1" ht="15" customHeight="1">
      <c r="A1462" s="555"/>
      <c r="B1462" s="217"/>
      <c r="C1462" s="217">
        <v>50</v>
      </c>
      <c r="D1462" s="101" t="str">
        <f t="shared" ref="D1462" si="1890">MID(A1462,8,3)</f>
        <v/>
      </c>
      <c r="E1462" s="217" t="str">
        <f t="shared" ref="E1462" si="1891">LEFT(A1462,10)</f>
        <v/>
      </c>
      <c r="F1462" s="556" t="s">
        <v>138</v>
      </c>
      <c r="G1462" s="295" t="str">
        <f>VLOOKUP(F1462,'GL Category'!A:C,3,FALSE)</f>
        <v>Personnel services</v>
      </c>
      <c r="H1462" s="98" t="str">
        <f>VLOOKUP(F1462,'GL Category'!A:C,2,FALSE)</f>
        <v>INCENTIVE/CERTIFICATION PAY</v>
      </c>
      <c r="I1462" s="99">
        <f>SUMIFS(I$1:I1456,$C$1:$C1456,$C1462,$F$1:$F1456,$F1462)</f>
        <v>0</v>
      </c>
      <c r="J1462" s="99">
        <f>SUMIFS(J$1:J1456,$C$1:$C1456,$C1462,$F$1:$F1456,$F1462)</f>
        <v>112.5</v>
      </c>
      <c r="K1462" s="99">
        <f>SUMIFS(K$1:K1456,$C$1:$C1456,$C1462,$F$1:$F1456,$F1462)</f>
        <v>0</v>
      </c>
      <c r="L1462" s="99">
        <f>SUMIFS(L$1:L1456,$C$1:$C1456,$C1462,$F$1:$F1456,$F1462)</f>
        <v>528.5</v>
      </c>
      <c r="M1462" s="99">
        <f>SUMIFS(M$1:M1456,$C$1:$C1456,$C1462,$F$1:$F1456,$F1462)</f>
        <v>1050</v>
      </c>
      <c r="N1462" s="99">
        <f>SUMIFS(N$1:N1456,$C$1:$C1456,$C1462,$F$1:$F1456,$F1462)</f>
        <v>784</v>
      </c>
      <c r="O1462" s="99">
        <f>SUMIFS(O$1:O1456,$C$1:$C1456,$C1462,$F$1:$F1456,$F1462)</f>
        <v>796</v>
      </c>
      <c r="P1462" s="99">
        <f t="shared" ref="P1462" si="1892">O1462-M1462</f>
        <v>-254</v>
      </c>
      <c r="Q1462" s="99">
        <f>SUMIFS(Q$1:Q1456,$C$1:$C1456,$C1462,$F$1:$F1456,$F1462)</f>
        <v>1050</v>
      </c>
      <c r="R1462" s="99">
        <f>SUMIFS(R$1:R1456,$C$1:$C1456,$C1462,$F$1:$F1456,$F1462)</f>
        <v>0</v>
      </c>
      <c r="S1462" s="99">
        <f>SUMIFS(S$1:S1456,$C$1:$C1456,$C1462,$F$1:$F1456,$F1462)</f>
        <v>0</v>
      </c>
      <c r="T1462" s="99">
        <f>SUMIFS(T$1:T1456,$C$1:$C1456,$C1462,$F$1:$F1456,$F1462)</f>
        <v>1050</v>
      </c>
      <c r="U1462" s="99">
        <f t="shared" ref="U1462" si="1893">T1462-M1462</f>
        <v>0</v>
      </c>
      <c r="V1462" s="255">
        <f t="shared" ref="V1462" si="1894">IF(M1462=0,"N/A",T1462/M1462-1)</f>
        <v>0</v>
      </c>
      <c r="W1462" s="102"/>
      <c r="X1462" s="102"/>
      <c r="Y1462" s="102">
        <f t="shared" si="1881"/>
        <v>1050</v>
      </c>
      <c r="Z1462" s="309">
        <f>Y1462*(1+VLOOKUP($F1462,'GL Category'!$A:$H,4,FALSE))</f>
        <v>1086.75</v>
      </c>
      <c r="AA1462" s="615"/>
      <c r="AB1462" s="622">
        <f t="shared" si="1882"/>
        <v>1086.75</v>
      </c>
      <c r="AC1462" s="633">
        <f>AB1462*(1+VLOOKUP($F1462,'GL Category'!$A:$H,5,FALSE))</f>
        <v>1124.7862499999999</v>
      </c>
      <c r="AD1462" s="307"/>
      <c r="AE1462" s="622">
        <f t="shared" si="1883"/>
        <v>1124.7862499999999</v>
      </c>
      <c r="AF1462" s="633">
        <f>AE1462*(1+VLOOKUP($F1462,'GL Category'!$A:$H,6,FALSE))</f>
        <v>1164.1537687499997</v>
      </c>
      <c r="AG1462" s="307"/>
      <c r="AH1462" s="622">
        <f t="shared" si="1884"/>
        <v>1164.1537687499997</v>
      </c>
      <c r="AI1462" s="633">
        <f>AH1462*(1+VLOOKUP($F1462,'GL Category'!$A:$H,7,FALSE))</f>
        <v>1204.8991506562495</v>
      </c>
      <c r="AJ1462" s="307"/>
      <c r="AK1462" s="622">
        <f t="shared" si="1885"/>
        <v>1204.8991506562495</v>
      </c>
      <c r="AL1462" s="633">
        <f>AK1462*(1+VLOOKUP($F1462,'GL Category'!$A:$H,8,FALSE))</f>
        <v>1247.0706209292182</v>
      </c>
      <c r="AM1462" s="307"/>
      <c r="AN1462" s="622">
        <f t="shared" si="1886"/>
        <v>1247.0706209292182</v>
      </c>
      <c r="AO1462" s="192"/>
      <c r="AP1462" s="192"/>
      <c r="AQ1462" s="192"/>
    </row>
    <row r="1463" spans="1:43" s="115" customFormat="1" ht="15" customHeight="1">
      <c r="A1463" s="555"/>
      <c r="B1463" s="217"/>
      <c r="C1463" s="217">
        <v>50</v>
      </c>
      <c r="D1463" s="101" t="str">
        <f t="shared" si="1887"/>
        <v/>
      </c>
      <c r="E1463" s="217" t="str">
        <f t="shared" si="1888"/>
        <v/>
      </c>
      <c r="F1463" s="294" t="s">
        <v>139</v>
      </c>
      <c r="G1463" s="295" t="str">
        <f>VLOOKUP(F1463,'GL Category'!A:C,3,FALSE)</f>
        <v>Personnel services</v>
      </c>
      <c r="H1463" s="98" t="str">
        <f>VLOOKUP(F1463,'GL Category'!A:C,2,FALSE)</f>
        <v>AUTO ALLOWANCE</v>
      </c>
      <c r="I1463" s="99">
        <f>SUMIFS(I$1:I1455,$C$1:$C1455,$C1463,$F$1:$F1455,$F1463)</f>
        <v>9000</v>
      </c>
      <c r="J1463" s="99">
        <f>SUMIFS(J$1:J1455,$C$1:$C1455,$C1463,$F$1:$F1455,$F1463)</f>
        <v>9000</v>
      </c>
      <c r="K1463" s="99">
        <f>SUMIFS(K$1:K1455,$C$1:$C1455,$C1463,$F$1:$F1455,$F1463)</f>
        <v>9000</v>
      </c>
      <c r="L1463" s="99">
        <f>SUMIFS(L$1:L1455,$C$1:$C1455,$C1463,$F$1:$F1455,$F1463)</f>
        <v>9405</v>
      </c>
      <c r="M1463" s="99">
        <f>SUMIFS(M$1:M1455,$C$1:$C1455,$C1463,$F$1:$F1455,$F1463)</f>
        <v>9000</v>
      </c>
      <c r="N1463" s="99">
        <f>SUMIFS(N$1:N1455,$C$1:$C1455,$C1463,$F$1:$F1455,$F1463)</f>
        <v>6720</v>
      </c>
      <c r="O1463" s="99">
        <f>SUMIFS(O$1:O1455,$C$1:$C1455,$C1463,$F$1:$F1455,$F1463)</f>
        <v>9008</v>
      </c>
      <c r="P1463" s="99">
        <f t="shared" si="1878"/>
        <v>8</v>
      </c>
      <c r="Q1463" s="99">
        <f>SUMIFS(Q$1:Q1455,$C$1:$C1455,$C1463,$F$1:$F1455,$F1463)</f>
        <v>9000</v>
      </c>
      <c r="R1463" s="99">
        <f>SUMIFS(R$1:R1455,$C$1:$C1455,$C1463,$F$1:$F1455,$F1463)</f>
        <v>0</v>
      </c>
      <c r="S1463" s="99">
        <f>SUMIFS(S$1:S1455,$C$1:$C1455,$C1463,$F$1:$F1455,$F1463)</f>
        <v>0</v>
      </c>
      <c r="T1463" s="99">
        <f>SUMIFS(T$1:T1455,$C$1:$C1455,$C1463,$F$1:$F1455,$F1463)</f>
        <v>9000</v>
      </c>
      <c r="U1463" s="99">
        <f t="shared" si="1879"/>
        <v>0</v>
      </c>
      <c r="V1463" s="255">
        <f t="shared" si="1880"/>
        <v>0</v>
      </c>
      <c r="W1463" s="102"/>
      <c r="X1463" s="102"/>
      <c r="Y1463" s="102">
        <f t="shared" si="1881"/>
        <v>9000</v>
      </c>
      <c r="Z1463" s="309">
        <f>Y1463*(1+VLOOKUP($F1463,'GL Category'!$A:$H,4,FALSE))</f>
        <v>9315</v>
      </c>
      <c r="AA1463" s="615"/>
      <c r="AB1463" s="622">
        <f t="shared" si="1882"/>
        <v>9315</v>
      </c>
      <c r="AC1463" s="633">
        <f>AB1463*(1+VLOOKUP($F1463,'GL Category'!$A:$H,5,FALSE))</f>
        <v>9641.0249999999996</v>
      </c>
      <c r="AD1463" s="307"/>
      <c r="AE1463" s="622">
        <f t="shared" si="1883"/>
        <v>9641.0249999999996</v>
      </c>
      <c r="AF1463" s="633">
        <f>AE1463*(1+VLOOKUP($F1463,'GL Category'!$A:$H,6,FALSE))</f>
        <v>9978.4608749999989</v>
      </c>
      <c r="AG1463" s="307"/>
      <c r="AH1463" s="622">
        <f t="shared" si="1884"/>
        <v>9978.4608749999989</v>
      </c>
      <c r="AI1463" s="633">
        <f>AH1463*(1+VLOOKUP($F1463,'GL Category'!$A:$H,7,FALSE))</f>
        <v>10327.707005624998</v>
      </c>
      <c r="AJ1463" s="307"/>
      <c r="AK1463" s="622">
        <f t="shared" si="1885"/>
        <v>10327.707005624998</v>
      </c>
      <c r="AL1463" s="633">
        <f>AK1463*(1+VLOOKUP($F1463,'GL Category'!$A:$H,8,FALSE))</f>
        <v>10689.176750821871</v>
      </c>
      <c r="AM1463" s="307"/>
      <c r="AN1463" s="622">
        <f t="shared" si="1886"/>
        <v>10689.176750821871</v>
      </c>
      <c r="AO1463" s="192"/>
      <c r="AP1463" s="192"/>
      <c r="AQ1463" s="192"/>
    </row>
    <row r="1464" spans="1:43" s="115" customFormat="1" ht="15" customHeight="1">
      <c r="A1464" s="555"/>
      <c r="B1464" s="217"/>
      <c r="C1464" s="217">
        <v>50</v>
      </c>
      <c r="D1464" s="101" t="str">
        <f t="shared" si="1887"/>
        <v/>
      </c>
      <c r="E1464" s="217" t="str">
        <f t="shared" si="1888"/>
        <v/>
      </c>
      <c r="F1464" s="294" t="s">
        <v>140</v>
      </c>
      <c r="G1464" s="295" t="str">
        <f>VLOOKUP(F1464,'GL Category'!A:C,3,FALSE)</f>
        <v>Personnel services</v>
      </c>
      <c r="H1464" s="98" t="str">
        <f>VLOOKUP(F1464,'GL Category'!A:C,2,FALSE)</f>
        <v>SOCIAL SECURITY</v>
      </c>
      <c r="I1464" s="99">
        <f>SUMIFS(I$1:I1456,$C$1:$C1456,$C1464,$F$1:$F1456,$F1464)</f>
        <v>72247.64</v>
      </c>
      <c r="J1464" s="99">
        <f>SUMIFS(J$1:J1456,$C$1:$C1456,$C1464,$F$1:$F1456,$F1464)</f>
        <v>75890.179999999993</v>
      </c>
      <c r="K1464" s="99">
        <f>SUMIFS(K$1:K1456,$C$1:$C1456,$C1464,$F$1:$F1456,$F1464)</f>
        <v>70903.61</v>
      </c>
      <c r="L1464" s="99">
        <f>SUMIFS(L$1:L1456,$C$1:$C1456,$C1464,$F$1:$F1456,$F1464)</f>
        <v>71957.09</v>
      </c>
      <c r="M1464" s="99">
        <f>SUMIFS(M$1:M1456,$C$1:$C1456,$C1464,$F$1:$F1456,$F1464)</f>
        <v>87830</v>
      </c>
      <c r="N1464" s="99">
        <f>SUMIFS(N$1:N1456,$C$1:$C1456,$C1464,$F$1:$F1456,$F1464)</f>
        <v>58206.53</v>
      </c>
      <c r="O1464" s="99">
        <f>SUMIFS(O$1:O1456,$C$1:$C1456,$C1464,$F$1:$F1456,$F1464)</f>
        <v>79269</v>
      </c>
      <c r="P1464" s="99">
        <f t="shared" si="1878"/>
        <v>-8561</v>
      </c>
      <c r="Q1464" s="99">
        <f>SUMIFS(Q$1:Q1456,$C$1:$C1456,$C1464,$F$1:$F1456,$F1464)</f>
        <v>90550</v>
      </c>
      <c r="R1464" s="99">
        <f>SUMIFS(R$1:R1456,$C$1:$C1456,$C1464,$F$1:$F1456,$F1464)</f>
        <v>0</v>
      </c>
      <c r="S1464" s="99">
        <f>SUMIFS(S$1:S1456,$C$1:$C1456,$C1464,$F$1:$F1456,$F1464)</f>
        <v>0</v>
      </c>
      <c r="T1464" s="99">
        <f>SUMIFS(T$1:T1456,$C$1:$C1456,$C1464,$F$1:$F1456,$F1464)</f>
        <v>90550</v>
      </c>
      <c r="U1464" s="99">
        <f t="shared" si="1879"/>
        <v>2720</v>
      </c>
      <c r="V1464" s="255">
        <f t="shared" si="1880"/>
        <v>3.0968917226460224E-2</v>
      </c>
      <c r="W1464" s="102"/>
      <c r="X1464" s="102"/>
      <c r="Y1464" s="102">
        <f t="shared" si="1881"/>
        <v>90550</v>
      </c>
      <c r="Z1464" s="309">
        <f>Y1464*(1+VLOOKUP($F1464,'GL Category'!$A:$H,4,FALSE))</f>
        <v>93719.25</v>
      </c>
      <c r="AA1464" s="615"/>
      <c r="AB1464" s="622">
        <f t="shared" si="1882"/>
        <v>93719.25</v>
      </c>
      <c r="AC1464" s="633">
        <f>AB1464*(1+VLOOKUP($F1464,'GL Category'!$A:$H,5,FALSE))</f>
        <v>96999.423749999987</v>
      </c>
      <c r="AD1464" s="307"/>
      <c r="AE1464" s="622">
        <f t="shared" si="1883"/>
        <v>96999.423749999987</v>
      </c>
      <c r="AF1464" s="633">
        <f>AE1464*(1+VLOOKUP($F1464,'GL Category'!$A:$H,6,FALSE))</f>
        <v>100394.40358124998</v>
      </c>
      <c r="AG1464" s="307"/>
      <c r="AH1464" s="622">
        <f t="shared" si="1884"/>
        <v>100394.40358124998</v>
      </c>
      <c r="AI1464" s="633">
        <f>AH1464*(1+VLOOKUP($F1464,'GL Category'!$A:$H,7,FALSE))</f>
        <v>103908.20770659372</v>
      </c>
      <c r="AJ1464" s="307"/>
      <c r="AK1464" s="622">
        <f t="shared" si="1885"/>
        <v>103908.20770659372</v>
      </c>
      <c r="AL1464" s="633">
        <f>AK1464*(1+VLOOKUP($F1464,'GL Category'!$A:$H,8,FALSE))</f>
        <v>107544.99497632449</v>
      </c>
      <c r="AM1464" s="307"/>
      <c r="AN1464" s="622">
        <f t="shared" si="1886"/>
        <v>107544.99497632449</v>
      </c>
      <c r="AO1464" s="192"/>
      <c r="AP1464" s="192"/>
      <c r="AQ1464" s="192"/>
    </row>
    <row r="1465" spans="1:43" s="115" customFormat="1" ht="15" customHeight="1">
      <c r="A1465" s="555"/>
      <c r="B1465" s="217"/>
      <c r="C1465" s="217">
        <v>50</v>
      </c>
      <c r="D1465" s="101" t="str">
        <f t="shared" si="1887"/>
        <v/>
      </c>
      <c r="E1465" s="217" t="str">
        <f t="shared" si="1888"/>
        <v/>
      </c>
      <c r="F1465" s="294" t="s">
        <v>141</v>
      </c>
      <c r="G1465" s="295" t="str">
        <f>VLOOKUP(F1465,'GL Category'!A:C,3,FALSE)</f>
        <v>Personnel services</v>
      </c>
      <c r="H1465" s="98" t="str">
        <f>VLOOKUP(F1465,'GL Category'!A:C,2,FALSE)</f>
        <v>HEALTH/LIFE INSURANCE</v>
      </c>
      <c r="I1465" s="99">
        <f>SUMIFS(I$1:I1457,$C$1:$C1457,$C1465,$F$1:$F1457,$F1465)</f>
        <v>180617.06</v>
      </c>
      <c r="J1465" s="99">
        <f>SUMIFS(J$1:J1457,$C$1:$C1457,$C1465,$F$1:$F1457,$F1465)</f>
        <v>189060.26</v>
      </c>
      <c r="K1465" s="99">
        <f>SUMIFS(K$1:K1457,$C$1:$C1457,$C1465,$F$1:$F1457,$F1465)</f>
        <v>211372.98</v>
      </c>
      <c r="L1465" s="99">
        <f>SUMIFS(L$1:L1457,$C$1:$C1457,$C1465,$F$1:$F1457,$F1465)</f>
        <v>213471.19</v>
      </c>
      <c r="M1465" s="99">
        <f>SUMIFS(M$1:M1457,$C$1:$C1457,$C1465,$F$1:$F1457,$F1465)</f>
        <v>243377</v>
      </c>
      <c r="N1465" s="99">
        <f>SUMIFS(N$1:N1457,$C$1:$C1457,$C1465,$F$1:$F1457,$F1465)</f>
        <v>139196.45000000001</v>
      </c>
      <c r="O1465" s="99">
        <f>SUMIFS(O$1:O1457,$C$1:$C1457,$C1465,$F$1:$F1457,$F1465)</f>
        <v>207481</v>
      </c>
      <c r="P1465" s="99">
        <f t="shared" si="1878"/>
        <v>-35896</v>
      </c>
      <c r="Q1465" s="99">
        <f>SUMIFS(Q$1:Q1457,$C$1:$C1457,$C1465,$F$1:$F1457,$F1465)</f>
        <v>234227</v>
      </c>
      <c r="R1465" s="99">
        <f>SUMIFS(R$1:R1457,$C$1:$C1457,$C1465,$F$1:$F1457,$F1465)</f>
        <v>0</v>
      </c>
      <c r="S1465" s="99">
        <f>SUMIFS(S$1:S1457,$C$1:$C1457,$C1465,$F$1:$F1457,$F1465)</f>
        <v>0</v>
      </c>
      <c r="T1465" s="99">
        <f>SUMIFS(T$1:T1457,$C$1:$C1457,$C1465,$F$1:$F1457,$F1465)</f>
        <v>234227</v>
      </c>
      <c r="U1465" s="99">
        <f t="shared" si="1879"/>
        <v>-9150</v>
      </c>
      <c r="V1465" s="255">
        <f t="shared" si="1880"/>
        <v>-3.7595993047822907E-2</v>
      </c>
      <c r="W1465" s="102"/>
      <c r="X1465" s="102"/>
      <c r="Y1465" s="102">
        <f t="shared" si="1881"/>
        <v>234227</v>
      </c>
      <c r="Z1465" s="309">
        <f>Y1465*(1+VLOOKUP($F1465,'GL Category'!$A:$H,4,FALSE))</f>
        <v>242424.94499999998</v>
      </c>
      <c r="AA1465" s="615"/>
      <c r="AB1465" s="622">
        <f t="shared" si="1882"/>
        <v>242424.94499999998</v>
      </c>
      <c r="AC1465" s="633">
        <f>AB1465*(1+VLOOKUP($F1465,'GL Category'!$A:$H,5,FALSE))</f>
        <v>250909.81807499996</v>
      </c>
      <c r="AD1465" s="307"/>
      <c r="AE1465" s="622">
        <f t="shared" si="1883"/>
        <v>250909.81807499996</v>
      </c>
      <c r="AF1465" s="633">
        <f>AE1465*(1+VLOOKUP($F1465,'GL Category'!$A:$H,6,FALSE))</f>
        <v>259691.66170762494</v>
      </c>
      <c r="AG1465" s="307"/>
      <c r="AH1465" s="622">
        <f t="shared" si="1884"/>
        <v>259691.66170762494</v>
      </c>
      <c r="AI1465" s="633">
        <f>AH1465*(1+VLOOKUP($F1465,'GL Category'!$A:$H,7,FALSE))</f>
        <v>268780.86986739177</v>
      </c>
      <c r="AJ1465" s="307"/>
      <c r="AK1465" s="622">
        <f t="shared" si="1885"/>
        <v>268780.86986739177</v>
      </c>
      <c r="AL1465" s="633">
        <f>AK1465*(1+VLOOKUP($F1465,'GL Category'!$A:$H,8,FALSE))</f>
        <v>278188.20031275047</v>
      </c>
      <c r="AM1465" s="307"/>
      <c r="AN1465" s="622">
        <f t="shared" si="1886"/>
        <v>278188.20031275047</v>
      </c>
      <c r="AO1465" s="192"/>
      <c r="AP1465" s="192"/>
      <c r="AQ1465" s="192"/>
    </row>
    <row r="1466" spans="1:43" s="115" customFormat="1" ht="15" customHeight="1">
      <c r="A1466" s="555"/>
      <c r="B1466" s="217"/>
      <c r="C1466" s="217">
        <v>50</v>
      </c>
      <c r="D1466" s="101" t="str">
        <f t="shared" si="1887"/>
        <v/>
      </c>
      <c r="E1466" s="217" t="str">
        <f t="shared" si="1888"/>
        <v/>
      </c>
      <c r="F1466" s="294" t="s">
        <v>143</v>
      </c>
      <c r="G1466" s="295" t="str">
        <f>VLOOKUP(F1466,'GL Category'!A:C,3,FALSE)</f>
        <v>Personnel services</v>
      </c>
      <c r="H1466" s="98" t="str">
        <f>VLOOKUP(F1466,'GL Category'!A:C,2,FALSE)</f>
        <v>WORKER COMPENSATION</v>
      </c>
      <c r="I1466" s="99">
        <f>SUMIFS(I$1:I1458,$C$1:$C1458,$C1466,$F$1:$F1458,$F1466)</f>
        <v>6358.38</v>
      </c>
      <c r="J1466" s="99">
        <f>SUMIFS(J$1:J1458,$C$1:$C1458,$C1466,$F$1:$F1458,$F1466)</f>
        <v>5812.58</v>
      </c>
      <c r="K1466" s="99">
        <f>SUMIFS(K$1:K1458,$C$1:$C1458,$C1466,$F$1:$F1458,$F1466)</f>
        <v>6532.6</v>
      </c>
      <c r="L1466" s="99">
        <f>SUMIFS(L$1:L1458,$C$1:$C1458,$C1466,$F$1:$F1458,$F1466)</f>
        <v>10744.34</v>
      </c>
      <c r="M1466" s="99">
        <f>SUMIFS(M$1:M1458,$C$1:$C1458,$C1466,$F$1:$F1458,$F1466)</f>
        <v>13020</v>
      </c>
      <c r="N1466" s="99">
        <f>SUMIFS(N$1:N1458,$C$1:$C1458,$C1466,$F$1:$F1458,$F1466)</f>
        <v>13009.38</v>
      </c>
      <c r="O1466" s="99">
        <f>SUMIFS(O$1:O1458,$C$1:$C1458,$C1466,$F$1:$F1458,$F1466)</f>
        <v>13010</v>
      </c>
      <c r="P1466" s="99">
        <f t="shared" si="1878"/>
        <v>-10</v>
      </c>
      <c r="Q1466" s="99">
        <f>SUMIFS(Q$1:Q1458,$C$1:$C1458,$C1466,$F$1:$F1458,$F1466)</f>
        <v>12601</v>
      </c>
      <c r="R1466" s="99">
        <f>SUMIFS(R$1:R1458,$C$1:$C1458,$C1466,$F$1:$F1458,$F1466)</f>
        <v>0</v>
      </c>
      <c r="S1466" s="99">
        <f>SUMIFS(S$1:S1458,$C$1:$C1458,$C1466,$F$1:$F1458,$F1466)</f>
        <v>0</v>
      </c>
      <c r="T1466" s="99">
        <f>SUMIFS(T$1:T1458,$C$1:$C1458,$C1466,$F$1:$F1458,$F1466)</f>
        <v>12601</v>
      </c>
      <c r="U1466" s="99">
        <f t="shared" si="1879"/>
        <v>-419</v>
      </c>
      <c r="V1466" s="255">
        <f t="shared" si="1880"/>
        <v>-3.2181259600614465E-2</v>
      </c>
      <c r="W1466" s="102"/>
      <c r="X1466" s="102"/>
      <c r="Y1466" s="102">
        <f t="shared" si="1881"/>
        <v>12601</v>
      </c>
      <c r="Z1466" s="309">
        <f>Y1466*(1+VLOOKUP($F1466,'GL Category'!$A:$H,4,FALSE))</f>
        <v>13042.035</v>
      </c>
      <c r="AA1466" s="615"/>
      <c r="AB1466" s="622">
        <f t="shared" si="1882"/>
        <v>13042.035</v>
      </c>
      <c r="AC1466" s="633">
        <f>AB1466*(1+VLOOKUP($F1466,'GL Category'!$A:$H,5,FALSE))</f>
        <v>13498.506224999999</v>
      </c>
      <c r="AD1466" s="307"/>
      <c r="AE1466" s="622">
        <f t="shared" si="1883"/>
        <v>13498.506224999999</v>
      </c>
      <c r="AF1466" s="633">
        <f>AE1466*(1+VLOOKUP($F1466,'GL Category'!$A:$H,6,FALSE))</f>
        <v>13970.953942874998</v>
      </c>
      <c r="AG1466" s="307"/>
      <c r="AH1466" s="622">
        <f t="shared" si="1884"/>
        <v>13970.953942874998</v>
      </c>
      <c r="AI1466" s="633">
        <f>AH1466*(1+VLOOKUP($F1466,'GL Category'!$A:$H,7,FALSE))</f>
        <v>14459.937330875622</v>
      </c>
      <c r="AJ1466" s="307"/>
      <c r="AK1466" s="622">
        <f t="shared" si="1885"/>
        <v>14459.937330875622</v>
      </c>
      <c r="AL1466" s="633">
        <f>AK1466*(1+VLOOKUP($F1466,'GL Category'!$A:$H,8,FALSE))</f>
        <v>14966.035137456267</v>
      </c>
      <c r="AM1466" s="307"/>
      <c r="AN1466" s="622">
        <f t="shared" si="1886"/>
        <v>14966.035137456267</v>
      </c>
      <c r="AO1466" s="192"/>
      <c r="AP1466" s="192"/>
      <c r="AQ1466" s="192"/>
    </row>
    <row r="1467" spans="1:43" s="115" customFormat="1" ht="15" customHeight="1">
      <c r="A1467" s="555"/>
      <c r="B1467" s="217"/>
      <c r="C1467" s="217">
        <v>50</v>
      </c>
      <c r="D1467" s="101" t="str">
        <f t="shared" si="1887"/>
        <v/>
      </c>
      <c r="E1467" s="217" t="str">
        <f t="shared" si="1888"/>
        <v/>
      </c>
      <c r="F1467" s="294" t="s">
        <v>147</v>
      </c>
      <c r="G1467" s="295" t="str">
        <f>VLOOKUP(F1467,'GL Category'!A:C,3,FALSE)</f>
        <v>Personnel services</v>
      </c>
      <c r="H1467" s="98" t="str">
        <f>VLOOKUP(F1467,'GL Category'!A:C,2,FALSE)</f>
        <v>RETIREMENT</v>
      </c>
      <c r="I1467" s="99">
        <f>SUMIFS(I$1:I1459,$C$1:$C1459,$C1467,$F$1:$F1459,$F1467)</f>
        <v>157454.78</v>
      </c>
      <c r="J1467" s="99">
        <f>SUMIFS(J$1:J1459,$C$1:$C1459,$C1467,$F$1:$F1459,$F1467)</f>
        <v>168802.6</v>
      </c>
      <c r="K1467" s="99">
        <f>SUMIFS(K$1:K1459,$C$1:$C1459,$C1467,$F$1:$F1459,$F1467)</f>
        <v>158517.5</v>
      </c>
      <c r="L1467" s="99">
        <f>SUMIFS(L$1:L1459,$C$1:$C1459,$C1467,$F$1:$F1459,$F1467)</f>
        <v>174562.38</v>
      </c>
      <c r="M1467" s="99">
        <f>SUMIFS(M$1:M1459,$C$1:$C1459,$C1467,$F$1:$F1459,$F1467)</f>
        <v>198191</v>
      </c>
      <c r="N1467" s="99">
        <f>SUMIFS(N$1:N1459,$C$1:$C1459,$C1467,$F$1:$F1459,$F1467)</f>
        <v>131473.25</v>
      </c>
      <c r="O1467" s="99">
        <f>SUMIFS(O$1:O1459,$C$1:$C1459,$C1467,$F$1:$F1459,$F1467)</f>
        <v>180856</v>
      </c>
      <c r="P1467" s="99">
        <f t="shared" si="1878"/>
        <v>-17335</v>
      </c>
      <c r="Q1467" s="99">
        <f>SUMIFS(Q$1:Q1459,$C$1:$C1459,$C1467,$F$1:$F1459,$F1467)</f>
        <v>211192</v>
      </c>
      <c r="R1467" s="99">
        <f>SUMIFS(R$1:R1459,$C$1:$C1459,$C1467,$F$1:$F1459,$F1467)</f>
        <v>0</v>
      </c>
      <c r="S1467" s="99">
        <f>SUMIFS(S$1:S1459,$C$1:$C1459,$C1467,$F$1:$F1459,$F1467)</f>
        <v>0</v>
      </c>
      <c r="T1467" s="99">
        <f>SUMIFS(T$1:T1459,$C$1:$C1459,$C1467,$F$1:$F1459,$F1467)</f>
        <v>211192</v>
      </c>
      <c r="U1467" s="99">
        <f t="shared" si="1879"/>
        <v>13001</v>
      </c>
      <c r="V1467" s="255">
        <f t="shared" si="1880"/>
        <v>6.5598336957783054E-2</v>
      </c>
      <c r="W1467" s="102"/>
      <c r="X1467" s="102"/>
      <c r="Y1467" s="102">
        <f t="shared" si="1881"/>
        <v>211192</v>
      </c>
      <c r="Z1467" s="309">
        <f>Y1467*(1+VLOOKUP($F1467,'GL Category'!$A:$H,4,FALSE))</f>
        <v>218583.71999999997</v>
      </c>
      <c r="AA1467" s="615"/>
      <c r="AB1467" s="622">
        <f t="shared" si="1882"/>
        <v>218583.71999999997</v>
      </c>
      <c r="AC1467" s="633">
        <f>AB1467*(1+VLOOKUP($F1467,'GL Category'!$A:$H,5,FALSE))</f>
        <v>226234.15019999995</v>
      </c>
      <c r="AD1467" s="307"/>
      <c r="AE1467" s="622">
        <f t="shared" si="1883"/>
        <v>226234.15019999995</v>
      </c>
      <c r="AF1467" s="633">
        <f>AE1467*(1+VLOOKUP($F1467,'GL Category'!$A:$H,6,FALSE))</f>
        <v>234152.34545699993</v>
      </c>
      <c r="AG1467" s="307"/>
      <c r="AH1467" s="622">
        <f t="shared" si="1884"/>
        <v>234152.34545699993</v>
      </c>
      <c r="AI1467" s="633">
        <f>AH1467*(1+VLOOKUP($F1467,'GL Category'!$A:$H,7,FALSE))</f>
        <v>242347.67754799491</v>
      </c>
      <c r="AJ1467" s="307"/>
      <c r="AK1467" s="622">
        <f t="shared" si="1885"/>
        <v>242347.67754799491</v>
      </c>
      <c r="AL1467" s="633">
        <f>AK1467*(1+VLOOKUP($F1467,'GL Category'!$A:$H,8,FALSE))</f>
        <v>250829.84626217472</v>
      </c>
      <c r="AM1467" s="307"/>
      <c r="AN1467" s="622">
        <f t="shared" si="1886"/>
        <v>250829.84626217472</v>
      </c>
      <c r="AO1467" s="192"/>
      <c r="AP1467" s="192"/>
      <c r="AQ1467" s="192"/>
    </row>
    <row r="1468" spans="1:43" s="115" customFormat="1" ht="15" customHeight="1">
      <c r="A1468" s="555"/>
      <c r="B1468" s="217"/>
      <c r="C1468" s="217"/>
      <c r="D1468" s="101"/>
      <c r="E1468" s="217"/>
      <c r="F1468" s="294"/>
      <c r="G1468" s="295"/>
      <c r="H1468" s="107" t="str">
        <f>UPPER(G1467)&amp;" TOTAL"</f>
        <v>PERSONNEL SERVICES TOTAL</v>
      </c>
      <c r="I1468" s="108">
        <f t="shared" ref="I1468" si="1895">SUBTOTAL(9,I1457:I1467)</f>
        <v>1407766.5299999998</v>
      </c>
      <c r="J1468" s="108">
        <f t="shared" ref="J1468:P1468" si="1896">SUBTOTAL(9,J1457:J1467)</f>
        <v>1484495.01</v>
      </c>
      <c r="K1468" s="108">
        <f t="shared" ref="K1468" si="1897">SUBTOTAL(9,K1457:K1467)</f>
        <v>1423295.47</v>
      </c>
      <c r="L1468" s="108">
        <f t="shared" ref="L1468" si="1898">SUBTOTAL(9,L1457:L1467)</f>
        <v>1563935.62</v>
      </c>
      <c r="M1468" s="108">
        <f t="shared" si="1896"/>
        <v>1735318</v>
      </c>
      <c r="N1468" s="109">
        <f t="shared" ref="N1468" si="1899">SUBTOTAL(9,N1457:N1467)</f>
        <v>1132782.8799999999</v>
      </c>
      <c r="O1468" s="109">
        <f t="shared" si="1896"/>
        <v>1554961</v>
      </c>
      <c r="P1468" s="109">
        <f t="shared" si="1896"/>
        <v>-180357</v>
      </c>
      <c r="Q1468" s="109">
        <f t="shared" ref="Q1468:T1468" si="1900">SUBTOTAL(9,Q1457:Q1467)</f>
        <v>1788770</v>
      </c>
      <c r="R1468" s="109">
        <f t="shared" si="1900"/>
        <v>0</v>
      </c>
      <c r="S1468" s="109">
        <f t="shared" si="1900"/>
        <v>0</v>
      </c>
      <c r="T1468" s="109">
        <f t="shared" si="1900"/>
        <v>1788770</v>
      </c>
      <c r="U1468" s="99">
        <f t="shared" si="1879"/>
        <v>53452</v>
      </c>
      <c r="V1468" s="255">
        <f t="shared" si="1880"/>
        <v>3.0802423532747314E-2</v>
      </c>
      <c r="W1468" s="102"/>
      <c r="X1468" s="102"/>
      <c r="Y1468" s="102"/>
      <c r="Z1468" s="192"/>
      <c r="AA1468" s="615"/>
      <c r="AB1468" s="307"/>
      <c r="AC1468" s="300"/>
      <c r="AD1468" s="300"/>
      <c r="AE1468" s="300"/>
      <c r="AF1468" s="300"/>
      <c r="AG1468" s="300"/>
      <c r="AH1468" s="307"/>
      <c r="AI1468" s="307"/>
      <c r="AJ1468" s="300"/>
      <c r="AK1468" s="300"/>
      <c r="AL1468" s="300"/>
      <c r="AM1468" s="300"/>
      <c r="AN1468" s="300"/>
      <c r="AO1468" s="192"/>
      <c r="AP1468" s="192"/>
      <c r="AQ1468" s="192"/>
    </row>
    <row r="1469" spans="1:43" s="115" customFormat="1" ht="15" customHeight="1">
      <c r="A1469" s="555"/>
      <c r="B1469" s="217"/>
      <c r="C1469" s="217"/>
      <c r="D1469" s="101"/>
      <c r="E1469" s="217"/>
      <c r="F1469" s="294"/>
      <c r="G1469" s="295"/>
      <c r="H1469" s="98"/>
      <c r="I1469" s="106"/>
      <c r="J1469" s="106"/>
      <c r="K1469" s="106"/>
      <c r="L1469" s="106"/>
      <c r="M1469" s="106"/>
      <c r="N1469" s="112"/>
      <c r="O1469" s="112"/>
      <c r="P1469" s="112"/>
      <c r="Q1469" s="113"/>
      <c r="R1469" s="113"/>
      <c r="S1469" s="113"/>
      <c r="T1469" s="113"/>
      <c r="U1469" s="99"/>
      <c r="V1469" s="255"/>
      <c r="W1469" s="102"/>
      <c r="X1469" s="102"/>
      <c r="Y1469" s="102"/>
      <c r="Z1469" s="192"/>
      <c r="AA1469" s="615"/>
      <c r="AB1469" s="307"/>
      <c r="AC1469" s="300"/>
      <c r="AD1469" s="300"/>
      <c r="AE1469" s="300"/>
      <c r="AF1469" s="300"/>
      <c r="AG1469" s="300"/>
      <c r="AH1469" s="307"/>
      <c r="AI1469" s="307"/>
      <c r="AJ1469" s="300"/>
      <c r="AK1469" s="300"/>
      <c r="AL1469" s="300"/>
      <c r="AM1469" s="300"/>
      <c r="AN1469" s="300"/>
      <c r="AO1469" s="192"/>
      <c r="AP1469" s="192"/>
      <c r="AQ1469" s="192"/>
    </row>
    <row r="1470" spans="1:43" s="115" customFormat="1" ht="15" customHeight="1">
      <c r="A1470" s="555"/>
      <c r="B1470" s="217"/>
      <c r="C1470" s="217">
        <v>50</v>
      </c>
      <c r="D1470" s="101" t="str">
        <f t="shared" si="1887"/>
        <v/>
      </c>
      <c r="E1470" s="217" t="str">
        <f t="shared" si="1888"/>
        <v/>
      </c>
      <c r="F1470" s="294" t="s">
        <v>148</v>
      </c>
      <c r="G1470" s="295" t="str">
        <f>VLOOKUP(F1470,'GL Category'!A:C,3,FALSE)</f>
        <v>Operations &amp; maintenance</v>
      </c>
      <c r="H1470" s="98" t="str">
        <f>VLOOKUP(F1470,'GL Category'!A:C,2,FALSE)</f>
        <v>OFFICE SUPPLIES</v>
      </c>
      <c r="I1470" s="99">
        <f>SUMIFS(I$1:I1464,$C$1:$C1464,$C1470,$F$1:$F1464,$F1470)</f>
        <v>1037.8899999999999</v>
      </c>
      <c r="J1470" s="99">
        <f>SUMIFS(J$1:J1464,$C$1:$C1464,$C1470,$F$1:$F1464,$F1470)</f>
        <v>2378.5</v>
      </c>
      <c r="K1470" s="99">
        <f>SUMIFS(K$1:K1464,$C$1:$C1464,$C1470,$F$1:$F1464,$F1470)</f>
        <v>1967.8899999999999</v>
      </c>
      <c r="L1470" s="99">
        <f>SUMIFS(L$1:L1464,$C$1:$C1464,$C1470,$F$1:$F1464,$F1470)</f>
        <v>2036.63</v>
      </c>
      <c r="M1470" s="99">
        <f>SUMIFS(M$1:M1464,$C$1:$C1464,$C1470,$F$1:$F1464,$F1470)</f>
        <v>1950</v>
      </c>
      <c r="N1470" s="99">
        <f>SUMIFS(N$1:N1464,$C$1:$C1464,$C1470,$F$1:$F1464,$F1470)</f>
        <v>519.06999999999994</v>
      </c>
      <c r="O1470" s="99">
        <f>SUMIFS(O$1:O1464,$C$1:$C1464,$C1470,$F$1:$F1464,$F1470)</f>
        <v>2550</v>
      </c>
      <c r="P1470" s="99">
        <f t="shared" ref="P1470:P1486" si="1901">O1470-M1470</f>
        <v>600</v>
      </c>
      <c r="Q1470" s="99">
        <f>SUMIFS(Q$1:Q1464,$C$1:$C1464,$C1470,$F$1:$F1464,$F1470)</f>
        <v>2300</v>
      </c>
      <c r="R1470" s="99">
        <f>SUMIFS(R$1:R1464,$C$1:$C1464,$C1470,$F$1:$F1464,$F1470)</f>
        <v>0</v>
      </c>
      <c r="S1470" s="99">
        <f>SUMIFS(S$1:S1464,$C$1:$C1464,$C1470,$F$1:$F1464,$F1470)</f>
        <v>0</v>
      </c>
      <c r="T1470" s="99">
        <f>SUMIFS(T$1:T1464,$C$1:$C1464,$C1470,$F$1:$F1464,$F1470)</f>
        <v>2300</v>
      </c>
      <c r="U1470" s="99">
        <f t="shared" ref="U1470:U1487" si="1902">T1470-M1470</f>
        <v>350</v>
      </c>
      <c r="V1470" s="255">
        <f t="shared" ref="V1470:V1487" si="1903">IF(M1470=0,"N/A",T1470/M1470-1)</f>
        <v>0.17948717948717952</v>
      </c>
      <c r="W1470" s="102"/>
      <c r="X1470" s="102"/>
      <c r="Y1470" s="102">
        <f t="shared" ref="Y1470:Y1486" si="1904">T1470-X1470</f>
        <v>2300</v>
      </c>
      <c r="Z1470" s="309">
        <f>Y1470*(1+VLOOKUP($F1470,'GL Category'!$A:$H,4,FALSE))</f>
        <v>2346</v>
      </c>
      <c r="AA1470" s="615"/>
      <c r="AB1470" s="622">
        <f t="shared" ref="AB1470:AB1486" si="1905">Z1470+AA1470</f>
        <v>2346</v>
      </c>
      <c r="AC1470" s="633">
        <f>AB1470*(1+VLOOKUP($F1470,'GL Category'!$A:$H,5,FALSE))</f>
        <v>2392.92</v>
      </c>
      <c r="AD1470" s="307"/>
      <c r="AE1470" s="622">
        <f t="shared" ref="AE1470:AE1486" si="1906">AC1470+AD1470</f>
        <v>2392.92</v>
      </c>
      <c r="AF1470" s="633">
        <f>AE1470*(1+VLOOKUP($F1470,'GL Category'!$A:$H,6,FALSE))</f>
        <v>2440.7784000000001</v>
      </c>
      <c r="AG1470" s="307"/>
      <c r="AH1470" s="622">
        <f t="shared" ref="AH1470:AH1486" si="1907">AF1470+AG1470</f>
        <v>2440.7784000000001</v>
      </c>
      <c r="AI1470" s="633">
        <f>AH1470*(1+VLOOKUP($F1470,'GL Category'!$A:$H,7,FALSE))</f>
        <v>2489.5939680000001</v>
      </c>
      <c r="AJ1470" s="307"/>
      <c r="AK1470" s="622">
        <f t="shared" ref="AK1470:AK1486" si="1908">AI1470+AJ1470</f>
        <v>2489.5939680000001</v>
      </c>
      <c r="AL1470" s="633">
        <f>AK1470*(1+VLOOKUP($F1470,'GL Category'!$A:$H,8,FALSE))</f>
        <v>2539.3858473600003</v>
      </c>
      <c r="AM1470" s="307"/>
      <c r="AN1470" s="622">
        <f t="shared" ref="AN1470:AN1486" si="1909">AL1470+AM1470</f>
        <v>2539.3858473600003</v>
      </c>
      <c r="AO1470" s="192"/>
      <c r="AP1470" s="192"/>
      <c r="AQ1470" s="192"/>
    </row>
    <row r="1471" spans="1:43" s="115" customFormat="1" ht="15" customHeight="1">
      <c r="A1471" s="555"/>
      <c r="B1471" s="217"/>
      <c r="C1471" s="217">
        <v>50</v>
      </c>
      <c r="D1471" s="101" t="str">
        <f t="shared" si="1887"/>
        <v/>
      </c>
      <c r="E1471" s="217" t="str">
        <f t="shared" si="1888"/>
        <v/>
      </c>
      <c r="F1471" s="294" t="s">
        <v>154</v>
      </c>
      <c r="G1471" s="295" t="str">
        <f>VLOOKUP(F1471,'GL Category'!A:C,3,FALSE)</f>
        <v>Operations &amp; maintenance</v>
      </c>
      <c r="H1471" s="98" t="str">
        <f>VLOOKUP(F1471,'GL Category'!A:C,2,FALSE)</f>
        <v>JANITORIAL SUPPLIES</v>
      </c>
      <c r="I1471" s="99">
        <f>SUMIFS(I$1:I1465,$C$1:$C1465,$C1471,$F$1:$F1465,$F1471)</f>
        <v>0</v>
      </c>
      <c r="J1471" s="99">
        <f>SUMIFS(J$1:J1465,$C$1:$C1465,$C1471,$F$1:$F1465,$F1471)</f>
        <v>0</v>
      </c>
      <c r="K1471" s="99">
        <f>SUMIFS(K$1:K1465,$C$1:$C1465,$C1471,$F$1:$F1465,$F1471)</f>
        <v>0</v>
      </c>
      <c r="L1471" s="99">
        <f>SUMIFS(L$1:L1465,$C$1:$C1465,$C1471,$F$1:$F1465,$F1471)</f>
        <v>0</v>
      </c>
      <c r="M1471" s="99">
        <f>SUMIFS(M$1:M1465,$C$1:$C1465,$C1471,$F$1:$F1465,$F1471)</f>
        <v>0</v>
      </c>
      <c r="N1471" s="99">
        <f>SUMIFS(N$1:N1465,$C$1:$C1465,$C1471,$F$1:$F1465,$F1471)</f>
        <v>0</v>
      </c>
      <c r="O1471" s="99">
        <f>SUMIFS(O$1:O1465,$C$1:$C1465,$C1471,$F$1:$F1465,$F1471)</f>
        <v>0</v>
      </c>
      <c r="P1471" s="99">
        <f t="shared" si="1901"/>
        <v>0</v>
      </c>
      <c r="Q1471" s="99">
        <f>SUMIFS(Q$1:Q1465,$C$1:$C1465,$C1471,$F$1:$F1465,$F1471)</f>
        <v>0</v>
      </c>
      <c r="R1471" s="99">
        <f>SUMIFS(R$1:R1465,$C$1:$C1465,$C1471,$F$1:$F1465,$F1471)</f>
        <v>0</v>
      </c>
      <c r="S1471" s="99">
        <f>SUMIFS(S$1:S1465,$C$1:$C1465,$C1471,$F$1:$F1465,$F1471)</f>
        <v>0</v>
      </c>
      <c r="T1471" s="99">
        <f>SUMIFS(T$1:T1465,$C$1:$C1465,$C1471,$F$1:$F1465,$F1471)</f>
        <v>0</v>
      </c>
      <c r="U1471" s="99">
        <f t="shared" si="1902"/>
        <v>0</v>
      </c>
      <c r="V1471" s="255" t="str">
        <f t="shared" si="1903"/>
        <v>N/A</v>
      </c>
      <c r="W1471" s="102"/>
      <c r="X1471" s="102"/>
      <c r="Y1471" s="102">
        <f t="shared" si="1904"/>
        <v>0</v>
      </c>
      <c r="Z1471" s="309">
        <f>Y1471*(1+VLOOKUP($F1471,'GL Category'!$A:$H,4,FALSE))</f>
        <v>0</v>
      </c>
      <c r="AA1471" s="615"/>
      <c r="AB1471" s="622">
        <f t="shared" si="1905"/>
        <v>0</v>
      </c>
      <c r="AC1471" s="633">
        <f>AB1471*(1+VLOOKUP($F1471,'GL Category'!$A:$H,5,FALSE))</f>
        <v>0</v>
      </c>
      <c r="AD1471" s="307"/>
      <c r="AE1471" s="622">
        <f t="shared" si="1906"/>
        <v>0</v>
      </c>
      <c r="AF1471" s="633">
        <f>AE1471*(1+VLOOKUP($F1471,'GL Category'!$A:$H,6,FALSE))</f>
        <v>0</v>
      </c>
      <c r="AG1471" s="307"/>
      <c r="AH1471" s="622">
        <f t="shared" si="1907"/>
        <v>0</v>
      </c>
      <c r="AI1471" s="633">
        <f>AH1471*(1+VLOOKUP($F1471,'GL Category'!$A:$H,7,FALSE))</f>
        <v>0</v>
      </c>
      <c r="AJ1471" s="307"/>
      <c r="AK1471" s="622">
        <f t="shared" si="1908"/>
        <v>0</v>
      </c>
      <c r="AL1471" s="633">
        <f>AK1471*(1+VLOOKUP($F1471,'GL Category'!$A:$H,8,FALSE))</f>
        <v>0</v>
      </c>
      <c r="AM1471" s="307"/>
      <c r="AN1471" s="622">
        <f t="shared" si="1909"/>
        <v>0</v>
      </c>
      <c r="AO1471" s="192"/>
      <c r="AP1471" s="192"/>
      <c r="AQ1471" s="192"/>
    </row>
    <row r="1472" spans="1:43" s="115" customFormat="1" ht="15" customHeight="1">
      <c r="A1472" s="555"/>
      <c r="B1472" s="217"/>
      <c r="C1472" s="217">
        <v>50</v>
      </c>
      <c r="D1472" s="101" t="str">
        <f t="shared" si="1887"/>
        <v/>
      </c>
      <c r="E1472" s="217" t="str">
        <f t="shared" si="1888"/>
        <v/>
      </c>
      <c r="F1472" s="294" t="s">
        <v>251</v>
      </c>
      <c r="G1472" s="295" t="str">
        <f>VLOOKUP(F1472,'GL Category'!A:C,3,FALSE)</f>
        <v>Operations &amp; maintenance</v>
      </c>
      <c r="H1472" s="98" t="str">
        <f>VLOOKUP(F1472,'GL Category'!A:C,2,FALSE)</f>
        <v>MEDICAL SUPPLIES</v>
      </c>
      <c r="I1472" s="99">
        <f>SUMIFS(I$1:I1466,$C$1:$C1466,$C1472,$F$1:$F1466,$F1472)</f>
        <v>0</v>
      </c>
      <c r="J1472" s="99">
        <f>SUMIFS(J$1:J1466,$C$1:$C1466,$C1472,$F$1:$F1466,$F1472)</f>
        <v>0</v>
      </c>
      <c r="K1472" s="99">
        <f>SUMIFS(K$1:K1466,$C$1:$C1466,$C1472,$F$1:$F1466,$F1472)</f>
        <v>0</v>
      </c>
      <c r="L1472" s="99">
        <f>SUMIFS(L$1:L1466,$C$1:$C1466,$C1472,$F$1:$F1466,$F1472)</f>
        <v>0</v>
      </c>
      <c r="M1472" s="99">
        <f>SUMIFS(M$1:M1466,$C$1:$C1466,$C1472,$F$1:$F1466,$F1472)</f>
        <v>0</v>
      </c>
      <c r="N1472" s="99">
        <f>SUMIFS(N$1:N1466,$C$1:$C1466,$C1472,$F$1:$F1466,$F1472)</f>
        <v>0</v>
      </c>
      <c r="O1472" s="99">
        <f>SUMIFS(O$1:O1466,$C$1:$C1466,$C1472,$F$1:$F1466,$F1472)</f>
        <v>0</v>
      </c>
      <c r="P1472" s="99">
        <f t="shared" si="1901"/>
        <v>0</v>
      </c>
      <c r="Q1472" s="99">
        <f>SUMIFS(Q$1:Q1466,$C$1:$C1466,$C1472,$F$1:$F1466,$F1472)</f>
        <v>0</v>
      </c>
      <c r="R1472" s="99">
        <f>SUMIFS(R$1:R1466,$C$1:$C1466,$C1472,$F$1:$F1466,$F1472)</f>
        <v>0</v>
      </c>
      <c r="S1472" s="99">
        <f>SUMIFS(S$1:S1466,$C$1:$C1466,$C1472,$F$1:$F1466,$F1472)</f>
        <v>0</v>
      </c>
      <c r="T1472" s="99">
        <f>SUMIFS(T$1:T1466,$C$1:$C1466,$C1472,$F$1:$F1466,$F1472)</f>
        <v>0</v>
      </c>
      <c r="U1472" s="99">
        <f t="shared" si="1902"/>
        <v>0</v>
      </c>
      <c r="V1472" s="255" t="str">
        <f t="shared" si="1903"/>
        <v>N/A</v>
      </c>
      <c r="W1472" s="102"/>
      <c r="X1472" s="102"/>
      <c r="Y1472" s="102">
        <f t="shared" si="1904"/>
        <v>0</v>
      </c>
      <c r="Z1472" s="309">
        <f>Y1472*(1+VLOOKUP($F1472,'GL Category'!$A:$H,4,FALSE))</f>
        <v>0</v>
      </c>
      <c r="AA1472" s="615"/>
      <c r="AB1472" s="622">
        <f t="shared" si="1905"/>
        <v>0</v>
      </c>
      <c r="AC1472" s="633">
        <f>AB1472*(1+VLOOKUP($F1472,'GL Category'!$A:$H,5,FALSE))</f>
        <v>0</v>
      </c>
      <c r="AD1472" s="307"/>
      <c r="AE1472" s="622">
        <f t="shared" si="1906"/>
        <v>0</v>
      </c>
      <c r="AF1472" s="633">
        <f>AE1472*(1+VLOOKUP($F1472,'GL Category'!$A:$H,6,FALSE))</f>
        <v>0</v>
      </c>
      <c r="AG1472" s="307"/>
      <c r="AH1472" s="622">
        <f t="shared" si="1907"/>
        <v>0</v>
      </c>
      <c r="AI1472" s="633">
        <f>AH1472*(1+VLOOKUP($F1472,'GL Category'!$A:$H,7,FALSE))</f>
        <v>0</v>
      </c>
      <c r="AJ1472" s="307"/>
      <c r="AK1472" s="622">
        <f t="shared" si="1908"/>
        <v>0</v>
      </c>
      <c r="AL1472" s="633">
        <f>AK1472*(1+VLOOKUP($F1472,'GL Category'!$A:$H,8,FALSE))</f>
        <v>0</v>
      </c>
      <c r="AM1472" s="307"/>
      <c r="AN1472" s="622">
        <f t="shared" si="1909"/>
        <v>0</v>
      </c>
      <c r="AO1472" s="192"/>
      <c r="AP1472" s="192"/>
      <c r="AQ1472" s="192"/>
    </row>
    <row r="1473" spans="1:59" s="115" customFormat="1" ht="15" customHeight="1">
      <c r="A1473" s="555"/>
      <c r="B1473" s="217"/>
      <c r="C1473" s="217">
        <v>50</v>
      </c>
      <c r="D1473" s="101" t="str">
        <f t="shared" si="1887"/>
        <v/>
      </c>
      <c r="E1473" s="217" t="str">
        <f t="shared" si="1888"/>
        <v/>
      </c>
      <c r="F1473" s="294" t="s">
        <v>159</v>
      </c>
      <c r="G1473" s="295" t="str">
        <f>VLOOKUP(F1473,'GL Category'!A:C,3,FALSE)</f>
        <v>Operations &amp; maintenance</v>
      </c>
      <c r="H1473" s="98" t="str">
        <f>VLOOKUP(F1473,'GL Category'!A:C,2,FALSE)</f>
        <v>SMALL TOOLS &amp; EQUIPMENT</v>
      </c>
      <c r="I1473" s="99">
        <f>SUMIFS(I$1:I1467,$C$1:$C1467,$C1473,$F$1:$F1467,$F1473)</f>
        <v>12479.16</v>
      </c>
      <c r="J1473" s="99">
        <f>SUMIFS(J$1:J1467,$C$1:$C1467,$C1473,$F$1:$F1467,$F1473)</f>
        <v>6293.22</v>
      </c>
      <c r="K1473" s="99">
        <f>SUMIFS(K$1:K1467,$C$1:$C1467,$C1473,$F$1:$F1467,$F1473)</f>
        <v>8131.69</v>
      </c>
      <c r="L1473" s="99">
        <f>SUMIFS(L$1:L1467,$C$1:$C1467,$C1473,$F$1:$F1467,$F1473)</f>
        <v>8511.59</v>
      </c>
      <c r="M1473" s="99">
        <f>SUMIFS(M$1:M1467,$C$1:$C1467,$C1473,$F$1:$F1467,$F1473)</f>
        <v>10940</v>
      </c>
      <c r="N1473" s="99">
        <f>SUMIFS(N$1:N1467,$C$1:$C1467,$C1473,$F$1:$F1467,$F1473)</f>
        <v>2374.39</v>
      </c>
      <c r="O1473" s="99">
        <f>SUMIFS(O$1:O1467,$C$1:$C1467,$C1473,$F$1:$F1467,$F1473)</f>
        <v>9000</v>
      </c>
      <c r="P1473" s="99">
        <f t="shared" si="1901"/>
        <v>-1940</v>
      </c>
      <c r="Q1473" s="99">
        <f>SUMIFS(Q$1:Q1467,$C$1:$C1467,$C1473,$F$1:$F1467,$F1473)</f>
        <v>9500</v>
      </c>
      <c r="R1473" s="99">
        <f>SUMIFS(R$1:R1467,$C$1:$C1467,$C1473,$F$1:$F1467,$F1473)</f>
        <v>0</v>
      </c>
      <c r="S1473" s="99">
        <f>SUMIFS(S$1:S1467,$C$1:$C1467,$C1473,$F$1:$F1467,$F1473)</f>
        <v>0</v>
      </c>
      <c r="T1473" s="99">
        <f>SUMIFS(T$1:T1467,$C$1:$C1467,$C1473,$F$1:$F1467,$F1473)</f>
        <v>9500</v>
      </c>
      <c r="U1473" s="99">
        <f t="shared" si="1902"/>
        <v>-1440</v>
      </c>
      <c r="V1473" s="255">
        <f t="shared" si="1903"/>
        <v>-0.13162705667276053</v>
      </c>
      <c r="W1473" s="102"/>
      <c r="X1473" s="102"/>
      <c r="Y1473" s="102">
        <f t="shared" si="1904"/>
        <v>9500</v>
      </c>
      <c r="Z1473" s="309">
        <f>Y1473*(1+VLOOKUP($F1473,'GL Category'!$A:$H,4,FALSE))</f>
        <v>9690</v>
      </c>
      <c r="AA1473" s="615"/>
      <c r="AB1473" s="622">
        <f t="shared" si="1905"/>
        <v>9690</v>
      </c>
      <c r="AC1473" s="633">
        <f>AB1473*(1+VLOOKUP($F1473,'GL Category'!$A:$H,5,FALSE))</f>
        <v>9883.7999999999993</v>
      </c>
      <c r="AD1473" s="307"/>
      <c r="AE1473" s="622">
        <f t="shared" si="1906"/>
        <v>9883.7999999999993</v>
      </c>
      <c r="AF1473" s="633">
        <f>AE1473*(1+VLOOKUP($F1473,'GL Category'!$A:$H,6,FALSE))</f>
        <v>10081.475999999999</v>
      </c>
      <c r="AG1473" s="307"/>
      <c r="AH1473" s="622">
        <f t="shared" si="1907"/>
        <v>10081.475999999999</v>
      </c>
      <c r="AI1473" s="633">
        <f>AH1473*(1+VLOOKUP($F1473,'GL Category'!$A:$H,7,FALSE))</f>
        <v>10283.105519999999</v>
      </c>
      <c r="AJ1473" s="307"/>
      <c r="AK1473" s="622">
        <f t="shared" si="1908"/>
        <v>10283.105519999999</v>
      </c>
      <c r="AL1473" s="633">
        <f>AK1473*(1+VLOOKUP($F1473,'GL Category'!$A:$H,8,FALSE))</f>
        <v>10488.7676304</v>
      </c>
      <c r="AM1473" s="307"/>
      <c r="AN1473" s="622">
        <f t="shared" si="1909"/>
        <v>10488.7676304</v>
      </c>
      <c r="AO1473" s="192"/>
      <c r="AP1473" s="192"/>
      <c r="AQ1473" s="192"/>
    </row>
    <row r="1474" spans="1:59" s="115" customFormat="1" ht="15" customHeight="1">
      <c r="A1474" s="555"/>
      <c r="B1474" s="217"/>
      <c r="C1474" s="217">
        <v>50</v>
      </c>
      <c r="D1474" s="101" t="str">
        <f t="shared" si="1887"/>
        <v/>
      </c>
      <c r="E1474" s="217" t="str">
        <f t="shared" si="1888"/>
        <v/>
      </c>
      <c r="F1474" s="294" t="s">
        <v>160</v>
      </c>
      <c r="G1474" s="295" t="str">
        <f>VLOOKUP(F1474,'GL Category'!A:C,3,FALSE)</f>
        <v>Operations &amp; maintenance</v>
      </c>
      <c r="H1474" s="98" t="str">
        <f>VLOOKUP(F1474,'GL Category'!A:C,2,FALSE)</f>
        <v>FUEL/OILS/LUBRICANTS</v>
      </c>
      <c r="I1474" s="99">
        <f>SUMIFS(I$1:I1468,$C$1:$C1468,$C1474,$F$1:$F1468,$F1474)</f>
        <v>19116.59</v>
      </c>
      <c r="J1474" s="99">
        <f>SUMIFS(J$1:J1468,$C$1:$C1468,$C1474,$F$1:$F1468,$F1474)</f>
        <v>23605.32</v>
      </c>
      <c r="K1474" s="99">
        <f>SUMIFS(K$1:K1468,$C$1:$C1468,$C1474,$F$1:$F1468,$F1474)</f>
        <v>38536.370000000003</v>
      </c>
      <c r="L1474" s="99">
        <f>SUMIFS(L$1:L1468,$C$1:$C1468,$C1474,$F$1:$F1468,$F1474)</f>
        <v>16798.41</v>
      </c>
      <c r="M1474" s="99">
        <f>SUMIFS(M$1:M1468,$C$1:$C1468,$C1474,$F$1:$F1468,$F1474)</f>
        <v>39000</v>
      </c>
      <c r="N1474" s="99">
        <f>SUMIFS(N$1:N1468,$C$1:$C1468,$C1474,$F$1:$F1468,$F1474)</f>
        <v>9123.3700000000008</v>
      </c>
      <c r="O1474" s="99">
        <f>SUMIFS(O$1:O1468,$C$1:$C1468,$C1474,$F$1:$F1468,$F1474)</f>
        <v>37000</v>
      </c>
      <c r="P1474" s="99">
        <f t="shared" si="1901"/>
        <v>-2000</v>
      </c>
      <c r="Q1474" s="99">
        <f>SUMIFS(Q$1:Q1468,$C$1:$C1468,$C1474,$F$1:$F1468,$F1474)</f>
        <v>38000</v>
      </c>
      <c r="R1474" s="99">
        <f>SUMIFS(R$1:R1468,$C$1:$C1468,$C1474,$F$1:$F1468,$F1474)</f>
        <v>0</v>
      </c>
      <c r="S1474" s="99">
        <f>SUMIFS(S$1:S1468,$C$1:$C1468,$C1474,$F$1:$F1468,$F1474)</f>
        <v>0</v>
      </c>
      <c r="T1474" s="99">
        <f>SUMIFS(T$1:T1468,$C$1:$C1468,$C1474,$F$1:$F1468,$F1474)</f>
        <v>38000</v>
      </c>
      <c r="U1474" s="99">
        <f t="shared" si="1902"/>
        <v>-1000</v>
      </c>
      <c r="V1474" s="255">
        <f t="shared" si="1903"/>
        <v>-2.5641025641025661E-2</v>
      </c>
      <c r="W1474" s="102"/>
      <c r="X1474" s="102"/>
      <c r="Y1474" s="102">
        <f t="shared" si="1904"/>
        <v>38000</v>
      </c>
      <c r="Z1474" s="309">
        <f>Y1474*(1+VLOOKUP($F1474,'GL Category'!$A:$H,4,FALSE))</f>
        <v>38760</v>
      </c>
      <c r="AA1474" s="615"/>
      <c r="AB1474" s="622">
        <f t="shared" si="1905"/>
        <v>38760</v>
      </c>
      <c r="AC1474" s="633">
        <f>AB1474*(1+VLOOKUP($F1474,'GL Category'!$A:$H,5,FALSE))</f>
        <v>39535.199999999997</v>
      </c>
      <c r="AD1474" s="307"/>
      <c r="AE1474" s="622">
        <f t="shared" si="1906"/>
        <v>39535.199999999997</v>
      </c>
      <c r="AF1474" s="633">
        <f>AE1474*(1+VLOOKUP($F1474,'GL Category'!$A:$H,6,FALSE))</f>
        <v>40325.903999999995</v>
      </c>
      <c r="AG1474" s="307"/>
      <c r="AH1474" s="622">
        <f t="shared" si="1907"/>
        <v>40325.903999999995</v>
      </c>
      <c r="AI1474" s="633">
        <f>AH1474*(1+VLOOKUP($F1474,'GL Category'!$A:$H,7,FALSE))</f>
        <v>41132.422079999997</v>
      </c>
      <c r="AJ1474" s="307"/>
      <c r="AK1474" s="622">
        <f t="shared" si="1908"/>
        <v>41132.422079999997</v>
      </c>
      <c r="AL1474" s="633">
        <f>AK1474*(1+VLOOKUP($F1474,'GL Category'!$A:$H,8,FALSE))</f>
        <v>41955.070521599999</v>
      </c>
      <c r="AM1474" s="307"/>
      <c r="AN1474" s="622">
        <f t="shared" si="1909"/>
        <v>41955.070521599999</v>
      </c>
      <c r="AO1474" s="192"/>
      <c r="AP1474" s="192"/>
      <c r="AQ1474" s="192"/>
    </row>
    <row r="1475" spans="1:59" s="115" customFormat="1" ht="15" customHeight="1">
      <c r="A1475" s="555"/>
      <c r="B1475" s="217"/>
      <c r="C1475" s="217">
        <v>50</v>
      </c>
      <c r="D1475" s="101" t="str">
        <f t="shared" si="1887"/>
        <v/>
      </c>
      <c r="E1475" s="217" t="str">
        <f t="shared" si="1888"/>
        <v/>
      </c>
      <c r="F1475" s="294" t="s">
        <v>162</v>
      </c>
      <c r="G1475" s="295" t="str">
        <f>VLOOKUP(F1475,'GL Category'!A:C,3,FALSE)</f>
        <v>Operations &amp; maintenance</v>
      </c>
      <c r="H1475" s="98" t="str">
        <f>VLOOKUP(F1475,'GL Category'!A:C,2,FALSE)</f>
        <v>MEETING SPONSORSHIP/SUPPLIES</v>
      </c>
      <c r="I1475" s="99">
        <f>SUMIFS(I$1:I1469,$C$1:$C1469,$C1475,$F$1:$F1469,$F1475)</f>
        <v>0</v>
      </c>
      <c r="J1475" s="99">
        <f>SUMIFS(J$1:J1469,$C$1:$C1469,$C1475,$F$1:$F1469,$F1475)</f>
        <v>0</v>
      </c>
      <c r="K1475" s="99">
        <f>SUMIFS(K$1:K1469,$C$1:$C1469,$C1475,$F$1:$F1469,$F1475)</f>
        <v>0</v>
      </c>
      <c r="L1475" s="99">
        <f>SUMIFS(L$1:L1469,$C$1:$C1469,$C1475,$F$1:$F1469,$F1475)</f>
        <v>0</v>
      </c>
      <c r="M1475" s="99">
        <f>SUMIFS(M$1:M1469,$C$1:$C1469,$C1475,$F$1:$F1469,$F1475)</f>
        <v>0</v>
      </c>
      <c r="N1475" s="99">
        <f>SUMIFS(N$1:N1469,$C$1:$C1469,$C1475,$F$1:$F1469,$F1475)</f>
        <v>0</v>
      </c>
      <c r="O1475" s="99">
        <f>SUMIFS(O$1:O1469,$C$1:$C1469,$C1475,$F$1:$F1469,$F1475)</f>
        <v>0</v>
      </c>
      <c r="P1475" s="99">
        <f t="shared" si="1901"/>
        <v>0</v>
      </c>
      <c r="Q1475" s="99">
        <f>SUMIFS(Q$1:Q1469,$C$1:$C1469,$C1475,$F$1:$F1469,$F1475)</f>
        <v>0</v>
      </c>
      <c r="R1475" s="99">
        <f>SUMIFS(R$1:R1469,$C$1:$C1469,$C1475,$F$1:$F1469,$F1475)</f>
        <v>0</v>
      </c>
      <c r="S1475" s="99">
        <f>SUMIFS(S$1:S1469,$C$1:$C1469,$C1475,$F$1:$F1469,$F1475)</f>
        <v>0</v>
      </c>
      <c r="T1475" s="99">
        <f>SUMIFS(T$1:T1469,$C$1:$C1469,$C1475,$F$1:$F1469,$F1475)</f>
        <v>0</v>
      </c>
      <c r="U1475" s="99">
        <f t="shared" si="1902"/>
        <v>0</v>
      </c>
      <c r="V1475" s="255" t="str">
        <f t="shared" si="1903"/>
        <v>N/A</v>
      </c>
      <c r="W1475" s="102"/>
      <c r="X1475" s="102"/>
      <c r="Y1475" s="102">
        <f t="shared" si="1904"/>
        <v>0</v>
      </c>
      <c r="Z1475" s="309">
        <f>Y1475*(1+VLOOKUP($F1475,'GL Category'!$A:$H,4,FALSE))</f>
        <v>0</v>
      </c>
      <c r="AA1475" s="615"/>
      <c r="AB1475" s="622">
        <f t="shared" si="1905"/>
        <v>0</v>
      </c>
      <c r="AC1475" s="633">
        <f>AB1475*(1+VLOOKUP($F1475,'GL Category'!$A:$H,5,FALSE))</f>
        <v>0</v>
      </c>
      <c r="AD1475" s="307"/>
      <c r="AE1475" s="622">
        <f t="shared" si="1906"/>
        <v>0</v>
      </c>
      <c r="AF1475" s="633">
        <f>AE1475*(1+VLOOKUP($F1475,'GL Category'!$A:$H,6,FALSE))</f>
        <v>0</v>
      </c>
      <c r="AG1475" s="307"/>
      <c r="AH1475" s="622">
        <f t="shared" si="1907"/>
        <v>0</v>
      </c>
      <c r="AI1475" s="633">
        <f>AH1475*(1+VLOOKUP($F1475,'GL Category'!$A:$H,7,FALSE))</f>
        <v>0</v>
      </c>
      <c r="AJ1475" s="307"/>
      <c r="AK1475" s="622">
        <f t="shared" si="1908"/>
        <v>0</v>
      </c>
      <c r="AL1475" s="633">
        <f>AK1475*(1+VLOOKUP($F1475,'GL Category'!$A:$H,8,FALSE))</f>
        <v>0</v>
      </c>
      <c r="AM1475" s="307"/>
      <c r="AN1475" s="622">
        <f t="shared" si="1909"/>
        <v>0</v>
      </c>
      <c r="AO1475" s="192"/>
      <c r="AP1475" s="192"/>
      <c r="AQ1475" s="192"/>
    </row>
    <row r="1476" spans="1:59" s="115" customFormat="1" ht="15" customHeight="1">
      <c r="A1476" s="555"/>
      <c r="B1476" s="217"/>
      <c r="C1476" s="217">
        <v>50</v>
      </c>
      <c r="D1476" s="101" t="str">
        <f t="shared" si="1887"/>
        <v/>
      </c>
      <c r="E1476" s="217" t="str">
        <f t="shared" si="1888"/>
        <v/>
      </c>
      <c r="F1476" s="294" t="s">
        <v>233</v>
      </c>
      <c r="G1476" s="295" t="str">
        <f>VLOOKUP(F1476,'GL Category'!A:C,3,FALSE)</f>
        <v>Operations &amp; maintenance</v>
      </c>
      <c r="H1476" s="98" t="str">
        <f>VLOOKUP(F1476,'GL Category'!A:C,2,FALSE)</f>
        <v>STREET SIGN/SIGNAL SUPPLIES</v>
      </c>
      <c r="I1476" s="99">
        <f>SUMIFS(I$1:I1470,$C$1:$C1470,$C1476,$F$1:$F1470,$F1476)</f>
        <v>43987.56</v>
      </c>
      <c r="J1476" s="99">
        <f>SUMIFS(J$1:J1470,$C$1:$C1470,$C1476,$F$1:$F1470,$F1476)</f>
        <v>21716.32</v>
      </c>
      <c r="K1476" s="99">
        <f>SUMIFS(K$1:K1470,$C$1:$C1470,$C1476,$F$1:$F1470,$F1476)</f>
        <v>35487.74</v>
      </c>
      <c r="L1476" s="99">
        <f>SUMIFS(L$1:L1470,$C$1:$C1470,$C1476,$F$1:$F1470,$F1476)</f>
        <v>44433.8</v>
      </c>
      <c r="M1476" s="99">
        <f>SUMIFS(M$1:M1470,$C$1:$C1470,$C1476,$F$1:$F1470,$F1476)</f>
        <v>50000</v>
      </c>
      <c r="N1476" s="99">
        <f>SUMIFS(N$1:N1470,$C$1:$C1470,$C1476,$F$1:$F1470,$F1476)</f>
        <v>8444.9</v>
      </c>
      <c r="O1476" s="99">
        <f>SUMIFS(O$1:O1470,$C$1:$C1470,$C1476,$F$1:$F1470,$F1476)</f>
        <v>45000</v>
      </c>
      <c r="P1476" s="99">
        <f t="shared" si="1901"/>
        <v>-5000</v>
      </c>
      <c r="Q1476" s="99">
        <f>SUMIFS(Q$1:Q1470,$C$1:$C1470,$C1476,$F$1:$F1470,$F1476)</f>
        <v>50000</v>
      </c>
      <c r="R1476" s="99">
        <f>SUMIFS(R$1:R1470,$C$1:$C1470,$C1476,$F$1:$F1470,$F1476)</f>
        <v>0</v>
      </c>
      <c r="S1476" s="99">
        <f>SUMIFS(S$1:S1470,$C$1:$C1470,$C1476,$F$1:$F1470,$F1476)</f>
        <v>0</v>
      </c>
      <c r="T1476" s="99">
        <f>SUMIFS(T$1:T1470,$C$1:$C1470,$C1476,$F$1:$F1470,$F1476)</f>
        <v>50000</v>
      </c>
      <c r="U1476" s="99">
        <f t="shared" si="1902"/>
        <v>0</v>
      </c>
      <c r="V1476" s="255">
        <f t="shared" si="1903"/>
        <v>0</v>
      </c>
      <c r="W1476" s="102"/>
      <c r="X1476" s="102"/>
      <c r="Y1476" s="102">
        <f t="shared" si="1904"/>
        <v>50000</v>
      </c>
      <c r="Z1476" s="309">
        <f>Y1476*(1+VLOOKUP($F1476,'GL Category'!$A:$H,4,FALSE))</f>
        <v>51000</v>
      </c>
      <c r="AA1476" s="615"/>
      <c r="AB1476" s="622">
        <f t="shared" si="1905"/>
        <v>51000</v>
      </c>
      <c r="AC1476" s="633">
        <f>AB1476*(1+VLOOKUP($F1476,'GL Category'!$A:$H,5,FALSE))</f>
        <v>52020</v>
      </c>
      <c r="AD1476" s="307"/>
      <c r="AE1476" s="622">
        <f t="shared" si="1906"/>
        <v>52020</v>
      </c>
      <c r="AF1476" s="633">
        <f>AE1476*(1+VLOOKUP($F1476,'GL Category'!$A:$H,6,FALSE))</f>
        <v>53060.4</v>
      </c>
      <c r="AG1476" s="307"/>
      <c r="AH1476" s="622">
        <f t="shared" si="1907"/>
        <v>53060.4</v>
      </c>
      <c r="AI1476" s="633">
        <f>AH1476*(1+VLOOKUP($F1476,'GL Category'!$A:$H,7,FALSE))</f>
        <v>54121.608</v>
      </c>
      <c r="AJ1476" s="307"/>
      <c r="AK1476" s="622">
        <f t="shared" si="1908"/>
        <v>54121.608</v>
      </c>
      <c r="AL1476" s="633">
        <f>AK1476*(1+VLOOKUP($F1476,'GL Category'!$A:$H,8,FALSE))</f>
        <v>55204.040160000004</v>
      </c>
      <c r="AM1476" s="307"/>
      <c r="AN1476" s="622">
        <f t="shared" si="1909"/>
        <v>55204.040160000004</v>
      </c>
      <c r="AO1476" s="192"/>
      <c r="AP1476" s="192"/>
      <c r="AQ1476" s="192"/>
    </row>
    <row r="1477" spans="1:59" s="115" customFormat="1" ht="15" customHeight="1">
      <c r="A1477" s="555"/>
      <c r="B1477" s="217"/>
      <c r="C1477" s="217">
        <v>50</v>
      </c>
      <c r="D1477" s="101" t="str">
        <f t="shared" si="1887"/>
        <v/>
      </c>
      <c r="E1477" s="217" t="str">
        <f t="shared" si="1888"/>
        <v/>
      </c>
      <c r="F1477" s="294" t="s">
        <v>275</v>
      </c>
      <c r="G1477" s="295" t="str">
        <f>VLOOKUP(F1477,'GL Category'!A:C,3,FALSE)</f>
        <v>Operations &amp; maintenance</v>
      </c>
      <c r="H1477" s="98" t="str">
        <f>VLOOKUP(F1477,'GL Category'!A:C,2,FALSE)</f>
        <v>CHEMICAL SUPPLIES</v>
      </c>
      <c r="I1477" s="99">
        <f>SUMIFS(I$1:I1471,$C$1:$C1471,$C1477,$F$1:$F1471,$F1477)</f>
        <v>2614.11</v>
      </c>
      <c r="J1477" s="99">
        <f>SUMIFS(J$1:J1471,$C$1:$C1471,$C1477,$F$1:$F1471,$F1477)</f>
        <v>159.44</v>
      </c>
      <c r="K1477" s="99">
        <f>SUMIFS(K$1:K1471,$C$1:$C1471,$C1477,$F$1:$F1471,$F1477)</f>
        <v>0</v>
      </c>
      <c r="L1477" s="99">
        <f>SUMIFS(L$1:L1471,$C$1:$C1471,$C1477,$F$1:$F1471,$F1477)</f>
        <v>2208.4</v>
      </c>
      <c r="M1477" s="99">
        <f>SUMIFS(M$1:M1471,$C$1:$C1471,$C1477,$F$1:$F1471,$F1477)</f>
        <v>3000</v>
      </c>
      <c r="N1477" s="99">
        <f>SUMIFS(N$1:N1471,$C$1:$C1471,$C1477,$F$1:$F1471,$F1477)</f>
        <v>0</v>
      </c>
      <c r="O1477" s="99">
        <f>SUMIFS(O$1:O1471,$C$1:$C1471,$C1477,$F$1:$F1471,$F1477)</f>
        <v>2500</v>
      </c>
      <c r="P1477" s="99">
        <f t="shared" si="1901"/>
        <v>-500</v>
      </c>
      <c r="Q1477" s="99">
        <f>SUMIFS(Q$1:Q1471,$C$1:$C1471,$C1477,$F$1:$F1471,$F1477)</f>
        <v>0</v>
      </c>
      <c r="R1477" s="99">
        <f>SUMIFS(R$1:R1471,$C$1:$C1471,$C1477,$F$1:$F1471,$F1477)</f>
        <v>0</v>
      </c>
      <c r="S1477" s="99">
        <f>SUMIFS(S$1:S1471,$C$1:$C1471,$C1477,$F$1:$F1471,$F1477)</f>
        <v>0</v>
      </c>
      <c r="T1477" s="99">
        <f>SUMIFS(T$1:T1471,$C$1:$C1471,$C1477,$F$1:$F1471,$F1477)</f>
        <v>0</v>
      </c>
      <c r="U1477" s="99">
        <f t="shared" si="1902"/>
        <v>-3000</v>
      </c>
      <c r="V1477" s="255">
        <f t="shared" si="1903"/>
        <v>-1</v>
      </c>
      <c r="W1477" s="102"/>
      <c r="X1477" s="102"/>
      <c r="Y1477" s="102">
        <f t="shared" si="1904"/>
        <v>0</v>
      </c>
      <c r="Z1477" s="309">
        <f>Y1477*(1+VLOOKUP($F1477,'GL Category'!$A:$H,4,FALSE))</f>
        <v>0</v>
      </c>
      <c r="AA1477" s="615"/>
      <c r="AB1477" s="622">
        <f t="shared" si="1905"/>
        <v>0</v>
      </c>
      <c r="AC1477" s="633">
        <f>AB1477*(1+VLOOKUP($F1477,'GL Category'!$A:$H,5,FALSE))</f>
        <v>0</v>
      </c>
      <c r="AD1477" s="307"/>
      <c r="AE1477" s="622">
        <f t="shared" si="1906"/>
        <v>0</v>
      </c>
      <c r="AF1477" s="633">
        <f>AE1477*(1+VLOOKUP($F1477,'GL Category'!$A:$H,6,FALSE))</f>
        <v>0</v>
      </c>
      <c r="AG1477" s="307"/>
      <c r="AH1477" s="622">
        <f t="shared" si="1907"/>
        <v>0</v>
      </c>
      <c r="AI1477" s="633">
        <f>AH1477*(1+VLOOKUP($F1477,'GL Category'!$A:$H,7,FALSE))</f>
        <v>0</v>
      </c>
      <c r="AJ1477" s="307"/>
      <c r="AK1477" s="622">
        <f t="shared" si="1908"/>
        <v>0</v>
      </c>
      <c r="AL1477" s="633">
        <f>AK1477*(1+VLOOKUP($F1477,'GL Category'!$A:$H,8,FALSE))</f>
        <v>0</v>
      </c>
      <c r="AM1477" s="307"/>
      <c r="AN1477" s="622">
        <f t="shared" si="1909"/>
        <v>0</v>
      </c>
      <c r="AO1477" s="192"/>
      <c r="AP1477" s="192"/>
      <c r="AQ1477" s="192"/>
    </row>
    <row r="1478" spans="1:59" s="115" customFormat="1" ht="15" customHeight="1">
      <c r="A1478" s="555"/>
      <c r="B1478" s="217"/>
      <c r="C1478" s="217">
        <v>50</v>
      </c>
      <c r="D1478" s="101" t="str">
        <f t="shared" si="1887"/>
        <v/>
      </c>
      <c r="E1478" s="217" t="str">
        <f t="shared" si="1888"/>
        <v/>
      </c>
      <c r="F1478" s="294" t="s">
        <v>164</v>
      </c>
      <c r="G1478" s="295" t="str">
        <f>VLOOKUP(F1478,'GL Category'!A:C,3,FALSE)</f>
        <v>Operations &amp; maintenance</v>
      </c>
      <c r="H1478" s="98" t="str">
        <f>VLOOKUP(F1478,'GL Category'!A:C,2,FALSE)</f>
        <v>BUILDING MATERIALS &amp; SUPPLIES</v>
      </c>
      <c r="I1478" s="99">
        <f>SUMIFS(I$1:I1472,$C$1:$C1472,$C1478,$F$1:$F1472,$F1478)</f>
        <v>0</v>
      </c>
      <c r="J1478" s="99">
        <f>SUMIFS(J$1:J1472,$C$1:$C1472,$C1478,$F$1:$F1472,$F1478)</f>
        <v>0</v>
      </c>
      <c r="K1478" s="99">
        <f>SUMIFS(K$1:K1472,$C$1:$C1472,$C1478,$F$1:$F1472,$F1478)</f>
        <v>0</v>
      </c>
      <c r="L1478" s="99">
        <f>SUMIFS(L$1:L1472,$C$1:$C1472,$C1478,$F$1:$F1472,$F1478)</f>
        <v>0</v>
      </c>
      <c r="M1478" s="99">
        <f>SUMIFS(M$1:M1472,$C$1:$C1472,$C1478,$F$1:$F1472,$F1478)</f>
        <v>0</v>
      </c>
      <c r="N1478" s="99">
        <f>SUMIFS(N$1:N1472,$C$1:$C1472,$C1478,$F$1:$F1472,$F1478)</f>
        <v>0</v>
      </c>
      <c r="O1478" s="99">
        <f>SUMIFS(O$1:O1472,$C$1:$C1472,$C1478,$F$1:$F1472,$F1478)</f>
        <v>0</v>
      </c>
      <c r="P1478" s="99">
        <f t="shared" ref="P1478" si="1910">O1478-M1478</f>
        <v>0</v>
      </c>
      <c r="Q1478" s="99">
        <f>SUMIFS(Q$1:Q1472,$C$1:$C1472,$C1478,$F$1:$F1472,$F1478)</f>
        <v>0</v>
      </c>
      <c r="R1478" s="99">
        <f>SUMIFS(R$1:R1472,$C$1:$C1472,$C1478,$F$1:$F1472,$F1478)</f>
        <v>0</v>
      </c>
      <c r="S1478" s="99">
        <f>SUMIFS(S$1:S1472,$C$1:$C1472,$C1478,$F$1:$F1472,$F1478)</f>
        <v>0</v>
      </c>
      <c r="T1478" s="99">
        <f>SUMIFS(T$1:T1472,$C$1:$C1472,$C1478,$F$1:$F1472,$F1478)</f>
        <v>0</v>
      </c>
      <c r="U1478" s="99">
        <f t="shared" si="1902"/>
        <v>0</v>
      </c>
      <c r="V1478" s="255" t="str">
        <f t="shared" si="1903"/>
        <v>N/A</v>
      </c>
      <c r="W1478" s="102"/>
      <c r="X1478" s="102"/>
      <c r="Y1478" s="102">
        <f t="shared" si="1904"/>
        <v>0</v>
      </c>
      <c r="Z1478" s="309">
        <f>Y1478*(1+VLOOKUP($F1478,'GL Category'!$A:$H,4,FALSE))</f>
        <v>0</v>
      </c>
      <c r="AA1478" s="615"/>
      <c r="AB1478" s="622">
        <f t="shared" si="1905"/>
        <v>0</v>
      </c>
      <c r="AC1478" s="633">
        <f>AB1478*(1+VLOOKUP($F1478,'GL Category'!$A:$H,5,FALSE))</f>
        <v>0</v>
      </c>
      <c r="AD1478" s="307"/>
      <c r="AE1478" s="622">
        <f t="shared" si="1906"/>
        <v>0</v>
      </c>
      <c r="AF1478" s="633">
        <f>AE1478*(1+VLOOKUP($F1478,'GL Category'!$A:$H,6,FALSE))</f>
        <v>0</v>
      </c>
      <c r="AG1478" s="307"/>
      <c r="AH1478" s="622">
        <f t="shared" si="1907"/>
        <v>0</v>
      </c>
      <c r="AI1478" s="633">
        <f>AH1478*(1+VLOOKUP($F1478,'GL Category'!$A:$H,7,FALSE))</f>
        <v>0</v>
      </c>
      <c r="AJ1478" s="307"/>
      <c r="AK1478" s="622">
        <f t="shared" si="1908"/>
        <v>0</v>
      </c>
      <c r="AL1478" s="633">
        <f>AK1478*(1+VLOOKUP($F1478,'GL Category'!$A:$H,8,FALSE))</f>
        <v>0</v>
      </c>
      <c r="AM1478" s="307"/>
      <c r="AN1478" s="622">
        <f t="shared" si="1909"/>
        <v>0</v>
      </c>
      <c r="AO1478" s="192"/>
      <c r="AP1478" s="192"/>
      <c r="AQ1478" s="192"/>
    </row>
    <row r="1479" spans="1:59" s="115" customFormat="1" ht="15" customHeight="1">
      <c r="A1479" s="555"/>
      <c r="B1479" s="217"/>
      <c r="C1479" s="217">
        <v>50</v>
      </c>
      <c r="D1479" s="101" t="str">
        <f t="shared" si="1887"/>
        <v/>
      </c>
      <c r="E1479" s="217" t="str">
        <f t="shared" si="1888"/>
        <v/>
      </c>
      <c r="F1479" s="294" t="s">
        <v>166</v>
      </c>
      <c r="G1479" s="295" t="str">
        <f>VLOOKUP(F1479,'GL Category'!A:C,3,FALSE)</f>
        <v>Operations &amp; maintenance</v>
      </c>
      <c r="H1479" s="98" t="str">
        <f>VLOOKUP(F1479,'GL Category'!A:C,2,FALSE)</f>
        <v>WEARING APPAREL</v>
      </c>
      <c r="I1479" s="99">
        <f>SUMIFS(I$1:I1472,$C$1:$C1472,$C1479,$F$1:$F1472,$F1479)</f>
        <v>5314.12</v>
      </c>
      <c r="J1479" s="99">
        <f>SUMIFS(J$1:J1472,$C$1:$C1472,$C1479,$F$1:$F1472,$F1479)</f>
        <v>4911.38</v>
      </c>
      <c r="K1479" s="99">
        <f>SUMIFS(K$1:K1472,$C$1:$C1472,$C1479,$F$1:$F1472,$F1479)</f>
        <v>6337.7999999999993</v>
      </c>
      <c r="L1479" s="99">
        <f>SUMIFS(L$1:L1472,$C$1:$C1472,$C1479,$F$1:$F1472,$F1479)</f>
        <v>6975.03</v>
      </c>
      <c r="M1479" s="99">
        <f>SUMIFS(M$1:M1472,$C$1:$C1472,$C1479,$F$1:$F1472,$F1479)</f>
        <v>7550</v>
      </c>
      <c r="N1479" s="99">
        <f>SUMIFS(N$1:N1472,$C$1:$C1472,$C1479,$F$1:$F1472,$F1479)</f>
        <v>4259.3200000000006</v>
      </c>
      <c r="O1479" s="99">
        <f>SUMIFS(O$1:O1472,$C$1:$C1472,$C1479,$F$1:$F1472,$F1479)</f>
        <v>7350</v>
      </c>
      <c r="P1479" s="99">
        <f t="shared" si="1901"/>
        <v>-200</v>
      </c>
      <c r="Q1479" s="99">
        <f>SUMIFS(Q$1:Q1472,$C$1:$C1472,$C1479,$F$1:$F1472,$F1479)</f>
        <v>7550</v>
      </c>
      <c r="R1479" s="99">
        <f>SUMIFS(R$1:R1472,$C$1:$C1472,$C1479,$F$1:$F1472,$F1479)</f>
        <v>0</v>
      </c>
      <c r="S1479" s="99">
        <f>SUMIFS(S$1:S1472,$C$1:$C1472,$C1479,$F$1:$F1472,$F1479)</f>
        <v>0</v>
      </c>
      <c r="T1479" s="99">
        <f>SUMIFS(T$1:T1472,$C$1:$C1472,$C1479,$F$1:$F1472,$F1479)</f>
        <v>7550</v>
      </c>
      <c r="U1479" s="99">
        <f t="shared" si="1902"/>
        <v>0</v>
      </c>
      <c r="V1479" s="255">
        <f t="shared" si="1903"/>
        <v>0</v>
      </c>
      <c r="W1479" s="102"/>
      <c r="X1479" s="102"/>
      <c r="Y1479" s="102">
        <f t="shared" si="1904"/>
        <v>7550</v>
      </c>
      <c r="Z1479" s="309">
        <f>Y1479*(1+VLOOKUP($F1479,'GL Category'!$A:$H,4,FALSE))</f>
        <v>7701</v>
      </c>
      <c r="AA1479" s="615"/>
      <c r="AB1479" s="622">
        <f t="shared" si="1905"/>
        <v>7701</v>
      </c>
      <c r="AC1479" s="633">
        <f>AB1479*(1+VLOOKUP($F1479,'GL Category'!$A:$H,5,FALSE))</f>
        <v>7855.02</v>
      </c>
      <c r="AD1479" s="307"/>
      <c r="AE1479" s="622">
        <f t="shared" si="1906"/>
        <v>7855.02</v>
      </c>
      <c r="AF1479" s="633">
        <f>AE1479*(1+VLOOKUP($F1479,'GL Category'!$A:$H,6,FALSE))</f>
        <v>8012.1204000000007</v>
      </c>
      <c r="AG1479" s="307"/>
      <c r="AH1479" s="622">
        <f t="shared" si="1907"/>
        <v>8012.1204000000007</v>
      </c>
      <c r="AI1479" s="633">
        <f>AH1479*(1+VLOOKUP($F1479,'GL Category'!$A:$H,7,FALSE))</f>
        <v>8172.3628080000008</v>
      </c>
      <c r="AJ1479" s="307"/>
      <c r="AK1479" s="622">
        <f t="shared" si="1908"/>
        <v>8172.3628080000008</v>
      </c>
      <c r="AL1479" s="633">
        <f>AK1479*(1+VLOOKUP($F1479,'GL Category'!$A:$H,8,FALSE))</f>
        <v>8335.8100641600013</v>
      </c>
      <c r="AM1479" s="307"/>
      <c r="AN1479" s="622">
        <f t="shared" si="1909"/>
        <v>8335.8100641600013</v>
      </c>
      <c r="AO1479" s="192"/>
      <c r="AP1479" s="192"/>
      <c r="AQ1479" s="192"/>
    </row>
    <row r="1480" spans="1:59" s="115" customFormat="1" ht="15" customHeight="1">
      <c r="A1480" s="555"/>
      <c r="B1480" s="217"/>
      <c r="C1480" s="217">
        <v>50</v>
      </c>
      <c r="D1480" s="101" t="str">
        <f t="shared" si="1887"/>
        <v/>
      </c>
      <c r="E1480" s="217" t="str">
        <f t="shared" si="1888"/>
        <v/>
      </c>
      <c r="F1480" s="294" t="s">
        <v>273</v>
      </c>
      <c r="G1480" s="295" t="str">
        <f>VLOOKUP(F1480,'GL Category'!A:C,3,FALSE)</f>
        <v>Operations &amp; maintenance</v>
      </c>
      <c r="H1480" s="98" t="str">
        <f>VLOOKUP(F1480,'GL Category'!A:C,2,FALSE)</f>
        <v>SAFETY EQUIPMENT/SUPPLIES</v>
      </c>
      <c r="I1480" s="99">
        <f>SUMIFS(I$1:I1473,$C$1:$C1473,$C1480,$F$1:$F1473,$F1480)</f>
        <v>4940.2300000000005</v>
      </c>
      <c r="J1480" s="99">
        <f>SUMIFS(J$1:J1473,$C$1:$C1473,$C1480,$F$1:$F1473,$F1480)</f>
        <v>6942.99</v>
      </c>
      <c r="K1480" s="99">
        <f>SUMIFS(K$1:K1473,$C$1:$C1473,$C1480,$F$1:$F1473,$F1480)</f>
        <v>7743.42</v>
      </c>
      <c r="L1480" s="99">
        <f>SUMIFS(L$1:L1473,$C$1:$C1473,$C1480,$F$1:$F1473,$F1480)</f>
        <v>3985.33</v>
      </c>
      <c r="M1480" s="99">
        <f>SUMIFS(M$1:M1473,$C$1:$C1473,$C1480,$F$1:$F1473,$F1480)</f>
        <v>4900</v>
      </c>
      <c r="N1480" s="99">
        <f>SUMIFS(N$1:N1473,$C$1:$C1473,$C1480,$F$1:$F1473,$F1480)</f>
        <v>3038.34</v>
      </c>
      <c r="O1480" s="99">
        <f>SUMIFS(O$1:O1473,$C$1:$C1473,$C1480,$F$1:$F1473,$F1480)</f>
        <v>4900</v>
      </c>
      <c r="P1480" s="99">
        <f t="shared" si="1901"/>
        <v>0</v>
      </c>
      <c r="Q1480" s="99">
        <f>SUMIFS(Q$1:Q1473,$C$1:$C1473,$C1480,$F$1:$F1473,$F1480)</f>
        <v>6000</v>
      </c>
      <c r="R1480" s="99">
        <f>SUMIFS(R$1:R1473,$C$1:$C1473,$C1480,$F$1:$F1473,$F1480)</f>
        <v>0</v>
      </c>
      <c r="S1480" s="99">
        <f>SUMIFS(S$1:S1473,$C$1:$C1473,$C1480,$F$1:$F1473,$F1480)</f>
        <v>0</v>
      </c>
      <c r="T1480" s="99">
        <f>SUMIFS(T$1:T1473,$C$1:$C1473,$C1480,$F$1:$F1473,$F1480)</f>
        <v>6000</v>
      </c>
      <c r="U1480" s="99">
        <f t="shared" si="1902"/>
        <v>1100</v>
      </c>
      <c r="V1480" s="255">
        <f t="shared" si="1903"/>
        <v>0.22448979591836737</v>
      </c>
      <c r="W1480" s="102"/>
      <c r="X1480" s="102"/>
      <c r="Y1480" s="102">
        <f t="shared" si="1904"/>
        <v>6000</v>
      </c>
      <c r="Z1480" s="309">
        <f>Y1480*(1+VLOOKUP($F1480,'GL Category'!$A:$H,4,FALSE))</f>
        <v>6120</v>
      </c>
      <c r="AA1480" s="615"/>
      <c r="AB1480" s="622">
        <f t="shared" si="1905"/>
        <v>6120</v>
      </c>
      <c r="AC1480" s="633">
        <f>AB1480*(1+VLOOKUP($F1480,'GL Category'!$A:$H,5,FALSE))</f>
        <v>6242.4000000000005</v>
      </c>
      <c r="AD1480" s="307"/>
      <c r="AE1480" s="622">
        <f t="shared" si="1906"/>
        <v>6242.4000000000005</v>
      </c>
      <c r="AF1480" s="633">
        <f>AE1480*(1+VLOOKUP($F1480,'GL Category'!$A:$H,6,FALSE))</f>
        <v>6367.2480000000005</v>
      </c>
      <c r="AG1480" s="307"/>
      <c r="AH1480" s="622">
        <f t="shared" si="1907"/>
        <v>6367.2480000000005</v>
      </c>
      <c r="AI1480" s="633">
        <f>AH1480*(1+VLOOKUP($F1480,'GL Category'!$A:$H,7,FALSE))</f>
        <v>6494.5929600000009</v>
      </c>
      <c r="AJ1480" s="307"/>
      <c r="AK1480" s="622">
        <f t="shared" si="1908"/>
        <v>6494.5929600000009</v>
      </c>
      <c r="AL1480" s="633">
        <f>AK1480*(1+VLOOKUP($F1480,'GL Category'!$A:$H,8,FALSE))</f>
        <v>6624.4848192000009</v>
      </c>
      <c r="AM1480" s="307"/>
      <c r="AN1480" s="622">
        <f t="shared" si="1909"/>
        <v>6624.4848192000009</v>
      </c>
      <c r="AO1480" s="192"/>
      <c r="AP1480" s="192"/>
      <c r="AQ1480" s="192"/>
    </row>
    <row r="1481" spans="1:59" s="115" customFormat="1" ht="15" customHeight="1">
      <c r="A1481" s="555"/>
      <c r="B1481" s="217"/>
      <c r="C1481" s="217">
        <v>50</v>
      </c>
      <c r="D1481" s="101" t="str">
        <f t="shared" si="1887"/>
        <v/>
      </c>
      <c r="E1481" s="217" t="str">
        <f t="shared" si="1888"/>
        <v/>
      </c>
      <c r="F1481" s="294" t="s">
        <v>168</v>
      </c>
      <c r="G1481" s="295" t="str">
        <f>VLOOKUP(F1481,'GL Category'!A:C,3,FALSE)</f>
        <v>Operations &amp; maintenance</v>
      </c>
      <c r="H1481" s="98" t="str">
        <f>VLOOKUP(F1481,'GL Category'!A:C,2,FALSE)</f>
        <v>MISCELLANEOUS SUPPLIES</v>
      </c>
      <c r="I1481" s="99">
        <f>SUMIFS(I$1:I1474,$C$1:$C1474,$C1481,$F$1:$F1474,$F1481)</f>
        <v>0</v>
      </c>
      <c r="J1481" s="99">
        <f>SUMIFS(J$1:J1474,$C$1:$C1474,$C1481,$F$1:$F1474,$F1481)</f>
        <v>0</v>
      </c>
      <c r="K1481" s="99">
        <f>SUMIFS(K$1:K1474,$C$1:$C1474,$C1481,$F$1:$F1474,$F1481)</f>
        <v>2402.21</v>
      </c>
      <c r="L1481" s="99">
        <f>SUMIFS(L$1:L1474,$C$1:$C1474,$C1481,$F$1:$F1474,$F1481)</f>
        <v>0</v>
      </c>
      <c r="M1481" s="99">
        <f>SUMIFS(M$1:M1474,$C$1:$C1474,$C1481,$F$1:$F1474,$F1481)</f>
        <v>0</v>
      </c>
      <c r="N1481" s="99">
        <f>SUMIFS(N$1:N1474,$C$1:$C1474,$C1481,$F$1:$F1474,$F1481)</f>
        <v>17.100000000000001</v>
      </c>
      <c r="O1481" s="99">
        <f>SUMIFS(O$1:O1474,$C$1:$C1474,$C1481,$F$1:$F1474,$F1481)</f>
        <v>17.100000000000001</v>
      </c>
      <c r="P1481" s="99">
        <f t="shared" si="1901"/>
        <v>17.100000000000001</v>
      </c>
      <c r="Q1481" s="99">
        <f>SUMIFS(Q$1:Q1474,$C$1:$C1474,$C1481,$F$1:$F1474,$F1481)</f>
        <v>0</v>
      </c>
      <c r="R1481" s="99">
        <f>SUMIFS(R$1:R1474,$C$1:$C1474,$C1481,$F$1:$F1474,$F1481)</f>
        <v>0</v>
      </c>
      <c r="S1481" s="99">
        <f>SUMIFS(S$1:S1474,$C$1:$C1474,$C1481,$F$1:$F1474,$F1481)</f>
        <v>0</v>
      </c>
      <c r="T1481" s="99">
        <f>SUMIFS(T$1:T1474,$C$1:$C1474,$C1481,$F$1:$F1474,$F1481)</f>
        <v>0</v>
      </c>
      <c r="U1481" s="99">
        <f t="shared" si="1902"/>
        <v>0</v>
      </c>
      <c r="V1481" s="255" t="str">
        <f t="shared" si="1903"/>
        <v>N/A</v>
      </c>
      <c r="W1481" s="102"/>
      <c r="X1481" s="102"/>
      <c r="Y1481" s="102">
        <f t="shared" si="1904"/>
        <v>0</v>
      </c>
      <c r="Z1481" s="309">
        <f>Y1481*(1+VLOOKUP($F1481,'GL Category'!$A:$H,4,FALSE))</f>
        <v>0</v>
      </c>
      <c r="AA1481" s="615"/>
      <c r="AB1481" s="622">
        <f t="shared" si="1905"/>
        <v>0</v>
      </c>
      <c r="AC1481" s="633">
        <f>AB1481*(1+VLOOKUP($F1481,'GL Category'!$A:$H,5,FALSE))</f>
        <v>0</v>
      </c>
      <c r="AD1481" s="307"/>
      <c r="AE1481" s="622">
        <f t="shared" si="1906"/>
        <v>0</v>
      </c>
      <c r="AF1481" s="633">
        <f>AE1481*(1+VLOOKUP($F1481,'GL Category'!$A:$H,6,FALSE))</f>
        <v>0</v>
      </c>
      <c r="AG1481" s="307"/>
      <c r="AH1481" s="622">
        <f t="shared" si="1907"/>
        <v>0</v>
      </c>
      <c r="AI1481" s="633">
        <f>AH1481*(1+VLOOKUP($F1481,'GL Category'!$A:$H,7,FALSE))</f>
        <v>0</v>
      </c>
      <c r="AJ1481" s="307"/>
      <c r="AK1481" s="622">
        <f t="shared" si="1908"/>
        <v>0</v>
      </c>
      <c r="AL1481" s="633">
        <f>AK1481*(1+VLOOKUP($F1481,'GL Category'!$A:$H,8,FALSE))</f>
        <v>0</v>
      </c>
      <c r="AM1481" s="307"/>
      <c r="AN1481" s="622">
        <f t="shared" si="1909"/>
        <v>0</v>
      </c>
      <c r="AO1481" s="192"/>
      <c r="AP1481" s="192"/>
      <c r="AQ1481" s="192"/>
    </row>
    <row r="1482" spans="1:59" s="115" customFormat="1" ht="15" customHeight="1">
      <c r="A1482" s="555"/>
      <c r="B1482" s="217"/>
      <c r="C1482" s="217">
        <v>50</v>
      </c>
      <c r="D1482" s="101" t="str">
        <f t="shared" si="1887"/>
        <v/>
      </c>
      <c r="E1482" s="217" t="str">
        <f t="shared" si="1888"/>
        <v/>
      </c>
      <c r="F1482" s="294" t="s">
        <v>293</v>
      </c>
      <c r="G1482" s="295" t="str">
        <f>VLOOKUP(F1482,'GL Category'!A:C,3,FALSE)</f>
        <v>Operations &amp; maintenance</v>
      </c>
      <c r="H1482" s="98" t="str">
        <f>VLOOKUP(F1482,'GL Category'!A:C,2,FALSE)</f>
        <v>STREET MAINTENANCE</v>
      </c>
      <c r="I1482" s="99">
        <f>SUMIFS(I$1:I1475,$C$1:$C1475,$C1482,$F$1:$F1475,$F1482)</f>
        <v>599591.39</v>
      </c>
      <c r="J1482" s="99">
        <f>SUMIFS(J$1:J1475,$C$1:$C1475,$C1482,$F$1:$F1475,$F1482)</f>
        <v>659877.4</v>
      </c>
      <c r="K1482" s="99">
        <f>SUMIFS(K$1:K1475,$C$1:$C1475,$C1482,$F$1:$F1475,$F1482)</f>
        <v>599125.01</v>
      </c>
      <c r="L1482" s="99">
        <f>SUMIFS(L$1:L1475,$C$1:$C1475,$C1482,$F$1:$F1475,$F1482)</f>
        <v>225237.21</v>
      </c>
      <c r="M1482" s="99">
        <f>SUMIFS(M$1:M1475,$C$1:$C1475,$C1482,$F$1:$F1475,$F1482)</f>
        <v>848000</v>
      </c>
      <c r="N1482" s="99">
        <f>SUMIFS(N$1:N1475,$C$1:$C1475,$C1482,$F$1:$F1475,$F1482)</f>
        <v>86013.64</v>
      </c>
      <c r="O1482" s="99">
        <f>SUMIFS(O$1:O1475,$C$1:$C1475,$C1482,$F$1:$F1475,$F1482)</f>
        <v>700000</v>
      </c>
      <c r="P1482" s="99">
        <f t="shared" si="1901"/>
        <v>-148000</v>
      </c>
      <c r="Q1482" s="99">
        <f>SUMIFS(Q$1:Q1475,$C$1:$C1475,$C1482,$F$1:$F1475,$F1482)</f>
        <v>835000</v>
      </c>
      <c r="R1482" s="99">
        <f>SUMIFS(R$1:R1475,$C$1:$C1475,$C1482,$F$1:$F1475,$F1482)</f>
        <v>0</v>
      </c>
      <c r="S1482" s="99">
        <f>SUMIFS(S$1:S1475,$C$1:$C1475,$C1482,$F$1:$F1475,$F1482)</f>
        <v>0</v>
      </c>
      <c r="T1482" s="99">
        <f>SUMIFS(T$1:T1475,$C$1:$C1475,$C1482,$F$1:$F1475,$F1482)</f>
        <v>835000</v>
      </c>
      <c r="U1482" s="99">
        <f t="shared" si="1902"/>
        <v>-13000</v>
      </c>
      <c r="V1482" s="255">
        <f t="shared" si="1903"/>
        <v>-1.5330188679245293E-2</v>
      </c>
      <c r="W1482" s="102"/>
      <c r="X1482" s="102"/>
      <c r="Y1482" s="102">
        <f t="shared" si="1904"/>
        <v>835000</v>
      </c>
      <c r="Z1482" s="309">
        <f>Y1482*(1+VLOOKUP($F1482,'GL Category'!$A:$H,4,FALSE))</f>
        <v>851700</v>
      </c>
      <c r="AA1482" s="615"/>
      <c r="AB1482" s="622">
        <f t="shared" si="1905"/>
        <v>851700</v>
      </c>
      <c r="AC1482" s="633">
        <f>AB1482*(1+VLOOKUP($F1482,'GL Category'!$A:$H,5,FALSE))</f>
        <v>868734</v>
      </c>
      <c r="AD1482" s="307"/>
      <c r="AE1482" s="622">
        <f t="shared" si="1906"/>
        <v>868734</v>
      </c>
      <c r="AF1482" s="633">
        <f>AE1482*(1+VLOOKUP($F1482,'GL Category'!$A:$H,6,FALSE))</f>
        <v>886108.68</v>
      </c>
      <c r="AG1482" s="307"/>
      <c r="AH1482" s="622">
        <f t="shared" si="1907"/>
        <v>886108.68</v>
      </c>
      <c r="AI1482" s="633">
        <f>AH1482*(1+VLOOKUP($F1482,'GL Category'!$A:$H,7,FALSE))</f>
        <v>903830.85360000003</v>
      </c>
      <c r="AJ1482" s="307"/>
      <c r="AK1482" s="622">
        <f t="shared" si="1908"/>
        <v>903830.85360000003</v>
      </c>
      <c r="AL1482" s="633">
        <f>AK1482*(1+VLOOKUP($F1482,'GL Category'!$A:$H,8,FALSE))</f>
        <v>921907.47067200008</v>
      </c>
      <c r="AM1482" s="307"/>
      <c r="AN1482" s="622">
        <f t="shared" si="1909"/>
        <v>921907.47067200008</v>
      </c>
      <c r="AO1482" s="192"/>
      <c r="AP1482" s="192"/>
      <c r="AQ1482" s="192"/>
    </row>
    <row r="1483" spans="1:59" s="115" customFormat="1" ht="15" customHeight="1">
      <c r="A1483" s="555"/>
      <c r="B1483" s="217"/>
      <c r="C1483" s="217">
        <v>50</v>
      </c>
      <c r="D1483" s="101" t="str">
        <f t="shared" si="1887"/>
        <v/>
      </c>
      <c r="E1483" s="217" t="str">
        <f t="shared" si="1888"/>
        <v/>
      </c>
      <c r="F1483" s="294" t="s">
        <v>294</v>
      </c>
      <c r="G1483" s="295" t="str">
        <f>VLOOKUP(F1483,'GL Category'!A:C,3,FALSE)</f>
        <v>Operations &amp; maintenance</v>
      </c>
      <c r="H1483" s="98" t="str">
        <f>VLOOKUP(F1483,'GL Category'!A:C,2,FALSE)</f>
        <v>SIGN &amp; SIGNAL MAINTENANCE</v>
      </c>
      <c r="I1483" s="99">
        <f>SUMIFS(I$1:I1476,$C$1:$C1476,$C1483,$F$1:$F1476,$F1483)</f>
        <v>14560.73</v>
      </c>
      <c r="J1483" s="99">
        <f>SUMIFS(J$1:J1476,$C$1:$C1476,$C1483,$F$1:$F1476,$F1483)</f>
        <v>89237.39</v>
      </c>
      <c r="K1483" s="99">
        <f>SUMIFS(K$1:K1476,$C$1:$C1476,$C1483,$F$1:$F1476,$F1483)</f>
        <v>39656</v>
      </c>
      <c r="L1483" s="99">
        <f>SUMIFS(L$1:L1476,$C$1:$C1476,$C1483,$F$1:$F1476,$F1483)</f>
        <v>27286.41</v>
      </c>
      <c r="M1483" s="99">
        <f>SUMIFS(M$1:M1476,$C$1:$C1476,$C1483,$F$1:$F1476,$F1483)</f>
        <v>25000</v>
      </c>
      <c r="N1483" s="99">
        <f>SUMIFS(N$1:N1476,$C$1:$C1476,$C1483,$F$1:$F1476,$F1483)</f>
        <v>47216.959999999999</v>
      </c>
      <c r="O1483" s="99">
        <f>SUMIFS(O$1:O1476,$C$1:$C1476,$C1483,$F$1:$F1476,$F1483)</f>
        <v>100000</v>
      </c>
      <c r="P1483" s="99">
        <f t="shared" si="1901"/>
        <v>75000</v>
      </c>
      <c r="Q1483" s="99">
        <f>SUMIFS(Q$1:Q1476,$C$1:$C1476,$C1483,$F$1:$F1476,$F1483)</f>
        <v>36000</v>
      </c>
      <c r="R1483" s="99">
        <f>SUMIFS(R$1:R1476,$C$1:$C1476,$C1483,$F$1:$F1476,$F1483)</f>
        <v>0</v>
      </c>
      <c r="S1483" s="99">
        <f>SUMIFS(S$1:S1476,$C$1:$C1476,$C1483,$F$1:$F1476,$F1483)</f>
        <v>0</v>
      </c>
      <c r="T1483" s="99">
        <f>SUMIFS(T$1:T1476,$C$1:$C1476,$C1483,$F$1:$F1476,$F1483)</f>
        <v>36000</v>
      </c>
      <c r="U1483" s="99">
        <f t="shared" si="1902"/>
        <v>11000</v>
      </c>
      <c r="V1483" s="255">
        <f t="shared" si="1903"/>
        <v>0.43999999999999995</v>
      </c>
      <c r="W1483" s="102"/>
      <c r="X1483" s="102"/>
      <c r="Y1483" s="102">
        <f t="shared" si="1904"/>
        <v>36000</v>
      </c>
      <c r="Z1483" s="309">
        <f>Y1483*(1+VLOOKUP($F1483,'GL Category'!$A:$H,4,FALSE))</f>
        <v>36720</v>
      </c>
      <c r="AA1483" s="615"/>
      <c r="AB1483" s="622">
        <f t="shared" si="1905"/>
        <v>36720</v>
      </c>
      <c r="AC1483" s="633">
        <f>AB1483*(1+VLOOKUP($F1483,'GL Category'!$A:$H,5,FALSE))</f>
        <v>37454.400000000001</v>
      </c>
      <c r="AD1483" s="307"/>
      <c r="AE1483" s="622">
        <f t="shared" si="1906"/>
        <v>37454.400000000001</v>
      </c>
      <c r="AF1483" s="633">
        <f>AE1483*(1+VLOOKUP($F1483,'GL Category'!$A:$H,6,FALSE))</f>
        <v>38203.488000000005</v>
      </c>
      <c r="AG1483" s="307"/>
      <c r="AH1483" s="622">
        <f t="shared" si="1907"/>
        <v>38203.488000000005</v>
      </c>
      <c r="AI1483" s="633">
        <f>AH1483*(1+VLOOKUP($F1483,'GL Category'!$A:$H,7,FALSE))</f>
        <v>38967.557760000003</v>
      </c>
      <c r="AJ1483" s="307"/>
      <c r="AK1483" s="622">
        <f t="shared" si="1908"/>
        <v>38967.557760000003</v>
      </c>
      <c r="AL1483" s="633">
        <f>AK1483*(1+VLOOKUP($F1483,'GL Category'!$A:$H,8,FALSE))</f>
        <v>39746.908915200002</v>
      </c>
      <c r="AM1483" s="307"/>
      <c r="AN1483" s="622">
        <f t="shared" si="1909"/>
        <v>39746.908915200002</v>
      </c>
      <c r="AO1483" s="192"/>
      <c r="AP1483" s="192"/>
      <c r="AQ1483" s="192"/>
    </row>
    <row r="1484" spans="1:59" s="115" customFormat="1" ht="15" customHeight="1">
      <c r="A1484" s="555"/>
      <c r="B1484" s="217"/>
      <c r="C1484" s="217">
        <v>50</v>
      </c>
      <c r="D1484" s="101" t="str">
        <f t="shared" si="1887"/>
        <v/>
      </c>
      <c r="E1484" s="217" t="str">
        <f t="shared" si="1888"/>
        <v/>
      </c>
      <c r="F1484" s="294" t="s">
        <v>174</v>
      </c>
      <c r="G1484" s="295" t="str">
        <f>VLOOKUP(F1484,'GL Category'!A:C,3,FALSE)</f>
        <v>Operations &amp; maintenance</v>
      </c>
      <c r="H1484" s="98" t="str">
        <f>VLOOKUP(F1484,'GL Category'!A:C,2,FALSE)</f>
        <v>RADIO MAINTENANCE</v>
      </c>
      <c r="I1484" s="99">
        <f>SUMIFS(I$1:I1477,$C$1:$C1477,$C1484,$F$1:$F1477,$F1484)</f>
        <v>12819.53</v>
      </c>
      <c r="J1484" s="99">
        <f>SUMIFS(J$1:J1477,$C$1:$C1477,$C1484,$F$1:$F1477,$F1484)</f>
        <v>1420.44</v>
      </c>
      <c r="K1484" s="99">
        <f>SUMIFS(K$1:K1477,$C$1:$C1477,$C1484,$F$1:$F1477,$F1484)</f>
        <v>874.29</v>
      </c>
      <c r="L1484" s="99">
        <f>SUMIFS(L$1:L1477,$C$1:$C1477,$C1484,$F$1:$F1477,$F1484)</f>
        <v>299.7</v>
      </c>
      <c r="M1484" s="99">
        <f>SUMIFS(M$1:M1477,$C$1:$C1477,$C1484,$F$1:$F1477,$F1484)</f>
        <v>500</v>
      </c>
      <c r="N1484" s="99">
        <f>SUMIFS(N$1:N1477,$C$1:$C1477,$C1484,$F$1:$F1477,$F1484)</f>
        <v>233.13</v>
      </c>
      <c r="O1484" s="99">
        <f>SUMIFS(O$1:O1477,$C$1:$C1477,$C1484,$F$1:$F1477,$F1484)</f>
        <v>500</v>
      </c>
      <c r="P1484" s="99">
        <f t="shared" si="1901"/>
        <v>0</v>
      </c>
      <c r="Q1484" s="99">
        <f>SUMIFS(Q$1:Q1477,$C$1:$C1477,$C1484,$F$1:$F1477,$F1484)</f>
        <v>500</v>
      </c>
      <c r="R1484" s="99">
        <f>SUMIFS(R$1:R1477,$C$1:$C1477,$C1484,$F$1:$F1477,$F1484)</f>
        <v>0</v>
      </c>
      <c r="S1484" s="99">
        <f>SUMIFS(S$1:S1477,$C$1:$C1477,$C1484,$F$1:$F1477,$F1484)</f>
        <v>0</v>
      </c>
      <c r="T1484" s="99">
        <f>SUMIFS(T$1:T1477,$C$1:$C1477,$C1484,$F$1:$F1477,$F1484)</f>
        <v>500</v>
      </c>
      <c r="U1484" s="99">
        <f t="shared" si="1902"/>
        <v>0</v>
      </c>
      <c r="V1484" s="255">
        <f t="shared" si="1903"/>
        <v>0</v>
      </c>
      <c r="W1484" s="102"/>
      <c r="X1484" s="102"/>
      <c r="Y1484" s="102">
        <f t="shared" si="1904"/>
        <v>500</v>
      </c>
      <c r="Z1484" s="309">
        <f>Y1484*(1+VLOOKUP($F1484,'GL Category'!$A:$H,4,FALSE))</f>
        <v>510</v>
      </c>
      <c r="AA1484" s="615"/>
      <c r="AB1484" s="622">
        <f t="shared" si="1905"/>
        <v>510</v>
      </c>
      <c r="AC1484" s="633">
        <f>AB1484*(1+VLOOKUP($F1484,'GL Category'!$A:$H,5,FALSE))</f>
        <v>520.20000000000005</v>
      </c>
      <c r="AD1484" s="307"/>
      <c r="AE1484" s="622">
        <f t="shared" si="1906"/>
        <v>520.20000000000005</v>
      </c>
      <c r="AF1484" s="633">
        <f>AE1484*(1+VLOOKUP($F1484,'GL Category'!$A:$H,6,FALSE))</f>
        <v>530.60400000000004</v>
      </c>
      <c r="AG1484" s="307"/>
      <c r="AH1484" s="622">
        <f t="shared" si="1907"/>
        <v>530.60400000000004</v>
      </c>
      <c r="AI1484" s="633">
        <f>AH1484*(1+VLOOKUP($F1484,'GL Category'!$A:$H,7,FALSE))</f>
        <v>541.21608000000003</v>
      </c>
      <c r="AJ1484" s="307"/>
      <c r="AK1484" s="622">
        <f t="shared" si="1908"/>
        <v>541.21608000000003</v>
      </c>
      <c r="AL1484" s="633">
        <f>AK1484*(1+VLOOKUP($F1484,'GL Category'!$A:$H,8,FALSE))</f>
        <v>552.0404016</v>
      </c>
      <c r="AM1484" s="307"/>
      <c r="AN1484" s="622">
        <f t="shared" si="1909"/>
        <v>552.0404016</v>
      </c>
      <c r="AO1484" s="192"/>
      <c r="AP1484" s="192"/>
      <c r="AQ1484" s="192"/>
    </row>
    <row r="1485" spans="1:59" s="115" customFormat="1" ht="15" customHeight="1">
      <c r="A1485" s="555"/>
      <c r="B1485" s="217"/>
      <c r="C1485" s="217">
        <v>50</v>
      </c>
      <c r="D1485" s="101" t="str">
        <f t="shared" si="1887"/>
        <v/>
      </c>
      <c r="E1485" s="217" t="str">
        <f t="shared" si="1888"/>
        <v/>
      </c>
      <c r="F1485" s="294" t="s">
        <v>240</v>
      </c>
      <c r="G1485" s="295" t="str">
        <f>VLOOKUP(F1485,'GL Category'!A:C,3,FALSE)</f>
        <v>Operations &amp; maintenance</v>
      </c>
      <c r="H1485" s="98" t="str">
        <f>VLOOKUP(F1485,'GL Category'!A:C,2,FALSE)</f>
        <v>VEHICLE MAINTENANCE</v>
      </c>
      <c r="I1485" s="99">
        <f>SUMIFS(I$1:I1479,$C$1:$C1479,$C1485,$F$1:$F1479,$F1485)</f>
        <v>18418.310000000001</v>
      </c>
      <c r="J1485" s="99">
        <f>SUMIFS(J$1:J1479,$C$1:$C1479,$C1485,$F$1:$F1479,$F1485)</f>
        <v>19660.62</v>
      </c>
      <c r="K1485" s="99">
        <f>SUMIFS(K$1:K1479,$C$1:$C1479,$C1485,$F$1:$F1479,$F1485)</f>
        <v>33390.370000000003</v>
      </c>
      <c r="L1485" s="99">
        <f>SUMIFS(L$1:L1479,$C$1:$C1479,$C1485,$F$1:$F1479,$F1485)</f>
        <v>29508.799999999999</v>
      </c>
      <c r="M1485" s="99">
        <f>SUMIFS(M$1:M1479,$C$1:$C1479,$C1485,$F$1:$F1479,$F1485)</f>
        <v>21897</v>
      </c>
      <c r="N1485" s="99">
        <f>SUMIFS(N$1:N1479,$C$1:$C1479,$C1485,$F$1:$F1479,$F1485)</f>
        <v>12358.97</v>
      </c>
      <c r="O1485" s="99">
        <f>SUMIFS(O$1:O1479,$C$1:$C1479,$C1485,$F$1:$F1479,$F1485)</f>
        <v>21897</v>
      </c>
      <c r="P1485" s="99">
        <f t="shared" si="1901"/>
        <v>0</v>
      </c>
      <c r="Q1485" s="99">
        <f>SUMIFS(Q$1:Q1479,$C$1:$C1479,$C1485,$F$1:$F1479,$F1485)</f>
        <v>25000</v>
      </c>
      <c r="R1485" s="99">
        <f>SUMIFS(R$1:R1479,$C$1:$C1479,$C1485,$F$1:$F1479,$F1485)</f>
        <v>0</v>
      </c>
      <c r="S1485" s="99">
        <f>SUMIFS(S$1:S1479,$C$1:$C1479,$C1485,$F$1:$F1479,$F1485)</f>
        <v>0</v>
      </c>
      <c r="T1485" s="99">
        <f>SUMIFS(T$1:T1479,$C$1:$C1479,$C1485,$F$1:$F1479,$F1485)</f>
        <v>25000</v>
      </c>
      <c r="U1485" s="99">
        <f t="shared" si="1902"/>
        <v>3103</v>
      </c>
      <c r="V1485" s="255">
        <f t="shared" si="1903"/>
        <v>0.14170890989633289</v>
      </c>
      <c r="W1485" s="102"/>
      <c r="X1485" s="102"/>
      <c r="Y1485" s="102">
        <f t="shared" si="1904"/>
        <v>25000</v>
      </c>
      <c r="Z1485" s="309">
        <f>Y1485*(1+VLOOKUP($F1485,'GL Category'!$A:$H,4,FALSE))</f>
        <v>25500</v>
      </c>
      <c r="AA1485" s="615"/>
      <c r="AB1485" s="622">
        <f t="shared" si="1905"/>
        <v>25500</v>
      </c>
      <c r="AC1485" s="633">
        <f>AB1485*(1+VLOOKUP($F1485,'GL Category'!$A:$H,5,FALSE))</f>
        <v>26010</v>
      </c>
      <c r="AD1485" s="307"/>
      <c r="AE1485" s="622">
        <f t="shared" si="1906"/>
        <v>26010</v>
      </c>
      <c r="AF1485" s="633">
        <f>AE1485*(1+VLOOKUP($F1485,'GL Category'!$A:$H,6,FALSE))</f>
        <v>26530.2</v>
      </c>
      <c r="AG1485" s="307"/>
      <c r="AH1485" s="622">
        <f t="shared" si="1907"/>
        <v>26530.2</v>
      </c>
      <c r="AI1485" s="633">
        <f>AH1485*(1+VLOOKUP($F1485,'GL Category'!$A:$H,7,FALSE))</f>
        <v>27060.804</v>
      </c>
      <c r="AJ1485" s="307"/>
      <c r="AK1485" s="622">
        <f t="shared" si="1908"/>
        <v>27060.804</v>
      </c>
      <c r="AL1485" s="633">
        <f>AK1485*(1+VLOOKUP($F1485,'GL Category'!$A:$H,8,FALSE))</f>
        <v>27602.020080000002</v>
      </c>
      <c r="AM1485" s="307"/>
      <c r="AN1485" s="622">
        <f t="shared" si="1909"/>
        <v>27602.020080000002</v>
      </c>
      <c r="AO1485" s="192"/>
      <c r="AP1485" s="192"/>
      <c r="AQ1485" s="192"/>
    </row>
    <row r="1486" spans="1:59" s="115" customFormat="1" ht="15" customHeight="1">
      <c r="A1486" s="555"/>
      <c r="B1486" s="217"/>
      <c r="C1486" s="217">
        <v>50</v>
      </c>
      <c r="D1486" s="101" t="str">
        <f t="shared" si="1887"/>
        <v/>
      </c>
      <c r="E1486" s="217" t="str">
        <f t="shared" si="1888"/>
        <v/>
      </c>
      <c r="F1486" s="294" t="s">
        <v>235</v>
      </c>
      <c r="G1486" s="295" t="str">
        <f>VLOOKUP(F1486,'GL Category'!A:C,3,FALSE)</f>
        <v>Operations &amp; maintenance</v>
      </c>
      <c r="H1486" s="98" t="str">
        <f>VLOOKUP(F1486,'GL Category'!A:C,2,FALSE)</f>
        <v>EQUIPMENT MAINTENANCE</v>
      </c>
      <c r="I1486" s="99">
        <f>SUMIFS(I$1:I1480,$C$1:$C1480,$C1486,$F$1:$F1480,$F1486)</f>
        <v>9947.2800000000007</v>
      </c>
      <c r="J1486" s="99">
        <f>SUMIFS(J$1:J1480,$C$1:$C1480,$C1486,$F$1:$F1480,$F1486)</f>
        <v>20746.89</v>
      </c>
      <c r="K1486" s="99">
        <f>SUMIFS(K$1:K1480,$C$1:$C1480,$C1486,$F$1:$F1480,$F1486)</f>
        <v>22427.69</v>
      </c>
      <c r="L1486" s="99">
        <f>SUMIFS(L$1:L1480,$C$1:$C1480,$C1486,$F$1:$F1480,$F1486)</f>
        <v>39729.269999999997</v>
      </c>
      <c r="M1486" s="99">
        <f>SUMIFS(M$1:M1480,$C$1:$C1480,$C1486,$F$1:$F1480,$F1486)</f>
        <v>23500</v>
      </c>
      <c r="N1486" s="99">
        <f>SUMIFS(N$1:N1480,$C$1:$C1480,$C1486,$F$1:$F1480,$F1486)</f>
        <v>24890.799999999999</v>
      </c>
      <c r="O1486" s="99">
        <f>SUMIFS(O$1:O1480,$C$1:$C1480,$C1486,$F$1:$F1480,$F1486)</f>
        <v>23500</v>
      </c>
      <c r="P1486" s="99">
        <f t="shared" si="1901"/>
        <v>0</v>
      </c>
      <c r="Q1486" s="99">
        <f>SUMIFS(Q$1:Q1480,$C$1:$C1480,$C1486,$F$1:$F1480,$F1486)</f>
        <v>23500</v>
      </c>
      <c r="R1486" s="99">
        <f>SUMIFS(R$1:R1480,$C$1:$C1480,$C1486,$F$1:$F1480,$F1486)</f>
        <v>0</v>
      </c>
      <c r="S1486" s="99">
        <f>SUMIFS(S$1:S1480,$C$1:$C1480,$C1486,$F$1:$F1480,$F1486)</f>
        <v>0</v>
      </c>
      <c r="T1486" s="99">
        <f>SUMIFS(T$1:T1480,$C$1:$C1480,$C1486,$F$1:$F1480,$F1486)</f>
        <v>23500</v>
      </c>
      <c r="U1486" s="99">
        <f t="shared" si="1902"/>
        <v>0</v>
      </c>
      <c r="V1486" s="255">
        <f t="shared" si="1903"/>
        <v>0</v>
      </c>
      <c r="W1486" s="102"/>
      <c r="X1486" s="102"/>
      <c r="Y1486" s="102">
        <f t="shared" si="1904"/>
        <v>23500</v>
      </c>
      <c r="Z1486" s="309">
        <f>Y1486*(1+VLOOKUP($F1486,'GL Category'!$A:$H,4,FALSE))</f>
        <v>23970</v>
      </c>
      <c r="AA1486" s="615"/>
      <c r="AB1486" s="622">
        <f t="shared" si="1905"/>
        <v>23970</v>
      </c>
      <c r="AC1486" s="633">
        <f>AB1486*(1+VLOOKUP($F1486,'GL Category'!$A:$H,5,FALSE))</f>
        <v>24449.4</v>
      </c>
      <c r="AD1486" s="307"/>
      <c r="AE1486" s="622">
        <f t="shared" si="1906"/>
        <v>24449.4</v>
      </c>
      <c r="AF1486" s="633">
        <f>AE1486*(1+VLOOKUP($F1486,'GL Category'!$A:$H,6,FALSE))</f>
        <v>24938.388000000003</v>
      </c>
      <c r="AG1486" s="307"/>
      <c r="AH1486" s="622">
        <f t="shared" si="1907"/>
        <v>24938.388000000003</v>
      </c>
      <c r="AI1486" s="633">
        <f>AH1486*(1+VLOOKUP($F1486,'GL Category'!$A:$H,7,FALSE))</f>
        <v>25437.155760000001</v>
      </c>
      <c r="AJ1486" s="307"/>
      <c r="AK1486" s="622">
        <f t="shared" si="1908"/>
        <v>25437.155760000001</v>
      </c>
      <c r="AL1486" s="633">
        <f>AK1486*(1+VLOOKUP($F1486,'GL Category'!$A:$H,8,FALSE))</f>
        <v>25945.8988752</v>
      </c>
      <c r="AM1486" s="307"/>
      <c r="AN1486" s="622">
        <f t="shared" si="1909"/>
        <v>25945.8988752</v>
      </c>
      <c r="AO1486" s="192"/>
      <c r="AP1486" s="192"/>
      <c r="AQ1486" s="192"/>
    </row>
    <row r="1487" spans="1:59" s="75" customFormat="1" ht="25.35" customHeight="1">
      <c r="A1487" s="555"/>
      <c r="B1487" s="217"/>
      <c r="C1487" s="217"/>
      <c r="D1487" s="101"/>
      <c r="E1487" s="217"/>
      <c r="F1487" s="294"/>
      <c r="G1487" s="295"/>
      <c r="H1487" s="107" t="str">
        <f>UPPER(G1486)&amp;" TOTAL"</f>
        <v>OPERATIONS &amp; MAINTENANCE TOTAL</v>
      </c>
      <c r="I1487" s="109">
        <f t="shared" ref="I1487:T1487" si="1911">SUBTOTAL(9,I1470:I1486)</f>
        <v>744826.90000000014</v>
      </c>
      <c r="J1487" s="109">
        <f t="shared" si="1911"/>
        <v>856949.91</v>
      </c>
      <c r="K1487" s="109">
        <f t="shared" si="1911"/>
        <v>796080.48</v>
      </c>
      <c r="L1487" s="109">
        <f t="shared" si="1911"/>
        <v>407010.58</v>
      </c>
      <c r="M1487" s="109">
        <f t="shared" si="1911"/>
        <v>1036237</v>
      </c>
      <c r="N1487" s="109">
        <f t="shared" si="1911"/>
        <v>198489.99</v>
      </c>
      <c r="O1487" s="109">
        <f t="shared" si="1911"/>
        <v>954214.1</v>
      </c>
      <c r="P1487" s="109">
        <f t="shared" si="1911"/>
        <v>-82022.899999999994</v>
      </c>
      <c r="Q1487" s="109">
        <f t="shared" si="1911"/>
        <v>1033350</v>
      </c>
      <c r="R1487" s="109">
        <f t="shared" si="1911"/>
        <v>0</v>
      </c>
      <c r="S1487" s="109">
        <f t="shared" si="1911"/>
        <v>0</v>
      </c>
      <c r="T1487" s="109">
        <f t="shared" si="1911"/>
        <v>1033350</v>
      </c>
      <c r="U1487" s="99">
        <f t="shared" si="1902"/>
        <v>-2887</v>
      </c>
      <c r="V1487" s="255">
        <f t="shared" si="1903"/>
        <v>-2.7860421891903187E-3</v>
      </c>
      <c r="W1487" s="102"/>
      <c r="X1487" s="102"/>
      <c r="Y1487" s="102"/>
      <c r="Z1487" s="614"/>
      <c r="AA1487" s="615"/>
      <c r="AB1487" s="624"/>
      <c r="AC1487" s="625"/>
      <c r="AD1487" s="625"/>
      <c r="AE1487" s="625"/>
      <c r="AF1487" s="625"/>
      <c r="AG1487" s="625"/>
      <c r="AH1487" s="623"/>
      <c r="AI1487" s="624"/>
      <c r="AJ1487" s="626"/>
      <c r="AK1487" s="626"/>
      <c r="AL1487" s="626"/>
      <c r="AM1487" s="626"/>
      <c r="AN1487" s="626"/>
      <c r="AO1487" s="192"/>
      <c r="AP1487" s="192"/>
      <c r="AQ1487" s="192"/>
      <c r="AR1487" s="115"/>
      <c r="AS1487" s="115"/>
      <c r="AT1487" s="115"/>
      <c r="AU1487" s="115"/>
      <c r="AV1487" s="115"/>
      <c r="AW1487" s="115"/>
      <c r="AX1487" s="115"/>
      <c r="AY1487" s="115"/>
      <c r="AZ1487" s="115"/>
      <c r="BA1487" s="115"/>
      <c r="BB1487" s="115"/>
      <c r="BC1487" s="115"/>
      <c r="BD1487" s="115"/>
      <c r="BE1487" s="74"/>
      <c r="BF1487" s="74"/>
      <c r="BG1487" s="74"/>
    </row>
    <row r="1488" spans="1:59" ht="15" customHeight="1">
      <c r="A1488" s="555"/>
      <c r="B1488" s="217"/>
      <c r="C1488" s="217"/>
      <c r="D1488" s="101"/>
      <c r="E1488" s="217"/>
      <c r="F1488" s="294"/>
      <c r="G1488" s="295"/>
      <c r="H1488" s="98"/>
      <c r="I1488" s="106"/>
      <c r="J1488" s="106"/>
      <c r="K1488" s="106"/>
      <c r="L1488" s="106"/>
      <c r="M1488" s="106"/>
      <c r="N1488" s="112"/>
      <c r="O1488" s="112"/>
      <c r="P1488" s="112"/>
      <c r="Q1488" s="113"/>
      <c r="R1488" s="113"/>
      <c r="S1488" s="113"/>
      <c r="T1488" s="113"/>
      <c r="U1488" s="99"/>
      <c r="V1488" s="255"/>
      <c r="W1488" s="102"/>
      <c r="X1488" s="102"/>
      <c r="Y1488" s="102"/>
      <c r="AA1488" s="615"/>
      <c r="AC1488" s="300"/>
      <c r="AD1488" s="300"/>
      <c r="AE1488" s="300"/>
      <c r="AF1488" s="300"/>
      <c r="AG1488" s="300"/>
      <c r="AJ1488" s="300"/>
      <c r="AK1488" s="300"/>
      <c r="AL1488" s="300"/>
      <c r="AM1488" s="300"/>
      <c r="AN1488" s="300"/>
    </row>
    <row r="1489" spans="1:43" ht="15" customHeight="1">
      <c r="A1489" s="555"/>
      <c r="B1489" s="217"/>
      <c r="C1489" s="217">
        <v>50</v>
      </c>
      <c r="D1489" s="101" t="str">
        <f t="shared" si="1887"/>
        <v/>
      </c>
      <c r="E1489" s="217" t="str">
        <f t="shared" si="1888"/>
        <v/>
      </c>
      <c r="F1489" s="294" t="s">
        <v>189</v>
      </c>
      <c r="G1489" s="295" t="str">
        <f>VLOOKUP(F1489,'GL Category'!A:C,3,FALSE)</f>
        <v>Services &amp; other</v>
      </c>
      <c r="H1489" s="98" t="str">
        <f>VLOOKUP(F1489,'GL Category'!A:C,2,FALSE)</f>
        <v>DUES &amp; SUBSCRIPTIONS</v>
      </c>
      <c r="I1489" s="99">
        <f>SUMIFS(I$1:I1484,$C$1:$C1484,$C1489,$F$1:$F1484,$F1489)</f>
        <v>2988</v>
      </c>
      <c r="J1489" s="99">
        <f>SUMIFS(J$1:J1484,$C$1:$C1484,$C1489,$F$1:$F1484,$F1489)</f>
        <v>6051.1</v>
      </c>
      <c r="K1489" s="99">
        <f>SUMIFS(K$1:K1484,$C$1:$C1484,$C1489,$F$1:$F1484,$F1489)</f>
        <v>3264.38</v>
      </c>
      <c r="L1489" s="99">
        <f>SUMIFS(L$1:L1484,$C$1:$C1484,$C1489,$F$1:$F1484,$F1489)</f>
        <v>4692.2</v>
      </c>
      <c r="M1489" s="99">
        <f>SUMIFS(M$1:M1484,$C$1:$C1484,$C1489,$F$1:$F1484,$F1489)</f>
        <v>4700</v>
      </c>
      <c r="N1489" s="99">
        <f>SUMIFS(N$1:N1484,$C$1:$C1484,$C1489,$F$1:$F1484,$F1489)</f>
        <v>2592.29</v>
      </c>
      <c r="O1489" s="99">
        <f>SUMIFS(O$1:O1484,$C$1:$C1484,$C1489,$F$1:$F1484,$F1489)</f>
        <v>4200</v>
      </c>
      <c r="P1489" s="99">
        <f t="shared" ref="P1489:P1504" si="1912">O1489-M1489</f>
        <v>-500</v>
      </c>
      <c r="Q1489" s="99">
        <f>SUMIFS(Q$1:Q1484,$C$1:$C1484,$C1489,$F$1:$F1484,$F1489)</f>
        <v>5200</v>
      </c>
      <c r="R1489" s="99">
        <f>SUMIFS(R$1:R1484,$C$1:$C1484,$C1489,$F$1:$F1484,$F1489)</f>
        <v>0</v>
      </c>
      <c r="S1489" s="99">
        <f>SUMIFS(S$1:S1484,$C$1:$C1484,$C1489,$F$1:$F1484,$F1489)</f>
        <v>0</v>
      </c>
      <c r="T1489" s="99">
        <f>SUMIFS(T$1:T1484,$C$1:$C1484,$C1489,$F$1:$F1484,$F1489)</f>
        <v>5200</v>
      </c>
      <c r="U1489" s="99">
        <f t="shared" ref="U1489:U1505" si="1913">T1489-M1489</f>
        <v>500</v>
      </c>
      <c r="V1489" s="255">
        <f t="shared" ref="V1489:V1505" si="1914">IF(M1489=0,"N/A",T1489/M1489-1)</f>
        <v>0.1063829787234043</v>
      </c>
      <c r="W1489" s="102"/>
      <c r="X1489" s="102"/>
      <c r="Y1489" s="102">
        <f t="shared" ref="Y1489:Y1504" si="1915">T1489-X1489</f>
        <v>5200</v>
      </c>
      <c r="Z1489" s="309">
        <f>Y1489*(1+VLOOKUP($F1489,'GL Category'!$A:$H,4,FALSE))</f>
        <v>5356</v>
      </c>
      <c r="AA1489" s="615"/>
      <c r="AB1489" s="622">
        <f t="shared" ref="AB1489:AB1504" si="1916">Z1489+AA1489</f>
        <v>5356</v>
      </c>
      <c r="AC1489" s="633">
        <f>AB1489*(1+VLOOKUP($F1489,'GL Category'!$A:$H,5,FALSE))</f>
        <v>5516.68</v>
      </c>
      <c r="AE1489" s="622">
        <f t="shared" ref="AE1489:AE1504" si="1917">AC1489+AD1489</f>
        <v>5516.68</v>
      </c>
      <c r="AF1489" s="633">
        <f>AE1489*(1+VLOOKUP($F1489,'GL Category'!$A:$H,6,FALSE))</f>
        <v>5682.1804000000002</v>
      </c>
      <c r="AH1489" s="622">
        <f t="shared" ref="AH1489:AH1504" si="1918">AF1489+AG1489</f>
        <v>5682.1804000000002</v>
      </c>
      <c r="AI1489" s="633">
        <f>AH1489*(1+VLOOKUP($F1489,'GL Category'!$A:$H,7,FALSE))</f>
        <v>5852.6458120000007</v>
      </c>
      <c r="AK1489" s="622">
        <f t="shared" ref="AK1489:AK1504" si="1919">AI1489+AJ1489</f>
        <v>5852.6458120000007</v>
      </c>
      <c r="AL1489" s="633">
        <f>AK1489*(1+VLOOKUP($F1489,'GL Category'!$A:$H,8,FALSE))</f>
        <v>6028.2251863600004</v>
      </c>
      <c r="AN1489" s="622">
        <f t="shared" ref="AN1489:AN1504" si="1920">AL1489+AM1489</f>
        <v>6028.2251863600004</v>
      </c>
    </row>
    <row r="1490" spans="1:43" ht="15" customHeight="1">
      <c r="A1490" s="555"/>
      <c r="B1490" s="217"/>
      <c r="C1490" s="217">
        <v>50</v>
      </c>
      <c r="D1490" s="101" t="str">
        <f t="shared" si="1887"/>
        <v/>
      </c>
      <c r="E1490" s="217" t="str">
        <f t="shared" si="1888"/>
        <v/>
      </c>
      <c r="F1490" s="556" t="s">
        <v>264</v>
      </c>
      <c r="G1490" s="295" t="str">
        <f>VLOOKUP(F1490,'GL Category'!A:C,3,FALSE)</f>
        <v>Services &amp; other</v>
      </c>
      <c r="H1490" s="98" t="str">
        <f>VLOOKUP(F1490,'GL Category'!A:C,2,FALSE)</f>
        <v>TRAVEL, TRAINING &amp; EDUCATION</v>
      </c>
      <c r="I1490" s="99">
        <f>SUMIFS(I$1:I1485,$C$1:$C1485,$C1490,$F$1:$F1485,$F1490)</f>
        <v>10584.55</v>
      </c>
      <c r="J1490" s="99">
        <f>SUMIFS(J$1:J1485,$C$1:$C1485,$C1490,$F$1:$F1485,$F1490)</f>
        <v>8562.32</v>
      </c>
      <c r="K1490" s="99">
        <f>SUMIFS(K$1:K1485,$C$1:$C1485,$C1490,$F$1:$F1485,$F1490)</f>
        <v>12861.47</v>
      </c>
      <c r="L1490" s="99">
        <f>SUMIFS(L$1:L1485,$C$1:$C1485,$C1490,$F$1:$F1485,$F1490)</f>
        <v>16296.720000000001</v>
      </c>
      <c r="M1490" s="99">
        <f>SUMIFS(M$1:M1485,$C$1:$C1485,$C1490,$F$1:$F1485,$F1490)</f>
        <v>21050</v>
      </c>
      <c r="N1490" s="99">
        <f>SUMIFS(N$1:N1485,$C$1:$C1485,$C1490,$F$1:$F1485,$F1490)</f>
        <v>5676.83</v>
      </c>
      <c r="O1490" s="99">
        <f>SUMIFS(O$1:O1485,$C$1:$C1485,$C1490,$F$1:$F1485,$F1490)</f>
        <v>16850</v>
      </c>
      <c r="P1490" s="99">
        <f t="shared" si="1912"/>
        <v>-4200</v>
      </c>
      <c r="Q1490" s="99">
        <f>SUMIFS(Q$1:Q1485,$C$1:$C1485,$C1490,$F$1:$F1485,$F1490)</f>
        <v>19500</v>
      </c>
      <c r="R1490" s="99">
        <f>SUMIFS(R$1:R1485,$C$1:$C1485,$C1490,$F$1:$F1485,$F1490)</f>
        <v>0</v>
      </c>
      <c r="S1490" s="99">
        <f>SUMIFS(S$1:S1485,$C$1:$C1485,$C1490,$F$1:$F1485,$F1490)</f>
        <v>0</v>
      </c>
      <c r="T1490" s="99">
        <f>SUMIFS(T$1:T1485,$C$1:$C1485,$C1490,$F$1:$F1485,$F1490)</f>
        <v>19500</v>
      </c>
      <c r="U1490" s="99">
        <f t="shared" si="1913"/>
        <v>-1550</v>
      </c>
      <c r="V1490" s="255">
        <f t="shared" si="1914"/>
        <v>-7.3634204275534465E-2</v>
      </c>
      <c r="W1490" s="102"/>
      <c r="X1490" s="102"/>
      <c r="Y1490" s="102">
        <f t="shared" si="1915"/>
        <v>19500</v>
      </c>
      <c r="Z1490" s="309">
        <f>Y1490*(1+VLOOKUP($F1490,'GL Category'!$A:$H,4,FALSE))</f>
        <v>20085</v>
      </c>
      <c r="AA1490" s="615"/>
      <c r="AB1490" s="622">
        <f t="shared" si="1916"/>
        <v>20085</v>
      </c>
      <c r="AC1490" s="633">
        <f>AB1490*(1+VLOOKUP($F1490,'GL Category'!$A:$H,5,FALSE))</f>
        <v>20687.55</v>
      </c>
      <c r="AE1490" s="622">
        <f t="shared" si="1917"/>
        <v>20687.55</v>
      </c>
      <c r="AF1490" s="633">
        <f>AE1490*(1+VLOOKUP($F1490,'GL Category'!$A:$H,6,FALSE))</f>
        <v>21308.176500000001</v>
      </c>
      <c r="AH1490" s="622">
        <f t="shared" si="1918"/>
        <v>21308.176500000001</v>
      </c>
      <c r="AI1490" s="633">
        <f>AH1490*(1+VLOOKUP($F1490,'GL Category'!$A:$H,7,FALSE))</f>
        <v>21947.421795000002</v>
      </c>
      <c r="AK1490" s="622">
        <f t="shared" si="1919"/>
        <v>21947.421795000002</v>
      </c>
      <c r="AL1490" s="633">
        <f>AK1490*(1+VLOOKUP($F1490,'GL Category'!$A:$H,8,FALSE))</f>
        <v>22605.844448850003</v>
      </c>
      <c r="AN1490" s="622">
        <f t="shared" si="1920"/>
        <v>22605.844448850003</v>
      </c>
    </row>
    <row r="1491" spans="1:43" ht="15" customHeight="1">
      <c r="A1491" s="555"/>
      <c r="B1491" s="217"/>
      <c r="C1491" s="217">
        <v>50</v>
      </c>
      <c r="D1491" s="101" t="str">
        <f t="shared" si="1887"/>
        <v/>
      </c>
      <c r="E1491" s="217" t="str">
        <f t="shared" si="1888"/>
        <v/>
      </c>
      <c r="F1491" s="294" t="s">
        <v>198</v>
      </c>
      <c r="G1491" s="295" t="str">
        <f>VLOOKUP(F1491,'GL Category'!A:C,3,FALSE)</f>
        <v>Services &amp; other</v>
      </c>
      <c r="H1491" s="98" t="str">
        <f>VLOOKUP(F1491,'GL Category'!A:C,2,FALSE)</f>
        <v>EQUIPMENT RENTAL</v>
      </c>
      <c r="I1491" s="99">
        <f>SUMIFS(I$1:I1486,$C$1:$C1486,$C1491,$F$1:$F1486,$F1491)</f>
        <v>8298.5400000000009</v>
      </c>
      <c r="J1491" s="99">
        <f>SUMIFS(J$1:J1486,$C$1:$C1486,$C1491,$F$1:$F1486,$F1491)</f>
        <v>10770.75</v>
      </c>
      <c r="K1491" s="99">
        <f>SUMIFS(K$1:K1486,$C$1:$C1486,$C1491,$F$1:$F1486,$F1491)</f>
        <v>8754.2800000000007</v>
      </c>
      <c r="L1491" s="99">
        <f>SUMIFS(L$1:L1486,$C$1:$C1486,$C1491,$F$1:$F1486,$F1491)</f>
        <v>7005.5</v>
      </c>
      <c r="M1491" s="99">
        <f>SUMIFS(M$1:M1486,$C$1:$C1486,$C1491,$F$1:$F1486,$F1491)</f>
        <v>9000</v>
      </c>
      <c r="N1491" s="99">
        <f>SUMIFS(N$1:N1486,$C$1:$C1486,$C1491,$F$1:$F1486,$F1491)</f>
        <v>317</v>
      </c>
      <c r="O1491" s="99">
        <f>SUMIFS(O$1:O1486,$C$1:$C1486,$C1491,$F$1:$F1486,$F1491)</f>
        <v>9000</v>
      </c>
      <c r="P1491" s="99">
        <f t="shared" si="1912"/>
        <v>0</v>
      </c>
      <c r="Q1491" s="99">
        <f>SUMIFS(Q$1:Q1486,$C$1:$C1486,$C1491,$F$1:$F1486,$F1491)</f>
        <v>9000</v>
      </c>
      <c r="R1491" s="99">
        <f>SUMIFS(R$1:R1486,$C$1:$C1486,$C1491,$F$1:$F1486,$F1491)</f>
        <v>0</v>
      </c>
      <c r="S1491" s="99">
        <f>SUMIFS(S$1:S1486,$C$1:$C1486,$C1491,$F$1:$F1486,$F1491)</f>
        <v>0</v>
      </c>
      <c r="T1491" s="99">
        <f>SUMIFS(T$1:T1486,$C$1:$C1486,$C1491,$F$1:$F1486,$F1491)</f>
        <v>9000</v>
      </c>
      <c r="U1491" s="99">
        <f t="shared" si="1913"/>
        <v>0</v>
      </c>
      <c r="V1491" s="255">
        <f t="shared" si="1914"/>
        <v>0</v>
      </c>
      <c r="W1491" s="102"/>
      <c r="X1491" s="102"/>
      <c r="Y1491" s="102">
        <f t="shared" si="1915"/>
        <v>9000</v>
      </c>
      <c r="Z1491" s="309">
        <f>Y1491*(1+VLOOKUP($F1491,'GL Category'!$A:$H,4,FALSE))</f>
        <v>9270</v>
      </c>
      <c r="AA1491" s="615"/>
      <c r="AB1491" s="622">
        <f t="shared" si="1916"/>
        <v>9270</v>
      </c>
      <c r="AC1491" s="633">
        <f>AB1491*(1+VLOOKUP($F1491,'GL Category'!$A:$H,5,FALSE))</f>
        <v>9548.1</v>
      </c>
      <c r="AE1491" s="622">
        <f t="shared" si="1917"/>
        <v>9548.1</v>
      </c>
      <c r="AF1491" s="633">
        <f>AE1491*(1+VLOOKUP($F1491,'GL Category'!$A:$H,6,FALSE))</f>
        <v>9834.5430000000015</v>
      </c>
      <c r="AH1491" s="622">
        <f t="shared" si="1918"/>
        <v>9834.5430000000015</v>
      </c>
      <c r="AI1491" s="633">
        <f>AH1491*(1+VLOOKUP($F1491,'GL Category'!$A:$H,7,FALSE))</f>
        <v>10129.579290000001</v>
      </c>
      <c r="AK1491" s="622">
        <f t="shared" si="1919"/>
        <v>10129.579290000001</v>
      </c>
      <c r="AL1491" s="633">
        <f>AK1491*(1+VLOOKUP($F1491,'GL Category'!$A:$H,8,FALSE))</f>
        <v>10433.466668700003</v>
      </c>
      <c r="AN1491" s="622">
        <f t="shared" si="1920"/>
        <v>10433.466668700003</v>
      </c>
    </row>
    <row r="1492" spans="1:43" ht="15" customHeight="1">
      <c r="A1492" s="555"/>
      <c r="B1492" s="217"/>
      <c r="C1492" s="217">
        <v>50</v>
      </c>
      <c r="D1492" s="101" t="str">
        <f t="shared" si="1887"/>
        <v/>
      </c>
      <c r="E1492" s="217" t="str">
        <f t="shared" si="1888"/>
        <v/>
      </c>
      <c r="F1492" s="294" t="s">
        <v>935</v>
      </c>
      <c r="G1492" s="295" t="str">
        <f>VLOOKUP(F1492,'GL Category'!A:C,3,FALSE)</f>
        <v>Services &amp; other</v>
      </c>
      <c r="H1492" s="98" t="str">
        <f>VLOOKUP(F1492,'GL Category'!A:C,2,FALSE)</f>
        <v>LANDSCAPE SERVICES</v>
      </c>
      <c r="I1492" s="99">
        <f>SUMIFS(I$1:I1486,$C$1:$C1486,$C1492,$F$1:$F1486,$F1492)</f>
        <v>64782.6</v>
      </c>
      <c r="J1492" s="99">
        <f>SUMIFS(J$1:J1486,$C$1:$C1486,$C1492,$F$1:$F1486,$F1492)</f>
        <v>39868.75</v>
      </c>
      <c r="K1492" s="99">
        <f>SUMIFS(K$1:K1486,$C$1:$C1486,$C1492,$F$1:$F1486,$F1492)</f>
        <v>59825.3</v>
      </c>
      <c r="L1492" s="99">
        <f>SUMIFS(L$1:L1486,$C$1:$C1486,$C1492,$F$1:$F1486,$F1492)</f>
        <v>93252.42</v>
      </c>
      <c r="M1492" s="99">
        <f>SUMIFS(M$1:M1486,$C$1:$C1486,$C1492,$F$1:$F1486,$F1492)</f>
        <v>84000</v>
      </c>
      <c r="N1492" s="99">
        <f>SUMIFS(N$1:N1486,$C$1:$C1486,$C1492,$F$1:$F1486,$F1492)</f>
        <v>62429</v>
      </c>
      <c r="O1492" s="99">
        <f>SUMIFS(O$1:O1486,$C$1:$C1486,$C1492,$F$1:$F1486,$F1492)</f>
        <v>130000</v>
      </c>
      <c r="P1492" s="99">
        <f>O1492-M1492</f>
        <v>46000</v>
      </c>
      <c r="Q1492" s="99">
        <f>SUMIFS(Q$1:Q1486,$C$1:$C1486,$C1492,$F$1:$F1486,$F1492)</f>
        <v>84000</v>
      </c>
      <c r="R1492" s="99">
        <f>SUMIFS(R$1:R1486,$C$1:$C1486,$C1492,$F$1:$F1486,$F1492)</f>
        <v>44000</v>
      </c>
      <c r="S1492" s="99">
        <f>SUMIFS(S$1:S1486,$C$1:$C1486,$C1492,$F$1:$F1486,$F1492)</f>
        <v>0</v>
      </c>
      <c r="T1492" s="99">
        <f>SUMIFS(T$1:T1486,$C$1:$C1486,$C1492,$F$1:$F1486,$F1492)</f>
        <v>128000</v>
      </c>
      <c r="U1492" s="99">
        <f t="shared" si="1913"/>
        <v>44000</v>
      </c>
      <c r="V1492" s="255">
        <f t="shared" si="1914"/>
        <v>0.52380952380952372</v>
      </c>
      <c r="W1492" s="102"/>
      <c r="X1492" s="102"/>
      <c r="Y1492" s="102">
        <f t="shared" si="1915"/>
        <v>128000</v>
      </c>
      <c r="Z1492" s="309">
        <f>Y1492*(1+VLOOKUP($F1492,'GL Category'!$A:$H,4,FALSE))</f>
        <v>131840</v>
      </c>
      <c r="AA1492" s="615"/>
      <c r="AB1492" s="622">
        <f t="shared" si="1916"/>
        <v>131840</v>
      </c>
      <c r="AC1492" s="633">
        <f>AB1492*(1+VLOOKUP($F1492,'GL Category'!$A:$H,5,FALSE))</f>
        <v>135795.20000000001</v>
      </c>
      <c r="AE1492" s="622">
        <f t="shared" si="1917"/>
        <v>135795.20000000001</v>
      </c>
      <c r="AF1492" s="633">
        <f>AE1492*(1+VLOOKUP($F1492,'GL Category'!$A:$H,6,FALSE))</f>
        <v>139869.05600000001</v>
      </c>
      <c r="AH1492" s="622">
        <f t="shared" si="1918"/>
        <v>139869.05600000001</v>
      </c>
      <c r="AI1492" s="633">
        <f>AH1492*(1+VLOOKUP($F1492,'GL Category'!$A:$H,7,FALSE))</f>
        <v>144065.12768000001</v>
      </c>
      <c r="AK1492" s="622">
        <f t="shared" si="1919"/>
        <v>144065.12768000001</v>
      </c>
      <c r="AL1492" s="633">
        <f>AK1492*(1+VLOOKUP($F1492,'GL Category'!$A:$H,8,FALSE))</f>
        <v>148387.08151040002</v>
      </c>
      <c r="AN1492" s="622">
        <f t="shared" si="1920"/>
        <v>148387.08151040002</v>
      </c>
    </row>
    <row r="1493" spans="1:43" ht="15" customHeight="1">
      <c r="A1493" s="555"/>
      <c r="B1493" s="217"/>
      <c r="C1493" s="217">
        <v>50</v>
      </c>
      <c r="D1493" s="101" t="str">
        <f t="shared" si="1887"/>
        <v/>
      </c>
      <c r="E1493" s="217" t="str">
        <f t="shared" si="1888"/>
        <v/>
      </c>
      <c r="F1493" s="294" t="s">
        <v>257</v>
      </c>
      <c r="G1493" s="295" t="str">
        <f>VLOOKUP(F1493,'GL Category'!A:C,3,FALSE)</f>
        <v>Services &amp; other</v>
      </c>
      <c r="H1493" s="98" t="str">
        <f>VLOOKUP(F1493,'GL Category'!A:C,2,FALSE)</f>
        <v>EMPLOYEE ACTIVITIES</v>
      </c>
      <c r="I1493" s="99">
        <f>SUMIFS(I$1:I1487,$C$1:$C1487,$C1493,$F$1:$F1487,$F1493)</f>
        <v>0</v>
      </c>
      <c r="J1493" s="99">
        <f>SUMIFS(J$1:J1487,$C$1:$C1487,$C1493,$F$1:$F1487,$F1493)</f>
        <v>0</v>
      </c>
      <c r="K1493" s="99">
        <f>SUMIFS(K$1:K1487,$C$1:$C1487,$C1493,$F$1:$F1487,$F1493)</f>
        <v>0</v>
      </c>
      <c r="L1493" s="99">
        <f>SUMIFS(L$1:L1487,$C$1:$C1487,$C1493,$F$1:$F1487,$F1493)</f>
        <v>0</v>
      </c>
      <c r="M1493" s="99">
        <f>SUMIFS(M$1:M1487,$C$1:$C1487,$C1493,$F$1:$F1487,$F1493)</f>
        <v>0</v>
      </c>
      <c r="N1493" s="99">
        <f>SUMIFS(N$1:N1487,$C$1:$C1487,$C1493,$F$1:$F1487,$F1493)</f>
        <v>0</v>
      </c>
      <c r="O1493" s="99">
        <f>SUMIFS(O$1:O1487,$C$1:$C1487,$C1493,$F$1:$F1487,$F1493)</f>
        <v>0</v>
      </c>
      <c r="P1493" s="99">
        <f t="shared" si="1912"/>
        <v>0</v>
      </c>
      <c r="Q1493" s="99">
        <f>SUMIFS(Q$1:Q1487,$C$1:$C1487,$C1493,$F$1:$F1487,$F1493)</f>
        <v>0</v>
      </c>
      <c r="R1493" s="99">
        <f>SUMIFS(R$1:R1487,$C$1:$C1487,$C1493,$F$1:$F1487,$F1493)</f>
        <v>0</v>
      </c>
      <c r="S1493" s="99">
        <f>SUMIFS(S$1:S1487,$C$1:$C1487,$C1493,$F$1:$F1487,$F1493)</f>
        <v>0</v>
      </c>
      <c r="T1493" s="99">
        <f>SUMIFS(T$1:T1487,$C$1:$C1487,$C1493,$F$1:$F1487,$F1493)</f>
        <v>0</v>
      </c>
      <c r="U1493" s="99">
        <f t="shared" si="1913"/>
        <v>0</v>
      </c>
      <c r="V1493" s="255" t="str">
        <f t="shared" si="1914"/>
        <v>N/A</v>
      </c>
      <c r="W1493" s="102"/>
      <c r="X1493" s="102"/>
      <c r="Y1493" s="102">
        <f t="shared" si="1915"/>
        <v>0</v>
      </c>
      <c r="Z1493" s="309">
        <f>Y1493*(1+VLOOKUP($F1493,'GL Category'!$A:$H,4,FALSE))</f>
        <v>0</v>
      </c>
      <c r="AA1493" s="615"/>
      <c r="AB1493" s="622">
        <f t="shared" si="1916"/>
        <v>0</v>
      </c>
      <c r="AC1493" s="633">
        <f>AB1493*(1+VLOOKUP($F1493,'GL Category'!$A:$H,5,FALSE))</f>
        <v>0</v>
      </c>
      <c r="AE1493" s="622">
        <f t="shared" si="1917"/>
        <v>0</v>
      </c>
      <c r="AF1493" s="633">
        <f>AE1493*(1+VLOOKUP($F1493,'GL Category'!$A:$H,6,FALSE))</f>
        <v>0</v>
      </c>
      <c r="AH1493" s="622">
        <f t="shared" si="1918"/>
        <v>0</v>
      </c>
      <c r="AI1493" s="633">
        <f>AH1493*(1+VLOOKUP($F1493,'GL Category'!$A:$H,7,FALSE))</f>
        <v>0</v>
      </c>
      <c r="AK1493" s="622">
        <f t="shared" si="1919"/>
        <v>0</v>
      </c>
      <c r="AL1493" s="633">
        <f>AK1493*(1+VLOOKUP($F1493,'GL Category'!$A:$H,8,FALSE))</f>
        <v>0</v>
      </c>
      <c r="AN1493" s="622">
        <f t="shared" si="1920"/>
        <v>0</v>
      </c>
    </row>
    <row r="1494" spans="1:43" ht="15" customHeight="1">
      <c r="A1494" s="555"/>
      <c r="B1494" s="217"/>
      <c r="C1494" s="217">
        <v>50</v>
      </c>
      <c r="D1494" s="101" t="str">
        <f t="shared" ref="D1494" si="1921">MID(A1494,8,3)</f>
        <v/>
      </c>
      <c r="E1494" s="217" t="str">
        <f t="shared" ref="E1494" si="1922">LEFT(A1494,10)</f>
        <v/>
      </c>
      <c r="F1494" s="556" t="s">
        <v>937</v>
      </c>
      <c r="G1494" s="295" t="str">
        <f>VLOOKUP(F1494,'GL Category'!A:C,3,FALSE)</f>
        <v>Services &amp; other</v>
      </c>
      <c r="H1494" s="98" t="str">
        <f>VLOOKUP(F1494,'GL Category'!A:C,2,FALSE)</f>
        <v>DEBRIS &amp; WASTE DISPOSAL SVCS</v>
      </c>
      <c r="I1494" s="99">
        <f>SUMIFS(I$1:I1488,$C$1:$C1488,$C1494,$F$1:$F1488,$F1494)</f>
        <v>0</v>
      </c>
      <c r="J1494" s="99">
        <f>SUMIFS(J$1:J1488,$C$1:$C1488,$C1494,$F$1:$F1488,$F1494)</f>
        <v>0</v>
      </c>
      <c r="K1494" s="99">
        <f>SUMIFS(K$1:K1488,$C$1:$C1488,$C1494,$F$1:$F1488,$F1494)</f>
        <v>0</v>
      </c>
      <c r="L1494" s="99">
        <f>SUMIFS(L$1:L1488,$C$1:$C1488,$C1494,$F$1:$F1488,$F1494)</f>
        <v>8700.32</v>
      </c>
      <c r="M1494" s="99">
        <f>SUMIFS(M$1:M1488,$C$1:$C1488,$C1494,$F$1:$F1488,$F1494)</f>
        <v>0</v>
      </c>
      <c r="N1494" s="99">
        <f>SUMIFS(N$1:N1488,$C$1:$C1488,$C1494,$F$1:$F1488,$F1494)</f>
        <v>0</v>
      </c>
      <c r="O1494" s="99">
        <f>SUMIFS(O$1:O1488,$C$1:$C1488,$C1494,$F$1:$F1488,$F1494)</f>
        <v>2000</v>
      </c>
      <c r="P1494" s="99">
        <f t="shared" ref="P1494" si="1923">O1494-M1494</f>
        <v>2000</v>
      </c>
      <c r="Q1494" s="99">
        <f>SUMIFS(Q$1:Q1488,$C$1:$C1488,$C1494,$F$1:$F1488,$F1494)</f>
        <v>3000</v>
      </c>
      <c r="R1494" s="99">
        <f>SUMIFS(R$1:R1488,$C$1:$C1488,$C1494,$F$1:$F1488,$F1494)</f>
        <v>0</v>
      </c>
      <c r="S1494" s="99">
        <f>SUMIFS(S$1:S1488,$C$1:$C1488,$C1494,$F$1:$F1488,$F1494)</f>
        <v>0</v>
      </c>
      <c r="T1494" s="99">
        <f>SUMIFS(T$1:T1488,$C$1:$C1488,$C1494,$F$1:$F1488,$F1494)</f>
        <v>3000</v>
      </c>
      <c r="U1494" s="99">
        <f t="shared" ref="U1494" si="1924">T1494-M1494</f>
        <v>3000</v>
      </c>
      <c r="V1494" s="255" t="str">
        <f t="shared" ref="V1494" si="1925">IF(M1494=0,"N/A",T1494/M1494-1)</f>
        <v>N/A</v>
      </c>
      <c r="W1494" s="102"/>
      <c r="X1494" s="102"/>
      <c r="Y1494" s="102">
        <f t="shared" si="1915"/>
        <v>3000</v>
      </c>
      <c r="Z1494" s="309">
        <f>Y1494*(1+VLOOKUP($F1494,'GL Category'!$A:$H,4,FALSE))</f>
        <v>3090</v>
      </c>
      <c r="AA1494" s="615"/>
      <c r="AB1494" s="622">
        <f t="shared" si="1916"/>
        <v>3090</v>
      </c>
      <c r="AC1494" s="633">
        <f>AB1494*(1+VLOOKUP($F1494,'GL Category'!$A:$H,5,FALSE))</f>
        <v>3182.7000000000003</v>
      </c>
      <c r="AE1494" s="622">
        <f t="shared" si="1917"/>
        <v>3182.7000000000003</v>
      </c>
      <c r="AF1494" s="633">
        <f>AE1494*(1+VLOOKUP($F1494,'GL Category'!$A:$H,6,FALSE))</f>
        <v>3278.1810000000005</v>
      </c>
      <c r="AH1494" s="622">
        <f t="shared" si="1918"/>
        <v>3278.1810000000005</v>
      </c>
      <c r="AI1494" s="633">
        <f>AH1494*(1+VLOOKUP($F1494,'GL Category'!$A:$H,7,FALSE))</f>
        <v>3376.5264300000008</v>
      </c>
      <c r="AK1494" s="622">
        <f t="shared" si="1919"/>
        <v>3376.5264300000008</v>
      </c>
      <c r="AL1494" s="633">
        <f>AK1494*(1+VLOOKUP($F1494,'GL Category'!$A:$H,8,FALSE))</f>
        <v>3477.8222229000007</v>
      </c>
      <c r="AN1494" s="622">
        <f t="shared" si="1920"/>
        <v>3477.8222229000007</v>
      </c>
    </row>
    <row r="1495" spans="1:43" s="115" customFormat="1" ht="15" customHeight="1">
      <c r="A1495" s="555"/>
      <c r="B1495" s="217"/>
      <c r="C1495" s="217">
        <v>50</v>
      </c>
      <c r="D1495" s="101" t="str">
        <f t="shared" si="1887"/>
        <v/>
      </c>
      <c r="E1495" s="217" t="str">
        <f t="shared" si="1888"/>
        <v/>
      </c>
      <c r="F1495" s="294" t="s">
        <v>202</v>
      </c>
      <c r="G1495" s="295" t="str">
        <f>VLOOKUP(F1495,'GL Category'!A:C,3,FALSE)</f>
        <v>Services &amp; other</v>
      </c>
      <c r="H1495" s="98" t="str">
        <f>VLOOKUP(F1495,'GL Category'!A:C,2,FALSE)</f>
        <v>PRINTING &amp; BINDING SERVICES</v>
      </c>
      <c r="I1495" s="99">
        <f>SUMIFS(I$1:I1488,$C$1:$C1488,$C1495,$F$1:$F1488,$F1495)</f>
        <v>0</v>
      </c>
      <c r="J1495" s="99">
        <f>SUMIFS(J$1:J1488,$C$1:$C1488,$C1495,$F$1:$F1488,$F1495)</f>
        <v>0</v>
      </c>
      <c r="K1495" s="99">
        <f>SUMIFS(K$1:K1488,$C$1:$C1488,$C1495,$F$1:$F1488,$F1495)</f>
        <v>0</v>
      </c>
      <c r="L1495" s="99">
        <f>SUMIFS(L$1:L1488,$C$1:$C1488,$C1495,$F$1:$F1488,$F1495)</f>
        <v>0</v>
      </c>
      <c r="M1495" s="99">
        <f>SUMIFS(M$1:M1488,$C$1:$C1488,$C1495,$F$1:$F1488,$F1495)</f>
        <v>0</v>
      </c>
      <c r="N1495" s="99">
        <f>SUMIFS(N$1:N1488,$C$1:$C1488,$C1495,$F$1:$F1488,$F1495)</f>
        <v>0</v>
      </c>
      <c r="O1495" s="99">
        <f>SUMIFS(O$1:O1488,$C$1:$C1488,$C1495,$F$1:$F1488,$F1495)</f>
        <v>0</v>
      </c>
      <c r="P1495" s="99">
        <f t="shared" si="1912"/>
        <v>0</v>
      </c>
      <c r="Q1495" s="99">
        <f>SUMIFS(Q$1:Q1488,$C$1:$C1488,$C1495,$F$1:$F1488,$F1495)</f>
        <v>0</v>
      </c>
      <c r="R1495" s="99">
        <f>SUMIFS(R$1:R1488,$C$1:$C1488,$C1495,$F$1:$F1488,$F1495)</f>
        <v>0</v>
      </c>
      <c r="S1495" s="99">
        <f>SUMIFS(S$1:S1488,$C$1:$C1488,$C1495,$F$1:$F1488,$F1495)</f>
        <v>0</v>
      </c>
      <c r="T1495" s="99">
        <f>SUMIFS(T$1:T1488,$C$1:$C1488,$C1495,$F$1:$F1488,$F1495)</f>
        <v>0</v>
      </c>
      <c r="U1495" s="99">
        <f t="shared" si="1913"/>
        <v>0</v>
      </c>
      <c r="V1495" s="255" t="str">
        <f t="shared" si="1914"/>
        <v>N/A</v>
      </c>
      <c r="W1495" s="102"/>
      <c r="X1495" s="102"/>
      <c r="Y1495" s="102">
        <f t="shared" si="1915"/>
        <v>0</v>
      </c>
      <c r="Z1495" s="309">
        <f>Y1495*(1+VLOOKUP($F1495,'GL Category'!$A:$H,4,FALSE))</f>
        <v>0</v>
      </c>
      <c r="AA1495" s="615"/>
      <c r="AB1495" s="622">
        <f t="shared" si="1916"/>
        <v>0</v>
      </c>
      <c r="AC1495" s="633">
        <f>AB1495*(1+VLOOKUP($F1495,'GL Category'!$A:$H,5,FALSE))</f>
        <v>0</v>
      </c>
      <c r="AD1495" s="307"/>
      <c r="AE1495" s="622">
        <f t="shared" si="1917"/>
        <v>0</v>
      </c>
      <c r="AF1495" s="633">
        <f>AE1495*(1+VLOOKUP($F1495,'GL Category'!$A:$H,6,FALSE))</f>
        <v>0</v>
      </c>
      <c r="AG1495" s="307"/>
      <c r="AH1495" s="622">
        <f t="shared" si="1918"/>
        <v>0</v>
      </c>
      <c r="AI1495" s="633">
        <f>AH1495*(1+VLOOKUP($F1495,'GL Category'!$A:$H,7,FALSE))</f>
        <v>0</v>
      </c>
      <c r="AJ1495" s="307"/>
      <c r="AK1495" s="622">
        <f t="shared" si="1919"/>
        <v>0</v>
      </c>
      <c r="AL1495" s="633">
        <f>AK1495*(1+VLOOKUP($F1495,'GL Category'!$A:$H,8,FALSE))</f>
        <v>0</v>
      </c>
      <c r="AM1495" s="307"/>
      <c r="AN1495" s="622">
        <f t="shared" si="1920"/>
        <v>0</v>
      </c>
      <c r="AO1495" s="192"/>
      <c r="AP1495" s="192"/>
      <c r="AQ1495" s="192"/>
    </row>
    <row r="1496" spans="1:43" ht="15" customHeight="1">
      <c r="A1496" s="555"/>
      <c r="B1496" s="217"/>
      <c r="C1496" s="217">
        <v>50</v>
      </c>
      <c r="D1496" s="101" t="str">
        <f t="shared" si="1887"/>
        <v/>
      </c>
      <c r="E1496" s="217" t="str">
        <f t="shared" si="1888"/>
        <v/>
      </c>
      <c r="F1496" s="294" t="s">
        <v>304</v>
      </c>
      <c r="G1496" s="295" t="str">
        <f>VLOOKUP(F1496,'GL Category'!A:C,3,FALSE)</f>
        <v>Services &amp; other</v>
      </c>
      <c r="H1496" s="98" t="str">
        <f>VLOOKUP(F1496,'GL Category'!A:C,2,FALSE)</f>
        <v>ENGINEERING/DESIGN SERVICES</v>
      </c>
      <c r="I1496" s="99">
        <f>SUMIFS(I$1:I1488,$C$1:$C1488,$C1496,$F$1:$F1488,$F1496)</f>
        <v>128474.75</v>
      </c>
      <c r="J1496" s="99">
        <f>SUMIFS(J$1:J1488,$C$1:$C1488,$C1496,$F$1:$F1488,$F1496)</f>
        <v>181416.88</v>
      </c>
      <c r="K1496" s="99">
        <f>SUMIFS(K$1:K1488,$C$1:$C1488,$C1496,$F$1:$F1488,$F1496)</f>
        <v>197500.76</v>
      </c>
      <c r="L1496" s="99">
        <f>SUMIFS(L$1:L1488,$C$1:$C1488,$C1496,$F$1:$F1488,$F1496)</f>
        <v>406500.32</v>
      </c>
      <c r="M1496" s="99">
        <f>SUMIFS(M$1:M1488,$C$1:$C1488,$C1496,$F$1:$F1488,$F1496)</f>
        <v>296500</v>
      </c>
      <c r="N1496" s="99">
        <f>SUMIFS(N$1:N1488,$C$1:$C1488,$C1496,$F$1:$F1488,$F1496)</f>
        <v>155001.99</v>
      </c>
      <c r="O1496" s="99">
        <f>SUMIFS(O$1:O1488,$C$1:$C1488,$C1496,$F$1:$F1488,$F1496)</f>
        <v>296500</v>
      </c>
      <c r="P1496" s="99">
        <f>O1496-M1496</f>
        <v>0</v>
      </c>
      <c r="Q1496" s="99">
        <f>SUMIFS(Q$1:Q1488,$C$1:$C1488,$C1496,$F$1:$F1488,$F1496)</f>
        <v>96500</v>
      </c>
      <c r="R1496" s="99">
        <f>SUMIFS(R$1:R1488,$C$1:$C1488,$C1496,$F$1:$F1488,$F1496)</f>
        <v>200000</v>
      </c>
      <c r="S1496" s="99">
        <f>SUMIFS(S$1:S1488,$C$1:$C1488,$C1496,$F$1:$F1488,$F1496)</f>
        <v>0</v>
      </c>
      <c r="T1496" s="99">
        <f>SUMIFS(T$1:T1488,$C$1:$C1488,$C1496,$F$1:$F1488,$F1496)</f>
        <v>296500</v>
      </c>
      <c r="U1496" s="99">
        <f t="shared" si="1913"/>
        <v>0</v>
      </c>
      <c r="V1496" s="255">
        <f t="shared" si="1914"/>
        <v>0</v>
      </c>
      <c r="W1496" s="102"/>
      <c r="X1496" s="102">
        <v>200000</v>
      </c>
      <c r="Y1496" s="102">
        <f t="shared" si="1915"/>
        <v>96500</v>
      </c>
      <c r="Z1496" s="309">
        <f>Y1496*(1+VLOOKUP($F1496,'GL Category'!$A:$H,4,FALSE))</f>
        <v>99395</v>
      </c>
      <c r="AA1496" s="615"/>
      <c r="AB1496" s="622">
        <f t="shared" si="1916"/>
        <v>99395</v>
      </c>
      <c r="AC1496" s="633">
        <f>AB1496*(1+VLOOKUP($F1496,'GL Category'!$A:$H,5,FALSE))</f>
        <v>102376.85</v>
      </c>
      <c r="AE1496" s="622">
        <f t="shared" si="1917"/>
        <v>102376.85</v>
      </c>
      <c r="AF1496" s="633">
        <f>AE1496*(1+VLOOKUP($F1496,'GL Category'!$A:$H,6,FALSE))</f>
        <v>105448.15550000001</v>
      </c>
      <c r="AH1496" s="622">
        <f t="shared" si="1918"/>
        <v>105448.15550000001</v>
      </c>
      <c r="AI1496" s="633">
        <f>AH1496*(1+VLOOKUP($F1496,'GL Category'!$A:$H,7,FALSE))</f>
        <v>108611.60016500001</v>
      </c>
      <c r="AK1496" s="622">
        <f t="shared" si="1919"/>
        <v>108611.60016500001</v>
      </c>
      <c r="AL1496" s="633">
        <f>AK1496*(1+VLOOKUP($F1496,'GL Category'!$A:$H,8,FALSE))</f>
        <v>111869.94816995002</v>
      </c>
      <c r="AN1496" s="622">
        <f t="shared" si="1920"/>
        <v>111869.94816995002</v>
      </c>
    </row>
    <row r="1497" spans="1:43" s="115" customFormat="1" ht="15" customHeight="1">
      <c r="A1497" s="555"/>
      <c r="B1497" s="217"/>
      <c r="C1497" s="217">
        <v>50</v>
      </c>
      <c r="D1497" s="101" t="str">
        <f t="shared" si="1887"/>
        <v/>
      </c>
      <c r="E1497" s="217" t="str">
        <f t="shared" si="1888"/>
        <v/>
      </c>
      <c r="F1497" s="294" t="s">
        <v>206</v>
      </c>
      <c r="G1497" s="295" t="str">
        <f>VLOOKUP(F1497,'GL Category'!A:C,3,FALSE)</f>
        <v>Services &amp; other</v>
      </c>
      <c r="H1497" s="98" t="str">
        <f>VLOOKUP(F1497,'GL Category'!A:C,2,FALSE)</f>
        <v>FREIGHT &amp; EXPRESS SERVICES</v>
      </c>
      <c r="I1497" s="99">
        <f>SUMIFS(I$1:I1488,$C$1:$C1488,$C1497,$F$1:$F1488,$F1497)</f>
        <v>0</v>
      </c>
      <c r="J1497" s="99">
        <f>SUMIFS(J$1:J1488,$C$1:$C1488,$C1497,$F$1:$F1488,$F1497)</f>
        <v>0</v>
      </c>
      <c r="K1497" s="99">
        <f>SUMIFS(K$1:K1488,$C$1:$C1488,$C1497,$F$1:$F1488,$F1497)</f>
        <v>0</v>
      </c>
      <c r="L1497" s="99">
        <f>SUMIFS(L$1:L1488,$C$1:$C1488,$C1497,$F$1:$F1488,$F1497)</f>
        <v>0</v>
      </c>
      <c r="M1497" s="99">
        <f>SUMIFS(M$1:M1488,$C$1:$C1488,$C1497,$F$1:$F1488,$F1497)</f>
        <v>0</v>
      </c>
      <c r="N1497" s="99">
        <f>SUMIFS(N$1:N1488,$C$1:$C1488,$C1497,$F$1:$F1488,$F1497)</f>
        <v>0</v>
      </c>
      <c r="O1497" s="99">
        <f>SUMIFS(O$1:O1488,$C$1:$C1488,$C1497,$F$1:$F1488,$F1497)</f>
        <v>0</v>
      </c>
      <c r="P1497" s="99">
        <f t="shared" si="1912"/>
        <v>0</v>
      </c>
      <c r="Q1497" s="99">
        <f>SUMIFS(Q$1:Q1488,$C$1:$C1488,$C1497,$F$1:$F1488,$F1497)</f>
        <v>0</v>
      </c>
      <c r="R1497" s="99">
        <f>SUMIFS(R$1:R1488,$C$1:$C1488,$C1497,$F$1:$F1488,$F1497)</f>
        <v>0</v>
      </c>
      <c r="S1497" s="99">
        <f>SUMIFS(S$1:S1488,$C$1:$C1488,$C1497,$F$1:$F1488,$F1497)</f>
        <v>0</v>
      </c>
      <c r="T1497" s="99">
        <f>SUMIFS(T$1:T1488,$C$1:$C1488,$C1497,$F$1:$F1488,$F1497)</f>
        <v>0</v>
      </c>
      <c r="U1497" s="99">
        <f t="shared" si="1913"/>
        <v>0</v>
      </c>
      <c r="V1497" s="255" t="str">
        <f t="shared" si="1914"/>
        <v>N/A</v>
      </c>
      <c r="W1497" s="102"/>
      <c r="X1497" s="102"/>
      <c r="Y1497" s="102">
        <f t="shared" si="1915"/>
        <v>0</v>
      </c>
      <c r="Z1497" s="309">
        <f>Y1497*(1+VLOOKUP($F1497,'GL Category'!$A:$H,4,FALSE))</f>
        <v>0</v>
      </c>
      <c r="AA1497" s="615"/>
      <c r="AB1497" s="622">
        <f t="shared" si="1916"/>
        <v>0</v>
      </c>
      <c r="AC1497" s="633">
        <f>AB1497*(1+VLOOKUP($F1497,'GL Category'!$A:$H,5,FALSE))</f>
        <v>0</v>
      </c>
      <c r="AD1497" s="307"/>
      <c r="AE1497" s="622">
        <f t="shared" si="1917"/>
        <v>0</v>
      </c>
      <c r="AF1497" s="633">
        <f>AE1497*(1+VLOOKUP($F1497,'GL Category'!$A:$H,6,FALSE))</f>
        <v>0</v>
      </c>
      <c r="AG1497" s="307"/>
      <c r="AH1497" s="622">
        <f t="shared" si="1918"/>
        <v>0</v>
      </c>
      <c r="AI1497" s="633">
        <f>AH1497*(1+VLOOKUP($F1497,'GL Category'!$A:$H,7,FALSE))</f>
        <v>0</v>
      </c>
      <c r="AJ1497" s="307"/>
      <c r="AK1497" s="622">
        <f t="shared" si="1919"/>
        <v>0</v>
      </c>
      <c r="AL1497" s="633">
        <f>AK1497*(1+VLOOKUP($F1497,'GL Category'!$A:$H,8,FALSE))</f>
        <v>0</v>
      </c>
      <c r="AM1497" s="307"/>
      <c r="AN1497" s="622">
        <f t="shared" si="1920"/>
        <v>0</v>
      </c>
      <c r="AO1497" s="192"/>
      <c r="AP1497" s="192"/>
      <c r="AQ1497" s="192"/>
    </row>
    <row r="1498" spans="1:43" s="115" customFormat="1" ht="15" customHeight="1">
      <c r="A1498" s="555"/>
      <c r="B1498" s="217"/>
      <c r="C1498" s="217">
        <v>50</v>
      </c>
      <c r="D1498" s="101" t="str">
        <f t="shared" si="1887"/>
        <v/>
      </c>
      <c r="E1498" s="217" t="str">
        <f t="shared" si="1888"/>
        <v/>
      </c>
      <c r="F1498" s="294" t="s">
        <v>208</v>
      </c>
      <c r="G1498" s="295" t="str">
        <f>VLOOKUP(F1498,'GL Category'!A:C,3,FALSE)</f>
        <v>Services &amp; other</v>
      </c>
      <c r="H1498" s="98" t="str">
        <f>VLOOKUP(F1498,'GL Category'!A:C,2,FALSE)</f>
        <v>GENERAL INSURANCE</v>
      </c>
      <c r="I1498" s="99">
        <f>SUMIFS(I$1:I1489,$C$1:$C1489,$C1498,$F$1:$F1489,$F1498)</f>
        <v>0</v>
      </c>
      <c r="J1498" s="99">
        <f>SUMIFS(J$1:J1489,$C$1:$C1489,$C1498,$F$1:$F1489,$F1498)</f>
        <v>0</v>
      </c>
      <c r="K1498" s="99">
        <f>SUMIFS(K$1:K1489,$C$1:$C1489,$C1498,$F$1:$F1489,$F1498)</f>
        <v>0</v>
      </c>
      <c r="L1498" s="99">
        <f>SUMIFS(L$1:L1489,$C$1:$C1489,$C1498,$F$1:$F1489,$F1498)</f>
        <v>0</v>
      </c>
      <c r="M1498" s="99">
        <f>SUMIFS(M$1:M1489,$C$1:$C1489,$C1498,$F$1:$F1489,$F1498)</f>
        <v>0</v>
      </c>
      <c r="N1498" s="99">
        <f>SUMIFS(N$1:N1489,$C$1:$C1489,$C1498,$F$1:$F1489,$F1498)</f>
        <v>0</v>
      </c>
      <c r="O1498" s="99">
        <f>SUMIFS(O$1:O1489,$C$1:$C1489,$C1498,$F$1:$F1489,$F1498)</f>
        <v>0</v>
      </c>
      <c r="P1498" s="99">
        <f t="shared" si="1912"/>
        <v>0</v>
      </c>
      <c r="Q1498" s="99">
        <f>SUMIFS(Q$1:Q1489,$C$1:$C1489,$C1498,$F$1:$F1489,$F1498)</f>
        <v>0</v>
      </c>
      <c r="R1498" s="99">
        <f>SUMIFS(R$1:R1489,$C$1:$C1489,$C1498,$F$1:$F1489,$F1498)</f>
        <v>0</v>
      </c>
      <c r="S1498" s="99">
        <f>SUMIFS(S$1:S1489,$C$1:$C1489,$C1498,$F$1:$F1489,$F1498)</f>
        <v>0</v>
      </c>
      <c r="T1498" s="99">
        <f>SUMIFS(T$1:T1489,$C$1:$C1489,$C1498,$F$1:$F1489,$F1498)</f>
        <v>0</v>
      </c>
      <c r="U1498" s="99">
        <f t="shared" si="1913"/>
        <v>0</v>
      </c>
      <c r="V1498" s="255" t="str">
        <f t="shared" si="1914"/>
        <v>N/A</v>
      </c>
      <c r="W1498" s="102"/>
      <c r="X1498" s="102"/>
      <c r="Y1498" s="102">
        <f t="shared" si="1915"/>
        <v>0</v>
      </c>
      <c r="Z1498" s="309">
        <f>Y1498*(1+VLOOKUP($F1498,'GL Category'!$A:$H,4,FALSE))</f>
        <v>0</v>
      </c>
      <c r="AA1498" s="615"/>
      <c r="AB1498" s="622">
        <f t="shared" si="1916"/>
        <v>0</v>
      </c>
      <c r="AC1498" s="633">
        <f>AB1498*(1+VLOOKUP($F1498,'GL Category'!$A:$H,5,FALSE))</f>
        <v>0</v>
      </c>
      <c r="AD1498" s="307"/>
      <c r="AE1498" s="622">
        <f t="shared" si="1917"/>
        <v>0</v>
      </c>
      <c r="AF1498" s="633">
        <f>AE1498*(1+VLOOKUP($F1498,'GL Category'!$A:$H,6,FALSE))</f>
        <v>0</v>
      </c>
      <c r="AG1498" s="307"/>
      <c r="AH1498" s="622">
        <f t="shared" si="1918"/>
        <v>0</v>
      </c>
      <c r="AI1498" s="633">
        <f>AH1498*(1+VLOOKUP($F1498,'GL Category'!$A:$H,7,FALSE))</f>
        <v>0</v>
      </c>
      <c r="AJ1498" s="307"/>
      <c r="AK1498" s="622">
        <f t="shared" si="1919"/>
        <v>0</v>
      </c>
      <c r="AL1498" s="633">
        <f>AK1498*(1+VLOOKUP($F1498,'GL Category'!$A:$H,8,FALSE))</f>
        <v>0</v>
      </c>
      <c r="AM1498" s="307"/>
      <c r="AN1498" s="622">
        <f t="shared" si="1920"/>
        <v>0</v>
      </c>
      <c r="AO1498" s="192"/>
      <c r="AP1498" s="192"/>
      <c r="AQ1498" s="192"/>
    </row>
    <row r="1499" spans="1:43" ht="15" customHeight="1">
      <c r="A1499" s="555"/>
      <c r="B1499" s="217"/>
      <c r="C1499" s="217">
        <v>50</v>
      </c>
      <c r="D1499" s="101" t="str">
        <f t="shared" si="1887"/>
        <v/>
      </c>
      <c r="E1499" s="217" t="str">
        <f t="shared" si="1888"/>
        <v/>
      </c>
      <c r="F1499" s="294" t="s">
        <v>210</v>
      </c>
      <c r="G1499" s="295" t="str">
        <f>VLOOKUP(F1499,'GL Category'!A:C,3,FALSE)</f>
        <v>Services &amp; other</v>
      </c>
      <c r="H1499" s="98" t="str">
        <f>VLOOKUP(F1499,'GL Category'!A:C,2,FALSE)</f>
        <v>TELEPHONE/COMMUNICATIONS</v>
      </c>
      <c r="I1499" s="99">
        <f>SUMIFS(I$1:I1490,$C$1:$C1490,$C1499,$F$1:$F1490,$F1499)</f>
        <v>0</v>
      </c>
      <c r="J1499" s="99">
        <f>SUMIFS(J$1:J1490,$C$1:$C1490,$C1499,$F$1:$F1490,$F1499)</f>
        <v>0</v>
      </c>
      <c r="K1499" s="99">
        <f>SUMIFS(K$1:K1490,$C$1:$C1490,$C1499,$F$1:$F1490,$F1499)</f>
        <v>0</v>
      </c>
      <c r="L1499" s="99">
        <f>SUMIFS(L$1:L1490,$C$1:$C1490,$C1499,$F$1:$F1490,$F1499)</f>
        <v>0</v>
      </c>
      <c r="M1499" s="99">
        <f>SUMIFS(M$1:M1490,$C$1:$C1490,$C1499,$F$1:$F1490,$F1499)</f>
        <v>0</v>
      </c>
      <c r="N1499" s="99">
        <f>SUMIFS(N$1:N1490,$C$1:$C1490,$C1499,$F$1:$F1490,$F1499)</f>
        <v>0</v>
      </c>
      <c r="O1499" s="99">
        <f>SUMIFS(O$1:O1490,$C$1:$C1490,$C1499,$F$1:$F1490,$F1499)</f>
        <v>0</v>
      </c>
      <c r="P1499" s="99">
        <f t="shared" si="1912"/>
        <v>0</v>
      </c>
      <c r="Q1499" s="99">
        <f>SUMIFS(Q$1:Q1490,$C$1:$C1490,$C1499,$F$1:$F1490,$F1499)</f>
        <v>0</v>
      </c>
      <c r="R1499" s="99">
        <f>SUMIFS(R$1:R1490,$C$1:$C1490,$C1499,$F$1:$F1490,$F1499)</f>
        <v>0</v>
      </c>
      <c r="S1499" s="99">
        <f>SUMIFS(S$1:S1490,$C$1:$C1490,$C1499,$F$1:$F1490,$F1499)</f>
        <v>0</v>
      </c>
      <c r="T1499" s="99">
        <f>SUMIFS(T$1:T1490,$C$1:$C1490,$C1499,$F$1:$F1490,$F1499)</f>
        <v>0</v>
      </c>
      <c r="U1499" s="99">
        <f t="shared" si="1913"/>
        <v>0</v>
      </c>
      <c r="V1499" s="255" t="str">
        <f t="shared" si="1914"/>
        <v>N/A</v>
      </c>
      <c r="W1499" s="102"/>
      <c r="X1499" s="102"/>
      <c r="Y1499" s="102">
        <f t="shared" si="1915"/>
        <v>0</v>
      </c>
      <c r="Z1499" s="309">
        <f>Y1499*(1+VLOOKUP($F1499,'GL Category'!$A:$H,4,FALSE))</f>
        <v>0</v>
      </c>
      <c r="AA1499" s="615"/>
      <c r="AB1499" s="622">
        <f t="shared" si="1916"/>
        <v>0</v>
      </c>
      <c r="AC1499" s="633">
        <f>AB1499*(1+VLOOKUP($F1499,'GL Category'!$A:$H,5,FALSE))</f>
        <v>0</v>
      </c>
      <c r="AE1499" s="622">
        <f t="shared" si="1917"/>
        <v>0</v>
      </c>
      <c r="AF1499" s="633">
        <f>AE1499*(1+VLOOKUP($F1499,'GL Category'!$A:$H,6,FALSE))</f>
        <v>0</v>
      </c>
      <c r="AH1499" s="622">
        <f t="shared" si="1918"/>
        <v>0</v>
      </c>
      <c r="AI1499" s="633">
        <f>AH1499*(1+VLOOKUP($F1499,'GL Category'!$A:$H,7,FALSE))</f>
        <v>0</v>
      </c>
      <c r="AK1499" s="622">
        <f t="shared" si="1919"/>
        <v>0</v>
      </c>
      <c r="AL1499" s="633">
        <f>AK1499*(1+VLOOKUP($F1499,'GL Category'!$A:$H,8,FALSE))</f>
        <v>0</v>
      </c>
      <c r="AN1499" s="622">
        <f t="shared" si="1920"/>
        <v>0</v>
      </c>
    </row>
    <row r="1500" spans="1:43" ht="15" customHeight="1">
      <c r="A1500" s="555"/>
      <c r="B1500" s="217"/>
      <c r="C1500" s="217">
        <v>50</v>
      </c>
      <c r="D1500" s="101" t="str">
        <f t="shared" si="1887"/>
        <v/>
      </c>
      <c r="E1500" s="217" t="str">
        <f t="shared" si="1888"/>
        <v/>
      </c>
      <c r="F1500" s="294" t="s">
        <v>214</v>
      </c>
      <c r="G1500" s="295" t="str">
        <f>VLOOKUP(F1500,'GL Category'!A:C,3,FALSE)</f>
        <v>Services &amp; other</v>
      </c>
      <c r="H1500" s="98" t="str">
        <f>VLOOKUP(F1500,'GL Category'!A:C,2,FALSE)</f>
        <v>ELECTRICAL UTILITY SERVICE</v>
      </c>
      <c r="I1500" s="99">
        <f>SUMIFS(I$1:I1491,$C$1:$C1491,$C1500,$F$1:$F1491,$F1500)</f>
        <v>433210.03</v>
      </c>
      <c r="J1500" s="99">
        <f>SUMIFS(J$1:J1491,$C$1:$C1491,$C1500,$F$1:$F1491,$F1500)</f>
        <v>457944.75</v>
      </c>
      <c r="K1500" s="99">
        <f>SUMIFS(K$1:K1491,$C$1:$C1491,$C1500,$F$1:$F1491,$F1500)</f>
        <v>471501.6</v>
      </c>
      <c r="L1500" s="99">
        <f>SUMIFS(L$1:L1491,$C$1:$C1491,$C1500,$F$1:$F1491,$F1500)</f>
        <v>438841.38</v>
      </c>
      <c r="M1500" s="99">
        <f>SUMIFS(M$1:M1491,$C$1:$C1491,$C1500,$F$1:$F1491,$F1500)</f>
        <v>487660</v>
      </c>
      <c r="N1500" s="99">
        <f>SUMIFS(N$1:N1491,$C$1:$C1491,$C1500,$F$1:$F1491,$F1500)</f>
        <v>243570.3</v>
      </c>
      <c r="O1500" s="99">
        <f>SUMIFS(O$1:O1491,$C$1:$C1491,$C1500,$F$1:$F1491,$F1500)</f>
        <v>487660</v>
      </c>
      <c r="P1500" s="99">
        <f t="shared" si="1912"/>
        <v>0</v>
      </c>
      <c r="Q1500" s="99">
        <f>SUMIFS(Q$1:Q1491,$C$1:$C1491,$C1500,$F$1:$F1491,$F1500)</f>
        <v>487660</v>
      </c>
      <c r="R1500" s="99">
        <f>SUMIFS(R$1:R1491,$C$1:$C1491,$C1500,$F$1:$F1491,$F1500)</f>
        <v>0</v>
      </c>
      <c r="S1500" s="99">
        <f>SUMIFS(S$1:S1491,$C$1:$C1491,$C1500,$F$1:$F1491,$F1500)</f>
        <v>0</v>
      </c>
      <c r="T1500" s="99">
        <f>SUMIFS(T$1:T1491,$C$1:$C1491,$C1500,$F$1:$F1491,$F1500)</f>
        <v>487660</v>
      </c>
      <c r="U1500" s="99">
        <f t="shared" si="1913"/>
        <v>0</v>
      </c>
      <c r="V1500" s="255">
        <f t="shared" si="1914"/>
        <v>0</v>
      </c>
      <c r="W1500" s="102"/>
      <c r="X1500" s="102"/>
      <c r="Y1500" s="102">
        <f t="shared" si="1915"/>
        <v>487660</v>
      </c>
      <c r="Z1500" s="309">
        <f>Y1500*(1+VLOOKUP($F1500,'GL Category'!$A:$H,4,FALSE))</f>
        <v>502289.8</v>
      </c>
      <c r="AA1500" s="615"/>
      <c r="AB1500" s="622">
        <f t="shared" si="1916"/>
        <v>502289.8</v>
      </c>
      <c r="AC1500" s="633">
        <f>AB1500*(1+VLOOKUP($F1500,'GL Category'!$A:$H,5,FALSE))</f>
        <v>517358.49400000001</v>
      </c>
      <c r="AE1500" s="622">
        <f t="shared" si="1917"/>
        <v>517358.49400000001</v>
      </c>
      <c r="AF1500" s="633">
        <f>AE1500*(1+VLOOKUP($F1500,'GL Category'!$A:$H,6,FALSE))</f>
        <v>532879.24881999998</v>
      </c>
      <c r="AH1500" s="622">
        <f t="shared" si="1918"/>
        <v>532879.24881999998</v>
      </c>
      <c r="AI1500" s="633">
        <f>AH1500*(1+VLOOKUP($F1500,'GL Category'!$A:$H,7,FALSE))</f>
        <v>548865.6262846</v>
      </c>
      <c r="AK1500" s="622">
        <f t="shared" si="1919"/>
        <v>548865.6262846</v>
      </c>
      <c r="AL1500" s="633">
        <f>AK1500*(1+VLOOKUP($F1500,'GL Category'!$A:$H,8,FALSE))</f>
        <v>565331.59507313801</v>
      </c>
      <c r="AN1500" s="622">
        <f t="shared" si="1920"/>
        <v>565331.59507313801</v>
      </c>
    </row>
    <row r="1501" spans="1:43" s="115" customFormat="1" ht="15" customHeight="1">
      <c r="A1501" s="555"/>
      <c r="B1501" s="217"/>
      <c r="C1501" s="217">
        <v>50</v>
      </c>
      <c r="D1501" s="101" t="str">
        <f t="shared" si="1887"/>
        <v/>
      </c>
      <c r="E1501" s="217" t="str">
        <f t="shared" si="1888"/>
        <v/>
      </c>
      <c r="F1501" s="294" t="s">
        <v>216</v>
      </c>
      <c r="G1501" s="295" t="str">
        <f>VLOOKUP(F1501,'GL Category'!A:C,3,FALSE)</f>
        <v>Services &amp; other</v>
      </c>
      <c r="H1501" s="98" t="str">
        <f>VLOOKUP(F1501,'GL Category'!A:C,2,FALSE)</f>
        <v>WATER/SEWER UTILITY SERVICE</v>
      </c>
      <c r="I1501" s="99">
        <f>SUMIFS(I$1:I1493,$C$1:$C1493,$C1501,$F$1:$F1493,$F1501)</f>
        <v>7531.64</v>
      </c>
      <c r="J1501" s="99">
        <f>SUMIFS(J$1:J1493,$C$1:$C1493,$C1501,$F$1:$F1493,$F1501)</f>
        <v>9008.5300000000007</v>
      </c>
      <c r="K1501" s="99">
        <f>SUMIFS(K$1:K1493,$C$1:$C1493,$C1501,$F$1:$F1493,$F1501)</f>
        <v>7819.24</v>
      </c>
      <c r="L1501" s="99">
        <f>SUMIFS(L$1:L1493,$C$1:$C1493,$C1501,$F$1:$F1493,$F1501)</f>
        <v>7297.38</v>
      </c>
      <c r="M1501" s="99">
        <f>SUMIFS(M$1:M1493,$C$1:$C1493,$C1501,$F$1:$F1493,$F1501)</f>
        <v>8750</v>
      </c>
      <c r="N1501" s="99">
        <f>SUMIFS(N$1:N1493,$C$1:$C1493,$C1501,$F$1:$F1493,$F1501)</f>
        <v>8582.0499999999993</v>
      </c>
      <c r="O1501" s="99">
        <f>SUMIFS(O$1:O1493,$C$1:$C1493,$C1501,$F$1:$F1493,$F1501)</f>
        <v>9000</v>
      </c>
      <c r="P1501" s="99">
        <f t="shared" si="1912"/>
        <v>250</v>
      </c>
      <c r="Q1501" s="99">
        <f>SUMIFS(Q$1:Q1493,$C$1:$C1493,$C1501,$F$1:$F1493,$F1501)</f>
        <v>8750</v>
      </c>
      <c r="R1501" s="99">
        <f>SUMIFS(R$1:R1493,$C$1:$C1493,$C1501,$F$1:$F1493,$F1501)</f>
        <v>0</v>
      </c>
      <c r="S1501" s="99">
        <f>SUMIFS(S$1:S1493,$C$1:$C1493,$C1501,$F$1:$F1493,$F1501)</f>
        <v>0</v>
      </c>
      <c r="T1501" s="99">
        <f>SUMIFS(T$1:T1493,$C$1:$C1493,$C1501,$F$1:$F1493,$F1501)</f>
        <v>8750</v>
      </c>
      <c r="U1501" s="99">
        <f t="shared" si="1913"/>
        <v>0</v>
      </c>
      <c r="V1501" s="255">
        <f t="shared" si="1914"/>
        <v>0</v>
      </c>
      <c r="W1501" s="102"/>
      <c r="X1501" s="102"/>
      <c r="Y1501" s="102">
        <f t="shared" si="1915"/>
        <v>8750</v>
      </c>
      <c r="Z1501" s="309">
        <f>Y1501*(1+VLOOKUP($F1501,'GL Category'!$A:$H,4,FALSE))</f>
        <v>9012.5</v>
      </c>
      <c r="AA1501" s="615"/>
      <c r="AB1501" s="622">
        <f t="shared" si="1916"/>
        <v>9012.5</v>
      </c>
      <c r="AC1501" s="633">
        <f>AB1501*(1+VLOOKUP($F1501,'GL Category'!$A:$H,5,FALSE))</f>
        <v>9282.875</v>
      </c>
      <c r="AD1501" s="307"/>
      <c r="AE1501" s="622">
        <f t="shared" si="1917"/>
        <v>9282.875</v>
      </c>
      <c r="AF1501" s="633">
        <f>AE1501*(1+VLOOKUP($F1501,'GL Category'!$A:$H,6,FALSE))</f>
        <v>9561.3612499999999</v>
      </c>
      <c r="AG1501" s="307"/>
      <c r="AH1501" s="622">
        <f t="shared" si="1918"/>
        <v>9561.3612499999999</v>
      </c>
      <c r="AI1501" s="633">
        <f>AH1501*(1+VLOOKUP($F1501,'GL Category'!$A:$H,7,FALSE))</f>
        <v>9848.2020874999998</v>
      </c>
      <c r="AJ1501" s="307"/>
      <c r="AK1501" s="622">
        <f t="shared" si="1919"/>
        <v>9848.2020874999998</v>
      </c>
      <c r="AL1501" s="633">
        <f>AK1501*(1+VLOOKUP($F1501,'GL Category'!$A:$H,8,FALSE))</f>
        <v>10143.648150125</v>
      </c>
      <c r="AM1501" s="307"/>
      <c r="AN1501" s="622">
        <f t="shared" si="1920"/>
        <v>10143.648150125</v>
      </c>
      <c r="AO1501" s="192"/>
      <c r="AP1501" s="192"/>
      <c r="AQ1501" s="192"/>
    </row>
    <row r="1502" spans="1:43" s="115" customFormat="1" ht="15" customHeight="1">
      <c r="A1502" s="555"/>
      <c r="B1502" s="217"/>
      <c r="C1502" s="217">
        <v>50</v>
      </c>
      <c r="D1502" s="101" t="str">
        <f t="shared" si="1887"/>
        <v/>
      </c>
      <c r="E1502" s="217" t="str">
        <f t="shared" si="1888"/>
        <v/>
      </c>
      <c r="F1502" s="294" t="s">
        <v>237</v>
      </c>
      <c r="G1502" s="295" t="str">
        <f>VLOOKUP(F1502,'GL Category'!A:C,3,FALSE)</f>
        <v>Services &amp; other</v>
      </c>
      <c r="H1502" s="98" t="str">
        <f>VLOOKUP(F1502,'GL Category'!A:C,2,FALSE)</f>
        <v>MISCELLANEOUS SERVICES</v>
      </c>
      <c r="I1502" s="99">
        <f>SUMIFS(I$1:I1496,$C$1:$C1496,$C1502,$F$1:$F1496,$F1502)</f>
        <v>56700</v>
      </c>
      <c r="J1502" s="99">
        <f>SUMIFS(J$1:J1496,$C$1:$C1496,$C1502,$F$1:$F1496,$F1502)</f>
        <v>53768.84</v>
      </c>
      <c r="K1502" s="99">
        <f>SUMIFS(K$1:K1496,$C$1:$C1496,$C1502,$F$1:$F1496,$F1502)</f>
        <v>28803.29</v>
      </c>
      <c r="L1502" s="99">
        <f>SUMIFS(L$1:L1496,$C$1:$C1496,$C1502,$F$1:$F1496,$F1502)</f>
        <v>7946.47</v>
      </c>
      <c r="M1502" s="99">
        <f>SUMIFS(M$1:M1496,$C$1:$C1496,$C1502,$F$1:$F1496,$F1502)</f>
        <v>2500</v>
      </c>
      <c r="N1502" s="99">
        <f>SUMIFS(N$1:N1496,$C$1:$C1496,$C1502,$F$1:$F1496,$F1502)</f>
        <v>0</v>
      </c>
      <c r="O1502" s="99">
        <f>SUMIFS(O$1:O1496,$C$1:$C1496,$C1502,$F$1:$F1496,$F1502)</f>
        <v>2500</v>
      </c>
      <c r="P1502" s="99">
        <f t="shared" ref="P1502" si="1926">O1502-M1502</f>
        <v>0</v>
      </c>
      <c r="Q1502" s="99">
        <f>SUMIFS(Q$1:Q1496,$C$1:$C1496,$C1502,$F$1:$F1496,$F1502)</f>
        <v>2500</v>
      </c>
      <c r="R1502" s="99">
        <f>SUMIFS(R$1:R1496,$C$1:$C1496,$C1502,$F$1:$F1496,$F1502)</f>
        <v>0</v>
      </c>
      <c r="S1502" s="99">
        <f>SUMIFS(S$1:S1496,$C$1:$C1496,$C1502,$F$1:$F1496,$F1502)</f>
        <v>0</v>
      </c>
      <c r="T1502" s="99">
        <f>SUMIFS(T$1:T1496,$C$1:$C1496,$C1502,$F$1:$F1496,$F1502)</f>
        <v>2500</v>
      </c>
      <c r="U1502" s="99">
        <f t="shared" si="1913"/>
        <v>0</v>
      </c>
      <c r="V1502" s="255">
        <f t="shared" si="1914"/>
        <v>0</v>
      </c>
      <c r="W1502" s="102"/>
      <c r="X1502" s="102"/>
      <c r="Y1502" s="102">
        <f t="shared" si="1915"/>
        <v>2500</v>
      </c>
      <c r="Z1502" s="309">
        <f>Y1502*(1+VLOOKUP($F1502,'GL Category'!$A:$H,4,FALSE))</f>
        <v>2575</v>
      </c>
      <c r="AA1502" s="615"/>
      <c r="AB1502" s="622">
        <f t="shared" si="1916"/>
        <v>2575</v>
      </c>
      <c r="AC1502" s="633">
        <f>AB1502*(1+VLOOKUP($F1502,'GL Category'!$A:$H,5,FALSE))</f>
        <v>2652.25</v>
      </c>
      <c r="AD1502" s="615"/>
      <c r="AE1502" s="622">
        <f t="shared" si="1917"/>
        <v>2652.25</v>
      </c>
      <c r="AF1502" s="633">
        <f>AE1502*(1+VLOOKUP($F1502,'GL Category'!$A:$H,6,FALSE))</f>
        <v>2731.8175000000001</v>
      </c>
      <c r="AG1502" s="615"/>
      <c r="AH1502" s="622">
        <f t="shared" si="1918"/>
        <v>2731.8175000000001</v>
      </c>
      <c r="AI1502" s="633">
        <f>AH1502*(1+VLOOKUP($F1502,'GL Category'!$A:$H,7,FALSE))</f>
        <v>2813.7720250000002</v>
      </c>
      <c r="AJ1502" s="615"/>
      <c r="AK1502" s="622">
        <f t="shared" si="1919"/>
        <v>2813.7720250000002</v>
      </c>
      <c r="AL1502" s="633">
        <f>AK1502*(1+VLOOKUP($F1502,'GL Category'!$A:$H,8,FALSE))</f>
        <v>2898.1851857500001</v>
      </c>
      <c r="AM1502" s="615"/>
      <c r="AN1502" s="622">
        <f t="shared" si="1920"/>
        <v>2898.1851857500001</v>
      </c>
      <c r="AO1502" s="192"/>
      <c r="AP1502" s="192"/>
      <c r="AQ1502" s="192"/>
    </row>
    <row r="1503" spans="1:43" s="115" customFormat="1" ht="15" customHeight="1">
      <c r="A1503" s="555"/>
      <c r="B1503" s="217"/>
      <c r="C1503" s="217">
        <v>50</v>
      </c>
      <c r="D1503" s="101" t="str">
        <f t="shared" si="1887"/>
        <v/>
      </c>
      <c r="E1503" s="217" t="str">
        <f t="shared" si="1888"/>
        <v/>
      </c>
      <c r="F1503" s="556" t="s">
        <v>3124</v>
      </c>
      <c r="G1503" s="295" t="str">
        <f>VLOOKUP(F1503,'GL Category'!A:C,3,FALSE)</f>
        <v>Services &amp; other</v>
      </c>
      <c r="H1503" s="98" t="str">
        <f>VLOOKUP(F1503,'GL Category'!A:C,2,FALSE)</f>
        <v>VEHICLE/EQUIP LEASE EXP-CITY</v>
      </c>
      <c r="I1503" s="99">
        <f>SUMIFS(I$1:I1497,$C$1:$C1497,$C1503,$F$1:$F1497,$F1503)</f>
        <v>284501</v>
      </c>
      <c r="J1503" s="99">
        <f>SUMIFS(J$1:J1497,$C$1:$C1497,$C1503,$F$1:$F1497,$F1503)</f>
        <v>199936</v>
      </c>
      <c r="K1503" s="99">
        <f>SUMIFS(K$1:K1497,$C$1:$C1497,$C1503,$F$1:$F1497,$F1503)</f>
        <v>176560</v>
      </c>
      <c r="L1503" s="99">
        <f>SUMIFS(L$1:L1497,$C$1:$C1497,$C1503,$F$1:$F1497,$F1503)</f>
        <v>135747</v>
      </c>
      <c r="M1503" s="99">
        <f>SUMIFS(M$1:M1497,$C$1:$C1497,$C1503,$F$1:$F1497,$F1503)</f>
        <v>376093</v>
      </c>
      <c r="N1503" s="99">
        <f>SUMIFS(N$1:N1497,$C$1:$C1497,$C1503,$F$1:$F1497,$F1503)</f>
        <v>282069.75</v>
      </c>
      <c r="O1503" s="99">
        <f>SUMIFS(O$1:O1497,$C$1:$C1497,$C1503,$F$1:$F1497,$F1503)</f>
        <v>376093</v>
      </c>
      <c r="P1503" s="99">
        <f>O1503-M1503</f>
        <v>0</v>
      </c>
      <c r="Q1503" s="99">
        <f>SUMIFS(Q$1:Q1497,$C$1:$C1497,$C1503,$F$1:$F1497,$F1503)</f>
        <v>141942</v>
      </c>
      <c r="R1503" s="99">
        <f>SUMIFS(R$1:R1497,$C$1:$C1497,$C1503,$F$1:$F1497,$F1503)</f>
        <v>0</v>
      </c>
      <c r="S1503" s="99">
        <f>SUMIFS(S$1:S1497,$C$1:$C1497,$C1503,$F$1:$F1497,$F1503)</f>
        <v>75000</v>
      </c>
      <c r="T1503" s="99">
        <f>SUMIFS(T$1:T1497,$C$1:$C1497,$C1503,$F$1:$F1497,$F1503)</f>
        <v>216942</v>
      </c>
      <c r="U1503" s="99">
        <f t="shared" si="1913"/>
        <v>-159151</v>
      </c>
      <c r="V1503" s="255">
        <f t="shared" si="1914"/>
        <v>-0.4231692693030713</v>
      </c>
      <c r="W1503" s="102"/>
      <c r="X1503" s="102">
        <f>75000*0.9</f>
        <v>67500</v>
      </c>
      <c r="Y1503" s="102">
        <f t="shared" si="1915"/>
        <v>149442</v>
      </c>
      <c r="Z1503" s="309">
        <f>Y1503*(1+VLOOKUP($F1503,'GL Category'!$A:$H,4,FALSE))</f>
        <v>153925.26</v>
      </c>
      <c r="AA1503" s="615"/>
      <c r="AB1503" s="622">
        <f t="shared" si="1916"/>
        <v>153925.26</v>
      </c>
      <c r="AC1503" s="633">
        <f>AB1503*(1+VLOOKUP($F1503,'GL Category'!$A:$H,5,FALSE))</f>
        <v>158543.0178</v>
      </c>
      <c r="AD1503" s="307"/>
      <c r="AE1503" s="622">
        <f t="shared" si="1917"/>
        <v>158543.0178</v>
      </c>
      <c r="AF1503" s="633">
        <f>AE1503*(1+VLOOKUP($F1503,'GL Category'!$A:$H,6,FALSE))</f>
        <v>163299.308334</v>
      </c>
      <c r="AG1503" s="307"/>
      <c r="AH1503" s="622">
        <f t="shared" si="1918"/>
        <v>163299.308334</v>
      </c>
      <c r="AI1503" s="633">
        <f>AH1503*(1+VLOOKUP($F1503,'GL Category'!$A:$H,7,FALSE))</f>
        <v>168198.28758402</v>
      </c>
      <c r="AJ1503" s="307"/>
      <c r="AK1503" s="622">
        <f t="shared" si="1919"/>
        <v>168198.28758402</v>
      </c>
      <c r="AL1503" s="633">
        <f>AK1503*(1+VLOOKUP($F1503,'GL Category'!$A:$H,8,FALSE))</f>
        <v>173244.23621154061</v>
      </c>
      <c r="AM1503" s="307"/>
      <c r="AN1503" s="622">
        <f t="shared" si="1920"/>
        <v>173244.23621154061</v>
      </c>
      <c r="AO1503" s="192"/>
      <c r="AP1503" s="192"/>
      <c r="AQ1503" s="192"/>
    </row>
    <row r="1504" spans="1:43" s="115" customFormat="1" ht="15" customHeight="1">
      <c r="A1504" s="555"/>
      <c r="B1504" s="217"/>
      <c r="C1504" s="217">
        <v>50</v>
      </c>
      <c r="D1504" s="101" t="str">
        <f t="shared" si="1887"/>
        <v/>
      </c>
      <c r="E1504" s="217" t="str">
        <f t="shared" si="1888"/>
        <v/>
      </c>
      <c r="F1504" s="556" t="s">
        <v>3122</v>
      </c>
      <c r="G1504" s="295" t="str">
        <f>VLOOKUP(F1504,'GL Category'!A:C,3,FALSE)</f>
        <v>Services &amp; other</v>
      </c>
      <c r="H1504" s="98" t="str">
        <f>VLOOKUP(F1504,'GL Category'!A:C,2,FALSE)</f>
        <v>OFFICE EQUIP LEASE EXP-CITY</v>
      </c>
      <c r="I1504" s="99">
        <f>SUMIFS(I$1:I1498,$C$1:$C1498,$C1504,$F$1:$F1498,$F1504)</f>
        <v>110531</v>
      </c>
      <c r="J1504" s="99">
        <f>SUMIFS(J$1:J1498,$C$1:$C1498,$C1504,$F$1:$F1498,$F1504)</f>
        <v>123900</v>
      </c>
      <c r="K1504" s="99">
        <f>SUMIFS(K$1:K1498,$C$1:$C1498,$C1504,$F$1:$F1498,$F1504)</f>
        <v>117983</v>
      </c>
      <c r="L1504" s="99">
        <f>SUMIFS(L$1:L1498,$C$1:$C1498,$C1504,$F$1:$F1498,$F1504)</f>
        <v>222872</v>
      </c>
      <c r="M1504" s="99">
        <f>SUMIFS(M$1:M1498,$C$1:$C1498,$C1504,$F$1:$F1498,$F1504)</f>
        <v>125220</v>
      </c>
      <c r="N1504" s="99">
        <f>SUMIFS(N$1:N1498,$C$1:$C1498,$C1504,$F$1:$F1498,$F1504)</f>
        <v>93915</v>
      </c>
      <c r="O1504" s="99">
        <f>SUMIFS(O$1:O1498,$C$1:$C1498,$C1504,$F$1:$F1498,$F1504)</f>
        <v>125220</v>
      </c>
      <c r="P1504" s="99">
        <f t="shared" si="1912"/>
        <v>0</v>
      </c>
      <c r="Q1504" s="99">
        <f>SUMIFS(Q$1:Q1498,$C$1:$C1498,$C1504,$F$1:$F1498,$F1504)</f>
        <v>138809</v>
      </c>
      <c r="R1504" s="99">
        <f>SUMIFS(R$1:R1498,$C$1:$C1498,$C1504,$F$1:$F1498,$F1504)</f>
        <v>0</v>
      </c>
      <c r="S1504" s="99">
        <f>SUMIFS(S$1:S1498,$C$1:$C1498,$C1504,$F$1:$F1498,$F1504)</f>
        <v>450000</v>
      </c>
      <c r="T1504" s="99">
        <f>SUMIFS(T$1:T1498,$C$1:$C1498,$C1504,$F$1:$F1498,$F1504)</f>
        <v>588809</v>
      </c>
      <c r="U1504" s="99">
        <f t="shared" si="1913"/>
        <v>463589</v>
      </c>
      <c r="V1504" s="255">
        <f t="shared" si="1914"/>
        <v>3.7021961348027475</v>
      </c>
      <c r="W1504" s="102"/>
      <c r="X1504" s="102">
        <f>450000*0.85</f>
        <v>382500</v>
      </c>
      <c r="Y1504" s="102">
        <f t="shared" si="1915"/>
        <v>206309</v>
      </c>
      <c r="Z1504" s="309">
        <f>Y1504*(1+VLOOKUP($F1504,'GL Category'!$A:$H,4,FALSE))</f>
        <v>212498.27000000002</v>
      </c>
      <c r="AA1504" s="615"/>
      <c r="AB1504" s="622">
        <f t="shared" si="1916"/>
        <v>212498.27000000002</v>
      </c>
      <c r="AC1504" s="633">
        <f>AB1504*(1+VLOOKUP($F1504,'GL Category'!$A:$H,5,FALSE))</f>
        <v>218873.21810000003</v>
      </c>
      <c r="AD1504" s="307"/>
      <c r="AE1504" s="622">
        <f t="shared" si="1917"/>
        <v>218873.21810000003</v>
      </c>
      <c r="AF1504" s="633">
        <f>AE1504*(1+VLOOKUP($F1504,'GL Category'!$A:$H,6,FALSE))</f>
        <v>225439.41464300003</v>
      </c>
      <c r="AG1504" s="307"/>
      <c r="AH1504" s="622">
        <f t="shared" si="1918"/>
        <v>225439.41464300003</v>
      </c>
      <c r="AI1504" s="633">
        <f>AH1504*(1+VLOOKUP($F1504,'GL Category'!$A:$H,7,FALSE))</f>
        <v>232202.59708229004</v>
      </c>
      <c r="AJ1504" s="307"/>
      <c r="AK1504" s="622">
        <f t="shared" si="1919"/>
        <v>232202.59708229004</v>
      </c>
      <c r="AL1504" s="633">
        <f>AK1504*(1+VLOOKUP($F1504,'GL Category'!$A:$H,8,FALSE))</f>
        <v>239168.67499475874</v>
      </c>
      <c r="AM1504" s="307"/>
      <c r="AN1504" s="622">
        <f t="shared" si="1920"/>
        <v>239168.67499475874</v>
      </c>
      <c r="AO1504" s="192"/>
      <c r="AP1504" s="192"/>
      <c r="AQ1504" s="192"/>
    </row>
    <row r="1505" spans="1:43" s="115" customFormat="1" ht="15" customHeight="1">
      <c r="A1505" s="555"/>
      <c r="B1505" s="217"/>
      <c r="C1505" s="217"/>
      <c r="D1505" s="101"/>
      <c r="E1505" s="217"/>
      <c r="F1505" s="294"/>
      <c r="G1505" s="295"/>
      <c r="H1505" s="107" t="str">
        <f>UPPER(G1504)&amp;" TOTAL"</f>
        <v>SERVICES &amp; OTHER TOTAL</v>
      </c>
      <c r="I1505" s="109">
        <f t="shared" ref="I1505:T1505" si="1927">SUBTOTAL(9,I1489:I1504)</f>
        <v>1107602.1099999999</v>
      </c>
      <c r="J1505" s="109">
        <f t="shared" si="1927"/>
        <v>1091227.92</v>
      </c>
      <c r="K1505" s="109">
        <f t="shared" si="1927"/>
        <v>1084873.32</v>
      </c>
      <c r="L1505" s="109">
        <f t="shared" si="1927"/>
        <v>1349151.71</v>
      </c>
      <c r="M1505" s="109">
        <f t="shared" si="1927"/>
        <v>1415473</v>
      </c>
      <c r="N1505" s="109">
        <f t="shared" si="1927"/>
        <v>854154.21</v>
      </c>
      <c r="O1505" s="109">
        <f t="shared" si="1927"/>
        <v>1459023</v>
      </c>
      <c r="P1505" s="109">
        <f t="shared" si="1927"/>
        <v>43550</v>
      </c>
      <c r="Q1505" s="109">
        <f t="shared" si="1927"/>
        <v>996861</v>
      </c>
      <c r="R1505" s="109">
        <f t="shared" si="1927"/>
        <v>244000</v>
      </c>
      <c r="S1505" s="109">
        <f t="shared" si="1927"/>
        <v>525000</v>
      </c>
      <c r="T1505" s="109">
        <f t="shared" si="1927"/>
        <v>1765861</v>
      </c>
      <c r="U1505" s="99">
        <f t="shared" si="1913"/>
        <v>350388</v>
      </c>
      <c r="V1505" s="255">
        <f t="shared" si="1914"/>
        <v>0.24754128125368702</v>
      </c>
      <c r="W1505" s="102"/>
      <c r="X1505" s="102"/>
      <c r="Y1505" s="102"/>
      <c r="Z1505" s="192"/>
      <c r="AA1505" s="615"/>
      <c r="AB1505" s="307"/>
      <c r="AC1505" s="300"/>
      <c r="AD1505" s="300"/>
      <c r="AE1505" s="300"/>
      <c r="AF1505" s="300"/>
      <c r="AG1505" s="300"/>
      <c r="AH1505" s="307"/>
      <c r="AI1505" s="307"/>
      <c r="AJ1505" s="300"/>
      <c r="AK1505" s="300"/>
      <c r="AL1505" s="300"/>
      <c r="AM1505" s="300"/>
      <c r="AN1505" s="300"/>
      <c r="AO1505" s="192"/>
      <c r="AP1505" s="192"/>
      <c r="AQ1505" s="192"/>
    </row>
    <row r="1506" spans="1:43" s="115" customFormat="1" ht="15" customHeight="1">
      <c r="A1506" s="555"/>
      <c r="B1506" s="217"/>
      <c r="C1506" s="217"/>
      <c r="D1506" s="101"/>
      <c r="E1506" s="217"/>
      <c r="F1506" s="294"/>
      <c r="G1506" s="295"/>
      <c r="H1506" s="98"/>
      <c r="I1506" s="106"/>
      <c r="J1506" s="106"/>
      <c r="K1506" s="106"/>
      <c r="L1506" s="106"/>
      <c r="M1506" s="106"/>
      <c r="N1506" s="112"/>
      <c r="O1506" s="112"/>
      <c r="P1506" s="112"/>
      <c r="Q1506" s="113"/>
      <c r="R1506" s="113"/>
      <c r="S1506" s="113"/>
      <c r="T1506" s="113"/>
      <c r="U1506" s="99"/>
      <c r="V1506" s="255"/>
      <c r="W1506" s="102"/>
      <c r="X1506" s="102"/>
      <c r="Y1506" s="102"/>
      <c r="Z1506" s="192"/>
      <c r="AA1506" s="615"/>
      <c r="AB1506" s="307"/>
      <c r="AC1506" s="300"/>
      <c r="AD1506" s="300"/>
      <c r="AE1506" s="300"/>
      <c r="AF1506" s="300"/>
      <c r="AG1506" s="300"/>
      <c r="AH1506" s="307"/>
      <c r="AI1506" s="307"/>
      <c r="AJ1506" s="300"/>
      <c r="AK1506" s="300"/>
      <c r="AL1506" s="300"/>
      <c r="AM1506" s="300"/>
      <c r="AN1506" s="300"/>
      <c r="AO1506" s="192"/>
      <c r="AP1506" s="192"/>
      <c r="AQ1506" s="192"/>
    </row>
    <row r="1507" spans="1:43" s="115" customFormat="1" ht="26.4">
      <c r="A1507" s="555"/>
      <c r="B1507" s="217"/>
      <c r="C1507" s="217">
        <v>50</v>
      </c>
      <c r="D1507" s="101" t="str">
        <f t="shared" si="1887"/>
        <v/>
      </c>
      <c r="E1507" s="217" t="str">
        <f t="shared" si="1888"/>
        <v/>
      </c>
      <c r="F1507" s="294" t="s">
        <v>298</v>
      </c>
      <c r="G1507" s="295" t="str">
        <f>VLOOKUP(F1507,'GL Category'!A:C,3,FALSE)</f>
        <v>Capital Outlay</v>
      </c>
      <c r="H1507" s="98" t="str">
        <f>VLOOKUP(F1507,'GL Category'!A:C,2,FALSE)</f>
        <v>STREET/ROAD/BRIDGE IMPROVEMENT</v>
      </c>
      <c r="I1507" s="99">
        <f>SUMIFS(I$1:I1501,$C$1:$C1501,$C1507,$F$1:$F1501,$F1507)</f>
        <v>24845</v>
      </c>
      <c r="J1507" s="99">
        <f>SUMIFS(J$1:J1501,$C$1:$C1501,$C1507,$F$1:$F1501,$F1507)</f>
        <v>0</v>
      </c>
      <c r="K1507" s="99">
        <f>SUMIFS(K$1:K1501,$C$1:$C1501,$C1507,$F$1:$F1501,$F1507)</f>
        <v>0</v>
      </c>
      <c r="L1507" s="99">
        <f>SUMIFS(L$1:L1501,$C$1:$C1501,$C1507,$F$1:$F1501,$F1507)</f>
        <v>0</v>
      </c>
      <c r="M1507" s="99">
        <f>SUMIFS(M$1:M1501,$C$1:$C1501,$C1507,$F$1:$F1501,$F1507)</f>
        <v>0</v>
      </c>
      <c r="N1507" s="99">
        <f>SUMIFS(N$1:N1501,$C$1:$C1501,$C1507,$F$1:$F1501,$F1507)</f>
        <v>0</v>
      </c>
      <c r="O1507" s="99">
        <f>SUMIFS(O$1:O1501,$C$1:$C1501,$C1507,$F$1:$F1501,$F1507)</f>
        <v>0</v>
      </c>
      <c r="P1507" s="99">
        <f>O1507-M1507</f>
        <v>0</v>
      </c>
      <c r="Q1507" s="99">
        <f>SUMIFS(Q$1:Q1501,$C$1:$C1501,$C1507,$F$1:$F1501,$F1507)</f>
        <v>0</v>
      </c>
      <c r="R1507" s="99">
        <f>SUMIFS(R$1:R1501,$C$1:$C1501,$C1507,$F$1:$F1501,$F1507)</f>
        <v>0</v>
      </c>
      <c r="S1507" s="99">
        <f>SUMIFS(S$1:S1501,$C$1:$C1501,$C1507,$F$1:$F1501,$F1507)</f>
        <v>0</v>
      </c>
      <c r="T1507" s="99">
        <f>SUMIFS(T$1:T1501,$C$1:$C1501,$C1507,$F$1:$F1501,$F1507)</f>
        <v>0</v>
      </c>
      <c r="U1507" s="99">
        <f t="shared" ref="U1507:U1510" si="1928">T1507-M1507</f>
        <v>0</v>
      </c>
      <c r="V1507" s="255" t="str">
        <f t="shared" ref="V1507:V1510" si="1929">IF(M1507=0,"N/A",T1507/M1507-1)</f>
        <v>N/A</v>
      </c>
      <c r="W1507" s="102"/>
      <c r="X1507" s="102"/>
      <c r="Y1507" s="102">
        <f t="shared" ref="Y1507:Y1513" si="1930">T1507-X1507</f>
        <v>0</v>
      </c>
      <c r="Z1507" s="309">
        <f>Y1507*(1+VLOOKUP($F1507,'GL Category'!$A:$H,4,FALSE))</f>
        <v>0</v>
      </c>
      <c r="AA1507" s="615"/>
      <c r="AB1507" s="622">
        <f t="shared" ref="AB1507:AB1513" si="1931">Z1507+AA1507</f>
        <v>0</v>
      </c>
      <c r="AC1507" s="633">
        <f>AB1507*(1+VLOOKUP($F1507,'GL Category'!$A:$H,5,FALSE))</f>
        <v>0</v>
      </c>
      <c r="AD1507" s="307"/>
      <c r="AE1507" s="622">
        <f t="shared" ref="AE1507:AE1513" si="1932">AC1507+AD1507</f>
        <v>0</v>
      </c>
      <c r="AF1507" s="633">
        <f>AE1507*(1+VLOOKUP($F1507,'GL Category'!$A:$H,6,FALSE))</f>
        <v>0</v>
      </c>
      <c r="AG1507" s="307"/>
      <c r="AH1507" s="622">
        <f t="shared" ref="AH1507:AH1513" si="1933">AF1507+AG1507</f>
        <v>0</v>
      </c>
      <c r="AI1507" s="633">
        <f>AH1507*(1+VLOOKUP($F1507,'GL Category'!$A:$H,7,FALSE))</f>
        <v>0</v>
      </c>
      <c r="AJ1507" s="307"/>
      <c r="AK1507" s="622">
        <f t="shared" ref="AK1507:AK1513" si="1934">AI1507+AJ1507</f>
        <v>0</v>
      </c>
      <c r="AL1507" s="633">
        <f>AK1507*(1+VLOOKUP($F1507,'GL Category'!$A:$H,8,FALSE))</f>
        <v>0</v>
      </c>
      <c r="AM1507" s="307"/>
      <c r="AN1507" s="622">
        <f t="shared" ref="AN1507:AN1513" si="1935">AL1507+AM1507</f>
        <v>0</v>
      </c>
      <c r="AO1507" s="192"/>
      <c r="AP1507" s="192"/>
      <c r="AQ1507" s="192"/>
    </row>
    <row r="1508" spans="1:43" s="115" customFormat="1" ht="15" customHeight="1">
      <c r="A1508" s="555"/>
      <c r="B1508" s="217"/>
      <c r="C1508" s="217">
        <v>50</v>
      </c>
      <c r="D1508" s="101" t="str">
        <f t="shared" si="1887"/>
        <v/>
      </c>
      <c r="E1508" s="217" t="str">
        <f t="shared" si="1888"/>
        <v/>
      </c>
      <c r="F1508" s="294" t="s">
        <v>267</v>
      </c>
      <c r="G1508" s="295" t="str">
        <f>VLOOKUP(F1508,'GL Category'!A:C,3,FALSE)</f>
        <v>Capital Outlay</v>
      </c>
      <c r="H1508" s="98" t="str">
        <f>VLOOKUP(F1508,'GL Category'!A:C,2,FALSE)</f>
        <v>MACHINERY &amp; EQUIPMENT</v>
      </c>
      <c r="I1508" s="99">
        <f>SUMIFS(I$1:I1501,$C$1:$C1501,$C1508,$F$1:$F1501,$F1508)</f>
        <v>44367</v>
      </c>
      <c r="J1508" s="99">
        <f>SUMIFS(J$1:J1501,$C$1:$C1501,$C1508,$F$1:$F1501,$F1508)</f>
        <v>0</v>
      </c>
      <c r="K1508" s="99">
        <f>SUMIFS(K$1:K1501,$C$1:$C1501,$C1508,$F$1:$F1501,$F1508)</f>
        <v>0</v>
      </c>
      <c r="L1508" s="99">
        <f>SUMIFS(L$1:L1501,$C$1:$C1501,$C1508,$F$1:$F1501,$F1508)</f>
        <v>0</v>
      </c>
      <c r="M1508" s="99">
        <f>SUMIFS(M$1:M1501,$C$1:$C1501,$C1508,$F$1:$F1501,$F1508)</f>
        <v>0</v>
      </c>
      <c r="N1508" s="99">
        <f>SUMIFS(N$1:N1501,$C$1:$C1501,$C1508,$F$1:$F1501,$F1508)</f>
        <v>0</v>
      </c>
      <c r="O1508" s="99">
        <f>SUMIFS(O$1:O1501,$C$1:$C1501,$C1508,$F$1:$F1501,$F1508)</f>
        <v>0</v>
      </c>
      <c r="P1508" s="99">
        <f>O1508-M1508</f>
        <v>0</v>
      </c>
      <c r="Q1508" s="99">
        <f>SUMIFS(Q$1:Q1501,$C$1:$C1501,$C1508,$F$1:$F1501,$F1508)</f>
        <v>0</v>
      </c>
      <c r="R1508" s="99">
        <f>SUMIFS(R$1:R1501,$C$1:$C1501,$C1508,$F$1:$F1501,$F1508)</f>
        <v>0</v>
      </c>
      <c r="S1508" s="99">
        <f>SUMIFS(S$1:S1501,$C$1:$C1501,$C1508,$F$1:$F1501,$F1508)</f>
        <v>0</v>
      </c>
      <c r="T1508" s="99">
        <f>SUMIFS(T$1:T1501,$C$1:$C1501,$C1508,$F$1:$F1501,$F1508)</f>
        <v>0</v>
      </c>
      <c r="U1508" s="99">
        <f t="shared" si="1928"/>
        <v>0</v>
      </c>
      <c r="V1508" s="255" t="str">
        <f t="shared" si="1929"/>
        <v>N/A</v>
      </c>
      <c r="W1508" s="102"/>
      <c r="X1508" s="102"/>
      <c r="Y1508" s="102">
        <f t="shared" si="1930"/>
        <v>0</v>
      </c>
      <c r="Z1508" s="309">
        <f>Y1508*(1+VLOOKUP($F1508,'GL Category'!$A:$H,4,FALSE))</f>
        <v>0</v>
      </c>
      <c r="AA1508" s="615"/>
      <c r="AB1508" s="622">
        <f t="shared" si="1931"/>
        <v>0</v>
      </c>
      <c r="AC1508" s="633">
        <f>AB1508*(1+VLOOKUP($F1508,'GL Category'!$A:$H,5,FALSE))</f>
        <v>0</v>
      </c>
      <c r="AD1508" s="307"/>
      <c r="AE1508" s="622">
        <f t="shared" si="1932"/>
        <v>0</v>
      </c>
      <c r="AF1508" s="633">
        <f>AE1508*(1+VLOOKUP($F1508,'GL Category'!$A:$H,6,FALSE))</f>
        <v>0</v>
      </c>
      <c r="AG1508" s="307"/>
      <c r="AH1508" s="622">
        <f t="shared" si="1933"/>
        <v>0</v>
      </c>
      <c r="AI1508" s="633">
        <f>AH1508*(1+VLOOKUP($F1508,'GL Category'!$A:$H,7,FALSE))</f>
        <v>0</v>
      </c>
      <c r="AJ1508" s="307"/>
      <c r="AK1508" s="622">
        <f t="shared" si="1934"/>
        <v>0</v>
      </c>
      <c r="AL1508" s="633">
        <f>AK1508*(1+VLOOKUP($F1508,'GL Category'!$A:$H,8,FALSE))</f>
        <v>0</v>
      </c>
      <c r="AM1508" s="307"/>
      <c r="AN1508" s="622">
        <f t="shared" si="1935"/>
        <v>0</v>
      </c>
      <c r="AO1508" s="192"/>
      <c r="AP1508" s="192"/>
      <c r="AQ1508" s="192"/>
    </row>
    <row r="1509" spans="1:43" s="115" customFormat="1" ht="15" customHeight="1">
      <c r="A1509" s="555"/>
      <c r="B1509" s="217"/>
      <c r="C1509" s="217">
        <v>50</v>
      </c>
      <c r="D1509" s="101" t="str">
        <f t="shared" si="1887"/>
        <v/>
      </c>
      <c r="E1509" s="217" t="str">
        <f t="shared" si="1888"/>
        <v/>
      </c>
      <c r="F1509" s="294" t="s">
        <v>243</v>
      </c>
      <c r="G1509" s="295" t="str">
        <f>VLOOKUP(F1509,'GL Category'!A:C,3,FALSE)</f>
        <v>Capital Outlay</v>
      </c>
      <c r="H1509" s="98" t="str">
        <f>VLOOKUP(F1509,'GL Category'!A:C,2,FALSE)</f>
        <v>MOTOR VEHICLES</v>
      </c>
      <c r="I1509" s="99">
        <f>SUMIFS(I$1:I1501,$C$1:$C1501,$C1509,$F$1:$F1501,$F1509)</f>
        <v>0</v>
      </c>
      <c r="J1509" s="99">
        <f>SUMIFS(J$1:J1501,$C$1:$C1501,$C1509,$F$1:$F1501,$F1509)</f>
        <v>0</v>
      </c>
      <c r="K1509" s="99">
        <f>SUMIFS(K$1:K1501,$C$1:$C1501,$C1509,$F$1:$F1501,$F1509)</f>
        <v>0</v>
      </c>
      <c r="L1509" s="99">
        <f>SUMIFS(L$1:L1501,$C$1:$C1501,$C1509,$F$1:$F1501,$F1509)</f>
        <v>0</v>
      </c>
      <c r="M1509" s="99">
        <f>SUMIFS(M$1:M1501,$C$1:$C1501,$C1509,$F$1:$F1501,$F1509)</f>
        <v>0</v>
      </c>
      <c r="N1509" s="99">
        <f>SUMIFS(N$1:N1501,$C$1:$C1501,$C1509,$F$1:$F1501,$F1509)</f>
        <v>0</v>
      </c>
      <c r="O1509" s="99">
        <f>SUMIFS(O$1:O1501,$C$1:$C1501,$C1509,$F$1:$F1501,$F1509)</f>
        <v>0</v>
      </c>
      <c r="P1509" s="99">
        <f>O1509-M1509</f>
        <v>0</v>
      </c>
      <c r="Q1509" s="99">
        <f>SUMIFS(Q$1:Q1501,$C$1:$C1501,$C1509,$F$1:$F1501,$F1509)</f>
        <v>0</v>
      </c>
      <c r="R1509" s="99">
        <f>SUMIFS(R$1:R1501,$C$1:$C1501,$C1509,$F$1:$F1501,$F1509)</f>
        <v>0</v>
      </c>
      <c r="S1509" s="99">
        <f>SUMIFS(S$1:S1501,$C$1:$C1501,$C1509,$F$1:$F1501,$F1509)</f>
        <v>0</v>
      </c>
      <c r="T1509" s="99">
        <f>SUMIFS(T$1:T1501,$C$1:$C1501,$C1509,$F$1:$F1501,$F1509)</f>
        <v>0</v>
      </c>
      <c r="U1509" s="99">
        <f t="shared" si="1928"/>
        <v>0</v>
      </c>
      <c r="V1509" s="255" t="str">
        <f t="shared" si="1929"/>
        <v>N/A</v>
      </c>
      <c r="W1509" s="102"/>
      <c r="X1509" s="102"/>
      <c r="Y1509" s="102"/>
      <c r="Z1509" s="309"/>
      <c r="AA1509" s="615"/>
      <c r="AB1509" s="622"/>
      <c r="AC1509" s="633"/>
      <c r="AD1509" s="307"/>
      <c r="AE1509" s="622"/>
      <c r="AF1509" s="633"/>
      <c r="AG1509" s="307"/>
      <c r="AH1509" s="622"/>
      <c r="AI1509" s="633"/>
      <c r="AJ1509" s="307"/>
      <c r="AK1509" s="622"/>
      <c r="AL1509" s="633"/>
      <c r="AM1509" s="307"/>
      <c r="AN1509" s="622"/>
      <c r="AO1509" s="192"/>
      <c r="AP1509" s="192"/>
      <c r="AQ1509" s="192"/>
    </row>
    <row r="1510" spans="1:43" s="115" customFormat="1" ht="15" customHeight="1">
      <c r="A1510" s="555"/>
      <c r="B1510" s="217"/>
      <c r="C1510" s="217"/>
      <c r="D1510" s="101"/>
      <c r="E1510" s="217"/>
      <c r="F1510" s="294"/>
      <c r="G1510" s="295"/>
      <c r="H1510" s="107" t="str">
        <f>UPPER(G1509)&amp;" TOTAL"</f>
        <v>CAPITAL OUTLAY TOTAL</v>
      </c>
      <c r="I1510" s="109">
        <f t="shared" ref="I1510:T1510" si="1936">SUBTOTAL(9,I1507:I1509)</f>
        <v>69212</v>
      </c>
      <c r="J1510" s="109">
        <f t="shared" si="1936"/>
        <v>0</v>
      </c>
      <c r="K1510" s="109">
        <f t="shared" si="1936"/>
        <v>0</v>
      </c>
      <c r="L1510" s="109">
        <f t="shared" si="1936"/>
        <v>0</v>
      </c>
      <c r="M1510" s="109">
        <f t="shared" si="1936"/>
        <v>0</v>
      </c>
      <c r="N1510" s="109">
        <f t="shared" si="1936"/>
        <v>0</v>
      </c>
      <c r="O1510" s="109">
        <f t="shared" si="1936"/>
        <v>0</v>
      </c>
      <c r="P1510" s="109">
        <f t="shared" si="1936"/>
        <v>0</v>
      </c>
      <c r="Q1510" s="109">
        <f t="shared" si="1936"/>
        <v>0</v>
      </c>
      <c r="R1510" s="109">
        <f t="shared" si="1936"/>
        <v>0</v>
      </c>
      <c r="S1510" s="109">
        <f t="shared" si="1936"/>
        <v>0</v>
      </c>
      <c r="T1510" s="109">
        <f t="shared" si="1936"/>
        <v>0</v>
      </c>
      <c r="U1510" s="99">
        <f t="shared" si="1928"/>
        <v>0</v>
      </c>
      <c r="V1510" s="255" t="str">
        <f t="shared" si="1929"/>
        <v>N/A</v>
      </c>
      <c r="W1510" s="102"/>
      <c r="X1510" s="102"/>
      <c r="Y1510" s="102"/>
      <c r="Z1510" s="309"/>
      <c r="AA1510" s="615"/>
      <c r="AB1510" s="622"/>
      <c r="AC1510" s="633"/>
      <c r="AD1510" s="307"/>
      <c r="AE1510" s="622"/>
      <c r="AF1510" s="633"/>
      <c r="AG1510" s="307"/>
      <c r="AH1510" s="622"/>
      <c r="AI1510" s="633"/>
      <c r="AJ1510" s="307"/>
      <c r="AK1510" s="622"/>
      <c r="AL1510" s="633"/>
      <c r="AM1510" s="307"/>
      <c r="AN1510" s="622"/>
      <c r="AO1510" s="192"/>
      <c r="AP1510" s="192"/>
      <c r="AQ1510" s="192"/>
    </row>
    <row r="1511" spans="1:43" s="115" customFormat="1" ht="10.5" customHeight="1">
      <c r="A1511" s="555"/>
      <c r="B1511" s="217"/>
      <c r="C1511" s="217"/>
      <c r="D1511" s="101"/>
      <c r="E1511" s="217"/>
      <c r="F1511" s="294"/>
      <c r="G1511" s="295"/>
      <c r="H1511" s="98"/>
      <c r="I1511" s="106"/>
      <c r="J1511" s="106"/>
      <c r="K1511" s="106"/>
      <c r="L1511" s="106"/>
      <c r="M1511" s="106"/>
      <c r="N1511" s="112"/>
      <c r="O1511" s="112"/>
      <c r="P1511" s="112"/>
      <c r="Q1511" s="113"/>
      <c r="R1511" s="113"/>
      <c r="S1511" s="113"/>
      <c r="T1511" s="113"/>
      <c r="U1511" s="99"/>
      <c r="V1511" s="255"/>
      <c r="W1511" s="102"/>
      <c r="X1511" s="102"/>
      <c r="Y1511" s="102"/>
      <c r="Z1511" s="309"/>
      <c r="AA1511" s="615"/>
      <c r="AB1511" s="622"/>
      <c r="AC1511" s="633"/>
      <c r="AD1511" s="307"/>
      <c r="AE1511" s="622"/>
      <c r="AF1511" s="633"/>
      <c r="AG1511" s="307"/>
      <c r="AH1511" s="622"/>
      <c r="AI1511" s="633"/>
      <c r="AJ1511" s="307"/>
      <c r="AK1511" s="622"/>
      <c r="AL1511" s="633"/>
      <c r="AM1511" s="307"/>
      <c r="AN1511" s="622"/>
      <c r="AO1511" s="192"/>
      <c r="AP1511" s="192"/>
      <c r="AQ1511" s="192"/>
    </row>
    <row r="1512" spans="1:43" s="115" customFormat="1" ht="15" customHeight="1">
      <c r="A1512" s="555"/>
      <c r="B1512" s="217"/>
      <c r="C1512" s="217">
        <v>50</v>
      </c>
      <c r="D1512" s="101" t="str">
        <f t="shared" si="1887"/>
        <v/>
      </c>
      <c r="E1512" s="217" t="str">
        <f t="shared" si="1888"/>
        <v/>
      </c>
      <c r="F1512" s="294" t="s">
        <v>239</v>
      </c>
      <c r="G1512" s="295" t="str">
        <f>VLOOKUP(F1512,'GL Category'!A:C,3,FALSE)</f>
        <v>Transfers to other funds</v>
      </c>
      <c r="H1512" s="98" t="str">
        <f>VLOOKUP(F1512,'GL Category'!A:C,2,FALSE)</f>
        <v>TRANSFER TO CIP-STREET IMPROVE</v>
      </c>
      <c r="I1512" s="99">
        <f>SUMIFS(I$1:I1506,$C$1:$C1506,$C1512,$F$1:$F1506,$F1512)</f>
        <v>3905693</v>
      </c>
      <c r="J1512" s="99">
        <f>SUMIFS(J$1:J1506,$C$1:$C1506,$C1512,$F$1:$F1506,$F1512)</f>
        <v>2200336</v>
      </c>
      <c r="K1512" s="99">
        <f>SUMIFS(K$1:K1506,$C$1:$C1506,$C1512,$F$1:$F1506,$F1512)</f>
        <v>7700057</v>
      </c>
      <c r="L1512" s="99">
        <f>SUMIFS(L$1:L1506,$C$1:$C1506,$C1512,$F$1:$F1506,$F1512)</f>
        <v>6175000</v>
      </c>
      <c r="M1512" s="99">
        <f>SUMIFS(M$1:M1506,$C$1:$C1506,$C1512,$F$1:$F1506,$F1512)</f>
        <v>2495000</v>
      </c>
      <c r="N1512" s="99">
        <f>SUMIFS(N$1:N1506,$C$1:$C1506,$C1512,$F$1:$F1506,$F1512)</f>
        <v>1871250</v>
      </c>
      <c r="O1512" s="99">
        <f>SUMIFS(O$1:O1506,$C$1:$C1506,$C1512,$F$1:$F1506,$F1512)</f>
        <v>2495000</v>
      </c>
      <c r="P1512" s="99">
        <f>O1512-M1512</f>
        <v>0</v>
      </c>
      <c r="Q1512" s="99">
        <f>SUMIFS(Q$1:Q1506,$C$1:$C1506,$C1512,$F$1:$F1506,$F1512)</f>
        <v>6435000</v>
      </c>
      <c r="R1512" s="99">
        <f>SUMIFS(R$1:R1506,$C$1:$C1506,$C1512,$F$1:$F1506,$F1512)</f>
        <v>0</v>
      </c>
      <c r="S1512" s="99">
        <f>SUMIFS(S$1:S1506,$C$1:$C1506,$C1512,$F$1:$F1506,$F1512)</f>
        <v>0</v>
      </c>
      <c r="T1512" s="99">
        <f>SUMIFS(T$1:T1506,$C$1:$C1506,$C1512,$F$1:$F1506,$F1512)</f>
        <v>6435000</v>
      </c>
      <c r="U1512" s="99">
        <f>T1512-M1512</f>
        <v>3940000</v>
      </c>
      <c r="V1512" s="255">
        <f>IF(M1512=0,"N/A",T1512/M1512-1)</f>
        <v>1.5791583166332663</v>
      </c>
      <c r="W1512" s="102"/>
      <c r="X1512" s="102">
        <f>6435000-325000</f>
        <v>6110000</v>
      </c>
      <c r="Y1512" s="102">
        <f t="shared" si="1930"/>
        <v>325000</v>
      </c>
      <c r="Z1512" s="309">
        <f>Y1512*(1+VLOOKUP($F1512,'GL Category'!$A:$H,4,FALSE))</f>
        <v>325000</v>
      </c>
      <c r="AA1512" s="615"/>
      <c r="AB1512" s="622">
        <f t="shared" si="1931"/>
        <v>325000</v>
      </c>
      <c r="AC1512" s="633">
        <f>AB1512*(1+VLOOKUP($F1512,'GL Category'!$A:$H,5,FALSE))</f>
        <v>325000</v>
      </c>
      <c r="AD1512" s="307"/>
      <c r="AE1512" s="622">
        <f t="shared" si="1932"/>
        <v>325000</v>
      </c>
      <c r="AF1512" s="633">
        <f>AE1512*(1+VLOOKUP($F1512,'GL Category'!$A:$H,6,FALSE))</f>
        <v>325000</v>
      </c>
      <c r="AG1512" s="307"/>
      <c r="AH1512" s="622">
        <f t="shared" si="1933"/>
        <v>325000</v>
      </c>
      <c r="AI1512" s="633">
        <f>AH1512*(1+VLOOKUP($F1512,'GL Category'!$A:$H,7,FALSE))</f>
        <v>325000</v>
      </c>
      <c r="AJ1512" s="307"/>
      <c r="AK1512" s="622">
        <f t="shared" si="1934"/>
        <v>325000</v>
      </c>
      <c r="AL1512" s="633">
        <f>AK1512*(1+VLOOKUP($F1512,'GL Category'!$A:$H,8,FALSE))</f>
        <v>325000</v>
      </c>
      <c r="AM1512" s="307"/>
      <c r="AN1512" s="622">
        <f t="shared" si="1935"/>
        <v>325000</v>
      </c>
      <c r="AO1512" s="192"/>
      <c r="AP1512" s="192"/>
      <c r="AQ1512" s="192"/>
    </row>
    <row r="1513" spans="1:43" s="115" customFormat="1" ht="15" customHeight="1">
      <c r="A1513" s="555"/>
      <c r="B1513" s="217"/>
      <c r="C1513" s="217">
        <v>50</v>
      </c>
      <c r="D1513" s="101" t="str">
        <f t="shared" si="1887"/>
        <v/>
      </c>
      <c r="E1513" s="217" t="str">
        <f t="shared" si="1888"/>
        <v/>
      </c>
      <c r="F1513" s="294" t="s">
        <v>843</v>
      </c>
      <c r="G1513" s="295" t="str">
        <f>VLOOKUP(F1513,'GL Category'!A:C,3,FALSE)</f>
        <v>Transfers to other funds</v>
      </c>
      <c r="H1513" s="98" t="str">
        <f>VLOOKUP(F1513,'GL Category'!A:C,2,FALSE)</f>
        <v>TRANSFER TO CIP-DRAINAGE</v>
      </c>
      <c r="I1513" s="99">
        <f>SUMIFS(I$1:I1507,$C$1:$C1507,$C1513,$F$1:$F1507,$F1513)</f>
        <v>0</v>
      </c>
      <c r="J1513" s="99">
        <f>SUMIFS(J$1:J1507,$C$1:$C1507,$C1513,$F$1:$F1507,$F1513)</f>
        <v>0</v>
      </c>
      <c r="K1513" s="99">
        <f>SUMIFS(K$1:K1507,$C$1:$C1507,$C1513,$F$1:$F1507,$F1513)</f>
        <v>0</v>
      </c>
      <c r="L1513" s="99">
        <f>SUMIFS(L$1:L1507,$C$1:$C1507,$C1513,$F$1:$F1507,$F1513)</f>
        <v>0</v>
      </c>
      <c r="M1513" s="99">
        <f>SUMIFS(M$1:M1507,$C$1:$C1507,$C1513,$F$1:$F1507,$F1513)</f>
        <v>0</v>
      </c>
      <c r="N1513" s="99">
        <f>SUMIFS(N$1:N1507,$C$1:$C1507,$C1513,$F$1:$F1507,$F1513)</f>
        <v>0</v>
      </c>
      <c r="O1513" s="99">
        <f>SUMIFS(O$1:O1507,$C$1:$C1507,$C1513,$F$1:$F1507,$F1513)</f>
        <v>0</v>
      </c>
      <c r="P1513" s="99">
        <f>O1513-M1513</f>
        <v>0</v>
      </c>
      <c r="Q1513" s="99">
        <f>SUMIFS(Q$1:Q1507,$C$1:$C1507,$C1513,$F$1:$F1507,$F1513)</f>
        <v>0</v>
      </c>
      <c r="R1513" s="99">
        <f>SUMIFS(R$1:R1507,$C$1:$C1507,$C1513,$F$1:$F1507,$F1513)</f>
        <v>0</v>
      </c>
      <c r="S1513" s="99">
        <f>SUMIFS(S$1:S1507,$C$1:$C1507,$C1513,$F$1:$F1507,$F1513)</f>
        <v>0</v>
      </c>
      <c r="T1513" s="99">
        <f>SUMIFS(T$1:T1507,$C$1:$C1507,$C1513,$F$1:$F1507,$F1513)</f>
        <v>0</v>
      </c>
      <c r="U1513" s="99">
        <f>T1513-M1513</f>
        <v>0</v>
      </c>
      <c r="V1513" s="255" t="str">
        <f>IF(M1513=0,"N/A",T1513/M1513-1)</f>
        <v>N/A</v>
      </c>
      <c r="W1513" s="102"/>
      <c r="X1513" s="102"/>
      <c r="Y1513" s="102">
        <f t="shared" si="1930"/>
        <v>0</v>
      </c>
      <c r="Z1513" s="309">
        <f>Y1513*(1+VLOOKUP($F1513,'GL Category'!$A:$H,4,FALSE))</f>
        <v>0</v>
      </c>
      <c r="AA1513" s="615"/>
      <c r="AB1513" s="622">
        <f t="shared" si="1931"/>
        <v>0</v>
      </c>
      <c r="AC1513" s="633">
        <f>AB1513*(1+VLOOKUP($F1513,'GL Category'!$A:$H,5,FALSE))</f>
        <v>0</v>
      </c>
      <c r="AD1513" s="307"/>
      <c r="AE1513" s="622">
        <f t="shared" si="1932"/>
        <v>0</v>
      </c>
      <c r="AF1513" s="633">
        <f>AE1513*(1+VLOOKUP($F1513,'GL Category'!$A:$H,6,FALSE))</f>
        <v>0</v>
      </c>
      <c r="AG1513" s="307"/>
      <c r="AH1513" s="622">
        <f t="shared" si="1933"/>
        <v>0</v>
      </c>
      <c r="AI1513" s="633">
        <f>AH1513*(1+VLOOKUP($F1513,'GL Category'!$A:$H,7,FALSE))</f>
        <v>0</v>
      </c>
      <c r="AJ1513" s="307"/>
      <c r="AK1513" s="622">
        <f t="shared" si="1934"/>
        <v>0</v>
      </c>
      <c r="AL1513" s="633">
        <f>AK1513*(1+VLOOKUP($F1513,'GL Category'!$A:$H,8,FALSE))</f>
        <v>0</v>
      </c>
      <c r="AM1513" s="307"/>
      <c r="AN1513" s="622">
        <f t="shared" si="1935"/>
        <v>0</v>
      </c>
      <c r="AO1513" s="192"/>
      <c r="AP1513" s="192"/>
      <c r="AQ1513" s="192"/>
    </row>
    <row r="1514" spans="1:43" s="115" customFormat="1" ht="28.35" customHeight="1">
      <c r="A1514" s="555"/>
      <c r="B1514" s="217"/>
      <c r="C1514" s="217"/>
      <c r="D1514" s="101"/>
      <c r="E1514" s="217"/>
      <c r="F1514" s="294"/>
      <c r="G1514" s="295"/>
      <c r="H1514" s="107" t="str">
        <f>UPPER(G1513)&amp;" TOTAL"</f>
        <v>TRANSFERS TO OTHER FUNDS TOTAL</v>
      </c>
      <c r="I1514" s="109">
        <f t="shared" ref="I1514:T1514" si="1937">SUBTOTAL(9,I1510:I1513)</f>
        <v>3905693</v>
      </c>
      <c r="J1514" s="109">
        <f t="shared" si="1937"/>
        <v>2200336</v>
      </c>
      <c r="K1514" s="109">
        <f t="shared" si="1937"/>
        <v>7700057</v>
      </c>
      <c r="L1514" s="109">
        <f t="shared" si="1937"/>
        <v>6175000</v>
      </c>
      <c r="M1514" s="109">
        <f t="shared" si="1937"/>
        <v>2495000</v>
      </c>
      <c r="N1514" s="109">
        <f t="shared" si="1937"/>
        <v>1871250</v>
      </c>
      <c r="O1514" s="109">
        <f t="shared" si="1937"/>
        <v>2495000</v>
      </c>
      <c r="P1514" s="109">
        <f t="shared" si="1937"/>
        <v>0</v>
      </c>
      <c r="Q1514" s="109">
        <f t="shared" si="1937"/>
        <v>6435000</v>
      </c>
      <c r="R1514" s="109">
        <f t="shared" si="1937"/>
        <v>0</v>
      </c>
      <c r="S1514" s="109">
        <f t="shared" si="1937"/>
        <v>0</v>
      </c>
      <c r="T1514" s="109">
        <f t="shared" si="1937"/>
        <v>6435000</v>
      </c>
      <c r="U1514" s="99">
        <f>T1514-M1514</f>
        <v>3940000</v>
      </c>
      <c r="V1514" s="255">
        <f>IF(M1514=0,"N/A",T1514/M1514-1)</f>
        <v>1.5791583166332663</v>
      </c>
      <c r="W1514" s="102"/>
      <c r="X1514" s="102"/>
      <c r="Y1514" s="102"/>
      <c r="Z1514" s="192"/>
      <c r="AA1514" s="615"/>
      <c r="AB1514" s="307"/>
      <c r="AC1514" s="300"/>
      <c r="AD1514" s="300"/>
      <c r="AE1514" s="300"/>
      <c r="AF1514" s="300"/>
      <c r="AG1514" s="300"/>
      <c r="AH1514" s="307"/>
      <c r="AI1514" s="307"/>
      <c r="AJ1514" s="300"/>
      <c r="AK1514" s="300"/>
      <c r="AL1514" s="300"/>
      <c r="AM1514" s="300"/>
      <c r="AN1514" s="300"/>
      <c r="AO1514" s="192"/>
      <c r="AP1514" s="192"/>
      <c r="AQ1514" s="192"/>
    </row>
    <row r="1515" spans="1:43" s="115" customFormat="1" ht="10.5" customHeight="1">
      <c r="A1515" s="555"/>
      <c r="B1515" s="217"/>
      <c r="C1515" s="217"/>
      <c r="D1515" s="101"/>
      <c r="E1515" s="217"/>
      <c r="F1515" s="294"/>
      <c r="G1515" s="295"/>
      <c r="H1515" s="98"/>
      <c r="I1515" s="106"/>
      <c r="J1515" s="106"/>
      <c r="K1515" s="106"/>
      <c r="L1515" s="106"/>
      <c r="M1515" s="106"/>
      <c r="N1515" s="112"/>
      <c r="O1515" s="112"/>
      <c r="P1515" s="112"/>
      <c r="Q1515" s="113"/>
      <c r="R1515" s="113"/>
      <c r="S1515" s="113"/>
      <c r="T1515" s="113"/>
      <c r="U1515" s="99"/>
      <c r="V1515" s="255"/>
      <c r="W1515" s="102"/>
      <c r="X1515" s="102"/>
      <c r="Y1515" s="102"/>
      <c r="Z1515" s="192"/>
      <c r="AA1515" s="615"/>
      <c r="AB1515" s="307"/>
      <c r="AC1515" s="300"/>
      <c r="AD1515" s="300"/>
      <c r="AE1515" s="300"/>
      <c r="AF1515" s="300"/>
      <c r="AG1515" s="300"/>
      <c r="AH1515" s="307"/>
      <c r="AI1515" s="307"/>
      <c r="AJ1515" s="300"/>
      <c r="AK1515" s="300"/>
      <c r="AL1515" s="300"/>
      <c r="AM1515" s="300"/>
      <c r="AN1515" s="300"/>
      <c r="AO1515" s="192"/>
      <c r="AP1515" s="192"/>
      <c r="AQ1515" s="192"/>
    </row>
    <row r="1516" spans="1:43" s="115" customFormat="1" ht="15" customHeight="1">
      <c r="A1516" s="555"/>
      <c r="B1516" s="217"/>
      <c r="C1516" s="217"/>
      <c r="D1516" s="101"/>
      <c r="E1516" s="217"/>
      <c r="F1516" s="294"/>
      <c r="G1516" s="295"/>
      <c r="H1516" s="114" t="s">
        <v>51</v>
      </c>
      <c r="I1516" s="108">
        <f t="shared" ref="I1516:T1516" si="1938">SUBTOTAL(9,I1457:I1514)</f>
        <v>7235100.5399999991</v>
      </c>
      <c r="J1516" s="108">
        <f t="shared" si="1938"/>
        <v>5633008.8399999999</v>
      </c>
      <c r="K1516" s="108">
        <f t="shared" si="1938"/>
        <v>11004306.27</v>
      </c>
      <c r="L1516" s="108">
        <f t="shared" si="1938"/>
        <v>9495097.9100000001</v>
      </c>
      <c r="M1516" s="108">
        <f t="shared" si="1938"/>
        <v>6682028</v>
      </c>
      <c r="N1516" s="108">
        <f t="shared" si="1938"/>
        <v>4056677.08</v>
      </c>
      <c r="O1516" s="108">
        <f t="shared" si="1938"/>
        <v>6463198.0999999996</v>
      </c>
      <c r="P1516" s="108">
        <f t="shared" si="1938"/>
        <v>-218829.90000000002</v>
      </c>
      <c r="Q1516" s="108">
        <f t="shared" si="1938"/>
        <v>10253981</v>
      </c>
      <c r="R1516" s="108">
        <f t="shared" si="1938"/>
        <v>244000</v>
      </c>
      <c r="S1516" s="108">
        <f t="shared" si="1938"/>
        <v>525000</v>
      </c>
      <c r="T1516" s="108">
        <f t="shared" si="1938"/>
        <v>11022981</v>
      </c>
      <c r="U1516" s="99">
        <f>T1516-M1516</f>
        <v>4340953</v>
      </c>
      <c r="V1516" s="255">
        <f>IF(M1516=0,"N/A",T1516/M1516-1)</f>
        <v>0.64964603560475953</v>
      </c>
      <c r="W1516" s="102"/>
      <c r="X1516" s="102"/>
      <c r="Y1516" s="102"/>
      <c r="Z1516" s="192"/>
      <c r="AA1516" s="615"/>
      <c r="AB1516" s="305"/>
      <c r="AC1516" s="300"/>
      <c r="AD1516" s="300"/>
      <c r="AE1516" s="300"/>
      <c r="AF1516" s="300"/>
      <c r="AG1516" s="300"/>
      <c r="AH1516" s="307"/>
      <c r="AI1516" s="307"/>
      <c r="AJ1516" s="300"/>
      <c r="AK1516" s="300"/>
      <c r="AL1516" s="300"/>
      <c r="AM1516" s="300"/>
      <c r="AN1516" s="300"/>
      <c r="AO1516" s="192"/>
      <c r="AP1516" s="192"/>
      <c r="AQ1516" s="192"/>
    </row>
    <row r="1517" spans="1:43" s="115" customFormat="1" ht="15" customHeight="1" thickBot="1">
      <c r="A1517" s="555"/>
      <c r="B1517" s="217"/>
      <c r="C1517" s="217"/>
      <c r="D1517" s="101"/>
      <c r="E1517" s="217"/>
      <c r="F1517" s="294"/>
      <c r="G1517" s="295"/>
      <c r="H1517" s="98"/>
      <c r="I1517" s="218"/>
      <c r="J1517" s="218"/>
      <c r="K1517" s="218"/>
      <c r="L1517" s="218"/>
      <c r="M1517" s="218"/>
      <c r="N1517" s="96"/>
      <c r="O1517" s="96"/>
      <c r="P1517" s="96"/>
      <c r="Q1517" s="212"/>
      <c r="R1517" s="212"/>
      <c r="S1517" s="212"/>
      <c r="T1517" s="212"/>
      <c r="U1517" s="99"/>
      <c r="V1517" s="255"/>
      <c r="W1517" s="102"/>
      <c r="X1517" s="102"/>
      <c r="Y1517" s="102"/>
      <c r="Z1517" s="192"/>
      <c r="AA1517" s="615"/>
      <c r="AB1517" s="307"/>
      <c r="AC1517" s="93"/>
      <c r="AD1517" s="93"/>
      <c r="AE1517" s="93"/>
      <c r="AF1517" s="93"/>
      <c r="AG1517" s="93"/>
      <c r="AH1517" s="307"/>
      <c r="AI1517" s="307"/>
      <c r="AJ1517" s="93"/>
      <c r="AK1517" s="93"/>
      <c r="AL1517" s="93"/>
      <c r="AM1517" s="93"/>
      <c r="AN1517" s="93"/>
      <c r="AO1517" s="192"/>
      <c r="AP1517" s="192"/>
      <c r="AQ1517" s="192"/>
    </row>
    <row r="1518" spans="1:43" s="115" customFormat="1" ht="21.75" customHeight="1" thickBot="1">
      <c r="A1518" s="555"/>
      <c r="B1518" s="217"/>
      <c r="C1518" s="217"/>
      <c r="D1518" s="101"/>
      <c r="E1518" s="217"/>
      <c r="F1518" s="294"/>
      <c r="G1518" s="295"/>
      <c r="H1518" s="668" t="s">
        <v>638</v>
      </c>
      <c r="I1518" s="669"/>
      <c r="J1518" s="669"/>
      <c r="K1518" s="669"/>
      <c r="L1518" s="669"/>
      <c r="M1518" s="669"/>
      <c r="N1518" s="669"/>
      <c r="O1518" s="669"/>
      <c r="P1518" s="669"/>
      <c r="Q1518" s="669"/>
      <c r="R1518" s="669"/>
      <c r="S1518" s="669"/>
      <c r="T1518" s="670"/>
      <c r="U1518" s="99"/>
      <c r="V1518" s="255"/>
      <c r="W1518" s="102"/>
      <c r="X1518" s="102"/>
      <c r="Y1518" s="102"/>
      <c r="Z1518" s="192"/>
      <c r="AA1518" s="615"/>
      <c r="AB1518" s="307"/>
      <c r="AC1518" s="300"/>
      <c r="AD1518" s="300"/>
      <c r="AE1518" s="300"/>
      <c r="AF1518" s="300"/>
      <c r="AG1518" s="300"/>
      <c r="AH1518" s="307"/>
      <c r="AI1518" s="307"/>
      <c r="AJ1518" s="300"/>
      <c r="AK1518" s="300"/>
      <c r="AL1518" s="300"/>
      <c r="AM1518" s="300"/>
      <c r="AN1518" s="300"/>
      <c r="AO1518" s="192"/>
      <c r="AP1518" s="192"/>
      <c r="AQ1518" s="192"/>
    </row>
    <row r="1519" spans="1:43" s="115" customFormat="1" ht="15" customHeight="1">
      <c r="A1519" s="555"/>
      <c r="B1519" s="217"/>
      <c r="C1519" s="217"/>
      <c r="D1519" s="101"/>
      <c r="E1519" s="217"/>
      <c r="F1519" s="294"/>
      <c r="G1519" s="295"/>
      <c r="H1519" s="225"/>
      <c r="I1519" s="225"/>
      <c r="J1519" s="225"/>
      <c r="K1519" s="225"/>
      <c r="L1519" s="225"/>
      <c r="M1519" s="225"/>
      <c r="N1519" s="225"/>
      <c r="O1519" s="225"/>
      <c r="P1519" s="225"/>
      <c r="Q1519" s="225"/>
      <c r="R1519" s="225"/>
      <c r="S1519" s="225"/>
      <c r="T1519" s="225"/>
      <c r="U1519" s="99"/>
      <c r="V1519" s="255"/>
      <c r="W1519" s="102"/>
      <c r="X1519" s="102"/>
      <c r="Y1519" s="102"/>
      <c r="Z1519" s="192"/>
      <c r="AA1519" s="615"/>
      <c r="AB1519" s="307"/>
      <c r="AC1519" s="94"/>
      <c r="AD1519" s="94"/>
      <c r="AE1519" s="94"/>
      <c r="AF1519" s="94"/>
      <c r="AG1519" s="94"/>
      <c r="AH1519" s="307"/>
      <c r="AI1519" s="307"/>
      <c r="AJ1519" s="94"/>
      <c r="AK1519" s="94"/>
      <c r="AL1519" s="94"/>
      <c r="AM1519" s="94"/>
      <c r="AN1519" s="94"/>
      <c r="AO1519" s="192"/>
      <c r="AP1519" s="192"/>
      <c r="AQ1519" s="192"/>
    </row>
    <row r="1520" spans="1:43" s="115" customFormat="1" ht="15" customHeight="1">
      <c r="A1520" s="555" t="s">
        <v>2897</v>
      </c>
      <c r="B1520" s="217" t="str">
        <f t="shared" ref="B1520:B1555" si="1939">LEFT(A1520,3)</f>
        <v>100</v>
      </c>
      <c r="C1520" s="217" t="str">
        <f t="shared" ref="C1520:C1555" si="1940">MID(A1520,5,2)</f>
        <v>60</v>
      </c>
      <c r="D1520" s="101" t="str">
        <f t="shared" ref="D1520:D1555" si="1941">MID(A1520,8,3)</f>
        <v>601</v>
      </c>
      <c r="E1520" s="217" t="str">
        <f t="shared" ref="E1520:E1555" si="1942">LEFT(A1520,10)</f>
        <v>100-60-601</v>
      </c>
      <c r="F1520" s="294" t="str">
        <f t="shared" ref="F1520:F1555" si="1943">RIGHT(A1520,5)</f>
        <v>50101</v>
      </c>
      <c r="G1520" s="295" t="str">
        <f>VLOOKUP(F1520,'GL Category'!A:C,3,FALSE)</f>
        <v>Personnel services</v>
      </c>
      <c r="H1520" s="98" t="str">
        <f>VLOOKUP(F1520,'GL Category'!A:C,2,FALSE)</f>
        <v>EXEMPT SALARIES</v>
      </c>
      <c r="I1520" s="99">
        <f>SUMIF(Import!$B:$B,$A1520,Import!D:D)</f>
        <v>337093.03</v>
      </c>
      <c r="J1520" s="99">
        <f>SUMIF(Import!$B:$B,$A1520,Import!E:E)</f>
        <v>359749.37</v>
      </c>
      <c r="K1520" s="99">
        <f>SUMIF(Import!$B:$B,$A1520,Import!F:F)</f>
        <v>375458.21</v>
      </c>
      <c r="L1520" s="99">
        <f>SUMIF(Import!$B:$B,$A1520,Import!G:G)</f>
        <v>383549.14</v>
      </c>
      <c r="M1520" s="99">
        <f>SUMIF(Import!$B:$B,$A1520,Import!H:H)</f>
        <v>379921</v>
      </c>
      <c r="N1520" s="99">
        <f>SUMIF(Import!$B:$B,$A1520,Import!I:I)</f>
        <v>336858.04</v>
      </c>
      <c r="O1520" s="99">
        <f>SUMIF(Import!$B:$B,$A1520,Import!J:J)</f>
        <v>442916</v>
      </c>
      <c r="P1520" s="99">
        <f t="shared" ref="P1520:P1529" si="1944">O1520-M1520</f>
        <v>62995</v>
      </c>
      <c r="Q1520" s="99">
        <f>SUMIF(Import!$B:$B,$A1520,Import!K:K)</f>
        <v>460380</v>
      </c>
      <c r="R1520" s="99">
        <f>SUMIF(Import!$B:$B,$A1520,Import!L:L)</f>
        <v>0</v>
      </c>
      <c r="S1520" s="99">
        <f>SUMIF(Import!$B:$B,$A1520,Import!M:M)</f>
        <v>0</v>
      </c>
      <c r="T1520" s="99">
        <f>SUMIF(Import!$B:$B,$A1520,Import!N:N)</f>
        <v>460380</v>
      </c>
      <c r="U1520" s="99">
        <f t="shared" ref="U1520:U1529" si="1945">T1520-M1520</f>
        <v>80459</v>
      </c>
      <c r="V1520" s="255">
        <f t="shared" ref="V1520:V1529" si="1946">IF(M1520=0,"N/A",T1520/M1520-1)</f>
        <v>0.21177823810739604</v>
      </c>
      <c r="W1520" s="102" t="s">
        <v>2897</v>
      </c>
      <c r="X1520" s="102"/>
      <c r="Y1520" s="102">
        <f t="shared" ref="Y1520:Y1529" si="1947">T1520-X1520</f>
        <v>460380</v>
      </c>
      <c r="Z1520" s="309">
        <f>Y1520*(1+VLOOKUP($F1520,'GL Category'!$A:$H,4,FALSE))</f>
        <v>476493.3</v>
      </c>
      <c r="AA1520" s="615"/>
      <c r="AB1520" s="622">
        <f t="shared" ref="AB1520:AB1529" si="1948">Z1520+AA1520</f>
        <v>476493.3</v>
      </c>
      <c r="AC1520" s="633">
        <f>AB1520*(1+VLOOKUP($F1520,'GL Category'!$A:$H,5,FALSE))</f>
        <v>493170.56549999997</v>
      </c>
      <c r="AD1520" s="307"/>
      <c r="AE1520" s="622">
        <f t="shared" ref="AE1520:AE1529" si="1949">AC1520+AD1520</f>
        <v>493170.56549999997</v>
      </c>
      <c r="AF1520" s="633">
        <f>AE1520*(1+VLOOKUP($F1520,'GL Category'!$A:$H,6,FALSE))</f>
        <v>510431.53529249993</v>
      </c>
      <c r="AG1520" s="307"/>
      <c r="AH1520" s="622">
        <f t="shared" ref="AH1520:AH1529" si="1950">AF1520+AG1520</f>
        <v>510431.53529249993</v>
      </c>
      <c r="AI1520" s="633">
        <f>AH1520*(1+VLOOKUP($F1520,'GL Category'!$A:$H,7,FALSE))</f>
        <v>528296.63902773743</v>
      </c>
      <c r="AJ1520" s="307"/>
      <c r="AK1520" s="622">
        <f t="shared" ref="AK1520:AK1529" si="1951">AI1520+AJ1520</f>
        <v>528296.63902773743</v>
      </c>
      <c r="AL1520" s="633">
        <f>AK1520*(1+VLOOKUP($F1520,'GL Category'!$A:$H,8,FALSE))</f>
        <v>546787.02139370819</v>
      </c>
      <c r="AM1520" s="307"/>
      <c r="AN1520" s="622">
        <f t="shared" ref="AN1520:AN1529" si="1952">AL1520+AM1520</f>
        <v>546787.02139370819</v>
      </c>
      <c r="AO1520" s="192"/>
      <c r="AP1520" s="192"/>
      <c r="AQ1520" s="192"/>
    </row>
    <row r="1521" spans="1:59" s="115" customFormat="1" ht="15" customHeight="1">
      <c r="A1521" s="555" t="s">
        <v>2898</v>
      </c>
      <c r="B1521" s="217" t="str">
        <f t="shared" si="1939"/>
        <v>100</v>
      </c>
      <c r="C1521" s="217" t="str">
        <f t="shared" si="1940"/>
        <v>60</v>
      </c>
      <c r="D1521" s="101" t="str">
        <f t="shared" si="1941"/>
        <v>601</v>
      </c>
      <c r="E1521" s="217" t="str">
        <f t="shared" si="1942"/>
        <v>100-60-601</v>
      </c>
      <c r="F1521" s="294" t="str">
        <f t="shared" si="1943"/>
        <v>50102</v>
      </c>
      <c r="G1521" s="295" t="str">
        <f>VLOOKUP(F1521,'GL Category'!A:C,3,FALSE)</f>
        <v>Personnel services</v>
      </c>
      <c r="H1521" s="98" t="str">
        <f>VLOOKUP(F1521,'GL Category'!A:C,2,FALSE)</f>
        <v>NON EXEMPT SALARIES</v>
      </c>
      <c r="I1521" s="99">
        <f>SUMIF(Import!$B:$B,$A1521,Import!D:D)</f>
        <v>263852.40999999997</v>
      </c>
      <c r="J1521" s="99">
        <f>SUMIF(Import!$B:$B,$A1521,Import!E:E)</f>
        <v>266150.2</v>
      </c>
      <c r="K1521" s="99">
        <f>SUMIF(Import!$B:$B,$A1521,Import!F:F)</f>
        <v>287041.42</v>
      </c>
      <c r="L1521" s="99">
        <f>SUMIF(Import!$B:$B,$A1521,Import!G:G)</f>
        <v>302908.65000000002</v>
      </c>
      <c r="M1521" s="99">
        <f>SUMIF(Import!$B:$B,$A1521,Import!H:H)</f>
        <v>309030</v>
      </c>
      <c r="N1521" s="99">
        <f>SUMIF(Import!$B:$B,$A1521,Import!I:I)</f>
        <v>190676.18</v>
      </c>
      <c r="O1521" s="99">
        <f>SUMIF(Import!$B:$B,$A1521,Import!J:J)</f>
        <v>250227</v>
      </c>
      <c r="P1521" s="99">
        <f t="shared" si="1944"/>
        <v>-58803</v>
      </c>
      <c r="Q1521" s="99">
        <f>SUMIF(Import!$B:$B,$A1521,Import!K:K)</f>
        <v>261001</v>
      </c>
      <c r="R1521" s="99">
        <f>SUMIF(Import!$B:$B,$A1521,Import!L:L)</f>
        <v>0</v>
      </c>
      <c r="S1521" s="99">
        <f>SUMIF(Import!$B:$B,$A1521,Import!M:M)</f>
        <v>0</v>
      </c>
      <c r="T1521" s="99">
        <f>SUMIF(Import!$B:$B,$A1521,Import!N:N)</f>
        <v>261001</v>
      </c>
      <c r="U1521" s="99">
        <f t="shared" si="1945"/>
        <v>-48029</v>
      </c>
      <c r="V1521" s="255">
        <f t="shared" si="1946"/>
        <v>-0.15541856777659124</v>
      </c>
      <c r="W1521" s="102" t="s">
        <v>2898</v>
      </c>
      <c r="X1521" s="102"/>
      <c r="Y1521" s="102">
        <f t="shared" si="1947"/>
        <v>261001</v>
      </c>
      <c r="Z1521" s="309">
        <f>Y1521*(1+VLOOKUP($F1521,'GL Category'!$A:$H,4,FALSE))</f>
        <v>270136.03499999997</v>
      </c>
      <c r="AA1521" s="615"/>
      <c r="AB1521" s="622">
        <f t="shared" si="1948"/>
        <v>270136.03499999997</v>
      </c>
      <c r="AC1521" s="633">
        <f>AB1521*(1+VLOOKUP($F1521,'GL Category'!$A:$H,5,FALSE))</f>
        <v>279590.79622499994</v>
      </c>
      <c r="AD1521" s="307"/>
      <c r="AE1521" s="622">
        <f t="shared" si="1949"/>
        <v>279590.79622499994</v>
      </c>
      <c r="AF1521" s="633">
        <f>AE1521*(1+VLOOKUP($F1521,'GL Category'!$A:$H,6,FALSE))</f>
        <v>289376.47409287491</v>
      </c>
      <c r="AG1521" s="307"/>
      <c r="AH1521" s="622">
        <f t="shared" si="1950"/>
        <v>289376.47409287491</v>
      </c>
      <c r="AI1521" s="633">
        <f>AH1521*(1+VLOOKUP($F1521,'GL Category'!$A:$H,7,FALSE))</f>
        <v>299504.6506861255</v>
      </c>
      <c r="AJ1521" s="307"/>
      <c r="AK1521" s="622">
        <f t="shared" si="1951"/>
        <v>299504.6506861255</v>
      </c>
      <c r="AL1521" s="633">
        <f>AK1521*(1+VLOOKUP($F1521,'GL Category'!$A:$H,8,FALSE))</f>
        <v>309987.31346013985</v>
      </c>
      <c r="AM1521" s="307"/>
      <c r="AN1521" s="622">
        <f t="shared" si="1952"/>
        <v>309987.31346013985</v>
      </c>
      <c r="AO1521" s="192"/>
      <c r="AP1521" s="192"/>
      <c r="AQ1521" s="192"/>
    </row>
    <row r="1522" spans="1:59" s="115" customFormat="1" ht="15" customHeight="1">
      <c r="A1522" s="555" t="s">
        <v>2899</v>
      </c>
      <c r="B1522" s="217" t="str">
        <f t="shared" si="1939"/>
        <v>100</v>
      </c>
      <c r="C1522" s="217" t="str">
        <f t="shared" si="1940"/>
        <v>60</v>
      </c>
      <c r="D1522" s="101" t="str">
        <f t="shared" si="1941"/>
        <v>601</v>
      </c>
      <c r="E1522" s="217" t="str">
        <f t="shared" si="1942"/>
        <v>100-60-601</v>
      </c>
      <c r="F1522" s="294" t="str">
        <f t="shared" si="1943"/>
        <v>50109</v>
      </c>
      <c r="G1522" s="295" t="str">
        <f>VLOOKUP(F1522,'GL Category'!A:C,3,FALSE)</f>
        <v>Personnel services</v>
      </c>
      <c r="H1522" s="98" t="str">
        <f>VLOOKUP(F1522,'GL Category'!A:C,2,FALSE)</f>
        <v>OVERTIME</v>
      </c>
      <c r="I1522" s="99">
        <f>SUMIF(Import!$B:$B,$A1522,Import!D:D)</f>
        <v>0</v>
      </c>
      <c r="J1522" s="99">
        <f>SUMIF(Import!$B:$B,$A1522,Import!E:E)</f>
        <v>763</v>
      </c>
      <c r="K1522" s="99">
        <f>SUMIF(Import!$B:$B,$A1522,Import!F:F)</f>
        <v>301.61</v>
      </c>
      <c r="L1522" s="99">
        <f>SUMIF(Import!$B:$B,$A1522,Import!G:G)</f>
        <v>56.56</v>
      </c>
      <c r="M1522" s="99">
        <f>SUMIF(Import!$B:$B,$A1522,Import!H:H)</f>
        <v>250</v>
      </c>
      <c r="N1522" s="99">
        <f>SUMIF(Import!$B:$B,$A1522,Import!I:I)</f>
        <v>7.68</v>
      </c>
      <c r="O1522" s="99">
        <f>SUMIF(Import!$B:$B,$A1522,Import!J:J)</f>
        <v>12</v>
      </c>
      <c r="P1522" s="99">
        <f t="shared" si="1944"/>
        <v>-238</v>
      </c>
      <c r="Q1522" s="99">
        <f>SUMIF(Import!$B:$B,$A1522,Import!K:K)</f>
        <v>250</v>
      </c>
      <c r="R1522" s="99">
        <f>SUMIF(Import!$B:$B,$A1522,Import!L:L)</f>
        <v>0</v>
      </c>
      <c r="S1522" s="99">
        <f>SUMIF(Import!$B:$B,$A1522,Import!M:M)</f>
        <v>0</v>
      </c>
      <c r="T1522" s="99">
        <f>SUMIF(Import!$B:$B,$A1522,Import!N:N)</f>
        <v>250</v>
      </c>
      <c r="U1522" s="99">
        <f t="shared" si="1945"/>
        <v>0</v>
      </c>
      <c r="V1522" s="255">
        <f t="shared" si="1946"/>
        <v>0</v>
      </c>
      <c r="W1522" s="102" t="s">
        <v>2899</v>
      </c>
      <c r="X1522" s="102"/>
      <c r="Y1522" s="102">
        <f t="shared" si="1947"/>
        <v>250</v>
      </c>
      <c r="Z1522" s="309">
        <f>Y1522*(1+VLOOKUP($F1522,'GL Category'!$A:$H,4,FALSE))</f>
        <v>258.75</v>
      </c>
      <c r="AA1522" s="615"/>
      <c r="AB1522" s="622">
        <f t="shared" si="1948"/>
        <v>258.75</v>
      </c>
      <c r="AC1522" s="633">
        <f>AB1522*(1+VLOOKUP($F1522,'GL Category'!$A:$H,5,FALSE))</f>
        <v>267.80624999999998</v>
      </c>
      <c r="AD1522" s="307"/>
      <c r="AE1522" s="622">
        <f t="shared" si="1949"/>
        <v>267.80624999999998</v>
      </c>
      <c r="AF1522" s="633">
        <f>AE1522*(1+VLOOKUP($F1522,'GL Category'!$A:$H,6,FALSE))</f>
        <v>277.17946874999996</v>
      </c>
      <c r="AG1522" s="307"/>
      <c r="AH1522" s="622">
        <f t="shared" si="1950"/>
        <v>277.17946874999996</v>
      </c>
      <c r="AI1522" s="633">
        <f>AH1522*(1+VLOOKUP($F1522,'GL Category'!$A:$H,7,FALSE))</f>
        <v>286.88075015624992</v>
      </c>
      <c r="AJ1522" s="307"/>
      <c r="AK1522" s="622">
        <f t="shared" si="1951"/>
        <v>286.88075015624992</v>
      </c>
      <c r="AL1522" s="633">
        <f>AK1522*(1+VLOOKUP($F1522,'GL Category'!$A:$H,8,FALSE))</f>
        <v>296.92157641171866</v>
      </c>
      <c r="AM1522" s="307"/>
      <c r="AN1522" s="622">
        <f t="shared" si="1952"/>
        <v>296.92157641171866</v>
      </c>
      <c r="AO1522" s="192"/>
      <c r="AP1522" s="192"/>
      <c r="AQ1522" s="192"/>
    </row>
    <row r="1523" spans="1:59" s="115" customFormat="1" ht="15" customHeight="1">
      <c r="A1523" s="555" t="s">
        <v>2900</v>
      </c>
      <c r="B1523" s="217" t="str">
        <f t="shared" si="1939"/>
        <v>100</v>
      </c>
      <c r="C1523" s="217" t="str">
        <f t="shared" si="1940"/>
        <v>60</v>
      </c>
      <c r="D1523" s="101" t="str">
        <f t="shared" si="1941"/>
        <v>601</v>
      </c>
      <c r="E1523" s="217" t="str">
        <f t="shared" si="1942"/>
        <v>100-60-601</v>
      </c>
      <c r="F1523" s="294" t="str">
        <f t="shared" si="1943"/>
        <v>50110</v>
      </c>
      <c r="G1523" s="295" t="str">
        <f>VLOOKUP(F1523,'GL Category'!A:C,3,FALSE)</f>
        <v>Personnel services</v>
      </c>
      <c r="H1523" s="98" t="str">
        <f>VLOOKUP(F1523,'GL Category'!A:C,2,FALSE)</f>
        <v>PART-TIME WAGES</v>
      </c>
      <c r="I1523" s="99">
        <f>SUMIF(Import!$B:$B,$A1523,Import!D:D)</f>
        <v>78679.86</v>
      </c>
      <c r="J1523" s="99">
        <f>SUMIF(Import!$B:$B,$A1523,Import!E:E)</f>
        <v>104321.24</v>
      </c>
      <c r="K1523" s="99">
        <f>SUMIF(Import!$B:$B,$A1523,Import!F:F)</f>
        <v>105889.65</v>
      </c>
      <c r="L1523" s="99">
        <f>SUMIF(Import!$B:$B,$A1523,Import!G:G)</f>
        <v>116148.16</v>
      </c>
      <c r="M1523" s="99">
        <f>SUMIF(Import!$B:$B,$A1523,Import!H:H)</f>
        <v>133828</v>
      </c>
      <c r="N1523" s="99">
        <f>SUMIF(Import!$B:$B,$A1523,Import!I:I)</f>
        <v>83770.48</v>
      </c>
      <c r="O1523" s="99">
        <f>SUMIF(Import!$B:$B,$A1523,Import!J:J)</f>
        <v>113383</v>
      </c>
      <c r="P1523" s="99">
        <f t="shared" si="1944"/>
        <v>-20445</v>
      </c>
      <c r="Q1523" s="99">
        <f>SUMIF(Import!$B:$B,$A1523,Import!K:K)</f>
        <v>134495</v>
      </c>
      <c r="R1523" s="99">
        <f>SUMIF(Import!$B:$B,$A1523,Import!L:L)</f>
        <v>0</v>
      </c>
      <c r="S1523" s="99">
        <f>SUMIF(Import!$B:$B,$A1523,Import!M:M)</f>
        <v>0</v>
      </c>
      <c r="T1523" s="99">
        <f>SUMIF(Import!$B:$B,$A1523,Import!N:N)</f>
        <v>134495</v>
      </c>
      <c r="U1523" s="99">
        <f t="shared" si="1945"/>
        <v>667</v>
      </c>
      <c r="V1523" s="255">
        <f t="shared" si="1946"/>
        <v>4.9840093254027718E-3</v>
      </c>
      <c r="W1523" s="102" t="s">
        <v>2900</v>
      </c>
      <c r="X1523" s="102"/>
      <c r="Y1523" s="102">
        <f t="shared" si="1947"/>
        <v>134495</v>
      </c>
      <c r="Z1523" s="309">
        <f>Y1523*(1+VLOOKUP($F1523,'GL Category'!$A:$H,4,FALSE))</f>
        <v>139202.32499999998</v>
      </c>
      <c r="AA1523" s="615"/>
      <c r="AB1523" s="622">
        <f t="shared" si="1948"/>
        <v>139202.32499999998</v>
      </c>
      <c r="AC1523" s="633">
        <f>AB1523*(1+VLOOKUP($F1523,'GL Category'!$A:$H,5,FALSE))</f>
        <v>144074.40637499996</v>
      </c>
      <c r="AD1523" s="307"/>
      <c r="AE1523" s="622">
        <f t="shared" si="1949"/>
        <v>144074.40637499996</v>
      </c>
      <c r="AF1523" s="633">
        <f>AE1523*(1+VLOOKUP($F1523,'GL Category'!$A:$H,6,FALSE))</f>
        <v>149117.01059812494</v>
      </c>
      <c r="AG1523" s="307"/>
      <c r="AH1523" s="622">
        <f t="shared" si="1950"/>
        <v>149117.01059812494</v>
      </c>
      <c r="AI1523" s="633">
        <f>AH1523*(1+VLOOKUP($F1523,'GL Category'!$A:$H,7,FALSE))</f>
        <v>154336.10596905931</v>
      </c>
      <c r="AJ1523" s="307"/>
      <c r="AK1523" s="622">
        <f t="shared" si="1951"/>
        <v>154336.10596905931</v>
      </c>
      <c r="AL1523" s="633">
        <f>AK1523*(1+VLOOKUP($F1523,'GL Category'!$A:$H,8,FALSE))</f>
        <v>159737.86967797638</v>
      </c>
      <c r="AM1523" s="307"/>
      <c r="AN1523" s="622">
        <f t="shared" si="1952"/>
        <v>159737.86967797638</v>
      </c>
      <c r="AO1523" s="192"/>
      <c r="AP1523" s="192"/>
      <c r="AQ1523" s="192"/>
    </row>
    <row r="1524" spans="1:59" s="115" customFormat="1" ht="15" customHeight="1">
      <c r="A1524" s="555" t="s">
        <v>2901</v>
      </c>
      <c r="B1524" s="217" t="str">
        <f t="shared" si="1939"/>
        <v>100</v>
      </c>
      <c r="C1524" s="217" t="str">
        <f t="shared" si="1940"/>
        <v>60</v>
      </c>
      <c r="D1524" s="101" t="str">
        <f t="shared" si="1941"/>
        <v>601</v>
      </c>
      <c r="E1524" s="217" t="str">
        <f t="shared" si="1942"/>
        <v>100-60-601</v>
      </c>
      <c r="F1524" s="294" t="str">
        <f t="shared" si="1943"/>
        <v>50111</v>
      </c>
      <c r="G1524" s="295" t="str">
        <f>VLOOKUP(F1524,'GL Category'!A:C,3,FALSE)</f>
        <v>Personnel services</v>
      </c>
      <c r="H1524" s="98" t="str">
        <f>VLOOKUP(F1524,'GL Category'!A:C,2,FALSE)</f>
        <v>LONGEVITY PAY</v>
      </c>
      <c r="I1524" s="99">
        <f>SUMIF(Import!$B:$B,$A1524,Import!D:D)</f>
        <v>3440</v>
      </c>
      <c r="J1524" s="99">
        <f>SUMIF(Import!$B:$B,$A1524,Import!E:E)</f>
        <v>3935</v>
      </c>
      <c r="K1524" s="99">
        <f>SUMIF(Import!$B:$B,$A1524,Import!F:F)</f>
        <v>4535</v>
      </c>
      <c r="L1524" s="99">
        <f>SUMIF(Import!$B:$B,$A1524,Import!G:G)</f>
        <v>4685</v>
      </c>
      <c r="M1524" s="99">
        <f>SUMIF(Import!$B:$B,$A1524,Import!H:H)</f>
        <v>5518</v>
      </c>
      <c r="N1524" s="99">
        <f>SUMIF(Import!$B:$B,$A1524,Import!I:I)</f>
        <v>3250</v>
      </c>
      <c r="O1524" s="99">
        <f>SUMIF(Import!$B:$B,$A1524,Import!J:J)</f>
        <v>3250</v>
      </c>
      <c r="P1524" s="99">
        <f t="shared" si="1944"/>
        <v>-2268</v>
      </c>
      <c r="Q1524" s="99">
        <f>SUMIF(Import!$B:$B,$A1524,Import!K:K)</f>
        <v>5016</v>
      </c>
      <c r="R1524" s="99">
        <f>SUMIF(Import!$B:$B,$A1524,Import!L:L)</f>
        <v>0</v>
      </c>
      <c r="S1524" s="99">
        <f>SUMIF(Import!$B:$B,$A1524,Import!M:M)</f>
        <v>0</v>
      </c>
      <c r="T1524" s="99">
        <f>SUMIF(Import!$B:$B,$A1524,Import!N:N)</f>
        <v>5016</v>
      </c>
      <c r="U1524" s="99">
        <f t="shared" si="1945"/>
        <v>-502</v>
      </c>
      <c r="V1524" s="255">
        <f t="shared" si="1946"/>
        <v>-9.0974990938745948E-2</v>
      </c>
      <c r="W1524" s="102" t="s">
        <v>2901</v>
      </c>
      <c r="X1524" s="102"/>
      <c r="Y1524" s="102">
        <f t="shared" si="1947"/>
        <v>5016</v>
      </c>
      <c r="Z1524" s="309">
        <f>Y1524*(1+VLOOKUP($F1524,'GL Category'!$A:$H,4,FALSE))</f>
        <v>5191.5599999999995</v>
      </c>
      <c r="AA1524" s="615"/>
      <c r="AB1524" s="622">
        <f t="shared" si="1948"/>
        <v>5191.5599999999995</v>
      </c>
      <c r="AC1524" s="633">
        <f>AB1524*(1+VLOOKUP($F1524,'GL Category'!$A:$H,5,FALSE))</f>
        <v>5373.2645999999986</v>
      </c>
      <c r="AD1524" s="307"/>
      <c r="AE1524" s="622">
        <f t="shared" si="1949"/>
        <v>5373.2645999999986</v>
      </c>
      <c r="AF1524" s="633">
        <f>AE1524*(1+VLOOKUP($F1524,'GL Category'!$A:$H,6,FALSE))</f>
        <v>5561.3288609999981</v>
      </c>
      <c r="AG1524" s="307"/>
      <c r="AH1524" s="622">
        <f t="shared" si="1950"/>
        <v>5561.3288609999981</v>
      </c>
      <c r="AI1524" s="633">
        <f>AH1524*(1+VLOOKUP($F1524,'GL Category'!$A:$H,7,FALSE))</f>
        <v>5755.9753711349977</v>
      </c>
      <c r="AJ1524" s="307"/>
      <c r="AK1524" s="622">
        <f t="shared" si="1951"/>
        <v>5755.9753711349977</v>
      </c>
      <c r="AL1524" s="633">
        <f>AK1524*(1+VLOOKUP($F1524,'GL Category'!$A:$H,8,FALSE))</f>
        <v>5957.4345091247224</v>
      </c>
      <c r="AM1524" s="307"/>
      <c r="AN1524" s="622">
        <f t="shared" si="1952"/>
        <v>5957.4345091247224</v>
      </c>
      <c r="AO1524" s="192"/>
      <c r="AP1524" s="192"/>
      <c r="AQ1524" s="192"/>
    </row>
    <row r="1525" spans="1:59" s="115" customFormat="1" ht="15" customHeight="1">
      <c r="A1525" s="555" t="s">
        <v>2902</v>
      </c>
      <c r="B1525" s="217" t="str">
        <f t="shared" si="1939"/>
        <v>100</v>
      </c>
      <c r="C1525" s="217" t="str">
        <f t="shared" si="1940"/>
        <v>60</v>
      </c>
      <c r="D1525" s="101" t="str">
        <f t="shared" si="1941"/>
        <v>601</v>
      </c>
      <c r="E1525" s="217" t="str">
        <f t="shared" si="1942"/>
        <v>100-60-601</v>
      </c>
      <c r="F1525" s="294" t="str">
        <f t="shared" si="1943"/>
        <v>50112</v>
      </c>
      <c r="G1525" s="295" t="str">
        <f>VLOOKUP(F1525,'GL Category'!A:C,3,FALSE)</f>
        <v>Personnel services</v>
      </c>
      <c r="H1525" s="98" t="str">
        <f>VLOOKUP(F1525,'GL Category'!A:C,2,FALSE)</f>
        <v>TEMPORARY/SEASONAL WAGES</v>
      </c>
      <c r="I1525" s="99">
        <f>SUMIF(Import!$B:$B,$A1525,Import!D:D)</f>
        <v>0</v>
      </c>
      <c r="J1525" s="99">
        <f>SUMIF(Import!$B:$B,$A1525,Import!E:E)</f>
        <v>0</v>
      </c>
      <c r="K1525" s="99">
        <f>SUMIF(Import!$B:$B,$A1525,Import!F:F)</f>
        <v>0</v>
      </c>
      <c r="L1525" s="99">
        <f>SUMIF(Import!$B:$B,$A1525,Import!G:G)</f>
        <v>0</v>
      </c>
      <c r="M1525" s="99">
        <f>SUMIF(Import!$B:$B,$A1525,Import!H:H)</f>
        <v>0</v>
      </c>
      <c r="N1525" s="99">
        <f>SUMIF(Import!$B:$B,$A1525,Import!I:I)</f>
        <v>0</v>
      </c>
      <c r="O1525" s="99">
        <f>SUMIF(Import!$B:$B,$A1525,Import!J:J)</f>
        <v>0</v>
      </c>
      <c r="P1525" s="99">
        <f t="shared" si="1944"/>
        <v>0</v>
      </c>
      <c r="Q1525" s="99">
        <f>SUMIF(Import!$B:$B,$A1525,Import!K:K)</f>
        <v>0</v>
      </c>
      <c r="R1525" s="99">
        <f>SUMIF(Import!$B:$B,$A1525,Import!L:L)</f>
        <v>0</v>
      </c>
      <c r="S1525" s="99">
        <f>SUMIF(Import!$B:$B,$A1525,Import!M:M)</f>
        <v>0</v>
      </c>
      <c r="T1525" s="99">
        <f>SUMIF(Import!$B:$B,$A1525,Import!N:N)</f>
        <v>0</v>
      </c>
      <c r="U1525" s="99">
        <f t="shared" si="1945"/>
        <v>0</v>
      </c>
      <c r="V1525" s="255" t="str">
        <f t="shared" si="1946"/>
        <v>N/A</v>
      </c>
      <c r="W1525" s="102" t="s">
        <v>2902</v>
      </c>
      <c r="X1525" s="102"/>
      <c r="Y1525" s="102">
        <f t="shared" si="1947"/>
        <v>0</v>
      </c>
      <c r="Z1525" s="309">
        <f>Y1525*(1+VLOOKUP($F1525,'GL Category'!$A:$H,4,FALSE))</f>
        <v>0</v>
      </c>
      <c r="AA1525" s="615"/>
      <c r="AB1525" s="622">
        <f t="shared" si="1948"/>
        <v>0</v>
      </c>
      <c r="AC1525" s="633">
        <f>AB1525*(1+VLOOKUP($F1525,'GL Category'!$A:$H,5,FALSE))</f>
        <v>0</v>
      </c>
      <c r="AD1525" s="307"/>
      <c r="AE1525" s="622">
        <f t="shared" si="1949"/>
        <v>0</v>
      </c>
      <c r="AF1525" s="633">
        <f>AE1525*(1+VLOOKUP($F1525,'GL Category'!$A:$H,6,FALSE))</f>
        <v>0</v>
      </c>
      <c r="AG1525" s="307"/>
      <c r="AH1525" s="622">
        <f t="shared" si="1950"/>
        <v>0</v>
      </c>
      <c r="AI1525" s="633">
        <f>AH1525*(1+VLOOKUP($F1525,'GL Category'!$A:$H,7,FALSE))</f>
        <v>0</v>
      </c>
      <c r="AJ1525" s="307"/>
      <c r="AK1525" s="622">
        <f t="shared" si="1951"/>
        <v>0</v>
      </c>
      <c r="AL1525" s="633">
        <f>AK1525*(1+VLOOKUP($F1525,'GL Category'!$A:$H,8,FALSE))</f>
        <v>0</v>
      </c>
      <c r="AM1525" s="307"/>
      <c r="AN1525" s="622">
        <f t="shared" si="1952"/>
        <v>0</v>
      </c>
      <c r="AO1525" s="192"/>
      <c r="AP1525" s="192"/>
      <c r="AQ1525" s="192"/>
    </row>
    <row r="1526" spans="1:59" s="115" customFormat="1" ht="15" customHeight="1">
      <c r="A1526" s="555" t="s">
        <v>2903</v>
      </c>
      <c r="B1526" s="217" t="str">
        <f t="shared" si="1939"/>
        <v>100</v>
      </c>
      <c r="C1526" s="217" t="str">
        <f t="shared" si="1940"/>
        <v>60</v>
      </c>
      <c r="D1526" s="101" t="str">
        <f t="shared" si="1941"/>
        <v>601</v>
      </c>
      <c r="E1526" s="217" t="str">
        <f t="shared" si="1942"/>
        <v>100-60-601</v>
      </c>
      <c r="F1526" s="294" t="str">
        <f t="shared" si="1943"/>
        <v>50610</v>
      </c>
      <c r="G1526" s="295" t="str">
        <f>VLOOKUP(F1526,'GL Category'!A:C,3,FALSE)</f>
        <v>Personnel services</v>
      </c>
      <c r="H1526" s="98" t="str">
        <f>VLOOKUP(F1526,'GL Category'!A:C,2,FALSE)</f>
        <v>SOCIAL SECURITY</v>
      </c>
      <c r="I1526" s="99">
        <f>SUMIF(Import!$B:$B,$A1526,Import!D:D)</f>
        <v>51645.68</v>
      </c>
      <c r="J1526" s="99">
        <f>SUMIF(Import!$B:$B,$A1526,Import!E:E)</f>
        <v>55035.78</v>
      </c>
      <c r="K1526" s="99">
        <f>SUMIF(Import!$B:$B,$A1526,Import!F:F)</f>
        <v>58247.42</v>
      </c>
      <c r="L1526" s="99">
        <f>SUMIF(Import!$B:$B,$A1526,Import!G:G)</f>
        <v>59785.32</v>
      </c>
      <c r="M1526" s="99">
        <f>SUMIF(Import!$B:$B,$A1526,Import!H:H)</f>
        <v>63640</v>
      </c>
      <c r="N1526" s="99">
        <f>SUMIF(Import!$B:$B,$A1526,Import!I:I)</f>
        <v>46115.02</v>
      </c>
      <c r="O1526" s="99">
        <f>SUMIF(Import!$B:$B,$A1526,Import!J:J)</f>
        <v>61183</v>
      </c>
      <c r="P1526" s="99">
        <f t="shared" si="1944"/>
        <v>-2457</v>
      </c>
      <c r="Q1526" s="99">
        <f>SUMIF(Import!$B:$B,$A1526,Import!K:K)</f>
        <v>66100</v>
      </c>
      <c r="R1526" s="99">
        <f>SUMIF(Import!$B:$B,$A1526,Import!L:L)</f>
        <v>0</v>
      </c>
      <c r="S1526" s="99">
        <f>SUMIF(Import!$B:$B,$A1526,Import!M:M)</f>
        <v>0</v>
      </c>
      <c r="T1526" s="99">
        <f>SUMIF(Import!$B:$B,$A1526,Import!N:N)</f>
        <v>66100</v>
      </c>
      <c r="U1526" s="99">
        <f t="shared" si="1945"/>
        <v>2460</v>
      </c>
      <c r="V1526" s="255">
        <f t="shared" si="1946"/>
        <v>3.865493400377118E-2</v>
      </c>
      <c r="W1526" s="102" t="s">
        <v>2903</v>
      </c>
      <c r="X1526" s="102"/>
      <c r="Y1526" s="102">
        <f t="shared" si="1947"/>
        <v>66100</v>
      </c>
      <c r="Z1526" s="309">
        <f>Y1526*(1+VLOOKUP($F1526,'GL Category'!$A:$H,4,FALSE))</f>
        <v>68413.5</v>
      </c>
      <c r="AA1526" s="615"/>
      <c r="AB1526" s="622">
        <f t="shared" si="1948"/>
        <v>68413.5</v>
      </c>
      <c r="AC1526" s="633">
        <f>AB1526*(1+VLOOKUP($F1526,'GL Category'!$A:$H,5,FALSE))</f>
        <v>70807.972499999989</v>
      </c>
      <c r="AD1526" s="307"/>
      <c r="AE1526" s="622">
        <f t="shared" si="1949"/>
        <v>70807.972499999989</v>
      </c>
      <c r="AF1526" s="633">
        <f>AE1526*(1+VLOOKUP($F1526,'GL Category'!$A:$H,6,FALSE))</f>
        <v>73286.251537499978</v>
      </c>
      <c r="AG1526" s="307"/>
      <c r="AH1526" s="622">
        <f t="shared" si="1950"/>
        <v>73286.251537499978</v>
      </c>
      <c r="AI1526" s="633">
        <f>AH1526*(1+VLOOKUP($F1526,'GL Category'!$A:$H,7,FALSE))</f>
        <v>75851.270341312469</v>
      </c>
      <c r="AJ1526" s="307"/>
      <c r="AK1526" s="622">
        <f t="shared" si="1951"/>
        <v>75851.270341312469</v>
      </c>
      <c r="AL1526" s="633">
        <f>AK1526*(1+VLOOKUP($F1526,'GL Category'!$A:$H,8,FALSE))</f>
        <v>78506.064803258399</v>
      </c>
      <c r="AM1526" s="307"/>
      <c r="AN1526" s="622">
        <f t="shared" si="1952"/>
        <v>78506.064803258399</v>
      </c>
      <c r="AO1526" s="192"/>
      <c r="AP1526" s="192"/>
      <c r="AQ1526" s="192"/>
    </row>
    <row r="1527" spans="1:59" s="115" customFormat="1" ht="15" customHeight="1">
      <c r="A1527" s="555" t="s">
        <v>2904</v>
      </c>
      <c r="B1527" s="217" t="str">
        <f t="shared" si="1939"/>
        <v>100</v>
      </c>
      <c r="C1527" s="217" t="str">
        <f t="shared" si="1940"/>
        <v>60</v>
      </c>
      <c r="D1527" s="101" t="str">
        <f t="shared" si="1941"/>
        <v>601</v>
      </c>
      <c r="E1527" s="217" t="str">
        <f t="shared" si="1942"/>
        <v>100-60-601</v>
      </c>
      <c r="F1527" s="294" t="str">
        <f t="shared" si="1943"/>
        <v>50620</v>
      </c>
      <c r="G1527" s="295" t="str">
        <f>VLOOKUP(F1527,'GL Category'!A:C,3,FALSE)</f>
        <v>Personnel services</v>
      </c>
      <c r="H1527" s="98" t="str">
        <f>VLOOKUP(F1527,'GL Category'!A:C,2,FALSE)</f>
        <v>HEALTH/LIFE INSURANCE</v>
      </c>
      <c r="I1527" s="99">
        <f>SUMIF(Import!$B:$B,$A1527,Import!D:D)</f>
        <v>80780.509999999995</v>
      </c>
      <c r="J1527" s="99">
        <f>SUMIF(Import!$B:$B,$A1527,Import!E:E)</f>
        <v>89927.7</v>
      </c>
      <c r="K1527" s="99">
        <f>SUMIF(Import!$B:$B,$A1527,Import!F:F)</f>
        <v>115473.08</v>
      </c>
      <c r="L1527" s="99">
        <f>SUMIF(Import!$B:$B,$A1527,Import!G:G)</f>
        <v>128223.13</v>
      </c>
      <c r="M1527" s="99">
        <f>SUMIF(Import!$B:$B,$A1527,Import!H:H)</f>
        <v>118648</v>
      </c>
      <c r="N1527" s="99">
        <f>SUMIF(Import!$B:$B,$A1527,Import!I:I)</f>
        <v>99449.05</v>
      </c>
      <c r="O1527" s="99">
        <f>SUMIF(Import!$B:$B,$A1527,Import!J:J)</f>
        <v>135542</v>
      </c>
      <c r="P1527" s="99">
        <f t="shared" si="1944"/>
        <v>16894</v>
      </c>
      <c r="Q1527" s="99">
        <f>SUMIF(Import!$B:$B,$A1527,Import!K:K)</f>
        <v>128370</v>
      </c>
      <c r="R1527" s="99">
        <f>SUMIF(Import!$B:$B,$A1527,Import!L:L)</f>
        <v>0</v>
      </c>
      <c r="S1527" s="99">
        <f>SUMIF(Import!$B:$B,$A1527,Import!M:M)</f>
        <v>0</v>
      </c>
      <c r="T1527" s="99">
        <f>SUMIF(Import!$B:$B,$A1527,Import!N:N)</f>
        <v>128370</v>
      </c>
      <c r="U1527" s="99">
        <f t="shared" si="1945"/>
        <v>9722</v>
      </c>
      <c r="V1527" s="255">
        <f t="shared" si="1946"/>
        <v>8.1939855707639397E-2</v>
      </c>
      <c r="W1527" s="102" t="s">
        <v>2904</v>
      </c>
      <c r="X1527" s="102"/>
      <c r="Y1527" s="102">
        <f t="shared" si="1947"/>
        <v>128370</v>
      </c>
      <c r="Z1527" s="309">
        <f>Y1527*(1+VLOOKUP($F1527,'GL Category'!$A:$H,4,FALSE))</f>
        <v>132862.94999999998</v>
      </c>
      <c r="AA1527" s="615"/>
      <c r="AB1527" s="622">
        <f t="shared" si="1948"/>
        <v>132862.94999999998</v>
      </c>
      <c r="AC1527" s="633">
        <f>AB1527*(1+VLOOKUP($F1527,'GL Category'!$A:$H,5,FALSE))</f>
        <v>137513.15324999997</v>
      </c>
      <c r="AD1527" s="307"/>
      <c r="AE1527" s="622">
        <f t="shared" si="1949"/>
        <v>137513.15324999997</v>
      </c>
      <c r="AF1527" s="633">
        <f>AE1527*(1+VLOOKUP($F1527,'GL Category'!$A:$H,6,FALSE))</f>
        <v>142326.11361374997</v>
      </c>
      <c r="AG1527" s="307"/>
      <c r="AH1527" s="622">
        <f t="shared" si="1950"/>
        <v>142326.11361374997</v>
      </c>
      <c r="AI1527" s="633">
        <f>AH1527*(1+VLOOKUP($F1527,'GL Category'!$A:$H,7,FALSE))</f>
        <v>147307.52759023121</v>
      </c>
      <c r="AJ1527" s="307"/>
      <c r="AK1527" s="622">
        <f t="shared" si="1951"/>
        <v>147307.52759023121</v>
      </c>
      <c r="AL1527" s="633">
        <f>AK1527*(1+VLOOKUP($F1527,'GL Category'!$A:$H,8,FALSE))</f>
        <v>152463.29105588931</v>
      </c>
      <c r="AM1527" s="307"/>
      <c r="AN1527" s="622">
        <f t="shared" si="1952"/>
        <v>152463.29105588931</v>
      </c>
      <c r="AO1527" s="192"/>
      <c r="AP1527" s="192"/>
      <c r="AQ1527" s="192"/>
    </row>
    <row r="1528" spans="1:59" s="115" customFormat="1" ht="15" customHeight="1">
      <c r="A1528" s="555" t="s">
        <v>2905</v>
      </c>
      <c r="B1528" s="217" t="str">
        <f t="shared" si="1939"/>
        <v>100</v>
      </c>
      <c r="C1528" s="217" t="str">
        <f t="shared" si="1940"/>
        <v>60</v>
      </c>
      <c r="D1528" s="101" t="str">
        <f t="shared" si="1941"/>
        <v>601</v>
      </c>
      <c r="E1528" s="217" t="str">
        <f t="shared" si="1942"/>
        <v>100-60-601</v>
      </c>
      <c r="F1528" s="294" t="str">
        <f t="shared" si="1943"/>
        <v>50630</v>
      </c>
      <c r="G1528" s="295" t="str">
        <f>VLOOKUP(F1528,'GL Category'!A:C,3,FALSE)</f>
        <v>Personnel services</v>
      </c>
      <c r="H1528" s="98" t="str">
        <f>VLOOKUP(F1528,'GL Category'!A:C,2,FALSE)</f>
        <v>WORKER COMPENSATION</v>
      </c>
      <c r="I1528" s="99">
        <f>SUMIF(Import!$B:$B,$A1528,Import!D:D)</f>
        <v>591.86</v>
      </c>
      <c r="J1528" s="99">
        <f>SUMIF(Import!$B:$B,$A1528,Import!E:E)</f>
        <v>637.78</v>
      </c>
      <c r="K1528" s="99">
        <f>SUMIF(Import!$B:$B,$A1528,Import!F:F)</f>
        <v>106.76</v>
      </c>
      <c r="L1528" s="99">
        <f>SUMIF(Import!$B:$B,$A1528,Import!G:G)</f>
        <v>1205.71</v>
      </c>
      <c r="M1528" s="99">
        <f>SUMIF(Import!$B:$B,$A1528,Import!H:H)</f>
        <v>1561</v>
      </c>
      <c r="N1528" s="99">
        <f>SUMIF(Import!$B:$B,$A1528,Import!I:I)</f>
        <v>1559.73</v>
      </c>
      <c r="O1528" s="99">
        <f>SUMIF(Import!$B:$B,$A1528,Import!J:J)</f>
        <v>1560</v>
      </c>
      <c r="P1528" s="99">
        <f t="shared" si="1944"/>
        <v>-1</v>
      </c>
      <c r="Q1528" s="99">
        <f>SUMIF(Import!$B:$B,$A1528,Import!K:K)</f>
        <v>1563</v>
      </c>
      <c r="R1528" s="99">
        <f>SUMIF(Import!$B:$B,$A1528,Import!L:L)</f>
        <v>0</v>
      </c>
      <c r="S1528" s="99">
        <f>SUMIF(Import!$B:$B,$A1528,Import!M:M)</f>
        <v>0</v>
      </c>
      <c r="T1528" s="99">
        <f>SUMIF(Import!$B:$B,$A1528,Import!N:N)</f>
        <v>1563</v>
      </c>
      <c r="U1528" s="99">
        <f t="shared" si="1945"/>
        <v>2</v>
      </c>
      <c r="V1528" s="255">
        <f t="shared" si="1946"/>
        <v>1.2812299807816174E-3</v>
      </c>
      <c r="W1528" s="102" t="s">
        <v>2905</v>
      </c>
      <c r="X1528" s="102"/>
      <c r="Y1528" s="102">
        <f t="shared" si="1947"/>
        <v>1563</v>
      </c>
      <c r="Z1528" s="309">
        <f>Y1528*(1+VLOOKUP($F1528,'GL Category'!$A:$H,4,FALSE))</f>
        <v>1617.7049999999999</v>
      </c>
      <c r="AA1528" s="615"/>
      <c r="AB1528" s="622">
        <f t="shared" si="1948"/>
        <v>1617.7049999999999</v>
      </c>
      <c r="AC1528" s="633">
        <f>AB1528*(1+VLOOKUP($F1528,'GL Category'!$A:$H,5,FALSE))</f>
        <v>1674.3246749999998</v>
      </c>
      <c r="AD1528" s="307"/>
      <c r="AE1528" s="622">
        <f t="shared" si="1949"/>
        <v>1674.3246749999998</v>
      </c>
      <c r="AF1528" s="633">
        <f>AE1528*(1+VLOOKUP($F1528,'GL Category'!$A:$H,6,FALSE))</f>
        <v>1732.9260386249996</v>
      </c>
      <c r="AG1528" s="307"/>
      <c r="AH1528" s="622">
        <f t="shared" si="1950"/>
        <v>1732.9260386249996</v>
      </c>
      <c r="AI1528" s="633">
        <f>AH1528*(1+VLOOKUP($F1528,'GL Category'!$A:$H,7,FALSE))</f>
        <v>1793.5784499768745</v>
      </c>
      <c r="AJ1528" s="307"/>
      <c r="AK1528" s="622">
        <f t="shared" si="1951"/>
        <v>1793.5784499768745</v>
      </c>
      <c r="AL1528" s="633">
        <f>AK1528*(1+VLOOKUP($F1528,'GL Category'!$A:$H,8,FALSE))</f>
        <v>1856.3536957260649</v>
      </c>
      <c r="AM1528" s="307"/>
      <c r="AN1528" s="622">
        <f t="shared" si="1952"/>
        <v>1856.3536957260649</v>
      </c>
      <c r="AO1528" s="192"/>
      <c r="AP1528" s="192"/>
      <c r="AQ1528" s="192"/>
    </row>
    <row r="1529" spans="1:59" s="115" customFormat="1" ht="15" customHeight="1">
      <c r="A1529" s="555" t="s">
        <v>2906</v>
      </c>
      <c r="B1529" s="217" t="str">
        <f t="shared" si="1939"/>
        <v>100</v>
      </c>
      <c r="C1529" s="217" t="str">
        <f t="shared" si="1940"/>
        <v>60</v>
      </c>
      <c r="D1529" s="101" t="str">
        <f t="shared" si="1941"/>
        <v>601</v>
      </c>
      <c r="E1529" s="217" t="str">
        <f t="shared" si="1942"/>
        <v>100-60-601</v>
      </c>
      <c r="F1529" s="294" t="str">
        <f t="shared" si="1943"/>
        <v>50650</v>
      </c>
      <c r="G1529" s="295" t="str">
        <f>VLOOKUP(F1529,'GL Category'!A:C,3,FALSE)</f>
        <v>Personnel services</v>
      </c>
      <c r="H1529" s="98" t="str">
        <f>VLOOKUP(F1529,'GL Category'!A:C,2,FALSE)</f>
        <v>RETIREMENT</v>
      </c>
      <c r="I1529" s="99">
        <f>SUMIF(Import!$B:$B,$A1529,Import!D:D)</f>
        <v>96474.66</v>
      </c>
      <c r="J1529" s="99">
        <f>SUMIF(Import!$B:$B,$A1529,Import!E:E)</f>
        <v>101246.37</v>
      </c>
      <c r="K1529" s="99">
        <f>SUMIF(Import!$B:$B,$A1529,Import!F:F)</f>
        <v>108039.94</v>
      </c>
      <c r="L1529" s="99">
        <f>SUMIF(Import!$B:$B,$A1529,Import!G:G)</f>
        <v>110267.32</v>
      </c>
      <c r="M1529" s="99">
        <f>SUMIF(Import!$B:$B,$A1529,Import!H:H)</f>
        <v>115281</v>
      </c>
      <c r="N1529" s="99">
        <f>SUMIF(Import!$B:$B,$A1529,Import!I:I)</f>
        <v>87876.52</v>
      </c>
      <c r="O1529" s="99">
        <f>SUMIF(Import!$B:$B,$A1529,Import!J:J)</f>
        <v>115442</v>
      </c>
      <c r="P1529" s="99">
        <f t="shared" si="1944"/>
        <v>161</v>
      </c>
      <c r="Q1529" s="99">
        <f>SUMIF(Import!$B:$B,$A1529,Import!K:K)</f>
        <v>123374</v>
      </c>
      <c r="R1529" s="99">
        <f>SUMIF(Import!$B:$B,$A1529,Import!L:L)</f>
        <v>0</v>
      </c>
      <c r="S1529" s="99">
        <f>SUMIF(Import!$B:$B,$A1529,Import!M:M)</f>
        <v>0</v>
      </c>
      <c r="T1529" s="99">
        <f>SUMIF(Import!$B:$B,$A1529,Import!N:N)</f>
        <v>123374</v>
      </c>
      <c r="U1529" s="99">
        <f t="shared" si="1945"/>
        <v>8093</v>
      </c>
      <c r="V1529" s="255">
        <f t="shared" si="1946"/>
        <v>7.0202375066142686E-2</v>
      </c>
      <c r="W1529" s="102" t="s">
        <v>2906</v>
      </c>
      <c r="X1529" s="102"/>
      <c r="Y1529" s="102">
        <f t="shared" si="1947"/>
        <v>123374</v>
      </c>
      <c r="Z1529" s="309">
        <f>Y1529*(1+VLOOKUP($F1529,'GL Category'!$A:$H,4,FALSE))</f>
        <v>127692.09</v>
      </c>
      <c r="AA1529" s="615"/>
      <c r="AB1529" s="622">
        <f t="shared" si="1948"/>
        <v>127692.09</v>
      </c>
      <c r="AC1529" s="633">
        <f>AB1529*(1+VLOOKUP($F1529,'GL Category'!$A:$H,5,FALSE))</f>
        <v>132161.31314999997</v>
      </c>
      <c r="AD1529" s="307"/>
      <c r="AE1529" s="622">
        <f t="shared" si="1949"/>
        <v>132161.31314999997</v>
      </c>
      <c r="AF1529" s="633">
        <f>AE1529*(1+VLOOKUP($F1529,'GL Category'!$A:$H,6,FALSE))</f>
        <v>136786.95911024997</v>
      </c>
      <c r="AG1529" s="307"/>
      <c r="AH1529" s="622">
        <f t="shared" si="1950"/>
        <v>136786.95911024997</v>
      </c>
      <c r="AI1529" s="633">
        <f>AH1529*(1+VLOOKUP($F1529,'GL Category'!$A:$H,7,FALSE))</f>
        <v>141574.5026791087</v>
      </c>
      <c r="AJ1529" s="307"/>
      <c r="AK1529" s="622">
        <f t="shared" si="1951"/>
        <v>141574.5026791087</v>
      </c>
      <c r="AL1529" s="633">
        <f>AK1529*(1+VLOOKUP($F1529,'GL Category'!$A:$H,8,FALSE))</f>
        <v>146529.6102728775</v>
      </c>
      <c r="AM1529" s="307"/>
      <c r="AN1529" s="622">
        <f t="shared" si="1952"/>
        <v>146529.6102728775</v>
      </c>
      <c r="AO1529" s="192"/>
      <c r="AP1529" s="192"/>
      <c r="AQ1529" s="192"/>
    </row>
    <row r="1530" spans="1:59" ht="15" customHeight="1">
      <c r="A1530" s="555"/>
      <c r="B1530" s="217"/>
      <c r="C1530" s="217"/>
      <c r="D1530" s="101"/>
      <c r="E1530" s="217"/>
      <c r="F1530" s="294"/>
      <c r="G1530" s="295"/>
      <c r="H1530" s="107" t="str">
        <f>UPPER(G1529)&amp;" TOTAL"</f>
        <v>PERSONNEL SERVICES TOTAL</v>
      </c>
      <c r="I1530" s="108">
        <f t="shared" ref="I1530" si="1953">SUBTOTAL(9,I1520:I1529)</f>
        <v>912558.01</v>
      </c>
      <c r="J1530" s="108">
        <f t="shared" ref="J1530:P1530" si="1954">SUBTOTAL(9,J1520:J1529)</f>
        <v>981766.44000000006</v>
      </c>
      <c r="K1530" s="108">
        <f t="shared" ref="K1530" si="1955">SUBTOTAL(9,K1520:K1529)</f>
        <v>1055093.0900000001</v>
      </c>
      <c r="L1530" s="108">
        <f t="shared" ref="L1530" si="1956">SUBTOTAL(9,L1520:L1529)</f>
        <v>1106828.99</v>
      </c>
      <c r="M1530" s="108">
        <f t="shared" si="1954"/>
        <v>1127677</v>
      </c>
      <c r="N1530" s="109">
        <f t="shared" ref="N1530" si="1957">SUBTOTAL(9,N1520:N1529)</f>
        <v>849562.70000000007</v>
      </c>
      <c r="O1530" s="109">
        <f t="shared" si="1954"/>
        <v>1123515</v>
      </c>
      <c r="P1530" s="109">
        <f t="shared" si="1954"/>
        <v>-4162</v>
      </c>
      <c r="Q1530" s="109">
        <f t="shared" ref="Q1530:T1530" si="1958">SUBTOTAL(9,Q1520:Q1529)</f>
        <v>1180549</v>
      </c>
      <c r="R1530" s="109">
        <f t="shared" si="1958"/>
        <v>0</v>
      </c>
      <c r="S1530" s="109">
        <f t="shared" si="1958"/>
        <v>0</v>
      </c>
      <c r="T1530" s="109">
        <f t="shared" si="1958"/>
        <v>1180549</v>
      </c>
      <c r="U1530" s="99">
        <f>T1530-M1530</f>
        <v>52872</v>
      </c>
      <c r="V1530" s="255">
        <f>IF(M1530=0,"N/A",T1530/M1530-1)</f>
        <v>4.6885766048256672E-2</v>
      </c>
      <c r="W1530" s="102"/>
      <c r="X1530" s="102"/>
      <c r="Y1530" s="102"/>
      <c r="AA1530" s="615"/>
      <c r="AC1530" s="300"/>
      <c r="AD1530" s="300"/>
      <c r="AE1530" s="300"/>
      <c r="AF1530" s="300"/>
      <c r="AG1530" s="300"/>
      <c r="AJ1530" s="300"/>
      <c r="AK1530" s="300"/>
      <c r="AL1530" s="300"/>
      <c r="AM1530" s="300"/>
      <c r="AN1530" s="300"/>
    </row>
    <row r="1531" spans="1:59" ht="15" customHeight="1">
      <c r="A1531" s="555"/>
      <c r="B1531" s="217"/>
      <c r="C1531" s="217"/>
      <c r="D1531" s="101"/>
      <c r="E1531" s="217"/>
      <c r="F1531" s="294"/>
      <c r="G1531" s="295"/>
      <c r="H1531" s="98"/>
      <c r="I1531" s="106"/>
      <c r="J1531" s="106"/>
      <c r="K1531" s="106"/>
      <c r="L1531" s="106"/>
      <c r="M1531" s="106"/>
      <c r="N1531" s="112"/>
      <c r="O1531" s="112"/>
      <c r="P1531" s="112"/>
      <c r="Q1531" s="113"/>
      <c r="R1531" s="113"/>
      <c r="S1531" s="113"/>
      <c r="T1531" s="113"/>
      <c r="U1531" s="99"/>
      <c r="V1531" s="255"/>
      <c r="W1531" s="102"/>
      <c r="X1531" s="102"/>
      <c r="Y1531" s="102"/>
      <c r="AA1531" s="615"/>
      <c r="AC1531" s="300"/>
      <c r="AD1531" s="300"/>
      <c r="AE1531" s="300"/>
      <c r="AF1531" s="300"/>
      <c r="AG1531" s="300"/>
      <c r="AJ1531" s="300"/>
      <c r="AK1531" s="300"/>
      <c r="AL1531" s="300"/>
      <c r="AM1531" s="300"/>
      <c r="AN1531" s="300"/>
    </row>
    <row r="1532" spans="1:59" ht="15" customHeight="1">
      <c r="A1532" s="555" t="s">
        <v>2907</v>
      </c>
      <c r="B1532" s="217" t="str">
        <f t="shared" si="1939"/>
        <v>100</v>
      </c>
      <c r="C1532" s="217" t="str">
        <f t="shared" si="1940"/>
        <v>60</v>
      </c>
      <c r="D1532" s="101" t="str">
        <f t="shared" si="1941"/>
        <v>601</v>
      </c>
      <c r="E1532" s="217" t="str">
        <f t="shared" si="1942"/>
        <v>100-60-601</v>
      </c>
      <c r="F1532" s="294" t="str">
        <f t="shared" si="1943"/>
        <v>51210</v>
      </c>
      <c r="G1532" s="295" t="str">
        <f>VLOOKUP(F1532,'GL Category'!A:C,3,FALSE)</f>
        <v>Operations &amp; maintenance</v>
      </c>
      <c r="H1532" s="98" t="str">
        <f>VLOOKUP(F1532,'GL Category'!A:C,2,FALSE)</f>
        <v>OFFICE SUPPLIES</v>
      </c>
      <c r="I1532" s="99">
        <f>SUMIF(Import!$B:$B,$A1532,Import!D:D)</f>
        <v>11909.68</v>
      </c>
      <c r="J1532" s="99">
        <f>SUMIF(Import!$B:$B,$A1532,Import!E:E)</f>
        <v>9304.41</v>
      </c>
      <c r="K1532" s="99">
        <f>SUMIF(Import!$B:$B,$A1532,Import!F:F)</f>
        <v>19738.849999999999</v>
      </c>
      <c r="L1532" s="99">
        <f>SUMIF(Import!$B:$B,$A1532,Import!G:G)</f>
        <v>13353.7</v>
      </c>
      <c r="M1532" s="99">
        <f>SUMIF(Import!$B:$B,$A1532,Import!H:H)</f>
        <v>20000</v>
      </c>
      <c r="N1532" s="99">
        <f>SUMIF(Import!$B:$B,$A1532,Import!I:I)</f>
        <v>10449.11</v>
      </c>
      <c r="O1532" s="99">
        <f>SUMIF(Import!$B:$B,$A1532,Import!J:J)</f>
        <v>20000</v>
      </c>
      <c r="P1532" s="99">
        <f t="shared" ref="P1532:P1543" si="1959">O1532-M1532</f>
        <v>0</v>
      </c>
      <c r="Q1532" s="99">
        <f>SUMIF(Import!$B:$B,$A1532,Import!K:K)</f>
        <v>15625</v>
      </c>
      <c r="R1532" s="99">
        <f>SUMIF(Import!$B:$B,$A1532,Import!L:L)</f>
        <v>0</v>
      </c>
      <c r="S1532" s="99">
        <f>SUMIF(Import!$B:$B,$A1532,Import!M:M)</f>
        <v>0</v>
      </c>
      <c r="T1532" s="99">
        <f>SUMIF(Import!$B:$B,$A1532,Import!N:N)</f>
        <v>15625</v>
      </c>
      <c r="U1532" s="99">
        <f t="shared" ref="U1532:U1543" si="1960">T1532-M1532</f>
        <v>-4375</v>
      </c>
      <c r="V1532" s="255">
        <f t="shared" ref="V1532:V1543" si="1961">IF(M1532=0,"N/A",T1532/M1532-1)</f>
        <v>-0.21875</v>
      </c>
      <c r="W1532" s="102" t="s">
        <v>2907</v>
      </c>
      <c r="X1532" s="102"/>
      <c r="Y1532" s="102">
        <f t="shared" ref="Y1532:Y1543" si="1962">T1532-X1532</f>
        <v>15625</v>
      </c>
      <c r="Z1532" s="309">
        <f>Y1532*(1+VLOOKUP($F1532,'GL Category'!$A:$H,4,FALSE))</f>
        <v>15937.5</v>
      </c>
      <c r="AA1532" s="615"/>
      <c r="AB1532" s="622">
        <f t="shared" ref="AB1532:AB1543" si="1963">Z1532+AA1532</f>
        <v>15937.5</v>
      </c>
      <c r="AC1532" s="633">
        <f>AB1532*(1+VLOOKUP($F1532,'GL Category'!$A:$H,5,FALSE))</f>
        <v>16256.25</v>
      </c>
      <c r="AE1532" s="622">
        <f t="shared" ref="AE1532:AE1543" si="1964">AC1532+AD1532</f>
        <v>16256.25</v>
      </c>
      <c r="AF1532" s="633">
        <f>AE1532*(1+VLOOKUP($F1532,'GL Category'!$A:$H,6,FALSE))</f>
        <v>16581.375</v>
      </c>
      <c r="AH1532" s="622">
        <f t="shared" ref="AH1532:AH1543" si="1965">AF1532+AG1532</f>
        <v>16581.375</v>
      </c>
      <c r="AI1532" s="633">
        <f>AH1532*(1+VLOOKUP($F1532,'GL Category'!$A:$H,7,FALSE))</f>
        <v>16913.002499999999</v>
      </c>
      <c r="AK1532" s="622">
        <f t="shared" ref="AK1532:AK1543" si="1966">AI1532+AJ1532</f>
        <v>16913.002499999999</v>
      </c>
      <c r="AL1532" s="633">
        <f>AK1532*(1+VLOOKUP($F1532,'GL Category'!$A:$H,8,FALSE))</f>
        <v>17251.262549999999</v>
      </c>
      <c r="AN1532" s="622">
        <f t="shared" ref="AN1532:AN1543" si="1967">AL1532+AM1532</f>
        <v>17251.262549999999</v>
      </c>
    </row>
    <row r="1533" spans="1:59" s="115" customFormat="1" ht="15" customHeight="1">
      <c r="A1533" s="555" t="s">
        <v>2908</v>
      </c>
      <c r="B1533" s="217" t="str">
        <f t="shared" si="1939"/>
        <v>100</v>
      </c>
      <c r="C1533" s="217" t="str">
        <f t="shared" si="1940"/>
        <v>60</v>
      </c>
      <c r="D1533" s="101" t="str">
        <f t="shared" si="1941"/>
        <v>601</v>
      </c>
      <c r="E1533" s="217" t="str">
        <f t="shared" si="1942"/>
        <v>100-60-601</v>
      </c>
      <c r="F1533" s="294" t="str">
        <f t="shared" si="1943"/>
        <v>51225</v>
      </c>
      <c r="G1533" s="295" t="str">
        <f>VLOOKUP(F1533,'GL Category'!A:C,3,FALSE)</f>
        <v>Operations &amp; maintenance</v>
      </c>
      <c r="H1533" s="98" t="str">
        <f>VLOOKUP(F1533,'GL Category'!A:C,2,FALSE)</f>
        <v>JANITORIAL SUPPLIES</v>
      </c>
      <c r="I1533" s="99">
        <f>SUMIF(Import!$B:$B,$A1533,Import!D:D)</f>
        <v>2615.1</v>
      </c>
      <c r="J1533" s="99">
        <f>SUMIF(Import!$B:$B,$A1533,Import!E:E)</f>
        <v>3941.57</v>
      </c>
      <c r="K1533" s="99">
        <f>SUMIF(Import!$B:$B,$A1533,Import!F:F)</f>
        <v>3258.55</v>
      </c>
      <c r="L1533" s="99">
        <f>SUMIF(Import!$B:$B,$A1533,Import!G:G)</f>
        <v>4325.42</v>
      </c>
      <c r="M1533" s="99">
        <f>SUMIF(Import!$B:$B,$A1533,Import!H:H)</f>
        <v>4500</v>
      </c>
      <c r="N1533" s="99">
        <f>SUMIF(Import!$B:$B,$A1533,Import!I:I)</f>
        <v>3518.44</v>
      </c>
      <c r="O1533" s="99">
        <f>SUMIF(Import!$B:$B,$A1533,Import!J:J)</f>
        <v>4500</v>
      </c>
      <c r="P1533" s="99">
        <f t="shared" si="1959"/>
        <v>0</v>
      </c>
      <c r="Q1533" s="99">
        <f>SUMIF(Import!$B:$B,$A1533,Import!K:K)</f>
        <v>5500</v>
      </c>
      <c r="R1533" s="99">
        <f>SUMIF(Import!$B:$B,$A1533,Import!L:L)</f>
        <v>0</v>
      </c>
      <c r="S1533" s="99">
        <f>SUMIF(Import!$B:$B,$A1533,Import!M:M)</f>
        <v>0</v>
      </c>
      <c r="T1533" s="99">
        <f>SUMIF(Import!$B:$B,$A1533,Import!N:N)</f>
        <v>5500</v>
      </c>
      <c r="U1533" s="99">
        <f t="shared" si="1960"/>
        <v>1000</v>
      </c>
      <c r="V1533" s="255">
        <f t="shared" si="1961"/>
        <v>0.22222222222222232</v>
      </c>
      <c r="W1533" s="102" t="s">
        <v>2908</v>
      </c>
      <c r="X1533" s="102"/>
      <c r="Y1533" s="102">
        <f t="shared" si="1962"/>
        <v>5500</v>
      </c>
      <c r="Z1533" s="309">
        <f>Y1533*(1+VLOOKUP($F1533,'GL Category'!$A:$H,4,FALSE))</f>
        <v>5610</v>
      </c>
      <c r="AA1533" s="615"/>
      <c r="AB1533" s="622">
        <f t="shared" si="1963"/>
        <v>5610</v>
      </c>
      <c r="AC1533" s="633">
        <f>AB1533*(1+VLOOKUP($F1533,'GL Category'!$A:$H,5,FALSE))</f>
        <v>5722.2</v>
      </c>
      <c r="AD1533" s="307"/>
      <c r="AE1533" s="622">
        <f t="shared" si="1964"/>
        <v>5722.2</v>
      </c>
      <c r="AF1533" s="633">
        <f>AE1533*(1+VLOOKUP($F1533,'GL Category'!$A:$H,6,FALSE))</f>
        <v>5836.6440000000002</v>
      </c>
      <c r="AG1533" s="307"/>
      <c r="AH1533" s="622">
        <f t="shared" si="1965"/>
        <v>5836.6440000000002</v>
      </c>
      <c r="AI1533" s="633">
        <f>AH1533*(1+VLOOKUP($F1533,'GL Category'!$A:$H,7,FALSE))</f>
        <v>5953.3768800000007</v>
      </c>
      <c r="AJ1533" s="307"/>
      <c r="AK1533" s="622">
        <f t="shared" si="1966"/>
        <v>5953.3768800000007</v>
      </c>
      <c r="AL1533" s="633">
        <f>AK1533*(1+VLOOKUP($F1533,'GL Category'!$A:$H,8,FALSE))</f>
        <v>6072.4444176000006</v>
      </c>
      <c r="AM1533" s="307"/>
      <c r="AN1533" s="622">
        <f t="shared" si="1967"/>
        <v>6072.4444176000006</v>
      </c>
      <c r="AO1533" s="192"/>
      <c r="AP1533" s="192"/>
      <c r="AQ1533" s="192"/>
    </row>
    <row r="1534" spans="1:59" s="75" customFormat="1" ht="15" customHeight="1">
      <c r="A1534" s="555" t="s">
        <v>2909</v>
      </c>
      <c r="B1534" s="217" t="str">
        <f t="shared" si="1939"/>
        <v>100</v>
      </c>
      <c r="C1534" s="217" t="str">
        <f t="shared" si="1940"/>
        <v>60</v>
      </c>
      <c r="D1534" s="101" t="str">
        <f t="shared" si="1941"/>
        <v>601</v>
      </c>
      <c r="E1534" s="217" t="str">
        <f t="shared" si="1942"/>
        <v>100-60-601</v>
      </c>
      <c r="F1534" s="294" t="str">
        <f t="shared" si="1943"/>
        <v>51241</v>
      </c>
      <c r="G1534" s="295" t="str">
        <f>VLOOKUP(F1534,'GL Category'!A:C,3,FALSE)</f>
        <v>Operations &amp; maintenance</v>
      </c>
      <c r="H1534" s="98" t="str">
        <f>VLOOKUP(F1534,'GL Category'!A:C,2,FALSE)</f>
        <v>LIBRARY MATERIALS</v>
      </c>
      <c r="I1534" s="99">
        <f>SUMIF(Import!$B:$B,$A1534,Import!D:D)</f>
        <v>123897.73</v>
      </c>
      <c r="J1534" s="99">
        <f>SUMIF(Import!$B:$B,$A1534,Import!E:E)</f>
        <v>122341.32</v>
      </c>
      <c r="K1534" s="99">
        <f>SUMIF(Import!$B:$B,$A1534,Import!F:F)</f>
        <v>139519.67000000001</v>
      </c>
      <c r="L1534" s="99">
        <f>SUMIF(Import!$B:$B,$A1534,Import!G:G)</f>
        <v>150279.81</v>
      </c>
      <c r="M1534" s="99">
        <f>SUMIF(Import!$B:$B,$A1534,Import!H:H)</f>
        <v>148000</v>
      </c>
      <c r="N1534" s="99">
        <f>SUMIF(Import!$B:$B,$A1534,Import!I:I)</f>
        <v>87257.279999999999</v>
      </c>
      <c r="O1534" s="99">
        <f>SUMIF(Import!$B:$B,$A1534,Import!J:J)</f>
        <v>148000</v>
      </c>
      <c r="P1534" s="99">
        <f t="shared" si="1959"/>
        <v>0</v>
      </c>
      <c r="Q1534" s="99">
        <f>SUMIF(Import!$B:$B,$A1534,Import!K:K)</f>
        <v>145150</v>
      </c>
      <c r="R1534" s="99">
        <f>SUMIF(Import!$B:$B,$A1534,Import!L:L)</f>
        <v>0</v>
      </c>
      <c r="S1534" s="99">
        <f>SUMIF(Import!$B:$B,$A1534,Import!M:M)</f>
        <v>0</v>
      </c>
      <c r="T1534" s="99">
        <f>SUMIF(Import!$B:$B,$A1534,Import!N:N)</f>
        <v>145150</v>
      </c>
      <c r="U1534" s="99">
        <f t="shared" si="1960"/>
        <v>-2850</v>
      </c>
      <c r="V1534" s="255">
        <f t="shared" si="1961"/>
        <v>-1.9256756756756754E-2</v>
      </c>
      <c r="W1534" s="102" t="s">
        <v>2909</v>
      </c>
      <c r="X1534" s="102"/>
      <c r="Y1534" s="102">
        <f t="shared" si="1962"/>
        <v>145150</v>
      </c>
      <c r="Z1534" s="309">
        <f>Y1534*(1+VLOOKUP($F1534,'GL Category'!$A:$H,4,FALSE))</f>
        <v>148053</v>
      </c>
      <c r="AA1534" s="615"/>
      <c r="AB1534" s="622">
        <f t="shared" si="1963"/>
        <v>148053</v>
      </c>
      <c r="AC1534" s="633">
        <f>AB1534*(1+VLOOKUP($F1534,'GL Category'!$A:$H,5,FALSE))</f>
        <v>151014.06</v>
      </c>
      <c r="AD1534" s="307"/>
      <c r="AE1534" s="622">
        <f t="shared" si="1964"/>
        <v>151014.06</v>
      </c>
      <c r="AF1534" s="633">
        <f>AE1534*(1+VLOOKUP($F1534,'GL Category'!$A:$H,6,FALSE))</f>
        <v>154034.3412</v>
      </c>
      <c r="AG1534" s="307"/>
      <c r="AH1534" s="622">
        <f t="shared" si="1965"/>
        <v>154034.3412</v>
      </c>
      <c r="AI1534" s="633">
        <f>AH1534*(1+VLOOKUP($F1534,'GL Category'!$A:$H,7,FALSE))</f>
        <v>157115.028024</v>
      </c>
      <c r="AJ1534" s="307"/>
      <c r="AK1534" s="622">
        <f t="shared" si="1966"/>
        <v>157115.028024</v>
      </c>
      <c r="AL1534" s="633">
        <f>AK1534*(1+VLOOKUP($F1534,'GL Category'!$A:$H,8,FALSE))</f>
        <v>160257.32858448001</v>
      </c>
      <c r="AM1534" s="307"/>
      <c r="AN1534" s="622">
        <f t="shared" si="1967"/>
        <v>160257.32858448001</v>
      </c>
      <c r="AO1534" s="192"/>
      <c r="AP1534" s="192"/>
      <c r="AQ1534" s="192"/>
      <c r="AR1534" s="115"/>
      <c r="AS1534" s="115"/>
      <c r="AT1534" s="115"/>
      <c r="AU1534" s="115"/>
      <c r="AV1534" s="115"/>
      <c r="AW1534" s="115"/>
      <c r="AX1534" s="115"/>
      <c r="AY1534" s="115"/>
      <c r="AZ1534" s="115"/>
      <c r="BA1534" s="115"/>
      <c r="BB1534" s="115"/>
      <c r="BC1534" s="115"/>
      <c r="BD1534" s="115"/>
      <c r="BE1534" s="74"/>
      <c r="BF1534" s="74"/>
      <c r="BG1534" s="74"/>
    </row>
    <row r="1535" spans="1:59" ht="15" customHeight="1">
      <c r="A1535" s="555" t="s">
        <v>2910</v>
      </c>
      <c r="B1535" s="217" t="str">
        <f t="shared" si="1939"/>
        <v>100</v>
      </c>
      <c r="C1535" s="217" t="str">
        <f t="shared" si="1940"/>
        <v>60</v>
      </c>
      <c r="D1535" s="101" t="str">
        <f t="shared" si="1941"/>
        <v>601</v>
      </c>
      <c r="E1535" s="217" t="str">
        <f t="shared" si="1942"/>
        <v>100-60-601</v>
      </c>
      <c r="F1535" s="294" t="str">
        <f t="shared" si="1943"/>
        <v>51245</v>
      </c>
      <c r="G1535" s="295" t="str">
        <f>VLOOKUP(F1535,'GL Category'!A:C,3,FALSE)</f>
        <v>Operations &amp; maintenance</v>
      </c>
      <c r="H1535" s="98" t="str">
        <f>VLOOKUP(F1535,'GL Category'!A:C,2,FALSE)</f>
        <v>SMALL TOOLS &amp; EQUIPMENT</v>
      </c>
      <c r="I1535" s="99">
        <f>SUMIF(Import!$B:$B,$A1535,Import!D:D)</f>
        <v>10330.120000000001</v>
      </c>
      <c r="J1535" s="99">
        <f>SUMIF(Import!$B:$B,$A1535,Import!E:E)</f>
        <v>7400.07</v>
      </c>
      <c r="K1535" s="99">
        <f>SUMIF(Import!$B:$B,$A1535,Import!F:F)</f>
        <v>12058.61</v>
      </c>
      <c r="L1535" s="99">
        <f>SUMIF(Import!$B:$B,$A1535,Import!G:G)</f>
        <v>11876.37</v>
      </c>
      <c r="M1535" s="99">
        <f>SUMIF(Import!$B:$B,$A1535,Import!H:H)</f>
        <v>23000</v>
      </c>
      <c r="N1535" s="99">
        <f>SUMIF(Import!$B:$B,$A1535,Import!I:I)</f>
        <v>7331.85</v>
      </c>
      <c r="O1535" s="99">
        <f>SUMIF(Import!$B:$B,$A1535,Import!J:J)</f>
        <v>23000</v>
      </c>
      <c r="P1535" s="99">
        <f t="shared" si="1959"/>
        <v>0</v>
      </c>
      <c r="Q1535" s="99">
        <f>SUMIF(Import!$B:$B,$A1535,Import!K:K)</f>
        <v>13000</v>
      </c>
      <c r="R1535" s="99">
        <f>SUMIF(Import!$B:$B,$A1535,Import!L:L)</f>
        <v>0</v>
      </c>
      <c r="S1535" s="576">
        <f>SUMIF(Import!$B:$B,$A1535,Import!M:M)</f>
        <v>0</v>
      </c>
      <c r="T1535" s="99">
        <f>SUMIF(Import!$B:$B,$A1535,Import!N:N)</f>
        <v>13000</v>
      </c>
      <c r="U1535" s="99">
        <f t="shared" si="1960"/>
        <v>-10000</v>
      </c>
      <c r="V1535" s="255">
        <f t="shared" si="1961"/>
        <v>-0.43478260869565222</v>
      </c>
      <c r="W1535" s="102" t="s">
        <v>2910</v>
      </c>
      <c r="X1535" s="102"/>
      <c r="Y1535" s="102">
        <f t="shared" si="1962"/>
        <v>13000</v>
      </c>
      <c r="Z1535" s="309">
        <f>Y1535*(1+VLOOKUP($F1535,'GL Category'!$A:$H,4,FALSE))</f>
        <v>13260</v>
      </c>
      <c r="AA1535" s="615"/>
      <c r="AB1535" s="622">
        <f t="shared" si="1963"/>
        <v>13260</v>
      </c>
      <c r="AC1535" s="633">
        <f>AB1535*(1+VLOOKUP($F1535,'GL Category'!$A:$H,5,FALSE))</f>
        <v>13525.2</v>
      </c>
      <c r="AE1535" s="622">
        <f t="shared" si="1964"/>
        <v>13525.2</v>
      </c>
      <c r="AF1535" s="633">
        <f>AE1535*(1+VLOOKUP($F1535,'GL Category'!$A:$H,6,FALSE))</f>
        <v>13795.704000000002</v>
      </c>
      <c r="AH1535" s="622">
        <f t="shared" si="1965"/>
        <v>13795.704000000002</v>
      </c>
      <c r="AI1535" s="633">
        <f>AH1535*(1+VLOOKUP($F1535,'GL Category'!$A:$H,7,FALSE))</f>
        <v>14071.618080000002</v>
      </c>
      <c r="AK1535" s="622">
        <f t="shared" si="1966"/>
        <v>14071.618080000002</v>
      </c>
      <c r="AL1535" s="633">
        <f>AK1535*(1+VLOOKUP($F1535,'GL Category'!$A:$H,8,FALSE))</f>
        <v>14353.050441600002</v>
      </c>
      <c r="AN1535" s="622">
        <f t="shared" si="1967"/>
        <v>14353.050441600002</v>
      </c>
    </row>
    <row r="1536" spans="1:59" ht="15" customHeight="1">
      <c r="A1536" s="555" t="s">
        <v>2911</v>
      </c>
      <c r="B1536" s="217" t="str">
        <f t="shared" si="1939"/>
        <v>100</v>
      </c>
      <c r="C1536" s="217" t="str">
        <f t="shared" si="1940"/>
        <v>60</v>
      </c>
      <c r="D1536" s="101" t="str">
        <f t="shared" si="1941"/>
        <v>601</v>
      </c>
      <c r="E1536" s="217" t="str">
        <f t="shared" si="1942"/>
        <v>100-60-601</v>
      </c>
      <c r="F1536" s="294" t="str">
        <f t="shared" si="1943"/>
        <v>51260</v>
      </c>
      <c r="G1536" s="295" t="str">
        <f>VLOOKUP(F1536,'GL Category'!A:C,3,FALSE)</f>
        <v>Operations &amp; maintenance</v>
      </c>
      <c r="H1536" s="98" t="str">
        <f>VLOOKUP(F1536,'GL Category'!A:C,2,FALSE)</f>
        <v>EDUCATION/RECREATION SUPPLIES</v>
      </c>
      <c r="I1536" s="99">
        <f>SUMIF(Import!$B:$B,$A1536,Import!D:D)</f>
        <v>753.34</v>
      </c>
      <c r="J1536" s="99">
        <f>SUMIF(Import!$B:$B,$A1536,Import!E:E)</f>
        <v>233</v>
      </c>
      <c r="K1536" s="99">
        <f>SUMIF(Import!$B:$B,$A1536,Import!F:F)</f>
        <v>1144.57</v>
      </c>
      <c r="L1536" s="99">
        <f>SUMIF(Import!$B:$B,$A1536,Import!G:G)</f>
        <v>717.52</v>
      </c>
      <c r="M1536" s="99">
        <f>SUMIF(Import!$B:$B,$A1536,Import!H:H)</f>
        <v>3000</v>
      </c>
      <c r="N1536" s="99">
        <f>SUMIF(Import!$B:$B,$A1536,Import!I:I)</f>
        <v>1140.97</v>
      </c>
      <c r="O1536" s="99">
        <f>SUMIF(Import!$B:$B,$A1536,Import!J:J)</f>
        <v>3000</v>
      </c>
      <c r="P1536" s="99">
        <f t="shared" si="1959"/>
        <v>0</v>
      </c>
      <c r="Q1536" s="99">
        <f>SUMIF(Import!$B:$B,$A1536,Import!K:K)</f>
        <v>800</v>
      </c>
      <c r="R1536" s="99">
        <f>SUMIF(Import!$B:$B,$A1536,Import!L:L)</f>
        <v>0</v>
      </c>
      <c r="S1536" s="99">
        <f>SUMIF(Import!$B:$B,$A1536,Import!M:M)</f>
        <v>0</v>
      </c>
      <c r="T1536" s="99">
        <f>SUMIF(Import!$B:$B,$A1536,Import!N:N)</f>
        <v>800</v>
      </c>
      <c r="U1536" s="99">
        <f t="shared" si="1960"/>
        <v>-2200</v>
      </c>
      <c r="V1536" s="255">
        <f t="shared" si="1961"/>
        <v>-0.73333333333333339</v>
      </c>
      <c r="W1536" s="102" t="s">
        <v>2911</v>
      </c>
      <c r="X1536" s="102"/>
      <c r="Y1536" s="102">
        <f t="shared" si="1962"/>
        <v>800</v>
      </c>
      <c r="Z1536" s="309">
        <f>Y1536*(1+VLOOKUP($F1536,'GL Category'!$A:$H,4,FALSE))</f>
        <v>816</v>
      </c>
      <c r="AA1536" s="615"/>
      <c r="AB1536" s="622">
        <f t="shared" si="1963"/>
        <v>816</v>
      </c>
      <c r="AC1536" s="633">
        <f>AB1536*(1+VLOOKUP($F1536,'GL Category'!$A:$H,5,FALSE))</f>
        <v>832.32</v>
      </c>
      <c r="AE1536" s="622">
        <f t="shared" si="1964"/>
        <v>832.32</v>
      </c>
      <c r="AF1536" s="633">
        <f>AE1536*(1+VLOOKUP($F1536,'GL Category'!$A:$H,6,FALSE))</f>
        <v>848.96640000000002</v>
      </c>
      <c r="AH1536" s="622">
        <f t="shared" si="1965"/>
        <v>848.96640000000002</v>
      </c>
      <c r="AI1536" s="633">
        <f>AH1536*(1+VLOOKUP($F1536,'GL Category'!$A:$H,7,FALSE))</f>
        <v>865.94572800000003</v>
      </c>
      <c r="AK1536" s="622">
        <f t="shared" si="1966"/>
        <v>865.94572800000003</v>
      </c>
      <c r="AL1536" s="633">
        <f>AK1536*(1+VLOOKUP($F1536,'GL Category'!$A:$H,8,FALSE))</f>
        <v>883.26464256000008</v>
      </c>
      <c r="AN1536" s="622">
        <f t="shared" si="1967"/>
        <v>883.26464256000008</v>
      </c>
    </row>
    <row r="1537" spans="1:43" ht="15" customHeight="1">
      <c r="A1537" s="555" t="s">
        <v>2912</v>
      </c>
      <c r="B1537" s="217" t="str">
        <f t="shared" si="1939"/>
        <v>100</v>
      </c>
      <c r="C1537" s="217" t="str">
        <f t="shared" si="1940"/>
        <v>60</v>
      </c>
      <c r="D1537" s="101" t="str">
        <f t="shared" si="1941"/>
        <v>601</v>
      </c>
      <c r="E1537" s="217" t="str">
        <f t="shared" si="1942"/>
        <v>100-60-601</v>
      </c>
      <c r="F1537" s="294" t="str">
        <f t="shared" si="1943"/>
        <v>51271</v>
      </c>
      <c r="G1537" s="295" t="str">
        <f>VLOOKUP(F1537,'GL Category'!A:C,3,FALSE)</f>
        <v>Operations &amp; maintenance</v>
      </c>
      <c r="H1537" s="98" t="str">
        <f>VLOOKUP(F1537,'GL Category'!A:C,2,FALSE)</f>
        <v>BUILDING MATERIALS &amp; SUPPLIES</v>
      </c>
      <c r="I1537" s="99">
        <f>SUMIF(Import!$B:$B,$A1537,Import!D:D)</f>
        <v>1143.21</v>
      </c>
      <c r="J1537" s="99">
        <f>SUMIF(Import!$B:$B,$A1537,Import!E:E)</f>
        <v>287.79000000000002</v>
      </c>
      <c r="K1537" s="99">
        <f>SUMIF(Import!$B:$B,$A1537,Import!F:F)</f>
        <v>1220.76</v>
      </c>
      <c r="L1537" s="99">
        <f>SUMIF(Import!$B:$B,$A1537,Import!G:G)</f>
        <v>1189.93</v>
      </c>
      <c r="M1537" s="99">
        <f>SUMIF(Import!$B:$B,$A1537,Import!H:H)</f>
        <v>1650</v>
      </c>
      <c r="N1537" s="99">
        <f>SUMIF(Import!$B:$B,$A1537,Import!I:I)</f>
        <v>2038.29</v>
      </c>
      <c r="O1537" s="99">
        <f>SUMIF(Import!$B:$B,$A1537,Import!J:J)</f>
        <v>1650</v>
      </c>
      <c r="P1537" s="99">
        <f t="shared" si="1959"/>
        <v>0</v>
      </c>
      <c r="Q1537" s="99">
        <f>SUMIF(Import!$B:$B,$A1537,Import!K:K)</f>
        <v>1650</v>
      </c>
      <c r="R1537" s="99">
        <f>SUMIF(Import!$B:$B,$A1537,Import!L:L)</f>
        <v>0</v>
      </c>
      <c r="S1537" s="99">
        <f>SUMIF(Import!$B:$B,$A1537,Import!M:M)</f>
        <v>0</v>
      </c>
      <c r="T1537" s="99">
        <f>SUMIF(Import!$B:$B,$A1537,Import!N:N)</f>
        <v>1650</v>
      </c>
      <c r="U1537" s="99">
        <f t="shared" si="1960"/>
        <v>0</v>
      </c>
      <c r="V1537" s="255">
        <f t="shared" si="1961"/>
        <v>0</v>
      </c>
      <c r="W1537" s="102" t="s">
        <v>2912</v>
      </c>
      <c r="X1537" s="102"/>
      <c r="Y1537" s="102">
        <f t="shared" si="1962"/>
        <v>1650</v>
      </c>
      <c r="Z1537" s="309">
        <f>Y1537*(1+VLOOKUP($F1537,'GL Category'!$A:$H,4,FALSE))</f>
        <v>1683</v>
      </c>
      <c r="AA1537" s="615"/>
      <c r="AB1537" s="622">
        <f t="shared" si="1963"/>
        <v>1683</v>
      </c>
      <c r="AC1537" s="633">
        <f>AB1537*(1+VLOOKUP($F1537,'GL Category'!$A:$H,5,FALSE))</f>
        <v>1716.66</v>
      </c>
      <c r="AE1537" s="622">
        <f t="shared" si="1964"/>
        <v>1716.66</v>
      </c>
      <c r="AF1537" s="633">
        <f>AE1537*(1+VLOOKUP($F1537,'GL Category'!$A:$H,6,FALSE))</f>
        <v>1750.9932000000001</v>
      </c>
      <c r="AH1537" s="622">
        <f t="shared" si="1965"/>
        <v>1750.9932000000001</v>
      </c>
      <c r="AI1537" s="633">
        <f>AH1537*(1+VLOOKUP($F1537,'GL Category'!$A:$H,7,FALSE))</f>
        <v>1786.0130640000002</v>
      </c>
      <c r="AK1537" s="622">
        <f t="shared" si="1966"/>
        <v>1786.0130640000002</v>
      </c>
      <c r="AL1537" s="633">
        <f>AK1537*(1+VLOOKUP($F1537,'GL Category'!$A:$H,8,FALSE))</f>
        <v>1821.7333252800001</v>
      </c>
      <c r="AN1537" s="622">
        <f t="shared" si="1967"/>
        <v>1821.7333252800001</v>
      </c>
    </row>
    <row r="1538" spans="1:43" ht="15" customHeight="1">
      <c r="A1538" s="555" t="s">
        <v>2913</v>
      </c>
      <c r="B1538" s="217" t="str">
        <f t="shared" si="1939"/>
        <v>100</v>
      </c>
      <c r="C1538" s="217" t="str">
        <f t="shared" si="1940"/>
        <v>60</v>
      </c>
      <c r="D1538" s="101" t="str">
        <f t="shared" si="1941"/>
        <v>601</v>
      </c>
      <c r="E1538" s="217" t="str">
        <f t="shared" si="1942"/>
        <v>100-60-601</v>
      </c>
      <c r="F1538" s="294" t="str">
        <f t="shared" si="1943"/>
        <v>51285</v>
      </c>
      <c r="G1538" s="295" t="str">
        <f>VLOOKUP(F1538,'GL Category'!A:C,3,FALSE)</f>
        <v>Operations &amp; maintenance</v>
      </c>
      <c r="H1538" s="98" t="str">
        <f>VLOOKUP(F1538,'GL Category'!A:C,2,FALSE)</f>
        <v>WEARING APPAREL</v>
      </c>
      <c r="I1538" s="99">
        <f>SUMIF(Import!$B:$B,$A1538,Import!D:D)</f>
        <v>1056.3499999999999</v>
      </c>
      <c r="J1538" s="99">
        <f>SUMIF(Import!$B:$B,$A1538,Import!E:E)</f>
        <v>1150.08</v>
      </c>
      <c r="K1538" s="99">
        <f>SUMIF(Import!$B:$B,$A1538,Import!F:F)</f>
        <v>860.24</v>
      </c>
      <c r="L1538" s="99">
        <f>SUMIF(Import!$B:$B,$A1538,Import!G:G)</f>
        <v>1099.03</v>
      </c>
      <c r="M1538" s="99">
        <f>SUMIF(Import!$B:$B,$A1538,Import!H:H)</f>
        <v>1000</v>
      </c>
      <c r="N1538" s="99">
        <f>SUMIF(Import!$B:$B,$A1538,Import!I:I)</f>
        <v>627.61</v>
      </c>
      <c r="O1538" s="99">
        <f>SUMIF(Import!$B:$B,$A1538,Import!J:J)</f>
        <v>1000</v>
      </c>
      <c r="P1538" s="99">
        <f t="shared" si="1959"/>
        <v>0</v>
      </c>
      <c r="Q1538" s="99">
        <f>SUMIF(Import!$B:$B,$A1538,Import!K:K)</f>
        <v>1000</v>
      </c>
      <c r="R1538" s="99">
        <f>SUMIF(Import!$B:$B,$A1538,Import!L:L)</f>
        <v>0</v>
      </c>
      <c r="S1538" s="99">
        <f>SUMIF(Import!$B:$B,$A1538,Import!M:M)</f>
        <v>0</v>
      </c>
      <c r="T1538" s="99">
        <f>SUMIF(Import!$B:$B,$A1538,Import!N:N)</f>
        <v>1000</v>
      </c>
      <c r="U1538" s="99">
        <f t="shared" si="1960"/>
        <v>0</v>
      </c>
      <c r="V1538" s="255">
        <f t="shared" si="1961"/>
        <v>0</v>
      </c>
      <c r="W1538" s="102" t="s">
        <v>2913</v>
      </c>
      <c r="X1538" s="102"/>
      <c r="Y1538" s="102">
        <f t="shared" si="1962"/>
        <v>1000</v>
      </c>
      <c r="Z1538" s="309">
        <f>Y1538*(1+VLOOKUP($F1538,'GL Category'!$A:$H,4,FALSE))</f>
        <v>1020</v>
      </c>
      <c r="AA1538" s="615"/>
      <c r="AB1538" s="622">
        <f t="shared" si="1963"/>
        <v>1020</v>
      </c>
      <c r="AC1538" s="633">
        <f>AB1538*(1+VLOOKUP($F1538,'GL Category'!$A:$H,5,FALSE))</f>
        <v>1040.4000000000001</v>
      </c>
      <c r="AE1538" s="622">
        <f t="shared" si="1964"/>
        <v>1040.4000000000001</v>
      </c>
      <c r="AF1538" s="633">
        <f>AE1538*(1+VLOOKUP($F1538,'GL Category'!$A:$H,6,FALSE))</f>
        <v>1061.2080000000001</v>
      </c>
      <c r="AH1538" s="622">
        <f t="shared" si="1965"/>
        <v>1061.2080000000001</v>
      </c>
      <c r="AI1538" s="633">
        <f>AH1538*(1+VLOOKUP($F1538,'GL Category'!$A:$H,7,FALSE))</f>
        <v>1082.4321600000001</v>
      </c>
      <c r="AK1538" s="622">
        <f t="shared" si="1966"/>
        <v>1082.4321600000001</v>
      </c>
      <c r="AL1538" s="633">
        <f>AK1538*(1+VLOOKUP($F1538,'GL Category'!$A:$H,8,FALSE))</f>
        <v>1104.0808032</v>
      </c>
      <c r="AN1538" s="622">
        <f t="shared" si="1967"/>
        <v>1104.0808032</v>
      </c>
    </row>
    <row r="1539" spans="1:43" ht="15" customHeight="1">
      <c r="A1539" s="555" t="s">
        <v>2914</v>
      </c>
      <c r="B1539" s="217" t="str">
        <f t="shared" si="1939"/>
        <v>100</v>
      </c>
      <c r="C1539" s="217" t="str">
        <f t="shared" si="1940"/>
        <v>60</v>
      </c>
      <c r="D1539" s="101" t="str">
        <f t="shared" si="1941"/>
        <v>601</v>
      </c>
      <c r="E1539" s="217" t="str">
        <f t="shared" si="1942"/>
        <v>100-60-601</v>
      </c>
      <c r="F1539" s="294" t="str">
        <f t="shared" si="1943"/>
        <v>51299</v>
      </c>
      <c r="G1539" s="295" t="str">
        <f>VLOOKUP(F1539,'GL Category'!A:C,3,FALSE)</f>
        <v>Operations &amp; maintenance</v>
      </c>
      <c r="H1539" s="98" t="str">
        <f>VLOOKUP(F1539,'GL Category'!A:C,2,FALSE)</f>
        <v>MISCELLANEOUS SUPPLIES</v>
      </c>
      <c r="I1539" s="99">
        <f>SUMIF(Import!$B:$B,$A1539,Import!D:D)</f>
        <v>0</v>
      </c>
      <c r="J1539" s="99">
        <f>SUMIF(Import!$B:$B,$A1539,Import!E:E)</f>
        <v>0</v>
      </c>
      <c r="K1539" s="99">
        <f>SUMIF(Import!$B:$B,$A1539,Import!F:F)</f>
        <v>0</v>
      </c>
      <c r="L1539" s="99">
        <f>SUMIF(Import!$B:$B,$A1539,Import!G:G)</f>
        <v>0</v>
      </c>
      <c r="M1539" s="99">
        <f>SUMIF(Import!$B:$B,$A1539,Import!H:H)</f>
        <v>0</v>
      </c>
      <c r="N1539" s="99">
        <f>SUMIF(Import!$B:$B,$A1539,Import!I:I)</f>
        <v>0</v>
      </c>
      <c r="O1539" s="99">
        <f>SUMIF(Import!$B:$B,$A1539,Import!J:J)</f>
        <v>0</v>
      </c>
      <c r="P1539" s="99">
        <f t="shared" si="1959"/>
        <v>0</v>
      </c>
      <c r="Q1539" s="99">
        <f>SUMIF(Import!$B:$B,$A1539,Import!K:K)</f>
        <v>0</v>
      </c>
      <c r="R1539" s="99">
        <f>SUMIF(Import!$B:$B,$A1539,Import!L:L)</f>
        <v>0</v>
      </c>
      <c r="S1539" s="99">
        <f>SUMIF(Import!$B:$B,$A1539,Import!M:M)</f>
        <v>0</v>
      </c>
      <c r="T1539" s="99">
        <f>SUMIF(Import!$B:$B,$A1539,Import!N:N)</f>
        <v>0</v>
      </c>
      <c r="U1539" s="99">
        <f t="shared" si="1960"/>
        <v>0</v>
      </c>
      <c r="V1539" s="255" t="str">
        <f t="shared" si="1961"/>
        <v>N/A</v>
      </c>
      <c r="W1539" s="102" t="s">
        <v>2914</v>
      </c>
      <c r="X1539" s="102"/>
      <c r="Y1539" s="102">
        <f t="shared" si="1962"/>
        <v>0</v>
      </c>
      <c r="Z1539" s="309">
        <f>Y1539*(1+VLOOKUP($F1539,'GL Category'!$A:$H,4,FALSE))</f>
        <v>0</v>
      </c>
      <c r="AA1539" s="615"/>
      <c r="AB1539" s="622">
        <f t="shared" si="1963"/>
        <v>0</v>
      </c>
      <c r="AC1539" s="633">
        <f>AB1539*(1+VLOOKUP($F1539,'GL Category'!$A:$H,5,FALSE))</f>
        <v>0</v>
      </c>
      <c r="AE1539" s="622">
        <f t="shared" si="1964"/>
        <v>0</v>
      </c>
      <c r="AF1539" s="633">
        <f>AE1539*(1+VLOOKUP($F1539,'GL Category'!$A:$H,6,FALSE))</f>
        <v>0</v>
      </c>
      <c r="AH1539" s="622">
        <f t="shared" si="1965"/>
        <v>0</v>
      </c>
      <c r="AI1539" s="633">
        <f>AH1539*(1+VLOOKUP($F1539,'GL Category'!$A:$H,7,FALSE))</f>
        <v>0</v>
      </c>
      <c r="AK1539" s="622">
        <f t="shared" si="1966"/>
        <v>0</v>
      </c>
      <c r="AL1539" s="633">
        <f>AK1539*(1+VLOOKUP($F1539,'GL Category'!$A:$H,8,FALSE))</f>
        <v>0</v>
      </c>
      <c r="AN1539" s="622">
        <f t="shared" si="1967"/>
        <v>0</v>
      </c>
    </row>
    <row r="1540" spans="1:43" ht="15" customHeight="1">
      <c r="A1540" s="555" t="s">
        <v>2915</v>
      </c>
      <c r="B1540" s="217" t="str">
        <f t="shared" si="1939"/>
        <v>100</v>
      </c>
      <c r="C1540" s="217" t="str">
        <f t="shared" si="1940"/>
        <v>60</v>
      </c>
      <c r="D1540" s="101" t="str">
        <f t="shared" si="1941"/>
        <v>601</v>
      </c>
      <c r="E1540" s="217" t="str">
        <f t="shared" si="1942"/>
        <v>100-60-601</v>
      </c>
      <c r="F1540" s="294" t="str">
        <f t="shared" si="1943"/>
        <v>52310</v>
      </c>
      <c r="G1540" s="295" t="str">
        <f>VLOOKUP(F1540,'GL Category'!A:C,3,FALSE)</f>
        <v>Operations &amp; maintenance</v>
      </c>
      <c r="H1540" s="98" t="str">
        <f>VLOOKUP(F1540,'GL Category'!A:C,2,FALSE)</f>
        <v>BUILDING MAINTENANCE</v>
      </c>
      <c r="I1540" s="99">
        <f>SUMIF(Import!$B:$B,$A1540,Import!D:D)</f>
        <v>22372.84</v>
      </c>
      <c r="J1540" s="99">
        <f>SUMIF(Import!$B:$B,$A1540,Import!E:E)</f>
        <v>17957.830000000002</v>
      </c>
      <c r="K1540" s="99">
        <f>SUMIF(Import!$B:$B,$A1540,Import!F:F)</f>
        <v>12341.81</v>
      </c>
      <c r="L1540" s="99">
        <f>SUMIF(Import!$B:$B,$A1540,Import!G:G)</f>
        <v>17899.48</v>
      </c>
      <c r="M1540" s="99">
        <f>SUMIF(Import!$B:$B,$A1540,Import!H:H)</f>
        <v>19725</v>
      </c>
      <c r="N1540" s="99">
        <f>SUMIF(Import!$B:$B,$A1540,Import!I:I)</f>
        <v>11591.77</v>
      </c>
      <c r="O1540" s="99">
        <f>SUMIF(Import!$B:$B,$A1540,Import!J:J)</f>
        <v>19725</v>
      </c>
      <c r="P1540" s="99">
        <f t="shared" si="1959"/>
        <v>0</v>
      </c>
      <c r="Q1540" s="99">
        <f>SUMIF(Import!$B:$B,$A1540,Import!K:K)</f>
        <v>19430</v>
      </c>
      <c r="R1540" s="99">
        <f>SUMIF(Import!$B:$B,$A1540,Import!L:L)</f>
        <v>0</v>
      </c>
      <c r="S1540" s="99">
        <f>SUMIF(Import!$B:$B,$A1540,Import!M:M)</f>
        <v>0</v>
      </c>
      <c r="T1540" s="99">
        <f>SUMIF(Import!$B:$B,$A1540,Import!N:N)</f>
        <v>19430</v>
      </c>
      <c r="U1540" s="99">
        <f t="shared" si="1960"/>
        <v>-295</v>
      </c>
      <c r="V1540" s="255">
        <f t="shared" si="1961"/>
        <v>-1.495564005069705E-2</v>
      </c>
      <c r="W1540" s="102" t="s">
        <v>2915</v>
      </c>
      <c r="X1540" s="102"/>
      <c r="Y1540" s="102">
        <f t="shared" si="1962"/>
        <v>19430</v>
      </c>
      <c r="Z1540" s="309">
        <f>Y1540*(1+VLOOKUP($F1540,'GL Category'!$A:$H,4,FALSE))</f>
        <v>19818.599999999999</v>
      </c>
      <c r="AA1540" s="615"/>
      <c r="AB1540" s="622">
        <f t="shared" si="1963"/>
        <v>19818.599999999999</v>
      </c>
      <c r="AC1540" s="633">
        <f>AB1540*(1+VLOOKUP($F1540,'GL Category'!$A:$H,5,FALSE))</f>
        <v>20214.971999999998</v>
      </c>
      <c r="AE1540" s="622">
        <f t="shared" si="1964"/>
        <v>20214.971999999998</v>
      </c>
      <c r="AF1540" s="633">
        <f>AE1540*(1+VLOOKUP($F1540,'GL Category'!$A:$H,6,FALSE))</f>
        <v>20619.271439999997</v>
      </c>
      <c r="AH1540" s="622">
        <f t="shared" si="1965"/>
        <v>20619.271439999997</v>
      </c>
      <c r="AI1540" s="633">
        <f>AH1540*(1+VLOOKUP($F1540,'GL Category'!$A:$H,7,FALSE))</f>
        <v>21031.656868799997</v>
      </c>
      <c r="AK1540" s="622">
        <f t="shared" si="1966"/>
        <v>21031.656868799997</v>
      </c>
      <c r="AL1540" s="633">
        <f>AK1540*(1+VLOOKUP($F1540,'GL Category'!$A:$H,8,FALSE))</f>
        <v>21452.290006175997</v>
      </c>
      <c r="AN1540" s="622">
        <f t="shared" si="1967"/>
        <v>21452.290006175997</v>
      </c>
    </row>
    <row r="1541" spans="1:43" s="115" customFormat="1" ht="15" customHeight="1">
      <c r="A1541" s="555" t="s">
        <v>2916</v>
      </c>
      <c r="B1541" s="217" t="str">
        <f t="shared" ref="B1541" si="1968">LEFT(A1541,3)</f>
        <v>100</v>
      </c>
      <c r="C1541" s="217" t="str">
        <f t="shared" ref="C1541" si="1969">MID(A1541,5,2)</f>
        <v>60</v>
      </c>
      <c r="D1541" s="101" t="str">
        <f t="shared" ref="D1541" si="1970">MID(A1541,8,3)</f>
        <v>601</v>
      </c>
      <c r="E1541" s="217" t="str">
        <f t="shared" ref="E1541" si="1971">LEFT(A1541,10)</f>
        <v>100-60-601</v>
      </c>
      <c r="F1541" s="294" t="str">
        <f t="shared" ref="F1541" si="1972">RIGHT(A1541,5)</f>
        <v>52480</v>
      </c>
      <c r="G1541" s="295" t="str">
        <f>VLOOKUP(F1541,'GL Category'!A:C,3,FALSE)</f>
        <v>Operations &amp; maintenance</v>
      </c>
      <c r="H1541" s="98" t="str">
        <f>VLOOKUP(F1541,'GL Category'!A:C,2,FALSE)</f>
        <v>OFFICE EQUIPMENT MAINTENANCE</v>
      </c>
      <c r="I1541" s="99">
        <f>SUMIF(Import!$B:$B,$A1541,Import!D:D)</f>
        <v>0</v>
      </c>
      <c r="J1541" s="99">
        <f>SUMIF(Import!$B:$B,$A1541,Import!E:E)</f>
        <v>0</v>
      </c>
      <c r="K1541" s="99">
        <f>SUMIF(Import!$B:$B,$A1541,Import!F:F)</f>
        <v>0</v>
      </c>
      <c r="L1541" s="99">
        <f>SUMIF(Import!$B:$B,$A1541,Import!G:G)</f>
        <v>0</v>
      </c>
      <c r="M1541" s="99">
        <f>SUMIF(Import!$B:$B,$A1541,Import!H:H)</f>
        <v>0</v>
      </c>
      <c r="N1541" s="99">
        <f>SUMIF(Import!$B:$B,$A1541,Import!I:I)</f>
        <v>0</v>
      </c>
      <c r="O1541" s="99">
        <f>SUMIF(Import!$B:$B,$A1541,Import!J:J)</f>
        <v>0</v>
      </c>
      <c r="P1541" s="99">
        <f t="shared" ref="P1541" si="1973">O1541-M1541</f>
        <v>0</v>
      </c>
      <c r="Q1541" s="99">
        <f>SUMIF(Import!$B:$B,$A1541,Import!K:K)</f>
        <v>0</v>
      </c>
      <c r="R1541" s="99">
        <f>SUMIF(Import!$B:$B,$A1541,Import!L:L)</f>
        <v>0</v>
      </c>
      <c r="S1541" s="99">
        <f>SUMIF(Import!$B:$B,$A1541,Import!M:M)</f>
        <v>0</v>
      </c>
      <c r="T1541" s="99">
        <f>SUMIF(Import!$B:$B,$A1541,Import!N:N)</f>
        <v>0</v>
      </c>
      <c r="U1541" s="99">
        <f t="shared" ref="U1541" si="1974">T1541-M1541</f>
        <v>0</v>
      </c>
      <c r="V1541" s="255" t="str">
        <f t="shared" ref="V1541" si="1975">IF(M1541=0,"N/A",T1541/M1541-1)</f>
        <v>N/A</v>
      </c>
      <c r="W1541" s="102" t="s">
        <v>2916</v>
      </c>
      <c r="X1541" s="102"/>
      <c r="Y1541" s="102">
        <f t="shared" si="1962"/>
        <v>0</v>
      </c>
      <c r="Z1541" s="309">
        <f>Y1541*(1+VLOOKUP($F1541,'GL Category'!$A:$H,4,FALSE))</f>
        <v>0</v>
      </c>
      <c r="AA1541" s="615"/>
      <c r="AB1541" s="622">
        <f t="shared" si="1963"/>
        <v>0</v>
      </c>
      <c r="AC1541" s="633">
        <f>AB1541*(1+VLOOKUP($F1541,'GL Category'!$A:$H,5,FALSE))</f>
        <v>0</v>
      </c>
      <c r="AD1541" s="307"/>
      <c r="AE1541" s="622">
        <f t="shared" si="1964"/>
        <v>0</v>
      </c>
      <c r="AF1541" s="633">
        <f>AE1541*(1+VLOOKUP($F1541,'GL Category'!$A:$H,6,FALSE))</f>
        <v>0</v>
      </c>
      <c r="AG1541" s="307"/>
      <c r="AH1541" s="622">
        <f t="shared" si="1965"/>
        <v>0</v>
      </c>
      <c r="AI1541" s="633">
        <f>AH1541*(1+VLOOKUP($F1541,'GL Category'!$A:$H,7,FALSE))</f>
        <v>0</v>
      </c>
      <c r="AJ1541" s="307"/>
      <c r="AK1541" s="622">
        <f t="shared" si="1966"/>
        <v>0</v>
      </c>
      <c r="AL1541" s="633">
        <f>AK1541*(1+VLOOKUP($F1541,'GL Category'!$A:$H,8,FALSE))</f>
        <v>0</v>
      </c>
      <c r="AM1541" s="307"/>
      <c r="AN1541" s="622">
        <f t="shared" si="1967"/>
        <v>0</v>
      </c>
      <c r="AO1541" s="192"/>
      <c r="AP1541" s="192"/>
      <c r="AQ1541" s="192"/>
    </row>
    <row r="1542" spans="1:43" s="115" customFormat="1" ht="15" customHeight="1">
      <c r="A1542" s="555" t="s">
        <v>3207</v>
      </c>
      <c r="B1542" s="217" t="str">
        <f t="shared" si="1939"/>
        <v>100</v>
      </c>
      <c r="C1542" s="217" t="str">
        <f t="shared" si="1940"/>
        <v>60</v>
      </c>
      <c r="D1542" s="101" t="str">
        <f t="shared" si="1941"/>
        <v>601</v>
      </c>
      <c r="E1542" s="217" t="str">
        <f t="shared" si="1942"/>
        <v>100-60-601</v>
      </c>
      <c r="F1542" s="294" t="str">
        <f t="shared" si="1943"/>
        <v>52485</v>
      </c>
      <c r="G1542" s="295" t="str">
        <f>VLOOKUP(F1542,'GL Category'!A:C,3,FALSE)</f>
        <v>Operations &amp; maintenance</v>
      </c>
      <c r="H1542" s="98" t="str">
        <f>VLOOKUP(F1542,'GL Category'!A:C,2,FALSE)</f>
        <v>SOFTWARE LICENSE &amp; MAINTENANCE</v>
      </c>
      <c r="I1542" s="99">
        <f>SUMIF(Import!$B:$B,$A1542,Import!D:D)</f>
        <v>58367.89</v>
      </c>
      <c r="J1542" s="99">
        <f>SUMIF(Import!$B:$B,$A1542,Import!E:E)</f>
        <v>67731.460000000006</v>
      </c>
      <c r="K1542" s="99">
        <f>SUMIF(Import!$B:$B,$A1542,Import!F:F)</f>
        <v>69060.100000000006</v>
      </c>
      <c r="L1542" s="99">
        <f>SUMIF(Import!$B:$B,$A1542,Import!G:G)</f>
        <v>70077</v>
      </c>
      <c r="M1542" s="99">
        <f>SUMIF(Import!$B:$B,$A1542,Import!H:H)</f>
        <v>70875</v>
      </c>
      <c r="N1542" s="99">
        <f>SUMIF(Import!$B:$B,$A1542,Import!I:I)</f>
        <v>56404.22</v>
      </c>
      <c r="O1542" s="99">
        <f>SUMIF(Import!$B:$B,$A1542,Import!J:J)</f>
        <v>70875</v>
      </c>
      <c r="P1542" s="99">
        <f t="shared" si="1959"/>
        <v>0</v>
      </c>
      <c r="Q1542" s="99">
        <f>SUMIF(Import!$B:$B,$A1542,Import!K:K)</f>
        <v>74325</v>
      </c>
      <c r="R1542" s="99">
        <f>SUMIF(Import!$B:$B,$A1542,Import!L:L)</f>
        <v>0</v>
      </c>
      <c r="S1542" s="99">
        <f>SUMIF(Import!$B:$B,$A1542,Import!M:M)</f>
        <v>0</v>
      </c>
      <c r="T1542" s="99">
        <f>SUMIF(Import!$B:$B,$A1542,Import!N:N)</f>
        <v>74325</v>
      </c>
      <c r="U1542" s="99">
        <f t="shared" si="1960"/>
        <v>3450</v>
      </c>
      <c r="V1542" s="255">
        <f t="shared" si="1961"/>
        <v>4.8677248677248652E-2</v>
      </c>
      <c r="W1542" s="102" t="s">
        <v>2916</v>
      </c>
      <c r="X1542" s="102"/>
      <c r="Y1542" s="102">
        <f t="shared" si="1962"/>
        <v>74325</v>
      </c>
      <c r="Z1542" s="309">
        <f>Y1542*(1+VLOOKUP($F1542,'GL Category'!$A:$H,4,FALSE))</f>
        <v>75811.5</v>
      </c>
      <c r="AA1542" s="615"/>
      <c r="AB1542" s="622">
        <f t="shared" si="1963"/>
        <v>75811.5</v>
      </c>
      <c r="AC1542" s="633">
        <f>AB1542*(1+VLOOKUP($F1542,'GL Category'!$A:$H,5,FALSE))</f>
        <v>77327.73</v>
      </c>
      <c r="AD1542" s="307"/>
      <c r="AE1542" s="622">
        <f t="shared" si="1964"/>
        <v>77327.73</v>
      </c>
      <c r="AF1542" s="633">
        <f>AE1542*(1+VLOOKUP($F1542,'GL Category'!$A:$H,6,FALSE))</f>
        <v>78874.284599999999</v>
      </c>
      <c r="AG1542" s="307"/>
      <c r="AH1542" s="622">
        <f t="shared" si="1965"/>
        <v>78874.284599999999</v>
      </c>
      <c r="AI1542" s="633">
        <f>AH1542*(1+VLOOKUP($F1542,'GL Category'!$A:$H,7,FALSE))</f>
        <v>80451.770292000001</v>
      </c>
      <c r="AJ1542" s="307"/>
      <c r="AK1542" s="622">
        <f t="shared" si="1966"/>
        <v>80451.770292000001</v>
      </c>
      <c r="AL1542" s="633">
        <f>AK1542*(1+VLOOKUP($F1542,'GL Category'!$A:$H,8,FALSE))</f>
        <v>82060.805697839998</v>
      </c>
      <c r="AM1542" s="307"/>
      <c r="AN1542" s="622">
        <f t="shared" si="1967"/>
        <v>82060.805697839998</v>
      </c>
      <c r="AO1542" s="192"/>
      <c r="AP1542" s="192"/>
      <c r="AQ1542" s="192"/>
    </row>
    <row r="1543" spans="1:43" s="115" customFormat="1" ht="15" customHeight="1">
      <c r="A1543" s="555" t="s">
        <v>2917</v>
      </c>
      <c r="B1543" s="217" t="str">
        <f t="shared" si="1939"/>
        <v>100</v>
      </c>
      <c r="C1543" s="217" t="str">
        <f t="shared" si="1940"/>
        <v>60</v>
      </c>
      <c r="D1543" s="101" t="str">
        <f t="shared" si="1941"/>
        <v>601</v>
      </c>
      <c r="E1543" s="217" t="str">
        <f t="shared" si="1942"/>
        <v>100-60-601</v>
      </c>
      <c r="F1543" s="294" t="str">
        <f t="shared" si="1943"/>
        <v>52490</v>
      </c>
      <c r="G1543" s="295" t="str">
        <f>VLOOKUP(F1543,'GL Category'!A:C,3,FALSE)</f>
        <v>Operations &amp; maintenance</v>
      </c>
      <c r="H1543" s="98" t="str">
        <f>VLOOKUP(F1543,'GL Category'!A:C,2,FALSE)</f>
        <v>A/C &amp; HEATING MAINTENANCE</v>
      </c>
      <c r="I1543" s="99">
        <f>SUMIF(Import!$B:$B,$A1543,Import!D:D)</f>
        <v>10680.05</v>
      </c>
      <c r="J1543" s="99">
        <f>SUMIF(Import!$B:$B,$A1543,Import!E:E)</f>
        <v>8302.9500000000007</v>
      </c>
      <c r="K1543" s="99">
        <f>SUMIF(Import!$B:$B,$A1543,Import!F:F)</f>
        <v>34731.24</v>
      </c>
      <c r="L1543" s="99">
        <f>SUMIF(Import!$B:$B,$A1543,Import!G:G)</f>
        <v>39421.93</v>
      </c>
      <c r="M1543" s="99">
        <f>SUMIF(Import!$B:$B,$A1543,Import!H:H)</f>
        <v>30000</v>
      </c>
      <c r="N1543" s="99">
        <f>SUMIF(Import!$B:$B,$A1543,Import!I:I)</f>
        <v>22193.24</v>
      </c>
      <c r="O1543" s="99">
        <f>SUMIF(Import!$B:$B,$A1543,Import!J:J)</f>
        <v>30000</v>
      </c>
      <c r="P1543" s="99">
        <f t="shared" si="1959"/>
        <v>0</v>
      </c>
      <c r="Q1543" s="99">
        <f>SUMIF(Import!$B:$B,$A1543,Import!K:K)</f>
        <v>30000</v>
      </c>
      <c r="R1543" s="99">
        <f>SUMIF(Import!$B:$B,$A1543,Import!L:L)</f>
        <v>0</v>
      </c>
      <c r="S1543" s="99">
        <f>SUMIF(Import!$B:$B,$A1543,Import!M:M)</f>
        <v>0</v>
      </c>
      <c r="T1543" s="99">
        <f>SUMIF(Import!$B:$B,$A1543,Import!N:N)</f>
        <v>30000</v>
      </c>
      <c r="U1543" s="99">
        <f t="shared" si="1960"/>
        <v>0</v>
      </c>
      <c r="V1543" s="255">
        <f t="shared" si="1961"/>
        <v>0</v>
      </c>
      <c r="W1543" s="102" t="s">
        <v>2917</v>
      </c>
      <c r="X1543" s="102"/>
      <c r="Y1543" s="102">
        <f t="shared" si="1962"/>
        <v>30000</v>
      </c>
      <c r="Z1543" s="309">
        <f>Y1543*(1+VLOOKUP($F1543,'GL Category'!$A:$H,4,FALSE))</f>
        <v>30600</v>
      </c>
      <c r="AA1543" s="615"/>
      <c r="AB1543" s="622">
        <f t="shared" si="1963"/>
        <v>30600</v>
      </c>
      <c r="AC1543" s="633">
        <f>AB1543*(1+VLOOKUP($F1543,'GL Category'!$A:$H,5,FALSE))</f>
        <v>31212</v>
      </c>
      <c r="AD1543" s="307"/>
      <c r="AE1543" s="622">
        <f t="shared" si="1964"/>
        <v>31212</v>
      </c>
      <c r="AF1543" s="633">
        <f>AE1543*(1+VLOOKUP($F1543,'GL Category'!$A:$H,6,FALSE))</f>
        <v>31836.240000000002</v>
      </c>
      <c r="AG1543" s="307"/>
      <c r="AH1543" s="622">
        <f t="shared" si="1965"/>
        <v>31836.240000000002</v>
      </c>
      <c r="AI1543" s="633">
        <f>AH1543*(1+VLOOKUP($F1543,'GL Category'!$A:$H,7,FALSE))</f>
        <v>32472.964800000002</v>
      </c>
      <c r="AJ1543" s="307"/>
      <c r="AK1543" s="622">
        <f t="shared" si="1966"/>
        <v>32472.964800000002</v>
      </c>
      <c r="AL1543" s="633">
        <f>AK1543*(1+VLOOKUP($F1543,'GL Category'!$A:$H,8,FALSE))</f>
        <v>33122.424096000002</v>
      </c>
      <c r="AM1543" s="307"/>
      <c r="AN1543" s="622">
        <f t="shared" si="1967"/>
        <v>33122.424096000002</v>
      </c>
      <c r="AO1543" s="192"/>
      <c r="AP1543" s="192"/>
      <c r="AQ1543" s="192"/>
    </row>
    <row r="1544" spans="1:43" s="115" customFormat="1" ht="26.1" customHeight="1">
      <c r="A1544" s="555"/>
      <c r="B1544" s="217"/>
      <c r="C1544" s="217"/>
      <c r="D1544" s="101"/>
      <c r="E1544" s="217"/>
      <c r="F1544" s="294"/>
      <c r="G1544" s="295"/>
      <c r="H1544" s="107" t="str">
        <f>UPPER(G1543)&amp;" TOTAL"</f>
        <v>OPERATIONS &amp; MAINTENANCE TOTAL</v>
      </c>
      <c r="I1544" s="109">
        <f t="shared" ref="I1544:T1544" si="1976">SUBTOTAL(9,I1532:I1543)</f>
        <v>243126.31</v>
      </c>
      <c r="J1544" s="109">
        <f t="shared" si="1976"/>
        <v>238650.48000000004</v>
      </c>
      <c r="K1544" s="109">
        <f t="shared" si="1976"/>
        <v>293934.40000000002</v>
      </c>
      <c r="L1544" s="109">
        <f t="shared" si="1976"/>
        <v>310240.19</v>
      </c>
      <c r="M1544" s="109">
        <f t="shared" si="1976"/>
        <v>321750</v>
      </c>
      <c r="N1544" s="109">
        <f t="shared" si="1976"/>
        <v>202552.78</v>
      </c>
      <c r="O1544" s="109">
        <f t="shared" si="1976"/>
        <v>321750</v>
      </c>
      <c r="P1544" s="109">
        <f t="shared" si="1976"/>
        <v>0</v>
      </c>
      <c r="Q1544" s="109">
        <f t="shared" si="1976"/>
        <v>306480</v>
      </c>
      <c r="R1544" s="109">
        <f t="shared" si="1976"/>
        <v>0</v>
      </c>
      <c r="S1544" s="109">
        <f t="shared" si="1976"/>
        <v>0</v>
      </c>
      <c r="T1544" s="109">
        <f t="shared" si="1976"/>
        <v>306480</v>
      </c>
      <c r="U1544" s="99">
        <f>T1544-M1544</f>
        <v>-15270</v>
      </c>
      <c r="V1544" s="255">
        <f>IF(M1544=0,"N/A",T1544/M1544-1)</f>
        <v>-4.7459207459207509E-2</v>
      </c>
      <c r="W1544" s="102"/>
      <c r="X1544" s="102"/>
      <c r="Y1544" s="102"/>
      <c r="Z1544" s="192"/>
      <c r="AA1544" s="615"/>
      <c r="AB1544" s="307"/>
      <c r="AC1544" s="93"/>
      <c r="AD1544" s="93"/>
      <c r="AE1544" s="93"/>
      <c r="AF1544" s="93"/>
      <c r="AG1544" s="93"/>
      <c r="AH1544" s="307"/>
      <c r="AI1544" s="307"/>
      <c r="AJ1544" s="93"/>
      <c r="AK1544" s="93"/>
      <c r="AL1544" s="93"/>
      <c r="AM1544" s="93"/>
      <c r="AN1544" s="93"/>
      <c r="AO1544" s="192"/>
      <c r="AP1544" s="192"/>
      <c r="AQ1544" s="192"/>
    </row>
    <row r="1545" spans="1:43" s="115" customFormat="1" ht="15" customHeight="1">
      <c r="A1545" s="555"/>
      <c r="B1545" s="217"/>
      <c r="C1545" s="217"/>
      <c r="D1545" s="101"/>
      <c r="E1545" s="217"/>
      <c r="F1545" s="294"/>
      <c r="G1545" s="295"/>
      <c r="H1545" s="98"/>
      <c r="I1545" s="106"/>
      <c r="J1545" s="106"/>
      <c r="K1545" s="106"/>
      <c r="L1545" s="106"/>
      <c r="M1545" s="106"/>
      <c r="N1545" s="112"/>
      <c r="O1545" s="112"/>
      <c r="P1545" s="112"/>
      <c r="Q1545" s="113"/>
      <c r="R1545" s="113"/>
      <c r="S1545" s="113"/>
      <c r="T1545" s="113"/>
      <c r="U1545" s="99"/>
      <c r="V1545" s="255"/>
      <c r="W1545" s="102"/>
      <c r="X1545" s="102"/>
      <c r="Y1545" s="102"/>
      <c r="Z1545" s="192"/>
      <c r="AA1545" s="615"/>
      <c r="AB1545" s="307"/>
      <c r="AC1545" s="300"/>
      <c r="AD1545" s="300"/>
      <c r="AE1545" s="300"/>
      <c r="AF1545" s="300"/>
      <c r="AG1545" s="300"/>
      <c r="AH1545" s="307"/>
      <c r="AI1545" s="307"/>
      <c r="AJ1545" s="300"/>
      <c r="AK1545" s="300"/>
      <c r="AL1545" s="300"/>
      <c r="AM1545" s="300"/>
      <c r="AN1545" s="300"/>
      <c r="AO1545" s="192"/>
      <c r="AP1545" s="192"/>
      <c r="AQ1545" s="192"/>
    </row>
    <row r="1546" spans="1:43" s="115" customFormat="1" ht="15" customHeight="1">
      <c r="A1546" s="555" t="s">
        <v>2919</v>
      </c>
      <c r="B1546" s="217" t="str">
        <f t="shared" si="1939"/>
        <v>100</v>
      </c>
      <c r="C1546" s="217" t="str">
        <f t="shared" si="1940"/>
        <v>60</v>
      </c>
      <c r="D1546" s="101" t="str">
        <f t="shared" si="1941"/>
        <v>601</v>
      </c>
      <c r="E1546" s="217" t="str">
        <f t="shared" si="1942"/>
        <v>100-60-601</v>
      </c>
      <c r="F1546" s="294" t="str">
        <f t="shared" si="1943"/>
        <v>53510</v>
      </c>
      <c r="G1546" s="295" t="str">
        <f>VLOOKUP(F1546,'GL Category'!A:C,3,FALSE)</f>
        <v>Services &amp; other</v>
      </c>
      <c r="H1546" s="98" t="str">
        <f>VLOOKUP(F1546,'GL Category'!A:C,2,FALSE)</f>
        <v>DUES &amp; SUBSCRIPTIONS</v>
      </c>
      <c r="I1546" s="99">
        <f>SUMIF(Import!$B:$B,$A1546,Import!D:D)</f>
        <v>1966.34</v>
      </c>
      <c r="J1546" s="99">
        <f>SUMIF(Import!$B:$B,$A1546,Import!E:E)</f>
        <v>2134.88</v>
      </c>
      <c r="K1546" s="99">
        <f>SUMIF(Import!$B:$B,$A1546,Import!F:F)</f>
        <v>2701.74</v>
      </c>
      <c r="L1546" s="99">
        <f>SUMIF(Import!$B:$B,$A1546,Import!G:G)</f>
        <v>1641.92</v>
      </c>
      <c r="M1546" s="99">
        <f>SUMIF(Import!$B:$B,$A1546,Import!H:H)</f>
        <v>3755</v>
      </c>
      <c r="N1546" s="99">
        <f>SUMIF(Import!$B:$B,$A1546,Import!I:I)</f>
        <v>2716.9</v>
      </c>
      <c r="O1546" s="99">
        <f>SUMIF(Import!$B:$B,$A1546,Import!J:J)</f>
        <v>3755</v>
      </c>
      <c r="P1546" s="99">
        <f t="shared" ref="P1546:P1559" si="1977">O1546-M1546</f>
        <v>0</v>
      </c>
      <c r="Q1546" s="99">
        <f>SUMIF(Import!$B:$B,$A1546,Import!K:K)</f>
        <v>3495</v>
      </c>
      <c r="R1546" s="99">
        <f>SUMIF(Import!$B:$B,$A1546,Import!L:L)</f>
        <v>0</v>
      </c>
      <c r="S1546" s="99">
        <f>SUMIF(Import!$B:$B,$A1546,Import!M:M)</f>
        <v>0</v>
      </c>
      <c r="T1546" s="99">
        <f>SUMIF(Import!$B:$B,$A1546,Import!N:N)</f>
        <v>3495</v>
      </c>
      <c r="U1546" s="99">
        <f t="shared" ref="U1546:U1560" si="1978">T1546-M1546</f>
        <v>-260</v>
      </c>
      <c r="V1546" s="255">
        <f t="shared" ref="V1546:V1560" si="1979">IF(M1546=0,"N/A",T1546/M1546-1)</f>
        <v>-6.9241011984021328E-2</v>
      </c>
      <c r="W1546" s="102" t="s">
        <v>2919</v>
      </c>
      <c r="X1546" s="102"/>
      <c r="Y1546" s="102">
        <f t="shared" ref="Y1546:Y1561" si="1980">T1546-X1546</f>
        <v>3495</v>
      </c>
      <c r="Z1546" s="309">
        <f>Y1546*(1+VLOOKUP($F1546,'GL Category'!$A:$H,4,FALSE))</f>
        <v>3599.85</v>
      </c>
      <c r="AA1546" s="615"/>
      <c r="AB1546" s="622">
        <f t="shared" ref="AB1546:AB1561" si="1981">Z1546+AA1546</f>
        <v>3599.85</v>
      </c>
      <c r="AC1546" s="633">
        <f>AB1546*(1+VLOOKUP($F1546,'GL Category'!$A:$H,5,FALSE))</f>
        <v>3707.8454999999999</v>
      </c>
      <c r="AD1546" s="307"/>
      <c r="AE1546" s="622">
        <f t="shared" ref="AE1546:AE1561" si="1982">AC1546+AD1546</f>
        <v>3707.8454999999999</v>
      </c>
      <c r="AF1546" s="633">
        <f>AE1546*(1+VLOOKUP($F1546,'GL Category'!$A:$H,6,FALSE))</f>
        <v>3819.0808649999999</v>
      </c>
      <c r="AG1546" s="307"/>
      <c r="AH1546" s="622">
        <f t="shared" ref="AH1546:AH1561" si="1983">AF1546+AG1546</f>
        <v>3819.0808649999999</v>
      </c>
      <c r="AI1546" s="633">
        <f>AH1546*(1+VLOOKUP($F1546,'GL Category'!$A:$H,7,FALSE))</f>
        <v>3933.6532909500002</v>
      </c>
      <c r="AJ1546" s="307"/>
      <c r="AK1546" s="622">
        <f t="shared" ref="AK1546:AK1561" si="1984">AI1546+AJ1546</f>
        <v>3933.6532909500002</v>
      </c>
      <c r="AL1546" s="633">
        <f>AK1546*(1+VLOOKUP($F1546,'GL Category'!$A:$H,8,FALSE))</f>
        <v>4051.6628896785001</v>
      </c>
      <c r="AM1546" s="307"/>
      <c r="AN1546" s="622">
        <f t="shared" ref="AN1546:AN1561" si="1985">AL1546+AM1546</f>
        <v>4051.6628896785001</v>
      </c>
      <c r="AO1546" s="192"/>
      <c r="AP1546" s="192"/>
      <c r="AQ1546" s="192"/>
    </row>
    <row r="1547" spans="1:43" s="115" customFormat="1" ht="15" customHeight="1">
      <c r="A1547" s="555" t="s">
        <v>2920</v>
      </c>
      <c r="B1547" s="217" t="str">
        <f t="shared" si="1939"/>
        <v>100</v>
      </c>
      <c r="C1547" s="217" t="str">
        <f t="shared" si="1940"/>
        <v>60</v>
      </c>
      <c r="D1547" s="101" t="str">
        <f t="shared" si="1941"/>
        <v>601</v>
      </c>
      <c r="E1547" s="217" t="str">
        <f t="shared" si="1942"/>
        <v>100-60-601</v>
      </c>
      <c r="F1547" s="294" t="str">
        <f t="shared" si="1943"/>
        <v>53515</v>
      </c>
      <c r="G1547" s="295" t="str">
        <f>VLOOKUP(F1547,'GL Category'!A:C,3,FALSE)</f>
        <v>Services &amp; other</v>
      </c>
      <c r="H1547" s="98" t="str">
        <f>VLOOKUP(F1547,'GL Category'!A:C,2,FALSE)</f>
        <v>TRAVEL, TRAINING &amp; EDUCATION</v>
      </c>
      <c r="I1547" s="99">
        <f>SUMIF(Import!$B:$B,$A1547,Import!D:D)</f>
        <v>10541.9</v>
      </c>
      <c r="J1547" s="99">
        <f>SUMIF(Import!$B:$B,$A1547,Import!E:E)</f>
        <v>5494.15</v>
      </c>
      <c r="K1547" s="99">
        <f>SUMIF(Import!$B:$B,$A1547,Import!F:F)</f>
        <v>12052.6</v>
      </c>
      <c r="L1547" s="99">
        <f>SUMIF(Import!$B:$B,$A1547,Import!G:G)</f>
        <v>14933.89</v>
      </c>
      <c r="M1547" s="99">
        <f>SUMIF(Import!$B:$B,$A1547,Import!H:H)</f>
        <v>19000</v>
      </c>
      <c r="N1547" s="99">
        <f>SUMIF(Import!$B:$B,$A1547,Import!I:I)</f>
        <v>7735.88</v>
      </c>
      <c r="O1547" s="99">
        <f>SUMIF(Import!$B:$B,$A1547,Import!J:J)</f>
        <v>19000</v>
      </c>
      <c r="P1547" s="99">
        <f t="shared" si="1977"/>
        <v>0</v>
      </c>
      <c r="Q1547" s="99">
        <f>SUMIF(Import!$B:$B,$A1547,Import!K:K)</f>
        <v>20750</v>
      </c>
      <c r="R1547" s="99">
        <f>SUMIF(Import!$B:$B,$A1547,Import!L:L)</f>
        <v>0</v>
      </c>
      <c r="S1547" s="99">
        <f>SUMIF(Import!$B:$B,$A1547,Import!M:M)</f>
        <v>0</v>
      </c>
      <c r="T1547" s="99">
        <f>SUMIF(Import!$B:$B,$A1547,Import!N:N)</f>
        <v>20750</v>
      </c>
      <c r="U1547" s="99">
        <f t="shared" si="1978"/>
        <v>1750</v>
      </c>
      <c r="V1547" s="255">
        <f t="shared" si="1979"/>
        <v>9.210526315789469E-2</v>
      </c>
      <c r="W1547" s="102" t="s">
        <v>2920</v>
      </c>
      <c r="X1547" s="102"/>
      <c r="Y1547" s="102">
        <f t="shared" si="1980"/>
        <v>20750</v>
      </c>
      <c r="Z1547" s="309">
        <f>Y1547*(1+VLOOKUP($F1547,'GL Category'!$A:$H,4,FALSE))</f>
        <v>21372.5</v>
      </c>
      <c r="AA1547" s="615"/>
      <c r="AB1547" s="622">
        <f t="shared" si="1981"/>
        <v>21372.5</v>
      </c>
      <c r="AC1547" s="633">
        <f>AB1547*(1+VLOOKUP($F1547,'GL Category'!$A:$H,5,FALSE))</f>
        <v>22013.674999999999</v>
      </c>
      <c r="AD1547" s="307"/>
      <c r="AE1547" s="622">
        <f t="shared" si="1982"/>
        <v>22013.674999999999</v>
      </c>
      <c r="AF1547" s="633">
        <f>AE1547*(1+VLOOKUP($F1547,'GL Category'!$A:$H,6,FALSE))</f>
        <v>22674.08525</v>
      </c>
      <c r="AG1547" s="307"/>
      <c r="AH1547" s="622">
        <f t="shared" si="1983"/>
        <v>22674.08525</v>
      </c>
      <c r="AI1547" s="633">
        <f>AH1547*(1+VLOOKUP($F1547,'GL Category'!$A:$H,7,FALSE))</f>
        <v>23354.307807500001</v>
      </c>
      <c r="AJ1547" s="307"/>
      <c r="AK1547" s="622">
        <f t="shared" si="1984"/>
        <v>23354.307807500001</v>
      </c>
      <c r="AL1547" s="633">
        <f>AK1547*(1+VLOOKUP($F1547,'GL Category'!$A:$H,8,FALSE))</f>
        <v>24054.937041725003</v>
      </c>
      <c r="AM1547" s="307"/>
      <c r="AN1547" s="622">
        <f t="shared" si="1985"/>
        <v>24054.937041725003</v>
      </c>
      <c r="AO1547" s="192"/>
      <c r="AP1547" s="192"/>
      <c r="AQ1547" s="192"/>
    </row>
    <row r="1548" spans="1:43" s="115" customFormat="1" ht="15" customHeight="1">
      <c r="A1548" s="555" t="s">
        <v>2921</v>
      </c>
      <c r="B1548" s="217" t="str">
        <f t="shared" si="1939"/>
        <v>100</v>
      </c>
      <c r="C1548" s="217" t="str">
        <f t="shared" si="1940"/>
        <v>60</v>
      </c>
      <c r="D1548" s="101" t="str">
        <f t="shared" si="1941"/>
        <v>601</v>
      </c>
      <c r="E1548" s="217" t="str">
        <f t="shared" si="1942"/>
        <v>100-60-601</v>
      </c>
      <c r="F1548" s="294" t="str">
        <f t="shared" si="1943"/>
        <v>53521</v>
      </c>
      <c r="G1548" s="295" t="str">
        <f>VLOOKUP(F1548,'GL Category'!A:C,3,FALSE)</f>
        <v>Services &amp; other</v>
      </c>
      <c r="H1548" s="98" t="str">
        <f>VLOOKUP(F1548,'GL Category'!A:C,2,FALSE)</f>
        <v>SUBSCRIPTIONS/PERIODICALS</v>
      </c>
      <c r="I1548" s="99">
        <f>SUMIF(Import!$B:$B,$A1548,Import!D:D)</f>
        <v>8070.22</v>
      </c>
      <c r="J1548" s="99">
        <f>SUMIF(Import!$B:$B,$A1548,Import!E:E)</f>
        <v>6691.6</v>
      </c>
      <c r="K1548" s="99">
        <f>SUMIF(Import!$B:$B,$A1548,Import!F:F)</f>
        <v>6130.56</v>
      </c>
      <c r="L1548" s="99">
        <f>SUMIF(Import!$B:$B,$A1548,Import!G:G)</f>
        <v>3915.92</v>
      </c>
      <c r="M1548" s="99">
        <f>SUMIF(Import!$B:$B,$A1548,Import!H:H)</f>
        <v>3895</v>
      </c>
      <c r="N1548" s="99">
        <f>SUMIF(Import!$B:$B,$A1548,Import!I:I)</f>
        <v>4487.7700000000004</v>
      </c>
      <c r="O1548" s="99">
        <f>SUMIF(Import!$B:$B,$A1548,Import!J:J)</f>
        <v>4295</v>
      </c>
      <c r="P1548" s="99">
        <f t="shared" si="1977"/>
        <v>400</v>
      </c>
      <c r="Q1548" s="99">
        <f>SUMIF(Import!$B:$B,$A1548,Import!K:K)</f>
        <v>4885</v>
      </c>
      <c r="R1548" s="99">
        <f>SUMIF(Import!$B:$B,$A1548,Import!L:L)</f>
        <v>0</v>
      </c>
      <c r="S1548" s="99">
        <f>SUMIF(Import!$B:$B,$A1548,Import!M:M)</f>
        <v>0</v>
      </c>
      <c r="T1548" s="99">
        <f>SUMIF(Import!$B:$B,$A1548,Import!N:N)</f>
        <v>4885</v>
      </c>
      <c r="U1548" s="99">
        <f t="shared" si="1978"/>
        <v>990</v>
      </c>
      <c r="V1548" s="255">
        <f t="shared" si="1979"/>
        <v>0.25417201540436452</v>
      </c>
      <c r="W1548" s="102" t="s">
        <v>2921</v>
      </c>
      <c r="X1548" s="102"/>
      <c r="Y1548" s="102">
        <f t="shared" si="1980"/>
        <v>4885</v>
      </c>
      <c r="Z1548" s="309">
        <f>Y1548*(1+VLOOKUP($F1548,'GL Category'!$A:$H,4,FALSE))</f>
        <v>5031.55</v>
      </c>
      <c r="AA1548" s="615"/>
      <c r="AB1548" s="622">
        <f t="shared" si="1981"/>
        <v>5031.55</v>
      </c>
      <c r="AC1548" s="633">
        <f>AB1548*(1+VLOOKUP($F1548,'GL Category'!$A:$H,5,FALSE))</f>
        <v>5182.4965000000002</v>
      </c>
      <c r="AD1548" s="307"/>
      <c r="AE1548" s="622">
        <f t="shared" si="1982"/>
        <v>5182.4965000000002</v>
      </c>
      <c r="AF1548" s="633">
        <f>AE1548*(1+VLOOKUP($F1548,'GL Category'!$A:$H,6,FALSE))</f>
        <v>5337.9713950000005</v>
      </c>
      <c r="AG1548" s="307"/>
      <c r="AH1548" s="622">
        <f t="shared" si="1983"/>
        <v>5337.9713950000005</v>
      </c>
      <c r="AI1548" s="633">
        <f>AH1548*(1+VLOOKUP($F1548,'GL Category'!$A:$H,7,FALSE))</f>
        <v>5498.1105368500002</v>
      </c>
      <c r="AJ1548" s="307"/>
      <c r="AK1548" s="622">
        <f t="shared" si="1984"/>
        <v>5498.1105368500002</v>
      </c>
      <c r="AL1548" s="633">
        <f>AK1548*(1+VLOOKUP($F1548,'GL Category'!$A:$H,8,FALSE))</f>
        <v>5663.0538529555006</v>
      </c>
      <c r="AM1548" s="307"/>
      <c r="AN1548" s="622">
        <f t="shared" si="1985"/>
        <v>5663.0538529555006</v>
      </c>
      <c r="AO1548" s="192"/>
      <c r="AP1548" s="192"/>
      <c r="AQ1548" s="192"/>
    </row>
    <row r="1549" spans="1:43" s="115" customFormat="1" ht="15" customHeight="1">
      <c r="A1549" s="555" t="s">
        <v>2922</v>
      </c>
      <c r="B1549" s="217" t="str">
        <f t="shared" si="1939"/>
        <v>100</v>
      </c>
      <c r="C1549" s="217" t="str">
        <f t="shared" si="1940"/>
        <v>60</v>
      </c>
      <c r="D1549" s="101" t="str">
        <f t="shared" si="1941"/>
        <v>601</v>
      </c>
      <c r="E1549" s="217" t="str">
        <f t="shared" si="1942"/>
        <v>100-60-601</v>
      </c>
      <c r="F1549" s="294" t="str">
        <f t="shared" si="1943"/>
        <v>53522</v>
      </c>
      <c r="G1549" s="295" t="str">
        <f>VLOOKUP(F1549,'GL Category'!A:C,3,FALSE)</f>
        <v>Services &amp; other</v>
      </c>
      <c r="H1549" s="98" t="str">
        <f>VLOOKUP(F1549,'GL Category'!A:C,2,FALSE)</f>
        <v>ADVERTISING &amp; RECORDING</v>
      </c>
      <c r="I1549" s="99">
        <f>SUMIF(Import!$B:$B,$A1549,Import!D:D)</f>
        <v>0</v>
      </c>
      <c r="J1549" s="99">
        <f>SUMIF(Import!$B:$B,$A1549,Import!E:E)</f>
        <v>0</v>
      </c>
      <c r="K1549" s="99">
        <f>SUMIF(Import!$B:$B,$A1549,Import!F:F)</f>
        <v>0</v>
      </c>
      <c r="L1549" s="99">
        <f>SUMIF(Import!$B:$B,$A1549,Import!G:G)</f>
        <v>0</v>
      </c>
      <c r="M1549" s="99">
        <f>SUMIF(Import!$B:$B,$A1549,Import!H:H)</f>
        <v>0</v>
      </c>
      <c r="N1549" s="99">
        <f>SUMIF(Import!$B:$B,$A1549,Import!I:I)</f>
        <v>0</v>
      </c>
      <c r="O1549" s="99">
        <f>SUMIF(Import!$B:$B,$A1549,Import!J:J)</f>
        <v>0</v>
      </c>
      <c r="P1549" s="99">
        <f t="shared" si="1977"/>
        <v>0</v>
      </c>
      <c r="Q1549" s="99">
        <f>SUMIF(Import!$B:$B,$A1549,Import!K:K)</f>
        <v>0</v>
      </c>
      <c r="R1549" s="99">
        <f>SUMIF(Import!$B:$B,$A1549,Import!L:L)</f>
        <v>0</v>
      </c>
      <c r="S1549" s="99">
        <f>SUMIF(Import!$B:$B,$A1549,Import!M:M)</f>
        <v>0</v>
      </c>
      <c r="T1549" s="99">
        <f>SUMIF(Import!$B:$B,$A1549,Import!N:N)</f>
        <v>0</v>
      </c>
      <c r="U1549" s="99">
        <f t="shared" si="1978"/>
        <v>0</v>
      </c>
      <c r="V1549" s="255" t="str">
        <f t="shared" si="1979"/>
        <v>N/A</v>
      </c>
      <c r="W1549" s="102" t="s">
        <v>2922</v>
      </c>
      <c r="X1549" s="102"/>
      <c r="Y1549" s="102">
        <f t="shared" si="1980"/>
        <v>0</v>
      </c>
      <c r="Z1549" s="309">
        <f>Y1549*(1+VLOOKUP($F1549,'GL Category'!$A:$H,4,FALSE))</f>
        <v>0</v>
      </c>
      <c r="AA1549" s="615"/>
      <c r="AB1549" s="622">
        <f t="shared" si="1981"/>
        <v>0</v>
      </c>
      <c r="AC1549" s="633">
        <f>AB1549*(1+VLOOKUP($F1549,'GL Category'!$A:$H,5,FALSE))</f>
        <v>0</v>
      </c>
      <c r="AD1549" s="307"/>
      <c r="AE1549" s="622">
        <f t="shared" si="1982"/>
        <v>0</v>
      </c>
      <c r="AF1549" s="633">
        <f>AE1549*(1+VLOOKUP($F1549,'GL Category'!$A:$H,6,FALSE))</f>
        <v>0</v>
      </c>
      <c r="AG1549" s="307"/>
      <c r="AH1549" s="622">
        <f t="shared" si="1983"/>
        <v>0</v>
      </c>
      <c r="AI1549" s="633">
        <f>AH1549*(1+VLOOKUP($F1549,'GL Category'!$A:$H,7,FALSE))</f>
        <v>0</v>
      </c>
      <c r="AJ1549" s="307"/>
      <c r="AK1549" s="622">
        <f t="shared" si="1984"/>
        <v>0</v>
      </c>
      <c r="AL1549" s="633">
        <f>AK1549*(1+VLOOKUP($F1549,'GL Category'!$A:$H,8,FALSE))</f>
        <v>0</v>
      </c>
      <c r="AM1549" s="307"/>
      <c r="AN1549" s="622">
        <f t="shared" si="1985"/>
        <v>0</v>
      </c>
      <c r="AO1549" s="192"/>
      <c r="AP1549" s="192"/>
      <c r="AQ1549" s="192"/>
    </row>
    <row r="1550" spans="1:43" s="115" customFormat="1" ht="15" customHeight="1">
      <c r="A1550" s="555" t="s">
        <v>2923</v>
      </c>
      <c r="B1550" s="217" t="str">
        <f t="shared" si="1939"/>
        <v>100</v>
      </c>
      <c r="C1550" s="217" t="str">
        <f t="shared" si="1940"/>
        <v>60</v>
      </c>
      <c r="D1550" s="101" t="str">
        <f t="shared" si="1941"/>
        <v>601</v>
      </c>
      <c r="E1550" s="217" t="str">
        <f t="shared" si="1942"/>
        <v>100-60-601</v>
      </c>
      <c r="F1550" s="294" t="str">
        <f t="shared" si="1943"/>
        <v>53524</v>
      </c>
      <c r="G1550" s="295" t="str">
        <f>VLOOKUP(F1550,'GL Category'!A:C,3,FALSE)</f>
        <v>Services &amp; other</v>
      </c>
      <c r="H1550" s="98" t="str">
        <f>VLOOKUP(F1550,'GL Category'!A:C,2,FALSE)</f>
        <v>EQUIPMENT RENTAL</v>
      </c>
      <c r="I1550" s="99">
        <f>SUMIF(Import!$B:$B,$A1550,Import!D:D)</f>
        <v>0</v>
      </c>
      <c r="J1550" s="99">
        <f>SUMIF(Import!$B:$B,$A1550,Import!E:E)</f>
        <v>0</v>
      </c>
      <c r="K1550" s="99">
        <f>SUMIF(Import!$B:$B,$A1550,Import!F:F)</f>
        <v>0</v>
      </c>
      <c r="L1550" s="99">
        <f>SUMIF(Import!$B:$B,$A1550,Import!G:G)</f>
        <v>0</v>
      </c>
      <c r="M1550" s="99">
        <f>SUMIF(Import!$B:$B,$A1550,Import!H:H)</f>
        <v>0</v>
      </c>
      <c r="N1550" s="99">
        <f>SUMIF(Import!$B:$B,$A1550,Import!I:I)</f>
        <v>0</v>
      </c>
      <c r="O1550" s="99">
        <f>SUMIF(Import!$B:$B,$A1550,Import!J:J)</f>
        <v>0</v>
      </c>
      <c r="P1550" s="99">
        <f t="shared" si="1977"/>
        <v>0</v>
      </c>
      <c r="Q1550" s="99">
        <f>SUMIF(Import!$B:$B,$A1550,Import!K:K)</f>
        <v>0</v>
      </c>
      <c r="R1550" s="99">
        <f>SUMIF(Import!$B:$B,$A1550,Import!L:L)</f>
        <v>0</v>
      </c>
      <c r="S1550" s="99">
        <f>SUMIF(Import!$B:$B,$A1550,Import!M:M)</f>
        <v>0</v>
      </c>
      <c r="T1550" s="99">
        <f>SUMIF(Import!$B:$B,$A1550,Import!N:N)</f>
        <v>0</v>
      </c>
      <c r="U1550" s="99">
        <f t="shared" si="1978"/>
        <v>0</v>
      </c>
      <c r="V1550" s="255" t="str">
        <f t="shared" si="1979"/>
        <v>N/A</v>
      </c>
      <c r="W1550" s="102" t="s">
        <v>2923</v>
      </c>
      <c r="X1550" s="102"/>
      <c r="Y1550" s="102">
        <f t="shared" si="1980"/>
        <v>0</v>
      </c>
      <c r="Z1550" s="309">
        <f>Y1550*(1+VLOOKUP($F1550,'GL Category'!$A:$H,4,FALSE))</f>
        <v>0</v>
      </c>
      <c r="AA1550" s="615"/>
      <c r="AB1550" s="622">
        <f t="shared" si="1981"/>
        <v>0</v>
      </c>
      <c r="AC1550" s="633">
        <f>AB1550*(1+VLOOKUP($F1550,'GL Category'!$A:$H,5,FALSE))</f>
        <v>0</v>
      </c>
      <c r="AD1550" s="307"/>
      <c r="AE1550" s="622">
        <f t="shared" si="1982"/>
        <v>0</v>
      </c>
      <c r="AF1550" s="633">
        <f>AE1550*(1+VLOOKUP($F1550,'GL Category'!$A:$H,6,FALSE))</f>
        <v>0</v>
      </c>
      <c r="AG1550" s="307"/>
      <c r="AH1550" s="622">
        <f t="shared" si="1983"/>
        <v>0</v>
      </c>
      <c r="AI1550" s="633">
        <f>AH1550*(1+VLOOKUP($F1550,'GL Category'!$A:$H,7,FALSE))</f>
        <v>0</v>
      </c>
      <c r="AJ1550" s="307"/>
      <c r="AK1550" s="622">
        <f t="shared" si="1984"/>
        <v>0</v>
      </c>
      <c r="AL1550" s="633">
        <f>AK1550*(1+VLOOKUP($F1550,'GL Category'!$A:$H,8,FALSE))</f>
        <v>0</v>
      </c>
      <c r="AM1550" s="307"/>
      <c r="AN1550" s="622">
        <f t="shared" si="1985"/>
        <v>0</v>
      </c>
      <c r="AO1550" s="192"/>
      <c r="AP1550" s="192"/>
      <c r="AQ1550" s="192"/>
    </row>
    <row r="1551" spans="1:43" s="115" customFormat="1" ht="15" customHeight="1">
      <c r="A1551" s="555" t="s">
        <v>2924</v>
      </c>
      <c r="B1551" s="217" t="str">
        <f t="shared" si="1939"/>
        <v>100</v>
      </c>
      <c r="C1551" s="217" t="str">
        <f t="shared" si="1940"/>
        <v>60</v>
      </c>
      <c r="D1551" s="101" t="str">
        <f t="shared" si="1941"/>
        <v>601</v>
      </c>
      <c r="E1551" s="217" t="str">
        <f t="shared" si="1942"/>
        <v>100-60-601</v>
      </c>
      <c r="F1551" s="294" t="str">
        <f t="shared" si="1943"/>
        <v>53529</v>
      </c>
      <c r="G1551" s="295" t="str">
        <f>VLOOKUP(F1551,'GL Category'!A:C,3,FALSE)</f>
        <v>Services &amp; other</v>
      </c>
      <c r="H1551" s="98" t="str">
        <f>VLOOKUP(F1551,'GL Category'!A:C,2,FALSE)</f>
        <v>JANITORIAL SERVICES</v>
      </c>
      <c r="I1551" s="99">
        <f>SUMIF(Import!$B:$B,$A1551,Import!D:D)</f>
        <v>23974.5</v>
      </c>
      <c r="J1551" s="99">
        <f>SUMIF(Import!$B:$B,$A1551,Import!E:E)</f>
        <v>28251.58</v>
      </c>
      <c r="K1551" s="99">
        <f>SUMIF(Import!$B:$B,$A1551,Import!F:F)</f>
        <v>26756.799999999999</v>
      </c>
      <c r="L1551" s="99">
        <f>SUMIF(Import!$B:$B,$A1551,Import!G:G)</f>
        <v>39908.21</v>
      </c>
      <c r="M1551" s="99">
        <f>SUMIF(Import!$B:$B,$A1551,Import!H:H)</f>
        <v>41680</v>
      </c>
      <c r="N1551" s="99">
        <f>SUMIF(Import!$B:$B,$A1551,Import!I:I)</f>
        <v>21436.6</v>
      </c>
      <c r="O1551" s="99">
        <f>SUMIF(Import!$B:$B,$A1551,Import!J:J)</f>
        <v>41680</v>
      </c>
      <c r="P1551" s="99">
        <f t="shared" si="1977"/>
        <v>0</v>
      </c>
      <c r="Q1551" s="99">
        <f>SUMIF(Import!$B:$B,$A1551,Import!K:K)</f>
        <v>41680</v>
      </c>
      <c r="R1551" s="99">
        <f>SUMIF(Import!$B:$B,$A1551,Import!L:L)</f>
        <v>0</v>
      </c>
      <c r="S1551" s="99">
        <f>SUMIF(Import!$B:$B,$A1551,Import!M:M)</f>
        <v>0</v>
      </c>
      <c r="T1551" s="99">
        <f>SUMIF(Import!$B:$B,$A1551,Import!N:N)</f>
        <v>41680</v>
      </c>
      <c r="U1551" s="99">
        <f t="shared" si="1978"/>
        <v>0</v>
      </c>
      <c r="V1551" s="255">
        <f t="shared" si="1979"/>
        <v>0</v>
      </c>
      <c r="W1551" s="102" t="s">
        <v>2924</v>
      </c>
      <c r="X1551" s="102"/>
      <c r="Y1551" s="102">
        <f t="shared" si="1980"/>
        <v>41680</v>
      </c>
      <c r="Z1551" s="309">
        <f>Y1551*(1+VLOOKUP($F1551,'GL Category'!$A:$H,4,FALSE))</f>
        <v>42930.400000000001</v>
      </c>
      <c r="AA1551" s="615"/>
      <c r="AB1551" s="622">
        <f t="shared" si="1981"/>
        <v>42930.400000000001</v>
      </c>
      <c r="AC1551" s="633">
        <f>AB1551*(1+VLOOKUP($F1551,'GL Category'!$A:$H,5,FALSE))</f>
        <v>44218.312000000005</v>
      </c>
      <c r="AD1551" s="307"/>
      <c r="AE1551" s="622">
        <f t="shared" si="1982"/>
        <v>44218.312000000005</v>
      </c>
      <c r="AF1551" s="633">
        <f>AE1551*(1+VLOOKUP($F1551,'GL Category'!$A:$H,6,FALSE))</f>
        <v>45544.86136000001</v>
      </c>
      <c r="AG1551" s="307"/>
      <c r="AH1551" s="622">
        <f t="shared" si="1983"/>
        <v>45544.86136000001</v>
      </c>
      <c r="AI1551" s="633">
        <f>AH1551*(1+VLOOKUP($F1551,'GL Category'!$A:$H,7,FALSE))</f>
        <v>46911.20720080001</v>
      </c>
      <c r="AJ1551" s="307"/>
      <c r="AK1551" s="622">
        <f t="shared" si="1984"/>
        <v>46911.20720080001</v>
      </c>
      <c r="AL1551" s="633">
        <f>AK1551*(1+VLOOKUP($F1551,'GL Category'!$A:$H,8,FALSE))</f>
        <v>48318.54341682401</v>
      </c>
      <c r="AM1551" s="307"/>
      <c r="AN1551" s="622">
        <f t="shared" si="1985"/>
        <v>48318.54341682401</v>
      </c>
      <c r="AO1551" s="192"/>
      <c r="AP1551" s="192"/>
      <c r="AQ1551" s="192"/>
    </row>
    <row r="1552" spans="1:43" s="115" customFormat="1" ht="15" customHeight="1">
      <c r="A1552" s="555" t="s">
        <v>2925</v>
      </c>
      <c r="B1552" s="217" t="str">
        <f t="shared" si="1939"/>
        <v>100</v>
      </c>
      <c r="C1552" s="217" t="str">
        <f t="shared" si="1940"/>
        <v>60</v>
      </c>
      <c r="D1552" s="101" t="str">
        <f t="shared" si="1941"/>
        <v>601</v>
      </c>
      <c r="E1552" s="217" t="str">
        <f t="shared" si="1942"/>
        <v>100-60-601</v>
      </c>
      <c r="F1552" s="294" t="str">
        <f t="shared" si="1943"/>
        <v>53534</v>
      </c>
      <c r="G1552" s="295" t="str">
        <f>VLOOKUP(F1552,'GL Category'!A:C,3,FALSE)</f>
        <v>Services &amp; other</v>
      </c>
      <c r="H1552" s="98" t="str">
        <f>VLOOKUP(F1552,'GL Category'!A:C,2,FALSE)</f>
        <v>MARKETING &amp; PROMOTIONAL</v>
      </c>
      <c r="I1552" s="99">
        <f>SUMIF(Import!$B:$B,$A1552,Import!D:D)</f>
        <v>4608.8599999999997</v>
      </c>
      <c r="J1552" s="99">
        <f>SUMIF(Import!$B:$B,$A1552,Import!E:E)</f>
        <v>4386.2299999999996</v>
      </c>
      <c r="K1552" s="99">
        <f>SUMIF(Import!$B:$B,$A1552,Import!F:F)</f>
        <v>4890.8100000000004</v>
      </c>
      <c r="L1552" s="99">
        <f>SUMIF(Import!$B:$B,$A1552,Import!G:G)</f>
        <v>4849.03</v>
      </c>
      <c r="M1552" s="99">
        <f>SUMIF(Import!$B:$B,$A1552,Import!H:H)</f>
        <v>5400</v>
      </c>
      <c r="N1552" s="99">
        <f>SUMIF(Import!$B:$B,$A1552,Import!I:I)</f>
        <v>5290.46</v>
      </c>
      <c r="O1552" s="99">
        <f>SUMIF(Import!$B:$B,$A1552,Import!J:J)</f>
        <v>5400</v>
      </c>
      <c r="P1552" s="99">
        <f t="shared" si="1977"/>
        <v>0</v>
      </c>
      <c r="Q1552" s="99">
        <f>SUMIF(Import!$B:$B,$A1552,Import!K:K)</f>
        <v>5400</v>
      </c>
      <c r="R1552" s="99">
        <f>SUMIF(Import!$B:$B,$A1552,Import!L:L)</f>
        <v>0</v>
      </c>
      <c r="S1552" s="99">
        <f>SUMIF(Import!$B:$B,$A1552,Import!M:M)</f>
        <v>0</v>
      </c>
      <c r="T1552" s="99">
        <f>SUMIF(Import!$B:$B,$A1552,Import!N:N)</f>
        <v>5400</v>
      </c>
      <c r="U1552" s="99">
        <f t="shared" si="1978"/>
        <v>0</v>
      </c>
      <c r="V1552" s="255">
        <f t="shared" si="1979"/>
        <v>0</v>
      </c>
      <c r="W1552" s="102" t="s">
        <v>2925</v>
      </c>
      <c r="X1552" s="102"/>
      <c r="Y1552" s="102">
        <f t="shared" si="1980"/>
        <v>5400</v>
      </c>
      <c r="Z1552" s="309">
        <f>Y1552*(1+VLOOKUP($F1552,'GL Category'!$A:$H,4,FALSE))</f>
        <v>5562</v>
      </c>
      <c r="AA1552" s="615"/>
      <c r="AB1552" s="622">
        <f t="shared" si="1981"/>
        <v>5562</v>
      </c>
      <c r="AC1552" s="633">
        <f>AB1552*(1+VLOOKUP($F1552,'GL Category'!$A:$H,5,FALSE))</f>
        <v>5728.8600000000006</v>
      </c>
      <c r="AD1552" s="307"/>
      <c r="AE1552" s="622">
        <f t="shared" si="1982"/>
        <v>5728.8600000000006</v>
      </c>
      <c r="AF1552" s="633">
        <f>AE1552*(1+VLOOKUP($F1552,'GL Category'!$A:$H,6,FALSE))</f>
        <v>5900.7258000000011</v>
      </c>
      <c r="AG1552" s="307"/>
      <c r="AH1552" s="622">
        <f t="shared" si="1983"/>
        <v>5900.7258000000011</v>
      </c>
      <c r="AI1552" s="633">
        <f>AH1552*(1+VLOOKUP($F1552,'GL Category'!$A:$H,7,FALSE))</f>
        <v>6077.7475740000009</v>
      </c>
      <c r="AJ1552" s="307"/>
      <c r="AK1552" s="622">
        <f t="shared" si="1984"/>
        <v>6077.7475740000009</v>
      </c>
      <c r="AL1552" s="633">
        <f>AK1552*(1+VLOOKUP($F1552,'GL Category'!$A:$H,8,FALSE))</f>
        <v>6260.0800012200007</v>
      </c>
      <c r="AM1552" s="307"/>
      <c r="AN1552" s="622">
        <f t="shared" si="1985"/>
        <v>6260.0800012200007</v>
      </c>
      <c r="AO1552" s="192"/>
      <c r="AP1552" s="192"/>
      <c r="AQ1552" s="192"/>
    </row>
    <row r="1553" spans="1:59" s="115" customFormat="1" ht="15" customHeight="1">
      <c r="A1553" s="555" t="s">
        <v>2926</v>
      </c>
      <c r="B1553" s="217" t="str">
        <f t="shared" si="1939"/>
        <v>100</v>
      </c>
      <c r="C1553" s="217" t="str">
        <f t="shared" si="1940"/>
        <v>60</v>
      </c>
      <c r="D1553" s="101" t="str">
        <f t="shared" si="1941"/>
        <v>601</v>
      </c>
      <c r="E1553" s="217" t="str">
        <f t="shared" si="1942"/>
        <v>100-60-601</v>
      </c>
      <c r="F1553" s="294" t="str">
        <f t="shared" si="1943"/>
        <v>53535</v>
      </c>
      <c r="G1553" s="295" t="str">
        <f>VLOOKUP(F1553,'GL Category'!A:C,3,FALSE)</f>
        <v>Services &amp; other</v>
      </c>
      <c r="H1553" s="98" t="str">
        <f>VLOOKUP(F1553,'GL Category'!A:C,2,FALSE)</f>
        <v>RECREATION &amp; CULTURE PROGRAMS</v>
      </c>
      <c r="I1553" s="99">
        <f>SUMIF(Import!$B:$B,$A1553,Import!D:D)</f>
        <v>20369.689999999999</v>
      </c>
      <c r="J1553" s="99">
        <f>SUMIF(Import!$B:$B,$A1553,Import!E:E)</f>
        <v>20078.84</v>
      </c>
      <c r="K1553" s="99">
        <f>SUMIF(Import!$B:$B,$A1553,Import!F:F)</f>
        <v>19727.89</v>
      </c>
      <c r="L1553" s="99">
        <f>SUMIF(Import!$B:$B,$A1553,Import!G:G)</f>
        <v>27847.02</v>
      </c>
      <c r="M1553" s="99">
        <f>SUMIF(Import!$B:$B,$A1553,Import!H:H)</f>
        <v>29485</v>
      </c>
      <c r="N1553" s="99">
        <f>SUMIF(Import!$B:$B,$A1553,Import!I:I)</f>
        <v>22525.93</v>
      </c>
      <c r="O1553" s="99">
        <f>SUMIF(Import!$B:$B,$A1553,Import!J:J)</f>
        <v>29485</v>
      </c>
      <c r="P1553" s="99">
        <f t="shared" si="1977"/>
        <v>0</v>
      </c>
      <c r="Q1553" s="99">
        <f>SUMIF(Import!$B:$B,$A1553,Import!K:K)</f>
        <v>33027</v>
      </c>
      <c r="R1553" s="99">
        <f>SUMIF(Import!$B:$B,$A1553,Import!L:L)</f>
        <v>0</v>
      </c>
      <c r="S1553" s="99">
        <f>SUMIF(Import!$B:$B,$A1553,Import!M:M)</f>
        <v>0</v>
      </c>
      <c r="T1553" s="99">
        <f>SUMIF(Import!$B:$B,$A1553,Import!N:N)</f>
        <v>33027</v>
      </c>
      <c r="U1553" s="99">
        <f t="shared" si="1978"/>
        <v>3542</v>
      </c>
      <c r="V1553" s="255">
        <f t="shared" si="1979"/>
        <v>0.12012887909106329</v>
      </c>
      <c r="W1553" s="102" t="s">
        <v>2926</v>
      </c>
      <c r="X1553" s="102"/>
      <c r="Y1553" s="102">
        <f t="shared" si="1980"/>
        <v>33027</v>
      </c>
      <c r="Z1553" s="309">
        <f>Y1553*(1+VLOOKUP($F1553,'GL Category'!$A:$H,4,FALSE))</f>
        <v>34017.81</v>
      </c>
      <c r="AA1553" s="615"/>
      <c r="AB1553" s="622">
        <f t="shared" si="1981"/>
        <v>34017.81</v>
      </c>
      <c r="AC1553" s="633">
        <f>AB1553*(1+VLOOKUP($F1553,'GL Category'!$A:$H,5,FALSE))</f>
        <v>35038.344299999997</v>
      </c>
      <c r="AD1553" s="307"/>
      <c r="AE1553" s="622">
        <f t="shared" si="1982"/>
        <v>35038.344299999997</v>
      </c>
      <c r="AF1553" s="633">
        <f>AE1553*(1+VLOOKUP($F1553,'GL Category'!$A:$H,6,FALSE))</f>
        <v>36089.494629000001</v>
      </c>
      <c r="AG1553" s="307"/>
      <c r="AH1553" s="622">
        <f t="shared" si="1983"/>
        <v>36089.494629000001</v>
      </c>
      <c r="AI1553" s="633">
        <f>AH1553*(1+VLOOKUP($F1553,'GL Category'!$A:$H,7,FALSE))</f>
        <v>37172.179467870003</v>
      </c>
      <c r="AJ1553" s="307"/>
      <c r="AK1553" s="622">
        <f t="shared" si="1984"/>
        <v>37172.179467870003</v>
      </c>
      <c r="AL1553" s="633">
        <f>AK1553*(1+VLOOKUP($F1553,'GL Category'!$A:$H,8,FALSE))</f>
        <v>38287.344851906106</v>
      </c>
      <c r="AM1553" s="307"/>
      <c r="AN1553" s="622">
        <f t="shared" si="1985"/>
        <v>38287.344851906106</v>
      </c>
      <c r="AO1553" s="192"/>
      <c r="AP1553" s="192"/>
      <c r="AQ1553" s="192"/>
    </row>
    <row r="1554" spans="1:59" s="115" customFormat="1" ht="15" customHeight="1">
      <c r="A1554" s="555" t="s">
        <v>2927</v>
      </c>
      <c r="B1554" s="217" t="str">
        <f t="shared" si="1939"/>
        <v>100</v>
      </c>
      <c r="C1554" s="217" t="str">
        <f t="shared" si="1940"/>
        <v>60</v>
      </c>
      <c r="D1554" s="101" t="str">
        <f t="shared" si="1941"/>
        <v>601</v>
      </c>
      <c r="E1554" s="217" t="str">
        <f t="shared" si="1942"/>
        <v>100-60-601</v>
      </c>
      <c r="F1554" s="294" t="str">
        <f t="shared" si="1943"/>
        <v>53551</v>
      </c>
      <c r="G1554" s="295" t="str">
        <f>VLOOKUP(F1554,'GL Category'!A:C,3,FALSE)</f>
        <v>Services &amp; other</v>
      </c>
      <c r="H1554" s="98" t="str">
        <f>VLOOKUP(F1554,'GL Category'!A:C,2,FALSE)</f>
        <v>FREIGHT &amp; EXPRESS SERVICES</v>
      </c>
      <c r="I1554" s="99">
        <f>SUMIF(Import!$B:$B,$A1554,Import!D:D)</f>
        <v>7446.25</v>
      </c>
      <c r="J1554" s="99">
        <f>SUMIF(Import!$B:$B,$A1554,Import!E:E)</f>
        <v>4570.93</v>
      </c>
      <c r="K1554" s="99">
        <f>SUMIF(Import!$B:$B,$A1554,Import!F:F)</f>
        <v>2225.27</v>
      </c>
      <c r="L1554" s="99">
        <f>SUMIF(Import!$B:$B,$A1554,Import!G:G)</f>
        <v>1516.66</v>
      </c>
      <c r="M1554" s="99">
        <f>SUMIF(Import!$B:$B,$A1554,Import!H:H)</f>
        <v>7230</v>
      </c>
      <c r="N1554" s="99">
        <f>SUMIF(Import!$B:$B,$A1554,Import!I:I)</f>
        <v>4295.2700000000004</v>
      </c>
      <c r="O1554" s="99">
        <f>SUMIF(Import!$B:$B,$A1554,Import!J:J)</f>
        <v>7230</v>
      </c>
      <c r="P1554" s="99">
        <f t="shared" si="1977"/>
        <v>0</v>
      </c>
      <c r="Q1554" s="99">
        <f>SUMIF(Import!$B:$B,$A1554,Import!K:K)</f>
        <v>7230</v>
      </c>
      <c r="R1554" s="99">
        <f>SUMIF(Import!$B:$B,$A1554,Import!L:L)</f>
        <v>6800</v>
      </c>
      <c r="S1554" s="99">
        <f>SUMIF(Import!$B:$B,$A1554,Import!M:M)</f>
        <v>0</v>
      </c>
      <c r="T1554" s="99">
        <f>SUMIF(Import!$B:$B,$A1554,Import!N:N)</f>
        <v>14030</v>
      </c>
      <c r="U1554" s="99">
        <f t="shared" si="1978"/>
        <v>6800</v>
      </c>
      <c r="V1554" s="255">
        <f t="shared" si="1979"/>
        <v>0.94052558782849238</v>
      </c>
      <c r="W1554" s="102" t="s">
        <v>2927</v>
      </c>
      <c r="X1554" s="102"/>
      <c r="Y1554" s="102">
        <f t="shared" si="1980"/>
        <v>14030</v>
      </c>
      <c r="Z1554" s="309">
        <f>Y1554*(1+VLOOKUP($F1554,'GL Category'!$A:$H,4,FALSE))</f>
        <v>14450.9</v>
      </c>
      <c r="AA1554" s="615"/>
      <c r="AB1554" s="622">
        <f t="shared" si="1981"/>
        <v>14450.9</v>
      </c>
      <c r="AC1554" s="633">
        <f>AB1554*(1+VLOOKUP($F1554,'GL Category'!$A:$H,5,FALSE))</f>
        <v>14884.427</v>
      </c>
      <c r="AD1554" s="307"/>
      <c r="AE1554" s="622">
        <f t="shared" si="1982"/>
        <v>14884.427</v>
      </c>
      <c r="AF1554" s="633">
        <f>AE1554*(1+VLOOKUP($F1554,'GL Category'!$A:$H,6,FALSE))</f>
        <v>15330.95981</v>
      </c>
      <c r="AG1554" s="307"/>
      <c r="AH1554" s="622">
        <f t="shared" si="1983"/>
        <v>15330.95981</v>
      </c>
      <c r="AI1554" s="633">
        <f>AH1554*(1+VLOOKUP($F1554,'GL Category'!$A:$H,7,FALSE))</f>
        <v>15790.8886043</v>
      </c>
      <c r="AJ1554" s="307"/>
      <c r="AK1554" s="622">
        <f t="shared" si="1984"/>
        <v>15790.8886043</v>
      </c>
      <c r="AL1554" s="633">
        <f>AK1554*(1+VLOOKUP($F1554,'GL Category'!$A:$H,8,FALSE))</f>
        <v>16264.615262429001</v>
      </c>
      <c r="AM1554" s="307"/>
      <c r="AN1554" s="622">
        <f t="shared" si="1985"/>
        <v>16264.615262429001</v>
      </c>
      <c r="AO1554" s="192"/>
      <c r="AP1554" s="192"/>
      <c r="AQ1554" s="192"/>
    </row>
    <row r="1555" spans="1:59" ht="15" customHeight="1">
      <c r="A1555" s="555" t="s">
        <v>2928</v>
      </c>
      <c r="B1555" s="217" t="str">
        <f t="shared" si="1939"/>
        <v>100</v>
      </c>
      <c r="C1555" s="217" t="str">
        <f t="shared" si="1940"/>
        <v>60</v>
      </c>
      <c r="D1555" s="101" t="str">
        <f t="shared" si="1941"/>
        <v>601</v>
      </c>
      <c r="E1555" s="217" t="str">
        <f t="shared" si="1942"/>
        <v>100-60-601</v>
      </c>
      <c r="F1555" s="294" t="str">
        <f t="shared" si="1943"/>
        <v>53570</v>
      </c>
      <c r="G1555" s="295" t="str">
        <f>VLOOKUP(F1555,'GL Category'!A:C,3,FALSE)</f>
        <v>Services &amp; other</v>
      </c>
      <c r="H1555" s="98" t="str">
        <f>VLOOKUP(F1555,'GL Category'!A:C,2,FALSE)</f>
        <v>TELEPHONE/COMMUNICATIONS</v>
      </c>
      <c r="I1555" s="99">
        <f>SUMIF(Import!$B:$B,$A1555,Import!D:D)</f>
        <v>11254.33</v>
      </c>
      <c r="J1555" s="99">
        <f>SUMIF(Import!$B:$B,$A1555,Import!E:E)</f>
        <v>12152.49</v>
      </c>
      <c r="K1555" s="99">
        <f>SUMIF(Import!$B:$B,$A1555,Import!F:F)</f>
        <v>13181.68</v>
      </c>
      <c r="L1555" s="99">
        <f>SUMIF(Import!$B:$B,$A1555,Import!G:G)</f>
        <v>12105.19</v>
      </c>
      <c r="M1555" s="99">
        <f>SUMIF(Import!$B:$B,$A1555,Import!H:H)</f>
        <v>14000</v>
      </c>
      <c r="N1555" s="99">
        <f>SUMIF(Import!$B:$B,$A1555,Import!I:I)</f>
        <v>10718.66</v>
      </c>
      <c r="O1555" s="99">
        <f>SUMIF(Import!$B:$B,$A1555,Import!J:J)</f>
        <v>14000</v>
      </c>
      <c r="P1555" s="99">
        <f t="shared" si="1977"/>
        <v>0</v>
      </c>
      <c r="Q1555" s="99">
        <f>SUMIF(Import!$B:$B,$A1555,Import!K:K)</f>
        <v>12520</v>
      </c>
      <c r="R1555" s="99">
        <f>SUMIF(Import!$B:$B,$A1555,Import!L:L)</f>
        <v>0</v>
      </c>
      <c r="S1555" s="99">
        <f>SUMIF(Import!$B:$B,$A1555,Import!M:M)</f>
        <v>0</v>
      </c>
      <c r="T1555" s="99">
        <f>SUMIF(Import!$B:$B,$A1555,Import!N:N)</f>
        <v>12520</v>
      </c>
      <c r="U1555" s="99">
        <f t="shared" si="1978"/>
        <v>-1480</v>
      </c>
      <c r="V1555" s="255">
        <f t="shared" si="1979"/>
        <v>-0.10571428571428576</v>
      </c>
      <c r="W1555" s="102" t="s">
        <v>2928</v>
      </c>
      <c r="X1555" s="102"/>
      <c r="Y1555" s="102">
        <f t="shared" si="1980"/>
        <v>12520</v>
      </c>
      <c r="Z1555" s="309">
        <f>Y1555*(1+VLOOKUP($F1555,'GL Category'!$A:$H,4,FALSE))</f>
        <v>12895.6</v>
      </c>
      <c r="AA1555" s="615"/>
      <c r="AB1555" s="622">
        <f t="shared" si="1981"/>
        <v>12895.6</v>
      </c>
      <c r="AC1555" s="633">
        <f>AB1555*(1+VLOOKUP($F1555,'GL Category'!$A:$H,5,FALSE))</f>
        <v>13282.468000000001</v>
      </c>
      <c r="AE1555" s="622">
        <f t="shared" si="1982"/>
        <v>13282.468000000001</v>
      </c>
      <c r="AF1555" s="633">
        <f>AE1555*(1+VLOOKUP($F1555,'GL Category'!$A:$H,6,FALSE))</f>
        <v>13680.942040000002</v>
      </c>
      <c r="AH1555" s="622">
        <f t="shared" si="1983"/>
        <v>13680.942040000002</v>
      </c>
      <c r="AI1555" s="633">
        <f>AH1555*(1+VLOOKUP($F1555,'GL Category'!$A:$H,7,FALSE))</f>
        <v>14091.370301200002</v>
      </c>
      <c r="AK1555" s="622">
        <f t="shared" si="1984"/>
        <v>14091.370301200002</v>
      </c>
      <c r="AL1555" s="633">
        <f>AK1555*(1+VLOOKUP($F1555,'GL Category'!$A:$H,8,FALSE))</f>
        <v>14514.111410236002</v>
      </c>
      <c r="AN1555" s="622">
        <f t="shared" si="1985"/>
        <v>14514.111410236002</v>
      </c>
    </row>
    <row r="1556" spans="1:59" ht="15" customHeight="1">
      <c r="A1556" s="555" t="s">
        <v>2929</v>
      </c>
      <c r="B1556" s="217" t="str">
        <f t="shared" ref="B1556:B1616" si="1986">LEFT(A1556,3)</f>
        <v>100</v>
      </c>
      <c r="C1556" s="217" t="str">
        <f t="shared" ref="C1556:C1616" si="1987">MID(A1556,5,2)</f>
        <v>60</v>
      </c>
      <c r="D1556" s="101" t="str">
        <f t="shared" ref="D1556:D1616" si="1988">MID(A1556,8,3)</f>
        <v>601</v>
      </c>
      <c r="E1556" s="217" t="str">
        <f t="shared" ref="E1556:E1616" si="1989">LEFT(A1556,10)</f>
        <v>100-60-601</v>
      </c>
      <c r="F1556" s="294" t="str">
        <f t="shared" ref="F1556:F1616" si="1990">RIGHT(A1556,5)</f>
        <v>53571</v>
      </c>
      <c r="G1556" s="295" t="str">
        <f>VLOOKUP(F1556,'GL Category'!A:C,3,FALSE)</f>
        <v>Services &amp; other</v>
      </c>
      <c r="H1556" s="98" t="str">
        <f>VLOOKUP(F1556,'GL Category'!A:C,2,FALSE)</f>
        <v>NATURAL GAS UTILITY SERVICE</v>
      </c>
      <c r="I1556" s="99">
        <f>SUMIF(Import!$B:$B,$A1556,Import!D:D)</f>
        <v>2689.3</v>
      </c>
      <c r="J1556" s="99">
        <f>SUMIF(Import!$B:$B,$A1556,Import!E:E)</f>
        <v>4591.08</v>
      </c>
      <c r="K1556" s="99">
        <f>SUMIF(Import!$B:$B,$A1556,Import!F:F)</f>
        <v>6145.04</v>
      </c>
      <c r="L1556" s="99">
        <f>SUMIF(Import!$B:$B,$A1556,Import!G:G)</f>
        <v>5910.43</v>
      </c>
      <c r="M1556" s="99">
        <f>SUMIF(Import!$B:$B,$A1556,Import!H:H)</f>
        <v>6380</v>
      </c>
      <c r="N1556" s="99">
        <f>SUMIF(Import!$B:$B,$A1556,Import!I:I)</f>
        <v>7043.16</v>
      </c>
      <c r="O1556" s="99">
        <f>SUMIF(Import!$B:$B,$A1556,Import!J:J)</f>
        <v>7250</v>
      </c>
      <c r="P1556" s="99">
        <f t="shared" si="1977"/>
        <v>870</v>
      </c>
      <c r="Q1556" s="99">
        <f>SUMIF(Import!$B:$B,$A1556,Import!K:K)</f>
        <v>7108</v>
      </c>
      <c r="R1556" s="99">
        <f>SUMIF(Import!$B:$B,$A1556,Import!L:L)</f>
        <v>0</v>
      </c>
      <c r="S1556" s="99">
        <f>SUMIF(Import!$B:$B,$A1556,Import!M:M)</f>
        <v>0</v>
      </c>
      <c r="T1556" s="99">
        <f>SUMIF(Import!$B:$B,$A1556,Import!N:N)</f>
        <v>7108</v>
      </c>
      <c r="U1556" s="99">
        <f t="shared" si="1978"/>
        <v>728</v>
      </c>
      <c r="V1556" s="255">
        <f t="shared" si="1979"/>
        <v>0.11410658307210042</v>
      </c>
      <c r="W1556" s="102" t="s">
        <v>2929</v>
      </c>
      <c r="X1556" s="102"/>
      <c r="Y1556" s="102">
        <f t="shared" si="1980"/>
        <v>7108</v>
      </c>
      <c r="Z1556" s="309">
        <f>Y1556*(1+VLOOKUP($F1556,'GL Category'!$A:$H,4,FALSE))</f>
        <v>7321.24</v>
      </c>
      <c r="AA1556" s="615"/>
      <c r="AB1556" s="622">
        <f t="shared" si="1981"/>
        <v>7321.24</v>
      </c>
      <c r="AC1556" s="633">
        <f>AB1556*(1+VLOOKUP($F1556,'GL Category'!$A:$H,5,FALSE))</f>
        <v>7540.8771999999999</v>
      </c>
      <c r="AE1556" s="622">
        <f t="shared" si="1982"/>
        <v>7540.8771999999999</v>
      </c>
      <c r="AF1556" s="633">
        <f>AE1556*(1+VLOOKUP($F1556,'GL Category'!$A:$H,6,FALSE))</f>
        <v>7767.1035160000001</v>
      </c>
      <c r="AH1556" s="622">
        <f t="shared" si="1983"/>
        <v>7767.1035160000001</v>
      </c>
      <c r="AI1556" s="633">
        <f>AH1556*(1+VLOOKUP($F1556,'GL Category'!$A:$H,7,FALSE))</f>
        <v>8000.1166214800005</v>
      </c>
      <c r="AK1556" s="622">
        <f t="shared" si="1984"/>
        <v>8000.1166214800005</v>
      </c>
      <c r="AL1556" s="633">
        <f>AK1556*(1+VLOOKUP($F1556,'GL Category'!$A:$H,8,FALSE))</f>
        <v>8240.1201201244003</v>
      </c>
      <c r="AN1556" s="622">
        <f t="shared" si="1985"/>
        <v>8240.1201201244003</v>
      </c>
    </row>
    <row r="1557" spans="1:59" ht="15" customHeight="1">
      <c r="A1557" s="555" t="s">
        <v>2930</v>
      </c>
      <c r="B1557" s="217" t="str">
        <f t="shared" si="1986"/>
        <v>100</v>
      </c>
      <c r="C1557" s="217" t="str">
        <f t="shared" si="1987"/>
        <v>60</v>
      </c>
      <c r="D1557" s="101" t="str">
        <f t="shared" si="1988"/>
        <v>601</v>
      </c>
      <c r="E1557" s="217" t="str">
        <f t="shared" si="1989"/>
        <v>100-60-601</v>
      </c>
      <c r="F1557" s="294" t="str">
        <f t="shared" si="1990"/>
        <v>53572</v>
      </c>
      <c r="G1557" s="295" t="str">
        <f>VLOOKUP(F1557,'GL Category'!A:C,3,FALSE)</f>
        <v>Services &amp; other</v>
      </c>
      <c r="H1557" s="98" t="str">
        <f>VLOOKUP(F1557,'GL Category'!A:C,2,FALSE)</f>
        <v>ELECTRICAL UTILITY SERVICE</v>
      </c>
      <c r="I1557" s="99">
        <f>SUMIF(Import!$B:$B,$A1557,Import!D:D)</f>
        <v>30127.55</v>
      </c>
      <c r="J1557" s="99">
        <f>SUMIF(Import!$B:$B,$A1557,Import!E:E)</f>
        <v>52000.78</v>
      </c>
      <c r="K1557" s="99">
        <f>SUMIF(Import!$B:$B,$A1557,Import!F:F)</f>
        <v>37191.22</v>
      </c>
      <c r="L1557" s="99">
        <f>SUMIF(Import!$B:$B,$A1557,Import!G:G)</f>
        <v>43084.61</v>
      </c>
      <c r="M1557" s="99">
        <f>SUMIF(Import!$B:$B,$A1557,Import!H:H)</f>
        <v>43300</v>
      </c>
      <c r="N1557" s="99">
        <f>SUMIF(Import!$B:$B,$A1557,Import!I:I)</f>
        <v>21024.560000000001</v>
      </c>
      <c r="O1557" s="99">
        <f>SUMIF(Import!$B:$B,$A1557,Import!J:J)</f>
        <v>43300</v>
      </c>
      <c r="P1557" s="99">
        <f t="shared" si="1977"/>
        <v>0</v>
      </c>
      <c r="Q1557" s="99">
        <f>SUMIF(Import!$B:$B,$A1557,Import!K:K)</f>
        <v>43300</v>
      </c>
      <c r="R1557" s="99">
        <f>SUMIF(Import!$B:$B,$A1557,Import!L:L)</f>
        <v>0</v>
      </c>
      <c r="S1557" s="99">
        <f>SUMIF(Import!$B:$B,$A1557,Import!M:M)</f>
        <v>0</v>
      </c>
      <c r="T1557" s="99">
        <f>SUMIF(Import!$B:$B,$A1557,Import!N:N)</f>
        <v>43300</v>
      </c>
      <c r="U1557" s="99">
        <f t="shared" si="1978"/>
        <v>0</v>
      </c>
      <c r="V1557" s="255">
        <f t="shared" si="1979"/>
        <v>0</v>
      </c>
      <c r="W1557" s="102" t="s">
        <v>2930</v>
      </c>
      <c r="X1557" s="102"/>
      <c r="Y1557" s="102">
        <f t="shared" si="1980"/>
        <v>43300</v>
      </c>
      <c r="Z1557" s="309">
        <f>Y1557*(1+VLOOKUP($F1557,'GL Category'!$A:$H,4,FALSE))</f>
        <v>44599</v>
      </c>
      <c r="AA1557" s="615"/>
      <c r="AB1557" s="622">
        <f t="shared" si="1981"/>
        <v>44599</v>
      </c>
      <c r="AC1557" s="633">
        <f>AB1557*(1+VLOOKUP($F1557,'GL Category'!$A:$H,5,FALSE))</f>
        <v>45936.97</v>
      </c>
      <c r="AE1557" s="622">
        <f t="shared" si="1982"/>
        <v>45936.97</v>
      </c>
      <c r="AF1557" s="633">
        <f>AE1557*(1+VLOOKUP($F1557,'GL Category'!$A:$H,6,FALSE))</f>
        <v>47315.079100000003</v>
      </c>
      <c r="AH1557" s="622">
        <f t="shared" si="1983"/>
        <v>47315.079100000003</v>
      </c>
      <c r="AI1557" s="633">
        <f>AH1557*(1+VLOOKUP($F1557,'GL Category'!$A:$H,7,FALSE))</f>
        <v>48734.531473000003</v>
      </c>
      <c r="AK1557" s="622">
        <f t="shared" si="1984"/>
        <v>48734.531473000003</v>
      </c>
      <c r="AL1557" s="633">
        <f>AK1557*(1+VLOOKUP($F1557,'GL Category'!$A:$H,8,FALSE))</f>
        <v>50196.567417190003</v>
      </c>
      <c r="AN1557" s="622">
        <f t="shared" si="1985"/>
        <v>50196.567417190003</v>
      </c>
    </row>
    <row r="1558" spans="1:59" ht="15" customHeight="1">
      <c r="A1558" s="555" t="s">
        <v>2931</v>
      </c>
      <c r="B1558" s="217" t="str">
        <f t="shared" si="1986"/>
        <v>100</v>
      </c>
      <c r="C1558" s="217" t="str">
        <f t="shared" si="1987"/>
        <v>60</v>
      </c>
      <c r="D1558" s="101" t="str">
        <f t="shared" si="1988"/>
        <v>601</v>
      </c>
      <c r="E1558" s="217" t="str">
        <f t="shared" si="1989"/>
        <v>100-60-601</v>
      </c>
      <c r="F1558" s="294" t="str">
        <f t="shared" si="1990"/>
        <v>53574</v>
      </c>
      <c r="G1558" s="295" t="str">
        <f>VLOOKUP(F1558,'GL Category'!A:C,3,FALSE)</f>
        <v>Services &amp; other</v>
      </c>
      <c r="H1558" s="98" t="str">
        <f>VLOOKUP(F1558,'GL Category'!A:C,2,FALSE)</f>
        <v>WATER/SEWER UTILITY SERVICE</v>
      </c>
      <c r="I1558" s="99">
        <f>SUMIF(Import!$B:$B,$A1558,Import!D:D)</f>
        <v>6593.23</v>
      </c>
      <c r="J1558" s="99">
        <f>SUMIF(Import!$B:$B,$A1558,Import!E:E)</f>
        <v>7265.28</v>
      </c>
      <c r="K1558" s="99">
        <f>SUMIF(Import!$B:$B,$A1558,Import!F:F)</f>
        <v>13083.43</v>
      </c>
      <c r="L1558" s="99">
        <f>SUMIF(Import!$B:$B,$A1558,Import!G:G)</f>
        <v>6723.37</v>
      </c>
      <c r="M1558" s="99">
        <f>SUMIF(Import!$B:$B,$A1558,Import!H:H)</f>
        <v>8500</v>
      </c>
      <c r="N1558" s="99">
        <f>SUMIF(Import!$B:$B,$A1558,Import!I:I)</f>
        <v>3772</v>
      </c>
      <c r="O1558" s="99">
        <f>SUMIF(Import!$B:$B,$A1558,Import!J:J)</f>
        <v>8500</v>
      </c>
      <c r="P1558" s="99">
        <f t="shared" si="1977"/>
        <v>0</v>
      </c>
      <c r="Q1558" s="99">
        <f>SUMIF(Import!$B:$B,$A1558,Import!K:K)</f>
        <v>8500</v>
      </c>
      <c r="R1558" s="99">
        <f>SUMIF(Import!$B:$B,$A1558,Import!L:L)</f>
        <v>0</v>
      </c>
      <c r="S1558" s="99">
        <f>SUMIF(Import!$B:$B,$A1558,Import!M:M)</f>
        <v>0</v>
      </c>
      <c r="T1558" s="99">
        <f>SUMIF(Import!$B:$B,$A1558,Import!N:N)</f>
        <v>8500</v>
      </c>
      <c r="U1558" s="99">
        <f t="shared" si="1978"/>
        <v>0</v>
      </c>
      <c r="V1558" s="255">
        <f t="shared" si="1979"/>
        <v>0</v>
      </c>
      <c r="W1558" s="102" t="s">
        <v>2931</v>
      </c>
      <c r="X1558" s="102"/>
      <c r="Y1558" s="102">
        <f t="shared" si="1980"/>
        <v>8500</v>
      </c>
      <c r="Z1558" s="309">
        <f>Y1558*(1+VLOOKUP($F1558,'GL Category'!$A:$H,4,FALSE))</f>
        <v>8755</v>
      </c>
      <c r="AA1558" s="615"/>
      <c r="AB1558" s="622">
        <f t="shared" si="1981"/>
        <v>8755</v>
      </c>
      <c r="AC1558" s="633">
        <f>AB1558*(1+VLOOKUP($F1558,'GL Category'!$A:$H,5,FALSE))</f>
        <v>9017.65</v>
      </c>
      <c r="AE1558" s="622">
        <f t="shared" si="1982"/>
        <v>9017.65</v>
      </c>
      <c r="AF1558" s="633">
        <f>AE1558*(1+VLOOKUP($F1558,'GL Category'!$A:$H,6,FALSE))</f>
        <v>9288.1795000000002</v>
      </c>
      <c r="AH1558" s="622">
        <f t="shared" si="1983"/>
        <v>9288.1795000000002</v>
      </c>
      <c r="AI1558" s="633">
        <f>AH1558*(1+VLOOKUP($F1558,'GL Category'!$A:$H,7,FALSE))</f>
        <v>9566.824885</v>
      </c>
      <c r="AK1558" s="622">
        <f t="shared" si="1984"/>
        <v>9566.824885</v>
      </c>
      <c r="AL1558" s="633">
        <f>AK1558*(1+VLOOKUP($F1558,'GL Category'!$A:$H,8,FALSE))</f>
        <v>9853.8296315500011</v>
      </c>
      <c r="AN1558" s="622">
        <f t="shared" si="1985"/>
        <v>9853.8296315500011</v>
      </c>
    </row>
    <row r="1559" spans="1:59" ht="15" customHeight="1">
      <c r="A1559" s="555" t="s">
        <v>2932</v>
      </c>
      <c r="B1559" s="217" t="str">
        <f t="shared" si="1986"/>
        <v>100</v>
      </c>
      <c r="C1559" s="217" t="str">
        <f t="shared" si="1987"/>
        <v>60</v>
      </c>
      <c r="D1559" s="101" t="str">
        <f t="shared" si="1988"/>
        <v>601</v>
      </c>
      <c r="E1559" s="217" t="str">
        <f t="shared" si="1989"/>
        <v>100-60-601</v>
      </c>
      <c r="F1559" s="294" t="str">
        <f t="shared" si="1990"/>
        <v>53585</v>
      </c>
      <c r="G1559" s="295" t="str">
        <f>VLOOKUP(F1559,'GL Category'!A:C,3,FALSE)</f>
        <v>Services &amp; other</v>
      </c>
      <c r="H1559" s="98" t="str">
        <f>VLOOKUP(F1559,'GL Category'!A:C,2,FALSE)</f>
        <v>BANKING SERVICES CHARGES</v>
      </c>
      <c r="I1559" s="99">
        <f>SUMIF(Import!$B:$B,$A1559,Import!D:D)</f>
        <v>1053.72</v>
      </c>
      <c r="J1559" s="99">
        <f>SUMIF(Import!$B:$B,$A1559,Import!E:E)</f>
        <v>1399.96</v>
      </c>
      <c r="K1559" s="99">
        <f>SUMIF(Import!$B:$B,$A1559,Import!F:F)</f>
        <v>1602.24</v>
      </c>
      <c r="L1559" s="99">
        <f>SUMIF(Import!$B:$B,$A1559,Import!G:G)</f>
        <v>2475.4899999999998</v>
      </c>
      <c r="M1559" s="99">
        <f>SUMIF(Import!$B:$B,$A1559,Import!H:H)</f>
        <v>1600</v>
      </c>
      <c r="N1559" s="99">
        <f>SUMIF(Import!$B:$B,$A1559,Import!I:I)</f>
        <v>2270.94</v>
      </c>
      <c r="O1559" s="99">
        <f>SUMIF(Import!$B:$B,$A1559,Import!J:J)</f>
        <v>1600</v>
      </c>
      <c r="P1559" s="99">
        <f t="shared" si="1977"/>
        <v>0</v>
      </c>
      <c r="Q1559" s="99">
        <f>SUMIF(Import!$B:$B,$A1559,Import!K:K)</f>
        <v>1600</v>
      </c>
      <c r="R1559" s="99">
        <f>SUMIF(Import!$B:$B,$A1559,Import!L:L)</f>
        <v>0</v>
      </c>
      <c r="S1559" s="99">
        <f>SUMIF(Import!$B:$B,$A1559,Import!M:M)</f>
        <v>0</v>
      </c>
      <c r="T1559" s="99">
        <f>SUMIF(Import!$B:$B,$A1559,Import!N:N)</f>
        <v>1600</v>
      </c>
      <c r="U1559" s="99">
        <f t="shared" si="1978"/>
        <v>0</v>
      </c>
      <c r="V1559" s="255">
        <f t="shared" si="1979"/>
        <v>0</v>
      </c>
      <c r="W1559" s="102" t="s">
        <v>2932</v>
      </c>
      <c r="X1559" s="102"/>
      <c r="Y1559" s="102">
        <f t="shared" si="1980"/>
        <v>1600</v>
      </c>
      <c r="Z1559" s="309">
        <f>Y1559*(1+VLOOKUP($F1559,'GL Category'!$A:$H,4,FALSE))</f>
        <v>1648</v>
      </c>
      <c r="AA1559" s="615"/>
      <c r="AB1559" s="622">
        <f t="shared" si="1981"/>
        <v>1648</v>
      </c>
      <c r="AC1559" s="633">
        <f>AB1559*(1+VLOOKUP($F1559,'GL Category'!$A:$H,5,FALSE))</f>
        <v>1697.44</v>
      </c>
      <c r="AE1559" s="622">
        <f t="shared" si="1982"/>
        <v>1697.44</v>
      </c>
      <c r="AF1559" s="633">
        <f>AE1559*(1+VLOOKUP($F1559,'GL Category'!$A:$H,6,FALSE))</f>
        <v>1748.3632</v>
      </c>
      <c r="AH1559" s="622">
        <f t="shared" si="1983"/>
        <v>1748.3632</v>
      </c>
      <c r="AI1559" s="633">
        <f>AH1559*(1+VLOOKUP($F1559,'GL Category'!$A:$H,7,FALSE))</f>
        <v>1800.8140960000001</v>
      </c>
      <c r="AK1559" s="622">
        <f t="shared" si="1984"/>
        <v>1800.8140960000001</v>
      </c>
      <c r="AL1559" s="633">
        <f>AK1559*(1+VLOOKUP($F1559,'GL Category'!$A:$H,8,FALSE))</f>
        <v>1854.83851888</v>
      </c>
      <c r="AN1559" s="622">
        <f t="shared" si="1985"/>
        <v>1854.83851888</v>
      </c>
    </row>
    <row r="1560" spans="1:59" ht="15" customHeight="1">
      <c r="A1560" s="555" t="s">
        <v>2918</v>
      </c>
      <c r="B1560" s="217" t="str">
        <f t="shared" si="1986"/>
        <v>100</v>
      </c>
      <c r="C1560" s="217" t="str">
        <f t="shared" si="1987"/>
        <v>60</v>
      </c>
      <c r="D1560" s="101" t="str">
        <f t="shared" si="1988"/>
        <v>601</v>
      </c>
      <c r="E1560" s="217" t="str">
        <f t="shared" si="1989"/>
        <v>100-60-601</v>
      </c>
      <c r="F1560" s="294" t="str">
        <f t="shared" si="1990"/>
        <v>53599</v>
      </c>
      <c r="G1560" s="295" t="str">
        <f>VLOOKUP(F1560,'GL Category'!A:C,3,FALSE)</f>
        <v>Services &amp; other</v>
      </c>
      <c r="H1560" s="98" t="str">
        <f>VLOOKUP(F1560,'GL Category'!A:C,2,FALSE)</f>
        <v>MISCELLANEOUS SERVICES</v>
      </c>
      <c r="I1560" s="99">
        <f>SUMIF(Import!$B:$B,$A1560,Import!D:D)</f>
        <v>0</v>
      </c>
      <c r="J1560" s="99">
        <f>SUMIF(Import!$B:$B,$A1560,Import!E:E)</f>
        <v>0</v>
      </c>
      <c r="K1560" s="99">
        <f>SUMIF(Import!$B:$B,$A1560,Import!F:F)</f>
        <v>0</v>
      </c>
      <c r="L1560" s="99">
        <f>SUMIF(Import!$B:$B,$A1560,Import!G:G)</f>
        <v>0</v>
      </c>
      <c r="M1560" s="99">
        <f>SUMIF(Import!$B:$B,$A1560,Import!H:H)</f>
        <v>0</v>
      </c>
      <c r="N1560" s="99">
        <f>SUMIF(Import!$B:$B,$A1560,Import!I:I)</f>
        <v>0</v>
      </c>
      <c r="O1560" s="99">
        <f>SUMIF(Import!$B:$B,$A1560,Import!J:J)</f>
        <v>0</v>
      </c>
      <c r="P1560" s="99">
        <f t="shared" ref="P1560:P1561" si="1991">O1560-M1560</f>
        <v>0</v>
      </c>
      <c r="Q1560" s="99">
        <f>SUMIF(Import!$B:$B,$A1560,Import!K:K)</f>
        <v>0</v>
      </c>
      <c r="R1560" s="99">
        <f>SUMIF(Import!$B:$B,$A1560,Import!L:L)</f>
        <v>0</v>
      </c>
      <c r="S1560" s="99">
        <f>SUMIF(Import!$B:$B,$A1560,Import!M:M)</f>
        <v>0</v>
      </c>
      <c r="T1560" s="99">
        <f>SUMIF(Import!$B:$B,$A1560,Import!N:N)</f>
        <v>0</v>
      </c>
      <c r="U1560" s="99">
        <f t="shared" si="1978"/>
        <v>0</v>
      </c>
      <c r="V1560" s="255" t="str">
        <f t="shared" si="1979"/>
        <v>N/A</v>
      </c>
      <c r="W1560" s="102" t="s">
        <v>2918</v>
      </c>
      <c r="X1560" s="102"/>
      <c r="Y1560" s="102">
        <f t="shared" si="1980"/>
        <v>0</v>
      </c>
      <c r="Z1560" s="309">
        <f>Y1560*(1+VLOOKUP($F1560,'GL Category'!$A:$H,4,FALSE))</f>
        <v>0</v>
      </c>
      <c r="AA1560" s="615"/>
      <c r="AB1560" s="622">
        <f t="shared" si="1981"/>
        <v>0</v>
      </c>
      <c r="AC1560" s="633">
        <f>AB1560*(1+VLOOKUP($F1560,'GL Category'!$A:$H,5,FALSE))</f>
        <v>0</v>
      </c>
      <c r="AE1560" s="622">
        <f t="shared" si="1982"/>
        <v>0</v>
      </c>
      <c r="AF1560" s="633">
        <f>AE1560*(1+VLOOKUP($F1560,'GL Category'!$A:$H,6,FALSE))</f>
        <v>0</v>
      </c>
      <c r="AH1560" s="622">
        <f t="shared" si="1983"/>
        <v>0</v>
      </c>
      <c r="AI1560" s="633">
        <f>AH1560*(1+VLOOKUP($F1560,'GL Category'!$A:$H,7,FALSE))</f>
        <v>0</v>
      </c>
      <c r="AK1560" s="622">
        <f t="shared" si="1984"/>
        <v>0</v>
      </c>
      <c r="AL1560" s="633">
        <f>AK1560*(1+VLOOKUP($F1560,'GL Category'!$A:$H,8,FALSE))</f>
        <v>0</v>
      </c>
      <c r="AN1560" s="622">
        <f t="shared" si="1985"/>
        <v>0</v>
      </c>
    </row>
    <row r="1561" spans="1:59" s="75" customFormat="1" ht="15" customHeight="1">
      <c r="A1561" s="555" t="s">
        <v>2933</v>
      </c>
      <c r="B1561" s="217" t="str">
        <f t="shared" si="1986"/>
        <v>100</v>
      </c>
      <c r="C1561" s="217" t="str">
        <f t="shared" si="1987"/>
        <v>60</v>
      </c>
      <c r="D1561" s="101" t="str">
        <f t="shared" si="1988"/>
        <v>601</v>
      </c>
      <c r="E1561" s="217" t="str">
        <f t="shared" si="1989"/>
        <v>100-60-601</v>
      </c>
      <c r="F1561" s="294" t="str">
        <f t="shared" si="1990"/>
        <v>55119</v>
      </c>
      <c r="G1561" s="295" t="str">
        <f>VLOOKUP(F1561,'GL Category'!A:C,3,FALSE)</f>
        <v>Services &amp; other</v>
      </c>
      <c r="H1561" s="98" t="str">
        <f>VLOOKUP(F1561,'GL Category'!A:C,2,FALSE)</f>
        <v>OFFICE EQUIP LEASE EXP-CITY</v>
      </c>
      <c r="I1561" s="99">
        <f>SUMIF(Import!$B:$B,$A1561,Import!D:D)</f>
        <v>255654</v>
      </c>
      <c r="J1561" s="99">
        <f>SUMIF(Import!$B:$B,$A1561,Import!E:E)</f>
        <v>283995</v>
      </c>
      <c r="K1561" s="99">
        <f>SUMIF(Import!$B:$B,$A1561,Import!F:F)</f>
        <v>300010</v>
      </c>
      <c r="L1561" s="99">
        <f>SUMIF(Import!$B:$B,$A1561,Import!G:G)</f>
        <v>298901</v>
      </c>
      <c r="M1561" s="99">
        <f>SUMIF(Import!$B:$B,$A1561,Import!H:H)</f>
        <v>243910</v>
      </c>
      <c r="N1561" s="99">
        <f>SUMIF(Import!$B:$B,$A1561,Import!I:I)</f>
        <v>182932.5</v>
      </c>
      <c r="O1561" s="99">
        <f>SUMIF(Import!$B:$B,$A1561,Import!J:J)</f>
        <v>243910</v>
      </c>
      <c r="P1561" s="99">
        <f t="shared" si="1991"/>
        <v>0</v>
      </c>
      <c r="Q1561" s="99">
        <f>SUMIF(Import!$B:$B,$A1561,Import!K:K)</f>
        <v>263883</v>
      </c>
      <c r="R1561" s="99">
        <f>SUMIF(Import!$B:$B,$A1561,Import!L:L)</f>
        <v>0</v>
      </c>
      <c r="S1561" s="99">
        <f>SUMIF(Import!$B:$B,$A1561,Import!M:M)</f>
        <v>0</v>
      </c>
      <c r="T1561" s="99">
        <f>SUMIF(Import!$B:$B,$A1561,Import!N:N)</f>
        <v>263883</v>
      </c>
      <c r="U1561" s="99">
        <f>T1561-M1561</f>
        <v>19973</v>
      </c>
      <c r="V1561" s="255">
        <f>IF(M1561=0,"N/A",T1561/M1561-1)</f>
        <v>8.1886761510393091E-2</v>
      </c>
      <c r="W1561" s="264" t="s">
        <v>2933</v>
      </c>
      <c r="X1561" s="102"/>
      <c r="Y1561" s="102">
        <f t="shared" si="1980"/>
        <v>263883</v>
      </c>
      <c r="Z1561" s="309">
        <f>Y1561*(1+VLOOKUP($F1561,'GL Category'!$A:$H,4,FALSE))</f>
        <v>271799.49</v>
      </c>
      <c r="AA1561" s="615"/>
      <c r="AB1561" s="622">
        <f t="shared" si="1981"/>
        <v>271799.49</v>
      </c>
      <c r="AC1561" s="633">
        <f>AB1561*(1+VLOOKUP($F1561,'GL Category'!$A:$H,5,FALSE))</f>
        <v>279953.47470000002</v>
      </c>
      <c r="AD1561" s="307"/>
      <c r="AE1561" s="622">
        <f t="shared" si="1982"/>
        <v>279953.47470000002</v>
      </c>
      <c r="AF1561" s="633">
        <f>AE1561*(1+VLOOKUP($F1561,'GL Category'!$A:$H,6,FALSE))</f>
        <v>288352.07894100004</v>
      </c>
      <c r="AG1561" s="307"/>
      <c r="AH1561" s="622">
        <f t="shared" si="1983"/>
        <v>288352.07894100004</v>
      </c>
      <c r="AI1561" s="633">
        <f>AH1561*(1+VLOOKUP($F1561,'GL Category'!$A:$H,7,FALSE))</f>
        <v>297002.64130923006</v>
      </c>
      <c r="AJ1561" s="307"/>
      <c r="AK1561" s="622">
        <f t="shared" si="1984"/>
        <v>297002.64130923006</v>
      </c>
      <c r="AL1561" s="633">
        <f>AK1561*(1+VLOOKUP($F1561,'GL Category'!$A:$H,8,FALSE))</f>
        <v>305912.720548507</v>
      </c>
      <c r="AM1561" s="307"/>
      <c r="AN1561" s="622">
        <f t="shared" si="1985"/>
        <v>305912.720548507</v>
      </c>
      <c r="AO1561" s="88"/>
      <c r="AP1561" s="88"/>
      <c r="AQ1561" s="88"/>
      <c r="AR1561" s="68"/>
      <c r="AS1561" s="68"/>
      <c r="AT1561" s="68"/>
      <c r="AU1561" s="68"/>
      <c r="AV1561" s="68"/>
      <c r="AW1561" s="68"/>
      <c r="AX1561" s="68"/>
      <c r="AY1561" s="68"/>
      <c r="AZ1561" s="68"/>
      <c r="BA1561" s="68"/>
      <c r="BB1561" s="68"/>
      <c r="BC1561" s="68"/>
      <c r="BD1561" s="68"/>
    </row>
    <row r="1562" spans="1:59" ht="15" customHeight="1">
      <c r="A1562" s="555"/>
      <c r="B1562" s="217"/>
      <c r="C1562" s="217"/>
      <c r="D1562" s="101"/>
      <c r="E1562" s="217"/>
      <c r="F1562" s="294"/>
      <c r="G1562" s="295"/>
      <c r="H1562" s="107" t="str">
        <f>UPPER(G1561)&amp;" TOTAL"</f>
        <v>SERVICES &amp; OTHER TOTAL</v>
      </c>
      <c r="I1562" s="109">
        <f t="shared" ref="I1562" si="1992">SUBTOTAL(9,I1546:I1561)</f>
        <v>384349.89</v>
      </c>
      <c r="J1562" s="109">
        <f t="shared" ref="J1562:T1562" si="1993">SUBTOTAL(9,J1546:J1561)</f>
        <v>433012.8</v>
      </c>
      <c r="K1562" s="109">
        <f t="shared" ref="K1562" si="1994">SUBTOTAL(9,K1546:K1561)</f>
        <v>445699.28</v>
      </c>
      <c r="L1562" s="109">
        <f t="shared" ref="L1562" si="1995">SUBTOTAL(9,L1546:L1561)</f>
        <v>463812.74</v>
      </c>
      <c r="M1562" s="109">
        <f t="shared" si="1993"/>
        <v>428135</v>
      </c>
      <c r="N1562" s="109">
        <f t="shared" si="1993"/>
        <v>296250.63</v>
      </c>
      <c r="O1562" s="109">
        <f t="shared" si="1993"/>
        <v>429405</v>
      </c>
      <c r="P1562" s="109">
        <f t="shared" si="1993"/>
        <v>1270</v>
      </c>
      <c r="Q1562" s="109">
        <f t="shared" si="1993"/>
        <v>453378</v>
      </c>
      <c r="R1562" s="109">
        <f t="shared" si="1993"/>
        <v>6800</v>
      </c>
      <c r="S1562" s="109">
        <f t="shared" si="1993"/>
        <v>0</v>
      </c>
      <c r="T1562" s="109">
        <f t="shared" si="1993"/>
        <v>460178</v>
      </c>
      <c r="U1562" s="99">
        <f>T1562-M1562</f>
        <v>32043</v>
      </c>
      <c r="V1562" s="255">
        <f>IF(M1562=0,"N/A",T1562/M1562-1)</f>
        <v>7.4843215340955505E-2</v>
      </c>
      <c r="W1562" s="102"/>
      <c r="X1562" s="102"/>
      <c r="Y1562" s="102"/>
      <c r="AA1562" s="615"/>
    </row>
    <row r="1563" spans="1:59" ht="15" customHeight="1">
      <c r="A1563" s="555"/>
      <c r="B1563" s="217"/>
      <c r="C1563" s="217"/>
      <c r="D1563" s="101"/>
      <c r="E1563" s="217"/>
      <c r="F1563" s="294"/>
      <c r="G1563" s="295"/>
      <c r="H1563" s="232"/>
      <c r="I1563" s="202"/>
      <c r="J1563" s="202"/>
      <c r="K1563" s="202"/>
      <c r="L1563" s="202"/>
      <c r="M1563" s="202"/>
      <c r="N1563" s="202"/>
      <c r="O1563" s="202"/>
      <c r="P1563" s="202"/>
      <c r="Q1563" s="202"/>
      <c r="R1563" s="202"/>
      <c r="S1563" s="202"/>
      <c r="T1563" s="202"/>
      <c r="U1563" s="99"/>
      <c r="V1563" s="255"/>
      <c r="W1563" s="102"/>
      <c r="X1563" s="102"/>
      <c r="Y1563" s="102"/>
      <c r="AA1563" s="615"/>
    </row>
    <row r="1564" spans="1:59" s="75" customFormat="1" ht="15" customHeight="1">
      <c r="A1564" s="555" t="s">
        <v>3422</v>
      </c>
      <c r="B1564" s="217" t="str">
        <f t="shared" ref="B1564" si="1996">LEFT(A1564,3)</f>
        <v>100</v>
      </c>
      <c r="C1564" s="217" t="str">
        <f t="shared" ref="C1564" si="1997">MID(A1564,5,2)</f>
        <v>60</v>
      </c>
      <c r="D1564" s="101" t="str">
        <f t="shared" ref="D1564" si="1998">MID(A1564,8,3)</f>
        <v>601</v>
      </c>
      <c r="E1564" s="217" t="str">
        <f t="shared" ref="E1564" si="1999">LEFT(A1564,10)</f>
        <v>100-60-601</v>
      </c>
      <c r="F1564" s="294" t="str">
        <f t="shared" ref="F1564" si="2000">RIGHT(A1564,5)</f>
        <v>58853</v>
      </c>
      <c r="G1564" s="295" t="str">
        <f>VLOOKUP(F1564,'GL Category'!A:C,3,FALSE)</f>
        <v>Capital Outlay</v>
      </c>
      <c r="H1564" s="98" t="str">
        <f>VLOOKUP(F1564,'GL Category'!A:C,2,FALSE)</f>
        <v>IMPROVEMENTS OTHER THAN BLDGS</v>
      </c>
      <c r="I1564" s="99">
        <f>SUMIF(Import!$B:$B,$A1564,Import!D:D)</f>
        <v>0</v>
      </c>
      <c r="J1564" s="99">
        <f>SUMIF(Import!$B:$B,$A1564,Import!E:E)</f>
        <v>0</v>
      </c>
      <c r="K1564" s="99">
        <f>SUMIF(Import!$B:$B,$A1564,Import!F:F)</f>
        <v>0</v>
      </c>
      <c r="L1564" s="99">
        <f>SUMIF(Import!$B:$B,$A1564,Import!G:G)</f>
        <v>0</v>
      </c>
      <c r="M1564" s="99">
        <f>SUMIF(Import!$B:$B,$A1564,Import!H:H)</f>
        <v>0</v>
      </c>
      <c r="N1564" s="99">
        <f>SUMIF(Import!$B:$B,$A1564,Import!I:I)</f>
        <v>3925</v>
      </c>
      <c r="O1564" s="99">
        <f>SUMIF(Import!$B:$B,$A1564,Import!J:J)</f>
        <v>3950</v>
      </c>
      <c r="P1564" s="99">
        <f t="shared" ref="P1564" si="2001">O1564-M1564</f>
        <v>3950</v>
      </c>
      <c r="Q1564" s="99">
        <f>SUMIF(Import!$B:$B,$A1564,Import!K:K)</f>
        <v>0</v>
      </c>
      <c r="R1564" s="99">
        <f>SUMIF(Import!$B:$B,$A1564,Import!L:L)</f>
        <v>0</v>
      </c>
      <c r="S1564" s="99">
        <f>SUMIF(Import!$B:$B,$A1564,Import!M:M)</f>
        <v>0</v>
      </c>
      <c r="T1564" s="99">
        <f>SUMIF(Import!$B:$B,$A1564,Import!N:N)</f>
        <v>0</v>
      </c>
      <c r="U1564" s="99">
        <f>T1564-M1564</f>
        <v>0</v>
      </c>
      <c r="V1564" s="255" t="str">
        <f>IF(M1564=0,"N/A",T1564/M1564-1)</f>
        <v>N/A</v>
      </c>
      <c r="W1564" s="264" t="s">
        <v>3422</v>
      </c>
      <c r="X1564" s="102"/>
      <c r="Y1564" s="102">
        <f t="shared" ref="Y1564" si="2002">T1564-X1564</f>
        <v>0</v>
      </c>
      <c r="Z1564" s="309">
        <f>Y1564*(1+VLOOKUP($F1564,'GL Category'!$A:$H,4,FALSE))</f>
        <v>0</v>
      </c>
      <c r="AA1564" s="615"/>
      <c r="AB1564" s="622">
        <f>Z1564+AA1564</f>
        <v>0</v>
      </c>
      <c r="AC1564" s="633">
        <f>AB1564*(1+VLOOKUP($F1564,'GL Category'!$A:$H,5,FALSE))</f>
        <v>0</v>
      </c>
      <c r="AD1564" s="307"/>
      <c r="AE1564" s="622">
        <f>AC1564+AD1564</f>
        <v>0</v>
      </c>
      <c r="AF1564" s="633">
        <f>AE1564*(1+VLOOKUP($F1564,'GL Category'!$A:$H,6,FALSE))</f>
        <v>0</v>
      </c>
      <c r="AG1564" s="307"/>
      <c r="AH1564" s="622">
        <f>AF1564+AG1564</f>
        <v>0</v>
      </c>
      <c r="AI1564" s="633">
        <f>AH1564*(1+VLOOKUP($F1564,'GL Category'!$A:$H,7,FALSE))</f>
        <v>0</v>
      </c>
      <c r="AJ1564" s="307"/>
      <c r="AK1564" s="622">
        <f>AI1564+AJ1564</f>
        <v>0</v>
      </c>
      <c r="AL1564" s="633">
        <f>AK1564*(1+VLOOKUP($F1564,'GL Category'!$A:$H,8,FALSE))</f>
        <v>0</v>
      </c>
      <c r="AM1564" s="307"/>
      <c r="AN1564" s="622">
        <f>AL1564+AM1564</f>
        <v>0</v>
      </c>
      <c r="AO1564" s="88"/>
      <c r="AP1564" s="88"/>
      <c r="AQ1564" s="88"/>
      <c r="AR1564" s="68"/>
      <c r="AS1564" s="68"/>
      <c r="AT1564" s="68"/>
      <c r="AU1564" s="68"/>
      <c r="AV1564" s="68"/>
      <c r="AW1564" s="68"/>
      <c r="AX1564" s="68"/>
      <c r="AY1564" s="68"/>
      <c r="AZ1564" s="68"/>
      <c r="BA1564" s="68"/>
      <c r="BB1564" s="68"/>
      <c r="BC1564" s="68"/>
      <c r="BD1564" s="68"/>
    </row>
    <row r="1565" spans="1:59" ht="15" customHeight="1">
      <c r="A1565" s="555"/>
      <c r="B1565" s="217"/>
      <c r="C1565" s="217"/>
      <c r="D1565" s="101"/>
      <c r="E1565" s="217"/>
      <c r="F1565" s="294"/>
      <c r="G1565" s="295"/>
      <c r="H1565" s="107" t="str">
        <f>UPPER(G1564)&amp;" TOTAL"</f>
        <v>CAPITAL OUTLAY TOTAL</v>
      </c>
      <c r="I1565" s="109">
        <f>SUBTOTAL(9,I1564)</f>
        <v>0</v>
      </c>
      <c r="J1565" s="109">
        <f t="shared" ref="J1565:T1565" si="2003">SUBTOTAL(9,J1564)</f>
        <v>0</v>
      </c>
      <c r="K1565" s="109">
        <f t="shared" si="2003"/>
        <v>0</v>
      </c>
      <c r="L1565" s="109">
        <f t="shared" si="2003"/>
        <v>0</v>
      </c>
      <c r="M1565" s="109">
        <f t="shared" si="2003"/>
        <v>0</v>
      </c>
      <c r="N1565" s="109">
        <f t="shared" si="2003"/>
        <v>3925</v>
      </c>
      <c r="O1565" s="109">
        <f t="shared" si="2003"/>
        <v>3950</v>
      </c>
      <c r="P1565" s="109">
        <f t="shared" si="2003"/>
        <v>3950</v>
      </c>
      <c r="Q1565" s="109">
        <f t="shared" si="2003"/>
        <v>0</v>
      </c>
      <c r="R1565" s="109">
        <f t="shared" si="2003"/>
        <v>0</v>
      </c>
      <c r="S1565" s="109">
        <f t="shared" si="2003"/>
        <v>0</v>
      </c>
      <c r="T1565" s="109">
        <f t="shared" si="2003"/>
        <v>0</v>
      </c>
      <c r="U1565" s="99">
        <f>T1565-M1565</f>
        <v>0</v>
      </c>
      <c r="V1565" s="255" t="str">
        <f>IF(M1565=0,"N/A",T1565/M1565-1)</f>
        <v>N/A</v>
      </c>
      <c r="W1565" s="102"/>
      <c r="X1565" s="102"/>
      <c r="Y1565" s="102"/>
      <c r="AA1565" s="615"/>
    </row>
    <row r="1566" spans="1:59" ht="15" customHeight="1">
      <c r="A1566" s="555"/>
      <c r="B1566" s="217"/>
      <c r="C1566" s="217"/>
      <c r="D1566" s="101"/>
      <c r="E1566" s="217"/>
      <c r="F1566" s="294"/>
      <c r="G1566" s="295"/>
      <c r="H1566" s="232"/>
      <c r="I1566" s="202"/>
      <c r="J1566" s="202"/>
      <c r="K1566" s="202"/>
      <c r="L1566" s="202"/>
      <c r="M1566" s="202"/>
      <c r="N1566" s="202"/>
      <c r="O1566" s="202"/>
      <c r="P1566" s="202"/>
      <c r="Q1566" s="202"/>
      <c r="R1566" s="202"/>
      <c r="S1566" s="202"/>
      <c r="T1566" s="202"/>
      <c r="U1566" s="99"/>
      <c r="V1566" s="255"/>
      <c r="W1566" s="102"/>
      <c r="X1566" s="102"/>
      <c r="Y1566" s="102"/>
      <c r="AA1566" s="615"/>
    </row>
    <row r="1567" spans="1:59" s="75" customFormat="1" ht="15" hidden="1" customHeight="1">
      <c r="A1567" s="555">
        <v>0</v>
      </c>
      <c r="B1567" s="217" t="str">
        <f t="shared" si="1986"/>
        <v>0</v>
      </c>
      <c r="C1567" s="217" t="str">
        <f t="shared" si="1987"/>
        <v/>
      </c>
      <c r="D1567" s="101" t="str">
        <f t="shared" si="1988"/>
        <v/>
      </c>
      <c r="E1567" s="217" t="str">
        <f t="shared" si="1989"/>
        <v>0</v>
      </c>
      <c r="F1567" s="294" t="str">
        <f t="shared" si="1990"/>
        <v>0</v>
      </c>
      <c r="G1567" s="295" t="e">
        <f>VLOOKUP(F1567,'GL Category'!A:C,3,FALSE)</f>
        <v>#N/A</v>
      </c>
      <c r="H1567" s="98" t="e">
        <f>VLOOKUP(F1567,'GL Category'!A:C,2,FALSE)</f>
        <v>#N/A</v>
      </c>
      <c r="I1567" s="99">
        <f>SUMIF(Import!$B:$B,$A1567,Import!D:D)</f>
        <v>0</v>
      </c>
      <c r="J1567" s="99">
        <f>SUMIF(Import!$B:$B,$A1567,Import!E:E)</f>
        <v>0</v>
      </c>
      <c r="K1567" s="99">
        <f>SUMIF(Import!$B:$B,$A1567,Import!F:F)</f>
        <v>0</v>
      </c>
      <c r="L1567" s="99">
        <f>SUMIF(Import!$B:$B,$A1567,Import!G:G)</f>
        <v>0</v>
      </c>
      <c r="M1567" s="99">
        <f>SUMIF(Import!$B:$B,$A1567,Import!H:H)</f>
        <v>0</v>
      </c>
      <c r="N1567" s="99">
        <f>SUMIF(Import!$B:$B,$A1567,Import!I:I)</f>
        <v>0</v>
      </c>
      <c r="O1567" s="99">
        <f>SUMIF(Import!$B:$B,$A1567,Import!J:J)</f>
        <v>0</v>
      </c>
      <c r="P1567" s="99">
        <f t="shared" ref="P1567" si="2004">O1567-M1567</f>
        <v>0</v>
      </c>
      <c r="Q1567" s="99">
        <f>SUMIF(Import!$B:$B,$A1567,Import!K:K)</f>
        <v>0</v>
      </c>
      <c r="R1567" s="99">
        <f>SUMIF(Import!$B:$B,$A1567,Import!L:L)</f>
        <v>0</v>
      </c>
      <c r="S1567" s="99">
        <f>SUMIF(Import!$B:$B,$A1567,Import!M:M)</f>
        <v>0</v>
      </c>
      <c r="T1567" s="99">
        <f>SUMIF(Import!$B:$B,$A1567,Import!N:N)</f>
        <v>0</v>
      </c>
      <c r="U1567" s="99">
        <f t="shared" ref="U1567" si="2005">T1567-M1567</f>
        <v>0</v>
      </c>
      <c r="V1567" s="255" t="str">
        <f t="shared" ref="V1567" si="2006">IF(M1567=0,"N/A",T1567/M1567-1)</f>
        <v>N/A</v>
      </c>
      <c r="W1567" s="102"/>
      <c r="X1567" s="102"/>
      <c r="Y1567" s="102"/>
      <c r="Z1567" s="614"/>
      <c r="AA1567" s="615"/>
      <c r="AB1567" s="624"/>
      <c r="AC1567" s="624"/>
      <c r="AD1567" s="623"/>
      <c r="AE1567" s="623"/>
      <c r="AF1567" s="623"/>
      <c r="AG1567" s="623"/>
      <c r="AH1567" s="623"/>
      <c r="AI1567" s="624"/>
      <c r="AJ1567" s="307"/>
      <c r="AK1567" s="307"/>
      <c r="AL1567" s="307"/>
      <c r="AM1567" s="307"/>
      <c r="AN1567" s="307"/>
      <c r="AO1567" s="192"/>
      <c r="AP1567" s="192"/>
      <c r="AQ1567" s="192"/>
      <c r="AR1567" s="115"/>
      <c r="AS1567" s="115"/>
      <c r="AT1567" s="115"/>
      <c r="AU1567" s="115"/>
      <c r="AV1567" s="115"/>
      <c r="AW1567" s="115"/>
      <c r="AX1567" s="115"/>
      <c r="AY1567" s="115"/>
      <c r="AZ1567" s="115"/>
      <c r="BA1567" s="115"/>
      <c r="BB1567" s="115"/>
      <c r="BC1567" s="115"/>
      <c r="BD1567" s="115"/>
      <c r="BE1567" s="74"/>
      <c r="BF1567" s="74"/>
      <c r="BG1567" s="74"/>
    </row>
    <row r="1568" spans="1:59" ht="15" hidden="1" customHeight="1">
      <c r="A1568" s="555"/>
      <c r="B1568" s="217"/>
      <c r="C1568" s="217"/>
      <c r="D1568" s="101"/>
      <c r="E1568" s="217"/>
      <c r="F1568" s="294"/>
      <c r="G1568" s="295"/>
      <c r="H1568" s="107" t="e">
        <f>UPPER(G1567)&amp;" TOTAL"</f>
        <v>#N/A</v>
      </c>
      <c r="I1568" s="109">
        <f t="shared" ref="I1568:T1568" si="2007">SUBTOTAL(9,I1567:I1567)</f>
        <v>0</v>
      </c>
      <c r="J1568" s="109">
        <f t="shared" si="2007"/>
        <v>0</v>
      </c>
      <c r="K1568" s="109">
        <f t="shared" si="2007"/>
        <v>0</v>
      </c>
      <c r="L1568" s="109">
        <f t="shared" si="2007"/>
        <v>0</v>
      </c>
      <c r="M1568" s="109">
        <f t="shared" si="2007"/>
        <v>0</v>
      </c>
      <c r="N1568" s="109">
        <f t="shared" si="2007"/>
        <v>0</v>
      </c>
      <c r="O1568" s="109">
        <f t="shared" si="2007"/>
        <v>0</v>
      </c>
      <c r="P1568" s="109">
        <f t="shared" si="2007"/>
        <v>0</v>
      </c>
      <c r="Q1568" s="109">
        <f t="shared" si="2007"/>
        <v>0</v>
      </c>
      <c r="R1568" s="109">
        <f t="shared" si="2007"/>
        <v>0</v>
      </c>
      <c r="S1568" s="109">
        <f t="shared" si="2007"/>
        <v>0</v>
      </c>
      <c r="T1568" s="109">
        <f t="shared" si="2007"/>
        <v>0</v>
      </c>
      <c r="U1568" s="99">
        <f>T1568-M1568</f>
        <v>0</v>
      </c>
      <c r="V1568" s="255" t="str">
        <f>IF(M1568=0,"N/A",T1568/M1568-1)</f>
        <v>N/A</v>
      </c>
      <c r="W1568" s="102"/>
      <c r="X1568" s="102"/>
      <c r="Y1568" s="102"/>
      <c r="AA1568" s="615"/>
    </row>
    <row r="1569" spans="1:43" ht="15" hidden="1" customHeight="1">
      <c r="A1569" s="555"/>
      <c r="B1569" s="217"/>
      <c r="C1569" s="217"/>
      <c r="D1569" s="101"/>
      <c r="E1569" s="217"/>
      <c r="F1569" s="294"/>
      <c r="G1569" s="295"/>
      <c r="H1569" s="98"/>
      <c r="I1569" s="106"/>
      <c r="J1569" s="106"/>
      <c r="K1569" s="106"/>
      <c r="L1569" s="106"/>
      <c r="M1569" s="106"/>
      <c r="N1569" s="106"/>
      <c r="O1569" s="106"/>
      <c r="P1569" s="106"/>
      <c r="Q1569" s="106"/>
      <c r="R1569" s="106"/>
      <c r="S1569" s="106"/>
      <c r="T1569" s="106"/>
      <c r="U1569" s="99"/>
      <c r="V1569" s="255"/>
      <c r="W1569" s="102"/>
      <c r="X1569" s="102"/>
      <c r="Y1569" s="102"/>
      <c r="AA1569" s="615"/>
    </row>
    <row r="1570" spans="1:43" s="115" customFormat="1" ht="15" customHeight="1">
      <c r="A1570" s="555"/>
      <c r="B1570" s="217"/>
      <c r="C1570" s="217"/>
      <c r="D1570" s="101"/>
      <c r="E1570" s="217"/>
      <c r="F1570" s="294"/>
      <c r="G1570" s="295"/>
      <c r="H1570" s="114" t="s">
        <v>51</v>
      </c>
      <c r="I1570" s="108">
        <f t="shared" ref="I1570:T1570" si="2008">SUBTOTAL(9,I1520:I1569)</f>
        <v>1540034.2100000004</v>
      </c>
      <c r="J1570" s="108">
        <f t="shared" si="2008"/>
        <v>1653429.7200000002</v>
      </c>
      <c r="K1570" s="108">
        <f t="shared" si="2008"/>
        <v>1794726.7700000005</v>
      </c>
      <c r="L1570" s="108">
        <f t="shared" si="2008"/>
        <v>1880881.9199999997</v>
      </c>
      <c r="M1570" s="108">
        <f t="shared" si="2008"/>
        <v>1877562</v>
      </c>
      <c r="N1570" s="108">
        <f t="shared" si="2008"/>
        <v>1352291.1099999996</v>
      </c>
      <c r="O1570" s="108">
        <f t="shared" si="2008"/>
        <v>1878620</v>
      </c>
      <c r="P1570" s="108">
        <f t="shared" si="2008"/>
        <v>1058</v>
      </c>
      <c r="Q1570" s="108">
        <f t="shared" si="2008"/>
        <v>1940407</v>
      </c>
      <c r="R1570" s="108">
        <f t="shared" si="2008"/>
        <v>6800</v>
      </c>
      <c r="S1570" s="108">
        <f t="shared" si="2008"/>
        <v>0</v>
      </c>
      <c r="T1570" s="108">
        <f t="shared" si="2008"/>
        <v>1947207</v>
      </c>
      <c r="U1570" s="99">
        <f>T1570-M1570</f>
        <v>69645</v>
      </c>
      <c r="V1570" s="255">
        <f>IF(M1570=0,"N/A",T1570/M1570-1)</f>
        <v>3.7093315693436546E-2</v>
      </c>
      <c r="W1570" s="102"/>
      <c r="X1570" s="102"/>
      <c r="Y1570" s="102"/>
      <c r="Z1570" s="192"/>
      <c r="AA1570" s="615"/>
      <c r="AB1570" s="305"/>
      <c r="AC1570" s="306"/>
      <c r="AD1570" s="307"/>
      <c r="AE1570" s="305"/>
      <c r="AF1570" s="307"/>
      <c r="AG1570" s="307"/>
      <c r="AH1570" s="307"/>
      <c r="AI1570" s="307"/>
      <c r="AJ1570" s="307"/>
      <c r="AK1570" s="307"/>
      <c r="AL1570" s="307"/>
      <c r="AM1570" s="307"/>
      <c r="AN1570" s="307"/>
      <c r="AO1570" s="192"/>
      <c r="AP1570" s="192"/>
      <c r="AQ1570" s="192"/>
    </row>
    <row r="1571" spans="1:43" s="115" customFormat="1" ht="15" customHeight="1" thickBot="1">
      <c r="A1571" s="555"/>
      <c r="B1571" s="217"/>
      <c r="C1571" s="217"/>
      <c r="D1571" s="101"/>
      <c r="E1571" s="217"/>
      <c r="F1571" s="294"/>
      <c r="G1571" s="295"/>
      <c r="H1571" s="89"/>
      <c r="I1571" s="233"/>
      <c r="J1571" s="233"/>
      <c r="K1571" s="233"/>
      <c r="L1571" s="233"/>
      <c r="M1571" s="233"/>
      <c r="N1571" s="233"/>
      <c r="O1571" s="233"/>
      <c r="P1571" s="233"/>
      <c r="Q1571" s="233"/>
      <c r="R1571" s="233"/>
      <c r="S1571" s="233"/>
      <c r="T1571" s="233"/>
      <c r="U1571" s="99"/>
      <c r="V1571" s="255"/>
      <c r="W1571" s="102"/>
      <c r="X1571" s="102"/>
      <c r="Y1571" s="102"/>
      <c r="Z1571" s="192"/>
      <c r="AA1571" s="615"/>
      <c r="AB1571" s="305"/>
      <c r="AC1571" s="306"/>
      <c r="AD1571" s="307"/>
      <c r="AE1571" s="305"/>
      <c r="AF1571" s="307"/>
      <c r="AG1571" s="307"/>
      <c r="AH1571" s="307"/>
      <c r="AI1571" s="307"/>
      <c r="AJ1571" s="307"/>
      <c r="AK1571" s="307"/>
      <c r="AL1571" s="307"/>
      <c r="AM1571" s="307"/>
      <c r="AN1571" s="307"/>
      <c r="AO1571" s="192"/>
      <c r="AP1571" s="192"/>
      <c r="AQ1571" s="192"/>
    </row>
    <row r="1572" spans="1:43" s="115" customFormat="1" ht="23.25" customHeight="1" thickBot="1">
      <c r="A1572" s="555"/>
      <c r="B1572" s="217"/>
      <c r="C1572" s="217"/>
      <c r="D1572" s="101"/>
      <c r="E1572" s="217"/>
      <c r="F1572" s="294"/>
      <c r="G1572" s="295"/>
      <c r="H1572" s="665" t="s">
        <v>646</v>
      </c>
      <c r="I1572" s="666"/>
      <c r="J1572" s="666"/>
      <c r="K1572" s="666"/>
      <c r="L1572" s="666"/>
      <c r="M1572" s="666"/>
      <c r="N1572" s="666"/>
      <c r="O1572" s="666"/>
      <c r="P1572" s="666"/>
      <c r="Q1572" s="666"/>
      <c r="R1572" s="666"/>
      <c r="S1572" s="666"/>
      <c r="T1572" s="667"/>
      <c r="U1572" s="99"/>
      <c r="V1572" s="255"/>
      <c r="W1572" s="102"/>
      <c r="X1572" s="102"/>
      <c r="Y1572" s="102"/>
      <c r="Z1572" s="192"/>
      <c r="AA1572" s="615"/>
      <c r="AB1572" s="305"/>
      <c r="AC1572" s="306"/>
      <c r="AD1572" s="307"/>
      <c r="AE1572" s="305"/>
      <c r="AF1572" s="307"/>
      <c r="AG1572" s="307"/>
      <c r="AH1572" s="307"/>
      <c r="AI1572" s="307"/>
      <c r="AJ1572" s="307"/>
      <c r="AK1572" s="307"/>
      <c r="AL1572" s="307"/>
      <c r="AM1572" s="307"/>
      <c r="AN1572" s="307"/>
      <c r="AO1572" s="192"/>
      <c r="AP1572" s="192"/>
      <c r="AQ1572" s="192"/>
    </row>
    <row r="1573" spans="1:43" s="115" customFormat="1" ht="15" customHeight="1">
      <c r="A1573" s="555"/>
      <c r="B1573" s="217"/>
      <c r="C1573" s="217"/>
      <c r="D1573" s="101"/>
      <c r="E1573" s="217"/>
      <c r="F1573" s="294"/>
      <c r="G1573" s="295"/>
      <c r="H1573" s="225"/>
      <c r="I1573" s="225"/>
      <c r="J1573" s="225"/>
      <c r="K1573" s="225"/>
      <c r="L1573" s="225"/>
      <c r="M1573" s="225"/>
      <c r="N1573" s="225"/>
      <c r="O1573" s="225"/>
      <c r="P1573" s="225"/>
      <c r="Q1573" s="225"/>
      <c r="R1573" s="225"/>
      <c r="S1573" s="225"/>
      <c r="T1573" s="225"/>
      <c r="U1573" s="99"/>
      <c r="V1573" s="255"/>
      <c r="W1573" s="102"/>
      <c r="X1573" s="102"/>
      <c r="Y1573" s="102"/>
      <c r="Z1573" s="192"/>
      <c r="AA1573" s="615"/>
      <c r="AB1573" s="305"/>
      <c r="AC1573" s="305"/>
      <c r="AD1573" s="307"/>
      <c r="AE1573" s="305"/>
      <c r="AF1573" s="307"/>
      <c r="AG1573" s="307"/>
      <c r="AH1573" s="307"/>
      <c r="AI1573" s="307"/>
      <c r="AJ1573" s="307"/>
      <c r="AK1573" s="307"/>
      <c r="AL1573" s="307"/>
      <c r="AM1573" s="307"/>
      <c r="AN1573" s="307"/>
      <c r="AO1573" s="192"/>
      <c r="AP1573" s="192"/>
      <c r="AQ1573" s="192"/>
    </row>
    <row r="1574" spans="1:43" s="115" customFormat="1" ht="15" customHeight="1">
      <c r="A1574" s="555" t="s">
        <v>2934</v>
      </c>
      <c r="B1574" s="217" t="str">
        <f t="shared" si="1986"/>
        <v>100</v>
      </c>
      <c r="C1574" s="217" t="str">
        <f t="shared" si="1987"/>
        <v>63</v>
      </c>
      <c r="D1574" s="101" t="str">
        <f t="shared" si="1988"/>
        <v>631</v>
      </c>
      <c r="E1574" s="217" t="str">
        <f t="shared" si="1989"/>
        <v>100-63-631</v>
      </c>
      <c r="F1574" s="294" t="str">
        <f t="shared" si="1990"/>
        <v>50101</v>
      </c>
      <c r="G1574" s="295" t="str">
        <f>VLOOKUP(F1574,'GL Category'!A:C,3,FALSE)</f>
        <v>Personnel services</v>
      </c>
      <c r="H1574" s="98" t="str">
        <f>VLOOKUP(F1574,'GL Category'!A:C,2,FALSE)</f>
        <v>EXEMPT SALARIES</v>
      </c>
      <c r="I1574" s="99">
        <f>SUMIF(Import!$B:$B,$A1574,Import!D:D)</f>
        <v>118539.33</v>
      </c>
      <c r="J1574" s="99">
        <f>SUMIF(Import!$B:$B,$A1574,Import!E:E)</f>
        <v>125829.66</v>
      </c>
      <c r="K1574" s="99">
        <f>SUMIF(Import!$B:$B,$A1574,Import!F:F)</f>
        <v>123869.22</v>
      </c>
      <c r="L1574" s="99">
        <f>SUMIF(Import!$B:$B,$A1574,Import!G:G)</f>
        <v>134947.5</v>
      </c>
      <c r="M1574" s="99">
        <f>SUMIF(Import!$B:$B,$A1574,Import!H:H)</f>
        <v>140380</v>
      </c>
      <c r="N1574" s="99">
        <f>SUMIF(Import!$B:$B,$A1574,Import!I:I)</f>
        <v>107590.91</v>
      </c>
      <c r="O1574" s="99">
        <f>SUMIF(Import!$B:$B,$A1574,Import!J:J)</f>
        <v>141235</v>
      </c>
      <c r="P1574" s="99">
        <f t="shared" ref="P1574:P1581" si="2009">O1574-M1574</f>
        <v>855</v>
      </c>
      <c r="Q1574" s="99">
        <f>SUMIF(Import!$B:$B,$A1574,Import!K:K)</f>
        <v>146048</v>
      </c>
      <c r="R1574" s="99">
        <f>SUMIF(Import!$B:$B,$A1574,Import!L:L)</f>
        <v>0</v>
      </c>
      <c r="S1574" s="99">
        <f>SUMIF(Import!$B:$B,$A1574,Import!M:M)</f>
        <v>0</v>
      </c>
      <c r="T1574" s="99">
        <f>SUMIF(Import!$B:$B,$A1574,Import!N:N)</f>
        <v>146048</v>
      </c>
      <c r="U1574" s="99">
        <f t="shared" ref="U1574:U1581" si="2010">T1574-M1574</f>
        <v>5668</v>
      </c>
      <c r="V1574" s="255">
        <f t="shared" ref="V1574:V1581" si="2011">IF(M1574=0,"N/A",T1574/M1574-1)</f>
        <v>4.0376121954694311E-2</v>
      </c>
      <c r="W1574" s="102" t="s">
        <v>2934</v>
      </c>
      <c r="X1574" s="102"/>
      <c r="Y1574" s="102"/>
      <c r="Z1574" s="309"/>
      <c r="AA1574" s="615"/>
      <c r="AB1574" s="622"/>
      <c r="AC1574" s="633"/>
      <c r="AD1574" s="307"/>
      <c r="AE1574" s="622"/>
      <c r="AF1574" s="633"/>
      <c r="AG1574" s="307"/>
      <c r="AH1574" s="622"/>
      <c r="AI1574" s="633"/>
      <c r="AJ1574" s="307"/>
      <c r="AK1574" s="622"/>
      <c r="AL1574" s="633"/>
      <c r="AM1574" s="307"/>
      <c r="AN1574" s="622"/>
      <c r="AO1574" s="192"/>
      <c r="AP1574" s="192"/>
      <c r="AQ1574" s="192"/>
    </row>
    <row r="1575" spans="1:43" s="115" customFormat="1" ht="15" customHeight="1">
      <c r="A1575" s="555" t="s">
        <v>2935</v>
      </c>
      <c r="B1575" s="217" t="str">
        <f t="shared" si="1986"/>
        <v>100</v>
      </c>
      <c r="C1575" s="217" t="str">
        <f t="shared" si="1987"/>
        <v>63</v>
      </c>
      <c r="D1575" s="101" t="str">
        <f t="shared" si="1988"/>
        <v>631</v>
      </c>
      <c r="E1575" s="217" t="str">
        <f t="shared" si="1989"/>
        <v>100-63-631</v>
      </c>
      <c r="F1575" s="294" t="str">
        <f t="shared" si="1990"/>
        <v>50102</v>
      </c>
      <c r="G1575" s="295" t="str">
        <f>VLOOKUP(F1575,'GL Category'!A:C,3,FALSE)</f>
        <v>Personnel services</v>
      </c>
      <c r="H1575" s="98" t="str">
        <f>VLOOKUP(F1575,'GL Category'!A:C,2,FALSE)</f>
        <v>NON EXEMPT SALARIES</v>
      </c>
      <c r="I1575" s="99">
        <f>SUMIF(Import!$B:$B,$A1575,Import!D:D)</f>
        <v>87506.47</v>
      </c>
      <c r="J1575" s="99">
        <f>SUMIF(Import!$B:$B,$A1575,Import!E:E)</f>
        <v>76740.39</v>
      </c>
      <c r="K1575" s="99">
        <f>SUMIF(Import!$B:$B,$A1575,Import!F:F)</f>
        <v>84638.93</v>
      </c>
      <c r="L1575" s="99">
        <f>SUMIF(Import!$B:$B,$A1575,Import!G:G)</f>
        <v>89508.49</v>
      </c>
      <c r="M1575" s="99">
        <f>SUMIF(Import!$B:$B,$A1575,Import!H:H)</f>
        <v>79694</v>
      </c>
      <c r="N1575" s="99">
        <f>SUMIF(Import!$B:$B,$A1575,Import!I:I)</f>
        <v>66473.38</v>
      </c>
      <c r="O1575" s="99">
        <f>SUMIF(Import!$B:$B,$A1575,Import!J:J)</f>
        <v>87112</v>
      </c>
      <c r="P1575" s="99">
        <f t="shared" si="2009"/>
        <v>7418</v>
      </c>
      <c r="Q1575" s="99">
        <f>SUMIF(Import!$B:$B,$A1575,Import!K:K)</f>
        <v>90500</v>
      </c>
      <c r="R1575" s="99">
        <f>SUMIF(Import!$B:$B,$A1575,Import!L:L)</f>
        <v>0</v>
      </c>
      <c r="S1575" s="99">
        <f>SUMIF(Import!$B:$B,$A1575,Import!M:M)</f>
        <v>0</v>
      </c>
      <c r="T1575" s="99">
        <f>SUMIF(Import!$B:$B,$A1575,Import!N:N)</f>
        <v>90500</v>
      </c>
      <c r="U1575" s="99">
        <f t="shared" si="2010"/>
        <v>10806</v>
      </c>
      <c r="V1575" s="255">
        <f t="shared" si="2011"/>
        <v>0.13559364569478261</v>
      </c>
      <c r="W1575" s="102" t="s">
        <v>2935</v>
      </c>
      <c r="X1575" s="102"/>
      <c r="Y1575" s="102"/>
      <c r="Z1575" s="309"/>
      <c r="AA1575" s="615"/>
      <c r="AB1575" s="622"/>
      <c r="AC1575" s="633"/>
      <c r="AD1575" s="307"/>
      <c r="AE1575" s="622"/>
      <c r="AF1575" s="633"/>
      <c r="AG1575" s="307"/>
      <c r="AH1575" s="622"/>
      <c r="AI1575" s="633"/>
      <c r="AJ1575" s="307"/>
      <c r="AK1575" s="622"/>
      <c r="AL1575" s="633"/>
      <c r="AM1575" s="307"/>
      <c r="AN1575" s="622"/>
      <c r="AO1575" s="192"/>
      <c r="AP1575" s="192"/>
      <c r="AQ1575" s="192"/>
    </row>
    <row r="1576" spans="1:43" s="115" customFormat="1" ht="15" customHeight="1">
      <c r="A1576" s="555" t="s">
        <v>2936</v>
      </c>
      <c r="B1576" s="217" t="str">
        <f t="shared" si="1986"/>
        <v>100</v>
      </c>
      <c r="C1576" s="217" t="str">
        <f t="shared" si="1987"/>
        <v>63</v>
      </c>
      <c r="D1576" s="101" t="str">
        <f t="shared" si="1988"/>
        <v>631</v>
      </c>
      <c r="E1576" s="217" t="str">
        <f t="shared" si="1989"/>
        <v>100-63-631</v>
      </c>
      <c r="F1576" s="294" t="str">
        <f t="shared" si="1990"/>
        <v>50109</v>
      </c>
      <c r="G1576" s="295" t="str">
        <f>VLOOKUP(F1576,'GL Category'!A:C,3,FALSE)</f>
        <v>Personnel services</v>
      </c>
      <c r="H1576" s="98" t="str">
        <f>VLOOKUP(F1576,'GL Category'!A:C,2,FALSE)</f>
        <v>OVERTIME</v>
      </c>
      <c r="I1576" s="99">
        <f>SUMIF(Import!$B:$B,$A1576,Import!D:D)</f>
        <v>98.04</v>
      </c>
      <c r="J1576" s="99">
        <f>SUMIF(Import!$B:$B,$A1576,Import!E:E)</f>
        <v>31.42</v>
      </c>
      <c r="K1576" s="99">
        <f>SUMIF(Import!$B:$B,$A1576,Import!F:F)</f>
        <v>59.29</v>
      </c>
      <c r="L1576" s="99">
        <f>SUMIF(Import!$B:$B,$A1576,Import!G:G)</f>
        <v>512.07000000000005</v>
      </c>
      <c r="M1576" s="99">
        <f>SUMIF(Import!$B:$B,$A1576,Import!H:H)</f>
        <v>500</v>
      </c>
      <c r="N1576" s="99">
        <f>SUMIF(Import!$B:$B,$A1576,Import!I:I)</f>
        <v>565.41999999999996</v>
      </c>
      <c r="O1576" s="99">
        <f>SUMIF(Import!$B:$B,$A1576,Import!J:J)</f>
        <v>792</v>
      </c>
      <c r="P1576" s="99">
        <f t="shared" si="2009"/>
        <v>292</v>
      </c>
      <c r="Q1576" s="99">
        <f>SUMIF(Import!$B:$B,$A1576,Import!K:K)</f>
        <v>500</v>
      </c>
      <c r="R1576" s="99">
        <f>SUMIF(Import!$B:$B,$A1576,Import!L:L)</f>
        <v>0</v>
      </c>
      <c r="S1576" s="99">
        <f>SUMIF(Import!$B:$B,$A1576,Import!M:M)</f>
        <v>0</v>
      </c>
      <c r="T1576" s="99">
        <f>SUMIF(Import!$B:$B,$A1576,Import!N:N)</f>
        <v>500</v>
      </c>
      <c r="U1576" s="99">
        <f t="shared" si="2010"/>
        <v>0</v>
      </c>
      <c r="V1576" s="255">
        <f t="shared" si="2011"/>
        <v>0</v>
      </c>
      <c r="W1576" s="102" t="s">
        <v>2936</v>
      </c>
      <c r="X1576" s="102"/>
      <c r="Y1576" s="102"/>
      <c r="Z1576" s="309"/>
      <c r="AA1576" s="615"/>
      <c r="AB1576" s="622"/>
      <c r="AC1576" s="633"/>
      <c r="AD1576" s="307"/>
      <c r="AE1576" s="622"/>
      <c r="AF1576" s="633"/>
      <c r="AG1576" s="307"/>
      <c r="AH1576" s="622"/>
      <c r="AI1576" s="633"/>
      <c r="AJ1576" s="307"/>
      <c r="AK1576" s="622"/>
      <c r="AL1576" s="633"/>
      <c r="AM1576" s="307"/>
      <c r="AN1576" s="622"/>
      <c r="AO1576" s="192"/>
      <c r="AP1576" s="192"/>
      <c r="AQ1576" s="192"/>
    </row>
    <row r="1577" spans="1:43" s="115" customFormat="1" ht="15" customHeight="1">
      <c r="A1577" s="555" t="s">
        <v>2937</v>
      </c>
      <c r="B1577" s="217" t="str">
        <f t="shared" si="1986"/>
        <v>100</v>
      </c>
      <c r="C1577" s="217" t="str">
        <f t="shared" si="1987"/>
        <v>63</v>
      </c>
      <c r="D1577" s="101" t="str">
        <f t="shared" si="1988"/>
        <v>631</v>
      </c>
      <c r="E1577" s="217" t="str">
        <f t="shared" si="1989"/>
        <v>100-63-631</v>
      </c>
      <c r="F1577" s="294" t="str">
        <f t="shared" si="1990"/>
        <v>50111</v>
      </c>
      <c r="G1577" s="295" t="str">
        <f>VLOOKUP(F1577,'GL Category'!A:C,3,FALSE)</f>
        <v>Personnel services</v>
      </c>
      <c r="H1577" s="98" t="str">
        <f>VLOOKUP(F1577,'GL Category'!A:C,2,FALSE)</f>
        <v>LONGEVITY PAY</v>
      </c>
      <c r="I1577" s="99">
        <f>SUMIF(Import!$B:$B,$A1577,Import!D:D)</f>
        <v>1300</v>
      </c>
      <c r="J1577" s="99">
        <f>SUMIF(Import!$B:$B,$A1577,Import!E:E)</f>
        <v>1510</v>
      </c>
      <c r="K1577" s="99">
        <f>SUMIF(Import!$B:$B,$A1577,Import!F:F)</f>
        <v>1540</v>
      </c>
      <c r="L1577" s="99">
        <f>SUMIF(Import!$B:$B,$A1577,Import!G:G)</f>
        <v>1725</v>
      </c>
      <c r="M1577" s="99">
        <f>SUMIF(Import!$B:$B,$A1577,Import!H:H)</f>
        <v>651</v>
      </c>
      <c r="N1577" s="99">
        <f>SUMIF(Import!$B:$B,$A1577,Import!I:I)</f>
        <v>515</v>
      </c>
      <c r="O1577" s="99">
        <f>SUMIF(Import!$B:$B,$A1577,Import!J:J)</f>
        <v>515</v>
      </c>
      <c r="P1577" s="99">
        <f t="shared" si="2009"/>
        <v>-136</v>
      </c>
      <c r="Q1577" s="99">
        <f>SUMIF(Import!$B:$B,$A1577,Import!K:K)</f>
        <v>1008</v>
      </c>
      <c r="R1577" s="99">
        <f>SUMIF(Import!$B:$B,$A1577,Import!L:L)</f>
        <v>0</v>
      </c>
      <c r="S1577" s="99">
        <f>SUMIF(Import!$B:$B,$A1577,Import!M:M)</f>
        <v>0</v>
      </c>
      <c r="T1577" s="99">
        <f>SUMIF(Import!$B:$B,$A1577,Import!N:N)</f>
        <v>1008</v>
      </c>
      <c r="U1577" s="99">
        <f t="shared" si="2010"/>
        <v>357</v>
      </c>
      <c r="V1577" s="255">
        <f t="shared" si="2011"/>
        <v>0.54838709677419351</v>
      </c>
      <c r="W1577" s="102" t="s">
        <v>2937</v>
      </c>
      <c r="X1577" s="102"/>
      <c r="Y1577" s="102"/>
      <c r="Z1577" s="309"/>
      <c r="AA1577" s="615"/>
      <c r="AB1577" s="622"/>
      <c r="AC1577" s="633"/>
      <c r="AD1577" s="307"/>
      <c r="AE1577" s="622"/>
      <c r="AF1577" s="633"/>
      <c r="AG1577" s="307"/>
      <c r="AH1577" s="622"/>
      <c r="AI1577" s="633"/>
      <c r="AJ1577" s="307"/>
      <c r="AK1577" s="622"/>
      <c r="AL1577" s="633"/>
      <c r="AM1577" s="307"/>
      <c r="AN1577" s="622"/>
      <c r="AO1577" s="192"/>
      <c r="AP1577" s="192"/>
      <c r="AQ1577" s="192"/>
    </row>
    <row r="1578" spans="1:43" s="115" customFormat="1" ht="15" customHeight="1">
      <c r="A1578" s="555" t="s">
        <v>2938</v>
      </c>
      <c r="B1578" s="217" t="str">
        <f t="shared" si="1986"/>
        <v>100</v>
      </c>
      <c r="C1578" s="217" t="str">
        <f t="shared" si="1987"/>
        <v>63</v>
      </c>
      <c r="D1578" s="101" t="str">
        <f t="shared" si="1988"/>
        <v>631</v>
      </c>
      <c r="E1578" s="217" t="str">
        <f t="shared" si="1989"/>
        <v>100-63-631</v>
      </c>
      <c r="F1578" s="294" t="str">
        <f t="shared" si="1990"/>
        <v>50610</v>
      </c>
      <c r="G1578" s="295" t="str">
        <f>VLOOKUP(F1578,'GL Category'!A:C,3,FALSE)</f>
        <v>Personnel services</v>
      </c>
      <c r="H1578" s="98" t="str">
        <f>VLOOKUP(F1578,'GL Category'!A:C,2,FALSE)</f>
        <v>SOCIAL SECURITY</v>
      </c>
      <c r="I1578" s="99">
        <f>SUMIF(Import!$B:$B,$A1578,Import!D:D)</f>
        <v>14722.01</v>
      </c>
      <c r="J1578" s="99">
        <f>SUMIF(Import!$B:$B,$A1578,Import!E:E)</f>
        <v>14489.53</v>
      </c>
      <c r="K1578" s="99">
        <f>SUMIF(Import!$B:$B,$A1578,Import!F:F)</f>
        <v>15183.05</v>
      </c>
      <c r="L1578" s="99">
        <f>SUMIF(Import!$B:$B,$A1578,Import!G:G)</f>
        <v>17333.259999999998</v>
      </c>
      <c r="M1578" s="99">
        <f>SUMIF(Import!$B:$B,$A1578,Import!H:H)</f>
        <v>16240</v>
      </c>
      <c r="N1578" s="99">
        <f>SUMIF(Import!$B:$B,$A1578,Import!I:I)</f>
        <v>13624.77</v>
      </c>
      <c r="O1578" s="99">
        <f>SUMIF(Import!$B:$B,$A1578,Import!J:J)</f>
        <v>17301</v>
      </c>
      <c r="P1578" s="99">
        <f t="shared" si="2009"/>
        <v>1061</v>
      </c>
      <c r="Q1578" s="99">
        <f>SUMIF(Import!$B:$B,$A1578,Import!K:K)</f>
        <v>17180</v>
      </c>
      <c r="R1578" s="99">
        <f>SUMIF(Import!$B:$B,$A1578,Import!L:L)</f>
        <v>0</v>
      </c>
      <c r="S1578" s="99">
        <f>SUMIF(Import!$B:$B,$A1578,Import!M:M)</f>
        <v>0</v>
      </c>
      <c r="T1578" s="99">
        <f>SUMIF(Import!$B:$B,$A1578,Import!N:N)</f>
        <v>17180</v>
      </c>
      <c r="U1578" s="99">
        <f t="shared" si="2010"/>
        <v>940</v>
      </c>
      <c r="V1578" s="255">
        <f t="shared" si="2011"/>
        <v>5.788177339901468E-2</v>
      </c>
      <c r="W1578" s="102" t="s">
        <v>2938</v>
      </c>
      <c r="X1578" s="102"/>
      <c r="Y1578" s="102"/>
      <c r="Z1578" s="309"/>
      <c r="AA1578" s="615"/>
      <c r="AB1578" s="622"/>
      <c r="AC1578" s="633"/>
      <c r="AD1578" s="307"/>
      <c r="AE1578" s="622"/>
      <c r="AF1578" s="633"/>
      <c r="AG1578" s="307"/>
      <c r="AH1578" s="622"/>
      <c r="AI1578" s="633"/>
      <c r="AJ1578" s="307"/>
      <c r="AK1578" s="622"/>
      <c r="AL1578" s="633"/>
      <c r="AM1578" s="307"/>
      <c r="AN1578" s="622"/>
      <c r="AO1578" s="192"/>
      <c r="AP1578" s="192"/>
      <c r="AQ1578" s="192"/>
    </row>
    <row r="1579" spans="1:43" s="115" customFormat="1" ht="15" customHeight="1">
      <c r="A1579" s="555" t="s">
        <v>2939</v>
      </c>
      <c r="B1579" s="217" t="str">
        <f t="shared" si="1986"/>
        <v>100</v>
      </c>
      <c r="C1579" s="217" t="str">
        <f t="shared" si="1987"/>
        <v>63</v>
      </c>
      <c r="D1579" s="101" t="str">
        <f t="shared" si="1988"/>
        <v>631</v>
      </c>
      <c r="E1579" s="217" t="str">
        <f t="shared" si="1989"/>
        <v>100-63-631</v>
      </c>
      <c r="F1579" s="294" t="str">
        <f t="shared" si="1990"/>
        <v>50620</v>
      </c>
      <c r="G1579" s="295" t="str">
        <f>VLOOKUP(F1579,'GL Category'!A:C,3,FALSE)</f>
        <v>Personnel services</v>
      </c>
      <c r="H1579" s="98" t="str">
        <f>VLOOKUP(F1579,'GL Category'!A:C,2,FALSE)</f>
        <v>HEALTH/LIFE INSURANCE</v>
      </c>
      <c r="I1579" s="99">
        <f>SUMIF(Import!$B:$B,$A1579,Import!D:D)</f>
        <v>41524.94</v>
      </c>
      <c r="J1579" s="99">
        <f>SUMIF(Import!$B:$B,$A1579,Import!E:E)</f>
        <v>39864.589999999997</v>
      </c>
      <c r="K1579" s="99">
        <f>SUMIF(Import!$B:$B,$A1579,Import!F:F)</f>
        <v>27463.98</v>
      </c>
      <c r="L1579" s="99">
        <f>SUMIF(Import!$B:$B,$A1579,Import!G:G)</f>
        <v>20986.639999999999</v>
      </c>
      <c r="M1579" s="99">
        <f>SUMIF(Import!$B:$B,$A1579,Import!H:H)</f>
        <v>21963</v>
      </c>
      <c r="N1579" s="99">
        <f>SUMIF(Import!$B:$B,$A1579,Import!I:I)</f>
        <v>16350.67</v>
      </c>
      <c r="O1579" s="99">
        <f>SUMIF(Import!$B:$B,$A1579,Import!J:J)</f>
        <v>22514</v>
      </c>
      <c r="P1579" s="99">
        <f t="shared" si="2009"/>
        <v>551</v>
      </c>
      <c r="Q1579" s="99">
        <f>SUMIF(Import!$B:$B,$A1579,Import!K:K)</f>
        <v>22141</v>
      </c>
      <c r="R1579" s="99">
        <f>SUMIF(Import!$B:$B,$A1579,Import!L:L)</f>
        <v>0</v>
      </c>
      <c r="S1579" s="99">
        <f>SUMIF(Import!$B:$B,$A1579,Import!M:M)</f>
        <v>0</v>
      </c>
      <c r="T1579" s="99">
        <f>SUMIF(Import!$B:$B,$A1579,Import!N:N)</f>
        <v>22141</v>
      </c>
      <c r="U1579" s="99">
        <f t="shared" si="2010"/>
        <v>178</v>
      </c>
      <c r="V1579" s="255">
        <f t="shared" si="2011"/>
        <v>8.104539452715942E-3</v>
      </c>
      <c r="W1579" s="102" t="s">
        <v>2939</v>
      </c>
      <c r="X1579" s="102"/>
      <c r="Y1579" s="102"/>
      <c r="Z1579" s="309"/>
      <c r="AA1579" s="615"/>
      <c r="AB1579" s="622"/>
      <c r="AC1579" s="633"/>
      <c r="AD1579" s="307"/>
      <c r="AE1579" s="622"/>
      <c r="AF1579" s="633"/>
      <c r="AG1579" s="307"/>
      <c r="AH1579" s="622"/>
      <c r="AI1579" s="633"/>
      <c r="AJ1579" s="307"/>
      <c r="AK1579" s="622"/>
      <c r="AL1579" s="633"/>
      <c r="AM1579" s="307"/>
      <c r="AN1579" s="622"/>
      <c r="AO1579" s="192"/>
      <c r="AP1579" s="192"/>
      <c r="AQ1579" s="192"/>
    </row>
    <row r="1580" spans="1:43" s="115" customFormat="1" ht="15" customHeight="1">
      <c r="A1580" s="555" t="s">
        <v>2940</v>
      </c>
      <c r="B1580" s="217" t="str">
        <f t="shared" si="1986"/>
        <v>100</v>
      </c>
      <c r="C1580" s="217" t="str">
        <f t="shared" si="1987"/>
        <v>63</v>
      </c>
      <c r="D1580" s="101" t="str">
        <f t="shared" si="1988"/>
        <v>631</v>
      </c>
      <c r="E1580" s="217" t="str">
        <f t="shared" si="1989"/>
        <v>100-63-631</v>
      </c>
      <c r="F1580" s="294" t="str">
        <f t="shared" si="1990"/>
        <v>50630</v>
      </c>
      <c r="G1580" s="295" t="str">
        <f>VLOOKUP(F1580,'GL Category'!A:C,3,FALSE)</f>
        <v>Personnel services</v>
      </c>
      <c r="H1580" s="98" t="str">
        <f>VLOOKUP(F1580,'GL Category'!A:C,2,FALSE)</f>
        <v>WORKER COMPENSATION</v>
      </c>
      <c r="I1580" s="99">
        <f>SUMIF(Import!$B:$B,$A1580,Import!D:D)</f>
        <v>137.43</v>
      </c>
      <c r="J1580" s="99">
        <f>SUMIF(Import!$B:$B,$A1580,Import!E:E)</f>
        <v>128.26</v>
      </c>
      <c r="K1580" s="99">
        <f>SUMIF(Import!$B:$B,$A1580,Import!F:F)</f>
        <v>145.15</v>
      </c>
      <c r="L1580" s="99">
        <f>SUMIF(Import!$B:$B,$A1580,Import!G:G)</f>
        <v>262.91000000000003</v>
      </c>
      <c r="M1580" s="99">
        <f>SUMIF(Import!$B:$B,$A1580,Import!H:H)</f>
        <v>318</v>
      </c>
      <c r="N1580" s="99">
        <f>SUMIF(Import!$B:$B,$A1580,Import!I:I)</f>
        <v>317.74</v>
      </c>
      <c r="O1580" s="99">
        <f>SUMIF(Import!$B:$B,$A1580,Import!J:J)</f>
        <v>318</v>
      </c>
      <c r="P1580" s="99">
        <f t="shared" si="2009"/>
        <v>0</v>
      </c>
      <c r="Q1580" s="99">
        <f>SUMIF(Import!$B:$B,$A1580,Import!K:K)</f>
        <v>329</v>
      </c>
      <c r="R1580" s="99">
        <f>SUMIF(Import!$B:$B,$A1580,Import!L:L)</f>
        <v>0</v>
      </c>
      <c r="S1580" s="99">
        <f>SUMIF(Import!$B:$B,$A1580,Import!M:M)</f>
        <v>0</v>
      </c>
      <c r="T1580" s="99">
        <f>SUMIF(Import!$B:$B,$A1580,Import!N:N)</f>
        <v>329</v>
      </c>
      <c r="U1580" s="99">
        <f t="shared" si="2010"/>
        <v>11</v>
      </c>
      <c r="V1580" s="255">
        <f t="shared" si="2011"/>
        <v>3.4591194968553562E-2</v>
      </c>
      <c r="W1580" s="102" t="s">
        <v>2940</v>
      </c>
      <c r="X1580" s="102"/>
      <c r="Y1580" s="102"/>
      <c r="Z1580" s="309"/>
      <c r="AA1580" s="615"/>
      <c r="AB1580" s="622"/>
      <c r="AC1580" s="633"/>
      <c r="AD1580" s="307"/>
      <c r="AE1580" s="622"/>
      <c r="AF1580" s="633"/>
      <c r="AG1580" s="307"/>
      <c r="AH1580" s="622"/>
      <c r="AI1580" s="633"/>
      <c r="AJ1580" s="307"/>
      <c r="AK1580" s="622"/>
      <c r="AL1580" s="633"/>
      <c r="AM1580" s="307"/>
      <c r="AN1580" s="622"/>
      <c r="AO1580" s="192"/>
      <c r="AP1580" s="192"/>
      <c r="AQ1580" s="192"/>
    </row>
    <row r="1581" spans="1:43" s="115" customFormat="1" ht="15" customHeight="1">
      <c r="A1581" s="555" t="s">
        <v>2941</v>
      </c>
      <c r="B1581" s="217" t="str">
        <f t="shared" si="1986"/>
        <v>100</v>
      </c>
      <c r="C1581" s="217" t="str">
        <f t="shared" si="1987"/>
        <v>63</v>
      </c>
      <c r="D1581" s="101" t="str">
        <f t="shared" si="1988"/>
        <v>631</v>
      </c>
      <c r="E1581" s="217" t="str">
        <f t="shared" si="1989"/>
        <v>100-63-631</v>
      </c>
      <c r="F1581" s="294" t="str">
        <f t="shared" si="1990"/>
        <v>50650</v>
      </c>
      <c r="G1581" s="295" t="str">
        <f>VLOOKUP(F1581,'GL Category'!A:C,3,FALSE)</f>
        <v>Personnel services</v>
      </c>
      <c r="H1581" s="98" t="str">
        <f>VLOOKUP(F1581,'GL Category'!A:C,2,FALSE)</f>
        <v>RETIREMENT</v>
      </c>
      <c r="I1581" s="99">
        <f>SUMIF(Import!$B:$B,$A1581,Import!D:D)</f>
        <v>32949.06</v>
      </c>
      <c r="J1581" s="99">
        <f>SUMIF(Import!$B:$B,$A1581,Import!E:E)</f>
        <v>32974.15</v>
      </c>
      <c r="K1581" s="99">
        <f>SUMIF(Import!$B:$B,$A1581,Import!F:F)</f>
        <v>34012.74</v>
      </c>
      <c r="L1581" s="99">
        <f>SUMIF(Import!$B:$B,$A1581,Import!G:G)</f>
        <v>36729.57</v>
      </c>
      <c r="M1581" s="99">
        <f>SUMIF(Import!$B:$B,$A1581,Import!H:H)</f>
        <v>36762</v>
      </c>
      <c r="N1581" s="99">
        <f>SUMIF(Import!$B:$B,$A1581,Import!I:I)</f>
        <v>29558.15</v>
      </c>
      <c r="O1581" s="99">
        <f>SUMIF(Import!$B:$B,$A1581,Import!J:J)</f>
        <v>38595</v>
      </c>
      <c r="P1581" s="99">
        <f t="shared" si="2009"/>
        <v>1833</v>
      </c>
      <c r="Q1581" s="99">
        <f>SUMIF(Import!$B:$B,$A1581,Import!K:K)</f>
        <v>40502</v>
      </c>
      <c r="R1581" s="99">
        <f>SUMIF(Import!$B:$B,$A1581,Import!L:L)</f>
        <v>0</v>
      </c>
      <c r="S1581" s="99">
        <f>SUMIF(Import!$B:$B,$A1581,Import!M:M)</f>
        <v>0</v>
      </c>
      <c r="T1581" s="99">
        <f>SUMIF(Import!$B:$B,$A1581,Import!N:N)</f>
        <v>40502</v>
      </c>
      <c r="U1581" s="99">
        <f t="shared" si="2010"/>
        <v>3740</v>
      </c>
      <c r="V1581" s="255">
        <f t="shared" si="2011"/>
        <v>0.101735487731897</v>
      </c>
      <c r="W1581" s="102" t="s">
        <v>2941</v>
      </c>
      <c r="X1581" s="102"/>
      <c r="Y1581" s="102"/>
      <c r="Z1581" s="309"/>
      <c r="AA1581" s="615"/>
      <c r="AB1581" s="622"/>
      <c r="AC1581" s="633"/>
      <c r="AD1581" s="307"/>
      <c r="AE1581" s="622"/>
      <c r="AF1581" s="633"/>
      <c r="AG1581" s="307"/>
      <c r="AH1581" s="622"/>
      <c r="AI1581" s="633"/>
      <c r="AJ1581" s="307"/>
      <c r="AK1581" s="622"/>
      <c r="AL1581" s="633"/>
      <c r="AM1581" s="307"/>
      <c r="AN1581" s="622"/>
      <c r="AO1581" s="192"/>
      <c r="AP1581" s="192"/>
      <c r="AQ1581" s="192"/>
    </row>
    <row r="1582" spans="1:43" s="115" customFormat="1" ht="15" customHeight="1">
      <c r="A1582" s="555"/>
      <c r="B1582" s="217"/>
      <c r="C1582" s="217"/>
      <c r="D1582" s="101"/>
      <c r="E1582" s="217"/>
      <c r="F1582" s="294"/>
      <c r="G1582" s="295"/>
      <c r="H1582" s="107" t="str">
        <f>UPPER(G1581)&amp;" TOTAL"</f>
        <v>PERSONNEL SERVICES TOTAL</v>
      </c>
      <c r="I1582" s="108">
        <f t="shared" ref="I1582" si="2012">SUBTOTAL(9,I1574:I1581)</f>
        <v>296777.28000000003</v>
      </c>
      <c r="J1582" s="108">
        <f t="shared" ref="J1582:P1582" si="2013">SUBTOTAL(9,J1574:J1581)</f>
        <v>291568</v>
      </c>
      <c r="K1582" s="108">
        <f t="shared" ref="K1582" si="2014">SUBTOTAL(9,K1574:K1581)</f>
        <v>286912.36</v>
      </c>
      <c r="L1582" s="108">
        <f t="shared" ref="L1582" si="2015">SUBTOTAL(9,L1574:L1581)</f>
        <v>302005.44</v>
      </c>
      <c r="M1582" s="108">
        <f t="shared" si="2013"/>
        <v>296508</v>
      </c>
      <c r="N1582" s="109">
        <f t="shared" ref="N1582" si="2016">SUBTOTAL(9,N1574:N1581)</f>
        <v>234996.04</v>
      </c>
      <c r="O1582" s="109">
        <f t="shared" si="2013"/>
        <v>308382</v>
      </c>
      <c r="P1582" s="109">
        <f t="shared" si="2013"/>
        <v>11874</v>
      </c>
      <c r="Q1582" s="109">
        <f t="shared" ref="Q1582:T1582" si="2017">SUBTOTAL(9,Q1574:Q1581)</f>
        <v>318208</v>
      </c>
      <c r="R1582" s="109">
        <f t="shared" si="2017"/>
        <v>0</v>
      </c>
      <c r="S1582" s="109">
        <f t="shared" si="2017"/>
        <v>0</v>
      </c>
      <c r="T1582" s="109">
        <f t="shared" si="2017"/>
        <v>318208</v>
      </c>
      <c r="U1582" s="99">
        <f>T1582-M1582</f>
        <v>21700</v>
      </c>
      <c r="V1582" s="255">
        <f>IF(M1582=0,"N/A",T1582/M1582-1)</f>
        <v>7.3185209168049381E-2</v>
      </c>
      <c r="W1582" s="102"/>
      <c r="X1582" s="102"/>
      <c r="Y1582" s="102"/>
      <c r="Z1582" s="192"/>
      <c r="AA1582" s="615"/>
      <c r="AB1582" s="307"/>
      <c r="AC1582" s="307"/>
      <c r="AD1582" s="307"/>
      <c r="AE1582" s="307"/>
      <c r="AF1582" s="307"/>
      <c r="AG1582" s="307"/>
      <c r="AH1582" s="307"/>
      <c r="AI1582" s="307"/>
      <c r="AJ1582" s="307"/>
      <c r="AK1582" s="307"/>
      <c r="AL1582" s="307"/>
      <c r="AM1582" s="307"/>
      <c r="AN1582" s="307"/>
      <c r="AO1582" s="192"/>
      <c r="AP1582" s="192"/>
      <c r="AQ1582" s="192"/>
    </row>
    <row r="1583" spans="1:43" s="115" customFormat="1" ht="15" customHeight="1">
      <c r="A1583" s="555"/>
      <c r="B1583" s="217"/>
      <c r="C1583" s="217"/>
      <c r="D1583" s="101"/>
      <c r="E1583" s="217"/>
      <c r="F1583" s="294"/>
      <c r="G1583" s="295"/>
      <c r="H1583" s="98"/>
      <c r="I1583" s="106"/>
      <c r="J1583" s="106"/>
      <c r="K1583" s="106"/>
      <c r="L1583" s="106"/>
      <c r="M1583" s="106"/>
      <c r="N1583" s="112"/>
      <c r="O1583" s="112"/>
      <c r="P1583" s="112"/>
      <c r="Q1583" s="113"/>
      <c r="R1583" s="113"/>
      <c r="S1583" s="113"/>
      <c r="T1583" s="113"/>
      <c r="U1583" s="99"/>
      <c r="V1583" s="255"/>
      <c r="W1583" s="102"/>
      <c r="X1583" s="102"/>
      <c r="Y1583" s="102"/>
      <c r="Z1583" s="192"/>
      <c r="AA1583" s="615"/>
      <c r="AB1583" s="307"/>
      <c r="AC1583" s="307"/>
      <c r="AD1583" s="307"/>
      <c r="AE1583" s="307"/>
      <c r="AF1583" s="307"/>
      <c r="AG1583" s="307"/>
      <c r="AH1583" s="307"/>
      <c r="AI1583" s="307"/>
      <c r="AJ1583" s="307"/>
      <c r="AK1583" s="307"/>
      <c r="AL1583" s="307"/>
      <c r="AM1583" s="307"/>
      <c r="AN1583" s="307"/>
      <c r="AO1583" s="192"/>
      <c r="AP1583" s="192"/>
      <c r="AQ1583" s="192"/>
    </row>
    <row r="1584" spans="1:43" s="115" customFormat="1" ht="15" customHeight="1">
      <c r="A1584" s="555" t="s">
        <v>2942</v>
      </c>
      <c r="B1584" s="217" t="str">
        <f t="shared" si="1986"/>
        <v>100</v>
      </c>
      <c r="C1584" s="217" t="str">
        <f t="shared" si="1987"/>
        <v>63</v>
      </c>
      <c r="D1584" s="101" t="str">
        <f t="shared" si="1988"/>
        <v>631</v>
      </c>
      <c r="E1584" s="217" t="str">
        <f t="shared" si="1989"/>
        <v>100-63-631</v>
      </c>
      <c r="F1584" s="294" t="str">
        <f t="shared" si="1990"/>
        <v>51210</v>
      </c>
      <c r="G1584" s="295" t="str">
        <f>VLOOKUP(F1584,'GL Category'!A:C,3,FALSE)</f>
        <v>Operations &amp; maintenance</v>
      </c>
      <c r="H1584" s="98" t="str">
        <f>VLOOKUP(F1584,'GL Category'!A:C,2,FALSE)</f>
        <v>OFFICE SUPPLIES</v>
      </c>
      <c r="I1584" s="99">
        <f>SUMIF(Import!$B:$B,$A1584,Import!D:D)</f>
        <v>2424.6799999999998</v>
      </c>
      <c r="J1584" s="99">
        <f>SUMIF(Import!$B:$B,$A1584,Import!E:E)</f>
        <v>648.89</v>
      </c>
      <c r="K1584" s="99">
        <f>SUMIF(Import!$B:$B,$A1584,Import!F:F)</f>
        <v>3001.69</v>
      </c>
      <c r="L1584" s="99">
        <f>SUMIF(Import!$B:$B,$A1584,Import!G:G)</f>
        <v>2531.3200000000002</v>
      </c>
      <c r="M1584" s="99">
        <f>SUMIF(Import!$B:$B,$A1584,Import!H:H)</f>
        <v>2500</v>
      </c>
      <c r="N1584" s="99">
        <f>SUMIF(Import!$B:$B,$A1584,Import!I:I)</f>
        <v>2155.79</v>
      </c>
      <c r="O1584" s="99">
        <f>SUMIF(Import!$B:$B,$A1584,Import!J:J)</f>
        <v>2500</v>
      </c>
      <c r="P1584" s="99">
        <f t="shared" ref="P1584:P1587" si="2018">O1584-M1584</f>
        <v>0</v>
      </c>
      <c r="Q1584" s="99">
        <f>SUMIF(Import!$B:$B,$A1584,Import!K:K)</f>
        <v>2500</v>
      </c>
      <c r="R1584" s="99">
        <f>SUMIF(Import!$B:$B,$A1584,Import!L:L)</f>
        <v>0</v>
      </c>
      <c r="S1584" s="99">
        <f>SUMIF(Import!$B:$B,$A1584,Import!M:M)</f>
        <v>0</v>
      </c>
      <c r="T1584" s="99">
        <f>SUMIF(Import!$B:$B,$A1584,Import!N:N)</f>
        <v>2500</v>
      </c>
      <c r="U1584" s="99">
        <f t="shared" ref="U1584:U1587" si="2019">T1584-M1584</f>
        <v>0</v>
      </c>
      <c r="V1584" s="255">
        <f t="shared" ref="V1584:V1587" si="2020">IF(M1584=0,"N/A",T1584/M1584-1)</f>
        <v>0</v>
      </c>
      <c r="W1584" s="102" t="s">
        <v>2942</v>
      </c>
      <c r="X1584" s="102"/>
      <c r="Y1584" s="102"/>
      <c r="Z1584" s="309"/>
      <c r="AA1584" s="615"/>
      <c r="AB1584" s="622"/>
      <c r="AC1584" s="633"/>
      <c r="AD1584" s="307"/>
      <c r="AE1584" s="622"/>
      <c r="AF1584" s="633"/>
      <c r="AG1584" s="307"/>
      <c r="AH1584" s="622"/>
      <c r="AI1584" s="633"/>
      <c r="AJ1584" s="307"/>
      <c r="AK1584" s="622"/>
      <c r="AL1584" s="633"/>
      <c r="AM1584" s="307"/>
      <c r="AN1584" s="622"/>
      <c r="AO1584" s="192"/>
      <c r="AP1584" s="192"/>
      <c r="AQ1584" s="192"/>
    </row>
    <row r="1585" spans="1:58" s="71" customFormat="1" ht="15" customHeight="1">
      <c r="A1585" s="555" t="s">
        <v>2943</v>
      </c>
      <c r="B1585" s="217" t="str">
        <f t="shared" si="1986"/>
        <v>100</v>
      </c>
      <c r="C1585" s="217" t="str">
        <f t="shared" si="1987"/>
        <v>63</v>
      </c>
      <c r="D1585" s="101" t="str">
        <f t="shared" si="1988"/>
        <v>631</v>
      </c>
      <c r="E1585" s="217" t="str">
        <f t="shared" si="1989"/>
        <v>100-63-631</v>
      </c>
      <c r="F1585" s="294" t="str">
        <f t="shared" si="1990"/>
        <v>51245</v>
      </c>
      <c r="G1585" s="295" t="str">
        <f>VLOOKUP(F1585,'GL Category'!A:C,3,FALSE)</f>
        <v>Operations &amp; maintenance</v>
      </c>
      <c r="H1585" s="98" t="str">
        <f>VLOOKUP(F1585,'GL Category'!A:C,2,FALSE)</f>
        <v>SMALL TOOLS &amp; EQUIPMENT</v>
      </c>
      <c r="I1585" s="99">
        <f>SUMIF(Import!$B:$B,$A1585,Import!D:D)</f>
        <v>0</v>
      </c>
      <c r="J1585" s="99">
        <f>SUMIF(Import!$B:$B,$A1585,Import!E:E)</f>
        <v>0</v>
      </c>
      <c r="K1585" s="99">
        <f>SUMIF(Import!$B:$B,$A1585,Import!F:F)</f>
        <v>0</v>
      </c>
      <c r="L1585" s="99">
        <f>SUMIF(Import!$B:$B,$A1585,Import!G:G)</f>
        <v>0</v>
      </c>
      <c r="M1585" s="99">
        <f>SUMIF(Import!$B:$B,$A1585,Import!H:H)</f>
        <v>0</v>
      </c>
      <c r="N1585" s="99">
        <f>SUMIF(Import!$B:$B,$A1585,Import!I:I)</f>
        <v>0</v>
      </c>
      <c r="O1585" s="99">
        <f>SUMIF(Import!$B:$B,$A1585,Import!J:J)</f>
        <v>0</v>
      </c>
      <c r="P1585" s="99">
        <f t="shared" si="2018"/>
        <v>0</v>
      </c>
      <c r="Q1585" s="99">
        <f>SUMIF(Import!$B:$B,$A1585,Import!K:K)</f>
        <v>0</v>
      </c>
      <c r="R1585" s="99">
        <f>SUMIF(Import!$B:$B,$A1585,Import!L:L)</f>
        <v>0</v>
      </c>
      <c r="S1585" s="99">
        <f>SUMIF(Import!$B:$B,$A1585,Import!M:M)</f>
        <v>0</v>
      </c>
      <c r="T1585" s="99">
        <f>SUMIF(Import!$B:$B,$A1585,Import!N:N)</f>
        <v>0</v>
      </c>
      <c r="U1585" s="99">
        <f t="shared" si="2019"/>
        <v>0</v>
      </c>
      <c r="V1585" s="255" t="str">
        <f t="shared" si="2020"/>
        <v>N/A</v>
      </c>
      <c r="W1585" s="102" t="s">
        <v>2943</v>
      </c>
      <c r="X1585" s="102"/>
      <c r="Y1585" s="102"/>
      <c r="Z1585" s="309"/>
      <c r="AA1585" s="615"/>
      <c r="AB1585" s="622"/>
      <c r="AC1585" s="633"/>
      <c r="AD1585" s="307"/>
      <c r="AE1585" s="622"/>
      <c r="AF1585" s="633"/>
      <c r="AG1585" s="307"/>
      <c r="AH1585" s="622"/>
      <c r="AI1585" s="633"/>
      <c r="AJ1585" s="307"/>
      <c r="AK1585" s="622"/>
      <c r="AL1585" s="633"/>
      <c r="AM1585" s="307"/>
      <c r="AN1585" s="622"/>
      <c r="AO1585" s="97"/>
      <c r="AP1585" s="97"/>
      <c r="AQ1585" s="97"/>
      <c r="AR1585" s="70"/>
      <c r="AS1585" s="70"/>
      <c r="AT1585" s="70"/>
      <c r="AU1585" s="70"/>
      <c r="AV1585" s="70"/>
      <c r="AW1585" s="70"/>
      <c r="AX1585" s="70"/>
      <c r="AY1585" s="70"/>
      <c r="AZ1585" s="70"/>
      <c r="BA1585" s="70"/>
      <c r="BB1585" s="70"/>
      <c r="BC1585" s="70"/>
      <c r="BD1585" s="70"/>
      <c r="BE1585" s="70"/>
      <c r="BF1585" s="70"/>
    </row>
    <row r="1586" spans="1:58" s="71" customFormat="1" ht="15" customHeight="1">
      <c r="A1586" s="555" t="s">
        <v>2944</v>
      </c>
      <c r="B1586" s="217" t="str">
        <f t="shared" si="1986"/>
        <v>100</v>
      </c>
      <c r="C1586" s="217" t="str">
        <f t="shared" si="1987"/>
        <v>63</v>
      </c>
      <c r="D1586" s="101" t="str">
        <f t="shared" si="1988"/>
        <v>631</v>
      </c>
      <c r="E1586" s="217" t="str">
        <f t="shared" si="1989"/>
        <v>100-63-631</v>
      </c>
      <c r="F1586" s="294" t="str">
        <f t="shared" si="1990"/>
        <v>51285</v>
      </c>
      <c r="G1586" s="295" t="str">
        <f>VLOOKUP(F1586,'GL Category'!A:C,3,FALSE)</f>
        <v>Operations &amp; maintenance</v>
      </c>
      <c r="H1586" s="98" t="str">
        <f>VLOOKUP(F1586,'GL Category'!A:C,2,FALSE)</f>
        <v>WEARING APPAREL</v>
      </c>
      <c r="I1586" s="99">
        <f>SUMIF(Import!$B:$B,$A1586,Import!D:D)</f>
        <v>247.74</v>
      </c>
      <c r="J1586" s="99">
        <f>SUMIF(Import!$B:$B,$A1586,Import!E:E)</f>
        <v>1749.93</v>
      </c>
      <c r="K1586" s="99">
        <f>SUMIF(Import!$B:$B,$A1586,Import!F:F)</f>
        <v>290.22000000000003</v>
      </c>
      <c r="L1586" s="99">
        <f>SUMIF(Import!$B:$B,$A1586,Import!G:G)</f>
        <v>261.68</v>
      </c>
      <c r="M1586" s="99">
        <f>SUMIF(Import!$B:$B,$A1586,Import!H:H)</f>
        <v>300</v>
      </c>
      <c r="N1586" s="99">
        <f>SUMIF(Import!$B:$B,$A1586,Import!I:I)</f>
        <v>0</v>
      </c>
      <c r="O1586" s="99">
        <f>SUMIF(Import!$B:$B,$A1586,Import!J:J)</f>
        <v>250</v>
      </c>
      <c r="P1586" s="99">
        <f t="shared" si="2018"/>
        <v>-50</v>
      </c>
      <c r="Q1586" s="99">
        <f>SUMIF(Import!$B:$B,$A1586,Import!K:K)</f>
        <v>300</v>
      </c>
      <c r="R1586" s="99">
        <f>SUMIF(Import!$B:$B,$A1586,Import!L:L)</f>
        <v>0</v>
      </c>
      <c r="S1586" s="99">
        <f>SUMIF(Import!$B:$B,$A1586,Import!M:M)</f>
        <v>0</v>
      </c>
      <c r="T1586" s="99">
        <f>SUMIF(Import!$B:$B,$A1586,Import!N:N)</f>
        <v>300</v>
      </c>
      <c r="U1586" s="99">
        <f t="shared" si="2019"/>
        <v>0</v>
      </c>
      <c r="V1586" s="255">
        <f t="shared" si="2020"/>
        <v>0</v>
      </c>
      <c r="W1586" s="102" t="s">
        <v>2944</v>
      </c>
      <c r="X1586" s="102"/>
      <c r="Y1586" s="102"/>
      <c r="Z1586" s="309"/>
      <c r="AA1586" s="615"/>
      <c r="AB1586" s="622"/>
      <c r="AC1586" s="633"/>
      <c r="AD1586" s="307"/>
      <c r="AE1586" s="622"/>
      <c r="AF1586" s="633"/>
      <c r="AG1586" s="307"/>
      <c r="AH1586" s="622"/>
      <c r="AI1586" s="633"/>
      <c r="AJ1586" s="307"/>
      <c r="AK1586" s="622"/>
      <c r="AL1586" s="633"/>
      <c r="AM1586" s="307"/>
      <c r="AN1586" s="622"/>
      <c r="AO1586" s="97"/>
      <c r="AP1586" s="97"/>
      <c r="AQ1586" s="97"/>
      <c r="AR1586" s="70"/>
      <c r="AS1586" s="70"/>
      <c r="AT1586" s="70"/>
      <c r="AU1586" s="70"/>
      <c r="AV1586" s="70"/>
      <c r="AW1586" s="70"/>
      <c r="AX1586" s="70"/>
      <c r="AY1586" s="70"/>
      <c r="AZ1586" s="70"/>
      <c r="BA1586" s="70"/>
      <c r="BB1586" s="70"/>
      <c r="BC1586" s="70"/>
      <c r="BD1586" s="70"/>
      <c r="BE1586" s="70"/>
      <c r="BF1586" s="70"/>
    </row>
    <row r="1587" spans="1:58" s="71" customFormat="1" ht="15" customHeight="1">
      <c r="A1587" s="555" t="s">
        <v>2945</v>
      </c>
      <c r="B1587" s="217" t="str">
        <f t="shared" si="1986"/>
        <v>100</v>
      </c>
      <c r="C1587" s="217" t="str">
        <f t="shared" si="1987"/>
        <v>63</v>
      </c>
      <c r="D1587" s="101" t="str">
        <f t="shared" si="1988"/>
        <v>631</v>
      </c>
      <c r="E1587" s="217" t="str">
        <f t="shared" si="1989"/>
        <v>100-63-631</v>
      </c>
      <c r="F1587" s="294" t="str">
        <f t="shared" si="1990"/>
        <v>51299</v>
      </c>
      <c r="G1587" s="295" t="str">
        <f>VLOOKUP(F1587,'GL Category'!A:C,3,FALSE)</f>
        <v>Operations &amp; maintenance</v>
      </c>
      <c r="H1587" s="98" t="str">
        <f>VLOOKUP(F1587,'GL Category'!A:C,2,FALSE)</f>
        <v>MISCELLANEOUS SUPPLIES</v>
      </c>
      <c r="I1587" s="99">
        <f>SUMIF(Import!$B:$B,$A1587,Import!D:D)</f>
        <v>0</v>
      </c>
      <c r="J1587" s="99">
        <f>SUMIF(Import!$B:$B,$A1587,Import!E:E)</f>
        <v>0</v>
      </c>
      <c r="K1587" s="99">
        <f>SUMIF(Import!$B:$B,$A1587,Import!F:F)</f>
        <v>0</v>
      </c>
      <c r="L1587" s="99">
        <f>SUMIF(Import!$B:$B,$A1587,Import!G:G)</f>
        <v>0</v>
      </c>
      <c r="M1587" s="99">
        <f>SUMIF(Import!$B:$B,$A1587,Import!H:H)</f>
        <v>0</v>
      </c>
      <c r="N1587" s="99">
        <f>SUMIF(Import!$B:$B,$A1587,Import!I:I)</f>
        <v>0</v>
      </c>
      <c r="O1587" s="99">
        <f>SUMIF(Import!$B:$B,$A1587,Import!J:J)</f>
        <v>0</v>
      </c>
      <c r="P1587" s="99">
        <f t="shared" si="2018"/>
        <v>0</v>
      </c>
      <c r="Q1587" s="99">
        <f>SUMIF(Import!$B:$B,$A1587,Import!K:K)</f>
        <v>0</v>
      </c>
      <c r="R1587" s="99">
        <f>SUMIF(Import!$B:$B,$A1587,Import!L:L)</f>
        <v>0</v>
      </c>
      <c r="S1587" s="99">
        <f>SUMIF(Import!$B:$B,$A1587,Import!M:M)</f>
        <v>0</v>
      </c>
      <c r="T1587" s="99">
        <f>SUMIF(Import!$B:$B,$A1587,Import!N:N)</f>
        <v>0</v>
      </c>
      <c r="U1587" s="99">
        <f t="shared" si="2019"/>
        <v>0</v>
      </c>
      <c r="V1587" s="255" t="str">
        <f t="shared" si="2020"/>
        <v>N/A</v>
      </c>
      <c r="W1587" s="102" t="s">
        <v>2945</v>
      </c>
      <c r="X1587" s="102"/>
      <c r="Y1587" s="102"/>
      <c r="Z1587" s="309"/>
      <c r="AA1587" s="615"/>
      <c r="AB1587" s="622"/>
      <c r="AC1587" s="633"/>
      <c r="AD1587" s="307"/>
      <c r="AE1587" s="622"/>
      <c r="AF1587" s="633"/>
      <c r="AG1587" s="307"/>
      <c r="AH1587" s="622"/>
      <c r="AI1587" s="633"/>
      <c r="AJ1587" s="307"/>
      <c r="AK1587" s="622"/>
      <c r="AL1587" s="633"/>
      <c r="AM1587" s="307"/>
      <c r="AN1587" s="622"/>
      <c r="AO1587" s="97"/>
      <c r="AP1587" s="97"/>
      <c r="AQ1587" s="97"/>
      <c r="AR1587" s="70"/>
      <c r="AS1587" s="70"/>
      <c r="AT1587" s="70"/>
      <c r="AU1587" s="70"/>
      <c r="AV1587" s="70"/>
      <c r="AW1587" s="70"/>
      <c r="AX1587" s="70"/>
      <c r="AY1587" s="70"/>
      <c r="AZ1587" s="70"/>
      <c r="BA1587" s="70"/>
      <c r="BB1587" s="70"/>
      <c r="BC1587" s="70"/>
      <c r="BD1587" s="70"/>
      <c r="BE1587" s="70"/>
      <c r="BF1587" s="70"/>
    </row>
    <row r="1588" spans="1:58" s="71" customFormat="1" ht="24.6" customHeight="1">
      <c r="A1588" s="555"/>
      <c r="B1588" s="217"/>
      <c r="C1588" s="217"/>
      <c r="D1588" s="101"/>
      <c r="E1588" s="217"/>
      <c r="F1588" s="294"/>
      <c r="G1588" s="295"/>
      <c r="H1588" s="107" t="str">
        <f>UPPER(G1587)&amp;" TOTAL"</f>
        <v>OPERATIONS &amp; MAINTENANCE TOTAL</v>
      </c>
      <c r="I1588" s="109">
        <f t="shared" ref="I1588" si="2021">SUBTOTAL(9,I1584:I1587)</f>
        <v>2672.42</v>
      </c>
      <c r="J1588" s="109">
        <f t="shared" ref="J1588:T1588" si="2022">SUBTOTAL(9,J1584:J1587)</f>
        <v>2398.8200000000002</v>
      </c>
      <c r="K1588" s="109">
        <f t="shared" ref="K1588" si="2023">SUBTOTAL(9,K1584:K1587)</f>
        <v>3291.91</v>
      </c>
      <c r="L1588" s="109">
        <f t="shared" ref="L1588" si="2024">SUBTOTAL(9,L1584:L1587)</f>
        <v>2793</v>
      </c>
      <c r="M1588" s="109">
        <f t="shared" si="2022"/>
        <v>2800</v>
      </c>
      <c r="N1588" s="109">
        <f t="shared" ref="N1588" si="2025">SUBTOTAL(9,N1584:N1587)</f>
        <v>2155.79</v>
      </c>
      <c r="O1588" s="109">
        <f t="shared" si="2022"/>
        <v>2750</v>
      </c>
      <c r="P1588" s="109">
        <f t="shared" si="2022"/>
        <v>-50</v>
      </c>
      <c r="Q1588" s="109">
        <f t="shared" si="2022"/>
        <v>2800</v>
      </c>
      <c r="R1588" s="109">
        <f t="shared" si="2022"/>
        <v>0</v>
      </c>
      <c r="S1588" s="109">
        <f t="shared" si="2022"/>
        <v>0</v>
      </c>
      <c r="T1588" s="109">
        <f t="shared" si="2022"/>
        <v>2800</v>
      </c>
      <c r="U1588" s="99">
        <f>T1588-M1588</f>
        <v>0</v>
      </c>
      <c r="V1588" s="255">
        <f>IF(M1588=0,"N/A",T1588/M1588-1)</f>
        <v>0</v>
      </c>
      <c r="W1588" s="102"/>
      <c r="X1588" s="102"/>
      <c r="Y1588" s="102"/>
      <c r="Z1588" s="200"/>
      <c r="AA1588" s="615"/>
      <c r="AB1588" s="631"/>
      <c r="AC1588" s="631"/>
      <c r="AD1588" s="631"/>
      <c r="AE1588" s="631"/>
      <c r="AF1588" s="631"/>
      <c r="AG1588" s="631"/>
      <c r="AH1588" s="631"/>
      <c r="AI1588" s="631"/>
      <c r="AJ1588" s="631"/>
      <c r="AK1588" s="631"/>
      <c r="AL1588" s="631"/>
      <c r="AM1588" s="631"/>
      <c r="AN1588" s="631"/>
      <c r="AO1588" s="97"/>
      <c r="AP1588" s="97"/>
      <c r="AQ1588" s="97"/>
      <c r="AR1588" s="70"/>
      <c r="AS1588" s="70"/>
      <c r="AT1588" s="70"/>
      <c r="AU1588" s="70"/>
      <c r="AV1588" s="70"/>
      <c r="AW1588" s="70"/>
      <c r="AX1588" s="70"/>
      <c r="AY1588" s="70"/>
      <c r="AZ1588" s="70"/>
      <c r="BA1588" s="70"/>
      <c r="BB1588" s="70"/>
      <c r="BC1588" s="70"/>
      <c r="BD1588" s="70"/>
      <c r="BE1588" s="70"/>
      <c r="BF1588" s="70"/>
    </row>
    <row r="1589" spans="1:58" s="71" customFormat="1" ht="15" customHeight="1">
      <c r="A1589" s="555"/>
      <c r="B1589" s="217"/>
      <c r="C1589" s="217"/>
      <c r="D1589" s="101"/>
      <c r="E1589" s="217"/>
      <c r="F1589" s="294"/>
      <c r="G1589" s="295"/>
      <c r="H1589" s="98"/>
      <c r="I1589" s="106"/>
      <c r="J1589" s="106"/>
      <c r="K1589" s="106"/>
      <c r="L1589" s="106"/>
      <c r="M1589" s="106"/>
      <c r="N1589" s="112"/>
      <c r="O1589" s="112"/>
      <c r="P1589" s="112"/>
      <c r="Q1589" s="113"/>
      <c r="R1589" s="113"/>
      <c r="S1589" s="113"/>
      <c r="T1589" s="113"/>
      <c r="U1589" s="99"/>
      <c r="V1589" s="255"/>
      <c r="W1589" s="102"/>
      <c r="X1589" s="102"/>
      <c r="Y1589" s="102"/>
      <c r="Z1589" s="200"/>
      <c r="AA1589" s="615"/>
      <c r="AB1589" s="631"/>
      <c r="AC1589" s="631"/>
      <c r="AD1589" s="631"/>
      <c r="AE1589" s="631"/>
      <c r="AF1589" s="631"/>
      <c r="AG1589" s="631"/>
      <c r="AH1589" s="631"/>
      <c r="AI1589" s="631"/>
      <c r="AJ1589" s="631"/>
      <c r="AK1589" s="631"/>
      <c r="AL1589" s="631"/>
      <c r="AM1589" s="631"/>
      <c r="AN1589" s="631"/>
      <c r="AO1589" s="97"/>
      <c r="AP1589" s="97"/>
      <c r="AQ1589" s="97"/>
      <c r="AR1589" s="70"/>
      <c r="AS1589" s="70"/>
      <c r="AT1589" s="70"/>
      <c r="AU1589" s="70"/>
      <c r="AV1589" s="70"/>
      <c r="AW1589" s="70"/>
      <c r="AX1589" s="70"/>
      <c r="AY1589" s="70"/>
      <c r="AZ1589" s="70"/>
      <c r="BA1589" s="70"/>
      <c r="BB1589" s="70"/>
      <c r="BC1589" s="70"/>
      <c r="BD1589" s="70"/>
      <c r="BE1589" s="70"/>
      <c r="BF1589" s="70"/>
    </row>
    <row r="1590" spans="1:58" s="71" customFormat="1" ht="15" customHeight="1">
      <c r="A1590" s="555" t="s">
        <v>2946</v>
      </c>
      <c r="B1590" s="217" t="str">
        <f t="shared" si="1986"/>
        <v>100</v>
      </c>
      <c r="C1590" s="217" t="str">
        <f t="shared" si="1987"/>
        <v>63</v>
      </c>
      <c r="D1590" s="101" t="str">
        <f t="shared" si="1988"/>
        <v>631</v>
      </c>
      <c r="E1590" s="217" t="str">
        <f t="shared" si="1989"/>
        <v>100-63-631</v>
      </c>
      <c r="F1590" s="294" t="str">
        <f t="shared" si="1990"/>
        <v>53599</v>
      </c>
      <c r="G1590" s="295" t="str">
        <f>VLOOKUP(F1590,'GL Category'!A:C,3,FALSE)</f>
        <v>Services &amp; other</v>
      </c>
      <c r="H1590" s="98" t="str">
        <f>VLOOKUP(F1590,'GL Category'!A:C,2,FALSE)</f>
        <v>MISCELLANEOUS SERVICES</v>
      </c>
      <c r="I1590" s="99">
        <f>SUMIF(Import!$B:$B,$A1590,Import!D:D)</f>
        <v>150</v>
      </c>
      <c r="J1590" s="99">
        <f>SUMIF(Import!$B:$B,$A1590,Import!E:E)</f>
        <v>0</v>
      </c>
      <c r="K1590" s="99">
        <f>SUMIF(Import!$B:$B,$A1590,Import!F:F)</f>
        <v>0</v>
      </c>
      <c r="L1590" s="99">
        <f>SUMIF(Import!$B:$B,$A1590,Import!G:G)</f>
        <v>5444.56</v>
      </c>
      <c r="M1590" s="99">
        <f>SUMIF(Import!$B:$B,$A1590,Import!H:H)</f>
        <v>5000</v>
      </c>
      <c r="N1590" s="99">
        <f>SUMIF(Import!$B:$B,$A1590,Import!I:I)</f>
        <v>0</v>
      </c>
      <c r="O1590" s="99">
        <f>SUMIF(Import!$B:$B,$A1590,Import!J:J)</f>
        <v>2500</v>
      </c>
      <c r="P1590" s="99">
        <f t="shared" ref="P1590:P1595" si="2026">O1590-M1590</f>
        <v>-2500</v>
      </c>
      <c r="Q1590" s="99">
        <f>SUMIF(Import!$B:$B,$A1590,Import!K:K)</f>
        <v>4000</v>
      </c>
      <c r="R1590" s="99">
        <f>SUMIF(Import!$B:$B,$A1590,Import!L:L)</f>
        <v>0</v>
      </c>
      <c r="S1590" s="99">
        <f>SUMIF(Import!$B:$B,$A1590,Import!M:M)</f>
        <v>0</v>
      </c>
      <c r="T1590" s="99">
        <f>SUMIF(Import!$B:$B,$A1590,Import!N:N)</f>
        <v>4000</v>
      </c>
      <c r="U1590" s="99">
        <f t="shared" ref="U1590:U1595" si="2027">T1590-M1590</f>
        <v>-1000</v>
      </c>
      <c r="V1590" s="255">
        <f t="shared" ref="V1590:V1595" si="2028">IF(M1590=0,"N/A",T1590/M1590-1)</f>
        <v>-0.19999999999999996</v>
      </c>
      <c r="W1590" s="102" t="s">
        <v>2946</v>
      </c>
      <c r="X1590" s="102"/>
      <c r="Y1590" s="102"/>
      <c r="Z1590" s="309"/>
      <c r="AA1590" s="615"/>
      <c r="AB1590" s="622"/>
      <c r="AC1590" s="633"/>
      <c r="AD1590" s="615"/>
      <c r="AE1590" s="622"/>
      <c r="AF1590" s="633"/>
      <c r="AG1590" s="615"/>
      <c r="AH1590" s="622"/>
      <c r="AI1590" s="633"/>
      <c r="AJ1590" s="615"/>
      <c r="AK1590" s="622"/>
      <c r="AL1590" s="633"/>
      <c r="AM1590" s="615"/>
      <c r="AN1590" s="622"/>
      <c r="AO1590" s="97"/>
      <c r="AP1590" s="97"/>
      <c r="AQ1590" s="97"/>
      <c r="AR1590" s="70"/>
      <c r="AS1590" s="70"/>
      <c r="AT1590" s="70"/>
      <c r="AU1590" s="70"/>
      <c r="AV1590" s="70"/>
      <c r="AW1590" s="70"/>
      <c r="AX1590" s="70"/>
      <c r="AY1590" s="70"/>
      <c r="AZ1590" s="70"/>
      <c r="BA1590" s="70"/>
      <c r="BB1590" s="70"/>
      <c r="BC1590" s="70"/>
      <c r="BD1590" s="70"/>
      <c r="BE1590" s="70"/>
      <c r="BF1590" s="70"/>
    </row>
    <row r="1591" spans="1:58" s="71" customFormat="1" ht="15" customHeight="1">
      <c r="A1591" s="555" t="s">
        <v>2947</v>
      </c>
      <c r="B1591" s="217" t="str">
        <f t="shared" si="1986"/>
        <v>100</v>
      </c>
      <c r="C1591" s="217" t="str">
        <f t="shared" si="1987"/>
        <v>63</v>
      </c>
      <c r="D1591" s="101" t="str">
        <f t="shared" si="1988"/>
        <v>631</v>
      </c>
      <c r="E1591" s="217" t="str">
        <f t="shared" si="1989"/>
        <v>100-63-631</v>
      </c>
      <c r="F1591" s="294" t="str">
        <f t="shared" si="1990"/>
        <v>53510</v>
      </c>
      <c r="G1591" s="295" t="str">
        <f>VLOOKUP(F1591,'GL Category'!A:C,3,FALSE)</f>
        <v>Services &amp; other</v>
      </c>
      <c r="H1591" s="98" t="str">
        <f>VLOOKUP(F1591,'GL Category'!A:C,2,FALSE)</f>
        <v>DUES &amp; SUBSCRIPTIONS</v>
      </c>
      <c r="I1591" s="99">
        <f>SUMIF(Import!$B:$B,$A1591,Import!D:D)</f>
        <v>1010</v>
      </c>
      <c r="J1591" s="99">
        <f>SUMIF(Import!$B:$B,$A1591,Import!E:E)</f>
        <v>468.97</v>
      </c>
      <c r="K1591" s="99">
        <f>SUMIF(Import!$B:$B,$A1591,Import!F:F)</f>
        <v>821.66</v>
      </c>
      <c r="L1591" s="99">
        <f>SUMIF(Import!$B:$B,$A1591,Import!G:G)</f>
        <v>930</v>
      </c>
      <c r="M1591" s="99">
        <f>SUMIF(Import!$B:$B,$A1591,Import!H:H)</f>
        <v>1385</v>
      </c>
      <c r="N1591" s="99">
        <f>SUMIF(Import!$B:$B,$A1591,Import!I:I)</f>
        <v>1000</v>
      </c>
      <c r="O1591" s="99">
        <f>SUMIF(Import!$B:$B,$A1591,Import!J:J)</f>
        <v>1000</v>
      </c>
      <c r="P1591" s="99">
        <f t="shared" si="2026"/>
        <v>-385</v>
      </c>
      <c r="Q1591" s="99">
        <f>SUMIF(Import!$B:$B,$A1591,Import!K:K)</f>
        <v>1000</v>
      </c>
      <c r="R1591" s="99">
        <f>SUMIF(Import!$B:$B,$A1591,Import!L:L)</f>
        <v>0</v>
      </c>
      <c r="S1591" s="99">
        <f>SUMIF(Import!$B:$B,$A1591,Import!M:M)</f>
        <v>0</v>
      </c>
      <c r="T1591" s="99">
        <f>SUMIF(Import!$B:$B,$A1591,Import!N:N)</f>
        <v>1000</v>
      </c>
      <c r="U1591" s="99">
        <f t="shared" si="2027"/>
        <v>-385</v>
      </c>
      <c r="V1591" s="255">
        <f t="shared" si="2028"/>
        <v>-0.27797833935018046</v>
      </c>
      <c r="W1591" s="102" t="s">
        <v>2947</v>
      </c>
      <c r="X1591" s="102"/>
      <c r="Y1591" s="102"/>
      <c r="Z1591" s="309"/>
      <c r="AA1591" s="615"/>
      <c r="AB1591" s="622"/>
      <c r="AC1591" s="633"/>
      <c r="AD1591" s="307"/>
      <c r="AE1591" s="622"/>
      <c r="AF1591" s="633"/>
      <c r="AG1591" s="307"/>
      <c r="AH1591" s="622"/>
      <c r="AI1591" s="633"/>
      <c r="AJ1591" s="307"/>
      <c r="AK1591" s="622"/>
      <c r="AL1591" s="633"/>
      <c r="AM1591" s="307"/>
      <c r="AN1591" s="622"/>
      <c r="AO1591" s="97"/>
      <c r="AP1591" s="97"/>
      <c r="AQ1591" s="97"/>
      <c r="AR1591" s="70"/>
      <c r="AS1591" s="70"/>
      <c r="AT1591" s="70"/>
      <c r="AU1591" s="70"/>
      <c r="AV1591" s="70"/>
      <c r="AW1591" s="70"/>
      <c r="AX1591" s="70"/>
      <c r="AY1591" s="70"/>
      <c r="AZ1591" s="70"/>
      <c r="BA1591" s="70"/>
      <c r="BB1591" s="70"/>
      <c r="BC1591" s="70"/>
      <c r="BD1591" s="70"/>
      <c r="BE1591" s="70"/>
      <c r="BF1591" s="70"/>
    </row>
    <row r="1592" spans="1:58" s="71" customFormat="1" ht="15" customHeight="1">
      <c r="A1592" s="555" t="s">
        <v>2948</v>
      </c>
      <c r="B1592" s="217" t="str">
        <f t="shared" si="1986"/>
        <v>100</v>
      </c>
      <c r="C1592" s="217" t="str">
        <f t="shared" si="1987"/>
        <v>63</v>
      </c>
      <c r="D1592" s="101" t="str">
        <f t="shared" si="1988"/>
        <v>631</v>
      </c>
      <c r="E1592" s="217" t="str">
        <f t="shared" si="1989"/>
        <v>100-63-631</v>
      </c>
      <c r="F1592" s="294" t="str">
        <f t="shared" si="1990"/>
        <v>53515</v>
      </c>
      <c r="G1592" s="295" t="str">
        <f>VLOOKUP(F1592,'GL Category'!A:C,3,FALSE)</f>
        <v>Services &amp; other</v>
      </c>
      <c r="H1592" s="98" t="str">
        <f>VLOOKUP(F1592,'GL Category'!A:C,2,FALSE)</f>
        <v>TRAVEL, TRAINING &amp; EDUCATION</v>
      </c>
      <c r="I1592" s="99">
        <f>SUMIF(Import!$B:$B,$A1592,Import!D:D)</f>
        <v>1088.18</v>
      </c>
      <c r="J1592" s="99">
        <f>SUMIF(Import!$B:$B,$A1592,Import!E:E)</f>
        <v>470.93</v>
      </c>
      <c r="K1592" s="99">
        <f>SUMIF(Import!$B:$B,$A1592,Import!F:F)</f>
        <v>1891.69</v>
      </c>
      <c r="L1592" s="99">
        <f>SUMIF(Import!$B:$B,$A1592,Import!G:G)</f>
        <v>200</v>
      </c>
      <c r="M1592" s="99">
        <f>SUMIF(Import!$B:$B,$A1592,Import!H:H)</f>
        <v>1200</v>
      </c>
      <c r="N1592" s="99">
        <f>SUMIF(Import!$B:$B,$A1592,Import!I:I)</f>
        <v>301.74</v>
      </c>
      <c r="O1592" s="99">
        <f>SUMIF(Import!$B:$B,$A1592,Import!J:J)</f>
        <v>350</v>
      </c>
      <c r="P1592" s="99">
        <f t="shared" si="2026"/>
        <v>-850</v>
      </c>
      <c r="Q1592" s="99">
        <f>SUMIF(Import!$B:$B,$A1592,Import!K:K)</f>
        <v>1000</v>
      </c>
      <c r="R1592" s="99">
        <f>SUMIF(Import!$B:$B,$A1592,Import!L:L)</f>
        <v>0</v>
      </c>
      <c r="S1592" s="99">
        <f>SUMIF(Import!$B:$B,$A1592,Import!M:M)</f>
        <v>0</v>
      </c>
      <c r="T1592" s="99">
        <f>SUMIF(Import!$B:$B,$A1592,Import!N:N)</f>
        <v>1000</v>
      </c>
      <c r="U1592" s="99">
        <f t="shared" si="2027"/>
        <v>-200</v>
      </c>
      <c r="V1592" s="255">
        <f t="shared" si="2028"/>
        <v>-0.16666666666666663</v>
      </c>
      <c r="W1592" s="102" t="s">
        <v>2948</v>
      </c>
      <c r="X1592" s="102"/>
      <c r="Y1592" s="102"/>
      <c r="Z1592" s="309"/>
      <c r="AA1592" s="615"/>
      <c r="AB1592" s="622"/>
      <c r="AC1592" s="633"/>
      <c r="AD1592" s="307"/>
      <c r="AE1592" s="622"/>
      <c r="AF1592" s="633"/>
      <c r="AG1592" s="307"/>
      <c r="AH1592" s="622"/>
      <c r="AI1592" s="633"/>
      <c r="AJ1592" s="307"/>
      <c r="AK1592" s="622"/>
      <c r="AL1592" s="633"/>
      <c r="AM1592" s="307"/>
      <c r="AN1592" s="622"/>
      <c r="AO1592" s="97"/>
      <c r="AP1592" s="97"/>
      <c r="AQ1592" s="97"/>
      <c r="AR1592" s="70"/>
      <c r="AS1592" s="70"/>
      <c r="AT1592" s="70"/>
      <c r="AU1592" s="70"/>
      <c r="AV1592" s="70"/>
      <c r="AW1592" s="70"/>
      <c r="AX1592" s="70"/>
      <c r="AY1592" s="70"/>
      <c r="AZ1592" s="70"/>
      <c r="BA1592" s="70"/>
      <c r="BB1592" s="70"/>
      <c r="BC1592" s="70"/>
      <c r="BD1592" s="70"/>
      <c r="BE1592" s="70"/>
      <c r="BF1592" s="70"/>
    </row>
    <row r="1593" spans="1:58" s="71" customFormat="1" ht="15" customHeight="1">
      <c r="A1593" s="555" t="s">
        <v>2949</v>
      </c>
      <c r="B1593" s="217" t="str">
        <f t="shared" si="1986"/>
        <v>100</v>
      </c>
      <c r="C1593" s="217" t="str">
        <f t="shared" si="1987"/>
        <v>63</v>
      </c>
      <c r="D1593" s="101" t="str">
        <f t="shared" si="1988"/>
        <v>631</v>
      </c>
      <c r="E1593" s="217" t="str">
        <f t="shared" si="1989"/>
        <v>100-63-631</v>
      </c>
      <c r="F1593" s="294" t="str">
        <f t="shared" si="1990"/>
        <v>53522</v>
      </c>
      <c r="G1593" s="295" t="str">
        <f>VLOOKUP(F1593,'GL Category'!A:C,3,FALSE)</f>
        <v>Services &amp; other</v>
      </c>
      <c r="H1593" s="98" t="str">
        <f>VLOOKUP(F1593,'GL Category'!A:C,2,FALSE)</f>
        <v>ADVERTISING &amp; RECORDING</v>
      </c>
      <c r="I1593" s="99">
        <f>SUMIF(Import!$B:$B,$A1593,Import!D:D)</f>
        <v>0</v>
      </c>
      <c r="J1593" s="99">
        <f>SUMIF(Import!$B:$B,$A1593,Import!E:E)</f>
        <v>0</v>
      </c>
      <c r="K1593" s="99">
        <f>SUMIF(Import!$B:$B,$A1593,Import!F:F)</f>
        <v>0</v>
      </c>
      <c r="L1593" s="99">
        <f>SUMIF(Import!$B:$B,$A1593,Import!G:G)</f>
        <v>0</v>
      </c>
      <c r="M1593" s="99">
        <f>SUMIF(Import!$B:$B,$A1593,Import!H:H)</f>
        <v>0</v>
      </c>
      <c r="N1593" s="99">
        <f>SUMIF(Import!$B:$B,$A1593,Import!I:I)</f>
        <v>0</v>
      </c>
      <c r="O1593" s="99">
        <f>SUMIF(Import!$B:$B,$A1593,Import!J:J)</f>
        <v>0</v>
      </c>
      <c r="P1593" s="99">
        <f t="shared" si="2026"/>
        <v>0</v>
      </c>
      <c r="Q1593" s="99">
        <f>SUMIF(Import!$B:$B,$A1593,Import!K:K)</f>
        <v>0</v>
      </c>
      <c r="R1593" s="99">
        <f>SUMIF(Import!$B:$B,$A1593,Import!L:L)</f>
        <v>0</v>
      </c>
      <c r="S1593" s="99">
        <f>SUMIF(Import!$B:$B,$A1593,Import!M:M)</f>
        <v>0</v>
      </c>
      <c r="T1593" s="99">
        <f>SUMIF(Import!$B:$B,$A1593,Import!N:N)</f>
        <v>0</v>
      </c>
      <c r="U1593" s="99">
        <f t="shared" si="2027"/>
        <v>0</v>
      </c>
      <c r="V1593" s="255" t="str">
        <f t="shared" si="2028"/>
        <v>N/A</v>
      </c>
      <c r="W1593" s="102" t="s">
        <v>2949</v>
      </c>
      <c r="X1593" s="102"/>
      <c r="Y1593" s="102"/>
      <c r="Z1593" s="309"/>
      <c r="AA1593" s="615"/>
      <c r="AB1593" s="622"/>
      <c r="AC1593" s="633"/>
      <c r="AD1593" s="307"/>
      <c r="AE1593" s="622"/>
      <c r="AF1593" s="633"/>
      <c r="AG1593" s="307"/>
      <c r="AH1593" s="622"/>
      <c r="AI1593" s="633"/>
      <c r="AJ1593" s="307"/>
      <c r="AK1593" s="622"/>
      <c r="AL1593" s="633"/>
      <c r="AM1593" s="307"/>
      <c r="AN1593" s="622"/>
      <c r="AO1593" s="97"/>
      <c r="AP1593" s="97"/>
      <c r="AQ1593" s="97"/>
      <c r="AR1593" s="70"/>
      <c r="AS1593" s="70"/>
      <c r="AT1593" s="70"/>
      <c r="AU1593" s="70"/>
      <c r="AV1593" s="70"/>
      <c r="AW1593" s="70"/>
      <c r="AX1593" s="70"/>
      <c r="AY1593" s="70"/>
      <c r="AZ1593" s="70"/>
      <c r="BA1593" s="70"/>
      <c r="BB1593" s="70"/>
      <c r="BC1593" s="70"/>
      <c r="BD1593" s="70"/>
      <c r="BE1593" s="70"/>
      <c r="BF1593" s="70"/>
    </row>
    <row r="1594" spans="1:58" s="71" customFormat="1" ht="15" customHeight="1">
      <c r="A1594" s="555" t="s">
        <v>2950</v>
      </c>
      <c r="B1594" s="217" t="str">
        <f t="shared" si="1986"/>
        <v>100</v>
      </c>
      <c r="C1594" s="217" t="str">
        <f t="shared" si="1987"/>
        <v>63</v>
      </c>
      <c r="D1594" s="101" t="str">
        <f t="shared" si="1988"/>
        <v>631</v>
      </c>
      <c r="E1594" s="217" t="str">
        <f t="shared" si="1989"/>
        <v>100-63-631</v>
      </c>
      <c r="F1594" s="294" t="str">
        <f t="shared" si="1990"/>
        <v>53585</v>
      </c>
      <c r="G1594" s="295" t="str">
        <f>VLOOKUP(F1594,'GL Category'!A:C,3,FALSE)</f>
        <v>Services &amp; other</v>
      </c>
      <c r="H1594" s="98" t="str">
        <f>VLOOKUP(F1594,'GL Category'!A:C,2,FALSE)</f>
        <v>BANKING SERVICES CHARGES</v>
      </c>
      <c r="I1594" s="99">
        <f>SUMIF(Import!$B:$B,$A1594,Import!D:D)</f>
        <v>1339.21</v>
      </c>
      <c r="J1594" s="99">
        <f>SUMIF(Import!$B:$B,$A1594,Import!E:E)</f>
        <v>7041.79</v>
      </c>
      <c r="K1594" s="99">
        <f>SUMIF(Import!$B:$B,$A1594,Import!F:F)</f>
        <v>2962.55</v>
      </c>
      <c r="L1594" s="99">
        <f>SUMIF(Import!$B:$B,$A1594,Import!G:G)</f>
        <v>4129.76</v>
      </c>
      <c r="M1594" s="99">
        <f>SUMIF(Import!$B:$B,$A1594,Import!H:H)</f>
        <v>4580</v>
      </c>
      <c r="N1594" s="99">
        <f>SUMIF(Import!$B:$B,$A1594,Import!I:I)</f>
        <v>6640.69</v>
      </c>
      <c r="O1594" s="99">
        <f>SUMIF(Import!$B:$B,$A1594,Import!J:J)</f>
        <v>8000</v>
      </c>
      <c r="P1594" s="99">
        <f t="shared" si="2026"/>
        <v>3420</v>
      </c>
      <c r="Q1594" s="99">
        <f>SUMIF(Import!$B:$B,$A1594,Import!K:K)</f>
        <v>6000</v>
      </c>
      <c r="R1594" s="99">
        <f>SUMIF(Import!$B:$B,$A1594,Import!L:L)</f>
        <v>0</v>
      </c>
      <c r="S1594" s="99">
        <f>SUMIF(Import!$B:$B,$A1594,Import!M:M)</f>
        <v>0</v>
      </c>
      <c r="T1594" s="99">
        <f>SUMIF(Import!$B:$B,$A1594,Import!N:N)</f>
        <v>6000</v>
      </c>
      <c r="U1594" s="99">
        <f t="shared" si="2027"/>
        <v>1420</v>
      </c>
      <c r="V1594" s="255">
        <f t="shared" si="2028"/>
        <v>0.31004366812227069</v>
      </c>
      <c r="W1594" s="102" t="s">
        <v>2950</v>
      </c>
      <c r="X1594" s="102"/>
      <c r="Y1594" s="102"/>
      <c r="Z1594" s="309"/>
      <c r="AA1594" s="615"/>
      <c r="AB1594" s="622"/>
      <c r="AC1594" s="633"/>
      <c r="AD1594" s="307"/>
      <c r="AE1594" s="622"/>
      <c r="AF1594" s="633"/>
      <c r="AG1594" s="307"/>
      <c r="AH1594" s="622"/>
      <c r="AI1594" s="633"/>
      <c r="AJ1594" s="307"/>
      <c r="AK1594" s="622"/>
      <c r="AL1594" s="633"/>
      <c r="AM1594" s="307"/>
      <c r="AN1594" s="622"/>
      <c r="AO1594" s="97"/>
      <c r="AP1594" s="97"/>
      <c r="AQ1594" s="97"/>
      <c r="AR1594" s="70"/>
      <c r="AS1594" s="70"/>
      <c r="AT1594" s="70"/>
      <c r="AU1594" s="70"/>
      <c r="AV1594" s="70"/>
      <c r="AW1594" s="70"/>
      <c r="AX1594" s="70"/>
      <c r="AY1594" s="70"/>
      <c r="AZ1594" s="70"/>
      <c r="BA1594" s="70"/>
      <c r="BB1594" s="70"/>
      <c r="BC1594" s="70"/>
      <c r="BD1594" s="70"/>
      <c r="BE1594" s="70"/>
      <c r="BF1594" s="70"/>
    </row>
    <row r="1595" spans="1:58" s="71" customFormat="1" ht="15" customHeight="1">
      <c r="A1595" s="555" t="s">
        <v>2951</v>
      </c>
      <c r="B1595" s="217" t="str">
        <f t="shared" si="1986"/>
        <v>100</v>
      </c>
      <c r="C1595" s="217" t="str">
        <f t="shared" si="1987"/>
        <v>63</v>
      </c>
      <c r="D1595" s="101" t="str">
        <f t="shared" si="1988"/>
        <v>631</v>
      </c>
      <c r="E1595" s="217" t="str">
        <f t="shared" si="1989"/>
        <v>100-63-631</v>
      </c>
      <c r="F1595" s="294" t="str">
        <f t="shared" si="1990"/>
        <v>55119</v>
      </c>
      <c r="G1595" s="295" t="str">
        <f>VLOOKUP(F1595,'GL Category'!A:C,3,FALSE)</f>
        <v>Services &amp; other</v>
      </c>
      <c r="H1595" s="98" t="str">
        <f>VLOOKUP(F1595,'GL Category'!A:C,2,FALSE)</f>
        <v>OFFICE EQUIP LEASE EXP-CITY</v>
      </c>
      <c r="I1595" s="99">
        <f>SUMIF(Import!$B:$B,$A1595,Import!D:D)</f>
        <v>65966</v>
      </c>
      <c r="J1595" s="99">
        <f>SUMIF(Import!$B:$B,$A1595,Import!E:E)</f>
        <v>45498</v>
      </c>
      <c r="K1595" s="99">
        <f>SUMIF(Import!$B:$B,$A1595,Import!F:F)</f>
        <v>42550</v>
      </c>
      <c r="L1595" s="99">
        <f>SUMIF(Import!$B:$B,$A1595,Import!G:G)</f>
        <v>42837</v>
      </c>
      <c r="M1595" s="99">
        <f>SUMIF(Import!$B:$B,$A1595,Import!H:H)</f>
        <v>47730</v>
      </c>
      <c r="N1595" s="99">
        <f>SUMIF(Import!$B:$B,$A1595,Import!I:I)</f>
        <v>35797.5</v>
      </c>
      <c r="O1595" s="99">
        <f>SUMIF(Import!$B:$B,$A1595,Import!J:J)</f>
        <v>47730</v>
      </c>
      <c r="P1595" s="99">
        <f t="shared" si="2026"/>
        <v>0</v>
      </c>
      <c r="Q1595" s="99">
        <f>SUMIF(Import!$B:$B,$A1595,Import!K:K)</f>
        <v>44360</v>
      </c>
      <c r="R1595" s="99">
        <f>SUMIF(Import!$B:$B,$A1595,Import!L:L)</f>
        <v>0</v>
      </c>
      <c r="S1595" s="99">
        <f>SUMIF(Import!$B:$B,$A1595,Import!M:M)</f>
        <v>0</v>
      </c>
      <c r="T1595" s="99">
        <f>SUMIF(Import!$B:$B,$A1595,Import!N:N)</f>
        <v>44360</v>
      </c>
      <c r="U1595" s="99">
        <f t="shared" si="2027"/>
        <v>-3370</v>
      </c>
      <c r="V1595" s="255">
        <f t="shared" si="2028"/>
        <v>-7.0605489210140426E-2</v>
      </c>
      <c r="W1595" s="102" t="s">
        <v>2951</v>
      </c>
      <c r="X1595" s="102"/>
      <c r="Y1595" s="102"/>
      <c r="Z1595" s="309"/>
      <c r="AA1595" s="615"/>
      <c r="AB1595" s="622"/>
      <c r="AC1595" s="633"/>
      <c r="AD1595" s="307"/>
      <c r="AE1595" s="622"/>
      <c r="AF1595" s="633"/>
      <c r="AG1595" s="307"/>
      <c r="AH1595" s="622"/>
      <c r="AI1595" s="633"/>
      <c r="AJ1595" s="307"/>
      <c r="AK1595" s="622"/>
      <c r="AL1595" s="633"/>
      <c r="AM1595" s="307"/>
      <c r="AN1595" s="622"/>
      <c r="AO1595" s="97"/>
      <c r="AP1595" s="97"/>
      <c r="AQ1595" s="97"/>
      <c r="AR1595" s="70"/>
      <c r="AS1595" s="70"/>
      <c r="AT1595" s="70"/>
      <c r="AU1595" s="70"/>
      <c r="AV1595" s="70"/>
      <c r="AW1595" s="70"/>
      <c r="AX1595" s="70"/>
      <c r="AY1595" s="70"/>
      <c r="AZ1595" s="70"/>
      <c r="BA1595" s="70"/>
      <c r="BB1595" s="70"/>
      <c r="BC1595" s="70"/>
      <c r="BD1595" s="70"/>
      <c r="BE1595" s="70"/>
      <c r="BF1595" s="70"/>
    </row>
    <row r="1596" spans="1:58" s="71" customFormat="1" ht="15" customHeight="1">
      <c r="A1596" s="555"/>
      <c r="B1596" s="217"/>
      <c r="C1596" s="217"/>
      <c r="D1596" s="101"/>
      <c r="E1596" s="217"/>
      <c r="F1596" s="294"/>
      <c r="G1596" s="295"/>
      <c r="H1596" s="107" t="str">
        <f>UPPER(G1595)&amp;" TOTAL"</f>
        <v>SERVICES &amp; OTHER TOTAL</v>
      </c>
      <c r="I1596" s="108">
        <f t="shared" ref="I1596" si="2029">SUBTOTAL(9,I1590:I1595)</f>
        <v>69553.39</v>
      </c>
      <c r="J1596" s="108">
        <f t="shared" ref="J1596:T1596" si="2030">SUBTOTAL(9,J1590:J1595)</f>
        <v>53479.69</v>
      </c>
      <c r="K1596" s="108">
        <f t="shared" ref="K1596" si="2031">SUBTOTAL(9,K1590:K1595)</f>
        <v>48225.9</v>
      </c>
      <c r="L1596" s="108">
        <f t="shared" ref="L1596" si="2032">SUBTOTAL(9,L1590:L1595)</f>
        <v>53541.32</v>
      </c>
      <c r="M1596" s="108">
        <f t="shared" si="2030"/>
        <v>59895</v>
      </c>
      <c r="N1596" s="109">
        <f t="shared" ref="N1596" si="2033">SUBTOTAL(9,N1590:N1595)</f>
        <v>43739.93</v>
      </c>
      <c r="O1596" s="109">
        <f t="shared" si="2030"/>
        <v>59580</v>
      </c>
      <c r="P1596" s="109">
        <f t="shared" si="2030"/>
        <v>-315</v>
      </c>
      <c r="Q1596" s="109">
        <f t="shared" si="2030"/>
        <v>56360</v>
      </c>
      <c r="R1596" s="109">
        <f t="shared" si="2030"/>
        <v>0</v>
      </c>
      <c r="S1596" s="109">
        <f t="shared" si="2030"/>
        <v>0</v>
      </c>
      <c r="T1596" s="109">
        <f t="shared" si="2030"/>
        <v>56360</v>
      </c>
      <c r="U1596" s="99">
        <f>T1596-M1596</f>
        <v>-3535</v>
      </c>
      <c r="V1596" s="255">
        <f>IF(M1596=0,"N/A",T1596/M1596-1)</f>
        <v>-5.9019951581935071E-2</v>
      </c>
      <c r="W1596" s="102"/>
      <c r="X1596" s="102"/>
      <c r="Y1596" s="102"/>
      <c r="Z1596" s="200"/>
      <c r="AA1596" s="615"/>
      <c r="AB1596" s="631"/>
      <c r="AC1596" s="631"/>
      <c r="AD1596" s="631"/>
      <c r="AE1596" s="631"/>
      <c r="AF1596" s="631"/>
      <c r="AG1596" s="631"/>
      <c r="AH1596" s="631"/>
      <c r="AI1596" s="631"/>
      <c r="AJ1596" s="631"/>
      <c r="AK1596" s="631"/>
      <c r="AL1596" s="631"/>
      <c r="AM1596" s="631"/>
      <c r="AN1596" s="631"/>
      <c r="AO1596" s="97"/>
      <c r="AP1596" s="97"/>
      <c r="AQ1596" s="97"/>
      <c r="AR1596" s="70"/>
      <c r="AS1596" s="70"/>
      <c r="AT1596" s="70"/>
      <c r="AU1596" s="70"/>
      <c r="AV1596" s="70"/>
      <c r="AW1596" s="70"/>
      <c r="AX1596" s="70"/>
      <c r="AY1596" s="70"/>
      <c r="AZ1596" s="70"/>
      <c r="BA1596" s="70"/>
      <c r="BB1596" s="70"/>
      <c r="BC1596" s="70"/>
      <c r="BD1596" s="70"/>
      <c r="BE1596" s="70"/>
      <c r="BF1596" s="70"/>
    </row>
    <row r="1597" spans="1:58" s="71" customFormat="1" ht="15" customHeight="1">
      <c r="A1597" s="555"/>
      <c r="B1597" s="217"/>
      <c r="C1597" s="217"/>
      <c r="D1597" s="101"/>
      <c r="E1597" s="217"/>
      <c r="F1597" s="294"/>
      <c r="G1597" s="295"/>
      <c r="H1597" s="232"/>
      <c r="I1597" s="233"/>
      <c r="J1597" s="233"/>
      <c r="K1597" s="233"/>
      <c r="L1597" s="233"/>
      <c r="M1597" s="233"/>
      <c r="N1597" s="202"/>
      <c r="O1597" s="202"/>
      <c r="P1597" s="202"/>
      <c r="Q1597" s="202"/>
      <c r="R1597" s="202"/>
      <c r="S1597" s="202"/>
      <c r="T1597" s="202"/>
      <c r="U1597" s="99"/>
      <c r="V1597" s="255"/>
      <c r="W1597" s="102"/>
      <c r="X1597" s="102"/>
      <c r="Y1597" s="102"/>
      <c r="Z1597" s="200"/>
      <c r="AA1597" s="615"/>
      <c r="AB1597" s="631"/>
      <c r="AC1597" s="631"/>
      <c r="AD1597" s="631"/>
      <c r="AE1597" s="631"/>
      <c r="AF1597" s="631"/>
      <c r="AG1597" s="631"/>
      <c r="AH1597" s="631"/>
      <c r="AI1597" s="631"/>
      <c r="AJ1597" s="631"/>
      <c r="AK1597" s="631"/>
      <c r="AL1597" s="631"/>
      <c r="AM1597" s="631"/>
      <c r="AN1597" s="631"/>
      <c r="AO1597" s="97"/>
      <c r="AP1597" s="97"/>
      <c r="AQ1597" s="97"/>
      <c r="AR1597" s="70"/>
      <c r="AS1597" s="70"/>
      <c r="AT1597" s="70"/>
      <c r="AU1597" s="70"/>
      <c r="AV1597" s="70"/>
      <c r="AW1597" s="70"/>
      <c r="AX1597" s="70"/>
      <c r="AY1597" s="70"/>
      <c r="AZ1597" s="70"/>
      <c r="BA1597" s="70"/>
      <c r="BB1597" s="70"/>
      <c r="BC1597" s="70"/>
      <c r="BD1597" s="70"/>
      <c r="BE1597" s="70"/>
      <c r="BF1597" s="70"/>
    </row>
    <row r="1598" spans="1:58" s="71" customFormat="1" ht="15" customHeight="1">
      <c r="A1598" s="555"/>
      <c r="B1598" s="217"/>
      <c r="C1598" s="217"/>
      <c r="D1598" s="101"/>
      <c r="E1598" s="217"/>
      <c r="F1598" s="294"/>
      <c r="G1598" s="295"/>
      <c r="H1598" s="114" t="s">
        <v>51</v>
      </c>
      <c r="I1598" s="108">
        <f t="shared" ref="I1598" si="2034">SUBTOTAL(9,I1574:I1597)</f>
        <v>369003.09</v>
      </c>
      <c r="J1598" s="108">
        <f t="shared" ref="J1598:T1598" si="2035">SUBTOTAL(9,J1574:J1597)</f>
        <v>347446.50999999995</v>
      </c>
      <c r="K1598" s="108">
        <f t="shared" ref="K1598" si="2036">SUBTOTAL(9,K1574:K1597)</f>
        <v>338430.16999999993</v>
      </c>
      <c r="L1598" s="108">
        <f t="shared" ref="L1598" si="2037">SUBTOTAL(9,L1574:L1597)</f>
        <v>358339.76</v>
      </c>
      <c r="M1598" s="108">
        <f t="shared" si="2035"/>
        <v>359203</v>
      </c>
      <c r="N1598" s="108">
        <f t="shared" ref="N1598" si="2038">SUBTOTAL(9,N1574:N1597)</f>
        <v>280891.76</v>
      </c>
      <c r="O1598" s="108">
        <f t="shared" si="2035"/>
        <v>370712</v>
      </c>
      <c r="P1598" s="108">
        <f t="shared" si="2035"/>
        <v>11509</v>
      </c>
      <c r="Q1598" s="108">
        <f t="shared" si="2035"/>
        <v>377368</v>
      </c>
      <c r="R1598" s="108">
        <f t="shared" si="2035"/>
        <v>0</v>
      </c>
      <c r="S1598" s="108">
        <f t="shared" si="2035"/>
        <v>0</v>
      </c>
      <c r="T1598" s="108">
        <f t="shared" si="2035"/>
        <v>377368</v>
      </c>
      <c r="U1598" s="99">
        <f>T1598-M1598</f>
        <v>18165</v>
      </c>
      <c r="V1598" s="255">
        <f>IF(M1598=0,"N/A",T1598/M1598-1)</f>
        <v>5.0570290337218715E-2</v>
      </c>
      <c r="W1598" s="102"/>
      <c r="X1598" s="102"/>
      <c r="Y1598" s="102"/>
      <c r="Z1598" s="200"/>
      <c r="AA1598" s="615"/>
      <c r="AB1598" s="631"/>
      <c r="AC1598" s="631"/>
      <c r="AD1598" s="631"/>
      <c r="AE1598" s="631"/>
      <c r="AF1598" s="631"/>
      <c r="AG1598" s="631"/>
      <c r="AH1598" s="631"/>
      <c r="AI1598" s="631"/>
      <c r="AJ1598" s="631"/>
      <c r="AK1598" s="631"/>
      <c r="AL1598" s="631"/>
      <c r="AM1598" s="631"/>
      <c r="AN1598" s="631"/>
      <c r="AO1598" s="97"/>
      <c r="AP1598" s="97"/>
      <c r="AQ1598" s="97"/>
      <c r="AR1598" s="70"/>
      <c r="AS1598" s="70"/>
      <c r="AT1598" s="70"/>
      <c r="AU1598" s="70"/>
      <c r="AV1598" s="70"/>
      <c r="AW1598" s="70"/>
      <c r="AX1598" s="70"/>
      <c r="AY1598" s="70"/>
      <c r="AZ1598" s="70"/>
      <c r="BA1598" s="70"/>
      <c r="BB1598" s="70"/>
      <c r="BC1598" s="70"/>
      <c r="BD1598" s="70"/>
      <c r="BE1598" s="70"/>
      <c r="BF1598" s="70"/>
    </row>
    <row r="1599" spans="1:58" s="71" customFormat="1" ht="15" customHeight="1" thickBot="1">
      <c r="A1599" s="555"/>
      <c r="B1599" s="217"/>
      <c r="C1599" s="217"/>
      <c r="D1599" s="101"/>
      <c r="E1599" s="217"/>
      <c r="F1599" s="294"/>
      <c r="G1599" s="295"/>
      <c r="H1599" s="98"/>
      <c r="I1599" s="218"/>
      <c r="J1599" s="218"/>
      <c r="K1599" s="218"/>
      <c r="L1599" s="218"/>
      <c r="M1599" s="218"/>
      <c r="N1599" s="96"/>
      <c r="O1599" s="96"/>
      <c r="P1599" s="96"/>
      <c r="Q1599" s="212"/>
      <c r="R1599" s="212"/>
      <c r="S1599" s="212"/>
      <c r="T1599" s="212"/>
      <c r="U1599" s="99"/>
      <c r="V1599" s="255"/>
      <c r="W1599" s="102"/>
      <c r="X1599" s="102"/>
      <c r="Y1599" s="102"/>
      <c r="Z1599" s="200"/>
      <c r="AA1599" s="615"/>
      <c r="AB1599" s="631"/>
      <c r="AC1599" s="631"/>
      <c r="AD1599" s="631"/>
      <c r="AE1599" s="631"/>
      <c r="AF1599" s="631"/>
      <c r="AG1599" s="631"/>
      <c r="AH1599" s="631"/>
      <c r="AI1599" s="631"/>
      <c r="AJ1599" s="631"/>
      <c r="AK1599" s="631"/>
      <c r="AL1599" s="631"/>
      <c r="AM1599" s="631"/>
      <c r="AN1599" s="631"/>
      <c r="AO1599" s="97"/>
      <c r="AP1599" s="97"/>
      <c r="AQ1599" s="97"/>
      <c r="AR1599" s="70"/>
      <c r="AS1599" s="70"/>
      <c r="AT1599" s="70"/>
      <c r="AU1599" s="70"/>
      <c r="AV1599" s="70"/>
      <c r="AW1599" s="70"/>
      <c r="AX1599" s="70"/>
      <c r="AY1599" s="70"/>
      <c r="AZ1599" s="70"/>
      <c r="BA1599" s="70"/>
      <c r="BB1599" s="70"/>
      <c r="BC1599" s="70"/>
      <c r="BD1599" s="70"/>
      <c r="BE1599" s="70"/>
      <c r="BF1599" s="70"/>
    </row>
    <row r="1600" spans="1:58" s="71" customFormat="1" ht="23.25" customHeight="1" thickBot="1">
      <c r="A1600" s="555"/>
      <c r="B1600" s="217"/>
      <c r="C1600" s="217"/>
      <c r="D1600" s="101"/>
      <c r="E1600" s="217"/>
      <c r="F1600" s="294"/>
      <c r="G1600" s="295"/>
      <c r="H1600" s="665" t="s">
        <v>645</v>
      </c>
      <c r="I1600" s="666"/>
      <c r="J1600" s="666"/>
      <c r="K1600" s="666"/>
      <c r="L1600" s="666"/>
      <c r="M1600" s="666"/>
      <c r="N1600" s="666"/>
      <c r="O1600" s="666"/>
      <c r="P1600" s="666"/>
      <c r="Q1600" s="666"/>
      <c r="R1600" s="666"/>
      <c r="S1600" s="666"/>
      <c r="T1600" s="667"/>
      <c r="U1600" s="99"/>
      <c r="V1600" s="255"/>
      <c r="W1600" s="102"/>
      <c r="X1600" s="102"/>
      <c r="Y1600" s="102"/>
      <c r="Z1600" s="200"/>
      <c r="AA1600" s="615"/>
      <c r="AB1600" s="631"/>
      <c r="AC1600" s="631"/>
      <c r="AD1600" s="631"/>
      <c r="AE1600" s="631"/>
      <c r="AF1600" s="631"/>
      <c r="AG1600" s="631"/>
      <c r="AH1600" s="631"/>
      <c r="AI1600" s="631"/>
      <c r="AJ1600" s="631"/>
      <c r="AK1600" s="631"/>
      <c r="AL1600" s="631"/>
      <c r="AM1600" s="631"/>
      <c r="AN1600" s="631"/>
      <c r="AO1600" s="97"/>
      <c r="AP1600" s="97"/>
      <c r="AQ1600" s="97"/>
      <c r="AR1600" s="70"/>
      <c r="AS1600" s="70"/>
      <c r="AT1600" s="70"/>
      <c r="AU1600" s="70"/>
      <c r="AV1600" s="70"/>
      <c r="AW1600" s="70"/>
      <c r="AX1600" s="70"/>
      <c r="AY1600" s="70"/>
      <c r="AZ1600" s="70"/>
      <c r="BA1600" s="70"/>
      <c r="BB1600" s="70"/>
      <c r="BC1600" s="70"/>
      <c r="BD1600" s="70"/>
      <c r="BE1600" s="70"/>
      <c r="BF1600" s="70"/>
    </row>
    <row r="1601" spans="1:58" s="71" customFormat="1" ht="15" customHeight="1">
      <c r="A1601" s="555"/>
      <c r="B1601" s="217"/>
      <c r="C1601" s="217"/>
      <c r="D1601" s="101"/>
      <c r="E1601" s="217"/>
      <c r="F1601" s="294"/>
      <c r="G1601" s="295"/>
      <c r="H1601" s="225"/>
      <c r="I1601" s="225"/>
      <c r="J1601" s="225"/>
      <c r="K1601" s="225"/>
      <c r="L1601" s="225"/>
      <c r="M1601" s="225"/>
      <c r="N1601" s="225"/>
      <c r="O1601" s="225"/>
      <c r="P1601" s="225"/>
      <c r="Q1601" s="225"/>
      <c r="R1601" s="225"/>
      <c r="S1601" s="225"/>
      <c r="T1601" s="225"/>
      <c r="U1601" s="99"/>
      <c r="V1601" s="255"/>
      <c r="W1601" s="102"/>
      <c r="X1601" s="102"/>
      <c r="Y1601" s="102"/>
      <c r="Z1601" s="200"/>
      <c r="AA1601" s="615"/>
      <c r="AB1601" s="631"/>
      <c r="AC1601" s="631"/>
      <c r="AD1601" s="631"/>
      <c r="AE1601" s="631"/>
      <c r="AF1601" s="631"/>
      <c r="AG1601" s="631"/>
      <c r="AH1601" s="631"/>
      <c r="AI1601" s="631"/>
      <c r="AJ1601" s="631"/>
      <c r="AK1601" s="631"/>
      <c r="AL1601" s="631"/>
      <c r="AM1601" s="631"/>
      <c r="AN1601" s="631"/>
      <c r="AO1601" s="97"/>
      <c r="AP1601" s="97"/>
      <c r="AQ1601" s="97"/>
      <c r="AR1601" s="70"/>
      <c r="AS1601" s="70"/>
      <c r="AT1601" s="70"/>
      <c r="AU1601" s="70"/>
      <c r="AV1601" s="70"/>
      <c r="AW1601" s="70"/>
      <c r="AX1601" s="70"/>
      <c r="AY1601" s="70"/>
      <c r="AZ1601" s="70"/>
      <c r="BA1601" s="70"/>
      <c r="BB1601" s="70"/>
      <c r="BC1601" s="70"/>
      <c r="BD1601" s="70"/>
      <c r="BE1601" s="70"/>
      <c r="BF1601" s="70"/>
    </row>
    <row r="1602" spans="1:58" s="71" customFormat="1" ht="15" customHeight="1">
      <c r="A1602" s="555" t="s">
        <v>2952</v>
      </c>
      <c r="B1602" s="217" t="str">
        <f t="shared" si="1986"/>
        <v>100</v>
      </c>
      <c r="C1602" s="217" t="str">
        <f t="shared" si="1987"/>
        <v>63</v>
      </c>
      <c r="D1602" s="101" t="str">
        <f t="shared" si="1988"/>
        <v>632</v>
      </c>
      <c r="E1602" s="217" t="str">
        <f t="shared" si="1989"/>
        <v>100-63-632</v>
      </c>
      <c r="F1602" s="294" t="str">
        <f t="shared" si="1990"/>
        <v>50101</v>
      </c>
      <c r="G1602" s="295" t="str">
        <f>VLOOKUP(F1602,'GL Category'!A:C,3,FALSE)</f>
        <v>Personnel services</v>
      </c>
      <c r="H1602" s="98" t="str">
        <f>VLOOKUP(F1602,'GL Category'!A:C,2,FALSE)</f>
        <v>EXEMPT SALARIES</v>
      </c>
      <c r="I1602" s="99">
        <f>SUMIF(Import!$B:$B,$A1602,Import!D:D)</f>
        <v>27565.8</v>
      </c>
      <c r="J1602" s="99">
        <f>SUMIF(Import!$B:$B,$A1602,Import!E:E)</f>
        <v>0</v>
      </c>
      <c r="K1602" s="99">
        <f>SUMIF(Import!$B:$B,$A1602,Import!F:F)</f>
        <v>0</v>
      </c>
      <c r="L1602" s="99">
        <f>SUMIF(Import!$B:$B,$A1602,Import!G:G)</f>
        <v>0</v>
      </c>
      <c r="M1602" s="99">
        <f>SUMIF(Import!$B:$B,$A1602,Import!H:H)</f>
        <v>0</v>
      </c>
      <c r="N1602" s="99">
        <f>SUMIF(Import!$B:$B,$A1602,Import!I:I)</f>
        <v>0</v>
      </c>
      <c r="O1602" s="99">
        <f>SUMIF(Import!$B:$B,$A1602,Import!J:J)</f>
        <v>0</v>
      </c>
      <c r="P1602" s="99">
        <f t="shared" ref="P1602:P1611" si="2039">O1602-M1602</f>
        <v>0</v>
      </c>
      <c r="Q1602" s="99">
        <f>SUMIF(Import!$B:$B,$A1602,Import!K:K)</f>
        <v>0</v>
      </c>
      <c r="R1602" s="99">
        <f>SUMIF(Import!$B:$B,$A1602,Import!L:L)</f>
        <v>0</v>
      </c>
      <c r="S1602" s="99">
        <f>SUMIF(Import!$B:$B,$A1602,Import!M:M)</f>
        <v>0</v>
      </c>
      <c r="T1602" s="99">
        <f>SUMIF(Import!$B:$B,$A1602,Import!N:N)</f>
        <v>0</v>
      </c>
      <c r="U1602" s="99">
        <f t="shared" ref="U1602:U1611" si="2040">T1602-M1602</f>
        <v>0</v>
      </c>
      <c r="V1602" s="255" t="str">
        <f t="shared" ref="V1602:V1611" si="2041">IF(M1602=0,"N/A",T1602/M1602-1)</f>
        <v>N/A</v>
      </c>
      <c r="W1602" s="102" t="s">
        <v>2952</v>
      </c>
      <c r="X1602" s="102"/>
      <c r="Y1602" s="102"/>
      <c r="Z1602" s="200"/>
      <c r="AA1602" s="615"/>
      <c r="AB1602" s="631"/>
      <c r="AC1602" s="631"/>
      <c r="AD1602" s="631"/>
      <c r="AE1602" s="631"/>
      <c r="AF1602" s="631"/>
      <c r="AG1602" s="631"/>
      <c r="AH1602" s="631"/>
      <c r="AI1602" s="631"/>
      <c r="AJ1602" s="631"/>
      <c r="AK1602" s="631"/>
      <c r="AL1602" s="631"/>
      <c r="AM1602" s="631"/>
      <c r="AN1602" s="631"/>
      <c r="AO1602" s="97"/>
      <c r="AP1602" s="97"/>
      <c r="AQ1602" s="97"/>
      <c r="AR1602" s="70"/>
      <c r="AS1602" s="70"/>
      <c r="AT1602" s="70"/>
      <c r="AU1602" s="70"/>
      <c r="AV1602" s="70"/>
      <c r="AW1602" s="70"/>
      <c r="AX1602" s="70"/>
      <c r="AY1602" s="70"/>
      <c r="AZ1602" s="70"/>
      <c r="BA1602" s="70"/>
      <c r="BB1602" s="70"/>
      <c r="BC1602" s="70"/>
      <c r="BD1602" s="70"/>
      <c r="BE1602" s="70"/>
      <c r="BF1602" s="70"/>
    </row>
    <row r="1603" spans="1:58" s="71" customFormat="1" ht="15" customHeight="1">
      <c r="A1603" s="555" t="s">
        <v>2953</v>
      </c>
      <c r="B1603" s="217" t="str">
        <f t="shared" si="1986"/>
        <v>100</v>
      </c>
      <c r="C1603" s="217" t="str">
        <f t="shared" si="1987"/>
        <v>63</v>
      </c>
      <c r="D1603" s="101" t="str">
        <f t="shared" si="1988"/>
        <v>632</v>
      </c>
      <c r="E1603" s="217" t="str">
        <f t="shared" si="1989"/>
        <v>100-63-632</v>
      </c>
      <c r="F1603" s="294" t="str">
        <f t="shared" si="1990"/>
        <v>50102</v>
      </c>
      <c r="G1603" s="295" t="str">
        <f>VLOOKUP(F1603,'GL Category'!A:C,3,FALSE)</f>
        <v>Personnel services</v>
      </c>
      <c r="H1603" s="98" t="str">
        <f>VLOOKUP(F1603,'GL Category'!A:C,2,FALSE)</f>
        <v>NON EXEMPT SALARIES</v>
      </c>
      <c r="I1603" s="99">
        <f>SUMIF(Import!$B:$B,$A1603,Import!D:D)</f>
        <v>343373.48</v>
      </c>
      <c r="J1603" s="99">
        <f>SUMIF(Import!$B:$B,$A1603,Import!E:E)</f>
        <v>324996.82</v>
      </c>
      <c r="K1603" s="99">
        <f>SUMIF(Import!$B:$B,$A1603,Import!F:F)</f>
        <v>325713.84999999998</v>
      </c>
      <c r="L1603" s="99">
        <f>SUMIF(Import!$B:$B,$A1603,Import!G:G)</f>
        <v>393746.83</v>
      </c>
      <c r="M1603" s="99">
        <f>SUMIF(Import!$B:$B,$A1603,Import!H:H)</f>
        <v>407955</v>
      </c>
      <c r="N1603" s="99">
        <f>SUMIF(Import!$B:$B,$A1603,Import!I:I)</f>
        <v>315772.92</v>
      </c>
      <c r="O1603" s="99">
        <f>SUMIF(Import!$B:$B,$A1603,Import!J:J)</f>
        <v>419577</v>
      </c>
      <c r="P1603" s="99">
        <f t="shared" si="2039"/>
        <v>11622</v>
      </c>
      <c r="Q1603" s="99">
        <f>SUMIF(Import!$B:$B,$A1603,Import!K:K)</f>
        <v>423025</v>
      </c>
      <c r="R1603" s="99">
        <f>SUMIF(Import!$B:$B,$A1603,Import!L:L)</f>
        <v>0</v>
      </c>
      <c r="S1603" s="99">
        <f>SUMIF(Import!$B:$B,$A1603,Import!M:M)</f>
        <v>0</v>
      </c>
      <c r="T1603" s="99">
        <f>SUMIF(Import!$B:$B,$A1603,Import!N:N)</f>
        <v>423025</v>
      </c>
      <c r="U1603" s="99">
        <f t="shared" si="2040"/>
        <v>15070</v>
      </c>
      <c r="V1603" s="255">
        <f t="shared" si="2041"/>
        <v>3.6940348812981805E-2</v>
      </c>
      <c r="W1603" s="102" t="s">
        <v>2953</v>
      </c>
      <c r="X1603" s="102"/>
      <c r="Y1603" s="102"/>
      <c r="Z1603" s="200"/>
      <c r="AA1603" s="615"/>
      <c r="AB1603" s="631"/>
      <c r="AC1603" s="631"/>
      <c r="AD1603" s="631"/>
      <c r="AE1603" s="631"/>
      <c r="AF1603" s="631"/>
      <c r="AG1603" s="631"/>
      <c r="AH1603" s="631"/>
      <c r="AI1603" s="631"/>
      <c r="AJ1603" s="631"/>
      <c r="AK1603" s="631"/>
      <c r="AL1603" s="631"/>
      <c r="AM1603" s="631"/>
      <c r="AN1603" s="631"/>
      <c r="AO1603" s="97"/>
      <c r="AP1603" s="97"/>
      <c r="AQ1603" s="97"/>
      <c r="AR1603" s="70"/>
      <c r="AS1603" s="70"/>
      <c r="AT1603" s="70"/>
      <c r="AU1603" s="70"/>
      <c r="AV1603" s="70"/>
      <c r="AW1603" s="70"/>
      <c r="AX1603" s="70"/>
      <c r="AY1603" s="70"/>
      <c r="AZ1603" s="70"/>
      <c r="BA1603" s="70"/>
      <c r="BB1603" s="70"/>
      <c r="BC1603" s="70"/>
      <c r="BD1603" s="70"/>
      <c r="BE1603" s="70"/>
      <c r="BF1603" s="70"/>
    </row>
    <row r="1604" spans="1:58" s="71" customFormat="1" ht="15" customHeight="1">
      <c r="A1604" s="555" t="s">
        <v>2954</v>
      </c>
      <c r="B1604" s="217" t="str">
        <f t="shared" si="1986"/>
        <v>100</v>
      </c>
      <c r="C1604" s="217" t="str">
        <f t="shared" si="1987"/>
        <v>63</v>
      </c>
      <c r="D1604" s="101" t="str">
        <f t="shared" si="1988"/>
        <v>632</v>
      </c>
      <c r="E1604" s="217" t="str">
        <f t="shared" si="1989"/>
        <v>100-63-632</v>
      </c>
      <c r="F1604" s="294" t="str">
        <f t="shared" si="1990"/>
        <v>50109</v>
      </c>
      <c r="G1604" s="295" t="str">
        <f>VLOOKUP(F1604,'GL Category'!A:C,3,FALSE)</f>
        <v>Personnel services</v>
      </c>
      <c r="H1604" s="98" t="str">
        <f>VLOOKUP(F1604,'GL Category'!A:C,2,FALSE)</f>
        <v>OVERTIME</v>
      </c>
      <c r="I1604" s="99">
        <f>SUMIF(Import!$B:$B,$A1604,Import!D:D)</f>
        <v>10247.9</v>
      </c>
      <c r="J1604" s="99">
        <f>SUMIF(Import!$B:$B,$A1604,Import!E:E)</f>
        <v>6699.3</v>
      </c>
      <c r="K1604" s="99">
        <f>SUMIF(Import!$B:$B,$A1604,Import!F:F)</f>
        <v>15196.85</v>
      </c>
      <c r="L1604" s="99">
        <f>SUMIF(Import!$B:$B,$A1604,Import!G:G)</f>
        <v>19556.009999999998</v>
      </c>
      <c r="M1604" s="99">
        <f>SUMIF(Import!$B:$B,$A1604,Import!H:H)</f>
        <v>19000</v>
      </c>
      <c r="N1604" s="99">
        <f>SUMIF(Import!$B:$B,$A1604,Import!I:I)</f>
        <v>21215.439999999999</v>
      </c>
      <c r="O1604" s="99">
        <f>SUMIF(Import!$B:$B,$A1604,Import!J:J)</f>
        <v>25636</v>
      </c>
      <c r="P1604" s="99">
        <f t="shared" si="2039"/>
        <v>6636</v>
      </c>
      <c r="Q1604" s="99">
        <f>SUMIF(Import!$B:$B,$A1604,Import!K:K)</f>
        <v>19000</v>
      </c>
      <c r="R1604" s="99">
        <f>SUMIF(Import!$B:$B,$A1604,Import!L:L)</f>
        <v>0</v>
      </c>
      <c r="S1604" s="99">
        <f>SUMIF(Import!$B:$B,$A1604,Import!M:M)</f>
        <v>0</v>
      </c>
      <c r="T1604" s="99">
        <f>SUMIF(Import!$B:$B,$A1604,Import!N:N)</f>
        <v>19000</v>
      </c>
      <c r="U1604" s="99">
        <f t="shared" si="2040"/>
        <v>0</v>
      </c>
      <c r="V1604" s="255">
        <f t="shared" si="2041"/>
        <v>0</v>
      </c>
      <c r="W1604" s="102" t="s">
        <v>2954</v>
      </c>
      <c r="X1604" s="102"/>
      <c r="Y1604" s="102"/>
      <c r="Z1604" s="200"/>
      <c r="AA1604" s="615"/>
      <c r="AB1604" s="631"/>
      <c r="AC1604" s="631"/>
      <c r="AD1604" s="631"/>
      <c r="AE1604" s="631"/>
      <c r="AF1604" s="631"/>
      <c r="AG1604" s="631"/>
      <c r="AH1604" s="631"/>
      <c r="AI1604" s="631"/>
      <c r="AJ1604" s="631"/>
      <c r="AK1604" s="631"/>
      <c r="AL1604" s="631"/>
      <c r="AM1604" s="631"/>
      <c r="AN1604" s="631"/>
      <c r="AO1604" s="97"/>
      <c r="AP1604" s="97"/>
      <c r="AQ1604" s="97"/>
      <c r="AR1604" s="70"/>
      <c r="AS1604" s="70"/>
      <c r="AT1604" s="70"/>
      <c r="AU1604" s="70"/>
      <c r="AV1604" s="70"/>
      <c r="AW1604" s="70"/>
      <c r="AX1604" s="70"/>
      <c r="AY1604" s="70"/>
      <c r="AZ1604" s="70"/>
      <c r="BA1604" s="70"/>
      <c r="BB1604" s="70"/>
      <c r="BC1604" s="70"/>
      <c r="BD1604" s="70"/>
      <c r="BE1604" s="70"/>
      <c r="BF1604" s="70"/>
    </row>
    <row r="1605" spans="1:58" s="71" customFormat="1" ht="15" customHeight="1">
      <c r="A1605" s="555" t="s">
        <v>2955</v>
      </c>
      <c r="B1605" s="217" t="str">
        <f t="shared" si="1986"/>
        <v>100</v>
      </c>
      <c r="C1605" s="217" t="str">
        <f t="shared" si="1987"/>
        <v>63</v>
      </c>
      <c r="D1605" s="101" t="str">
        <f t="shared" si="1988"/>
        <v>632</v>
      </c>
      <c r="E1605" s="217" t="str">
        <f t="shared" si="1989"/>
        <v>100-63-632</v>
      </c>
      <c r="F1605" s="294" t="str">
        <f t="shared" si="1990"/>
        <v>50111</v>
      </c>
      <c r="G1605" s="295" t="str">
        <f>VLOOKUP(F1605,'GL Category'!A:C,3,FALSE)</f>
        <v>Personnel services</v>
      </c>
      <c r="H1605" s="98" t="str">
        <f>VLOOKUP(F1605,'GL Category'!A:C,2,FALSE)</f>
        <v>LONGEVITY PAY</v>
      </c>
      <c r="I1605" s="99">
        <f>SUMIF(Import!$B:$B,$A1605,Import!D:D)</f>
        <v>7640</v>
      </c>
      <c r="J1605" s="99">
        <f>SUMIF(Import!$B:$B,$A1605,Import!E:E)</f>
        <v>5752.5</v>
      </c>
      <c r="K1605" s="99">
        <f>SUMIF(Import!$B:$B,$A1605,Import!F:F)</f>
        <v>5266.65</v>
      </c>
      <c r="L1605" s="99">
        <f>SUMIF(Import!$B:$B,$A1605,Import!G:G)</f>
        <v>5882</v>
      </c>
      <c r="M1605" s="99">
        <f>SUMIF(Import!$B:$B,$A1605,Import!H:H)</f>
        <v>6432</v>
      </c>
      <c r="N1605" s="99">
        <f>SUMIF(Import!$B:$B,$A1605,Import!I:I)</f>
        <v>6354</v>
      </c>
      <c r="O1605" s="99">
        <f>SUMIF(Import!$B:$B,$A1605,Import!J:J)</f>
        <v>6354</v>
      </c>
      <c r="P1605" s="99">
        <f t="shared" si="2039"/>
        <v>-78</v>
      </c>
      <c r="Q1605" s="99">
        <f>SUMIF(Import!$B:$B,$A1605,Import!K:K)</f>
        <v>6896</v>
      </c>
      <c r="R1605" s="99">
        <f>SUMIF(Import!$B:$B,$A1605,Import!L:L)</f>
        <v>0</v>
      </c>
      <c r="S1605" s="99">
        <f>SUMIF(Import!$B:$B,$A1605,Import!M:M)</f>
        <v>0</v>
      </c>
      <c r="T1605" s="99">
        <f>SUMIF(Import!$B:$B,$A1605,Import!N:N)</f>
        <v>6896</v>
      </c>
      <c r="U1605" s="99">
        <f t="shared" si="2040"/>
        <v>464</v>
      </c>
      <c r="V1605" s="255">
        <f t="shared" si="2041"/>
        <v>7.2139303482587014E-2</v>
      </c>
      <c r="W1605" s="102" t="s">
        <v>2955</v>
      </c>
      <c r="X1605" s="102"/>
      <c r="Y1605" s="102"/>
      <c r="Z1605" s="200"/>
      <c r="AA1605" s="615"/>
      <c r="AB1605" s="631"/>
      <c r="AC1605" s="631"/>
      <c r="AD1605" s="631"/>
      <c r="AE1605" s="631"/>
      <c r="AF1605" s="631"/>
      <c r="AG1605" s="631"/>
      <c r="AH1605" s="631"/>
      <c r="AI1605" s="631"/>
      <c r="AJ1605" s="631"/>
      <c r="AK1605" s="631"/>
      <c r="AL1605" s="631"/>
      <c r="AM1605" s="631"/>
      <c r="AN1605" s="631"/>
      <c r="AO1605" s="97"/>
      <c r="AP1605" s="97"/>
      <c r="AQ1605" s="97"/>
      <c r="AR1605" s="70"/>
      <c r="AS1605" s="70"/>
      <c r="AT1605" s="70"/>
      <c r="AU1605" s="70"/>
      <c r="AV1605" s="70"/>
      <c r="AW1605" s="70"/>
      <c r="AX1605" s="70"/>
      <c r="AY1605" s="70"/>
      <c r="AZ1605" s="70"/>
      <c r="BA1605" s="70"/>
      <c r="BB1605" s="70"/>
      <c r="BC1605" s="70"/>
      <c r="BD1605" s="70"/>
      <c r="BE1605" s="70"/>
      <c r="BF1605" s="70"/>
    </row>
    <row r="1606" spans="1:58" s="71" customFormat="1" ht="15" customHeight="1">
      <c r="A1606" s="555" t="s">
        <v>2956</v>
      </c>
      <c r="B1606" s="217" t="str">
        <f t="shared" si="1986"/>
        <v>100</v>
      </c>
      <c r="C1606" s="217" t="str">
        <f t="shared" si="1987"/>
        <v>63</v>
      </c>
      <c r="D1606" s="101" t="str">
        <f t="shared" si="1988"/>
        <v>632</v>
      </c>
      <c r="E1606" s="217" t="str">
        <f t="shared" si="1989"/>
        <v>100-63-632</v>
      </c>
      <c r="F1606" s="294" t="str">
        <f t="shared" si="1990"/>
        <v>50112</v>
      </c>
      <c r="G1606" s="295" t="str">
        <f>VLOOKUP(F1606,'GL Category'!A:C,3,FALSE)</f>
        <v>Personnel services</v>
      </c>
      <c r="H1606" s="98" t="str">
        <f>VLOOKUP(F1606,'GL Category'!A:C,2,FALSE)</f>
        <v>TEMPORARY/SEASONAL WAGES</v>
      </c>
      <c r="I1606" s="99">
        <f>SUMIF(Import!$B:$B,$A1606,Import!D:D)</f>
        <v>0</v>
      </c>
      <c r="J1606" s="99">
        <f>SUMIF(Import!$B:$B,$A1606,Import!E:E)</f>
        <v>0</v>
      </c>
      <c r="K1606" s="99">
        <f>SUMIF(Import!$B:$B,$A1606,Import!F:F)</f>
        <v>0</v>
      </c>
      <c r="L1606" s="99">
        <f>SUMIF(Import!$B:$B,$A1606,Import!G:G)</f>
        <v>0</v>
      </c>
      <c r="M1606" s="99">
        <f>SUMIF(Import!$B:$B,$A1606,Import!H:H)</f>
        <v>0</v>
      </c>
      <c r="N1606" s="99">
        <f>SUMIF(Import!$B:$B,$A1606,Import!I:I)</f>
        <v>0</v>
      </c>
      <c r="O1606" s="99">
        <f>SUMIF(Import!$B:$B,$A1606,Import!J:J)</f>
        <v>0</v>
      </c>
      <c r="P1606" s="99">
        <f t="shared" si="2039"/>
        <v>0</v>
      </c>
      <c r="Q1606" s="99">
        <f>SUMIF(Import!$B:$B,$A1606,Import!K:K)</f>
        <v>0</v>
      </c>
      <c r="R1606" s="99">
        <f>SUMIF(Import!$B:$B,$A1606,Import!L:L)</f>
        <v>0</v>
      </c>
      <c r="S1606" s="99">
        <f>SUMIF(Import!$B:$B,$A1606,Import!M:M)</f>
        <v>0</v>
      </c>
      <c r="T1606" s="99">
        <f>SUMIF(Import!$B:$B,$A1606,Import!N:N)</f>
        <v>0</v>
      </c>
      <c r="U1606" s="99">
        <f t="shared" si="2040"/>
        <v>0</v>
      </c>
      <c r="V1606" s="255" t="str">
        <f t="shared" si="2041"/>
        <v>N/A</v>
      </c>
      <c r="W1606" s="102" t="s">
        <v>2956</v>
      </c>
      <c r="X1606" s="102"/>
      <c r="Y1606" s="102"/>
      <c r="Z1606" s="200"/>
      <c r="AA1606" s="615"/>
      <c r="AB1606" s="631"/>
      <c r="AC1606" s="631"/>
      <c r="AD1606" s="631"/>
      <c r="AE1606" s="631"/>
      <c r="AF1606" s="631"/>
      <c r="AG1606" s="631"/>
      <c r="AH1606" s="631"/>
      <c r="AI1606" s="631"/>
      <c r="AJ1606" s="631"/>
      <c r="AK1606" s="631"/>
      <c r="AL1606" s="631"/>
      <c r="AM1606" s="631"/>
      <c r="AN1606" s="631"/>
      <c r="AO1606" s="97"/>
      <c r="AP1606" s="97"/>
      <c r="AQ1606" s="97"/>
      <c r="AR1606" s="70"/>
      <c r="AS1606" s="70"/>
      <c r="AT1606" s="70"/>
      <c r="AU1606" s="70"/>
      <c r="AV1606" s="70"/>
      <c r="AW1606" s="70"/>
      <c r="AX1606" s="70"/>
      <c r="AY1606" s="70"/>
      <c r="AZ1606" s="70"/>
      <c r="BA1606" s="70"/>
      <c r="BB1606" s="70"/>
      <c r="BC1606" s="70"/>
      <c r="BD1606" s="70"/>
      <c r="BE1606" s="70"/>
      <c r="BF1606" s="70"/>
    </row>
    <row r="1607" spans="1:58" s="71" customFormat="1" ht="15" customHeight="1">
      <c r="A1607" s="555" t="s">
        <v>2957</v>
      </c>
      <c r="B1607" s="217" t="str">
        <f t="shared" si="1986"/>
        <v>100</v>
      </c>
      <c r="C1607" s="217" t="str">
        <f t="shared" si="1987"/>
        <v>63</v>
      </c>
      <c r="D1607" s="101" t="str">
        <f t="shared" si="1988"/>
        <v>632</v>
      </c>
      <c r="E1607" s="217" t="str">
        <f t="shared" si="1989"/>
        <v>100-63-632</v>
      </c>
      <c r="F1607" s="294" t="str">
        <f t="shared" si="1990"/>
        <v>50120</v>
      </c>
      <c r="G1607" s="295" t="str">
        <f>VLOOKUP(F1607,'GL Category'!A:C,3,FALSE)</f>
        <v>Personnel services</v>
      </c>
      <c r="H1607" s="98" t="str">
        <f>VLOOKUP(F1607,'GL Category'!A:C,2,FALSE)</f>
        <v>AUTO ALLOWANCE</v>
      </c>
      <c r="I1607" s="99">
        <f>SUMIF(Import!$B:$B,$A1607,Import!D:D)</f>
        <v>1600</v>
      </c>
      <c r="J1607" s="99">
        <f>SUMIF(Import!$B:$B,$A1607,Import!E:E)</f>
        <v>0</v>
      </c>
      <c r="K1607" s="99">
        <f>SUMIF(Import!$B:$B,$A1607,Import!F:F)</f>
        <v>0</v>
      </c>
      <c r="L1607" s="99">
        <f>SUMIF(Import!$B:$B,$A1607,Import!G:G)</f>
        <v>0</v>
      </c>
      <c r="M1607" s="99">
        <f>SUMIF(Import!$B:$B,$A1607,Import!H:H)</f>
        <v>0</v>
      </c>
      <c r="N1607" s="99">
        <f>SUMIF(Import!$B:$B,$A1607,Import!I:I)</f>
        <v>0</v>
      </c>
      <c r="O1607" s="99">
        <f>SUMIF(Import!$B:$B,$A1607,Import!J:J)</f>
        <v>0</v>
      </c>
      <c r="P1607" s="99">
        <f t="shared" si="2039"/>
        <v>0</v>
      </c>
      <c r="Q1607" s="99">
        <f>SUMIF(Import!$B:$B,$A1607,Import!K:K)</f>
        <v>0</v>
      </c>
      <c r="R1607" s="99">
        <f>SUMIF(Import!$B:$B,$A1607,Import!L:L)</f>
        <v>0</v>
      </c>
      <c r="S1607" s="99">
        <f>SUMIF(Import!$B:$B,$A1607,Import!M:M)</f>
        <v>0</v>
      </c>
      <c r="T1607" s="99">
        <f>SUMIF(Import!$B:$B,$A1607,Import!N:N)</f>
        <v>0</v>
      </c>
      <c r="U1607" s="99">
        <f t="shared" si="2040"/>
        <v>0</v>
      </c>
      <c r="V1607" s="255" t="str">
        <f t="shared" si="2041"/>
        <v>N/A</v>
      </c>
      <c r="W1607" s="102" t="s">
        <v>2957</v>
      </c>
      <c r="X1607" s="102"/>
      <c r="Y1607" s="102"/>
      <c r="Z1607" s="200"/>
      <c r="AA1607" s="615"/>
      <c r="AB1607" s="631"/>
      <c r="AC1607" s="631"/>
      <c r="AD1607" s="631"/>
      <c r="AE1607" s="631"/>
      <c r="AF1607" s="631"/>
      <c r="AG1607" s="631"/>
      <c r="AH1607" s="631"/>
      <c r="AI1607" s="631"/>
      <c r="AJ1607" s="631"/>
      <c r="AK1607" s="631"/>
      <c r="AL1607" s="631"/>
      <c r="AM1607" s="631"/>
      <c r="AN1607" s="631"/>
      <c r="AO1607" s="97"/>
      <c r="AP1607" s="97"/>
      <c r="AQ1607" s="97"/>
      <c r="AR1607" s="70"/>
      <c r="AS1607" s="70"/>
      <c r="AT1607" s="70"/>
      <c r="AU1607" s="70"/>
      <c r="AV1607" s="70"/>
      <c r="AW1607" s="70"/>
      <c r="AX1607" s="70"/>
      <c r="AY1607" s="70"/>
      <c r="AZ1607" s="70"/>
      <c r="BA1607" s="70"/>
      <c r="BB1607" s="70"/>
      <c r="BC1607" s="70"/>
      <c r="BD1607" s="70"/>
      <c r="BE1607" s="70"/>
      <c r="BF1607" s="70"/>
    </row>
    <row r="1608" spans="1:58" s="71" customFormat="1" ht="15" customHeight="1">
      <c r="A1608" s="555" t="s">
        <v>2958</v>
      </c>
      <c r="B1608" s="217" t="str">
        <f t="shared" si="1986"/>
        <v>100</v>
      </c>
      <c r="C1608" s="217" t="str">
        <f t="shared" si="1987"/>
        <v>63</v>
      </c>
      <c r="D1608" s="101" t="str">
        <f t="shared" si="1988"/>
        <v>632</v>
      </c>
      <c r="E1608" s="217" t="str">
        <f t="shared" si="1989"/>
        <v>100-63-632</v>
      </c>
      <c r="F1608" s="294" t="str">
        <f t="shared" si="1990"/>
        <v>50610</v>
      </c>
      <c r="G1608" s="295" t="str">
        <f>VLOOKUP(F1608,'GL Category'!A:C,3,FALSE)</f>
        <v>Personnel services</v>
      </c>
      <c r="H1608" s="98" t="str">
        <f>VLOOKUP(F1608,'GL Category'!A:C,2,FALSE)</f>
        <v>SOCIAL SECURITY</v>
      </c>
      <c r="I1608" s="99">
        <f>SUMIF(Import!$B:$B,$A1608,Import!D:D)</f>
        <v>29093.84</v>
      </c>
      <c r="J1608" s="99">
        <f>SUMIF(Import!$B:$B,$A1608,Import!E:E)</f>
        <v>25368.26</v>
      </c>
      <c r="K1608" s="99">
        <f>SUMIF(Import!$B:$B,$A1608,Import!F:F)</f>
        <v>26035.72</v>
      </c>
      <c r="L1608" s="99">
        <f>SUMIF(Import!$B:$B,$A1608,Import!G:G)</f>
        <v>31596.78</v>
      </c>
      <c r="M1608" s="99">
        <f>SUMIF(Import!$B:$B,$A1608,Import!H:H)</f>
        <v>33395</v>
      </c>
      <c r="N1608" s="99">
        <f>SUMIF(Import!$B:$B,$A1608,Import!I:I)</f>
        <v>25525.17</v>
      </c>
      <c r="O1608" s="99">
        <f>SUMIF(Import!$B:$B,$A1608,Import!J:J)</f>
        <v>33717</v>
      </c>
      <c r="P1608" s="99">
        <f t="shared" si="2039"/>
        <v>322</v>
      </c>
      <c r="Q1608" s="99">
        <f>SUMIF(Import!$B:$B,$A1608,Import!K:K)</f>
        <v>34571</v>
      </c>
      <c r="R1608" s="99">
        <f>SUMIF(Import!$B:$B,$A1608,Import!L:L)</f>
        <v>0</v>
      </c>
      <c r="S1608" s="99">
        <f>SUMIF(Import!$B:$B,$A1608,Import!M:M)</f>
        <v>0</v>
      </c>
      <c r="T1608" s="99">
        <f>SUMIF(Import!$B:$B,$A1608,Import!N:N)</f>
        <v>34571</v>
      </c>
      <c r="U1608" s="99">
        <f t="shared" si="2040"/>
        <v>1176</v>
      </c>
      <c r="V1608" s="255">
        <f t="shared" si="2041"/>
        <v>3.5214852522832851E-2</v>
      </c>
      <c r="W1608" s="102" t="s">
        <v>2958</v>
      </c>
      <c r="X1608" s="102"/>
      <c r="Y1608" s="102"/>
      <c r="Z1608" s="200"/>
      <c r="AA1608" s="615"/>
      <c r="AB1608" s="631"/>
      <c r="AC1608" s="631"/>
      <c r="AD1608" s="631"/>
      <c r="AE1608" s="631"/>
      <c r="AF1608" s="631"/>
      <c r="AG1608" s="631"/>
      <c r="AH1608" s="631"/>
      <c r="AI1608" s="631"/>
      <c r="AJ1608" s="631"/>
      <c r="AK1608" s="631"/>
      <c r="AL1608" s="631"/>
      <c r="AM1608" s="631"/>
      <c r="AN1608" s="631"/>
      <c r="AO1608" s="97"/>
      <c r="AP1608" s="97"/>
      <c r="AQ1608" s="97"/>
      <c r="AR1608" s="70"/>
      <c r="AS1608" s="70"/>
      <c r="AT1608" s="70"/>
      <c r="AU1608" s="70"/>
      <c r="AV1608" s="70"/>
      <c r="AW1608" s="70"/>
      <c r="AX1608" s="70"/>
      <c r="AY1608" s="70"/>
      <c r="AZ1608" s="70"/>
      <c r="BA1608" s="70"/>
      <c r="BB1608" s="70"/>
      <c r="BC1608" s="70"/>
      <c r="BD1608" s="70"/>
      <c r="BE1608" s="70"/>
      <c r="BF1608" s="70"/>
    </row>
    <row r="1609" spans="1:58" s="71" customFormat="1" ht="15" customHeight="1">
      <c r="A1609" s="555" t="s">
        <v>2959</v>
      </c>
      <c r="B1609" s="217" t="str">
        <f t="shared" si="1986"/>
        <v>100</v>
      </c>
      <c r="C1609" s="217" t="str">
        <f t="shared" si="1987"/>
        <v>63</v>
      </c>
      <c r="D1609" s="101" t="str">
        <f t="shared" si="1988"/>
        <v>632</v>
      </c>
      <c r="E1609" s="217" t="str">
        <f t="shared" si="1989"/>
        <v>100-63-632</v>
      </c>
      <c r="F1609" s="294" t="str">
        <f t="shared" si="1990"/>
        <v>50620</v>
      </c>
      <c r="G1609" s="295" t="str">
        <f>VLOOKUP(F1609,'GL Category'!A:C,3,FALSE)</f>
        <v>Personnel services</v>
      </c>
      <c r="H1609" s="98" t="str">
        <f>VLOOKUP(F1609,'GL Category'!A:C,2,FALSE)</f>
        <v>HEALTH/LIFE INSURANCE</v>
      </c>
      <c r="I1609" s="99">
        <f>SUMIF(Import!$B:$B,$A1609,Import!D:D)</f>
        <v>73918.429999999993</v>
      </c>
      <c r="J1609" s="99">
        <f>SUMIF(Import!$B:$B,$A1609,Import!E:E)</f>
        <v>64811.01</v>
      </c>
      <c r="K1609" s="99">
        <f>SUMIF(Import!$B:$B,$A1609,Import!F:F)</f>
        <v>75494.509999999995</v>
      </c>
      <c r="L1609" s="99">
        <f>SUMIF(Import!$B:$B,$A1609,Import!G:G)</f>
        <v>80643.28</v>
      </c>
      <c r="M1609" s="99">
        <f>SUMIF(Import!$B:$B,$A1609,Import!H:H)</f>
        <v>80706</v>
      </c>
      <c r="N1609" s="99">
        <f>SUMIF(Import!$B:$B,$A1609,Import!I:I)</f>
        <v>66760.38</v>
      </c>
      <c r="O1609" s="99">
        <f>SUMIF(Import!$B:$B,$A1609,Import!J:J)</f>
        <v>93083</v>
      </c>
      <c r="P1609" s="99">
        <f t="shared" si="2039"/>
        <v>12377</v>
      </c>
      <c r="Q1609" s="99">
        <f>SUMIF(Import!$B:$B,$A1609,Import!K:K)</f>
        <v>90311</v>
      </c>
      <c r="R1609" s="99">
        <f>SUMIF(Import!$B:$B,$A1609,Import!L:L)</f>
        <v>0</v>
      </c>
      <c r="S1609" s="99">
        <f>SUMIF(Import!$B:$B,$A1609,Import!M:M)</f>
        <v>0</v>
      </c>
      <c r="T1609" s="99">
        <f>SUMIF(Import!$B:$B,$A1609,Import!N:N)</f>
        <v>90311</v>
      </c>
      <c r="U1609" s="99">
        <f t="shared" si="2040"/>
        <v>9605</v>
      </c>
      <c r="V1609" s="255">
        <f t="shared" si="2041"/>
        <v>0.11901221718335697</v>
      </c>
      <c r="W1609" s="102" t="s">
        <v>2959</v>
      </c>
      <c r="X1609" s="102"/>
      <c r="Y1609" s="102"/>
      <c r="Z1609" s="200"/>
      <c r="AA1609" s="615"/>
      <c r="AB1609" s="631"/>
      <c r="AC1609" s="631"/>
      <c r="AD1609" s="631"/>
      <c r="AE1609" s="631"/>
      <c r="AF1609" s="631"/>
      <c r="AG1609" s="631"/>
      <c r="AH1609" s="631"/>
      <c r="AI1609" s="631"/>
      <c r="AJ1609" s="631"/>
      <c r="AK1609" s="631"/>
      <c r="AL1609" s="631"/>
      <c r="AM1609" s="631"/>
      <c r="AN1609" s="631"/>
      <c r="AO1609" s="97"/>
      <c r="AP1609" s="97"/>
      <c r="AQ1609" s="97"/>
      <c r="AR1609" s="70"/>
      <c r="AS1609" s="70"/>
      <c r="AT1609" s="70"/>
      <c r="AU1609" s="70"/>
      <c r="AV1609" s="70"/>
      <c r="AW1609" s="70"/>
      <c r="AX1609" s="70"/>
      <c r="AY1609" s="70"/>
      <c r="AZ1609" s="70"/>
      <c r="BA1609" s="70"/>
      <c r="BB1609" s="70"/>
      <c r="BC1609" s="70"/>
      <c r="BD1609" s="70"/>
      <c r="BE1609" s="70"/>
      <c r="BF1609" s="70"/>
    </row>
    <row r="1610" spans="1:58" s="71" customFormat="1" ht="15" customHeight="1">
      <c r="A1610" s="555" t="s">
        <v>2960</v>
      </c>
      <c r="B1610" s="217" t="str">
        <f t="shared" si="1986"/>
        <v>100</v>
      </c>
      <c r="C1610" s="217" t="str">
        <f t="shared" si="1987"/>
        <v>63</v>
      </c>
      <c r="D1610" s="101" t="str">
        <f t="shared" si="1988"/>
        <v>632</v>
      </c>
      <c r="E1610" s="217" t="str">
        <f t="shared" si="1989"/>
        <v>100-63-632</v>
      </c>
      <c r="F1610" s="294" t="str">
        <f t="shared" si="1990"/>
        <v>50630</v>
      </c>
      <c r="G1610" s="295" t="str">
        <f>VLOOKUP(F1610,'GL Category'!A:C,3,FALSE)</f>
        <v>Personnel services</v>
      </c>
      <c r="H1610" s="98" t="str">
        <f>VLOOKUP(F1610,'GL Category'!A:C,2,FALSE)</f>
        <v>WORKER COMPENSATION</v>
      </c>
      <c r="I1610" s="99">
        <f>SUMIF(Import!$B:$B,$A1610,Import!D:D)</f>
        <v>2973.96</v>
      </c>
      <c r="J1610" s="99">
        <f>SUMIF(Import!$B:$B,$A1610,Import!E:E)</f>
        <v>2099.11</v>
      </c>
      <c r="K1610" s="99">
        <f>SUMIF(Import!$B:$B,$A1610,Import!F:F)</f>
        <v>2272.71</v>
      </c>
      <c r="L1610" s="99">
        <f>SUMIF(Import!$B:$B,$A1610,Import!G:G)</f>
        <v>4139.25</v>
      </c>
      <c r="M1610" s="99">
        <f>SUMIF(Import!$B:$B,$A1610,Import!H:H)</f>
        <v>5467</v>
      </c>
      <c r="N1610" s="99">
        <f>SUMIF(Import!$B:$B,$A1610,Import!I:I)</f>
        <v>5462.53</v>
      </c>
      <c r="O1610" s="99">
        <f>SUMIF(Import!$B:$B,$A1610,Import!J:J)</f>
        <v>5463</v>
      </c>
      <c r="P1610" s="99">
        <f t="shared" si="2039"/>
        <v>-4</v>
      </c>
      <c r="Q1610" s="99">
        <f>SUMIF(Import!$B:$B,$A1610,Import!K:K)</f>
        <v>5185</v>
      </c>
      <c r="R1610" s="99">
        <f>SUMIF(Import!$B:$B,$A1610,Import!L:L)</f>
        <v>0</v>
      </c>
      <c r="S1610" s="99">
        <f>SUMIF(Import!$B:$B,$A1610,Import!M:M)</f>
        <v>0</v>
      </c>
      <c r="T1610" s="99">
        <f>SUMIF(Import!$B:$B,$A1610,Import!N:N)</f>
        <v>5185</v>
      </c>
      <c r="U1610" s="99">
        <f t="shared" si="2040"/>
        <v>-282</v>
      </c>
      <c r="V1610" s="255">
        <f t="shared" si="2041"/>
        <v>-5.1582220596305128E-2</v>
      </c>
      <c r="W1610" s="102" t="s">
        <v>2960</v>
      </c>
      <c r="X1610" s="102"/>
      <c r="Y1610" s="102"/>
      <c r="Z1610" s="200"/>
      <c r="AA1610" s="615"/>
      <c r="AB1610" s="631"/>
      <c r="AC1610" s="631"/>
      <c r="AD1610" s="631"/>
      <c r="AE1610" s="631"/>
      <c r="AF1610" s="631"/>
      <c r="AG1610" s="631"/>
      <c r="AH1610" s="631"/>
      <c r="AI1610" s="631"/>
      <c r="AJ1610" s="631"/>
      <c r="AK1610" s="631"/>
      <c r="AL1610" s="631"/>
      <c r="AM1610" s="631"/>
      <c r="AN1610" s="631"/>
      <c r="AO1610" s="97"/>
      <c r="AP1610" s="97"/>
      <c r="AQ1610" s="97"/>
      <c r="AR1610" s="70"/>
      <c r="AS1610" s="70"/>
      <c r="AT1610" s="70"/>
      <c r="AU1610" s="70"/>
      <c r="AV1610" s="70"/>
      <c r="AW1610" s="70"/>
      <c r="AX1610" s="70"/>
      <c r="AY1610" s="70"/>
      <c r="AZ1610" s="70"/>
      <c r="BA1610" s="70"/>
      <c r="BB1610" s="70"/>
      <c r="BC1610" s="70"/>
      <c r="BD1610" s="70"/>
      <c r="BE1610" s="70"/>
      <c r="BF1610" s="70"/>
    </row>
    <row r="1611" spans="1:58" s="71" customFormat="1" ht="15" customHeight="1">
      <c r="A1611" s="555" t="s">
        <v>2961</v>
      </c>
      <c r="B1611" s="217" t="str">
        <f t="shared" si="1986"/>
        <v>100</v>
      </c>
      <c r="C1611" s="217" t="str">
        <f t="shared" si="1987"/>
        <v>63</v>
      </c>
      <c r="D1611" s="101" t="str">
        <f t="shared" si="1988"/>
        <v>632</v>
      </c>
      <c r="E1611" s="217" t="str">
        <f t="shared" si="1989"/>
        <v>100-63-632</v>
      </c>
      <c r="F1611" s="294" t="str">
        <f t="shared" si="1990"/>
        <v>50650</v>
      </c>
      <c r="G1611" s="295" t="str">
        <f>VLOOKUP(F1611,'GL Category'!A:C,3,FALSE)</f>
        <v>Personnel services</v>
      </c>
      <c r="H1611" s="98" t="str">
        <f>VLOOKUP(F1611,'GL Category'!A:C,2,FALSE)</f>
        <v>RETIREMENT</v>
      </c>
      <c r="I1611" s="99">
        <f>SUMIF(Import!$B:$B,$A1611,Import!D:D)</f>
        <v>61924.800000000003</v>
      </c>
      <c r="J1611" s="99">
        <f>SUMIF(Import!$B:$B,$A1611,Import!E:E)</f>
        <v>54522.43</v>
      </c>
      <c r="K1611" s="99">
        <f>SUMIF(Import!$B:$B,$A1611,Import!F:F)</f>
        <v>56450.59</v>
      </c>
      <c r="L1611" s="99">
        <f>SUMIF(Import!$B:$B,$A1611,Import!G:G)</f>
        <v>68004.83</v>
      </c>
      <c r="M1611" s="99">
        <f>SUMIF(Import!$B:$B,$A1611,Import!H:H)</f>
        <v>72057</v>
      </c>
      <c r="N1611" s="99">
        <f>SUMIF(Import!$B:$B,$A1611,Import!I:I)</f>
        <v>56442.78</v>
      </c>
      <c r="O1611" s="99">
        <f>SUMIF(Import!$B:$B,$A1611,Import!J:J)</f>
        <v>74011</v>
      </c>
      <c r="P1611" s="99">
        <f t="shared" si="2039"/>
        <v>1954</v>
      </c>
      <c r="Q1611" s="99">
        <f>SUMIF(Import!$B:$B,$A1611,Import!K:K)</f>
        <v>76431</v>
      </c>
      <c r="R1611" s="99">
        <f>SUMIF(Import!$B:$B,$A1611,Import!L:L)</f>
        <v>0</v>
      </c>
      <c r="S1611" s="99">
        <f>SUMIF(Import!$B:$B,$A1611,Import!M:M)</f>
        <v>0</v>
      </c>
      <c r="T1611" s="99">
        <f>SUMIF(Import!$B:$B,$A1611,Import!N:N)</f>
        <v>76431</v>
      </c>
      <c r="U1611" s="99">
        <f t="shared" si="2040"/>
        <v>4374</v>
      </c>
      <c r="V1611" s="255">
        <f t="shared" si="2041"/>
        <v>6.0701944294100585E-2</v>
      </c>
      <c r="W1611" s="102" t="s">
        <v>2961</v>
      </c>
      <c r="X1611" s="102"/>
      <c r="Y1611" s="102"/>
      <c r="Z1611" s="200"/>
      <c r="AA1611" s="615"/>
      <c r="AB1611" s="631"/>
      <c r="AC1611" s="631"/>
      <c r="AD1611" s="631"/>
      <c r="AE1611" s="631"/>
      <c r="AF1611" s="631"/>
      <c r="AG1611" s="631"/>
      <c r="AH1611" s="631"/>
      <c r="AI1611" s="631"/>
      <c r="AJ1611" s="631"/>
      <c r="AK1611" s="631"/>
      <c r="AL1611" s="631"/>
      <c r="AM1611" s="631"/>
      <c r="AN1611" s="631"/>
      <c r="AO1611" s="97"/>
      <c r="AP1611" s="97"/>
      <c r="AQ1611" s="97"/>
      <c r="AR1611" s="70"/>
      <c r="AS1611" s="70"/>
      <c r="AT1611" s="70"/>
      <c r="AU1611" s="70"/>
      <c r="AV1611" s="70"/>
      <c r="AW1611" s="70"/>
      <c r="AX1611" s="70"/>
      <c r="AY1611" s="70"/>
      <c r="AZ1611" s="70"/>
      <c r="BA1611" s="70"/>
      <c r="BB1611" s="70"/>
      <c r="BC1611" s="70"/>
      <c r="BD1611" s="70"/>
      <c r="BE1611" s="70"/>
      <c r="BF1611" s="70"/>
    </row>
    <row r="1612" spans="1:58" s="71" customFormat="1" ht="15" customHeight="1">
      <c r="A1612" s="555"/>
      <c r="B1612" s="217"/>
      <c r="C1612" s="217"/>
      <c r="D1612" s="101"/>
      <c r="E1612" s="217"/>
      <c r="F1612" s="294"/>
      <c r="G1612" s="295"/>
      <c r="H1612" s="107" t="str">
        <f>UPPER(G1611)&amp;" TOTAL"</f>
        <v>PERSONNEL SERVICES TOTAL</v>
      </c>
      <c r="I1612" s="108">
        <f t="shared" ref="I1612" si="2042">SUBTOTAL(9,I1602:I1611)</f>
        <v>558338.21000000008</v>
      </c>
      <c r="J1612" s="108">
        <f t="shared" ref="J1612:P1612" si="2043">SUBTOTAL(9,J1602:J1611)</f>
        <v>484249.43</v>
      </c>
      <c r="K1612" s="108">
        <f t="shared" ref="K1612" si="2044">SUBTOTAL(9,K1602:K1611)</f>
        <v>506430.88</v>
      </c>
      <c r="L1612" s="108">
        <f t="shared" ref="L1612" si="2045">SUBTOTAL(9,L1602:L1611)</f>
        <v>603568.98</v>
      </c>
      <c r="M1612" s="108">
        <f t="shared" si="2043"/>
        <v>625012</v>
      </c>
      <c r="N1612" s="109">
        <f t="shared" ref="N1612" si="2046">SUBTOTAL(9,N1602:N1611)</f>
        <v>497533.22</v>
      </c>
      <c r="O1612" s="109">
        <f t="shared" si="2043"/>
        <v>657841</v>
      </c>
      <c r="P1612" s="109">
        <f t="shared" si="2043"/>
        <v>32829</v>
      </c>
      <c r="Q1612" s="109">
        <f t="shared" ref="Q1612:T1612" si="2047">SUBTOTAL(9,Q1602:Q1611)</f>
        <v>655419</v>
      </c>
      <c r="R1612" s="109">
        <f t="shared" si="2047"/>
        <v>0</v>
      </c>
      <c r="S1612" s="109">
        <f t="shared" si="2047"/>
        <v>0</v>
      </c>
      <c r="T1612" s="109">
        <f t="shared" si="2047"/>
        <v>655419</v>
      </c>
      <c r="U1612" s="99">
        <f>T1612-M1612</f>
        <v>30407</v>
      </c>
      <c r="V1612" s="255">
        <f>IF(M1612=0,"N/A",T1612/M1612-1)</f>
        <v>4.8650265914894408E-2</v>
      </c>
      <c r="W1612" s="102"/>
      <c r="X1612" s="102"/>
      <c r="Y1612" s="102"/>
      <c r="Z1612" s="200"/>
      <c r="AA1612" s="615"/>
      <c r="AB1612" s="631"/>
      <c r="AC1612" s="631"/>
      <c r="AD1612" s="631"/>
      <c r="AE1612" s="631"/>
      <c r="AF1612" s="631"/>
      <c r="AG1612" s="631"/>
      <c r="AH1612" s="631"/>
      <c r="AI1612" s="631"/>
      <c r="AJ1612" s="631"/>
      <c r="AK1612" s="631"/>
      <c r="AL1612" s="631"/>
      <c r="AM1612" s="631"/>
      <c r="AN1612" s="631"/>
      <c r="AO1612" s="97"/>
      <c r="AP1612" s="97"/>
      <c r="AQ1612" s="97"/>
      <c r="AR1612" s="70"/>
      <c r="AS1612" s="70"/>
      <c r="AT1612" s="70"/>
      <c r="AU1612" s="70"/>
      <c r="AV1612" s="70"/>
      <c r="AW1612" s="70"/>
      <c r="AX1612" s="70"/>
      <c r="AY1612" s="70"/>
      <c r="AZ1612" s="70"/>
      <c r="BA1612" s="70"/>
      <c r="BB1612" s="70"/>
      <c r="BC1612" s="70"/>
      <c r="BD1612" s="70"/>
      <c r="BE1612" s="70"/>
      <c r="BF1612" s="70"/>
    </row>
    <row r="1613" spans="1:58" s="71" customFormat="1" ht="15" customHeight="1">
      <c r="A1613" s="555"/>
      <c r="B1613" s="217"/>
      <c r="C1613" s="217"/>
      <c r="D1613" s="101"/>
      <c r="E1613" s="217"/>
      <c r="F1613" s="294"/>
      <c r="G1613" s="295"/>
      <c r="H1613" s="98"/>
      <c r="I1613" s="106"/>
      <c r="J1613" s="106"/>
      <c r="K1613" s="106"/>
      <c r="L1613" s="106"/>
      <c r="M1613" s="106"/>
      <c r="N1613" s="112"/>
      <c r="O1613" s="112"/>
      <c r="P1613" s="112"/>
      <c r="Q1613" s="113"/>
      <c r="R1613" s="113"/>
      <c r="S1613" s="113"/>
      <c r="T1613" s="113"/>
      <c r="U1613" s="99"/>
      <c r="V1613" s="255"/>
      <c r="W1613" s="102"/>
      <c r="X1613" s="102"/>
      <c r="Y1613" s="102"/>
      <c r="Z1613" s="200"/>
      <c r="AA1613" s="615"/>
      <c r="AB1613" s="631"/>
      <c r="AC1613" s="631"/>
      <c r="AD1613" s="631"/>
      <c r="AE1613" s="631"/>
      <c r="AF1613" s="631"/>
      <c r="AG1613" s="631"/>
      <c r="AH1613" s="631"/>
      <c r="AI1613" s="631"/>
      <c r="AJ1613" s="631"/>
      <c r="AK1613" s="631"/>
      <c r="AL1613" s="631"/>
      <c r="AM1613" s="631"/>
      <c r="AN1613" s="631"/>
      <c r="AO1613" s="97"/>
      <c r="AP1613" s="97"/>
      <c r="AQ1613" s="97"/>
      <c r="AR1613" s="70"/>
      <c r="AS1613" s="70"/>
      <c r="AT1613" s="70"/>
      <c r="AU1613" s="70"/>
      <c r="AV1613" s="70"/>
      <c r="AW1613" s="70"/>
      <c r="AX1613" s="70"/>
      <c r="AY1613" s="70"/>
      <c r="AZ1613" s="70"/>
      <c r="BA1613" s="70"/>
      <c r="BB1613" s="70"/>
      <c r="BC1613" s="70"/>
      <c r="BD1613" s="70"/>
      <c r="BE1613" s="70"/>
      <c r="BF1613" s="70"/>
    </row>
    <row r="1614" spans="1:58" s="71" customFormat="1" ht="15" customHeight="1">
      <c r="A1614" s="555" t="s">
        <v>2962</v>
      </c>
      <c r="B1614" s="217" t="str">
        <f t="shared" si="1986"/>
        <v>100</v>
      </c>
      <c r="C1614" s="217" t="str">
        <f t="shared" si="1987"/>
        <v>63</v>
      </c>
      <c r="D1614" s="101" t="str">
        <f t="shared" si="1988"/>
        <v>632</v>
      </c>
      <c r="E1614" s="217" t="str">
        <f t="shared" si="1989"/>
        <v>100-63-632</v>
      </c>
      <c r="F1614" s="294" t="str">
        <f t="shared" si="1990"/>
        <v>51210</v>
      </c>
      <c r="G1614" s="295" t="str">
        <f>VLOOKUP(F1614,'GL Category'!A:C,3,FALSE)</f>
        <v>Operations &amp; maintenance</v>
      </c>
      <c r="H1614" s="98" t="str">
        <f>VLOOKUP(F1614,'GL Category'!A:C,2,FALSE)</f>
        <v>OFFICE SUPPLIES</v>
      </c>
      <c r="I1614" s="99">
        <f>SUMIF(Import!$B:$B,$A1614,Import!D:D)</f>
        <v>0</v>
      </c>
      <c r="J1614" s="99">
        <f>SUMIF(Import!$B:$B,$A1614,Import!E:E)</f>
        <v>0</v>
      </c>
      <c r="K1614" s="99">
        <f>SUMIF(Import!$B:$B,$A1614,Import!F:F)</f>
        <v>0</v>
      </c>
      <c r="L1614" s="99">
        <f>SUMIF(Import!$B:$B,$A1614,Import!G:G)</f>
        <v>0</v>
      </c>
      <c r="M1614" s="99">
        <f>SUMIF(Import!$B:$B,$A1614,Import!H:H)</f>
        <v>0</v>
      </c>
      <c r="N1614" s="99">
        <f>SUMIF(Import!$B:$B,$A1614,Import!I:I)</f>
        <v>0</v>
      </c>
      <c r="O1614" s="99">
        <f>SUMIF(Import!$B:$B,$A1614,Import!J:J)</f>
        <v>0</v>
      </c>
      <c r="P1614" s="99">
        <f t="shared" ref="P1614:P1628" si="2048">O1614-M1614</f>
        <v>0</v>
      </c>
      <c r="Q1614" s="99">
        <f>SUMIF(Import!$B:$B,$A1614,Import!K:K)</f>
        <v>0</v>
      </c>
      <c r="R1614" s="99">
        <f>SUMIF(Import!$B:$B,$A1614,Import!L:L)</f>
        <v>0</v>
      </c>
      <c r="S1614" s="99">
        <f>SUMIF(Import!$B:$B,$A1614,Import!M:M)</f>
        <v>0</v>
      </c>
      <c r="T1614" s="99">
        <f>SUMIF(Import!$B:$B,$A1614,Import!N:N)</f>
        <v>0</v>
      </c>
      <c r="U1614" s="99">
        <f t="shared" ref="U1614:U1628" si="2049">T1614-M1614</f>
        <v>0</v>
      </c>
      <c r="V1614" s="255" t="str">
        <f t="shared" ref="V1614:V1628" si="2050">IF(M1614=0,"N/A",T1614/M1614-1)</f>
        <v>N/A</v>
      </c>
      <c r="W1614" s="102" t="s">
        <v>2962</v>
      </c>
      <c r="X1614" s="102"/>
      <c r="Y1614" s="102"/>
      <c r="Z1614" s="200"/>
      <c r="AA1614" s="615"/>
      <c r="AB1614" s="631"/>
      <c r="AC1614" s="631"/>
      <c r="AD1614" s="631"/>
      <c r="AE1614" s="631"/>
      <c r="AF1614" s="631"/>
      <c r="AG1614" s="631"/>
      <c r="AH1614" s="631"/>
      <c r="AI1614" s="631"/>
      <c r="AJ1614" s="631"/>
      <c r="AK1614" s="631"/>
      <c r="AL1614" s="631"/>
      <c r="AM1614" s="631"/>
      <c r="AN1614" s="631"/>
      <c r="AO1614" s="97"/>
      <c r="AP1614" s="97"/>
      <c r="AQ1614" s="97"/>
      <c r="AR1614" s="70"/>
      <c r="AS1614" s="70"/>
      <c r="AT1614" s="70"/>
      <c r="AU1614" s="70"/>
      <c r="AV1614" s="70"/>
      <c r="AW1614" s="70"/>
      <c r="AX1614" s="70"/>
      <c r="AY1614" s="70"/>
      <c r="AZ1614" s="70"/>
      <c r="BA1614" s="70"/>
      <c r="BB1614" s="70"/>
      <c r="BC1614" s="70"/>
      <c r="BD1614" s="70"/>
      <c r="BE1614" s="70"/>
      <c r="BF1614" s="70"/>
    </row>
    <row r="1615" spans="1:58" s="71" customFormat="1" ht="15" customHeight="1">
      <c r="A1615" s="555" t="s">
        <v>2963</v>
      </c>
      <c r="B1615" s="217" t="str">
        <f t="shared" si="1986"/>
        <v>100</v>
      </c>
      <c r="C1615" s="217" t="str">
        <f t="shared" si="1987"/>
        <v>63</v>
      </c>
      <c r="D1615" s="101" t="str">
        <f t="shared" si="1988"/>
        <v>632</v>
      </c>
      <c r="E1615" s="217" t="str">
        <f t="shared" si="1989"/>
        <v>100-63-632</v>
      </c>
      <c r="F1615" s="294" t="str">
        <f t="shared" si="1990"/>
        <v>51221</v>
      </c>
      <c r="G1615" s="295" t="str">
        <f>VLOOKUP(F1615,'GL Category'!A:C,3,FALSE)</f>
        <v>Operations &amp; maintenance</v>
      </c>
      <c r="H1615" s="98" t="str">
        <f>VLOOKUP(F1615,'GL Category'!A:C,2,FALSE)</f>
        <v>BOTANICAL/AGRICULTURAL SUPPLY</v>
      </c>
      <c r="I1615" s="99">
        <f>SUMIF(Import!$B:$B,$A1615,Import!D:D)</f>
        <v>0</v>
      </c>
      <c r="J1615" s="99">
        <f>SUMIF(Import!$B:$B,$A1615,Import!E:E)</f>
        <v>11586.71</v>
      </c>
      <c r="K1615" s="99">
        <f>SUMIF(Import!$B:$B,$A1615,Import!F:F)</f>
        <v>2360.2600000000002</v>
      </c>
      <c r="L1615" s="99">
        <f>SUMIF(Import!$B:$B,$A1615,Import!G:G)</f>
        <v>0</v>
      </c>
      <c r="M1615" s="99">
        <f>SUMIF(Import!$B:$B,$A1615,Import!H:H)</f>
        <v>0</v>
      </c>
      <c r="N1615" s="99">
        <f>SUMIF(Import!$B:$B,$A1615,Import!I:I)</f>
        <v>0</v>
      </c>
      <c r="O1615" s="99">
        <f>SUMIF(Import!$B:$B,$A1615,Import!J:J)</f>
        <v>0</v>
      </c>
      <c r="P1615" s="99">
        <f t="shared" si="2048"/>
        <v>0</v>
      </c>
      <c r="Q1615" s="99">
        <f>SUMIF(Import!$B:$B,$A1615,Import!K:K)</f>
        <v>0</v>
      </c>
      <c r="R1615" s="99">
        <f>SUMIF(Import!$B:$B,$A1615,Import!L:L)</f>
        <v>0</v>
      </c>
      <c r="S1615" s="99">
        <f>SUMIF(Import!$B:$B,$A1615,Import!M:M)</f>
        <v>0</v>
      </c>
      <c r="T1615" s="99">
        <f>SUMIF(Import!$B:$B,$A1615,Import!N:N)</f>
        <v>0</v>
      </c>
      <c r="U1615" s="99">
        <f t="shared" si="2049"/>
        <v>0</v>
      </c>
      <c r="V1615" s="255" t="str">
        <f t="shared" si="2050"/>
        <v>N/A</v>
      </c>
      <c r="W1615" s="102" t="s">
        <v>2963</v>
      </c>
      <c r="X1615" s="102"/>
      <c r="Y1615" s="102"/>
      <c r="Z1615" s="200"/>
      <c r="AA1615" s="615"/>
      <c r="AB1615" s="631"/>
      <c r="AC1615" s="631"/>
      <c r="AD1615" s="631"/>
      <c r="AE1615" s="631"/>
      <c r="AF1615" s="631"/>
      <c r="AG1615" s="631"/>
      <c r="AH1615" s="631"/>
      <c r="AI1615" s="631"/>
      <c r="AJ1615" s="631"/>
      <c r="AK1615" s="631"/>
      <c r="AL1615" s="631"/>
      <c r="AM1615" s="631"/>
      <c r="AN1615" s="631"/>
      <c r="AO1615" s="97"/>
      <c r="AP1615" s="97"/>
      <c r="AQ1615" s="97"/>
      <c r="AR1615" s="70"/>
      <c r="AS1615" s="70"/>
      <c r="AT1615" s="70"/>
      <c r="AU1615" s="70"/>
      <c r="AV1615" s="70"/>
      <c r="AW1615" s="70"/>
      <c r="AX1615" s="70"/>
      <c r="AY1615" s="70"/>
      <c r="AZ1615" s="70"/>
      <c r="BA1615" s="70"/>
      <c r="BB1615" s="70"/>
      <c r="BC1615" s="70"/>
      <c r="BD1615" s="70"/>
      <c r="BE1615" s="70"/>
      <c r="BF1615" s="70"/>
    </row>
    <row r="1616" spans="1:58" s="71" customFormat="1" ht="15" customHeight="1">
      <c r="A1616" s="555" t="s">
        <v>2964</v>
      </c>
      <c r="B1616" s="217" t="str">
        <f t="shared" si="1986"/>
        <v>100</v>
      </c>
      <c r="C1616" s="217" t="str">
        <f t="shared" si="1987"/>
        <v>63</v>
      </c>
      <c r="D1616" s="101" t="str">
        <f t="shared" si="1988"/>
        <v>632</v>
      </c>
      <c r="E1616" s="217" t="str">
        <f t="shared" si="1989"/>
        <v>100-63-632</v>
      </c>
      <c r="F1616" s="294" t="str">
        <f t="shared" si="1990"/>
        <v>51225</v>
      </c>
      <c r="G1616" s="295" t="str">
        <f>VLOOKUP(F1616,'GL Category'!A:C,3,FALSE)</f>
        <v>Operations &amp; maintenance</v>
      </c>
      <c r="H1616" s="98" t="str">
        <f>VLOOKUP(F1616,'GL Category'!A:C,2,FALSE)</f>
        <v>JANITORIAL SUPPLIES</v>
      </c>
      <c r="I1616" s="99">
        <f>SUMIF(Import!$B:$B,$A1616,Import!D:D)</f>
        <v>8293.2999999999993</v>
      </c>
      <c r="J1616" s="99">
        <f>SUMIF(Import!$B:$B,$A1616,Import!E:E)</f>
        <v>11348.53</v>
      </c>
      <c r="K1616" s="99">
        <f>SUMIF(Import!$B:$B,$A1616,Import!F:F)</f>
        <v>12409.79</v>
      </c>
      <c r="L1616" s="99">
        <f>SUMIF(Import!$B:$B,$A1616,Import!G:G)</f>
        <v>12364.27</v>
      </c>
      <c r="M1616" s="99">
        <f>SUMIF(Import!$B:$B,$A1616,Import!H:H)</f>
        <v>12000</v>
      </c>
      <c r="N1616" s="99">
        <f>SUMIF(Import!$B:$B,$A1616,Import!I:I)</f>
        <v>7572.13</v>
      </c>
      <c r="O1616" s="99">
        <f>SUMIF(Import!$B:$B,$A1616,Import!J:J)</f>
        <v>12000</v>
      </c>
      <c r="P1616" s="99">
        <f t="shared" si="2048"/>
        <v>0</v>
      </c>
      <c r="Q1616" s="99">
        <f>SUMIF(Import!$B:$B,$A1616,Import!K:K)</f>
        <v>12000</v>
      </c>
      <c r="R1616" s="99">
        <f>SUMIF(Import!$B:$B,$A1616,Import!L:L)</f>
        <v>0</v>
      </c>
      <c r="S1616" s="99">
        <f>SUMIF(Import!$B:$B,$A1616,Import!M:M)</f>
        <v>0</v>
      </c>
      <c r="T1616" s="99">
        <f>SUMIF(Import!$B:$B,$A1616,Import!N:N)</f>
        <v>12000</v>
      </c>
      <c r="U1616" s="99">
        <f t="shared" si="2049"/>
        <v>0</v>
      </c>
      <c r="V1616" s="255">
        <f t="shared" si="2050"/>
        <v>0</v>
      </c>
      <c r="W1616" s="102" t="s">
        <v>2964</v>
      </c>
      <c r="X1616" s="102"/>
      <c r="Y1616" s="102"/>
      <c r="Z1616" s="200"/>
      <c r="AA1616" s="615"/>
      <c r="AB1616" s="631"/>
      <c r="AC1616" s="631"/>
      <c r="AD1616" s="631"/>
      <c r="AE1616" s="631"/>
      <c r="AF1616" s="631"/>
      <c r="AG1616" s="631"/>
      <c r="AH1616" s="631"/>
      <c r="AI1616" s="631"/>
      <c r="AJ1616" s="631"/>
      <c r="AK1616" s="631"/>
      <c r="AL1616" s="631"/>
      <c r="AM1616" s="631"/>
      <c r="AN1616" s="631"/>
      <c r="AO1616" s="97"/>
      <c r="AP1616" s="97"/>
      <c r="AQ1616" s="97"/>
      <c r="AR1616" s="70"/>
      <c r="AS1616" s="70"/>
      <c r="AT1616" s="70"/>
      <c r="AU1616" s="70"/>
      <c r="AV1616" s="70"/>
      <c r="AW1616" s="70"/>
      <c r="AX1616" s="70"/>
      <c r="AY1616" s="70"/>
      <c r="AZ1616" s="70"/>
      <c r="BA1616" s="70"/>
      <c r="BB1616" s="70"/>
      <c r="BC1616" s="70"/>
      <c r="BD1616" s="70"/>
      <c r="BE1616" s="70"/>
      <c r="BF1616" s="70"/>
    </row>
    <row r="1617" spans="1:58" s="71" customFormat="1" ht="15" customHeight="1">
      <c r="A1617" s="555" t="s">
        <v>2965</v>
      </c>
      <c r="B1617" s="217" t="str">
        <f t="shared" ref="B1617:B1673" si="2051">LEFT(A1617,3)</f>
        <v>100</v>
      </c>
      <c r="C1617" s="217" t="str">
        <f t="shared" ref="C1617:C1673" si="2052">MID(A1617,5,2)</f>
        <v>63</v>
      </c>
      <c r="D1617" s="101" t="str">
        <f t="shared" ref="D1617:D1673" si="2053">MID(A1617,8,3)</f>
        <v>632</v>
      </c>
      <c r="E1617" s="217" t="str">
        <f t="shared" ref="E1617:E1673" si="2054">LEFT(A1617,10)</f>
        <v>100-63-632</v>
      </c>
      <c r="F1617" s="294" t="str">
        <f t="shared" ref="F1617:F1673" si="2055">RIGHT(A1617,5)</f>
        <v>51245</v>
      </c>
      <c r="G1617" s="295" t="str">
        <f>VLOOKUP(F1617,'GL Category'!A:C,3,FALSE)</f>
        <v>Operations &amp; maintenance</v>
      </c>
      <c r="H1617" s="98" t="str">
        <f>VLOOKUP(F1617,'GL Category'!A:C,2,FALSE)</f>
        <v>SMALL TOOLS &amp; EQUIPMENT</v>
      </c>
      <c r="I1617" s="99">
        <f>SUMIF(Import!$B:$B,$A1617,Import!D:D)</f>
        <v>7370.99</v>
      </c>
      <c r="J1617" s="99">
        <f>SUMIF(Import!$B:$B,$A1617,Import!E:E)</f>
        <v>7315.37</v>
      </c>
      <c r="K1617" s="99">
        <f>SUMIF(Import!$B:$B,$A1617,Import!F:F)</f>
        <v>9341.44</v>
      </c>
      <c r="L1617" s="99">
        <f>SUMIF(Import!$B:$B,$A1617,Import!G:G)</f>
        <v>8700.7999999999993</v>
      </c>
      <c r="M1617" s="99">
        <f>SUMIF(Import!$B:$B,$A1617,Import!H:H)</f>
        <v>7500</v>
      </c>
      <c r="N1617" s="99">
        <f>SUMIF(Import!$B:$B,$A1617,Import!I:I)</f>
        <v>5838.72</v>
      </c>
      <c r="O1617" s="99">
        <f>SUMIF(Import!$B:$B,$A1617,Import!J:J)</f>
        <v>8000</v>
      </c>
      <c r="P1617" s="99">
        <f t="shared" si="2048"/>
        <v>500</v>
      </c>
      <c r="Q1617" s="99">
        <f>SUMIF(Import!$B:$B,$A1617,Import!K:K)</f>
        <v>8000</v>
      </c>
      <c r="R1617" s="99">
        <f>SUMIF(Import!$B:$B,$A1617,Import!L:L)</f>
        <v>0</v>
      </c>
      <c r="S1617" s="99">
        <f>SUMIF(Import!$B:$B,$A1617,Import!M:M)</f>
        <v>0</v>
      </c>
      <c r="T1617" s="99">
        <f>SUMIF(Import!$B:$B,$A1617,Import!N:N)</f>
        <v>8000</v>
      </c>
      <c r="U1617" s="99">
        <f t="shared" si="2049"/>
        <v>500</v>
      </c>
      <c r="V1617" s="255">
        <f t="shared" si="2050"/>
        <v>6.6666666666666652E-2</v>
      </c>
      <c r="W1617" s="102" t="s">
        <v>2965</v>
      </c>
      <c r="X1617" s="102"/>
      <c r="Y1617" s="102"/>
      <c r="Z1617" s="200"/>
      <c r="AA1617" s="615"/>
      <c r="AB1617" s="631"/>
      <c r="AC1617" s="631"/>
      <c r="AD1617" s="631"/>
      <c r="AE1617" s="631"/>
      <c r="AF1617" s="631"/>
      <c r="AG1617" s="631"/>
      <c r="AH1617" s="631"/>
      <c r="AI1617" s="631"/>
      <c r="AJ1617" s="631"/>
      <c r="AK1617" s="631"/>
      <c r="AL1617" s="631"/>
      <c r="AM1617" s="631"/>
      <c r="AN1617" s="631"/>
      <c r="AO1617" s="97"/>
      <c r="AP1617" s="97"/>
      <c r="AQ1617" s="97"/>
      <c r="AR1617" s="70"/>
      <c r="AS1617" s="70"/>
      <c r="AT1617" s="70"/>
      <c r="AU1617" s="70"/>
      <c r="AV1617" s="70"/>
      <c r="AW1617" s="70"/>
      <c r="AX1617" s="70"/>
      <c r="AY1617" s="70"/>
      <c r="AZ1617" s="70"/>
      <c r="BA1617" s="70"/>
      <c r="BB1617" s="70"/>
      <c r="BC1617" s="70"/>
      <c r="BD1617" s="70"/>
      <c r="BE1617" s="70"/>
      <c r="BF1617" s="70"/>
    </row>
    <row r="1618" spans="1:58" s="71" customFormat="1" ht="15" customHeight="1">
      <c r="A1618" s="555" t="s">
        <v>2966</v>
      </c>
      <c r="B1618" s="217" t="str">
        <f t="shared" si="2051"/>
        <v>100</v>
      </c>
      <c r="C1618" s="217" t="str">
        <f t="shared" si="2052"/>
        <v>63</v>
      </c>
      <c r="D1618" s="101" t="str">
        <f t="shared" si="2053"/>
        <v>632</v>
      </c>
      <c r="E1618" s="217" t="str">
        <f t="shared" si="2054"/>
        <v>100-63-632</v>
      </c>
      <c r="F1618" s="294" t="str">
        <f t="shared" si="2055"/>
        <v>51255</v>
      </c>
      <c r="G1618" s="295" t="str">
        <f>VLOOKUP(F1618,'GL Category'!A:C,3,FALSE)</f>
        <v>Operations &amp; maintenance</v>
      </c>
      <c r="H1618" s="98" t="str">
        <f>VLOOKUP(F1618,'GL Category'!A:C,2,FALSE)</f>
        <v>FUEL/OILS/LUBRICANTS</v>
      </c>
      <c r="I1618" s="99">
        <f>SUMIF(Import!$B:$B,$A1618,Import!D:D)</f>
        <v>12494.19</v>
      </c>
      <c r="J1618" s="99">
        <f>SUMIF(Import!$B:$B,$A1618,Import!E:E)</f>
        <v>10973.97</v>
      </c>
      <c r="K1618" s="99">
        <f>SUMIF(Import!$B:$B,$A1618,Import!F:F)</f>
        <v>20560.23</v>
      </c>
      <c r="L1618" s="99">
        <f>SUMIF(Import!$B:$B,$A1618,Import!G:G)</f>
        <v>18921.43</v>
      </c>
      <c r="M1618" s="99">
        <f>SUMIF(Import!$B:$B,$A1618,Import!H:H)</f>
        <v>23000</v>
      </c>
      <c r="N1618" s="99">
        <f>SUMIF(Import!$B:$B,$A1618,Import!I:I)</f>
        <v>14043.05</v>
      </c>
      <c r="O1618" s="99">
        <f>SUMIF(Import!$B:$B,$A1618,Import!J:J)</f>
        <v>21000</v>
      </c>
      <c r="P1618" s="99">
        <f t="shared" si="2048"/>
        <v>-2000</v>
      </c>
      <c r="Q1618" s="99">
        <f>SUMIF(Import!$B:$B,$A1618,Import!K:K)</f>
        <v>22000</v>
      </c>
      <c r="R1618" s="99">
        <f>SUMIF(Import!$B:$B,$A1618,Import!L:L)</f>
        <v>0</v>
      </c>
      <c r="S1618" s="99">
        <f>SUMIF(Import!$B:$B,$A1618,Import!M:M)</f>
        <v>0</v>
      </c>
      <c r="T1618" s="99">
        <f>SUMIF(Import!$B:$B,$A1618,Import!N:N)</f>
        <v>22000</v>
      </c>
      <c r="U1618" s="99">
        <f t="shared" si="2049"/>
        <v>-1000</v>
      </c>
      <c r="V1618" s="255">
        <f t="shared" si="2050"/>
        <v>-4.3478260869565188E-2</v>
      </c>
      <c r="W1618" s="102" t="s">
        <v>2966</v>
      </c>
      <c r="X1618" s="102"/>
      <c r="Y1618" s="102"/>
      <c r="Z1618" s="200"/>
      <c r="AA1618" s="615"/>
      <c r="AB1618" s="631"/>
      <c r="AC1618" s="631"/>
      <c r="AD1618" s="631"/>
      <c r="AE1618" s="631"/>
      <c r="AF1618" s="631"/>
      <c r="AG1618" s="631"/>
      <c r="AH1618" s="631"/>
      <c r="AI1618" s="631"/>
      <c r="AJ1618" s="631"/>
      <c r="AK1618" s="631"/>
      <c r="AL1618" s="631"/>
      <c r="AM1618" s="631"/>
      <c r="AN1618" s="631"/>
      <c r="AO1618" s="97"/>
      <c r="AP1618" s="97"/>
      <c r="AQ1618" s="97"/>
      <c r="AR1618" s="70"/>
      <c r="AS1618" s="70"/>
      <c r="AT1618" s="70"/>
      <c r="AU1618" s="70"/>
      <c r="AV1618" s="70"/>
      <c r="AW1618" s="70"/>
      <c r="AX1618" s="70"/>
      <c r="AY1618" s="70"/>
      <c r="AZ1618" s="70"/>
      <c r="BA1618" s="70"/>
      <c r="BB1618" s="70"/>
      <c r="BC1618" s="70"/>
      <c r="BD1618" s="70"/>
      <c r="BE1618" s="70"/>
      <c r="BF1618" s="70"/>
    </row>
    <row r="1619" spans="1:58" s="71" customFormat="1" ht="15" customHeight="1">
      <c r="A1619" s="555" t="s">
        <v>2967</v>
      </c>
      <c r="B1619" s="217" t="str">
        <f t="shared" si="2051"/>
        <v>100</v>
      </c>
      <c r="C1619" s="217" t="str">
        <f t="shared" si="2052"/>
        <v>63</v>
      </c>
      <c r="D1619" s="101" t="str">
        <f t="shared" si="2053"/>
        <v>632</v>
      </c>
      <c r="E1619" s="217" t="str">
        <f t="shared" si="2054"/>
        <v>100-63-632</v>
      </c>
      <c r="F1619" s="294" t="str">
        <f t="shared" si="2055"/>
        <v>51270</v>
      </c>
      <c r="G1619" s="295" t="str">
        <f>VLOOKUP(F1619,'GL Category'!A:C,3,FALSE)</f>
        <v>Operations &amp; maintenance</v>
      </c>
      <c r="H1619" s="98" t="str">
        <f>VLOOKUP(F1619,'GL Category'!A:C,2,FALSE)</f>
        <v>CHEMICAL SUPPLIES</v>
      </c>
      <c r="I1619" s="99">
        <f>SUMIF(Import!$B:$B,$A1619,Import!D:D)</f>
        <v>1276.24</v>
      </c>
      <c r="J1619" s="99">
        <f>SUMIF(Import!$B:$B,$A1619,Import!E:E)</f>
        <v>2063.56</v>
      </c>
      <c r="K1619" s="99">
        <f>SUMIF(Import!$B:$B,$A1619,Import!F:F)</f>
        <v>3643.24</v>
      </c>
      <c r="L1619" s="99">
        <f>SUMIF(Import!$B:$B,$A1619,Import!G:G)</f>
        <v>2998.2</v>
      </c>
      <c r="M1619" s="99">
        <f>SUMIF(Import!$B:$B,$A1619,Import!H:H)</f>
        <v>2000</v>
      </c>
      <c r="N1619" s="99">
        <f>SUMIF(Import!$B:$B,$A1619,Import!I:I)</f>
        <v>1005.28</v>
      </c>
      <c r="O1619" s="99">
        <f>SUMIF(Import!$B:$B,$A1619,Import!J:J)</f>
        <v>2000</v>
      </c>
      <c r="P1619" s="99">
        <f t="shared" si="2048"/>
        <v>0</v>
      </c>
      <c r="Q1619" s="99">
        <f>SUMIF(Import!$B:$B,$A1619,Import!K:K)</f>
        <v>2500</v>
      </c>
      <c r="R1619" s="99">
        <f>SUMIF(Import!$B:$B,$A1619,Import!L:L)</f>
        <v>0</v>
      </c>
      <c r="S1619" s="99">
        <f>SUMIF(Import!$B:$B,$A1619,Import!M:M)</f>
        <v>0</v>
      </c>
      <c r="T1619" s="99">
        <f>SUMIF(Import!$B:$B,$A1619,Import!N:N)</f>
        <v>2500</v>
      </c>
      <c r="U1619" s="99">
        <f t="shared" si="2049"/>
        <v>500</v>
      </c>
      <c r="V1619" s="255">
        <f t="shared" si="2050"/>
        <v>0.25</v>
      </c>
      <c r="W1619" s="102" t="s">
        <v>2967</v>
      </c>
      <c r="X1619" s="102"/>
      <c r="Y1619" s="102"/>
      <c r="Z1619" s="200"/>
      <c r="AA1619" s="615"/>
      <c r="AB1619" s="631"/>
      <c r="AC1619" s="631"/>
      <c r="AD1619" s="631"/>
      <c r="AE1619" s="631"/>
      <c r="AF1619" s="631"/>
      <c r="AG1619" s="631"/>
      <c r="AH1619" s="631"/>
      <c r="AI1619" s="631"/>
      <c r="AJ1619" s="631"/>
      <c r="AK1619" s="631"/>
      <c r="AL1619" s="631"/>
      <c r="AM1619" s="631"/>
      <c r="AN1619" s="631"/>
      <c r="AO1619" s="97"/>
      <c r="AP1619" s="97"/>
      <c r="AQ1619" s="97"/>
      <c r="AR1619" s="70"/>
      <c r="AS1619" s="70"/>
      <c r="AT1619" s="70"/>
      <c r="AU1619" s="70"/>
      <c r="AV1619" s="70"/>
      <c r="AW1619" s="70"/>
      <c r="AX1619" s="70"/>
      <c r="AY1619" s="70"/>
      <c r="AZ1619" s="70"/>
      <c r="BA1619" s="70"/>
      <c r="BB1619" s="70"/>
      <c r="BC1619" s="70"/>
      <c r="BD1619" s="70"/>
      <c r="BE1619" s="70"/>
      <c r="BF1619" s="70"/>
    </row>
    <row r="1620" spans="1:58" s="71" customFormat="1" ht="15" customHeight="1">
      <c r="A1620" s="555" t="s">
        <v>2968</v>
      </c>
      <c r="B1620" s="217" t="str">
        <f t="shared" si="2051"/>
        <v>100</v>
      </c>
      <c r="C1620" s="217" t="str">
        <f t="shared" si="2052"/>
        <v>63</v>
      </c>
      <c r="D1620" s="101" t="str">
        <f t="shared" si="2053"/>
        <v>632</v>
      </c>
      <c r="E1620" s="217" t="str">
        <f t="shared" si="2054"/>
        <v>100-63-632</v>
      </c>
      <c r="F1620" s="294" t="str">
        <f t="shared" si="2055"/>
        <v>51285</v>
      </c>
      <c r="G1620" s="295" t="str">
        <f>VLOOKUP(F1620,'GL Category'!A:C,3,FALSE)</f>
        <v>Operations &amp; maintenance</v>
      </c>
      <c r="H1620" s="98" t="str">
        <f>VLOOKUP(F1620,'GL Category'!A:C,2,FALSE)</f>
        <v>WEARING APPAREL</v>
      </c>
      <c r="I1620" s="99">
        <f>SUMIF(Import!$B:$B,$A1620,Import!D:D)</f>
        <v>3537.03</v>
      </c>
      <c r="J1620" s="99">
        <f>SUMIF(Import!$B:$B,$A1620,Import!E:E)</f>
        <v>4698.79</v>
      </c>
      <c r="K1620" s="99">
        <f>SUMIF(Import!$B:$B,$A1620,Import!F:F)</f>
        <v>4944.51</v>
      </c>
      <c r="L1620" s="99">
        <f>SUMIF(Import!$B:$B,$A1620,Import!G:G)</f>
        <v>4813.37</v>
      </c>
      <c r="M1620" s="99">
        <f>SUMIF(Import!$B:$B,$A1620,Import!H:H)</f>
        <v>4500</v>
      </c>
      <c r="N1620" s="99">
        <f>SUMIF(Import!$B:$B,$A1620,Import!I:I)</f>
        <v>3966.72</v>
      </c>
      <c r="O1620" s="99">
        <f>SUMIF(Import!$B:$B,$A1620,Import!J:J)</f>
        <v>4500</v>
      </c>
      <c r="P1620" s="99">
        <f t="shared" si="2048"/>
        <v>0</v>
      </c>
      <c r="Q1620" s="99">
        <f>SUMIF(Import!$B:$B,$A1620,Import!K:K)</f>
        <v>4500</v>
      </c>
      <c r="R1620" s="99">
        <f>SUMIF(Import!$B:$B,$A1620,Import!L:L)</f>
        <v>0</v>
      </c>
      <c r="S1620" s="99">
        <f>SUMIF(Import!$B:$B,$A1620,Import!M:M)</f>
        <v>0</v>
      </c>
      <c r="T1620" s="99">
        <f>SUMIF(Import!$B:$B,$A1620,Import!N:N)</f>
        <v>4500</v>
      </c>
      <c r="U1620" s="99">
        <f t="shared" si="2049"/>
        <v>0</v>
      </c>
      <c r="V1620" s="255">
        <f t="shared" si="2050"/>
        <v>0</v>
      </c>
      <c r="W1620" s="102" t="s">
        <v>2968</v>
      </c>
      <c r="X1620" s="102"/>
      <c r="Y1620" s="102"/>
      <c r="Z1620" s="200"/>
      <c r="AA1620" s="615"/>
      <c r="AB1620" s="631"/>
      <c r="AC1620" s="631"/>
      <c r="AD1620" s="631"/>
      <c r="AE1620" s="631"/>
      <c r="AF1620" s="631"/>
      <c r="AG1620" s="631"/>
      <c r="AH1620" s="631"/>
      <c r="AI1620" s="631"/>
      <c r="AJ1620" s="631"/>
      <c r="AK1620" s="631"/>
      <c r="AL1620" s="631"/>
      <c r="AM1620" s="631"/>
      <c r="AN1620" s="631"/>
      <c r="AO1620" s="97"/>
      <c r="AP1620" s="97"/>
      <c r="AQ1620" s="97"/>
      <c r="AR1620" s="70"/>
      <c r="AS1620" s="70"/>
      <c r="AT1620" s="70"/>
      <c r="AU1620" s="70"/>
      <c r="AV1620" s="70"/>
      <c r="AW1620" s="70"/>
      <c r="AX1620" s="70"/>
      <c r="AY1620" s="70"/>
      <c r="AZ1620" s="70"/>
      <c r="BA1620" s="70"/>
      <c r="BB1620" s="70"/>
      <c r="BC1620" s="70"/>
      <c r="BD1620" s="70"/>
      <c r="BE1620" s="70"/>
      <c r="BF1620" s="70"/>
    </row>
    <row r="1621" spans="1:58" s="71" customFormat="1" ht="15" customHeight="1">
      <c r="A1621" s="555" t="s">
        <v>2969</v>
      </c>
      <c r="B1621" s="217" t="str">
        <f t="shared" si="2051"/>
        <v>100</v>
      </c>
      <c r="C1621" s="217" t="str">
        <f t="shared" si="2052"/>
        <v>63</v>
      </c>
      <c r="D1621" s="101" t="str">
        <f t="shared" si="2053"/>
        <v>632</v>
      </c>
      <c r="E1621" s="217" t="str">
        <f t="shared" si="2054"/>
        <v>100-63-632</v>
      </c>
      <c r="F1621" s="294" t="str">
        <f t="shared" si="2055"/>
        <v>51287</v>
      </c>
      <c r="G1621" s="295" t="str">
        <f>VLOOKUP(F1621,'GL Category'!A:C,3,FALSE)</f>
        <v>Operations &amp; maintenance</v>
      </c>
      <c r="H1621" s="98" t="str">
        <f>VLOOKUP(F1621,'GL Category'!A:C,2,FALSE)</f>
        <v>SAFETY EQUIPMENT/SUPPLIES</v>
      </c>
      <c r="I1621" s="99">
        <f>SUMIF(Import!$B:$B,$A1621,Import!D:D)</f>
        <v>454.51</v>
      </c>
      <c r="J1621" s="99">
        <f>SUMIF(Import!$B:$B,$A1621,Import!E:E)</f>
        <v>483.42</v>
      </c>
      <c r="K1621" s="99">
        <f>SUMIF(Import!$B:$B,$A1621,Import!F:F)</f>
        <v>1388.58</v>
      </c>
      <c r="L1621" s="99">
        <f>SUMIF(Import!$B:$B,$A1621,Import!G:G)</f>
        <v>2446.1</v>
      </c>
      <c r="M1621" s="99">
        <f>SUMIF(Import!$B:$B,$A1621,Import!H:H)</f>
        <v>1500</v>
      </c>
      <c r="N1621" s="99">
        <f>SUMIF(Import!$B:$B,$A1621,Import!I:I)</f>
        <v>834.67</v>
      </c>
      <c r="O1621" s="99">
        <f>SUMIF(Import!$B:$B,$A1621,Import!J:J)</f>
        <v>2000</v>
      </c>
      <c r="P1621" s="99">
        <f t="shared" si="2048"/>
        <v>500</v>
      </c>
      <c r="Q1621" s="99">
        <f>SUMIF(Import!$B:$B,$A1621,Import!K:K)</f>
        <v>2000</v>
      </c>
      <c r="R1621" s="99">
        <f>SUMIF(Import!$B:$B,$A1621,Import!L:L)</f>
        <v>0</v>
      </c>
      <c r="S1621" s="99">
        <f>SUMIF(Import!$B:$B,$A1621,Import!M:M)</f>
        <v>0</v>
      </c>
      <c r="T1621" s="99">
        <f>SUMIF(Import!$B:$B,$A1621,Import!N:N)</f>
        <v>2000</v>
      </c>
      <c r="U1621" s="99">
        <f t="shared" si="2049"/>
        <v>500</v>
      </c>
      <c r="V1621" s="255">
        <f t="shared" si="2050"/>
        <v>0.33333333333333326</v>
      </c>
      <c r="W1621" s="102" t="s">
        <v>2969</v>
      </c>
      <c r="X1621" s="102"/>
      <c r="Y1621" s="102"/>
      <c r="Z1621" s="200"/>
      <c r="AA1621" s="615"/>
      <c r="AB1621" s="631"/>
      <c r="AC1621" s="631"/>
      <c r="AD1621" s="631"/>
      <c r="AE1621" s="631"/>
      <c r="AF1621" s="631"/>
      <c r="AG1621" s="631"/>
      <c r="AH1621" s="631"/>
      <c r="AI1621" s="631"/>
      <c r="AJ1621" s="631"/>
      <c r="AK1621" s="631"/>
      <c r="AL1621" s="631"/>
      <c r="AM1621" s="631"/>
      <c r="AN1621" s="631"/>
      <c r="AO1621" s="97"/>
      <c r="AP1621" s="97"/>
      <c r="AQ1621" s="97"/>
      <c r="AR1621" s="70"/>
      <c r="AS1621" s="70"/>
      <c r="AT1621" s="70"/>
      <c r="AU1621" s="70"/>
      <c r="AV1621" s="70"/>
      <c r="AW1621" s="70"/>
      <c r="AX1621" s="70"/>
      <c r="AY1621" s="70"/>
      <c r="AZ1621" s="70"/>
      <c r="BA1621" s="70"/>
      <c r="BB1621" s="70"/>
      <c r="BC1621" s="70"/>
      <c r="BD1621" s="70"/>
      <c r="BE1621" s="70"/>
      <c r="BF1621" s="70"/>
    </row>
    <row r="1622" spans="1:58" s="71" customFormat="1" ht="15" customHeight="1">
      <c r="A1622" s="555" t="s">
        <v>2970</v>
      </c>
      <c r="B1622" s="217" t="str">
        <f t="shared" si="2051"/>
        <v>100</v>
      </c>
      <c r="C1622" s="217" t="str">
        <f t="shared" si="2052"/>
        <v>63</v>
      </c>
      <c r="D1622" s="101" t="str">
        <f t="shared" si="2053"/>
        <v>632</v>
      </c>
      <c r="E1622" s="217" t="str">
        <f t="shared" si="2054"/>
        <v>100-63-632</v>
      </c>
      <c r="F1622" s="294" t="str">
        <f t="shared" si="2055"/>
        <v>51299</v>
      </c>
      <c r="G1622" s="295" t="str">
        <f>VLOOKUP(F1622,'GL Category'!A:C,3,FALSE)</f>
        <v>Operations &amp; maintenance</v>
      </c>
      <c r="H1622" s="98" t="str">
        <f>VLOOKUP(F1622,'GL Category'!A:C,2,FALSE)</f>
        <v>MISCELLANEOUS SUPPLIES</v>
      </c>
      <c r="I1622" s="99">
        <f>SUMIF(Import!$B:$B,$A1622,Import!D:D)</f>
        <v>0</v>
      </c>
      <c r="J1622" s="99">
        <f>SUMIF(Import!$B:$B,$A1622,Import!E:E)</f>
        <v>0</v>
      </c>
      <c r="K1622" s="99">
        <f>SUMIF(Import!$B:$B,$A1622,Import!F:F)</f>
        <v>0</v>
      </c>
      <c r="L1622" s="99">
        <f>SUMIF(Import!$B:$B,$A1622,Import!G:G)</f>
        <v>0</v>
      </c>
      <c r="M1622" s="99">
        <f>SUMIF(Import!$B:$B,$A1622,Import!H:H)</f>
        <v>0</v>
      </c>
      <c r="N1622" s="99">
        <f>SUMIF(Import!$B:$B,$A1622,Import!I:I)</f>
        <v>0</v>
      </c>
      <c r="O1622" s="99">
        <f>SUMIF(Import!$B:$B,$A1622,Import!J:J)</f>
        <v>0</v>
      </c>
      <c r="P1622" s="99">
        <f t="shared" si="2048"/>
        <v>0</v>
      </c>
      <c r="Q1622" s="99">
        <f>SUMIF(Import!$B:$B,$A1622,Import!K:K)</f>
        <v>0</v>
      </c>
      <c r="R1622" s="99">
        <f>SUMIF(Import!$B:$B,$A1622,Import!L:L)</f>
        <v>0</v>
      </c>
      <c r="S1622" s="99">
        <f>SUMIF(Import!$B:$B,$A1622,Import!M:M)</f>
        <v>0</v>
      </c>
      <c r="T1622" s="99">
        <f>SUMIF(Import!$B:$B,$A1622,Import!N:N)</f>
        <v>0</v>
      </c>
      <c r="U1622" s="99">
        <f t="shared" si="2049"/>
        <v>0</v>
      </c>
      <c r="V1622" s="255" t="str">
        <f t="shared" si="2050"/>
        <v>N/A</v>
      </c>
      <c r="W1622" s="102" t="s">
        <v>2970</v>
      </c>
      <c r="X1622" s="102"/>
      <c r="Y1622" s="102"/>
      <c r="Z1622" s="200"/>
      <c r="AA1622" s="615"/>
      <c r="AB1622" s="631"/>
      <c r="AC1622" s="631"/>
      <c r="AD1622" s="631"/>
      <c r="AE1622" s="631"/>
      <c r="AF1622" s="631"/>
      <c r="AG1622" s="631"/>
      <c r="AH1622" s="631"/>
      <c r="AI1622" s="631"/>
      <c r="AJ1622" s="631"/>
      <c r="AK1622" s="631"/>
      <c r="AL1622" s="631"/>
      <c r="AM1622" s="631"/>
      <c r="AN1622" s="631"/>
      <c r="AO1622" s="97"/>
      <c r="AP1622" s="97"/>
      <c r="AQ1622" s="97"/>
      <c r="AR1622" s="70"/>
      <c r="AS1622" s="70"/>
      <c r="AT1622" s="70"/>
      <c r="AU1622" s="70"/>
      <c r="AV1622" s="70"/>
      <c r="AW1622" s="70"/>
      <c r="AX1622" s="70"/>
      <c r="AY1622" s="70"/>
      <c r="AZ1622" s="70"/>
      <c r="BA1622" s="70"/>
      <c r="BB1622" s="70"/>
      <c r="BC1622" s="70"/>
      <c r="BD1622" s="70"/>
      <c r="BE1622" s="70"/>
      <c r="BF1622" s="70"/>
    </row>
    <row r="1623" spans="1:58" s="71" customFormat="1" ht="15" customHeight="1">
      <c r="A1623" s="555" t="s">
        <v>2971</v>
      </c>
      <c r="B1623" s="217" t="str">
        <f t="shared" si="2051"/>
        <v>100</v>
      </c>
      <c r="C1623" s="217" t="str">
        <f t="shared" si="2052"/>
        <v>63</v>
      </c>
      <c r="D1623" s="101" t="str">
        <f t="shared" si="2053"/>
        <v>632</v>
      </c>
      <c r="E1623" s="217" t="str">
        <f t="shared" si="2054"/>
        <v>100-63-632</v>
      </c>
      <c r="F1623" s="294" t="str">
        <f t="shared" si="2055"/>
        <v>52310</v>
      </c>
      <c r="G1623" s="295" t="str">
        <f>VLOOKUP(F1623,'GL Category'!A:C,3,FALSE)</f>
        <v>Operations &amp; maintenance</v>
      </c>
      <c r="H1623" s="98" t="str">
        <f>VLOOKUP(F1623,'GL Category'!A:C,2,FALSE)</f>
        <v>BUILDING MAINTENANCE</v>
      </c>
      <c r="I1623" s="99">
        <f>SUMIF(Import!$B:$B,$A1623,Import!D:D)</f>
        <v>12797.46</v>
      </c>
      <c r="J1623" s="99">
        <f>SUMIF(Import!$B:$B,$A1623,Import!E:E)</f>
        <v>11528.61</v>
      </c>
      <c r="K1623" s="99">
        <f>SUMIF(Import!$B:$B,$A1623,Import!F:F)</f>
        <v>8157.59</v>
      </c>
      <c r="L1623" s="99">
        <f>SUMIF(Import!$B:$B,$A1623,Import!G:G)</f>
        <v>13169.67</v>
      </c>
      <c r="M1623" s="99">
        <f>SUMIF(Import!$B:$B,$A1623,Import!H:H)</f>
        <v>9000</v>
      </c>
      <c r="N1623" s="99">
        <f>SUMIF(Import!$B:$B,$A1623,Import!I:I)</f>
        <v>12320.19</v>
      </c>
      <c r="O1623" s="99">
        <f>SUMIF(Import!$B:$B,$A1623,Import!J:J)</f>
        <v>12000</v>
      </c>
      <c r="P1623" s="99">
        <f t="shared" si="2048"/>
        <v>3000</v>
      </c>
      <c r="Q1623" s="99">
        <f>SUMIF(Import!$B:$B,$A1623,Import!K:K)</f>
        <v>11000</v>
      </c>
      <c r="R1623" s="99">
        <f>SUMIF(Import!$B:$B,$A1623,Import!L:L)</f>
        <v>0</v>
      </c>
      <c r="S1623" s="99">
        <f>SUMIF(Import!$B:$B,$A1623,Import!M:M)</f>
        <v>0</v>
      </c>
      <c r="T1623" s="99">
        <f>SUMIF(Import!$B:$B,$A1623,Import!N:N)</f>
        <v>11000</v>
      </c>
      <c r="U1623" s="99">
        <f t="shared" si="2049"/>
        <v>2000</v>
      </c>
      <c r="V1623" s="255">
        <f t="shared" si="2050"/>
        <v>0.22222222222222232</v>
      </c>
      <c r="W1623" s="102" t="s">
        <v>2971</v>
      </c>
      <c r="X1623" s="102"/>
      <c r="Y1623" s="102"/>
      <c r="Z1623" s="200"/>
      <c r="AA1623" s="615"/>
      <c r="AB1623" s="631"/>
      <c r="AC1623" s="631"/>
      <c r="AD1623" s="631"/>
      <c r="AE1623" s="631"/>
      <c r="AF1623" s="631"/>
      <c r="AG1623" s="631"/>
      <c r="AH1623" s="631"/>
      <c r="AI1623" s="631"/>
      <c r="AJ1623" s="631"/>
      <c r="AK1623" s="631"/>
      <c r="AL1623" s="631"/>
      <c r="AM1623" s="631"/>
      <c r="AN1623" s="631"/>
      <c r="AO1623" s="97"/>
      <c r="AP1623" s="97"/>
      <c r="AQ1623" s="97"/>
      <c r="AR1623" s="70"/>
      <c r="AS1623" s="70"/>
    </row>
    <row r="1624" spans="1:58" s="71" customFormat="1" ht="15" customHeight="1">
      <c r="A1624" s="555" t="s">
        <v>2972</v>
      </c>
      <c r="B1624" s="217" t="str">
        <f t="shared" si="2051"/>
        <v>100</v>
      </c>
      <c r="C1624" s="217" t="str">
        <f t="shared" si="2052"/>
        <v>63</v>
      </c>
      <c r="D1624" s="101" t="str">
        <f t="shared" si="2053"/>
        <v>632</v>
      </c>
      <c r="E1624" s="217" t="str">
        <f t="shared" si="2054"/>
        <v>100-63-632</v>
      </c>
      <c r="F1624" s="294" t="str">
        <f t="shared" si="2055"/>
        <v>52311</v>
      </c>
      <c r="G1624" s="295" t="str">
        <f>VLOOKUP(F1624,'GL Category'!A:C,3,FALSE)</f>
        <v>Operations &amp; maintenance</v>
      </c>
      <c r="H1624" s="98" t="str">
        <f>VLOOKUP(F1624,'GL Category'!A:C,2,FALSE)</f>
        <v>GROUNDS MAINTENANCE</v>
      </c>
      <c r="I1624" s="99">
        <f>SUMIF(Import!$B:$B,$A1624,Import!D:D)</f>
        <v>162051.34</v>
      </c>
      <c r="J1624" s="99">
        <f>SUMIF(Import!$B:$B,$A1624,Import!E:E)</f>
        <v>119578.38</v>
      </c>
      <c r="K1624" s="99">
        <f>SUMIF(Import!$B:$B,$A1624,Import!F:F)</f>
        <v>140614.69</v>
      </c>
      <c r="L1624" s="99">
        <f>SUMIF(Import!$B:$B,$A1624,Import!G:G)</f>
        <v>160465.56</v>
      </c>
      <c r="M1624" s="99">
        <f>SUMIF(Import!$B:$B,$A1624,Import!H:H)</f>
        <v>142000</v>
      </c>
      <c r="N1624" s="99">
        <f>SUMIF(Import!$B:$B,$A1624,Import!I:I)</f>
        <v>115565.92</v>
      </c>
      <c r="O1624" s="99">
        <f>SUMIF(Import!$B:$B,$A1624,Import!J:J)</f>
        <v>142000</v>
      </c>
      <c r="P1624" s="99">
        <f t="shared" si="2048"/>
        <v>0</v>
      </c>
      <c r="Q1624" s="99">
        <f>SUMIF(Import!$B:$B,$A1624,Import!K:K)</f>
        <v>142000</v>
      </c>
      <c r="R1624" s="99">
        <f>SUMIF(Import!$B:$B,$A1624,Import!L:L)</f>
        <v>0</v>
      </c>
      <c r="S1624" s="99">
        <f>SUMIF(Import!$B:$B,$A1624,Import!M:M)</f>
        <v>0</v>
      </c>
      <c r="T1624" s="99">
        <f>SUMIF(Import!$B:$B,$A1624,Import!N:N)</f>
        <v>142000</v>
      </c>
      <c r="U1624" s="99">
        <f t="shared" si="2049"/>
        <v>0</v>
      </c>
      <c r="V1624" s="255">
        <f t="shared" si="2050"/>
        <v>0</v>
      </c>
      <c r="W1624" s="102" t="s">
        <v>2972</v>
      </c>
      <c r="X1624" s="102"/>
      <c r="Y1624" s="102"/>
      <c r="Z1624" s="200"/>
      <c r="AA1624" s="615"/>
      <c r="AB1624" s="631"/>
      <c r="AC1624" s="631"/>
      <c r="AD1624" s="631"/>
      <c r="AE1624" s="631"/>
      <c r="AF1624" s="631"/>
      <c r="AG1624" s="631"/>
      <c r="AH1624" s="631"/>
      <c r="AI1624" s="631"/>
      <c r="AJ1624" s="631"/>
      <c r="AK1624" s="631"/>
      <c r="AL1624" s="631"/>
      <c r="AM1624" s="631"/>
      <c r="AN1624" s="631"/>
      <c r="AO1624" s="97"/>
      <c r="AP1624" s="97"/>
      <c r="AQ1624" s="97"/>
      <c r="AR1624" s="70"/>
      <c r="AS1624" s="70"/>
    </row>
    <row r="1625" spans="1:58" s="71" customFormat="1" ht="15" customHeight="1">
      <c r="A1625" s="555" t="s">
        <v>2973</v>
      </c>
      <c r="B1625" s="217" t="str">
        <f t="shared" si="2051"/>
        <v>100</v>
      </c>
      <c r="C1625" s="217" t="str">
        <f t="shared" si="2052"/>
        <v>63</v>
      </c>
      <c r="D1625" s="101" t="str">
        <f t="shared" si="2053"/>
        <v>632</v>
      </c>
      <c r="E1625" s="217" t="str">
        <f t="shared" si="2054"/>
        <v>100-63-632</v>
      </c>
      <c r="F1625" s="294" t="str">
        <f t="shared" si="2055"/>
        <v>52350</v>
      </c>
      <c r="G1625" s="295" t="str">
        <f>VLOOKUP(F1625,'GL Category'!A:C,3,FALSE)</f>
        <v>Operations &amp; maintenance</v>
      </c>
      <c r="H1625" s="98" t="str">
        <f>VLOOKUP(F1625,'GL Category'!A:C,2,FALSE)</f>
        <v>SIGN &amp; SIGNAL MAINTENANCE</v>
      </c>
      <c r="I1625" s="99">
        <f>SUMIF(Import!$B:$B,$A1625,Import!D:D)</f>
        <v>3393.85</v>
      </c>
      <c r="J1625" s="99">
        <f>SUMIF(Import!$B:$B,$A1625,Import!E:E)</f>
        <v>748.69</v>
      </c>
      <c r="K1625" s="99">
        <f>SUMIF(Import!$B:$B,$A1625,Import!F:F)</f>
        <v>3431.3</v>
      </c>
      <c r="L1625" s="99">
        <f>SUMIF(Import!$B:$B,$A1625,Import!G:G)</f>
        <v>4412.53</v>
      </c>
      <c r="M1625" s="99">
        <f>SUMIF(Import!$B:$B,$A1625,Import!H:H)</f>
        <v>3500</v>
      </c>
      <c r="N1625" s="99">
        <f>SUMIF(Import!$B:$B,$A1625,Import!I:I)</f>
        <v>4439.54</v>
      </c>
      <c r="O1625" s="99">
        <f>SUMIF(Import!$B:$B,$A1625,Import!J:J)</f>
        <v>2000</v>
      </c>
      <c r="P1625" s="99">
        <f t="shared" si="2048"/>
        <v>-1500</v>
      </c>
      <c r="Q1625" s="99">
        <f>SUMIF(Import!$B:$B,$A1625,Import!K:K)</f>
        <v>3500</v>
      </c>
      <c r="R1625" s="99">
        <f>SUMIF(Import!$B:$B,$A1625,Import!L:L)</f>
        <v>0</v>
      </c>
      <c r="S1625" s="99">
        <f>SUMIF(Import!$B:$B,$A1625,Import!M:M)</f>
        <v>0</v>
      </c>
      <c r="T1625" s="99">
        <f>SUMIF(Import!$B:$B,$A1625,Import!N:N)</f>
        <v>3500</v>
      </c>
      <c r="U1625" s="99">
        <f t="shared" si="2049"/>
        <v>0</v>
      </c>
      <c r="V1625" s="255">
        <f t="shared" si="2050"/>
        <v>0</v>
      </c>
      <c r="W1625" s="102" t="s">
        <v>2973</v>
      </c>
      <c r="X1625" s="102"/>
      <c r="Y1625" s="102"/>
      <c r="Z1625" s="200"/>
      <c r="AA1625" s="615"/>
      <c r="AB1625" s="631"/>
      <c r="AC1625" s="631"/>
      <c r="AD1625" s="631"/>
      <c r="AE1625" s="631"/>
      <c r="AF1625" s="631"/>
      <c r="AG1625" s="631"/>
      <c r="AH1625" s="631"/>
      <c r="AI1625" s="631"/>
      <c r="AJ1625" s="631"/>
      <c r="AK1625" s="631"/>
      <c r="AL1625" s="631"/>
      <c r="AM1625" s="631"/>
      <c r="AN1625" s="631"/>
      <c r="AO1625" s="97"/>
      <c r="AP1625" s="97"/>
      <c r="AQ1625" s="97"/>
      <c r="AR1625" s="70"/>
      <c r="AS1625" s="70"/>
    </row>
    <row r="1626" spans="1:58" s="71" customFormat="1" ht="15" customHeight="1">
      <c r="A1626" s="555" t="s">
        <v>2974</v>
      </c>
      <c r="B1626" s="217" t="str">
        <f t="shared" si="2051"/>
        <v>100</v>
      </c>
      <c r="C1626" s="217" t="str">
        <f t="shared" si="2052"/>
        <v>63</v>
      </c>
      <c r="D1626" s="101" t="str">
        <f t="shared" si="2053"/>
        <v>632</v>
      </c>
      <c r="E1626" s="217" t="str">
        <f t="shared" si="2054"/>
        <v>100-63-632</v>
      </c>
      <c r="F1626" s="294" t="str">
        <f t="shared" si="2055"/>
        <v>52440</v>
      </c>
      <c r="G1626" s="295" t="str">
        <f>VLOOKUP(F1626,'GL Category'!A:C,3,FALSE)</f>
        <v>Operations &amp; maintenance</v>
      </c>
      <c r="H1626" s="98" t="str">
        <f>VLOOKUP(F1626,'GL Category'!A:C,2,FALSE)</f>
        <v>RADIO MAINTENANCE</v>
      </c>
      <c r="I1626" s="99">
        <f>SUMIF(Import!$B:$B,$A1626,Import!D:D)</f>
        <v>0</v>
      </c>
      <c r="J1626" s="99">
        <f>SUMIF(Import!$B:$B,$A1626,Import!E:E)</f>
        <v>0</v>
      </c>
      <c r="K1626" s="99">
        <f>SUMIF(Import!$B:$B,$A1626,Import!F:F)</f>
        <v>0</v>
      </c>
      <c r="L1626" s="99">
        <f>SUMIF(Import!$B:$B,$A1626,Import!G:G)</f>
        <v>0</v>
      </c>
      <c r="M1626" s="99">
        <f>SUMIF(Import!$B:$B,$A1626,Import!H:H)</f>
        <v>0</v>
      </c>
      <c r="N1626" s="99">
        <f>SUMIF(Import!$B:$B,$A1626,Import!I:I)</f>
        <v>0</v>
      </c>
      <c r="O1626" s="99">
        <f>SUMIF(Import!$B:$B,$A1626,Import!J:J)</f>
        <v>0</v>
      </c>
      <c r="P1626" s="99">
        <f t="shared" si="2048"/>
        <v>0</v>
      </c>
      <c r="Q1626" s="99">
        <f>SUMIF(Import!$B:$B,$A1626,Import!K:K)</f>
        <v>0</v>
      </c>
      <c r="R1626" s="99">
        <f>SUMIF(Import!$B:$B,$A1626,Import!L:L)</f>
        <v>0</v>
      </c>
      <c r="S1626" s="99">
        <f>SUMIF(Import!$B:$B,$A1626,Import!M:M)</f>
        <v>0</v>
      </c>
      <c r="T1626" s="99">
        <f>SUMIF(Import!$B:$B,$A1626,Import!N:N)</f>
        <v>0</v>
      </c>
      <c r="U1626" s="99">
        <f t="shared" si="2049"/>
        <v>0</v>
      </c>
      <c r="V1626" s="255" t="str">
        <f t="shared" si="2050"/>
        <v>N/A</v>
      </c>
      <c r="W1626" s="102" t="s">
        <v>2974</v>
      </c>
      <c r="X1626" s="102"/>
      <c r="Y1626" s="102"/>
      <c r="Z1626" s="200"/>
      <c r="AA1626" s="615"/>
      <c r="AB1626" s="631"/>
      <c r="AC1626" s="631"/>
      <c r="AD1626" s="631"/>
      <c r="AE1626" s="631"/>
      <c r="AF1626" s="631"/>
      <c r="AG1626" s="631"/>
      <c r="AH1626" s="631"/>
      <c r="AI1626" s="631"/>
      <c r="AJ1626" s="631"/>
      <c r="AK1626" s="631"/>
      <c r="AL1626" s="631"/>
      <c r="AM1626" s="631"/>
      <c r="AN1626" s="631"/>
      <c r="AO1626" s="97"/>
      <c r="AP1626" s="97"/>
      <c r="AQ1626" s="97"/>
      <c r="AR1626" s="70"/>
      <c r="AS1626" s="70"/>
    </row>
    <row r="1627" spans="1:58" s="71" customFormat="1" ht="15" customHeight="1">
      <c r="A1627" s="555" t="s">
        <v>2975</v>
      </c>
      <c r="B1627" s="217" t="str">
        <f t="shared" si="2051"/>
        <v>100</v>
      </c>
      <c r="C1627" s="217" t="str">
        <f t="shared" si="2052"/>
        <v>63</v>
      </c>
      <c r="D1627" s="101" t="str">
        <f t="shared" si="2053"/>
        <v>632</v>
      </c>
      <c r="E1627" s="217" t="str">
        <f t="shared" si="2054"/>
        <v>100-63-632</v>
      </c>
      <c r="F1627" s="294" t="str">
        <f t="shared" si="2055"/>
        <v>52460</v>
      </c>
      <c r="G1627" s="295" t="str">
        <f>VLOOKUP(F1627,'GL Category'!A:C,3,FALSE)</f>
        <v>Operations &amp; maintenance</v>
      </c>
      <c r="H1627" s="98" t="str">
        <f>VLOOKUP(F1627,'GL Category'!A:C,2,FALSE)</f>
        <v>VEHICLE MAINTENANCE</v>
      </c>
      <c r="I1627" s="99">
        <f>SUMIF(Import!$B:$B,$A1627,Import!D:D)</f>
        <v>4476.53</v>
      </c>
      <c r="J1627" s="99">
        <f>SUMIF(Import!$B:$B,$A1627,Import!E:E)</f>
        <v>1123.3499999999999</v>
      </c>
      <c r="K1627" s="99">
        <f>SUMIF(Import!$B:$B,$A1627,Import!F:F)</f>
        <v>2249.3200000000002</v>
      </c>
      <c r="L1627" s="99">
        <f>SUMIF(Import!$B:$B,$A1627,Import!G:G)</f>
        <v>9451.19</v>
      </c>
      <c r="M1627" s="99">
        <f>SUMIF(Import!$B:$B,$A1627,Import!H:H)</f>
        <v>1429</v>
      </c>
      <c r="N1627" s="99">
        <f>SUMIF(Import!$B:$B,$A1627,Import!I:I)</f>
        <v>1467.24</v>
      </c>
      <c r="O1627" s="99">
        <f>SUMIF(Import!$B:$B,$A1627,Import!J:J)</f>
        <v>2000</v>
      </c>
      <c r="P1627" s="99">
        <f t="shared" si="2048"/>
        <v>571</v>
      </c>
      <c r="Q1627" s="99">
        <f>SUMIF(Import!$B:$B,$A1627,Import!K:K)</f>
        <v>3000</v>
      </c>
      <c r="R1627" s="99">
        <f>SUMIF(Import!$B:$B,$A1627,Import!L:L)</f>
        <v>0</v>
      </c>
      <c r="S1627" s="99">
        <f>SUMIF(Import!$B:$B,$A1627,Import!M:M)</f>
        <v>0</v>
      </c>
      <c r="T1627" s="99">
        <f>SUMIF(Import!$B:$B,$A1627,Import!N:N)</f>
        <v>3000</v>
      </c>
      <c r="U1627" s="99">
        <f t="shared" si="2049"/>
        <v>1571</v>
      </c>
      <c r="V1627" s="255">
        <f t="shared" si="2050"/>
        <v>1.099370188943317</v>
      </c>
      <c r="W1627" s="102" t="s">
        <v>2975</v>
      </c>
      <c r="X1627" s="102"/>
      <c r="Y1627" s="102"/>
      <c r="Z1627" s="200"/>
      <c r="AA1627" s="615"/>
      <c r="AB1627" s="631"/>
      <c r="AC1627" s="631"/>
      <c r="AD1627" s="631"/>
      <c r="AE1627" s="631"/>
      <c r="AF1627" s="631"/>
      <c r="AG1627" s="631"/>
      <c r="AH1627" s="631"/>
      <c r="AI1627" s="631"/>
      <c r="AJ1627" s="631"/>
      <c r="AK1627" s="631"/>
      <c r="AL1627" s="631"/>
      <c r="AM1627" s="631"/>
      <c r="AN1627" s="631"/>
      <c r="AO1627" s="97"/>
      <c r="AP1627" s="97"/>
      <c r="AQ1627" s="97"/>
      <c r="AR1627" s="70"/>
      <c r="AS1627" s="70"/>
    </row>
    <row r="1628" spans="1:58" s="71" customFormat="1" ht="15" customHeight="1">
      <c r="A1628" s="555" t="s">
        <v>2976</v>
      </c>
      <c r="B1628" s="217" t="str">
        <f t="shared" si="2051"/>
        <v>100</v>
      </c>
      <c r="C1628" s="217" t="str">
        <f t="shared" si="2052"/>
        <v>63</v>
      </c>
      <c r="D1628" s="101" t="str">
        <f t="shared" si="2053"/>
        <v>632</v>
      </c>
      <c r="E1628" s="217" t="str">
        <f t="shared" si="2054"/>
        <v>100-63-632</v>
      </c>
      <c r="F1628" s="294" t="str">
        <f t="shared" si="2055"/>
        <v>52470</v>
      </c>
      <c r="G1628" s="295" t="str">
        <f>VLOOKUP(F1628,'GL Category'!A:C,3,FALSE)</f>
        <v>Operations &amp; maintenance</v>
      </c>
      <c r="H1628" s="98" t="str">
        <f>VLOOKUP(F1628,'GL Category'!A:C,2,FALSE)</f>
        <v>EQUIPMENT MAINTENANCE</v>
      </c>
      <c r="I1628" s="99">
        <f>SUMIF(Import!$B:$B,$A1628,Import!D:D)</f>
        <v>9598.17</v>
      </c>
      <c r="J1628" s="99">
        <f>SUMIF(Import!$B:$B,$A1628,Import!E:E)</f>
        <v>6873.41</v>
      </c>
      <c r="K1628" s="99">
        <f>SUMIF(Import!$B:$B,$A1628,Import!F:F)</f>
        <v>10328.5</v>
      </c>
      <c r="L1628" s="99">
        <f>SUMIF(Import!$B:$B,$A1628,Import!G:G)</f>
        <v>7094.82</v>
      </c>
      <c r="M1628" s="99">
        <f>SUMIF(Import!$B:$B,$A1628,Import!H:H)</f>
        <v>9000</v>
      </c>
      <c r="N1628" s="99">
        <f>SUMIF(Import!$B:$B,$A1628,Import!I:I)</f>
        <v>3480.3</v>
      </c>
      <c r="O1628" s="99">
        <f>SUMIF(Import!$B:$B,$A1628,Import!J:J)</f>
        <v>8001</v>
      </c>
      <c r="P1628" s="99">
        <f t="shared" si="2048"/>
        <v>-999</v>
      </c>
      <c r="Q1628" s="99">
        <f>SUMIF(Import!$B:$B,$A1628,Import!K:K)</f>
        <v>8000</v>
      </c>
      <c r="R1628" s="99">
        <f>SUMIF(Import!$B:$B,$A1628,Import!L:L)</f>
        <v>0</v>
      </c>
      <c r="S1628" s="99">
        <f>SUMIF(Import!$B:$B,$A1628,Import!M:M)</f>
        <v>0</v>
      </c>
      <c r="T1628" s="99">
        <f>SUMIF(Import!$B:$B,$A1628,Import!N:N)</f>
        <v>8000</v>
      </c>
      <c r="U1628" s="99">
        <f t="shared" si="2049"/>
        <v>-1000</v>
      </c>
      <c r="V1628" s="255">
        <f t="shared" si="2050"/>
        <v>-0.11111111111111116</v>
      </c>
      <c r="W1628" s="102" t="s">
        <v>2976</v>
      </c>
      <c r="X1628" s="102"/>
      <c r="Y1628" s="102"/>
      <c r="Z1628" s="200"/>
      <c r="AA1628" s="615"/>
      <c r="AB1628" s="631"/>
      <c r="AC1628" s="631"/>
      <c r="AD1628" s="631"/>
      <c r="AE1628" s="631"/>
      <c r="AF1628" s="631"/>
      <c r="AG1628" s="631"/>
      <c r="AH1628" s="631"/>
      <c r="AI1628" s="631"/>
      <c r="AJ1628" s="631"/>
      <c r="AK1628" s="631"/>
      <c r="AL1628" s="631"/>
      <c r="AM1628" s="631"/>
      <c r="AN1628" s="631"/>
      <c r="AO1628" s="97"/>
      <c r="AP1628" s="97"/>
      <c r="AQ1628" s="97"/>
      <c r="AR1628" s="70"/>
      <c r="AS1628" s="70"/>
    </row>
    <row r="1629" spans="1:58" s="71" customFormat="1" ht="26.1" customHeight="1">
      <c r="A1629" s="555"/>
      <c r="B1629" s="217"/>
      <c r="C1629" s="217"/>
      <c r="D1629" s="101"/>
      <c r="E1629" s="217"/>
      <c r="F1629" s="294"/>
      <c r="G1629" s="295"/>
      <c r="H1629" s="107" t="str">
        <f>UPPER(G1628)&amp;" TOTAL"</f>
        <v>OPERATIONS &amp; MAINTENANCE TOTAL</v>
      </c>
      <c r="I1629" s="109">
        <f t="shared" ref="I1629" si="2056">SUBTOTAL(9,I1614:I1628)</f>
        <v>225743.61000000002</v>
      </c>
      <c r="J1629" s="109">
        <f t="shared" ref="J1629:T1629" si="2057">SUBTOTAL(9,J1614:J1628)</f>
        <v>188322.79</v>
      </c>
      <c r="K1629" s="109">
        <f t="shared" ref="K1629" si="2058">SUBTOTAL(9,K1614:K1628)</f>
        <v>219429.45</v>
      </c>
      <c r="L1629" s="109">
        <f t="shared" ref="L1629" si="2059">SUBTOTAL(9,L1614:L1628)</f>
        <v>244837.94</v>
      </c>
      <c r="M1629" s="109">
        <f t="shared" si="2057"/>
        <v>215429</v>
      </c>
      <c r="N1629" s="109">
        <f t="shared" si="2057"/>
        <v>170533.75999999998</v>
      </c>
      <c r="O1629" s="109">
        <f t="shared" si="2057"/>
        <v>215501</v>
      </c>
      <c r="P1629" s="109">
        <f t="shared" si="2057"/>
        <v>72</v>
      </c>
      <c r="Q1629" s="109">
        <f t="shared" si="2057"/>
        <v>218500</v>
      </c>
      <c r="R1629" s="109">
        <f t="shared" si="2057"/>
        <v>0</v>
      </c>
      <c r="S1629" s="109">
        <f t="shared" si="2057"/>
        <v>0</v>
      </c>
      <c r="T1629" s="109">
        <f t="shared" si="2057"/>
        <v>218500</v>
      </c>
      <c r="U1629" s="99">
        <f>T1629-M1629</f>
        <v>3071</v>
      </c>
      <c r="V1629" s="255">
        <f>IF(M1629=0,"N/A",T1629/M1629-1)</f>
        <v>1.4255276680483986E-2</v>
      </c>
      <c r="W1629" s="102"/>
      <c r="X1629" s="102"/>
      <c r="Y1629" s="102"/>
      <c r="Z1629" s="200"/>
      <c r="AA1629" s="615"/>
      <c r="AB1629" s="631"/>
      <c r="AC1629" s="631"/>
      <c r="AD1629" s="631"/>
      <c r="AE1629" s="631"/>
      <c r="AF1629" s="631"/>
      <c r="AG1629" s="631"/>
      <c r="AH1629" s="631"/>
      <c r="AI1629" s="631"/>
      <c r="AJ1629" s="631"/>
      <c r="AK1629" s="631"/>
      <c r="AL1629" s="631"/>
      <c r="AM1629" s="631"/>
      <c r="AN1629" s="631"/>
      <c r="AO1629" s="97"/>
      <c r="AP1629" s="97"/>
      <c r="AQ1629" s="97"/>
      <c r="AR1629" s="70"/>
      <c r="AS1629" s="70"/>
    </row>
    <row r="1630" spans="1:58" s="71" customFormat="1" ht="15" customHeight="1">
      <c r="A1630" s="555"/>
      <c r="B1630" s="217"/>
      <c r="C1630" s="217"/>
      <c r="D1630" s="101"/>
      <c r="E1630" s="217"/>
      <c r="F1630" s="294"/>
      <c r="G1630" s="295"/>
      <c r="H1630" s="98"/>
      <c r="I1630" s="106"/>
      <c r="J1630" s="106"/>
      <c r="K1630" s="106"/>
      <c r="L1630" s="106"/>
      <c r="M1630" s="106"/>
      <c r="N1630" s="112"/>
      <c r="O1630" s="112"/>
      <c r="P1630" s="112"/>
      <c r="Q1630" s="113"/>
      <c r="R1630" s="113"/>
      <c r="S1630" s="113"/>
      <c r="T1630" s="113"/>
      <c r="U1630" s="99"/>
      <c r="V1630" s="255"/>
      <c r="W1630" s="102"/>
      <c r="X1630" s="102"/>
      <c r="Y1630" s="102"/>
      <c r="Z1630" s="200"/>
      <c r="AA1630" s="615"/>
      <c r="AB1630" s="631"/>
      <c r="AC1630" s="631"/>
      <c r="AD1630" s="631"/>
      <c r="AE1630" s="631"/>
      <c r="AF1630" s="631"/>
      <c r="AG1630" s="631"/>
      <c r="AH1630" s="631"/>
      <c r="AI1630" s="631"/>
      <c r="AJ1630" s="631"/>
      <c r="AK1630" s="631"/>
      <c r="AL1630" s="631"/>
      <c r="AM1630" s="631"/>
      <c r="AN1630" s="631"/>
      <c r="AO1630" s="97"/>
      <c r="AP1630" s="97"/>
      <c r="AQ1630" s="97"/>
      <c r="AR1630" s="70"/>
      <c r="AS1630" s="70"/>
    </row>
    <row r="1631" spans="1:58" s="71" customFormat="1" ht="15" customHeight="1">
      <c r="A1631" s="555" t="s">
        <v>2978</v>
      </c>
      <c r="B1631" s="217" t="str">
        <f t="shared" si="2051"/>
        <v>100</v>
      </c>
      <c r="C1631" s="217" t="str">
        <f t="shared" si="2052"/>
        <v>63</v>
      </c>
      <c r="D1631" s="101" t="str">
        <f t="shared" si="2053"/>
        <v>632</v>
      </c>
      <c r="E1631" s="217" t="str">
        <f t="shared" si="2054"/>
        <v>100-63-632</v>
      </c>
      <c r="F1631" s="294" t="str">
        <f t="shared" si="2055"/>
        <v>53515</v>
      </c>
      <c r="G1631" s="295" t="str">
        <f>VLOOKUP(F1631,'GL Category'!A:C,3,FALSE)</f>
        <v>Services &amp; other</v>
      </c>
      <c r="H1631" s="98" t="str">
        <f>VLOOKUP(F1631,'GL Category'!A:C,2,FALSE)</f>
        <v>TRAVEL, TRAINING &amp; EDUCATION</v>
      </c>
      <c r="I1631" s="99">
        <f>SUMIF(Import!$B:$B,$A1631,Import!D:D)</f>
        <v>1024.3499999999999</v>
      </c>
      <c r="J1631" s="99">
        <f>SUMIF(Import!$B:$B,$A1631,Import!E:E)</f>
        <v>0</v>
      </c>
      <c r="K1631" s="99">
        <f>SUMIF(Import!$B:$B,$A1631,Import!F:F)</f>
        <v>590</v>
      </c>
      <c r="L1631" s="99">
        <f>SUMIF(Import!$B:$B,$A1631,Import!G:G)</f>
        <v>1720</v>
      </c>
      <c r="M1631" s="99">
        <f>SUMIF(Import!$B:$B,$A1631,Import!H:H)</f>
        <v>2000</v>
      </c>
      <c r="N1631" s="99">
        <f>SUMIF(Import!$B:$B,$A1631,Import!I:I)</f>
        <v>1588</v>
      </c>
      <c r="O1631" s="99">
        <f>SUMIF(Import!$B:$B,$A1631,Import!J:J)</f>
        <v>1600</v>
      </c>
      <c r="P1631" s="99">
        <f t="shared" ref="P1631:P1639" si="2060">O1631-M1631</f>
        <v>-400</v>
      </c>
      <c r="Q1631" s="99">
        <f>SUMIF(Import!$B:$B,$A1631,Import!K:K)</f>
        <v>2000</v>
      </c>
      <c r="R1631" s="99">
        <f>SUMIF(Import!$B:$B,$A1631,Import!L:L)</f>
        <v>0</v>
      </c>
      <c r="S1631" s="99">
        <f>SUMIF(Import!$B:$B,$A1631,Import!M:M)</f>
        <v>0</v>
      </c>
      <c r="T1631" s="99">
        <f>SUMIF(Import!$B:$B,$A1631,Import!N:N)</f>
        <v>2000</v>
      </c>
      <c r="U1631" s="99">
        <f t="shared" ref="U1631:U1639" si="2061">T1631-M1631</f>
        <v>0</v>
      </c>
      <c r="V1631" s="255">
        <f t="shared" ref="V1631:V1639" si="2062">IF(M1631=0,"N/A",T1631/M1631-1)</f>
        <v>0</v>
      </c>
      <c r="W1631" s="102" t="s">
        <v>2978</v>
      </c>
      <c r="X1631" s="102"/>
      <c r="Y1631" s="102"/>
      <c r="Z1631" s="200"/>
      <c r="AA1631" s="615"/>
      <c r="AB1631" s="631"/>
      <c r="AC1631" s="631"/>
      <c r="AD1631" s="631"/>
      <c r="AE1631" s="631"/>
      <c r="AF1631" s="631"/>
      <c r="AG1631" s="631"/>
      <c r="AH1631" s="631"/>
      <c r="AI1631" s="631"/>
      <c r="AJ1631" s="631"/>
      <c r="AK1631" s="631"/>
      <c r="AL1631" s="631"/>
      <c r="AM1631" s="631"/>
      <c r="AN1631" s="631"/>
      <c r="AO1631" s="97"/>
      <c r="AP1631" s="97"/>
      <c r="AQ1631" s="97"/>
      <c r="AR1631" s="70"/>
      <c r="AS1631" s="70"/>
    </row>
    <row r="1632" spans="1:58" s="71" customFormat="1" ht="15" customHeight="1">
      <c r="A1632" s="555" t="s">
        <v>2979</v>
      </c>
      <c r="B1632" s="217" t="str">
        <f t="shared" si="2051"/>
        <v>100</v>
      </c>
      <c r="C1632" s="217" t="str">
        <f t="shared" si="2052"/>
        <v>63</v>
      </c>
      <c r="D1632" s="101" t="str">
        <f t="shared" si="2053"/>
        <v>632</v>
      </c>
      <c r="E1632" s="217" t="str">
        <f t="shared" si="2054"/>
        <v>100-63-632</v>
      </c>
      <c r="F1632" s="294" t="str">
        <f t="shared" si="2055"/>
        <v>53524</v>
      </c>
      <c r="G1632" s="295" t="str">
        <f>VLOOKUP(F1632,'GL Category'!A:C,3,FALSE)</f>
        <v>Services &amp; other</v>
      </c>
      <c r="H1632" s="98" t="str">
        <f>VLOOKUP(F1632,'GL Category'!A:C,2,FALSE)</f>
        <v>EQUIPMENT RENTAL</v>
      </c>
      <c r="I1632" s="99">
        <f>SUMIF(Import!$B:$B,$A1632,Import!D:D)</f>
        <v>2507.59</v>
      </c>
      <c r="J1632" s="99">
        <f>SUMIF(Import!$B:$B,$A1632,Import!E:E)</f>
        <v>3239.1099999999997</v>
      </c>
      <c r="K1632" s="99">
        <f>SUMIF(Import!$B:$B,$A1632,Import!F:F)</f>
        <v>0</v>
      </c>
      <c r="L1632" s="99">
        <f>SUMIF(Import!$B:$B,$A1632,Import!G:G)</f>
        <v>270</v>
      </c>
      <c r="M1632" s="99">
        <f>SUMIF(Import!$B:$B,$A1632,Import!H:H)</f>
        <v>2500</v>
      </c>
      <c r="N1632" s="99">
        <f>SUMIF(Import!$B:$B,$A1632,Import!I:I)</f>
        <v>685.26</v>
      </c>
      <c r="O1632" s="99">
        <f>SUMIF(Import!$B:$B,$A1632,Import!J:J)</f>
        <v>1200</v>
      </c>
      <c r="P1632" s="99">
        <f t="shared" si="2060"/>
        <v>-1300</v>
      </c>
      <c r="Q1632" s="99">
        <f>SUMIF(Import!$B:$B,$A1632,Import!K:K)</f>
        <v>1000</v>
      </c>
      <c r="R1632" s="99">
        <f>SUMIF(Import!$B:$B,$A1632,Import!L:L)</f>
        <v>0</v>
      </c>
      <c r="S1632" s="99">
        <f>SUMIF(Import!$B:$B,$A1632,Import!M:M)</f>
        <v>0</v>
      </c>
      <c r="T1632" s="99">
        <f>SUMIF(Import!$B:$B,$A1632,Import!N:N)</f>
        <v>1000</v>
      </c>
      <c r="U1632" s="99">
        <f t="shared" si="2061"/>
        <v>-1500</v>
      </c>
      <c r="V1632" s="255">
        <f t="shared" si="2062"/>
        <v>-0.6</v>
      </c>
      <c r="W1632" s="102" t="s">
        <v>2979</v>
      </c>
      <c r="X1632" s="102"/>
      <c r="Y1632" s="102"/>
      <c r="Z1632" s="200"/>
      <c r="AA1632" s="615"/>
      <c r="AB1632" s="631"/>
      <c r="AC1632" s="631"/>
      <c r="AD1632" s="631"/>
      <c r="AE1632" s="631"/>
      <c r="AF1632" s="631"/>
      <c r="AG1632" s="631"/>
      <c r="AH1632" s="631"/>
      <c r="AI1632" s="631"/>
      <c r="AJ1632" s="631"/>
      <c r="AK1632" s="631"/>
      <c r="AL1632" s="631"/>
      <c r="AM1632" s="631"/>
      <c r="AN1632" s="631"/>
      <c r="AO1632" s="97"/>
      <c r="AP1632" s="97"/>
      <c r="AQ1632" s="97"/>
      <c r="AR1632" s="70"/>
      <c r="AS1632" s="70"/>
    </row>
    <row r="1633" spans="1:45" s="71" customFormat="1" ht="15" customHeight="1">
      <c r="A1633" s="555" t="s">
        <v>2980</v>
      </c>
      <c r="B1633" s="217" t="str">
        <f t="shared" si="2051"/>
        <v>100</v>
      </c>
      <c r="C1633" s="217" t="str">
        <f t="shared" si="2052"/>
        <v>63</v>
      </c>
      <c r="D1633" s="101" t="str">
        <f t="shared" si="2053"/>
        <v>632</v>
      </c>
      <c r="E1633" s="217" t="str">
        <f t="shared" si="2054"/>
        <v>100-63-632</v>
      </c>
      <c r="F1633" s="294" t="str">
        <f t="shared" si="2055"/>
        <v>53525</v>
      </c>
      <c r="G1633" s="295" t="str">
        <f>VLOOKUP(F1633,'GL Category'!A:C,3,FALSE)</f>
        <v>Services &amp; other</v>
      </c>
      <c r="H1633" s="98" t="str">
        <f>VLOOKUP(F1633,'GL Category'!A:C,2,FALSE)</f>
        <v>LANDSCAPE SERVICES</v>
      </c>
      <c r="I1633" s="99">
        <f>SUMIF(Import!$B:$B,$A1633,Import!D:D)</f>
        <v>398378.96</v>
      </c>
      <c r="J1633" s="99">
        <f>SUMIF(Import!$B:$B,$A1633,Import!E:E)</f>
        <v>403885.19</v>
      </c>
      <c r="K1633" s="99">
        <f>SUMIF(Import!$B:$B,$A1633,Import!F:F)</f>
        <v>380524.26</v>
      </c>
      <c r="L1633" s="99">
        <f>SUMIF(Import!$B:$B,$A1633,Import!G:G)</f>
        <v>412937.27</v>
      </c>
      <c r="M1633" s="99">
        <f>SUMIF(Import!$B:$B,$A1633,Import!H:H)</f>
        <v>463400</v>
      </c>
      <c r="N1633" s="99">
        <f>SUMIF(Import!$B:$B,$A1633,Import!I:I)</f>
        <v>321274.53999999998</v>
      </c>
      <c r="O1633" s="99">
        <f>SUMIF(Import!$B:$B,$A1633,Import!J:J)</f>
        <v>463400</v>
      </c>
      <c r="P1633" s="99">
        <f t="shared" si="2060"/>
        <v>0</v>
      </c>
      <c r="Q1633" s="99">
        <f>SUMIF(Import!$B:$B,$A1633,Import!K:K)</f>
        <v>495000</v>
      </c>
      <c r="R1633" s="99">
        <f>SUMIF(Import!$B:$B,$A1633,Import!L:L)</f>
        <v>0</v>
      </c>
      <c r="S1633" s="99">
        <f>SUMIF(Import!$B:$B,$A1633,Import!M:M)</f>
        <v>0</v>
      </c>
      <c r="T1633" s="99">
        <f>SUMIF(Import!$B:$B,$A1633,Import!N:N)</f>
        <v>495000</v>
      </c>
      <c r="U1633" s="99">
        <f t="shared" si="2061"/>
        <v>31600</v>
      </c>
      <c r="V1633" s="255">
        <f t="shared" si="2062"/>
        <v>6.8191627104013719E-2</v>
      </c>
      <c r="W1633" s="102" t="s">
        <v>2980</v>
      </c>
      <c r="X1633" s="102"/>
      <c r="Y1633" s="102"/>
      <c r="Z1633" s="200"/>
      <c r="AA1633" s="615"/>
      <c r="AB1633" s="631"/>
      <c r="AC1633" s="631"/>
      <c r="AD1633" s="631"/>
      <c r="AE1633" s="631"/>
      <c r="AF1633" s="631"/>
      <c r="AG1633" s="631"/>
      <c r="AH1633" s="631"/>
      <c r="AI1633" s="631"/>
      <c r="AJ1633" s="631"/>
      <c r="AK1633" s="631"/>
      <c r="AL1633" s="631"/>
      <c r="AM1633" s="631"/>
      <c r="AN1633" s="631"/>
      <c r="AO1633" s="97"/>
      <c r="AP1633" s="97"/>
      <c r="AQ1633" s="97"/>
      <c r="AR1633" s="70"/>
      <c r="AS1633" s="70"/>
    </row>
    <row r="1634" spans="1:45" s="71" customFormat="1" ht="15" customHeight="1">
      <c r="A1634" s="555" t="s">
        <v>2981</v>
      </c>
      <c r="B1634" s="217" t="str">
        <f t="shared" si="2051"/>
        <v>100</v>
      </c>
      <c r="C1634" s="217" t="str">
        <f t="shared" si="2052"/>
        <v>63</v>
      </c>
      <c r="D1634" s="101" t="str">
        <f t="shared" si="2053"/>
        <v>632</v>
      </c>
      <c r="E1634" s="217" t="str">
        <f t="shared" si="2054"/>
        <v>100-63-632</v>
      </c>
      <c r="F1634" s="294" t="str">
        <f t="shared" si="2055"/>
        <v>53529</v>
      </c>
      <c r="G1634" s="295" t="str">
        <f>VLOOKUP(F1634,'GL Category'!A:C,3,FALSE)</f>
        <v>Services &amp; other</v>
      </c>
      <c r="H1634" s="98" t="str">
        <f>VLOOKUP(F1634,'GL Category'!A:C,2,FALSE)</f>
        <v>JANITORIAL SERVICES</v>
      </c>
      <c r="I1634" s="99">
        <f>SUMIF(Import!$B:$B,$A1634,Import!D:D)</f>
        <v>52712.71</v>
      </c>
      <c r="J1634" s="99">
        <f>SUMIF(Import!$B:$B,$A1634,Import!E:E)</f>
        <v>36834.449999999997</v>
      </c>
      <c r="K1634" s="99">
        <f>SUMIF(Import!$B:$B,$A1634,Import!F:F)</f>
        <v>23561.82</v>
      </c>
      <c r="L1634" s="99">
        <f>SUMIF(Import!$B:$B,$A1634,Import!G:G)</f>
        <v>24080</v>
      </c>
      <c r="M1634" s="99">
        <f>SUMIF(Import!$B:$B,$A1634,Import!H:H)</f>
        <v>44600</v>
      </c>
      <c r="N1634" s="99">
        <f>SUMIF(Import!$B:$B,$A1634,Import!I:I)</f>
        <v>24289.9</v>
      </c>
      <c r="O1634" s="99">
        <f>SUMIF(Import!$B:$B,$A1634,Import!J:J)</f>
        <v>37000</v>
      </c>
      <c r="P1634" s="99">
        <f t="shared" si="2060"/>
        <v>-7600</v>
      </c>
      <c r="Q1634" s="99">
        <f>SUMIF(Import!$B:$B,$A1634,Import!K:K)</f>
        <v>35000</v>
      </c>
      <c r="R1634" s="99">
        <f>SUMIF(Import!$B:$B,$A1634,Import!L:L)</f>
        <v>0</v>
      </c>
      <c r="S1634" s="99">
        <f>SUMIF(Import!$B:$B,$A1634,Import!M:M)</f>
        <v>0</v>
      </c>
      <c r="T1634" s="99">
        <f>SUMIF(Import!$B:$B,$A1634,Import!N:N)</f>
        <v>35000</v>
      </c>
      <c r="U1634" s="99">
        <f t="shared" si="2061"/>
        <v>-9600</v>
      </c>
      <c r="V1634" s="255">
        <f t="shared" si="2062"/>
        <v>-0.2152466367713004</v>
      </c>
      <c r="W1634" s="102" t="s">
        <v>2981</v>
      </c>
      <c r="X1634" s="102"/>
      <c r="Y1634" s="102"/>
      <c r="Z1634" s="200"/>
      <c r="AA1634" s="615"/>
      <c r="AB1634" s="631"/>
      <c r="AC1634" s="631"/>
      <c r="AD1634" s="631"/>
      <c r="AE1634" s="631"/>
      <c r="AF1634" s="631"/>
      <c r="AG1634" s="631"/>
      <c r="AH1634" s="631"/>
      <c r="AI1634" s="631"/>
      <c r="AJ1634" s="631"/>
      <c r="AK1634" s="631"/>
      <c r="AL1634" s="631"/>
      <c r="AM1634" s="631"/>
      <c r="AN1634" s="631"/>
      <c r="AO1634" s="97"/>
      <c r="AP1634" s="97"/>
      <c r="AQ1634" s="97"/>
      <c r="AR1634" s="70"/>
      <c r="AS1634" s="70"/>
    </row>
    <row r="1635" spans="1:45" s="71" customFormat="1" ht="15" customHeight="1">
      <c r="A1635" s="555" t="s">
        <v>2977</v>
      </c>
      <c r="B1635" s="217" t="str">
        <f t="shared" si="2051"/>
        <v>100</v>
      </c>
      <c r="C1635" s="217" t="str">
        <f t="shared" si="2052"/>
        <v>63</v>
      </c>
      <c r="D1635" s="101" t="str">
        <f t="shared" si="2053"/>
        <v>632</v>
      </c>
      <c r="E1635" s="217" t="str">
        <f t="shared" si="2054"/>
        <v>100-63-632</v>
      </c>
      <c r="F1635" s="294" t="str">
        <f t="shared" si="2055"/>
        <v>53599</v>
      </c>
      <c r="G1635" s="295" t="str">
        <f>VLOOKUP(F1635,'GL Category'!A:C,3,FALSE)</f>
        <v>Services &amp; other</v>
      </c>
      <c r="H1635" s="98" t="str">
        <f>VLOOKUP(F1635,'GL Category'!A:C,2,FALSE)</f>
        <v>MISCELLANEOUS SERVICES</v>
      </c>
      <c r="I1635" s="99">
        <f>SUMIF(Import!$B:$B,$A1635,Import!D:D)</f>
        <v>35353.89</v>
      </c>
      <c r="J1635" s="99">
        <f>SUMIF(Import!$B:$B,$A1635,Import!E:E)</f>
        <v>27028.14</v>
      </c>
      <c r="K1635" s="99">
        <f>SUMIF(Import!$B:$B,$A1635,Import!F:F)</f>
        <v>26887.71</v>
      </c>
      <c r="L1635" s="99">
        <f>SUMIF(Import!$B:$B,$A1635,Import!G:G)</f>
        <v>37827.24</v>
      </c>
      <c r="M1635" s="99">
        <f>SUMIF(Import!$B:$B,$A1635,Import!H:H)</f>
        <v>49000</v>
      </c>
      <c r="N1635" s="99">
        <f>SUMIF(Import!$B:$B,$A1635,Import!I:I)</f>
        <v>41617.29</v>
      </c>
      <c r="O1635" s="99">
        <f>SUMIF(Import!$B:$B,$A1635,Import!J:J)</f>
        <v>48300</v>
      </c>
      <c r="P1635" s="99">
        <f t="shared" si="2060"/>
        <v>-700</v>
      </c>
      <c r="Q1635" s="99">
        <f>SUMIF(Import!$B:$B,$A1635,Import!K:K)</f>
        <v>55000</v>
      </c>
      <c r="R1635" s="99">
        <f>SUMIF(Import!$B:$B,$A1635,Import!L:L)</f>
        <v>0</v>
      </c>
      <c r="S1635" s="99">
        <f>SUMIF(Import!$B:$B,$A1635,Import!M:M)</f>
        <v>0</v>
      </c>
      <c r="T1635" s="99">
        <f>SUMIF(Import!$B:$B,$A1635,Import!N:N)</f>
        <v>55000</v>
      </c>
      <c r="U1635" s="99">
        <f t="shared" si="2061"/>
        <v>6000</v>
      </c>
      <c r="V1635" s="255">
        <f t="shared" si="2062"/>
        <v>0.12244897959183665</v>
      </c>
      <c r="W1635" s="102" t="s">
        <v>2977</v>
      </c>
      <c r="X1635" s="102"/>
      <c r="Y1635" s="102"/>
      <c r="Z1635" s="200"/>
      <c r="AA1635" s="615"/>
      <c r="AB1635" s="631"/>
      <c r="AC1635" s="631"/>
      <c r="AD1635" s="631"/>
      <c r="AE1635" s="631"/>
      <c r="AF1635" s="631"/>
      <c r="AG1635" s="631"/>
      <c r="AH1635" s="631"/>
      <c r="AI1635" s="631"/>
      <c r="AJ1635" s="631"/>
      <c r="AK1635" s="631"/>
      <c r="AL1635" s="631"/>
      <c r="AM1635" s="631"/>
      <c r="AN1635" s="631"/>
      <c r="AO1635" s="97"/>
      <c r="AP1635" s="97"/>
      <c r="AQ1635" s="97"/>
      <c r="AR1635" s="70"/>
      <c r="AS1635" s="70"/>
    </row>
    <row r="1636" spans="1:45" s="71" customFormat="1" ht="15" customHeight="1">
      <c r="A1636" s="555" t="s">
        <v>2982</v>
      </c>
      <c r="B1636" s="217" t="str">
        <f t="shared" si="2051"/>
        <v>100</v>
      </c>
      <c r="C1636" s="217" t="str">
        <f t="shared" si="2052"/>
        <v>63</v>
      </c>
      <c r="D1636" s="101" t="str">
        <f t="shared" si="2053"/>
        <v>632</v>
      </c>
      <c r="E1636" s="217" t="str">
        <f t="shared" si="2054"/>
        <v>100-63-632</v>
      </c>
      <c r="F1636" s="294" t="str">
        <f t="shared" si="2055"/>
        <v>53572</v>
      </c>
      <c r="G1636" s="295" t="str">
        <f>VLOOKUP(F1636,'GL Category'!A:C,3,FALSE)</f>
        <v>Services &amp; other</v>
      </c>
      <c r="H1636" s="98" t="str">
        <f>VLOOKUP(F1636,'GL Category'!A:C,2,FALSE)</f>
        <v>ELECTRICAL UTILITY SERVICE</v>
      </c>
      <c r="I1636" s="99">
        <f>SUMIF(Import!$B:$B,$A1636,Import!D:D)</f>
        <v>13211.14</v>
      </c>
      <c r="J1636" s="99">
        <f>SUMIF(Import!$B:$B,$A1636,Import!E:E)</f>
        <v>34128.83</v>
      </c>
      <c r="K1636" s="99">
        <f>SUMIF(Import!$B:$B,$A1636,Import!F:F)</f>
        <v>15136.24</v>
      </c>
      <c r="L1636" s="99">
        <f>SUMIF(Import!$B:$B,$A1636,Import!G:G)</f>
        <v>14498.34</v>
      </c>
      <c r="M1636" s="99">
        <f>SUMIF(Import!$B:$B,$A1636,Import!H:H)</f>
        <v>15400</v>
      </c>
      <c r="N1636" s="99">
        <f>SUMIF(Import!$B:$B,$A1636,Import!I:I)</f>
        <v>10549.81</v>
      </c>
      <c r="O1636" s="99">
        <f>SUMIF(Import!$B:$B,$A1636,Import!J:J)</f>
        <v>15000</v>
      </c>
      <c r="P1636" s="99">
        <f t="shared" si="2060"/>
        <v>-400</v>
      </c>
      <c r="Q1636" s="99">
        <f>SUMIF(Import!$B:$B,$A1636,Import!K:K)</f>
        <v>15000</v>
      </c>
      <c r="R1636" s="99">
        <f>SUMIF(Import!$B:$B,$A1636,Import!L:L)</f>
        <v>0</v>
      </c>
      <c r="S1636" s="99">
        <f>SUMIF(Import!$B:$B,$A1636,Import!M:M)</f>
        <v>0</v>
      </c>
      <c r="T1636" s="99">
        <f>SUMIF(Import!$B:$B,$A1636,Import!N:N)</f>
        <v>15000</v>
      </c>
      <c r="U1636" s="99">
        <f t="shared" si="2061"/>
        <v>-400</v>
      </c>
      <c r="V1636" s="255">
        <f t="shared" si="2062"/>
        <v>-2.5974025974025983E-2</v>
      </c>
      <c r="W1636" s="102" t="s">
        <v>2982</v>
      </c>
      <c r="X1636" s="102"/>
      <c r="Y1636" s="102"/>
      <c r="Z1636" s="200"/>
      <c r="AA1636" s="615"/>
      <c r="AB1636" s="631"/>
      <c r="AC1636" s="631"/>
      <c r="AD1636" s="631"/>
      <c r="AE1636" s="631"/>
      <c r="AF1636" s="631"/>
      <c r="AG1636" s="631"/>
      <c r="AH1636" s="631"/>
      <c r="AI1636" s="631"/>
      <c r="AJ1636" s="631"/>
      <c r="AK1636" s="631"/>
      <c r="AL1636" s="631"/>
      <c r="AM1636" s="631"/>
      <c r="AN1636" s="631"/>
      <c r="AO1636" s="97"/>
      <c r="AP1636" s="97"/>
      <c r="AQ1636" s="97"/>
      <c r="AR1636" s="70"/>
      <c r="AS1636" s="70"/>
    </row>
    <row r="1637" spans="1:45" s="71" customFormat="1" ht="15" customHeight="1">
      <c r="A1637" s="555" t="s">
        <v>2983</v>
      </c>
      <c r="B1637" s="217" t="str">
        <f t="shared" si="2051"/>
        <v>100</v>
      </c>
      <c r="C1637" s="217" t="str">
        <f t="shared" si="2052"/>
        <v>63</v>
      </c>
      <c r="D1637" s="101" t="str">
        <f t="shared" si="2053"/>
        <v>632</v>
      </c>
      <c r="E1637" s="217" t="str">
        <f t="shared" si="2054"/>
        <v>100-63-632</v>
      </c>
      <c r="F1637" s="294" t="str">
        <f t="shared" si="2055"/>
        <v>53574</v>
      </c>
      <c r="G1637" s="295" t="str">
        <f>VLOOKUP(F1637,'GL Category'!A:C,3,FALSE)</f>
        <v>Services &amp; other</v>
      </c>
      <c r="H1637" s="98" t="str">
        <f>VLOOKUP(F1637,'GL Category'!A:C,2,FALSE)</f>
        <v>WATER/SEWER UTILITY SERVICE</v>
      </c>
      <c r="I1637" s="99">
        <f>SUMIF(Import!$B:$B,$A1637,Import!D:D)</f>
        <v>117859.14</v>
      </c>
      <c r="J1637" s="99">
        <f>SUMIF(Import!$B:$B,$A1637,Import!E:E)</f>
        <v>115549.3</v>
      </c>
      <c r="K1637" s="99">
        <f>SUMIF(Import!$B:$B,$A1637,Import!F:F)</f>
        <v>108212.38</v>
      </c>
      <c r="L1637" s="99">
        <f>SUMIF(Import!$B:$B,$A1637,Import!G:G)</f>
        <v>114822.89</v>
      </c>
      <c r="M1637" s="99">
        <f>SUMIF(Import!$B:$B,$A1637,Import!H:H)</f>
        <v>121250</v>
      </c>
      <c r="N1637" s="99">
        <f>SUMIF(Import!$B:$B,$A1637,Import!I:I)</f>
        <v>99531.15</v>
      </c>
      <c r="O1637" s="99">
        <f>SUMIF(Import!$B:$B,$A1637,Import!J:J)</f>
        <v>110000</v>
      </c>
      <c r="P1637" s="99">
        <f t="shared" si="2060"/>
        <v>-11250</v>
      </c>
      <c r="Q1637" s="99">
        <f>SUMIF(Import!$B:$B,$A1637,Import!K:K)</f>
        <v>121250</v>
      </c>
      <c r="R1637" s="99">
        <f>SUMIF(Import!$B:$B,$A1637,Import!L:L)</f>
        <v>0</v>
      </c>
      <c r="S1637" s="99">
        <f>SUMIF(Import!$B:$B,$A1637,Import!M:M)</f>
        <v>0</v>
      </c>
      <c r="T1637" s="99">
        <f>SUMIF(Import!$B:$B,$A1637,Import!N:N)</f>
        <v>121250</v>
      </c>
      <c r="U1637" s="99">
        <f t="shared" si="2061"/>
        <v>0</v>
      </c>
      <c r="V1637" s="255">
        <f t="shared" si="2062"/>
        <v>0</v>
      </c>
      <c r="W1637" s="102" t="s">
        <v>2983</v>
      </c>
      <c r="X1637" s="102"/>
      <c r="Y1637" s="102"/>
      <c r="Z1637" s="200"/>
      <c r="AA1637" s="615"/>
      <c r="AB1637" s="631"/>
      <c r="AC1637" s="631"/>
      <c r="AD1637" s="631"/>
      <c r="AE1637" s="631"/>
      <c r="AF1637" s="631"/>
      <c r="AG1637" s="631"/>
      <c r="AH1637" s="631"/>
      <c r="AI1637" s="631"/>
      <c r="AJ1637" s="631"/>
      <c r="AK1637" s="631"/>
      <c r="AL1637" s="631"/>
      <c r="AM1637" s="631"/>
      <c r="AN1637" s="631"/>
      <c r="AO1637" s="97"/>
      <c r="AP1637" s="97"/>
      <c r="AQ1637" s="97"/>
      <c r="AR1637" s="70"/>
      <c r="AS1637" s="70"/>
    </row>
    <row r="1638" spans="1:45" s="71" customFormat="1" ht="15" customHeight="1">
      <c r="A1638" s="555" t="s">
        <v>2984</v>
      </c>
      <c r="B1638" s="217" t="str">
        <f t="shared" si="2051"/>
        <v>100</v>
      </c>
      <c r="C1638" s="217" t="str">
        <f t="shared" si="2052"/>
        <v>63</v>
      </c>
      <c r="D1638" s="101" t="str">
        <f t="shared" si="2053"/>
        <v>632</v>
      </c>
      <c r="E1638" s="217" t="str">
        <f t="shared" si="2054"/>
        <v>100-63-632</v>
      </c>
      <c r="F1638" s="294" t="str">
        <f t="shared" si="2055"/>
        <v>55175</v>
      </c>
      <c r="G1638" s="295" t="str">
        <f>VLOOKUP(F1638,'GL Category'!A:C,3,FALSE)</f>
        <v>Services &amp; other</v>
      </c>
      <c r="H1638" s="98" t="str">
        <f>VLOOKUP(F1638,'GL Category'!A:C,2,FALSE)</f>
        <v>VEHICLE/EQUIP LEASE EXP-CITY</v>
      </c>
      <c r="I1638" s="99">
        <f>SUMIF(Import!$B:$B,$A1638,Import!D:D)</f>
        <v>13167</v>
      </c>
      <c r="J1638" s="99">
        <f>SUMIF(Import!$B:$B,$A1638,Import!E:E)</f>
        <v>34662</v>
      </c>
      <c r="K1638" s="99">
        <f>SUMIF(Import!$B:$B,$A1638,Import!F:F)</f>
        <v>23594</v>
      </c>
      <c r="L1638" s="99">
        <f>SUMIF(Import!$B:$B,$A1638,Import!G:G)</f>
        <v>48044</v>
      </c>
      <c r="M1638" s="99">
        <f>SUMIF(Import!$B:$B,$A1638,Import!H:H)</f>
        <v>46924</v>
      </c>
      <c r="N1638" s="99">
        <f>SUMIF(Import!$B:$B,$A1638,Import!I:I)</f>
        <v>35193</v>
      </c>
      <c r="O1638" s="99">
        <f>SUMIF(Import!$B:$B,$A1638,Import!J:J)</f>
        <v>46924</v>
      </c>
      <c r="P1638" s="99">
        <f t="shared" si="2060"/>
        <v>0</v>
      </c>
      <c r="Q1638" s="99">
        <f>SUMIF(Import!$B:$B,$A1638,Import!K:K)</f>
        <v>40553</v>
      </c>
      <c r="R1638" s="99">
        <f>SUMIF(Import!$B:$B,$A1638,Import!L:L)</f>
        <v>0</v>
      </c>
      <c r="S1638" s="99">
        <f>SUMIF(Import!$B:$B,$A1638,Import!M:M)</f>
        <v>0</v>
      </c>
      <c r="T1638" s="99">
        <f>SUMIF(Import!$B:$B,$A1638,Import!N:N)</f>
        <v>40553</v>
      </c>
      <c r="U1638" s="99">
        <f t="shared" si="2061"/>
        <v>-6371</v>
      </c>
      <c r="V1638" s="255">
        <f t="shared" si="2062"/>
        <v>-0.13577273889693975</v>
      </c>
      <c r="W1638" s="102" t="s">
        <v>2984</v>
      </c>
      <c r="X1638" s="102"/>
      <c r="Y1638" s="102"/>
      <c r="Z1638" s="200"/>
      <c r="AA1638" s="615"/>
      <c r="AB1638" s="631"/>
      <c r="AC1638" s="631"/>
      <c r="AD1638" s="631"/>
      <c r="AE1638" s="631"/>
      <c r="AF1638" s="631"/>
      <c r="AG1638" s="631"/>
      <c r="AH1638" s="631"/>
      <c r="AI1638" s="631"/>
      <c r="AJ1638" s="631"/>
      <c r="AK1638" s="631"/>
      <c r="AL1638" s="631"/>
      <c r="AM1638" s="631"/>
      <c r="AN1638" s="631"/>
      <c r="AO1638" s="97"/>
      <c r="AP1638" s="97"/>
      <c r="AQ1638" s="97"/>
      <c r="AR1638" s="70"/>
      <c r="AS1638" s="70"/>
    </row>
    <row r="1639" spans="1:45" s="71" customFormat="1" ht="15" customHeight="1">
      <c r="A1639" s="555" t="s">
        <v>2985</v>
      </c>
      <c r="B1639" s="217" t="str">
        <f t="shared" si="2051"/>
        <v>100</v>
      </c>
      <c r="C1639" s="217" t="str">
        <f t="shared" si="2052"/>
        <v>63</v>
      </c>
      <c r="D1639" s="101" t="str">
        <f t="shared" si="2053"/>
        <v>632</v>
      </c>
      <c r="E1639" s="217" t="str">
        <f t="shared" si="2054"/>
        <v>100-63-632</v>
      </c>
      <c r="F1639" s="294" t="str">
        <f t="shared" si="2055"/>
        <v>55119</v>
      </c>
      <c r="G1639" s="295" t="str">
        <f>VLOOKUP(F1639,'GL Category'!A:C,3,FALSE)</f>
        <v>Services &amp; other</v>
      </c>
      <c r="H1639" s="98" t="str">
        <f>VLOOKUP(F1639,'GL Category'!A:C,2,FALSE)</f>
        <v>OFFICE EQUIP LEASE EXP-CITY</v>
      </c>
      <c r="I1639" s="99">
        <f>SUMIF(Import!$B:$B,$A1639,Import!D:D)</f>
        <v>16228</v>
      </c>
      <c r="J1639" s="99">
        <f>SUMIF(Import!$B:$B,$A1639,Import!E:E)</f>
        <v>20626</v>
      </c>
      <c r="K1639" s="99">
        <f>SUMIF(Import!$B:$B,$A1639,Import!F:F)</f>
        <v>15775</v>
      </c>
      <c r="L1639" s="99">
        <f>SUMIF(Import!$B:$B,$A1639,Import!G:G)</f>
        <v>17397</v>
      </c>
      <c r="M1639" s="99">
        <f>SUMIF(Import!$B:$B,$A1639,Import!H:H)</f>
        <v>12390</v>
      </c>
      <c r="N1639" s="99">
        <f>SUMIF(Import!$B:$B,$A1639,Import!I:I)</f>
        <v>9292.5</v>
      </c>
      <c r="O1639" s="99">
        <f>SUMIF(Import!$B:$B,$A1639,Import!J:J)</f>
        <v>12390</v>
      </c>
      <c r="P1639" s="99">
        <f t="shared" si="2060"/>
        <v>0</v>
      </c>
      <c r="Q1639" s="99">
        <f>SUMIF(Import!$B:$B,$A1639,Import!K:K)</f>
        <v>13612</v>
      </c>
      <c r="R1639" s="99">
        <f>SUMIF(Import!$B:$B,$A1639,Import!L:L)</f>
        <v>0</v>
      </c>
      <c r="S1639" s="99">
        <f>SUMIF(Import!$B:$B,$A1639,Import!M:M)</f>
        <v>0</v>
      </c>
      <c r="T1639" s="99">
        <f>SUMIF(Import!$B:$B,$A1639,Import!N:N)</f>
        <v>13612</v>
      </c>
      <c r="U1639" s="99">
        <f t="shared" si="2061"/>
        <v>1222</v>
      </c>
      <c r="V1639" s="255">
        <f t="shared" si="2062"/>
        <v>9.8627925746569867E-2</v>
      </c>
      <c r="W1639" s="102" t="s">
        <v>2985</v>
      </c>
      <c r="X1639" s="102"/>
      <c r="Y1639" s="102"/>
      <c r="Z1639" s="200"/>
      <c r="AA1639" s="615"/>
      <c r="AB1639" s="631"/>
      <c r="AC1639" s="631"/>
      <c r="AD1639" s="631"/>
      <c r="AE1639" s="631"/>
      <c r="AF1639" s="631"/>
      <c r="AG1639" s="631"/>
      <c r="AH1639" s="631"/>
      <c r="AI1639" s="631"/>
      <c r="AJ1639" s="631"/>
      <c r="AK1639" s="631"/>
      <c r="AL1639" s="631"/>
      <c r="AM1639" s="631"/>
      <c r="AN1639" s="631"/>
      <c r="AO1639" s="97"/>
      <c r="AP1639" s="97"/>
      <c r="AQ1639" s="97"/>
      <c r="AR1639" s="70"/>
      <c r="AS1639" s="70"/>
    </row>
    <row r="1640" spans="1:45" s="71" customFormat="1" ht="15" customHeight="1">
      <c r="A1640" s="555"/>
      <c r="B1640" s="217"/>
      <c r="C1640" s="217"/>
      <c r="D1640" s="101"/>
      <c r="E1640" s="217"/>
      <c r="F1640" s="294"/>
      <c r="G1640" s="295"/>
      <c r="H1640" s="107" t="str">
        <f>UPPER(G1639)&amp;" TOTAL"</f>
        <v>SERVICES &amp; OTHER TOTAL</v>
      </c>
      <c r="I1640" s="108">
        <f t="shared" ref="I1640" si="2063">SUBTOTAL(9,I1631:I1639)</f>
        <v>650442.78</v>
      </c>
      <c r="J1640" s="108">
        <f t="shared" ref="J1640:T1640" si="2064">SUBTOTAL(9,J1631:J1639)</f>
        <v>675953.02</v>
      </c>
      <c r="K1640" s="108">
        <f t="shared" ref="K1640" si="2065">SUBTOTAL(9,K1631:K1639)</f>
        <v>594281.41</v>
      </c>
      <c r="L1640" s="108">
        <f t="shared" ref="L1640" si="2066">SUBTOTAL(9,L1631:L1639)</f>
        <v>671596.74</v>
      </c>
      <c r="M1640" s="108">
        <f t="shared" si="2064"/>
        <v>757464</v>
      </c>
      <c r="N1640" s="108">
        <f t="shared" ref="N1640" si="2067">SUBTOTAL(9,N1631:N1639)</f>
        <v>544021.44999999995</v>
      </c>
      <c r="O1640" s="108">
        <f t="shared" si="2064"/>
        <v>735814</v>
      </c>
      <c r="P1640" s="108">
        <f t="shared" si="2064"/>
        <v>-21650</v>
      </c>
      <c r="Q1640" s="108">
        <f t="shared" si="2064"/>
        <v>778415</v>
      </c>
      <c r="R1640" s="108">
        <f t="shared" si="2064"/>
        <v>0</v>
      </c>
      <c r="S1640" s="108">
        <f t="shared" si="2064"/>
        <v>0</v>
      </c>
      <c r="T1640" s="108">
        <f t="shared" si="2064"/>
        <v>778415</v>
      </c>
      <c r="U1640" s="99">
        <f>T1640-M1640</f>
        <v>20951</v>
      </c>
      <c r="V1640" s="255">
        <f>IF(M1640=0,"N/A",T1640/M1640-1)</f>
        <v>2.765940031473435E-2</v>
      </c>
      <c r="W1640" s="102"/>
      <c r="X1640" s="102"/>
      <c r="Y1640" s="102"/>
      <c r="Z1640" s="200"/>
      <c r="AA1640" s="615"/>
      <c r="AB1640" s="631"/>
      <c r="AC1640" s="631"/>
      <c r="AD1640" s="631"/>
      <c r="AE1640" s="631"/>
      <c r="AF1640" s="631"/>
      <c r="AG1640" s="631"/>
      <c r="AH1640" s="631"/>
      <c r="AI1640" s="631"/>
      <c r="AJ1640" s="631"/>
      <c r="AK1640" s="631"/>
      <c r="AL1640" s="631"/>
      <c r="AM1640" s="631"/>
      <c r="AN1640" s="631"/>
      <c r="AO1640" s="97"/>
      <c r="AP1640" s="97"/>
      <c r="AQ1640" s="97"/>
      <c r="AR1640" s="70"/>
      <c r="AS1640" s="70"/>
    </row>
    <row r="1641" spans="1:45" s="71" customFormat="1" ht="15" customHeight="1">
      <c r="A1641" s="555"/>
      <c r="B1641" s="217"/>
      <c r="C1641" s="217"/>
      <c r="D1641" s="101"/>
      <c r="E1641" s="217"/>
      <c r="F1641" s="294"/>
      <c r="G1641" s="295"/>
      <c r="H1641" s="232"/>
      <c r="I1641" s="233"/>
      <c r="J1641" s="233"/>
      <c r="K1641" s="233"/>
      <c r="L1641" s="233"/>
      <c r="M1641" s="233"/>
      <c r="N1641" s="233"/>
      <c r="O1641" s="233"/>
      <c r="P1641" s="233"/>
      <c r="Q1641" s="233"/>
      <c r="R1641" s="233"/>
      <c r="S1641" s="233"/>
      <c r="T1641" s="233"/>
      <c r="U1641" s="99"/>
      <c r="V1641" s="255"/>
      <c r="W1641" s="102"/>
      <c r="X1641" s="102"/>
      <c r="Y1641" s="102"/>
      <c r="Z1641" s="200"/>
      <c r="AA1641" s="615"/>
      <c r="AB1641" s="631"/>
      <c r="AC1641" s="631"/>
      <c r="AD1641" s="631"/>
      <c r="AE1641" s="631"/>
      <c r="AF1641" s="631"/>
      <c r="AG1641" s="631"/>
      <c r="AH1641" s="631"/>
      <c r="AI1641" s="631"/>
      <c r="AJ1641" s="631"/>
      <c r="AK1641" s="631"/>
      <c r="AL1641" s="631"/>
      <c r="AM1641" s="631"/>
      <c r="AN1641" s="631"/>
      <c r="AO1641" s="97"/>
      <c r="AP1641" s="97"/>
      <c r="AQ1641" s="97"/>
      <c r="AR1641" s="70"/>
      <c r="AS1641" s="70"/>
    </row>
    <row r="1642" spans="1:45" s="71" customFormat="1" ht="15" customHeight="1">
      <c r="A1642" s="555" t="s">
        <v>2986</v>
      </c>
      <c r="B1642" s="217" t="str">
        <f t="shared" si="2051"/>
        <v>100</v>
      </c>
      <c r="C1642" s="217" t="str">
        <f t="shared" si="2052"/>
        <v>63</v>
      </c>
      <c r="D1642" s="101" t="str">
        <f t="shared" si="2053"/>
        <v>632</v>
      </c>
      <c r="E1642" s="217" t="str">
        <f t="shared" si="2054"/>
        <v>100-63-632</v>
      </c>
      <c r="F1642" s="294" t="str">
        <f t="shared" si="2055"/>
        <v>58830</v>
      </c>
      <c r="G1642" s="295" t="str">
        <f>VLOOKUP(F1642,'GL Category'!A:C,3,FALSE)</f>
        <v>Capital Outlay</v>
      </c>
      <c r="H1642" s="98" t="str">
        <f>VLOOKUP(F1642,'GL Category'!A:C,2,FALSE)</f>
        <v>MACHINERY &amp; EQUIPMENT</v>
      </c>
      <c r="I1642" s="99">
        <f>SUMIF(Import!$B:$B,$A1642,Import!D:D)</f>
        <v>0</v>
      </c>
      <c r="J1642" s="99">
        <f>SUMIF(Import!$B:$B,$A1642,Import!E:E)</f>
        <v>6499</v>
      </c>
      <c r="K1642" s="99">
        <f>SUMIF(Import!$B:$B,$A1642,Import!F:F)</f>
        <v>0</v>
      </c>
      <c r="L1642" s="99">
        <f>SUMIF(Import!$B:$B,$A1642,Import!G:G)</f>
        <v>0</v>
      </c>
      <c r="M1642" s="99">
        <f>SUMIF(Import!$B:$B,$A1642,Import!H:H)</f>
        <v>0</v>
      </c>
      <c r="N1642" s="99">
        <f>SUMIF(Import!$B:$B,$A1642,Import!I:I)</f>
        <v>0</v>
      </c>
      <c r="O1642" s="99">
        <f>SUMIF(Import!$B:$B,$A1642,Import!J:J)</f>
        <v>0</v>
      </c>
      <c r="P1642" s="99">
        <f t="shared" ref="P1642:P1643" si="2068">O1642-M1642</f>
        <v>0</v>
      </c>
      <c r="Q1642" s="99">
        <f>SUMIF(Import!$B:$B,$A1642,Import!K:K)</f>
        <v>0</v>
      </c>
      <c r="R1642" s="99">
        <f>SUMIF(Import!$B:$B,$A1642,Import!L:L)</f>
        <v>0</v>
      </c>
      <c r="S1642" s="99">
        <f>SUMIF(Import!$B:$B,$A1642,Import!M:M)</f>
        <v>0</v>
      </c>
      <c r="T1642" s="99">
        <f>SUMIF(Import!$B:$B,$A1642,Import!N:N)</f>
        <v>0</v>
      </c>
      <c r="U1642" s="99">
        <f t="shared" ref="U1642:U1643" si="2069">T1642-M1642</f>
        <v>0</v>
      </c>
      <c r="V1642" s="255" t="str">
        <f t="shared" ref="V1642:V1643" si="2070">IF(M1642=0,"N/A",T1642/M1642-1)</f>
        <v>N/A</v>
      </c>
      <c r="W1642" s="102" t="s">
        <v>2986</v>
      </c>
      <c r="X1642" s="102"/>
      <c r="Y1642" s="102"/>
      <c r="Z1642" s="200"/>
      <c r="AA1642" s="615"/>
      <c r="AB1642" s="631"/>
      <c r="AC1642" s="631"/>
      <c r="AD1642" s="631"/>
      <c r="AE1642" s="631"/>
      <c r="AF1642" s="631"/>
      <c r="AG1642" s="631"/>
      <c r="AH1642" s="631"/>
      <c r="AI1642" s="631"/>
      <c r="AJ1642" s="631"/>
      <c r="AK1642" s="631"/>
      <c r="AL1642" s="631"/>
      <c r="AM1642" s="631"/>
      <c r="AN1642" s="631"/>
      <c r="AO1642" s="97"/>
      <c r="AP1642" s="97"/>
      <c r="AQ1642" s="97"/>
      <c r="AR1642" s="70"/>
      <c r="AS1642" s="70"/>
    </row>
    <row r="1643" spans="1:45" s="71" customFormat="1" ht="15" customHeight="1">
      <c r="A1643" s="555" t="s">
        <v>2987</v>
      </c>
      <c r="B1643" s="217" t="str">
        <f t="shared" si="2051"/>
        <v>100</v>
      </c>
      <c r="C1643" s="217" t="str">
        <f t="shared" si="2052"/>
        <v>63</v>
      </c>
      <c r="D1643" s="101" t="str">
        <f t="shared" si="2053"/>
        <v>632</v>
      </c>
      <c r="E1643" s="217" t="str">
        <f t="shared" si="2054"/>
        <v>100-63-632</v>
      </c>
      <c r="F1643" s="294" t="str">
        <f t="shared" si="2055"/>
        <v>58852</v>
      </c>
      <c r="G1643" s="295" t="e">
        <f>VLOOKUP(F1643,'GL Category'!A:C,3,FALSE)</f>
        <v>#N/A</v>
      </c>
      <c r="H1643" s="98" t="e">
        <f>VLOOKUP(F1643,'GL Category'!A:C,2,FALSE)</f>
        <v>#N/A</v>
      </c>
      <c r="I1643" s="99">
        <f>SUMIF(Import!$B:$B,$A1643,Import!D:D)</f>
        <v>0</v>
      </c>
      <c r="J1643" s="99">
        <f>SUMIF(Import!$B:$B,$A1643,Import!E:E)</f>
        <v>0</v>
      </c>
      <c r="K1643" s="99">
        <f>SUMIF(Import!$B:$B,$A1643,Import!F:F)</f>
        <v>0</v>
      </c>
      <c r="L1643" s="99">
        <f>SUMIF(Import!$B:$B,$A1643,Import!G:G)</f>
        <v>0</v>
      </c>
      <c r="M1643" s="99">
        <f>SUMIF(Import!$B:$B,$A1643,Import!H:H)</f>
        <v>0</v>
      </c>
      <c r="N1643" s="99">
        <f>SUMIF(Import!$B:$B,$A1643,Import!I:I)</f>
        <v>0</v>
      </c>
      <c r="O1643" s="99">
        <f>SUMIF(Import!$B:$B,$A1643,Import!J:J)</f>
        <v>0</v>
      </c>
      <c r="P1643" s="99">
        <f t="shared" si="2068"/>
        <v>0</v>
      </c>
      <c r="Q1643" s="99">
        <f>SUMIF(Import!$B:$B,$A1643,Import!K:K)</f>
        <v>0</v>
      </c>
      <c r="R1643" s="99">
        <f>SUMIF(Import!$B:$B,$A1643,Import!L:L)</f>
        <v>0</v>
      </c>
      <c r="S1643" s="99">
        <f>SUMIF(Import!$B:$B,$A1643,Import!M:M)</f>
        <v>0</v>
      </c>
      <c r="T1643" s="99">
        <f>SUMIF(Import!$B:$B,$A1643,Import!N:N)</f>
        <v>0</v>
      </c>
      <c r="U1643" s="99">
        <f t="shared" si="2069"/>
        <v>0</v>
      </c>
      <c r="V1643" s="255" t="str">
        <f t="shared" si="2070"/>
        <v>N/A</v>
      </c>
      <c r="W1643" s="102" t="s">
        <v>2987</v>
      </c>
      <c r="X1643" s="102"/>
      <c r="Y1643" s="102"/>
      <c r="Z1643" s="200"/>
      <c r="AA1643" s="615"/>
      <c r="AB1643" s="631"/>
      <c r="AC1643" s="631"/>
      <c r="AD1643" s="631"/>
      <c r="AE1643" s="631"/>
      <c r="AF1643" s="631"/>
      <c r="AG1643" s="631"/>
      <c r="AH1643" s="631"/>
      <c r="AI1643" s="631"/>
      <c r="AJ1643" s="631"/>
      <c r="AK1643" s="631"/>
      <c r="AL1643" s="631"/>
      <c r="AM1643" s="631"/>
      <c r="AN1643" s="631"/>
      <c r="AO1643" s="97"/>
      <c r="AP1643" s="97"/>
      <c r="AQ1643" s="97"/>
      <c r="AR1643" s="70"/>
      <c r="AS1643" s="70"/>
    </row>
    <row r="1644" spans="1:45" s="71" customFormat="1" ht="15" customHeight="1">
      <c r="A1644" s="555"/>
      <c r="B1644" s="217"/>
      <c r="C1644" s="217"/>
      <c r="D1644" s="101"/>
      <c r="E1644" s="217"/>
      <c r="F1644" s="294"/>
      <c r="G1644" s="295"/>
      <c r="H1644" s="107" t="e">
        <f>UPPER(G1643)&amp;" TOTAL"</f>
        <v>#N/A</v>
      </c>
      <c r="I1644" s="109">
        <f t="shared" ref="I1644" si="2071">SUBTOTAL(9,I1642:I1643)</f>
        <v>0</v>
      </c>
      <c r="J1644" s="109">
        <f t="shared" ref="J1644:T1644" si="2072">SUBTOTAL(9,J1642:J1643)</f>
        <v>6499</v>
      </c>
      <c r="K1644" s="109">
        <f t="shared" ref="K1644" si="2073">SUBTOTAL(9,K1642:K1643)</f>
        <v>0</v>
      </c>
      <c r="L1644" s="109">
        <f t="shared" ref="L1644" si="2074">SUBTOTAL(9,L1642:L1643)</f>
        <v>0</v>
      </c>
      <c r="M1644" s="109">
        <f t="shared" si="2072"/>
        <v>0</v>
      </c>
      <c r="N1644" s="109">
        <f t="shared" ref="N1644" si="2075">SUBTOTAL(9,N1642:N1643)</f>
        <v>0</v>
      </c>
      <c r="O1644" s="109">
        <f t="shared" si="2072"/>
        <v>0</v>
      </c>
      <c r="P1644" s="109">
        <f t="shared" si="2072"/>
        <v>0</v>
      </c>
      <c r="Q1644" s="109">
        <f t="shared" si="2072"/>
        <v>0</v>
      </c>
      <c r="R1644" s="109">
        <f t="shared" si="2072"/>
        <v>0</v>
      </c>
      <c r="S1644" s="109">
        <f t="shared" si="2072"/>
        <v>0</v>
      </c>
      <c r="T1644" s="109">
        <f t="shared" si="2072"/>
        <v>0</v>
      </c>
      <c r="U1644" s="99">
        <f>T1644-M1644</f>
        <v>0</v>
      </c>
      <c r="V1644" s="255" t="str">
        <f>IF(M1644=0,"N/A",T1644/M1644-1)</f>
        <v>N/A</v>
      </c>
      <c r="W1644" s="102"/>
      <c r="X1644" s="102"/>
      <c r="Y1644" s="102"/>
      <c r="Z1644" s="200"/>
      <c r="AA1644" s="615"/>
      <c r="AB1644" s="631"/>
      <c r="AC1644" s="631"/>
      <c r="AD1644" s="631"/>
      <c r="AE1644" s="631"/>
      <c r="AF1644" s="631"/>
      <c r="AG1644" s="631"/>
      <c r="AH1644" s="631"/>
      <c r="AI1644" s="631"/>
      <c r="AJ1644" s="631"/>
      <c r="AK1644" s="631"/>
      <c r="AL1644" s="631"/>
      <c r="AM1644" s="631"/>
      <c r="AN1644" s="631"/>
      <c r="AO1644" s="97"/>
      <c r="AP1644" s="97"/>
      <c r="AQ1644" s="97"/>
      <c r="AR1644" s="70"/>
      <c r="AS1644" s="70"/>
    </row>
    <row r="1645" spans="1:45" s="71" customFormat="1" ht="15" customHeight="1">
      <c r="A1645" s="555"/>
      <c r="B1645" s="217"/>
      <c r="C1645" s="217"/>
      <c r="D1645" s="101"/>
      <c r="E1645" s="217"/>
      <c r="F1645" s="294"/>
      <c r="G1645" s="295"/>
      <c r="H1645" s="98"/>
      <c r="I1645" s="106"/>
      <c r="J1645" s="106"/>
      <c r="K1645" s="106"/>
      <c r="L1645" s="106"/>
      <c r="M1645" s="106"/>
      <c r="N1645" s="112"/>
      <c r="O1645" s="112"/>
      <c r="P1645" s="112"/>
      <c r="Q1645" s="113"/>
      <c r="R1645" s="113"/>
      <c r="S1645" s="113"/>
      <c r="T1645" s="113"/>
      <c r="U1645" s="99"/>
      <c r="V1645" s="255"/>
      <c r="W1645" s="102"/>
      <c r="X1645" s="102"/>
      <c r="Y1645" s="102"/>
      <c r="Z1645" s="200"/>
      <c r="AA1645" s="615"/>
      <c r="AB1645" s="631"/>
      <c r="AC1645" s="631"/>
      <c r="AD1645" s="631"/>
      <c r="AE1645" s="631"/>
      <c r="AF1645" s="631"/>
      <c r="AG1645" s="631"/>
      <c r="AH1645" s="631"/>
      <c r="AI1645" s="631"/>
      <c r="AJ1645" s="631"/>
      <c r="AK1645" s="631"/>
      <c r="AL1645" s="631"/>
      <c r="AM1645" s="631"/>
      <c r="AN1645" s="631"/>
      <c r="AO1645" s="97"/>
      <c r="AP1645" s="97"/>
      <c r="AQ1645" s="97"/>
      <c r="AR1645" s="70"/>
      <c r="AS1645" s="70"/>
    </row>
    <row r="1646" spans="1:45" s="71" customFormat="1" ht="15" customHeight="1">
      <c r="A1646" s="555"/>
      <c r="B1646" s="217"/>
      <c r="C1646" s="217"/>
      <c r="D1646" s="101"/>
      <c r="E1646" s="217"/>
      <c r="F1646" s="294"/>
      <c r="G1646" s="295"/>
      <c r="H1646" s="114" t="s">
        <v>763</v>
      </c>
      <c r="I1646" s="108">
        <f t="shared" ref="I1646" si="2076">SUBTOTAL(9,I1602:I1644)</f>
        <v>1434524.5999999996</v>
      </c>
      <c r="J1646" s="108">
        <f t="shared" ref="J1646:T1646" si="2077">SUBTOTAL(9,J1602:J1644)</f>
        <v>1355024.24</v>
      </c>
      <c r="K1646" s="108">
        <f t="shared" ref="K1646" si="2078">SUBTOTAL(9,K1602:K1644)</f>
        <v>1320141.7399999998</v>
      </c>
      <c r="L1646" s="108">
        <f t="shared" ref="L1646" si="2079">SUBTOTAL(9,L1602:L1644)</f>
        <v>1520003.66</v>
      </c>
      <c r="M1646" s="108">
        <f t="shared" si="2077"/>
        <v>1597905</v>
      </c>
      <c r="N1646" s="108">
        <f t="shared" si="2077"/>
        <v>1212088.43</v>
      </c>
      <c r="O1646" s="108">
        <f t="shared" si="2077"/>
        <v>1609156</v>
      </c>
      <c r="P1646" s="108">
        <f t="shared" si="2077"/>
        <v>11251</v>
      </c>
      <c r="Q1646" s="108">
        <f t="shared" si="2077"/>
        <v>1652334</v>
      </c>
      <c r="R1646" s="108">
        <f t="shared" si="2077"/>
        <v>0</v>
      </c>
      <c r="S1646" s="108">
        <f t="shared" si="2077"/>
        <v>0</v>
      </c>
      <c r="T1646" s="108">
        <f t="shared" si="2077"/>
        <v>1652334</v>
      </c>
      <c r="U1646" s="99">
        <f>T1646-M1646</f>
        <v>54429</v>
      </c>
      <c r="V1646" s="255">
        <f>IF(M1646=0,"N/A",T1646/M1646-1)</f>
        <v>3.406272588170145E-2</v>
      </c>
      <c r="W1646" s="102"/>
      <c r="X1646" s="102"/>
      <c r="Y1646" s="102"/>
      <c r="Z1646" s="200"/>
      <c r="AA1646" s="615"/>
      <c r="AB1646" s="631"/>
      <c r="AC1646" s="632"/>
      <c r="AD1646" s="631"/>
      <c r="AE1646" s="631"/>
      <c r="AF1646" s="631"/>
      <c r="AG1646" s="631"/>
      <c r="AH1646" s="631"/>
      <c r="AI1646" s="631"/>
      <c r="AJ1646" s="631"/>
      <c r="AK1646" s="631"/>
      <c r="AL1646" s="631"/>
      <c r="AM1646" s="631"/>
      <c r="AN1646" s="631"/>
      <c r="AO1646" s="97"/>
      <c r="AP1646" s="97"/>
      <c r="AQ1646" s="97"/>
      <c r="AR1646" s="70"/>
      <c r="AS1646" s="70"/>
    </row>
    <row r="1647" spans="1:45" s="71" customFormat="1" ht="15" customHeight="1">
      <c r="A1647" s="555"/>
      <c r="B1647" s="217"/>
      <c r="C1647" s="217"/>
      <c r="D1647" s="101"/>
      <c r="E1647" s="217"/>
      <c r="F1647" s="294"/>
      <c r="G1647" s="295"/>
      <c r="H1647" s="89"/>
      <c r="I1647" s="233"/>
      <c r="J1647" s="233"/>
      <c r="K1647" s="233"/>
      <c r="L1647" s="233"/>
      <c r="M1647" s="233"/>
      <c r="N1647" s="233"/>
      <c r="O1647" s="233"/>
      <c r="P1647" s="233"/>
      <c r="Q1647" s="233"/>
      <c r="R1647" s="233"/>
      <c r="S1647" s="233"/>
      <c r="T1647" s="233"/>
      <c r="U1647" s="99"/>
      <c r="V1647" s="255"/>
      <c r="W1647" s="102"/>
      <c r="X1647" s="102"/>
      <c r="Y1647" s="102"/>
      <c r="Z1647" s="200"/>
      <c r="AA1647" s="615"/>
      <c r="AB1647" s="631"/>
      <c r="AC1647" s="631"/>
      <c r="AD1647" s="631"/>
      <c r="AE1647" s="631"/>
      <c r="AF1647" s="631"/>
      <c r="AG1647" s="631"/>
      <c r="AH1647" s="631"/>
      <c r="AI1647" s="631"/>
      <c r="AJ1647" s="631"/>
      <c r="AK1647" s="631"/>
      <c r="AL1647" s="631"/>
      <c r="AM1647" s="631"/>
      <c r="AN1647" s="631"/>
      <c r="AO1647" s="97"/>
      <c r="AP1647" s="97"/>
      <c r="AQ1647" s="97"/>
      <c r="AR1647" s="70"/>
      <c r="AS1647" s="70"/>
    </row>
    <row r="1648" spans="1:45" s="71" customFormat="1" ht="15" customHeight="1" thickBot="1">
      <c r="A1648" s="555"/>
      <c r="B1648" s="217"/>
      <c r="C1648" s="217"/>
      <c r="D1648" s="101"/>
      <c r="E1648" s="217"/>
      <c r="F1648" s="294"/>
      <c r="G1648" s="295"/>
      <c r="H1648" s="225"/>
      <c r="I1648" s="225"/>
      <c r="J1648" s="225"/>
      <c r="K1648" s="225"/>
      <c r="L1648" s="225"/>
      <c r="M1648" s="225"/>
      <c r="N1648" s="225"/>
      <c r="O1648" s="225"/>
      <c r="P1648" s="225"/>
      <c r="Q1648" s="225"/>
      <c r="R1648" s="225"/>
      <c r="S1648" s="225"/>
      <c r="T1648" s="225"/>
      <c r="U1648" s="99"/>
      <c r="V1648" s="255"/>
      <c r="W1648" s="102"/>
      <c r="X1648" s="102"/>
      <c r="Y1648" s="102"/>
      <c r="Z1648" s="200"/>
      <c r="AA1648" s="615"/>
      <c r="AB1648" s="631"/>
      <c r="AC1648" s="631"/>
      <c r="AD1648" s="631"/>
      <c r="AE1648" s="631"/>
      <c r="AF1648" s="631"/>
      <c r="AG1648" s="631"/>
      <c r="AH1648" s="631"/>
      <c r="AI1648" s="631"/>
      <c r="AJ1648" s="631"/>
      <c r="AK1648" s="631"/>
      <c r="AL1648" s="631"/>
      <c r="AM1648" s="631"/>
      <c r="AN1648" s="631"/>
      <c r="AO1648" s="97"/>
      <c r="AP1648" s="97"/>
      <c r="AQ1648" s="97"/>
      <c r="AR1648" s="70"/>
      <c r="AS1648" s="70"/>
    </row>
    <row r="1649" spans="1:45" s="71" customFormat="1" ht="28.5" customHeight="1" thickBot="1">
      <c r="A1649" s="555"/>
      <c r="B1649" s="217"/>
      <c r="C1649" s="217"/>
      <c r="D1649" s="101"/>
      <c r="E1649" s="217"/>
      <c r="F1649" s="294"/>
      <c r="G1649" s="295"/>
      <c r="H1649" s="665" t="s">
        <v>644</v>
      </c>
      <c r="I1649" s="666"/>
      <c r="J1649" s="666"/>
      <c r="K1649" s="666"/>
      <c r="L1649" s="666"/>
      <c r="M1649" s="666"/>
      <c r="N1649" s="666"/>
      <c r="O1649" s="666"/>
      <c r="P1649" s="666"/>
      <c r="Q1649" s="666"/>
      <c r="R1649" s="666"/>
      <c r="S1649" s="666"/>
      <c r="T1649" s="667"/>
      <c r="U1649" s="99"/>
      <c r="V1649" s="255"/>
      <c r="W1649" s="102"/>
      <c r="X1649" s="102"/>
      <c r="Y1649" s="102"/>
      <c r="Z1649" s="200"/>
      <c r="AA1649" s="615"/>
      <c r="AB1649" s="631"/>
      <c r="AC1649" s="631"/>
      <c r="AD1649" s="631"/>
      <c r="AE1649" s="631"/>
      <c r="AF1649" s="631"/>
      <c r="AG1649" s="631"/>
      <c r="AH1649" s="631"/>
      <c r="AI1649" s="631"/>
      <c r="AJ1649" s="631"/>
      <c r="AK1649" s="631"/>
      <c r="AL1649" s="631"/>
      <c r="AM1649" s="631"/>
      <c r="AN1649" s="631"/>
      <c r="AO1649" s="97"/>
      <c r="AP1649" s="97"/>
      <c r="AQ1649" s="97"/>
      <c r="AR1649" s="70"/>
      <c r="AS1649" s="70"/>
    </row>
    <row r="1650" spans="1:45" s="71" customFormat="1" ht="15" customHeight="1">
      <c r="A1650" s="555"/>
      <c r="B1650" s="217"/>
      <c r="C1650" s="217"/>
      <c r="D1650" s="101"/>
      <c r="E1650" s="217"/>
      <c r="F1650" s="294"/>
      <c r="G1650" s="295"/>
      <c r="H1650" s="225"/>
      <c r="I1650" s="225"/>
      <c r="J1650" s="225"/>
      <c r="K1650" s="225"/>
      <c r="L1650" s="225"/>
      <c r="M1650" s="225"/>
      <c r="N1650" s="225"/>
      <c r="O1650" s="225"/>
      <c r="P1650" s="225"/>
      <c r="Q1650" s="225"/>
      <c r="R1650" s="225"/>
      <c r="S1650" s="225"/>
      <c r="T1650" s="225"/>
      <c r="U1650" s="99"/>
      <c r="V1650" s="255"/>
      <c r="W1650" s="102"/>
      <c r="X1650" s="102"/>
      <c r="Y1650" s="102"/>
      <c r="Z1650" s="200"/>
      <c r="AA1650" s="615"/>
      <c r="AB1650" s="631"/>
      <c r="AC1650" s="631"/>
      <c r="AD1650" s="631"/>
      <c r="AE1650" s="631"/>
      <c r="AF1650" s="631"/>
      <c r="AG1650" s="631"/>
      <c r="AH1650" s="631"/>
      <c r="AI1650" s="631"/>
      <c r="AJ1650" s="631"/>
      <c r="AK1650" s="631"/>
      <c r="AL1650" s="631"/>
      <c r="AM1650" s="631"/>
      <c r="AN1650" s="631"/>
      <c r="AO1650" s="97"/>
      <c r="AP1650" s="97"/>
      <c r="AQ1650" s="97"/>
      <c r="AR1650" s="70"/>
      <c r="AS1650" s="70"/>
    </row>
    <row r="1651" spans="1:45" s="71" customFormat="1" ht="15" customHeight="1">
      <c r="A1651" s="555" t="s">
        <v>2988</v>
      </c>
      <c r="B1651" s="217" t="str">
        <f t="shared" si="2051"/>
        <v>100</v>
      </c>
      <c r="C1651" s="217" t="str">
        <f t="shared" si="2052"/>
        <v>63</v>
      </c>
      <c r="D1651" s="101" t="str">
        <f t="shared" si="2053"/>
        <v>633</v>
      </c>
      <c r="E1651" s="217" t="str">
        <f t="shared" si="2054"/>
        <v>100-63-633</v>
      </c>
      <c r="F1651" s="294" t="str">
        <f t="shared" si="2055"/>
        <v>50101</v>
      </c>
      <c r="G1651" s="295" t="str">
        <f>VLOOKUP(F1651,'GL Category'!A:C,3,FALSE)</f>
        <v>Personnel services</v>
      </c>
      <c r="H1651" s="98" t="str">
        <f>VLOOKUP(F1651,'GL Category'!A:C,2,FALSE)</f>
        <v>EXEMPT SALARIES</v>
      </c>
      <c r="I1651" s="99">
        <f>SUMIF(Import!$B:$B,$A1651,Import!D:D)</f>
        <v>70553.259999999995</v>
      </c>
      <c r="J1651" s="99">
        <f>SUMIF(Import!$B:$B,$A1651,Import!E:E)</f>
        <v>97012.13</v>
      </c>
      <c r="K1651" s="99">
        <f>SUMIF(Import!$B:$B,$A1651,Import!F:F)</f>
        <v>142891.01999999999</v>
      </c>
      <c r="L1651" s="99">
        <f>SUMIF(Import!$B:$B,$A1651,Import!G:G)</f>
        <v>109603.94</v>
      </c>
      <c r="M1651" s="99">
        <f>SUMIF(Import!$B:$B,$A1651,Import!H:H)</f>
        <v>63889</v>
      </c>
      <c r="N1651" s="99">
        <f>SUMIF(Import!$B:$B,$A1651,Import!I:I)</f>
        <v>48948.23</v>
      </c>
      <c r="O1651" s="99">
        <f>SUMIF(Import!$B:$B,$A1651,Import!J:J)</f>
        <v>64255</v>
      </c>
      <c r="P1651" s="99">
        <f t="shared" ref="P1651:P1658" si="2080">O1651-M1651</f>
        <v>366</v>
      </c>
      <c r="Q1651" s="99">
        <f>SUMIF(Import!$B:$B,$A1651,Import!K:K)</f>
        <v>66446</v>
      </c>
      <c r="R1651" s="99">
        <f>SUMIF(Import!$B:$B,$A1651,Import!L:L)</f>
        <v>0</v>
      </c>
      <c r="S1651" s="99">
        <f>SUMIF(Import!$B:$B,$A1651,Import!M:M)</f>
        <v>0</v>
      </c>
      <c r="T1651" s="99">
        <f>SUMIF(Import!$B:$B,$A1651,Import!N:N)</f>
        <v>66446</v>
      </c>
      <c r="U1651" s="99">
        <f t="shared" ref="U1651:U1658" si="2081">T1651-M1651</f>
        <v>2557</v>
      </c>
      <c r="V1651" s="255">
        <f t="shared" ref="V1651:V1658" si="2082">IF(M1651=0,"N/A",T1651/M1651-1)</f>
        <v>4.002253909123632E-2</v>
      </c>
      <c r="W1651" s="102" t="s">
        <v>2988</v>
      </c>
      <c r="X1651" s="102"/>
      <c r="Y1651" s="102"/>
      <c r="Z1651" s="200"/>
      <c r="AA1651" s="615"/>
      <c r="AB1651" s="631"/>
      <c r="AC1651" s="631"/>
      <c r="AD1651" s="631"/>
      <c r="AE1651" s="631"/>
      <c r="AF1651" s="631"/>
      <c r="AG1651" s="631"/>
      <c r="AH1651" s="631"/>
      <c r="AI1651" s="631"/>
      <c r="AJ1651" s="631"/>
      <c r="AK1651" s="631"/>
      <c r="AL1651" s="631"/>
      <c r="AM1651" s="631"/>
      <c r="AN1651" s="631"/>
      <c r="AO1651" s="97"/>
      <c r="AP1651" s="97"/>
      <c r="AQ1651" s="97"/>
      <c r="AR1651" s="70"/>
      <c r="AS1651" s="70"/>
    </row>
    <row r="1652" spans="1:45" s="71" customFormat="1" ht="15" customHeight="1">
      <c r="A1652" s="555" t="s">
        <v>2989</v>
      </c>
      <c r="B1652" s="217" t="str">
        <f t="shared" si="2051"/>
        <v>100</v>
      </c>
      <c r="C1652" s="217" t="str">
        <f t="shared" si="2052"/>
        <v>63</v>
      </c>
      <c r="D1652" s="101" t="str">
        <f t="shared" si="2053"/>
        <v>633</v>
      </c>
      <c r="E1652" s="217" t="str">
        <f t="shared" si="2054"/>
        <v>100-63-633</v>
      </c>
      <c r="F1652" s="294" t="str">
        <f t="shared" si="2055"/>
        <v>50102</v>
      </c>
      <c r="G1652" s="295" t="str">
        <f>VLOOKUP(F1652,'GL Category'!A:C,3,FALSE)</f>
        <v>Personnel services</v>
      </c>
      <c r="H1652" s="98" t="str">
        <f>VLOOKUP(F1652,'GL Category'!A:C,2,FALSE)</f>
        <v>NON EXEMPT SALARIES</v>
      </c>
      <c r="I1652" s="99">
        <f>SUMIF(Import!$B:$B,$A1652,Import!D:D)</f>
        <v>46875.65</v>
      </c>
      <c r="J1652" s="99">
        <f>SUMIF(Import!$B:$B,$A1652,Import!E:E)</f>
        <v>24775.17</v>
      </c>
      <c r="K1652" s="99">
        <f>SUMIF(Import!$B:$B,$A1652,Import!F:F)</f>
        <v>0</v>
      </c>
      <c r="L1652" s="99">
        <f>SUMIF(Import!$B:$B,$A1652,Import!G:G)</f>
        <v>0</v>
      </c>
      <c r="M1652" s="99">
        <f>SUMIF(Import!$B:$B,$A1652,Import!H:H)</f>
        <v>0</v>
      </c>
      <c r="N1652" s="99">
        <f>SUMIF(Import!$B:$B,$A1652,Import!I:I)</f>
        <v>0</v>
      </c>
      <c r="O1652" s="99">
        <f>SUMIF(Import!$B:$B,$A1652,Import!J:J)</f>
        <v>0</v>
      </c>
      <c r="P1652" s="99">
        <f t="shared" si="2080"/>
        <v>0</v>
      </c>
      <c r="Q1652" s="99">
        <f>SUMIF(Import!$B:$B,$A1652,Import!K:K)</f>
        <v>0</v>
      </c>
      <c r="R1652" s="99">
        <f>SUMIF(Import!$B:$B,$A1652,Import!L:L)</f>
        <v>0</v>
      </c>
      <c r="S1652" s="99">
        <f>SUMIF(Import!$B:$B,$A1652,Import!M:M)</f>
        <v>0</v>
      </c>
      <c r="T1652" s="99">
        <f>SUMIF(Import!$B:$B,$A1652,Import!N:N)</f>
        <v>0</v>
      </c>
      <c r="U1652" s="99">
        <f t="shared" si="2081"/>
        <v>0</v>
      </c>
      <c r="V1652" s="255" t="str">
        <f t="shared" si="2082"/>
        <v>N/A</v>
      </c>
      <c r="W1652" s="102" t="s">
        <v>2989</v>
      </c>
      <c r="X1652" s="102"/>
      <c r="Y1652" s="102"/>
      <c r="Z1652" s="200"/>
      <c r="AA1652" s="615"/>
      <c r="AB1652" s="631"/>
      <c r="AC1652" s="631"/>
      <c r="AD1652" s="631"/>
      <c r="AE1652" s="631"/>
      <c r="AF1652" s="631"/>
      <c r="AG1652" s="631"/>
      <c r="AH1652" s="631"/>
      <c r="AI1652" s="631"/>
      <c r="AJ1652" s="631"/>
      <c r="AK1652" s="631"/>
      <c r="AL1652" s="631"/>
      <c r="AM1652" s="631"/>
      <c r="AN1652" s="631"/>
      <c r="AO1652" s="97"/>
      <c r="AP1652" s="97"/>
      <c r="AQ1652" s="97"/>
      <c r="AR1652" s="70"/>
      <c r="AS1652" s="70"/>
    </row>
    <row r="1653" spans="1:45" s="71" customFormat="1" ht="15" customHeight="1">
      <c r="A1653" s="555" t="s">
        <v>2990</v>
      </c>
      <c r="B1653" s="217" t="str">
        <f t="shared" si="2051"/>
        <v>100</v>
      </c>
      <c r="C1653" s="217" t="str">
        <f t="shared" si="2052"/>
        <v>63</v>
      </c>
      <c r="D1653" s="101" t="str">
        <f t="shared" si="2053"/>
        <v>633</v>
      </c>
      <c r="E1653" s="217" t="str">
        <f t="shared" si="2054"/>
        <v>100-63-633</v>
      </c>
      <c r="F1653" s="294" t="str">
        <f t="shared" si="2055"/>
        <v>50109</v>
      </c>
      <c r="G1653" s="295" t="str">
        <f>VLOOKUP(F1653,'GL Category'!A:C,3,FALSE)</f>
        <v>Personnel services</v>
      </c>
      <c r="H1653" s="98" t="str">
        <f>VLOOKUP(F1653,'GL Category'!A:C,2,FALSE)</f>
        <v>OVERTIME</v>
      </c>
      <c r="I1653" s="99">
        <f>SUMIF(Import!$B:$B,$A1653,Import!D:D)</f>
        <v>1324.65</v>
      </c>
      <c r="J1653" s="99">
        <f>SUMIF(Import!$B:$B,$A1653,Import!E:E)</f>
        <v>659.22</v>
      </c>
      <c r="K1653" s="99">
        <f>SUMIF(Import!$B:$B,$A1653,Import!F:F)</f>
        <v>0</v>
      </c>
      <c r="L1653" s="99">
        <f>SUMIF(Import!$B:$B,$A1653,Import!G:G)</f>
        <v>0</v>
      </c>
      <c r="M1653" s="99">
        <f>SUMIF(Import!$B:$B,$A1653,Import!H:H)</f>
        <v>0</v>
      </c>
      <c r="N1653" s="99">
        <f>SUMIF(Import!$B:$B,$A1653,Import!I:I)</f>
        <v>0</v>
      </c>
      <c r="O1653" s="99">
        <f>SUMIF(Import!$B:$B,$A1653,Import!J:J)</f>
        <v>0</v>
      </c>
      <c r="P1653" s="99">
        <f t="shared" si="2080"/>
        <v>0</v>
      </c>
      <c r="Q1653" s="99">
        <f>SUMIF(Import!$B:$B,$A1653,Import!K:K)</f>
        <v>0</v>
      </c>
      <c r="R1653" s="99">
        <f>SUMIF(Import!$B:$B,$A1653,Import!L:L)</f>
        <v>0</v>
      </c>
      <c r="S1653" s="99">
        <f>SUMIF(Import!$B:$B,$A1653,Import!M:M)</f>
        <v>0</v>
      </c>
      <c r="T1653" s="99">
        <f>SUMIF(Import!$B:$B,$A1653,Import!N:N)</f>
        <v>0</v>
      </c>
      <c r="U1653" s="99">
        <f t="shared" si="2081"/>
        <v>0</v>
      </c>
      <c r="V1653" s="255" t="str">
        <f t="shared" si="2082"/>
        <v>N/A</v>
      </c>
      <c r="W1653" s="102" t="s">
        <v>2990</v>
      </c>
      <c r="X1653" s="102"/>
      <c r="Y1653" s="102"/>
      <c r="Z1653" s="200"/>
      <c r="AA1653" s="615"/>
      <c r="AB1653" s="631"/>
      <c r="AC1653" s="631"/>
      <c r="AD1653" s="631"/>
      <c r="AE1653" s="631"/>
      <c r="AF1653" s="631"/>
      <c r="AG1653" s="631"/>
      <c r="AH1653" s="631"/>
      <c r="AI1653" s="631"/>
      <c r="AJ1653" s="631"/>
      <c r="AK1653" s="631"/>
      <c r="AL1653" s="631"/>
      <c r="AM1653" s="631"/>
      <c r="AN1653" s="631"/>
      <c r="AO1653" s="97"/>
      <c r="AP1653" s="97"/>
      <c r="AQ1653" s="97"/>
      <c r="AR1653" s="70"/>
      <c r="AS1653" s="70"/>
    </row>
    <row r="1654" spans="1:45" s="71" customFormat="1" ht="15" customHeight="1">
      <c r="A1654" s="555" t="s">
        <v>2991</v>
      </c>
      <c r="B1654" s="217" t="str">
        <f t="shared" si="2051"/>
        <v>100</v>
      </c>
      <c r="C1654" s="217" t="str">
        <f t="shared" si="2052"/>
        <v>63</v>
      </c>
      <c r="D1654" s="101" t="str">
        <f t="shared" si="2053"/>
        <v>633</v>
      </c>
      <c r="E1654" s="217" t="str">
        <f t="shared" si="2054"/>
        <v>100-63-633</v>
      </c>
      <c r="F1654" s="294" t="str">
        <f t="shared" si="2055"/>
        <v>50111</v>
      </c>
      <c r="G1654" s="295" t="str">
        <f>VLOOKUP(F1654,'GL Category'!A:C,3,FALSE)</f>
        <v>Personnel services</v>
      </c>
      <c r="H1654" s="98" t="str">
        <f>VLOOKUP(F1654,'GL Category'!A:C,2,FALSE)</f>
        <v>LONGEVITY PAY</v>
      </c>
      <c r="I1654" s="99">
        <f>SUMIF(Import!$B:$B,$A1654,Import!D:D)</f>
        <v>525</v>
      </c>
      <c r="J1654" s="99">
        <f>SUMIF(Import!$B:$B,$A1654,Import!E:E)</f>
        <v>645</v>
      </c>
      <c r="K1654" s="99">
        <f>SUMIF(Import!$B:$B,$A1654,Import!F:F)</f>
        <v>765</v>
      </c>
      <c r="L1654" s="99">
        <f>SUMIF(Import!$B:$B,$A1654,Import!G:G)</f>
        <v>435</v>
      </c>
      <c r="M1654" s="99">
        <f>SUMIF(Import!$B:$B,$A1654,Import!H:H)</f>
        <v>504</v>
      </c>
      <c r="N1654" s="99">
        <f>SUMIF(Import!$B:$B,$A1654,Import!I:I)</f>
        <v>495</v>
      </c>
      <c r="O1654" s="99">
        <f>SUMIF(Import!$B:$B,$A1654,Import!J:J)</f>
        <v>495</v>
      </c>
      <c r="P1654" s="99">
        <f t="shared" si="2080"/>
        <v>-9</v>
      </c>
      <c r="Q1654" s="99">
        <f>SUMIF(Import!$B:$B,$A1654,Import!K:K)</f>
        <v>565</v>
      </c>
      <c r="R1654" s="99">
        <f>SUMIF(Import!$B:$B,$A1654,Import!L:L)</f>
        <v>0</v>
      </c>
      <c r="S1654" s="99">
        <f>SUMIF(Import!$B:$B,$A1654,Import!M:M)</f>
        <v>0</v>
      </c>
      <c r="T1654" s="99">
        <f>SUMIF(Import!$B:$B,$A1654,Import!N:N)</f>
        <v>565</v>
      </c>
      <c r="U1654" s="99">
        <f t="shared" si="2081"/>
        <v>61</v>
      </c>
      <c r="V1654" s="255">
        <f t="shared" si="2082"/>
        <v>0.12103174603174605</v>
      </c>
      <c r="W1654" s="102" t="s">
        <v>2991</v>
      </c>
      <c r="X1654" s="102"/>
      <c r="Y1654" s="102"/>
      <c r="Z1654" s="200"/>
      <c r="AA1654" s="615"/>
      <c r="AB1654" s="631"/>
      <c r="AC1654" s="631"/>
      <c r="AD1654" s="631"/>
      <c r="AE1654" s="631"/>
      <c r="AF1654" s="631"/>
      <c r="AG1654" s="631"/>
      <c r="AH1654" s="631"/>
      <c r="AI1654" s="631"/>
      <c r="AJ1654" s="631"/>
      <c r="AK1654" s="631"/>
      <c r="AL1654" s="631"/>
      <c r="AM1654" s="631"/>
      <c r="AN1654" s="631"/>
      <c r="AO1654" s="97"/>
      <c r="AP1654" s="97"/>
      <c r="AQ1654" s="97"/>
      <c r="AR1654" s="70"/>
      <c r="AS1654" s="70"/>
    </row>
    <row r="1655" spans="1:45" s="71" customFormat="1" ht="15" customHeight="1">
      <c r="A1655" s="555" t="s">
        <v>2992</v>
      </c>
      <c r="B1655" s="217" t="str">
        <f t="shared" si="2051"/>
        <v>100</v>
      </c>
      <c r="C1655" s="217" t="str">
        <f t="shared" si="2052"/>
        <v>63</v>
      </c>
      <c r="D1655" s="101" t="str">
        <f t="shared" si="2053"/>
        <v>633</v>
      </c>
      <c r="E1655" s="217" t="str">
        <f t="shared" si="2054"/>
        <v>100-63-633</v>
      </c>
      <c r="F1655" s="294" t="str">
        <f t="shared" si="2055"/>
        <v>50610</v>
      </c>
      <c r="G1655" s="295" t="str">
        <f>VLOOKUP(F1655,'GL Category'!A:C,3,FALSE)</f>
        <v>Personnel services</v>
      </c>
      <c r="H1655" s="98" t="str">
        <f>VLOOKUP(F1655,'GL Category'!A:C,2,FALSE)</f>
        <v>SOCIAL SECURITY</v>
      </c>
      <c r="I1655" s="99">
        <f>SUMIF(Import!$B:$B,$A1655,Import!D:D)</f>
        <v>8683.0300000000007</v>
      </c>
      <c r="J1655" s="99">
        <f>SUMIF(Import!$B:$B,$A1655,Import!E:E)</f>
        <v>8926.92</v>
      </c>
      <c r="K1655" s="99">
        <f>SUMIF(Import!$B:$B,$A1655,Import!F:F)</f>
        <v>10594.38</v>
      </c>
      <c r="L1655" s="99">
        <f>SUMIF(Import!$B:$B,$A1655,Import!G:G)</f>
        <v>4593</v>
      </c>
      <c r="M1655" s="99">
        <f>SUMIF(Import!$B:$B,$A1655,Import!H:H)</f>
        <v>5010</v>
      </c>
      <c r="N1655" s="99">
        <f>SUMIF(Import!$B:$B,$A1655,Import!I:I)</f>
        <v>3668.39</v>
      </c>
      <c r="O1655" s="99">
        <f>SUMIF(Import!$B:$B,$A1655,Import!J:J)</f>
        <v>4855</v>
      </c>
      <c r="P1655" s="99">
        <f t="shared" si="2080"/>
        <v>-155</v>
      </c>
      <c r="Q1655" s="99">
        <f>SUMIF(Import!$B:$B,$A1655,Import!K:K)</f>
        <v>5210</v>
      </c>
      <c r="R1655" s="99">
        <f>SUMIF(Import!$B:$B,$A1655,Import!L:L)</f>
        <v>0</v>
      </c>
      <c r="S1655" s="99">
        <f>SUMIF(Import!$B:$B,$A1655,Import!M:M)</f>
        <v>0</v>
      </c>
      <c r="T1655" s="99">
        <f>SUMIF(Import!$B:$B,$A1655,Import!N:N)</f>
        <v>5210</v>
      </c>
      <c r="U1655" s="99">
        <f t="shared" si="2081"/>
        <v>200</v>
      </c>
      <c r="V1655" s="255">
        <f t="shared" si="2082"/>
        <v>3.9920159680638667E-2</v>
      </c>
      <c r="W1655" s="102" t="s">
        <v>2992</v>
      </c>
      <c r="X1655" s="102"/>
      <c r="Y1655" s="102"/>
      <c r="Z1655" s="200"/>
      <c r="AA1655" s="615"/>
      <c r="AB1655" s="631"/>
      <c r="AC1655" s="631"/>
      <c r="AD1655" s="631"/>
      <c r="AE1655" s="631"/>
      <c r="AF1655" s="631"/>
      <c r="AG1655" s="631"/>
      <c r="AH1655" s="631"/>
      <c r="AI1655" s="631"/>
      <c r="AJ1655" s="631"/>
      <c r="AK1655" s="631"/>
      <c r="AL1655" s="631"/>
      <c r="AM1655" s="631"/>
      <c r="AN1655" s="631"/>
      <c r="AO1655" s="97"/>
      <c r="AP1655" s="97"/>
      <c r="AQ1655" s="97"/>
      <c r="AR1655" s="70"/>
      <c r="AS1655" s="70"/>
    </row>
    <row r="1656" spans="1:45" s="71" customFormat="1" ht="15" customHeight="1">
      <c r="A1656" s="555" t="s">
        <v>2993</v>
      </c>
      <c r="B1656" s="217" t="str">
        <f t="shared" si="2051"/>
        <v>100</v>
      </c>
      <c r="C1656" s="217" t="str">
        <f t="shared" si="2052"/>
        <v>63</v>
      </c>
      <c r="D1656" s="101" t="str">
        <f t="shared" si="2053"/>
        <v>633</v>
      </c>
      <c r="E1656" s="217" t="str">
        <f t="shared" si="2054"/>
        <v>100-63-633</v>
      </c>
      <c r="F1656" s="294" t="str">
        <f t="shared" si="2055"/>
        <v>50620</v>
      </c>
      <c r="G1656" s="295" t="str">
        <f>VLOOKUP(F1656,'GL Category'!A:C,3,FALSE)</f>
        <v>Personnel services</v>
      </c>
      <c r="H1656" s="98" t="str">
        <f>VLOOKUP(F1656,'GL Category'!A:C,2,FALSE)</f>
        <v>HEALTH/LIFE INSURANCE</v>
      </c>
      <c r="I1656" s="99">
        <f>SUMIF(Import!$B:$B,$A1656,Import!D:D)</f>
        <v>30032.5</v>
      </c>
      <c r="J1656" s="99">
        <f>SUMIF(Import!$B:$B,$A1656,Import!E:E)</f>
        <v>30235.79</v>
      </c>
      <c r="K1656" s="99">
        <f>SUMIF(Import!$B:$B,$A1656,Import!F:F)</f>
        <v>26654.7</v>
      </c>
      <c r="L1656" s="99">
        <f>SUMIF(Import!$B:$B,$A1656,Import!G:G)</f>
        <v>11291.1</v>
      </c>
      <c r="M1656" s="99">
        <f>SUMIF(Import!$B:$B,$A1656,Import!H:H)</f>
        <v>11077</v>
      </c>
      <c r="N1656" s="99">
        <f>SUMIF(Import!$B:$B,$A1656,Import!I:I)</f>
        <v>8464.51</v>
      </c>
      <c r="O1656" s="99">
        <f>SUMIF(Import!$B:$B,$A1656,Import!J:J)</f>
        <v>11379</v>
      </c>
      <c r="P1656" s="99">
        <f t="shared" si="2080"/>
        <v>302</v>
      </c>
      <c r="Q1656" s="99">
        <f>SUMIF(Import!$B:$B,$A1656,Import!K:K)</f>
        <v>11040</v>
      </c>
      <c r="R1656" s="99">
        <f>SUMIF(Import!$B:$B,$A1656,Import!L:L)</f>
        <v>0</v>
      </c>
      <c r="S1656" s="99">
        <f>SUMIF(Import!$B:$B,$A1656,Import!M:M)</f>
        <v>0</v>
      </c>
      <c r="T1656" s="99">
        <f>SUMIF(Import!$B:$B,$A1656,Import!N:N)</f>
        <v>11040</v>
      </c>
      <c r="U1656" s="99">
        <f t="shared" si="2081"/>
        <v>-37</v>
      </c>
      <c r="V1656" s="255">
        <f t="shared" si="2082"/>
        <v>-3.3402545815653939E-3</v>
      </c>
      <c r="W1656" s="102" t="s">
        <v>2993</v>
      </c>
      <c r="X1656" s="102"/>
      <c r="Y1656" s="102"/>
      <c r="Z1656" s="200"/>
      <c r="AA1656" s="615"/>
      <c r="AB1656" s="631"/>
      <c r="AC1656" s="631"/>
      <c r="AD1656" s="631"/>
      <c r="AE1656" s="631"/>
      <c r="AF1656" s="631"/>
      <c r="AG1656" s="631"/>
      <c r="AH1656" s="631"/>
      <c r="AI1656" s="631"/>
      <c r="AJ1656" s="631"/>
      <c r="AK1656" s="631"/>
      <c r="AL1656" s="631"/>
      <c r="AM1656" s="631"/>
      <c r="AN1656" s="631"/>
      <c r="AO1656" s="97"/>
      <c r="AP1656" s="97"/>
      <c r="AQ1656" s="97"/>
      <c r="AR1656" s="70"/>
      <c r="AS1656" s="70"/>
    </row>
    <row r="1657" spans="1:45" s="71" customFormat="1" ht="15" customHeight="1">
      <c r="A1657" s="555" t="s">
        <v>2994</v>
      </c>
      <c r="B1657" s="217" t="str">
        <f t="shared" si="2051"/>
        <v>100</v>
      </c>
      <c r="C1657" s="217" t="str">
        <f t="shared" si="2052"/>
        <v>63</v>
      </c>
      <c r="D1657" s="101" t="str">
        <f t="shared" si="2053"/>
        <v>633</v>
      </c>
      <c r="E1657" s="217" t="str">
        <f t="shared" si="2054"/>
        <v>100-63-633</v>
      </c>
      <c r="F1657" s="294" t="str">
        <f t="shared" si="2055"/>
        <v>50630</v>
      </c>
      <c r="G1657" s="295" t="str">
        <f>VLOOKUP(F1657,'GL Category'!A:C,3,FALSE)</f>
        <v>Personnel services</v>
      </c>
      <c r="H1657" s="98" t="str">
        <f>VLOOKUP(F1657,'GL Category'!A:C,2,FALSE)</f>
        <v>WORKER COMPENSATION</v>
      </c>
      <c r="I1657" s="99">
        <f>SUMIF(Import!$B:$B,$A1657,Import!D:D)</f>
        <v>331.66</v>
      </c>
      <c r="J1657" s="99">
        <f>SUMIF(Import!$B:$B,$A1657,Import!E:E)</f>
        <v>312.26</v>
      </c>
      <c r="K1657" s="99">
        <f>SUMIF(Import!$B:$B,$A1657,Import!F:F)</f>
        <v>370.51</v>
      </c>
      <c r="L1657" s="99">
        <f>SUMIF(Import!$B:$B,$A1657,Import!G:G)</f>
        <v>674.35</v>
      </c>
      <c r="M1657" s="99">
        <f>SUMIF(Import!$B:$B,$A1657,Import!H:H)</f>
        <v>94</v>
      </c>
      <c r="N1657" s="99">
        <f>SUMIF(Import!$B:$B,$A1657,Import!I:I)</f>
        <v>93.92</v>
      </c>
      <c r="O1657" s="99">
        <f>SUMIF(Import!$B:$B,$A1657,Import!J:J)</f>
        <v>94</v>
      </c>
      <c r="P1657" s="99">
        <f t="shared" si="2080"/>
        <v>0</v>
      </c>
      <c r="Q1657" s="99">
        <f>SUMIF(Import!$B:$B,$A1657,Import!K:K)</f>
        <v>94</v>
      </c>
      <c r="R1657" s="99">
        <f>SUMIF(Import!$B:$B,$A1657,Import!L:L)</f>
        <v>0</v>
      </c>
      <c r="S1657" s="99">
        <f>SUMIF(Import!$B:$B,$A1657,Import!M:M)</f>
        <v>0</v>
      </c>
      <c r="T1657" s="99">
        <f>SUMIF(Import!$B:$B,$A1657,Import!N:N)</f>
        <v>94</v>
      </c>
      <c r="U1657" s="99">
        <f t="shared" si="2081"/>
        <v>0</v>
      </c>
      <c r="V1657" s="255">
        <f t="shared" si="2082"/>
        <v>0</v>
      </c>
      <c r="W1657" s="102" t="s">
        <v>2994</v>
      </c>
      <c r="X1657" s="102"/>
      <c r="Y1657" s="102"/>
      <c r="Z1657" s="200"/>
      <c r="AA1657" s="615"/>
      <c r="AB1657" s="631"/>
      <c r="AC1657" s="631"/>
      <c r="AD1657" s="631"/>
      <c r="AE1657" s="631"/>
      <c r="AF1657" s="631"/>
      <c r="AG1657" s="631"/>
      <c r="AH1657" s="631"/>
      <c r="AI1657" s="631"/>
      <c r="AJ1657" s="631"/>
      <c r="AK1657" s="631"/>
      <c r="AL1657" s="631"/>
      <c r="AM1657" s="631"/>
      <c r="AN1657" s="631"/>
      <c r="AO1657" s="97"/>
      <c r="AP1657" s="97"/>
      <c r="AQ1657" s="97"/>
      <c r="AR1657" s="70"/>
      <c r="AS1657" s="70"/>
    </row>
    <row r="1658" spans="1:45" s="71" customFormat="1" ht="15" customHeight="1">
      <c r="A1658" s="555" t="s">
        <v>2995</v>
      </c>
      <c r="B1658" s="217" t="str">
        <f t="shared" si="2051"/>
        <v>100</v>
      </c>
      <c r="C1658" s="217" t="str">
        <f t="shared" si="2052"/>
        <v>63</v>
      </c>
      <c r="D1658" s="101" t="str">
        <f t="shared" si="2053"/>
        <v>633</v>
      </c>
      <c r="E1658" s="217" t="str">
        <f t="shared" si="2054"/>
        <v>100-63-633</v>
      </c>
      <c r="F1658" s="294" t="str">
        <f t="shared" si="2055"/>
        <v>50650</v>
      </c>
      <c r="G1658" s="295" t="str">
        <f>VLOOKUP(F1658,'GL Category'!A:C,3,FALSE)</f>
        <v>Personnel services</v>
      </c>
      <c r="H1658" s="98" t="str">
        <f>VLOOKUP(F1658,'GL Category'!A:C,2,FALSE)</f>
        <v>RETIREMENT</v>
      </c>
      <c r="I1658" s="99">
        <f>SUMIF(Import!$B:$B,$A1658,Import!D:D)</f>
        <v>18943.560000000001</v>
      </c>
      <c r="J1658" s="99">
        <f>SUMIF(Import!$B:$B,$A1658,Import!E:E)</f>
        <v>19889.46</v>
      </c>
      <c r="K1658" s="99">
        <f>SUMIF(Import!$B:$B,$A1658,Import!F:F)</f>
        <v>23256.44</v>
      </c>
      <c r="L1658" s="99">
        <f>SUMIF(Import!$B:$B,$A1658,Import!G:G)</f>
        <v>10207.16</v>
      </c>
      <c r="M1658" s="99">
        <f>SUMIF(Import!$B:$B,$A1658,Import!H:H)</f>
        <v>10822</v>
      </c>
      <c r="N1658" s="99">
        <f>SUMIF(Import!$B:$B,$A1658,Import!I:I)</f>
        <v>8309.4500000000007</v>
      </c>
      <c r="O1658" s="99">
        <f>SUMIF(Import!$B:$B,$A1658,Import!J:J)</f>
        <v>10829</v>
      </c>
      <c r="P1658" s="99">
        <f t="shared" si="2080"/>
        <v>7</v>
      </c>
      <c r="Q1658" s="99">
        <f>SUMIF(Import!$B:$B,$A1658,Import!K:K)</f>
        <v>11527</v>
      </c>
      <c r="R1658" s="99">
        <f>SUMIF(Import!$B:$B,$A1658,Import!L:L)</f>
        <v>0</v>
      </c>
      <c r="S1658" s="99">
        <f>SUMIF(Import!$B:$B,$A1658,Import!M:M)</f>
        <v>0</v>
      </c>
      <c r="T1658" s="99">
        <f>SUMIF(Import!$B:$B,$A1658,Import!N:N)</f>
        <v>11527</v>
      </c>
      <c r="U1658" s="99">
        <f t="shared" si="2081"/>
        <v>705</v>
      </c>
      <c r="V1658" s="255">
        <f t="shared" si="2082"/>
        <v>6.5145074847532847E-2</v>
      </c>
      <c r="W1658" s="102" t="s">
        <v>2995</v>
      </c>
      <c r="X1658" s="102"/>
      <c r="Y1658" s="102"/>
      <c r="Z1658" s="200"/>
      <c r="AA1658" s="615"/>
      <c r="AB1658" s="631"/>
      <c r="AC1658" s="631"/>
      <c r="AD1658" s="631"/>
      <c r="AE1658" s="631"/>
      <c r="AF1658" s="631"/>
      <c r="AG1658" s="631"/>
      <c r="AH1658" s="631"/>
      <c r="AI1658" s="631"/>
      <c r="AJ1658" s="631"/>
      <c r="AK1658" s="631"/>
      <c r="AL1658" s="631"/>
      <c r="AM1658" s="631"/>
      <c r="AN1658" s="631"/>
      <c r="AO1658" s="97"/>
      <c r="AP1658" s="97"/>
      <c r="AQ1658" s="97"/>
      <c r="AR1658" s="70"/>
      <c r="AS1658" s="70"/>
    </row>
    <row r="1659" spans="1:45" s="71" customFormat="1" ht="15" customHeight="1">
      <c r="A1659" s="555"/>
      <c r="B1659" s="217"/>
      <c r="C1659" s="217"/>
      <c r="D1659" s="101"/>
      <c r="E1659" s="217"/>
      <c r="F1659" s="294"/>
      <c r="G1659" s="295"/>
      <c r="H1659" s="107" t="str">
        <f>UPPER(G1658)&amp;" TOTAL"</f>
        <v>PERSONNEL SERVICES TOTAL</v>
      </c>
      <c r="I1659" s="108">
        <f t="shared" ref="I1659" si="2083">SUBTOTAL(9,I1651:I1658)</f>
        <v>177269.31</v>
      </c>
      <c r="J1659" s="108">
        <f t="shared" ref="J1659:P1659" si="2084">SUBTOTAL(9,J1651:J1658)</f>
        <v>182455.95</v>
      </c>
      <c r="K1659" s="108">
        <f t="shared" ref="K1659" si="2085">SUBTOTAL(9,K1651:K1658)</f>
        <v>204532.05000000002</v>
      </c>
      <c r="L1659" s="108">
        <f t="shared" ref="L1659" si="2086">SUBTOTAL(9,L1651:L1658)</f>
        <v>136804.55000000002</v>
      </c>
      <c r="M1659" s="108">
        <f t="shared" si="2084"/>
        <v>91396</v>
      </c>
      <c r="N1659" s="108">
        <f t="shared" ref="N1659" si="2087">SUBTOTAL(9,N1651:N1658)</f>
        <v>69979.5</v>
      </c>
      <c r="O1659" s="108">
        <f t="shared" si="2084"/>
        <v>91907</v>
      </c>
      <c r="P1659" s="108">
        <f t="shared" si="2084"/>
        <v>511</v>
      </c>
      <c r="Q1659" s="108">
        <f t="shared" ref="Q1659:T1659" si="2088">SUBTOTAL(9,Q1651:Q1658)</f>
        <v>94882</v>
      </c>
      <c r="R1659" s="108">
        <f t="shared" si="2088"/>
        <v>0</v>
      </c>
      <c r="S1659" s="108">
        <f t="shared" si="2088"/>
        <v>0</v>
      </c>
      <c r="T1659" s="108">
        <f t="shared" si="2088"/>
        <v>94882</v>
      </c>
      <c r="U1659" s="99">
        <f>T1659-M1659</f>
        <v>3486</v>
      </c>
      <c r="V1659" s="255">
        <f>IF(M1659=0,"N/A",T1659/M1659-1)</f>
        <v>3.8141712985251042E-2</v>
      </c>
      <c r="W1659" s="102"/>
      <c r="X1659" s="102"/>
      <c r="Y1659" s="102"/>
      <c r="Z1659" s="200"/>
      <c r="AA1659" s="615"/>
      <c r="AB1659" s="631"/>
      <c r="AC1659" s="631"/>
      <c r="AD1659" s="631"/>
      <c r="AE1659" s="631"/>
      <c r="AF1659" s="631"/>
      <c r="AG1659" s="631"/>
      <c r="AH1659" s="631"/>
      <c r="AI1659" s="631"/>
      <c r="AJ1659" s="631"/>
      <c r="AK1659" s="631"/>
      <c r="AL1659" s="631"/>
      <c r="AM1659" s="631"/>
      <c r="AN1659" s="631"/>
      <c r="AO1659" s="97"/>
      <c r="AP1659" s="97"/>
      <c r="AQ1659" s="97"/>
      <c r="AR1659" s="70"/>
      <c r="AS1659" s="70"/>
    </row>
    <row r="1660" spans="1:45" s="71" customFormat="1" ht="15" customHeight="1">
      <c r="A1660" s="555"/>
      <c r="B1660" s="217"/>
      <c r="C1660" s="217"/>
      <c r="D1660" s="101"/>
      <c r="E1660" s="217"/>
      <c r="F1660" s="294"/>
      <c r="G1660" s="295"/>
      <c r="H1660" s="98"/>
      <c r="I1660" s="106"/>
      <c r="J1660" s="106"/>
      <c r="K1660" s="106"/>
      <c r="L1660" s="106"/>
      <c r="M1660" s="106"/>
      <c r="N1660" s="112"/>
      <c r="O1660" s="112"/>
      <c r="P1660" s="112"/>
      <c r="Q1660" s="113"/>
      <c r="R1660" s="113"/>
      <c r="S1660" s="113"/>
      <c r="T1660" s="113"/>
      <c r="U1660" s="99"/>
      <c r="V1660" s="255"/>
      <c r="W1660" s="102"/>
      <c r="X1660" s="102"/>
      <c r="Y1660" s="102"/>
      <c r="Z1660" s="200"/>
      <c r="AA1660" s="615"/>
      <c r="AB1660" s="631"/>
      <c r="AC1660" s="631"/>
      <c r="AD1660" s="631"/>
      <c r="AE1660" s="631"/>
      <c r="AF1660" s="631"/>
      <c r="AG1660" s="631"/>
      <c r="AH1660" s="631"/>
      <c r="AI1660" s="631"/>
      <c r="AJ1660" s="631"/>
      <c r="AK1660" s="631"/>
      <c r="AL1660" s="631"/>
      <c r="AM1660" s="631"/>
      <c r="AN1660" s="631"/>
      <c r="AO1660" s="97"/>
      <c r="AP1660" s="97"/>
      <c r="AQ1660" s="97"/>
      <c r="AR1660" s="70"/>
      <c r="AS1660" s="70"/>
    </row>
    <row r="1661" spans="1:45" s="71" customFormat="1" ht="15" customHeight="1">
      <c r="A1661" s="555" t="s">
        <v>2996</v>
      </c>
      <c r="B1661" s="217" t="str">
        <f t="shared" si="2051"/>
        <v>100</v>
      </c>
      <c r="C1661" s="217" t="str">
        <f t="shared" si="2052"/>
        <v>63</v>
      </c>
      <c r="D1661" s="101" t="str">
        <f t="shared" si="2053"/>
        <v>633</v>
      </c>
      <c r="E1661" s="217" t="str">
        <f t="shared" si="2054"/>
        <v>100-63-633</v>
      </c>
      <c r="F1661" s="294" t="str">
        <f t="shared" si="2055"/>
        <v>51210</v>
      </c>
      <c r="G1661" s="295" t="str">
        <f>VLOOKUP(F1661,'GL Category'!A:C,3,FALSE)</f>
        <v>Operations &amp; maintenance</v>
      </c>
      <c r="H1661" s="98" t="str">
        <f>VLOOKUP(F1661,'GL Category'!A:C,2,FALSE)</f>
        <v>OFFICE SUPPLIES</v>
      </c>
      <c r="I1661" s="99">
        <f>SUMIF(Import!$B:$B,$A1661,Import!D:D)</f>
        <v>0</v>
      </c>
      <c r="J1661" s="99">
        <f>SUMIF(Import!$B:$B,$A1661,Import!E:E)</f>
        <v>0</v>
      </c>
      <c r="K1661" s="99">
        <f>SUMIF(Import!$B:$B,$A1661,Import!F:F)</f>
        <v>0</v>
      </c>
      <c r="L1661" s="99">
        <f>SUMIF(Import!$B:$B,$A1661,Import!G:G)</f>
        <v>0</v>
      </c>
      <c r="M1661" s="99">
        <f>SUMIF(Import!$B:$B,$A1661,Import!H:H)</f>
        <v>0</v>
      </c>
      <c r="N1661" s="99">
        <f>SUMIF(Import!$B:$B,$A1661,Import!I:I)</f>
        <v>0</v>
      </c>
      <c r="O1661" s="99">
        <f>SUMIF(Import!$B:$B,$A1661,Import!J:J)</f>
        <v>0</v>
      </c>
      <c r="P1661" s="99">
        <f t="shared" ref="P1661:P1667" si="2089">O1661-M1661</f>
        <v>0</v>
      </c>
      <c r="Q1661" s="99">
        <f>SUMIF(Import!$B:$B,$A1661,Import!K:K)</f>
        <v>0</v>
      </c>
      <c r="R1661" s="99">
        <f>SUMIF(Import!$B:$B,$A1661,Import!L:L)</f>
        <v>0</v>
      </c>
      <c r="S1661" s="99">
        <f>SUMIF(Import!$B:$B,$A1661,Import!M:M)</f>
        <v>0</v>
      </c>
      <c r="T1661" s="99">
        <f>SUMIF(Import!$B:$B,$A1661,Import!N:N)</f>
        <v>0</v>
      </c>
      <c r="U1661" s="99">
        <f t="shared" ref="U1661:U1667" si="2090">T1661-M1661</f>
        <v>0</v>
      </c>
      <c r="V1661" s="255" t="str">
        <f t="shared" ref="V1661:V1667" si="2091">IF(M1661=0,"N/A",T1661/M1661-1)</f>
        <v>N/A</v>
      </c>
      <c r="W1661" s="102" t="s">
        <v>2996</v>
      </c>
      <c r="X1661" s="102"/>
      <c r="Y1661" s="102"/>
      <c r="Z1661" s="200"/>
      <c r="AA1661" s="615"/>
      <c r="AB1661" s="631"/>
      <c r="AC1661" s="631"/>
      <c r="AD1661" s="631"/>
      <c r="AE1661" s="631"/>
      <c r="AF1661" s="631"/>
      <c r="AG1661" s="631"/>
      <c r="AH1661" s="631"/>
      <c r="AI1661" s="631"/>
      <c r="AJ1661" s="631"/>
      <c r="AK1661" s="631"/>
      <c r="AL1661" s="631"/>
      <c r="AM1661" s="631"/>
      <c r="AN1661" s="631"/>
      <c r="AO1661" s="97"/>
      <c r="AP1661" s="97"/>
      <c r="AQ1661" s="97"/>
      <c r="AR1661" s="70"/>
      <c r="AS1661" s="70"/>
    </row>
    <row r="1662" spans="1:45" s="71" customFormat="1" ht="15" customHeight="1">
      <c r="A1662" s="555" t="s">
        <v>2997</v>
      </c>
      <c r="B1662" s="217" t="str">
        <f t="shared" si="2051"/>
        <v>100</v>
      </c>
      <c r="C1662" s="217" t="str">
        <f t="shared" si="2052"/>
        <v>63</v>
      </c>
      <c r="D1662" s="101" t="str">
        <f t="shared" si="2053"/>
        <v>633</v>
      </c>
      <c r="E1662" s="217" t="str">
        <f t="shared" si="2054"/>
        <v>100-63-633</v>
      </c>
      <c r="F1662" s="294" t="str">
        <f t="shared" si="2055"/>
        <v>51245</v>
      </c>
      <c r="G1662" s="295" t="str">
        <f>VLOOKUP(F1662,'GL Category'!A:C,3,FALSE)</f>
        <v>Operations &amp; maintenance</v>
      </c>
      <c r="H1662" s="98" t="str">
        <f>VLOOKUP(F1662,'GL Category'!A:C,2,FALSE)</f>
        <v>SMALL TOOLS &amp; EQUIPMENT</v>
      </c>
      <c r="I1662" s="99">
        <f>SUMIF(Import!$B:$B,$A1662,Import!D:D)</f>
        <v>0</v>
      </c>
      <c r="J1662" s="99">
        <f>SUMIF(Import!$B:$B,$A1662,Import!E:E)</f>
        <v>0</v>
      </c>
      <c r="K1662" s="99">
        <f>SUMIF(Import!$B:$B,$A1662,Import!F:F)</f>
        <v>0</v>
      </c>
      <c r="L1662" s="99">
        <f>SUMIF(Import!$B:$B,$A1662,Import!G:G)</f>
        <v>0</v>
      </c>
      <c r="M1662" s="99">
        <f>SUMIF(Import!$B:$B,$A1662,Import!H:H)</f>
        <v>0</v>
      </c>
      <c r="N1662" s="99">
        <f>SUMIF(Import!$B:$B,$A1662,Import!I:I)</f>
        <v>0</v>
      </c>
      <c r="O1662" s="99">
        <f>SUMIF(Import!$B:$B,$A1662,Import!J:J)</f>
        <v>0</v>
      </c>
      <c r="P1662" s="99">
        <f t="shared" si="2089"/>
        <v>0</v>
      </c>
      <c r="Q1662" s="99">
        <f>SUMIF(Import!$B:$B,$A1662,Import!K:K)</f>
        <v>0</v>
      </c>
      <c r="R1662" s="99">
        <f>SUMIF(Import!$B:$B,$A1662,Import!L:L)</f>
        <v>0</v>
      </c>
      <c r="S1662" s="99">
        <f>SUMIF(Import!$B:$B,$A1662,Import!M:M)</f>
        <v>0</v>
      </c>
      <c r="T1662" s="99">
        <f>SUMIF(Import!$B:$B,$A1662,Import!N:N)</f>
        <v>0</v>
      </c>
      <c r="U1662" s="99">
        <f t="shared" si="2090"/>
        <v>0</v>
      </c>
      <c r="V1662" s="255" t="str">
        <f t="shared" si="2091"/>
        <v>N/A</v>
      </c>
      <c r="W1662" s="102" t="s">
        <v>2997</v>
      </c>
      <c r="X1662" s="102"/>
      <c r="Y1662" s="102"/>
      <c r="Z1662" s="200"/>
      <c r="AA1662" s="615"/>
      <c r="AB1662" s="631"/>
      <c r="AC1662" s="631"/>
      <c r="AD1662" s="631"/>
      <c r="AE1662" s="631"/>
      <c r="AF1662" s="631"/>
      <c r="AG1662" s="631"/>
      <c r="AH1662" s="631"/>
      <c r="AI1662" s="631"/>
      <c r="AJ1662" s="631"/>
      <c r="AK1662" s="631"/>
      <c r="AL1662" s="631"/>
      <c r="AM1662" s="631"/>
      <c r="AN1662" s="631"/>
      <c r="AO1662" s="97"/>
      <c r="AP1662" s="97"/>
      <c r="AQ1662" s="97"/>
      <c r="AR1662" s="70"/>
      <c r="AS1662" s="70"/>
    </row>
    <row r="1663" spans="1:45" s="71" customFormat="1" ht="15" customHeight="1">
      <c r="A1663" s="555" t="s">
        <v>2998</v>
      </c>
      <c r="B1663" s="217" t="str">
        <f t="shared" si="2051"/>
        <v>100</v>
      </c>
      <c r="C1663" s="217" t="str">
        <f t="shared" si="2052"/>
        <v>63</v>
      </c>
      <c r="D1663" s="101" t="str">
        <f t="shared" si="2053"/>
        <v>633</v>
      </c>
      <c r="E1663" s="217" t="str">
        <f t="shared" si="2054"/>
        <v>100-63-633</v>
      </c>
      <c r="F1663" s="294" t="str">
        <f t="shared" si="2055"/>
        <v>51255</v>
      </c>
      <c r="G1663" s="295" t="str">
        <f>VLOOKUP(F1663,'GL Category'!A:C,3,FALSE)</f>
        <v>Operations &amp; maintenance</v>
      </c>
      <c r="H1663" s="98" t="str">
        <f>VLOOKUP(F1663,'GL Category'!A:C,2,FALSE)</f>
        <v>FUEL/OILS/LUBRICANTS</v>
      </c>
      <c r="I1663" s="99">
        <f>SUMIF(Import!$B:$B,$A1663,Import!D:D)</f>
        <v>0</v>
      </c>
      <c r="J1663" s="99">
        <f>SUMIF(Import!$B:$B,$A1663,Import!E:E)</f>
        <v>64.989999999999995</v>
      </c>
      <c r="K1663" s="99">
        <f>SUMIF(Import!$B:$B,$A1663,Import!F:F)</f>
        <v>0</v>
      </c>
      <c r="L1663" s="99">
        <f>SUMIF(Import!$B:$B,$A1663,Import!G:G)</f>
        <v>0</v>
      </c>
      <c r="M1663" s="99">
        <f>SUMIF(Import!$B:$B,$A1663,Import!H:H)</f>
        <v>0</v>
      </c>
      <c r="N1663" s="99">
        <f>SUMIF(Import!$B:$B,$A1663,Import!I:I)</f>
        <v>0</v>
      </c>
      <c r="O1663" s="99">
        <f>SUMIF(Import!$B:$B,$A1663,Import!J:J)</f>
        <v>0</v>
      </c>
      <c r="P1663" s="99">
        <f t="shared" si="2089"/>
        <v>0</v>
      </c>
      <c r="Q1663" s="99">
        <f>SUMIF(Import!$B:$B,$A1663,Import!K:K)</f>
        <v>0</v>
      </c>
      <c r="R1663" s="99">
        <f>SUMIF(Import!$B:$B,$A1663,Import!L:L)</f>
        <v>0</v>
      </c>
      <c r="S1663" s="99">
        <f>SUMIF(Import!$B:$B,$A1663,Import!M:M)</f>
        <v>0</v>
      </c>
      <c r="T1663" s="99">
        <f>SUMIF(Import!$B:$B,$A1663,Import!N:N)</f>
        <v>0</v>
      </c>
      <c r="U1663" s="99">
        <f t="shared" si="2090"/>
        <v>0</v>
      </c>
      <c r="V1663" s="255" t="str">
        <f t="shared" si="2091"/>
        <v>N/A</v>
      </c>
      <c r="W1663" s="102" t="s">
        <v>2998</v>
      </c>
      <c r="X1663" s="102"/>
      <c r="Y1663" s="102"/>
      <c r="Z1663" s="200"/>
      <c r="AA1663" s="615"/>
      <c r="AB1663" s="631"/>
      <c r="AC1663" s="631"/>
      <c r="AD1663" s="631"/>
      <c r="AE1663" s="631"/>
      <c r="AF1663" s="631"/>
      <c r="AG1663" s="631"/>
      <c r="AH1663" s="631"/>
      <c r="AI1663" s="631"/>
      <c r="AJ1663" s="631"/>
      <c r="AK1663" s="631"/>
      <c r="AL1663" s="631"/>
      <c r="AM1663" s="631"/>
      <c r="AN1663" s="631"/>
      <c r="AO1663" s="97"/>
      <c r="AP1663" s="97"/>
      <c r="AQ1663" s="97"/>
      <c r="AR1663" s="70"/>
      <c r="AS1663" s="70"/>
    </row>
    <row r="1664" spans="1:45" s="71" customFormat="1" ht="15" customHeight="1">
      <c r="A1664" s="555" t="s">
        <v>2999</v>
      </c>
      <c r="B1664" s="217" t="str">
        <f t="shared" si="2051"/>
        <v>100</v>
      </c>
      <c r="C1664" s="217" t="str">
        <f t="shared" si="2052"/>
        <v>63</v>
      </c>
      <c r="D1664" s="101" t="str">
        <f t="shared" si="2053"/>
        <v>633</v>
      </c>
      <c r="E1664" s="217" t="str">
        <f t="shared" si="2054"/>
        <v>100-63-633</v>
      </c>
      <c r="F1664" s="294" t="str">
        <f t="shared" si="2055"/>
        <v>51260</v>
      </c>
      <c r="G1664" s="295" t="str">
        <f>VLOOKUP(F1664,'GL Category'!A:C,3,FALSE)</f>
        <v>Operations &amp; maintenance</v>
      </c>
      <c r="H1664" s="98" t="str">
        <f>VLOOKUP(F1664,'GL Category'!A:C,2,FALSE)</f>
        <v>EDUCATION/RECREATION SUPPLIES</v>
      </c>
      <c r="I1664" s="99">
        <f>SUMIF(Import!$B:$B,$A1664,Import!D:D)</f>
        <v>8904.9</v>
      </c>
      <c r="J1664" s="99">
        <f>SUMIF(Import!$B:$B,$A1664,Import!E:E)</f>
        <v>5287.43</v>
      </c>
      <c r="K1664" s="99">
        <f>SUMIF(Import!$B:$B,$A1664,Import!F:F)</f>
        <v>7202.64</v>
      </c>
      <c r="L1664" s="99">
        <f>SUMIF(Import!$B:$B,$A1664,Import!G:G)</f>
        <v>10519.36</v>
      </c>
      <c r="M1664" s="99">
        <f>SUMIF(Import!$B:$B,$A1664,Import!H:H)</f>
        <v>9000</v>
      </c>
      <c r="N1664" s="99">
        <f>SUMIF(Import!$B:$B,$A1664,Import!I:I)</f>
        <v>8696.01</v>
      </c>
      <c r="O1664" s="99">
        <f>SUMIF(Import!$B:$B,$A1664,Import!J:J)</f>
        <v>9000</v>
      </c>
      <c r="P1664" s="99">
        <f t="shared" si="2089"/>
        <v>0</v>
      </c>
      <c r="Q1664" s="99">
        <f>SUMIF(Import!$B:$B,$A1664,Import!K:K)</f>
        <v>9000</v>
      </c>
      <c r="R1664" s="99">
        <f>SUMIF(Import!$B:$B,$A1664,Import!L:L)</f>
        <v>0</v>
      </c>
      <c r="S1664" s="99">
        <f>SUMIF(Import!$B:$B,$A1664,Import!M:M)</f>
        <v>0</v>
      </c>
      <c r="T1664" s="99">
        <f>SUMIF(Import!$B:$B,$A1664,Import!N:N)</f>
        <v>9000</v>
      </c>
      <c r="U1664" s="99">
        <f t="shared" si="2090"/>
        <v>0</v>
      </c>
      <c r="V1664" s="255">
        <f t="shared" si="2091"/>
        <v>0</v>
      </c>
      <c r="W1664" s="102" t="s">
        <v>2999</v>
      </c>
      <c r="X1664" s="102"/>
      <c r="Y1664" s="102"/>
      <c r="Z1664" s="200"/>
      <c r="AA1664" s="615"/>
      <c r="AB1664" s="631"/>
      <c r="AC1664" s="631"/>
      <c r="AD1664" s="631"/>
      <c r="AE1664" s="631"/>
      <c r="AF1664" s="631"/>
      <c r="AG1664" s="631"/>
      <c r="AH1664" s="631"/>
      <c r="AI1664" s="631"/>
      <c r="AJ1664" s="631"/>
      <c r="AK1664" s="631"/>
      <c r="AL1664" s="631"/>
      <c r="AM1664" s="631"/>
      <c r="AN1664" s="631"/>
      <c r="AO1664" s="97"/>
      <c r="AP1664" s="97"/>
      <c r="AQ1664" s="97"/>
      <c r="AR1664" s="70"/>
      <c r="AS1664" s="70"/>
    </row>
    <row r="1665" spans="1:45" s="71" customFormat="1" ht="15" customHeight="1">
      <c r="A1665" s="555" t="s">
        <v>3000</v>
      </c>
      <c r="B1665" s="217" t="str">
        <f t="shared" si="2051"/>
        <v>100</v>
      </c>
      <c r="C1665" s="217" t="str">
        <f t="shared" si="2052"/>
        <v>63</v>
      </c>
      <c r="D1665" s="101" t="str">
        <f t="shared" si="2053"/>
        <v>633</v>
      </c>
      <c r="E1665" s="217" t="str">
        <f t="shared" si="2054"/>
        <v>100-63-633</v>
      </c>
      <c r="F1665" s="294" t="str">
        <f t="shared" si="2055"/>
        <v>51285</v>
      </c>
      <c r="G1665" s="295" t="str">
        <f>VLOOKUP(F1665,'GL Category'!A:C,3,FALSE)</f>
        <v>Operations &amp; maintenance</v>
      </c>
      <c r="H1665" s="98" t="str">
        <f>VLOOKUP(F1665,'GL Category'!A:C,2,FALSE)</f>
        <v>WEARING APPAREL</v>
      </c>
      <c r="I1665" s="99">
        <f>SUMIF(Import!$B:$B,$A1665,Import!D:D)</f>
        <v>241.57</v>
      </c>
      <c r="J1665" s="99">
        <f>SUMIF(Import!$B:$B,$A1665,Import!E:E)</f>
        <v>36.64</v>
      </c>
      <c r="K1665" s="99">
        <f>SUMIF(Import!$B:$B,$A1665,Import!F:F)</f>
        <v>527.23</v>
      </c>
      <c r="L1665" s="99">
        <f>SUMIF(Import!$B:$B,$A1665,Import!G:G)</f>
        <v>645.73</v>
      </c>
      <c r="M1665" s="99">
        <f>SUMIF(Import!$B:$B,$A1665,Import!H:H)</f>
        <v>499</v>
      </c>
      <c r="N1665" s="99">
        <f>SUMIF(Import!$B:$B,$A1665,Import!I:I)</f>
        <v>249.08</v>
      </c>
      <c r="O1665" s="99">
        <f>SUMIF(Import!$B:$B,$A1665,Import!J:J)</f>
        <v>499</v>
      </c>
      <c r="P1665" s="99">
        <f t="shared" si="2089"/>
        <v>0</v>
      </c>
      <c r="Q1665" s="99">
        <f>SUMIF(Import!$B:$B,$A1665,Import!K:K)</f>
        <v>499</v>
      </c>
      <c r="R1665" s="99">
        <f>SUMIF(Import!$B:$B,$A1665,Import!L:L)</f>
        <v>0</v>
      </c>
      <c r="S1665" s="99">
        <f>SUMIF(Import!$B:$B,$A1665,Import!M:M)</f>
        <v>0</v>
      </c>
      <c r="T1665" s="99">
        <f>SUMIF(Import!$B:$B,$A1665,Import!N:N)</f>
        <v>499</v>
      </c>
      <c r="U1665" s="99">
        <f t="shared" si="2090"/>
        <v>0</v>
      </c>
      <c r="V1665" s="255">
        <f t="shared" si="2091"/>
        <v>0</v>
      </c>
      <c r="W1665" s="102" t="s">
        <v>3000</v>
      </c>
      <c r="X1665" s="102"/>
      <c r="Y1665" s="102"/>
      <c r="Z1665" s="200"/>
      <c r="AA1665" s="615"/>
      <c r="AB1665" s="631"/>
      <c r="AC1665" s="631"/>
      <c r="AD1665" s="631"/>
      <c r="AE1665" s="631"/>
      <c r="AF1665" s="631"/>
      <c r="AG1665" s="631"/>
      <c r="AH1665" s="631"/>
      <c r="AI1665" s="631"/>
      <c r="AJ1665" s="631"/>
      <c r="AK1665" s="631"/>
      <c r="AL1665" s="631"/>
      <c r="AM1665" s="631"/>
      <c r="AN1665" s="631"/>
      <c r="AO1665" s="97"/>
      <c r="AP1665" s="97"/>
      <c r="AQ1665" s="97"/>
      <c r="AR1665" s="70"/>
      <c r="AS1665" s="70"/>
    </row>
    <row r="1666" spans="1:45" s="71" customFormat="1" ht="15" customHeight="1">
      <c r="A1666" s="555" t="s">
        <v>3001</v>
      </c>
      <c r="B1666" s="217" t="str">
        <f t="shared" ref="B1666" si="2092">LEFT(A1666,3)</f>
        <v>100</v>
      </c>
      <c r="C1666" s="217" t="str">
        <f t="shared" ref="C1666" si="2093">MID(A1666,5,2)</f>
        <v>63</v>
      </c>
      <c r="D1666" s="101" t="str">
        <f t="shared" ref="D1666" si="2094">MID(A1666,8,3)</f>
        <v>633</v>
      </c>
      <c r="E1666" s="217" t="str">
        <f t="shared" ref="E1666" si="2095">LEFT(A1666,10)</f>
        <v>100-63-633</v>
      </c>
      <c r="F1666" s="294" t="str">
        <f t="shared" ref="F1666" si="2096">RIGHT(A1666,5)</f>
        <v>52460</v>
      </c>
      <c r="G1666" s="295" t="str">
        <f>VLOOKUP(F1666,'GL Category'!A:C,3,FALSE)</f>
        <v>Operations &amp; maintenance</v>
      </c>
      <c r="H1666" s="98" t="str">
        <f>VLOOKUP(F1666,'GL Category'!A:C,2,FALSE)</f>
        <v>VEHICLE MAINTENANCE</v>
      </c>
      <c r="I1666" s="99">
        <f>SUMIF(Import!$B:$B,$A1666,Import!D:D)</f>
        <v>952.45</v>
      </c>
      <c r="J1666" s="99">
        <f>SUMIF(Import!$B:$B,$A1666,Import!E:E)</f>
        <v>1176.0999999999999</v>
      </c>
      <c r="K1666" s="99">
        <f>SUMIF(Import!$B:$B,$A1666,Import!F:F)</f>
        <v>479.33</v>
      </c>
      <c r="L1666" s="99">
        <f>SUMIF(Import!$B:$B,$A1666,Import!G:G)</f>
        <v>0</v>
      </c>
      <c r="M1666" s="99">
        <f>SUMIF(Import!$B:$B,$A1666,Import!H:H)</f>
        <v>0</v>
      </c>
      <c r="N1666" s="99">
        <f>SUMIF(Import!$B:$B,$A1666,Import!I:I)</f>
        <v>0</v>
      </c>
      <c r="O1666" s="99">
        <f>SUMIF(Import!$B:$B,$A1666,Import!J:J)</f>
        <v>0</v>
      </c>
      <c r="P1666" s="99">
        <f t="shared" ref="P1666" si="2097">O1666-M1666</f>
        <v>0</v>
      </c>
      <c r="Q1666" s="99">
        <f>SUMIF(Import!$B:$B,$A1666,Import!K:K)</f>
        <v>0</v>
      </c>
      <c r="R1666" s="99">
        <f>SUMIF(Import!$B:$B,$A1666,Import!L:L)</f>
        <v>0</v>
      </c>
      <c r="S1666" s="99">
        <f>SUMIF(Import!$B:$B,$A1666,Import!M:M)</f>
        <v>0</v>
      </c>
      <c r="T1666" s="99">
        <f>SUMIF(Import!$B:$B,$A1666,Import!N:N)</f>
        <v>0</v>
      </c>
      <c r="U1666" s="99">
        <f t="shared" ref="U1666" si="2098">T1666-M1666</f>
        <v>0</v>
      </c>
      <c r="V1666" s="255" t="str">
        <f t="shared" ref="V1666" si="2099">IF(M1666=0,"N/A",T1666/M1666-1)</f>
        <v>N/A</v>
      </c>
      <c r="W1666" s="102" t="s">
        <v>3001</v>
      </c>
      <c r="X1666" s="102"/>
      <c r="Y1666" s="102"/>
      <c r="Z1666" s="200"/>
      <c r="AA1666" s="615"/>
      <c r="AB1666" s="631"/>
      <c r="AC1666" s="631"/>
      <c r="AD1666" s="631"/>
      <c r="AE1666" s="631"/>
      <c r="AF1666" s="631"/>
      <c r="AG1666" s="631"/>
      <c r="AH1666" s="631"/>
      <c r="AI1666" s="631"/>
      <c r="AJ1666" s="631"/>
      <c r="AK1666" s="631"/>
      <c r="AL1666" s="631"/>
      <c r="AM1666" s="631"/>
      <c r="AN1666" s="631"/>
      <c r="AO1666" s="97"/>
      <c r="AP1666" s="97"/>
      <c r="AQ1666" s="97"/>
      <c r="AR1666" s="70"/>
      <c r="AS1666" s="70"/>
    </row>
    <row r="1667" spans="1:45" s="71" customFormat="1" ht="15" customHeight="1">
      <c r="A1667" s="555" t="s">
        <v>3134</v>
      </c>
      <c r="B1667" s="217" t="str">
        <f t="shared" si="2051"/>
        <v>100</v>
      </c>
      <c r="C1667" s="217" t="str">
        <f t="shared" si="2052"/>
        <v>63</v>
      </c>
      <c r="D1667" s="101" t="str">
        <f t="shared" si="2053"/>
        <v>633</v>
      </c>
      <c r="E1667" s="217" t="str">
        <f t="shared" si="2054"/>
        <v>100-63-633</v>
      </c>
      <c r="F1667" s="294" t="str">
        <f t="shared" si="2055"/>
        <v>52470</v>
      </c>
      <c r="G1667" s="295" t="str">
        <f>VLOOKUP(F1667,'GL Category'!A:C,3,FALSE)</f>
        <v>Operations &amp; maintenance</v>
      </c>
      <c r="H1667" s="98" t="str">
        <f>VLOOKUP(F1667,'GL Category'!A:C,2,FALSE)</f>
        <v>EQUIPMENT MAINTENANCE</v>
      </c>
      <c r="I1667" s="99">
        <f>SUMIF(Import!$B:$B,$A1667,Import!D:D)</f>
        <v>0</v>
      </c>
      <c r="J1667" s="99">
        <f>SUMIF(Import!$B:$B,$A1667,Import!E:E)</f>
        <v>267.52999999999997</v>
      </c>
      <c r="K1667" s="99">
        <f>SUMIF(Import!$B:$B,$A1667,Import!F:F)</f>
        <v>0</v>
      </c>
      <c r="L1667" s="99">
        <f>SUMIF(Import!$B:$B,$A1667,Import!G:G)</f>
        <v>1834.66</v>
      </c>
      <c r="M1667" s="99">
        <f>SUMIF(Import!$B:$B,$A1667,Import!H:H)</f>
        <v>2000</v>
      </c>
      <c r="N1667" s="99">
        <f>SUMIF(Import!$B:$B,$A1667,Import!I:I)</f>
        <v>833.61</v>
      </c>
      <c r="O1667" s="99">
        <f>SUMIF(Import!$B:$B,$A1667,Import!J:J)</f>
        <v>2000</v>
      </c>
      <c r="P1667" s="99">
        <f t="shared" si="2089"/>
        <v>0</v>
      </c>
      <c r="Q1667" s="99">
        <f>SUMIF(Import!$B:$B,$A1667,Import!K:K)</f>
        <v>2000</v>
      </c>
      <c r="R1667" s="99">
        <f>SUMIF(Import!$B:$B,$A1667,Import!L:L)</f>
        <v>0</v>
      </c>
      <c r="S1667" s="99">
        <f>SUMIF(Import!$B:$B,$A1667,Import!M:M)</f>
        <v>0</v>
      </c>
      <c r="T1667" s="99">
        <f>SUMIF(Import!$B:$B,$A1667,Import!N:N)</f>
        <v>2000</v>
      </c>
      <c r="U1667" s="99">
        <f t="shared" si="2090"/>
        <v>0</v>
      </c>
      <c r="V1667" s="255">
        <f t="shared" si="2091"/>
        <v>0</v>
      </c>
      <c r="W1667" s="102" t="s">
        <v>3001</v>
      </c>
      <c r="X1667" s="102"/>
      <c r="Y1667" s="102"/>
      <c r="Z1667" s="200"/>
      <c r="AA1667" s="615"/>
      <c r="AB1667" s="631"/>
      <c r="AC1667" s="631"/>
      <c r="AD1667" s="631"/>
      <c r="AE1667" s="631"/>
      <c r="AF1667" s="631"/>
      <c r="AG1667" s="631"/>
      <c r="AH1667" s="631"/>
      <c r="AI1667" s="631"/>
      <c r="AJ1667" s="631"/>
      <c r="AK1667" s="631"/>
      <c r="AL1667" s="631"/>
      <c r="AM1667" s="631"/>
      <c r="AN1667" s="631"/>
      <c r="AO1667" s="97"/>
      <c r="AP1667" s="97"/>
      <c r="AQ1667" s="97"/>
      <c r="AR1667" s="70"/>
      <c r="AS1667" s="70"/>
    </row>
    <row r="1668" spans="1:45" s="71" customFormat="1" ht="30" customHeight="1">
      <c r="A1668" s="555"/>
      <c r="B1668" s="217"/>
      <c r="C1668" s="217"/>
      <c r="D1668" s="101"/>
      <c r="E1668" s="217"/>
      <c r="F1668" s="294"/>
      <c r="G1668" s="295"/>
      <c r="H1668" s="107" t="str">
        <f>UPPER(G1667)&amp;" TOTAL"</f>
        <v>OPERATIONS &amp; MAINTENANCE TOTAL</v>
      </c>
      <c r="I1668" s="109">
        <f t="shared" ref="I1668" si="2100">SUBTOTAL(9,I1661:I1667)</f>
        <v>10098.92</v>
      </c>
      <c r="J1668" s="109">
        <f t="shared" ref="J1668:T1668" si="2101">SUBTOTAL(9,J1661:J1667)</f>
        <v>6832.69</v>
      </c>
      <c r="K1668" s="109">
        <f t="shared" ref="K1668" si="2102">SUBTOTAL(9,K1661:K1667)</f>
        <v>8209.2000000000007</v>
      </c>
      <c r="L1668" s="109">
        <f t="shared" ref="L1668" si="2103">SUBTOTAL(9,L1661:L1667)</f>
        <v>12999.75</v>
      </c>
      <c r="M1668" s="109">
        <f t="shared" si="2101"/>
        <v>11499</v>
      </c>
      <c r="N1668" s="109">
        <f t="shared" ref="N1668" si="2104">SUBTOTAL(9,N1661:N1667)</f>
        <v>9778.7000000000007</v>
      </c>
      <c r="O1668" s="109">
        <f t="shared" si="2101"/>
        <v>11499</v>
      </c>
      <c r="P1668" s="109">
        <f t="shared" si="2101"/>
        <v>0</v>
      </c>
      <c r="Q1668" s="109">
        <f t="shared" si="2101"/>
        <v>11499</v>
      </c>
      <c r="R1668" s="109">
        <f t="shared" si="2101"/>
        <v>0</v>
      </c>
      <c r="S1668" s="109">
        <f t="shared" si="2101"/>
        <v>0</v>
      </c>
      <c r="T1668" s="109">
        <f t="shared" si="2101"/>
        <v>11499</v>
      </c>
      <c r="U1668" s="99">
        <f>T1668-M1668</f>
        <v>0</v>
      </c>
      <c r="V1668" s="255">
        <f>IF(M1668=0,"N/A",T1668/M1668-1)</f>
        <v>0</v>
      </c>
      <c r="W1668" s="102"/>
      <c r="X1668" s="102"/>
      <c r="Y1668" s="102"/>
      <c r="Z1668" s="200"/>
      <c r="AA1668" s="615"/>
      <c r="AB1668" s="631"/>
      <c r="AC1668" s="631"/>
      <c r="AD1668" s="631"/>
      <c r="AE1668" s="631"/>
      <c r="AF1668" s="631"/>
      <c r="AG1668" s="631"/>
      <c r="AH1668" s="631"/>
      <c r="AI1668" s="631"/>
      <c r="AJ1668" s="631"/>
      <c r="AK1668" s="631"/>
      <c r="AL1668" s="631"/>
      <c r="AM1668" s="631"/>
      <c r="AN1668" s="631"/>
      <c r="AO1668" s="97"/>
      <c r="AP1668" s="97"/>
      <c r="AQ1668" s="97"/>
      <c r="AR1668" s="70"/>
      <c r="AS1668" s="70"/>
    </row>
    <row r="1669" spans="1:45" s="71" customFormat="1" ht="15" customHeight="1">
      <c r="A1669" s="555"/>
      <c r="B1669" s="217"/>
      <c r="C1669" s="217"/>
      <c r="D1669" s="101"/>
      <c r="E1669" s="217"/>
      <c r="F1669" s="294"/>
      <c r="G1669" s="295"/>
      <c r="H1669" s="98"/>
      <c r="I1669" s="106"/>
      <c r="J1669" s="106"/>
      <c r="K1669" s="106"/>
      <c r="L1669" s="106"/>
      <c r="M1669" s="106"/>
      <c r="N1669" s="112">
        <v>0</v>
      </c>
      <c r="O1669" s="112">
        <v>0</v>
      </c>
      <c r="P1669" s="112"/>
      <c r="Q1669" s="113"/>
      <c r="R1669" s="113"/>
      <c r="S1669" s="113"/>
      <c r="T1669" s="113"/>
      <c r="U1669" s="99"/>
      <c r="V1669" s="255"/>
      <c r="W1669" s="102"/>
      <c r="X1669" s="102"/>
      <c r="Y1669" s="102"/>
      <c r="Z1669" s="200"/>
      <c r="AA1669" s="615"/>
      <c r="AB1669" s="631"/>
      <c r="AC1669" s="631"/>
      <c r="AD1669" s="631"/>
      <c r="AE1669" s="631"/>
      <c r="AF1669" s="631"/>
      <c r="AG1669" s="631"/>
      <c r="AH1669" s="631"/>
      <c r="AI1669" s="631"/>
      <c r="AJ1669" s="631"/>
      <c r="AK1669" s="631"/>
      <c r="AL1669" s="631"/>
      <c r="AM1669" s="631"/>
      <c r="AN1669" s="631"/>
      <c r="AO1669" s="97"/>
      <c r="AP1669" s="97"/>
      <c r="AQ1669" s="97"/>
      <c r="AR1669" s="70"/>
      <c r="AS1669" s="70"/>
    </row>
    <row r="1670" spans="1:45" s="71" customFormat="1" ht="15" customHeight="1">
      <c r="A1670" s="555" t="s">
        <v>3003</v>
      </c>
      <c r="B1670" s="217" t="str">
        <f t="shared" si="2051"/>
        <v>100</v>
      </c>
      <c r="C1670" s="217" t="str">
        <f t="shared" si="2052"/>
        <v>63</v>
      </c>
      <c r="D1670" s="101" t="str">
        <f t="shared" si="2053"/>
        <v>633</v>
      </c>
      <c r="E1670" s="217" t="str">
        <f t="shared" si="2054"/>
        <v>100-63-633</v>
      </c>
      <c r="F1670" s="294" t="str">
        <f t="shared" si="2055"/>
        <v>53510</v>
      </c>
      <c r="G1670" s="295" t="str">
        <f>VLOOKUP(F1670,'GL Category'!A:C,3,FALSE)</f>
        <v>Services &amp; other</v>
      </c>
      <c r="H1670" s="98" t="str">
        <f>VLOOKUP(F1670,'GL Category'!A:C,2,FALSE)</f>
        <v>DUES &amp; SUBSCRIPTIONS</v>
      </c>
      <c r="I1670" s="99">
        <f>SUMIF(Import!$B:$B,$A1670,Import!D:D)</f>
        <v>419</v>
      </c>
      <c r="J1670" s="99">
        <f>SUMIF(Import!$B:$B,$A1670,Import!E:E)</f>
        <v>527.89</v>
      </c>
      <c r="K1670" s="99">
        <f>SUMIF(Import!$B:$B,$A1670,Import!F:F)</f>
        <v>1511.95</v>
      </c>
      <c r="L1670" s="99">
        <f>SUMIF(Import!$B:$B,$A1670,Import!G:G)</f>
        <v>900.88</v>
      </c>
      <c r="M1670" s="99">
        <f>SUMIF(Import!$B:$B,$A1670,Import!H:H)</f>
        <v>1100</v>
      </c>
      <c r="N1670" s="99">
        <f>SUMIF(Import!$B:$B,$A1670,Import!I:I)</f>
        <v>392.43</v>
      </c>
      <c r="O1670" s="99">
        <f>SUMIF(Import!$B:$B,$A1670,Import!J:J)</f>
        <v>1100</v>
      </c>
      <c r="P1670" s="99">
        <f t="shared" ref="P1670:P1677" si="2105">O1670-M1670</f>
        <v>0</v>
      </c>
      <c r="Q1670" s="99">
        <f>SUMIF(Import!$B:$B,$A1670,Import!K:K)</f>
        <v>1100</v>
      </c>
      <c r="R1670" s="99">
        <f>SUMIF(Import!$B:$B,$A1670,Import!L:L)</f>
        <v>0</v>
      </c>
      <c r="S1670" s="99">
        <f>SUMIF(Import!$B:$B,$A1670,Import!M:M)</f>
        <v>0</v>
      </c>
      <c r="T1670" s="99">
        <f>SUMIF(Import!$B:$B,$A1670,Import!N:N)</f>
        <v>1100</v>
      </c>
      <c r="U1670" s="99">
        <f t="shared" ref="U1670:U1677" si="2106">T1670-M1670</f>
        <v>0</v>
      </c>
      <c r="V1670" s="255">
        <f t="shared" ref="V1670:V1677" si="2107">IF(M1670=0,"N/A",T1670/M1670-1)</f>
        <v>0</v>
      </c>
      <c r="W1670" s="102" t="s">
        <v>3003</v>
      </c>
      <c r="X1670" s="102"/>
      <c r="Y1670" s="102"/>
      <c r="Z1670" s="200"/>
      <c r="AA1670" s="615"/>
      <c r="AB1670" s="631"/>
      <c r="AC1670" s="631"/>
      <c r="AD1670" s="631"/>
      <c r="AE1670" s="631"/>
      <c r="AF1670" s="631"/>
      <c r="AG1670" s="631"/>
      <c r="AH1670" s="631"/>
      <c r="AI1670" s="631"/>
      <c r="AJ1670" s="631"/>
      <c r="AK1670" s="631"/>
      <c r="AL1670" s="631"/>
      <c r="AM1670" s="631"/>
      <c r="AN1670" s="631"/>
      <c r="AO1670" s="97"/>
      <c r="AP1670" s="97"/>
      <c r="AQ1670" s="97"/>
      <c r="AR1670" s="70"/>
      <c r="AS1670" s="70"/>
    </row>
    <row r="1671" spans="1:45" s="71" customFormat="1" ht="15" customHeight="1">
      <c r="A1671" s="555" t="s">
        <v>3004</v>
      </c>
      <c r="B1671" s="217" t="str">
        <f t="shared" si="2051"/>
        <v>100</v>
      </c>
      <c r="C1671" s="217" t="str">
        <f t="shared" si="2052"/>
        <v>63</v>
      </c>
      <c r="D1671" s="101" t="str">
        <f t="shared" si="2053"/>
        <v>633</v>
      </c>
      <c r="E1671" s="217" t="str">
        <f t="shared" si="2054"/>
        <v>100-63-633</v>
      </c>
      <c r="F1671" s="294" t="str">
        <f t="shared" si="2055"/>
        <v>53515</v>
      </c>
      <c r="G1671" s="295" t="str">
        <f>VLOOKUP(F1671,'GL Category'!A:C,3,FALSE)</f>
        <v>Services &amp; other</v>
      </c>
      <c r="H1671" s="98" t="str">
        <f>VLOOKUP(F1671,'GL Category'!A:C,2,FALSE)</f>
        <v>TRAVEL, TRAINING &amp; EDUCATION</v>
      </c>
      <c r="I1671" s="99">
        <f>SUMIF(Import!$B:$B,$A1671,Import!D:D)</f>
        <v>7347.47</v>
      </c>
      <c r="J1671" s="99">
        <f>SUMIF(Import!$B:$B,$A1671,Import!E:E)</f>
        <v>4093.48</v>
      </c>
      <c r="K1671" s="99">
        <f>SUMIF(Import!$B:$B,$A1671,Import!F:F)</f>
        <v>4822.21</v>
      </c>
      <c r="L1671" s="99">
        <f>SUMIF(Import!$B:$B,$A1671,Import!G:G)</f>
        <v>5491.45</v>
      </c>
      <c r="M1671" s="99">
        <f>SUMIF(Import!$B:$B,$A1671,Import!H:H)</f>
        <v>8215</v>
      </c>
      <c r="N1671" s="99">
        <f>SUMIF(Import!$B:$B,$A1671,Import!I:I)</f>
        <v>1875.13</v>
      </c>
      <c r="O1671" s="99">
        <f>SUMIF(Import!$B:$B,$A1671,Import!J:J)</f>
        <v>4000</v>
      </c>
      <c r="P1671" s="99">
        <f t="shared" si="2105"/>
        <v>-4215</v>
      </c>
      <c r="Q1671" s="99">
        <f>SUMIF(Import!$B:$B,$A1671,Import!K:K)</f>
        <v>6215</v>
      </c>
      <c r="R1671" s="99">
        <f>SUMIF(Import!$B:$B,$A1671,Import!L:L)</f>
        <v>0</v>
      </c>
      <c r="S1671" s="99">
        <f>SUMIF(Import!$B:$B,$A1671,Import!M:M)</f>
        <v>0</v>
      </c>
      <c r="T1671" s="99">
        <f>SUMIF(Import!$B:$B,$A1671,Import!N:N)</f>
        <v>6215</v>
      </c>
      <c r="U1671" s="99">
        <f t="shared" si="2106"/>
        <v>-2000</v>
      </c>
      <c r="V1671" s="255">
        <f t="shared" si="2107"/>
        <v>-0.24345709068776633</v>
      </c>
      <c r="W1671" s="102" t="s">
        <v>3004</v>
      </c>
      <c r="X1671" s="102"/>
      <c r="Y1671" s="102"/>
      <c r="Z1671" s="200"/>
      <c r="AA1671" s="615"/>
      <c r="AB1671" s="631"/>
      <c r="AC1671" s="631"/>
      <c r="AD1671" s="631"/>
      <c r="AE1671" s="631"/>
      <c r="AF1671" s="631"/>
      <c r="AG1671" s="631"/>
      <c r="AH1671" s="631"/>
      <c r="AI1671" s="631"/>
      <c r="AJ1671" s="631"/>
      <c r="AK1671" s="631"/>
      <c r="AL1671" s="631"/>
      <c r="AM1671" s="631"/>
      <c r="AN1671" s="631"/>
      <c r="AO1671" s="97"/>
      <c r="AP1671" s="97"/>
      <c r="AQ1671" s="97"/>
      <c r="AR1671" s="70"/>
      <c r="AS1671" s="70"/>
    </row>
    <row r="1672" spans="1:45" s="71" customFormat="1" ht="15" customHeight="1">
      <c r="A1672" s="555" t="s">
        <v>3005</v>
      </c>
      <c r="B1672" s="217" t="str">
        <f t="shared" si="2051"/>
        <v>100</v>
      </c>
      <c r="C1672" s="217" t="str">
        <f t="shared" si="2052"/>
        <v>63</v>
      </c>
      <c r="D1672" s="101" t="str">
        <f t="shared" si="2053"/>
        <v>633</v>
      </c>
      <c r="E1672" s="217" t="str">
        <f t="shared" si="2054"/>
        <v>100-63-633</v>
      </c>
      <c r="F1672" s="294" t="str">
        <f t="shared" si="2055"/>
        <v>53534</v>
      </c>
      <c r="G1672" s="295" t="str">
        <f>VLOOKUP(F1672,'GL Category'!A:C,3,FALSE)</f>
        <v>Services &amp; other</v>
      </c>
      <c r="H1672" s="98" t="str">
        <f>VLOOKUP(F1672,'GL Category'!A:C,2,FALSE)</f>
        <v>MARKETING &amp; PROMOTIONAL</v>
      </c>
      <c r="I1672" s="99">
        <f>SUMIF(Import!$B:$B,$A1672,Import!D:D)</f>
        <v>2582.5100000000002</v>
      </c>
      <c r="J1672" s="99">
        <f>SUMIF(Import!$B:$B,$A1672,Import!E:E)</f>
        <v>3113.1</v>
      </c>
      <c r="K1672" s="99">
        <f>SUMIF(Import!$B:$B,$A1672,Import!F:F)</f>
        <v>3390.72</v>
      </c>
      <c r="L1672" s="99">
        <f>SUMIF(Import!$B:$B,$A1672,Import!G:G)</f>
        <v>3344.37</v>
      </c>
      <c r="M1672" s="99">
        <f>SUMIF(Import!$B:$B,$A1672,Import!H:H)</f>
        <v>3900</v>
      </c>
      <c r="N1672" s="99">
        <f>SUMIF(Import!$B:$B,$A1672,Import!I:I)</f>
        <v>0</v>
      </c>
      <c r="O1672" s="99">
        <f>SUMIF(Import!$B:$B,$A1672,Import!J:J)</f>
        <v>3900</v>
      </c>
      <c r="P1672" s="99">
        <f t="shared" si="2105"/>
        <v>0</v>
      </c>
      <c r="Q1672" s="99">
        <f>SUMIF(Import!$B:$B,$A1672,Import!K:K)</f>
        <v>3900</v>
      </c>
      <c r="R1672" s="99">
        <f>SUMIF(Import!$B:$B,$A1672,Import!L:L)</f>
        <v>0</v>
      </c>
      <c r="S1672" s="99">
        <f>SUMIF(Import!$B:$B,$A1672,Import!M:M)</f>
        <v>0</v>
      </c>
      <c r="T1672" s="99">
        <f>SUMIF(Import!$B:$B,$A1672,Import!N:N)</f>
        <v>3900</v>
      </c>
      <c r="U1672" s="99">
        <f t="shared" si="2106"/>
        <v>0</v>
      </c>
      <c r="V1672" s="255">
        <f t="shared" si="2107"/>
        <v>0</v>
      </c>
      <c r="W1672" s="102" t="s">
        <v>3005</v>
      </c>
      <c r="X1672" s="102"/>
      <c r="Y1672" s="102"/>
      <c r="Z1672" s="200"/>
      <c r="AA1672" s="615"/>
      <c r="AB1672" s="631"/>
      <c r="AC1672" s="631"/>
      <c r="AD1672" s="631"/>
      <c r="AE1672" s="631"/>
      <c r="AF1672" s="631"/>
      <c r="AG1672" s="631"/>
      <c r="AH1672" s="631"/>
      <c r="AI1672" s="631"/>
      <c r="AJ1672" s="631"/>
      <c r="AK1672" s="631"/>
      <c r="AL1672" s="631"/>
      <c r="AM1672" s="631"/>
      <c r="AN1672" s="631"/>
      <c r="AO1672" s="97"/>
      <c r="AP1672" s="97"/>
      <c r="AQ1672" s="97"/>
      <c r="AR1672" s="70"/>
      <c r="AS1672" s="70"/>
    </row>
    <row r="1673" spans="1:45" s="71" customFormat="1" ht="15" customHeight="1">
      <c r="A1673" s="555" t="s">
        <v>3006</v>
      </c>
      <c r="B1673" s="217" t="str">
        <f t="shared" si="2051"/>
        <v>100</v>
      </c>
      <c r="C1673" s="217" t="str">
        <f t="shared" si="2052"/>
        <v>63</v>
      </c>
      <c r="D1673" s="101" t="str">
        <f t="shared" si="2053"/>
        <v>633</v>
      </c>
      <c r="E1673" s="217" t="str">
        <f t="shared" si="2054"/>
        <v>100-63-633</v>
      </c>
      <c r="F1673" s="294" t="str">
        <f t="shared" si="2055"/>
        <v>53535</v>
      </c>
      <c r="G1673" s="295" t="str">
        <f>VLOOKUP(F1673,'GL Category'!A:C,3,FALSE)</f>
        <v>Services &amp; other</v>
      </c>
      <c r="H1673" s="98" t="str">
        <f>VLOOKUP(F1673,'GL Category'!A:C,2,FALSE)</f>
        <v>RECREATION &amp; CULTURE PROGRAMS</v>
      </c>
      <c r="I1673" s="99">
        <f>SUMIF(Import!$B:$B,$A1673,Import!D:D)</f>
        <v>0</v>
      </c>
      <c r="J1673" s="99">
        <f>SUMIF(Import!$B:$B,$A1673,Import!E:E)</f>
        <v>17348.05</v>
      </c>
      <c r="K1673" s="99">
        <f>SUMIF(Import!$B:$B,$A1673,Import!F:F)</f>
        <v>43946.92</v>
      </c>
      <c r="L1673" s="99">
        <f>SUMIF(Import!$B:$B,$A1673,Import!G:G)</f>
        <v>13206.41</v>
      </c>
      <c r="M1673" s="99">
        <f>SUMIF(Import!$B:$B,$A1673,Import!H:H)</f>
        <v>16250</v>
      </c>
      <c r="N1673" s="99">
        <f>SUMIF(Import!$B:$B,$A1673,Import!I:I)</f>
        <v>12226.31</v>
      </c>
      <c r="O1673" s="99">
        <f>SUMIF(Import!$B:$B,$A1673,Import!J:J)</f>
        <v>16250</v>
      </c>
      <c r="P1673" s="99">
        <f t="shared" si="2105"/>
        <v>0</v>
      </c>
      <c r="Q1673" s="99">
        <f>SUMIF(Import!$B:$B,$A1673,Import!K:K)</f>
        <v>16250</v>
      </c>
      <c r="R1673" s="99">
        <f>SUMIF(Import!$B:$B,$A1673,Import!L:L)</f>
        <v>0</v>
      </c>
      <c r="S1673" s="99">
        <f>SUMIF(Import!$B:$B,$A1673,Import!M:M)</f>
        <v>0</v>
      </c>
      <c r="T1673" s="99">
        <f>SUMIF(Import!$B:$B,$A1673,Import!N:N)</f>
        <v>16250</v>
      </c>
      <c r="U1673" s="99">
        <f t="shared" si="2106"/>
        <v>0</v>
      </c>
      <c r="V1673" s="255">
        <f t="shared" si="2107"/>
        <v>0</v>
      </c>
      <c r="W1673" s="102" t="s">
        <v>3006</v>
      </c>
      <c r="X1673" s="102"/>
      <c r="Y1673" s="102"/>
      <c r="Z1673" s="200"/>
      <c r="AA1673" s="615"/>
      <c r="AB1673" s="631"/>
      <c r="AC1673" s="631"/>
      <c r="AD1673" s="631"/>
      <c r="AE1673" s="631"/>
      <c r="AF1673" s="631"/>
      <c r="AG1673" s="631"/>
      <c r="AH1673" s="631"/>
      <c r="AI1673" s="631"/>
      <c r="AJ1673" s="631"/>
      <c r="AK1673" s="631"/>
      <c r="AL1673" s="631"/>
      <c r="AM1673" s="631"/>
      <c r="AN1673" s="631"/>
      <c r="AO1673" s="97"/>
      <c r="AP1673" s="97"/>
      <c r="AQ1673" s="97"/>
      <c r="AR1673" s="70"/>
      <c r="AS1673" s="70"/>
    </row>
    <row r="1674" spans="1:45" s="71" customFormat="1" ht="15" customHeight="1">
      <c r="A1674" s="555" t="s">
        <v>3007</v>
      </c>
      <c r="B1674" s="217" t="str">
        <f t="shared" ref="B1674:B1730" si="2108">LEFT(A1674,3)</f>
        <v>100</v>
      </c>
      <c r="C1674" s="217" t="str">
        <f t="shared" ref="C1674:C1730" si="2109">MID(A1674,5,2)</f>
        <v>63</v>
      </c>
      <c r="D1674" s="101" t="str">
        <f t="shared" ref="D1674:D1730" si="2110">MID(A1674,8,3)</f>
        <v>633</v>
      </c>
      <c r="E1674" s="217" t="str">
        <f t="shared" ref="E1674:E1730" si="2111">LEFT(A1674,10)</f>
        <v>100-63-633</v>
      </c>
      <c r="F1674" s="294" t="str">
        <f t="shared" ref="F1674:F1730" si="2112">RIGHT(A1674,5)</f>
        <v>53540</v>
      </c>
      <c r="G1674" s="295" t="str">
        <f>VLOOKUP(F1674,'GL Category'!A:C,3,FALSE)</f>
        <v>Services &amp; other</v>
      </c>
      <c r="H1674" s="98" t="str">
        <f>VLOOKUP(F1674,'GL Category'!A:C,2,FALSE)</f>
        <v>PRINTING &amp; BINDING SERVICES</v>
      </c>
      <c r="I1674" s="99">
        <f>SUMIF(Import!$B:$B,$A1674,Import!D:D)</f>
        <v>2744.61</v>
      </c>
      <c r="J1674" s="99">
        <f>SUMIF(Import!$B:$B,$A1674,Import!E:E)</f>
        <v>414.99</v>
      </c>
      <c r="K1674" s="99">
        <f>SUMIF(Import!$B:$B,$A1674,Import!F:F)</f>
        <v>2753.53</v>
      </c>
      <c r="L1674" s="99">
        <f>SUMIF(Import!$B:$B,$A1674,Import!G:G)</f>
        <v>2358.36</v>
      </c>
      <c r="M1674" s="99">
        <f>SUMIF(Import!$B:$B,$A1674,Import!H:H)</f>
        <v>3000</v>
      </c>
      <c r="N1674" s="99">
        <f>SUMIF(Import!$B:$B,$A1674,Import!I:I)</f>
        <v>1241.4100000000001</v>
      </c>
      <c r="O1674" s="99">
        <f>SUMIF(Import!$B:$B,$A1674,Import!J:J)</f>
        <v>3000</v>
      </c>
      <c r="P1674" s="99">
        <f t="shared" si="2105"/>
        <v>0</v>
      </c>
      <c r="Q1674" s="99">
        <f>SUMIF(Import!$B:$B,$A1674,Import!K:K)</f>
        <v>3000</v>
      </c>
      <c r="R1674" s="99">
        <f>SUMIF(Import!$B:$B,$A1674,Import!L:L)</f>
        <v>0</v>
      </c>
      <c r="S1674" s="99">
        <f>SUMIF(Import!$B:$B,$A1674,Import!M:M)</f>
        <v>0</v>
      </c>
      <c r="T1674" s="99">
        <f>SUMIF(Import!$B:$B,$A1674,Import!N:N)</f>
        <v>3000</v>
      </c>
      <c r="U1674" s="99">
        <f t="shared" si="2106"/>
        <v>0</v>
      </c>
      <c r="V1674" s="255">
        <f t="shared" si="2107"/>
        <v>0</v>
      </c>
      <c r="W1674" s="102" t="s">
        <v>3007</v>
      </c>
      <c r="X1674" s="102"/>
      <c r="Y1674" s="102"/>
      <c r="Z1674" s="200"/>
      <c r="AA1674" s="615"/>
      <c r="AB1674" s="631"/>
      <c r="AC1674" s="631"/>
      <c r="AD1674" s="631"/>
      <c r="AE1674" s="631"/>
      <c r="AF1674" s="631"/>
      <c r="AG1674" s="631"/>
      <c r="AH1674" s="631"/>
      <c r="AI1674" s="631"/>
      <c r="AJ1674" s="631"/>
      <c r="AK1674" s="631"/>
      <c r="AL1674" s="631"/>
      <c r="AM1674" s="631"/>
      <c r="AN1674" s="631"/>
      <c r="AO1674" s="97"/>
      <c r="AP1674" s="97"/>
      <c r="AQ1674" s="97"/>
      <c r="AR1674" s="70"/>
      <c r="AS1674" s="70"/>
    </row>
    <row r="1675" spans="1:45" s="71" customFormat="1" ht="15" customHeight="1">
      <c r="A1675" s="555" t="s">
        <v>3002</v>
      </c>
      <c r="B1675" s="217" t="str">
        <f t="shared" si="2108"/>
        <v>100</v>
      </c>
      <c r="C1675" s="217" t="str">
        <f t="shared" si="2109"/>
        <v>63</v>
      </c>
      <c r="D1675" s="101" t="str">
        <f t="shared" si="2110"/>
        <v>633</v>
      </c>
      <c r="E1675" s="217" t="str">
        <f t="shared" si="2111"/>
        <v>100-63-633</v>
      </c>
      <c r="F1675" s="294" t="str">
        <f t="shared" si="2112"/>
        <v>53599</v>
      </c>
      <c r="G1675" s="295" t="str">
        <f>VLOOKUP(F1675,'GL Category'!A:C,3,FALSE)</f>
        <v>Services &amp; other</v>
      </c>
      <c r="H1675" s="98" t="str">
        <f>VLOOKUP(F1675,'GL Category'!A:C,2,FALSE)</f>
        <v>MISCELLANEOUS SERVICES</v>
      </c>
      <c r="I1675" s="99">
        <f>SUMIF(Import!$B:$B,$A1675,Import!D:D)</f>
        <v>0</v>
      </c>
      <c r="J1675" s="99">
        <f>SUMIF(Import!$B:$B,$A1675,Import!E:E)</f>
        <v>0</v>
      </c>
      <c r="K1675" s="99">
        <f>SUMIF(Import!$B:$B,$A1675,Import!F:F)</f>
        <v>0</v>
      </c>
      <c r="L1675" s="99">
        <f>SUMIF(Import!$B:$B,$A1675,Import!G:G)</f>
        <v>0</v>
      </c>
      <c r="M1675" s="99">
        <f>SUMIF(Import!$B:$B,$A1675,Import!H:H)</f>
        <v>0</v>
      </c>
      <c r="N1675" s="99">
        <f>SUMIF(Import!$B:$B,$A1675,Import!I:I)</f>
        <v>0</v>
      </c>
      <c r="O1675" s="99">
        <f>SUMIF(Import!$B:$B,$A1675,Import!J:J)</f>
        <v>0</v>
      </c>
      <c r="P1675" s="99">
        <f t="shared" si="2105"/>
        <v>0</v>
      </c>
      <c r="Q1675" s="99">
        <f>SUMIF(Import!$B:$B,$A1675,Import!K:K)</f>
        <v>0</v>
      </c>
      <c r="R1675" s="99">
        <f>SUMIF(Import!$B:$B,$A1675,Import!L:L)</f>
        <v>0</v>
      </c>
      <c r="S1675" s="99">
        <f>SUMIF(Import!$B:$B,$A1675,Import!M:M)</f>
        <v>0</v>
      </c>
      <c r="T1675" s="99">
        <f>SUMIF(Import!$B:$B,$A1675,Import!N:N)</f>
        <v>0</v>
      </c>
      <c r="U1675" s="99">
        <f t="shared" si="2106"/>
        <v>0</v>
      </c>
      <c r="V1675" s="255" t="str">
        <f t="shared" si="2107"/>
        <v>N/A</v>
      </c>
      <c r="W1675" s="102" t="s">
        <v>3002</v>
      </c>
      <c r="X1675" s="102"/>
      <c r="Y1675" s="102"/>
      <c r="Z1675" s="200"/>
      <c r="AA1675" s="615"/>
      <c r="AB1675" s="631"/>
      <c r="AC1675" s="631"/>
      <c r="AD1675" s="631"/>
      <c r="AE1675" s="631"/>
      <c r="AF1675" s="631"/>
      <c r="AG1675" s="631"/>
      <c r="AH1675" s="631"/>
      <c r="AI1675" s="631"/>
      <c r="AJ1675" s="631"/>
      <c r="AK1675" s="631"/>
      <c r="AL1675" s="631"/>
      <c r="AM1675" s="631"/>
      <c r="AN1675" s="631"/>
      <c r="AO1675" s="97"/>
      <c r="AP1675" s="97"/>
      <c r="AQ1675" s="97"/>
      <c r="AR1675" s="70"/>
      <c r="AS1675" s="70"/>
    </row>
    <row r="1676" spans="1:45" s="71" customFormat="1" ht="15" customHeight="1">
      <c r="A1676" s="555" t="s">
        <v>3008</v>
      </c>
      <c r="B1676" s="217" t="str">
        <f t="shared" si="2108"/>
        <v>100</v>
      </c>
      <c r="C1676" s="217" t="str">
        <f t="shared" si="2109"/>
        <v>63</v>
      </c>
      <c r="D1676" s="101" t="str">
        <f t="shared" si="2110"/>
        <v>633</v>
      </c>
      <c r="E1676" s="217" t="str">
        <f t="shared" si="2111"/>
        <v>100-63-633</v>
      </c>
      <c r="F1676" s="294" t="str">
        <f t="shared" si="2112"/>
        <v>55175</v>
      </c>
      <c r="G1676" s="295" t="str">
        <f>VLOOKUP(F1676,'GL Category'!A:C,3,FALSE)</f>
        <v>Services &amp; other</v>
      </c>
      <c r="H1676" s="98" t="str">
        <f>VLOOKUP(F1676,'GL Category'!A:C,2,FALSE)</f>
        <v>VEHICLE/EQUIP LEASE EXP-CITY</v>
      </c>
      <c r="I1676" s="99">
        <f>SUMIF(Import!$B:$B,$A1676,Import!D:D)</f>
        <v>72</v>
      </c>
      <c r="J1676" s="99">
        <f>SUMIF(Import!$B:$B,$A1676,Import!E:E)</f>
        <v>75072</v>
      </c>
      <c r="K1676" s="99">
        <f>SUMIF(Import!$B:$B,$A1676,Import!F:F)</f>
        <v>72</v>
      </c>
      <c r="L1676" s="99">
        <f>SUMIF(Import!$B:$B,$A1676,Import!G:G)</f>
        <v>8980</v>
      </c>
      <c r="M1676" s="99">
        <f>SUMIF(Import!$B:$B,$A1676,Import!H:H)</f>
        <v>8980</v>
      </c>
      <c r="N1676" s="99">
        <f>SUMIF(Import!$B:$B,$A1676,Import!I:I)</f>
        <v>6735</v>
      </c>
      <c r="O1676" s="99">
        <f>SUMIF(Import!$B:$B,$A1676,Import!J:J)</f>
        <v>8980</v>
      </c>
      <c r="P1676" s="99">
        <f t="shared" si="2105"/>
        <v>0</v>
      </c>
      <c r="Q1676" s="99">
        <f>SUMIF(Import!$B:$B,$A1676,Import!K:K)</f>
        <v>8980</v>
      </c>
      <c r="R1676" s="99">
        <f>SUMIF(Import!$B:$B,$A1676,Import!L:L)</f>
        <v>0</v>
      </c>
      <c r="S1676" s="99">
        <f>SUMIF(Import!$B:$B,$A1676,Import!M:M)</f>
        <v>0</v>
      </c>
      <c r="T1676" s="99">
        <f>SUMIF(Import!$B:$B,$A1676,Import!N:N)</f>
        <v>8980</v>
      </c>
      <c r="U1676" s="99">
        <f t="shared" si="2106"/>
        <v>0</v>
      </c>
      <c r="V1676" s="255">
        <f t="shared" si="2107"/>
        <v>0</v>
      </c>
      <c r="W1676" s="102" t="s">
        <v>3008</v>
      </c>
      <c r="X1676" s="102"/>
      <c r="Y1676" s="102"/>
      <c r="Z1676" s="200"/>
      <c r="AA1676" s="615"/>
      <c r="AB1676" s="631"/>
      <c r="AC1676" s="631"/>
      <c r="AD1676" s="631"/>
      <c r="AE1676" s="631"/>
      <c r="AF1676" s="631"/>
      <c r="AG1676" s="631"/>
      <c r="AH1676" s="631"/>
      <c r="AI1676" s="631"/>
      <c r="AJ1676" s="631"/>
      <c r="AK1676" s="631"/>
      <c r="AL1676" s="631"/>
      <c r="AM1676" s="631"/>
      <c r="AN1676" s="631"/>
      <c r="AO1676" s="97"/>
      <c r="AP1676" s="97"/>
      <c r="AQ1676" s="97"/>
      <c r="AR1676" s="70"/>
      <c r="AS1676" s="70"/>
    </row>
    <row r="1677" spans="1:45" s="71" customFormat="1" ht="15" customHeight="1">
      <c r="A1677" s="555" t="s">
        <v>3009</v>
      </c>
      <c r="B1677" s="217" t="str">
        <f t="shared" si="2108"/>
        <v>100</v>
      </c>
      <c r="C1677" s="217" t="str">
        <f t="shared" si="2109"/>
        <v>63</v>
      </c>
      <c r="D1677" s="101" t="str">
        <f t="shared" si="2110"/>
        <v>633</v>
      </c>
      <c r="E1677" s="217" t="str">
        <f t="shared" si="2111"/>
        <v>100-63-633</v>
      </c>
      <c r="F1677" s="294" t="str">
        <f t="shared" si="2112"/>
        <v>55119</v>
      </c>
      <c r="G1677" s="295" t="str">
        <f>VLOOKUP(F1677,'GL Category'!A:C,3,FALSE)</f>
        <v>Services &amp; other</v>
      </c>
      <c r="H1677" s="98" t="str">
        <f>VLOOKUP(F1677,'GL Category'!A:C,2,FALSE)</f>
        <v>OFFICE EQUIP LEASE EXP-CITY</v>
      </c>
      <c r="I1677" s="99">
        <f>SUMIF(Import!$B:$B,$A1677,Import!D:D)</f>
        <v>9990</v>
      </c>
      <c r="J1677" s="99">
        <f>SUMIF(Import!$B:$B,$A1677,Import!E:E)</f>
        <v>11458</v>
      </c>
      <c r="K1677" s="99">
        <f>SUMIF(Import!$B:$B,$A1677,Import!F:F)</f>
        <v>13398</v>
      </c>
      <c r="L1677" s="99">
        <f>SUMIF(Import!$B:$B,$A1677,Import!G:G)</f>
        <v>13647</v>
      </c>
      <c r="M1677" s="99">
        <f>SUMIF(Import!$B:$B,$A1677,Import!H:H)</f>
        <v>13010</v>
      </c>
      <c r="N1677" s="99">
        <f>SUMIF(Import!$B:$B,$A1677,Import!I:I)</f>
        <v>9757.5</v>
      </c>
      <c r="O1677" s="99">
        <f>SUMIF(Import!$B:$B,$A1677,Import!J:J)</f>
        <v>13010</v>
      </c>
      <c r="P1677" s="99">
        <f t="shared" si="2105"/>
        <v>0</v>
      </c>
      <c r="Q1677" s="99">
        <f>SUMIF(Import!$B:$B,$A1677,Import!K:K)</f>
        <v>19887</v>
      </c>
      <c r="R1677" s="99">
        <f>SUMIF(Import!$B:$B,$A1677,Import!L:L)</f>
        <v>0</v>
      </c>
      <c r="S1677" s="99">
        <f>SUMIF(Import!$B:$B,$A1677,Import!M:M)</f>
        <v>0</v>
      </c>
      <c r="T1677" s="99">
        <f>SUMIF(Import!$B:$B,$A1677,Import!N:N)</f>
        <v>19887</v>
      </c>
      <c r="U1677" s="99">
        <f t="shared" si="2106"/>
        <v>6877</v>
      </c>
      <c r="V1677" s="255">
        <f t="shared" si="2107"/>
        <v>0.52859338970023062</v>
      </c>
      <c r="W1677" s="102" t="s">
        <v>3009</v>
      </c>
      <c r="X1677" s="102"/>
      <c r="Y1677" s="102"/>
      <c r="Z1677" s="200"/>
      <c r="AA1677" s="615"/>
      <c r="AB1677" s="631"/>
      <c r="AC1677" s="631"/>
      <c r="AD1677" s="631"/>
      <c r="AE1677" s="631"/>
      <c r="AF1677" s="631"/>
      <c r="AG1677" s="631"/>
      <c r="AH1677" s="631"/>
      <c r="AI1677" s="631"/>
      <c r="AJ1677" s="631"/>
      <c r="AK1677" s="631"/>
      <c r="AL1677" s="631"/>
      <c r="AM1677" s="631"/>
      <c r="AN1677" s="631"/>
      <c r="AO1677" s="97"/>
      <c r="AP1677" s="97"/>
      <c r="AQ1677" s="97"/>
      <c r="AR1677" s="70"/>
      <c r="AS1677" s="70"/>
    </row>
    <row r="1678" spans="1:45" s="71" customFormat="1" ht="15" customHeight="1">
      <c r="A1678" s="555"/>
      <c r="B1678" s="217"/>
      <c r="C1678" s="217"/>
      <c r="D1678" s="101"/>
      <c r="E1678" s="217"/>
      <c r="F1678" s="294"/>
      <c r="G1678" s="295"/>
      <c r="H1678" s="107" t="str">
        <f>UPPER(G1677)&amp;" TOTAL"</f>
        <v>SERVICES &amp; OTHER TOTAL</v>
      </c>
      <c r="I1678" s="108">
        <f t="shared" ref="I1678" si="2113">SUBTOTAL(9,I1670:I1677)</f>
        <v>23155.59</v>
      </c>
      <c r="J1678" s="108">
        <f t="shared" ref="J1678:T1678" si="2114">SUBTOTAL(9,J1670:J1677)</f>
        <v>112027.51</v>
      </c>
      <c r="K1678" s="108">
        <f t="shared" ref="K1678" si="2115">SUBTOTAL(9,K1670:K1677)</f>
        <v>69895.329999999987</v>
      </c>
      <c r="L1678" s="108">
        <f t="shared" ref="L1678" si="2116">SUBTOTAL(9,L1670:L1677)</f>
        <v>47928.47</v>
      </c>
      <c r="M1678" s="108">
        <f t="shared" si="2114"/>
        <v>54455</v>
      </c>
      <c r="N1678" s="109">
        <f t="shared" si="2114"/>
        <v>32227.78</v>
      </c>
      <c r="O1678" s="109">
        <f t="shared" si="2114"/>
        <v>50240</v>
      </c>
      <c r="P1678" s="109">
        <f t="shared" si="2114"/>
        <v>-4215</v>
      </c>
      <c r="Q1678" s="109">
        <f t="shared" si="2114"/>
        <v>59332</v>
      </c>
      <c r="R1678" s="109">
        <f t="shared" si="2114"/>
        <v>0</v>
      </c>
      <c r="S1678" s="109">
        <f t="shared" si="2114"/>
        <v>0</v>
      </c>
      <c r="T1678" s="109">
        <f t="shared" si="2114"/>
        <v>59332</v>
      </c>
      <c r="U1678" s="99">
        <f>T1678-M1678</f>
        <v>4877</v>
      </c>
      <c r="V1678" s="255">
        <f>IF(M1678=0,"N/A",T1678/M1678-1)</f>
        <v>8.956018731062354E-2</v>
      </c>
      <c r="W1678" s="102"/>
      <c r="X1678" s="102"/>
      <c r="Y1678" s="102"/>
      <c r="Z1678" s="200"/>
      <c r="AA1678" s="615"/>
      <c r="AB1678" s="631"/>
      <c r="AC1678" s="631"/>
      <c r="AD1678" s="631"/>
      <c r="AE1678" s="631"/>
      <c r="AF1678" s="631"/>
      <c r="AG1678" s="631"/>
      <c r="AH1678" s="631"/>
      <c r="AI1678" s="631"/>
      <c r="AJ1678" s="631"/>
      <c r="AK1678" s="631"/>
      <c r="AL1678" s="631"/>
      <c r="AM1678" s="631"/>
      <c r="AN1678" s="631"/>
      <c r="AO1678" s="97"/>
      <c r="AP1678" s="97"/>
      <c r="AQ1678" s="97"/>
      <c r="AR1678" s="70"/>
      <c r="AS1678" s="70"/>
    </row>
    <row r="1679" spans="1:45" s="71" customFormat="1" ht="15" customHeight="1">
      <c r="A1679" s="555"/>
      <c r="B1679" s="217"/>
      <c r="C1679" s="217"/>
      <c r="D1679" s="101"/>
      <c r="E1679" s="217"/>
      <c r="F1679" s="294"/>
      <c r="G1679" s="295"/>
      <c r="H1679" s="98"/>
      <c r="I1679" s="106"/>
      <c r="J1679" s="106"/>
      <c r="K1679" s="106"/>
      <c r="L1679" s="106"/>
      <c r="M1679" s="106"/>
      <c r="N1679" s="112"/>
      <c r="O1679" s="112"/>
      <c r="P1679" s="112"/>
      <c r="Q1679" s="113"/>
      <c r="R1679" s="113"/>
      <c r="S1679" s="113"/>
      <c r="T1679" s="113"/>
      <c r="U1679" s="99"/>
      <c r="V1679" s="255"/>
      <c r="W1679" s="102"/>
      <c r="X1679" s="102"/>
      <c r="Y1679" s="102"/>
      <c r="Z1679" s="200"/>
      <c r="AA1679" s="615"/>
      <c r="AB1679" s="631"/>
      <c r="AC1679" s="631"/>
      <c r="AD1679" s="631"/>
      <c r="AE1679" s="631"/>
      <c r="AF1679" s="631"/>
      <c r="AG1679" s="631"/>
      <c r="AH1679" s="631"/>
      <c r="AI1679" s="631"/>
      <c r="AJ1679" s="631"/>
      <c r="AK1679" s="631"/>
      <c r="AL1679" s="631"/>
      <c r="AM1679" s="631"/>
      <c r="AN1679" s="631"/>
      <c r="AO1679" s="97"/>
      <c r="AP1679" s="97"/>
      <c r="AQ1679" s="97"/>
      <c r="AR1679" s="70"/>
      <c r="AS1679" s="70"/>
    </row>
    <row r="1680" spans="1:45" s="71" customFormat="1" ht="15" customHeight="1">
      <c r="A1680" s="555"/>
      <c r="B1680" s="217"/>
      <c r="C1680" s="217"/>
      <c r="D1680" s="101"/>
      <c r="E1680" s="217"/>
      <c r="F1680" s="294"/>
      <c r="G1680" s="295"/>
      <c r="H1680" s="98" t="e">
        <f>VLOOKUP(F1680,'GL Category'!A:C,2,FALSE)</f>
        <v>#N/A</v>
      </c>
      <c r="I1680" s="99">
        <f>SUMIF(Import!$B:$B,$A1680,Import!D:D)</f>
        <v>0</v>
      </c>
      <c r="J1680" s="99">
        <f>SUMIF(Import!$B:$B,$A1680,Import!E:E)</f>
        <v>0</v>
      </c>
      <c r="K1680" s="99">
        <f>SUMIF(Import!$B:$B,$A1680,Import!F:F)</f>
        <v>0</v>
      </c>
      <c r="L1680" s="99">
        <f>SUMIF(Import!$B:$B,$A1680,Import!G:G)</f>
        <v>0</v>
      </c>
      <c r="M1680" s="99">
        <f>SUMIF(Import!$B:$B,$A1680,Import!H:H)</f>
        <v>0</v>
      </c>
      <c r="N1680" s="99">
        <f>SUMIF(Import!$B:$B,$A1680,Import!I:I)</f>
        <v>0</v>
      </c>
      <c r="O1680" s="99">
        <f>SUMIF(Import!$B:$B,$A1680,Import!J:J)</f>
        <v>0</v>
      </c>
      <c r="P1680" s="99">
        <f t="shared" ref="P1680" si="2117">O1680-M1680</f>
        <v>0</v>
      </c>
      <c r="Q1680" s="99">
        <f>SUMIF(Import!$B:$B,$A1680,Import!K:K)</f>
        <v>0</v>
      </c>
      <c r="R1680" s="99">
        <f>SUMIF(Import!$B:$B,$A1680,Import!L:L)</f>
        <v>0</v>
      </c>
      <c r="S1680" s="99">
        <f>SUMIF(Import!$B:$B,$A1680,Import!M:M)</f>
        <v>0</v>
      </c>
      <c r="T1680" s="99">
        <f>SUMIF(Import!$B:$B,$A1680,Import!N:N)</f>
        <v>0</v>
      </c>
      <c r="U1680" s="99">
        <f t="shared" ref="U1680" si="2118">T1680-M1680</f>
        <v>0</v>
      </c>
      <c r="V1680" s="255" t="str">
        <f t="shared" ref="V1680" si="2119">IF(M1680=0,"N/A",T1680/M1680-1)</f>
        <v>N/A</v>
      </c>
      <c r="W1680" s="102"/>
      <c r="X1680" s="102"/>
      <c r="Y1680" s="102"/>
      <c r="Z1680" s="200"/>
      <c r="AA1680" s="615"/>
      <c r="AB1680" s="631"/>
      <c r="AC1680" s="631"/>
      <c r="AD1680" s="631"/>
      <c r="AE1680" s="631"/>
      <c r="AF1680" s="631"/>
      <c r="AG1680" s="631"/>
      <c r="AH1680" s="631"/>
      <c r="AI1680" s="631"/>
      <c r="AJ1680" s="631"/>
      <c r="AK1680" s="631"/>
      <c r="AL1680" s="631"/>
      <c r="AM1680" s="631"/>
      <c r="AN1680" s="631"/>
      <c r="AO1680" s="97"/>
      <c r="AP1680" s="97"/>
      <c r="AQ1680" s="97"/>
      <c r="AR1680" s="70"/>
      <c r="AS1680" s="70"/>
    </row>
    <row r="1681" spans="1:49" s="71" customFormat="1" ht="24" customHeight="1">
      <c r="A1681" s="555"/>
      <c r="B1681" s="217"/>
      <c r="C1681" s="217"/>
      <c r="D1681" s="101"/>
      <c r="E1681" s="217"/>
      <c r="F1681" s="294"/>
      <c r="G1681" s="295"/>
      <c r="H1681" s="107" t="str">
        <f>UPPER(G1680)&amp;" TOTAL"</f>
        <v xml:space="preserve"> TOTAL</v>
      </c>
      <c r="I1681" s="108">
        <f t="shared" ref="I1681" si="2120">SUBTOTAL(9,I1680)</f>
        <v>0</v>
      </c>
      <c r="J1681" s="108">
        <f t="shared" ref="J1681:T1681" si="2121">SUBTOTAL(9,J1680)</f>
        <v>0</v>
      </c>
      <c r="K1681" s="108">
        <f t="shared" ref="K1681" si="2122">SUBTOTAL(9,K1680)</f>
        <v>0</v>
      </c>
      <c r="L1681" s="108">
        <f t="shared" ref="L1681" si="2123">SUBTOTAL(9,L1680)</f>
        <v>0</v>
      </c>
      <c r="M1681" s="108">
        <f t="shared" si="2121"/>
        <v>0</v>
      </c>
      <c r="N1681" s="108">
        <f t="shared" ref="N1681" si="2124">SUBTOTAL(9,N1680)</f>
        <v>0</v>
      </c>
      <c r="O1681" s="108">
        <f t="shared" si="2121"/>
        <v>0</v>
      </c>
      <c r="P1681" s="108">
        <f t="shared" si="2121"/>
        <v>0</v>
      </c>
      <c r="Q1681" s="108">
        <f t="shared" si="2121"/>
        <v>0</v>
      </c>
      <c r="R1681" s="108">
        <f t="shared" si="2121"/>
        <v>0</v>
      </c>
      <c r="S1681" s="108">
        <f t="shared" si="2121"/>
        <v>0</v>
      </c>
      <c r="T1681" s="108">
        <f t="shared" si="2121"/>
        <v>0</v>
      </c>
      <c r="U1681" s="99">
        <f>T1681-M1681</f>
        <v>0</v>
      </c>
      <c r="V1681" s="255" t="str">
        <f>IF(M1681=0,"N/A",T1681/M1681-1)</f>
        <v>N/A</v>
      </c>
      <c r="W1681" s="102"/>
      <c r="X1681" s="102"/>
      <c r="Y1681" s="102"/>
      <c r="Z1681" s="200"/>
      <c r="AA1681" s="615"/>
      <c r="AB1681" s="631"/>
      <c r="AC1681" s="631"/>
      <c r="AD1681" s="631"/>
      <c r="AE1681" s="631"/>
      <c r="AF1681" s="631"/>
      <c r="AG1681" s="631"/>
      <c r="AH1681" s="631"/>
      <c r="AI1681" s="631"/>
      <c r="AJ1681" s="631"/>
      <c r="AK1681" s="631"/>
      <c r="AL1681" s="631"/>
      <c r="AM1681" s="631"/>
      <c r="AN1681" s="631"/>
      <c r="AO1681" s="97"/>
      <c r="AP1681" s="97"/>
      <c r="AQ1681" s="97"/>
      <c r="AR1681" s="70"/>
      <c r="AS1681" s="70"/>
    </row>
    <row r="1682" spans="1:49" s="71" customFormat="1" ht="15" customHeight="1">
      <c r="A1682" s="555"/>
      <c r="B1682" s="217"/>
      <c r="C1682" s="217"/>
      <c r="D1682" s="101"/>
      <c r="E1682" s="217"/>
      <c r="F1682" s="294"/>
      <c r="G1682" s="295"/>
      <c r="H1682" s="98"/>
      <c r="I1682" s="106"/>
      <c r="J1682" s="106"/>
      <c r="K1682" s="106"/>
      <c r="L1682" s="106"/>
      <c r="M1682" s="106"/>
      <c r="N1682" s="112"/>
      <c r="O1682" s="112"/>
      <c r="P1682" s="112"/>
      <c r="Q1682" s="113"/>
      <c r="R1682" s="113"/>
      <c r="S1682" s="113"/>
      <c r="T1682" s="113"/>
      <c r="U1682" s="99"/>
      <c r="V1682" s="255"/>
      <c r="W1682" s="102"/>
      <c r="X1682" s="102"/>
      <c r="Y1682" s="102"/>
      <c r="Z1682" s="200"/>
      <c r="AA1682" s="615"/>
      <c r="AB1682" s="631"/>
      <c r="AC1682" s="631"/>
      <c r="AD1682" s="631"/>
      <c r="AE1682" s="631"/>
      <c r="AF1682" s="631"/>
      <c r="AG1682" s="631"/>
      <c r="AH1682" s="631"/>
      <c r="AI1682" s="631"/>
      <c r="AJ1682" s="631"/>
      <c r="AK1682" s="631"/>
      <c r="AL1682" s="631"/>
      <c r="AM1682" s="631"/>
      <c r="AN1682" s="631"/>
      <c r="AO1682" s="97"/>
      <c r="AP1682" s="97"/>
      <c r="AQ1682" s="97"/>
      <c r="AR1682" s="70"/>
      <c r="AS1682" s="70"/>
    </row>
    <row r="1683" spans="1:49" s="71" customFormat="1" ht="15" customHeight="1">
      <c r="A1683" s="555" t="s">
        <v>3010</v>
      </c>
      <c r="B1683" s="217" t="str">
        <f t="shared" si="2108"/>
        <v>100</v>
      </c>
      <c r="C1683" s="217" t="str">
        <f t="shared" si="2109"/>
        <v>63</v>
      </c>
      <c r="D1683" s="101" t="str">
        <f t="shared" si="2110"/>
        <v>633</v>
      </c>
      <c r="E1683" s="217" t="str">
        <f t="shared" si="2111"/>
        <v>100-63-633</v>
      </c>
      <c r="F1683" s="294" t="str">
        <f t="shared" si="2112"/>
        <v>59112</v>
      </c>
      <c r="G1683" s="295" t="str">
        <f>VLOOKUP(F1683,'GL Category'!A:C,3,FALSE)</f>
        <v>Transfers to other funds</v>
      </c>
      <c r="H1683" s="98" t="str">
        <f>VLOOKUP(F1683,'GL Category'!A:C,2,FALSE)</f>
        <v>TRANSFER TO REC SPEC REV FUND</v>
      </c>
      <c r="I1683" s="99">
        <f>SUMIF(Import!$B:$B,$A1683,Import!D:D)</f>
        <v>34100</v>
      </c>
      <c r="J1683" s="99">
        <f>SUMIF(Import!$B:$B,$A1683,Import!E:E)</f>
        <v>34100</v>
      </c>
      <c r="K1683" s="99">
        <f>SUMIF(Import!$B:$B,$A1683,Import!F:F)</f>
        <v>34100</v>
      </c>
      <c r="L1683" s="99">
        <f>SUMIF(Import!$B:$B,$A1683,Import!G:G)</f>
        <v>84100</v>
      </c>
      <c r="M1683" s="99">
        <f>SUMIF(Import!$B:$B,$A1683,Import!H:H)</f>
        <v>114100</v>
      </c>
      <c r="N1683" s="99">
        <f>SUMIF(Import!$B:$B,$A1683,Import!I:I)</f>
        <v>85575</v>
      </c>
      <c r="O1683" s="99">
        <f>SUMIF(Import!$B:$B,$A1683,Import!J:J)</f>
        <v>114100</v>
      </c>
      <c r="P1683" s="99">
        <f t="shared" ref="P1683" si="2125">O1683-M1683</f>
        <v>0</v>
      </c>
      <c r="Q1683" s="99">
        <f>SUMIF(Import!$B:$B,$A1683,Import!K:K)</f>
        <v>114100</v>
      </c>
      <c r="R1683" s="99">
        <f>SUMIF(Import!$B:$B,$A1683,Import!L:L)</f>
        <v>0</v>
      </c>
      <c r="S1683" s="99">
        <f>SUMIF(Import!$B:$B,$A1683,Import!M:M)</f>
        <v>0</v>
      </c>
      <c r="T1683" s="99">
        <f>SUMIF(Import!$B:$B,$A1683,Import!N:N)</f>
        <v>114100</v>
      </c>
      <c r="U1683" s="99">
        <f t="shared" ref="U1683" si="2126">T1683-M1683</f>
        <v>0</v>
      </c>
      <c r="V1683" s="255">
        <f t="shared" ref="V1683" si="2127">IF(M1683=0,"N/A",T1683/M1683-1)</f>
        <v>0</v>
      </c>
      <c r="W1683" s="102" t="s">
        <v>3010</v>
      </c>
      <c r="X1683" s="102"/>
      <c r="Y1683" s="102"/>
      <c r="Z1683" s="200"/>
      <c r="AA1683" s="615"/>
      <c r="AB1683" s="631"/>
      <c r="AC1683" s="631"/>
      <c r="AD1683" s="631"/>
      <c r="AE1683" s="631"/>
      <c r="AF1683" s="631"/>
      <c r="AG1683" s="631"/>
      <c r="AH1683" s="631"/>
      <c r="AI1683" s="631"/>
      <c r="AJ1683" s="631"/>
      <c r="AK1683" s="631"/>
      <c r="AL1683" s="631"/>
      <c r="AM1683" s="631"/>
      <c r="AN1683" s="631"/>
      <c r="AO1683" s="97"/>
      <c r="AP1683" s="97"/>
      <c r="AQ1683" s="97"/>
      <c r="AR1683" s="70"/>
      <c r="AS1683" s="70"/>
    </row>
    <row r="1684" spans="1:49" s="71" customFormat="1" ht="24" customHeight="1">
      <c r="A1684" s="555"/>
      <c r="B1684" s="217"/>
      <c r="C1684" s="217"/>
      <c r="D1684" s="101"/>
      <c r="E1684" s="217"/>
      <c r="F1684" s="294"/>
      <c r="G1684" s="295"/>
      <c r="H1684" s="107" t="str">
        <f>UPPER(G1683)&amp;" TOTAL"</f>
        <v>TRANSFERS TO OTHER FUNDS TOTAL</v>
      </c>
      <c r="I1684" s="108">
        <f t="shared" ref="I1684" si="2128">SUBTOTAL(9,I1683)</f>
        <v>34100</v>
      </c>
      <c r="J1684" s="108">
        <f t="shared" ref="J1684:T1684" si="2129">SUBTOTAL(9,J1683)</f>
        <v>34100</v>
      </c>
      <c r="K1684" s="108">
        <f t="shared" ref="K1684" si="2130">SUBTOTAL(9,K1683)</f>
        <v>34100</v>
      </c>
      <c r="L1684" s="108">
        <f t="shared" ref="L1684" si="2131">SUBTOTAL(9,L1683)</f>
        <v>84100</v>
      </c>
      <c r="M1684" s="108">
        <f t="shared" si="2129"/>
        <v>114100</v>
      </c>
      <c r="N1684" s="108">
        <f t="shared" ref="N1684" si="2132">SUBTOTAL(9,N1683)</f>
        <v>85575</v>
      </c>
      <c r="O1684" s="108">
        <f t="shared" si="2129"/>
        <v>114100</v>
      </c>
      <c r="P1684" s="108">
        <f t="shared" si="2129"/>
        <v>0</v>
      </c>
      <c r="Q1684" s="108">
        <f t="shared" si="2129"/>
        <v>114100</v>
      </c>
      <c r="R1684" s="108">
        <f t="shared" si="2129"/>
        <v>0</v>
      </c>
      <c r="S1684" s="108">
        <f t="shared" si="2129"/>
        <v>0</v>
      </c>
      <c r="T1684" s="108">
        <f t="shared" si="2129"/>
        <v>114100</v>
      </c>
      <c r="U1684" s="99">
        <f>T1684-M1684</f>
        <v>0</v>
      </c>
      <c r="V1684" s="255">
        <f>IF(M1684=0,"N/A",T1684/M1684-1)</f>
        <v>0</v>
      </c>
      <c r="W1684" s="102"/>
      <c r="X1684" s="102"/>
      <c r="Y1684" s="102"/>
      <c r="Z1684" s="200"/>
      <c r="AA1684" s="615"/>
      <c r="AB1684" s="631"/>
      <c r="AC1684" s="631"/>
      <c r="AD1684" s="631"/>
      <c r="AE1684" s="631"/>
      <c r="AF1684" s="631"/>
      <c r="AG1684" s="631"/>
      <c r="AH1684" s="631"/>
      <c r="AI1684" s="631"/>
      <c r="AJ1684" s="631"/>
      <c r="AK1684" s="631"/>
      <c r="AL1684" s="631"/>
      <c r="AM1684" s="631"/>
      <c r="AN1684" s="631"/>
      <c r="AO1684" s="97"/>
      <c r="AP1684" s="97"/>
      <c r="AQ1684" s="97"/>
      <c r="AR1684" s="70"/>
      <c r="AS1684" s="70"/>
    </row>
    <row r="1685" spans="1:49" s="71" customFormat="1" ht="15" customHeight="1">
      <c r="A1685" s="555"/>
      <c r="B1685" s="217"/>
      <c r="C1685" s="217"/>
      <c r="D1685" s="101"/>
      <c r="E1685" s="217"/>
      <c r="F1685" s="294"/>
      <c r="G1685" s="295"/>
      <c r="H1685" s="98"/>
      <c r="I1685" s="106"/>
      <c r="J1685" s="106"/>
      <c r="K1685" s="106"/>
      <c r="L1685" s="106"/>
      <c r="M1685" s="106"/>
      <c r="N1685" s="112"/>
      <c r="O1685" s="112"/>
      <c r="P1685" s="112"/>
      <c r="Q1685" s="113"/>
      <c r="R1685" s="113"/>
      <c r="S1685" s="113"/>
      <c r="T1685" s="113"/>
      <c r="U1685" s="99"/>
      <c r="V1685" s="255"/>
      <c r="W1685" s="102"/>
      <c r="X1685" s="102"/>
      <c r="Y1685" s="102"/>
      <c r="Z1685" s="200"/>
      <c r="AA1685" s="615"/>
      <c r="AB1685" s="631"/>
      <c r="AC1685" s="631"/>
      <c r="AD1685" s="631"/>
      <c r="AE1685" s="631"/>
      <c r="AF1685" s="631"/>
      <c r="AG1685" s="631"/>
      <c r="AH1685" s="631"/>
      <c r="AI1685" s="631"/>
      <c r="AJ1685" s="631"/>
      <c r="AK1685" s="631"/>
      <c r="AL1685" s="631"/>
      <c r="AM1685" s="631"/>
      <c r="AN1685" s="631"/>
      <c r="AO1685" s="97"/>
      <c r="AP1685" s="97"/>
      <c r="AQ1685" s="97"/>
      <c r="AR1685" s="70"/>
      <c r="AS1685" s="70"/>
    </row>
    <row r="1686" spans="1:49" s="71" customFormat="1" ht="15" customHeight="1">
      <c r="A1686" s="555"/>
      <c r="B1686" s="217"/>
      <c r="C1686" s="217"/>
      <c r="D1686" s="101"/>
      <c r="E1686" s="217"/>
      <c r="F1686" s="294"/>
      <c r="G1686" s="295"/>
      <c r="H1686" s="114" t="s">
        <v>763</v>
      </c>
      <c r="I1686" s="108">
        <f t="shared" ref="I1686" si="2133">SUBTOTAL(9,I1651:I1684)</f>
        <v>244623.82</v>
      </c>
      <c r="J1686" s="108">
        <f t="shared" ref="J1686:T1686" si="2134">SUBTOTAL(9,J1651:J1684)</f>
        <v>335416.15000000002</v>
      </c>
      <c r="K1686" s="108">
        <f t="shared" ref="K1686" si="2135">SUBTOTAL(9,K1651:K1684)</f>
        <v>316736.58000000007</v>
      </c>
      <c r="L1686" s="108">
        <f t="shared" ref="L1686" si="2136">SUBTOTAL(9,L1651:L1684)</f>
        <v>281832.77</v>
      </c>
      <c r="M1686" s="108">
        <f t="shared" si="2134"/>
        <v>271450</v>
      </c>
      <c r="N1686" s="108">
        <f t="shared" si="2134"/>
        <v>197560.97999999998</v>
      </c>
      <c r="O1686" s="108">
        <f t="shared" si="2134"/>
        <v>267746</v>
      </c>
      <c r="P1686" s="108">
        <f t="shared" si="2134"/>
        <v>-3704</v>
      </c>
      <c r="Q1686" s="108">
        <f t="shared" si="2134"/>
        <v>279813</v>
      </c>
      <c r="R1686" s="108">
        <f t="shared" si="2134"/>
        <v>0</v>
      </c>
      <c r="S1686" s="108">
        <f t="shared" si="2134"/>
        <v>0</v>
      </c>
      <c r="T1686" s="108">
        <f t="shared" si="2134"/>
        <v>279813</v>
      </c>
      <c r="U1686" s="99">
        <f>T1686-M1686</f>
        <v>8363</v>
      </c>
      <c r="V1686" s="255">
        <f>IF(M1686=0,"N/A",T1686/M1686-1)</f>
        <v>3.0808620372075879E-2</v>
      </c>
      <c r="W1686" s="102"/>
      <c r="X1686" s="102"/>
      <c r="Y1686" s="102"/>
      <c r="Z1686" s="200"/>
      <c r="AA1686" s="615"/>
      <c r="AB1686" s="192"/>
      <c r="AC1686" s="192"/>
      <c r="AD1686" s="192"/>
      <c r="AE1686" s="192"/>
      <c r="AF1686" s="192"/>
      <c r="AG1686" s="192"/>
      <c r="AH1686" s="192"/>
      <c r="AI1686" s="192"/>
      <c r="AJ1686" s="192"/>
      <c r="AK1686" s="192"/>
      <c r="AL1686" s="192"/>
      <c r="AM1686" s="192"/>
      <c r="AN1686" s="192"/>
      <c r="AO1686" s="192"/>
      <c r="AP1686" s="192"/>
      <c r="AQ1686" s="192"/>
      <c r="AR1686" s="192"/>
      <c r="AS1686" s="192"/>
      <c r="AT1686" s="192"/>
      <c r="AU1686" s="192"/>
      <c r="AV1686" s="192"/>
      <c r="AW1686" s="192"/>
    </row>
    <row r="1687" spans="1:49" s="71" customFormat="1" ht="15" customHeight="1">
      <c r="A1687" s="555"/>
      <c r="B1687" s="217"/>
      <c r="C1687" s="217"/>
      <c r="D1687" s="101"/>
      <c r="E1687" s="217"/>
      <c r="F1687" s="294"/>
      <c r="G1687" s="295"/>
      <c r="H1687" s="98"/>
      <c r="I1687" s="218"/>
      <c r="J1687" s="218"/>
      <c r="K1687" s="218"/>
      <c r="L1687" s="218"/>
      <c r="M1687" s="218"/>
      <c r="N1687" s="96"/>
      <c r="O1687" s="96"/>
      <c r="P1687" s="96"/>
      <c r="Q1687" s="212"/>
      <c r="R1687" s="212"/>
      <c r="S1687" s="212"/>
      <c r="T1687" s="212"/>
      <c r="U1687" s="99"/>
      <c r="V1687" s="255"/>
      <c r="W1687" s="102"/>
      <c r="X1687" s="102"/>
      <c r="Y1687" s="102"/>
      <c r="Z1687" s="200"/>
      <c r="AA1687" s="615"/>
      <c r="AB1687" s="192"/>
      <c r="AC1687" s="192"/>
      <c r="AD1687" s="192"/>
      <c r="AE1687" s="192"/>
      <c r="AF1687" s="192"/>
      <c r="AG1687" s="192"/>
      <c r="AH1687" s="192"/>
      <c r="AI1687" s="192"/>
      <c r="AJ1687" s="192"/>
      <c r="AK1687" s="192"/>
      <c r="AL1687" s="192"/>
      <c r="AM1687" s="192"/>
      <c r="AN1687" s="192"/>
      <c r="AO1687" s="192"/>
      <c r="AP1687" s="192"/>
      <c r="AQ1687" s="192"/>
      <c r="AR1687" s="192"/>
      <c r="AS1687" s="192"/>
      <c r="AT1687" s="192"/>
      <c r="AU1687" s="192"/>
      <c r="AV1687" s="192"/>
      <c r="AW1687" s="192"/>
    </row>
    <row r="1688" spans="1:49" s="71" customFormat="1" ht="15" customHeight="1" thickBot="1">
      <c r="A1688" s="555"/>
      <c r="B1688" s="217"/>
      <c r="C1688" s="217"/>
      <c r="D1688" s="101"/>
      <c r="E1688" s="217"/>
      <c r="F1688" s="294"/>
      <c r="G1688" s="295"/>
      <c r="H1688" s="98"/>
      <c r="I1688" s="218"/>
      <c r="J1688" s="218"/>
      <c r="K1688" s="218"/>
      <c r="L1688" s="218"/>
      <c r="M1688" s="218"/>
      <c r="N1688" s="96"/>
      <c r="O1688" s="96"/>
      <c r="P1688" s="96"/>
      <c r="Q1688" s="212"/>
      <c r="R1688" s="212"/>
      <c r="S1688" s="212"/>
      <c r="T1688" s="212"/>
      <c r="U1688" s="99"/>
      <c r="V1688" s="255"/>
      <c r="W1688" s="102"/>
      <c r="X1688" s="102"/>
      <c r="Y1688" s="102"/>
      <c r="Z1688" s="200"/>
      <c r="AA1688" s="615"/>
      <c r="AB1688" s="192"/>
      <c r="AC1688" s="192"/>
      <c r="AD1688" s="192"/>
      <c r="AE1688" s="192"/>
      <c r="AF1688" s="192"/>
      <c r="AG1688" s="192"/>
      <c r="AH1688" s="192"/>
      <c r="AI1688" s="192"/>
      <c r="AJ1688" s="192"/>
      <c r="AK1688" s="192"/>
      <c r="AL1688" s="192"/>
      <c r="AM1688" s="192"/>
      <c r="AN1688" s="192"/>
      <c r="AO1688" s="192"/>
      <c r="AP1688" s="192"/>
      <c r="AQ1688" s="192"/>
      <c r="AR1688" s="192"/>
      <c r="AS1688" s="192"/>
      <c r="AT1688" s="192"/>
      <c r="AU1688" s="192"/>
      <c r="AV1688" s="192"/>
      <c r="AW1688" s="192"/>
    </row>
    <row r="1689" spans="1:49" s="71" customFormat="1" ht="24.75" customHeight="1" thickBot="1">
      <c r="A1689" s="555"/>
      <c r="B1689" s="217"/>
      <c r="C1689" s="217"/>
      <c r="D1689" s="101"/>
      <c r="E1689" s="217"/>
      <c r="F1689" s="294"/>
      <c r="G1689" s="295"/>
      <c r="H1689" s="665" t="s">
        <v>643</v>
      </c>
      <c r="I1689" s="666"/>
      <c r="J1689" s="666"/>
      <c r="K1689" s="666"/>
      <c r="L1689" s="666"/>
      <c r="M1689" s="666"/>
      <c r="N1689" s="666"/>
      <c r="O1689" s="666"/>
      <c r="P1689" s="666"/>
      <c r="Q1689" s="666"/>
      <c r="R1689" s="666"/>
      <c r="S1689" s="666"/>
      <c r="T1689" s="667"/>
      <c r="U1689" s="99"/>
      <c r="V1689" s="255"/>
      <c r="W1689" s="102"/>
      <c r="X1689" s="102"/>
      <c r="Y1689" s="102"/>
      <c r="Z1689" s="200"/>
      <c r="AA1689" s="615"/>
      <c r="AB1689" s="192"/>
      <c r="AC1689" s="192"/>
      <c r="AD1689" s="192"/>
      <c r="AE1689" s="192"/>
      <c r="AF1689" s="192"/>
      <c r="AG1689" s="192"/>
      <c r="AH1689" s="192"/>
      <c r="AI1689" s="192"/>
      <c r="AJ1689" s="192"/>
      <c r="AK1689" s="192"/>
      <c r="AL1689" s="192"/>
      <c r="AM1689" s="192"/>
      <c r="AN1689" s="192"/>
      <c r="AO1689" s="192"/>
      <c r="AP1689" s="192"/>
      <c r="AQ1689" s="192"/>
      <c r="AR1689" s="192"/>
      <c r="AS1689" s="192"/>
      <c r="AT1689" s="192"/>
      <c r="AU1689" s="192"/>
      <c r="AV1689" s="192"/>
      <c r="AW1689" s="192"/>
    </row>
    <row r="1690" spans="1:49" s="71" customFormat="1" ht="15" customHeight="1">
      <c r="A1690" s="555"/>
      <c r="B1690" s="217"/>
      <c r="C1690" s="217"/>
      <c r="D1690" s="101"/>
      <c r="E1690" s="217"/>
      <c r="F1690" s="294"/>
      <c r="G1690" s="295"/>
      <c r="H1690" s="225"/>
      <c r="I1690" s="225"/>
      <c r="J1690" s="225"/>
      <c r="K1690" s="225"/>
      <c r="L1690" s="225"/>
      <c r="M1690" s="225"/>
      <c r="N1690" s="225"/>
      <c r="O1690" s="225"/>
      <c r="P1690" s="225"/>
      <c r="Q1690" s="225"/>
      <c r="R1690" s="225"/>
      <c r="S1690" s="225"/>
      <c r="T1690" s="225"/>
      <c r="U1690" s="99"/>
      <c r="V1690" s="255"/>
      <c r="W1690" s="102"/>
      <c r="X1690" s="102"/>
      <c r="Y1690" s="102"/>
      <c r="Z1690" s="200"/>
      <c r="AA1690" s="615"/>
      <c r="AB1690" s="192"/>
      <c r="AC1690" s="192"/>
      <c r="AD1690" s="192"/>
      <c r="AE1690" s="192"/>
      <c r="AF1690" s="192"/>
      <c r="AG1690" s="192"/>
      <c r="AH1690" s="192"/>
      <c r="AI1690" s="192"/>
      <c r="AJ1690" s="192"/>
      <c r="AK1690" s="192"/>
      <c r="AL1690" s="192"/>
      <c r="AM1690" s="192"/>
      <c r="AN1690" s="192"/>
      <c r="AO1690" s="192"/>
      <c r="AP1690" s="192"/>
      <c r="AQ1690" s="192"/>
      <c r="AR1690" s="192"/>
      <c r="AS1690" s="192"/>
      <c r="AT1690" s="192"/>
      <c r="AU1690" s="192"/>
      <c r="AV1690" s="192"/>
      <c r="AW1690" s="192"/>
    </row>
    <row r="1691" spans="1:49" s="71" customFormat="1" ht="15" customHeight="1">
      <c r="A1691" s="555" t="s">
        <v>3011</v>
      </c>
      <c r="B1691" s="217" t="str">
        <f t="shared" si="2108"/>
        <v>100</v>
      </c>
      <c r="C1691" s="217" t="str">
        <f t="shared" si="2109"/>
        <v>63</v>
      </c>
      <c r="D1691" s="101" t="str">
        <f t="shared" si="2110"/>
        <v>634</v>
      </c>
      <c r="E1691" s="217" t="str">
        <f t="shared" si="2111"/>
        <v>100-63-634</v>
      </c>
      <c r="F1691" s="294" t="str">
        <f t="shared" si="2112"/>
        <v>50101</v>
      </c>
      <c r="G1691" s="295" t="str">
        <f>VLOOKUP(F1691,'GL Category'!A:C,3,FALSE)</f>
        <v>Personnel services</v>
      </c>
      <c r="H1691" s="98" t="str">
        <f>VLOOKUP(F1691,'GL Category'!A:C,2,FALSE)</f>
        <v>EXEMPT SALARIES</v>
      </c>
      <c r="I1691" s="99">
        <f>SUMIF(Import!$B:$B,$A1691,Import!D:D)</f>
        <v>56613.120000000003</v>
      </c>
      <c r="J1691" s="99">
        <f>SUMIF(Import!$B:$B,$A1691,Import!E:E)</f>
        <v>82900.649999999994</v>
      </c>
      <c r="K1691" s="99">
        <f>SUMIF(Import!$B:$B,$A1691,Import!F:F)</f>
        <v>118849.16</v>
      </c>
      <c r="L1691" s="99">
        <f>SUMIF(Import!$B:$B,$A1691,Import!G:G)</f>
        <v>126196.88</v>
      </c>
      <c r="M1691" s="99">
        <f>SUMIF(Import!$B:$B,$A1691,Import!H:H)</f>
        <v>130925</v>
      </c>
      <c r="N1691" s="99">
        <f>SUMIF(Import!$B:$B,$A1691,Import!I:I)</f>
        <v>95582.67</v>
      </c>
      <c r="O1691" s="99">
        <f>SUMIF(Import!$B:$B,$A1691,Import!J:J)</f>
        <v>128980</v>
      </c>
      <c r="P1691" s="99">
        <f t="shared" ref="P1691:P1699" si="2137">O1691-M1691</f>
        <v>-1945</v>
      </c>
      <c r="Q1691" s="99">
        <f>SUMIF(Import!$B:$B,$A1691,Import!K:K)</f>
        <v>136189</v>
      </c>
      <c r="R1691" s="99">
        <f>SUMIF(Import!$B:$B,$A1691,Import!L:L)</f>
        <v>0</v>
      </c>
      <c r="S1691" s="99">
        <f>SUMIF(Import!$B:$B,$A1691,Import!M:M)</f>
        <v>0</v>
      </c>
      <c r="T1691" s="99">
        <f>SUMIF(Import!$B:$B,$A1691,Import!N:N)</f>
        <v>136189</v>
      </c>
      <c r="U1691" s="99">
        <f t="shared" ref="U1691:U1699" si="2138">T1691-M1691</f>
        <v>5264</v>
      </c>
      <c r="V1691" s="255">
        <f t="shared" ref="V1691:V1699" si="2139">IF(M1691=0,"N/A",T1691/M1691-1)</f>
        <v>4.020622493794157E-2</v>
      </c>
      <c r="W1691" s="102" t="s">
        <v>3011</v>
      </c>
      <c r="X1691" s="102"/>
      <c r="Y1691" s="102"/>
      <c r="Z1691" s="200"/>
      <c r="AA1691" s="615"/>
      <c r="AB1691" s="192"/>
      <c r="AC1691" s="192"/>
      <c r="AD1691" s="192"/>
      <c r="AE1691" s="192"/>
      <c r="AF1691" s="192"/>
      <c r="AG1691" s="192"/>
      <c r="AH1691" s="192"/>
      <c r="AI1691" s="192"/>
      <c r="AJ1691" s="192"/>
      <c r="AK1691" s="192"/>
      <c r="AL1691" s="192"/>
      <c r="AM1691" s="192"/>
      <c r="AN1691" s="192"/>
      <c r="AO1691" s="192"/>
      <c r="AP1691" s="192"/>
      <c r="AQ1691" s="192"/>
      <c r="AR1691" s="192"/>
      <c r="AS1691" s="192"/>
      <c r="AT1691" s="192"/>
      <c r="AU1691" s="192"/>
      <c r="AV1691" s="192"/>
      <c r="AW1691" s="192"/>
    </row>
    <row r="1692" spans="1:49" s="71" customFormat="1" ht="15" customHeight="1">
      <c r="A1692" s="555" t="s">
        <v>3012</v>
      </c>
      <c r="B1692" s="217" t="str">
        <f t="shared" si="2108"/>
        <v>100</v>
      </c>
      <c r="C1692" s="217" t="str">
        <f t="shared" si="2109"/>
        <v>63</v>
      </c>
      <c r="D1692" s="101" t="str">
        <f t="shared" si="2110"/>
        <v>634</v>
      </c>
      <c r="E1692" s="217" t="str">
        <f t="shared" si="2111"/>
        <v>100-63-634</v>
      </c>
      <c r="F1692" s="294" t="str">
        <f t="shared" si="2112"/>
        <v>50102</v>
      </c>
      <c r="G1692" s="295" t="str">
        <f>VLOOKUP(F1692,'GL Category'!A:C,3,FALSE)</f>
        <v>Personnel services</v>
      </c>
      <c r="H1692" s="98" t="str">
        <f>VLOOKUP(F1692,'GL Category'!A:C,2,FALSE)</f>
        <v>NON EXEMPT SALARIES</v>
      </c>
      <c r="I1692" s="99">
        <f>SUMIF(Import!$B:$B,$A1692,Import!D:D)</f>
        <v>82566.52</v>
      </c>
      <c r="J1692" s="99">
        <f>SUMIF(Import!$B:$B,$A1692,Import!E:E)</f>
        <v>56927.07</v>
      </c>
      <c r="K1692" s="99">
        <f>SUMIF(Import!$B:$B,$A1692,Import!F:F)</f>
        <v>36274.78</v>
      </c>
      <c r="L1692" s="99">
        <f>SUMIF(Import!$B:$B,$A1692,Import!G:G)</f>
        <v>51847.68</v>
      </c>
      <c r="M1692" s="99">
        <f>SUMIF(Import!$B:$B,$A1692,Import!H:H)</f>
        <v>75390</v>
      </c>
      <c r="N1692" s="99">
        <f>SUMIF(Import!$B:$B,$A1692,Import!I:I)</f>
        <v>52834.83</v>
      </c>
      <c r="O1692" s="99">
        <f>SUMIF(Import!$B:$B,$A1692,Import!J:J)</f>
        <v>71645</v>
      </c>
      <c r="P1692" s="99">
        <f t="shared" si="2137"/>
        <v>-3745</v>
      </c>
      <c r="Q1692" s="99">
        <f>SUMIF(Import!$B:$B,$A1692,Import!K:K)</f>
        <v>77974</v>
      </c>
      <c r="R1692" s="99">
        <f>SUMIF(Import!$B:$B,$A1692,Import!L:L)</f>
        <v>0</v>
      </c>
      <c r="S1692" s="99">
        <f>SUMIF(Import!$B:$B,$A1692,Import!M:M)</f>
        <v>0</v>
      </c>
      <c r="T1692" s="99">
        <f>SUMIF(Import!$B:$B,$A1692,Import!N:N)</f>
        <v>77974</v>
      </c>
      <c r="U1692" s="99">
        <f t="shared" si="2138"/>
        <v>2584</v>
      </c>
      <c r="V1692" s="255">
        <f t="shared" si="2139"/>
        <v>3.4275102798779766E-2</v>
      </c>
      <c r="W1692" s="102" t="s">
        <v>3012</v>
      </c>
      <c r="X1692" s="102"/>
      <c r="Y1692" s="102"/>
      <c r="Z1692" s="200"/>
      <c r="AA1692" s="615"/>
      <c r="AB1692" s="192"/>
      <c r="AC1692" s="192"/>
      <c r="AD1692" s="192"/>
      <c r="AE1692" s="192"/>
      <c r="AF1692" s="192"/>
      <c r="AG1692" s="192"/>
      <c r="AH1692" s="192"/>
      <c r="AI1692" s="192"/>
      <c r="AJ1692" s="192"/>
      <c r="AK1692" s="192"/>
      <c r="AL1692" s="192"/>
      <c r="AM1692" s="192"/>
      <c r="AN1692" s="192"/>
      <c r="AO1692" s="192"/>
      <c r="AP1692" s="192"/>
      <c r="AQ1692" s="192"/>
      <c r="AR1692" s="192"/>
      <c r="AS1692" s="192"/>
      <c r="AT1692" s="192"/>
      <c r="AU1692" s="192"/>
      <c r="AV1692" s="192"/>
      <c r="AW1692" s="192"/>
    </row>
    <row r="1693" spans="1:49" s="71" customFormat="1" ht="15" customHeight="1">
      <c r="A1693" s="555" t="s">
        <v>3013</v>
      </c>
      <c r="B1693" s="217" t="str">
        <f t="shared" si="2108"/>
        <v>100</v>
      </c>
      <c r="C1693" s="217" t="str">
        <f t="shared" si="2109"/>
        <v>63</v>
      </c>
      <c r="D1693" s="101" t="str">
        <f t="shared" si="2110"/>
        <v>634</v>
      </c>
      <c r="E1693" s="217" t="str">
        <f t="shared" si="2111"/>
        <v>100-63-634</v>
      </c>
      <c r="F1693" s="294" t="str">
        <f t="shared" si="2112"/>
        <v>50109</v>
      </c>
      <c r="G1693" s="295" t="str">
        <f>VLOOKUP(F1693,'GL Category'!A:C,3,FALSE)</f>
        <v>Personnel services</v>
      </c>
      <c r="H1693" s="98" t="str">
        <f>VLOOKUP(F1693,'GL Category'!A:C,2,FALSE)</f>
        <v>OVERTIME</v>
      </c>
      <c r="I1693" s="99">
        <f>SUMIF(Import!$B:$B,$A1693,Import!D:D)</f>
        <v>0</v>
      </c>
      <c r="J1693" s="99">
        <f>SUMIF(Import!$B:$B,$A1693,Import!E:E)</f>
        <v>259.76</v>
      </c>
      <c r="K1693" s="99">
        <f>SUMIF(Import!$B:$B,$A1693,Import!F:F)</f>
        <v>469.31</v>
      </c>
      <c r="L1693" s="99">
        <f>SUMIF(Import!$B:$B,$A1693,Import!G:G)</f>
        <v>469.27</v>
      </c>
      <c r="M1693" s="99">
        <f>SUMIF(Import!$B:$B,$A1693,Import!H:H)</f>
        <v>500</v>
      </c>
      <c r="N1693" s="99">
        <f>SUMIF(Import!$B:$B,$A1693,Import!I:I)</f>
        <v>583.51</v>
      </c>
      <c r="O1693" s="99">
        <f>SUMIF(Import!$B:$B,$A1693,Import!J:J)</f>
        <v>873</v>
      </c>
      <c r="P1693" s="99">
        <f t="shared" si="2137"/>
        <v>373</v>
      </c>
      <c r="Q1693" s="99">
        <f>SUMIF(Import!$B:$B,$A1693,Import!K:K)</f>
        <v>500</v>
      </c>
      <c r="R1693" s="99">
        <f>SUMIF(Import!$B:$B,$A1693,Import!L:L)</f>
        <v>0</v>
      </c>
      <c r="S1693" s="99">
        <f>SUMIF(Import!$B:$B,$A1693,Import!M:M)</f>
        <v>0</v>
      </c>
      <c r="T1693" s="99">
        <f>SUMIF(Import!$B:$B,$A1693,Import!N:N)</f>
        <v>500</v>
      </c>
      <c r="U1693" s="99">
        <f t="shared" si="2138"/>
        <v>0</v>
      </c>
      <c r="V1693" s="255">
        <f t="shared" si="2139"/>
        <v>0</v>
      </c>
      <c r="W1693" s="102" t="s">
        <v>3013</v>
      </c>
      <c r="X1693" s="102"/>
      <c r="Y1693" s="102"/>
      <c r="Z1693" s="200"/>
      <c r="AA1693" s="615"/>
      <c r="AB1693" s="192"/>
      <c r="AC1693" s="192"/>
      <c r="AD1693" s="192"/>
      <c r="AE1693" s="192"/>
      <c r="AF1693" s="192"/>
      <c r="AG1693" s="192"/>
      <c r="AH1693" s="192"/>
      <c r="AI1693" s="192"/>
      <c r="AJ1693" s="192"/>
      <c r="AK1693" s="192"/>
      <c r="AL1693" s="192"/>
      <c r="AM1693" s="192"/>
      <c r="AN1693" s="192"/>
      <c r="AO1693" s="192"/>
      <c r="AP1693" s="192"/>
      <c r="AQ1693" s="192"/>
      <c r="AR1693" s="192"/>
      <c r="AS1693" s="192"/>
      <c r="AT1693" s="192"/>
      <c r="AU1693" s="192"/>
      <c r="AV1693" s="192"/>
      <c r="AW1693" s="192"/>
    </row>
    <row r="1694" spans="1:49" s="71" customFormat="1" ht="15" customHeight="1">
      <c r="A1694" s="555" t="s">
        <v>3014</v>
      </c>
      <c r="B1694" s="217" t="str">
        <f t="shared" si="2108"/>
        <v>100</v>
      </c>
      <c r="C1694" s="217" t="str">
        <f t="shared" si="2109"/>
        <v>63</v>
      </c>
      <c r="D1694" s="101" t="str">
        <f t="shared" si="2110"/>
        <v>634</v>
      </c>
      <c r="E1694" s="217" t="str">
        <f t="shared" si="2111"/>
        <v>100-63-634</v>
      </c>
      <c r="F1694" s="294" t="str">
        <f t="shared" si="2112"/>
        <v>50110</v>
      </c>
      <c r="G1694" s="295" t="str">
        <f>VLOOKUP(F1694,'GL Category'!A:C,3,FALSE)</f>
        <v>Personnel services</v>
      </c>
      <c r="H1694" s="98" t="str">
        <f>VLOOKUP(F1694,'GL Category'!A:C,2,FALSE)</f>
        <v>PART-TIME WAGES</v>
      </c>
      <c r="I1694" s="99">
        <f>SUMIF(Import!$B:$B,$A1694,Import!D:D)</f>
        <v>0</v>
      </c>
      <c r="J1694" s="99">
        <f>SUMIF(Import!$B:$B,$A1694,Import!E:E)</f>
        <v>0</v>
      </c>
      <c r="K1694" s="99">
        <f>SUMIF(Import!$B:$B,$A1694,Import!F:F)</f>
        <v>0</v>
      </c>
      <c r="L1694" s="99">
        <f>SUMIF(Import!$B:$B,$A1694,Import!G:G)</f>
        <v>17511.580000000002</v>
      </c>
      <c r="M1694" s="99">
        <f>SUMIF(Import!$B:$B,$A1694,Import!H:H)</f>
        <v>33510</v>
      </c>
      <c r="N1694" s="99">
        <f>SUMIF(Import!$B:$B,$A1694,Import!I:I)</f>
        <v>16372.09</v>
      </c>
      <c r="O1694" s="99">
        <f>SUMIF(Import!$B:$B,$A1694,Import!J:J)</f>
        <v>26427</v>
      </c>
      <c r="P1694" s="99">
        <f t="shared" si="2137"/>
        <v>-7083</v>
      </c>
      <c r="Q1694" s="99">
        <f>SUMIF(Import!$B:$B,$A1694,Import!K:K)</f>
        <v>34800</v>
      </c>
      <c r="R1694" s="99">
        <f>SUMIF(Import!$B:$B,$A1694,Import!L:L)</f>
        <v>0</v>
      </c>
      <c r="S1694" s="99">
        <f>SUMIF(Import!$B:$B,$A1694,Import!M:M)</f>
        <v>0</v>
      </c>
      <c r="T1694" s="99">
        <f>SUMIF(Import!$B:$B,$A1694,Import!N:N)</f>
        <v>34800</v>
      </c>
      <c r="U1694" s="99">
        <f t="shared" si="2138"/>
        <v>1290</v>
      </c>
      <c r="V1694" s="255">
        <f t="shared" si="2139"/>
        <v>3.8495971351835356E-2</v>
      </c>
      <c r="W1694" s="102" t="s">
        <v>3014</v>
      </c>
      <c r="X1694" s="102"/>
      <c r="Y1694" s="102"/>
      <c r="Z1694" s="200"/>
      <c r="AA1694" s="615"/>
      <c r="AB1694" s="192"/>
      <c r="AC1694" s="192"/>
      <c r="AD1694" s="192"/>
      <c r="AE1694" s="192"/>
      <c r="AF1694" s="192"/>
      <c r="AG1694" s="192"/>
      <c r="AH1694" s="192"/>
      <c r="AI1694" s="192"/>
      <c r="AJ1694" s="192"/>
      <c r="AK1694" s="192"/>
      <c r="AL1694" s="192"/>
      <c r="AM1694" s="192"/>
      <c r="AN1694" s="192"/>
      <c r="AO1694" s="192"/>
      <c r="AP1694" s="192"/>
      <c r="AQ1694" s="192"/>
      <c r="AR1694" s="192"/>
      <c r="AS1694" s="192"/>
      <c r="AT1694" s="192"/>
      <c r="AU1694" s="192"/>
      <c r="AV1694" s="192"/>
      <c r="AW1694" s="192"/>
    </row>
    <row r="1695" spans="1:49" s="71" customFormat="1" ht="15" customHeight="1">
      <c r="A1695" s="555" t="s">
        <v>3015</v>
      </c>
      <c r="B1695" s="217" t="str">
        <f t="shared" si="2108"/>
        <v>100</v>
      </c>
      <c r="C1695" s="217" t="str">
        <f t="shared" si="2109"/>
        <v>63</v>
      </c>
      <c r="D1695" s="101" t="str">
        <f t="shared" si="2110"/>
        <v>634</v>
      </c>
      <c r="E1695" s="217" t="str">
        <f t="shared" si="2111"/>
        <v>100-63-634</v>
      </c>
      <c r="F1695" s="294" t="str">
        <f t="shared" si="2112"/>
        <v>50111</v>
      </c>
      <c r="G1695" s="295" t="str">
        <f>VLOOKUP(F1695,'GL Category'!A:C,3,FALSE)</f>
        <v>Personnel services</v>
      </c>
      <c r="H1695" s="98" t="str">
        <f>VLOOKUP(F1695,'GL Category'!A:C,2,FALSE)</f>
        <v>LONGEVITY PAY</v>
      </c>
      <c r="I1695" s="99">
        <f>SUMIF(Import!$B:$B,$A1695,Import!D:D)</f>
        <v>995</v>
      </c>
      <c r="J1695" s="99">
        <f>SUMIF(Import!$B:$B,$A1695,Import!E:E)</f>
        <v>1175</v>
      </c>
      <c r="K1695" s="99">
        <f>SUMIF(Import!$B:$B,$A1695,Import!F:F)</f>
        <v>1140</v>
      </c>
      <c r="L1695" s="99">
        <f>SUMIF(Import!$B:$B,$A1695,Import!G:G)</f>
        <v>1350</v>
      </c>
      <c r="M1695" s="99">
        <f>SUMIF(Import!$B:$B,$A1695,Import!H:H)</f>
        <v>1550</v>
      </c>
      <c r="N1695" s="99">
        <f>SUMIF(Import!$B:$B,$A1695,Import!I:I)</f>
        <v>1530</v>
      </c>
      <c r="O1695" s="99">
        <f>SUMIF(Import!$B:$B,$A1695,Import!J:J)</f>
        <v>1530</v>
      </c>
      <c r="P1695" s="99">
        <f t="shared" si="2137"/>
        <v>-20</v>
      </c>
      <c r="Q1695" s="99">
        <f>SUMIF(Import!$B:$B,$A1695,Import!K:K)</f>
        <v>1837</v>
      </c>
      <c r="R1695" s="99">
        <f>SUMIF(Import!$B:$B,$A1695,Import!L:L)</f>
        <v>0</v>
      </c>
      <c r="S1695" s="99">
        <f>SUMIF(Import!$B:$B,$A1695,Import!M:M)</f>
        <v>0</v>
      </c>
      <c r="T1695" s="99">
        <f>SUMIF(Import!$B:$B,$A1695,Import!N:N)</f>
        <v>1837</v>
      </c>
      <c r="U1695" s="99">
        <f t="shared" si="2138"/>
        <v>287</v>
      </c>
      <c r="V1695" s="255">
        <f t="shared" si="2139"/>
        <v>0.18516129032258055</v>
      </c>
      <c r="W1695" s="102" t="s">
        <v>3015</v>
      </c>
      <c r="X1695" s="102"/>
      <c r="Y1695" s="102"/>
      <c r="Z1695" s="200"/>
      <c r="AA1695" s="615"/>
      <c r="AB1695" s="192"/>
      <c r="AC1695" s="192"/>
      <c r="AD1695" s="192"/>
      <c r="AE1695" s="192"/>
      <c r="AF1695" s="192"/>
      <c r="AG1695" s="192"/>
      <c r="AH1695" s="192"/>
      <c r="AI1695" s="192"/>
      <c r="AJ1695" s="192"/>
      <c r="AK1695" s="192"/>
      <c r="AL1695" s="192"/>
      <c r="AM1695" s="192"/>
      <c r="AN1695" s="192"/>
      <c r="AO1695" s="192"/>
      <c r="AP1695" s="192"/>
      <c r="AQ1695" s="192"/>
      <c r="AR1695" s="192"/>
      <c r="AS1695" s="192"/>
      <c r="AT1695" s="192"/>
      <c r="AU1695" s="192"/>
      <c r="AV1695" s="192"/>
      <c r="AW1695" s="192"/>
    </row>
    <row r="1696" spans="1:49" s="71" customFormat="1" ht="15" customHeight="1">
      <c r="A1696" s="555" t="s">
        <v>3016</v>
      </c>
      <c r="B1696" s="217" t="str">
        <f t="shared" si="2108"/>
        <v>100</v>
      </c>
      <c r="C1696" s="217" t="str">
        <f t="shared" si="2109"/>
        <v>63</v>
      </c>
      <c r="D1696" s="101" t="str">
        <f t="shared" si="2110"/>
        <v>634</v>
      </c>
      <c r="E1696" s="217" t="str">
        <f t="shared" si="2111"/>
        <v>100-63-634</v>
      </c>
      <c r="F1696" s="294" t="str">
        <f t="shared" si="2112"/>
        <v>50610</v>
      </c>
      <c r="G1696" s="295" t="str">
        <f>VLOOKUP(F1696,'GL Category'!A:C,3,FALSE)</f>
        <v>Personnel services</v>
      </c>
      <c r="H1696" s="98" t="str">
        <f>VLOOKUP(F1696,'GL Category'!A:C,2,FALSE)</f>
        <v>SOCIAL SECURITY</v>
      </c>
      <c r="I1696" s="99">
        <f>SUMIF(Import!$B:$B,$A1696,Import!D:D)</f>
        <v>10476.719999999999</v>
      </c>
      <c r="J1696" s="99">
        <f>SUMIF(Import!$B:$B,$A1696,Import!E:E)</f>
        <v>10542.97</v>
      </c>
      <c r="K1696" s="99">
        <f>SUMIF(Import!$B:$B,$A1696,Import!F:F)</f>
        <v>11531.21</v>
      </c>
      <c r="L1696" s="99">
        <f>SUMIF(Import!$B:$B,$A1696,Import!G:G)</f>
        <v>14606.12</v>
      </c>
      <c r="M1696" s="99">
        <f>SUMIF(Import!$B:$B,$A1696,Import!H:H)</f>
        <v>18670</v>
      </c>
      <c r="N1696" s="99">
        <f>SUMIF(Import!$B:$B,$A1696,Import!I:I)</f>
        <v>12227.98</v>
      </c>
      <c r="O1696" s="99">
        <f>SUMIF(Import!$B:$B,$A1696,Import!J:J)</f>
        <v>17030</v>
      </c>
      <c r="P1696" s="99">
        <f t="shared" si="2137"/>
        <v>-1640</v>
      </c>
      <c r="Q1696" s="99">
        <f>SUMIF(Import!$B:$B,$A1696,Import!K:K)</f>
        <v>19380</v>
      </c>
      <c r="R1696" s="99">
        <f>SUMIF(Import!$B:$B,$A1696,Import!L:L)</f>
        <v>0</v>
      </c>
      <c r="S1696" s="99">
        <f>SUMIF(Import!$B:$B,$A1696,Import!M:M)</f>
        <v>0</v>
      </c>
      <c r="T1696" s="99">
        <f>SUMIF(Import!$B:$B,$A1696,Import!N:N)</f>
        <v>19380</v>
      </c>
      <c r="U1696" s="99">
        <f t="shared" si="2138"/>
        <v>710</v>
      </c>
      <c r="V1696" s="255">
        <f t="shared" si="2139"/>
        <v>3.8028923406534521E-2</v>
      </c>
      <c r="W1696" s="102" t="s">
        <v>3016</v>
      </c>
      <c r="X1696" s="102"/>
      <c r="Y1696" s="102"/>
      <c r="Z1696" s="200"/>
      <c r="AA1696" s="615"/>
      <c r="AB1696" s="192"/>
      <c r="AC1696" s="192"/>
      <c r="AD1696" s="192"/>
      <c r="AE1696" s="192"/>
      <c r="AF1696" s="192"/>
      <c r="AG1696" s="192"/>
      <c r="AH1696" s="192"/>
      <c r="AI1696" s="192"/>
      <c r="AJ1696" s="192"/>
      <c r="AK1696" s="192"/>
      <c r="AL1696" s="192"/>
      <c r="AM1696" s="192"/>
      <c r="AN1696" s="192"/>
      <c r="AO1696" s="192"/>
      <c r="AP1696" s="192"/>
      <c r="AQ1696" s="192"/>
      <c r="AR1696" s="192"/>
      <c r="AS1696" s="192"/>
      <c r="AT1696" s="192"/>
      <c r="AU1696" s="192"/>
      <c r="AV1696" s="192"/>
      <c r="AW1696" s="192"/>
    </row>
    <row r="1697" spans="1:49" s="71" customFormat="1" ht="15" customHeight="1">
      <c r="A1697" s="555" t="s">
        <v>3017</v>
      </c>
      <c r="B1697" s="217" t="str">
        <f t="shared" si="2108"/>
        <v>100</v>
      </c>
      <c r="C1697" s="217" t="str">
        <f t="shared" si="2109"/>
        <v>63</v>
      </c>
      <c r="D1697" s="101" t="str">
        <f t="shared" si="2110"/>
        <v>634</v>
      </c>
      <c r="E1697" s="217" t="str">
        <f t="shared" si="2111"/>
        <v>100-63-634</v>
      </c>
      <c r="F1697" s="294" t="str">
        <f t="shared" si="2112"/>
        <v>50620</v>
      </c>
      <c r="G1697" s="295" t="str">
        <f>VLOOKUP(F1697,'GL Category'!A:C,3,FALSE)</f>
        <v>Personnel services</v>
      </c>
      <c r="H1697" s="98" t="str">
        <f>VLOOKUP(F1697,'GL Category'!A:C,2,FALSE)</f>
        <v>HEALTH/LIFE INSURANCE</v>
      </c>
      <c r="I1697" s="99">
        <f>SUMIF(Import!$B:$B,$A1697,Import!D:D)</f>
        <v>40277.339999999997</v>
      </c>
      <c r="J1697" s="99">
        <f>SUMIF(Import!$B:$B,$A1697,Import!E:E)</f>
        <v>39002.19</v>
      </c>
      <c r="K1697" s="99">
        <f>SUMIF(Import!$B:$B,$A1697,Import!F:F)</f>
        <v>49462.38</v>
      </c>
      <c r="L1697" s="99">
        <f>SUMIF(Import!$B:$B,$A1697,Import!G:G)</f>
        <v>54772.46</v>
      </c>
      <c r="M1697" s="99">
        <f>SUMIF(Import!$B:$B,$A1697,Import!H:H)</f>
        <v>59307</v>
      </c>
      <c r="N1697" s="99">
        <f>SUMIF(Import!$B:$B,$A1697,Import!I:I)</f>
        <v>44646.35</v>
      </c>
      <c r="O1697" s="99">
        <f>SUMIF(Import!$B:$B,$A1697,Import!J:J)</f>
        <v>58821</v>
      </c>
      <c r="P1697" s="99">
        <f t="shared" si="2137"/>
        <v>-486</v>
      </c>
      <c r="Q1697" s="99">
        <f>SUMIF(Import!$B:$B,$A1697,Import!K:K)</f>
        <v>48184</v>
      </c>
      <c r="R1697" s="99">
        <f>SUMIF(Import!$B:$B,$A1697,Import!L:L)</f>
        <v>0</v>
      </c>
      <c r="S1697" s="99">
        <f>SUMIF(Import!$B:$B,$A1697,Import!M:M)</f>
        <v>0</v>
      </c>
      <c r="T1697" s="99">
        <f>SUMIF(Import!$B:$B,$A1697,Import!N:N)</f>
        <v>48184</v>
      </c>
      <c r="U1697" s="99">
        <f t="shared" si="2138"/>
        <v>-11123</v>
      </c>
      <c r="V1697" s="255">
        <f t="shared" si="2139"/>
        <v>-0.18754953040956379</v>
      </c>
      <c r="W1697" s="102" t="s">
        <v>3017</v>
      </c>
      <c r="X1697" s="102"/>
      <c r="Y1697" s="102"/>
      <c r="Z1697" s="200"/>
      <c r="AA1697" s="615"/>
      <c r="AB1697" s="192"/>
      <c r="AC1697" s="192"/>
      <c r="AD1697" s="192"/>
      <c r="AE1697" s="192"/>
      <c r="AF1697" s="192"/>
      <c r="AG1697" s="192"/>
      <c r="AH1697" s="192"/>
      <c r="AI1697" s="192"/>
      <c r="AJ1697" s="192"/>
      <c r="AK1697" s="192"/>
      <c r="AL1697" s="192"/>
      <c r="AM1697" s="192"/>
      <c r="AN1697" s="192"/>
      <c r="AO1697" s="192"/>
      <c r="AP1697" s="192"/>
      <c r="AQ1697" s="192"/>
      <c r="AR1697" s="192"/>
      <c r="AS1697" s="192"/>
      <c r="AT1697" s="192"/>
      <c r="AU1697" s="192"/>
      <c r="AV1697" s="192"/>
      <c r="AW1697" s="192"/>
    </row>
    <row r="1698" spans="1:49" s="71" customFormat="1" ht="15" customHeight="1">
      <c r="A1698" s="555" t="s">
        <v>3018</v>
      </c>
      <c r="B1698" s="217" t="str">
        <f t="shared" si="2108"/>
        <v>100</v>
      </c>
      <c r="C1698" s="217" t="str">
        <f t="shared" si="2109"/>
        <v>63</v>
      </c>
      <c r="D1698" s="101" t="str">
        <f t="shared" si="2110"/>
        <v>634</v>
      </c>
      <c r="E1698" s="217" t="str">
        <f t="shared" si="2111"/>
        <v>100-63-634</v>
      </c>
      <c r="F1698" s="294" t="str">
        <f t="shared" si="2112"/>
        <v>50630</v>
      </c>
      <c r="G1698" s="295" t="str">
        <f>VLOOKUP(F1698,'GL Category'!A:C,3,FALSE)</f>
        <v>Personnel services</v>
      </c>
      <c r="H1698" s="98" t="str">
        <f>VLOOKUP(F1698,'GL Category'!A:C,2,FALSE)</f>
        <v>WORKER COMPENSATION</v>
      </c>
      <c r="I1698" s="99">
        <f>SUMIF(Import!$B:$B,$A1698,Import!D:D)</f>
        <v>96.2</v>
      </c>
      <c r="J1698" s="99">
        <f>SUMIF(Import!$B:$B,$A1698,Import!E:E)</f>
        <v>89.34</v>
      </c>
      <c r="K1698" s="99">
        <f>SUMIF(Import!$B:$B,$A1698,Import!F:F)</f>
        <v>103.13</v>
      </c>
      <c r="L1698" s="99">
        <f>SUMIF(Import!$B:$B,$A1698,Import!G:G)</f>
        <v>194.65</v>
      </c>
      <c r="M1698" s="99">
        <f>SUMIF(Import!$B:$B,$A1698,Import!H:H)</f>
        <v>354</v>
      </c>
      <c r="N1698" s="99">
        <f>SUMIF(Import!$B:$B,$A1698,Import!I:I)</f>
        <v>353.72</v>
      </c>
      <c r="O1698" s="99">
        <f>SUMIF(Import!$B:$B,$A1698,Import!J:J)</f>
        <v>354</v>
      </c>
      <c r="P1698" s="99">
        <f t="shared" si="2137"/>
        <v>0</v>
      </c>
      <c r="Q1698" s="99">
        <f>SUMIF(Import!$B:$B,$A1698,Import!K:K)</f>
        <v>354</v>
      </c>
      <c r="R1698" s="99">
        <f>SUMIF(Import!$B:$B,$A1698,Import!L:L)</f>
        <v>0</v>
      </c>
      <c r="S1698" s="99">
        <f>SUMIF(Import!$B:$B,$A1698,Import!M:M)</f>
        <v>0</v>
      </c>
      <c r="T1698" s="99">
        <f>SUMIF(Import!$B:$B,$A1698,Import!N:N)</f>
        <v>354</v>
      </c>
      <c r="U1698" s="99">
        <f t="shared" si="2138"/>
        <v>0</v>
      </c>
      <c r="V1698" s="255">
        <f t="shared" si="2139"/>
        <v>0</v>
      </c>
      <c r="W1698" s="102" t="s">
        <v>3018</v>
      </c>
      <c r="X1698" s="102"/>
      <c r="Y1698" s="102"/>
      <c r="Z1698" s="200"/>
      <c r="AA1698" s="615"/>
      <c r="AB1698" s="192"/>
      <c r="AC1698" s="192"/>
      <c r="AD1698" s="192"/>
      <c r="AE1698" s="192"/>
      <c r="AF1698" s="192"/>
      <c r="AG1698" s="192"/>
      <c r="AH1698" s="192"/>
      <c r="AI1698" s="192"/>
      <c r="AJ1698" s="192"/>
      <c r="AK1698" s="192"/>
      <c r="AL1698" s="192"/>
      <c r="AM1698" s="192"/>
      <c r="AN1698" s="192"/>
      <c r="AO1698" s="192"/>
      <c r="AP1698" s="192"/>
      <c r="AQ1698" s="192"/>
      <c r="AR1698" s="192"/>
      <c r="AS1698" s="192"/>
      <c r="AT1698" s="192"/>
      <c r="AU1698" s="192"/>
      <c r="AV1698" s="192"/>
      <c r="AW1698" s="192"/>
    </row>
    <row r="1699" spans="1:49" s="71" customFormat="1" ht="15" customHeight="1">
      <c r="A1699" s="555" t="s">
        <v>3019</v>
      </c>
      <c r="B1699" s="217" t="str">
        <f t="shared" si="2108"/>
        <v>100</v>
      </c>
      <c r="C1699" s="217" t="str">
        <f t="shared" si="2109"/>
        <v>63</v>
      </c>
      <c r="D1699" s="101" t="str">
        <f t="shared" si="2110"/>
        <v>634</v>
      </c>
      <c r="E1699" s="217" t="str">
        <f t="shared" si="2111"/>
        <v>100-63-634</v>
      </c>
      <c r="F1699" s="294" t="str">
        <f t="shared" si="2112"/>
        <v>50650</v>
      </c>
      <c r="G1699" s="295" t="str">
        <f>VLOOKUP(F1699,'GL Category'!A:C,3,FALSE)</f>
        <v>Personnel services</v>
      </c>
      <c r="H1699" s="98" t="str">
        <f>VLOOKUP(F1699,'GL Category'!A:C,2,FALSE)</f>
        <v>RETIREMENT</v>
      </c>
      <c r="I1699" s="99">
        <f>SUMIF(Import!$B:$B,$A1699,Import!D:D)</f>
        <v>22271.99</v>
      </c>
      <c r="J1699" s="99">
        <f>SUMIF(Import!$B:$B,$A1699,Import!E:E)</f>
        <v>22822.97</v>
      </c>
      <c r="K1699" s="99">
        <f>SUMIF(Import!$B:$B,$A1699,Import!F:F)</f>
        <v>25374.99</v>
      </c>
      <c r="L1699" s="99">
        <f>SUMIF(Import!$B:$B,$A1699,Import!G:G)</f>
        <v>29206.01</v>
      </c>
      <c r="M1699" s="99">
        <f>SUMIF(Import!$B:$B,$A1699,Import!H:H)</f>
        <v>34737</v>
      </c>
      <c r="N1699" s="99">
        <f>SUMIF(Import!$B:$B,$A1699,Import!I:I)</f>
        <v>25052.48</v>
      </c>
      <c r="O1699" s="99">
        <f>SUMIF(Import!$B:$B,$A1699,Import!J:J)</f>
        <v>33726</v>
      </c>
      <c r="P1699" s="99">
        <f t="shared" si="2137"/>
        <v>-1011</v>
      </c>
      <c r="Q1699" s="99">
        <f>SUMIF(Import!$B:$B,$A1699,Import!K:K)</f>
        <v>36955</v>
      </c>
      <c r="R1699" s="99">
        <f>SUMIF(Import!$B:$B,$A1699,Import!L:L)</f>
        <v>0</v>
      </c>
      <c r="S1699" s="99">
        <f>SUMIF(Import!$B:$B,$A1699,Import!M:M)</f>
        <v>0</v>
      </c>
      <c r="T1699" s="99">
        <f>SUMIF(Import!$B:$B,$A1699,Import!N:N)</f>
        <v>36955</v>
      </c>
      <c r="U1699" s="99">
        <f t="shared" si="2138"/>
        <v>2218</v>
      </c>
      <c r="V1699" s="255">
        <f t="shared" si="2139"/>
        <v>6.3851224918674676E-2</v>
      </c>
      <c r="W1699" s="102" t="s">
        <v>3019</v>
      </c>
      <c r="X1699" s="102"/>
      <c r="Y1699" s="102"/>
      <c r="Z1699" s="200"/>
      <c r="AA1699" s="615"/>
      <c r="AB1699" s="192"/>
      <c r="AC1699" s="192"/>
      <c r="AD1699" s="192"/>
      <c r="AE1699" s="192"/>
      <c r="AF1699" s="192"/>
      <c r="AG1699" s="192"/>
      <c r="AH1699" s="192"/>
      <c r="AI1699" s="192"/>
      <c r="AJ1699" s="192"/>
      <c r="AK1699" s="192"/>
      <c r="AL1699" s="192"/>
      <c r="AM1699" s="192"/>
      <c r="AN1699" s="192"/>
      <c r="AO1699" s="192"/>
      <c r="AP1699" s="192"/>
      <c r="AQ1699" s="192"/>
      <c r="AR1699" s="192"/>
      <c r="AS1699" s="192"/>
      <c r="AT1699" s="192"/>
      <c r="AU1699" s="192"/>
      <c r="AV1699" s="192"/>
      <c r="AW1699" s="192"/>
    </row>
    <row r="1700" spans="1:49" s="71" customFormat="1" ht="15" customHeight="1">
      <c r="A1700" s="555"/>
      <c r="B1700" s="217"/>
      <c r="C1700" s="217"/>
      <c r="D1700" s="101"/>
      <c r="E1700" s="217"/>
      <c r="F1700" s="294"/>
      <c r="G1700" s="295"/>
      <c r="H1700" s="107" t="str">
        <f>UPPER(G1699)&amp;" TOTAL"</f>
        <v>PERSONNEL SERVICES TOTAL</v>
      </c>
      <c r="I1700" s="108">
        <f t="shared" ref="I1700" si="2140">SUBTOTAL(9,I1691:I1699)</f>
        <v>213296.89</v>
      </c>
      <c r="J1700" s="108">
        <f t="shared" ref="J1700:P1700" si="2141">SUBTOTAL(9,J1691:J1699)</f>
        <v>213719.95</v>
      </c>
      <c r="K1700" s="108">
        <f t="shared" ref="K1700" si="2142">SUBTOTAL(9,K1691:K1699)</f>
        <v>243204.96</v>
      </c>
      <c r="L1700" s="108">
        <f t="shared" ref="L1700" si="2143">SUBTOTAL(9,L1691:L1699)</f>
        <v>296154.65000000002</v>
      </c>
      <c r="M1700" s="108">
        <f t="shared" si="2141"/>
        <v>354943</v>
      </c>
      <c r="N1700" s="108">
        <f t="shared" ref="N1700" si="2144">SUBTOTAL(9,N1691:N1699)</f>
        <v>249183.63000000003</v>
      </c>
      <c r="O1700" s="108">
        <f t="shared" si="2141"/>
        <v>339386</v>
      </c>
      <c r="P1700" s="108">
        <f t="shared" si="2141"/>
        <v>-15557</v>
      </c>
      <c r="Q1700" s="108">
        <f t="shared" ref="Q1700:T1700" si="2145">SUBTOTAL(9,Q1691:Q1699)</f>
        <v>356173</v>
      </c>
      <c r="R1700" s="108">
        <f t="shared" si="2145"/>
        <v>0</v>
      </c>
      <c r="S1700" s="108">
        <f t="shared" si="2145"/>
        <v>0</v>
      </c>
      <c r="T1700" s="108">
        <f t="shared" si="2145"/>
        <v>356173</v>
      </c>
      <c r="U1700" s="99">
        <f>T1700-M1700</f>
        <v>1230</v>
      </c>
      <c r="V1700" s="255">
        <f>IF(M1700=0,"N/A",T1700/M1700-1)</f>
        <v>3.4653451399238033E-3</v>
      </c>
      <c r="W1700" s="102"/>
      <c r="X1700" s="102"/>
      <c r="Y1700" s="102"/>
      <c r="Z1700" s="200"/>
      <c r="AA1700" s="615"/>
      <c r="AB1700" s="192"/>
      <c r="AC1700" s="192"/>
      <c r="AD1700" s="192"/>
      <c r="AE1700" s="192"/>
      <c r="AF1700" s="192"/>
      <c r="AG1700" s="192"/>
      <c r="AH1700" s="192"/>
      <c r="AI1700" s="192"/>
      <c r="AJ1700" s="192"/>
      <c r="AK1700" s="192"/>
      <c r="AL1700" s="192"/>
      <c r="AM1700" s="192"/>
      <c r="AN1700" s="192"/>
      <c r="AO1700" s="192"/>
      <c r="AP1700" s="192"/>
      <c r="AQ1700" s="192"/>
      <c r="AR1700" s="192"/>
      <c r="AS1700" s="192"/>
      <c r="AT1700" s="192"/>
      <c r="AU1700" s="192"/>
      <c r="AV1700" s="192"/>
      <c r="AW1700" s="192"/>
    </row>
    <row r="1701" spans="1:49" s="71" customFormat="1" ht="15" customHeight="1">
      <c r="A1701" s="555"/>
      <c r="B1701" s="217"/>
      <c r="C1701" s="217"/>
      <c r="D1701" s="101"/>
      <c r="E1701" s="217"/>
      <c r="F1701" s="294"/>
      <c r="G1701" s="295"/>
      <c r="H1701" s="98"/>
      <c r="I1701" s="106"/>
      <c r="J1701" s="106"/>
      <c r="K1701" s="106"/>
      <c r="L1701" s="106"/>
      <c r="M1701" s="106"/>
      <c r="N1701" s="112"/>
      <c r="O1701" s="112"/>
      <c r="P1701" s="112"/>
      <c r="Q1701" s="113"/>
      <c r="R1701" s="113"/>
      <c r="S1701" s="113"/>
      <c r="T1701" s="113"/>
      <c r="U1701" s="99"/>
      <c r="V1701" s="255"/>
      <c r="W1701" s="102"/>
      <c r="X1701" s="102"/>
      <c r="Y1701" s="102"/>
      <c r="Z1701" s="200"/>
      <c r="AA1701" s="615"/>
      <c r="AB1701" s="192"/>
      <c r="AC1701" s="192"/>
      <c r="AD1701" s="192"/>
      <c r="AE1701" s="192"/>
      <c r="AF1701" s="192"/>
      <c r="AG1701" s="192"/>
      <c r="AH1701" s="192"/>
      <c r="AI1701" s="192"/>
      <c r="AJ1701" s="192"/>
      <c r="AK1701" s="192"/>
      <c r="AL1701" s="192"/>
      <c r="AM1701" s="192"/>
      <c r="AN1701" s="192"/>
      <c r="AO1701" s="192"/>
      <c r="AP1701" s="192"/>
      <c r="AQ1701" s="192"/>
      <c r="AR1701" s="192"/>
      <c r="AS1701" s="192"/>
      <c r="AT1701" s="192"/>
      <c r="AU1701" s="192"/>
      <c r="AV1701" s="192"/>
      <c r="AW1701" s="192"/>
    </row>
    <row r="1702" spans="1:49" s="71" customFormat="1" ht="15" customHeight="1">
      <c r="A1702" s="555" t="s">
        <v>3020</v>
      </c>
      <c r="B1702" s="217" t="str">
        <f t="shared" si="2108"/>
        <v>100</v>
      </c>
      <c r="C1702" s="217" t="str">
        <f t="shared" si="2109"/>
        <v>63</v>
      </c>
      <c r="D1702" s="101" t="str">
        <f t="shared" si="2110"/>
        <v>634</v>
      </c>
      <c r="E1702" s="217" t="str">
        <f t="shared" si="2111"/>
        <v>100-63-634</v>
      </c>
      <c r="F1702" s="294" t="str">
        <f t="shared" si="2112"/>
        <v>51210</v>
      </c>
      <c r="G1702" s="295" t="str">
        <f>VLOOKUP(F1702,'GL Category'!A:C,3,FALSE)</f>
        <v>Operations &amp; maintenance</v>
      </c>
      <c r="H1702" s="98" t="str">
        <f>VLOOKUP(F1702,'GL Category'!A:C,2,FALSE)</f>
        <v>OFFICE SUPPLIES</v>
      </c>
      <c r="I1702" s="99">
        <f>SUMIF(Import!$B:$B,$A1702,Import!D:D)</f>
        <v>610.04999999999995</v>
      </c>
      <c r="J1702" s="99">
        <f>SUMIF(Import!$B:$B,$A1702,Import!E:E)</f>
        <v>947.76</v>
      </c>
      <c r="K1702" s="99">
        <f>SUMIF(Import!$B:$B,$A1702,Import!F:F)</f>
        <v>1987.3</v>
      </c>
      <c r="L1702" s="99">
        <f>SUMIF(Import!$B:$B,$A1702,Import!G:G)</f>
        <v>2164.92</v>
      </c>
      <c r="M1702" s="99">
        <f>SUMIF(Import!$B:$B,$A1702,Import!H:H)</f>
        <v>2000</v>
      </c>
      <c r="N1702" s="99">
        <f>SUMIF(Import!$B:$B,$A1702,Import!I:I)</f>
        <v>943.74</v>
      </c>
      <c r="O1702" s="99">
        <f>SUMIF(Import!$B:$B,$A1702,Import!J:J)</f>
        <v>2000</v>
      </c>
      <c r="P1702" s="99">
        <f t="shared" ref="P1702:P1711" si="2146">O1702-M1702</f>
        <v>0</v>
      </c>
      <c r="Q1702" s="99">
        <f>SUMIF(Import!$B:$B,$A1702,Import!K:K)</f>
        <v>2000</v>
      </c>
      <c r="R1702" s="99">
        <f>SUMIF(Import!$B:$B,$A1702,Import!L:L)</f>
        <v>0</v>
      </c>
      <c r="S1702" s="99">
        <f>SUMIF(Import!$B:$B,$A1702,Import!M:M)</f>
        <v>0</v>
      </c>
      <c r="T1702" s="99">
        <f>SUMIF(Import!$B:$B,$A1702,Import!N:N)</f>
        <v>2000</v>
      </c>
      <c r="U1702" s="99">
        <f t="shared" ref="U1702:U1711" si="2147">T1702-M1702</f>
        <v>0</v>
      </c>
      <c r="V1702" s="255">
        <f t="shared" ref="V1702:V1711" si="2148">IF(M1702=0,"N/A",T1702/M1702-1)</f>
        <v>0</v>
      </c>
      <c r="W1702" s="102" t="s">
        <v>3020</v>
      </c>
      <c r="X1702" s="102"/>
      <c r="Y1702" s="102"/>
      <c r="Z1702" s="200"/>
      <c r="AA1702" s="615"/>
      <c r="AB1702" s="192"/>
      <c r="AC1702" s="192"/>
      <c r="AD1702" s="192"/>
      <c r="AE1702" s="192"/>
      <c r="AF1702" s="192"/>
      <c r="AG1702" s="192"/>
      <c r="AH1702" s="192"/>
      <c r="AI1702" s="192"/>
      <c r="AJ1702" s="192"/>
      <c r="AK1702" s="192"/>
      <c r="AL1702" s="192"/>
      <c r="AM1702" s="192"/>
      <c r="AN1702" s="192"/>
      <c r="AO1702" s="192"/>
      <c r="AP1702" s="192"/>
      <c r="AQ1702" s="192"/>
      <c r="AR1702" s="192"/>
      <c r="AS1702" s="192"/>
      <c r="AT1702" s="192"/>
      <c r="AU1702" s="192"/>
      <c r="AV1702" s="192"/>
      <c r="AW1702" s="192"/>
    </row>
    <row r="1703" spans="1:49" s="71" customFormat="1" ht="15" customHeight="1">
      <c r="A1703" s="555" t="s">
        <v>3229</v>
      </c>
      <c r="B1703" s="217" t="str">
        <f t="shared" ref="B1703" si="2149">LEFT(A1703,3)</f>
        <v>100</v>
      </c>
      <c r="C1703" s="217" t="str">
        <f t="shared" ref="C1703" si="2150">MID(A1703,5,2)</f>
        <v>63</v>
      </c>
      <c r="D1703" s="101" t="str">
        <f t="shared" ref="D1703" si="2151">MID(A1703,8,3)</f>
        <v>634</v>
      </c>
      <c r="E1703" s="217" t="str">
        <f t="shared" ref="E1703" si="2152">LEFT(A1703,10)</f>
        <v>100-63-634</v>
      </c>
      <c r="F1703" s="294" t="str">
        <f t="shared" ref="F1703" si="2153">RIGHT(A1703,5)</f>
        <v>51225</v>
      </c>
      <c r="G1703" s="295" t="str">
        <f>VLOOKUP(F1703,'GL Category'!A:C,3,FALSE)</f>
        <v>Operations &amp; maintenance</v>
      </c>
      <c r="H1703" s="98" t="str">
        <f>VLOOKUP(F1703,'GL Category'!A:C,2,FALSE)</f>
        <v>JANITORIAL SUPPLIES</v>
      </c>
      <c r="I1703" s="99">
        <f>SUMIF(Import!$B:$B,$A1703,Import!D:D)</f>
        <v>0</v>
      </c>
      <c r="J1703" s="99">
        <f>SUMIF(Import!$B:$B,$A1703,Import!E:E)</f>
        <v>52</v>
      </c>
      <c r="K1703" s="99">
        <f>SUMIF(Import!$B:$B,$A1703,Import!F:F)</f>
        <v>4787.54</v>
      </c>
      <c r="L1703" s="99">
        <f>SUMIF(Import!$B:$B,$A1703,Import!G:G)</f>
        <v>4137.66</v>
      </c>
      <c r="M1703" s="99">
        <f>SUMIF(Import!$B:$B,$A1703,Import!H:H)</f>
        <v>4620</v>
      </c>
      <c r="N1703" s="99">
        <f>SUMIF(Import!$B:$B,$A1703,Import!I:I)</f>
        <v>2293.37</v>
      </c>
      <c r="O1703" s="99">
        <f>SUMIF(Import!$B:$B,$A1703,Import!J:J)</f>
        <v>4620</v>
      </c>
      <c r="P1703" s="99">
        <f t="shared" ref="P1703" si="2154">O1703-M1703</f>
        <v>0</v>
      </c>
      <c r="Q1703" s="99">
        <f>SUMIF(Import!$B:$B,$A1703,Import!K:K)</f>
        <v>4620</v>
      </c>
      <c r="R1703" s="99">
        <f>SUMIF(Import!$B:$B,$A1703,Import!L:L)</f>
        <v>0</v>
      </c>
      <c r="S1703" s="99">
        <f>SUMIF(Import!$B:$B,$A1703,Import!M:M)</f>
        <v>0</v>
      </c>
      <c r="T1703" s="99">
        <f>SUMIF(Import!$B:$B,$A1703,Import!N:N)</f>
        <v>4620</v>
      </c>
      <c r="U1703" s="99">
        <f t="shared" ref="U1703" si="2155">T1703-M1703</f>
        <v>0</v>
      </c>
      <c r="V1703" s="255">
        <f t="shared" ref="V1703" si="2156">IF(M1703=0,"N/A",T1703/M1703-1)</f>
        <v>0</v>
      </c>
      <c r="W1703" s="102" t="s">
        <v>3229</v>
      </c>
      <c r="X1703" s="102"/>
      <c r="Y1703" s="102"/>
      <c r="Z1703" s="200"/>
      <c r="AA1703" s="615"/>
      <c r="AB1703" s="192"/>
      <c r="AC1703" s="192"/>
      <c r="AD1703" s="192"/>
      <c r="AE1703" s="192"/>
      <c r="AF1703" s="192"/>
      <c r="AG1703" s="192"/>
      <c r="AH1703" s="192"/>
      <c r="AI1703" s="192"/>
      <c r="AJ1703" s="192"/>
      <c r="AK1703" s="192"/>
      <c r="AL1703" s="192"/>
      <c r="AM1703" s="192"/>
      <c r="AN1703" s="192"/>
      <c r="AO1703" s="192"/>
      <c r="AP1703" s="192"/>
      <c r="AQ1703" s="192"/>
      <c r="AR1703" s="192"/>
      <c r="AS1703" s="192"/>
      <c r="AT1703" s="192"/>
      <c r="AU1703" s="192"/>
      <c r="AV1703" s="192"/>
      <c r="AW1703" s="192"/>
    </row>
    <row r="1704" spans="1:49" s="71" customFormat="1" ht="15" customHeight="1">
      <c r="A1704" s="555" t="s">
        <v>3021</v>
      </c>
      <c r="B1704" s="217" t="str">
        <f t="shared" si="2108"/>
        <v>100</v>
      </c>
      <c r="C1704" s="217" t="str">
        <f t="shared" si="2109"/>
        <v>63</v>
      </c>
      <c r="D1704" s="101" t="str">
        <f t="shared" si="2110"/>
        <v>634</v>
      </c>
      <c r="E1704" s="217" t="str">
        <f t="shared" si="2111"/>
        <v>100-63-634</v>
      </c>
      <c r="F1704" s="294" t="str">
        <f t="shared" si="2112"/>
        <v>51245</v>
      </c>
      <c r="G1704" s="295" t="str">
        <f>VLOOKUP(F1704,'GL Category'!A:C,3,FALSE)</f>
        <v>Operations &amp; maintenance</v>
      </c>
      <c r="H1704" s="98" t="str">
        <f>VLOOKUP(F1704,'GL Category'!A:C,2,FALSE)</f>
        <v>SMALL TOOLS &amp; EQUIPMENT</v>
      </c>
      <c r="I1704" s="99">
        <f>SUMIF(Import!$B:$B,$A1704,Import!D:D)</f>
        <v>3747.32</v>
      </c>
      <c r="J1704" s="99">
        <f>SUMIF(Import!$B:$B,$A1704,Import!E:E)</f>
        <v>1888.66</v>
      </c>
      <c r="K1704" s="99">
        <f>SUMIF(Import!$B:$B,$A1704,Import!F:F)</f>
        <v>4669.83</v>
      </c>
      <c r="L1704" s="99">
        <f>SUMIF(Import!$B:$B,$A1704,Import!G:G)</f>
        <v>1854.37</v>
      </c>
      <c r="M1704" s="99">
        <f>SUMIF(Import!$B:$B,$A1704,Import!H:H)</f>
        <v>5000</v>
      </c>
      <c r="N1704" s="99">
        <f>SUMIF(Import!$B:$B,$A1704,Import!I:I)</f>
        <v>2771.01</v>
      </c>
      <c r="O1704" s="99">
        <f>SUMIF(Import!$B:$B,$A1704,Import!J:J)</f>
        <v>5000</v>
      </c>
      <c r="P1704" s="99">
        <f t="shared" si="2146"/>
        <v>0</v>
      </c>
      <c r="Q1704" s="99">
        <f>SUMIF(Import!$B:$B,$A1704,Import!K:K)</f>
        <v>5000</v>
      </c>
      <c r="R1704" s="99">
        <f>SUMIF(Import!$B:$B,$A1704,Import!L:L)</f>
        <v>0</v>
      </c>
      <c r="S1704" s="99">
        <f>SUMIF(Import!$B:$B,$A1704,Import!M:M)</f>
        <v>0</v>
      </c>
      <c r="T1704" s="99">
        <f>SUMIF(Import!$B:$B,$A1704,Import!N:N)</f>
        <v>5000</v>
      </c>
      <c r="U1704" s="99">
        <f t="shared" si="2147"/>
        <v>0</v>
      </c>
      <c r="V1704" s="255">
        <f t="shared" si="2148"/>
        <v>0</v>
      </c>
      <c r="W1704" s="102" t="s">
        <v>3021</v>
      </c>
      <c r="X1704" s="102"/>
      <c r="Y1704" s="102"/>
      <c r="Z1704" s="200"/>
      <c r="AA1704" s="615"/>
      <c r="AB1704" s="192"/>
      <c r="AC1704" s="192"/>
      <c r="AD1704" s="192"/>
      <c r="AE1704" s="192"/>
      <c r="AF1704" s="192"/>
      <c r="AG1704" s="192"/>
      <c r="AH1704" s="192"/>
      <c r="AI1704" s="192"/>
      <c r="AJ1704" s="192"/>
      <c r="AK1704" s="192"/>
      <c r="AL1704" s="192"/>
      <c r="AM1704" s="192"/>
      <c r="AN1704" s="192"/>
      <c r="AO1704" s="192"/>
      <c r="AP1704" s="192"/>
      <c r="AQ1704" s="192"/>
      <c r="AR1704" s="192"/>
      <c r="AS1704" s="192"/>
      <c r="AT1704" s="192"/>
      <c r="AU1704" s="192"/>
      <c r="AV1704" s="192"/>
      <c r="AW1704" s="192"/>
    </row>
    <row r="1705" spans="1:49" s="71" customFormat="1" ht="15" customHeight="1">
      <c r="A1705" s="555" t="s">
        <v>3022</v>
      </c>
      <c r="B1705" s="217" t="str">
        <f t="shared" si="2108"/>
        <v>100</v>
      </c>
      <c r="C1705" s="217" t="str">
        <f t="shared" si="2109"/>
        <v>63</v>
      </c>
      <c r="D1705" s="101" t="str">
        <f t="shared" si="2110"/>
        <v>634</v>
      </c>
      <c r="E1705" s="217" t="str">
        <f t="shared" si="2111"/>
        <v>100-63-634</v>
      </c>
      <c r="F1705" s="294" t="str">
        <f t="shared" si="2112"/>
        <v>51255</v>
      </c>
      <c r="G1705" s="295" t="str">
        <f>VLOOKUP(F1705,'GL Category'!A:C,3,FALSE)</f>
        <v>Operations &amp; maintenance</v>
      </c>
      <c r="H1705" s="98" t="str">
        <f>VLOOKUP(F1705,'GL Category'!A:C,2,FALSE)</f>
        <v>FUEL/OILS/LUBRICANTS</v>
      </c>
      <c r="I1705" s="99">
        <f>SUMIF(Import!$B:$B,$A1705,Import!D:D)</f>
        <v>264</v>
      </c>
      <c r="J1705" s="99">
        <f>SUMIF(Import!$B:$B,$A1705,Import!E:E)</f>
        <v>38.58</v>
      </c>
      <c r="K1705" s="99">
        <f>SUMIF(Import!$B:$B,$A1705,Import!F:F)</f>
        <v>487.03</v>
      </c>
      <c r="L1705" s="99">
        <f>SUMIF(Import!$B:$B,$A1705,Import!G:G)</f>
        <v>583.52</v>
      </c>
      <c r="M1705" s="99">
        <f>SUMIF(Import!$B:$B,$A1705,Import!H:H)</f>
        <v>600</v>
      </c>
      <c r="N1705" s="99">
        <f>SUMIF(Import!$B:$B,$A1705,Import!I:I)</f>
        <v>332.9</v>
      </c>
      <c r="O1705" s="99">
        <f>SUMIF(Import!$B:$B,$A1705,Import!J:J)</f>
        <v>600</v>
      </c>
      <c r="P1705" s="99">
        <f t="shared" si="2146"/>
        <v>0</v>
      </c>
      <c r="Q1705" s="99">
        <f>SUMIF(Import!$B:$B,$A1705,Import!K:K)</f>
        <v>600</v>
      </c>
      <c r="R1705" s="99">
        <f>SUMIF(Import!$B:$B,$A1705,Import!L:L)</f>
        <v>0</v>
      </c>
      <c r="S1705" s="99">
        <f>SUMIF(Import!$B:$B,$A1705,Import!M:M)</f>
        <v>0</v>
      </c>
      <c r="T1705" s="99">
        <f>SUMIF(Import!$B:$B,$A1705,Import!N:N)</f>
        <v>600</v>
      </c>
      <c r="U1705" s="99">
        <f t="shared" si="2147"/>
        <v>0</v>
      </c>
      <c r="V1705" s="255">
        <f t="shared" si="2148"/>
        <v>0</v>
      </c>
      <c r="W1705" s="102" t="s">
        <v>3022</v>
      </c>
      <c r="X1705" s="102"/>
      <c r="Y1705" s="102"/>
      <c r="Z1705" s="200"/>
      <c r="AA1705" s="615"/>
      <c r="AB1705" s="192"/>
      <c r="AC1705" s="192"/>
      <c r="AD1705" s="192"/>
      <c r="AE1705" s="192"/>
      <c r="AF1705" s="192"/>
      <c r="AG1705" s="192"/>
      <c r="AH1705" s="192"/>
      <c r="AI1705" s="192"/>
      <c r="AJ1705" s="192"/>
      <c r="AK1705" s="192"/>
      <c r="AL1705" s="192"/>
      <c r="AM1705" s="192"/>
      <c r="AN1705" s="192"/>
      <c r="AO1705" s="192"/>
      <c r="AP1705" s="192"/>
      <c r="AQ1705" s="192"/>
      <c r="AR1705" s="192"/>
      <c r="AS1705" s="192"/>
      <c r="AT1705" s="192"/>
      <c r="AU1705" s="192"/>
      <c r="AV1705" s="192"/>
      <c r="AW1705" s="192"/>
    </row>
    <row r="1706" spans="1:49" s="71" customFormat="1" ht="15" customHeight="1">
      <c r="A1706" s="555" t="s">
        <v>3023</v>
      </c>
      <c r="B1706" s="217" t="str">
        <f t="shared" si="2108"/>
        <v>100</v>
      </c>
      <c r="C1706" s="217" t="str">
        <f t="shared" si="2109"/>
        <v>63</v>
      </c>
      <c r="D1706" s="101" t="str">
        <f t="shared" si="2110"/>
        <v>634</v>
      </c>
      <c r="E1706" s="217" t="str">
        <f t="shared" si="2111"/>
        <v>100-63-634</v>
      </c>
      <c r="F1706" s="294" t="str">
        <f t="shared" si="2112"/>
        <v>51260</v>
      </c>
      <c r="G1706" s="295" t="str">
        <f>VLOOKUP(F1706,'GL Category'!A:C,3,FALSE)</f>
        <v>Operations &amp; maintenance</v>
      </c>
      <c r="H1706" s="98" t="str">
        <f>VLOOKUP(F1706,'GL Category'!A:C,2,FALSE)</f>
        <v>EDUCATION/RECREATION SUPPLIES</v>
      </c>
      <c r="I1706" s="99">
        <f>SUMIF(Import!$B:$B,$A1706,Import!D:D)</f>
        <v>638.72</v>
      </c>
      <c r="J1706" s="99">
        <f>SUMIF(Import!$B:$B,$A1706,Import!E:E)</f>
        <v>1811.07</v>
      </c>
      <c r="K1706" s="99">
        <f>SUMIF(Import!$B:$B,$A1706,Import!F:F)</f>
        <v>1988.35</v>
      </c>
      <c r="L1706" s="99">
        <f>SUMIF(Import!$B:$B,$A1706,Import!G:G)</f>
        <v>2032.47</v>
      </c>
      <c r="M1706" s="99">
        <f>SUMIF(Import!$B:$B,$A1706,Import!H:H)</f>
        <v>2250</v>
      </c>
      <c r="N1706" s="99">
        <f>SUMIF(Import!$B:$B,$A1706,Import!I:I)</f>
        <v>548.75</v>
      </c>
      <c r="O1706" s="99">
        <f>SUMIF(Import!$B:$B,$A1706,Import!J:J)</f>
        <v>2250</v>
      </c>
      <c r="P1706" s="99">
        <f t="shared" si="2146"/>
        <v>0</v>
      </c>
      <c r="Q1706" s="99">
        <f>SUMIF(Import!$B:$B,$A1706,Import!K:K)</f>
        <v>2250</v>
      </c>
      <c r="R1706" s="99">
        <f>SUMIF(Import!$B:$B,$A1706,Import!L:L)</f>
        <v>0</v>
      </c>
      <c r="S1706" s="99">
        <f>SUMIF(Import!$B:$B,$A1706,Import!M:M)</f>
        <v>0</v>
      </c>
      <c r="T1706" s="99">
        <f>SUMIF(Import!$B:$B,$A1706,Import!N:N)</f>
        <v>2250</v>
      </c>
      <c r="U1706" s="99">
        <f t="shared" si="2147"/>
        <v>0</v>
      </c>
      <c r="V1706" s="255">
        <f t="shared" si="2148"/>
        <v>0</v>
      </c>
      <c r="W1706" s="102" t="s">
        <v>3023</v>
      </c>
      <c r="X1706" s="102"/>
      <c r="Y1706" s="102"/>
      <c r="Z1706" s="200"/>
      <c r="AA1706" s="615"/>
      <c r="AB1706" s="192"/>
      <c r="AC1706" s="192"/>
      <c r="AD1706" s="192"/>
      <c r="AE1706" s="192"/>
      <c r="AF1706" s="192"/>
      <c r="AG1706" s="192"/>
      <c r="AH1706" s="192"/>
      <c r="AI1706" s="192"/>
      <c r="AJ1706" s="192"/>
      <c r="AK1706" s="192"/>
      <c r="AL1706" s="192"/>
      <c r="AM1706" s="192"/>
      <c r="AN1706" s="192"/>
      <c r="AO1706" s="192"/>
      <c r="AP1706" s="192"/>
      <c r="AQ1706" s="192"/>
      <c r="AR1706" s="192"/>
      <c r="AS1706" s="192"/>
      <c r="AT1706" s="192"/>
      <c r="AU1706" s="192"/>
      <c r="AV1706" s="192"/>
      <c r="AW1706" s="192"/>
    </row>
    <row r="1707" spans="1:49" s="71" customFormat="1" ht="15" customHeight="1">
      <c r="A1707" s="555" t="s">
        <v>3024</v>
      </c>
      <c r="B1707" s="217" t="str">
        <f t="shared" si="2108"/>
        <v>100</v>
      </c>
      <c r="C1707" s="217" t="str">
        <f t="shared" si="2109"/>
        <v>63</v>
      </c>
      <c r="D1707" s="101" t="str">
        <f t="shared" si="2110"/>
        <v>634</v>
      </c>
      <c r="E1707" s="217" t="str">
        <f t="shared" si="2111"/>
        <v>100-63-634</v>
      </c>
      <c r="F1707" s="294" t="str">
        <f t="shared" si="2112"/>
        <v>51285</v>
      </c>
      <c r="G1707" s="295" t="str">
        <f>VLOOKUP(F1707,'GL Category'!A:C,3,FALSE)</f>
        <v>Operations &amp; maintenance</v>
      </c>
      <c r="H1707" s="98" t="str">
        <f>VLOOKUP(F1707,'GL Category'!A:C,2,FALSE)</f>
        <v>WEARING APPAREL</v>
      </c>
      <c r="I1707" s="99">
        <f>SUMIF(Import!$B:$B,$A1707,Import!D:D)</f>
        <v>509.54</v>
      </c>
      <c r="J1707" s="99">
        <f>SUMIF(Import!$B:$B,$A1707,Import!E:E)</f>
        <v>281.52</v>
      </c>
      <c r="K1707" s="99">
        <f>SUMIF(Import!$B:$B,$A1707,Import!F:F)</f>
        <v>1000.58</v>
      </c>
      <c r="L1707" s="99">
        <f>SUMIF(Import!$B:$B,$A1707,Import!G:G)</f>
        <v>658.41</v>
      </c>
      <c r="M1707" s="99">
        <f>SUMIF(Import!$B:$B,$A1707,Import!H:H)</f>
        <v>1000</v>
      </c>
      <c r="N1707" s="99">
        <f>SUMIF(Import!$B:$B,$A1707,Import!I:I)</f>
        <v>540.75</v>
      </c>
      <c r="O1707" s="99">
        <f>SUMIF(Import!$B:$B,$A1707,Import!J:J)</f>
        <v>1000</v>
      </c>
      <c r="P1707" s="99">
        <f t="shared" si="2146"/>
        <v>0</v>
      </c>
      <c r="Q1707" s="99">
        <f>SUMIF(Import!$B:$B,$A1707,Import!K:K)</f>
        <v>1000</v>
      </c>
      <c r="R1707" s="99">
        <f>SUMIF(Import!$B:$B,$A1707,Import!L:L)</f>
        <v>0</v>
      </c>
      <c r="S1707" s="99">
        <f>SUMIF(Import!$B:$B,$A1707,Import!M:M)</f>
        <v>0</v>
      </c>
      <c r="T1707" s="99">
        <f>SUMIF(Import!$B:$B,$A1707,Import!N:N)</f>
        <v>1000</v>
      </c>
      <c r="U1707" s="99">
        <f t="shared" si="2147"/>
        <v>0</v>
      </c>
      <c r="V1707" s="255">
        <f t="shared" si="2148"/>
        <v>0</v>
      </c>
      <c r="W1707" s="102" t="s">
        <v>3024</v>
      </c>
      <c r="X1707" s="102"/>
      <c r="Y1707" s="102"/>
      <c r="Z1707" s="200"/>
      <c r="AA1707" s="615"/>
      <c r="AB1707" s="192"/>
      <c r="AC1707" s="192"/>
      <c r="AD1707" s="192"/>
      <c r="AE1707" s="192"/>
      <c r="AF1707" s="192"/>
      <c r="AG1707" s="192"/>
      <c r="AH1707" s="192"/>
      <c r="AI1707" s="192"/>
      <c r="AJ1707" s="192"/>
      <c r="AK1707" s="192"/>
      <c r="AL1707" s="192"/>
      <c r="AM1707" s="192"/>
      <c r="AN1707" s="192"/>
      <c r="AO1707" s="192"/>
      <c r="AP1707" s="192"/>
      <c r="AQ1707" s="192"/>
      <c r="AR1707" s="192"/>
      <c r="AS1707" s="192"/>
      <c r="AT1707" s="192"/>
      <c r="AU1707" s="192"/>
      <c r="AV1707" s="192"/>
      <c r="AW1707" s="192"/>
    </row>
    <row r="1708" spans="1:49" s="71" customFormat="1" ht="15" customHeight="1">
      <c r="A1708" s="555" t="s">
        <v>3025</v>
      </c>
      <c r="B1708" s="217" t="str">
        <f t="shared" si="2108"/>
        <v>100</v>
      </c>
      <c r="C1708" s="217" t="str">
        <f t="shared" si="2109"/>
        <v>63</v>
      </c>
      <c r="D1708" s="101" t="str">
        <f t="shared" si="2110"/>
        <v>634</v>
      </c>
      <c r="E1708" s="217" t="str">
        <f t="shared" si="2111"/>
        <v>100-63-634</v>
      </c>
      <c r="F1708" s="294" t="str">
        <f t="shared" si="2112"/>
        <v>51299</v>
      </c>
      <c r="G1708" s="295" t="str">
        <f>VLOOKUP(F1708,'GL Category'!A:C,3,FALSE)</f>
        <v>Operations &amp; maintenance</v>
      </c>
      <c r="H1708" s="98" t="str">
        <f>VLOOKUP(F1708,'GL Category'!A:C,2,FALSE)</f>
        <v>MISCELLANEOUS SUPPLIES</v>
      </c>
      <c r="I1708" s="99">
        <f>SUMIF(Import!$B:$B,$A1708,Import!D:D)</f>
        <v>197.86</v>
      </c>
      <c r="J1708" s="99">
        <f>SUMIF(Import!$B:$B,$A1708,Import!E:E)</f>
        <v>242.92</v>
      </c>
      <c r="K1708" s="99">
        <f>SUMIF(Import!$B:$B,$A1708,Import!F:F)</f>
        <v>486.69</v>
      </c>
      <c r="L1708" s="99">
        <f>SUMIF(Import!$B:$B,$A1708,Import!G:G)</f>
        <v>4584.1499999999996</v>
      </c>
      <c r="M1708" s="99">
        <f>SUMIF(Import!$B:$B,$A1708,Import!H:H)</f>
        <v>8500</v>
      </c>
      <c r="N1708" s="99">
        <f>SUMIF(Import!$B:$B,$A1708,Import!I:I)</f>
        <v>3970.99</v>
      </c>
      <c r="O1708" s="99">
        <f>SUMIF(Import!$B:$B,$A1708,Import!J:J)</f>
        <v>8500</v>
      </c>
      <c r="P1708" s="99">
        <f t="shared" si="2146"/>
        <v>0</v>
      </c>
      <c r="Q1708" s="99">
        <f>SUMIF(Import!$B:$B,$A1708,Import!K:K)</f>
        <v>8500</v>
      </c>
      <c r="R1708" s="99">
        <f>SUMIF(Import!$B:$B,$A1708,Import!L:L)</f>
        <v>0</v>
      </c>
      <c r="S1708" s="99">
        <f>SUMIF(Import!$B:$B,$A1708,Import!M:M)</f>
        <v>0</v>
      </c>
      <c r="T1708" s="99">
        <f>SUMIF(Import!$B:$B,$A1708,Import!N:N)</f>
        <v>8500</v>
      </c>
      <c r="U1708" s="99">
        <f t="shared" si="2147"/>
        <v>0</v>
      </c>
      <c r="V1708" s="255">
        <f t="shared" si="2148"/>
        <v>0</v>
      </c>
      <c r="W1708" s="102" t="s">
        <v>3025</v>
      </c>
      <c r="X1708" s="102"/>
      <c r="Y1708" s="102"/>
      <c r="Z1708" s="200"/>
      <c r="AA1708" s="615"/>
      <c r="AB1708" s="192"/>
      <c r="AC1708" s="192"/>
      <c r="AD1708" s="192"/>
      <c r="AE1708" s="192"/>
      <c r="AF1708" s="192"/>
      <c r="AG1708" s="192"/>
      <c r="AH1708" s="192"/>
      <c r="AI1708" s="192"/>
      <c r="AJ1708" s="192"/>
      <c r="AK1708" s="192"/>
      <c r="AL1708" s="192"/>
      <c r="AM1708" s="192"/>
      <c r="AN1708" s="192"/>
      <c r="AO1708" s="192"/>
      <c r="AP1708" s="192"/>
      <c r="AQ1708" s="192"/>
      <c r="AR1708" s="192"/>
      <c r="AS1708" s="192"/>
      <c r="AT1708" s="192"/>
      <c r="AU1708" s="192"/>
      <c r="AV1708" s="192"/>
      <c r="AW1708" s="192"/>
    </row>
    <row r="1709" spans="1:49" s="71" customFormat="1" ht="15" customHeight="1">
      <c r="A1709" s="555" t="s">
        <v>3026</v>
      </c>
      <c r="B1709" s="217" t="str">
        <f t="shared" si="2108"/>
        <v>100</v>
      </c>
      <c r="C1709" s="217" t="str">
        <f t="shared" si="2109"/>
        <v>63</v>
      </c>
      <c r="D1709" s="101" t="str">
        <f t="shared" si="2110"/>
        <v>634</v>
      </c>
      <c r="E1709" s="217" t="str">
        <f t="shared" si="2111"/>
        <v>100-63-634</v>
      </c>
      <c r="F1709" s="294" t="str">
        <f t="shared" si="2112"/>
        <v>52310</v>
      </c>
      <c r="G1709" s="295" t="str">
        <f>VLOOKUP(F1709,'GL Category'!A:C,3,FALSE)</f>
        <v>Operations &amp; maintenance</v>
      </c>
      <c r="H1709" s="98" t="str">
        <f>VLOOKUP(F1709,'GL Category'!A:C,2,FALSE)</f>
        <v>BUILDING MAINTENANCE</v>
      </c>
      <c r="I1709" s="99">
        <f>SUMIF(Import!$B:$B,$A1709,Import!D:D)</f>
        <v>4580.1400000000003</v>
      </c>
      <c r="J1709" s="99">
        <f>SUMIF(Import!$B:$B,$A1709,Import!E:E)</f>
        <v>6006.02</v>
      </c>
      <c r="K1709" s="99">
        <f>SUMIF(Import!$B:$B,$A1709,Import!F:F)</f>
        <v>6946.32</v>
      </c>
      <c r="L1709" s="99">
        <f>SUMIF(Import!$B:$B,$A1709,Import!G:G)</f>
        <v>13759.21</v>
      </c>
      <c r="M1709" s="99">
        <f>SUMIF(Import!$B:$B,$A1709,Import!H:H)</f>
        <v>16555</v>
      </c>
      <c r="N1709" s="99">
        <f>SUMIF(Import!$B:$B,$A1709,Import!I:I)</f>
        <v>10319.49</v>
      </c>
      <c r="O1709" s="99">
        <f>SUMIF(Import!$B:$B,$A1709,Import!J:J)</f>
        <v>16555</v>
      </c>
      <c r="P1709" s="99">
        <f t="shared" si="2146"/>
        <v>0</v>
      </c>
      <c r="Q1709" s="99">
        <f>SUMIF(Import!$B:$B,$A1709,Import!K:K)</f>
        <v>16555</v>
      </c>
      <c r="R1709" s="99">
        <f>SUMIF(Import!$B:$B,$A1709,Import!L:L)</f>
        <v>0</v>
      </c>
      <c r="S1709" s="99">
        <f>SUMIF(Import!$B:$B,$A1709,Import!M:M)</f>
        <v>0</v>
      </c>
      <c r="T1709" s="99">
        <f>SUMIF(Import!$B:$B,$A1709,Import!N:N)</f>
        <v>16555</v>
      </c>
      <c r="U1709" s="99">
        <f t="shared" si="2147"/>
        <v>0</v>
      </c>
      <c r="V1709" s="255">
        <f t="shared" si="2148"/>
        <v>0</v>
      </c>
      <c r="W1709" s="102" t="s">
        <v>3026</v>
      </c>
      <c r="X1709" s="102"/>
      <c r="Y1709" s="102"/>
      <c r="Z1709" s="200"/>
      <c r="AA1709" s="615"/>
      <c r="AB1709" s="192"/>
      <c r="AC1709" s="192"/>
      <c r="AD1709" s="192"/>
      <c r="AE1709" s="192"/>
      <c r="AF1709" s="309"/>
      <c r="AG1709" s="192"/>
      <c r="AH1709" s="192"/>
      <c r="AI1709" s="192"/>
      <c r="AJ1709" s="192"/>
      <c r="AK1709" s="192"/>
      <c r="AL1709" s="192"/>
      <c r="AM1709" s="192"/>
      <c r="AN1709" s="192"/>
      <c r="AO1709" s="192"/>
      <c r="AP1709" s="192"/>
      <c r="AQ1709" s="192"/>
      <c r="AR1709" s="192"/>
      <c r="AS1709" s="192"/>
      <c r="AT1709" s="192"/>
      <c r="AU1709" s="192"/>
      <c r="AV1709" s="192"/>
      <c r="AW1709" s="192"/>
    </row>
    <row r="1710" spans="1:49" s="71" customFormat="1" ht="15" customHeight="1">
      <c r="A1710" s="555" t="s">
        <v>3027</v>
      </c>
      <c r="B1710" s="217" t="str">
        <f t="shared" si="2108"/>
        <v>100</v>
      </c>
      <c r="C1710" s="217" t="str">
        <f t="shared" si="2109"/>
        <v>63</v>
      </c>
      <c r="D1710" s="101" t="str">
        <f t="shared" si="2110"/>
        <v>634</v>
      </c>
      <c r="E1710" s="217" t="str">
        <f t="shared" si="2111"/>
        <v>100-63-634</v>
      </c>
      <c r="F1710" s="294" t="str">
        <f t="shared" si="2112"/>
        <v>52470</v>
      </c>
      <c r="G1710" s="295" t="str">
        <f>VLOOKUP(F1710,'GL Category'!A:C,3,FALSE)</f>
        <v>Operations &amp; maintenance</v>
      </c>
      <c r="H1710" s="98" t="str">
        <f>VLOOKUP(F1710,'GL Category'!A:C,2,FALSE)</f>
        <v>EQUIPMENT MAINTENANCE</v>
      </c>
      <c r="I1710" s="99">
        <f>SUMIF(Import!$B:$B,$A1710,Import!D:D)</f>
        <v>0</v>
      </c>
      <c r="J1710" s="99">
        <f>SUMIF(Import!$B:$B,$A1710,Import!E:E)</f>
        <v>0</v>
      </c>
      <c r="K1710" s="99">
        <f>SUMIF(Import!$B:$B,$A1710,Import!F:F)</f>
        <v>0</v>
      </c>
      <c r="L1710" s="99">
        <f>SUMIF(Import!$B:$B,$A1710,Import!G:G)</f>
        <v>0</v>
      </c>
      <c r="M1710" s="99">
        <f>SUMIF(Import!$B:$B,$A1710,Import!H:H)</f>
        <v>0</v>
      </c>
      <c r="N1710" s="99">
        <f>SUMIF(Import!$B:$B,$A1710,Import!I:I)</f>
        <v>0</v>
      </c>
      <c r="O1710" s="99">
        <f>SUMIF(Import!$B:$B,$A1710,Import!J:J)</f>
        <v>0</v>
      </c>
      <c r="P1710" s="99">
        <f t="shared" si="2146"/>
        <v>0</v>
      </c>
      <c r="Q1710" s="99">
        <f>SUMIF(Import!$B:$B,$A1710,Import!K:K)</f>
        <v>0</v>
      </c>
      <c r="R1710" s="99">
        <f>SUMIF(Import!$B:$B,$A1710,Import!L:L)</f>
        <v>0</v>
      </c>
      <c r="S1710" s="99">
        <f>SUMIF(Import!$B:$B,$A1710,Import!M:M)</f>
        <v>0</v>
      </c>
      <c r="T1710" s="99">
        <f>SUMIF(Import!$B:$B,$A1710,Import!N:N)</f>
        <v>0</v>
      </c>
      <c r="U1710" s="99">
        <f t="shared" si="2147"/>
        <v>0</v>
      </c>
      <c r="V1710" s="255" t="str">
        <f t="shared" si="2148"/>
        <v>N/A</v>
      </c>
      <c r="W1710" s="102" t="s">
        <v>3027</v>
      </c>
      <c r="X1710" s="102"/>
      <c r="Y1710" s="102"/>
      <c r="Z1710" s="200"/>
      <c r="AA1710" s="615"/>
      <c r="AB1710" s="192"/>
      <c r="AC1710" s="192"/>
      <c r="AD1710" s="192"/>
      <c r="AE1710" s="192"/>
      <c r="AF1710" s="309"/>
      <c r="AG1710" s="192"/>
      <c r="AH1710" s="192"/>
      <c r="AI1710" s="192"/>
      <c r="AJ1710" s="192"/>
      <c r="AK1710" s="192"/>
      <c r="AL1710" s="192"/>
      <c r="AM1710" s="192"/>
      <c r="AN1710" s="192"/>
      <c r="AO1710" s="192"/>
      <c r="AP1710" s="192"/>
      <c r="AQ1710" s="192"/>
      <c r="AR1710" s="192"/>
      <c r="AS1710" s="192"/>
      <c r="AT1710" s="192"/>
      <c r="AU1710" s="192"/>
      <c r="AV1710" s="192"/>
      <c r="AW1710" s="192"/>
    </row>
    <row r="1711" spans="1:49" s="71" customFormat="1" ht="15" customHeight="1">
      <c r="A1711" s="555" t="s">
        <v>3028</v>
      </c>
      <c r="B1711" s="217" t="str">
        <f t="shared" si="2108"/>
        <v>100</v>
      </c>
      <c r="C1711" s="217" t="str">
        <f t="shared" si="2109"/>
        <v>63</v>
      </c>
      <c r="D1711" s="101" t="str">
        <f t="shared" si="2110"/>
        <v>634</v>
      </c>
      <c r="E1711" s="217" t="str">
        <f t="shared" si="2111"/>
        <v>100-63-634</v>
      </c>
      <c r="F1711" s="294" t="str">
        <f t="shared" si="2112"/>
        <v>52490</v>
      </c>
      <c r="G1711" s="295" t="str">
        <f>VLOOKUP(F1711,'GL Category'!A:C,3,FALSE)</f>
        <v>Operations &amp; maintenance</v>
      </c>
      <c r="H1711" s="98" t="str">
        <f>VLOOKUP(F1711,'GL Category'!A:C,2,FALSE)</f>
        <v>A/C &amp; HEATING MAINTENANCE</v>
      </c>
      <c r="I1711" s="99">
        <f>SUMIF(Import!$B:$B,$A1711,Import!D:D)</f>
        <v>1713.75</v>
      </c>
      <c r="J1711" s="99">
        <f>SUMIF(Import!$B:$B,$A1711,Import!E:E)</f>
        <v>1713.75</v>
      </c>
      <c r="K1711" s="99">
        <f>SUMIF(Import!$B:$B,$A1711,Import!F:F)</f>
        <v>4387.75</v>
      </c>
      <c r="L1711" s="99">
        <f>SUMIF(Import!$B:$B,$A1711,Import!G:G)</f>
        <v>7594.5</v>
      </c>
      <c r="M1711" s="99">
        <f>SUMIF(Import!$B:$B,$A1711,Import!H:H)</f>
        <v>2535</v>
      </c>
      <c r="N1711" s="99">
        <f>SUMIF(Import!$B:$B,$A1711,Import!I:I)</f>
        <v>8004.57</v>
      </c>
      <c r="O1711" s="99">
        <f>SUMIF(Import!$B:$B,$A1711,Import!J:J)</f>
        <v>10850</v>
      </c>
      <c r="P1711" s="99">
        <f t="shared" si="2146"/>
        <v>8315</v>
      </c>
      <c r="Q1711" s="99">
        <f>SUMIF(Import!$B:$B,$A1711,Import!K:K)</f>
        <v>7000</v>
      </c>
      <c r="R1711" s="99">
        <f>SUMIF(Import!$B:$B,$A1711,Import!L:L)</f>
        <v>0</v>
      </c>
      <c r="S1711" s="99">
        <f>SUMIF(Import!$B:$B,$A1711,Import!M:M)</f>
        <v>0</v>
      </c>
      <c r="T1711" s="99">
        <f>SUMIF(Import!$B:$B,$A1711,Import!N:N)</f>
        <v>7000</v>
      </c>
      <c r="U1711" s="99">
        <f t="shared" si="2147"/>
        <v>4465</v>
      </c>
      <c r="V1711" s="255">
        <f t="shared" si="2148"/>
        <v>1.7613412228796843</v>
      </c>
      <c r="W1711" s="102" t="s">
        <v>3028</v>
      </c>
      <c r="X1711" s="102"/>
      <c r="Y1711" s="102"/>
      <c r="Z1711" s="200"/>
      <c r="AA1711" s="615"/>
      <c r="AB1711" s="192"/>
      <c r="AC1711" s="192"/>
      <c r="AD1711" s="192"/>
      <c r="AE1711" s="192"/>
      <c r="AF1711" s="192"/>
      <c r="AG1711" s="192"/>
      <c r="AH1711" s="192"/>
      <c r="AI1711" s="192"/>
      <c r="AJ1711" s="192"/>
      <c r="AK1711" s="192"/>
      <c r="AL1711" s="192"/>
      <c r="AM1711" s="192"/>
      <c r="AN1711" s="192"/>
      <c r="AO1711" s="192"/>
      <c r="AP1711" s="192"/>
      <c r="AQ1711" s="192"/>
      <c r="AR1711" s="192"/>
      <c r="AS1711" s="192"/>
      <c r="AT1711" s="192"/>
      <c r="AU1711" s="192"/>
      <c r="AV1711" s="192"/>
      <c r="AW1711" s="192"/>
    </row>
    <row r="1712" spans="1:49" s="71" customFormat="1" ht="27" customHeight="1">
      <c r="A1712" s="555"/>
      <c r="B1712" s="217"/>
      <c r="C1712" s="217"/>
      <c r="D1712" s="101"/>
      <c r="E1712" s="217"/>
      <c r="F1712" s="294"/>
      <c r="G1712" s="295"/>
      <c r="H1712" s="107" t="str">
        <f>UPPER(G1711)&amp;" TOTAL"</f>
        <v>OPERATIONS &amp; MAINTENANCE TOTAL</v>
      </c>
      <c r="I1712" s="109">
        <f t="shared" ref="I1712" si="2157">SUBTOTAL(9,I1702:I1711)</f>
        <v>12261.380000000001</v>
      </c>
      <c r="J1712" s="109">
        <f t="shared" ref="J1712:T1712" si="2158">SUBTOTAL(9,J1702:J1711)</f>
        <v>12982.28</v>
      </c>
      <c r="K1712" s="109">
        <f t="shared" ref="K1712" si="2159">SUBTOTAL(9,K1702:K1711)</f>
        <v>26741.39</v>
      </c>
      <c r="L1712" s="109">
        <f t="shared" ref="L1712" si="2160">SUBTOTAL(9,L1702:L1711)</f>
        <v>37369.21</v>
      </c>
      <c r="M1712" s="109">
        <f t="shared" si="2158"/>
        <v>43060</v>
      </c>
      <c r="N1712" s="109">
        <f t="shared" ref="N1712" si="2161">SUBTOTAL(9,N1702:N1711)</f>
        <v>29725.57</v>
      </c>
      <c r="O1712" s="109">
        <f t="shared" si="2158"/>
        <v>51375</v>
      </c>
      <c r="P1712" s="109">
        <f t="shared" si="2158"/>
        <v>8315</v>
      </c>
      <c r="Q1712" s="109">
        <f t="shared" si="2158"/>
        <v>47525</v>
      </c>
      <c r="R1712" s="109">
        <f t="shared" si="2158"/>
        <v>0</v>
      </c>
      <c r="S1712" s="109">
        <f t="shared" si="2158"/>
        <v>0</v>
      </c>
      <c r="T1712" s="109">
        <f t="shared" si="2158"/>
        <v>47525</v>
      </c>
      <c r="U1712" s="99">
        <f>T1712-M1712</f>
        <v>4465</v>
      </c>
      <c r="V1712" s="255">
        <f>IF(M1712=0,"N/A",T1712/M1712-1)</f>
        <v>0.10369252206223867</v>
      </c>
      <c r="W1712" s="102"/>
      <c r="X1712" s="102"/>
      <c r="Y1712" s="102"/>
      <c r="Z1712" s="200"/>
      <c r="AA1712" s="615"/>
      <c r="AB1712" s="192"/>
      <c r="AC1712" s="192"/>
      <c r="AD1712" s="192"/>
      <c r="AE1712" s="192"/>
      <c r="AF1712" s="192"/>
      <c r="AG1712" s="192"/>
      <c r="AH1712" s="192"/>
      <c r="AI1712" s="192"/>
      <c r="AJ1712" s="192"/>
      <c r="AK1712" s="192"/>
      <c r="AL1712" s="192"/>
      <c r="AM1712" s="192"/>
      <c r="AN1712" s="192"/>
      <c r="AO1712" s="192"/>
      <c r="AP1712" s="192"/>
      <c r="AQ1712" s="192"/>
      <c r="AR1712" s="192"/>
      <c r="AS1712" s="192"/>
      <c r="AT1712" s="192"/>
      <c r="AU1712" s="192"/>
      <c r="AV1712" s="192"/>
      <c r="AW1712" s="192"/>
    </row>
    <row r="1713" spans="1:49" s="71" customFormat="1" ht="15" customHeight="1">
      <c r="A1713" s="555"/>
      <c r="B1713" s="217"/>
      <c r="C1713" s="217"/>
      <c r="D1713" s="101"/>
      <c r="E1713" s="217"/>
      <c r="F1713" s="294"/>
      <c r="G1713" s="295"/>
      <c r="H1713" s="98"/>
      <c r="I1713" s="106"/>
      <c r="J1713" s="106"/>
      <c r="K1713" s="106"/>
      <c r="L1713" s="106"/>
      <c r="M1713" s="106"/>
      <c r="N1713" s="112">
        <v>0</v>
      </c>
      <c r="O1713" s="112">
        <v>0</v>
      </c>
      <c r="P1713" s="112"/>
      <c r="Q1713" s="113"/>
      <c r="R1713" s="113"/>
      <c r="S1713" s="113"/>
      <c r="T1713" s="113"/>
      <c r="U1713" s="99"/>
      <c r="V1713" s="255"/>
      <c r="W1713" s="102"/>
      <c r="X1713" s="102"/>
      <c r="Y1713" s="102"/>
      <c r="Z1713" s="200"/>
      <c r="AA1713" s="615"/>
      <c r="AB1713" s="192"/>
      <c r="AC1713" s="192"/>
      <c r="AD1713" s="192"/>
      <c r="AE1713" s="192"/>
      <c r="AF1713" s="192"/>
      <c r="AG1713" s="192"/>
      <c r="AH1713" s="192"/>
      <c r="AI1713" s="192"/>
      <c r="AJ1713" s="192"/>
      <c r="AK1713" s="192"/>
      <c r="AL1713" s="192"/>
      <c r="AM1713" s="192"/>
      <c r="AN1713" s="192"/>
      <c r="AO1713" s="192"/>
      <c r="AP1713" s="192"/>
      <c r="AQ1713" s="192"/>
      <c r="AR1713" s="192"/>
      <c r="AS1713" s="192"/>
      <c r="AT1713" s="192"/>
      <c r="AU1713" s="192"/>
      <c r="AV1713" s="192"/>
      <c r="AW1713" s="192"/>
    </row>
    <row r="1714" spans="1:49" s="115" customFormat="1" ht="15" customHeight="1">
      <c r="A1714" s="555" t="s">
        <v>3030</v>
      </c>
      <c r="B1714" s="217" t="str">
        <f t="shared" si="2108"/>
        <v>100</v>
      </c>
      <c r="C1714" s="217" t="str">
        <f t="shared" si="2109"/>
        <v>63</v>
      </c>
      <c r="D1714" s="101" t="str">
        <f t="shared" si="2110"/>
        <v>634</v>
      </c>
      <c r="E1714" s="217" t="str">
        <f t="shared" si="2111"/>
        <v>100-63-634</v>
      </c>
      <c r="F1714" s="294" t="str">
        <f t="shared" si="2112"/>
        <v>53510</v>
      </c>
      <c r="G1714" s="295" t="str">
        <f>VLOOKUP(F1714,'GL Category'!A:C,3,FALSE)</f>
        <v>Services &amp; other</v>
      </c>
      <c r="H1714" s="98" t="str">
        <f>VLOOKUP(F1714,'GL Category'!A:C,2,FALSE)</f>
        <v>DUES &amp; SUBSCRIPTIONS</v>
      </c>
      <c r="I1714" s="99">
        <f>SUMIF(Import!$B:$B,$A1714,Import!D:D)</f>
        <v>55</v>
      </c>
      <c r="J1714" s="99">
        <f>SUMIF(Import!$B:$B,$A1714,Import!E:E)</f>
        <v>145</v>
      </c>
      <c r="K1714" s="99">
        <f>SUMIF(Import!$B:$B,$A1714,Import!F:F)</f>
        <v>200</v>
      </c>
      <c r="L1714" s="99">
        <f>SUMIF(Import!$B:$B,$A1714,Import!G:G)</f>
        <v>460.4</v>
      </c>
      <c r="M1714" s="99">
        <f>SUMIF(Import!$B:$B,$A1714,Import!H:H)</f>
        <v>410</v>
      </c>
      <c r="N1714" s="99">
        <f>SUMIF(Import!$B:$B,$A1714,Import!I:I)</f>
        <v>542</v>
      </c>
      <c r="O1714" s="99">
        <f>SUMIF(Import!$B:$B,$A1714,Import!J:J)</f>
        <v>610</v>
      </c>
      <c r="P1714" s="99">
        <f t="shared" ref="P1714:P1727" si="2162">O1714-M1714</f>
        <v>200</v>
      </c>
      <c r="Q1714" s="99">
        <f>SUMIF(Import!$B:$B,$A1714,Import!K:K)</f>
        <v>610</v>
      </c>
      <c r="R1714" s="99">
        <f>SUMIF(Import!$B:$B,$A1714,Import!L:L)</f>
        <v>0</v>
      </c>
      <c r="S1714" s="99">
        <f>SUMIF(Import!$B:$B,$A1714,Import!M:M)</f>
        <v>0</v>
      </c>
      <c r="T1714" s="99">
        <f>SUMIF(Import!$B:$B,$A1714,Import!N:N)</f>
        <v>610</v>
      </c>
      <c r="U1714" s="99">
        <f t="shared" ref="U1714:U1727" si="2163">T1714-M1714</f>
        <v>200</v>
      </c>
      <c r="V1714" s="255">
        <f t="shared" ref="V1714:V1727" si="2164">IF(M1714=0,"N/A",T1714/M1714-1)</f>
        <v>0.48780487804878048</v>
      </c>
      <c r="W1714" s="102" t="s">
        <v>3030</v>
      </c>
      <c r="X1714" s="102"/>
      <c r="Y1714" s="102"/>
      <c r="Z1714" s="192"/>
      <c r="AA1714" s="615"/>
      <c r="AB1714" s="195"/>
      <c r="AC1714" s="310"/>
      <c r="AD1714" s="310"/>
      <c r="AE1714" s="310"/>
      <c r="AF1714" s="310"/>
      <c r="AG1714" s="310"/>
      <c r="AH1714" s="88"/>
      <c r="AI1714" s="195"/>
      <c r="AJ1714" s="311"/>
      <c r="AK1714" s="311"/>
      <c r="AL1714" s="311"/>
      <c r="AM1714" s="311"/>
      <c r="AN1714" s="311"/>
      <c r="AO1714" s="311"/>
      <c r="AP1714" s="311"/>
      <c r="AQ1714" s="311"/>
      <c r="AR1714" s="192"/>
      <c r="AS1714" s="192"/>
      <c r="AT1714" s="192"/>
      <c r="AU1714" s="192"/>
      <c r="AV1714" s="192"/>
      <c r="AW1714" s="192"/>
    </row>
    <row r="1715" spans="1:49" s="115" customFormat="1" ht="15" customHeight="1">
      <c r="A1715" s="555" t="s">
        <v>3031</v>
      </c>
      <c r="B1715" s="217" t="str">
        <f t="shared" si="2108"/>
        <v>100</v>
      </c>
      <c r="C1715" s="217" t="str">
        <f t="shared" si="2109"/>
        <v>63</v>
      </c>
      <c r="D1715" s="101" t="str">
        <f t="shared" si="2110"/>
        <v>634</v>
      </c>
      <c r="E1715" s="217" t="str">
        <f t="shared" si="2111"/>
        <v>100-63-634</v>
      </c>
      <c r="F1715" s="294" t="str">
        <f t="shared" si="2112"/>
        <v>53515</v>
      </c>
      <c r="G1715" s="295" t="str">
        <f>VLOOKUP(F1715,'GL Category'!A:C,3,FALSE)</f>
        <v>Services &amp; other</v>
      </c>
      <c r="H1715" s="98" t="str">
        <f>VLOOKUP(F1715,'GL Category'!A:C,2,FALSE)</f>
        <v>TRAVEL, TRAINING &amp; EDUCATION</v>
      </c>
      <c r="I1715" s="99">
        <f>SUMIF(Import!$B:$B,$A1715,Import!D:D)</f>
        <v>3974.1</v>
      </c>
      <c r="J1715" s="99">
        <f>SUMIF(Import!$B:$B,$A1715,Import!E:E)</f>
        <v>2370.63</v>
      </c>
      <c r="K1715" s="99">
        <f>SUMIF(Import!$B:$B,$A1715,Import!F:F)</f>
        <v>2422.39</v>
      </c>
      <c r="L1715" s="99">
        <f>SUMIF(Import!$B:$B,$A1715,Import!G:G)</f>
        <v>3898.5</v>
      </c>
      <c r="M1715" s="99">
        <f>SUMIF(Import!$B:$B,$A1715,Import!H:H)</f>
        <v>5760</v>
      </c>
      <c r="N1715" s="99">
        <f>SUMIF(Import!$B:$B,$A1715,Import!I:I)</f>
        <v>5644.39</v>
      </c>
      <c r="O1715" s="99">
        <f>SUMIF(Import!$B:$B,$A1715,Import!J:J)</f>
        <v>5760</v>
      </c>
      <c r="P1715" s="99">
        <f t="shared" si="2162"/>
        <v>0</v>
      </c>
      <c r="Q1715" s="99">
        <f>SUMIF(Import!$B:$B,$A1715,Import!K:K)</f>
        <v>5560</v>
      </c>
      <c r="R1715" s="99">
        <f>SUMIF(Import!$B:$B,$A1715,Import!L:L)</f>
        <v>0</v>
      </c>
      <c r="S1715" s="99">
        <f>SUMIF(Import!$B:$B,$A1715,Import!M:M)</f>
        <v>0</v>
      </c>
      <c r="T1715" s="99">
        <f>SUMIF(Import!$B:$B,$A1715,Import!N:N)</f>
        <v>5560</v>
      </c>
      <c r="U1715" s="99">
        <f t="shared" si="2163"/>
        <v>-200</v>
      </c>
      <c r="V1715" s="255">
        <f t="shared" si="2164"/>
        <v>-3.472222222222221E-2</v>
      </c>
      <c r="W1715" s="102" t="s">
        <v>3031</v>
      </c>
      <c r="X1715" s="102"/>
      <c r="Y1715" s="102"/>
      <c r="Z1715" s="192"/>
      <c r="AA1715" s="615"/>
      <c r="AB1715" s="192"/>
      <c r="AC1715" s="312"/>
      <c r="AD1715" s="312"/>
      <c r="AE1715" s="312"/>
      <c r="AF1715" s="312"/>
      <c r="AG1715" s="312"/>
      <c r="AH1715" s="192"/>
      <c r="AI1715" s="192"/>
      <c r="AJ1715" s="194"/>
      <c r="AK1715" s="194"/>
      <c r="AL1715" s="194"/>
      <c r="AM1715" s="194"/>
      <c r="AN1715" s="194"/>
      <c r="AO1715" s="194"/>
      <c r="AP1715" s="194"/>
      <c r="AQ1715" s="194"/>
      <c r="AR1715" s="192"/>
      <c r="AS1715" s="192"/>
      <c r="AT1715" s="192"/>
      <c r="AU1715" s="192"/>
      <c r="AV1715" s="192"/>
      <c r="AW1715" s="192"/>
    </row>
    <row r="1716" spans="1:49" s="115" customFormat="1" ht="15" customHeight="1">
      <c r="A1716" s="555" t="s">
        <v>3032</v>
      </c>
      <c r="B1716" s="217" t="str">
        <f t="shared" si="2108"/>
        <v>100</v>
      </c>
      <c r="C1716" s="217" t="str">
        <f t="shared" si="2109"/>
        <v>63</v>
      </c>
      <c r="D1716" s="101" t="str">
        <f t="shared" si="2110"/>
        <v>634</v>
      </c>
      <c r="E1716" s="217" t="str">
        <f t="shared" si="2111"/>
        <v>100-63-634</v>
      </c>
      <c r="F1716" s="294" t="str">
        <f t="shared" si="2112"/>
        <v>53522</v>
      </c>
      <c r="G1716" s="295" t="str">
        <f>VLOOKUP(F1716,'GL Category'!A:C,3,FALSE)</f>
        <v>Services &amp; other</v>
      </c>
      <c r="H1716" s="98" t="str">
        <f>VLOOKUP(F1716,'GL Category'!A:C,2,FALSE)</f>
        <v>ADVERTISING &amp; RECORDING</v>
      </c>
      <c r="I1716" s="99">
        <f>SUMIF(Import!$B:$B,$A1716,Import!D:D)</f>
        <v>0</v>
      </c>
      <c r="J1716" s="99">
        <f>SUMIF(Import!$B:$B,$A1716,Import!E:E)</f>
        <v>0</v>
      </c>
      <c r="K1716" s="99">
        <f>SUMIF(Import!$B:$B,$A1716,Import!F:F)</f>
        <v>0</v>
      </c>
      <c r="L1716" s="99">
        <f>SUMIF(Import!$B:$B,$A1716,Import!G:G)</f>
        <v>0</v>
      </c>
      <c r="M1716" s="99">
        <f>SUMIF(Import!$B:$B,$A1716,Import!H:H)</f>
        <v>0</v>
      </c>
      <c r="N1716" s="99">
        <f>SUMIF(Import!$B:$B,$A1716,Import!I:I)</f>
        <v>0</v>
      </c>
      <c r="O1716" s="99">
        <f>SUMIF(Import!$B:$B,$A1716,Import!J:J)</f>
        <v>0</v>
      </c>
      <c r="P1716" s="99">
        <f t="shared" si="2162"/>
        <v>0</v>
      </c>
      <c r="Q1716" s="99">
        <f>SUMIF(Import!$B:$B,$A1716,Import!K:K)</f>
        <v>0</v>
      </c>
      <c r="R1716" s="99">
        <f>SUMIF(Import!$B:$B,$A1716,Import!L:L)</f>
        <v>0</v>
      </c>
      <c r="S1716" s="99">
        <f>SUMIF(Import!$B:$B,$A1716,Import!M:M)</f>
        <v>0</v>
      </c>
      <c r="T1716" s="99">
        <f>SUMIF(Import!$B:$B,$A1716,Import!N:N)</f>
        <v>0</v>
      </c>
      <c r="U1716" s="99">
        <f t="shared" si="2163"/>
        <v>0</v>
      </c>
      <c r="V1716" s="255" t="str">
        <f t="shared" si="2164"/>
        <v>N/A</v>
      </c>
      <c r="W1716" s="102" t="s">
        <v>3032</v>
      </c>
      <c r="X1716" s="102"/>
      <c r="Y1716" s="102"/>
      <c r="Z1716" s="192"/>
      <c r="AA1716" s="615"/>
      <c r="AB1716" s="192"/>
      <c r="AC1716" s="312"/>
      <c r="AD1716" s="312"/>
      <c r="AE1716" s="312"/>
      <c r="AF1716" s="312"/>
      <c r="AG1716" s="312"/>
      <c r="AH1716" s="192"/>
      <c r="AI1716" s="192"/>
      <c r="AJ1716" s="194"/>
      <c r="AK1716" s="194"/>
      <c r="AL1716" s="194"/>
      <c r="AM1716" s="194"/>
      <c r="AN1716" s="194"/>
      <c r="AO1716" s="194"/>
      <c r="AP1716" s="194"/>
      <c r="AQ1716" s="194"/>
      <c r="AR1716" s="192"/>
      <c r="AS1716" s="192"/>
      <c r="AT1716" s="192"/>
      <c r="AU1716" s="192"/>
      <c r="AV1716" s="192"/>
      <c r="AW1716" s="192"/>
    </row>
    <row r="1717" spans="1:49" s="115" customFormat="1" ht="15" customHeight="1">
      <c r="A1717" s="555" t="s">
        <v>3033</v>
      </c>
      <c r="B1717" s="217" t="str">
        <f t="shared" si="2108"/>
        <v>100</v>
      </c>
      <c r="C1717" s="217" t="str">
        <f t="shared" si="2109"/>
        <v>63</v>
      </c>
      <c r="D1717" s="101" t="str">
        <f t="shared" si="2110"/>
        <v>634</v>
      </c>
      <c r="E1717" s="217" t="str">
        <f t="shared" si="2111"/>
        <v>100-63-634</v>
      </c>
      <c r="F1717" s="294" t="str">
        <f t="shared" si="2112"/>
        <v>53524</v>
      </c>
      <c r="G1717" s="295" t="str">
        <f>VLOOKUP(F1717,'GL Category'!A:C,3,FALSE)</f>
        <v>Services &amp; other</v>
      </c>
      <c r="H1717" s="98" t="str">
        <f>VLOOKUP(F1717,'GL Category'!A:C,2,FALSE)</f>
        <v>EQUIPMENT RENTAL</v>
      </c>
      <c r="I1717" s="99">
        <f>SUMIF(Import!$B:$B,$A1717,Import!D:D)</f>
        <v>864.14</v>
      </c>
      <c r="J1717" s="99">
        <f>SUMIF(Import!$B:$B,$A1717,Import!E:E)</f>
        <v>900</v>
      </c>
      <c r="K1717" s="99">
        <f>SUMIF(Import!$B:$B,$A1717,Import!F:F)</f>
        <v>1000</v>
      </c>
      <c r="L1717" s="99">
        <f>SUMIF(Import!$B:$B,$A1717,Import!G:G)</f>
        <v>80</v>
      </c>
      <c r="M1717" s="99">
        <f>SUMIF(Import!$B:$B,$A1717,Import!H:H)</f>
        <v>1000</v>
      </c>
      <c r="N1717" s="99">
        <f>SUMIF(Import!$B:$B,$A1717,Import!I:I)</f>
        <v>80</v>
      </c>
      <c r="O1717" s="99">
        <f>SUMIF(Import!$B:$B,$A1717,Import!J:J)</f>
        <v>1000</v>
      </c>
      <c r="P1717" s="99">
        <f t="shared" si="2162"/>
        <v>0</v>
      </c>
      <c r="Q1717" s="99">
        <f>SUMIF(Import!$B:$B,$A1717,Import!K:K)</f>
        <v>1000</v>
      </c>
      <c r="R1717" s="99">
        <f>SUMIF(Import!$B:$B,$A1717,Import!L:L)</f>
        <v>0</v>
      </c>
      <c r="S1717" s="99">
        <f>SUMIF(Import!$B:$B,$A1717,Import!M:M)</f>
        <v>0</v>
      </c>
      <c r="T1717" s="99">
        <f>SUMIF(Import!$B:$B,$A1717,Import!N:N)</f>
        <v>1000</v>
      </c>
      <c r="U1717" s="99">
        <f t="shared" si="2163"/>
        <v>0</v>
      </c>
      <c r="V1717" s="255">
        <f t="shared" si="2164"/>
        <v>0</v>
      </c>
      <c r="W1717" s="102" t="s">
        <v>3033</v>
      </c>
      <c r="X1717" s="102"/>
      <c r="Y1717" s="102"/>
      <c r="Z1717" s="192"/>
      <c r="AA1717" s="615"/>
      <c r="AB1717" s="192"/>
      <c r="AC1717" s="312"/>
      <c r="AD1717" s="312"/>
      <c r="AE1717" s="312"/>
      <c r="AF1717" s="312"/>
      <c r="AG1717" s="312"/>
      <c r="AH1717" s="192"/>
      <c r="AI1717" s="192"/>
      <c r="AJ1717" s="194"/>
      <c r="AK1717" s="194"/>
      <c r="AL1717" s="194"/>
      <c r="AM1717" s="194"/>
      <c r="AN1717" s="194"/>
      <c r="AO1717" s="194"/>
      <c r="AP1717" s="194"/>
      <c r="AQ1717" s="194"/>
      <c r="AR1717" s="192"/>
      <c r="AS1717" s="192"/>
      <c r="AT1717" s="192"/>
      <c r="AU1717" s="192"/>
      <c r="AV1717" s="192"/>
      <c r="AW1717" s="192"/>
    </row>
    <row r="1718" spans="1:49" s="115" customFormat="1" ht="15" customHeight="1">
      <c r="A1718" s="555" t="s">
        <v>3133</v>
      </c>
      <c r="B1718" s="217" t="str">
        <f t="shared" ref="B1718" si="2165">LEFT(A1718,3)</f>
        <v>100</v>
      </c>
      <c r="C1718" s="217" t="str">
        <f t="shared" ref="C1718" si="2166">MID(A1718,5,2)</f>
        <v>63</v>
      </c>
      <c r="D1718" s="101" t="str">
        <f t="shared" ref="D1718" si="2167">MID(A1718,8,3)</f>
        <v>634</v>
      </c>
      <c r="E1718" s="217" t="str">
        <f t="shared" ref="E1718" si="2168">LEFT(A1718,10)</f>
        <v>100-63-634</v>
      </c>
      <c r="F1718" s="294" t="str">
        <f t="shared" ref="F1718" si="2169">RIGHT(A1718,5)</f>
        <v>53529</v>
      </c>
      <c r="G1718" s="295" t="str">
        <f>VLOOKUP(F1718,'GL Category'!A:C,3,FALSE)</f>
        <v>Services &amp; other</v>
      </c>
      <c r="H1718" s="98" t="str">
        <f>VLOOKUP(F1718,'GL Category'!A:C,2,FALSE)</f>
        <v>JANITORIAL SERVICES</v>
      </c>
      <c r="I1718" s="99">
        <f>SUMIF(Import!$B:$B,$A1718,Import!D:D)</f>
        <v>0</v>
      </c>
      <c r="J1718" s="99">
        <f>SUMIF(Import!$B:$B,$A1718,Import!E:E)</f>
        <v>7426.87</v>
      </c>
      <c r="K1718" s="99">
        <f>SUMIF(Import!$B:$B,$A1718,Import!F:F)</f>
        <v>39630</v>
      </c>
      <c r="L1718" s="99">
        <f>SUMIF(Import!$B:$B,$A1718,Import!G:G)</f>
        <v>48663.63</v>
      </c>
      <c r="M1718" s="99">
        <f>SUMIF(Import!$B:$B,$A1718,Import!H:H)</f>
        <v>48000</v>
      </c>
      <c r="N1718" s="99">
        <f>SUMIF(Import!$B:$B,$A1718,Import!I:I)</f>
        <v>37275</v>
      </c>
      <c r="O1718" s="99">
        <f>SUMIF(Import!$B:$B,$A1718,Import!J:J)</f>
        <v>48000</v>
      </c>
      <c r="P1718" s="99">
        <f t="shared" ref="P1718" si="2170">O1718-M1718</f>
        <v>0</v>
      </c>
      <c r="Q1718" s="99">
        <f>SUMIF(Import!$B:$B,$A1718,Import!K:K)</f>
        <v>48000</v>
      </c>
      <c r="R1718" s="99">
        <f>SUMIF(Import!$B:$B,$A1718,Import!L:L)</f>
        <v>0</v>
      </c>
      <c r="S1718" s="99">
        <f>SUMIF(Import!$B:$B,$A1718,Import!M:M)</f>
        <v>0</v>
      </c>
      <c r="T1718" s="99">
        <f>SUMIF(Import!$B:$B,$A1718,Import!N:N)</f>
        <v>48000</v>
      </c>
      <c r="U1718" s="99">
        <f t="shared" ref="U1718" si="2171">T1718-M1718</f>
        <v>0</v>
      </c>
      <c r="V1718" s="255">
        <f t="shared" ref="V1718" si="2172">IF(M1718=0,"N/A",T1718/M1718-1)</f>
        <v>0</v>
      </c>
      <c r="W1718" s="102" t="s">
        <v>3033</v>
      </c>
      <c r="X1718" s="102"/>
      <c r="Y1718" s="102"/>
      <c r="Z1718" s="192"/>
      <c r="AA1718" s="615"/>
      <c r="AB1718" s="192"/>
      <c r="AC1718" s="312"/>
      <c r="AD1718" s="312"/>
      <c r="AE1718" s="312"/>
      <c r="AF1718" s="312"/>
      <c r="AG1718" s="312"/>
      <c r="AH1718" s="192"/>
      <c r="AI1718" s="192"/>
      <c r="AJ1718" s="194"/>
      <c r="AK1718" s="194"/>
      <c r="AL1718" s="194"/>
      <c r="AM1718" s="194"/>
      <c r="AN1718" s="194"/>
      <c r="AO1718" s="194"/>
      <c r="AP1718" s="194"/>
      <c r="AQ1718" s="194"/>
      <c r="AR1718" s="192"/>
      <c r="AS1718" s="192"/>
      <c r="AT1718" s="192"/>
      <c r="AU1718" s="192"/>
      <c r="AV1718" s="192"/>
      <c r="AW1718" s="192"/>
    </row>
    <row r="1719" spans="1:49" s="115" customFormat="1" ht="15" customHeight="1">
      <c r="A1719" s="555" t="s">
        <v>3034</v>
      </c>
      <c r="B1719" s="217" t="str">
        <f t="shared" si="2108"/>
        <v>100</v>
      </c>
      <c r="C1719" s="217" t="str">
        <f t="shared" si="2109"/>
        <v>63</v>
      </c>
      <c r="D1719" s="101" t="str">
        <f t="shared" si="2110"/>
        <v>634</v>
      </c>
      <c r="E1719" s="217" t="str">
        <f t="shared" si="2111"/>
        <v>100-63-634</v>
      </c>
      <c r="F1719" s="294" t="str">
        <f t="shared" si="2112"/>
        <v>53534</v>
      </c>
      <c r="G1719" s="295" t="str">
        <f>VLOOKUP(F1719,'GL Category'!A:C,3,FALSE)</f>
        <v>Services &amp; other</v>
      </c>
      <c r="H1719" s="98" t="str">
        <f>VLOOKUP(F1719,'GL Category'!A:C,2,FALSE)</f>
        <v>MARKETING &amp; PROMOTIONAL</v>
      </c>
      <c r="I1719" s="99">
        <f>SUMIF(Import!$B:$B,$A1719,Import!D:D)</f>
        <v>166.18</v>
      </c>
      <c r="J1719" s="99">
        <f>SUMIF(Import!$B:$B,$A1719,Import!E:E)</f>
        <v>50</v>
      </c>
      <c r="K1719" s="99">
        <f>SUMIF(Import!$B:$B,$A1719,Import!F:F)</f>
        <v>89.69</v>
      </c>
      <c r="L1719" s="99">
        <f>SUMIF(Import!$B:$B,$A1719,Import!G:G)</f>
        <v>335</v>
      </c>
      <c r="M1719" s="99">
        <f>SUMIF(Import!$B:$B,$A1719,Import!H:H)</f>
        <v>1000</v>
      </c>
      <c r="N1719" s="99">
        <f>SUMIF(Import!$B:$B,$A1719,Import!I:I)</f>
        <v>544.94000000000005</v>
      </c>
      <c r="O1719" s="99">
        <f>SUMIF(Import!$B:$B,$A1719,Import!J:J)</f>
        <v>1000</v>
      </c>
      <c r="P1719" s="99">
        <f t="shared" si="2162"/>
        <v>0</v>
      </c>
      <c r="Q1719" s="99">
        <f>SUMIF(Import!$B:$B,$A1719,Import!K:K)</f>
        <v>1000</v>
      </c>
      <c r="R1719" s="99">
        <f>SUMIF(Import!$B:$B,$A1719,Import!L:L)</f>
        <v>0</v>
      </c>
      <c r="S1719" s="99">
        <f>SUMIF(Import!$B:$B,$A1719,Import!M:M)</f>
        <v>0</v>
      </c>
      <c r="T1719" s="99">
        <f>SUMIF(Import!$B:$B,$A1719,Import!N:N)</f>
        <v>1000</v>
      </c>
      <c r="U1719" s="99">
        <f t="shared" si="2163"/>
        <v>0</v>
      </c>
      <c r="V1719" s="255">
        <f t="shared" si="2164"/>
        <v>0</v>
      </c>
      <c r="W1719" s="102" t="s">
        <v>3034</v>
      </c>
      <c r="X1719" s="102"/>
      <c r="Y1719" s="102"/>
      <c r="Z1719" s="192"/>
      <c r="AA1719" s="615"/>
      <c r="AB1719" s="192"/>
      <c r="AC1719" s="312"/>
      <c r="AD1719" s="312"/>
      <c r="AE1719" s="312"/>
      <c r="AF1719" s="312"/>
      <c r="AG1719" s="312"/>
      <c r="AH1719" s="192"/>
      <c r="AI1719" s="192"/>
      <c r="AJ1719" s="194"/>
      <c r="AK1719" s="194"/>
      <c r="AL1719" s="194"/>
      <c r="AM1719" s="194"/>
      <c r="AN1719" s="194"/>
      <c r="AO1719" s="194"/>
      <c r="AP1719" s="194"/>
      <c r="AQ1719" s="194"/>
      <c r="AR1719" s="192"/>
      <c r="AS1719" s="192"/>
      <c r="AT1719" s="192"/>
      <c r="AU1719" s="192"/>
      <c r="AV1719" s="192"/>
      <c r="AW1719" s="192"/>
    </row>
    <row r="1720" spans="1:49" s="115" customFormat="1" ht="15" customHeight="1">
      <c r="A1720" s="555" t="s">
        <v>3035</v>
      </c>
      <c r="B1720" s="217" t="str">
        <f t="shared" si="2108"/>
        <v>100</v>
      </c>
      <c r="C1720" s="217" t="str">
        <f t="shared" si="2109"/>
        <v>63</v>
      </c>
      <c r="D1720" s="101" t="str">
        <f t="shared" si="2110"/>
        <v>634</v>
      </c>
      <c r="E1720" s="217" t="str">
        <f t="shared" si="2111"/>
        <v>100-63-634</v>
      </c>
      <c r="F1720" s="294" t="str">
        <f t="shared" si="2112"/>
        <v>53535</v>
      </c>
      <c r="G1720" s="295" t="str">
        <f>VLOOKUP(F1720,'GL Category'!A:C,3,FALSE)</f>
        <v>Services &amp; other</v>
      </c>
      <c r="H1720" s="98" t="str">
        <f>VLOOKUP(F1720,'GL Category'!A:C,2,FALSE)</f>
        <v>RECREATION &amp; CULTURE PROGRAMS</v>
      </c>
      <c r="I1720" s="99">
        <f>SUMIF(Import!$B:$B,$A1720,Import!D:D)</f>
        <v>1253.74</v>
      </c>
      <c r="J1720" s="99">
        <f>SUMIF(Import!$B:$B,$A1720,Import!E:E)</f>
        <v>1608.75</v>
      </c>
      <c r="K1720" s="99">
        <f>SUMIF(Import!$B:$B,$A1720,Import!F:F)</f>
        <v>10324.049999999999</v>
      </c>
      <c r="L1720" s="99">
        <f>SUMIF(Import!$B:$B,$A1720,Import!G:G)</f>
        <v>9613.0400000000009</v>
      </c>
      <c r="M1720" s="99">
        <f>SUMIF(Import!$B:$B,$A1720,Import!H:H)</f>
        <v>11700</v>
      </c>
      <c r="N1720" s="99">
        <f>SUMIF(Import!$B:$B,$A1720,Import!I:I)</f>
        <v>4956.47</v>
      </c>
      <c r="O1720" s="99">
        <f>SUMIF(Import!$B:$B,$A1720,Import!J:J)</f>
        <v>10420</v>
      </c>
      <c r="P1720" s="99">
        <f t="shared" si="2162"/>
        <v>-1280</v>
      </c>
      <c r="Q1720" s="99">
        <f>SUMIF(Import!$B:$B,$A1720,Import!K:K)</f>
        <v>10736</v>
      </c>
      <c r="R1720" s="99">
        <f>SUMIF(Import!$B:$B,$A1720,Import!L:L)</f>
        <v>0</v>
      </c>
      <c r="S1720" s="99">
        <f>SUMIF(Import!$B:$B,$A1720,Import!M:M)</f>
        <v>0</v>
      </c>
      <c r="T1720" s="99">
        <f>SUMIF(Import!$B:$B,$A1720,Import!N:N)</f>
        <v>10736</v>
      </c>
      <c r="U1720" s="99">
        <f t="shared" si="2163"/>
        <v>-964</v>
      </c>
      <c r="V1720" s="255">
        <f t="shared" si="2164"/>
        <v>-8.2393162393162411E-2</v>
      </c>
      <c r="W1720" s="102" t="s">
        <v>3035</v>
      </c>
      <c r="X1720" s="102"/>
      <c r="Y1720" s="102"/>
      <c r="Z1720" s="192"/>
      <c r="AA1720" s="615"/>
      <c r="AB1720" s="192"/>
      <c r="AC1720" s="312"/>
      <c r="AD1720" s="312"/>
      <c r="AE1720" s="312"/>
      <c r="AF1720" s="312"/>
      <c r="AG1720" s="312"/>
      <c r="AH1720" s="192"/>
      <c r="AI1720" s="192"/>
      <c r="AJ1720" s="194"/>
      <c r="AK1720" s="194"/>
      <c r="AL1720" s="194"/>
      <c r="AM1720" s="194"/>
      <c r="AN1720" s="194"/>
      <c r="AO1720" s="194"/>
      <c r="AP1720" s="194"/>
      <c r="AQ1720" s="194"/>
      <c r="AR1720" s="192"/>
      <c r="AS1720" s="192"/>
      <c r="AT1720" s="192"/>
      <c r="AU1720" s="192"/>
      <c r="AV1720" s="192"/>
      <c r="AW1720" s="192"/>
    </row>
    <row r="1721" spans="1:49" s="115" customFormat="1" ht="15" customHeight="1">
      <c r="A1721" s="555" t="s">
        <v>3036</v>
      </c>
      <c r="B1721" s="217" t="str">
        <f t="shared" si="2108"/>
        <v>100</v>
      </c>
      <c r="C1721" s="217" t="str">
        <f t="shared" si="2109"/>
        <v>63</v>
      </c>
      <c r="D1721" s="101" t="str">
        <f t="shared" si="2110"/>
        <v>634</v>
      </c>
      <c r="E1721" s="217" t="str">
        <f t="shared" si="2111"/>
        <v>100-63-634</v>
      </c>
      <c r="F1721" s="294" t="str">
        <f t="shared" si="2112"/>
        <v>53540</v>
      </c>
      <c r="G1721" s="295" t="str">
        <f>VLOOKUP(F1721,'GL Category'!A:C,3,FALSE)</f>
        <v>Services &amp; other</v>
      </c>
      <c r="H1721" s="98" t="str">
        <f>VLOOKUP(F1721,'GL Category'!A:C,2,FALSE)</f>
        <v>PRINTING &amp; BINDING SERVICES</v>
      </c>
      <c r="I1721" s="99">
        <f>SUMIF(Import!$B:$B,$A1721,Import!D:D)</f>
        <v>5551.49</v>
      </c>
      <c r="J1721" s="99">
        <f>SUMIF(Import!$B:$B,$A1721,Import!E:E)</f>
        <v>4326.6099999999997</v>
      </c>
      <c r="K1721" s="99">
        <f>SUMIF(Import!$B:$B,$A1721,Import!F:F)</f>
        <v>9986.56</v>
      </c>
      <c r="L1721" s="99">
        <f>SUMIF(Import!$B:$B,$A1721,Import!G:G)</f>
        <v>12304</v>
      </c>
      <c r="M1721" s="99">
        <f>SUMIF(Import!$B:$B,$A1721,Import!H:H)</f>
        <v>11320</v>
      </c>
      <c r="N1721" s="99">
        <f>SUMIF(Import!$B:$B,$A1721,Import!I:I)</f>
        <v>11863.26</v>
      </c>
      <c r="O1721" s="99">
        <f>SUMIF(Import!$B:$B,$A1721,Import!J:J)</f>
        <v>12284</v>
      </c>
      <c r="P1721" s="99">
        <f t="shared" si="2162"/>
        <v>964</v>
      </c>
      <c r="Q1721" s="99">
        <f>SUMIF(Import!$B:$B,$A1721,Import!K:K)</f>
        <v>12284</v>
      </c>
      <c r="R1721" s="99">
        <f>SUMIF(Import!$B:$B,$A1721,Import!L:L)</f>
        <v>0</v>
      </c>
      <c r="S1721" s="99">
        <f>SUMIF(Import!$B:$B,$A1721,Import!M:M)</f>
        <v>0</v>
      </c>
      <c r="T1721" s="99">
        <f>SUMIF(Import!$B:$B,$A1721,Import!N:N)</f>
        <v>12284</v>
      </c>
      <c r="U1721" s="99">
        <f t="shared" si="2163"/>
        <v>964</v>
      </c>
      <c r="V1721" s="255">
        <f t="shared" si="2164"/>
        <v>8.5159010600706742E-2</v>
      </c>
      <c r="W1721" s="102" t="s">
        <v>3036</v>
      </c>
      <c r="X1721" s="102"/>
      <c r="Y1721" s="102"/>
      <c r="Z1721" s="192"/>
      <c r="AA1721" s="615"/>
      <c r="AB1721" s="192"/>
      <c r="AC1721" s="312"/>
      <c r="AD1721" s="312"/>
      <c r="AE1721" s="312"/>
      <c r="AF1721" s="312"/>
      <c r="AG1721" s="312"/>
      <c r="AH1721" s="192"/>
      <c r="AI1721" s="192"/>
      <c r="AJ1721" s="194"/>
      <c r="AK1721" s="194"/>
      <c r="AL1721" s="194"/>
      <c r="AM1721" s="194"/>
      <c r="AN1721" s="194"/>
      <c r="AO1721" s="194"/>
      <c r="AP1721" s="194"/>
      <c r="AQ1721" s="194"/>
      <c r="AR1721" s="192"/>
      <c r="AS1721" s="192"/>
      <c r="AT1721" s="192"/>
      <c r="AU1721" s="192"/>
      <c r="AV1721" s="192"/>
      <c r="AW1721" s="192"/>
    </row>
    <row r="1722" spans="1:49" s="115" customFormat="1" ht="15" customHeight="1">
      <c r="A1722" s="555" t="s">
        <v>3029</v>
      </c>
      <c r="B1722" s="217" t="str">
        <f t="shared" si="2108"/>
        <v>100</v>
      </c>
      <c r="C1722" s="217" t="str">
        <f t="shared" si="2109"/>
        <v>63</v>
      </c>
      <c r="D1722" s="101" t="str">
        <f t="shared" si="2110"/>
        <v>634</v>
      </c>
      <c r="E1722" s="217" t="str">
        <f t="shared" si="2111"/>
        <v>100-63-634</v>
      </c>
      <c r="F1722" s="294" t="str">
        <f t="shared" si="2112"/>
        <v>53599</v>
      </c>
      <c r="G1722" s="295" t="str">
        <f>VLOOKUP(F1722,'GL Category'!A:C,3,FALSE)</f>
        <v>Services &amp; other</v>
      </c>
      <c r="H1722" s="98" t="str">
        <f>VLOOKUP(F1722,'GL Category'!A:C,2,FALSE)</f>
        <v>MISCELLANEOUS SERVICES</v>
      </c>
      <c r="I1722" s="99">
        <f>SUMIF(Import!$B:$B,$A1722,Import!D:D)</f>
        <v>0</v>
      </c>
      <c r="J1722" s="99">
        <f>SUMIF(Import!$B:$B,$A1722,Import!E:E)</f>
        <v>0</v>
      </c>
      <c r="K1722" s="99">
        <f>SUMIF(Import!$B:$B,$A1722,Import!F:F)</f>
        <v>0</v>
      </c>
      <c r="L1722" s="99">
        <f>SUMIF(Import!$B:$B,$A1722,Import!G:G)</f>
        <v>0</v>
      </c>
      <c r="M1722" s="99">
        <f>SUMIF(Import!$B:$B,$A1722,Import!H:H)</f>
        <v>0</v>
      </c>
      <c r="N1722" s="99">
        <f>SUMIF(Import!$B:$B,$A1722,Import!I:I)</f>
        <v>0</v>
      </c>
      <c r="O1722" s="99">
        <f>SUMIF(Import!$B:$B,$A1722,Import!J:J)</f>
        <v>0</v>
      </c>
      <c r="P1722" s="99">
        <f t="shared" si="2162"/>
        <v>0</v>
      </c>
      <c r="Q1722" s="99">
        <f>SUMIF(Import!$B:$B,$A1722,Import!K:K)</f>
        <v>0</v>
      </c>
      <c r="R1722" s="99">
        <f>SUMIF(Import!$B:$B,$A1722,Import!L:L)</f>
        <v>0</v>
      </c>
      <c r="S1722" s="99">
        <f>SUMIF(Import!$B:$B,$A1722,Import!M:M)</f>
        <v>0</v>
      </c>
      <c r="T1722" s="99">
        <f>SUMIF(Import!$B:$B,$A1722,Import!N:N)</f>
        <v>0</v>
      </c>
      <c r="U1722" s="99">
        <f t="shared" si="2163"/>
        <v>0</v>
      </c>
      <c r="V1722" s="255" t="str">
        <f t="shared" si="2164"/>
        <v>N/A</v>
      </c>
      <c r="W1722" s="102" t="s">
        <v>3029</v>
      </c>
      <c r="X1722" s="102"/>
      <c r="Y1722" s="102"/>
      <c r="Z1722" s="192"/>
      <c r="AA1722" s="615"/>
      <c r="AB1722" s="192"/>
      <c r="AC1722" s="199"/>
      <c r="AD1722" s="199"/>
      <c r="AE1722" s="199"/>
      <c r="AF1722" s="199"/>
      <c r="AG1722" s="199"/>
      <c r="AH1722" s="192"/>
      <c r="AI1722" s="192"/>
      <c r="AJ1722" s="199"/>
      <c r="AK1722" s="199"/>
      <c r="AL1722" s="199"/>
      <c r="AM1722" s="199"/>
      <c r="AN1722" s="199"/>
      <c r="AO1722" s="199"/>
      <c r="AP1722" s="199"/>
      <c r="AQ1722" s="199"/>
      <c r="AR1722" s="192"/>
      <c r="AS1722" s="192"/>
      <c r="AT1722" s="192"/>
      <c r="AU1722" s="192"/>
      <c r="AV1722" s="192"/>
      <c r="AW1722" s="192"/>
    </row>
    <row r="1723" spans="1:49" s="115" customFormat="1" ht="15" customHeight="1">
      <c r="A1723" s="555" t="s">
        <v>3037</v>
      </c>
      <c r="B1723" s="217" t="str">
        <f t="shared" si="2108"/>
        <v>100</v>
      </c>
      <c r="C1723" s="217" t="str">
        <f t="shared" si="2109"/>
        <v>63</v>
      </c>
      <c r="D1723" s="101" t="str">
        <f t="shared" si="2110"/>
        <v>634</v>
      </c>
      <c r="E1723" s="217" t="str">
        <f t="shared" si="2111"/>
        <v>100-63-634</v>
      </c>
      <c r="F1723" s="294" t="str">
        <f t="shared" si="2112"/>
        <v>53571</v>
      </c>
      <c r="G1723" s="295" t="str">
        <f>VLOOKUP(F1723,'GL Category'!A:C,3,FALSE)</f>
        <v>Services &amp; other</v>
      </c>
      <c r="H1723" s="98" t="str">
        <f>VLOOKUP(F1723,'GL Category'!A:C,2,FALSE)</f>
        <v>NATURAL GAS UTILITY SERVICE</v>
      </c>
      <c r="I1723" s="99">
        <f>SUMIF(Import!$B:$B,$A1723,Import!D:D)</f>
        <v>854.67</v>
      </c>
      <c r="J1723" s="99">
        <f>SUMIF(Import!$B:$B,$A1723,Import!E:E)</f>
        <v>1163.92</v>
      </c>
      <c r="K1723" s="99">
        <f>SUMIF(Import!$B:$B,$A1723,Import!F:F)</f>
        <v>841.04</v>
      </c>
      <c r="L1723" s="99">
        <f>SUMIF(Import!$B:$B,$A1723,Import!G:G)</f>
        <v>0</v>
      </c>
      <c r="M1723" s="99">
        <f>SUMIF(Import!$B:$B,$A1723,Import!H:H)</f>
        <v>0</v>
      </c>
      <c r="N1723" s="99">
        <f>SUMIF(Import!$B:$B,$A1723,Import!I:I)</f>
        <v>0</v>
      </c>
      <c r="O1723" s="99">
        <f>SUMIF(Import!$B:$B,$A1723,Import!J:J)</f>
        <v>0</v>
      </c>
      <c r="P1723" s="99">
        <f t="shared" si="2162"/>
        <v>0</v>
      </c>
      <c r="Q1723" s="99">
        <f>SUMIF(Import!$B:$B,$A1723,Import!K:K)</f>
        <v>0</v>
      </c>
      <c r="R1723" s="99">
        <f>SUMIF(Import!$B:$B,$A1723,Import!L:L)</f>
        <v>0</v>
      </c>
      <c r="S1723" s="99">
        <f>SUMIF(Import!$B:$B,$A1723,Import!M:M)</f>
        <v>0</v>
      </c>
      <c r="T1723" s="99">
        <f>SUMIF(Import!$B:$B,$A1723,Import!N:N)</f>
        <v>0</v>
      </c>
      <c r="U1723" s="99">
        <f t="shared" si="2163"/>
        <v>0</v>
      </c>
      <c r="V1723" s="255" t="str">
        <f t="shared" si="2164"/>
        <v>N/A</v>
      </c>
      <c r="W1723" s="102" t="s">
        <v>3037</v>
      </c>
      <c r="X1723" s="102"/>
      <c r="Y1723" s="102"/>
      <c r="Z1723" s="192"/>
      <c r="AA1723" s="615"/>
      <c r="AB1723" s="192"/>
      <c r="AC1723" s="312"/>
      <c r="AD1723" s="312"/>
      <c r="AE1723" s="312"/>
      <c r="AF1723" s="312"/>
      <c r="AG1723" s="312"/>
      <c r="AH1723" s="192"/>
      <c r="AI1723" s="192"/>
      <c r="AJ1723" s="194"/>
      <c r="AK1723" s="194"/>
      <c r="AL1723" s="194"/>
      <c r="AM1723" s="194"/>
      <c r="AN1723" s="194"/>
      <c r="AO1723" s="194"/>
      <c r="AP1723" s="194"/>
      <c r="AQ1723" s="194"/>
      <c r="AR1723" s="192"/>
      <c r="AS1723" s="192"/>
      <c r="AT1723" s="192"/>
      <c r="AU1723" s="192"/>
      <c r="AV1723" s="192"/>
      <c r="AW1723" s="192"/>
    </row>
    <row r="1724" spans="1:49" s="115" customFormat="1" ht="15" customHeight="1">
      <c r="A1724" s="555" t="s">
        <v>3038</v>
      </c>
      <c r="B1724" s="217" t="str">
        <f t="shared" si="2108"/>
        <v>100</v>
      </c>
      <c r="C1724" s="217" t="str">
        <f t="shared" si="2109"/>
        <v>63</v>
      </c>
      <c r="D1724" s="101" t="str">
        <f t="shared" si="2110"/>
        <v>634</v>
      </c>
      <c r="E1724" s="217" t="str">
        <f t="shared" si="2111"/>
        <v>100-63-634</v>
      </c>
      <c r="F1724" s="294" t="str">
        <f t="shared" si="2112"/>
        <v>53572</v>
      </c>
      <c r="G1724" s="295" t="str">
        <f>VLOOKUP(F1724,'GL Category'!A:C,3,FALSE)</f>
        <v>Services &amp; other</v>
      </c>
      <c r="H1724" s="98" t="str">
        <f>VLOOKUP(F1724,'GL Category'!A:C,2,FALSE)</f>
        <v>ELECTRICAL UTILITY SERVICE</v>
      </c>
      <c r="I1724" s="99">
        <f>SUMIF(Import!$B:$B,$A1724,Import!D:D)</f>
        <v>4161.6000000000004</v>
      </c>
      <c r="J1724" s="99">
        <f>SUMIF(Import!$B:$B,$A1724,Import!E:E)</f>
        <v>24469.14</v>
      </c>
      <c r="K1724" s="99">
        <f>SUMIF(Import!$B:$B,$A1724,Import!F:F)</f>
        <v>47633.95</v>
      </c>
      <c r="L1724" s="99">
        <f>SUMIF(Import!$B:$B,$A1724,Import!G:G)</f>
        <v>81900.45</v>
      </c>
      <c r="M1724" s="99">
        <f>SUMIF(Import!$B:$B,$A1724,Import!H:H)</f>
        <v>103620</v>
      </c>
      <c r="N1724" s="99">
        <f>SUMIF(Import!$B:$B,$A1724,Import!I:I)</f>
        <v>47303.26</v>
      </c>
      <c r="O1724" s="99">
        <f>SUMIF(Import!$B:$B,$A1724,Import!J:J)</f>
        <v>103620</v>
      </c>
      <c r="P1724" s="99">
        <f t="shared" si="2162"/>
        <v>0</v>
      </c>
      <c r="Q1724" s="99">
        <f>SUMIF(Import!$B:$B,$A1724,Import!K:K)</f>
        <v>99155</v>
      </c>
      <c r="R1724" s="99">
        <f>SUMIF(Import!$B:$B,$A1724,Import!L:L)</f>
        <v>0</v>
      </c>
      <c r="S1724" s="99">
        <f>SUMIF(Import!$B:$B,$A1724,Import!M:M)</f>
        <v>0</v>
      </c>
      <c r="T1724" s="99">
        <f>SUMIF(Import!$B:$B,$A1724,Import!N:N)</f>
        <v>99155</v>
      </c>
      <c r="U1724" s="99">
        <f t="shared" si="2163"/>
        <v>-4465</v>
      </c>
      <c r="V1724" s="255">
        <f t="shared" si="2164"/>
        <v>-4.3090137039181631E-2</v>
      </c>
      <c r="W1724" s="102" t="s">
        <v>3038</v>
      </c>
      <c r="X1724" s="102"/>
      <c r="Y1724" s="102"/>
      <c r="Z1724" s="192"/>
      <c r="AA1724" s="615"/>
      <c r="AB1724" s="192"/>
      <c r="AC1724" s="312"/>
      <c r="AD1724" s="312"/>
      <c r="AE1724" s="312"/>
      <c r="AF1724" s="312"/>
      <c r="AG1724" s="312"/>
      <c r="AH1724" s="192"/>
      <c r="AI1724" s="192"/>
      <c r="AJ1724" s="194"/>
      <c r="AK1724" s="194"/>
      <c r="AL1724" s="194"/>
      <c r="AM1724" s="194"/>
      <c r="AN1724" s="194"/>
      <c r="AO1724" s="194"/>
      <c r="AP1724" s="194"/>
      <c r="AQ1724" s="194"/>
      <c r="AR1724" s="192"/>
      <c r="AS1724" s="192"/>
      <c r="AT1724" s="192"/>
      <c r="AU1724" s="192"/>
      <c r="AV1724" s="192"/>
      <c r="AW1724" s="192"/>
    </row>
    <row r="1725" spans="1:49" s="115" customFormat="1" ht="15" customHeight="1">
      <c r="A1725" s="555" t="s">
        <v>3039</v>
      </c>
      <c r="B1725" s="217" t="str">
        <f t="shared" si="2108"/>
        <v>100</v>
      </c>
      <c r="C1725" s="217" t="str">
        <f t="shared" si="2109"/>
        <v>63</v>
      </c>
      <c r="D1725" s="101" t="str">
        <f t="shared" si="2110"/>
        <v>634</v>
      </c>
      <c r="E1725" s="217" t="str">
        <f t="shared" si="2111"/>
        <v>100-63-634</v>
      </c>
      <c r="F1725" s="294" t="str">
        <f t="shared" si="2112"/>
        <v>53574</v>
      </c>
      <c r="G1725" s="295" t="str">
        <f>VLOOKUP(F1725,'GL Category'!A:C,3,FALSE)</f>
        <v>Services &amp; other</v>
      </c>
      <c r="H1725" s="98" t="str">
        <f>VLOOKUP(F1725,'GL Category'!A:C,2,FALSE)</f>
        <v>WATER/SEWER UTILITY SERVICE</v>
      </c>
      <c r="I1725" s="99">
        <f>SUMIF(Import!$B:$B,$A1725,Import!D:D)</f>
        <v>791.58</v>
      </c>
      <c r="J1725" s="99">
        <f>SUMIF(Import!$B:$B,$A1725,Import!E:E)</f>
        <v>386.99</v>
      </c>
      <c r="K1725" s="99">
        <f>SUMIF(Import!$B:$B,$A1725,Import!F:F)</f>
        <v>0</v>
      </c>
      <c r="L1725" s="99">
        <f>SUMIF(Import!$B:$B,$A1725,Import!G:G)</f>
        <v>3616.62</v>
      </c>
      <c r="M1725" s="99">
        <f>SUMIF(Import!$B:$B,$A1725,Import!H:H)</f>
        <v>9500</v>
      </c>
      <c r="N1725" s="99">
        <f>SUMIF(Import!$B:$B,$A1725,Import!I:I)</f>
        <v>2920.09</v>
      </c>
      <c r="O1725" s="99">
        <f>SUMIF(Import!$B:$B,$A1725,Import!J:J)</f>
        <v>9500</v>
      </c>
      <c r="P1725" s="99">
        <f t="shared" si="2162"/>
        <v>0</v>
      </c>
      <c r="Q1725" s="99">
        <f>SUMIF(Import!$B:$B,$A1725,Import!K:K)</f>
        <v>9500</v>
      </c>
      <c r="R1725" s="99">
        <f>SUMIF(Import!$B:$B,$A1725,Import!L:L)</f>
        <v>0</v>
      </c>
      <c r="S1725" s="99">
        <f>SUMIF(Import!$B:$B,$A1725,Import!M:M)</f>
        <v>0</v>
      </c>
      <c r="T1725" s="99">
        <f>SUMIF(Import!$B:$B,$A1725,Import!N:N)</f>
        <v>9500</v>
      </c>
      <c r="U1725" s="99">
        <f t="shared" si="2163"/>
        <v>0</v>
      </c>
      <c r="V1725" s="255">
        <f t="shared" si="2164"/>
        <v>0</v>
      </c>
      <c r="W1725" s="102" t="s">
        <v>3039</v>
      </c>
      <c r="X1725" s="102"/>
      <c r="Y1725" s="102"/>
      <c r="Z1725" s="192"/>
      <c r="AA1725" s="615"/>
      <c r="AB1725" s="192"/>
      <c r="AC1725" s="199"/>
      <c r="AD1725" s="199"/>
      <c r="AE1725" s="199"/>
      <c r="AF1725" s="199"/>
      <c r="AG1725" s="199"/>
      <c r="AH1725" s="192"/>
      <c r="AI1725" s="192"/>
      <c r="AJ1725" s="199"/>
      <c r="AK1725" s="199"/>
      <c r="AL1725" s="199"/>
      <c r="AM1725" s="199"/>
      <c r="AN1725" s="199"/>
      <c r="AO1725" s="199"/>
      <c r="AP1725" s="199"/>
      <c r="AQ1725" s="199"/>
      <c r="AR1725" s="192"/>
      <c r="AS1725" s="192"/>
      <c r="AT1725" s="192"/>
      <c r="AU1725" s="192"/>
      <c r="AV1725" s="192"/>
      <c r="AW1725" s="192"/>
    </row>
    <row r="1726" spans="1:49" s="115" customFormat="1" ht="15" customHeight="1">
      <c r="A1726" s="555" t="s">
        <v>3040</v>
      </c>
      <c r="B1726" s="217" t="str">
        <f t="shared" si="2108"/>
        <v>100</v>
      </c>
      <c r="C1726" s="217" t="str">
        <f t="shared" si="2109"/>
        <v>63</v>
      </c>
      <c r="D1726" s="101" t="str">
        <f t="shared" si="2110"/>
        <v>634</v>
      </c>
      <c r="E1726" s="217" t="str">
        <f t="shared" si="2111"/>
        <v>100-63-634</v>
      </c>
      <c r="F1726" s="294" t="str">
        <f t="shared" si="2112"/>
        <v>53585</v>
      </c>
      <c r="G1726" s="295" t="str">
        <f>VLOOKUP(F1726,'GL Category'!A:C,3,FALSE)</f>
        <v>Services &amp; other</v>
      </c>
      <c r="H1726" s="98" t="str">
        <f>VLOOKUP(F1726,'GL Category'!A:C,2,FALSE)</f>
        <v>BANKING SERVICES CHARGES</v>
      </c>
      <c r="I1726" s="99">
        <f>SUMIF(Import!$B:$B,$A1726,Import!D:D)</f>
        <v>1345.4</v>
      </c>
      <c r="J1726" s="99">
        <f>SUMIF(Import!$B:$B,$A1726,Import!E:E)</f>
        <v>2081.9499999999998</v>
      </c>
      <c r="K1726" s="99">
        <f>SUMIF(Import!$B:$B,$A1726,Import!F:F)</f>
        <v>4116.93</v>
      </c>
      <c r="L1726" s="99">
        <f>SUMIF(Import!$B:$B,$A1726,Import!G:G)</f>
        <v>6817.77</v>
      </c>
      <c r="M1726" s="99">
        <f>SUMIF(Import!$B:$B,$A1726,Import!H:H)</f>
        <v>13600</v>
      </c>
      <c r="N1726" s="99">
        <f>SUMIF(Import!$B:$B,$A1726,Import!I:I)</f>
        <v>8808.7900000000009</v>
      </c>
      <c r="O1726" s="99">
        <f>SUMIF(Import!$B:$B,$A1726,Import!J:J)</f>
        <v>13600</v>
      </c>
      <c r="P1726" s="99">
        <f t="shared" si="2162"/>
        <v>0</v>
      </c>
      <c r="Q1726" s="99">
        <f>SUMIF(Import!$B:$B,$A1726,Import!K:K)</f>
        <v>13600</v>
      </c>
      <c r="R1726" s="99">
        <f>SUMIF(Import!$B:$B,$A1726,Import!L:L)</f>
        <v>0</v>
      </c>
      <c r="S1726" s="99">
        <f>SUMIF(Import!$B:$B,$A1726,Import!M:M)</f>
        <v>0</v>
      </c>
      <c r="T1726" s="99">
        <f>SUMIF(Import!$B:$B,$A1726,Import!N:N)</f>
        <v>13600</v>
      </c>
      <c r="U1726" s="99">
        <f t="shared" si="2163"/>
        <v>0</v>
      </c>
      <c r="V1726" s="255">
        <f t="shared" si="2164"/>
        <v>0</v>
      </c>
      <c r="W1726" s="102" t="s">
        <v>3040</v>
      </c>
      <c r="X1726" s="102"/>
      <c r="Y1726" s="102"/>
      <c r="Z1726" s="192"/>
      <c r="AA1726" s="615"/>
      <c r="AB1726" s="192"/>
      <c r="AC1726" s="313"/>
      <c r="AD1726" s="313"/>
      <c r="AE1726" s="313"/>
      <c r="AF1726" s="313"/>
      <c r="AG1726" s="313"/>
      <c r="AH1726" s="192"/>
      <c r="AI1726" s="192"/>
      <c r="AJ1726" s="313"/>
      <c r="AK1726" s="313"/>
      <c r="AL1726" s="313"/>
      <c r="AM1726" s="313"/>
      <c r="AN1726" s="313"/>
      <c r="AO1726" s="313"/>
      <c r="AP1726" s="313"/>
      <c r="AQ1726" s="313"/>
      <c r="AR1726" s="192"/>
      <c r="AS1726" s="192"/>
      <c r="AT1726" s="192"/>
      <c r="AU1726" s="192"/>
      <c r="AV1726" s="192"/>
      <c r="AW1726" s="192"/>
    </row>
    <row r="1727" spans="1:49" s="115" customFormat="1" ht="15" customHeight="1">
      <c r="A1727" s="555" t="s">
        <v>3041</v>
      </c>
      <c r="B1727" s="217" t="str">
        <f t="shared" si="2108"/>
        <v>100</v>
      </c>
      <c r="C1727" s="217" t="str">
        <f t="shared" si="2109"/>
        <v>63</v>
      </c>
      <c r="D1727" s="101" t="str">
        <f t="shared" si="2110"/>
        <v>634</v>
      </c>
      <c r="E1727" s="217" t="str">
        <f t="shared" si="2111"/>
        <v>100-63-634</v>
      </c>
      <c r="F1727" s="294" t="str">
        <f t="shared" si="2112"/>
        <v>55119</v>
      </c>
      <c r="G1727" s="295" t="str">
        <f>VLOOKUP(F1727,'GL Category'!A:C,3,FALSE)</f>
        <v>Services &amp; other</v>
      </c>
      <c r="H1727" s="98" t="str">
        <f>VLOOKUP(F1727,'GL Category'!A:C,2,FALSE)</f>
        <v>OFFICE EQUIP LEASE EXP-CITY</v>
      </c>
      <c r="I1727" s="99">
        <f>SUMIF(Import!$B:$B,$A1727,Import!D:D)</f>
        <v>26301</v>
      </c>
      <c r="J1727" s="99">
        <f>SUMIF(Import!$B:$B,$A1727,Import!E:E)</f>
        <v>35244</v>
      </c>
      <c r="K1727" s="99">
        <f>SUMIF(Import!$B:$B,$A1727,Import!F:F)</f>
        <v>33535</v>
      </c>
      <c r="L1727" s="99">
        <f>SUMIF(Import!$B:$B,$A1727,Import!G:G)</f>
        <v>33845</v>
      </c>
      <c r="M1727" s="99">
        <f>SUMIF(Import!$B:$B,$A1727,Import!H:H)</f>
        <v>50160</v>
      </c>
      <c r="N1727" s="99">
        <f>SUMIF(Import!$B:$B,$A1727,Import!I:I)</f>
        <v>37620</v>
      </c>
      <c r="O1727" s="99">
        <f>SUMIF(Import!$B:$B,$A1727,Import!J:J)</f>
        <v>50160</v>
      </c>
      <c r="P1727" s="99">
        <f t="shared" si="2162"/>
        <v>0</v>
      </c>
      <c r="Q1727" s="99">
        <f>SUMIF(Import!$B:$B,$A1727,Import!K:K)</f>
        <v>53036</v>
      </c>
      <c r="R1727" s="99">
        <f>SUMIF(Import!$B:$B,$A1727,Import!L:L)</f>
        <v>0</v>
      </c>
      <c r="S1727" s="99">
        <f>SUMIF(Import!$B:$B,$A1727,Import!M:M)</f>
        <v>0</v>
      </c>
      <c r="T1727" s="99">
        <f>SUMIF(Import!$B:$B,$A1727,Import!N:N)</f>
        <v>53036</v>
      </c>
      <c r="U1727" s="99">
        <f t="shared" si="2163"/>
        <v>2876</v>
      </c>
      <c r="V1727" s="255">
        <f t="shared" si="2164"/>
        <v>5.7336523125996797E-2</v>
      </c>
      <c r="W1727" s="102" t="s">
        <v>3041</v>
      </c>
      <c r="X1727" s="102"/>
      <c r="Y1727" s="102"/>
      <c r="Z1727" s="192"/>
      <c r="AA1727" s="615"/>
      <c r="AB1727" s="192"/>
      <c r="AC1727" s="312"/>
      <c r="AD1727" s="312"/>
      <c r="AE1727" s="312"/>
      <c r="AF1727" s="312"/>
      <c r="AG1727" s="312"/>
      <c r="AH1727" s="192"/>
      <c r="AI1727" s="192"/>
      <c r="AJ1727" s="194"/>
      <c r="AK1727" s="194"/>
      <c r="AL1727" s="194"/>
      <c r="AM1727" s="194"/>
      <c r="AN1727" s="194"/>
      <c r="AO1727" s="194"/>
      <c r="AP1727" s="194"/>
      <c r="AQ1727" s="194"/>
      <c r="AR1727" s="192"/>
      <c r="AS1727" s="192"/>
      <c r="AT1727" s="192"/>
      <c r="AU1727" s="192"/>
      <c r="AV1727" s="192"/>
      <c r="AW1727" s="192"/>
    </row>
    <row r="1728" spans="1:49" s="115" customFormat="1" ht="15" customHeight="1">
      <c r="A1728" s="555"/>
      <c r="B1728" s="217"/>
      <c r="C1728" s="217"/>
      <c r="D1728" s="101"/>
      <c r="E1728" s="217"/>
      <c r="F1728" s="294"/>
      <c r="G1728" s="295"/>
      <c r="H1728" s="107" t="str">
        <f>UPPER(G1727)&amp;" TOTAL"</f>
        <v>SERVICES &amp; OTHER TOTAL</v>
      </c>
      <c r="I1728" s="108">
        <f t="shared" ref="I1728" si="2173">SUBTOTAL(9,I1714:I1727)</f>
        <v>45318.9</v>
      </c>
      <c r="J1728" s="108">
        <f t="shared" ref="J1728:T1728" si="2174">SUBTOTAL(9,J1714:J1727)</f>
        <v>80173.859999999986</v>
      </c>
      <c r="K1728" s="108">
        <f t="shared" ref="K1728" si="2175">SUBTOTAL(9,K1714:K1727)</f>
        <v>149779.60999999999</v>
      </c>
      <c r="L1728" s="108">
        <f t="shared" ref="L1728" si="2176">SUBTOTAL(9,L1714:L1727)</f>
        <v>201534.41</v>
      </c>
      <c r="M1728" s="108">
        <f t="shared" si="2174"/>
        <v>256070</v>
      </c>
      <c r="N1728" s="109">
        <f t="shared" ref="N1728" si="2177">SUBTOTAL(9,N1714:N1727)</f>
        <v>157558.20000000001</v>
      </c>
      <c r="O1728" s="109">
        <f t="shared" si="2174"/>
        <v>255954</v>
      </c>
      <c r="P1728" s="109">
        <f t="shared" si="2174"/>
        <v>-116</v>
      </c>
      <c r="Q1728" s="109">
        <f t="shared" si="2174"/>
        <v>254481</v>
      </c>
      <c r="R1728" s="109">
        <f t="shared" si="2174"/>
        <v>0</v>
      </c>
      <c r="S1728" s="109">
        <f t="shared" si="2174"/>
        <v>0</v>
      </c>
      <c r="T1728" s="109">
        <f t="shared" si="2174"/>
        <v>254481</v>
      </c>
      <c r="U1728" s="99">
        <f>T1728-M1728</f>
        <v>-1589</v>
      </c>
      <c r="V1728" s="255">
        <f>IF(M1728=0,"N/A",T1728/M1728-1)</f>
        <v>-6.2053344788534082E-3</v>
      </c>
      <c r="W1728" s="102"/>
      <c r="X1728" s="102"/>
      <c r="Y1728" s="102"/>
      <c r="Z1728" s="192"/>
      <c r="AA1728" s="615"/>
      <c r="AB1728" s="192"/>
      <c r="AC1728" s="199"/>
      <c r="AD1728" s="199"/>
      <c r="AE1728" s="199"/>
      <c r="AF1728" s="199"/>
      <c r="AG1728" s="199"/>
      <c r="AH1728" s="192"/>
      <c r="AI1728" s="192"/>
      <c r="AJ1728" s="199"/>
      <c r="AK1728" s="199"/>
      <c r="AL1728" s="199"/>
      <c r="AM1728" s="199"/>
      <c r="AN1728" s="199"/>
      <c r="AO1728" s="199"/>
      <c r="AP1728" s="199"/>
      <c r="AQ1728" s="199"/>
      <c r="AR1728" s="192"/>
      <c r="AS1728" s="192"/>
      <c r="AT1728" s="192"/>
      <c r="AU1728" s="192"/>
      <c r="AV1728" s="192"/>
      <c r="AW1728" s="192"/>
    </row>
    <row r="1729" spans="1:49" s="115" customFormat="1" ht="15" customHeight="1">
      <c r="A1729" s="555"/>
      <c r="B1729" s="217"/>
      <c r="C1729" s="217"/>
      <c r="D1729" s="101"/>
      <c r="E1729" s="217"/>
      <c r="F1729" s="294"/>
      <c r="G1729" s="295"/>
      <c r="H1729" s="98"/>
      <c r="I1729" s="106"/>
      <c r="J1729" s="106"/>
      <c r="K1729" s="106"/>
      <c r="L1729" s="106"/>
      <c r="M1729" s="106"/>
      <c r="N1729" s="112"/>
      <c r="O1729" s="112"/>
      <c r="P1729" s="112"/>
      <c r="Q1729" s="113"/>
      <c r="R1729" s="113"/>
      <c r="S1729" s="113"/>
      <c r="T1729" s="113"/>
      <c r="U1729" s="99"/>
      <c r="V1729" s="255"/>
      <c r="W1729" s="102"/>
      <c r="X1729" s="102"/>
      <c r="Y1729" s="102"/>
      <c r="Z1729" s="192"/>
      <c r="AA1729" s="615"/>
      <c r="AB1729" s="192"/>
      <c r="AC1729" s="313"/>
      <c r="AD1729" s="313"/>
      <c r="AE1729" s="313"/>
      <c r="AF1729" s="313"/>
      <c r="AG1729" s="313"/>
      <c r="AH1729" s="192"/>
      <c r="AI1729" s="192"/>
      <c r="AJ1729" s="313"/>
      <c r="AK1729" s="313"/>
      <c r="AL1729" s="313"/>
      <c r="AM1729" s="313"/>
      <c r="AN1729" s="313"/>
      <c r="AO1729" s="313"/>
      <c r="AP1729" s="313"/>
      <c r="AQ1729" s="313"/>
      <c r="AR1729" s="192"/>
      <c r="AS1729" s="192"/>
      <c r="AT1729" s="192"/>
      <c r="AU1729" s="192"/>
      <c r="AV1729" s="192"/>
      <c r="AW1729" s="192"/>
    </row>
    <row r="1730" spans="1:49" s="115" customFormat="1" ht="15" customHeight="1">
      <c r="A1730" s="555" t="s">
        <v>3042</v>
      </c>
      <c r="B1730" s="217" t="str">
        <f t="shared" si="2108"/>
        <v>100</v>
      </c>
      <c r="C1730" s="217" t="str">
        <f t="shared" si="2109"/>
        <v>63</v>
      </c>
      <c r="D1730" s="101" t="str">
        <f t="shared" si="2110"/>
        <v>634</v>
      </c>
      <c r="E1730" s="217" t="str">
        <f t="shared" si="2111"/>
        <v>100-63-634</v>
      </c>
      <c r="F1730" s="294" t="str">
        <f t="shared" si="2112"/>
        <v>58828</v>
      </c>
      <c r="G1730" s="295" t="str">
        <f>VLOOKUP(F1730,'GL Category'!A:C,3,FALSE)</f>
        <v>Capital Outlay</v>
      </c>
      <c r="H1730" s="98" t="str">
        <f>VLOOKUP(F1730,'GL Category'!A:C,2,FALSE)</f>
        <v>BUILDINGS &amp; IMPROVEMENTS</v>
      </c>
      <c r="I1730" s="99">
        <f>SUMIF(Import!$B:$B,$A1730,Import!D:D)</f>
        <v>0</v>
      </c>
      <c r="J1730" s="99">
        <f>SUMIF(Import!$B:$B,$A1730,Import!E:E)</f>
        <v>0</v>
      </c>
      <c r="K1730" s="99">
        <f>SUMIF(Import!$B:$B,$A1730,Import!F:F)</f>
        <v>0</v>
      </c>
      <c r="L1730" s="99">
        <f>SUMIF(Import!$B:$B,$A1730,Import!G:G)</f>
        <v>0</v>
      </c>
      <c r="M1730" s="99">
        <f>SUMIF(Import!$B:$B,$A1730,Import!H:H)</f>
        <v>0</v>
      </c>
      <c r="N1730" s="99">
        <f>SUMIF(Import!$B:$B,$A1730,Import!I:I)</f>
        <v>0</v>
      </c>
      <c r="O1730" s="99">
        <f>SUMIF(Import!$B:$B,$A1730,Import!J:J)</f>
        <v>0</v>
      </c>
      <c r="P1730" s="99">
        <f t="shared" ref="P1730" si="2178">O1730-M1730</f>
        <v>0</v>
      </c>
      <c r="Q1730" s="99">
        <f>SUMIF(Import!$B:$B,$A1730,Import!K:K)</f>
        <v>0</v>
      </c>
      <c r="R1730" s="99">
        <f>SUMIF(Import!$B:$B,$A1730,Import!L:L)</f>
        <v>0</v>
      </c>
      <c r="S1730" s="99">
        <f>SUMIF(Import!$B:$B,$A1730,Import!M:M)</f>
        <v>0</v>
      </c>
      <c r="T1730" s="99">
        <f>SUMIF(Import!$B:$B,$A1730,Import!N:N)</f>
        <v>0</v>
      </c>
      <c r="U1730" s="99">
        <f t="shared" ref="U1730" si="2179">T1730-M1730</f>
        <v>0</v>
      </c>
      <c r="V1730" s="255" t="str">
        <f t="shared" ref="V1730" si="2180">IF(M1730=0,"N/A",T1730/M1730-1)</f>
        <v>N/A</v>
      </c>
      <c r="W1730" s="102" t="s">
        <v>3042</v>
      </c>
      <c r="X1730" s="102"/>
      <c r="Y1730" s="102"/>
      <c r="Z1730" s="192"/>
      <c r="AA1730" s="615"/>
      <c r="AB1730" s="192"/>
      <c r="AC1730" s="312"/>
      <c r="AD1730" s="312"/>
      <c r="AE1730" s="312"/>
      <c r="AF1730" s="312"/>
      <c r="AG1730" s="312"/>
      <c r="AH1730" s="192"/>
      <c r="AI1730" s="192"/>
      <c r="AJ1730" s="194"/>
      <c r="AK1730" s="194"/>
      <c r="AL1730" s="194"/>
      <c r="AM1730" s="194"/>
      <c r="AN1730" s="194"/>
      <c r="AO1730" s="194"/>
      <c r="AP1730" s="194"/>
      <c r="AQ1730" s="194"/>
      <c r="AR1730" s="192"/>
      <c r="AS1730" s="192"/>
      <c r="AT1730" s="192"/>
      <c r="AU1730" s="192"/>
      <c r="AV1730" s="192"/>
      <c r="AW1730" s="192"/>
    </row>
    <row r="1731" spans="1:49" s="115" customFormat="1" ht="15" customHeight="1">
      <c r="A1731" s="555"/>
      <c r="B1731" s="217"/>
      <c r="C1731" s="217"/>
      <c r="D1731" s="101"/>
      <c r="E1731" s="217"/>
      <c r="F1731" s="294"/>
      <c r="G1731" s="295"/>
      <c r="H1731" s="107" t="str">
        <f>UPPER(G1730)&amp;" TOTAL"</f>
        <v>CAPITAL OUTLAY TOTAL</v>
      </c>
      <c r="I1731" s="108">
        <f t="shared" ref="I1731" si="2181">SUBTOTAL(9,I1730:I1730)</f>
        <v>0</v>
      </c>
      <c r="J1731" s="108">
        <f t="shared" ref="J1731:T1731" si="2182">SUBTOTAL(9,J1730:J1730)</f>
        <v>0</v>
      </c>
      <c r="K1731" s="108">
        <f t="shared" ref="K1731" si="2183">SUBTOTAL(9,K1730:K1730)</f>
        <v>0</v>
      </c>
      <c r="L1731" s="108">
        <f t="shared" ref="L1731" si="2184">SUBTOTAL(9,L1730:L1730)</f>
        <v>0</v>
      </c>
      <c r="M1731" s="108">
        <f t="shared" si="2182"/>
        <v>0</v>
      </c>
      <c r="N1731" s="109">
        <f t="shared" ref="N1731" si="2185">SUBTOTAL(9,N1730:N1730)</f>
        <v>0</v>
      </c>
      <c r="O1731" s="109">
        <f t="shared" si="2182"/>
        <v>0</v>
      </c>
      <c r="P1731" s="109">
        <f t="shared" si="2182"/>
        <v>0</v>
      </c>
      <c r="Q1731" s="109">
        <f t="shared" si="2182"/>
        <v>0</v>
      </c>
      <c r="R1731" s="109">
        <f t="shared" si="2182"/>
        <v>0</v>
      </c>
      <c r="S1731" s="109">
        <f t="shared" si="2182"/>
        <v>0</v>
      </c>
      <c r="T1731" s="109">
        <f t="shared" si="2182"/>
        <v>0</v>
      </c>
      <c r="U1731" s="99">
        <f>T1731-M1731</f>
        <v>0</v>
      </c>
      <c r="V1731" s="255" t="str">
        <f>IF(M1731=0,"N/A",T1731/M1731-1)</f>
        <v>N/A</v>
      </c>
      <c r="W1731" s="102"/>
      <c r="X1731" s="102"/>
      <c r="Y1731" s="102"/>
      <c r="Z1731" s="192"/>
      <c r="AA1731" s="615"/>
      <c r="AB1731" s="192"/>
      <c r="AC1731" s="312"/>
      <c r="AD1731" s="312"/>
      <c r="AE1731" s="312"/>
      <c r="AF1731" s="312"/>
      <c r="AG1731" s="312"/>
      <c r="AH1731" s="192"/>
      <c r="AI1731" s="192"/>
      <c r="AJ1731" s="194"/>
      <c r="AK1731" s="194"/>
      <c r="AL1731" s="194"/>
      <c r="AM1731" s="194"/>
      <c r="AN1731" s="194"/>
      <c r="AO1731" s="194"/>
      <c r="AP1731" s="194"/>
      <c r="AQ1731" s="194"/>
      <c r="AR1731" s="192"/>
      <c r="AS1731" s="192"/>
      <c r="AT1731" s="192"/>
      <c r="AU1731" s="192"/>
      <c r="AV1731" s="192"/>
      <c r="AW1731" s="192"/>
    </row>
    <row r="1732" spans="1:49" s="115" customFormat="1" ht="15" customHeight="1">
      <c r="A1732" s="555"/>
      <c r="B1732" s="217"/>
      <c r="C1732" s="217"/>
      <c r="D1732" s="101"/>
      <c r="E1732" s="217"/>
      <c r="F1732" s="294"/>
      <c r="G1732" s="295"/>
      <c r="H1732" s="98"/>
      <c r="I1732" s="106"/>
      <c r="J1732" s="106"/>
      <c r="K1732" s="106"/>
      <c r="L1732" s="106"/>
      <c r="M1732" s="106"/>
      <c r="N1732" s="112"/>
      <c r="O1732" s="112"/>
      <c r="P1732" s="112"/>
      <c r="Q1732" s="113"/>
      <c r="R1732" s="113"/>
      <c r="S1732" s="113"/>
      <c r="T1732" s="113"/>
      <c r="U1732" s="99"/>
      <c r="V1732" s="255"/>
      <c r="W1732" s="102"/>
      <c r="X1732" s="102"/>
      <c r="Y1732" s="102"/>
      <c r="Z1732" s="192"/>
      <c r="AA1732" s="615"/>
      <c r="AB1732" s="192"/>
      <c r="AC1732" s="199"/>
      <c r="AD1732" s="199"/>
      <c r="AE1732" s="199"/>
      <c r="AF1732" s="199"/>
      <c r="AG1732" s="199"/>
      <c r="AH1732" s="192"/>
      <c r="AI1732" s="192"/>
      <c r="AJ1732" s="199"/>
      <c r="AK1732" s="199"/>
      <c r="AL1732" s="199"/>
      <c r="AM1732" s="199"/>
      <c r="AN1732" s="199"/>
      <c r="AO1732" s="199"/>
      <c r="AP1732" s="199"/>
      <c r="AQ1732" s="199"/>
      <c r="AR1732" s="192"/>
      <c r="AS1732" s="192"/>
      <c r="AT1732" s="192"/>
      <c r="AU1732" s="192"/>
      <c r="AV1732" s="192"/>
      <c r="AW1732" s="192"/>
    </row>
    <row r="1733" spans="1:49" s="115" customFormat="1" ht="15" customHeight="1">
      <c r="A1733" s="555" t="s">
        <v>3043</v>
      </c>
      <c r="B1733" s="217" t="str">
        <f t="shared" ref="B1733:B1790" si="2186">LEFT(A1733,3)</f>
        <v>100</v>
      </c>
      <c r="C1733" s="217" t="str">
        <f t="shared" ref="C1733:C1790" si="2187">MID(A1733,5,2)</f>
        <v>63</v>
      </c>
      <c r="D1733" s="101" t="str">
        <f t="shared" ref="D1733:D1790" si="2188">MID(A1733,8,3)</f>
        <v>634</v>
      </c>
      <c r="E1733" s="217" t="str">
        <f t="shared" ref="E1733:E1790" si="2189">LEFT(A1733,10)</f>
        <v>100-63-634</v>
      </c>
      <c r="F1733" s="294" t="str">
        <f t="shared" ref="F1733:F1790" si="2190">RIGHT(A1733,5)</f>
        <v>59105</v>
      </c>
      <c r="G1733" s="295" t="str">
        <f>VLOOKUP(F1733,'GL Category'!A:C,3,FALSE)</f>
        <v>Transfers to other funds</v>
      </c>
      <c r="H1733" s="98" t="str">
        <f>VLOOKUP(F1733,'GL Category'!A:C,2,FALSE)</f>
        <v>TRANSFER TO CIP-GENERAL GOVERN</v>
      </c>
      <c r="I1733" s="99">
        <f>SUMIF(Import!$B:$B,$A1733,Import!D:D)</f>
        <v>0</v>
      </c>
      <c r="J1733" s="99">
        <f>SUMIF(Import!$B:$B,$A1733,Import!E:E)</f>
        <v>0</v>
      </c>
      <c r="K1733" s="99">
        <f>SUMIF(Import!$B:$B,$A1733,Import!F:F)</f>
        <v>0</v>
      </c>
      <c r="L1733" s="99">
        <f>SUMIF(Import!$B:$B,$A1733,Import!G:G)</f>
        <v>0</v>
      </c>
      <c r="M1733" s="99">
        <f>SUMIF(Import!$B:$B,$A1733,Import!H:H)</f>
        <v>0</v>
      </c>
      <c r="N1733" s="99">
        <f>SUMIF(Import!$B:$B,$A1733,Import!I:I)</f>
        <v>0</v>
      </c>
      <c r="O1733" s="99">
        <f>SUMIF(Import!$B:$B,$A1733,Import!J:J)</f>
        <v>0</v>
      </c>
      <c r="P1733" s="99">
        <f t="shared" ref="P1733" si="2191">O1733-M1733</f>
        <v>0</v>
      </c>
      <c r="Q1733" s="99">
        <f>SUMIF(Import!$B:$B,$A1733,Import!K:K)</f>
        <v>0</v>
      </c>
      <c r="R1733" s="99">
        <f>SUMIF(Import!$B:$B,$A1733,Import!L:L)</f>
        <v>0</v>
      </c>
      <c r="S1733" s="99">
        <f>SUMIF(Import!$B:$B,$A1733,Import!M:M)</f>
        <v>0</v>
      </c>
      <c r="T1733" s="99">
        <f>SUMIF(Import!$B:$B,$A1733,Import!N:N)</f>
        <v>0</v>
      </c>
      <c r="U1733" s="99">
        <f t="shared" ref="U1733" si="2192">T1733-M1733</f>
        <v>0</v>
      </c>
      <c r="V1733" s="255" t="str">
        <f t="shared" ref="V1733" si="2193">IF(M1733=0,"N/A",T1733/M1733-1)</f>
        <v>N/A</v>
      </c>
      <c r="W1733" s="102" t="s">
        <v>3043</v>
      </c>
      <c r="X1733" s="102"/>
      <c r="Y1733" s="102"/>
      <c r="Z1733" s="192"/>
      <c r="AA1733" s="615"/>
      <c r="AB1733" s="192"/>
      <c r="AC1733" s="312"/>
      <c r="AD1733" s="312"/>
      <c r="AE1733" s="312"/>
      <c r="AF1733" s="312"/>
      <c r="AG1733" s="312"/>
      <c r="AH1733" s="192"/>
      <c r="AI1733" s="192"/>
      <c r="AJ1733" s="194"/>
      <c r="AK1733" s="194"/>
      <c r="AL1733" s="194"/>
      <c r="AM1733" s="194"/>
      <c r="AN1733" s="194"/>
      <c r="AO1733" s="194"/>
      <c r="AP1733" s="194"/>
      <c r="AQ1733" s="194"/>
      <c r="AR1733" s="192"/>
      <c r="AS1733" s="192"/>
      <c r="AT1733" s="192"/>
      <c r="AU1733" s="192"/>
      <c r="AV1733" s="192"/>
      <c r="AW1733" s="192"/>
    </row>
    <row r="1734" spans="1:49" s="115" customFormat="1" ht="25.35" customHeight="1">
      <c r="A1734" s="555"/>
      <c r="B1734" s="217"/>
      <c r="C1734" s="217"/>
      <c r="D1734" s="101"/>
      <c r="E1734" s="217"/>
      <c r="F1734" s="294"/>
      <c r="G1734" s="295"/>
      <c r="H1734" s="107" t="str">
        <f>UPPER(G1733)&amp;" TOTAL"</f>
        <v>TRANSFERS TO OTHER FUNDS TOTAL</v>
      </c>
      <c r="I1734" s="108">
        <f t="shared" ref="I1734" si="2194">SUBTOTAL(9,I1733:I1733)</f>
        <v>0</v>
      </c>
      <c r="J1734" s="108">
        <f t="shared" ref="J1734:P1734" si="2195">SUBTOTAL(9,J1733:J1733)</f>
        <v>0</v>
      </c>
      <c r="K1734" s="108">
        <f t="shared" ref="K1734" si="2196">SUBTOTAL(9,K1733:K1733)</f>
        <v>0</v>
      </c>
      <c r="L1734" s="108">
        <f t="shared" ref="L1734" si="2197">SUBTOTAL(9,L1733:L1733)</f>
        <v>0</v>
      </c>
      <c r="M1734" s="108">
        <f t="shared" si="2195"/>
        <v>0</v>
      </c>
      <c r="N1734" s="109">
        <f t="shared" ref="N1734" si="2198">SUBTOTAL(9,N1733:N1733)</f>
        <v>0</v>
      </c>
      <c r="O1734" s="109">
        <f t="shared" si="2195"/>
        <v>0</v>
      </c>
      <c r="P1734" s="109">
        <f t="shared" si="2195"/>
        <v>0</v>
      </c>
      <c r="Q1734" s="109">
        <f t="shared" ref="Q1734:T1734" si="2199">SUBTOTAL(9,Q1733:Q1733)</f>
        <v>0</v>
      </c>
      <c r="R1734" s="109">
        <f t="shared" si="2199"/>
        <v>0</v>
      </c>
      <c r="S1734" s="109">
        <f t="shared" si="2199"/>
        <v>0</v>
      </c>
      <c r="T1734" s="109">
        <f t="shared" si="2199"/>
        <v>0</v>
      </c>
      <c r="U1734" s="99">
        <f>T1734-M1734</f>
        <v>0</v>
      </c>
      <c r="V1734" s="255" t="str">
        <f>IF(M1734=0,"N/A",T1734/M1734-1)</f>
        <v>N/A</v>
      </c>
      <c r="W1734" s="102"/>
      <c r="X1734" s="102"/>
      <c r="Y1734" s="102"/>
      <c r="Z1734" s="192"/>
      <c r="AA1734" s="615"/>
      <c r="AB1734" s="192"/>
      <c r="AC1734" s="312"/>
      <c r="AD1734" s="312"/>
      <c r="AE1734" s="312"/>
      <c r="AF1734" s="312"/>
      <c r="AG1734" s="312"/>
      <c r="AH1734" s="192"/>
      <c r="AI1734" s="192"/>
      <c r="AJ1734" s="194"/>
      <c r="AK1734" s="194"/>
      <c r="AL1734" s="194"/>
      <c r="AM1734" s="194"/>
      <c r="AN1734" s="194"/>
      <c r="AO1734" s="194"/>
      <c r="AP1734" s="194"/>
      <c r="AQ1734" s="194"/>
      <c r="AR1734" s="192"/>
      <c r="AS1734" s="192"/>
      <c r="AT1734" s="192"/>
      <c r="AU1734" s="192"/>
      <c r="AV1734" s="192"/>
      <c r="AW1734" s="192"/>
    </row>
    <row r="1735" spans="1:49" s="115" customFormat="1" ht="15" customHeight="1">
      <c r="A1735" s="555"/>
      <c r="B1735" s="217"/>
      <c r="C1735" s="217"/>
      <c r="D1735" s="101"/>
      <c r="E1735" s="217"/>
      <c r="F1735" s="294"/>
      <c r="G1735" s="295"/>
      <c r="H1735" s="98"/>
      <c r="I1735" s="106"/>
      <c r="J1735" s="106"/>
      <c r="K1735" s="106"/>
      <c r="L1735" s="106"/>
      <c r="M1735" s="106"/>
      <c r="N1735" s="112"/>
      <c r="O1735" s="112"/>
      <c r="P1735" s="112"/>
      <c r="Q1735" s="113"/>
      <c r="R1735" s="113"/>
      <c r="S1735" s="113"/>
      <c r="T1735" s="113"/>
      <c r="U1735" s="99"/>
      <c r="V1735" s="255"/>
      <c r="W1735" s="102"/>
      <c r="X1735" s="102"/>
      <c r="Y1735" s="102"/>
      <c r="Z1735" s="192"/>
      <c r="AA1735" s="615"/>
      <c r="AB1735" s="192"/>
      <c r="AC1735" s="199"/>
      <c r="AD1735" s="199"/>
      <c r="AE1735" s="199"/>
      <c r="AF1735" s="199"/>
      <c r="AG1735" s="199"/>
      <c r="AH1735" s="192"/>
      <c r="AI1735" s="192"/>
      <c r="AJ1735" s="199"/>
      <c r="AK1735" s="199"/>
      <c r="AL1735" s="199"/>
      <c r="AM1735" s="199"/>
      <c r="AN1735" s="199"/>
      <c r="AO1735" s="199"/>
      <c r="AP1735" s="199"/>
      <c r="AQ1735" s="199"/>
      <c r="AR1735" s="192"/>
      <c r="AS1735" s="192"/>
      <c r="AT1735" s="192"/>
      <c r="AU1735" s="192"/>
      <c r="AV1735" s="192"/>
      <c r="AW1735" s="192"/>
    </row>
    <row r="1736" spans="1:49" s="115" customFormat="1" ht="15" customHeight="1">
      <c r="A1736" s="555"/>
      <c r="B1736" s="217"/>
      <c r="C1736" s="217"/>
      <c r="D1736" s="101"/>
      <c r="E1736" s="217"/>
      <c r="F1736" s="294"/>
      <c r="G1736" s="295"/>
      <c r="H1736" s="114" t="s">
        <v>763</v>
      </c>
      <c r="I1736" s="108">
        <f t="shared" ref="I1736" si="2200">SUBTOTAL(9,I1691:I1735)</f>
        <v>270877.17000000004</v>
      </c>
      <c r="J1736" s="108">
        <f t="shared" ref="J1736:T1736" si="2201">SUBTOTAL(9,J1691:J1735)</f>
        <v>306876.09000000003</v>
      </c>
      <c r="K1736" s="108">
        <f t="shared" ref="K1736" si="2202">SUBTOTAL(9,K1691:K1735)</f>
        <v>419725.95999999996</v>
      </c>
      <c r="L1736" s="108">
        <f t="shared" ref="L1736" si="2203">SUBTOTAL(9,L1691:L1735)</f>
        <v>535058.27</v>
      </c>
      <c r="M1736" s="108">
        <f t="shared" si="2201"/>
        <v>654073</v>
      </c>
      <c r="N1736" s="108">
        <f t="shared" ref="N1736" si="2204">SUBTOTAL(9,N1691:N1735)</f>
        <v>436467.4</v>
      </c>
      <c r="O1736" s="108">
        <f t="shared" si="2201"/>
        <v>646715</v>
      </c>
      <c r="P1736" s="108">
        <f t="shared" si="2201"/>
        <v>-7358</v>
      </c>
      <c r="Q1736" s="108">
        <f t="shared" si="2201"/>
        <v>658179</v>
      </c>
      <c r="R1736" s="108">
        <f t="shared" si="2201"/>
        <v>0</v>
      </c>
      <c r="S1736" s="108">
        <f t="shared" si="2201"/>
        <v>0</v>
      </c>
      <c r="T1736" s="108">
        <f t="shared" si="2201"/>
        <v>658179</v>
      </c>
      <c r="U1736" s="99">
        <f>T1736-M1736</f>
        <v>4106</v>
      </c>
      <c r="V1736" s="255">
        <f>IF(M1736=0,"N/A",T1736/M1736-1)</f>
        <v>6.2775867525490803E-3</v>
      </c>
      <c r="W1736" s="102"/>
      <c r="X1736" s="102"/>
      <c r="Y1736" s="102"/>
      <c r="Z1736" s="192"/>
      <c r="AA1736" s="615"/>
      <c r="AB1736" s="192"/>
      <c r="AC1736" s="313"/>
      <c r="AD1736" s="313"/>
      <c r="AE1736" s="313"/>
      <c r="AF1736" s="313"/>
      <c r="AG1736" s="313"/>
      <c r="AH1736" s="192"/>
      <c r="AI1736" s="192"/>
      <c r="AJ1736" s="313"/>
      <c r="AK1736" s="313"/>
      <c r="AL1736" s="313"/>
      <c r="AM1736" s="313"/>
      <c r="AN1736" s="313"/>
      <c r="AO1736" s="313"/>
      <c r="AP1736" s="313"/>
      <c r="AQ1736" s="313"/>
      <c r="AR1736" s="192"/>
      <c r="AS1736" s="192"/>
      <c r="AT1736" s="192"/>
      <c r="AU1736" s="192"/>
      <c r="AV1736" s="192"/>
      <c r="AW1736" s="192"/>
    </row>
    <row r="1737" spans="1:49" s="115" customFormat="1" ht="15" customHeight="1">
      <c r="A1737" s="555"/>
      <c r="B1737" s="217"/>
      <c r="C1737" s="217"/>
      <c r="D1737" s="101"/>
      <c r="E1737" s="217"/>
      <c r="F1737" s="294"/>
      <c r="G1737" s="295"/>
      <c r="H1737" s="98"/>
      <c r="I1737" s="218"/>
      <c r="J1737" s="218"/>
      <c r="K1737" s="218"/>
      <c r="L1737" s="218"/>
      <c r="M1737" s="218"/>
      <c r="N1737" s="96"/>
      <c r="O1737" s="96"/>
      <c r="P1737" s="96"/>
      <c r="Q1737" s="212"/>
      <c r="R1737" s="212"/>
      <c r="S1737" s="212"/>
      <c r="T1737" s="212"/>
      <c r="U1737" s="99"/>
      <c r="V1737" s="255"/>
      <c r="W1737" s="102"/>
      <c r="X1737" s="102"/>
      <c r="Y1737" s="102"/>
      <c r="Z1737" s="192"/>
      <c r="AA1737" s="615"/>
      <c r="AB1737" s="192"/>
      <c r="AC1737" s="312"/>
      <c r="AD1737" s="312"/>
      <c r="AE1737" s="312"/>
      <c r="AF1737" s="312"/>
      <c r="AG1737" s="312"/>
      <c r="AH1737" s="192"/>
      <c r="AI1737" s="192"/>
      <c r="AJ1737" s="194"/>
      <c r="AK1737" s="194"/>
      <c r="AL1737" s="194"/>
      <c r="AM1737" s="194"/>
      <c r="AN1737" s="194"/>
      <c r="AO1737" s="194"/>
      <c r="AP1737" s="194"/>
      <c r="AQ1737" s="194"/>
      <c r="AR1737" s="192"/>
      <c r="AS1737" s="192"/>
      <c r="AT1737" s="192"/>
      <c r="AU1737" s="192"/>
      <c r="AV1737" s="192"/>
      <c r="AW1737" s="192"/>
    </row>
    <row r="1738" spans="1:49" s="115" customFormat="1" ht="15" customHeight="1" thickBot="1">
      <c r="A1738" s="555"/>
      <c r="B1738" s="217"/>
      <c r="C1738" s="217"/>
      <c r="D1738" s="101"/>
      <c r="E1738" s="217"/>
      <c r="F1738" s="294"/>
      <c r="G1738" s="295"/>
      <c r="H1738" s="497"/>
      <c r="I1738" s="236"/>
      <c r="J1738" s="236"/>
      <c r="K1738" s="236"/>
      <c r="L1738" s="236"/>
      <c r="M1738" s="236"/>
      <c r="N1738" s="236"/>
      <c r="O1738" s="236"/>
      <c r="P1738" s="236"/>
      <c r="Q1738" s="236"/>
      <c r="R1738" s="236"/>
      <c r="S1738" s="236"/>
      <c r="T1738" s="236"/>
      <c r="U1738" s="99"/>
      <c r="V1738" s="255"/>
      <c r="W1738" s="102"/>
      <c r="X1738" s="102"/>
      <c r="Y1738" s="102"/>
      <c r="Z1738" s="192"/>
      <c r="AA1738" s="615"/>
      <c r="AB1738" s="192"/>
      <c r="AC1738" s="312"/>
      <c r="AD1738" s="312"/>
      <c r="AE1738" s="312"/>
      <c r="AF1738" s="312"/>
      <c r="AG1738" s="312"/>
      <c r="AH1738" s="192"/>
      <c r="AI1738" s="192"/>
      <c r="AJ1738" s="194"/>
      <c r="AK1738" s="194"/>
      <c r="AL1738" s="194"/>
      <c r="AM1738" s="194"/>
      <c r="AN1738" s="194"/>
      <c r="AO1738" s="194"/>
      <c r="AP1738" s="194"/>
      <c r="AQ1738" s="194"/>
      <c r="AR1738" s="192"/>
      <c r="AS1738" s="192"/>
      <c r="AT1738" s="192"/>
      <c r="AU1738" s="192"/>
      <c r="AV1738" s="192"/>
      <c r="AW1738" s="192"/>
    </row>
    <row r="1739" spans="1:49" s="115" customFormat="1" ht="29.25" customHeight="1" thickBot="1">
      <c r="A1739" s="555"/>
      <c r="B1739" s="217"/>
      <c r="C1739" s="217"/>
      <c r="D1739" s="101"/>
      <c r="E1739" s="217"/>
      <c r="F1739" s="294"/>
      <c r="G1739" s="295"/>
      <c r="H1739" s="665" t="s">
        <v>642</v>
      </c>
      <c r="I1739" s="666"/>
      <c r="J1739" s="666"/>
      <c r="K1739" s="666"/>
      <c r="L1739" s="666"/>
      <c r="M1739" s="666"/>
      <c r="N1739" s="666"/>
      <c r="O1739" s="666"/>
      <c r="P1739" s="666"/>
      <c r="Q1739" s="666"/>
      <c r="R1739" s="666"/>
      <c r="S1739" s="666"/>
      <c r="T1739" s="667"/>
      <c r="U1739" s="99"/>
      <c r="V1739" s="255"/>
      <c r="W1739" s="102"/>
      <c r="X1739" s="102"/>
      <c r="Y1739" s="102"/>
      <c r="Z1739" s="192"/>
      <c r="AA1739" s="615"/>
      <c r="AB1739" s="192"/>
      <c r="AC1739" s="312"/>
      <c r="AD1739" s="312"/>
      <c r="AE1739" s="312"/>
      <c r="AF1739" s="312"/>
      <c r="AG1739" s="312"/>
      <c r="AH1739" s="192"/>
      <c r="AI1739" s="192"/>
      <c r="AJ1739" s="194"/>
      <c r="AK1739" s="194"/>
      <c r="AL1739" s="194"/>
      <c r="AM1739" s="194"/>
      <c r="AN1739" s="194"/>
      <c r="AO1739" s="194"/>
      <c r="AP1739" s="194"/>
      <c r="AQ1739" s="194"/>
      <c r="AR1739" s="192"/>
      <c r="AS1739" s="192"/>
      <c r="AT1739" s="192"/>
      <c r="AU1739" s="192"/>
      <c r="AV1739" s="192"/>
      <c r="AW1739" s="192"/>
    </row>
    <row r="1740" spans="1:49" s="115" customFormat="1" ht="15" customHeight="1">
      <c r="A1740" s="555"/>
      <c r="B1740" s="217"/>
      <c r="C1740" s="217"/>
      <c r="D1740" s="101"/>
      <c r="E1740" s="217"/>
      <c r="F1740" s="294"/>
      <c r="G1740" s="295"/>
      <c r="H1740" s="225"/>
      <c r="I1740" s="225"/>
      <c r="J1740" s="225"/>
      <c r="K1740" s="225"/>
      <c r="L1740" s="225"/>
      <c r="M1740" s="225"/>
      <c r="N1740" s="225"/>
      <c r="O1740" s="225"/>
      <c r="P1740" s="225"/>
      <c r="Q1740" s="225"/>
      <c r="R1740" s="225"/>
      <c r="S1740" s="225"/>
      <c r="T1740" s="225"/>
      <c r="U1740" s="99"/>
      <c r="V1740" s="255"/>
      <c r="W1740" s="102"/>
      <c r="X1740" s="102"/>
      <c r="Y1740" s="102"/>
      <c r="Z1740" s="192"/>
      <c r="AA1740" s="615"/>
      <c r="AB1740" s="192"/>
      <c r="AC1740" s="312"/>
      <c r="AD1740" s="312"/>
      <c r="AE1740" s="312"/>
      <c r="AF1740" s="312"/>
      <c r="AG1740" s="312"/>
      <c r="AH1740" s="192"/>
      <c r="AI1740" s="192"/>
      <c r="AJ1740" s="194"/>
      <c r="AK1740" s="194"/>
      <c r="AL1740" s="194"/>
      <c r="AM1740" s="194"/>
      <c r="AN1740" s="194"/>
      <c r="AO1740" s="194"/>
      <c r="AP1740" s="194"/>
      <c r="AQ1740" s="194"/>
      <c r="AR1740" s="192"/>
      <c r="AS1740" s="192"/>
      <c r="AT1740" s="192"/>
      <c r="AU1740" s="192"/>
      <c r="AV1740" s="192"/>
      <c r="AW1740" s="192"/>
    </row>
    <row r="1741" spans="1:49" s="115" customFormat="1" ht="15" customHeight="1">
      <c r="A1741" s="555" t="s">
        <v>3044</v>
      </c>
      <c r="B1741" s="217" t="str">
        <f t="shared" si="2186"/>
        <v>100</v>
      </c>
      <c r="C1741" s="217" t="str">
        <f t="shared" si="2187"/>
        <v>63</v>
      </c>
      <c r="D1741" s="101" t="str">
        <f t="shared" si="2188"/>
        <v>635</v>
      </c>
      <c r="E1741" s="217" t="str">
        <f t="shared" si="2189"/>
        <v>100-63-635</v>
      </c>
      <c r="F1741" s="294" t="str">
        <f t="shared" si="2190"/>
        <v>50102</v>
      </c>
      <c r="G1741" s="295" t="str">
        <f>VLOOKUP(F1741,'GL Category'!A:C,3,FALSE)</f>
        <v>Personnel services</v>
      </c>
      <c r="H1741" s="98" t="str">
        <f>VLOOKUP(F1741,'GL Category'!A:C,2,FALSE)</f>
        <v>NON EXEMPT SALARIES</v>
      </c>
      <c r="I1741" s="99">
        <f>SUMIF(Import!$B:$B,$A1741,Import!D:D)</f>
        <v>190197.87</v>
      </c>
      <c r="J1741" s="99">
        <f>SUMIF(Import!$B:$B,$A1741,Import!E:E)</f>
        <v>191973.88</v>
      </c>
      <c r="K1741" s="99">
        <f>SUMIF(Import!$B:$B,$A1741,Import!F:F)</f>
        <v>223064.33</v>
      </c>
      <c r="L1741" s="99">
        <f>SUMIF(Import!$B:$B,$A1741,Import!G:G)</f>
        <v>193674.48</v>
      </c>
      <c r="M1741" s="99">
        <f>SUMIF(Import!$B:$B,$A1741,Import!H:H)</f>
        <v>201948</v>
      </c>
      <c r="N1741" s="99">
        <f>SUMIF(Import!$B:$B,$A1741,Import!I:I)</f>
        <v>142032.57999999999</v>
      </c>
      <c r="O1741" s="99">
        <f>SUMIF(Import!$B:$B,$A1741,Import!J:J)</f>
        <v>190676</v>
      </c>
      <c r="P1741" s="99">
        <f t="shared" ref="P1741:P1748" si="2205">O1741-M1741</f>
        <v>-11272</v>
      </c>
      <c r="Q1741" s="99">
        <f>SUMIF(Import!$B:$B,$A1741,Import!K:K)</f>
        <v>208103</v>
      </c>
      <c r="R1741" s="99">
        <f>SUMIF(Import!$B:$B,$A1741,Import!L:L)</f>
        <v>0</v>
      </c>
      <c r="S1741" s="99">
        <f>SUMIF(Import!$B:$B,$A1741,Import!M:M)</f>
        <v>0</v>
      </c>
      <c r="T1741" s="99">
        <f>SUMIF(Import!$B:$B,$A1741,Import!N:N)</f>
        <v>208103</v>
      </c>
      <c r="U1741" s="99">
        <f t="shared" ref="U1741:U1748" si="2206">T1741-M1741</f>
        <v>6155</v>
      </c>
      <c r="V1741" s="255">
        <f t="shared" ref="V1741:V1748" si="2207">IF(M1741=0,"N/A",T1741/M1741-1)</f>
        <v>3.0478142888268334E-2</v>
      </c>
      <c r="W1741" s="102" t="s">
        <v>3044</v>
      </c>
      <c r="X1741" s="102"/>
      <c r="Y1741" s="102"/>
      <c r="Z1741" s="192"/>
      <c r="AA1741" s="615"/>
      <c r="AB1741" s="192"/>
      <c r="AC1741" s="312"/>
      <c r="AD1741" s="312"/>
      <c r="AE1741" s="312"/>
      <c r="AF1741" s="312"/>
      <c r="AG1741" s="312"/>
      <c r="AH1741" s="192"/>
      <c r="AI1741" s="192"/>
      <c r="AJ1741" s="194"/>
      <c r="AK1741" s="194"/>
      <c r="AL1741" s="194"/>
      <c r="AM1741" s="194"/>
      <c r="AN1741" s="194"/>
      <c r="AO1741" s="194"/>
      <c r="AP1741" s="194"/>
      <c r="AQ1741" s="194"/>
      <c r="AR1741" s="192"/>
      <c r="AS1741" s="192"/>
      <c r="AT1741" s="192"/>
      <c r="AU1741" s="192"/>
      <c r="AV1741" s="192"/>
      <c r="AW1741" s="192"/>
    </row>
    <row r="1742" spans="1:49" s="115" customFormat="1" ht="15" customHeight="1">
      <c r="A1742" s="555" t="s">
        <v>3045</v>
      </c>
      <c r="B1742" s="217" t="str">
        <f t="shared" si="2186"/>
        <v>100</v>
      </c>
      <c r="C1742" s="217" t="str">
        <f t="shared" si="2187"/>
        <v>63</v>
      </c>
      <c r="D1742" s="101" t="str">
        <f t="shared" si="2188"/>
        <v>635</v>
      </c>
      <c r="E1742" s="217" t="str">
        <f t="shared" si="2189"/>
        <v>100-63-635</v>
      </c>
      <c r="F1742" s="294" t="str">
        <f t="shared" si="2190"/>
        <v>50109</v>
      </c>
      <c r="G1742" s="295" t="str">
        <f>VLOOKUP(F1742,'GL Category'!A:C,3,FALSE)</f>
        <v>Personnel services</v>
      </c>
      <c r="H1742" s="98" t="str">
        <f>VLOOKUP(F1742,'GL Category'!A:C,2,FALSE)</f>
        <v>OVERTIME</v>
      </c>
      <c r="I1742" s="99">
        <f>SUMIF(Import!$B:$B,$A1742,Import!D:D)</f>
        <v>629.91999999999996</v>
      </c>
      <c r="J1742" s="99">
        <f>SUMIF(Import!$B:$B,$A1742,Import!E:E)</f>
        <v>2874.15</v>
      </c>
      <c r="K1742" s="99">
        <f>SUMIF(Import!$B:$B,$A1742,Import!F:F)</f>
        <v>5659.62</v>
      </c>
      <c r="L1742" s="99">
        <f>SUMIF(Import!$B:$B,$A1742,Import!G:G)</f>
        <v>2946.49</v>
      </c>
      <c r="M1742" s="99">
        <f>SUMIF(Import!$B:$B,$A1742,Import!H:H)</f>
        <v>5000</v>
      </c>
      <c r="N1742" s="99">
        <f>SUMIF(Import!$B:$B,$A1742,Import!I:I)</f>
        <v>4831.1099999999997</v>
      </c>
      <c r="O1742" s="99">
        <f>SUMIF(Import!$B:$B,$A1742,Import!J:J)</f>
        <v>5244</v>
      </c>
      <c r="P1742" s="99">
        <f t="shared" si="2205"/>
        <v>244</v>
      </c>
      <c r="Q1742" s="99">
        <f>SUMIF(Import!$B:$B,$A1742,Import!K:K)</f>
        <v>5000</v>
      </c>
      <c r="R1742" s="99">
        <f>SUMIF(Import!$B:$B,$A1742,Import!L:L)</f>
        <v>0</v>
      </c>
      <c r="S1742" s="99">
        <f>SUMIF(Import!$B:$B,$A1742,Import!M:M)</f>
        <v>0</v>
      </c>
      <c r="T1742" s="99">
        <f>SUMIF(Import!$B:$B,$A1742,Import!N:N)</f>
        <v>5000</v>
      </c>
      <c r="U1742" s="99">
        <f t="shared" si="2206"/>
        <v>0</v>
      </c>
      <c r="V1742" s="255">
        <f t="shared" si="2207"/>
        <v>0</v>
      </c>
      <c r="W1742" s="102" t="s">
        <v>3045</v>
      </c>
      <c r="X1742" s="102"/>
      <c r="Y1742" s="102"/>
      <c r="Z1742" s="192"/>
      <c r="AA1742" s="615"/>
      <c r="AB1742" s="192"/>
      <c r="AC1742" s="314"/>
      <c r="AD1742" s="314"/>
      <c r="AE1742" s="314"/>
      <c r="AF1742" s="314"/>
      <c r="AG1742" s="314"/>
      <c r="AH1742" s="192"/>
      <c r="AI1742" s="192"/>
      <c r="AJ1742" s="314"/>
      <c r="AK1742" s="314"/>
      <c r="AL1742" s="314"/>
      <c r="AM1742" s="314"/>
      <c r="AN1742" s="314"/>
      <c r="AO1742" s="314"/>
      <c r="AP1742" s="314"/>
      <c r="AQ1742" s="314"/>
      <c r="AR1742" s="192"/>
      <c r="AS1742" s="192"/>
      <c r="AT1742" s="192"/>
      <c r="AU1742" s="192"/>
      <c r="AV1742" s="192"/>
      <c r="AW1742" s="192"/>
    </row>
    <row r="1743" spans="1:49" s="115" customFormat="1" ht="15" customHeight="1">
      <c r="A1743" s="555" t="s">
        <v>3046</v>
      </c>
      <c r="B1743" s="217" t="str">
        <f t="shared" si="2186"/>
        <v>100</v>
      </c>
      <c r="C1743" s="217" t="str">
        <f t="shared" si="2187"/>
        <v>63</v>
      </c>
      <c r="D1743" s="101" t="str">
        <f t="shared" si="2188"/>
        <v>635</v>
      </c>
      <c r="E1743" s="217" t="str">
        <f t="shared" si="2189"/>
        <v>100-63-635</v>
      </c>
      <c r="F1743" s="294" t="str">
        <f t="shared" si="2190"/>
        <v>50111</v>
      </c>
      <c r="G1743" s="295" t="str">
        <f>VLOOKUP(F1743,'GL Category'!A:C,3,FALSE)</f>
        <v>Personnel services</v>
      </c>
      <c r="H1743" s="98" t="str">
        <f>VLOOKUP(F1743,'GL Category'!A:C,2,FALSE)</f>
        <v>LONGEVITY PAY</v>
      </c>
      <c r="I1743" s="99">
        <f>SUMIF(Import!$B:$B,$A1743,Import!D:D)</f>
        <v>2520</v>
      </c>
      <c r="J1743" s="99">
        <f>SUMIF(Import!$B:$B,$A1743,Import!E:E)</f>
        <v>2760</v>
      </c>
      <c r="K1743" s="99">
        <f>SUMIF(Import!$B:$B,$A1743,Import!F:F)</f>
        <v>3120</v>
      </c>
      <c r="L1743" s="99">
        <f>SUMIF(Import!$B:$B,$A1743,Import!G:G)</f>
        <v>3040</v>
      </c>
      <c r="M1743" s="99">
        <f>SUMIF(Import!$B:$B,$A1743,Import!H:H)</f>
        <v>1722</v>
      </c>
      <c r="N1743" s="99">
        <f>SUMIF(Import!$B:$B,$A1743,Import!I:I)</f>
        <v>1700</v>
      </c>
      <c r="O1743" s="99">
        <f>SUMIF(Import!$B:$B,$A1743,Import!J:J)</f>
        <v>1700</v>
      </c>
      <c r="P1743" s="99">
        <f t="shared" si="2205"/>
        <v>-22</v>
      </c>
      <c r="Q1743" s="99">
        <f>SUMIF(Import!$B:$B,$A1743,Import!K:K)</f>
        <v>1878</v>
      </c>
      <c r="R1743" s="99">
        <f>SUMIF(Import!$B:$B,$A1743,Import!L:L)</f>
        <v>0</v>
      </c>
      <c r="S1743" s="99">
        <f>SUMIF(Import!$B:$B,$A1743,Import!M:M)</f>
        <v>0</v>
      </c>
      <c r="T1743" s="99">
        <f>SUMIF(Import!$B:$B,$A1743,Import!N:N)</f>
        <v>1878</v>
      </c>
      <c r="U1743" s="99">
        <f t="shared" si="2206"/>
        <v>156</v>
      </c>
      <c r="V1743" s="255">
        <f t="shared" si="2207"/>
        <v>9.0592334494773441E-2</v>
      </c>
      <c r="W1743" s="102" t="s">
        <v>3046</v>
      </c>
      <c r="X1743" s="102"/>
      <c r="Y1743" s="102"/>
      <c r="Z1743" s="192"/>
      <c r="AA1743" s="615"/>
      <c r="AB1743" s="192"/>
      <c r="AC1743" s="313"/>
      <c r="AD1743" s="313"/>
      <c r="AE1743" s="313"/>
      <c r="AF1743" s="313"/>
      <c r="AG1743" s="313"/>
      <c r="AH1743" s="192"/>
      <c r="AI1743" s="192"/>
      <c r="AJ1743" s="313"/>
      <c r="AK1743" s="313"/>
      <c r="AL1743" s="313"/>
      <c r="AM1743" s="313"/>
      <c r="AN1743" s="313"/>
      <c r="AO1743" s="313"/>
      <c r="AP1743" s="313"/>
      <c r="AQ1743" s="313"/>
      <c r="AR1743" s="192"/>
      <c r="AS1743" s="192"/>
      <c r="AT1743" s="192"/>
      <c r="AU1743" s="192"/>
      <c r="AV1743" s="192"/>
      <c r="AW1743" s="192"/>
    </row>
    <row r="1744" spans="1:49" s="115" customFormat="1" ht="15" customHeight="1">
      <c r="A1744" s="555" t="s">
        <v>3047</v>
      </c>
      <c r="B1744" s="217" t="str">
        <f t="shared" si="2186"/>
        <v>100</v>
      </c>
      <c r="C1744" s="217" t="str">
        <f t="shared" si="2187"/>
        <v>63</v>
      </c>
      <c r="D1744" s="101" t="str">
        <f t="shared" si="2188"/>
        <v>635</v>
      </c>
      <c r="E1744" s="217" t="str">
        <f t="shared" si="2189"/>
        <v>100-63-635</v>
      </c>
      <c r="F1744" s="294" t="str">
        <f t="shared" si="2190"/>
        <v>50112</v>
      </c>
      <c r="G1744" s="295" t="str">
        <f>VLOOKUP(F1744,'GL Category'!A:C,3,FALSE)</f>
        <v>Personnel services</v>
      </c>
      <c r="H1744" s="98" t="str">
        <f>VLOOKUP(F1744,'GL Category'!A:C,2,FALSE)</f>
        <v>TEMPORARY/SEASONAL WAGES</v>
      </c>
      <c r="I1744" s="99">
        <f>SUMIF(Import!$B:$B,$A1744,Import!D:D)</f>
        <v>0</v>
      </c>
      <c r="J1744" s="99">
        <f>SUMIF(Import!$B:$B,$A1744,Import!E:E)</f>
        <v>0</v>
      </c>
      <c r="K1744" s="99">
        <f>SUMIF(Import!$B:$B,$A1744,Import!F:F)</f>
        <v>0</v>
      </c>
      <c r="L1744" s="99">
        <f>SUMIF(Import!$B:$B,$A1744,Import!G:G)</f>
        <v>0</v>
      </c>
      <c r="M1744" s="99">
        <f>SUMIF(Import!$B:$B,$A1744,Import!H:H)</f>
        <v>0</v>
      </c>
      <c r="N1744" s="99">
        <f>SUMIF(Import!$B:$B,$A1744,Import!I:I)</f>
        <v>0</v>
      </c>
      <c r="O1744" s="99">
        <f>SUMIF(Import!$B:$B,$A1744,Import!J:J)</f>
        <v>0</v>
      </c>
      <c r="P1744" s="99">
        <f t="shared" si="2205"/>
        <v>0</v>
      </c>
      <c r="Q1744" s="99">
        <f>SUMIF(Import!$B:$B,$A1744,Import!K:K)</f>
        <v>0</v>
      </c>
      <c r="R1744" s="99">
        <f>SUMIF(Import!$B:$B,$A1744,Import!L:L)</f>
        <v>0</v>
      </c>
      <c r="S1744" s="99">
        <f>SUMIF(Import!$B:$B,$A1744,Import!M:M)</f>
        <v>0</v>
      </c>
      <c r="T1744" s="99">
        <f>SUMIF(Import!$B:$B,$A1744,Import!N:N)</f>
        <v>0</v>
      </c>
      <c r="U1744" s="99">
        <f t="shared" si="2206"/>
        <v>0</v>
      </c>
      <c r="V1744" s="255" t="str">
        <f t="shared" si="2207"/>
        <v>N/A</v>
      </c>
      <c r="W1744" s="102" t="s">
        <v>3047</v>
      </c>
      <c r="X1744" s="102"/>
      <c r="Y1744" s="102"/>
      <c r="Z1744" s="192"/>
      <c r="AA1744" s="615"/>
      <c r="AB1744" s="192"/>
      <c r="AC1744" s="312"/>
      <c r="AD1744" s="312"/>
      <c r="AE1744" s="312"/>
      <c r="AF1744" s="312"/>
      <c r="AG1744" s="312"/>
      <c r="AH1744" s="192"/>
      <c r="AI1744" s="192"/>
      <c r="AJ1744" s="194"/>
      <c r="AK1744" s="194"/>
      <c r="AL1744" s="194"/>
      <c r="AM1744" s="194"/>
      <c r="AN1744" s="194"/>
      <c r="AO1744" s="194"/>
      <c r="AP1744" s="194"/>
      <c r="AQ1744" s="194"/>
      <c r="AR1744" s="192"/>
      <c r="AS1744" s="192"/>
      <c r="AT1744" s="192"/>
      <c r="AU1744" s="192"/>
      <c r="AV1744" s="192"/>
      <c r="AW1744" s="192"/>
    </row>
    <row r="1745" spans="1:49" s="115" customFormat="1" ht="15" customHeight="1">
      <c r="A1745" s="555" t="s">
        <v>3048</v>
      </c>
      <c r="B1745" s="217" t="str">
        <f t="shared" si="2186"/>
        <v>100</v>
      </c>
      <c r="C1745" s="217" t="str">
        <f t="shared" si="2187"/>
        <v>63</v>
      </c>
      <c r="D1745" s="101" t="str">
        <f t="shared" si="2188"/>
        <v>635</v>
      </c>
      <c r="E1745" s="217" t="str">
        <f t="shared" si="2189"/>
        <v>100-63-635</v>
      </c>
      <c r="F1745" s="294" t="str">
        <f t="shared" si="2190"/>
        <v>50610</v>
      </c>
      <c r="G1745" s="295" t="str">
        <f>VLOOKUP(F1745,'GL Category'!A:C,3,FALSE)</f>
        <v>Personnel services</v>
      </c>
      <c r="H1745" s="98" t="str">
        <f>VLOOKUP(F1745,'GL Category'!A:C,2,FALSE)</f>
        <v>SOCIAL SECURITY</v>
      </c>
      <c r="I1745" s="99">
        <f>SUMIF(Import!$B:$B,$A1745,Import!D:D)</f>
        <v>14803.37</v>
      </c>
      <c r="J1745" s="99">
        <f>SUMIF(Import!$B:$B,$A1745,Import!E:E)</f>
        <v>14891.41</v>
      </c>
      <c r="K1745" s="99">
        <f>SUMIF(Import!$B:$B,$A1745,Import!F:F)</f>
        <v>17643.14</v>
      </c>
      <c r="L1745" s="99">
        <f>SUMIF(Import!$B:$B,$A1745,Import!G:G)</f>
        <v>15185.55</v>
      </c>
      <c r="M1745" s="99">
        <f>SUMIF(Import!$B:$B,$A1745,Import!H:H)</f>
        <v>16080</v>
      </c>
      <c r="N1745" s="99">
        <f>SUMIF(Import!$B:$B,$A1745,Import!I:I)</f>
        <v>11291.41</v>
      </c>
      <c r="O1745" s="99">
        <f>SUMIF(Import!$B:$B,$A1745,Import!J:J)</f>
        <v>15079</v>
      </c>
      <c r="P1745" s="99">
        <f t="shared" si="2205"/>
        <v>-1001</v>
      </c>
      <c r="Q1745" s="99">
        <f>SUMIF(Import!$B:$B,$A1745,Import!K:K)</f>
        <v>16580</v>
      </c>
      <c r="R1745" s="99">
        <f>SUMIF(Import!$B:$B,$A1745,Import!L:L)</f>
        <v>0</v>
      </c>
      <c r="S1745" s="99">
        <f>SUMIF(Import!$B:$B,$A1745,Import!M:M)</f>
        <v>0</v>
      </c>
      <c r="T1745" s="99">
        <f>SUMIF(Import!$B:$B,$A1745,Import!N:N)</f>
        <v>16580</v>
      </c>
      <c r="U1745" s="99">
        <f t="shared" si="2206"/>
        <v>500</v>
      </c>
      <c r="V1745" s="255">
        <f t="shared" si="2207"/>
        <v>3.1094527363184188E-2</v>
      </c>
      <c r="W1745" s="102" t="s">
        <v>3048</v>
      </c>
      <c r="X1745" s="102"/>
      <c r="Y1745" s="102"/>
      <c r="Z1745" s="192"/>
      <c r="AA1745" s="615"/>
      <c r="AB1745" s="192"/>
      <c r="AC1745" s="312"/>
      <c r="AD1745" s="312"/>
      <c r="AE1745" s="312"/>
      <c r="AF1745" s="312"/>
      <c r="AG1745" s="312"/>
      <c r="AH1745" s="192"/>
      <c r="AI1745" s="192"/>
      <c r="AJ1745" s="194"/>
      <c r="AK1745" s="194"/>
      <c r="AL1745" s="194"/>
      <c r="AM1745" s="194"/>
      <c r="AN1745" s="194"/>
      <c r="AO1745" s="194"/>
      <c r="AP1745" s="194"/>
      <c r="AQ1745" s="194"/>
      <c r="AR1745" s="192"/>
      <c r="AS1745" s="192"/>
      <c r="AT1745" s="192"/>
      <c r="AU1745" s="192"/>
      <c r="AV1745" s="192"/>
      <c r="AW1745" s="192"/>
    </row>
    <row r="1746" spans="1:49" ht="15" customHeight="1">
      <c r="A1746" s="555" t="s">
        <v>3049</v>
      </c>
      <c r="B1746" s="217" t="str">
        <f t="shared" si="2186"/>
        <v>100</v>
      </c>
      <c r="C1746" s="217" t="str">
        <f t="shared" si="2187"/>
        <v>63</v>
      </c>
      <c r="D1746" s="101" t="str">
        <f t="shared" si="2188"/>
        <v>635</v>
      </c>
      <c r="E1746" s="217" t="str">
        <f t="shared" si="2189"/>
        <v>100-63-635</v>
      </c>
      <c r="F1746" s="294" t="str">
        <f t="shared" si="2190"/>
        <v>50620</v>
      </c>
      <c r="G1746" s="295" t="str">
        <f>VLOOKUP(F1746,'GL Category'!A:C,3,FALSE)</f>
        <v>Personnel services</v>
      </c>
      <c r="H1746" s="98" t="str">
        <f>VLOOKUP(F1746,'GL Category'!A:C,2,FALSE)</f>
        <v>HEALTH/LIFE INSURANCE</v>
      </c>
      <c r="I1746" s="99">
        <f>SUMIF(Import!$B:$B,$A1746,Import!D:D)</f>
        <v>30428.97</v>
      </c>
      <c r="J1746" s="99">
        <f>SUMIF(Import!$B:$B,$A1746,Import!E:E)</f>
        <v>30659.58</v>
      </c>
      <c r="K1746" s="99">
        <f>SUMIF(Import!$B:$B,$A1746,Import!F:F)</f>
        <v>34834.35</v>
      </c>
      <c r="L1746" s="99">
        <f>SUMIF(Import!$B:$B,$A1746,Import!G:G)</f>
        <v>47240.97</v>
      </c>
      <c r="M1746" s="99">
        <f>SUMIF(Import!$B:$B,$A1746,Import!H:H)</f>
        <v>54588</v>
      </c>
      <c r="N1746" s="99">
        <f>SUMIF(Import!$B:$B,$A1746,Import!I:I)</f>
        <v>33613.97</v>
      </c>
      <c r="O1746" s="99">
        <f>SUMIF(Import!$B:$B,$A1746,Import!J:J)</f>
        <v>51496</v>
      </c>
      <c r="P1746" s="99">
        <f t="shared" si="2205"/>
        <v>-3092</v>
      </c>
      <c r="Q1746" s="99">
        <f>SUMIF(Import!$B:$B,$A1746,Import!K:K)</f>
        <v>61573</v>
      </c>
      <c r="R1746" s="99">
        <f>SUMIF(Import!$B:$B,$A1746,Import!L:L)</f>
        <v>0</v>
      </c>
      <c r="S1746" s="99">
        <f>SUMIF(Import!$B:$B,$A1746,Import!M:M)</f>
        <v>0</v>
      </c>
      <c r="T1746" s="99">
        <f>SUMIF(Import!$B:$B,$A1746,Import!N:N)</f>
        <v>61573</v>
      </c>
      <c r="U1746" s="99">
        <f t="shared" si="2206"/>
        <v>6985</v>
      </c>
      <c r="V1746" s="255">
        <f t="shared" si="2207"/>
        <v>0.12795852568330046</v>
      </c>
      <c r="W1746" s="102" t="s">
        <v>3049</v>
      </c>
      <c r="X1746" s="102"/>
      <c r="Y1746" s="102"/>
      <c r="AA1746" s="615"/>
      <c r="AB1746" s="192"/>
      <c r="AC1746" s="199"/>
      <c r="AD1746" s="199"/>
      <c r="AE1746" s="199"/>
      <c r="AF1746" s="199"/>
      <c r="AG1746" s="199"/>
      <c r="AH1746" s="192"/>
      <c r="AI1746" s="192"/>
      <c r="AJ1746" s="199"/>
      <c r="AK1746" s="199"/>
      <c r="AL1746" s="199"/>
      <c r="AM1746" s="199"/>
      <c r="AN1746" s="199"/>
      <c r="AO1746" s="199"/>
      <c r="AP1746" s="199"/>
      <c r="AQ1746" s="199"/>
      <c r="AR1746" s="192"/>
      <c r="AS1746" s="192"/>
      <c r="AT1746" s="192"/>
      <c r="AU1746" s="192"/>
      <c r="AV1746" s="192"/>
      <c r="AW1746" s="192"/>
    </row>
    <row r="1747" spans="1:49" ht="15" customHeight="1">
      <c r="A1747" s="555" t="s">
        <v>3050</v>
      </c>
      <c r="B1747" s="217" t="str">
        <f t="shared" si="2186"/>
        <v>100</v>
      </c>
      <c r="C1747" s="217" t="str">
        <f t="shared" si="2187"/>
        <v>63</v>
      </c>
      <c r="D1747" s="101" t="str">
        <f t="shared" si="2188"/>
        <v>635</v>
      </c>
      <c r="E1747" s="217" t="str">
        <f t="shared" si="2189"/>
        <v>100-63-635</v>
      </c>
      <c r="F1747" s="294" t="str">
        <f t="shared" si="2190"/>
        <v>50630</v>
      </c>
      <c r="G1747" s="295" t="str">
        <f>VLOOKUP(F1747,'GL Category'!A:C,3,FALSE)</f>
        <v>Personnel services</v>
      </c>
      <c r="H1747" s="98" t="str">
        <f>VLOOKUP(F1747,'GL Category'!A:C,2,FALSE)</f>
        <v>WORKER COMPENSATION</v>
      </c>
      <c r="I1747" s="99">
        <f>SUMIF(Import!$B:$B,$A1747,Import!D:D)</f>
        <v>1219.45</v>
      </c>
      <c r="J1747" s="99">
        <f>SUMIF(Import!$B:$B,$A1747,Import!E:E)</f>
        <v>1125.19</v>
      </c>
      <c r="K1747" s="99">
        <f>SUMIF(Import!$B:$B,$A1747,Import!F:F)</f>
        <v>776.59</v>
      </c>
      <c r="L1747" s="99">
        <f>SUMIF(Import!$B:$B,$A1747,Import!G:G)</f>
        <v>2286.87</v>
      </c>
      <c r="M1747" s="99">
        <f>SUMIF(Import!$B:$B,$A1747,Import!H:H)</f>
        <v>2633</v>
      </c>
      <c r="N1747" s="99">
        <f>SUMIF(Import!$B:$B,$A1747,Import!I:I)</f>
        <v>2630.84</v>
      </c>
      <c r="O1747" s="99">
        <f>SUMIF(Import!$B:$B,$A1747,Import!J:J)</f>
        <v>2631</v>
      </c>
      <c r="P1747" s="99">
        <f t="shared" si="2205"/>
        <v>-2</v>
      </c>
      <c r="Q1747" s="99">
        <f>SUMIF(Import!$B:$B,$A1747,Import!K:K)</f>
        <v>2484</v>
      </c>
      <c r="R1747" s="99">
        <f>SUMIF(Import!$B:$B,$A1747,Import!L:L)</f>
        <v>0</v>
      </c>
      <c r="S1747" s="99">
        <f>SUMIF(Import!$B:$B,$A1747,Import!M:M)</f>
        <v>0</v>
      </c>
      <c r="T1747" s="99">
        <f>SUMIF(Import!$B:$B,$A1747,Import!N:N)</f>
        <v>2484</v>
      </c>
      <c r="U1747" s="99">
        <f t="shared" si="2206"/>
        <v>-149</v>
      </c>
      <c r="V1747" s="255">
        <f t="shared" si="2207"/>
        <v>-5.6589441701481169E-2</v>
      </c>
      <c r="W1747" s="102" t="s">
        <v>3050</v>
      </c>
      <c r="X1747" s="102"/>
      <c r="Y1747" s="102"/>
      <c r="AA1747" s="615"/>
      <c r="AB1747" s="192"/>
      <c r="AC1747" s="313"/>
      <c r="AD1747" s="313"/>
      <c r="AE1747" s="313"/>
      <c r="AF1747" s="313"/>
      <c r="AG1747" s="313"/>
      <c r="AH1747" s="192"/>
      <c r="AI1747" s="192"/>
      <c r="AJ1747" s="313"/>
      <c r="AK1747" s="313"/>
      <c r="AL1747" s="313"/>
      <c r="AM1747" s="313"/>
      <c r="AN1747" s="313"/>
      <c r="AO1747" s="313"/>
      <c r="AP1747" s="313"/>
      <c r="AQ1747" s="313"/>
      <c r="AR1747" s="192"/>
      <c r="AS1747" s="192"/>
      <c r="AT1747" s="192"/>
      <c r="AU1747" s="192"/>
      <c r="AV1747" s="192"/>
      <c r="AW1747" s="192"/>
    </row>
    <row r="1748" spans="1:49" ht="15" customHeight="1">
      <c r="A1748" s="555" t="s">
        <v>3051</v>
      </c>
      <c r="B1748" s="217" t="str">
        <f t="shared" si="2186"/>
        <v>100</v>
      </c>
      <c r="C1748" s="217" t="str">
        <f t="shared" si="2187"/>
        <v>63</v>
      </c>
      <c r="D1748" s="101" t="str">
        <f t="shared" si="2188"/>
        <v>635</v>
      </c>
      <c r="E1748" s="217" t="str">
        <f t="shared" si="2189"/>
        <v>100-63-635</v>
      </c>
      <c r="F1748" s="294" t="str">
        <f t="shared" si="2190"/>
        <v>50650</v>
      </c>
      <c r="G1748" s="295" t="str">
        <f>VLOOKUP(F1748,'GL Category'!A:C,3,FALSE)</f>
        <v>Personnel services</v>
      </c>
      <c r="H1748" s="98" t="str">
        <f>VLOOKUP(F1748,'GL Category'!A:C,2,FALSE)</f>
        <v>RETIREMENT</v>
      </c>
      <c r="I1748" s="99">
        <f>SUMIF(Import!$B:$B,$A1748,Import!D:D)</f>
        <v>30989.4</v>
      </c>
      <c r="J1748" s="99">
        <f>SUMIF(Import!$B:$B,$A1748,Import!E:E)</f>
        <v>31640.57</v>
      </c>
      <c r="K1748" s="99">
        <f>SUMIF(Import!$B:$B,$A1748,Import!F:F)</f>
        <v>37944.97</v>
      </c>
      <c r="L1748" s="99">
        <f>SUMIF(Import!$B:$B,$A1748,Import!G:G)</f>
        <v>32395.37</v>
      </c>
      <c r="M1748" s="99">
        <f>SUMIF(Import!$B:$B,$A1748,Import!H:H)</f>
        <v>34705</v>
      </c>
      <c r="N1748" s="99">
        <f>SUMIF(Import!$B:$B,$A1748,Import!I:I)</f>
        <v>24662.05</v>
      </c>
      <c r="O1748" s="99">
        <f>SUMIF(Import!$B:$B,$A1748,Import!J:J)</f>
        <v>32790</v>
      </c>
      <c r="P1748" s="99">
        <f t="shared" si="2205"/>
        <v>-1915</v>
      </c>
      <c r="Q1748" s="99">
        <f>SUMIF(Import!$B:$B,$A1748,Import!K:K)</f>
        <v>36613</v>
      </c>
      <c r="R1748" s="99">
        <f>SUMIF(Import!$B:$B,$A1748,Import!L:L)</f>
        <v>0</v>
      </c>
      <c r="S1748" s="99">
        <f>SUMIF(Import!$B:$B,$A1748,Import!M:M)</f>
        <v>0</v>
      </c>
      <c r="T1748" s="99">
        <f>SUMIF(Import!$B:$B,$A1748,Import!N:N)</f>
        <v>36613</v>
      </c>
      <c r="U1748" s="99">
        <f t="shared" si="2206"/>
        <v>1908</v>
      </c>
      <c r="V1748" s="255">
        <f t="shared" si="2207"/>
        <v>5.4977668923786194E-2</v>
      </c>
      <c r="W1748" s="102" t="s">
        <v>3051</v>
      </c>
      <c r="X1748" s="102"/>
      <c r="Y1748" s="102"/>
      <c r="AA1748" s="615"/>
      <c r="AB1748" s="192"/>
      <c r="AC1748" s="312"/>
      <c r="AD1748" s="312"/>
      <c r="AE1748" s="312"/>
      <c r="AF1748" s="312"/>
      <c r="AG1748" s="312"/>
      <c r="AH1748" s="192"/>
      <c r="AI1748" s="192"/>
      <c r="AJ1748" s="194"/>
      <c r="AK1748" s="194"/>
      <c r="AL1748" s="194"/>
      <c r="AM1748" s="194"/>
      <c r="AN1748" s="194"/>
      <c r="AO1748" s="194"/>
      <c r="AP1748" s="194"/>
      <c r="AQ1748" s="194"/>
      <c r="AR1748" s="192"/>
      <c r="AS1748" s="192"/>
      <c r="AT1748" s="192"/>
      <c r="AU1748" s="192"/>
      <c r="AV1748" s="192"/>
      <c r="AW1748" s="192"/>
    </row>
    <row r="1749" spans="1:49" ht="15" customHeight="1">
      <c r="A1749" s="555"/>
      <c r="B1749" s="217"/>
      <c r="C1749" s="217"/>
      <c r="D1749" s="101"/>
      <c r="E1749" s="217"/>
      <c r="F1749" s="294"/>
      <c r="G1749" s="295"/>
      <c r="H1749" s="107" t="str">
        <f>UPPER(G1748)&amp;" TOTAL"</f>
        <v>PERSONNEL SERVICES TOTAL</v>
      </c>
      <c r="I1749" s="108">
        <f t="shared" ref="I1749" si="2208">SUBTOTAL(9,I1741:I1748)</f>
        <v>270788.98000000004</v>
      </c>
      <c r="J1749" s="108">
        <f t="shared" ref="J1749:P1749" si="2209">SUBTOTAL(9,J1741:J1748)</f>
        <v>275924.78000000003</v>
      </c>
      <c r="K1749" s="108">
        <f t="shared" ref="K1749" si="2210">SUBTOTAL(9,K1741:K1748)</f>
        <v>323043</v>
      </c>
      <c r="L1749" s="108">
        <f t="shared" ref="L1749" si="2211">SUBTOTAL(9,L1741:L1748)</f>
        <v>296769.73</v>
      </c>
      <c r="M1749" s="108">
        <f t="shared" si="2209"/>
        <v>316676</v>
      </c>
      <c r="N1749" s="108">
        <f t="shared" ref="N1749" si="2212">SUBTOTAL(9,N1741:N1748)</f>
        <v>220761.95999999996</v>
      </c>
      <c r="O1749" s="108">
        <f t="shared" si="2209"/>
        <v>299616</v>
      </c>
      <c r="P1749" s="108">
        <f t="shared" si="2209"/>
        <v>-17060</v>
      </c>
      <c r="Q1749" s="108">
        <f t="shared" ref="Q1749:T1749" si="2213">SUBTOTAL(9,Q1741:Q1748)</f>
        <v>332231</v>
      </c>
      <c r="R1749" s="108">
        <f t="shared" si="2213"/>
        <v>0</v>
      </c>
      <c r="S1749" s="108">
        <f t="shared" si="2213"/>
        <v>0</v>
      </c>
      <c r="T1749" s="108">
        <f t="shared" si="2213"/>
        <v>332231</v>
      </c>
      <c r="U1749" s="99">
        <f>T1749-M1749</f>
        <v>15555</v>
      </c>
      <c r="V1749" s="255">
        <f>IF(M1749=0,"N/A",T1749/M1749-1)</f>
        <v>4.9119604895855762E-2</v>
      </c>
      <c r="W1749" s="102"/>
      <c r="X1749" s="102"/>
      <c r="Y1749" s="102"/>
      <c r="AA1749" s="615"/>
      <c r="AB1749" s="192"/>
      <c r="AC1749" s="199"/>
      <c r="AD1749" s="199"/>
      <c r="AE1749" s="199"/>
      <c r="AF1749" s="199"/>
      <c r="AG1749" s="199"/>
      <c r="AH1749" s="192"/>
      <c r="AI1749" s="192"/>
      <c r="AJ1749" s="199"/>
      <c r="AK1749" s="199"/>
      <c r="AL1749" s="199"/>
      <c r="AM1749" s="199"/>
      <c r="AN1749" s="199"/>
      <c r="AO1749" s="199"/>
      <c r="AP1749" s="199"/>
      <c r="AQ1749" s="199"/>
      <c r="AR1749" s="192"/>
      <c r="AS1749" s="192"/>
      <c r="AT1749" s="192"/>
      <c r="AU1749" s="192"/>
      <c r="AV1749" s="192"/>
      <c r="AW1749" s="192"/>
    </row>
    <row r="1750" spans="1:49" ht="15" customHeight="1">
      <c r="A1750" s="555"/>
      <c r="B1750" s="217"/>
      <c r="C1750" s="217"/>
      <c r="D1750" s="101"/>
      <c r="E1750" s="217"/>
      <c r="F1750" s="294"/>
      <c r="G1750" s="295"/>
      <c r="H1750" s="98"/>
      <c r="I1750" s="106"/>
      <c r="J1750" s="106"/>
      <c r="K1750" s="106"/>
      <c r="L1750" s="106"/>
      <c r="M1750" s="106"/>
      <c r="N1750" s="112"/>
      <c r="O1750" s="112"/>
      <c r="P1750" s="112"/>
      <c r="Q1750" s="113"/>
      <c r="R1750" s="113"/>
      <c r="S1750" s="113"/>
      <c r="T1750" s="113"/>
      <c r="U1750" s="99"/>
      <c r="V1750" s="255"/>
      <c r="W1750" s="102"/>
      <c r="X1750" s="102"/>
      <c r="Y1750" s="102"/>
      <c r="AA1750" s="615"/>
      <c r="AB1750" s="192"/>
      <c r="AC1750" s="313"/>
      <c r="AD1750" s="313"/>
      <c r="AE1750" s="313"/>
      <c r="AF1750" s="313"/>
      <c r="AG1750" s="313"/>
      <c r="AH1750" s="192"/>
      <c r="AI1750" s="192"/>
      <c r="AJ1750" s="313"/>
      <c r="AK1750" s="313"/>
      <c r="AL1750" s="313"/>
      <c r="AM1750" s="313"/>
      <c r="AN1750" s="313"/>
      <c r="AO1750" s="313"/>
      <c r="AP1750" s="313"/>
      <c r="AQ1750" s="313"/>
      <c r="AR1750" s="192"/>
      <c r="AS1750" s="192"/>
      <c r="AT1750" s="192"/>
      <c r="AU1750" s="192"/>
      <c r="AV1750" s="192"/>
      <c r="AW1750" s="192"/>
    </row>
    <row r="1751" spans="1:49" ht="15" customHeight="1">
      <c r="A1751" s="555" t="s">
        <v>3052</v>
      </c>
      <c r="B1751" s="217" t="str">
        <f t="shared" si="2186"/>
        <v>100</v>
      </c>
      <c r="C1751" s="217" t="str">
        <f t="shared" si="2187"/>
        <v>63</v>
      </c>
      <c r="D1751" s="101" t="str">
        <f t="shared" si="2188"/>
        <v>635</v>
      </c>
      <c r="E1751" s="217" t="str">
        <f t="shared" si="2189"/>
        <v>100-63-635</v>
      </c>
      <c r="F1751" s="294" t="str">
        <f t="shared" si="2190"/>
        <v>51225</v>
      </c>
      <c r="G1751" s="295" t="str">
        <f>VLOOKUP(F1751,'GL Category'!A:C,3,FALSE)</f>
        <v>Operations &amp; maintenance</v>
      </c>
      <c r="H1751" s="98" t="str">
        <f>VLOOKUP(F1751,'GL Category'!A:C,2,FALSE)</f>
        <v>JANITORIAL SUPPLIES</v>
      </c>
      <c r="I1751" s="99">
        <f>SUMIF(Import!$B:$B,$A1751,Import!D:D)</f>
        <v>5261.68</v>
      </c>
      <c r="J1751" s="99">
        <f>SUMIF(Import!$B:$B,$A1751,Import!E:E)</f>
        <v>6332.83</v>
      </c>
      <c r="K1751" s="99">
        <f>SUMIF(Import!$B:$B,$A1751,Import!F:F)</f>
        <v>5258.07</v>
      </c>
      <c r="L1751" s="99">
        <f>SUMIF(Import!$B:$B,$A1751,Import!G:G)</f>
        <v>7207.6</v>
      </c>
      <c r="M1751" s="99">
        <f>SUMIF(Import!$B:$B,$A1751,Import!H:H)</f>
        <v>6500</v>
      </c>
      <c r="N1751" s="99">
        <f>SUMIF(Import!$B:$B,$A1751,Import!I:I)</f>
        <v>3157.57</v>
      </c>
      <c r="O1751" s="99">
        <f>SUMIF(Import!$B:$B,$A1751,Import!J:J)</f>
        <v>6500</v>
      </c>
      <c r="P1751" s="99">
        <f t="shared" ref="P1751:P1762" si="2214">O1751-M1751</f>
        <v>0</v>
      </c>
      <c r="Q1751" s="99">
        <f>SUMIF(Import!$B:$B,$A1751,Import!K:K)</f>
        <v>8000</v>
      </c>
      <c r="R1751" s="99">
        <f>SUMIF(Import!$B:$B,$A1751,Import!L:L)</f>
        <v>0</v>
      </c>
      <c r="S1751" s="99">
        <f>SUMIF(Import!$B:$B,$A1751,Import!M:M)</f>
        <v>0</v>
      </c>
      <c r="T1751" s="99">
        <f>SUMIF(Import!$B:$B,$A1751,Import!N:N)</f>
        <v>8000</v>
      </c>
      <c r="U1751" s="99">
        <f t="shared" ref="U1751:U1762" si="2215">T1751-M1751</f>
        <v>1500</v>
      </c>
      <c r="V1751" s="255">
        <f t="shared" ref="V1751:V1762" si="2216">IF(M1751=0,"N/A",T1751/M1751-1)</f>
        <v>0.23076923076923084</v>
      </c>
      <c r="W1751" s="102" t="s">
        <v>3052</v>
      </c>
      <c r="X1751" s="102"/>
      <c r="Y1751" s="102"/>
      <c r="AA1751" s="615"/>
      <c r="AB1751" s="192"/>
      <c r="AC1751" s="192"/>
      <c r="AD1751" s="192"/>
      <c r="AE1751" s="192"/>
      <c r="AF1751" s="192"/>
      <c r="AG1751" s="192"/>
      <c r="AH1751" s="192"/>
      <c r="AI1751" s="192"/>
      <c r="AJ1751" s="192"/>
      <c r="AK1751" s="192"/>
      <c r="AL1751" s="192"/>
      <c r="AM1751" s="192"/>
      <c r="AN1751" s="192"/>
      <c r="AR1751" s="192"/>
      <c r="AS1751" s="192"/>
      <c r="AT1751" s="192"/>
      <c r="AU1751" s="192"/>
      <c r="AV1751" s="192"/>
      <c r="AW1751" s="192"/>
    </row>
    <row r="1752" spans="1:49" ht="15" customHeight="1">
      <c r="A1752" s="555" t="s">
        <v>3053</v>
      </c>
      <c r="B1752" s="217" t="str">
        <f t="shared" si="2186"/>
        <v>100</v>
      </c>
      <c r="C1752" s="217" t="str">
        <f t="shared" si="2187"/>
        <v>63</v>
      </c>
      <c r="D1752" s="101" t="str">
        <f t="shared" si="2188"/>
        <v>635</v>
      </c>
      <c r="E1752" s="217" t="str">
        <f t="shared" si="2189"/>
        <v>100-63-635</v>
      </c>
      <c r="F1752" s="294" t="str">
        <f t="shared" si="2190"/>
        <v>51245</v>
      </c>
      <c r="G1752" s="295" t="str">
        <f>VLOOKUP(F1752,'GL Category'!A:C,3,FALSE)</f>
        <v>Operations &amp; maintenance</v>
      </c>
      <c r="H1752" s="98" t="str">
        <f>VLOOKUP(F1752,'GL Category'!A:C,2,FALSE)</f>
        <v>SMALL TOOLS &amp; EQUIPMENT</v>
      </c>
      <c r="I1752" s="99">
        <f>SUMIF(Import!$B:$B,$A1752,Import!D:D)</f>
        <v>741.77</v>
      </c>
      <c r="J1752" s="99">
        <f>SUMIF(Import!$B:$B,$A1752,Import!E:E)</f>
        <v>2146.21</v>
      </c>
      <c r="K1752" s="99">
        <f>SUMIF(Import!$B:$B,$A1752,Import!F:F)</f>
        <v>2841.69</v>
      </c>
      <c r="L1752" s="99">
        <f>SUMIF(Import!$B:$B,$A1752,Import!G:G)</f>
        <v>2412.9</v>
      </c>
      <c r="M1752" s="99">
        <f>SUMIF(Import!$B:$B,$A1752,Import!H:H)</f>
        <v>3000</v>
      </c>
      <c r="N1752" s="99">
        <f>SUMIF(Import!$B:$B,$A1752,Import!I:I)</f>
        <v>238.97</v>
      </c>
      <c r="O1752" s="99">
        <f>SUMIF(Import!$B:$B,$A1752,Import!J:J)</f>
        <v>2500</v>
      </c>
      <c r="P1752" s="99">
        <f t="shared" si="2214"/>
        <v>-500</v>
      </c>
      <c r="Q1752" s="99">
        <f>SUMIF(Import!$B:$B,$A1752,Import!K:K)</f>
        <v>2500</v>
      </c>
      <c r="R1752" s="99">
        <f>SUMIF(Import!$B:$B,$A1752,Import!L:L)</f>
        <v>0</v>
      </c>
      <c r="S1752" s="99">
        <f>SUMIF(Import!$B:$B,$A1752,Import!M:M)</f>
        <v>0</v>
      </c>
      <c r="T1752" s="99">
        <f>SUMIF(Import!$B:$B,$A1752,Import!N:N)</f>
        <v>2500</v>
      </c>
      <c r="U1752" s="99">
        <f t="shared" si="2215"/>
        <v>-500</v>
      </c>
      <c r="V1752" s="255">
        <f t="shared" si="2216"/>
        <v>-0.16666666666666663</v>
      </c>
      <c r="W1752" s="102" t="s">
        <v>3053</v>
      </c>
      <c r="X1752" s="102"/>
      <c r="Y1752" s="102"/>
      <c r="AA1752" s="615"/>
      <c r="AB1752" s="195"/>
      <c r="AC1752" s="310"/>
      <c r="AD1752" s="310"/>
      <c r="AE1752" s="310"/>
      <c r="AF1752" s="310"/>
      <c r="AG1752" s="310"/>
      <c r="AH1752" s="88"/>
      <c r="AI1752" s="195"/>
      <c r="AJ1752" s="311"/>
      <c r="AK1752" s="311"/>
      <c r="AL1752" s="311"/>
      <c r="AM1752" s="311"/>
      <c r="AN1752" s="311"/>
      <c r="AO1752" s="311"/>
      <c r="AP1752" s="311"/>
      <c r="AQ1752" s="311"/>
      <c r="AR1752" s="192"/>
      <c r="AS1752" s="192"/>
      <c r="AT1752" s="192"/>
      <c r="AU1752" s="192"/>
      <c r="AV1752" s="192"/>
      <c r="AW1752" s="192"/>
    </row>
    <row r="1753" spans="1:49" ht="15" customHeight="1">
      <c r="A1753" s="555" t="s">
        <v>3054</v>
      </c>
      <c r="B1753" s="217" t="str">
        <f t="shared" si="2186"/>
        <v>100</v>
      </c>
      <c r="C1753" s="217" t="str">
        <f t="shared" si="2187"/>
        <v>63</v>
      </c>
      <c r="D1753" s="101" t="str">
        <f t="shared" si="2188"/>
        <v>635</v>
      </c>
      <c r="E1753" s="217" t="str">
        <f t="shared" si="2189"/>
        <v>100-63-635</v>
      </c>
      <c r="F1753" s="294" t="str">
        <f t="shared" si="2190"/>
        <v>51255</v>
      </c>
      <c r="G1753" s="295" t="str">
        <f>VLOOKUP(F1753,'GL Category'!A:C,3,FALSE)</f>
        <v>Operations &amp; maintenance</v>
      </c>
      <c r="H1753" s="98" t="str">
        <f>VLOOKUP(F1753,'GL Category'!A:C,2,FALSE)</f>
        <v>FUEL/OILS/LUBRICANTS</v>
      </c>
      <c r="I1753" s="99">
        <f>SUMIF(Import!$B:$B,$A1753,Import!D:D)</f>
        <v>4622.3500000000004</v>
      </c>
      <c r="J1753" s="99">
        <f>SUMIF(Import!$B:$B,$A1753,Import!E:E)</f>
        <v>9229.2900000000009</v>
      </c>
      <c r="K1753" s="99">
        <f>SUMIF(Import!$B:$B,$A1753,Import!F:F)</f>
        <v>14108.08</v>
      </c>
      <c r="L1753" s="99">
        <f>SUMIF(Import!$B:$B,$A1753,Import!G:G)</f>
        <v>7384.6</v>
      </c>
      <c r="M1753" s="99">
        <f>SUMIF(Import!$B:$B,$A1753,Import!H:H)</f>
        <v>12000</v>
      </c>
      <c r="N1753" s="99">
        <f>SUMIF(Import!$B:$B,$A1753,Import!I:I)</f>
        <v>6345.4</v>
      </c>
      <c r="O1753" s="99">
        <f>SUMIF(Import!$B:$B,$A1753,Import!J:J)</f>
        <v>11000</v>
      </c>
      <c r="P1753" s="99">
        <f t="shared" si="2214"/>
        <v>-1000</v>
      </c>
      <c r="Q1753" s="99">
        <f>SUMIF(Import!$B:$B,$A1753,Import!K:K)</f>
        <v>11000</v>
      </c>
      <c r="R1753" s="99">
        <f>SUMIF(Import!$B:$B,$A1753,Import!L:L)</f>
        <v>0</v>
      </c>
      <c r="S1753" s="99">
        <f>SUMIF(Import!$B:$B,$A1753,Import!M:M)</f>
        <v>0</v>
      </c>
      <c r="T1753" s="99">
        <f>SUMIF(Import!$B:$B,$A1753,Import!N:N)</f>
        <v>11000</v>
      </c>
      <c r="U1753" s="99">
        <f t="shared" si="2215"/>
        <v>-1000</v>
      </c>
      <c r="V1753" s="255">
        <f t="shared" si="2216"/>
        <v>-8.333333333333337E-2</v>
      </c>
      <c r="W1753" s="102" t="s">
        <v>3054</v>
      </c>
      <c r="X1753" s="102"/>
      <c r="Y1753" s="102"/>
      <c r="AA1753" s="615"/>
      <c r="AB1753" s="192"/>
      <c r="AC1753" s="312"/>
      <c r="AD1753" s="312"/>
      <c r="AE1753" s="312"/>
      <c r="AF1753" s="312"/>
      <c r="AG1753" s="312"/>
      <c r="AH1753" s="192"/>
      <c r="AI1753" s="192"/>
      <c r="AJ1753" s="194"/>
      <c r="AK1753" s="194"/>
      <c r="AL1753" s="194"/>
      <c r="AM1753" s="194"/>
      <c r="AN1753" s="194"/>
      <c r="AO1753" s="194"/>
      <c r="AP1753" s="194"/>
      <c r="AQ1753" s="194"/>
      <c r="AR1753" s="192"/>
      <c r="AS1753" s="192"/>
      <c r="AT1753" s="192"/>
      <c r="AU1753" s="192"/>
      <c r="AV1753" s="192"/>
      <c r="AW1753" s="192"/>
    </row>
    <row r="1754" spans="1:49" ht="15" customHeight="1">
      <c r="A1754" s="555" t="s">
        <v>3055</v>
      </c>
      <c r="B1754" s="217" t="str">
        <f t="shared" si="2186"/>
        <v>100</v>
      </c>
      <c r="C1754" s="217" t="str">
        <f t="shared" si="2187"/>
        <v>63</v>
      </c>
      <c r="D1754" s="101" t="str">
        <f t="shared" si="2188"/>
        <v>635</v>
      </c>
      <c r="E1754" s="217" t="str">
        <f t="shared" si="2189"/>
        <v>100-63-635</v>
      </c>
      <c r="F1754" s="294" t="str">
        <f t="shared" si="2190"/>
        <v>51270</v>
      </c>
      <c r="G1754" s="295" t="str">
        <f>VLOOKUP(F1754,'GL Category'!A:C,3,FALSE)</f>
        <v>Operations &amp; maintenance</v>
      </c>
      <c r="H1754" s="98" t="str">
        <f>VLOOKUP(F1754,'GL Category'!A:C,2,FALSE)</f>
        <v>CHEMICAL SUPPLIES</v>
      </c>
      <c r="I1754" s="99">
        <f>SUMIF(Import!$B:$B,$A1754,Import!D:D)</f>
        <v>1503.18</v>
      </c>
      <c r="J1754" s="99">
        <f>SUMIF(Import!$B:$B,$A1754,Import!E:E)</f>
        <v>906.82</v>
      </c>
      <c r="K1754" s="99">
        <f>SUMIF(Import!$B:$B,$A1754,Import!F:F)</f>
        <v>1161.49</v>
      </c>
      <c r="L1754" s="99">
        <f>SUMIF(Import!$B:$B,$A1754,Import!G:G)</f>
        <v>328.7</v>
      </c>
      <c r="M1754" s="99">
        <f>SUMIF(Import!$B:$B,$A1754,Import!H:H)</f>
        <v>1500</v>
      </c>
      <c r="N1754" s="99">
        <f>SUMIF(Import!$B:$B,$A1754,Import!I:I)</f>
        <v>235.11</v>
      </c>
      <c r="O1754" s="99">
        <f>SUMIF(Import!$B:$B,$A1754,Import!J:J)</f>
        <v>750</v>
      </c>
      <c r="P1754" s="99">
        <f t="shared" si="2214"/>
        <v>-750</v>
      </c>
      <c r="Q1754" s="99">
        <f>SUMIF(Import!$B:$B,$A1754,Import!K:K)</f>
        <v>750</v>
      </c>
      <c r="R1754" s="99">
        <f>SUMIF(Import!$B:$B,$A1754,Import!L:L)</f>
        <v>0</v>
      </c>
      <c r="S1754" s="99">
        <f>SUMIF(Import!$B:$B,$A1754,Import!M:M)</f>
        <v>0</v>
      </c>
      <c r="T1754" s="99">
        <f>SUMIF(Import!$B:$B,$A1754,Import!N:N)</f>
        <v>750</v>
      </c>
      <c r="U1754" s="99">
        <f t="shared" si="2215"/>
        <v>-750</v>
      </c>
      <c r="V1754" s="255">
        <f t="shared" si="2216"/>
        <v>-0.5</v>
      </c>
      <c r="W1754" s="102" t="s">
        <v>3055</v>
      </c>
      <c r="X1754" s="102"/>
      <c r="Y1754" s="102"/>
      <c r="AA1754" s="615"/>
      <c r="AB1754" s="192"/>
      <c r="AC1754" s="312"/>
      <c r="AD1754" s="312"/>
      <c r="AE1754" s="312"/>
      <c r="AF1754" s="312"/>
      <c r="AG1754" s="312"/>
      <c r="AH1754" s="192"/>
      <c r="AI1754" s="192"/>
      <c r="AJ1754" s="194"/>
      <c r="AK1754" s="194"/>
      <c r="AL1754" s="194"/>
      <c r="AM1754" s="194"/>
      <c r="AN1754" s="194"/>
      <c r="AO1754" s="194"/>
      <c r="AP1754" s="194"/>
      <c r="AQ1754" s="194"/>
      <c r="AR1754" s="192"/>
      <c r="AS1754" s="192"/>
      <c r="AT1754" s="192"/>
      <c r="AU1754" s="192"/>
      <c r="AV1754" s="192"/>
      <c r="AW1754" s="192"/>
    </row>
    <row r="1755" spans="1:49" ht="15" customHeight="1">
      <c r="A1755" s="555" t="s">
        <v>3056</v>
      </c>
      <c r="B1755" s="217" t="str">
        <f t="shared" si="2186"/>
        <v>100</v>
      </c>
      <c r="C1755" s="217" t="str">
        <f t="shared" si="2187"/>
        <v>63</v>
      </c>
      <c r="D1755" s="101" t="str">
        <f t="shared" si="2188"/>
        <v>635</v>
      </c>
      <c r="E1755" s="217" t="str">
        <f t="shared" si="2189"/>
        <v>100-63-635</v>
      </c>
      <c r="F1755" s="294" t="str">
        <f t="shared" si="2190"/>
        <v>51285</v>
      </c>
      <c r="G1755" s="295" t="str">
        <f>VLOOKUP(F1755,'GL Category'!A:C,3,FALSE)</f>
        <v>Operations &amp; maintenance</v>
      </c>
      <c r="H1755" s="98" t="str">
        <f>VLOOKUP(F1755,'GL Category'!A:C,2,FALSE)</f>
        <v>WEARING APPAREL</v>
      </c>
      <c r="I1755" s="99">
        <f>SUMIF(Import!$B:$B,$A1755,Import!D:D)</f>
        <v>1595.49</v>
      </c>
      <c r="J1755" s="99">
        <f>SUMIF(Import!$B:$B,$A1755,Import!E:E)</f>
        <v>2440.3200000000002</v>
      </c>
      <c r="K1755" s="99">
        <f>SUMIF(Import!$B:$B,$A1755,Import!F:F)</f>
        <v>2475.42</v>
      </c>
      <c r="L1755" s="99">
        <f>SUMIF(Import!$B:$B,$A1755,Import!G:G)</f>
        <v>1794.65</v>
      </c>
      <c r="M1755" s="99">
        <f>SUMIF(Import!$B:$B,$A1755,Import!H:H)</f>
        <v>2500</v>
      </c>
      <c r="N1755" s="99">
        <f>SUMIF(Import!$B:$B,$A1755,Import!I:I)</f>
        <v>2313.7800000000002</v>
      </c>
      <c r="O1755" s="99">
        <f>SUMIF(Import!$B:$B,$A1755,Import!J:J)</f>
        <v>3500</v>
      </c>
      <c r="P1755" s="99">
        <f t="shared" si="2214"/>
        <v>1000</v>
      </c>
      <c r="Q1755" s="99">
        <f>SUMIF(Import!$B:$B,$A1755,Import!K:K)</f>
        <v>2500</v>
      </c>
      <c r="R1755" s="99">
        <f>SUMIF(Import!$B:$B,$A1755,Import!L:L)</f>
        <v>0</v>
      </c>
      <c r="S1755" s="99">
        <f>SUMIF(Import!$B:$B,$A1755,Import!M:M)</f>
        <v>0</v>
      </c>
      <c r="T1755" s="99">
        <f>SUMIF(Import!$B:$B,$A1755,Import!N:N)</f>
        <v>2500</v>
      </c>
      <c r="U1755" s="99">
        <f t="shared" si="2215"/>
        <v>0</v>
      </c>
      <c r="V1755" s="255">
        <f t="shared" si="2216"/>
        <v>0</v>
      </c>
      <c r="W1755" s="102" t="s">
        <v>3056</v>
      </c>
      <c r="X1755" s="102"/>
      <c r="Y1755" s="102"/>
      <c r="AA1755" s="615"/>
      <c r="AB1755" s="192"/>
      <c r="AC1755" s="312"/>
      <c r="AD1755" s="312"/>
      <c r="AE1755" s="312"/>
      <c r="AF1755" s="312"/>
      <c r="AG1755" s="312"/>
      <c r="AH1755" s="192"/>
      <c r="AI1755" s="192"/>
      <c r="AJ1755" s="194"/>
      <c r="AK1755" s="194"/>
      <c r="AL1755" s="194"/>
      <c r="AM1755" s="194"/>
      <c r="AN1755" s="194"/>
      <c r="AO1755" s="194"/>
      <c r="AP1755" s="194"/>
      <c r="AQ1755" s="194"/>
      <c r="AR1755" s="192"/>
      <c r="AS1755" s="192"/>
      <c r="AT1755" s="192"/>
      <c r="AU1755" s="192"/>
      <c r="AV1755" s="192"/>
      <c r="AW1755" s="192"/>
    </row>
    <row r="1756" spans="1:49" ht="15" customHeight="1">
      <c r="A1756" s="555" t="s">
        <v>3057</v>
      </c>
      <c r="B1756" s="217" t="str">
        <f t="shared" si="2186"/>
        <v>100</v>
      </c>
      <c r="C1756" s="217" t="str">
        <f t="shared" si="2187"/>
        <v>63</v>
      </c>
      <c r="D1756" s="101" t="str">
        <f t="shared" si="2188"/>
        <v>635</v>
      </c>
      <c r="E1756" s="217" t="str">
        <f t="shared" si="2189"/>
        <v>100-63-635</v>
      </c>
      <c r="F1756" s="294" t="str">
        <f t="shared" si="2190"/>
        <v>51287</v>
      </c>
      <c r="G1756" s="295" t="str">
        <f>VLOOKUP(F1756,'GL Category'!A:C,3,FALSE)</f>
        <v>Operations &amp; maintenance</v>
      </c>
      <c r="H1756" s="98" t="str">
        <f>VLOOKUP(F1756,'GL Category'!A:C,2,FALSE)</f>
        <v>SAFETY EQUIPMENT/SUPPLIES</v>
      </c>
      <c r="I1756" s="99">
        <f>SUMIF(Import!$B:$B,$A1756,Import!D:D)</f>
        <v>928.95</v>
      </c>
      <c r="J1756" s="99">
        <f>SUMIF(Import!$B:$B,$A1756,Import!E:E)</f>
        <v>427.4</v>
      </c>
      <c r="K1756" s="99">
        <f>SUMIF(Import!$B:$B,$A1756,Import!F:F)</f>
        <v>2074.42</v>
      </c>
      <c r="L1756" s="99">
        <f>SUMIF(Import!$B:$B,$A1756,Import!G:G)</f>
        <v>1909.56</v>
      </c>
      <c r="M1756" s="99">
        <f>SUMIF(Import!$B:$B,$A1756,Import!H:H)</f>
        <v>1000</v>
      </c>
      <c r="N1756" s="99">
        <f>SUMIF(Import!$B:$B,$A1756,Import!I:I)</f>
        <v>1448.08</v>
      </c>
      <c r="O1756" s="99">
        <f>SUMIF(Import!$B:$B,$A1756,Import!J:J)</f>
        <v>1900</v>
      </c>
      <c r="P1756" s="99">
        <f t="shared" si="2214"/>
        <v>900</v>
      </c>
      <c r="Q1756" s="99">
        <f>SUMIF(Import!$B:$B,$A1756,Import!K:K)</f>
        <v>2000</v>
      </c>
      <c r="R1756" s="99">
        <f>SUMIF(Import!$B:$B,$A1756,Import!L:L)</f>
        <v>0</v>
      </c>
      <c r="S1756" s="99">
        <f>SUMIF(Import!$B:$B,$A1756,Import!M:M)</f>
        <v>0</v>
      </c>
      <c r="T1756" s="99">
        <f>SUMIF(Import!$B:$B,$A1756,Import!N:N)</f>
        <v>2000</v>
      </c>
      <c r="U1756" s="99">
        <f t="shared" si="2215"/>
        <v>1000</v>
      </c>
      <c r="V1756" s="255">
        <f t="shared" si="2216"/>
        <v>1</v>
      </c>
      <c r="W1756" s="102" t="s">
        <v>3057</v>
      </c>
      <c r="X1756" s="102"/>
      <c r="Y1756" s="102"/>
      <c r="AA1756" s="615"/>
      <c r="AB1756" s="192"/>
      <c r="AC1756" s="312"/>
      <c r="AD1756" s="312"/>
      <c r="AE1756" s="312"/>
      <c r="AF1756" s="312"/>
      <c r="AG1756" s="312"/>
      <c r="AH1756" s="192"/>
      <c r="AI1756" s="192"/>
      <c r="AJ1756" s="194"/>
      <c r="AK1756" s="194"/>
      <c r="AL1756" s="194"/>
      <c r="AM1756" s="194"/>
      <c r="AN1756" s="194"/>
      <c r="AO1756" s="194"/>
      <c r="AP1756" s="194"/>
      <c r="AQ1756" s="194"/>
      <c r="AR1756" s="192"/>
      <c r="AS1756" s="192"/>
      <c r="AT1756" s="192"/>
      <c r="AU1756" s="192"/>
      <c r="AV1756" s="192"/>
      <c r="AW1756" s="192"/>
    </row>
    <row r="1757" spans="1:49" ht="15" customHeight="1">
      <c r="A1757" s="555" t="s">
        <v>3058</v>
      </c>
      <c r="B1757" s="217" t="str">
        <f t="shared" si="2186"/>
        <v>100</v>
      </c>
      <c r="C1757" s="217" t="str">
        <f t="shared" si="2187"/>
        <v>63</v>
      </c>
      <c r="D1757" s="101" t="str">
        <f t="shared" si="2188"/>
        <v>635</v>
      </c>
      <c r="E1757" s="217" t="str">
        <f t="shared" si="2189"/>
        <v>100-63-635</v>
      </c>
      <c r="F1757" s="294" t="str">
        <f t="shared" si="2190"/>
        <v>51299</v>
      </c>
      <c r="G1757" s="295" t="str">
        <f>VLOOKUP(F1757,'GL Category'!A:C,3,FALSE)</f>
        <v>Operations &amp; maintenance</v>
      </c>
      <c r="H1757" s="98" t="str">
        <f>VLOOKUP(F1757,'GL Category'!A:C,2,FALSE)</f>
        <v>MISCELLANEOUS SUPPLIES</v>
      </c>
      <c r="I1757" s="99">
        <f>SUMIF(Import!$B:$B,$A1757,Import!D:D)</f>
        <v>686.37</v>
      </c>
      <c r="J1757" s="99">
        <f>SUMIF(Import!$B:$B,$A1757,Import!E:E)</f>
        <v>0</v>
      </c>
      <c r="K1757" s="99">
        <f>SUMIF(Import!$B:$B,$A1757,Import!F:F)</f>
        <v>0</v>
      </c>
      <c r="L1757" s="99">
        <f>SUMIF(Import!$B:$B,$A1757,Import!G:G)</f>
        <v>0</v>
      </c>
      <c r="M1757" s="99">
        <f>SUMIF(Import!$B:$B,$A1757,Import!H:H)</f>
        <v>0</v>
      </c>
      <c r="N1757" s="99">
        <f>SUMIF(Import!$B:$B,$A1757,Import!I:I)</f>
        <v>0</v>
      </c>
      <c r="O1757" s="99">
        <f>SUMIF(Import!$B:$B,$A1757,Import!J:J)</f>
        <v>0</v>
      </c>
      <c r="P1757" s="99">
        <f t="shared" si="2214"/>
        <v>0</v>
      </c>
      <c r="Q1757" s="99">
        <f>SUMIF(Import!$B:$B,$A1757,Import!K:K)</f>
        <v>0</v>
      </c>
      <c r="R1757" s="99">
        <f>SUMIF(Import!$B:$B,$A1757,Import!L:L)</f>
        <v>0</v>
      </c>
      <c r="S1757" s="99">
        <f>SUMIF(Import!$B:$B,$A1757,Import!M:M)</f>
        <v>0</v>
      </c>
      <c r="T1757" s="99">
        <f>SUMIF(Import!$B:$B,$A1757,Import!N:N)</f>
        <v>0</v>
      </c>
      <c r="U1757" s="99">
        <f t="shared" si="2215"/>
        <v>0</v>
      </c>
      <c r="V1757" s="255" t="str">
        <f t="shared" si="2216"/>
        <v>N/A</v>
      </c>
      <c r="W1757" s="102" t="s">
        <v>3058</v>
      </c>
      <c r="X1757" s="102"/>
      <c r="Y1757" s="102"/>
      <c r="AA1757" s="615"/>
      <c r="AB1757" s="192"/>
      <c r="AC1757" s="312"/>
      <c r="AD1757" s="312"/>
      <c r="AE1757" s="312"/>
      <c r="AF1757" s="312"/>
      <c r="AG1757" s="312"/>
      <c r="AH1757" s="192"/>
      <c r="AI1757" s="192"/>
      <c r="AJ1757" s="194"/>
      <c r="AK1757" s="194"/>
      <c r="AL1757" s="194"/>
      <c r="AM1757" s="194"/>
      <c r="AN1757" s="194"/>
      <c r="AO1757" s="194"/>
      <c r="AP1757" s="194"/>
      <c r="AQ1757" s="194"/>
      <c r="AR1757" s="192"/>
      <c r="AS1757" s="192"/>
      <c r="AT1757" s="192"/>
      <c r="AU1757" s="192"/>
      <c r="AV1757" s="192"/>
      <c r="AW1757" s="192"/>
    </row>
    <row r="1758" spans="1:49" ht="15" customHeight="1">
      <c r="A1758" s="555" t="s">
        <v>3059</v>
      </c>
      <c r="B1758" s="217" t="str">
        <f t="shared" si="2186"/>
        <v>100</v>
      </c>
      <c r="C1758" s="217" t="str">
        <f t="shared" si="2187"/>
        <v>63</v>
      </c>
      <c r="D1758" s="101" t="str">
        <f t="shared" si="2188"/>
        <v>635</v>
      </c>
      <c r="E1758" s="217" t="str">
        <f t="shared" si="2189"/>
        <v>100-63-635</v>
      </c>
      <c r="F1758" s="294" t="str">
        <f t="shared" si="2190"/>
        <v>52310</v>
      </c>
      <c r="G1758" s="295" t="str">
        <f>VLOOKUP(F1758,'GL Category'!A:C,3,FALSE)</f>
        <v>Operations &amp; maintenance</v>
      </c>
      <c r="H1758" s="98" t="str">
        <f>VLOOKUP(F1758,'GL Category'!A:C,2,FALSE)</f>
        <v>BUILDING MAINTENANCE</v>
      </c>
      <c r="I1758" s="99">
        <f>SUMIF(Import!$B:$B,$A1758,Import!D:D)</f>
        <v>14055.93</v>
      </c>
      <c r="J1758" s="99">
        <f>SUMIF(Import!$B:$B,$A1758,Import!E:E)</f>
        <v>17004.48</v>
      </c>
      <c r="K1758" s="99">
        <f>SUMIF(Import!$B:$B,$A1758,Import!F:F)</f>
        <v>9406.27</v>
      </c>
      <c r="L1758" s="99">
        <f>SUMIF(Import!$B:$B,$A1758,Import!G:G)</f>
        <v>8022.86</v>
      </c>
      <c r="M1758" s="99">
        <f>SUMIF(Import!$B:$B,$A1758,Import!H:H)</f>
        <v>9000</v>
      </c>
      <c r="N1758" s="99">
        <f>SUMIF(Import!$B:$B,$A1758,Import!I:I)</f>
        <v>11244.51</v>
      </c>
      <c r="O1758" s="99">
        <f>SUMIF(Import!$B:$B,$A1758,Import!J:J)</f>
        <v>11500</v>
      </c>
      <c r="P1758" s="99">
        <f t="shared" si="2214"/>
        <v>2500</v>
      </c>
      <c r="Q1758" s="99">
        <f>SUMIF(Import!$B:$B,$A1758,Import!K:K)</f>
        <v>9000</v>
      </c>
      <c r="R1758" s="99">
        <f>SUMIF(Import!$B:$B,$A1758,Import!L:L)</f>
        <v>0</v>
      </c>
      <c r="S1758" s="99">
        <f>SUMIF(Import!$B:$B,$A1758,Import!M:M)</f>
        <v>0</v>
      </c>
      <c r="T1758" s="99">
        <f>SUMIF(Import!$B:$B,$A1758,Import!N:N)</f>
        <v>9000</v>
      </c>
      <c r="U1758" s="99">
        <f t="shared" si="2215"/>
        <v>0</v>
      </c>
      <c r="V1758" s="255">
        <f t="shared" si="2216"/>
        <v>0</v>
      </c>
      <c r="W1758" s="102" t="s">
        <v>3059</v>
      </c>
      <c r="X1758" s="102"/>
      <c r="Y1758" s="102"/>
      <c r="AA1758" s="615"/>
      <c r="AB1758" s="192"/>
      <c r="AC1758" s="312"/>
      <c r="AD1758" s="312"/>
      <c r="AE1758" s="312"/>
      <c r="AF1758" s="312"/>
      <c r="AG1758" s="312"/>
      <c r="AH1758" s="192"/>
      <c r="AI1758" s="192"/>
      <c r="AJ1758" s="194"/>
      <c r="AK1758" s="194"/>
      <c r="AL1758" s="194"/>
      <c r="AM1758" s="194"/>
      <c r="AN1758" s="194"/>
      <c r="AO1758" s="194"/>
      <c r="AP1758" s="194"/>
      <c r="AQ1758" s="194"/>
      <c r="AR1758" s="192"/>
      <c r="AS1758" s="192"/>
      <c r="AT1758" s="192"/>
      <c r="AU1758" s="192"/>
      <c r="AV1758" s="192"/>
      <c r="AW1758" s="192"/>
    </row>
    <row r="1759" spans="1:49" ht="15" customHeight="1">
      <c r="A1759" s="555" t="s">
        <v>3060</v>
      </c>
      <c r="B1759" s="217" t="str">
        <f t="shared" si="2186"/>
        <v>100</v>
      </c>
      <c r="C1759" s="217" t="str">
        <f t="shared" si="2187"/>
        <v>63</v>
      </c>
      <c r="D1759" s="101" t="str">
        <f t="shared" si="2188"/>
        <v>635</v>
      </c>
      <c r="E1759" s="217" t="str">
        <f t="shared" si="2189"/>
        <v>100-63-635</v>
      </c>
      <c r="F1759" s="294" t="str">
        <f t="shared" si="2190"/>
        <v>52311</v>
      </c>
      <c r="G1759" s="295" t="str">
        <f>VLOOKUP(F1759,'GL Category'!A:C,3,FALSE)</f>
        <v>Operations &amp; maintenance</v>
      </c>
      <c r="H1759" s="98" t="str">
        <f>VLOOKUP(F1759,'GL Category'!A:C,2,FALSE)</f>
        <v>GROUNDS MAINTENANCE</v>
      </c>
      <c r="I1759" s="99">
        <f>SUMIF(Import!$B:$B,$A1759,Import!D:D)</f>
        <v>48966.080000000002</v>
      </c>
      <c r="J1759" s="99">
        <f>SUMIF(Import!$B:$B,$A1759,Import!E:E)</f>
        <v>99463.34</v>
      </c>
      <c r="K1759" s="99">
        <f>SUMIF(Import!$B:$B,$A1759,Import!F:F)</f>
        <v>59593.14</v>
      </c>
      <c r="L1759" s="99">
        <f>SUMIF(Import!$B:$B,$A1759,Import!G:G)</f>
        <v>69350.399999999994</v>
      </c>
      <c r="M1759" s="99">
        <f>SUMIF(Import!$B:$B,$A1759,Import!H:H)</f>
        <v>68000</v>
      </c>
      <c r="N1759" s="99">
        <f>SUMIF(Import!$B:$B,$A1759,Import!I:I)</f>
        <v>41507.1</v>
      </c>
      <c r="O1759" s="99">
        <f>SUMIF(Import!$B:$B,$A1759,Import!J:J)</f>
        <v>68000</v>
      </c>
      <c r="P1759" s="99">
        <f t="shared" si="2214"/>
        <v>0</v>
      </c>
      <c r="Q1759" s="99">
        <f>SUMIF(Import!$B:$B,$A1759,Import!K:K)</f>
        <v>68000</v>
      </c>
      <c r="R1759" s="99">
        <f>SUMIF(Import!$B:$B,$A1759,Import!L:L)</f>
        <v>0</v>
      </c>
      <c r="S1759" s="99">
        <f>SUMIF(Import!$B:$B,$A1759,Import!M:M)</f>
        <v>0</v>
      </c>
      <c r="T1759" s="99">
        <f>SUMIF(Import!$B:$B,$A1759,Import!N:N)</f>
        <v>68000</v>
      </c>
      <c r="U1759" s="99">
        <f t="shared" si="2215"/>
        <v>0</v>
      </c>
      <c r="V1759" s="255">
        <f t="shared" si="2216"/>
        <v>0</v>
      </c>
      <c r="W1759" s="102" t="s">
        <v>3060</v>
      </c>
      <c r="X1759" s="102"/>
      <c r="Y1759" s="102"/>
      <c r="AA1759" s="615"/>
      <c r="AB1759" s="192"/>
      <c r="AC1759" s="312"/>
      <c r="AD1759" s="312"/>
      <c r="AE1759" s="312"/>
      <c r="AF1759" s="312"/>
      <c r="AG1759" s="312"/>
      <c r="AH1759" s="192"/>
      <c r="AI1759" s="192"/>
      <c r="AJ1759" s="194"/>
      <c r="AK1759" s="194"/>
      <c r="AL1759" s="194"/>
      <c r="AM1759" s="194"/>
      <c r="AN1759" s="194"/>
      <c r="AO1759" s="194"/>
      <c r="AP1759" s="194"/>
      <c r="AQ1759" s="194"/>
      <c r="AR1759" s="192"/>
      <c r="AS1759" s="192"/>
      <c r="AT1759" s="192"/>
      <c r="AU1759" s="192"/>
      <c r="AV1759" s="192"/>
      <c r="AW1759" s="192"/>
    </row>
    <row r="1760" spans="1:49" ht="15" customHeight="1">
      <c r="A1760" s="555" t="s">
        <v>3061</v>
      </c>
      <c r="B1760" s="217" t="str">
        <f t="shared" si="2186"/>
        <v>100</v>
      </c>
      <c r="C1760" s="217" t="str">
        <f t="shared" si="2187"/>
        <v>63</v>
      </c>
      <c r="D1760" s="101" t="str">
        <f t="shared" si="2188"/>
        <v>635</v>
      </c>
      <c r="E1760" s="217" t="str">
        <f t="shared" si="2189"/>
        <v>100-63-635</v>
      </c>
      <c r="F1760" s="294" t="str">
        <f t="shared" si="2190"/>
        <v>52350</v>
      </c>
      <c r="G1760" s="295" t="str">
        <f>VLOOKUP(F1760,'GL Category'!A:C,3,FALSE)</f>
        <v>Operations &amp; maintenance</v>
      </c>
      <c r="H1760" s="98" t="str">
        <f>VLOOKUP(F1760,'GL Category'!A:C,2,FALSE)</f>
        <v>SIGN &amp; SIGNAL MAINTENANCE</v>
      </c>
      <c r="I1760" s="99">
        <f>SUMIF(Import!$B:$B,$A1760,Import!D:D)</f>
        <v>1905.11</v>
      </c>
      <c r="J1760" s="99">
        <f>SUMIF(Import!$B:$B,$A1760,Import!E:E)</f>
        <v>0</v>
      </c>
      <c r="K1760" s="99">
        <f>SUMIF(Import!$B:$B,$A1760,Import!F:F)</f>
        <v>0</v>
      </c>
      <c r="L1760" s="99">
        <f>SUMIF(Import!$B:$B,$A1760,Import!G:G)</f>
        <v>0</v>
      </c>
      <c r="M1760" s="99">
        <f>SUMIF(Import!$B:$B,$A1760,Import!H:H)</f>
        <v>0</v>
      </c>
      <c r="N1760" s="99">
        <f>SUMIF(Import!$B:$B,$A1760,Import!I:I)</f>
        <v>0</v>
      </c>
      <c r="O1760" s="99">
        <f>SUMIF(Import!$B:$B,$A1760,Import!J:J)</f>
        <v>0</v>
      </c>
      <c r="P1760" s="99">
        <f t="shared" si="2214"/>
        <v>0</v>
      </c>
      <c r="Q1760" s="99">
        <f>SUMIF(Import!$B:$B,$A1760,Import!K:K)</f>
        <v>0</v>
      </c>
      <c r="R1760" s="99">
        <f>SUMIF(Import!$B:$B,$A1760,Import!L:L)</f>
        <v>0</v>
      </c>
      <c r="S1760" s="99">
        <f>SUMIF(Import!$B:$B,$A1760,Import!M:M)</f>
        <v>0</v>
      </c>
      <c r="T1760" s="99">
        <f>SUMIF(Import!$B:$B,$A1760,Import!N:N)</f>
        <v>0</v>
      </c>
      <c r="U1760" s="99">
        <f t="shared" si="2215"/>
        <v>0</v>
      </c>
      <c r="V1760" s="255" t="str">
        <f t="shared" si="2216"/>
        <v>N/A</v>
      </c>
      <c r="W1760" s="102" t="s">
        <v>3061</v>
      </c>
      <c r="X1760" s="102"/>
      <c r="Y1760" s="102"/>
      <c r="AA1760" s="615"/>
      <c r="AB1760" s="192"/>
      <c r="AC1760" s="199"/>
      <c r="AD1760" s="199"/>
      <c r="AE1760" s="199"/>
      <c r="AF1760" s="199"/>
      <c r="AG1760" s="199"/>
      <c r="AH1760" s="192"/>
      <c r="AI1760" s="192"/>
      <c r="AJ1760" s="199"/>
      <c r="AK1760" s="199"/>
      <c r="AL1760" s="199"/>
      <c r="AM1760" s="199"/>
      <c r="AN1760" s="199"/>
      <c r="AO1760" s="199"/>
      <c r="AP1760" s="199"/>
      <c r="AQ1760" s="199"/>
      <c r="AR1760" s="192"/>
      <c r="AS1760" s="192"/>
      <c r="AT1760" s="192"/>
      <c r="AU1760" s="192"/>
      <c r="AV1760" s="192"/>
      <c r="AW1760" s="192"/>
    </row>
    <row r="1761" spans="1:49" ht="15" customHeight="1">
      <c r="A1761" s="555" t="s">
        <v>3062</v>
      </c>
      <c r="B1761" s="217" t="str">
        <f t="shared" si="2186"/>
        <v>100</v>
      </c>
      <c r="C1761" s="217" t="str">
        <f t="shared" si="2187"/>
        <v>63</v>
      </c>
      <c r="D1761" s="101" t="str">
        <f t="shared" si="2188"/>
        <v>635</v>
      </c>
      <c r="E1761" s="217" t="str">
        <f t="shared" si="2189"/>
        <v>100-63-635</v>
      </c>
      <c r="F1761" s="294" t="str">
        <f t="shared" si="2190"/>
        <v>52460</v>
      </c>
      <c r="G1761" s="295" t="str">
        <f>VLOOKUP(F1761,'GL Category'!A:C,3,FALSE)</f>
        <v>Operations &amp; maintenance</v>
      </c>
      <c r="H1761" s="98" t="str">
        <f>VLOOKUP(F1761,'GL Category'!A:C,2,FALSE)</f>
        <v>VEHICLE MAINTENANCE</v>
      </c>
      <c r="I1761" s="99">
        <f>SUMIF(Import!$B:$B,$A1761,Import!D:D)</f>
        <v>879.88</v>
      </c>
      <c r="J1761" s="99">
        <f>SUMIF(Import!$B:$B,$A1761,Import!E:E)</f>
        <v>808.03</v>
      </c>
      <c r="K1761" s="99">
        <f>SUMIF(Import!$B:$B,$A1761,Import!F:F)</f>
        <v>274.57</v>
      </c>
      <c r="L1761" s="99">
        <f>SUMIF(Import!$B:$B,$A1761,Import!G:G)</f>
        <v>481.15</v>
      </c>
      <c r="M1761" s="99">
        <f>SUMIF(Import!$B:$B,$A1761,Import!H:H)</f>
        <v>1000</v>
      </c>
      <c r="N1761" s="99">
        <f>SUMIF(Import!$B:$B,$A1761,Import!I:I)</f>
        <v>27.48</v>
      </c>
      <c r="O1761" s="99">
        <f>SUMIF(Import!$B:$B,$A1761,Import!J:J)</f>
        <v>500</v>
      </c>
      <c r="P1761" s="99">
        <f t="shared" si="2214"/>
        <v>-500</v>
      </c>
      <c r="Q1761" s="99">
        <f>SUMIF(Import!$B:$B,$A1761,Import!K:K)</f>
        <v>500</v>
      </c>
      <c r="R1761" s="99">
        <f>SUMIF(Import!$B:$B,$A1761,Import!L:L)</f>
        <v>0</v>
      </c>
      <c r="S1761" s="99">
        <f>SUMIF(Import!$B:$B,$A1761,Import!M:M)</f>
        <v>0</v>
      </c>
      <c r="T1761" s="99">
        <f>SUMIF(Import!$B:$B,$A1761,Import!N:N)</f>
        <v>500</v>
      </c>
      <c r="U1761" s="99">
        <f t="shared" si="2215"/>
        <v>-500</v>
      </c>
      <c r="V1761" s="255">
        <f t="shared" si="2216"/>
        <v>-0.5</v>
      </c>
      <c r="W1761" s="102" t="s">
        <v>3062</v>
      </c>
      <c r="X1761" s="102"/>
      <c r="Y1761" s="102"/>
      <c r="AA1761" s="615"/>
      <c r="AB1761" s="192"/>
      <c r="AC1761" s="312"/>
      <c r="AD1761" s="312"/>
      <c r="AE1761" s="312"/>
      <c r="AF1761" s="312"/>
      <c r="AG1761" s="312"/>
      <c r="AH1761" s="192"/>
      <c r="AI1761" s="192"/>
      <c r="AJ1761" s="194"/>
      <c r="AK1761" s="194"/>
      <c r="AL1761" s="194"/>
      <c r="AM1761" s="194"/>
      <c r="AN1761" s="194"/>
      <c r="AO1761" s="194"/>
      <c r="AP1761" s="194"/>
      <c r="AQ1761" s="194"/>
      <c r="AR1761" s="192"/>
      <c r="AS1761" s="192"/>
      <c r="AT1761" s="192"/>
      <c r="AU1761" s="192"/>
      <c r="AV1761" s="192"/>
      <c r="AW1761" s="192"/>
    </row>
    <row r="1762" spans="1:49" ht="15" customHeight="1">
      <c r="A1762" s="555" t="s">
        <v>3063</v>
      </c>
      <c r="B1762" s="217" t="str">
        <f t="shared" si="2186"/>
        <v>100</v>
      </c>
      <c r="C1762" s="217" t="str">
        <f t="shared" si="2187"/>
        <v>63</v>
      </c>
      <c r="D1762" s="101" t="str">
        <f t="shared" si="2188"/>
        <v>635</v>
      </c>
      <c r="E1762" s="217" t="str">
        <f t="shared" si="2189"/>
        <v>100-63-635</v>
      </c>
      <c r="F1762" s="294" t="str">
        <f t="shared" si="2190"/>
        <v>52470</v>
      </c>
      <c r="G1762" s="295" t="str">
        <f>VLOOKUP(F1762,'GL Category'!A:C,3,FALSE)</f>
        <v>Operations &amp; maintenance</v>
      </c>
      <c r="H1762" s="98" t="str">
        <f>VLOOKUP(F1762,'GL Category'!A:C,2,FALSE)</f>
        <v>EQUIPMENT MAINTENANCE</v>
      </c>
      <c r="I1762" s="99">
        <f>SUMIF(Import!$B:$B,$A1762,Import!D:D)</f>
        <v>13775.53</v>
      </c>
      <c r="J1762" s="99">
        <f>SUMIF(Import!$B:$B,$A1762,Import!E:E)</f>
        <v>10037.83</v>
      </c>
      <c r="K1762" s="99">
        <f>SUMIF(Import!$B:$B,$A1762,Import!F:F)</f>
        <v>17512.3</v>
      </c>
      <c r="L1762" s="99">
        <f>SUMIF(Import!$B:$B,$A1762,Import!G:G)</f>
        <v>14453.88</v>
      </c>
      <c r="M1762" s="99">
        <f>SUMIF(Import!$B:$B,$A1762,Import!H:H)</f>
        <v>17000</v>
      </c>
      <c r="N1762" s="99">
        <f>SUMIF(Import!$B:$B,$A1762,Import!I:I)</f>
        <v>8140.25</v>
      </c>
      <c r="O1762" s="99">
        <f>SUMIF(Import!$B:$B,$A1762,Import!J:J)</f>
        <v>15000</v>
      </c>
      <c r="P1762" s="99">
        <f t="shared" si="2214"/>
        <v>-2000</v>
      </c>
      <c r="Q1762" s="99">
        <f>SUMIF(Import!$B:$B,$A1762,Import!K:K)</f>
        <v>17000</v>
      </c>
      <c r="R1762" s="99">
        <f>SUMIF(Import!$B:$B,$A1762,Import!L:L)</f>
        <v>0</v>
      </c>
      <c r="S1762" s="99">
        <f>SUMIF(Import!$B:$B,$A1762,Import!M:M)</f>
        <v>0</v>
      </c>
      <c r="T1762" s="99">
        <f>SUMIF(Import!$B:$B,$A1762,Import!N:N)</f>
        <v>17000</v>
      </c>
      <c r="U1762" s="99">
        <f t="shared" si="2215"/>
        <v>0</v>
      </c>
      <c r="V1762" s="255">
        <f t="shared" si="2216"/>
        <v>0</v>
      </c>
      <c r="W1762" s="102" t="s">
        <v>3063</v>
      </c>
      <c r="X1762" s="102"/>
      <c r="Y1762" s="102"/>
      <c r="AA1762" s="615"/>
      <c r="AB1762" s="192"/>
      <c r="AC1762" s="312"/>
      <c r="AD1762" s="312"/>
      <c r="AE1762" s="312"/>
      <c r="AF1762" s="312"/>
      <c r="AG1762" s="312"/>
      <c r="AH1762" s="192"/>
      <c r="AI1762" s="192"/>
      <c r="AJ1762" s="194"/>
      <c r="AK1762" s="194"/>
      <c r="AL1762" s="194"/>
      <c r="AM1762" s="194"/>
      <c r="AN1762" s="194"/>
      <c r="AO1762" s="194"/>
      <c r="AP1762" s="194"/>
      <c r="AQ1762" s="194"/>
      <c r="AR1762" s="192"/>
      <c r="AS1762" s="192"/>
      <c r="AT1762" s="192"/>
      <c r="AU1762" s="192"/>
      <c r="AV1762" s="192"/>
      <c r="AW1762" s="192"/>
    </row>
    <row r="1763" spans="1:49" ht="25.35" customHeight="1">
      <c r="A1763" s="555"/>
      <c r="B1763" s="217"/>
      <c r="C1763" s="217"/>
      <c r="D1763" s="101"/>
      <c r="E1763" s="217"/>
      <c r="F1763" s="294"/>
      <c r="G1763" s="295"/>
      <c r="H1763" s="107" t="str">
        <f>UPPER(G1762)&amp;" TOTAL"</f>
        <v>OPERATIONS &amp; MAINTENANCE TOTAL</v>
      </c>
      <c r="I1763" s="109">
        <f t="shared" ref="I1763" si="2217">SUBTOTAL(9,I1751:I1762)</f>
        <v>94922.32</v>
      </c>
      <c r="J1763" s="109">
        <f t="shared" ref="J1763:T1763" si="2218">SUBTOTAL(9,J1751:J1762)</f>
        <v>148796.54999999999</v>
      </c>
      <c r="K1763" s="109">
        <f t="shared" ref="K1763" si="2219">SUBTOTAL(9,K1751:K1762)</f>
        <v>114705.45000000001</v>
      </c>
      <c r="L1763" s="109">
        <f t="shared" ref="L1763" si="2220">SUBTOTAL(9,L1751:L1762)</f>
        <v>113346.29999999999</v>
      </c>
      <c r="M1763" s="109">
        <f t="shared" si="2218"/>
        <v>121500</v>
      </c>
      <c r="N1763" s="109">
        <f t="shared" ref="N1763" si="2221">SUBTOTAL(9,N1751:N1762)</f>
        <v>74658.249999999985</v>
      </c>
      <c r="O1763" s="109">
        <f t="shared" si="2218"/>
        <v>121150</v>
      </c>
      <c r="P1763" s="109">
        <f t="shared" si="2218"/>
        <v>-350</v>
      </c>
      <c r="Q1763" s="109">
        <f t="shared" si="2218"/>
        <v>121250</v>
      </c>
      <c r="R1763" s="109">
        <f t="shared" si="2218"/>
        <v>0</v>
      </c>
      <c r="S1763" s="109">
        <f t="shared" si="2218"/>
        <v>0</v>
      </c>
      <c r="T1763" s="109">
        <f t="shared" si="2218"/>
        <v>121250</v>
      </c>
      <c r="U1763" s="99">
        <f>T1763-M1763</f>
        <v>-250</v>
      </c>
      <c r="V1763" s="255">
        <f>IF(M1763=0,"N/A",T1763/M1763-1)</f>
        <v>-2.057613168724326E-3</v>
      </c>
      <c r="W1763" s="102"/>
      <c r="X1763" s="102"/>
      <c r="Y1763" s="102"/>
      <c r="AA1763" s="615"/>
      <c r="AB1763" s="192"/>
      <c r="AC1763" s="312"/>
      <c r="AD1763" s="312"/>
      <c r="AE1763" s="312"/>
      <c r="AF1763" s="312"/>
      <c r="AG1763" s="312"/>
      <c r="AH1763" s="192"/>
      <c r="AI1763" s="192"/>
      <c r="AJ1763" s="194"/>
      <c r="AK1763" s="194"/>
      <c r="AL1763" s="194"/>
      <c r="AM1763" s="194"/>
      <c r="AN1763" s="194"/>
      <c r="AO1763" s="194"/>
      <c r="AP1763" s="194"/>
      <c r="AQ1763" s="194"/>
      <c r="AR1763" s="192"/>
      <c r="AS1763" s="192"/>
      <c r="AT1763" s="192"/>
      <c r="AU1763" s="192"/>
      <c r="AV1763" s="192"/>
      <c r="AW1763" s="192"/>
    </row>
    <row r="1764" spans="1:49" ht="15" customHeight="1">
      <c r="A1764" s="555"/>
      <c r="B1764" s="217"/>
      <c r="C1764" s="217"/>
      <c r="D1764" s="101"/>
      <c r="E1764" s="217"/>
      <c r="F1764" s="294"/>
      <c r="G1764" s="295"/>
      <c r="H1764" s="98"/>
      <c r="I1764" s="106"/>
      <c r="J1764" s="106"/>
      <c r="K1764" s="106"/>
      <c r="L1764" s="106"/>
      <c r="M1764" s="106"/>
      <c r="N1764" s="112">
        <v>0</v>
      </c>
      <c r="O1764" s="112">
        <v>0</v>
      </c>
      <c r="P1764" s="112"/>
      <c r="Q1764" s="113"/>
      <c r="R1764" s="113"/>
      <c r="S1764" s="113"/>
      <c r="T1764" s="113"/>
      <c r="U1764" s="99"/>
      <c r="V1764" s="255"/>
      <c r="W1764" s="102"/>
      <c r="X1764" s="102"/>
      <c r="Y1764" s="102"/>
      <c r="AA1764" s="615"/>
      <c r="AB1764" s="192"/>
      <c r="AC1764" s="199"/>
      <c r="AD1764" s="199"/>
      <c r="AE1764" s="199"/>
      <c r="AF1764" s="199"/>
      <c r="AG1764" s="199"/>
      <c r="AH1764" s="192"/>
      <c r="AI1764" s="192"/>
      <c r="AJ1764" s="199"/>
      <c r="AK1764" s="199"/>
      <c r="AL1764" s="199"/>
      <c r="AM1764" s="199"/>
      <c r="AN1764" s="199"/>
      <c r="AO1764" s="199"/>
      <c r="AP1764" s="199"/>
      <c r="AQ1764" s="199"/>
      <c r="AR1764" s="192"/>
      <c r="AS1764" s="192"/>
      <c r="AT1764" s="192"/>
      <c r="AU1764" s="192"/>
      <c r="AV1764" s="192"/>
      <c r="AW1764" s="192"/>
    </row>
    <row r="1765" spans="1:49" ht="15" customHeight="1">
      <c r="A1765" s="555" t="s">
        <v>3065</v>
      </c>
      <c r="B1765" s="217" t="str">
        <f t="shared" si="2186"/>
        <v>100</v>
      </c>
      <c r="C1765" s="217" t="str">
        <f t="shared" si="2187"/>
        <v>63</v>
      </c>
      <c r="D1765" s="101" t="str">
        <f t="shared" si="2188"/>
        <v>635</v>
      </c>
      <c r="E1765" s="217" t="str">
        <f t="shared" si="2189"/>
        <v>100-63-635</v>
      </c>
      <c r="F1765" s="294" t="str">
        <f t="shared" si="2190"/>
        <v>53515</v>
      </c>
      <c r="G1765" s="295" t="str">
        <f>VLOOKUP(F1765,'GL Category'!A:C,3,FALSE)</f>
        <v>Services &amp; other</v>
      </c>
      <c r="H1765" s="98" t="str">
        <f>VLOOKUP(F1765,'GL Category'!A:C,2,FALSE)</f>
        <v>TRAVEL, TRAINING &amp; EDUCATION</v>
      </c>
      <c r="I1765" s="99">
        <f>SUMIF(Import!$B:$B,$A1765,Import!D:D)</f>
        <v>984.02</v>
      </c>
      <c r="J1765" s="99">
        <f>SUMIF(Import!$B:$B,$A1765,Import!E:E)</f>
        <v>0</v>
      </c>
      <c r="K1765" s="99">
        <f>SUMIF(Import!$B:$B,$A1765,Import!F:F)</f>
        <v>1180</v>
      </c>
      <c r="L1765" s="99">
        <f>SUMIF(Import!$B:$B,$A1765,Import!G:G)</f>
        <v>0</v>
      </c>
      <c r="M1765" s="99">
        <f>SUMIF(Import!$B:$B,$A1765,Import!H:H)</f>
        <v>1000</v>
      </c>
      <c r="N1765" s="99">
        <f>SUMIF(Import!$B:$B,$A1765,Import!I:I)</f>
        <v>770</v>
      </c>
      <c r="O1765" s="99">
        <f>SUMIF(Import!$B:$B,$A1765,Import!J:J)</f>
        <v>800</v>
      </c>
      <c r="P1765" s="99">
        <f t="shared" ref="P1765:P1773" si="2222">O1765-M1765</f>
        <v>-200</v>
      </c>
      <c r="Q1765" s="99">
        <f>SUMIF(Import!$B:$B,$A1765,Import!K:K)</f>
        <v>1000</v>
      </c>
      <c r="R1765" s="99">
        <f>SUMIF(Import!$B:$B,$A1765,Import!L:L)</f>
        <v>0</v>
      </c>
      <c r="S1765" s="99">
        <f>SUMIF(Import!$B:$B,$A1765,Import!M:M)</f>
        <v>0</v>
      </c>
      <c r="T1765" s="99">
        <f>SUMIF(Import!$B:$B,$A1765,Import!N:N)</f>
        <v>1000</v>
      </c>
      <c r="U1765" s="99">
        <f t="shared" ref="U1765:U1773" si="2223">T1765-M1765</f>
        <v>0</v>
      </c>
      <c r="V1765" s="255">
        <f t="shared" ref="V1765:V1773" si="2224">IF(M1765=0,"N/A",T1765/M1765-1)</f>
        <v>0</v>
      </c>
      <c r="W1765" s="102" t="s">
        <v>3065</v>
      </c>
      <c r="X1765" s="102"/>
      <c r="Y1765" s="102"/>
      <c r="AA1765" s="615"/>
      <c r="AB1765" s="192"/>
      <c r="AC1765" s="312"/>
      <c r="AD1765" s="312"/>
      <c r="AE1765" s="312"/>
      <c r="AF1765" s="312"/>
      <c r="AG1765" s="312"/>
      <c r="AH1765" s="192"/>
      <c r="AI1765" s="192"/>
      <c r="AJ1765" s="194"/>
      <c r="AK1765" s="194"/>
      <c r="AL1765" s="194"/>
      <c r="AM1765" s="194"/>
      <c r="AN1765" s="194"/>
      <c r="AO1765" s="194"/>
      <c r="AP1765" s="194"/>
      <c r="AQ1765" s="194"/>
      <c r="AR1765" s="192"/>
      <c r="AS1765" s="192"/>
      <c r="AT1765" s="192"/>
      <c r="AU1765" s="192"/>
      <c r="AV1765" s="192"/>
      <c r="AW1765" s="192"/>
    </row>
    <row r="1766" spans="1:49" ht="15" customHeight="1">
      <c r="A1766" s="555" t="s">
        <v>3066</v>
      </c>
      <c r="B1766" s="217" t="str">
        <f t="shared" si="2186"/>
        <v>100</v>
      </c>
      <c r="C1766" s="217" t="str">
        <f t="shared" si="2187"/>
        <v>63</v>
      </c>
      <c r="D1766" s="101" t="str">
        <f t="shared" si="2188"/>
        <v>635</v>
      </c>
      <c r="E1766" s="217" t="str">
        <f t="shared" si="2189"/>
        <v>100-63-635</v>
      </c>
      <c r="F1766" s="294" t="str">
        <f t="shared" si="2190"/>
        <v>53525</v>
      </c>
      <c r="G1766" s="295" t="str">
        <f>VLOOKUP(F1766,'GL Category'!A:C,3,FALSE)</f>
        <v>Services &amp; other</v>
      </c>
      <c r="H1766" s="98" t="str">
        <f>VLOOKUP(F1766,'GL Category'!A:C,2,FALSE)</f>
        <v>LANDSCAPE SERVICES</v>
      </c>
      <c r="I1766" s="99">
        <f>SUMIF(Import!$B:$B,$A1766,Import!D:D)</f>
        <v>67074</v>
      </c>
      <c r="J1766" s="99">
        <f>SUMIF(Import!$B:$B,$A1766,Import!E:E)</f>
        <v>93088</v>
      </c>
      <c r="K1766" s="99">
        <f>SUMIF(Import!$B:$B,$A1766,Import!F:F)</f>
        <v>49829.2</v>
      </c>
      <c r="L1766" s="99">
        <f>SUMIF(Import!$B:$B,$A1766,Import!G:G)</f>
        <v>43644.9</v>
      </c>
      <c r="M1766" s="99">
        <f>SUMIF(Import!$B:$B,$A1766,Import!H:H)</f>
        <v>55000</v>
      </c>
      <c r="N1766" s="99">
        <f>SUMIF(Import!$B:$B,$A1766,Import!I:I)</f>
        <v>34552.449999999997</v>
      </c>
      <c r="O1766" s="99">
        <f>SUMIF(Import!$B:$B,$A1766,Import!J:J)</f>
        <v>50000</v>
      </c>
      <c r="P1766" s="99">
        <f t="shared" si="2222"/>
        <v>-5000</v>
      </c>
      <c r="Q1766" s="99">
        <f>SUMIF(Import!$B:$B,$A1766,Import!K:K)</f>
        <v>57000</v>
      </c>
      <c r="R1766" s="99">
        <f>SUMIF(Import!$B:$B,$A1766,Import!L:L)</f>
        <v>0</v>
      </c>
      <c r="S1766" s="99">
        <f>SUMIF(Import!$B:$B,$A1766,Import!M:M)</f>
        <v>0</v>
      </c>
      <c r="T1766" s="99">
        <f>SUMIF(Import!$B:$B,$A1766,Import!N:N)</f>
        <v>57000</v>
      </c>
      <c r="U1766" s="99">
        <f t="shared" si="2223"/>
        <v>2000</v>
      </c>
      <c r="V1766" s="255">
        <f t="shared" si="2224"/>
        <v>3.6363636363636376E-2</v>
      </c>
      <c r="W1766" s="102" t="s">
        <v>3066</v>
      </c>
      <c r="X1766" s="102"/>
      <c r="Y1766" s="102"/>
      <c r="AA1766" s="615"/>
      <c r="AB1766" s="192"/>
      <c r="AC1766" s="312"/>
      <c r="AD1766" s="312"/>
      <c r="AE1766" s="312"/>
      <c r="AF1766" s="312"/>
      <c r="AG1766" s="312"/>
      <c r="AH1766" s="192"/>
      <c r="AI1766" s="192"/>
      <c r="AJ1766" s="194"/>
      <c r="AK1766" s="194"/>
      <c r="AL1766" s="194"/>
      <c r="AM1766" s="194"/>
      <c r="AN1766" s="194"/>
      <c r="AO1766" s="194"/>
      <c r="AP1766" s="194"/>
      <c r="AQ1766" s="194"/>
      <c r="AR1766" s="192"/>
      <c r="AS1766" s="192"/>
      <c r="AT1766" s="192"/>
      <c r="AU1766" s="192"/>
      <c r="AV1766" s="192"/>
      <c r="AW1766" s="192"/>
    </row>
    <row r="1767" spans="1:49" ht="15" customHeight="1">
      <c r="A1767" s="555" t="s">
        <v>3067</v>
      </c>
      <c r="B1767" s="217" t="str">
        <f t="shared" si="2186"/>
        <v>100</v>
      </c>
      <c r="C1767" s="217" t="str">
        <f t="shared" si="2187"/>
        <v>63</v>
      </c>
      <c r="D1767" s="101" t="str">
        <f t="shared" si="2188"/>
        <v>635</v>
      </c>
      <c r="E1767" s="217" t="str">
        <f t="shared" si="2189"/>
        <v>100-63-635</v>
      </c>
      <c r="F1767" s="294" t="str">
        <f t="shared" si="2190"/>
        <v>53529</v>
      </c>
      <c r="G1767" s="295" t="str">
        <f>VLOOKUP(F1767,'GL Category'!A:C,3,FALSE)</f>
        <v>Services &amp; other</v>
      </c>
      <c r="H1767" s="98" t="str">
        <f>VLOOKUP(F1767,'GL Category'!A:C,2,FALSE)</f>
        <v>JANITORIAL SERVICES</v>
      </c>
      <c r="I1767" s="99">
        <f>SUMIF(Import!$B:$B,$A1767,Import!D:D)</f>
        <v>10657</v>
      </c>
      <c r="J1767" s="99">
        <f>SUMIF(Import!$B:$B,$A1767,Import!E:E)</f>
        <v>5688</v>
      </c>
      <c r="K1767" s="99">
        <f>SUMIF(Import!$B:$B,$A1767,Import!F:F)</f>
        <v>15591</v>
      </c>
      <c r="L1767" s="99">
        <f>SUMIF(Import!$B:$B,$A1767,Import!G:G)</f>
        <v>16866</v>
      </c>
      <c r="M1767" s="99">
        <f>SUMIF(Import!$B:$B,$A1767,Import!H:H)</f>
        <v>16000</v>
      </c>
      <c r="N1767" s="99">
        <f>SUMIF(Import!$B:$B,$A1767,Import!I:I)</f>
        <v>12649.5</v>
      </c>
      <c r="O1767" s="99">
        <f>SUMIF(Import!$B:$B,$A1767,Import!J:J)</f>
        <v>16000</v>
      </c>
      <c r="P1767" s="99">
        <f t="shared" si="2222"/>
        <v>0</v>
      </c>
      <c r="Q1767" s="99">
        <f>SUMIF(Import!$B:$B,$A1767,Import!K:K)</f>
        <v>19000</v>
      </c>
      <c r="R1767" s="99">
        <f>SUMIF(Import!$B:$B,$A1767,Import!L:L)</f>
        <v>0</v>
      </c>
      <c r="S1767" s="99">
        <f>SUMIF(Import!$B:$B,$A1767,Import!M:M)</f>
        <v>0</v>
      </c>
      <c r="T1767" s="99">
        <f>SUMIF(Import!$B:$B,$A1767,Import!N:N)</f>
        <v>19000</v>
      </c>
      <c r="U1767" s="99">
        <f t="shared" si="2223"/>
        <v>3000</v>
      </c>
      <c r="V1767" s="255">
        <f t="shared" si="2224"/>
        <v>0.1875</v>
      </c>
      <c r="W1767" s="102" t="s">
        <v>3067</v>
      </c>
      <c r="X1767" s="102"/>
      <c r="Y1767" s="102"/>
      <c r="AA1767" s="615"/>
      <c r="AB1767" s="192"/>
      <c r="AC1767" s="312"/>
      <c r="AD1767" s="312"/>
      <c r="AE1767" s="312"/>
      <c r="AF1767" s="312"/>
      <c r="AG1767" s="312"/>
      <c r="AH1767" s="192"/>
      <c r="AI1767" s="192"/>
      <c r="AJ1767" s="194"/>
      <c r="AK1767" s="194"/>
      <c r="AL1767" s="194"/>
      <c r="AM1767" s="194"/>
      <c r="AN1767" s="194"/>
      <c r="AO1767" s="194"/>
      <c r="AP1767" s="194"/>
      <c r="AQ1767" s="194"/>
      <c r="AR1767" s="192"/>
      <c r="AS1767" s="192"/>
      <c r="AT1767" s="192"/>
      <c r="AU1767" s="192"/>
      <c r="AV1767" s="192"/>
      <c r="AW1767" s="192"/>
    </row>
    <row r="1768" spans="1:49" ht="15" customHeight="1">
      <c r="A1768" s="555" t="s">
        <v>3068</v>
      </c>
      <c r="B1768" s="217" t="str">
        <f t="shared" si="2186"/>
        <v>100</v>
      </c>
      <c r="C1768" s="217" t="str">
        <f t="shared" si="2187"/>
        <v>63</v>
      </c>
      <c r="D1768" s="101" t="str">
        <f t="shared" si="2188"/>
        <v>635</v>
      </c>
      <c r="E1768" s="217" t="str">
        <f t="shared" si="2189"/>
        <v>100-63-635</v>
      </c>
      <c r="F1768" s="294" t="str">
        <f t="shared" si="2190"/>
        <v>53524</v>
      </c>
      <c r="G1768" s="295" t="str">
        <f>VLOOKUP(F1768,'GL Category'!A:C,3,FALSE)</f>
        <v>Services &amp; other</v>
      </c>
      <c r="H1768" s="98" t="str">
        <f>VLOOKUP(F1768,'GL Category'!A:C,2,FALSE)</f>
        <v>EQUIPMENT RENTAL</v>
      </c>
      <c r="I1768" s="99">
        <f>SUMIF(Import!$B:$B,$A1768,Import!D:D)</f>
        <v>3125.99</v>
      </c>
      <c r="J1768" s="99">
        <f>SUMIF(Import!$B:$B,$A1768,Import!E:E)</f>
        <v>4554.95</v>
      </c>
      <c r="K1768" s="99">
        <f>SUMIF(Import!$B:$B,$A1768,Import!F:F)</f>
        <v>7523.84</v>
      </c>
      <c r="L1768" s="99">
        <f>SUMIF(Import!$B:$B,$A1768,Import!G:G)</f>
        <v>10377.43</v>
      </c>
      <c r="M1768" s="99">
        <f>SUMIF(Import!$B:$B,$A1768,Import!H:H)</f>
        <v>7500</v>
      </c>
      <c r="N1768" s="99">
        <f>SUMIF(Import!$B:$B,$A1768,Import!I:I)</f>
        <v>5468.88</v>
      </c>
      <c r="O1768" s="99">
        <f>SUMIF(Import!$B:$B,$A1768,Import!J:J)</f>
        <v>7500</v>
      </c>
      <c r="P1768" s="99">
        <f t="shared" si="2222"/>
        <v>0</v>
      </c>
      <c r="Q1768" s="99">
        <f>SUMIF(Import!$B:$B,$A1768,Import!K:K)</f>
        <v>7500</v>
      </c>
      <c r="R1768" s="99">
        <f>SUMIF(Import!$B:$B,$A1768,Import!L:L)</f>
        <v>0</v>
      </c>
      <c r="S1768" s="99">
        <f>SUMIF(Import!$B:$B,$A1768,Import!M:M)</f>
        <v>0</v>
      </c>
      <c r="T1768" s="99">
        <f>SUMIF(Import!$B:$B,$A1768,Import!N:N)</f>
        <v>7500</v>
      </c>
      <c r="U1768" s="99">
        <f t="shared" si="2223"/>
        <v>0</v>
      </c>
      <c r="V1768" s="255">
        <f t="shared" si="2224"/>
        <v>0</v>
      </c>
      <c r="W1768" s="102" t="s">
        <v>3068</v>
      </c>
      <c r="X1768" s="102"/>
      <c r="Y1768" s="102"/>
      <c r="AA1768" s="615"/>
      <c r="AB1768" s="192"/>
      <c r="AC1768" s="312"/>
      <c r="AD1768" s="312"/>
      <c r="AE1768" s="312"/>
      <c r="AF1768" s="312"/>
      <c r="AG1768" s="312"/>
      <c r="AH1768" s="192"/>
      <c r="AI1768" s="192"/>
      <c r="AJ1768" s="194"/>
      <c r="AK1768" s="194"/>
      <c r="AL1768" s="194"/>
      <c r="AM1768" s="194"/>
      <c r="AN1768" s="194"/>
      <c r="AO1768" s="194"/>
      <c r="AP1768" s="194"/>
      <c r="AQ1768" s="194"/>
      <c r="AR1768" s="192"/>
      <c r="AS1768" s="192"/>
      <c r="AT1768" s="192"/>
      <c r="AU1768" s="192"/>
      <c r="AV1768" s="192"/>
      <c r="AW1768" s="192"/>
    </row>
    <row r="1769" spans="1:49" ht="15" customHeight="1">
      <c r="A1769" s="555" t="s">
        <v>3064</v>
      </c>
      <c r="B1769" s="217" t="str">
        <f t="shared" si="2186"/>
        <v>100</v>
      </c>
      <c r="C1769" s="217" t="str">
        <f t="shared" si="2187"/>
        <v>63</v>
      </c>
      <c r="D1769" s="101" t="str">
        <f t="shared" si="2188"/>
        <v>635</v>
      </c>
      <c r="E1769" s="217" t="str">
        <f t="shared" si="2189"/>
        <v>100-63-635</v>
      </c>
      <c r="F1769" s="294" t="str">
        <f t="shared" si="2190"/>
        <v>53599</v>
      </c>
      <c r="G1769" s="295" t="str">
        <f>VLOOKUP(F1769,'GL Category'!A:C,3,FALSE)</f>
        <v>Services &amp; other</v>
      </c>
      <c r="H1769" s="98" t="str">
        <f>VLOOKUP(F1769,'GL Category'!A:C,2,FALSE)</f>
        <v>MISCELLANEOUS SERVICES</v>
      </c>
      <c r="I1769" s="99">
        <f>SUMIF(Import!$B:$B,$A1769,Import!D:D)</f>
        <v>0</v>
      </c>
      <c r="J1769" s="99">
        <f>SUMIF(Import!$B:$B,$A1769,Import!E:E)</f>
        <v>1150</v>
      </c>
      <c r="K1769" s="99">
        <f>SUMIF(Import!$B:$B,$A1769,Import!F:F)</f>
        <v>0</v>
      </c>
      <c r="L1769" s="99">
        <f>SUMIF(Import!$B:$B,$A1769,Import!G:G)</f>
        <v>0</v>
      </c>
      <c r="M1769" s="99">
        <f>SUMIF(Import!$B:$B,$A1769,Import!H:H)</f>
        <v>0</v>
      </c>
      <c r="N1769" s="99">
        <f>SUMIF(Import!$B:$B,$A1769,Import!I:I)</f>
        <v>0</v>
      </c>
      <c r="O1769" s="99">
        <f>SUMIF(Import!$B:$B,$A1769,Import!J:J)</f>
        <v>0</v>
      </c>
      <c r="P1769" s="99">
        <f t="shared" si="2222"/>
        <v>0</v>
      </c>
      <c r="Q1769" s="99">
        <f>SUMIF(Import!$B:$B,$A1769,Import!K:K)</f>
        <v>0</v>
      </c>
      <c r="R1769" s="99">
        <f>SUMIF(Import!$B:$B,$A1769,Import!L:L)</f>
        <v>0</v>
      </c>
      <c r="S1769" s="99">
        <f>SUMIF(Import!$B:$B,$A1769,Import!M:M)</f>
        <v>0</v>
      </c>
      <c r="T1769" s="99">
        <f>SUMIF(Import!$B:$B,$A1769,Import!N:N)</f>
        <v>0</v>
      </c>
      <c r="U1769" s="99">
        <f t="shared" si="2223"/>
        <v>0</v>
      </c>
      <c r="V1769" s="255" t="str">
        <f t="shared" si="2224"/>
        <v>N/A</v>
      </c>
      <c r="W1769" s="102" t="s">
        <v>3064</v>
      </c>
      <c r="X1769" s="102"/>
      <c r="Y1769" s="102"/>
      <c r="AA1769" s="615"/>
      <c r="AB1769" s="192"/>
      <c r="AC1769" s="312"/>
      <c r="AD1769" s="312"/>
      <c r="AE1769" s="312"/>
      <c r="AF1769" s="312"/>
      <c r="AG1769" s="312"/>
      <c r="AH1769" s="192"/>
      <c r="AI1769" s="192"/>
      <c r="AJ1769" s="194"/>
      <c r="AK1769" s="194"/>
      <c r="AL1769" s="194"/>
      <c r="AM1769" s="194"/>
      <c r="AN1769" s="194"/>
      <c r="AO1769" s="194"/>
      <c r="AP1769" s="194"/>
      <c r="AQ1769" s="194"/>
      <c r="AR1769" s="192"/>
      <c r="AS1769" s="192"/>
      <c r="AT1769" s="192"/>
      <c r="AU1769" s="192"/>
      <c r="AV1769" s="192"/>
      <c r="AW1769" s="192"/>
    </row>
    <row r="1770" spans="1:49" ht="15" customHeight="1">
      <c r="A1770" s="555" t="s">
        <v>3069</v>
      </c>
      <c r="B1770" s="217" t="str">
        <f t="shared" si="2186"/>
        <v>100</v>
      </c>
      <c r="C1770" s="217" t="str">
        <f t="shared" si="2187"/>
        <v>63</v>
      </c>
      <c r="D1770" s="101" t="str">
        <f t="shared" si="2188"/>
        <v>635</v>
      </c>
      <c r="E1770" s="217" t="str">
        <f t="shared" si="2189"/>
        <v>100-63-635</v>
      </c>
      <c r="F1770" s="294" t="str">
        <f t="shared" si="2190"/>
        <v>53572</v>
      </c>
      <c r="G1770" s="295" t="str">
        <f>VLOOKUP(F1770,'GL Category'!A:C,3,FALSE)</f>
        <v>Services &amp; other</v>
      </c>
      <c r="H1770" s="98" t="str">
        <f>VLOOKUP(F1770,'GL Category'!A:C,2,FALSE)</f>
        <v>ELECTRICAL UTILITY SERVICE</v>
      </c>
      <c r="I1770" s="99">
        <f>SUMIF(Import!$B:$B,$A1770,Import!D:D)</f>
        <v>40301.35</v>
      </c>
      <c r="J1770" s="99">
        <f>SUMIF(Import!$B:$B,$A1770,Import!E:E)</f>
        <v>46786.5</v>
      </c>
      <c r="K1770" s="99">
        <f>SUMIF(Import!$B:$B,$A1770,Import!F:F)</f>
        <v>55290.37</v>
      </c>
      <c r="L1770" s="99">
        <f>SUMIF(Import!$B:$B,$A1770,Import!G:G)</f>
        <v>74061.570000000007</v>
      </c>
      <c r="M1770" s="99">
        <f>SUMIF(Import!$B:$B,$A1770,Import!H:H)</f>
        <v>83580</v>
      </c>
      <c r="N1770" s="99">
        <f>SUMIF(Import!$B:$B,$A1770,Import!I:I)</f>
        <v>35440.42</v>
      </c>
      <c r="O1770" s="99">
        <f>SUMIF(Import!$B:$B,$A1770,Import!J:J)</f>
        <v>70000</v>
      </c>
      <c r="P1770" s="99">
        <f t="shared" si="2222"/>
        <v>-13580</v>
      </c>
      <c r="Q1770" s="99">
        <f>SUMIF(Import!$B:$B,$A1770,Import!K:K)</f>
        <v>83580</v>
      </c>
      <c r="R1770" s="99">
        <f>SUMIF(Import!$B:$B,$A1770,Import!L:L)</f>
        <v>0</v>
      </c>
      <c r="S1770" s="99">
        <f>SUMIF(Import!$B:$B,$A1770,Import!M:M)</f>
        <v>0</v>
      </c>
      <c r="T1770" s="99">
        <f>SUMIF(Import!$B:$B,$A1770,Import!N:N)</f>
        <v>83580</v>
      </c>
      <c r="U1770" s="99">
        <f t="shared" si="2223"/>
        <v>0</v>
      </c>
      <c r="V1770" s="255">
        <f t="shared" si="2224"/>
        <v>0</v>
      </c>
      <c r="W1770" s="102" t="s">
        <v>3069</v>
      </c>
      <c r="X1770" s="102"/>
      <c r="Y1770" s="102"/>
      <c r="AA1770" s="615"/>
      <c r="AB1770" s="192"/>
      <c r="AC1770" s="199"/>
      <c r="AD1770" s="199"/>
      <c r="AE1770" s="199"/>
      <c r="AF1770" s="199"/>
      <c r="AG1770" s="199"/>
      <c r="AH1770" s="192"/>
      <c r="AI1770" s="192"/>
      <c r="AJ1770" s="199"/>
      <c r="AK1770" s="199"/>
      <c r="AL1770" s="199"/>
      <c r="AM1770" s="199"/>
      <c r="AN1770" s="199"/>
      <c r="AO1770" s="199"/>
      <c r="AP1770" s="199"/>
      <c r="AQ1770" s="199"/>
      <c r="AR1770" s="192"/>
      <c r="AS1770" s="192"/>
      <c r="AT1770" s="192"/>
      <c r="AU1770" s="192"/>
      <c r="AV1770" s="192"/>
      <c r="AW1770" s="192"/>
    </row>
    <row r="1771" spans="1:49" ht="15" customHeight="1">
      <c r="A1771" s="555" t="s">
        <v>3070</v>
      </c>
      <c r="B1771" s="217" t="str">
        <f t="shared" si="2186"/>
        <v>100</v>
      </c>
      <c r="C1771" s="217" t="str">
        <f t="shared" si="2187"/>
        <v>63</v>
      </c>
      <c r="D1771" s="101" t="str">
        <f t="shared" si="2188"/>
        <v>635</v>
      </c>
      <c r="E1771" s="217" t="str">
        <f t="shared" si="2189"/>
        <v>100-63-635</v>
      </c>
      <c r="F1771" s="294" t="str">
        <f t="shared" si="2190"/>
        <v>53574</v>
      </c>
      <c r="G1771" s="295" t="str">
        <f>VLOOKUP(F1771,'GL Category'!A:C,3,FALSE)</f>
        <v>Services &amp; other</v>
      </c>
      <c r="H1771" s="98" t="str">
        <f>VLOOKUP(F1771,'GL Category'!A:C,2,FALSE)</f>
        <v>WATER/SEWER UTILITY SERVICE</v>
      </c>
      <c r="I1771" s="99">
        <f>SUMIF(Import!$B:$B,$A1771,Import!D:D)</f>
        <v>74998.66</v>
      </c>
      <c r="J1771" s="99">
        <f>SUMIF(Import!$B:$B,$A1771,Import!E:E)</f>
        <v>71871.88</v>
      </c>
      <c r="K1771" s="99">
        <f>SUMIF(Import!$B:$B,$A1771,Import!F:F)</f>
        <v>142757.17000000001</v>
      </c>
      <c r="L1771" s="99">
        <f>SUMIF(Import!$B:$B,$A1771,Import!G:G)</f>
        <v>98165.51</v>
      </c>
      <c r="M1771" s="99">
        <f>SUMIF(Import!$B:$B,$A1771,Import!H:H)</f>
        <v>80000</v>
      </c>
      <c r="N1771" s="99">
        <f>SUMIF(Import!$B:$B,$A1771,Import!I:I)</f>
        <v>75857.37</v>
      </c>
      <c r="O1771" s="99">
        <f>SUMIF(Import!$B:$B,$A1771,Import!J:J)</f>
        <v>80000</v>
      </c>
      <c r="P1771" s="99">
        <f t="shared" si="2222"/>
        <v>0</v>
      </c>
      <c r="Q1771" s="99">
        <f>SUMIF(Import!$B:$B,$A1771,Import!K:K)</f>
        <v>82500</v>
      </c>
      <c r="R1771" s="99">
        <f>SUMIF(Import!$B:$B,$A1771,Import!L:L)</f>
        <v>0</v>
      </c>
      <c r="S1771" s="99">
        <f>SUMIF(Import!$B:$B,$A1771,Import!M:M)</f>
        <v>0</v>
      </c>
      <c r="T1771" s="99">
        <f>SUMIF(Import!$B:$B,$A1771,Import!N:N)</f>
        <v>82500</v>
      </c>
      <c r="U1771" s="99">
        <f t="shared" si="2223"/>
        <v>2500</v>
      </c>
      <c r="V1771" s="255">
        <f t="shared" si="2224"/>
        <v>3.125E-2</v>
      </c>
      <c r="W1771" s="102" t="s">
        <v>3070</v>
      </c>
      <c r="X1771" s="102"/>
      <c r="Y1771" s="102"/>
      <c r="AA1771" s="615"/>
      <c r="AB1771" s="192"/>
      <c r="AC1771" s="313"/>
      <c r="AD1771" s="313"/>
      <c r="AE1771" s="313"/>
      <c r="AF1771" s="313"/>
      <c r="AG1771" s="313"/>
      <c r="AH1771" s="192"/>
      <c r="AI1771" s="192"/>
      <c r="AJ1771" s="313"/>
      <c r="AK1771" s="313"/>
      <c r="AL1771" s="313"/>
      <c r="AM1771" s="313"/>
      <c r="AN1771" s="313"/>
      <c r="AO1771" s="313"/>
      <c r="AP1771" s="313"/>
      <c r="AQ1771" s="313"/>
      <c r="AR1771" s="192"/>
      <c r="AS1771" s="192"/>
      <c r="AT1771" s="192"/>
      <c r="AU1771" s="192"/>
      <c r="AV1771" s="192"/>
      <c r="AW1771" s="192"/>
    </row>
    <row r="1772" spans="1:49" ht="15" customHeight="1">
      <c r="A1772" s="555" t="s">
        <v>3071</v>
      </c>
      <c r="B1772" s="217" t="str">
        <f t="shared" si="2186"/>
        <v>100</v>
      </c>
      <c r="C1772" s="217" t="str">
        <f t="shared" si="2187"/>
        <v>63</v>
      </c>
      <c r="D1772" s="101" t="str">
        <f t="shared" si="2188"/>
        <v>635</v>
      </c>
      <c r="E1772" s="217" t="str">
        <f t="shared" si="2189"/>
        <v>100-63-635</v>
      </c>
      <c r="F1772" s="294" t="str">
        <f t="shared" si="2190"/>
        <v>55175</v>
      </c>
      <c r="G1772" s="295" t="str">
        <f>VLOOKUP(F1772,'GL Category'!A:C,3,FALSE)</f>
        <v>Services &amp; other</v>
      </c>
      <c r="H1772" s="98" t="str">
        <f>VLOOKUP(F1772,'GL Category'!A:C,2,FALSE)</f>
        <v>VEHICLE/EQUIP LEASE EXP-CITY</v>
      </c>
      <c r="I1772" s="99">
        <f>SUMIF(Import!$B:$B,$A1772,Import!D:D)</f>
        <v>11100</v>
      </c>
      <c r="J1772" s="99">
        <f>SUMIF(Import!$B:$B,$A1772,Import!E:E)</f>
        <v>16210</v>
      </c>
      <c r="K1772" s="99">
        <f>SUMIF(Import!$B:$B,$A1772,Import!F:F)</f>
        <v>16802</v>
      </c>
      <c r="L1772" s="99">
        <f>SUMIF(Import!$B:$B,$A1772,Import!G:G)</f>
        <v>24109</v>
      </c>
      <c r="M1772" s="99">
        <f>SUMIF(Import!$B:$B,$A1772,Import!H:H)</f>
        <v>23302</v>
      </c>
      <c r="N1772" s="99">
        <f>SUMIF(Import!$B:$B,$A1772,Import!I:I)</f>
        <v>17476.5</v>
      </c>
      <c r="O1772" s="99">
        <f>SUMIF(Import!$B:$B,$A1772,Import!J:J)</f>
        <v>23302</v>
      </c>
      <c r="P1772" s="99">
        <f t="shared" si="2222"/>
        <v>0</v>
      </c>
      <c r="Q1772" s="99">
        <f>SUMIF(Import!$B:$B,$A1772,Import!K:K)</f>
        <v>26660</v>
      </c>
      <c r="R1772" s="99">
        <f>SUMIF(Import!$B:$B,$A1772,Import!L:L)</f>
        <v>0</v>
      </c>
      <c r="S1772" s="99">
        <f>SUMIF(Import!$B:$B,$A1772,Import!M:M)</f>
        <v>0</v>
      </c>
      <c r="T1772" s="99">
        <f>SUMIF(Import!$B:$B,$A1772,Import!N:N)</f>
        <v>26660</v>
      </c>
      <c r="U1772" s="99">
        <f t="shared" si="2223"/>
        <v>3358</v>
      </c>
      <c r="V1772" s="255">
        <f t="shared" si="2224"/>
        <v>0.14410780190541583</v>
      </c>
      <c r="W1772" s="102" t="s">
        <v>3071</v>
      </c>
      <c r="X1772" s="102"/>
      <c r="Y1772" s="102"/>
      <c r="AA1772" s="615"/>
      <c r="AB1772" s="192"/>
      <c r="AC1772" s="312"/>
      <c r="AD1772" s="312"/>
      <c r="AE1772" s="312"/>
      <c r="AF1772" s="312"/>
      <c r="AG1772" s="312"/>
      <c r="AH1772" s="192"/>
      <c r="AI1772" s="192"/>
      <c r="AJ1772" s="194"/>
      <c r="AK1772" s="194"/>
      <c r="AL1772" s="194"/>
      <c r="AM1772" s="194"/>
      <c r="AN1772" s="194"/>
      <c r="AO1772" s="194"/>
      <c r="AP1772" s="194"/>
      <c r="AQ1772" s="194"/>
      <c r="AR1772" s="192"/>
      <c r="AS1772" s="192"/>
      <c r="AT1772" s="192"/>
      <c r="AU1772" s="192"/>
      <c r="AV1772" s="192"/>
      <c r="AW1772" s="192"/>
    </row>
    <row r="1773" spans="1:49" ht="15" customHeight="1">
      <c r="A1773" s="555" t="s">
        <v>3072</v>
      </c>
      <c r="B1773" s="217" t="str">
        <f t="shared" si="2186"/>
        <v>100</v>
      </c>
      <c r="C1773" s="217" t="str">
        <f t="shared" si="2187"/>
        <v>63</v>
      </c>
      <c r="D1773" s="101" t="str">
        <f t="shared" si="2188"/>
        <v>635</v>
      </c>
      <c r="E1773" s="217" t="str">
        <f t="shared" si="2189"/>
        <v>100-63-635</v>
      </c>
      <c r="F1773" s="294" t="str">
        <f t="shared" si="2190"/>
        <v>55119</v>
      </c>
      <c r="G1773" s="295" t="str">
        <f>VLOOKUP(F1773,'GL Category'!A:C,3,FALSE)</f>
        <v>Services &amp; other</v>
      </c>
      <c r="H1773" s="98" t="str">
        <f>VLOOKUP(F1773,'GL Category'!A:C,2,FALSE)</f>
        <v>OFFICE EQUIP LEASE EXP-CITY</v>
      </c>
      <c r="I1773" s="99">
        <f>SUMIF(Import!$B:$B,$A1773,Import!D:D)</f>
        <v>2917</v>
      </c>
      <c r="J1773" s="99">
        <f>SUMIF(Import!$B:$B,$A1773,Import!E:E)</f>
        <v>5362</v>
      </c>
      <c r="K1773" s="99">
        <f>SUMIF(Import!$B:$B,$A1773,Import!F:F)</f>
        <v>1845</v>
      </c>
      <c r="L1773" s="99">
        <f>SUMIF(Import!$B:$B,$A1773,Import!G:G)</f>
        <v>2929</v>
      </c>
      <c r="M1773" s="99">
        <f>SUMIF(Import!$B:$B,$A1773,Import!H:H)</f>
        <v>2530</v>
      </c>
      <c r="N1773" s="99">
        <f>SUMIF(Import!$B:$B,$A1773,Import!I:I)</f>
        <v>1897.5</v>
      </c>
      <c r="O1773" s="99">
        <f>SUMIF(Import!$B:$B,$A1773,Import!J:J)</f>
        <v>2530</v>
      </c>
      <c r="P1773" s="99">
        <f t="shared" si="2222"/>
        <v>0</v>
      </c>
      <c r="Q1773" s="99">
        <f>SUMIF(Import!$B:$B,$A1773,Import!K:K)</f>
        <v>2890</v>
      </c>
      <c r="R1773" s="99">
        <f>SUMIF(Import!$B:$B,$A1773,Import!L:L)</f>
        <v>0</v>
      </c>
      <c r="S1773" s="99">
        <f>SUMIF(Import!$B:$B,$A1773,Import!M:M)</f>
        <v>0</v>
      </c>
      <c r="T1773" s="99">
        <f>SUMIF(Import!$B:$B,$A1773,Import!N:N)</f>
        <v>2890</v>
      </c>
      <c r="U1773" s="99">
        <f t="shared" si="2223"/>
        <v>360</v>
      </c>
      <c r="V1773" s="255">
        <f t="shared" si="2224"/>
        <v>0.14229249011857714</v>
      </c>
      <c r="W1773" s="102" t="s">
        <v>3072</v>
      </c>
      <c r="X1773" s="102"/>
      <c r="Y1773" s="102"/>
      <c r="AA1773" s="615"/>
      <c r="AB1773" s="192"/>
      <c r="AC1773" s="312"/>
      <c r="AD1773" s="312"/>
      <c r="AE1773" s="312"/>
      <c r="AF1773" s="312"/>
      <c r="AG1773" s="312"/>
      <c r="AH1773" s="192"/>
      <c r="AI1773" s="192"/>
      <c r="AJ1773" s="194"/>
      <c r="AK1773" s="194"/>
      <c r="AL1773" s="194"/>
      <c r="AM1773" s="194"/>
      <c r="AN1773" s="194"/>
      <c r="AO1773" s="194"/>
      <c r="AP1773" s="194"/>
      <c r="AQ1773" s="194"/>
      <c r="AR1773" s="192"/>
      <c r="AS1773" s="192"/>
      <c r="AT1773" s="192"/>
      <c r="AU1773" s="192"/>
      <c r="AV1773" s="192"/>
      <c r="AW1773" s="192"/>
    </row>
    <row r="1774" spans="1:49" ht="15" customHeight="1">
      <c r="A1774" s="555"/>
      <c r="B1774" s="217"/>
      <c r="C1774" s="217"/>
      <c r="D1774" s="101"/>
      <c r="E1774" s="217"/>
      <c r="F1774" s="294"/>
      <c r="G1774" s="295"/>
      <c r="H1774" s="107" t="str">
        <f>UPPER(G1773)&amp;" TOTAL"</f>
        <v>SERVICES &amp; OTHER TOTAL</v>
      </c>
      <c r="I1774" s="108">
        <f t="shared" ref="I1774" si="2225">SUBTOTAL(9,I1765:I1773)</f>
        <v>211158.02000000002</v>
      </c>
      <c r="J1774" s="108">
        <f t="shared" ref="J1774:T1774" si="2226">SUBTOTAL(9,J1765:J1773)</f>
        <v>244711.33000000002</v>
      </c>
      <c r="K1774" s="108">
        <f t="shared" ref="K1774" si="2227">SUBTOTAL(9,K1765:K1773)</f>
        <v>290818.58</v>
      </c>
      <c r="L1774" s="108">
        <f t="shared" ref="L1774" si="2228">SUBTOTAL(9,L1765:L1773)</f>
        <v>270153.41000000003</v>
      </c>
      <c r="M1774" s="108">
        <f t="shared" si="2226"/>
        <v>268912</v>
      </c>
      <c r="N1774" s="109">
        <f t="shared" ref="N1774" si="2229">SUBTOTAL(9,N1765:N1773)</f>
        <v>184112.62</v>
      </c>
      <c r="O1774" s="109">
        <f t="shared" si="2226"/>
        <v>250132</v>
      </c>
      <c r="P1774" s="109">
        <f t="shared" si="2226"/>
        <v>-18780</v>
      </c>
      <c r="Q1774" s="109">
        <f t="shared" si="2226"/>
        <v>280130</v>
      </c>
      <c r="R1774" s="109">
        <f t="shared" si="2226"/>
        <v>0</v>
      </c>
      <c r="S1774" s="109">
        <f t="shared" si="2226"/>
        <v>0</v>
      </c>
      <c r="T1774" s="109">
        <f t="shared" si="2226"/>
        <v>280130</v>
      </c>
      <c r="U1774" s="99">
        <f>T1774-M1774</f>
        <v>11218</v>
      </c>
      <c r="V1774" s="255">
        <f>IF(M1774=0,"N/A",T1774/M1774-1)</f>
        <v>4.1716249181888543E-2</v>
      </c>
      <c r="W1774" s="102"/>
      <c r="X1774" s="102"/>
      <c r="Y1774" s="102"/>
      <c r="AA1774" s="615"/>
      <c r="AB1774" s="192"/>
      <c r="AC1774" s="312"/>
      <c r="AD1774" s="312"/>
      <c r="AE1774" s="312"/>
      <c r="AF1774" s="312"/>
      <c r="AG1774" s="312"/>
      <c r="AH1774" s="192"/>
      <c r="AI1774" s="192"/>
      <c r="AJ1774" s="194"/>
      <c r="AK1774" s="194"/>
      <c r="AL1774" s="194"/>
      <c r="AM1774" s="194"/>
      <c r="AN1774" s="194"/>
      <c r="AO1774" s="194"/>
      <c r="AP1774" s="194"/>
      <c r="AQ1774" s="194"/>
      <c r="AR1774" s="192"/>
      <c r="AS1774" s="192"/>
      <c r="AT1774" s="192"/>
      <c r="AU1774" s="192"/>
      <c r="AV1774" s="192"/>
      <c r="AW1774" s="192"/>
    </row>
    <row r="1775" spans="1:49" ht="15" customHeight="1">
      <c r="A1775" s="555"/>
      <c r="B1775" s="217"/>
      <c r="C1775" s="217"/>
      <c r="D1775" s="101"/>
      <c r="E1775" s="217"/>
      <c r="F1775" s="294"/>
      <c r="G1775" s="295"/>
      <c r="H1775" s="98"/>
      <c r="I1775" s="106"/>
      <c r="J1775" s="106"/>
      <c r="K1775" s="106"/>
      <c r="L1775" s="106"/>
      <c r="M1775" s="106"/>
      <c r="N1775" s="112"/>
      <c r="O1775" s="112"/>
      <c r="P1775" s="112"/>
      <c r="Q1775" s="113"/>
      <c r="R1775" s="113"/>
      <c r="S1775" s="113"/>
      <c r="T1775" s="113"/>
      <c r="U1775" s="99"/>
      <c r="V1775" s="255"/>
      <c r="W1775" s="102"/>
      <c r="X1775" s="102"/>
      <c r="Y1775" s="102"/>
      <c r="AA1775" s="615"/>
      <c r="AB1775" s="192"/>
      <c r="AC1775" s="312"/>
      <c r="AD1775" s="312"/>
      <c r="AE1775" s="312"/>
      <c r="AF1775" s="312"/>
      <c r="AG1775" s="312"/>
      <c r="AH1775" s="192"/>
      <c r="AI1775" s="192"/>
      <c r="AJ1775" s="194"/>
      <c r="AK1775" s="194"/>
      <c r="AL1775" s="194"/>
      <c r="AM1775" s="194"/>
      <c r="AN1775" s="194"/>
      <c r="AO1775" s="194"/>
      <c r="AP1775" s="194"/>
      <c r="AQ1775" s="194"/>
      <c r="AR1775" s="192"/>
      <c r="AS1775" s="192"/>
      <c r="AT1775" s="192"/>
      <c r="AU1775" s="192"/>
      <c r="AV1775" s="192"/>
      <c r="AW1775" s="192"/>
    </row>
    <row r="1776" spans="1:49" ht="15" customHeight="1">
      <c r="A1776" s="555" t="s">
        <v>3073</v>
      </c>
      <c r="B1776" s="217" t="str">
        <f t="shared" si="2186"/>
        <v>100</v>
      </c>
      <c r="C1776" s="217" t="str">
        <f t="shared" si="2187"/>
        <v>63</v>
      </c>
      <c r="D1776" s="101" t="str">
        <f t="shared" si="2188"/>
        <v>635</v>
      </c>
      <c r="E1776" s="217" t="str">
        <f t="shared" si="2189"/>
        <v>100-63-635</v>
      </c>
      <c r="F1776" s="294" t="str">
        <f t="shared" si="2190"/>
        <v>58830</v>
      </c>
      <c r="G1776" s="295" t="str">
        <f>VLOOKUP(F1776,'GL Category'!A:C,3,FALSE)</f>
        <v>Capital Outlay</v>
      </c>
      <c r="H1776" s="98" t="str">
        <f>VLOOKUP(F1776,'GL Category'!A:C,2,FALSE)</f>
        <v>MACHINERY &amp; EQUIPMENT</v>
      </c>
      <c r="I1776" s="99">
        <f>SUMIF(Import!$B:$B,$A1776,Import!D:D)</f>
        <v>0</v>
      </c>
      <c r="J1776" s="99">
        <f>SUMIF(Import!$B:$B,$A1776,Import!E:E)</f>
        <v>0</v>
      </c>
      <c r="K1776" s="99">
        <f>SUMIF(Import!$B:$B,$A1776,Import!F:F)</f>
        <v>0</v>
      </c>
      <c r="L1776" s="99">
        <f>SUMIF(Import!$B:$B,$A1776,Import!G:G)</f>
        <v>0</v>
      </c>
      <c r="M1776" s="99">
        <f>SUMIF(Import!$B:$B,$A1776,Import!H:H)</f>
        <v>0</v>
      </c>
      <c r="N1776" s="99">
        <f>SUMIF(Import!$B:$B,$A1776,Import!I:I)</f>
        <v>0</v>
      </c>
      <c r="O1776" s="99">
        <f>SUMIF(Import!$B:$B,$A1776,Import!J:J)</f>
        <v>0</v>
      </c>
      <c r="P1776" s="99">
        <f t="shared" ref="P1776" si="2230">O1776-M1776</f>
        <v>0</v>
      </c>
      <c r="Q1776" s="99">
        <f>SUMIF(Import!$B:$B,$A1776,Import!K:K)</f>
        <v>0</v>
      </c>
      <c r="R1776" s="99">
        <f>SUMIF(Import!$B:$B,$A1776,Import!L:L)</f>
        <v>0</v>
      </c>
      <c r="S1776" s="99">
        <f>SUMIF(Import!$B:$B,$A1776,Import!M:M)</f>
        <v>0</v>
      </c>
      <c r="T1776" s="99">
        <f>SUMIF(Import!$B:$B,$A1776,Import!N:N)</f>
        <v>0</v>
      </c>
      <c r="U1776" s="99">
        <f t="shared" ref="U1776" si="2231">T1776-M1776</f>
        <v>0</v>
      </c>
      <c r="V1776" s="255" t="str">
        <f t="shared" ref="V1776" si="2232">IF(M1776=0,"N/A",T1776/M1776-1)</f>
        <v>N/A</v>
      </c>
      <c r="W1776" s="102" t="s">
        <v>3073</v>
      </c>
      <c r="X1776" s="102"/>
      <c r="Y1776" s="102"/>
      <c r="AA1776" s="615"/>
      <c r="AB1776" s="192"/>
      <c r="AC1776" s="312"/>
      <c r="AD1776" s="312"/>
      <c r="AE1776" s="312"/>
      <c r="AF1776" s="312"/>
      <c r="AG1776" s="312"/>
      <c r="AH1776" s="192"/>
      <c r="AI1776" s="192"/>
      <c r="AJ1776" s="194"/>
      <c r="AK1776" s="194"/>
      <c r="AL1776" s="194"/>
      <c r="AM1776" s="194"/>
      <c r="AN1776" s="194"/>
      <c r="AO1776" s="194"/>
      <c r="AP1776" s="194"/>
      <c r="AQ1776" s="194"/>
      <c r="AR1776" s="192"/>
      <c r="AS1776" s="192"/>
      <c r="AT1776" s="192"/>
      <c r="AU1776" s="192"/>
      <c r="AV1776" s="192"/>
      <c r="AW1776" s="192"/>
    </row>
    <row r="1777" spans="1:49" ht="15" customHeight="1">
      <c r="A1777" s="555"/>
      <c r="B1777" s="217"/>
      <c r="C1777" s="217"/>
      <c r="D1777" s="101"/>
      <c r="E1777" s="217"/>
      <c r="F1777" s="294"/>
      <c r="G1777" s="295"/>
      <c r="H1777" s="107" t="str">
        <f>UPPER(G1776)&amp;" TOTAL"</f>
        <v>CAPITAL OUTLAY TOTAL</v>
      </c>
      <c r="I1777" s="108">
        <f t="shared" ref="I1777" si="2233">SUBTOTAL(9,I1776:I1776)</f>
        <v>0</v>
      </c>
      <c r="J1777" s="108">
        <f t="shared" ref="J1777:P1777" si="2234">SUBTOTAL(9,J1776:J1776)</f>
        <v>0</v>
      </c>
      <c r="K1777" s="108">
        <f t="shared" ref="K1777" si="2235">SUBTOTAL(9,K1776:K1776)</f>
        <v>0</v>
      </c>
      <c r="L1777" s="108">
        <f t="shared" ref="L1777" si="2236">SUBTOTAL(9,L1776:L1776)</f>
        <v>0</v>
      </c>
      <c r="M1777" s="108">
        <f t="shared" si="2234"/>
        <v>0</v>
      </c>
      <c r="N1777" s="109">
        <f t="shared" ref="N1777" si="2237">SUBTOTAL(9,N1776:N1776)</f>
        <v>0</v>
      </c>
      <c r="O1777" s="109">
        <f t="shared" si="2234"/>
        <v>0</v>
      </c>
      <c r="P1777" s="109">
        <f t="shared" si="2234"/>
        <v>0</v>
      </c>
      <c r="Q1777" s="109">
        <f t="shared" ref="Q1777:T1777" si="2238">SUBTOTAL(9,Q1776:Q1776)</f>
        <v>0</v>
      </c>
      <c r="R1777" s="109">
        <f t="shared" si="2238"/>
        <v>0</v>
      </c>
      <c r="S1777" s="109">
        <f t="shared" si="2238"/>
        <v>0</v>
      </c>
      <c r="T1777" s="109">
        <f t="shared" si="2238"/>
        <v>0</v>
      </c>
      <c r="U1777" s="99">
        <f>T1777-M1777</f>
        <v>0</v>
      </c>
      <c r="V1777" s="255" t="str">
        <f>IF(M1777=0,"N/A",T1777/M1777-1)</f>
        <v>N/A</v>
      </c>
      <c r="W1777" s="102"/>
      <c r="X1777" s="102"/>
      <c r="Y1777" s="102"/>
      <c r="AA1777" s="615"/>
      <c r="AB1777" s="192"/>
      <c r="AC1777" s="314"/>
      <c r="AD1777" s="314"/>
      <c r="AE1777" s="314"/>
      <c r="AF1777" s="314"/>
      <c r="AG1777" s="314"/>
      <c r="AH1777" s="192"/>
      <c r="AI1777" s="192"/>
      <c r="AJ1777" s="314"/>
      <c r="AK1777" s="314"/>
      <c r="AL1777" s="314"/>
      <c r="AM1777" s="314"/>
      <c r="AN1777" s="314"/>
      <c r="AO1777" s="314"/>
      <c r="AP1777" s="314"/>
      <c r="AQ1777" s="314"/>
      <c r="AR1777" s="192"/>
      <c r="AS1777" s="192"/>
      <c r="AT1777" s="192"/>
      <c r="AU1777" s="192"/>
      <c r="AV1777" s="192"/>
      <c r="AW1777" s="192"/>
    </row>
    <row r="1778" spans="1:49" ht="15" customHeight="1">
      <c r="A1778" s="555"/>
      <c r="B1778" s="217"/>
      <c r="C1778" s="217"/>
      <c r="D1778" s="101"/>
      <c r="E1778" s="217"/>
      <c r="F1778" s="294"/>
      <c r="G1778" s="295"/>
      <c r="H1778" s="98"/>
      <c r="I1778" s="106"/>
      <c r="J1778" s="106"/>
      <c r="K1778" s="106"/>
      <c r="L1778" s="106"/>
      <c r="M1778" s="106"/>
      <c r="N1778" s="112"/>
      <c r="O1778" s="112"/>
      <c r="P1778" s="112"/>
      <c r="Q1778" s="113"/>
      <c r="R1778" s="113"/>
      <c r="S1778" s="113"/>
      <c r="T1778" s="113"/>
      <c r="U1778" s="99"/>
      <c r="V1778" s="255"/>
      <c r="W1778" s="102"/>
      <c r="X1778" s="102"/>
      <c r="Y1778" s="102"/>
      <c r="AA1778" s="615"/>
      <c r="AB1778" s="192"/>
      <c r="AC1778" s="192"/>
      <c r="AD1778" s="192"/>
      <c r="AE1778" s="192"/>
      <c r="AF1778" s="192"/>
      <c r="AG1778" s="192"/>
      <c r="AH1778" s="192"/>
      <c r="AI1778" s="192"/>
      <c r="AJ1778" s="192"/>
      <c r="AK1778" s="192"/>
      <c r="AL1778" s="192"/>
      <c r="AM1778" s="192"/>
      <c r="AN1778" s="192"/>
      <c r="AR1778" s="192"/>
      <c r="AS1778" s="192"/>
      <c r="AT1778" s="192"/>
      <c r="AU1778" s="192"/>
      <c r="AV1778" s="192"/>
      <c r="AW1778" s="192"/>
    </row>
    <row r="1779" spans="1:49" ht="15" customHeight="1">
      <c r="A1779" s="555"/>
      <c r="B1779" s="217"/>
      <c r="C1779" s="217"/>
      <c r="D1779" s="101"/>
      <c r="E1779" s="217"/>
      <c r="F1779" s="294"/>
      <c r="G1779" s="295"/>
      <c r="H1779" s="114" t="s">
        <v>763</v>
      </c>
      <c r="I1779" s="108">
        <f t="shared" ref="I1779" si="2239">SUBTOTAL(9,I1741:I1778)</f>
        <v>576869.32000000007</v>
      </c>
      <c r="J1779" s="108">
        <f t="shared" ref="J1779:T1779" si="2240">SUBTOTAL(9,J1741:J1778)</f>
        <v>669432.66000000015</v>
      </c>
      <c r="K1779" s="108">
        <f t="shared" ref="K1779" si="2241">SUBTOTAL(9,K1741:K1778)</f>
        <v>728567.03000000014</v>
      </c>
      <c r="L1779" s="108">
        <f t="shared" ref="L1779" si="2242">SUBTOTAL(9,L1741:L1778)</f>
        <v>680269.44000000006</v>
      </c>
      <c r="M1779" s="108">
        <f t="shared" si="2240"/>
        <v>707088</v>
      </c>
      <c r="N1779" s="108">
        <f t="shared" ref="N1779" si="2243">SUBTOTAL(9,N1741:N1778)</f>
        <v>479532.8299999999</v>
      </c>
      <c r="O1779" s="108">
        <f t="shared" si="2240"/>
        <v>670898</v>
      </c>
      <c r="P1779" s="108">
        <f t="shared" si="2240"/>
        <v>-36190</v>
      </c>
      <c r="Q1779" s="108">
        <f t="shared" si="2240"/>
        <v>733611</v>
      </c>
      <c r="R1779" s="108">
        <f t="shared" si="2240"/>
        <v>0</v>
      </c>
      <c r="S1779" s="108">
        <f t="shared" si="2240"/>
        <v>0</v>
      </c>
      <c r="T1779" s="108">
        <f t="shared" si="2240"/>
        <v>733611</v>
      </c>
      <c r="U1779" s="99">
        <f>T1779-M1779</f>
        <v>26523</v>
      </c>
      <c r="V1779" s="255">
        <f>IF(M1779=0,"N/A",T1779/M1779-1)</f>
        <v>3.7510182608105458E-2</v>
      </c>
      <c r="W1779" s="102"/>
      <c r="X1779" s="102"/>
      <c r="Y1779" s="102"/>
      <c r="AA1779" s="615"/>
      <c r="AB1779" s="315"/>
      <c r="AC1779" s="95"/>
      <c r="AD1779" s="95"/>
      <c r="AE1779" s="95"/>
      <c r="AF1779" s="95"/>
      <c r="AG1779" s="95"/>
      <c r="AH1779" s="95"/>
      <c r="AI1779" s="315"/>
      <c r="AJ1779" s="196"/>
      <c r="AK1779" s="196"/>
      <c r="AL1779" s="196"/>
      <c r="AM1779" s="196"/>
      <c r="AN1779" s="196"/>
      <c r="AO1779" s="196"/>
      <c r="AP1779" s="196"/>
      <c r="AQ1779" s="196"/>
      <c r="AR1779" s="192"/>
      <c r="AS1779" s="192"/>
      <c r="AT1779" s="192"/>
      <c r="AU1779" s="192"/>
      <c r="AV1779" s="192"/>
      <c r="AW1779" s="192"/>
    </row>
    <row r="1780" spans="1:49" ht="15" customHeight="1">
      <c r="A1780" s="555"/>
      <c r="B1780" s="217"/>
      <c r="C1780" s="217"/>
      <c r="D1780" s="101"/>
      <c r="E1780" s="217"/>
      <c r="F1780" s="294"/>
      <c r="G1780" s="295"/>
      <c r="H1780" s="98"/>
      <c r="I1780" s="218"/>
      <c r="J1780" s="218"/>
      <c r="K1780" s="218"/>
      <c r="L1780" s="218"/>
      <c r="M1780" s="218"/>
      <c r="U1780" s="99"/>
      <c r="V1780" s="255"/>
      <c r="W1780" s="102"/>
      <c r="X1780" s="102"/>
      <c r="Y1780" s="102"/>
      <c r="AA1780" s="615"/>
      <c r="AB1780" s="315"/>
      <c r="AC1780" s="310"/>
      <c r="AD1780" s="316"/>
      <c r="AE1780" s="316"/>
      <c r="AF1780" s="316"/>
      <c r="AG1780" s="316"/>
      <c r="AH1780" s="95"/>
      <c r="AI1780" s="315"/>
      <c r="AJ1780" s="311"/>
      <c r="AK1780" s="311"/>
      <c r="AL1780" s="311"/>
      <c r="AM1780" s="311"/>
      <c r="AN1780" s="311"/>
      <c r="AO1780" s="311"/>
      <c r="AP1780" s="311"/>
      <c r="AQ1780" s="311"/>
      <c r="AR1780" s="192"/>
      <c r="AS1780" s="192"/>
      <c r="AT1780" s="192"/>
      <c r="AU1780" s="192"/>
      <c r="AV1780" s="192"/>
      <c r="AW1780" s="192"/>
    </row>
    <row r="1781" spans="1:49" ht="15" customHeight="1" thickBot="1">
      <c r="A1781" s="555"/>
      <c r="B1781" s="217"/>
      <c r="C1781" s="217"/>
      <c r="D1781" s="101"/>
      <c r="E1781" s="217"/>
      <c r="F1781" s="294"/>
      <c r="G1781" s="295"/>
      <c r="H1781" s="491"/>
      <c r="I1781" s="96"/>
      <c r="J1781" s="96"/>
      <c r="K1781" s="96"/>
      <c r="L1781" s="96"/>
      <c r="M1781" s="96"/>
      <c r="Q1781" s="96"/>
      <c r="R1781" s="96"/>
      <c r="S1781" s="96"/>
      <c r="T1781" s="96"/>
      <c r="U1781" s="99"/>
      <c r="V1781" s="255"/>
      <c r="W1781" s="102"/>
      <c r="X1781" s="102"/>
      <c r="Y1781" s="102"/>
      <c r="AA1781" s="615"/>
      <c r="AB1781" s="192"/>
      <c r="AC1781" s="312"/>
      <c r="AD1781" s="312"/>
      <c r="AE1781" s="312"/>
      <c r="AF1781" s="312"/>
      <c r="AG1781" s="312"/>
      <c r="AH1781" s="192"/>
      <c r="AI1781" s="192"/>
      <c r="AJ1781" s="194"/>
      <c r="AK1781" s="194"/>
      <c r="AL1781" s="194"/>
      <c r="AM1781" s="194"/>
      <c r="AN1781" s="194"/>
      <c r="AO1781" s="194"/>
      <c r="AP1781" s="194"/>
      <c r="AQ1781" s="194"/>
      <c r="AR1781" s="192"/>
      <c r="AS1781" s="192"/>
      <c r="AT1781" s="192"/>
      <c r="AU1781" s="192"/>
      <c r="AV1781" s="192"/>
      <c r="AW1781" s="192"/>
    </row>
    <row r="1782" spans="1:49" ht="25.5" customHeight="1" thickBot="1">
      <c r="A1782" s="555"/>
      <c r="B1782" s="217"/>
      <c r="C1782" s="217"/>
      <c r="D1782" s="101"/>
      <c r="E1782" s="217"/>
      <c r="F1782" s="294"/>
      <c r="G1782" s="295"/>
      <c r="H1782" s="665" t="s">
        <v>641</v>
      </c>
      <c r="I1782" s="666"/>
      <c r="J1782" s="666"/>
      <c r="K1782" s="666"/>
      <c r="L1782" s="666"/>
      <c r="M1782" s="666"/>
      <c r="N1782" s="666"/>
      <c r="O1782" s="666"/>
      <c r="P1782" s="666"/>
      <c r="Q1782" s="666"/>
      <c r="R1782" s="666"/>
      <c r="S1782" s="666"/>
      <c r="T1782" s="667"/>
      <c r="U1782" s="99"/>
      <c r="V1782" s="255"/>
      <c r="W1782" s="102"/>
      <c r="X1782" s="102"/>
      <c r="Y1782" s="102"/>
      <c r="AA1782" s="615"/>
      <c r="AB1782" s="192"/>
      <c r="AC1782" s="312"/>
      <c r="AD1782" s="312"/>
      <c r="AE1782" s="312"/>
      <c r="AF1782" s="312"/>
      <c r="AG1782" s="312"/>
      <c r="AH1782" s="192"/>
      <c r="AI1782" s="192"/>
      <c r="AJ1782" s="194"/>
      <c r="AK1782" s="194"/>
      <c r="AL1782" s="194"/>
      <c r="AM1782" s="194"/>
      <c r="AN1782" s="194"/>
      <c r="AO1782" s="194"/>
      <c r="AP1782" s="194"/>
      <c r="AQ1782" s="194"/>
      <c r="AR1782" s="192"/>
      <c r="AS1782" s="192"/>
      <c r="AT1782" s="192"/>
      <c r="AU1782" s="192"/>
      <c r="AV1782" s="192"/>
      <c r="AW1782" s="192"/>
    </row>
    <row r="1783" spans="1:49" ht="15" customHeight="1">
      <c r="A1783" s="555"/>
      <c r="B1783" s="217"/>
      <c r="C1783" s="217"/>
      <c r="D1783" s="101"/>
      <c r="E1783" s="217"/>
      <c r="F1783" s="294"/>
      <c r="G1783" s="295"/>
      <c r="H1783" s="225"/>
      <c r="I1783" s="225"/>
      <c r="J1783" s="225"/>
      <c r="K1783" s="225"/>
      <c r="L1783" s="225"/>
      <c r="M1783" s="225"/>
      <c r="N1783" s="225"/>
      <c r="O1783" s="225"/>
      <c r="P1783" s="225"/>
      <c r="Q1783" s="225"/>
      <c r="R1783" s="225"/>
      <c r="S1783" s="225"/>
      <c r="T1783" s="225"/>
      <c r="U1783" s="99"/>
      <c r="V1783" s="255"/>
      <c r="W1783" s="102"/>
      <c r="X1783" s="102"/>
      <c r="Y1783" s="102"/>
      <c r="AA1783" s="615"/>
      <c r="AB1783" s="192"/>
      <c r="AC1783" s="312"/>
      <c r="AD1783" s="312"/>
      <c r="AE1783" s="312"/>
      <c r="AF1783" s="312"/>
      <c r="AG1783" s="312"/>
      <c r="AH1783" s="192"/>
      <c r="AI1783" s="192"/>
      <c r="AJ1783" s="194"/>
      <c r="AK1783" s="194"/>
      <c r="AL1783" s="194"/>
      <c r="AM1783" s="194"/>
      <c r="AN1783" s="194"/>
      <c r="AO1783" s="194"/>
      <c r="AP1783" s="194"/>
      <c r="AQ1783" s="194"/>
      <c r="AR1783" s="192"/>
      <c r="AS1783" s="192"/>
      <c r="AT1783" s="192"/>
      <c r="AU1783" s="192"/>
      <c r="AV1783" s="192"/>
      <c r="AW1783" s="192"/>
    </row>
    <row r="1784" spans="1:49" ht="15" customHeight="1">
      <c r="A1784" s="555" t="s">
        <v>3074</v>
      </c>
      <c r="B1784" s="217" t="str">
        <f t="shared" si="2186"/>
        <v>100</v>
      </c>
      <c r="C1784" s="217" t="str">
        <f t="shared" si="2187"/>
        <v>63</v>
      </c>
      <c r="D1784" s="101" t="str">
        <f t="shared" si="2188"/>
        <v>636</v>
      </c>
      <c r="E1784" s="217" t="str">
        <f t="shared" si="2189"/>
        <v>100-63-636</v>
      </c>
      <c r="F1784" s="294" t="str">
        <f t="shared" si="2190"/>
        <v>50102</v>
      </c>
      <c r="G1784" s="295" t="str">
        <f>VLOOKUP(F1784,'GL Category'!A:C,3,FALSE)</f>
        <v>Personnel services</v>
      </c>
      <c r="H1784" s="98" t="str">
        <f>VLOOKUP(F1784,'GL Category'!A:C,2,FALSE)</f>
        <v>NON EXEMPT SALARIES</v>
      </c>
      <c r="I1784" s="99">
        <f>SUMIF(Import!$B:$B,$A1784,Import!D:D)</f>
        <v>25184.29</v>
      </c>
      <c r="J1784" s="99">
        <f>SUMIF(Import!$B:$B,$A1784,Import!E:E)</f>
        <v>37788.160000000003</v>
      </c>
      <c r="K1784" s="99">
        <f>SUMIF(Import!$B:$B,$A1784,Import!F:F)</f>
        <v>40107.72</v>
      </c>
      <c r="L1784" s="99">
        <f>SUMIF(Import!$B:$B,$A1784,Import!G:G)</f>
        <v>26864.22</v>
      </c>
      <c r="M1784" s="99">
        <f>SUMIF(Import!$B:$B,$A1784,Import!H:H)</f>
        <v>23572</v>
      </c>
      <c r="N1784" s="99">
        <f>SUMIF(Import!$B:$B,$A1784,Import!I:I)</f>
        <v>22003.54</v>
      </c>
      <c r="O1784" s="99">
        <f>SUMIF(Import!$B:$B,$A1784,Import!J:J)</f>
        <v>18474</v>
      </c>
      <c r="P1784" s="99">
        <f t="shared" ref="P1784:P1790" si="2244">O1784-M1784</f>
        <v>-5098</v>
      </c>
      <c r="Q1784" s="99">
        <f>SUMIF(Import!$B:$B,$A1784,Import!K:K)</f>
        <v>24752</v>
      </c>
      <c r="R1784" s="99">
        <f>SUMIF(Import!$B:$B,$A1784,Import!L:L)</f>
        <v>0</v>
      </c>
      <c r="S1784" s="99">
        <f>SUMIF(Import!$B:$B,$A1784,Import!M:M)</f>
        <v>0</v>
      </c>
      <c r="T1784" s="99">
        <f>SUMIF(Import!$B:$B,$A1784,Import!N:N)</f>
        <v>24752</v>
      </c>
      <c r="U1784" s="99">
        <f t="shared" ref="U1784:U1790" si="2245">T1784-M1784</f>
        <v>1180</v>
      </c>
      <c r="V1784" s="255">
        <f t="shared" ref="V1784:V1790" si="2246">IF(M1784=0,"N/A",T1784/M1784-1)</f>
        <v>5.0059392499575806E-2</v>
      </c>
      <c r="W1784" s="102" t="s">
        <v>3074</v>
      </c>
      <c r="X1784" s="102"/>
      <c r="Y1784" s="102"/>
      <c r="AA1784" s="615"/>
      <c r="AB1784" s="192"/>
      <c r="AC1784" s="312"/>
      <c r="AD1784" s="312"/>
      <c r="AE1784" s="312"/>
      <c r="AF1784" s="312"/>
      <c r="AG1784" s="312"/>
      <c r="AH1784" s="192"/>
      <c r="AI1784" s="192"/>
      <c r="AJ1784" s="194"/>
      <c r="AK1784" s="194"/>
      <c r="AL1784" s="194"/>
      <c r="AM1784" s="194"/>
      <c r="AN1784" s="194"/>
      <c r="AO1784" s="194"/>
      <c r="AP1784" s="194"/>
      <c r="AQ1784" s="194"/>
      <c r="AR1784" s="192"/>
      <c r="AS1784" s="192"/>
      <c r="AT1784" s="192"/>
      <c r="AU1784" s="192"/>
      <c r="AV1784" s="192"/>
      <c r="AW1784" s="192"/>
    </row>
    <row r="1785" spans="1:49" ht="15" customHeight="1">
      <c r="A1785" s="555" t="s">
        <v>3075</v>
      </c>
      <c r="B1785" s="217" t="str">
        <f t="shared" si="2186"/>
        <v>100</v>
      </c>
      <c r="C1785" s="217" t="str">
        <f t="shared" si="2187"/>
        <v>63</v>
      </c>
      <c r="D1785" s="101" t="str">
        <f t="shared" si="2188"/>
        <v>636</v>
      </c>
      <c r="E1785" s="217" t="str">
        <f t="shared" si="2189"/>
        <v>100-63-636</v>
      </c>
      <c r="F1785" s="294" t="str">
        <f t="shared" si="2190"/>
        <v>50109</v>
      </c>
      <c r="G1785" s="295" t="str">
        <f>VLOOKUP(F1785,'GL Category'!A:C,3,FALSE)</f>
        <v>Personnel services</v>
      </c>
      <c r="H1785" s="98" t="str">
        <f>VLOOKUP(F1785,'GL Category'!A:C,2,FALSE)</f>
        <v>OVERTIME</v>
      </c>
      <c r="I1785" s="99">
        <f>SUMIF(Import!$B:$B,$A1785,Import!D:D)</f>
        <v>167.57</v>
      </c>
      <c r="J1785" s="99">
        <f>SUMIF(Import!$B:$B,$A1785,Import!E:E)</f>
        <v>697.01</v>
      </c>
      <c r="K1785" s="99">
        <f>SUMIF(Import!$B:$B,$A1785,Import!F:F)</f>
        <v>2313.21</v>
      </c>
      <c r="L1785" s="99">
        <f>SUMIF(Import!$B:$B,$A1785,Import!G:G)</f>
        <v>891.92</v>
      </c>
      <c r="M1785" s="99">
        <f>SUMIF(Import!$B:$B,$A1785,Import!H:H)</f>
        <v>300</v>
      </c>
      <c r="N1785" s="99">
        <f>SUMIF(Import!$B:$B,$A1785,Import!I:I)</f>
        <v>423.81</v>
      </c>
      <c r="O1785" s="99">
        <f>SUMIF(Import!$B:$B,$A1785,Import!J:J)</f>
        <v>465</v>
      </c>
      <c r="P1785" s="99">
        <f t="shared" si="2244"/>
        <v>165</v>
      </c>
      <c r="Q1785" s="99">
        <f>SUMIF(Import!$B:$B,$A1785,Import!K:K)</f>
        <v>300</v>
      </c>
      <c r="R1785" s="99">
        <f>SUMIF(Import!$B:$B,$A1785,Import!L:L)</f>
        <v>0</v>
      </c>
      <c r="S1785" s="99">
        <f>SUMIF(Import!$B:$B,$A1785,Import!M:M)</f>
        <v>0</v>
      </c>
      <c r="T1785" s="99">
        <f>SUMIF(Import!$B:$B,$A1785,Import!N:N)</f>
        <v>300</v>
      </c>
      <c r="U1785" s="99">
        <f t="shared" si="2245"/>
        <v>0</v>
      </c>
      <c r="V1785" s="255">
        <f t="shared" si="2246"/>
        <v>0</v>
      </c>
      <c r="W1785" s="102" t="s">
        <v>3075</v>
      </c>
      <c r="X1785" s="102"/>
      <c r="Y1785" s="102"/>
      <c r="AA1785" s="615"/>
      <c r="AB1785" s="192"/>
      <c r="AC1785" s="312"/>
      <c r="AD1785" s="312"/>
      <c r="AE1785" s="312"/>
      <c r="AF1785" s="312"/>
      <c r="AG1785" s="312"/>
      <c r="AH1785" s="192"/>
      <c r="AI1785" s="192"/>
      <c r="AJ1785" s="194"/>
      <c r="AK1785" s="194"/>
      <c r="AL1785" s="194"/>
      <c r="AM1785" s="194"/>
      <c r="AN1785" s="194"/>
      <c r="AO1785" s="194"/>
      <c r="AP1785" s="194"/>
      <c r="AQ1785" s="194"/>
      <c r="AR1785" s="192"/>
      <c r="AS1785" s="192"/>
      <c r="AT1785" s="192"/>
      <c r="AU1785" s="192"/>
      <c r="AV1785" s="192"/>
      <c r="AW1785" s="192"/>
    </row>
    <row r="1786" spans="1:49" ht="15" customHeight="1">
      <c r="A1786" s="555" t="s">
        <v>3076</v>
      </c>
      <c r="B1786" s="217" t="str">
        <f t="shared" si="2186"/>
        <v>100</v>
      </c>
      <c r="C1786" s="217" t="str">
        <f t="shared" si="2187"/>
        <v>63</v>
      </c>
      <c r="D1786" s="101" t="str">
        <f t="shared" si="2188"/>
        <v>636</v>
      </c>
      <c r="E1786" s="217" t="str">
        <f t="shared" si="2189"/>
        <v>100-63-636</v>
      </c>
      <c r="F1786" s="294" t="str">
        <f t="shared" si="2190"/>
        <v>50111</v>
      </c>
      <c r="G1786" s="295" t="str">
        <f>VLOOKUP(F1786,'GL Category'!A:C,3,FALSE)</f>
        <v>Personnel services</v>
      </c>
      <c r="H1786" s="98" t="str">
        <f>VLOOKUP(F1786,'GL Category'!A:C,2,FALSE)</f>
        <v>LONGEVITY PAY</v>
      </c>
      <c r="I1786" s="99">
        <f>SUMIF(Import!$B:$B,$A1786,Import!D:D)</f>
        <v>0</v>
      </c>
      <c r="J1786" s="99">
        <f>SUMIF(Import!$B:$B,$A1786,Import!E:E)</f>
        <v>717.5</v>
      </c>
      <c r="K1786" s="99">
        <f>SUMIF(Import!$B:$B,$A1786,Import!F:F)</f>
        <v>378.35</v>
      </c>
      <c r="L1786" s="99">
        <f>SUMIF(Import!$B:$B,$A1786,Import!G:G)</f>
        <v>63</v>
      </c>
      <c r="M1786" s="99">
        <f>SUMIF(Import!$B:$B,$A1786,Import!H:H)</f>
        <v>115</v>
      </c>
      <c r="N1786" s="99">
        <f>SUMIF(Import!$B:$B,$A1786,Import!I:I)</f>
        <v>126</v>
      </c>
      <c r="O1786" s="99">
        <f>SUMIF(Import!$B:$B,$A1786,Import!J:J)</f>
        <v>126</v>
      </c>
      <c r="P1786" s="99">
        <f t="shared" si="2244"/>
        <v>11</v>
      </c>
      <c r="Q1786" s="99">
        <f>SUMIF(Import!$B:$B,$A1786,Import!K:K)</f>
        <v>151</v>
      </c>
      <c r="R1786" s="99">
        <f>SUMIF(Import!$B:$B,$A1786,Import!L:L)</f>
        <v>0</v>
      </c>
      <c r="S1786" s="99">
        <f>SUMIF(Import!$B:$B,$A1786,Import!M:M)</f>
        <v>0</v>
      </c>
      <c r="T1786" s="99">
        <f>SUMIF(Import!$B:$B,$A1786,Import!N:N)</f>
        <v>151</v>
      </c>
      <c r="U1786" s="99">
        <f t="shared" si="2245"/>
        <v>36</v>
      </c>
      <c r="V1786" s="255">
        <f t="shared" si="2246"/>
        <v>0.31304347826086953</v>
      </c>
      <c r="W1786" s="102" t="s">
        <v>3076</v>
      </c>
      <c r="X1786" s="102"/>
      <c r="Y1786" s="102"/>
      <c r="AA1786" s="615"/>
      <c r="AB1786" s="192"/>
      <c r="AC1786" s="312"/>
      <c r="AD1786" s="312"/>
      <c r="AE1786" s="312"/>
      <c r="AF1786" s="312"/>
      <c r="AG1786" s="312"/>
      <c r="AH1786" s="192"/>
      <c r="AI1786" s="192"/>
      <c r="AJ1786" s="194"/>
      <c r="AK1786" s="194"/>
      <c r="AL1786" s="194"/>
      <c r="AM1786" s="194"/>
      <c r="AN1786" s="194"/>
      <c r="AO1786" s="194"/>
      <c r="AP1786" s="194"/>
      <c r="AQ1786" s="194"/>
      <c r="AR1786" s="192"/>
      <c r="AS1786" s="192"/>
      <c r="AT1786" s="192"/>
      <c r="AU1786" s="192"/>
      <c r="AV1786" s="192"/>
      <c r="AW1786" s="192"/>
    </row>
    <row r="1787" spans="1:49" ht="15" customHeight="1">
      <c r="A1787" s="555" t="s">
        <v>3077</v>
      </c>
      <c r="B1787" s="217" t="str">
        <f t="shared" si="2186"/>
        <v>100</v>
      </c>
      <c r="C1787" s="217" t="str">
        <f t="shared" si="2187"/>
        <v>63</v>
      </c>
      <c r="D1787" s="101" t="str">
        <f t="shared" si="2188"/>
        <v>636</v>
      </c>
      <c r="E1787" s="217" t="str">
        <f t="shared" si="2189"/>
        <v>100-63-636</v>
      </c>
      <c r="F1787" s="294" t="str">
        <f t="shared" si="2190"/>
        <v>50610</v>
      </c>
      <c r="G1787" s="295" t="str">
        <f>VLOOKUP(F1787,'GL Category'!A:C,3,FALSE)</f>
        <v>Personnel services</v>
      </c>
      <c r="H1787" s="98" t="str">
        <f>VLOOKUP(F1787,'GL Category'!A:C,2,FALSE)</f>
        <v>SOCIAL SECURITY</v>
      </c>
      <c r="I1787" s="99">
        <f>SUMIF(Import!$B:$B,$A1787,Import!D:D)</f>
        <v>1842.87</v>
      </c>
      <c r="J1787" s="99">
        <f>SUMIF(Import!$B:$B,$A1787,Import!E:E)</f>
        <v>2925.83</v>
      </c>
      <c r="K1787" s="99">
        <f>SUMIF(Import!$B:$B,$A1787,Import!F:F)</f>
        <v>3194.54</v>
      </c>
      <c r="L1787" s="99">
        <f>SUMIF(Import!$B:$B,$A1787,Import!G:G)</f>
        <v>2020.32</v>
      </c>
      <c r="M1787" s="99">
        <f>SUMIF(Import!$B:$B,$A1787,Import!H:H)</f>
        <v>1846</v>
      </c>
      <c r="N1787" s="99">
        <f>SUMIF(Import!$B:$B,$A1787,Import!I:I)</f>
        <v>1662.38</v>
      </c>
      <c r="O1787" s="99">
        <f>SUMIF(Import!$B:$B,$A1787,Import!J:J)</f>
        <v>1402</v>
      </c>
      <c r="P1787" s="99">
        <f t="shared" si="2244"/>
        <v>-444</v>
      </c>
      <c r="Q1787" s="99">
        <f>SUMIF(Import!$B:$B,$A1787,Import!K:K)</f>
        <v>1939</v>
      </c>
      <c r="R1787" s="99">
        <f>SUMIF(Import!$B:$B,$A1787,Import!L:L)</f>
        <v>0</v>
      </c>
      <c r="S1787" s="99">
        <f>SUMIF(Import!$B:$B,$A1787,Import!M:M)</f>
        <v>0</v>
      </c>
      <c r="T1787" s="99">
        <f>SUMIF(Import!$B:$B,$A1787,Import!N:N)</f>
        <v>1939</v>
      </c>
      <c r="U1787" s="99">
        <f t="shared" si="2245"/>
        <v>93</v>
      </c>
      <c r="V1787" s="255">
        <f t="shared" si="2246"/>
        <v>5.0379198266522263E-2</v>
      </c>
      <c r="W1787" s="102" t="s">
        <v>3077</v>
      </c>
      <c r="X1787" s="102"/>
      <c r="Y1787" s="102"/>
      <c r="AA1787" s="615"/>
      <c r="AB1787" s="192"/>
      <c r="AC1787" s="312"/>
      <c r="AD1787" s="312"/>
      <c r="AE1787" s="312"/>
      <c r="AF1787" s="312"/>
      <c r="AG1787" s="312"/>
      <c r="AH1787" s="192"/>
      <c r="AI1787" s="192"/>
      <c r="AJ1787" s="194"/>
      <c r="AK1787" s="194"/>
      <c r="AL1787" s="194"/>
      <c r="AM1787" s="194"/>
      <c r="AN1787" s="194"/>
      <c r="AO1787" s="194"/>
      <c r="AP1787" s="194"/>
      <c r="AQ1787" s="194"/>
      <c r="AR1787" s="192"/>
      <c r="AS1787" s="192"/>
      <c r="AT1787" s="192"/>
      <c r="AU1787" s="192"/>
      <c r="AV1787" s="192"/>
      <c r="AW1787" s="192"/>
    </row>
    <row r="1788" spans="1:49" ht="15" customHeight="1">
      <c r="A1788" s="555" t="s">
        <v>3078</v>
      </c>
      <c r="B1788" s="217" t="str">
        <f t="shared" si="2186"/>
        <v>100</v>
      </c>
      <c r="C1788" s="217" t="str">
        <f t="shared" si="2187"/>
        <v>63</v>
      </c>
      <c r="D1788" s="101" t="str">
        <f t="shared" si="2188"/>
        <v>636</v>
      </c>
      <c r="E1788" s="217" t="str">
        <f t="shared" si="2189"/>
        <v>100-63-636</v>
      </c>
      <c r="F1788" s="294" t="str">
        <f t="shared" si="2190"/>
        <v>50620</v>
      </c>
      <c r="G1788" s="295" t="str">
        <f>VLOOKUP(F1788,'GL Category'!A:C,3,FALSE)</f>
        <v>Personnel services</v>
      </c>
      <c r="H1788" s="98" t="str">
        <f>VLOOKUP(F1788,'GL Category'!A:C,2,FALSE)</f>
        <v>HEALTH/LIFE INSURANCE</v>
      </c>
      <c r="I1788" s="99">
        <f>SUMIF(Import!$B:$B,$A1788,Import!D:D)</f>
        <v>7857.28</v>
      </c>
      <c r="J1788" s="99">
        <f>SUMIF(Import!$B:$B,$A1788,Import!E:E)</f>
        <v>9396.89</v>
      </c>
      <c r="K1788" s="99">
        <f>SUMIF(Import!$B:$B,$A1788,Import!F:F)</f>
        <v>10975.8</v>
      </c>
      <c r="L1788" s="99">
        <f>SUMIF(Import!$B:$B,$A1788,Import!G:G)</f>
        <v>7763.9</v>
      </c>
      <c r="M1788" s="99">
        <f>SUMIF(Import!$B:$B,$A1788,Import!H:H)</f>
        <v>6455</v>
      </c>
      <c r="N1788" s="99">
        <f>SUMIF(Import!$B:$B,$A1788,Import!I:I)</f>
        <v>5788.69</v>
      </c>
      <c r="O1788" s="99">
        <f>SUMIF(Import!$B:$B,$A1788,Import!J:J)</f>
        <v>4820</v>
      </c>
      <c r="P1788" s="99">
        <f t="shared" si="2244"/>
        <v>-1635</v>
      </c>
      <c r="Q1788" s="99">
        <f>SUMIF(Import!$B:$B,$A1788,Import!K:K)</f>
        <v>6573</v>
      </c>
      <c r="R1788" s="99">
        <f>SUMIF(Import!$B:$B,$A1788,Import!L:L)</f>
        <v>0</v>
      </c>
      <c r="S1788" s="99">
        <f>SUMIF(Import!$B:$B,$A1788,Import!M:M)</f>
        <v>0</v>
      </c>
      <c r="T1788" s="99">
        <f>SUMIF(Import!$B:$B,$A1788,Import!N:N)</f>
        <v>6573</v>
      </c>
      <c r="U1788" s="99">
        <f t="shared" si="2245"/>
        <v>118</v>
      </c>
      <c r="V1788" s="255">
        <f t="shared" si="2246"/>
        <v>1.8280402788535932E-2</v>
      </c>
      <c r="W1788" s="102" t="s">
        <v>3078</v>
      </c>
      <c r="X1788" s="102"/>
      <c r="Y1788" s="102"/>
      <c r="AA1788" s="615"/>
      <c r="AB1788" s="192"/>
      <c r="AC1788" s="312"/>
      <c r="AD1788" s="312"/>
      <c r="AE1788" s="312"/>
      <c r="AF1788" s="312"/>
      <c r="AG1788" s="312"/>
      <c r="AH1788" s="192"/>
      <c r="AI1788" s="192"/>
      <c r="AJ1788" s="194"/>
      <c r="AK1788" s="194"/>
      <c r="AL1788" s="194"/>
      <c r="AM1788" s="194"/>
      <c r="AN1788" s="194"/>
      <c r="AO1788" s="194"/>
      <c r="AP1788" s="194"/>
      <c r="AQ1788" s="194"/>
      <c r="AR1788" s="192"/>
      <c r="AS1788" s="192"/>
      <c r="AT1788" s="192"/>
      <c r="AU1788" s="192"/>
      <c r="AV1788" s="192"/>
      <c r="AW1788" s="192"/>
    </row>
    <row r="1789" spans="1:49" ht="15" customHeight="1">
      <c r="A1789" s="555" t="s">
        <v>3079</v>
      </c>
      <c r="B1789" s="217" t="str">
        <f t="shared" si="2186"/>
        <v>100</v>
      </c>
      <c r="C1789" s="217" t="str">
        <f t="shared" si="2187"/>
        <v>63</v>
      </c>
      <c r="D1789" s="101" t="str">
        <f t="shared" si="2188"/>
        <v>636</v>
      </c>
      <c r="E1789" s="217" t="str">
        <f t="shared" si="2189"/>
        <v>100-63-636</v>
      </c>
      <c r="F1789" s="294" t="str">
        <f t="shared" si="2190"/>
        <v>50630</v>
      </c>
      <c r="G1789" s="295" t="str">
        <f>VLOOKUP(F1789,'GL Category'!A:C,3,FALSE)</f>
        <v>Personnel services</v>
      </c>
      <c r="H1789" s="98" t="str">
        <f>VLOOKUP(F1789,'GL Category'!A:C,2,FALSE)</f>
        <v>WORKER COMPENSATION</v>
      </c>
      <c r="I1789" s="99">
        <f>SUMIF(Import!$B:$B,$A1789,Import!D:D)</f>
        <v>146.59</v>
      </c>
      <c r="J1789" s="99">
        <f>SUMIF(Import!$B:$B,$A1789,Import!E:E)</f>
        <v>137.11000000000001</v>
      </c>
      <c r="K1789" s="99">
        <f>SUMIF(Import!$B:$B,$A1789,Import!F:F)</f>
        <v>116.5</v>
      </c>
      <c r="L1789" s="99">
        <f>SUMIF(Import!$B:$B,$A1789,Import!G:G)</f>
        <v>225.09</v>
      </c>
      <c r="M1789" s="99">
        <f>SUMIF(Import!$B:$B,$A1789,Import!H:H)</f>
        <v>301</v>
      </c>
      <c r="N1789" s="99">
        <f>SUMIF(Import!$B:$B,$A1789,Import!I:I)</f>
        <v>300.76</v>
      </c>
      <c r="O1789" s="99">
        <f>SUMIF(Import!$B:$B,$A1789,Import!J:J)</f>
        <v>301</v>
      </c>
      <c r="P1789" s="99">
        <f t="shared" si="2244"/>
        <v>0</v>
      </c>
      <c r="Q1789" s="99">
        <f>SUMIF(Import!$B:$B,$A1789,Import!K:K)</f>
        <v>290</v>
      </c>
      <c r="R1789" s="99">
        <f>SUMIF(Import!$B:$B,$A1789,Import!L:L)</f>
        <v>0</v>
      </c>
      <c r="S1789" s="99">
        <f>SUMIF(Import!$B:$B,$A1789,Import!M:M)</f>
        <v>0</v>
      </c>
      <c r="T1789" s="99">
        <f>SUMIF(Import!$B:$B,$A1789,Import!N:N)</f>
        <v>290</v>
      </c>
      <c r="U1789" s="99">
        <f t="shared" si="2245"/>
        <v>-11</v>
      </c>
      <c r="V1789" s="255">
        <f t="shared" si="2246"/>
        <v>-3.6544850498338888E-2</v>
      </c>
      <c r="W1789" s="102" t="s">
        <v>3079</v>
      </c>
      <c r="X1789" s="102"/>
      <c r="Y1789" s="102"/>
      <c r="AA1789" s="615"/>
      <c r="AB1789" s="192"/>
      <c r="AC1789" s="312"/>
      <c r="AD1789" s="312"/>
      <c r="AE1789" s="312"/>
      <c r="AF1789" s="312"/>
      <c r="AG1789" s="312"/>
      <c r="AH1789" s="192"/>
      <c r="AI1789" s="192"/>
      <c r="AJ1789" s="194"/>
      <c r="AK1789" s="194"/>
      <c r="AL1789" s="194"/>
      <c r="AM1789" s="194"/>
      <c r="AN1789" s="194"/>
      <c r="AO1789" s="194"/>
      <c r="AP1789" s="194"/>
      <c r="AQ1789" s="194"/>
      <c r="AR1789" s="192"/>
      <c r="AS1789" s="192"/>
      <c r="AT1789" s="192"/>
      <c r="AU1789" s="192"/>
      <c r="AV1789" s="192"/>
      <c r="AW1789" s="192"/>
    </row>
    <row r="1790" spans="1:49" ht="15" customHeight="1">
      <c r="A1790" s="555" t="s">
        <v>3080</v>
      </c>
      <c r="B1790" s="217" t="str">
        <f t="shared" si="2186"/>
        <v>100</v>
      </c>
      <c r="C1790" s="217" t="str">
        <f t="shared" si="2187"/>
        <v>63</v>
      </c>
      <c r="D1790" s="101" t="str">
        <f t="shared" si="2188"/>
        <v>636</v>
      </c>
      <c r="E1790" s="217" t="str">
        <f t="shared" si="2189"/>
        <v>100-63-636</v>
      </c>
      <c r="F1790" s="294" t="str">
        <f t="shared" si="2190"/>
        <v>50650</v>
      </c>
      <c r="G1790" s="295" t="str">
        <f>VLOOKUP(F1790,'GL Category'!A:C,3,FALSE)</f>
        <v>Personnel services</v>
      </c>
      <c r="H1790" s="98" t="str">
        <f>VLOOKUP(F1790,'GL Category'!A:C,2,FALSE)</f>
        <v>RETIREMENT</v>
      </c>
      <c r="I1790" s="99">
        <f>SUMIF(Import!$B:$B,$A1790,Import!D:D)</f>
        <v>4037.57</v>
      </c>
      <c r="J1790" s="99">
        <f>SUMIF(Import!$B:$B,$A1790,Import!E:E)</f>
        <v>6328.35</v>
      </c>
      <c r="K1790" s="99">
        <f>SUMIF(Import!$B:$B,$A1790,Import!F:F)</f>
        <v>6153.51</v>
      </c>
      <c r="L1790" s="99">
        <f>SUMIF(Import!$B:$B,$A1790,Import!G:G)</f>
        <v>4449.7</v>
      </c>
      <c r="M1790" s="99">
        <f>SUMIF(Import!$B:$B,$A1790,Import!H:H)</f>
        <v>3967</v>
      </c>
      <c r="N1790" s="99">
        <f>SUMIF(Import!$B:$B,$A1790,Import!I:I)</f>
        <v>3724.57</v>
      </c>
      <c r="O1790" s="99">
        <f>SUMIF(Import!$B:$B,$A1790,Import!J:J)</f>
        <v>3133</v>
      </c>
      <c r="P1790" s="99">
        <f t="shared" si="2244"/>
        <v>-834</v>
      </c>
      <c r="Q1790" s="99">
        <f>SUMIF(Import!$B:$B,$A1790,Import!K:K)</f>
        <v>4269</v>
      </c>
      <c r="R1790" s="99">
        <f>SUMIF(Import!$B:$B,$A1790,Import!L:L)</f>
        <v>0</v>
      </c>
      <c r="S1790" s="99">
        <f>SUMIF(Import!$B:$B,$A1790,Import!M:M)</f>
        <v>0</v>
      </c>
      <c r="T1790" s="99">
        <f>SUMIF(Import!$B:$B,$A1790,Import!N:N)</f>
        <v>4269</v>
      </c>
      <c r="U1790" s="99">
        <f t="shared" si="2245"/>
        <v>302</v>
      </c>
      <c r="V1790" s="255">
        <f t="shared" si="2246"/>
        <v>7.6128056465843308E-2</v>
      </c>
      <c r="W1790" s="102" t="s">
        <v>3080</v>
      </c>
      <c r="X1790" s="102"/>
      <c r="Y1790" s="102"/>
      <c r="AA1790" s="615"/>
      <c r="AB1790" s="192"/>
      <c r="AC1790" s="312"/>
      <c r="AD1790" s="312"/>
      <c r="AE1790" s="312"/>
      <c r="AF1790" s="312"/>
      <c r="AG1790" s="312"/>
      <c r="AH1790" s="192"/>
      <c r="AI1790" s="192"/>
      <c r="AJ1790" s="194"/>
      <c r="AK1790" s="194"/>
      <c r="AL1790" s="194"/>
      <c r="AM1790" s="194"/>
      <c r="AN1790" s="194"/>
      <c r="AO1790" s="194"/>
      <c r="AP1790" s="194"/>
      <c r="AQ1790" s="194"/>
      <c r="AR1790" s="192"/>
      <c r="AS1790" s="192"/>
      <c r="AT1790" s="192"/>
      <c r="AU1790" s="192"/>
      <c r="AV1790" s="192"/>
      <c r="AW1790" s="192"/>
    </row>
    <row r="1791" spans="1:49" ht="15" customHeight="1">
      <c r="A1791" s="555"/>
      <c r="B1791" s="217"/>
      <c r="C1791" s="217"/>
      <c r="D1791" s="101"/>
      <c r="E1791" s="217"/>
      <c r="F1791" s="294"/>
      <c r="G1791" s="295"/>
      <c r="H1791" s="107" t="str">
        <f>UPPER(G1790)&amp;" TOTAL"</f>
        <v>PERSONNEL SERVICES TOTAL</v>
      </c>
      <c r="I1791" s="108">
        <f t="shared" ref="I1791" si="2247">SUBTOTAL(9,I1784:I1790)</f>
        <v>39236.17</v>
      </c>
      <c r="J1791" s="108">
        <f t="shared" ref="J1791:P1791" si="2248">SUBTOTAL(9,J1784:J1790)</f>
        <v>57990.850000000006</v>
      </c>
      <c r="K1791" s="108">
        <f t="shared" ref="K1791" si="2249">SUBTOTAL(9,K1784:K1790)</f>
        <v>63239.63</v>
      </c>
      <c r="L1791" s="108">
        <f t="shared" ref="L1791" si="2250">SUBTOTAL(9,L1784:L1790)</f>
        <v>42278.149999999994</v>
      </c>
      <c r="M1791" s="108">
        <f t="shared" si="2248"/>
        <v>36556</v>
      </c>
      <c r="N1791" s="108">
        <f t="shared" ref="N1791" si="2251">SUBTOTAL(9,N1784:N1790)</f>
        <v>34029.75</v>
      </c>
      <c r="O1791" s="108">
        <f t="shared" si="2248"/>
        <v>28721</v>
      </c>
      <c r="P1791" s="108">
        <f t="shared" si="2248"/>
        <v>-7835</v>
      </c>
      <c r="Q1791" s="108">
        <f t="shared" ref="Q1791:T1791" si="2252">SUBTOTAL(9,Q1784:Q1790)</f>
        <v>38274</v>
      </c>
      <c r="R1791" s="108">
        <f t="shared" si="2252"/>
        <v>0</v>
      </c>
      <c r="S1791" s="108">
        <f t="shared" si="2252"/>
        <v>0</v>
      </c>
      <c r="T1791" s="108">
        <f t="shared" si="2252"/>
        <v>38274</v>
      </c>
      <c r="U1791" s="99">
        <f>T1791-M1791</f>
        <v>1718</v>
      </c>
      <c r="V1791" s="255">
        <f>IF(M1791=0,"N/A",T1791/M1791-1)</f>
        <v>4.6996389101652269E-2</v>
      </c>
      <c r="W1791" s="102"/>
      <c r="X1791" s="102"/>
      <c r="Y1791" s="102"/>
      <c r="AA1791" s="615"/>
      <c r="AB1791" s="192"/>
      <c r="AC1791" s="312"/>
      <c r="AD1791" s="312"/>
      <c r="AE1791" s="312"/>
      <c r="AF1791" s="312"/>
      <c r="AG1791" s="312"/>
      <c r="AH1791" s="192"/>
      <c r="AI1791" s="192"/>
      <c r="AJ1791" s="194"/>
      <c r="AK1791" s="194"/>
      <c r="AL1791" s="194"/>
      <c r="AM1791" s="194"/>
      <c r="AN1791" s="194"/>
      <c r="AO1791" s="194"/>
      <c r="AP1791" s="194"/>
      <c r="AQ1791" s="194"/>
      <c r="AR1791" s="192"/>
      <c r="AS1791" s="192"/>
      <c r="AT1791" s="192"/>
      <c r="AU1791" s="192"/>
      <c r="AV1791" s="192"/>
      <c r="AW1791" s="192"/>
    </row>
    <row r="1792" spans="1:49" ht="15" customHeight="1">
      <c r="A1792" s="555"/>
      <c r="B1792" s="217"/>
      <c r="C1792" s="217"/>
      <c r="D1792" s="101"/>
      <c r="E1792" s="217"/>
      <c r="F1792" s="294"/>
      <c r="G1792" s="295"/>
      <c r="H1792" s="98"/>
      <c r="I1792" s="106"/>
      <c r="J1792" s="106"/>
      <c r="K1792" s="106"/>
      <c r="L1792" s="106"/>
      <c r="M1792" s="106"/>
      <c r="N1792" s="112"/>
      <c r="O1792" s="112"/>
      <c r="P1792" s="112"/>
      <c r="Q1792" s="113"/>
      <c r="R1792" s="113"/>
      <c r="S1792" s="113"/>
      <c r="T1792" s="113"/>
      <c r="U1792" s="99"/>
      <c r="V1792" s="255"/>
      <c r="W1792" s="102"/>
      <c r="X1792" s="102"/>
      <c r="Y1792" s="102"/>
      <c r="AA1792" s="615"/>
      <c r="AB1792" s="192"/>
      <c r="AC1792" s="312"/>
      <c r="AD1792" s="312"/>
      <c r="AE1792" s="312"/>
      <c r="AF1792" s="312"/>
      <c r="AG1792" s="312"/>
      <c r="AH1792" s="192"/>
      <c r="AI1792" s="192"/>
      <c r="AJ1792" s="194"/>
      <c r="AK1792" s="194"/>
      <c r="AL1792" s="194"/>
      <c r="AM1792" s="194"/>
      <c r="AN1792" s="194"/>
      <c r="AO1792" s="194"/>
      <c r="AP1792" s="194"/>
      <c r="AQ1792" s="194"/>
      <c r="AR1792" s="192"/>
      <c r="AS1792" s="192"/>
      <c r="AT1792" s="192"/>
      <c r="AU1792" s="192"/>
      <c r="AV1792" s="192"/>
      <c r="AW1792" s="192"/>
    </row>
    <row r="1793" spans="1:59" ht="15" customHeight="1">
      <c r="A1793" s="555" t="s">
        <v>3081</v>
      </c>
      <c r="B1793" s="217" t="str">
        <f t="shared" ref="B1793:B1812" si="2253">LEFT(A1793,3)</f>
        <v>100</v>
      </c>
      <c r="C1793" s="217" t="str">
        <f t="shared" ref="C1793:C1812" si="2254">MID(A1793,5,2)</f>
        <v>63</v>
      </c>
      <c r="D1793" s="101" t="str">
        <f t="shared" ref="D1793:D1812" si="2255">MID(A1793,8,3)</f>
        <v>636</v>
      </c>
      <c r="E1793" s="217" t="str">
        <f t="shared" ref="E1793:E1812" si="2256">LEFT(A1793,10)</f>
        <v>100-63-636</v>
      </c>
      <c r="F1793" s="294" t="str">
        <f t="shared" ref="F1793:F1812" si="2257">RIGHT(A1793,5)</f>
        <v>51221</v>
      </c>
      <c r="G1793" s="295" t="str">
        <f>VLOOKUP(F1793,'GL Category'!A:C,3,FALSE)</f>
        <v>Operations &amp; maintenance</v>
      </c>
      <c r="H1793" s="98" t="str">
        <f>VLOOKUP(F1793,'GL Category'!A:C,2,FALSE)</f>
        <v>BOTANICAL/AGRICULTURAL SUPPLY</v>
      </c>
      <c r="I1793" s="99">
        <f>SUMIF(Import!$B:$B,$A1793,Import!D:D)</f>
        <v>0</v>
      </c>
      <c r="J1793" s="99">
        <f>SUMIF(Import!$B:$B,$A1793,Import!E:E)</f>
        <v>0</v>
      </c>
      <c r="K1793" s="99">
        <f>SUMIF(Import!$B:$B,$A1793,Import!F:F)</f>
        <v>0</v>
      </c>
      <c r="L1793" s="99">
        <f>SUMIF(Import!$B:$B,$A1793,Import!G:G)</f>
        <v>0</v>
      </c>
      <c r="M1793" s="99">
        <f>SUMIF(Import!$B:$B,$A1793,Import!H:H)</f>
        <v>0</v>
      </c>
      <c r="N1793" s="99">
        <f>SUMIF(Import!$B:$B,$A1793,Import!I:I)</f>
        <v>0</v>
      </c>
      <c r="O1793" s="99">
        <f>SUMIF(Import!$B:$B,$A1793,Import!J:J)</f>
        <v>0</v>
      </c>
      <c r="P1793" s="99">
        <f t="shared" ref="P1793:P1796" si="2258">O1793-M1793</f>
        <v>0</v>
      </c>
      <c r="Q1793" s="99">
        <f>SUMIF(Import!$B:$B,$A1793,Import!K:K)</f>
        <v>0</v>
      </c>
      <c r="R1793" s="99">
        <f>SUMIF(Import!$B:$B,$A1793,Import!L:L)</f>
        <v>0</v>
      </c>
      <c r="S1793" s="99">
        <f>SUMIF(Import!$B:$B,$A1793,Import!M:M)</f>
        <v>0</v>
      </c>
      <c r="T1793" s="99">
        <f>SUMIF(Import!$B:$B,$A1793,Import!N:N)</f>
        <v>0</v>
      </c>
      <c r="U1793" s="99">
        <f t="shared" ref="U1793:U1796" si="2259">T1793-M1793</f>
        <v>0</v>
      </c>
      <c r="V1793" s="255" t="str">
        <f t="shared" ref="V1793:V1796" si="2260">IF(M1793=0,"N/A",T1793/M1793-1)</f>
        <v>N/A</v>
      </c>
      <c r="W1793" s="102" t="s">
        <v>3081</v>
      </c>
      <c r="X1793" s="102"/>
      <c r="Y1793" s="102"/>
      <c r="AA1793" s="615"/>
      <c r="AB1793" s="192"/>
      <c r="AC1793" s="314"/>
      <c r="AD1793" s="314"/>
      <c r="AE1793" s="314"/>
      <c r="AF1793" s="314"/>
      <c r="AG1793" s="314"/>
      <c r="AH1793" s="192"/>
      <c r="AI1793" s="192"/>
      <c r="AJ1793" s="314"/>
      <c r="AK1793" s="314"/>
      <c r="AL1793" s="314"/>
      <c r="AM1793" s="314"/>
      <c r="AN1793" s="314"/>
      <c r="AO1793" s="314"/>
      <c r="AP1793" s="314"/>
      <c r="AQ1793" s="314"/>
      <c r="AR1793" s="192"/>
      <c r="AS1793" s="192"/>
      <c r="AT1793" s="192"/>
      <c r="AU1793" s="192"/>
      <c r="AV1793" s="192"/>
      <c r="AW1793" s="192"/>
    </row>
    <row r="1794" spans="1:59" ht="15" customHeight="1">
      <c r="A1794" s="555" t="s">
        <v>3082</v>
      </c>
      <c r="B1794" s="217" t="str">
        <f t="shared" si="2253"/>
        <v>100</v>
      </c>
      <c r="C1794" s="217" t="str">
        <f t="shared" si="2254"/>
        <v>63</v>
      </c>
      <c r="D1794" s="101" t="str">
        <f t="shared" si="2255"/>
        <v>636</v>
      </c>
      <c r="E1794" s="217" t="str">
        <f t="shared" si="2256"/>
        <v>100-63-636</v>
      </c>
      <c r="F1794" s="294" t="str">
        <f t="shared" si="2257"/>
        <v>51245</v>
      </c>
      <c r="G1794" s="295" t="str">
        <f>VLOOKUP(F1794,'GL Category'!A:C,3,FALSE)</f>
        <v>Operations &amp; maintenance</v>
      </c>
      <c r="H1794" s="98" t="str">
        <f>VLOOKUP(F1794,'GL Category'!A:C,2,FALSE)</f>
        <v>SMALL TOOLS &amp; EQUIPMENT</v>
      </c>
      <c r="I1794" s="99">
        <f>SUMIF(Import!$B:$B,$A1794,Import!D:D)</f>
        <v>0</v>
      </c>
      <c r="J1794" s="99">
        <f>SUMIF(Import!$B:$B,$A1794,Import!E:E)</f>
        <v>0</v>
      </c>
      <c r="K1794" s="99">
        <f>SUMIF(Import!$B:$B,$A1794,Import!F:F)</f>
        <v>0</v>
      </c>
      <c r="L1794" s="99">
        <f>SUMIF(Import!$B:$B,$A1794,Import!G:G)</f>
        <v>0</v>
      </c>
      <c r="M1794" s="99">
        <f>SUMIF(Import!$B:$B,$A1794,Import!H:H)</f>
        <v>0</v>
      </c>
      <c r="N1794" s="99">
        <f>SUMIF(Import!$B:$B,$A1794,Import!I:I)</f>
        <v>0</v>
      </c>
      <c r="O1794" s="99">
        <f>SUMIF(Import!$B:$B,$A1794,Import!J:J)</f>
        <v>0</v>
      </c>
      <c r="P1794" s="99">
        <f t="shared" si="2258"/>
        <v>0</v>
      </c>
      <c r="Q1794" s="99">
        <f>SUMIF(Import!$B:$B,$A1794,Import!K:K)</f>
        <v>0</v>
      </c>
      <c r="R1794" s="99">
        <f>SUMIF(Import!$B:$B,$A1794,Import!L:L)</f>
        <v>0</v>
      </c>
      <c r="S1794" s="99">
        <f>SUMIF(Import!$B:$B,$A1794,Import!M:M)</f>
        <v>0</v>
      </c>
      <c r="T1794" s="99">
        <f>SUMIF(Import!$B:$B,$A1794,Import!N:N)</f>
        <v>0</v>
      </c>
      <c r="U1794" s="99">
        <f t="shared" si="2259"/>
        <v>0</v>
      </c>
      <c r="V1794" s="255" t="str">
        <f t="shared" si="2260"/>
        <v>N/A</v>
      </c>
      <c r="W1794" s="102" t="s">
        <v>3082</v>
      </c>
      <c r="X1794" s="102"/>
      <c r="Y1794" s="102"/>
      <c r="AA1794" s="615"/>
      <c r="AB1794" s="192"/>
      <c r="AC1794" s="317"/>
      <c r="AD1794" s="317"/>
      <c r="AE1794" s="317"/>
      <c r="AF1794" s="317"/>
      <c r="AG1794" s="317"/>
      <c r="AH1794" s="192"/>
      <c r="AI1794" s="192"/>
      <c r="AJ1794" s="317"/>
      <c r="AK1794" s="317"/>
      <c r="AL1794" s="317"/>
      <c r="AM1794" s="317"/>
      <c r="AN1794" s="317"/>
      <c r="AO1794" s="317"/>
      <c r="AP1794" s="317"/>
      <c r="AQ1794" s="317"/>
      <c r="AR1794" s="192"/>
      <c r="AS1794" s="192"/>
      <c r="AT1794" s="192"/>
      <c r="AU1794" s="192"/>
      <c r="AV1794" s="192"/>
      <c r="AW1794" s="192"/>
    </row>
    <row r="1795" spans="1:59" ht="15" customHeight="1">
      <c r="A1795" s="555" t="s">
        <v>3083</v>
      </c>
      <c r="B1795" s="217" t="str">
        <f t="shared" si="2253"/>
        <v>100</v>
      </c>
      <c r="C1795" s="217" t="str">
        <f t="shared" si="2254"/>
        <v>63</v>
      </c>
      <c r="D1795" s="101" t="str">
        <f t="shared" si="2255"/>
        <v>636</v>
      </c>
      <c r="E1795" s="217" t="str">
        <f t="shared" si="2256"/>
        <v>100-63-636</v>
      </c>
      <c r="F1795" s="294" t="str">
        <f t="shared" si="2257"/>
        <v>52311</v>
      </c>
      <c r="G1795" s="295" t="str">
        <f>VLOOKUP(F1795,'GL Category'!A:C,3,FALSE)</f>
        <v>Operations &amp; maintenance</v>
      </c>
      <c r="H1795" s="98" t="str">
        <f>VLOOKUP(F1795,'GL Category'!A:C,2,FALSE)</f>
        <v>GROUNDS MAINTENANCE</v>
      </c>
      <c r="I1795" s="99">
        <f>SUMIF(Import!$B:$B,$A1795,Import!D:D)</f>
        <v>38705.620000000003</v>
      </c>
      <c r="J1795" s="99">
        <f>SUMIF(Import!$B:$B,$A1795,Import!E:E)</f>
        <v>39463.590000000004</v>
      </c>
      <c r="K1795" s="99">
        <f>SUMIF(Import!$B:$B,$A1795,Import!F:F)</f>
        <v>28455.35</v>
      </c>
      <c r="L1795" s="99">
        <f>SUMIF(Import!$B:$B,$A1795,Import!G:G)</f>
        <v>28023.17</v>
      </c>
      <c r="M1795" s="99">
        <f>SUMIF(Import!$B:$B,$A1795,Import!H:H)</f>
        <v>35000</v>
      </c>
      <c r="N1795" s="99">
        <f>SUMIF(Import!$B:$B,$A1795,Import!I:I)</f>
        <v>21558.13</v>
      </c>
      <c r="O1795" s="99">
        <f>SUMIF(Import!$B:$B,$A1795,Import!J:J)</f>
        <v>28500</v>
      </c>
      <c r="P1795" s="99">
        <f t="shared" si="2258"/>
        <v>-6500</v>
      </c>
      <c r="Q1795" s="99">
        <f>SUMIF(Import!$B:$B,$A1795,Import!K:K)</f>
        <v>28500</v>
      </c>
      <c r="R1795" s="99">
        <f>SUMIF(Import!$B:$B,$A1795,Import!L:L)</f>
        <v>0</v>
      </c>
      <c r="S1795" s="99">
        <f>SUMIF(Import!$B:$B,$A1795,Import!M:M)</f>
        <v>0</v>
      </c>
      <c r="T1795" s="99">
        <f>SUMIF(Import!$B:$B,$A1795,Import!N:N)</f>
        <v>28500</v>
      </c>
      <c r="U1795" s="99">
        <f t="shared" si="2259"/>
        <v>-6500</v>
      </c>
      <c r="V1795" s="255">
        <f t="shared" si="2260"/>
        <v>-0.18571428571428572</v>
      </c>
      <c r="W1795" s="102" t="s">
        <v>3083</v>
      </c>
      <c r="X1795" s="102"/>
      <c r="Y1795" s="102"/>
      <c r="AA1795" s="615"/>
      <c r="AB1795" s="192"/>
      <c r="AC1795" s="312"/>
      <c r="AD1795" s="312"/>
      <c r="AE1795" s="312"/>
      <c r="AF1795" s="312"/>
      <c r="AG1795" s="312"/>
      <c r="AH1795" s="192"/>
      <c r="AI1795" s="192"/>
      <c r="AJ1795" s="194"/>
      <c r="AK1795" s="194"/>
      <c r="AL1795" s="194"/>
      <c r="AM1795" s="194"/>
      <c r="AN1795" s="194"/>
      <c r="AO1795" s="194"/>
      <c r="AP1795" s="194"/>
      <c r="AQ1795" s="194"/>
      <c r="AR1795" s="192"/>
      <c r="AS1795" s="192"/>
      <c r="AT1795" s="192"/>
      <c r="AU1795" s="192"/>
      <c r="AV1795" s="192"/>
      <c r="AW1795" s="192"/>
    </row>
    <row r="1796" spans="1:59" ht="15" customHeight="1">
      <c r="A1796" s="555" t="s">
        <v>3084</v>
      </c>
      <c r="B1796" s="217" t="str">
        <f t="shared" si="2253"/>
        <v>100</v>
      </c>
      <c r="C1796" s="217" t="str">
        <f t="shared" si="2254"/>
        <v>63</v>
      </c>
      <c r="D1796" s="101" t="str">
        <f t="shared" si="2255"/>
        <v>636</v>
      </c>
      <c r="E1796" s="217" t="str">
        <f t="shared" si="2256"/>
        <v>100-63-636</v>
      </c>
      <c r="F1796" s="294" t="str">
        <f t="shared" si="2257"/>
        <v>52350</v>
      </c>
      <c r="G1796" s="295" t="str">
        <f>VLOOKUP(F1796,'GL Category'!A:C,3,FALSE)</f>
        <v>Operations &amp; maintenance</v>
      </c>
      <c r="H1796" s="98" t="str">
        <f>VLOOKUP(F1796,'GL Category'!A:C,2,FALSE)</f>
        <v>SIGN &amp; SIGNAL MAINTENANCE</v>
      </c>
      <c r="I1796" s="99">
        <f>SUMIF(Import!$B:$B,$A1796,Import!D:D)</f>
        <v>0</v>
      </c>
      <c r="J1796" s="99">
        <f>SUMIF(Import!$B:$B,$A1796,Import!E:E)</f>
        <v>0</v>
      </c>
      <c r="K1796" s="99">
        <f>SUMIF(Import!$B:$B,$A1796,Import!F:F)</f>
        <v>0</v>
      </c>
      <c r="L1796" s="99">
        <f>SUMIF(Import!$B:$B,$A1796,Import!G:G)</f>
        <v>0</v>
      </c>
      <c r="M1796" s="99">
        <f>SUMIF(Import!$B:$B,$A1796,Import!H:H)</f>
        <v>0</v>
      </c>
      <c r="N1796" s="99">
        <f>SUMIF(Import!$B:$B,$A1796,Import!I:I)</f>
        <v>0</v>
      </c>
      <c r="O1796" s="99">
        <f>SUMIF(Import!$B:$B,$A1796,Import!J:J)</f>
        <v>0</v>
      </c>
      <c r="P1796" s="99">
        <f t="shared" si="2258"/>
        <v>0</v>
      </c>
      <c r="Q1796" s="99">
        <f>SUMIF(Import!$B:$B,$A1796,Import!K:K)</f>
        <v>0</v>
      </c>
      <c r="R1796" s="99">
        <f>SUMIF(Import!$B:$B,$A1796,Import!L:L)</f>
        <v>0</v>
      </c>
      <c r="S1796" s="99">
        <f>SUMIF(Import!$B:$B,$A1796,Import!M:M)</f>
        <v>0</v>
      </c>
      <c r="T1796" s="99">
        <f>SUMIF(Import!$B:$B,$A1796,Import!N:N)</f>
        <v>0</v>
      </c>
      <c r="U1796" s="99">
        <f t="shared" si="2259"/>
        <v>0</v>
      </c>
      <c r="V1796" s="255" t="str">
        <f t="shared" si="2260"/>
        <v>N/A</v>
      </c>
      <c r="W1796" s="102" t="s">
        <v>3084</v>
      </c>
      <c r="X1796" s="102"/>
      <c r="Y1796" s="102"/>
      <c r="AA1796" s="615"/>
      <c r="AB1796" s="192"/>
      <c r="AC1796" s="312"/>
      <c r="AD1796" s="312"/>
      <c r="AE1796" s="312"/>
      <c r="AF1796" s="312"/>
      <c r="AG1796" s="312"/>
      <c r="AH1796" s="192"/>
      <c r="AI1796" s="192"/>
      <c r="AJ1796" s="194"/>
      <c r="AK1796" s="194"/>
      <c r="AL1796" s="194"/>
      <c r="AM1796" s="194"/>
      <c r="AN1796" s="194"/>
      <c r="AO1796" s="194"/>
      <c r="AP1796" s="194"/>
      <c r="AQ1796" s="194"/>
      <c r="AR1796" s="192"/>
      <c r="AS1796" s="192"/>
      <c r="AT1796" s="192"/>
      <c r="AU1796" s="192"/>
      <c r="AV1796" s="192"/>
      <c r="AW1796" s="192"/>
    </row>
    <row r="1797" spans="1:59" ht="23.1" customHeight="1">
      <c r="A1797" s="555"/>
      <c r="B1797" s="217"/>
      <c r="C1797" s="217"/>
      <c r="D1797" s="101"/>
      <c r="E1797" s="217"/>
      <c r="F1797" s="294"/>
      <c r="G1797" s="295"/>
      <c r="H1797" s="107" t="str">
        <f>UPPER(G1796)&amp;" TOTAL"</f>
        <v>OPERATIONS &amp; MAINTENANCE TOTAL</v>
      </c>
      <c r="I1797" s="108">
        <f t="shared" ref="I1797" si="2261">SUBTOTAL(9,I1793:I1796)</f>
        <v>38705.620000000003</v>
      </c>
      <c r="J1797" s="108">
        <f t="shared" ref="J1797:S1797" si="2262">SUBTOTAL(9,J1793:J1796)</f>
        <v>39463.590000000004</v>
      </c>
      <c r="K1797" s="108">
        <f t="shared" ref="K1797" si="2263">SUBTOTAL(9,K1793:K1796)</f>
        <v>28455.35</v>
      </c>
      <c r="L1797" s="108">
        <f t="shared" ref="L1797" si="2264">SUBTOTAL(9,L1793:L1796)</f>
        <v>28023.17</v>
      </c>
      <c r="M1797" s="108">
        <f t="shared" si="2262"/>
        <v>35000</v>
      </c>
      <c r="N1797" s="108">
        <f t="shared" ref="N1797" si="2265">SUBTOTAL(9,N1793:N1796)</f>
        <v>21558.13</v>
      </c>
      <c r="O1797" s="108">
        <f t="shared" si="2262"/>
        <v>28500</v>
      </c>
      <c r="P1797" s="108">
        <f t="shared" si="2262"/>
        <v>-6500</v>
      </c>
      <c r="Q1797" s="108">
        <f t="shared" si="2262"/>
        <v>28500</v>
      </c>
      <c r="R1797" s="108">
        <f t="shared" si="2262"/>
        <v>0</v>
      </c>
      <c r="S1797" s="108">
        <f t="shared" si="2262"/>
        <v>0</v>
      </c>
      <c r="T1797" s="108">
        <f>SUBTOTAL(9,T1793:T1796)</f>
        <v>28500</v>
      </c>
      <c r="U1797" s="99">
        <f>T1797-M1797</f>
        <v>-6500</v>
      </c>
      <c r="V1797" s="255">
        <f>IF(M1797=0,"N/A",T1797/M1797-1)</f>
        <v>-0.18571428571428572</v>
      </c>
      <c r="W1797" s="102"/>
      <c r="X1797" s="102"/>
      <c r="Y1797" s="102"/>
      <c r="Z1797" s="88"/>
      <c r="AA1797" s="616"/>
      <c r="AB1797" s="88"/>
      <c r="AC1797" s="312"/>
      <c r="AD1797" s="312"/>
      <c r="AE1797" s="312"/>
      <c r="AF1797" s="312"/>
      <c r="AG1797" s="312"/>
      <c r="AH1797" s="88"/>
      <c r="AI1797" s="88"/>
      <c r="AJ1797" s="194"/>
      <c r="AK1797" s="194"/>
      <c r="AL1797" s="194"/>
      <c r="AM1797" s="194"/>
      <c r="AN1797" s="194"/>
      <c r="AO1797" s="194"/>
      <c r="AP1797" s="194"/>
      <c r="AQ1797" s="194"/>
      <c r="AR1797" s="88"/>
      <c r="AS1797" s="88"/>
      <c r="AT1797" s="88"/>
      <c r="AU1797" s="88"/>
      <c r="AV1797" s="88"/>
      <c r="AW1797" s="88"/>
      <c r="AX1797" s="68"/>
      <c r="AY1797" s="68"/>
      <c r="AZ1797" s="68"/>
      <c r="BA1797" s="68"/>
      <c r="BB1797" s="68"/>
      <c r="BC1797" s="68"/>
      <c r="BD1797" s="68"/>
      <c r="BE1797" s="68"/>
      <c r="BF1797" s="68"/>
      <c r="BG1797" s="68"/>
    </row>
    <row r="1798" spans="1:59" ht="15" customHeight="1">
      <c r="A1798" s="555"/>
      <c r="B1798" s="217"/>
      <c r="C1798" s="217"/>
      <c r="D1798" s="101"/>
      <c r="E1798" s="217"/>
      <c r="F1798" s="294"/>
      <c r="G1798" s="295"/>
      <c r="H1798" s="98"/>
      <c r="I1798" s="106"/>
      <c r="J1798" s="106"/>
      <c r="K1798" s="106"/>
      <c r="L1798" s="106"/>
      <c r="M1798" s="106"/>
      <c r="N1798" s="112"/>
      <c r="O1798" s="112"/>
      <c r="P1798" s="112"/>
      <c r="Q1798" s="113"/>
      <c r="R1798" s="113"/>
      <c r="S1798" s="113"/>
      <c r="T1798" s="113"/>
      <c r="U1798" s="99"/>
      <c r="V1798" s="255"/>
      <c r="W1798" s="102"/>
      <c r="X1798" s="102"/>
      <c r="Y1798" s="102"/>
      <c r="AA1798" s="615"/>
      <c r="AB1798" s="192"/>
      <c r="AC1798" s="312"/>
      <c r="AD1798" s="312"/>
      <c r="AE1798" s="312"/>
      <c r="AF1798" s="312"/>
      <c r="AG1798" s="312"/>
      <c r="AH1798" s="192"/>
      <c r="AI1798" s="192"/>
      <c r="AJ1798" s="194"/>
      <c r="AK1798" s="194"/>
      <c r="AL1798" s="194"/>
      <c r="AM1798" s="194"/>
      <c r="AN1798" s="194"/>
      <c r="AO1798" s="194"/>
      <c r="AP1798" s="194"/>
      <c r="AQ1798" s="194"/>
      <c r="AR1798" s="192"/>
      <c r="AS1798" s="192"/>
      <c r="AT1798" s="192"/>
      <c r="AU1798" s="192"/>
      <c r="AV1798" s="192"/>
      <c r="AW1798" s="192"/>
    </row>
    <row r="1799" spans="1:59" ht="15" customHeight="1">
      <c r="A1799" s="555" t="s">
        <v>3086</v>
      </c>
      <c r="B1799" s="217" t="str">
        <f t="shared" si="2253"/>
        <v>100</v>
      </c>
      <c r="C1799" s="217" t="str">
        <f t="shared" si="2254"/>
        <v>63</v>
      </c>
      <c r="D1799" s="101" t="str">
        <f t="shared" si="2255"/>
        <v>636</v>
      </c>
      <c r="E1799" s="217" t="str">
        <f t="shared" si="2256"/>
        <v>100-63-636</v>
      </c>
      <c r="F1799" s="294" t="str">
        <f t="shared" si="2257"/>
        <v>53524</v>
      </c>
      <c r="G1799" s="295" t="str">
        <f>VLOOKUP(F1799,'GL Category'!A:C,3,FALSE)</f>
        <v>Services &amp; other</v>
      </c>
      <c r="H1799" s="98" t="str">
        <f>VLOOKUP(F1799,'GL Category'!A:C,2,FALSE)</f>
        <v>EQUIPMENT RENTAL</v>
      </c>
      <c r="I1799" s="99">
        <f>SUMIF(Import!$B:$B,$A1799,Import!D:D)</f>
        <v>0</v>
      </c>
      <c r="J1799" s="99">
        <f>SUMIF(Import!$B:$B,$A1799,Import!E:E)</f>
        <v>0</v>
      </c>
      <c r="K1799" s="99">
        <f>SUMIF(Import!$B:$B,$A1799,Import!F:F)</f>
        <v>0</v>
      </c>
      <c r="L1799" s="99">
        <f>SUMIF(Import!$B:$B,$A1799,Import!G:G)</f>
        <v>0</v>
      </c>
      <c r="M1799" s="99">
        <f>SUMIF(Import!$B:$B,$A1799,Import!H:H)</f>
        <v>0</v>
      </c>
      <c r="N1799" s="99">
        <f>SUMIF(Import!$B:$B,$A1799,Import!I:I)</f>
        <v>0</v>
      </c>
      <c r="O1799" s="99">
        <f>SUMIF(Import!$B:$B,$A1799,Import!J:J)</f>
        <v>0</v>
      </c>
      <c r="P1799" s="99">
        <f t="shared" ref="P1799:P1805" si="2266">O1799-M1799</f>
        <v>0</v>
      </c>
      <c r="Q1799" s="99">
        <f>SUMIF(Import!$B:$B,$A1799,Import!K:K)</f>
        <v>0</v>
      </c>
      <c r="R1799" s="99">
        <f>SUMIF(Import!$B:$B,$A1799,Import!L:L)</f>
        <v>0</v>
      </c>
      <c r="S1799" s="99">
        <f>SUMIF(Import!$B:$B,$A1799,Import!M:M)</f>
        <v>0</v>
      </c>
      <c r="T1799" s="99">
        <f>SUMIF(Import!$B:$B,$A1799,Import!N:N)</f>
        <v>0</v>
      </c>
      <c r="U1799" s="99">
        <f t="shared" ref="U1799:U1805" si="2267">T1799-M1799</f>
        <v>0</v>
      </c>
      <c r="V1799" s="255" t="str">
        <f t="shared" ref="V1799:V1805" si="2268">IF(M1799=0,"N/A",T1799/M1799-1)</f>
        <v>N/A</v>
      </c>
      <c r="W1799" s="102" t="s">
        <v>3086</v>
      </c>
      <c r="X1799" s="102"/>
      <c r="Y1799" s="102"/>
      <c r="AA1799" s="615"/>
      <c r="AB1799" s="192"/>
      <c r="AC1799" s="312"/>
      <c r="AD1799" s="312"/>
      <c r="AE1799" s="312"/>
      <c r="AF1799" s="312"/>
      <c r="AG1799" s="312"/>
      <c r="AH1799" s="192"/>
      <c r="AI1799" s="192"/>
      <c r="AJ1799" s="194"/>
      <c r="AK1799" s="194"/>
      <c r="AL1799" s="194"/>
      <c r="AM1799" s="194"/>
      <c r="AN1799" s="194"/>
      <c r="AO1799" s="194"/>
      <c r="AP1799" s="194"/>
      <c r="AQ1799" s="194"/>
      <c r="AR1799" s="192"/>
      <c r="AS1799" s="192"/>
      <c r="AT1799" s="192"/>
      <c r="AU1799" s="192"/>
      <c r="AV1799" s="192"/>
      <c r="AW1799" s="192"/>
    </row>
    <row r="1800" spans="1:59" ht="15" customHeight="1">
      <c r="A1800" s="555" t="s">
        <v>3087</v>
      </c>
      <c r="B1800" s="217" t="str">
        <f t="shared" si="2253"/>
        <v>100</v>
      </c>
      <c r="C1800" s="217" t="str">
        <f t="shared" si="2254"/>
        <v>63</v>
      </c>
      <c r="D1800" s="101" t="str">
        <f t="shared" si="2255"/>
        <v>636</v>
      </c>
      <c r="E1800" s="217" t="str">
        <f t="shared" si="2256"/>
        <v>100-63-636</v>
      </c>
      <c r="F1800" s="294" t="str">
        <f t="shared" si="2257"/>
        <v>53525</v>
      </c>
      <c r="G1800" s="295" t="str">
        <f>VLOOKUP(F1800,'GL Category'!A:C,3,FALSE)</f>
        <v>Services &amp; other</v>
      </c>
      <c r="H1800" s="98" t="str">
        <f>VLOOKUP(F1800,'GL Category'!A:C,2,FALSE)</f>
        <v>LANDSCAPE SERVICES</v>
      </c>
      <c r="I1800" s="99">
        <f>SUMIF(Import!$B:$B,$A1800,Import!D:D)</f>
        <v>95207.71</v>
      </c>
      <c r="J1800" s="99">
        <f>SUMIF(Import!$B:$B,$A1800,Import!E:E)</f>
        <v>92692.55</v>
      </c>
      <c r="K1800" s="99">
        <f>SUMIF(Import!$B:$B,$A1800,Import!F:F)</f>
        <v>87129.13</v>
      </c>
      <c r="L1800" s="99">
        <f>SUMIF(Import!$B:$B,$A1800,Import!G:G)</f>
        <v>94565.8</v>
      </c>
      <c r="M1800" s="99">
        <f>SUMIF(Import!$B:$B,$A1800,Import!H:H)</f>
        <v>95500</v>
      </c>
      <c r="N1800" s="99">
        <f>SUMIF(Import!$B:$B,$A1800,Import!I:I)</f>
        <v>95581.64</v>
      </c>
      <c r="O1800" s="99">
        <f>SUMIF(Import!$B:$B,$A1800,Import!J:J)</f>
        <v>95500</v>
      </c>
      <c r="P1800" s="99">
        <f t="shared" si="2266"/>
        <v>0</v>
      </c>
      <c r="Q1800" s="99">
        <f>SUMIF(Import!$B:$B,$A1800,Import!K:K)</f>
        <v>100000</v>
      </c>
      <c r="R1800" s="99">
        <f>SUMIF(Import!$B:$B,$A1800,Import!L:L)</f>
        <v>0</v>
      </c>
      <c r="S1800" s="99">
        <f>SUMIF(Import!$B:$B,$A1800,Import!M:M)</f>
        <v>0</v>
      </c>
      <c r="T1800" s="99">
        <f>SUMIF(Import!$B:$B,$A1800,Import!N:N)</f>
        <v>100000</v>
      </c>
      <c r="U1800" s="99">
        <f t="shared" si="2267"/>
        <v>4500</v>
      </c>
      <c r="V1800" s="255">
        <f t="shared" si="2268"/>
        <v>4.7120418848167533E-2</v>
      </c>
      <c r="W1800" s="102" t="s">
        <v>3087</v>
      </c>
      <c r="X1800" s="102"/>
      <c r="Y1800" s="102"/>
      <c r="AA1800" s="615"/>
      <c r="AB1800" s="192"/>
      <c r="AC1800" s="312"/>
      <c r="AD1800" s="312"/>
      <c r="AE1800" s="312"/>
      <c r="AF1800" s="312"/>
      <c r="AG1800" s="312"/>
      <c r="AH1800" s="192"/>
      <c r="AI1800" s="192"/>
      <c r="AJ1800" s="194"/>
      <c r="AK1800" s="194"/>
      <c r="AL1800" s="194"/>
      <c r="AM1800" s="194"/>
      <c r="AN1800" s="194"/>
      <c r="AO1800" s="194"/>
      <c r="AP1800" s="194"/>
      <c r="AQ1800" s="194"/>
      <c r="AR1800" s="192"/>
      <c r="AS1800" s="192"/>
      <c r="AT1800" s="192"/>
      <c r="AU1800" s="192"/>
      <c r="AV1800" s="192"/>
      <c r="AW1800" s="192"/>
    </row>
    <row r="1801" spans="1:59" ht="15" customHeight="1">
      <c r="A1801" s="555" t="s">
        <v>3088</v>
      </c>
      <c r="B1801" s="217" t="str">
        <f t="shared" si="2253"/>
        <v>100</v>
      </c>
      <c r="C1801" s="217" t="str">
        <f t="shared" si="2254"/>
        <v>63</v>
      </c>
      <c r="D1801" s="101" t="str">
        <f t="shared" si="2255"/>
        <v>636</v>
      </c>
      <c r="E1801" s="217" t="str">
        <f t="shared" si="2256"/>
        <v>100-63-636</v>
      </c>
      <c r="F1801" s="294" t="str">
        <f t="shared" si="2257"/>
        <v>53543</v>
      </c>
      <c r="G1801" s="295" t="str">
        <f>VLOOKUP(F1801,'GL Category'!A:C,3,FALSE)</f>
        <v>Services &amp; other</v>
      </c>
      <c r="H1801" s="98" t="str">
        <f>VLOOKUP(F1801,'GL Category'!A:C,2,FALSE)</f>
        <v>ENGINEERING/DESIGN SERVICES</v>
      </c>
      <c r="I1801" s="99">
        <f>SUMIF(Import!$B:$B,$A1801,Import!D:D)</f>
        <v>0</v>
      </c>
      <c r="J1801" s="99">
        <f>SUMIF(Import!$B:$B,$A1801,Import!E:E)</f>
        <v>0</v>
      </c>
      <c r="K1801" s="99">
        <f>SUMIF(Import!$B:$B,$A1801,Import!F:F)</f>
        <v>0</v>
      </c>
      <c r="L1801" s="99">
        <f>SUMIF(Import!$B:$B,$A1801,Import!G:G)</f>
        <v>0</v>
      </c>
      <c r="M1801" s="99">
        <f>SUMIF(Import!$B:$B,$A1801,Import!H:H)</f>
        <v>0</v>
      </c>
      <c r="N1801" s="99">
        <f>SUMIF(Import!$B:$B,$A1801,Import!I:I)</f>
        <v>0</v>
      </c>
      <c r="O1801" s="99">
        <f>SUMIF(Import!$B:$B,$A1801,Import!J:J)</f>
        <v>0</v>
      </c>
      <c r="P1801" s="99">
        <f t="shared" si="2266"/>
        <v>0</v>
      </c>
      <c r="Q1801" s="99">
        <f>SUMIF(Import!$B:$B,$A1801,Import!K:K)</f>
        <v>0</v>
      </c>
      <c r="R1801" s="99">
        <f>SUMIF(Import!$B:$B,$A1801,Import!L:L)</f>
        <v>0</v>
      </c>
      <c r="S1801" s="99">
        <f>SUMIF(Import!$B:$B,$A1801,Import!M:M)</f>
        <v>0</v>
      </c>
      <c r="T1801" s="99">
        <f>SUMIF(Import!$B:$B,$A1801,Import!N:N)</f>
        <v>0</v>
      </c>
      <c r="U1801" s="99">
        <f t="shared" si="2267"/>
        <v>0</v>
      </c>
      <c r="V1801" s="255" t="str">
        <f t="shared" si="2268"/>
        <v>N/A</v>
      </c>
      <c r="W1801" s="102" t="s">
        <v>3088</v>
      </c>
      <c r="X1801" s="102"/>
      <c r="Y1801" s="102"/>
      <c r="AA1801" s="615"/>
      <c r="AB1801" s="192"/>
      <c r="AC1801" s="314"/>
      <c r="AD1801" s="314"/>
      <c r="AE1801" s="314"/>
      <c r="AF1801" s="314"/>
      <c r="AG1801" s="314"/>
      <c r="AH1801" s="192"/>
      <c r="AI1801" s="192"/>
      <c r="AJ1801" s="314"/>
      <c r="AK1801" s="314"/>
      <c r="AL1801" s="314"/>
      <c r="AM1801" s="314"/>
      <c r="AN1801" s="314"/>
      <c r="AO1801" s="314"/>
      <c r="AP1801" s="314"/>
      <c r="AQ1801" s="314"/>
      <c r="AR1801" s="192"/>
      <c r="AS1801" s="192"/>
      <c r="AT1801" s="192"/>
      <c r="AU1801" s="192"/>
      <c r="AV1801" s="192"/>
      <c r="AW1801" s="192"/>
    </row>
    <row r="1802" spans="1:59" ht="15" customHeight="1">
      <c r="A1802" s="555" t="s">
        <v>3085</v>
      </c>
      <c r="B1802" s="217" t="str">
        <f t="shared" si="2253"/>
        <v>100</v>
      </c>
      <c r="C1802" s="217" t="str">
        <f t="shared" si="2254"/>
        <v>63</v>
      </c>
      <c r="D1802" s="101" t="str">
        <f t="shared" si="2255"/>
        <v>636</v>
      </c>
      <c r="E1802" s="217" t="str">
        <f t="shared" si="2256"/>
        <v>100-63-636</v>
      </c>
      <c r="F1802" s="294" t="str">
        <f t="shared" si="2257"/>
        <v>53599</v>
      </c>
      <c r="G1802" s="295" t="str">
        <f>VLOOKUP(F1802,'GL Category'!A:C,3,FALSE)</f>
        <v>Services &amp; other</v>
      </c>
      <c r="H1802" s="98" t="str">
        <f>VLOOKUP(F1802,'GL Category'!A:C,2,FALSE)</f>
        <v>MISCELLANEOUS SERVICES</v>
      </c>
      <c r="I1802" s="99">
        <f>SUMIF(Import!$B:$B,$A1802,Import!D:D)</f>
        <v>12991</v>
      </c>
      <c r="J1802" s="99">
        <f>SUMIF(Import!$B:$B,$A1802,Import!E:E)</f>
        <v>12991</v>
      </c>
      <c r="K1802" s="99">
        <f>SUMIF(Import!$B:$B,$A1802,Import!F:F)</f>
        <v>12991</v>
      </c>
      <c r="L1802" s="99">
        <f>SUMIF(Import!$B:$B,$A1802,Import!G:G)</f>
        <v>18861.7</v>
      </c>
      <c r="M1802" s="99">
        <f>SUMIF(Import!$B:$B,$A1802,Import!H:H)</f>
        <v>18862</v>
      </c>
      <c r="N1802" s="99">
        <f>SUMIF(Import!$B:$B,$A1802,Import!I:I)</f>
        <v>18861.7</v>
      </c>
      <c r="O1802" s="99">
        <f>SUMIF(Import!$B:$B,$A1802,Import!J:J)</f>
        <v>18862</v>
      </c>
      <c r="P1802" s="99">
        <f t="shared" si="2266"/>
        <v>0</v>
      </c>
      <c r="Q1802" s="99">
        <f>SUMIF(Import!$B:$B,$A1802,Import!K:K)</f>
        <v>18862</v>
      </c>
      <c r="R1802" s="99">
        <f>SUMIF(Import!$B:$B,$A1802,Import!L:L)</f>
        <v>0</v>
      </c>
      <c r="S1802" s="99">
        <f>SUMIF(Import!$B:$B,$A1802,Import!M:M)</f>
        <v>0</v>
      </c>
      <c r="T1802" s="99">
        <f>SUMIF(Import!$B:$B,$A1802,Import!N:N)</f>
        <v>18862</v>
      </c>
      <c r="U1802" s="99">
        <f t="shared" si="2267"/>
        <v>0</v>
      </c>
      <c r="V1802" s="255">
        <f t="shared" si="2268"/>
        <v>0</v>
      </c>
      <c r="W1802" s="102" t="s">
        <v>3085</v>
      </c>
      <c r="X1802" s="102"/>
      <c r="Y1802" s="102"/>
      <c r="AA1802" s="615"/>
      <c r="AB1802" s="192"/>
      <c r="AC1802" s="312"/>
      <c r="AD1802" s="312"/>
      <c r="AE1802" s="312"/>
      <c r="AF1802" s="312"/>
      <c r="AG1802" s="312"/>
      <c r="AH1802" s="192"/>
      <c r="AI1802" s="192"/>
      <c r="AJ1802" s="194"/>
      <c r="AK1802" s="194"/>
      <c r="AL1802" s="194"/>
      <c r="AM1802" s="194"/>
      <c r="AN1802" s="194"/>
      <c r="AO1802" s="194"/>
      <c r="AP1802" s="194"/>
      <c r="AQ1802" s="194"/>
      <c r="AR1802" s="192"/>
      <c r="AS1802" s="192"/>
      <c r="AT1802" s="192"/>
      <c r="AU1802" s="192"/>
      <c r="AV1802" s="192"/>
      <c r="AW1802" s="192"/>
    </row>
    <row r="1803" spans="1:59" ht="15" customHeight="1">
      <c r="A1803" s="555" t="s">
        <v>3089</v>
      </c>
      <c r="B1803" s="217" t="str">
        <f t="shared" si="2253"/>
        <v>100</v>
      </c>
      <c r="C1803" s="217" t="str">
        <f t="shared" si="2254"/>
        <v>63</v>
      </c>
      <c r="D1803" s="101" t="str">
        <f t="shared" si="2255"/>
        <v>636</v>
      </c>
      <c r="E1803" s="217" t="str">
        <f t="shared" si="2256"/>
        <v>100-63-636</v>
      </c>
      <c r="F1803" s="294" t="str">
        <f t="shared" si="2257"/>
        <v>53572</v>
      </c>
      <c r="G1803" s="295" t="str">
        <f>VLOOKUP(F1803,'GL Category'!A:C,3,FALSE)</f>
        <v>Services &amp; other</v>
      </c>
      <c r="H1803" s="98" t="str">
        <f>VLOOKUP(F1803,'GL Category'!A:C,2,FALSE)</f>
        <v>ELECTRICAL UTILITY SERVICE</v>
      </c>
      <c r="I1803" s="99">
        <f>SUMIF(Import!$B:$B,$A1803,Import!D:D)</f>
        <v>1502.73</v>
      </c>
      <c r="J1803" s="99">
        <f>SUMIF(Import!$B:$B,$A1803,Import!E:E)</f>
        <v>22159.170000000002</v>
      </c>
      <c r="K1803" s="99">
        <f>SUMIF(Import!$B:$B,$A1803,Import!F:F)</f>
        <v>1652.73</v>
      </c>
      <c r="L1803" s="99">
        <f>SUMIF(Import!$B:$B,$A1803,Import!G:G)</f>
        <v>1889.95</v>
      </c>
      <c r="M1803" s="99">
        <f>SUMIF(Import!$B:$B,$A1803,Import!H:H)</f>
        <v>1950</v>
      </c>
      <c r="N1803" s="99">
        <f>SUMIF(Import!$B:$B,$A1803,Import!I:I)</f>
        <v>813.97</v>
      </c>
      <c r="O1803" s="99">
        <f>SUMIF(Import!$B:$B,$A1803,Import!J:J)</f>
        <v>1900</v>
      </c>
      <c r="P1803" s="99">
        <f t="shared" si="2266"/>
        <v>-50</v>
      </c>
      <c r="Q1803" s="99">
        <f>SUMIF(Import!$B:$B,$A1803,Import!K:K)</f>
        <v>1950</v>
      </c>
      <c r="R1803" s="99">
        <f>SUMIF(Import!$B:$B,$A1803,Import!L:L)</f>
        <v>0</v>
      </c>
      <c r="S1803" s="99">
        <f>SUMIF(Import!$B:$B,$A1803,Import!M:M)</f>
        <v>0</v>
      </c>
      <c r="T1803" s="99">
        <f>SUMIF(Import!$B:$B,$A1803,Import!N:N)</f>
        <v>1950</v>
      </c>
      <c r="U1803" s="99">
        <f t="shared" si="2267"/>
        <v>0</v>
      </c>
      <c r="V1803" s="255">
        <f t="shared" si="2268"/>
        <v>0</v>
      </c>
      <c r="W1803" s="102" t="s">
        <v>3089</v>
      </c>
      <c r="X1803" s="102"/>
      <c r="Y1803" s="102"/>
      <c r="AA1803" s="615"/>
      <c r="AB1803" s="192"/>
      <c r="AC1803" s="312"/>
      <c r="AD1803" s="312"/>
      <c r="AE1803" s="312"/>
      <c r="AF1803" s="312"/>
      <c r="AG1803" s="312"/>
      <c r="AH1803" s="192"/>
      <c r="AI1803" s="192"/>
      <c r="AJ1803" s="194"/>
      <c r="AK1803" s="194"/>
      <c r="AL1803" s="194"/>
      <c r="AM1803" s="194"/>
      <c r="AN1803" s="194"/>
      <c r="AO1803" s="194"/>
      <c r="AP1803" s="194"/>
      <c r="AQ1803" s="194"/>
      <c r="AR1803" s="192"/>
      <c r="AS1803" s="192"/>
      <c r="AT1803" s="192"/>
      <c r="AU1803" s="192"/>
      <c r="AV1803" s="192"/>
      <c r="AW1803" s="192"/>
    </row>
    <row r="1804" spans="1:59" ht="15" customHeight="1">
      <c r="A1804" s="555" t="s">
        <v>3090</v>
      </c>
      <c r="B1804" s="217" t="str">
        <f t="shared" si="2253"/>
        <v>100</v>
      </c>
      <c r="C1804" s="217" t="str">
        <f t="shared" si="2254"/>
        <v>63</v>
      </c>
      <c r="D1804" s="101" t="str">
        <f t="shared" si="2255"/>
        <v>636</v>
      </c>
      <c r="E1804" s="217" t="str">
        <f t="shared" si="2256"/>
        <v>100-63-636</v>
      </c>
      <c r="F1804" s="294" t="str">
        <f t="shared" si="2257"/>
        <v>53574</v>
      </c>
      <c r="G1804" s="295" t="str">
        <f>VLOOKUP(F1804,'GL Category'!A:C,3,FALSE)</f>
        <v>Services &amp; other</v>
      </c>
      <c r="H1804" s="98" t="str">
        <f>VLOOKUP(F1804,'GL Category'!A:C,2,FALSE)</f>
        <v>WATER/SEWER UTILITY SERVICE</v>
      </c>
      <c r="I1804" s="99">
        <f>SUMIF(Import!$B:$B,$A1804,Import!D:D)</f>
        <v>46553.2</v>
      </c>
      <c r="J1804" s="99">
        <f>SUMIF(Import!$B:$B,$A1804,Import!E:E)</f>
        <v>41732.15</v>
      </c>
      <c r="K1804" s="99">
        <f>SUMIF(Import!$B:$B,$A1804,Import!F:F)</f>
        <v>54966.91</v>
      </c>
      <c r="L1804" s="99">
        <f>SUMIF(Import!$B:$B,$A1804,Import!G:G)</f>
        <v>33110.75</v>
      </c>
      <c r="M1804" s="99">
        <f>SUMIF(Import!$B:$B,$A1804,Import!H:H)</f>
        <v>50725</v>
      </c>
      <c r="N1804" s="99">
        <f>SUMIF(Import!$B:$B,$A1804,Import!I:I)</f>
        <v>36783.83</v>
      </c>
      <c r="O1804" s="99">
        <f>SUMIF(Import!$B:$B,$A1804,Import!J:J)</f>
        <v>49000</v>
      </c>
      <c r="P1804" s="99">
        <f t="shared" si="2266"/>
        <v>-1725</v>
      </c>
      <c r="Q1804" s="99">
        <f>SUMIF(Import!$B:$B,$A1804,Import!K:K)</f>
        <v>52500</v>
      </c>
      <c r="R1804" s="99">
        <f>SUMIF(Import!$B:$B,$A1804,Import!L:L)</f>
        <v>0</v>
      </c>
      <c r="S1804" s="99">
        <f>SUMIF(Import!$B:$B,$A1804,Import!M:M)</f>
        <v>0</v>
      </c>
      <c r="T1804" s="99">
        <f>SUMIF(Import!$B:$B,$A1804,Import!N:N)</f>
        <v>52500</v>
      </c>
      <c r="U1804" s="99">
        <f t="shared" si="2267"/>
        <v>1775</v>
      </c>
      <c r="V1804" s="255">
        <f t="shared" si="2268"/>
        <v>3.4992607195662995E-2</v>
      </c>
      <c r="W1804" s="102" t="s">
        <v>3090</v>
      </c>
      <c r="X1804" s="102"/>
      <c r="Y1804" s="102"/>
      <c r="AA1804" s="615"/>
      <c r="AB1804" s="192"/>
      <c r="AC1804" s="312"/>
      <c r="AD1804" s="312"/>
      <c r="AE1804" s="312"/>
      <c r="AF1804" s="312"/>
      <c r="AG1804" s="312"/>
      <c r="AH1804" s="192"/>
      <c r="AI1804" s="192"/>
      <c r="AJ1804" s="194"/>
      <c r="AK1804" s="194"/>
      <c r="AL1804" s="194"/>
      <c r="AM1804" s="194"/>
      <c r="AN1804" s="194"/>
      <c r="AO1804" s="194"/>
      <c r="AP1804" s="194"/>
      <c r="AQ1804" s="194"/>
      <c r="AR1804" s="192"/>
      <c r="AS1804" s="192"/>
      <c r="AT1804" s="192"/>
      <c r="AU1804" s="192"/>
      <c r="AV1804" s="192"/>
      <c r="AW1804" s="192"/>
    </row>
    <row r="1805" spans="1:59" ht="15" customHeight="1">
      <c r="A1805" s="555" t="s">
        <v>3091</v>
      </c>
      <c r="B1805" s="217" t="str">
        <f t="shared" si="2253"/>
        <v>100</v>
      </c>
      <c r="C1805" s="217" t="str">
        <f t="shared" si="2254"/>
        <v>63</v>
      </c>
      <c r="D1805" s="101" t="str">
        <f t="shared" si="2255"/>
        <v>636</v>
      </c>
      <c r="E1805" s="217" t="str">
        <f t="shared" si="2256"/>
        <v>100-63-636</v>
      </c>
      <c r="F1805" s="294" t="str">
        <f t="shared" si="2257"/>
        <v>55119</v>
      </c>
      <c r="G1805" s="295" t="str">
        <f>VLOOKUP(F1805,'GL Category'!A:C,3,FALSE)</f>
        <v>Services &amp; other</v>
      </c>
      <c r="H1805" s="98" t="str">
        <f>VLOOKUP(F1805,'GL Category'!A:C,2,FALSE)</f>
        <v>OFFICE EQUIP LEASE EXP-CITY</v>
      </c>
      <c r="I1805" s="99">
        <f>SUMIF(Import!$B:$B,$A1805,Import!D:D)</f>
        <v>96</v>
      </c>
      <c r="J1805" s="99">
        <f>SUMIF(Import!$B:$B,$A1805,Import!E:E)</f>
        <v>316</v>
      </c>
      <c r="K1805" s="99">
        <f>SUMIF(Import!$B:$B,$A1805,Import!F:F)</f>
        <v>0</v>
      </c>
      <c r="L1805" s="99">
        <f>SUMIF(Import!$B:$B,$A1805,Import!G:G)</f>
        <v>97</v>
      </c>
      <c r="M1805" s="99">
        <f>SUMIF(Import!$B:$B,$A1805,Import!H:H)</f>
        <v>97</v>
      </c>
      <c r="N1805" s="99">
        <f>SUMIF(Import!$B:$B,$A1805,Import!I:I)</f>
        <v>72.75</v>
      </c>
      <c r="O1805" s="99">
        <f>SUMIF(Import!$B:$B,$A1805,Import!J:J)</f>
        <v>97</v>
      </c>
      <c r="P1805" s="99">
        <f t="shared" si="2266"/>
        <v>0</v>
      </c>
      <c r="Q1805" s="99">
        <f>SUMIF(Import!$B:$B,$A1805,Import!K:K)</f>
        <v>0</v>
      </c>
      <c r="R1805" s="99">
        <f>SUMIF(Import!$B:$B,$A1805,Import!L:L)</f>
        <v>0</v>
      </c>
      <c r="S1805" s="99">
        <f>SUMIF(Import!$B:$B,$A1805,Import!M:M)</f>
        <v>0</v>
      </c>
      <c r="T1805" s="99">
        <f>SUMIF(Import!$B:$B,$A1805,Import!N:N)</f>
        <v>0</v>
      </c>
      <c r="U1805" s="99">
        <f t="shared" si="2267"/>
        <v>-97</v>
      </c>
      <c r="V1805" s="255">
        <f t="shared" si="2268"/>
        <v>-1</v>
      </c>
      <c r="W1805" s="102" t="s">
        <v>3091</v>
      </c>
      <c r="X1805" s="102"/>
      <c r="Y1805" s="102"/>
      <c r="AA1805" s="615"/>
      <c r="AB1805" s="192"/>
      <c r="AC1805" s="314"/>
      <c r="AD1805" s="314"/>
      <c r="AE1805" s="314"/>
      <c r="AF1805" s="314"/>
      <c r="AG1805" s="314"/>
      <c r="AH1805" s="192"/>
      <c r="AI1805" s="192"/>
      <c r="AJ1805" s="314"/>
      <c r="AK1805" s="314"/>
      <c r="AL1805" s="314"/>
      <c r="AM1805" s="314"/>
      <c r="AN1805" s="314"/>
      <c r="AO1805" s="314"/>
      <c r="AP1805" s="314"/>
      <c r="AQ1805" s="314"/>
      <c r="AR1805" s="192"/>
      <c r="AS1805" s="192"/>
      <c r="AT1805" s="192"/>
      <c r="AU1805" s="192"/>
      <c r="AV1805" s="192"/>
      <c r="AW1805" s="192"/>
    </row>
    <row r="1806" spans="1:59" ht="15" customHeight="1">
      <c r="A1806" s="555"/>
      <c r="B1806" s="217"/>
      <c r="C1806" s="217"/>
      <c r="D1806" s="101"/>
      <c r="E1806" s="217"/>
      <c r="F1806" s="294"/>
      <c r="G1806" s="295"/>
      <c r="H1806" s="107" t="str">
        <f>UPPER(G1805)&amp;" TOTAL"</f>
        <v>SERVICES &amp; OTHER TOTAL</v>
      </c>
      <c r="I1806" s="109">
        <f t="shared" ref="I1806" si="2269">SUBTOTAL(9,I1799:I1805)</f>
        <v>156350.64000000001</v>
      </c>
      <c r="J1806" s="109">
        <f t="shared" ref="J1806:T1806" si="2270">SUBTOTAL(9,J1799:J1805)</f>
        <v>169890.87</v>
      </c>
      <c r="K1806" s="109">
        <f t="shared" ref="K1806" si="2271">SUBTOTAL(9,K1799:K1805)</f>
        <v>156739.77000000002</v>
      </c>
      <c r="L1806" s="109">
        <f t="shared" ref="L1806" si="2272">SUBTOTAL(9,L1799:L1805)</f>
        <v>148525.20000000001</v>
      </c>
      <c r="M1806" s="109">
        <f t="shared" si="2270"/>
        <v>167134</v>
      </c>
      <c r="N1806" s="109">
        <f t="shared" ref="N1806" si="2273">SUBTOTAL(9,N1799:N1805)</f>
        <v>152113.89000000001</v>
      </c>
      <c r="O1806" s="109">
        <f t="shared" si="2270"/>
        <v>165359</v>
      </c>
      <c r="P1806" s="109">
        <f t="shared" si="2270"/>
        <v>-1775</v>
      </c>
      <c r="Q1806" s="109">
        <f t="shared" si="2270"/>
        <v>173312</v>
      </c>
      <c r="R1806" s="109">
        <f t="shared" si="2270"/>
        <v>0</v>
      </c>
      <c r="S1806" s="109">
        <f t="shared" si="2270"/>
        <v>0</v>
      </c>
      <c r="T1806" s="109">
        <f t="shared" si="2270"/>
        <v>173312</v>
      </c>
      <c r="U1806" s="99">
        <f>T1806-M1806</f>
        <v>6178</v>
      </c>
      <c r="V1806" s="255">
        <f>IF(M1806=0,"N/A",T1806/M1806-1)</f>
        <v>3.696435195711234E-2</v>
      </c>
      <c r="W1806" s="102"/>
      <c r="X1806" s="102"/>
      <c r="Y1806" s="102"/>
      <c r="AA1806" s="615"/>
      <c r="AB1806" s="192"/>
      <c r="AC1806" s="317"/>
      <c r="AD1806" s="317"/>
      <c r="AE1806" s="317"/>
      <c r="AF1806" s="317"/>
      <c r="AG1806" s="317"/>
      <c r="AH1806" s="192"/>
      <c r="AI1806" s="192"/>
      <c r="AJ1806" s="317"/>
      <c r="AK1806" s="317"/>
      <c r="AL1806" s="317"/>
      <c r="AM1806" s="317"/>
      <c r="AN1806" s="317"/>
      <c r="AO1806" s="317"/>
      <c r="AP1806" s="317"/>
      <c r="AQ1806" s="317"/>
      <c r="AR1806" s="192"/>
      <c r="AS1806" s="192"/>
      <c r="AT1806" s="192"/>
      <c r="AU1806" s="192"/>
      <c r="AV1806" s="192"/>
      <c r="AW1806" s="192"/>
    </row>
    <row r="1807" spans="1:59" ht="15" customHeight="1">
      <c r="A1807" s="555"/>
      <c r="B1807" s="217"/>
      <c r="C1807" s="217"/>
      <c r="D1807" s="101"/>
      <c r="E1807" s="217"/>
      <c r="F1807" s="294"/>
      <c r="G1807" s="295"/>
      <c r="H1807" s="98"/>
      <c r="I1807" s="106"/>
      <c r="J1807" s="106"/>
      <c r="K1807" s="106"/>
      <c r="L1807" s="106"/>
      <c r="M1807" s="106"/>
      <c r="N1807" s="112">
        <v>0</v>
      </c>
      <c r="O1807" s="112">
        <v>0</v>
      </c>
      <c r="P1807" s="112"/>
      <c r="Q1807" s="113"/>
      <c r="R1807" s="113"/>
      <c r="S1807" s="113"/>
      <c r="T1807" s="113"/>
      <c r="U1807" s="99"/>
      <c r="V1807" s="255"/>
      <c r="W1807" s="102"/>
      <c r="X1807" s="102"/>
      <c r="Y1807" s="102"/>
      <c r="AA1807" s="615"/>
      <c r="AB1807" s="192"/>
      <c r="AC1807" s="312"/>
      <c r="AD1807" s="312"/>
      <c r="AE1807" s="312"/>
      <c r="AF1807" s="312"/>
      <c r="AG1807" s="312"/>
      <c r="AH1807" s="192"/>
      <c r="AI1807" s="192"/>
      <c r="AJ1807" s="194"/>
      <c r="AK1807" s="194"/>
      <c r="AL1807" s="194"/>
      <c r="AM1807" s="194"/>
      <c r="AN1807" s="194"/>
      <c r="AO1807" s="194"/>
      <c r="AP1807" s="194"/>
      <c r="AQ1807" s="194"/>
      <c r="AR1807" s="192"/>
      <c r="AS1807" s="192"/>
      <c r="AT1807" s="192"/>
      <c r="AU1807" s="192"/>
      <c r="AV1807" s="192"/>
      <c r="AW1807" s="192"/>
    </row>
    <row r="1808" spans="1:59" ht="15" customHeight="1">
      <c r="A1808" s="555" t="s">
        <v>3092</v>
      </c>
      <c r="B1808" s="217" t="str">
        <f t="shared" si="2253"/>
        <v>100</v>
      </c>
      <c r="C1808" s="217" t="str">
        <f t="shared" si="2254"/>
        <v>63</v>
      </c>
      <c r="D1808" s="101" t="str">
        <f t="shared" si="2255"/>
        <v>636</v>
      </c>
      <c r="E1808" s="217" t="str">
        <f t="shared" si="2256"/>
        <v>100-63-636</v>
      </c>
      <c r="F1808" s="294" t="str">
        <f t="shared" si="2257"/>
        <v>58830</v>
      </c>
      <c r="G1808" s="295" t="str">
        <f>VLOOKUP(F1808,'GL Category'!A:C,3,FALSE)</f>
        <v>Capital Outlay</v>
      </c>
      <c r="H1808" s="98" t="str">
        <f>VLOOKUP(F1808,'GL Category'!A:C,2,FALSE)</f>
        <v>MACHINERY &amp; EQUIPMENT</v>
      </c>
      <c r="I1808" s="99">
        <f>SUMIF(Import!$B:$B,$A1808,Import!D:D)</f>
        <v>0</v>
      </c>
      <c r="J1808" s="99">
        <f>SUMIF(Import!$B:$B,$A1808,Import!E:E)</f>
        <v>0</v>
      </c>
      <c r="K1808" s="99">
        <f>SUMIF(Import!$B:$B,$A1808,Import!F:F)</f>
        <v>0</v>
      </c>
      <c r="L1808" s="99">
        <f>SUMIF(Import!$B:$B,$A1808,Import!G:G)</f>
        <v>0</v>
      </c>
      <c r="M1808" s="99">
        <f>SUMIF(Import!$B:$B,$A1808,Import!H:H)</f>
        <v>0</v>
      </c>
      <c r="N1808" s="99">
        <f>SUMIF(Import!$B:$B,$A1808,Import!I:I)</f>
        <v>0</v>
      </c>
      <c r="O1808" s="99">
        <f>SUMIF(Import!$B:$B,$A1808,Import!J:J)</f>
        <v>0</v>
      </c>
      <c r="P1808" s="99">
        <f t="shared" ref="P1808:P1809" si="2274">O1808-M1808</f>
        <v>0</v>
      </c>
      <c r="Q1808" s="99">
        <f>SUMIF(Import!$B:$B,$A1808,Import!K:K)</f>
        <v>0</v>
      </c>
      <c r="R1808" s="99">
        <f>SUMIF(Import!$B:$B,$A1808,Import!L:L)</f>
        <v>0</v>
      </c>
      <c r="S1808" s="99">
        <f>SUMIF(Import!$B:$B,$A1808,Import!M:M)</f>
        <v>0</v>
      </c>
      <c r="T1808" s="99">
        <f>SUMIF(Import!$B:$B,$A1808,Import!N:N)</f>
        <v>0</v>
      </c>
      <c r="U1808" s="99">
        <f t="shared" ref="U1808:U1809" si="2275">T1808-M1808</f>
        <v>0</v>
      </c>
      <c r="V1808" s="255" t="str">
        <f t="shared" ref="V1808:V1809" si="2276">IF(M1808=0,"N/A",T1808/M1808-1)</f>
        <v>N/A</v>
      </c>
      <c r="W1808" s="102" t="s">
        <v>3092</v>
      </c>
      <c r="X1808" s="102"/>
      <c r="Y1808" s="102"/>
      <c r="AA1808" s="615"/>
      <c r="AB1808" s="192"/>
      <c r="AC1808" s="312"/>
      <c r="AD1808" s="312"/>
      <c r="AE1808" s="312"/>
      <c r="AF1808" s="312"/>
      <c r="AG1808" s="312"/>
      <c r="AH1808" s="192"/>
      <c r="AI1808" s="192"/>
      <c r="AJ1808" s="194"/>
      <c r="AK1808" s="194"/>
      <c r="AL1808" s="194"/>
      <c r="AM1808" s="194"/>
      <c r="AN1808" s="194"/>
      <c r="AO1808" s="194"/>
      <c r="AP1808" s="194"/>
      <c r="AQ1808" s="194"/>
      <c r="AR1808" s="192"/>
      <c r="AS1808" s="192"/>
      <c r="AT1808" s="192"/>
      <c r="AU1808" s="192"/>
      <c r="AV1808" s="192"/>
      <c r="AW1808" s="192"/>
    </row>
    <row r="1809" spans="1:58" ht="15" customHeight="1">
      <c r="A1809" s="555" t="s">
        <v>3093</v>
      </c>
      <c r="B1809" s="217" t="str">
        <f t="shared" si="2253"/>
        <v>100</v>
      </c>
      <c r="C1809" s="217" t="str">
        <f t="shared" si="2254"/>
        <v>63</v>
      </c>
      <c r="D1809" s="101" t="str">
        <f t="shared" si="2255"/>
        <v>636</v>
      </c>
      <c r="E1809" s="217" t="str">
        <f t="shared" si="2256"/>
        <v>100-63-636</v>
      </c>
      <c r="F1809" s="294" t="str">
        <f t="shared" si="2257"/>
        <v>58858</v>
      </c>
      <c r="G1809" s="295" t="e">
        <f>VLOOKUP(F1809,'GL Category'!A:C,3,FALSE)</f>
        <v>#N/A</v>
      </c>
      <c r="H1809" s="98" t="e">
        <f>VLOOKUP(F1809,'GL Category'!A:C,2,FALSE)</f>
        <v>#N/A</v>
      </c>
      <c r="I1809" s="99">
        <f>SUMIF(Import!$B:$B,$A1809,Import!D:D)</f>
        <v>0</v>
      </c>
      <c r="J1809" s="99">
        <f>SUMIF(Import!$B:$B,$A1809,Import!E:E)</f>
        <v>0</v>
      </c>
      <c r="K1809" s="99">
        <f>SUMIF(Import!$B:$B,$A1809,Import!F:F)</f>
        <v>0</v>
      </c>
      <c r="L1809" s="99">
        <f>SUMIF(Import!$B:$B,$A1809,Import!G:G)</f>
        <v>0</v>
      </c>
      <c r="M1809" s="99">
        <f>SUMIF(Import!$B:$B,$A1809,Import!H:H)</f>
        <v>0</v>
      </c>
      <c r="N1809" s="99">
        <f>SUMIF(Import!$B:$B,$A1809,Import!I:I)</f>
        <v>0</v>
      </c>
      <c r="O1809" s="99">
        <f>SUMIF(Import!$B:$B,$A1809,Import!J:J)</f>
        <v>0</v>
      </c>
      <c r="P1809" s="99">
        <f t="shared" si="2274"/>
        <v>0</v>
      </c>
      <c r="Q1809" s="99">
        <f>SUMIF(Import!$B:$B,$A1809,Import!K:K)</f>
        <v>0</v>
      </c>
      <c r="R1809" s="99">
        <f>SUMIF(Import!$B:$B,$A1809,Import!L:L)</f>
        <v>0</v>
      </c>
      <c r="S1809" s="99">
        <f>SUMIF(Import!$B:$B,$A1809,Import!M:M)</f>
        <v>0</v>
      </c>
      <c r="T1809" s="99">
        <f>SUMIF(Import!$B:$B,$A1809,Import!N:N)</f>
        <v>0</v>
      </c>
      <c r="U1809" s="99">
        <f t="shared" si="2275"/>
        <v>0</v>
      </c>
      <c r="V1809" s="255" t="str">
        <f t="shared" si="2276"/>
        <v>N/A</v>
      </c>
      <c r="W1809" s="102" t="s">
        <v>3093</v>
      </c>
      <c r="X1809" s="102"/>
      <c r="Y1809" s="102"/>
      <c r="AA1809" s="615"/>
      <c r="AB1809" s="192"/>
      <c r="AC1809" s="312"/>
      <c r="AD1809" s="312"/>
      <c r="AE1809" s="312"/>
      <c r="AF1809" s="312"/>
      <c r="AG1809" s="312"/>
      <c r="AH1809" s="192"/>
      <c r="AI1809" s="192"/>
      <c r="AJ1809" s="194"/>
      <c r="AK1809" s="194"/>
      <c r="AL1809" s="194"/>
      <c r="AM1809" s="194"/>
      <c r="AN1809" s="194"/>
      <c r="AO1809" s="194"/>
      <c r="AP1809" s="194"/>
      <c r="AQ1809" s="194"/>
      <c r="AR1809" s="192"/>
      <c r="AS1809" s="192"/>
      <c r="AT1809" s="192"/>
      <c r="AU1809" s="192"/>
      <c r="AV1809" s="192"/>
      <c r="AW1809" s="192"/>
    </row>
    <row r="1810" spans="1:58" ht="15" customHeight="1">
      <c r="A1810" s="555"/>
      <c r="B1810" s="217"/>
      <c r="C1810" s="217"/>
      <c r="D1810" s="101"/>
      <c r="E1810" s="217"/>
      <c r="F1810" s="294"/>
      <c r="G1810" s="295"/>
      <c r="H1810" s="107" t="e">
        <f>UPPER(G1809)&amp;" TOTAL"</f>
        <v>#N/A</v>
      </c>
      <c r="I1810" s="108">
        <f t="shared" ref="I1810" si="2277">SUBTOTAL(9,I1808:I1809)</f>
        <v>0</v>
      </c>
      <c r="J1810" s="108">
        <f t="shared" ref="J1810:P1810" si="2278">SUBTOTAL(9,J1808:J1809)</f>
        <v>0</v>
      </c>
      <c r="K1810" s="108">
        <f t="shared" ref="K1810" si="2279">SUBTOTAL(9,K1808:K1809)</f>
        <v>0</v>
      </c>
      <c r="L1810" s="108">
        <f t="shared" ref="L1810" si="2280">SUBTOTAL(9,L1808:L1809)</f>
        <v>0</v>
      </c>
      <c r="M1810" s="108">
        <f t="shared" si="2278"/>
        <v>0</v>
      </c>
      <c r="N1810" s="109">
        <f t="shared" ref="N1810" si="2281">SUBTOTAL(9,N1808:N1809)</f>
        <v>0</v>
      </c>
      <c r="O1810" s="109">
        <f t="shared" si="2278"/>
        <v>0</v>
      </c>
      <c r="P1810" s="109">
        <f t="shared" si="2278"/>
        <v>0</v>
      </c>
      <c r="Q1810" s="109">
        <f t="shared" ref="Q1810:T1810" si="2282">SUBTOTAL(9,Q1808:Q1809)</f>
        <v>0</v>
      </c>
      <c r="R1810" s="109">
        <f t="shared" si="2282"/>
        <v>0</v>
      </c>
      <c r="S1810" s="109">
        <f t="shared" si="2282"/>
        <v>0</v>
      </c>
      <c r="T1810" s="109">
        <f t="shared" si="2282"/>
        <v>0</v>
      </c>
      <c r="U1810" s="99">
        <f>T1810-M1810</f>
        <v>0</v>
      </c>
      <c r="V1810" s="255" t="str">
        <f>IF(M1810=0,"N/A",T1810/M1810-1)</f>
        <v>N/A</v>
      </c>
      <c r="W1810" s="102"/>
      <c r="X1810" s="102"/>
      <c r="Y1810" s="102"/>
      <c r="AA1810" s="615"/>
      <c r="AB1810" s="192"/>
      <c r="AC1810" s="312"/>
      <c r="AD1810" s="312"/>
      <c r="AE1810" s="312"/>
      <c r="AF1810" s="312"/>
      <c r="AG1810" s="312"/>
      <c r="AH1810" s="192"/>
      <c r="AI1810" s="192"/>
      <c r="AJ1810" s="194"/>
      <c r="AK1810" s="194"/>
      <c r="AL1810" s="194"/>
      <c r="AM1810" s="194"/>
      <c r="AN1810" s="194"/>
      <c r="AO1810" s="194"/>
      <c r="AP1810" s="194"/>
      <c r="AQ1810" s="194"/>
      <c r="AR1810" s="192"/>
      <c r="AS1810" s="192"/>
      <c r="AT1810" s="192"/>
      <c r="AU1810" s="192"/>
      <c r="AV1810" s="192"/>
      <c r="AW1810" s="192"/>
    </row>
    <row r="1811" spans="1:58" ht="15" customHeight="1">
      <c r="A1811" s="555"/>
      <c r="B1811" s="217"/>
      <c r="C1811" s="217"/>
      <c r="D1811" s="101"/>
      <c r="E1811" s="217"/>
      <c r="F1811" s="294"/>
      <c r="G1811" s="295"/>
      <c r="H1811" s="98"/>
      <c r="I1811" s="106"/>
      <c r="J1811" s="106"/>
      <c r="K1811" s="106"/>
      <c r="L1811" s="106"/>
      <c r="M1811" s="106"/>
      <c r="N1811" s="112"/>
      <c r="O1811" s="112"/>
      <c r="P1811" s="112"/>
      <c r="Q1811" s="113"/>
      <c r="R1811" s="113"/>
      <c r="S1811" s="113"/>
      <c r="T1811" s="113"/>
      <c r="U1811" s="99"/>
      <c r="V1811" s="255"/>
      <c r="W1811" s="102"/>
      <c r="X1811" s="102"/>
      <c r="Y1811" s="102"/>
      <c r="AA1811" s="615"/>
      <c r="AB1811" s="192"/>
      <c r="AC1811" s="312"/>
      <c r="AD1811" s="312"/>
      <c r="AE1811" s="312"/>
      <c r="AF1811" s="312"/>
      <c r="AG1811" s="312"/>
      <c r="AH1811" s="192"/>
      <c r="AI1811" s="192"/>
      <c r="AJ1811" s="194"/>
      <c r="AK1811" s="194"/>
      <c r="AL1811" s="194"/>
      <c r="AM1811" s="194"/>
      <c r="AN1811" s="194"/>
      <c r="AO1811" s="194"/>
      <c r="AP1811" s="194"/>
      <c r="AQ1811" s="194"/>
      <c r="AR1811" s="192"/>
      <c r="AS1811" s="192"/>
      <c r="AT1811" s="192"/>
      <c r="AU1811" s="192"/>
      <c r="AV1811" s="192"/>
      <c r="AW1811" s="192"/>
    </row>
    <row r="1812" spans="1:58" ht="15" customHeight="1">
      <c r="A1812" s="555" t="s">
        <v>3094</v>
      </c>
      <c r="B1812" s="217" t="str">
        <f t="shared" si="2253"/>
        <v>100</v>
      </c>
      <c r="C1812" s="217" t="str">
        <f t="shared" si="2254"/>
        <v>63</v>
      </c>
      <c r="D1812" s="101" t="str">
        <f t="shared" si="2255"/>
        <v>636</v>
      </c>
      <c r="E1812" s="217" t="str">
        <f t="shared" si="2256"/>
        <v>100-63-636</v>
      </c>
      <c r="F1812" s="294" t="str">
        <f t="shared" si="2257"/>
        <v>59112</v>
      </c>
      <c r="G1812" s="295" t="str">
        <f>VLOOKUP(F1812,'GL Category'!A:C,3,FALSE)</f>
        <v>Transfers to other funds</v>
      </c>
      <c r="H1812" s="98" t="str">
        <f>VLOOKUP(F1812,'GL Category'!A:C,2,FALSE)</f>
        <v>TRANSFER TO REC SPEC REV FUND</v>
      </c>
      <c r="I1812" s="99">
        <f>SUMIF(Import!$B:$B,$A1812,Import!D:D)</f>
        <v>13500</v>
      </c>
      <c r="J1812" s="99">
        <f>SUMIF(Import!$B:$B,$A1812,Import!E:E)</f>
        <v>13500</v>
      </c>
      <c r="K1812" s="99">
        <f>SUMIF(Import!$B:$B,$A1812,Import!F:F)</f>
        <v>13500</v>
      </c>
      <c r="L1812" s="99">
        <f>SUMIF(Import!$B:$B,$A1812,Import!G:G)</f>
        <v>13500</v>
      </c>
      <c r="M1812" s="99">
        <f>SUMIF(Import!$B:$B,$A1812,Import!H:H)</f>
        <v>13500</v>
      </c>
      <c r="N1812" s="99">
        <f>SUMIF(Import!$B:$B,$A1812,Import!I:I)</f>
        <v>10125</v>
      </c>
      <c r="O1812" s="99">
        <f>SUMIF(Import!$B:$B,$A1812,Import!J:J)</f>
        <v>13500</v>
      </c>
      <c r="P1812" s="99">
        <f t="shared" ref="P1812" si="2283">O1812-M1812</f>
        <v>0</v>
      </c>
      <c r="Q1812" s="99">
        <f>SUMIF(Import!$B:$B,$A1812,Import!K:K)</f>
        <v>13500</v>
      </c>
      <c r="R1812" s="99">
        <f>SUMIF(Import!$B:$B,$A1812,Import!L:L)</f>
        <v>0</v>
      </c>
      <c r="S1812" s="99">
        <f>SUMIF(Import!$B:$B,$A1812,Import!M:M)</f>
        <v>0</v>
      </c>
      <c r="T1812" s="99">
        <f>SUMIF(Import!$B:$B,$A1812,Import!N:N)</f>
        <v>13500</v>
      </c>
      <c r="U1812" s="99">
        <f t="shared" ref="U1812" si="2284">T1812-M1812</f>
        <v>0</v>
      </c>
      <c r="V1812" s="255">
        <f t="shared" ref="V1812" si="2285">IF(M1812=0,"N/A",T1812/M1812-1)</f>
        <v>0</v>
      </c>
      <c r="W1812" s="102" t="s">
        <v>3094</v>
      </c>
      <c r="X1812" s="102"/>
      <c r="Y1812" s="102"/>
      <c r="AA1812" s="615"/>
      <c r="AB1812" s="192"/>
      <c r="AC1812" s="312"/>
      <c r="AD1812" s="312"/>
      <c r="AE1812" s="312"/>
      <c r="AF1812" s="312"/>
      <c r="AG1812" s="312"/>
      <c r="AH1812" s="192"/>
      <c r="AI1812" s="192"/>
      <c r="AJ1812" s="194"/>
      <c r="AK1812" s="194"/>
      <c r="AL1812" s="194"/>
      <c r="AM1812" s="194"/>
      <c r="AN1812" s="194"/>
      <c r="AO1812" s="194"/>
      <c r="AP1812" s="194"/>
      <c r="AQ1812" s="194"/>
      <c r="AR1812" s="192"/>
      <c r="AS1812" s="192"/>
      <c r="AT1812" s="192"/>
      <c r="AU1812" s="192"/>
      <c r="AV1812" s="192"/>
      <c r="AW1812" s="192"/>
    </row>
    <row r="1813" spans="1:58" ht="32.4" customHeight="1">
      <c r="A1813" s="555"/>
      <c r="B1813" s="217"/>
      <c r="C1813" s="217"/>
      <c r="D1813" s="101"/>
      <c r="E1813" s="217"/>
      <c r="F1813" s="294"/>
      <c r="G1813" s="295"/>
      <c r="H1813" s="107" t="str">
        <f>UPPER(G1812)&amp;" TOTAL"</f>
        <v>TRANSFERS TO OTHER FUNDS TOTAL</v>
      </c>
      <c r="I1813" s="108">
        <f t="shared" ref="I1813" si="2286">SUBTOTAL(9,I1811:I1812)</f>
        <v>13500</v>
      </c>
      <c r="J1813" s="108">
        <f t="shared" ref="J1813:T1813" si="2287">SUBTOTAL(9,J1811:J1812)</f>
        <v>13500</v>
      </c>
      <c r="K1813" s="108">
        <f t="shared" ref="K1813" si="2288">SUBTOTAL(9,K1811:K1812)</f>
        <v>13500</v>
      </c>
      <c r="L1813" s="108">
        <f t="shared" ref="L1813" si="2289">SUBTOTAL(9,L1811:L1812)</f>
        <v>13500</v>
      </c>
      <c r="M1813" s="108">
        <f t="shared" si="2287"/>
        <v>13500</v>
      </c>
      <c r="N1813" s="109">
        <f t="shared" ref="N1813" si="2290">SUBTOTAL(9,N1811:N1812)</f>
        <v>10125</v>
      </c>
      <c r="O1813" s="109">
        <f t="shared" si="2287"/>
        <v>13500</v>
      </c>
      <c r="P1813" s="109">
        <f t="shared" si="2287"/>
        <v>0</v>
      </c>
      <c r="Q1813" s="109">
        <f t="shared" si="2287"/>
        <v>13500</v>
      </c>
      <c r="R1813" s="109">
        <f t="shared" si="2287"/>
        <v>0</v>
      </c>
      <c r="S1813" s="109">
        <f t="shared" si="2287"/>
        <v>0</v>
      </c>
      <c r="T1813" s="109">
        <f t="shared" si="2287"/>
        <v>13500</v>
      </c>
      <c r="U1813" s="99">
        <f>T1813-M1813</f>
        <v>0</v>
      </c>
      <c r="V1813" s="255">
        <f>IF(M1813=0,"N/A",T1813/M1813-1)</f>
        <v>0</v>
      </c>
      <c r="W1813" s="102"/>
      <c r="X1813" s="102"/>
      <c r="Y1813" s="102"/>
      <c r="AA1813" s="615"/>
      <c r="AB1813" s="192"/>
      <c r="AC1813" s="312"/>
      <c r="AD1813" s="312"/>
      <c r="AE1813" s="312"/>
      <c r="AF1813" s="312"/>
      <c r="AG1813" s="312"/>
      <c r="AH1813" s="192"/>
      <c r="AI1813" s="192"/>
      <c r="AJ1813" s="194"/>
      <c r="AK1813" s="194"/>
      <c r="AL1813" s="194"/>
      <c r="AM1813" s="194"/>
      <c r="AN1813" s="194"/>
      <c r="AO1813" s="194"/>
      <c r="AP1813" s="194"/>
      <c r="AQ1813" s="194"/>
      <c r="AR1813" s="192"/>
      <c r="AS1813" s="192"/>
      <c r="AT1813" s="192"/>
      <c r="AU1813" s="192"/>
      <c r="AV1813" s="192"/>
      <c r="AW1813" s="192"/>
    </row>
    <row r="1814" spans="1:58" ht="15" customHeight="1">
      <c r="A1814" s="555"/>
      <c r="B1814" s="217"/>
      <c r="C1814" s="217"/>
      <c r="D1814" s="101"/>
      <c r="E1814" s="217"/>
      <c r="F1814" s="294"/>
      <c r="G1814" s="295"/>
      <c r="H1814" s="98"/>
      <c r="I1814" s="106"/>
      <c r="J1814" s="106"/>
      <c r="K1814" s="106"/>
      <c r="L1814" s="106"/>
      <c r="M1814" s="106"/>
      <c r="N1814" s="112"/>
      <c r="O1814" s="112"/>
      <c r="P1814" s="112"/>
      <c r="Q1814" s="113"/>
      <c r="R1814" s="113"/>
      <c r="S1814" s="113"/>
      <c r="T1814" s="113"/>
      <c r="U1814" s="99"/>
      <c r="V1814" s="255"/>
      <c r="W1814" s="102"/>
      <c r="X1814" s="102"/>
      <c r="Y1814" s="102"/>
      <c r="AA1814" s="615"/>
      <c r="AB1814" s="192"/>
      <c r="AC1814" s="312"/>
      <c r="AD1814" s="312"/>
      <c r="AE1814" s="312"/>
      <c r="AF1814" s="312"/>
      <c r="AG1814" s="312"/>
      <c r="AH1814" s="192"/>
      <c r="AI1814" s="192"/>
      <c r="AJ1814" s="194"/>
      <c r="AK1814" s="194"/>
      <c r="AL1814" s="194"/>
      <c r="AM1814" s="194"/>
      <c r="AN1814" s="194"/>
      <c r="AO1814" s="194"/>
      <c r="AP1814" s="194"/>
      <c r="AQ1814" s="194"/>
      <c r="AR1814" s="192"/>
      <c r="AS1814" s="192"/>
      <c r="AT1814" s="192"/>
      <c r="AU1814" s="192"/>
      <c r="AV1814" s="192"/>
      <c r="AW1814" s="192"/>
    </row>
    <row r="1815" spans="1:58" ht="15" customHeight="1">
      <c r="A1815" s="555"/>
      <c r="B1815" s="217"/>
      <c r="C1815" s="217"/>
      <c r="D1815" s="101"/>
      <c r="E1815" s="217"/>
      <c r="F1815" s="294"/>
      <c r="G1815" s="295"/>
      <c r="H1815" s="114" t="s">
        <v>763</v>
      </c>
      <c r="I1815" s="108">
        <f t="shared" ref="I1815" si="2291">SUBTOTAL(9,I1784:I1813)</f>
        <v>247792.43</v>
      </c>
      <c r="J1815" s="108">
        <f t="shared" ref="J1815:T1815" si="2292">SUBTOTAL(9,J1784:J1813)</f>
        <v>280845.31</v>
      </c>
      <c r="K1815" s="108">
        <f t="shared" ref="K1815" si="2293">SUBTOTAL(9,K1784:K1813)</f>
        <v>261934.75</v>
      </c>
      <c r="L1815" s="108">
        <f t="shared" ref="L1815" si="2294">SUBTOTAL(9,L1784:L1813)</f>
        <v>232326.52000000002</v>
      </c>
      <c r="M1815" s="108">
        <f t="shared" si="2292"/>
        <v>252190</v>
      </c>
      <c r="N1815" s="108">
        <f t="shared" ref="N1815" si="2295">SUBTOTAL(9,N1784:N1813)</f>
        <v>217826.77000000002</v>
      </c>
      <c r="O1815" s="108">
        <f t="shared" si="2292"/>
        <v>236080</v>
      </c>
      <c r="P1815" s="108">
        <f t="shared" si="2292"/>
        <v>-16110</v>
      </c>
      <c r="Q1815" s="108">
        <f t="shared" si="2292"/>
        <v>253586</v>
      </c>
      <c r="R1815" s="108">
        <f t="shared" si="2292"/>
        <v>0</v>
      </c>
      <c r="S1815" s="108">
        <f t="shared" si="2292"/>
        <v>0</v>
      </c>
      <c r="T1815" s="108">
        <f t="shared" si="2292"/>
        <v>253586</v>
      </c>
      <c r="U1815" s="99">
        <f>T1815-M1815</f>
        <v>1396</v>
      </c>
      <c r="V1815" s="255">
        <f>IF(M1815=0,"N/A",T1815/M1815-1)</f>
        <v>5.5355089416708747E-3</v>
      </c>
      <c r="W1815" s="102"/>
      <c r="X1815" s="102"/>
      <c r="Y1815" s="102"/>
      <c r="AA1815" s="615"/>
      <c r="AB1815" s="192"/>
      <c r="AC1815" s="312"/>
      <c r="AD1815" s="312"/>
      <c r="AE1815" s="312"/>
      <c r="AF1815" s="312"/>
      <c r="AG1815" s="312"/>
      <c r="AH1815" s="192"/>
      <c r="AI1815" s="192"/>
      <c r="AJ1815" s="194"/>
      <c r="AK1815" s="194"/>
      <c r="AL1815" s="194"/>
      <c r="AM1815" s="194"/>
      <c r="AN1815" s="194"/>
      <c r="AO1815" s="194"/>
      <c r="AP1815" s="194"/>
      <c r="AQ1815" s="194"/>
      <c r="AR1815" s="192"/>
      <c r="AS1815" s="192"/>
      <c r="AT1815" s="192"/>
      <c r="AU1815" s="192"/>
      <c r="AV1815" s="192"/>
      <c r="AW1815" s="192"/>
    </row>
    <row r="1816" spans="1:58" ht="15" customHeight="1">
      <c r="A1816" s="555"/>
      <c r="B1816" s="217"/>
      <c r="C1816" s="217"/>
      <c r="D1816" s="101"/>
      <c r="E1816" s="217"/>
      <c r="F1816" s="294"/>
      <c r="G1816" s="295"/>
      <c r="H1816" s="98"/>
      <c r="I1816" s="218"/>
      <c r="J1816" s="218"/>
      <c r="K1816" s="218"/>
      <c r="L1816" s="218"/>
      <c r="M1816" s="218"/>
      <c r="U1816" s="99"/>
      <c r="V1816" s="255"/>
      <c r="W1816" s="102"/>
      <c r="X1816" s="102"/>
      <c r="Y1816" s="102"/>
      <c r="AA1816" s="615"/>
      <c r="AB1816" s="192"/>
      <c r="AC1816" s="314"/>
      <c r="AD1816" s="314"/>
      <c r="AE1816" s="314"/>
      <c r="AF1816" s="314"/>
      <c r="AG1816" s="314"/>
      <c r="AH1816" s="192"/>
      <c r="AI1816" s="192"/>
      <c r="AJ1816" s="314"/>
      <c r="AK1816" s="314"/>
      <c r="AL1816" s="314"/>
      <c r="AM1816" s="314"/>
      <c r="AN1816" s="314"/>
      <c r="AO1816" s="314"/>
      <c r="AP1816" s="314"/>
      <c r="AQ1816" s="314"/>
      <c r="AR1816" s="192"/>
      <c r="AS1816" s="192"/>
      <c r="AT1816" s="192"/>
      <c r="AU1816" s="192"/>
      <c r="AV1816" s="192"/>
      <c r="AW1816" s="192"/>
    </row>
    <row r="1817" spans="1:58" s="71" customFormat="1" ht="15" customHeight="1" thickBot="1">
      <c r="A1817" s="555"/>
      <c r="B1817" s="217"/>
      <c r="C1817" s="217"/>
      <c r="D1817" s="101"/>
      <c r="E1817" s="217"/>
      <c r="F1817" s="294"/>
      <c r="G1817" s="295"/>
      <c r="H1817" s="98"/>
      <c r="I1817" s="218"/>
      <c r="J1817" s="218"/>
      <c r="K1817" s="218"/>
      <c r="L1817" s="218"/>
      <c r="M1817" s="218"/>
      <c r="N1817" s="96"/>
      <c r="O1817" s="96"/>
      <c r="P1817" s="96"/>
      <c r="Q1817" s="212"/>
      <c r="R1817" s="212"/>
      <c r="S1817" s="212"/>
      <c r="T1817" s="212"/>
      <c r="U1817" s="99"/>
      <c r="V1817" s="255"/>
      <c r="W1817" s="102"/>
      <c r="X1817" s="102"/>
      <c r="Y1817" s="102"/>
      <c r="Z1817" s="200"/>
      <c r="AA1817" s="615"/>
      <c r="AB1817" s="631"/>
      <c r="AC1817" s="631"/>
      <c r="AD1817" s="631"/>
      <c r="AE1817" s="631"/>
      <c r="AF1817" s="631"/>
      <c r="AG1817" s="631"/>
      <c r="AH1817" s="631"/>
      <c r="AI1817" s="631"/>
      <c r="AJ1817" s="631"/>
      <c r="AK1817" s="631"/>
      <c r="AL1817" s="631"/>
      <c r="AM1817" s="631"/>
      <c r="AN1817" s="631"/>
      <c r="AO1817" s="97"/>
      <c r="AP1817" s="97"/>
      <c r="AQ1817" s="97"/>
      <c r="AR1817" s="70"/>
      <c r="AS1817" s="70"/>
      <c r="AT1817" s="70"/>
      <c r="AU1817" s="70"/>
      <c r="AV1817" s="70"/>
      <c r="AW1817" s="70"/>
      <c r="AX1817" s="70"/>
      <c r="AY1817" s="70"/>
      <c r="AZ1817" s="70"/>
      <c r="BA1817" s="70"/>
      <c r="BB1817" s="70"/>
      <c r="BC1817" s="70"/>
      <c r="BD1817" s="70"/>
      <c r="BE1817" s="70"/>
      <c r="BF1817" s="70"/>
    </row>
    <row r="1818" spans="1:58" s="71" customFormat="1" ht="21" customHeight="1" thickBot="1">
      <c r="A1818" s="555"/>
      <c r="B1818" s="217"/>
      <c r="C1818" s="217"/>
      <c r="D1818" s="101"/>
      <c r="E1818" s="217"/>
      <c r="F1818" s="294"/>
      <c r="G1818" s="295"/>
      <c r="H1818" s="668" t="s">
        <v>640</v>
      </c>
      <c r="I1818" s="669"/>
      <c r="J1818" s="669"/>
      <c r="K1818" s="669"/>
      <c r="L1818" s="669"/>
      <c r="M1818" s="669"/>
      <c r="N1818" s="669"/>
      <c r="O1818" s="669"/>
      <c r="P1818" s="669"/>
      <c r="Q1818" s="669"/>
      <c r="R1818" s="669"/>
      <c r="S1818" s="669"/>
      <c r="T1818" s="670"/>
      <c r="U1818" s="99"/>
      <c r="V1818" s="255"/>
      <c r="W1818" s="102"/>
      <c r="X1818" s="102"/>
      <c r="Y1818" s="102"/>
      <c r="Z1818" s="200"/>
      <c r="AA1818" s="615"/>
      <c r="AB1818" s="631"/>
      <c r="AC1818" s="631"/>
      <c r="AD1818" s="631"/>
      <c r="AE1818" s="631"/>
      <c r="AF1818" s="631"/>
      <c r="AG1818" s="631"/>
      <c r="AH1818" s="631"/>
      <c r="AI1818" s="631"/>
      <c r="AJ1818" s="631"/>
      <c r="AK1818" s="631"/>
      <c r="AL1818" s="631"/>
      <c r="AM1818" s="631"/>
      <c r="AN1818" s="631"/>
      <c r="AO1818" s="97"/>
      <c r="AP1818" s="97"/>
      <c r="AQ1818" s="97"/>
      <c r="AR1818" s="70"/>
      <c r="AS1818" s="70"/>
      <c r="AT1818" s="70"/>
      <c r="AU1818" s="70"/>
      <c r="AV1818" s="70"/>
      <c r="AW1818" s="70"/>
      <c r="AX1818" s="70"/>
      <c r="AY1818" s="70"/>
      <c r="AZ1818" s="70"/>
      <c r="BA1818" s="70"/>
      <c r="BB1818" s="70"/>
      <c r="BC1818" s="70"/>
      <c r="BD1818" s="70"/>
      <c r="BE1818" s="70"/>
      <c r="BF1818" s="70"/>
    </row>
    <row r="1819" spans="1:58" s="71" customFormat="1" ht="15" customHeight="1">
      <c r="A1819" s="555"/>
      <c r="B1819" s="217"/>
      <c r="C1819" s="217"/>
      <c r="D1819" s="101"/>
      <c r="E1819" s="217"/>
      <c r="F1819" s="294"/>
      <c r="G1819" s="295"/>
      <c r="H1819" s="225"/>
      <c r="I1819" s="225"/>
      <c r="J1819" s="225"/>
      <c r="K1819" s="225"/>
      <c r="L1819" s="225"/>
      <c r="M1819" s="225"/>
      <c r="N1819" s="225"/>
      <c r="O1819" s="225"/>
      <c r="P1819" s="225"/>
      <c r="Q1819" s="225"/>
      <c r="R1819" s="225"/>
      <c r="S1819" s="225"/>
      <c r="T1819" s="225"/>
      <c r="U1819" s="99"/>
      <c r="V1819" s="255"/>
      <c r="W1819" s="102"/>
      <c r="X1819" s="102"/>
      <c r="Y1819" s="102"/>
      <c r="Z1819" s="200"/>
      <c r="AA1819" s="615"/>
      <c r="AB1819" s="631"/>
      <c r="AC1819" s="631"/>
      <c r="AD1819" s="631"/>
      <c r="AE1819" s="631"/>
      <c r="AF1819" s="631"/>
      <c r="AG1819" s="631"/>
      <c r="AH1819" s="631"/>
      <c r="AI1819" s="631"/>
      <c r="AJ1819" s="631"/>
      <c r="AK1819" s="631"/>
      <c r="AL1819" s="631"/>
      <c r="AM1819" s="631"/>
      <c r="AN1819" s="631"/>
      <c r="AO1819" s="97"/>
      <c r="AP1819" s="97"/>
      <c r="AQ1819" s="97"/>
      <c r="AR1819" s="70"/>
      <c r="AS1819" s="70"/>
      <c r="AT1819" s="70"/>
      <c r="AU1819" s="70"/>
      <c r="AV1819" s="70"/>
      <c r="AW1819" s="70"/>
      <c r="AX1819" s="70"/>
      <c r="AY1819" s="70"/>
      <c r="AZ1819" s="70"/>
      <c r="BA1819" s="70"/>
      <c r="BB1819" s="70"/>
      <c r="BC1819" s="70"/>
      <c r="BD1819" s="70"/>
      <c r="BE1819" s="70"/>
      <c r="BF1819" s="70"/>
    </row>
    <row r="1820" spans="1:58" s="71" customFormat="1" ht="15" customHeight="1">
      <c r="A1820" s="555"/>
      <c r="B1820" s="217"/>
      <c r="C1820" s="217">
        <v>63</v>
      </c>
      <c r="D1820" s="101"/>
      <c r="E1820" s="217"/>
      <c r="F1820" s="294" t="s">
        <v>129</v>
      </c>
      <c r="G1820" s="295" t="str">
        <f>VLOOKUP(F1820,'GL Category'!A:C,3,FALSE)</f>
        <v>Personnel services</v>
      </c>
      <c r="H1820" s="98" t="str">
        <f>VLOOKUP(F1820,'GL Category'!A:C,2,FALSE)</f>
        <v>EXEMPT SALARIES</v>
      </c>
      <c r="I1820" s="99">
        <f>SUMIFS(I$1:I1811,$C$1:$C1811,$C1820,$F$1:$F1811,$F1820)</f>
        <v>273271.51</v>
      </c>
      <c r="J1820" s="99">
        <f>SUMIFS(J$1:J1811,$C$1:$C1811,$C1820,$F$1:$F1811,$F1820)</f>
        <v>305742.44</v>
      </c>
      <c r="K1820" s="99">
        <f>SUMIFS(K$1:K1811,$C$1:$C1811,$C1820,$F$1:$F1811,$F1820)</f>
        <v>385609.4</v>
      </c>
      <c r="L1820" s="99">
        <f>SUMIFS(L$1:L1811,$C$1:$C1811,$C1820,$F$1:$F1811,$F1820)</f>
        <v>370748.32</v>
      </c>
      <c r="M1820" s="99">
        <f>SUMIFS(M$1:M1811,$C$1:$C1811,$C1820,$F$1:$F1811,$F1820)</f>
        <v>335194</v>
      </c>
      <c r="N1820" s="99">
        <f>SUMIFS(N$1:N1811,$C$1:$C1811,$C1820,$F$1:$F1811,$F1820)</f>
        <v>252121.81</v>
      </c>
      <c r="O1820" s="99">
        <f>SUMIFS(O$1:O1811,$C$1:$C1811,$C1820,$F$1:$F1811,$F1820)</f>
        <v>334470</v>
      </c>
      <c r="P1820" s="99">
        <f t="shared" ref="P1820:P1830" si="2296">O1820-M1820</f>
        <v>-724</v>
      </c>
      <c r="Q1820" s="99">
        <f>SUMIFS(Q$1:Q1811,$C$1:$C1811,$C1820,$F$1:$F1811,$F1820)</f>
        <v>348683</v>
      </c>
      <c r="R1820" s="99">
        <f>SUMIFS(R$1:R1811,$C$1:$C1811,$C1820,$F$1:$F1811,$F1820)</f>
        <v>0</v>
      </c>
      <c r="S1820" s="99">
        <f>SUMIFS(S$1:S1811,$C$1:$C1811,$C1820,$F$1:$F1811,$F1820)</f>
        <v>0</v>
      </c>
      <c r="T1820" s="99">
        <f>SUMIFS(T$1:T1811,$C$1:$C1811,$C1820,$F$1:$F1811,$F1820)</f>
        <v>348683</v>
      </c>
      <c r="U1820" s="99">
        <f t="shared" ref="U1820:U1831" si="2297">T1820-M1820</f>
        <v>13489</v>
      </c>
      <c r="V1820" s="255">
        <f t="shared" ref="V1820:V1831" si="2298">IF(M1820=0,"N/A",T1820/M1820-1)</f>
        <v>4.0242367106809729E-2</v>
      </c>
      <c r="W1820" s="102"/>
      <c r="X1820" s="102"/>
      <c r="Y1820" s="102">
        <f t="shared" ref="Y1820:Y1830" si="2299">T1820-X1820</f>
        <v>348683</v>
      </c>
      <c r="Z1820" s="309">
        <f>Y1820*(1+VLOOKUP($F1820,'GL Category'!$A:$H,4,FALSE))</f>
        <v>360886.90499999997</v>
      </c>
      <c r="AA1820" s="615"/>
      <c r="AB1820" s="622">
        <f t="shared" ref="AB1820:AB1830" si="2300">Z1820+AA1820</f>
        <v>360886.90499999997</v>
      </c>
      <c r="AC1820" s="633">
        <f>AB1820*(1+VLOOKUP($F1820,'GL Category'!$A:$H,5,FALSE))</f>
        <v>373517.94667499996</v>
      </c>
      <c r="AD1820" s="307"/>
      <c r="AE1820" s="622">
        <f t="shared" ref="AE1820:AE1830" si="2301">AC1820+AD1820</f>
        <v>373517.94667499996</v>
      </c>
      <c r="AF1820" s="633">
        <f>AE1820*(1+VLOOKUP($F1820,'GL Category'!$A:$H,6,FALSE))</f>
        <v>386591.07480862492</v>
      </c>
      <c r="AG1820" s="307"/>
      <c r="AH1820" s="622">
        <f t="shared" ref="AH1820:AH1830" si="2302">AF1820+AG1820</f>
        <v>386591.07480862492</v>
      </c>
      <c r="AI1820" s="633">
        <f>AH1820*(1+VLOOKUP($F1820,'GL Category'!$A:$H,7,FALSE))</f>
        <v>400121.76242692675</v>
      </c>
      <c r="AJ1820" s="307"/>
      <c r="AK1820" s="622">
        <f t="shared" ref="AK1820:AK1830" si="2303">AI1820+AJ1820</f>
        <v>400121.76242692675</v>
      </c>
      <c r="AL1820" s="633">
        <f>AK1820*(1+VLOOKUP($F1820,'GL Category'!$A:$H,8,FALSE))</f>
        <v>414126.02411186916</v>
      </c>
      <c r="AM1820" s="307"/>
      <c r="AN1820" s="622">
        <f t="shared" ref="AN1820:AN1830" si="2304">AL1820+AM1820</f>
        <v>414126.02411186916</v>
      </c>
      <c r="AO1820" s="97"/>
      <c r="AP1820" s="97"/>
      <c r="AQ1820" s="97"/>
      <c r="AR1820" s="70"/>
      <c r="AS1820" s="70"/>
      <c r="AT1820" s="70"/>
      <c r="AU1820" s="70"/>
      <c r="AV1820" s="70"/>
      <c r="AW1820" s="70"/>
      <c r="AX1820" s="70"/>
      <c r="AY1820" s="70"/>
      <c r="AZ1820" s="70"/>
      <c r="BA1820" s="70"/>
      <c r="BB1820" s="70"/>
      <c r="BC1820" s="70"/>
      <c r="BD1820" s="70"/>
      <c r="BE1820" s="70"/>
      <c r="BF1820" s="70"/>
    </row>
    <row r="1821" spans="1:58" s="71" customFormat="1" ht="15" customHeight="1">
      <c r="A1821" s="555"/>
      <c r="B1821" s="217"/>
      <c r="C1821" s="217">
        <v>63</v>
      </c>
      <c r="D1821" s="101"/>
      <c r="E1821" s="217"/>
      <c r="F1821" s="294" t="s">
        <v>131</v>
      </c>
      <c r="G1821" s="295" t="str">
        <f>VLOOKUP(F1821,'GL Category'!A:C,3,FALSE)</f>
        <v>Personnel services</v>
      </c>
      <c r="H1821" s="98" t="str">
        <f>VLOOKUP(F1821,'GL Category'!A:C,2,FALSE)</f>
        <v>NON EXEMPT SALARIES</v>
      </c>
      <c r="I1821" s="99">
        <f>SUMIFS(I$1:I1815,$C$1:$C1815,$C1821,$F$1:$F1815,$F1821)</f>
        <v>775704.28</v>
      </c>
      <c r="J1821" s="99">
        <f>SUMIFS(J$1:J1815,$C$1:$C1815,$C1821,$F$1:$F1815,$F1821)</f>
        <v>713201.49000000011</v>
      </c>
      <c r="K1821" s="99">
        <f>SUMIFS(K$1:K1815,$C$1:$C1815,$C1821,$F$1:$F1815,$F1821)</f>
        <v>709799.60999999987</v>
      </c>
      <c r="L1821" s="99">
        <f>SUMIFS(L$1:L1815,$C$1:$C1815,$C1821,$F$1:$F1815,$F1821)</f>
        <v>755641.7</v>
      </c>
      <c r="M1821" s="99">
        <f>SUMIFS(M$1:M1815,$C$1:$C1815,$C1821,$F$1:$F1815,$F1821)</f>
        <v>788559</v>
      </c>
      <c r="N1821" s="99">
        <f>SUMIFS(N$1:N1815,$C$1:$C1815,$C1821,$F$1:$F1815,$F1821)</f>
        <v>599117.25</v>
      </c>
      <c r="O1821" s="99">
        <f>SUMIFS(O$1:O1815,$C$1:$C1815,$C1821,$F$1:$F1815,$F1821)</f>
        <v>787484</v>
      </c>
      <c r="P1821" s="99">
        <f t="shared" si="2296"/>
        <v>-1075</v>
      </c>
      <c r="Q1821" s="99">
        <f>SUMIFS(Q$1:Q1815,$C$1:$C1815,$C1821,$F$1:$F1815,$F1821)</f>
        <v>824354</v>
      </c>
      <c r="R1821" s="99">
        <f>SUMIFS(R$1:R1815,$C$1:$C1815,$C1821,$F$1:$F1815,$F1821)</f>
        <v>0</v>
      </c>
      <c r="S1821" s="99">
        <f>SUMIFS(S$1:S1815,$C$1:$C1815,$C1821,$F$1:$F1815,$F1821)</f>
        <v>0</v>
      </c>
      <c r="T1821" s="99">
        <f>SUMIFS(T$1:T1815,$C$1:$C1815,$C1821,$F$1:$F1815,$F1821)</f>
        <v>824354</v>
      </c>
      <c r="U1821" s="99">
        <f t="shared" si="2297"/>
        <v>35795</v>
      </c>
      <c r="V1821" s="255">
        <f t="shared" si="2298"/>
        <v>4.5392925576906773E-2</v>
      </c>
      <c r="W1821" s="102"/>
      <c r="X1821" s="102"/>
      <c r="Y1821" s="102">
        <f t="shared" si="2299"/>
        <v>824354</v>
      </c>
      <c r="Z1821" s="309">
        <f>Y1821*(1+VLOOKUP($F1821,'GL Category'!$A:$H,4,FALSE))</f>
        <v>853206.3899999999</v>
      </c>
      <c r="AA1821" s="615"/>
      <c r="AB1821" s="622">
        <f t="shared" si="2300"/>
        <v>853206.3899999999</v>
      </c>
      <c r="AC1821" s="633">
        <f>AB1821*(1+VLOOKUP($F1821,'GL Category'!$A:$H,5,FALSE))</f>
        <v>883068.61364999984</v>
      </c>
      <c r="AD1821" s="307"/>
      <c r="AE1821" s="622">
        <f t="shared" si="2301"/>
        <v>883068.61364999984</v>
      </c>
      <c r="AF1821" s="633">
        <f>AE1821*(1+VLOOKUP($F1821,'GL Category'!$A:$H,6,FALSE))</f>
        <v>913976.01512774976</v>
      </c>
      <c r="AG1821" s="307"/>
      <c r="AH1821" s="622">
        <f t="shared" si="2302"/>
        <v>913976.01512774976</v>
      </c>
      <c r="AI1821" s="633">
        <f>AH1821*(1+VLOOKUP($F1821,'GL Category'!$A:$H,7,FALSE))</f>
        <v>945965.17565722088</v>
      </c>
      <c r="AJ1821" s="307"/>
      <c r="AK1821" s="622">
        <f t="shared" si="2303"/>
        <v>945965.17565722088</v>
      </c>
      <c r="AL1821" s="633">
        <f>AK1821*(1+VLOOKUP($F1821,'GL Category'!$A:$H,8,FALSE))</f>
        <v>979073.95680522348</v>
      </c>
      <c r="AM1821" s="307"/>
      <c r="AN1821" s="622">
        <f t="shared" si="2304"/>
        <v>979073.95680522348</v>
      </c>
      <c r="AO1821" s="97"/>
      <c r="AP1821" s="97"/>
      <c r="AQ1821" s="97"/>
      <c r="AR1821" s="70"/>
      <c r="AS1821" s="70"/>
      <c r="AT1821" s="70"/>
      <c r="AU1821" s="70"/>
      <c r="AV1821" s="70"/>
      <c r="AW1821" s="70"/>
      <c r="AX1821" s="70"/>
      <c r="AY1821" s="70"/>
      <c r="AZ1821" s="70"/>
      <c r="BA1821" s="70"/>
      <c r="BB1821" s="70"/>
      <c r="BC1821" s="70"/>
      <c r="BD1821" s="70"/>
      <c r="BE1821" s="70"/>
      <c r="BF1821" s="70"/>
    </row>
    <row r="1822" spans="1:58" s="71" customFormat="1" ht="15" customHeight="1">
      <c r="A1822" s="555"/>
      <c r="B1822" s="217"/>
      <c r="C1822" s="217">
        <v>63</v>
      </c>
      <c r="D1822" s="101"/>
      <c r="E1822" s="217"/>
      <c r="F1822" s="294" t="s">
        <v>133</v>
      </c>
      <c r="G1822" s="295" t="str">
        <f>VLOOKUP(F1822,'GL Category'!A:C,3,FALSE)</f>
        <v>Personnel services</v>
      </c>
      <c r="H1822" s="98" t="str">
        <f>VLOOKUP(F1822,'GL Category'!A:C,2,FALSE)</f>
        <v>OVERTIME</v>
      </c>
      <c r="I1822" s="99">
        <f>SUMIFS(I$1:I1816,$C$1:$C1816,$C1822,$F$1:$F1816,$F1822)</f>
        <v>12468.08</v>
      </c>
      <c r="J1822" s="99">
        <f>SUMIFS(J$1:J1816,$C$1:$C1816,$C1822,$F$1:$F1816,$F1822)</f>
        <v>11220.86</v>
      </c>
      <c r="K1822" s="99">
        <f>SUMIFS(K$1:K1816,$C$1:$C1816,$C1822,$F$1:$F1816,$F1822)</f>
        <v>23698.28</v>
      </c>
      <c r="L1822" s="99">
        <f>SUMIFS(L$1:L1816,$C$1:$C1816,$C1822,$F$1:$F1816,$F1822)</f>
        <v>24375.759999999995</v>
      </c>
      <c r="M1822" s="99">
        <f>SUMIFS(M$1:M1816,$C$1:$C1816,$C1822,$F$1:$F1816,$F1822)</f>
        <v>25300</v>
      </c>
      <c r="N1822" s="99">
        <f>SUMIFS(N$1:N1816,$C$1:$C1816,$C1822,$F$1:$F1816,$F1822)</f>
        <v>27619.289999999997</v>
      </c>
      <c r="O1822" s="99">
        <f>SUMIFS(O$1:O1816,$C$1:$C1816,$C1822,$F$1:$F1816,$F1822)</f>
        <v>33010</v>
      </c>
      <c r="P1822" s="99">
        <f t="shared" si="2296"/>
        <v>7710</v>
      </c>
      <c r="Q1822" s="99">
        <f>SUMIFS(Q$1:Q1816,$C$1:$C1816,$C1822,$F$1:$F1816,$F1822)</f>
        <v>25300</v>
      </c>
      <c r="R1822" s="99">
        <f>SUMIFS(R$1:R1816,$C$1:$C1816,$C1822,$F$1:$F1816,$F1822)</f>
        <v>0</v>
      </c>
      <c r="S1822" s="99">
        <f>SUMIFS(S$1:S1816,$C$1:$C1816,$C1822,$F$1:$F1816,$F1822)</f>
        <v>0</v>
      </c>
      <c r="T1822" s="99">
        <f>SUMIFS(T$1:T1816,$C$1:$C1816,$C1822,$F$1:$F1816,$F1822)</f>
        <v>25300</v>
      </c>
      <c r="U1822" s="99">
        <f t="shared" si="2297"/>
        <v>0</v>
      </c>
      <c r="V1822" s="255">
        <f t="shared" si="2298"/>
        <v>0</v>
      </c>
      <c r="W1822" s="102"/>
      <c r="X1822" s="102"/>
      <c r="Y1822" s="102">
        <f t="shared" si="2299"/>
        <v>25300</v>
      </c>
      <c r="Z1822" s="309">
        <f>Y1822*(1+VLOOKUP($F1822,'GL Category'!$A:$H,4,FALSE))</f>
        <v>26185.499999999996</v>
      </c>
      <c r="AA1822" s="615"/>
      <c r="AB1822" s="622">
        <f t="shared" si="2300"/>
        <v>26185.499999999996</v>
      </c>
      <c r="AC1822" s="633">
        <f>AB1822*(1+VLOOKUP($F1822,'GL Category'!$A:$H,5,FALSE))</f>
        <v>27101.992499999993</v>
      </c>
      <c r="AD1822" s="307"/>
      <c r="AE1822" s="622">
        <f t="shared" si="2301"/>
        <v>27101.992499999993</v>
      </c>
      <c r="AF1822" s="633">
        <f>AE1822*(1+VLOOKUP($F1822,'GL Category'!$A:$H,6,FALSE))</f>
        <v>28050.562237499991</v>
      </c>
      <c r="AG1822" s="307"/>
      <c r="AH1822" s="622">
        <f t="shared" si="2302"/>
        <v>28050.562237499991</v>
      </c>
      <c r="AI1822" s="633">
        <f>AH1822*(1+VLOOKUP($F1822,'GL Category'!$A:$H,7,FALSE))</f>
        <v>29032.331915812487</v>
      </c>
      <c r="AJ1822" s="307"/>
      <c r="AK1822" s="622">
        <f t="shared" si="2303"/>
        <v>29032.331915812487</v>
      </c>
      <c r="AL1822" s="633">
        <f>AK1822*(1+VLOOKUP($F1822,'GL Category'!$A:$H,8,FALSE))</f>
        <v>30048.463532865921</v>
      </c>
      <c r="AM1822" s="307"/>
      <c r="AN1822" s="622">
        <f t="shared" si="2304"/>
        <v>30048.463532865921</v>
      </c>
      <c r="AO1822" s="97"/>
      <c r="AP1822" s="97"/>
      <c r="AQ1822" s="97"/>
      <c r="AR1822" s="70"/>
      <c r="AS1822" s="70"/>
      <c r="AT1822" s="70"/>
      <c r="AU1822" s="70"/>
      <c r="AV1822" s="70"/>
      <c r="AW1822" s="70"/>
      <c r="AX1822" s="70"/>
      <c r="AY1822" s="70"/>
      <c r="AZ1822" s="70"/>
      <c r="BA1822" s="70"/>
      <c r="BB1822" s="70"/>
      <c r="BC1822" s="70"/>
      <c r="BD1822" s="70"/>
      <c r="BE1822" s="70"/>
      <c r="BF1822" s="70"/>
    </row>
    <row r="1823" spans="1:58" s="71" customFormat="1" ht="15" customHeight="1">
      <c r="A1823" s="555"/>
      <c r="B1823" s="217"/>
      <c r="C1823" s="217">
        <v>63</v>
      </c>
      <c r="D1823" s="101"/>
      <c r="E1823" s="217"/>
      <c r="F1823" s="294" t="s">
        <v>134</v>
      </c>
      <c r="G1823" s="295" t="str">
        <f>VLOOKUP(F1823,'GL Category'!A:C,3,FALSE)</f>
        <v>Personnel services</v>
      </c>
      <c r="H1823" s="98" t="str">
        <f>VLOOKUP(F1823,'GL Category'!A:C,2,FALSE)</f>
        <v>PART-TIME WAGES</v>
      </c>
      <c r="I1823" s="99">
        <f>SUMIFS(I$1:I1817,$C$1:$C1817,$C1823,$F$1:$F1817,$F1823)</f>
        <v>0</v>
      </c>
      <c r="J1823" s="99">
        <f>SUMIFS(J$1:J1817,$C$1:$C1817,$C1823,$F$1:$F1817,$F1823)</f>
        <v>0</v>
      </c>
      <c r="K1823" s="99">
        <f>SUMIFS(K$1:K1817,$C$1:$C1817,$C1823,$F$1:$F1817,$F1823)</f>
        <v>0</v>
      </c>
      <c r="L1823" s="99">
        <f>SUMIFS(L$1:L1817,$C$1:$C1817,$C1823,$F$1:$F1817,$F1823)</f>
        <v>17511.580000000002</v>
      </c>
      <c r="M1823" s="99">
        <f>SUMIFS(M$1:M1817,$C$1:$C1817,$C1823,$F$1:$F1817,$F1823)</f>
        <v>33510</v>
      </c>
      <c r="N1823" s="99">
        <f>SUMIFS(N$1:N1817,$C$1:$C1817,$C1823,$F$1:$F1817,$F1823)</f>
        <v>16372.09</v>
      </c>
      <c r="O1823" s="99">
        <f>SUMIFS(O$1:O1817,$C$1:$C1817,$C1823,$F$1:$F1817,$F1823)</f>
        <v>26427</v>
      </c>
      <c r="P1823" s="99">
        <f t="shared" si="2296"/>
        <v>-7083</v>
      </c>
      <c r="Q1823" s="99">
        <f>SUMIFS(Q$1:Q1817,$C$1:$C1817,$C1823,$F$1:$F1817,$F1823)</f>
        <v>34800</v>
      </c>
      <c r="R1823" s="99">
        <f>SUMIFS(R$1:R1817,$C$1:$C1817,$C1823,$F$1:$F1817,$F1823)</f>
        <v>0</v>
      </c>
      <c r="S1823" s="99">
        <f>SUMIFS(S$1:S1817,$C$1:$C1817,$C1823,$F$1:$F1817,$F1823)</f>
        <v>0</v>
      </c>
      <c r="T1823" s="99">
        <f>SUMIFS(T$1:T1817,$C$1:$C1817,$C1823,$F$1:$F1817,$F1823)</f>
        <v>34800</v>
      </c>
      <c r="U1823" s="99">
        <f t="shared" si="2297"/>
        <v>1290</v>
      </c>
      <c r="V1823" s="255">
        <f t="shared" si="2298"/>
        <v>3.8495971351835356E-2</v>
      </c>
      <c r="W1823" s="102"/>
      <c r="X1823" s="102"/>
      <c r="Y1823" s="102">
        <f t="shared" si="2299"/>
        <v>34800</v>
      </c>
      <c r="Z1823" s="309">
        <f>Y1823*(1+VLOOKUP($F1823,'GL Category'!$A:$H,4,FALSE))</f>
        <v>36018</v>
      </c>
      <c r="AA1823" s="615"/>
      <c r="AB1823" s="622">
        <f t="shared" si="2300"/>
        <v>36018</v>
      </c>
      <c r="AC1823" s="633">
        <f>AB1823*(1+VLOOKUP($F1823,'GL Category'!$A:$H,5,FALSE))</f>
        <v>37278.629999999997</v>
      </c>
      <c r="AD1823" s="307"/>
      <c r="AE1823" s="622">
        <f t="shared" si="2301"/>
        <v>37278.629999999997</v>
      </c>
      <c r="AF1823" s="633">
        <f>AE1823*(1+VLOOKUP($F1823,'GL Category'!$A:$H,6,FALSE))</f>
        <v>38583.382049999993</v>
      </c>
      <c r="AG1823" s="307"/>
      <c r="AH1823" s="622">
        <f t="shared" si="2302"/>
        <v>38583.382049999993</v>
      </c>
      <c r="AI1823" s="633">
        <f>AH1823*(1+VLOOKUP($F1823,'GL Category'!$A:$H,7,FALSE))</f>
        <v>39933.800421749991</v>
      </c>
      <c r="AJ1823" s="307"/>
      <c r="AK1823" s="622">
        <f t="shared" si="2303"/>
        <v>39933.800421749991</v>
      </c>
      <c r="AL1823" s="633">
        <f>AK1823*(1+VLOOKUP($F1823,'GL Category'!$A:$H,8,FALSE))</f>
        <v>41331.48343651124</v>
      </c>
      <c r="AM1823" s="307"/>
      <c r="AN1823" s="622">
        <f t="shared" si="2304"/>
        <v>41331.48343651124</v>
      </c>
      <c r="AO1823" s="97"/>
      <c r="AP1823" s="97"/>
      <c r="AQ1823" s="97"/>
      <c r="AR1823" s="70"/>
      <c r="AS1823" s="70"/>
      <c r="AT1823" s="70"/>
      <c r="AU1823" s="70"/>
      <c r="AV1823" s="70"/>
      <c r="AW1823" s="70"/>
      <c r="AX1823" s="70"/>
      <c r="AY1823" s="70"/>
      <c r="AZ1823" s="70"/>
      <c r="BA1823" s="70"/>
      <c r="BB1823" s="70"/>
      <c r="BC1823" s="70"/>
      <c r="BD1823" s="70"/>
      <c r="BE1823" s="70"/>
      <c r="BF1823" s="70"/>
    </row>
    <row r="1824" spans="1:58" s="71" customFormat="1" ht="15" customHeight="1">
      <c r="A1824" s="555"/>
      <c r="B1824" s="217"/>
      <c r="C1824" s="217">
        <v>63</v>
      </c>
      <c r="D1824" s="101"/>
      <c r="E1824" s="217"/>
      <c r="F1824" s="294" t="s">
        <v>136</v>
      </c>
      <c r="G1824" s="295" t="str">
        <f>VLOOKUP(F1824,'GL Category'!A:C,3,FALSE)</f>
        <v>Personnel services</v>
      </c>
      <c r="H1824" s="98" t="str">
        <f>VLOOKUP(F1824,'GL Category'!A:C,2,FALSE)</f>
        <v>LONGEVITY PAY</v>
      </c>
      <c r="I1824" s="99">
        <f>SUMIFS(I$1:I1818,$C$1:$C1818,$C1824,$F$1:$F1818,$F1824)</f>
        <v>12980</v>
      </c>
      <c r="J1824" s="99">
        <f>SUMIFS(J$1:J1818,$C$1:$C1818,$C1824,$F$1:$F1818,$F1824)</f>
        <v>12560</v>
      </c>
      <c r="K1824" s="99">
        <f>SUMIFS(K$1:K1818,$C$1:$C1818,$C1824,$F$1:$F1818,$F1824)</f>
        <v>12210</v>
      </c>
      <c r="L1824" s="99">
        <f>SUMIFS(L$1:L1818,$C$1:$C1818,$C1824,$F$1:$F1818,$F1824)</f>
        <v>12495</v>
      </c>
      <c r="M1824" s="99">
        <f>SUMIFS(M$1:M1818,$C$1:$C1818,$C1824,$F$1:$F1818,$F1824)</f>
        <v>10974</v>
      </c>
      <c r="N1824" s="99">
        <f>SUMIFS(N$1:N1818,$C$1:$C1818,$C1824,$F$1:$F1818,$F1824)</f>
        <v>10720</v>
      </c>
      <c r="O1824" s="99">
        <f>SUMIFS(O$1:O1818,$C$1:$C1818,$C1824,$F$1:$F1818,$F1824)</f>
        <v>10720</v>
      </c>
      <c r="P1824" s="99">
        <f t="shared" si="2296"/>
        <v>-254</v>
      </c>
      <c r="Q1824" s="99">
        <f>SUMIFS(Q$1:Q1818,$C$1:$C1818,$C1824,$F$1:$F1818,$F1824)</f>
        <v>12335</v>
      </c>
      <c r="R1824" s="99">
        <f>SUMIFS(R$1:R1818,$C$1:$C1818,$C1824,$F$1:$F1818,$F1824)</f>
        <v>0</v>
      </c>
      <c r="S1824" s="99">
        <f>SUMIFS(S$1:S1818,$C$1:$C1818,$C1824,$F$1:$F1818,$F1824)</f>
        <v>0</v>
      </c>
      <c r="T1824" s="99">
        <f>SUMIFS(T$1:T1818,$C$1:$C1818,$C1824,$F$1:$F1818,$F1824)</f>
        <v>12335</v>
      </c>
      <c r="U1824" s="99">
        <f t="shared" si="2297"/>
        <v>1361</v>
      </c>
      <c r="V1824" s="255">
        <f t="shared" si="2298"/>
        <v>0.12402041188263158</v>
      </c>
      <c r="W1824" s="102"/>
      <c r="X1824" s="102"/>
      <c r="Y1824" s="102">
        <f t="shared" si="2299"/>
        <v>12335</v>
      </c>
      <c r="Z1824" s="309">
        <f>Y1824*(1+VLOOKUP($F1824,'GL Category'!$A:$H,4,FALSE))</f>
        <v>12766.724999999999</v>
      </c>
      <c r="AA1824" s="615"/>
      <c r="AB1824" s="622">
        <f t="shared" si="2300"/>
        <v>12766.724999999999</v>
      </c>
      <c r="AC1824" s="633">
        <f>AB1824*(1+VLOOKUP($F1824,'GL Category'!$A:$H,5,FALSE))</f>
        <v>13213.560374999997</v>
      </c>
      <c r="AD1824" s="307"/>
      <c r="AE1824" s="622">
        <f t="shared" si="2301"/>
        <v>13213.560374999997</v>
      </c>
      <c r="AF1824" s="633">
        <f>AE1824*(1+VLOOKUP($F1824,'GL Category'!$A:$H,6,FALSE))</f>
        <v>13676.034988124997</v>
      </c>
      <c r="AG1824" s="307"/>
      <c r="AH1824" s="622">
        <f t="shared" si="2302"/>
        <v>13676.034988124997</v>
      </c>
      <c r="AI1824" s="633">
        <f>AH1824*(1+VLOOKUP($F1824,'GL Category'!$A:$H,7,FALSE))</f>
        <v>14154.69621270937</v>
      </c>
      <c r="AJ1824" s="307"/>
      <c r="AK1824" s="622">
        <f t="shared" si="2303"/>
        <v>14154.69621270937</v>
      </c>
      <c r="AL1824" s="633">
        <f>AK1824*(1+VLOOKUP($F1824,'GL Category'!$A:$H,8,FALSE))</f>
        <v>14650.110580154196</v>
      </c>
      <c r="AM1824" s="307"/>
      <c r="AN1824" s="622">
        <f t="shared" si="2304"/>
        <v>14650.110580154196</v>
      </c>
      <c r="AO1824" s="97"/>
      <c r="AP1824" s="97"/>
      <c r="AQ1824" s="97"/>
      <c r="AR1824" s="70"/>
      <c r="AS1824" s="70"/>
      <c r="AT1824" s="70"/>
      <c r="AU1824" s="70"/>
      <c r="AV1824" s="70"/>
      <c r="AW1824" s="70"/>
      <c r="AX1824" s="70"/>
      <c r="AY1824" s="70"/>
      <c r="AZ1824" s="70"/>
      <c r="BA1824" s="70"/>
      <c r="BB1824" s="70"/>
      <c r="BC1824" s="70"/>
      <c r="BD1824" s="70"/>
      <c r="BE1824" s="70"/>
      <c r="BF1824" s="70"/>
    </row>
    <row r="1825" spans="1:58" s="71" customFormat="1" ht="15" customHeight="1">
      <c r="A1825" s="555"/>
      <c r="B1825" s="217"/>
      <c r="C1825" s="217">
        <v>63</v>
      </c>
      <c r="D1825" s="101"/>
      <c r="E1825" s="217"/>
      <c r="F1825" s="294" t="s">
        <v>249</v>
      </c>
      <c r="G1825" s="295" t="str">
        <f>VLOOKUP(F1825,'GL Category'!A:C,3,FALSE)</f>
        <v>Personnel services</v>
      </c>
      <c r="H1825" s="98" t="str">
        <f>VLOOKUP(F1825,'GL Category'!A:C,2,FALSE)</f>
        <v>TEMPORARY/SEASONAL WAGES</v>
      </c>
      <c r="I1825" s="99">
        <f>SUMIFS(I$1:I1819,$C$1:$C1819,$C1825,$F$1:$F1819,$F1825)</f>
        <v>0</v>
      </c>
      <c r="J1825" s="99">
        <f>SUMIFS(J$1:J1819,$C$1:$C1819,$C1825,$F$1:$F1819,$F1825)</f>
        <v>0</v>
      </c>
      <c r="K1825" s="99">
        <f>SUMIFS(K$1:K1819,$C$1:$C1819,$C1825,$F$1:$F1819,$F1825)</f>
        <v>0</v>
      </c>
      <c r="L1825" s="99">
        <f>SUMIFS(L$1:L1819,$C$1:$C1819,$C1825,$F$1:$F1819,$F1825)</f>
        <v>0</v>
      </c>
      <c r="M1825" s="99">
        <f>SUMIFS(M$1:M1819,$C$1:$C1819,$C1825,$F$1:$F1819,$F1825)</f>
        <v>0</v>
      </c>
      <c r="N1825" s="99">
        <f>SUMIFS(N$1:N1819,$C$1:$C1819,$C1825,$F$1:$F1819,$F1825)</f>
        <v>0</v>
      </c>
      <c r="O1825" s="99">
        <f>SUMIFS(O$1:O1819,$C$1:$C1819,$C1825,$F$1:$F1819,$F1825)</f>
        <v>0</v>
      </c>
      <c r="P1825" s="99">
        <f t="shared" si="2296"/>
        <v>0</v>
      </c>
      <c r="Q1825" s="99">
        <f>SUMIFS(Q$1:Q1819,$C$1:$C1819,$C1825,$F$1:$F1819,$F1825)</f>
        <v>0</v>
      </c>
      <c r="R1825" s="99">
        <f>SUMIFS(R$1:R1819,$C$1:$C1819,$C1825,$F$1:$F1819,$F1825)</f>
        <v>0</v>
      </c>
      <c r="S1825" s="99">
        <f>SUMIFS(S$1:S1819,$C$1:$C1819,$C1825,$F$1:$F1819,$F1825)</f>
        <v>0</v>
      </c>
      <c r="T1825" s="99">
        <f>SUMIFS(T$1:T1819,$C$1:$C1819,$C1825,$F$1:$F1819,$F1825)</f>
        <v>0</v>
      </c>
      <c r="U1825" s="99">
        <f t="shared" si="2297"/>
        <v>0</v>
      </c>
      <c r="V1825" s="255" t="str">
        <f t="shared" si="2298"/>
        <v>N/A</v>
      </c>
      <c r="W1825" s="102"/>
      <c r="X1825" s="102"/>
      <c r="Y1825" s="102">
        <f t="shared" si="2299"/>
        <v>0</v>
      </c>
      <c r="Z1825" s="309">
        <f>Y1825*(1+VLOOKUP($F1825,'GL Category'!$A:$H,4,FALSE))</f>
        <v>0</v>
      </c>
      <c r="AA1825" s="615"/>
      <c r="AB1825" s="622">
        <f t="shared" si="2300"/>
        <v>0</v>
      </c>
      <c r="AC1825" s="633">
        <f>AB1825*(1+VLOOKUP($F1825,'GL Category'!$A:$H,5,FALSE))</f>
        <v>0</v>
      </c>
      <c r="AD1825" s="307"/>
      <c r="AE1825" s="622">
        <f t="shared" si="2301"/>
        <v>0</v>
      </c>
      <c r="AF1825" s="633">
        <f>AE1825*(1+VLOOKUP($F1825,'GL Category'!$A:$H,6,FALSE))</f>
        <v>0</v>
      </c>
      <c r="AG1825" s="307"/>
      <c r="AH1825" s="622">
        <f t="shared" si="2302"/>
        <v>0</v>
      </c>
      <c r="AI1825" s="633">
        <f>AH1825*(1+VLOOKUP($F1825,'GL Category'!$A:$H,7,FALSE))</f>
        <v>0</v>
      </c>
      <c r="AJ1825" s="307"/>
      <c r="AK1825" s="622">
        <f t="shared" si="2303"/>
        <v>0</v>
      </c>
      <c r="AL1825" s="633">
        <f>AK1825*(1+VLOOKUP($F1825,'GL Category'!$A:$H,8,FALSE))</f>
        <v>0</v>
      </c>
      <c r="AM1825" s="307"/>
      <c r="AN1825" s="622">
        <f t="shared" si="2304"/>
        <v>0</v>
      </c>
      <c r="AO1825" s="97"/>
      <c r="AP1825" s="97"/>
      <c r="AQ1825" s="97"/>
      <c r="AR1825" s="70"/>
      <c r="AS1825" s="70"/>
      <c r="AT1825" s="70"/>
      <c r="AU1825" s="70"/>
      <c r="AV1825" s="70"/>
      <c r="AW1825" s="70"/>
      <c r="AX1825" s="70"/>
      <c r="AY1825" s="70"/>
      <c r="AZ1825" s="70"/>
      <c r="BA1825" s="70"/>
      <c r="BB1825" s="70"/>
      <c r="BC1825" s="70"/>
      <c r="BD1825" s="70"/>
      <c r="BE1825" s="70"/>
      <c r="BF1825" s="70"/>
    </row>
    <row r="1826" spans="1:58" s="71" customFormat="1" ht="15" customHeight="1">
      <c r="A1826" s="555"/>
      <c r="B1826" s="217"/>
      <c r="C1826" s="217">
        <v>63</v>
      </c>
      <c r="D1826" s="101"/>
      <c r="E1826" s="217"/>
      <c r="F1826" s="294" t="s">
        <v>139</v>
      </c>
      <c r="G1826" s="295" t="str">
        <f>VLOOKUP(F1826,'GL Category'!A:C,3,FALSE)</f>
        <v>Personnel services</v>
      </c>
      <c r="H1826" s="98" t="str">
        <f>VLOOKUP(F1826,'GL Category'!A:C,2,FALSE)</f>
        <v>AUTO ALLOWANCE</v>
      </c>
      <c r="I1826" s="99">
        <f>SUMIFS(I$1:I1820,$C$1:$C1820,$C1826,$F$1:$F1820,$F1826)</f>
        <v>1600</v>
      </c>
      <c r="J1826" s="99">
        <f>SUMIFS(J$1:J1820,$C$1:$C1820,$C1826,$F$1:$F1820,$F1826)</f>
        <v>0</v>
      </c>
      <c r="K1826" s="99">
        <f>SUMIFS(K$1:K1820,$C$1:$C1820,$C1826,$F$1:$F1820,$F1826)</f>
        <v>0</v>
      </c>
      <c r="L1826" s="99">
        <f>SUMIFS(L$1:L1820,$C$1:$C1820,$C1826,$F$1:$F1820,$F1826)</f>
        <v>0</v>
      </c>
      <c r="M1826" s="99">
        <f>SUMIFS(M$1:M1820,$C$1:$C1820,$C1826,$F$1:$F1820,$F1826)</f>
        <v>0</v>
      </c>
      <c r="N1826" s="99">
        <f>SUMIFS(N$1:N1820,$C$1:$C1820,$C1826,$F$1:$F1820,$F1826)</f>
        <v>0</v>
      </c>
      <c r="O1826" s="99">
        <f>SUMIFS(O$1:O1820,$C$1:$C1820,$C1826,$F$1:$F1820,$F1826)</f>
        <v>0</v>
      </c>
      <c r="P1826" s="99">
        <f t="shared" si="2296"/>
        <v>0</v>
      </c>
      <c r="Q1826" s="99">
        <f>SUMIFS(Q$1:Q1820,$C$1:$C1820,$C1826,$F$1:$F1820,$F1826)</f>
        <v>0</v>
      </c>
      <c r="R1826" s="99">
        <f>SUMIFS(R$1:R1820,$C$1:$C1820,$C1826,$F$1:$F1820,$F1826)</f>
        <v>0</v>
      </c>
      <c r="S1826" s="99">
        <f>SUMIFS(S$1:S1820,$C$1:$C1820,$C1826,$F$1:$F1820,$F1826)</f>
        <v>0</v>
      </c>
      <c r="T1826" s="99">
        <f>SUMIFS(T$1:T1820,$C$1:$C1820,$C1826,$F$1:$F1820,$F1826)</f>
        <v>0</v>
      </c>
      <c r="U1826" s="99">
        <f t="shared" si="2297"/>
        <v>0</v>
      </c>
      <c r="V1826" s="255" t="str">
        <f t="shared" si="2298"/>
        <v>N/A</v>
      </c>
      <c r="W1826" s="102"/>
      <c r="X1826" s="102"/>
      <c r="Y1826" s="102">
        <f t="shared" si="2299"/>
        <v>0</v>
      </c>
      <c r="Z1826" s="309">
        <f>Y1826*(1+VLOOKUP($F1826,'GL Category'!$A:$H,4,FALSE))</f>
        <v>0</v>
      </c>
      <c r="AA1826" s="615"/>
      <c r="AB1826" s="622">
        <f t="shared" si="2300"/>
        <v>0</v>
      </c>
      <c r="AC1826" s="633">
        <f>AB1826*(1+VLOOKUP($F1826,'GL Category'!$A:$H,5,FALSE))</f>
        <v>0</v>
      </c>
      <c r="AD1826" s="307"/>
      <c r="AE1826" s="622">
        <f t="shared" si="2301"/>
        <v>0</v>
      </c>
      <c r="AF1826" s="633">
        <f>AE1826*(1+VLOOKUP($F1826,'GL Category'!$A:$H,6,FALSE))</f>
        <v>0</v>
      </c>
      <c r="AG1826" s="307"/>
      <c r="AH1826" s="622">
        <f t="shared" si="2302"/>
        <v>0</v>
      </c>
      <c r="AI1826" s="633">
        <f>AH1826*(1+VLOOKUP($F1826,'GL Category'!$A:$H,7,FALSE))</f>
        <v>0</v>
      </c>
      <c r="AJ1826" s="307"/>
      <c r="AK1826" s="622">
        <f t="shared" si="2303"/>
        <v>0</v>
      </c>
      <c r="AL1826" s="633">
        <f>AK1826*(1+VLOOKUP($F1826,'GL Category'!$A:$H,8,FALSE))</f>
        <v>0</v>
      </c>
      <c r="AM1826" s="307"/>
      <c r="AN1826" s="622">
        <f t="shared" si="2304"/>
        <v>0</v>
      </c>
      <c r="AO1826" s="97"/>
      <c r="AP1826" s="97"/>
      <c r="AQ1826" s="97"/>
      <c r="AR1826" s="70"/>
      <c r="AS1826" s="70"/>
      <c r="AT1826" s="70"/>
      <c r="AU1826" s="70"/>
      <c r="AV1826" s="70"/>
      <c r="AW1826" s="70"/>
      <c r="AX1826" s="70"/>
      <c r="AY1826" s="70"/>
      <c r="AZ1826" s="70"/>
      <c r="BA1826" s="70"/>
      <c r="BB1826" s="70"/>
      <c r="BC1826" s="70"/>
      <c r="BD1826" s="70"/>
      <c r="BE1826" s="70"/>
      <c r="BF1826" s="70"/>
    </row>
    <row r="1827" spans="1:58" s="71" customFormat="1" ht="15" customHeight="1">
      <c r="A1827" s="555"/>
      <c r="B1827" s="217"/>
      <c r="C1827" s="217">
        <v>63</v>
      </c>
      <c r="D1827" s="101"/>
      <c r="E1827" s="217"/>
      <c r="F1827" s="294" t="s">
        <v>140</v>
      </c>
      <c r="G1827" s="295" t="str">
        <f>VLOOKUP(F1827,'GL Category'!A:C,3,FALSE)</f>
        <v>Personnel services</v>
      </c>
      <c r="H1827" s="98" t="str">
        <f>VLOOKUP(F1827,'GL Category'!A:C,2,FALSE)</f>
        <v>SOCIAL SECURITY</v>
      </c>
      <c r="I1827" s="99">
        <f>SUMIFS(I$1:I1821,$C$1:$C1821,$C1827,$F$1:$F1821,$F1827)</f>
        <v>79621.84</v>
      </c>
      <c r="J1827" s="99">
        <f>SUMIFS(J$1:J1821,$C$1:$C1821,$C1827,$F$1:$F1821,$F1827)</f>
        <v>77144.92</v>
      </c>
      <c r="K1827" s="99">
        <f>SUMIFS(K$1:K1821,$C$1:$C1821,$C1827,$F$1:$F1821,$F1827)</f>
        <v>84182.04</v>
      </c>
      <c r="L1827" s="99">
        <f>SUMIFS(L$1:L1821,$C$1:$C1821,$C1827,$F$1:$F1821,$F1827)</f>
        <v>85335.03</v>
      </c>
      <c r="M1827" s="99">
        <f>SUMIFS(M$1:M1821,$C$1:$C1821,$C1827,$F$1:$F1821,$F1827)</f>
        <v>91241</v>
      </c>
      <c r="N1827" s="99">
        <f>SUMIFS(N$1:N1821,$C$1:$C1821,$C1827,$F$1:$F1821,$F1827)</f>
        <v>68000.100000000006</v>
      </c>
      <c r="O1827" s="99">
        <f>SUMIFS(O$1:O1821,$C$1:$C1821,$C1827,$F$1:$F1821,$F1827)</f>
        <v>89384</v>
      </c>
      <c r="P1827" s="99">
        <f t="shared" si="2296"/>
        <v>-1857</v>
      </c>
      <c r="Q1827" s="99">
        <f>SUMIFS(Q$1:Q1821,$C$1:$C1821,$C1827,$F$1:$F1821,$F1827)</f>
        <v>94860</v>
      </c>
      <c r="R1827" s="99">
        <f>SUMIFS(R$1:R1821,$C$1:$C1821,$C1827,$F$1:$F1821,$F1827)</f>
        <v>0</v>
      </c>
      <c r="S1827" s="99">
        <f>SUMIFS(S$1:S1821,$C$1:$C1821,$C1827,$F$1:$F1821,$F1827)</f>
        <v>0</v>
      </c>
      <c r="T1827" s="99">
        <f>SUMIFS(T$1:T1821,$C$1:$C1821,$C1827,$F$1:$F1821,$F1827)</f>
        <v>94860</v>
      </c>
      <c r="U1827" s="99">
        <f t="shared" si="2297"/>
        <v>3619</v>
      </c>
      <c r="V1827" s="255">
        <f t="shared" si="2298"/>
        <v>3.9664186056707074E-2</v>
      </c>
      <c r="W1827" s="102"/>
      <c r="X1827" s="102"/>
      <c r="Y1827" s="102">
        <f t="shared" si="2299"/>
        <v>94860</v>
      </c>
      <c r="Z1827" s="309">
        <f>Y1827*(1+VLOOKUP($F1827,'GL Category'!$A:$H,4,FALSE))</f>
        <v>98180.099999999991</v>
      </c>
      <c r="AA1827" s="615"/>
      <c r="AB1827" s="622">
        <f t="shared" si="2300"/>
        <v>98180.099999999991</v>
      </c>
      <c r="AC1827" s="633">
        <f>AB1827*(1+VLOOKUP($F1827,'GL Category'!$A:$H,5,FALSE))</f>
        <v>101616.40349999999</v>
      </c>
      <c r="AD1827" s="307"/>
      <c r="AE1827" s="622">
        <f t="shared" si="2301"/>
        <v>101616.40349999999</v>
      </c>
      <c r="AF1827" s="633">
        <f>AE1827*(1+VLOOKUP($F1827,'GL Category'!$A:$H,6,FALSE))</f>
        <v>105172.97762249998</v>
      </c>
      <c r="AG1827" s="307"/>
      <c r="AH1827" s="622">
        <f t="shared" si="2302"/>
        <v>105172.97762249998</v>
      </c>
      <c r="AI1827" s="633">
        <f>AH1827*(1+VLOOKUP($F1827,'GL Category'!$A:$H,7,FALSE))</f>
        <v>108854.03183928748</v>
      </c>
      <c r="AJ1827" s="307"/>
      <c r="AK1827" s="622">
        <f t="shared" si="2303"/>
        <v>108854.03183928748</v>
      </c>
      <c r="AL1827" s="633">
        <f>AK1827*(1+VLOOKUP($F1827,'GL Category'!$A:$H,8,FALSE))</f>
        <v>112663.92295366254</v>
      </c>
      <c r="AM1827" s="307"/>
      <c r="AN1827" s="622">
        <f t="shared" si="2304"/>
        <v>112663.92295366254</v>
      </c>
      <c r="AO1827" s="97"/>
      <c r="AP1827" s="97"/>
      <c r="AQ1827" s="97"/>
      <c r="AR1827" s="70"/>
      <c r="AS1827" s="70"/>
      <c r="AT1827" s="70"/>
      <c r="AU1827" s="70"/>
      <c r="AV1827" s="70"/>
      <c r="AW1827" s="70"/>
      <c r="AX1827" s="70"/>
      <c r="AY1827" s="70"/>
      <c r="AZ1827" s="70"/>
      <c r="BA1827" s="70"/>
      <c r="BB1827" s="70"/>
      <c r="BC1827" s="70"/>
      <c r="BD1827" s="70"/>
      <c r="BE1827" s="70"/>
      <c r="BF1827" s="70"/>
    </row>
    <row r="1828" spans="1:58" s="71" customFormat="1" ht="15" customHeight="1">
      <c r="A1828" s="555"/>
      <c r="B1828" s="217"/>
      <c r="C1828" s="217">
        <v>63</v>
      </c>
      <c r="D1828" s="101"/>
      <c r="E1828" s="217"/>
      <c r="F1828" s="294" t="s">
        <v>141</v>
      </c>
      <c r="G1828" s="295" t="str">
        <f>VLOOKUP(F1828,'GL Category'!A:C,3,FALSE)</f>
        <v>Personnel services</v>
      </c>
      <c r="H1828" s="98" t="str">
        <f>VLOOKUP(F1828,'GL Category'!A:C,2,FALSE)</f>
        <v>HEALTH/LIFE INSURANCE</v>
      </c>
      <c r="I1828" s="99">
        <f>SUMIFS(I$1:I1822,$C$1:$C1822,$C1828,$F$1:$F1822,$F1828)</f>
        <v>224039.46</v>
      </c>
      <c r="J1828" s="99">
        <f>SUMIFS(J$1:J1822,$C$1:$C1822,$C1828,$F$1:$F1822,$F1828)</f>
        <v>213970.05000000005</v>
      </c>
      <c r="K1828" s="99">
        <f>SUMIFS(K$1:K1822,$C$1:$C1822,$C1828,$F$1:$F1822,$F1828)</f>
        <v>224885.71999999997</v>
      </c>
      <c r="L1828" s="99">
        <f>SUMIFS(L$1:L1822,$C$1:$C1822,$C1828,$F$1:$F1822,$F1828)</f>
        <v>222698.35</v>
      </c>
      <c r="M1828" s="99">
        <f>SUMIFS(M$1:M1822,$C$1:$C1822,$C1828,$F$1:$F1822,$F1828)</f>
        <v>234096</v>
      </c>
      <c r="N1828" s="99">
        <f>SUMIFS(N$1:N1822,$C$1:$C1822,$C1828,$F$1:$F1822,$F1828)</f>
        <v>175624.57</v>
      </c>
      <c r="O1828" s="99">
        <f>SUMIFS(O$1:O1822,$C$1:$C1822,$C1828,$F$1:$F1822,$F1828)</f>
        <v>242113</v>
      </c>
      <c r="P1828" s="99">
        <f t="shared" si="2296"/>
        <v>8017</v>
      </c>
      <c r="Q1828" s="99">
        <f>SUMIFS(Q$1:Q1822,$C$1:$C1822,$C1828,$F$1:$F1822,$F1828)</f>
        <v>239822</v>
      </c>
      <c r="R1828" s="99">
        <f>SUMIFS(R$1:R1822,$C$1:$C1822,$C1828,$F$1:$F1822,$F1828)</f>
        <v>0</v>
      </c>
      <c r="S1828" s="99">
        <f>SUMIFS(S$1:S1822,$C$1:$C1822,$C1828,$F$1:$F1822,$F1828)</f>
        <v>0</v>
      </c>
      <c r="T1828" s="99">
        <f>SUMIFS(T$1:T1822,$C$1:$C1822,$C1828,$F$1:$F1822,$F1828)</f>
        <v>239822</v>
      </c>
      <c r="U1828" s="99">
        <f t="shared" si="2297"/>
        <v>5726</v>
      </c>
      <c r="V1828" s="255">
        <f t="shared" si="2298"/>
        <v>2.4460050577540748E-2</v>
      </c>
      <c r="W1828" s="102"/>
      <c r="X1828" s="102"/>
      <c r="Y1828" s="102">
        <f t="shared" si="2299"/>
        <v>239822</v>
      </c>
      <c r="Z1828" s="309">
        <f>Y1828*(1+VLOOKUP($F1828,'GL Category'!$A:$H,4,FALSE))</f>
        <v>248215.77</v>
      </c>
      <c r="AA1828" s="615"/>
      <c r="AB1828" s="622">
        <f t="shared" si="2300"/>
        <v>248215.77</v>
      </c>
      <c r="AC1828" s="633">
        <f>AB1828*(1+VLOOKUP($F1828,'GL Category'!$A:$H,5,FALSE))</f>
        <v>256903.32194999998</v>
      </c>
      <c r="AD1828" s="307"/>
      <c r="AE1828" s="622">
        <f t="shared" si="2301"/>
        <v>256903.32194999998</v>
      </c>
      <c r="AF1828" s="633">
        <f>AE1828*(1+VLOOKUP($F1828,'GL Category'!$A:$H,6,FALSE))</f>
        <v>265894.93821824994</v>
      </c>
      <c r="AG1828" s="307"/>
      <c r="AH1828" s="622">
        <f t="shared" si="2302"/>
        <v>265894.93821824994</v>
      </c>
      <c r="AI1828" s="633">
        <f>AH1828*(1+VLOOKUP($F1828,'GL Category'!$A:$H,7,FALSE))</f>
        <v>275201.26105588867</v>
      </c>
      <c r="AJ1828" s="307"/>
      <c r="AK1828" s="622">
        <f t="shared" si="2303"/>
        <v>275201.26105588867</v>
      </c>
      <c r="AL1828" s="633">
        <f>AK1828*(1+VLOOKUP($F1828,'GL Category'!$A:$H,8,FALSE))</f>
        <v>284833.30519284477</v>
      </c>
      <c r="AM1828" s="307"/>
      <c r="AN1828" s="622">
        <f t="shared" si="2304"/>
        <v>284833.30519284477</v>
      </c>
      <c r="AO1828" s="97"/>
      <c r="AP1828" s="97"/>
      <c r="AQ1828" s="97"/>
      <c r="AR1828" s="70"/>
      <c r="AS1828" s="70"/>
      <c r="AT1828" s="70"/>
      <c r="AU1828" s="70"/>
      <c r="AV1828" s="70"/>
      <c r="AW1828" s="70"/>
      <c r="AX1828" s="70"/>
      <c r="AY1828" s="70"/>
      <c r="AZ1828" s="70"/>
      <c r="BA1828" s="70"/>
      <c r="BB1828" s="70"/>
      <c r="BC1828" s="70"/>
      <c r="BD1828" s="70"/>
      <c r="BE1828" s="70"/>
      <c r="BF1828" s="70"/>
    </row>
    <row r="1829" spans="1:58" s="71" customFormat="1" ht="15" customHeight="1">
      <c r="A1829" s="555"/>
      <c r="B1829" s="217"/>
      <c r="C1829" s="217">
        <v>63</v>
      </c>
      <c r="D1829" s="101"/>
      <c r="E1829" s="217"/>
      <c r="F1829" s="294" t="s">
        <v>143</v>
      </c>
      <c r="G1829" s="295" t="str">
        <f>VLOOKUP(F1829,'GL Category'!A:C,3,FALSE)</f>
        <v>Personnel services</v>
      </c>
      <c r="H1829" s="98" t="str">
        <f>VLOOKUP(F1829,'GL Category'!A:C,2,FALSE)</f>
        <v>WORKER COMPENSATION</v>
      </c>
      <c r="I1829" s="99">
        <f>SUMIFS(I$1:I1823,$C$1:$C1823,$C1829,$F$1:$F1823,$F1829)</f>
        <v>4905.29</v>
      </c>
      <c r="J1829" s="99">
        <f>SUMIFS(J$1:J1823,$C$1:$C1823,$C1829,$F$1:$F1823,$F1829)</f>
        <v>3891.2700000000004</v>
      </c>
      <c r="K1829" s="99">
        <f>SUMIFS(K$1:K1823,$C$1:$C1823,$C1829,$F$1:$F1823,$F1829)</f>
        <v>3784.59</v>
      </c>
      <c r="L1829" s="99">
        <f>SUMIFS(L$1:L1823,$C$1:$C1823,$C1829,$F$1:$F1823,$F1829)</f>
        <v>7783.12</v>
      </c>
      <c r="M1829" s="99">
        <f>SUMIFS(M$1:M1823,$C$1:$C1823,$C1829,$F$1:$F1823,$F1829)</f>
        <v>9167</v>
      </c>
      <c r="N1829" s="99">
        <f>SUMIFS(N$1:N1823,$C$1:$C1823,$C1829,$F$1:$F1823,$F1829)</f>
        <v>9159.51</v>
      </c>
      <c r="O1829" s="99">
        <f>SUMIFS(O$1:O1823,$C$1:$C1823,$C1829,$F$1:$F1823,$F1829)</f>
        <v>9161</v>
      </c>
      <c r="P1829" s="99">
        <f t="shared" si="2296"/>
        <v>-6</v>
      </c>
      <c r="Q1829" s="99">
        <f>SUMIFS(Q$1:Q1823,$C$1:$C1823,$C1829,$F$1:$F1823,$F1829)</f>
        <v>8736</v>
      </c>
      <c r="R1829" s="99">
        <f>SUMIFS(R$1:R1823,$C$1:$C1823,$C1829,$F$1:$F1823,$F1829)</f>
        <v>0</v>
      </c>
      <c r="S1829" s="99">
        <f>SUMIFS(S$1:S1823,$C$1:$C1823,$C1829,$F$1:$F1823,$F1829)</f>
        <v>0</v>
      </c>
      <c r="T1829" s="99">
        <f>SUMIFS(T$1:T1823,$C$1:$C1823,$C1829,$F$1:$F1823,$F1829)</f>
        <v>8736</v>
      </c>
      <c r="U1829" s="99">
        <f t="shared" si="2297"/>
        <v>-431</v>
      </c>
      <c r="V1829" s="255">
        <f t="shared" si="2298"/>
        <v>-4.7016472128286191E-2</v>
      </c>
      <c r="W1829" s="102"/>
      <c r="X1829" s="102"/>
      <c r="Y1829" s="102">
        <f t="shared" si="2299"/>
        <v>8736</v>
      </c>
      <c r="Z1829" s="309">
        <f>Y1829*(1+VLOOKUP($F1829,'GL Category'!$A:$H,4,FALSE))</f>
        <v>9041.7599999999984</v>
      </c>
      <c r="AA1829" s="615"/>
      <c r="AB1829" s="622">
        <f t="shared" si="2300"/>
        <v>9041.7599999999984</v>
      </c>
      <c r="AC1829" s="633">
        <f>AB1829*(1+VLOOKUP($F1829,'GL Category'!$A:$H,5,FALSE))</f>
        <v>9358.2215999999971</v>
      </c>
      <c r="AD1829" s="307"/>
      <c r="AE1829" s="622">
        <f t="shared" si="2301"/>
        <v>9358.2215999999971</v>
      </c>
      <c r="AF1829" s="633">
        <f>AE1829*(1+VLOOKUP($F1829,'GL Category'!$A:$H,6,FALSE))</f>
        <v>9685.7593559999968</v>
      </c>
      <c r="AG1829" s="307"/>
      <c r="AH1829" s="622">
        <f t="shared" si="2302"/>
        <v>9685.7593559999968</v>
      </c>
      <c r="AI1829" s="633">
        <f>AH1829*(1+VLOOKUP($F1829,'GL Category'!$A:$H,7,FALSE))</f>
        <v>10024.760933459997</v>
      </c>
      <c r="AJ1829" s="307"/>
      <c r="AK1829" s="622">
        <f t="shared" si="2303"/>
        <v>10024.760933459997</v>
      </c>
      <c r="AL1829" s="633">
        <f>AK1829*(1+VLOOKUP($F1829,'GL Category'!$A:$H,8,FALSE))</f>
        <v>10375.627566131096</v>
      </c>
      <c r="AM1829" s="307"/>
      <c r="AN1829" s="622">
        <f t="shared" si="2304"/>
        <v>10375.627566131096</v>
      </c>
      <c r="AO1829" s="97"/>
      <c r="AP1829" s="97"/>
      <c r="AQ1829" s="97"/>
      <c r="AR1829" s="70"/>
      <c r="AS1829" s="70"/>
      <c r="AT1829" s="70"/>
      <c r="AU1829" s="70"/>
      <c r="AV1829" s="70"/>
      <c r="AW1829" s="70"/>
      <c r="AX1829" s="70"/>
      <c r="AY1829" s="70"/>
      <c r="AZ1829" s="70"/>
      <c r="BA1829" s="70"/>
      <c r="BB1829" s="70"/>
      <c r="BC1829" s="70"/>
      <c r="BD1829" s="70"/>
      <c r="BE1829" s="70"/>
      <c r="BF1829" s="70"/>
    </row>
    <row r="1830" spans="1:58" s="71" customFormat="1" ht="15" customHeight="1">
      <c r="A1830" s="555"/>
      <c r="B1830" s="217"/>
      <c r="C1830" s="217">
        <v>63</v>
      </c>
      <c r="D1830" s="101"/>
      <c r="E1830" s="217"/>
      <c r="F1830" s="294" t="s">
        <v>147</v>
      </c>
      <c r="G1830" s="295" t="str">
        <f>VLOOKUP(F1830,'GL Category'!A:C,3,FALSE)</f>
        <v>Personnel services</v>
      </c>
      <c r="H1830" s="98" t="str">
        <f>VLOOKUP(F1830,'GL Category'!A:C,2,FALSE)</f>
        <v>RETIREMENT</v>
      </c>
      <c r="I1830" s="99">
        <f>SUMIFS(I$1:I1824,$C$1:$C1824,$C1830,$F$1:$F1824,$F1830)</f>
        <v>171116.38</v>
      </c>
      <c r="J1830" s="99">
        <f>SUMIFS(J$1:J1824,$C$1:$C1824,$C1830,$F$1:$F1824,$F1830)</f>
        <v>168177.93000000002</v>
      </c>
      <c r="K1830" s="99">
        <f>SUMIFS(K$1:K1824,$C$1:$C1824,$C1830,$F$1:$F1824,$F1830)</f>
        <v>183193.24</v>
      </c>
      <c r="L1830" s="99">
        <f>SUMIFS(L$1:L1824,$C$1:$C1824,$C1830,$F$1:$F1824,$F1830)</f>
        <v>180992.64000000001</v>
      </c>
      <c r="M1830" s="99">
        <f>SUMIFS(M$1:M1824,$C$1:$C1824,$C1830,$F$1:$F1824,$F1830)</f>
        <v>193050</v>
      </c>
      <c r="N1830" s="99">
        <f>SUMIFS(N$1:N1824,$C$1:$C1824,$C1830,$F$1:$F1824,$F1830)</f>
        <v>147749.47999999998</v>
      </c>
      <c r="O1830" s="99">
        <f>SUMIFS(O$1:O1824,$C$1:$C1824,$C1830,$F$1:$F1824,$F1830)</f>
        <v>193084</v>
      </c>
      <c r="P1830" s="99">
        <f t="shared" si="2296"/>
        <v>34</v>
      </c>
      <c r="Q1830" s="99">
        <f>SUMIFS(Q$1:Q1824,$C$1:$C1824,$C1830,$F$1:$F1824,$F1830)</f>
        <v>206297</v>
      </c>
      <c r="R1830" s="99">
        <f>SUMIFS(R$1:R1824,$C$1:$C1824,$C1830,$F$1:$F1824,$F1830)</f>
        <v>0</v>
      </c>
      <c r="S1830" s="99">
        <f>SUMIFS(S$1:S1824,$C$1:$C1824,$C1830,$F$1:$F1824,$F1830)</f>
        <v>0</v>
      </c>
      <c r="T1830" s="99">
        <f>SUMIFS(T$1:T1824,$C$1:$C1824,$C1830,$F$1:$F1824,$F1830)</f>
        <v>206297</v>
      </c>
      <c r="U1830" s="99">
        <f t="shared" si="2297"/>
        <v>13247</v>
      </c>
      <c r="V1830" s="255">
        <f t="shared" si="2298"/>
        <v>6.861952861952858E-2</v>
      </c>
      <c r="W1830" s="102"/>
      <c r="X1830" s="102"/>
      <c r="Y1830" s="102">
        <f t="shared" si="2299"/>
        <v>206297</v>
      </c>
      <c r="Z1830" s="309">
        <f>Y1830*(1+VLOOKUP($F1830,'GL Category'!$A:$H,4,FALSE))</f>
        <v>213517.39499999999</v>
      </c>
      <c r="AA1830" s="615"/>
      <c r="AB1830" s="622">
        <f t="shared" si="2300"/>
        <v>213517.39499999999</v>
      </c>
      <c r="AC1830" s="633">
        <f>AB1830*(1+VLOOKUP($F1830,'GL Category'!$A:$H,5,FALSE))</f>
        <v>220990.50382499996</v>
      </c>
      <c r="AD1830" s="307"/>
      <c r="AE1830" s="622">
        <f t="shared" si="2301"/>
        <v>220990.50382499996</v>
      </c>
      <c r="AF1830" s="633">
        <f>AE1830*(1+VLOOKUP($F1830,'GL Category'!$A:$H,6,FALSE))</f>
        <v>228725.17145887495</v>
      </c>
      <c r="AG1830" s="307"/>
      <c r="AH1830" s="622">
        <f t="shared" si="2302"/>
        <v>228725.17145887495</v>
      </c>
      <c r="AI1830" s="633">
        <f>AH1830*(1+VLOOKUP($F1830,'GL Category'!$A:$H,7,FALSE))</f>
        <v>236730.55245993554</v>
      </c>
      <c r="AJ1830" s="307"/>
      <c r="AK1830" s="622">
        <f t="shared" si="2303"/>
        <v>236730.55245993554</v>
      </c>
      <c r="AL1830" s="633">
        <f>AK1830*(1+VLOOKUP($F1830,'GL Category'!$A:$H,8,FALSE))</f>
        <v>245016.12179603326</v>
      </c>
      <c r="AM1830" s="307"/>
      <c r="AN1830" s="622">
        <f t="shared" si="2304"/>
        <v>245016.12179603326</v>
      </c>
      <c r="AO1830" s="97"/>
      <c r="AP1830" s="97"/>
      <c r="AQ1830" s="97"/>
      <c r="AR1830" s="70"/>
      <c r="AS1830" s="70"/>
      <c r="AT1830" s="70"/>
      <c r="AU1830" s="70"/>
      <c r="AV1830" s="70"/>
      <c r="AW1830" s="70"/>
      <c r="AX1830" s="70"/>
      <c r="AY1830" s="70"/>
      <c r="AZ1830" s="70"/>
      <c r="BA1830" s="70"/>
      <c r="BB1830" s="70"/>
      <c r="BC1830" s="70"/>
      <c r="BD1830" s="70"/>
      <c r="BE1830" s="70"/>
      <c r="BF1830" s="70"/>
    </row>
    <row r="1831" spans="1:58" s="71" customFormat="1" ht="15" customHeight="1">
      <c r="A1831" s="555"/>
      <c r="B1831" s="217"/>
      <c r="C1831" s="217"/>
      <c r="D1831" s="101"/>
      <c r="E1831" s="217"/>
      <c r="F1831" s="294"/>
      <c r="G1831" s="295"/>
      <c r="H1831" s="107" t="str">
        <f>UPPER(G1830)&amp;" TOTAL"</f>
        <v>PERSONNEL SERVICES TOTAL</v>
      </c>
      <c r="I1831" s="108">
        <f t="shared" ref="I1831" si="2305">SUBTOTAL(9,I1820:I1830)</f>
        <v>1555706.8400000003</v>
      </c>
      <c r="J1831" s="108">
        <f t="shared" ref="J1831:P1831" si="2306">SUBTOTAL(9,J1820:J1830)</f>
        <v>1505908.9600000002</v>
      </c>
      <c r="K1831" s="108">
        <f t="shared" ref="K1831" si="2307">SUBTOTAL(9,K1820:K1830)</f>
        <v>1627362.88</v>
      </c>
      <c r="L1831" s="108">
        <f t="shared" ref="L1831" si="2308">SUBTOTAL(9,L1820:L1830)</f>
        <v>1677581.5000000005</v>
      </c>
      <c r="M1831" s="108">
        <f t="shared" si="2306"/>
        <v>1721091</v>
      </c>
      <c r="N1831" s="109">
        <f t="shared" ref="N1831" si="2309">SUBTOTAL(9,N1820:N1830)</f>
        <v>1306484.1000000001</v>
      </c>
      <c r="O1831" s="109">
        <f t="shared" si="2306"/>
        <v>1725853</v>
      </c>
      <c r="P1831" s="109">
        <f t="shared" si="2306"/>
        <v>4762</v>
      </c>
      <c r="Q1831" s="109">
        <f t="shared" ref="Q1831:T1831" si="2310">SUBTOTAL(9,Q1820:Q1830)</f>
        <v>1795187</v>
      </c>
      <c r="R1831" s="109">
        <f t="shared" si="2310"/>
        <v>0</v>
      </c>
      <c r="S1831" s="109">
        <f t="shared" si="2310"/>
        <v>0</v>
      </c>
      <c r="T1831" s="109">
        <f t="shared" si="2310"/>
        <v>1795187</v>
      </c>
      <c r="U1831" s="99">
        <f t="shared" si="2297"/>
        <v>74096</v>
      </c>
      <c r="V1831" s="255">
        <f t="shared" si="2298"/>
        <v>4.3051761934726374E-2</v>
      </c>
      <c r="W1831" s="102"/>
      <c r="X1831" s="102"/>
      <c r="Y1831" s="102"/>
      <c r="Z1831" s="200"/>
      <c r="AA1831" s="615"/>
      <c r="AB1831" s="631"/>
      <c r="AC1831" s="631"/>
      <c r="AD1831" s="631"/>
      <c r="AE1831" s="631"/>
      <c r="AF1831" s="631"/>
      <c r="AG1831" s="631"/>
      <c r="AH1831" s="631"/>
      <c r="AI1831" s="631"/>
      <c r="AJ1831" s="631"/>
      <c r="AK1831" s="631"/>
      <c r="AL1831" s="631"/>
      <c r="AM1831" s="631"/>
      <c r="AN1831" s="631"/>
      <c r="AO1831" s="97"/>
      <c r="AP1831" s="97"/>
      <c r="AQ1831" s="97"/>
      <c r="AR1831" s="70"/>
      <c r="AS1831" s="70"/>
      <c r="AT1831" s="70"/>
      <c r="AU1831" s="70"/>
      <c r="AV1831" s="70"/>
      <c r="AW1831" s="70"/>
      <c r="AX1831" s="70"/>
      <c r="AY1831" s="70"/>
      <c r="AZ1831" s="70"/>
      <c r="BA1831" s="70"/>
      <c r="BB1831" s="70"/>
      <c r="BC1831" s="70"/>
      <c r="BD1831" s="70"/>
      <c r="BE1831" s="70"/>
      <c r="BF1831" s="70"/>
    </row>
    <row r="1832" spans="1:58" s="71" customFormat="1" ht="15" customHeight="1">
      <c r="A1832" s="555"/>
      <c r="B1832" s="217"/>
      <c r="C1832" s="217"/>
      <c r="D1832" s="101"/>
      <c r="E1832" s="217"/>
      <c r="F1832" s="294"/>
      <c r="G1832" s="295"/>
      <c r="H1832" s="98"/>
      <c r="I1832" s="106"/>
      <c r="J1832" s="106"/>
      <c r="K1832" s="106"/>
      <c r="L1832" s="106"/>
      <c r="M1832" s="106"/>
      <c r="N1832" s="112"/>
      <c r="O1832" s="112"/>
      <c r="P1832" s="112"/>
      <c r="Q1832" s="113"/>
      <c r="R1832" s="113"/>
      <c r="S1832" s="113"/>
      <c r="T1832" s="113"/>
      <c r="U1832" s="99"/>
      <c r="V1832" s="255"/>
      <c r="W1832" s="102"/>
      <c r="X1832" s="102"/>
      <c r="Y1832" s="102"/>
      <c r="Z1832" s="200"/>
      <c r="AA1832" s="615"/>
      <c r="AB1832" s="631"/>
      <c r="AC1832" s="631"/>
      <c r="AD1832" s="631"/>
      <c r="AE1832" s="631"/>
      <c r="AF1832" s="631"/>
      <c r="AG1832" s="631"/>
      <c r="AH1832" s="631"/>
      <c r="AI1832" s="631"/>
      <c r="AJ1832" s="631"/>
      <c r="AK1832" s="631"/>
      <c r="AL1832" s="631"/>
      <c r="AM1832" s="631"/>
      <c r="AN1832" s="631"/>
      <c r="AO1832" s="97"/>
      <c r="AP1832" s="97"/>
      <c r="AQ1832" s="97"/>
      <c r="AR1832" s="70"/>
      <c r="AS1832" s="70"/>
      <c r="AT1832" s="70"/>
      <c r="AU1832" s="70"/>
      <c r="AV1832" s="70"/>
      <c r="AW1832" s="70"/>
      <c r="AX1832" s="70"/>
      <c r="AY1832" s="70"/>
      <c r="AZ1832" s="70"/>
      <c r="BA1832" s="70"/>
      <c r="BB1832" s="70"/>
      <c r="BC1832" s="70"/>
      <c r="BD1832" s="70"/>
      <c r="BE1832" s="70"/>
      <c r="BF1832" s="70"/>
    </row>
    <row r="1833" spans="1:58" s="71" customFormat="1" ht="15" customHeight="1">
      <c r="A1833" s="555"/>
      <c r="B1833" s="217"/>
      <c r="C1833" s="217">
        <v>63</v>
      </c>
      <c r="D1833" s="101"/>
      <c r="E1833" s="217"/>
      <c r="F1833" s="294" t="s">
        <v>148</v>
      </c>
      <c r="G1833" s="295" t="str">
        <f>VLOOKUP(F1833,'GL Category'!A:C,3,FALSE)</f>
        <v>Operations &amp; maintenance</v>
      </c>
      <c r="H1833" s="98" t="str">
        <f>VLOOKUP(F1833,'GL Category'!A:C,2,FALSE)</f>
        <v>OFFICE SUPPLIES</v>
      </c>
      <c r="I1833" s="99">
        <f>SUMIFS(I$1:I1827,$C$1:$C1827,$C1833,$F$1:$F1827,$F1833)</f>
        <v>3034.7299999999996</v>
      </c>
      <c r="J1833" s="99">
        <f>SUMIFS(J$1:J1827,$C$1:$C1827,$C1833,$F$1:$F1827,$F1833)</f>
        <v>1596.65</v>
      </c>
      <c r="K1833" s="99">
        <f>SUMIFS(K$1:K1827,$C$1:$C1827,$C1833,$F$1:$F1827,$F1833)</f>
        <v>4988.99</v>
      </c>
      <c r="L1833" s="99">
        <f>SUMIFS(L$1:L1827,$C$1:$C1827,$C1833,$F$1:$F1827,$F1833)</f>
        <v>4696.24</v>
      </c>
      <c r="M1833" s="99">
        <f>SUMIFS(M$1:M1827,$C$1:$C1827,$C1833,$F$1:$F1827,$F1833)</f>
        <v>4500</v>
      </c>
      <c r="N1833" s="99">
        <f>SUMIFS(N$1:N1827,$C$1:$C1827,$C1833,$F$1:$F1827,$F1833)</f>
        <v>3099.5299999999997</v>
      </c>
      <c r="O1833" s="99">
        <f>SUMIFS(O$1:O1827,$C$1:$C1827,$C1833,$F$1:$F1827,$F1833)</f>
        <v>4500</v>
      </c>
      <c r="P1833" s="99">
        <f t="shared" ref="P1833:P1853" si="2311">O1833-M1833</f>
        <v>0</v>
      </c>
      <c r="Q1833" s="99">
        <f>SUMIFS(Q$1:Q1827,$C$1:$C1827,$C1833,$F$1:$F1827,$F1833)</f>
        <v>4500</v>
      </c>
      <c r="R1833" s="99">
        <f>SUMIFS(R$1:R1827,$C$1:$C1827,$C1833,$F$1:$F1827,$F1833)</f>
        <v>0</v>
      </c>
      <c r="S1833" s="99">
        <f>SUMIFS(S$1:S1827,$C$1:$C1827,$C1833,$F$1:$F1827,$F1833)</f>
        <v>0</v>
      </c>
      <c r="T1833" s="99">
        <f>SUMIFS(T$1:T1827,$C$1:$C1827,$C1833,$F$1:$F1827,$F1833)</f>
        <v>4500</v>
      </c>
      <c r="U1833" s="99">
        <f t="shared" ref="U1833:U1854" si="2312">T1833-M1833</f>
        <v>0</v>
      </c>
      <c r="V1833" s="255">
        <f t="shared" ref="V1833:V1854" si="2313">IF(M1833=0,"N/A",T1833/M1833-1)</f>
        <v>0</v>
      </c>
      <c r="W1833" s="102"/>
      <c r="X1833" s="102"/>
      <c r="Y1833" s="102">
        <f t="shared" ref="Y1833:Y1853" si="2314">T1833-X1833</f>
        <v>4500</v>
      </c>
      <c r="Z1833" s="309">
        <f>Y1833*(1+VLOOKUP($F1833,'GL Category'!$A:$H,4,FALSE))</f>
        <v>4590</v>
      </c>
      <c r="AA1833" s="615"/>
      <c r="AB1833" s="622">
        <f t="shared" ref="AB1833:AB1853" si="2315">Z1833+AA1833</f>
        <v>4590</v>
      </c>
      <c r="AC1833" s="633">
        <f>AB1833*(1+VLOOKUP($F1833,'GL Category'!$A:$H,5,FALSE))</f>
        <v>4681.8</v>
      </c>
      <c r="AD1833" s="307"/>
      <c r="AE1833" s="622">
        <f t="shared" ref="AE1833:AE1853" si="2316">AC1833+AD1833</f>
        <v>4681.8</v>
      </c>
      <c r="AF1833" s="633">
        <f>AE1833*(1+VLOOKUP($F1833,'GL Category'!$A:$H,6,FALSE))</f>
        <v>4775.4360000000006</v>
      </c>
      <c r="AG1833" s="307"/>
      <c r="AH1833" s="622">
        <f t="shared" ref="AH1833:AH1853" si="2317">AF1833+AG1833</f>
        <v>4775.4360000000006</v>
      </c>
      <c r="AI1833" s="633">
        <f>AH1833*(1+VLOOKUP($F1833,'GL Category'!$A:$H,7,FALSE))</f>
        <v>4870.9447200000004</v>
      </c>
      <c r="AJ1833" s="307"/>
      <c r="AK1833" s="622">
        <f t="shared" ref="AK1833:AK1853" si="2318">AI1833+AJ1833</f>
        <v>4870.9447200000004</v>
      </c>
      <c r="AL1833" s="633">
        <f>AK1833*(1+VLOOKUP($F1833,'GL Category'!$A:$H,8,FALSE))</f>
        <v>4968.3636144000002</v>
      </c>
      <c r="AM1833" s="307"/>
      <c r="AN1833" s="622">
        <f t="shared" ref="AN1833:AN1853" si="2319">AL1833+AM1833</f>
        <v>4968.3636144000002</v>
      </c>
      <c r="AO1833" s="97"/>
      <c r="AP1833" s="97"/>
      <c r="AQ1833" s="97"/>
      <c r="AR1833" s="70"/>
      <c r="AS1833" s="70"/>
      <c r="AT1833" s="70"/>
      <c r="AU1833" s="70"/>
      <c r="AV1833" s="70"/>
      <c r="AW1833" s="70"/>
      <c r="AX1833" s="70"/>
      <c r="AY1833" s="70"/>
      <c r="AZ1833" s="70"/>
      <c r="BA1833" s="70"/>
      <c r="BB1833" s="70"/>
      <c r="BC1833" s="70"/>
      <c r="BD1833" s="70"/>
      <c r="BE1833" s="70"/>
      <c r="BF1833" s="70"/>
    </row>
    <row r="1834" spans="1:58" s="71" customFormat="1" ht="15" customHeight="1">
      <c r="A1834" s="555"/>
      <c r="B1834" s="217"/>
      <c r="C1834" s="217">
        <v>63</v>
      </c>
      <c r="D1834" s="101"/>
      <c r="E1834" s="217"/>
      <c r="F1834" s="294" t="s">
        <v>152</v>
      </c>
      <c r="G1834" s="295" t="str">
        <f>VLOOKUP(F1834,'GL Category'!A:C,3,FALSE)</f>
        <v>Operations &amp; maintenance</v>
      </c>
      <c r="H1834" s="98" t="str">
        <f>VLOOKUP(F1834,'GL Category'!A:C,2,FALSE)</f>
        <v>BOTANICAL/AGRICULTURAL SUPPLY</v>
      </c>
      <c r="I1834" s="99">
        <f>SUMIFS(I$1:I1828,$C$1:$C1828,$C1834,$F$1:$F1828,$F1834)</f>
        <v>0</v>
      </c>
      <c r="J1834" s="99">
        <f>SUMIFS(J$1:J1828,$C$1:$C1828,$C1834,$F$1:$F1828,$F1834)</f>
        <v>11586.71</v>
      </c>
      <c r="K1834" s="99">
        <f>SUMIFS(K$1:K1828,$C$1:$C1828,$C1834,$F$1:$F1828,$F1834)</f>
        <v>2360.2600000000002</v>
      </c>
      <c r="L1834" s="99">
        <f>SUMIFS(L$1:L1828,$C$1:$C1828,$C1834,$F$1:$F1828,$F1834)</f>
        <v>0</v>
      </c>
      <c r="M1834" s="99">
        <f>SUMIFS(M$1:M1828,$C$1:$C1828,$C1834,$F$1:$F1828,$F1834)</f>
        <v>0</v>
      </c>
      <c r="N1834" s="99">
        <f>SUMIFS(N$1:N1828,$C$1:$C1828,$C1834,$F$1:$F1828,$F1834)</f>
        <v>0</v>
      </c>
      <c r="O1834" s="99">
        <f>SUMIFS(O$1:O1828,$C$1:$C1828,$C1834,$F$1:$F1828,$F1834)</f>
        <v>0</v>
      </c>
      <c r="P1834" s="99">
        <f t="shared" si="2311"/>
        <v>0</v>
      </c>
      <c r="Q1834" s="99">
        <f>SUMIFS(Q$1:Q1828,$C$1:$C1828,$C1834,$F$1:$F1828,$F1834)</f>
        <v>0</v>
      </c>
      <c r="R1834" s="99">
        <f>SUMIFS(R$1:R1828,$C$1:$C1828,$C1834,$F$1:$F1828,$F1834)</f>
        <v>0</v>
      </c>
      <c r="S1834" s="99">
        <f>SUMIFS(S$1:S1828,$C$1:$C1828,$C1834,$F$1:$F1828,$F1834)</f>
        <v>0</v>
      </c>
      <c r="T1834" s="99">
        <f>SUMIFS(T$1:T1828,$C$1:$C1828,$C1834,$F$1:$F1828,$F1834)</f>
        <v>0</v>
      </c>
      <c r="U1834" s="99">
        <f t="shared" si="2312"/>
        <v>0</v>
      </c>
      <c r="V1834" s="255" t="str">
        <f t="shared" si="2313"/>
        <v>N/A</v>
      </c>
      <c r="W1834" s="102"/>
      <c r="X1834" s="102"/>
      <c r="Y1834" s="102">
        <f t="shared" si="2314"/>
        <v>0</v>
      </c>
      <c r="Z1834" s="309">
        <f>Y1834*(1+VLOOKUP($F1834,'GL Category'!$A:$H,4,FALSE))</f>
        <v>0</v>
      </c>
      <c r="AA1834" s="615"/>
      <c r="AB1834" s="622">
        <f t="shared" si="2315"/>
        <v>0</v>
      </c>
      <c r="AC1834" s="633">
        <f>AB1834*(1+VLOOKUP($F1834,'GL Category'!$A:$H,5,FALSE))</f>
        <v>0</v>
      </c>
      <c r="AD1834" s="307"/>
      <c r="AE1834" s="622">
        <f t="shared" si="2316"/>
        <v>0</v>
      </c>
      <c r="AF1834" s="633">
        <f>AE1834*(1+VLOOKUP($F1834,'GL Category'!$A:$H,6,FALSE))</f>
        <v>0</v>
      </c>
      <c r="AG1834" s="307"/>
      <c r="AH1834" s="622">
        <f t="shared" si="2317"/>
        <v>0</v>
      </c>
      <c r="AI1834" s="633">
        <f>AH1834*(1+VLOOKUP($F1834,'GL Category'!$A:$H,7,FALSE))</f>
        <v>0</v>
      </c>
      <c r="AJ1834" s="307"/>
      <c r="AK1834" s="622">
        <f t="shared" si="2318"/>
        <v>0</v>
      </c>
      <c r="AL1834" s="633">
        <f>AK1834*(1+VLOOKUP($F1834,'GL Category'!$A:$H,8,FALSE))</f>
        <v>0</v>
      </c>
      <c r="AM1834" s="307"/>
      <c r="AN1834" s="622">
        <f t="shared" si="2319"/>
        <v>0</v>
      </c>
      <c r="AO1834" s="97"/>
      <c r="AP1834" s="97"/>
      <c r="AQ1834" s="97"/>
      <c r="AR1834" s="70"/>
      <c r="AS1834" s="70"/>
      <c r="AT1834" s="70"/>
      <c r="AU1834" s="70"/>
      <c r="AV1834" s="70"/>
      <c r="AW1834" s="70"/>
      <c r="AX1834" s="70"/>
      <c r="AY1834" s="70"/>
      <c r="AZ1834" s="70"/>
      <c r="BA1834" s="70"/>
      <c r="BB1834" s="70"/>
      <c r="BC1834" s="70"/>
      <c r="BD1834" s="70"/>
      <c r="BE1834" s="70"/>
      <c r="BF1834" s="70"/>
    </row>
    <row r="1835" spans="1:58" s="71" customFormat="1" ht="15" customHeight="1">
      <c r="A1835" s="555"/>
      <c r="B1835" s="217"/>
      <c r="C1835" s="217">
        <v>63</v>
      </c>
      <c r="D1835" s="101"/>
      <c r="E1835" s="217"/>
      <c r="F1835" s="294" t="s">
        <v>154</v>
      </c>
      <c r="G1835" s="295" t="str">
        <f>VLOOKUP(F1835,'GL Category'!A:C,3,FALSE)</f>
        <v>Operations &amp; maintenance</v>
      </c>
      <c r="H1835" s="98" t="str">
        <f>VLOOKUP(F1835,'GL Category'!A:C,2,FALSE)</f>
        <v>JANITORIAL SUPPLIES</v>
      </c>
      <c r="I1835" s="99">
        <f>SUMIFS(I$1:I1829,$C$1:$C1829,$C1835,$F$1:$F1829,$F1835)</f>
        <v>13554.98</v>
      </c>
      <c r="J1835" s="99">
        <f>SUMIFS(J$1:J1829,$C$1:$C1829,$C1835,$F$1:$F1829,$F1835)</f>
        <v>17733.36</v>
      </c>
      <c r="K1835" s="99">
        <f>SUMIFS(K$1:K1829,$C$1:$C1829,$C1835,$F$1:$F1829,$F1835)</f>
        <v>22455.4</v>
      </c>
      <c r="L1835" s="99">
        <f>SUMIFS(L$1:L1829,$C$1:$C1829,$C1835,$F$1:$F1829,$F1835)</f>
        <v>23709.53</v>
      </c>
      <c r="M1835" s="99">
        <f>SUMIFS(M$1:M1829,$C$1:$C1829,$C1835,$F$1:$F1829,$F1835)</f>
        <v>23120</v>
      </c>
      <c r="N1835" s="99">
        <f>SUMIFS(N$1:N1829,$C$1:$C1829,$C1835,$F$1:$F1829,$F1835)</f>
        <v>13023.07</v>
      </c>
      <c r="O1835" s="99">
        <f>SUMIFS(O$1:O1829,$C$1:$C1829,$C1835,$F$1:$F1829,$F1835)</f>
        <v>23120</v>
      </c>
      <c r="P1835" s="99">
        <f t="shared" si="2311"/>
        <v>0</v>
      </c>
      <c r="Q1835" s="99">
        <f>SUMIFS(Q$1:Q1829,$C$1:$C1829,$C1835,$F$1:$F1829,$F1835)</f>
        <v>24620</v>
      </c>
      <c r="R1835" s="99">
        <f>SUMIFS(R$1:R1829,$C$1:$C1829,$C1835,$F$1:$F1829,$F1835)</f>
        <v>0</v>
      </c>
      <c r="S1835" s="99">
        <f>SUMIFS(S$1:S1829,$C$1:$C1829,$C1835,$F$1:$F1829,$F1835)</f>
        <v>0</v>
      </c>
      <c r="T1835" s="99">
        <f>SUMIFS(T$1:T1829,$C$1:$C1829,$C1835,$F$1:$F1829,$F1835)</f>
        <v>24620</v>
      </c>
      <c r="U1835" s="99">
        <f t="shared" si="2312"/>
        <v>1500</v>
      </c>
      <c r="V1835" s="255">
        <f t="shared" si="2313"/>
        <v>6.4878892733563953E-2</v>
      </c>
      <c r="W1835" s="102"/>
      <c r="X1835" s="102"/>
      <c r="Y1835" s="102">
        <f t="shared" si="2314"/>
        <v>24620</v>
      </c>
      <c r="Z1835" s="309">
        <f>Y1835*(1+VLOOKUP($F1835,'GL Category'!$A:$H,4,FALSE))</f>
        <v>25112.400000000001</v>
      </c>
      <c r="AA1835" s="615"/>
      <c r="AB1835" s="622">
        <f t="shared" si="2315"/>
        <v>25112.400000000001</v>
      </c>
      <c r="AC1835" s="633">
        <f>AB1835*(1+VLOOKUP($F1835,'GL Category'!$A:$H,5,FALSE))</f>
        <v>25614.648000000001</v>
      </c>
      <c r="AD1835" s="307"/>
      <c r="AE1835" s="622">
        <f t="shared" si="2316"/>
        <v>25614.648000000001</v>
      </c>
      <c r="AF1835" s="633">
        <f>AE1835*(1+VLOOKUP($F1835,'GL Category'!$A:$H,6,FALSE))</f>
        <v>26126.94096</v>
      </c>
      <c r="AG1835" s="307"/>
      <c r="AH1835" s="622">
        <f t="shared" si="2317"/>
        <v>26126.94096</v>
      </c>
      <c r="AI1835" s="633">
        <f>AH1835*(1+VLOOKUP($F1835,'GL Category'!$A:$H,7,FALSE))</f>
        <v>26649.479779199999</v>
      </c>
      <c r="AJ1835" s="307"/>
      <c r="AK1835" s="622">
        <f t="shared" si="2318"/>
        <v>26649.479779199999</v>
      </c>
      <c r="AL1835" s="633">
        <f>AK1835*(1+VLOOKUP($F1835,'GL Category'!$A:$H,8,FALSE))</f>
        <v>27182.469374783999</v>
      </c>
      <c r="AM1835" s="307"/>
      <c r="AN1835" s="622">
        <f t="shared" si="2319"/>
        <v>27182.469374783999</v>
      </c>
      <c r="AO1835" s="97"/>
      <c r="AP1835" s="97"/>
      <c r="AQ1835" s="97"/>
      <c r="AR1835" s="70"/>
      <c r="AS1835" s="70"/>
      <c r="AT1835" s="70"/>
      <c r="AU1835" s="70"/>
      <c r="AV1835" s="70"/>
      <c r="AW1835" s="70"/>
      <c r="AX1835" s="70"/>
      <c r="AY1835" s="70"/>
      <c r="AZ1835" s="70"/>
      <c r="BA1835" s="70"/>
      <c r="BB1835" s="70"/>
      <c r="BC1835" s="70"/>
      <c r="BD1835" s="70"/>
      <c r="BE1835" s="70"/>
      <c r="BF1835" s="70"/>
    </row>
    <row r="1836" spans="1:58" s="71" customFormat="1" ht="15" customHeight="1">
      <c r="A1836" s="555"/>
      <c r="B1836" s="217"/>
      <c r="C1836" s="217">
        <v>63</v>
      </c>
      <c r="D1836" s="101"/>
      <c r="E1836" s="217"/>
      <c r="F1836" s="294" t="s">
        <v>251</v>
      </c>
      <c r="G1836" s="295" t="str">
        <f>VLOOKUP(F1836,'GL Category'!A:C,3,FALSE)</f>
        <v>Operations &amp; maintenance</v>
      </c>
      <c r="H1836" s="98" t="str">
        <f>VLOOKUP(F1836,'GL Category'!A:C,2,FALSE)</f>
        <v>MEDICAL SUPPLIES</v>
      </c>
      <c r="I1836" s="99">
        <f>SUMIFS(I$1:I1830,$C$1:$C1830,$C1836,$F$1:$F1830,$F1836)</f>
        <v>0</v>
      </c>
      <c r="J1836" s="99">
        <f>SUMIFS(J$1:J1830,$C$1:$C1830,$C1836,$F$1:$F1830,$F1836)</f>
        <v>0</v>
      </c>
      <c r="K1836" s="99">
        <f>SUMIFS(K$1:K1830,$C$1:$C1830,$C1836,$F$1:$F1830,$F1836)</f>
        <v>0</v>
      </c>
      <c r="L1836" s="99">
        <f>SUMIFS(L$1:L1830,$C$1:$C1830,$C1836,$F$1:$F1830,$F1836)</f>
        <v>0</v>
      </c>
      <c r="M1836" s="99">
        <f>SUMIFS(M$1:M1830,$C$1:$C1830,$C1836,$F$1:$F1830,$F1836)</f>
        <v>0</v>
      </c>
      <c r="N1836" s="99">
        <f>SUMIFS(N$1:N1830,$C$1:$C1830,$C1836,$F$1:$F1830,$F1836)</f>
        <v>0</v>
      </c>
      <c r="O1836" s="99">
        <f>SUMIFS(O$1:O1830,$C$1:$C1830,$C1836,$F$1:$F1830,$F1836)</f>
        <v>0</v>
      </c>
      <c r="P1836" s="99">
        <f t="shared" si="2311"/>
        <v>0</v>
      </c>
      <c r="Q1836" s="99">
        <f>SUMIFS(Q$1:Q1830,$C$1:$C1830,$C1836,$F$1:$F1830,$F1836)</f>
        <v>0</v>
      </c>
      <c r="R1836" s="99">
        <f>SUMIFS(R$1:R1830,$C$1:$C1830,$C1836,$F$1:$F1830,$F1836)</f>
        <v>0</v>
      </c>
      <c r="S1836" s="99">
        <f>SUMIFS(S$1:S1830,$C$1:$C1830,$C1836,$F$1:$F1830,$F1836)</f>
        <v>0</v>
      </c>
      <c r="T1836" s="99">
        <f>SUMIFS(T$1:T1830,$C$1:$C1830,$C1836,$F$1:$F1830,$F1836)</f>
        <v>0</v>
      </c>
      <c r="U1836" s="99">
        <f t="shared" si="2312"/>
        <v>0</v>
      </c>
      <c r="V1836" s="255" t="str">
        <f t="shared" si="2313"/>
        <v>N/A</v>
      </c>
      <c r="W1836" s="102"/>
      <c r="X1836" s="102"/>
      <c r="Y1836" s="102">
        <f t="shared" si="2314"/>
        <v>0</v>
      </c>
      <c r="Z1836" s="309">
        <f>Y1836*(1+VLOOKUP($F1836,'GL Category'!$A:$H,4,FALSE))</f>
        <v>0</v>
      </c>
      <c r="AA1836" s="615"/>
      <c r="AB1836" s="622">
        <f t="shared" si="2315"/>
        <v>0</v>
      </c>
      <c r="AC1836" s="633">
        <f>AB1836*(1+VLOOKUP($F1836,'GL Category'!$A:$H,5,FALSE))</f>
        <v>0</v>
      </c>
      <c r="AD1836" s="307"/>
      <c r="AE1836" s="622">
        <f t="shared" si="2316"/>
        <v>0</v>
      </c>
      <c r="AF1836" s="633">
        <f>AE1836*(1+VLOOKUP($F1836,'GL Category'!$A:$H,6,FALSE))</f>
        <v>0</v>
      </c>
      <c r="AG1836" s="307"/>
      <c r="AH1836" s="622">
        <f t="shared" si="2317"/>
        <v>0</v>
      </c>
      <c r="AI1836" s="633">
        <f>AH1836*(1+VLOOKUP($F1836,'GL Category'!$A:$H,7,FALSE))</f>
        <v>0</v>
      </c>
      <c r="AJ1836" s="307"/>
      <c r="AK1836" s="622">
        <f t="shared" si="2318"/>
        <v>0</v>
      </c>
      <c r="AL1836" s="633">
        <f>AK1836*(1+VLOOKUP($F1836,'GL Category'!$A:$H,8,FALSE))</f>
        <v>0</v>
      </c>
      <c r="AM1836" s="307"/>
      <c r="AN1836" s="622">
        <f t="shared" si="2319"/>
        <v>0</v>
      </c>
      <c r="AO1836" s="97"/>
      <c r="AP1836" s="97"/>
      <c r="AQ1836" s="97"/>
      <c r="AR1836" s="70"/>
      <c r="AS1836" s="70"/>
      <c r="AT1836" s="70"/>
      <c r="AU1836" s="70"/>
      <c r="AV1836" s="70"/>
      <c r="AW1836" s="70"/>
      <c r="AX1836" s="70"/>
      <c r="AY1836" s="70"/>
      <c r="AZ1836" s="70"/>
      <c r="BA1836" s="70"/>
      <c r="BB1836" s="70"/>
      <c r="BC1836" s="70"/>
      <c r="BD1836" s="70"/>
      <c r="BE1836" s="70"/>
      <c r="BF1836" s="70"/>
    </row>
    <row r="1837" spans="1:58" s="71" customFormat="1" ht="15" customHeight="1">
      <c r="A1837" s="555"/>
      <c r="B1837" s="217"/>
      <c r="C1837" s="217">
        <v>63</v>
      </c>
      <c r="D1837" s="101"/>
      <c r="E1837" s="217"/>
      <c r="F1837" s="294" t="s">
        <v>159</v>
      </c>
      <c r="G1837" s="295" t="str">
        <f>VLOOKUP(F1837,'GL Category'!A:C,3,FALSE)</f>
        <v>Operations &amp; maintenance</v>
      </c>
      <c r="H1837" s="98" t="str">
        <f>VLOOKUP(F1837,'GL Category'!A:C,2,FALSE)</f>
        <v>SMALL TOOLS &amp; EQUIPMENT</v>
      </c>
      <c r="I1837" s="99">
        <f>SUMIFS(I$1:I1832,$C$1:$C1832,$C1837,$F$1:$F1832,$F1837)</f>
        <v>11860.08</v>
      </c>
      <c r="J1837" s="99">
        <f>SUMIFS(J$1:J1832,$C$1:$C1832,$C1837,$F$1:$F1832,$F1837)</f>
        <v>11350.240000000002</v>
      </c>
      <c r="K1837" s="99">
        <f>SUMIFS(K$1:K1832,$C$1:$C1832,$C1837,$F$1:$F1832,$F1837)</f>
        <v>16852.96</v>
      </c>
      <c r="L1837" s="99">
        <f>SUMIFS(L$1:L1832,$C$1:$C1832,$C1837,$F$1:$F1832,$F1837)</f>
        <v>12968.069999999998</v>
      </c>
      <c r="M1837" s="99">
        <f>SUMIFS(M$1:M1832,$C$1:$C1832,$C1837,$F$1:$F1832,$F1837)</f>
        <v>15500</v>
      </c>
      <c r="N1837" s="99">
        <f>SUMIFS(N$1:N1832,$C$1:$C1832,$C1837,$F$1:$F1832,$F1837)</f>
        <v>8848.6999999999989</v>
      </c>
      <c r="O1837" s="99">
        <f>SUMIFS(O$1:O1832,$C$1:$C1832,$C1837,$F$1:$F1832,$F1837)</f>
        <v>15500</v>
      </c>
      <c r="P1837" s="99">
        <f t="shared" si="2311"/>
        <v>0</v>
      </c>
      <c r="Q1837" s="99">
        <f>SUMIFS(Q$1:Q1832,$C$1:$C1832,$C1837,$F$1:$F1832,$F1837)</f>
        <v>15500</v>
      </c>
      <c r="R1837" s="99">
        <f>SUMIFS(R$1:R1832,$C$1:$C1832,$C1837,$F$1:$F1832,$F1837)</f>
        <v>0</v>
      </c>
      <c r="S1837" s="99">
        <f>SUMIFS(S$1:S1832,$C$1:$C1832,$C1837,$F$1:$F1832,$F1837)</f>
        <v>0</v>
      </c>
      <c r="T1837" s="99">
        <f>SUMIFS(T$1:T1832,$C$1:$C1832,$C1837,$F$1:$F1832,$F1837)</f>
        <v>15500</v>
      </c>
      <c r="U1837" s="99">
        <f t="shared" si="2312"/>
        <v>0</v>
      </c>
      <c r="V1837" s="255">
        <f t="shared" si="2313"/>
        <v>0</v>
      </c>
      <c r="W1837" s="102"/>
      <c r="X1837" s="102"/>
      <c r="Y1837" s="102">
        <f t="shared" si="2314"/>
        <v>15500</v>
      </c>
      <c r="Z1837" s="309">
        <f>Y1837*(1+VLOOKUP($F1837,'GL Category'!$A:$H,4,FALSE))</f>
        <v>15810</v>
      </c>
      <c r="AA1837" s="615"/>
      <c r="AB1837" s="622">
        <f t="shared" si="2315"/>
        <v>15810</v>
      </c>
      <c r="AC1837" s="633">
        <f>AB1837*(1+VLOOKUP($F1837,'GL Category'!$A:$H,5,FALSE))</f>
        <v>16126.2</v>
      </c>
      <c r="AD1837" s="307"/>
      <c r="AE1837" s="622">
        <f t="shared" si="2316"/>
        <v>16126.2</v>
      </c>
      <c r="AF1837" s="633">
        <f>AE1837*(1+VLOOKUP($F1837,'GL Category'!$A:$H,6,FALSE))</f>
        <v>16448.724000000002</v>
      </c>
      <c r="AG1837" s="307"/>
      <c r="AH1837" s="622">
        <f t="shared" si="2317"/>
        <v>16448.724000000002</v>
      </c>
      <c r="AI1837" s="633">
        <f>AH1837*(1+VLOOKUP($F1837,'GL Category'!$A:$H,7,FALSE))</f>
        <v>16777.698480000003</v>
      </c>
      <c r="AJ1837" s="307"/>
      <c r="AK1837" s="622">
        <f t="shared" si="2318"/>
        <v>16777.698480000003</v>
      </c>
      <c r="AL1837" s="633">
        <f>AK1837*(1+VLOOKUP($F1837,'GL Category'!$A:$H,8,FALSE))</f>
        <v>17113.252449600004</v>
      </c>
      <c r="AM1837" s="307"/>
      <c r="AN1837" s="622">
        <f t="shared" si="2319"/>
        <v>17113.252449600004</v>
      </c>
      <c r="AO1837" s="97"/>
      <c r="AP1837" s="97"/>
      <c r="AQ1837" s="97"/>
      <c r="AR1837" s="70"/>
      <c r="AS1837" s="70"/>
      <c r="AT1837" s="70"/>
      <c r="AU1837" s="70"/>
      <c r="AV1837" s="70"/>
      <c r="AW1837" s="70"/>
      <c r="AX1837" s="70"/>
      <c r="AY1837" s="70"/>
      <c r="AZ1837" s="70"/>
      <c r="BA1837" s="70"/>
      <c r="BB1837" s="70"/>
      <c r="BC1837" s="70"/>
      <c r="BD1837" s="70"/>
      <c r="BE1837" s="70"/>
      <c r="BF1837" s="70"/>
    </row>
    <row r="1838" spans="1:58" s="71" customFormat="1" ht="15" customHeight="1">
      <c r="A1838" s="555"/>
      <c r="B1838" s="217"/>
      <c r="C1838" s="217">
        <v>63</v>
      </c>
      <c r="D1838" s="101"/>
      <c r="E1838" s="217"/>
      <c r="F1838" s="294" t="s">
        <v>160</v>
      </c>
      <c r="G1838" s="295" t="str">
        <f>VLOOKUP(F1838,'GL Category'!A:C,3,FALSE)</f>
        <v>Operations &amp; maintenance</v>
      </c>
      <c r="H1838" s="98" t="str">
        <f>VLOOKUP(F1838,'GL Category'!A:C,2,FALSE)</f>
        <v>FUEL/OILS/LUBRICANTS</v>
      </c>
      <c r="I1838" s="99">
        <f>SUMIFS(I$1:I1833,$C$1:$C1833,$C1838,$F$1:$F1833,$F1838)</f>
        <v>17380.54</v>
      </c>
      <c r="J1838" s="99">
        <f>SUMIFS(J$1:J1833,$C$1:$C1833,$C1838,$F$1:$F1833,$F1838)</f>
        <v>20306.830000000002</v>
      </c>
      <c r="K1838" s="99">
        <f>SUMIFS(K$1:K1833,$C$1:$C1833,$C1838,$F$1:$F1833,$F1838)</f>
        <v>35155.339999999997</v>
      </c>
      <c r="L1838" s="99">
        <f>SUMIFS(L$1:L1833,$C$1:$C1833,$C1838,$F$1:$F1833,$F1838)</f>
        <v>26889.550000000003</v>
      </c>
      <c r="M1838" s="99">
        <f>SUMIFS(M$1:M1833,$C$1:$C1833,$C1838,$F$1:$F1833,$F1838)</f>
        <v>35600</v>
      </c>
      <c r="N1838" s="99">
        <f>SUMIFS(N$1:N1833,$C$1:$C1833,$C1838,$F$1:$F1833,$F1838)</f>
        <v>20721.349999999999</v>
      </c>
      <c r="O1838" s="99">
        <f>SUMIFS(O$1:O1833,$C$1:$C1833,$C1838,$F$1:$F1833,$F1838)</f>
        <v>32600</v>
      </c>
      <c r="P1838" s="99">
        <f t="shared" si="2311"/>
        <v>-3000</v>
      </c>
      <c r="Q1838" s="99">
        <f>SUMIFS(Q$1:Q1833,$C$1:$C1833,$C1838,$F$1:$F1833,$F1838)</f>
        <v>33600</v>
      </c>
      <c r="R1838" s="99">
        <f>SUMIFS(R$1:R1833,$C$1:$C1833,$C1838,$F$1:$F1833,$F1838)</f>
        <v>0</v>
      </c>
      <c r="S1838" s="99">
        <f>SUMIFS(S$1:S1833,$C$1:$C1833,$C1838,$F$1:$F1833,$F1838)</f>
        <v>0</v>
      </c>
      <c r="T1838" s="99">
        <f>SUMIFS(T$1:T1833,$C$1:$C1833,$C1838,$F$1:$F1833,$F1838)</f>
        <v>33600</v>
      </c>
      <c r="U1838" s="99">
        <f t="shared" si="2312"/>
        <v>-2000</v>
      </c>
      <c r="V1838" s="255">
        <f t="shared" si="2313"/>
        <v>-5.6179775280898903E-2</v>
      </c>
      <c r="W1838" s="102"/>
      <c r="X1838" s="102"/>
      <c r="Y1838" s="102">
        <f t="shared" si="2314"/>
        <v>33600</v>
      </c>
      <c r="Z1838" s="309">
        <f>Y1838*(1+VLOOKUP($F1838,'GL Category'!$A:$H,4,FALSE))</f>
        <v>34272</v>
      </c>
      <c r="AA1838" s="615"/>
      <c r="AB1838" s="622">
        <f t="shared" si="2315"/>
        <v>34272</v>
      </c>
      <c r="AC1838" s="633">
        <f>AB1838*(1+VLOOKUP($F1838,'GL Category'!$A:$H,5,FALSE))</f>
        <v>34957.440000000002</v>
      </c>
      <c r="AD1838" s="307"/>
      <c r="AE1838" s="622">
        <f t="shared" si="2316"/>
        <v>34957.440000000002</v>
      </c>
      <c r="AF1838" s="633">
        <f>AE1838*(1+VLOOKUP($F1838,'GL Category'!$A:$H,6,FALSE))</f>
        <v>35656.588800000005</v>
      </c>
      <c r="AG1838" s="307"/>
      <c r="AH1838" s="622">
        <f t="shared" si="2317"/>
        <v>35656.588800000005</v>
      </c>
      <c r="AI1838" s="633">
        <f>AH1838*(1+VLOOKUP($F1838,'GL Category'!$A:$H,7,FALSE))</f>
        <v>36369.720576000007</v>
      </c>
      <c r="AJ1838" s="307"/>
      <c r="AK1838" s="622">
        <f t="shared" si="2318"/>
        <v>36369.720576000007</v>
      </c>
      <c r="AL1838" s="633">
        <f>AK1838*(1+VLOOKUP($F1838,'GL Category'!$A:$H,8,FALSE))</f>
        <v>37097.114987520006</v>
      </c>
      <c r="AM1838" s="307"/>
      <c r="AN1838" s="622">
        <f t="shared" si="2319"/>
        <v>37097.114987520006</v>
      </c>
      <c r="AO1838" s="97"/>
      <c r="AP1838" s="97"/>
      <c r="AQ1838" s="97"/>
      <c r="AR1838" s="70"/>
      <c r="AS1838" s="70"/>
      <c r="AT1838" s="70"/>
      <c r="AU1838" s="70"/>
      <c r="AV1838" s="70"/>
      <c r="AW1838" s="70"/>
      <c r="AX1838" s="70"/>
      <c r="AY1838" s="70"/>
      <c r="AZ1838" s="70"/>
      <c r="BA1838" s="70"/>
      <c r="BB1838" s="70"/>
      <c r="BC1838" s="70"/>
      <c r="BD1838" s="70"/>
      <c r="BE1838" s="70"/>
      <c r="BF1838" s="70"/>
    </row>
    <row r="1839" spans="1:58" s="71" customFormat="1" ht="15" customHeight="1">
      <c r="A1839" s="555"/>
      <c r="B1839" s="217"/>
      <c r="C1839" s="217">
        <v>63</v>
      </c>
      <c r="D1839" s="101"/>
      <c r="E1839" s="217"/>
      <c r="F1839" s="294" t="s">
        <v>162</v>
      </c>
      <c r="G1839" s="295" t="str">
        <f>VLOOKUP(F1839,'GL Category'!A:C,3,FALSE)</f>
        <v>Operations &amp; maintenance</v>
      </c>
      <c r="H1839" s="98" t="str">
        <f>VLOOKUP(F1839,'GL Category'!A:C,2,FALSE)</f>
        <v>MEETING SPONSORSHIP/SUPPLIES</v>
      </c>
      <c r="I1839" s="99">
        <f>SUMIFS(I$1:I1834,$C$1:$C1834,$C1839,$F$1:$F1834,$F1839)</f>
        <v>0</v>
      </c>
      <c r="J1839" s="99">
        <f>SUMIFS(J$1:J1834,$C$1:$C1834,$C1839,$F$1:$F1834,$F1839)</f>
        <v>0</v>
      </c>
      <c r="K1839" s="99">
        <f>SUMIFS(K$1:K1834,$C$1:$C1834,$C1839,$F$1:$F1834,$F1839)</f>
        <v>0</v>
      </c>
      <c r="L1839" s="99">
        <f>SUMIFS(L$1:L1834,$C$1:$C1834,$C1839,$F$1:$F1834,$F1839)</f>
        <v>0</v>
      </c>
      <c r="M1839" s="99">
        <f>SUMIFS(M$1:M1834,$C$1:$C1834,$C1839,$F$1:$F1834,$F1839)</f>
        <v>0</v>
      </c>
      <c r="N1839" s="99">
        <f>SUMIFS(N$1:N1834,$C$1:$C1834,$C1839,$F$1:$F1834,$F1839)</f>
        <v>0</v>
      </c>
      <c r="O1839" s="99">
        <f>SUMIFS(O$1:O1834,$C$1:$C1834,$C1839,$F$1:$F1834,$F1839)</f>
        <v>0</v>
      </c>
      <c r="P1839" s="99">
        <f t="shared" si="2311"/>
        <v>0</v>
      </c>
      <c r="Q1839" s="99">
        <f>SUMIFS(Q$1:Q1834,$C$1:$C1834,$C1839,$F$1:$F1834,$F1839)</f>
        <v>0</v>
      </c>
      <c r="R1839" s="99">
        <f>SUMIFS(R$1:R1834,$C$1:$C1834,$C1839,$F$1:$F1834,$F1839)</f>
        <v>0</v>
      </c>
      <c r="S1839" s="99">
        <f>SUMIFS(S$1:S1834,$C$1:$C1834,$C1839,$F$1:$F1834,$F1839)</f>
        <v>0</v>
      </c>
      <c r="T1839" s="99">
        <f>SUMIFS(T$1:T1834,$C$1:$C1834,$C1839,$F$1:$F1834,$F1839)</f>
        <v>0</v>
      </c>
      <c r="U1839" s="99">
        <f t="shared" si="2312"/>
        <v>0</v>
      </c>
      <c r="V1839" s="255" t="str">
        <f t="shared" si="2313"/>
        <v>N/A</v>
      </c>
      <c r="W1839" s="102"/>
      <c r="X1839" s="102"/>
      <c r="Y1839" s="102">
        <f t="shared" si="2314"/>
        <v>0</v>
      </c>
      <c r="Z1839" s="309">
        <f>Y1839*(1+VLOOKUP($F1839,'GL Category'!$A:$H,4,FALSE))</f>
        <v>0</v>
      </c>
      <c r="AA1839" s="615"/>
      <c r="AB1839" s="622">
        <f t="shared" si="2315"/>
        <v>0</v>
      </c>
      <c r="AC1839" s="633">
        <f>AB1839*(1+VLOOKUP($F1839,'GL Category'!$A:$H,5,FALSE))</f>
        <v>0</v>
      </c>
      <c r="AD1839" s="307"/>
      <c r="AE1839" s="622">
        <f t="shared" si="2316"/>
        <v>0</v>
      </c>
      <c r="AF1839" s="633">
        <f>AE1839*(1+VLOOKUP($F1839,'GL Category'!$A:$H,6,FALSE))</f>
        <v>0</v>
      </c>
      <c r="AG1839" s="307"/>
      <c r="AH1839" s="622">
        <f t="shared" si="2317"/>
        <v>0</v>
      </c>
      <c r="AI1839" s="633">
        <f>AH1839*(1+VLOOKUP($F1839,'GL Category'!$A:$H,7,FALSE))</f>
        <v>0</v>
      </c>
      <c r="AJ1839" s="307"/>
      <c r="AK1839" s="622">
        <f t="shared" si="2318"/>
        <v>0</v>
      </c>
      <c r="AL1839" s="633">
        <f>AK1839*(1+VLOOKUP($F1839,'GL Category'!$A:$H,8,FALSE))</f>
        <v>0</v>
      </c>
      <c r="AM1839" s="307"/>
      <c r="AN1839" s="622">
        <f t="shared" si="2319"/>
        <v>0</v>
      </c>
      <c r="AO1839" s="97"/>
      <c r="AP1839" s="97"/>
      <c r="AQ1839" s="97"/>
      <c r="AR1839" s="70"/>
      <c r="AS1839" s="70"/>
      <c r="AT1839" s="70"/>
      <c r="AU1839" s="70"/>
      <c r="AV1839" s="70"/>
      <c r="AW1839" s="70"/>
      <c r="AX1839" s="70"/>
      <c r="AY1839" s="70"/>
      <c r="AZ1839" s="70"/>
      <c r="BA1839" s="70"/>
      <c r="BB1839" s="70"/>
      <c r="BC1839" s="70"/>
      <c r="BD1839" s="70"/>
      <c r="BE1839" s="70"/>
      <c r="BF1839" s="70"/>
    </row>
    <row r="1840" spans="1:58" s="71" customFormat="1" ht="15" customHeight="1">
      <c r="A1840" s="555"/>
      <c r="B1840" s="217"/>
      <c r="C1840" s="217">
        <v>63</v>
      </c>
      <c r="D1840" s="101"/>
      <c r="E1840" s="217"/>
      <c r="F1840" s="294" t="s">
        <v>262</v>
      </c>
      <c r="G1840" s="295" t="str">
        <f>VLOOKUP(F1840,'GL Category'!A:C,3,FALSE)</f>
        <v>Operations &amp; maintenance</v>
      </c>
      <c r="H1840" s="98" t="str">
        <f>VLOOKUP(F1840,'GL Category'!A:C,2,FALSE)</f>
        <v>EDUCATION/RECREATION SUPPLIES</v>
      </c>
      <c r="I1840" s="99">
        <f>SUMIFS(I$1:I1835,$C$1:$C1835,$C1840,$F$1:$F1835,$F1840)</f>
        <v>9543.619999999999</v>
      </c>
      <c r="J1840" s="99">
        <f>SUMIFS(J$1:J1835,$C$1:$C1835,$C1840,$F$1:$F1835,$F1840)</f>
        <v>7098.5</v>
      </c>
      <c r="K1840" s="99">
        <f>SUMIFS(K$1:K1835,$C$1:$C1835,$C1840,$F$1:$F1835,$F1840)</f>
        <v>9190.99</v>
      </c>
      <c r="L1840" s="99">
        <f>SUMIFS(L$1:L1835,$C$1:$C1835,$C1840,$F$1:$F1835,$F1840)</f>
        <v>12551.83</v>
      </c>
      <c r="M1840" s="99">
        <f>SUMIFS(M$1:M1835,$C$1:$C1835,$C1840,$F$1:$F1835,$F1840)</f>
        <v>11250</v>
      </c>
      <c r="N1840" s="99">
        <f>SUMIFS(N$1:N1835,$C$1:$C1835,$C1840,$F$1:$F1835,$F1840)</f>
        <v>9244.76</v>
      </c>
      <c r="O1840" s="99">
        <f>SUMIFS(O$1:O1835,$C$1:$C1835,$C1840,$F$1:$F1835,$F1840)</f>
        <v>11250</v>
      </c>
      <c r="P1840" s="99">
        <f t="shared" si="2311"/>
        <v>0</v>
      </c>
      <c r="Q1840" s="99">
        <f>SUMIFS(Q$1:Q1835,$C$1:$C1835,$C1840,$F$1:$F1835,$F1840)</f>
        <v>11250</v>
      </c>
      <c r="R1840" s="99">
        <f>SUMIFS(R$1:R1835,$C$1:$C1835,$C1840,$F$1:$F1835,$F1840)</f>
        <v>0</v>
      </c>
      <c r="S1840" s="99">
        <f>SUMIFS(S$1:S1835,$C$1:$C1835,$C1840,$F$1:$F1835,$F1840)</f>
        <v>0</v>
      </c>
      <c r="T1840" s="99">
        <f>SUMIFS(T$1:T1835,$C$1:$C1835,$C1840,$F$1:$F1835,$F1840)</f>
        <v>11250</v>
      </c>
      <c r="U1840" s="99">
        <f t="shared" si="2312"/>
        <v>0</v>
      </c>
      <c r="V1840" s="255">
        <f t="shared" si="2313"/>
        <v>0</v>
      </c>
      <c r="W1840" s="102"/>
      <c r="X1840" s="102"/>
      <c r="Y1840" s="102">
        <f t="shared" si="2314"/>
        <v>11250</v>
      </c>
      <c r="Z1840" s="309">
        <f>Y1840*(1+VLOOKUP($F1840,'GL Category'!$A:$H,4,FALSE))</f>
        <v>11475</v>
      </c>
      <c r="AA1840" s="615"/>
      <c r="AB1840" s="622">
        <f t="shared" si="2315"/>
        <v>11475</v>
      </c>
      <c r="AC1840" s="633">
        <f>AB1840*(1+VLOOKUP($F1840,'GL Category'!$A:$H,5,FALSE))</f>
        <v>11704.5</v>
      </c>
      <c r="AD1840" s="307"/>
      <c r="AE1840" s="622">
        <f t="shared" si="2316"/>
        <v>11704.5</v>
      </c>
      <c r="AF1840" s="633">
        <f>AE1840*(1+VLOOKUP($F1840,'GL Category'!$A:$H,6,FALSE))</f>
        <v>11938.59</v>
      </c>
      <c r="AG1840" s="307"/>
      <c r="AH1840" s="622">
        <f t="shared" si="2317"/>
        <v>11938.59</v>
      </c>
      <c r="AI1840" s="633">
        <f>AH1840*(1+VLOOKUP($F1840,'GL Category'!$A:$H,7,FALSE))</f>
        <v>12177.361800000001</v>
      </c>
      <c r="AJ1840" s="307"/>
      <c r="AK1840" s="622">
        <f t="shared" si="2318"/>
        <v>12177.361800000001</v>
      </c>
      <c r="AL1840" s="633">
        <f>AK1840*(1+VLOOKUP($F1840,'GL Category'!$A:$H,8,FALSE))</f>
        <v>12420.909036000001</v>
      </c>
      <c r="AM1840" s="307"/>
      <c r="AN1840" s="622">
        <f t="shared" si="2319"/>
        <v>12420.909036000001</v>
      </c>
      <c r="AO1840" s="97"/>
      <c r="AP1840" s="97"/>
      <c r="AQ1840" s="97"/>
      <c r="AR1840" s="70"/>
      <c r="AS1840" s="70"/>
      <c r="AT1840" s="70"/>
      <c r="AU1840" s="70"/>
      <c r="AV1840" s="70"/>
      <c r="AW1840" s="70"/>
      <c r="AX1840" s="70"/>
      <c r="AY1840" s="70"/>
      <c r="AZ1840" s="70"/>
      <c r="BA1840" s="70"/>
      <c r="BB1840" s="70"/>
      <c r="BC1840" s="70"/>
      <c r="BD1840" s="70"/>
      <c r="BE1840" s="70"/>
      <c r="BF1840" s="70"/>
    </row>
    <row r="1841" spans="1:58" s="71" customFormat="1" ht="15" customHeight="1">
      <c r="A1841" s="555"/>
      <c r="B1841" s="217"/>
      <c r="C1841" s="217">
        <v>63</v>
      </c>
      <c r="D1841" s="101"/>
      <c r="E1841" s="217"/>
      <c r="F1841" s="294" t="s">
        <v>275</v>
      </c>
      <c r="G1841" s="295" t="str">
        <f>VLOOKUP(F1841,'GL Category'!A:C,3,FALSE)</f>
        <v>Operations &amp; maintenance</v>
      </c>
      <c r="H1841" s="98" t="str">
        <f>VLOOKUP(F1841,'GL Category'!A:C,2,FALSE)</f>
        <v>CHEMICAL SUPPLIES</v>
      </c>
      <c r="I1841" s="99">
        <f>SUMIFS(I$1:I1836,$C$1:$C1836,$C1841,$F$1:$F1836,$F1841)</f>
        <v>2779.42</v>
      </c>
      <c r="J1841" s="99">
        <f>SUMIFS(J$1:J1836,$C$1:$C1836,$C1841,$F$1:$F1836,$F1841)</f>
        <v>2970.38</v>
      </c>
      <c r="K1841" s="99">
        <f>SUMIFS(K$1:K1836,$C$1:$C1836,$C1841,$F$1:$F1836,$F1841)</f>
        <v>4804.7299999999996</v>
      </c>
      <c r="L1841" s="99">
        <f>SUMIFS(L$1:L1836,$C$1:$C1836,$C1841,$F$1:$F1836,$F1841)</f>
        <v>3326.8999999999996</v>
      </c>
      <c r="M1841" s="99">
        <f>SUMIFS(M$1:M1836,$C$1:$C1836,$C1841,$F$1:$F1836,$F1841)</f>
        <v>3500</v>
      </c>
      <c r="N1841" s="99">
        <f>SUMIFS(N$1:N1836,$C$1:$C1836,$C1841,$F$1:$F1836,$F1841)</f>
        <v>1240.3899999999999</v>
      </c>
      <c r="O1841" s="99">
        <f>SUMIFS(O$1:O1836,$C$1:$C1836,$C1841,$F$1:$F1836,$F1841)</f>
        <v>2750</v>
      </c>
      <c r="P1841" s="99">
        <f t="shared" si="2311"/>
        <v>-750</v>
      </c>
      <c r="Q1841" s="99">
        <f>SUMIFS(Q$1:Q1836,$C$1:$C1836,$C1841,$F$1:$F1836,$F1841)</f>
        <v>3250</v>
      </c>
      <c r="R1841" s="99">
        <f>SUMIFS(R$1:R1836,$C$1:$C1836,$C1841,$F$1:$F1836,$F1841)</f>
        <v>0</v>
      </c>
      <c r="S1841" s="99">
        <f>SUMIFS(S$1:S1836,$C$1:$C1836,$C1841,$F$1:$F1836,$F1841)</f>
        <v>0</v>
      </c>
      <c r="T1841" s="99">
        <f>SUMIFS(T$1:T1836,$C$1:$C1836,$C1841,$F$1:$F1836,$F1841)</f>
        <v>3250</v>
      </c>
      <c r="U1841" s="99">
        <f t="shared" si="2312"/>
        <v>-250</v>
      </c>
      <c r="V1841" s="255">
        <f t="shared" si="2313"/>
        <v>-7.1428571428571397E-2</v>
      </c>
      <c r="W1841" s="102"/>
      <c r="X1841" s="102"/>
      <c r="Y1841" s="102">
        <f t="shared" si="2314"/>
        <v>3250</v>
      </c>
      <c r="Z1841" s="309">
        <f>Y1841*(1+VLOOKUP($F1841,'GL Category'!$A:$H,4,FALSE))</f>
        <v>3315</v>
      </c>
      <c r="AA1841" s="615"/>
      <c r="AB1841" s="622">
        <f t="shared" si="2315"/>
        <v>3315</v>
      </c>
      <c r="AC1841" s="633">
        <f>AB1841*(1+VLOOKUP($F1841,'GL Category'!$A:$H,5,FALSE))</f>
        <v>3381.3</v>
      </c>
      <c r="AD1841" s="307"/>
      <c r="AE1841" s="622">
        <f t="shared" si="2316"/>
        <v>3381.3</v>
      </c>
      <c r="AF1841" s="633">
        <f>AE1841*(1+VLOOKUP($F1841,'GL Category'!$A:$H,6,FALSE))</f>
        <v>3448.9260000000004</v>
      </c>
      <c r="AG1841" s="307"/>
      <c r="AH1841" s="622">
        <f t="shared" si="2317"/>
        <v>3448.9260000000004</v>
      </c>
      <c r="AI1841" s="633">
        <f>AH1841*(1+VLOOKUP($F1841,'GL Category'!$A:$H,7,FALSE))</f>
        <v>3517.9045200000005</v>
      </c>
      <c r="AJ1841" s="307"/>
      <c r="AK1841" s="622">
        <f t="shared" si="2318"/>
        <v>3517.9045200000005</v>
      </c>
      <c r="AL1841" s="633">
        <f>AK1841*(1+VLOOKUP($F1841,'GL Category'!$A:$H,8,FALSE))</f>
        <v>3588.2626104000005</v>
      </c>
      <c r="AM1841" s="307"/>
      <c r="AN1841" s="622">
        <f t="shared" si="2319"/>
        <v>3588.2626104000005</v>
      </c>
      <c r="AO1841" s="97"/>
      <c r="AP1841" s="97"/>
      <c r="AQ1841" s="97"/>
      <c r="AR1841" s="70"/>
      <c r="AS1841" s="70"/>
      <c r="AT1841" s="70"/>
      <c r="AU1841" s="70"/>
      <c r="AV1841" s="70"/>
      <c r="AW1841" s="70"/>
      <c r="AX1841" s="70"/>
      <c r="AY1841" s="70"/>
      <c r="AZ1841" s="70"/>
      <c r="BA1841" s="70"/>
      <c r="BB1841" s="70"/>
      <c r="BC1841" s="70"/>
      <c r="BD1841" s="70"/>
      <c r="BE1841" s="70"/>
      <c r="BF1841" s="70"/>
    </row>
    <row r="1842" spans="1:58" s="71" customFormat="1" ht="15" customHeight="1">
      <c r="A1842" s="555"/>
      <c r="B1842" s="217"/>
      <c r="C1842" s="217">
        <v>63</v>
      </c>
      <c r="D1842" s="101"/>
      <c r="E1842" s="217"/>
      <c r="F1842" s="294" t="s">
        <v>164</v>
      </c>
      <c r="G1842" s="295" t="str">
        <f>VLOOKUP(F1842,'GL Category'!A:C,3,FALSE)</f>
        <v>Operations &amp; maintenance</v>
      </c>
      <c r="H1842" s="98" t="str">
        <f>VLOOKUP(F1842,'GL Category'!A:C,2,FALSE)</f>
        <v>BUILDING MATERIALS &amp; SUPPLIES</v>
      </c>
      <c r="I1842" s="99">
        <f>SUMIFS(I$1:I1836,$C$1:$C1836,$C1842,$F$1:$F1836,$F1842)</f>
        <v>0</v>
      </c>
      <c r="J1842" s="99">
        <f>SUMIFS(J$1:J1836,$C$1:$C1836,$C1842,$F$1:$F1836,$F1842)</f>
        <v>0</v>
      </c>
      <c r="K1842" s="99">
        <f>SUMIFS(K$1:K1836,$C$1:$C1836,$C1842,$F$1:$F1836,$F1842)</f>
        <v>0</v>
      </c>
      <c r="L1842" s="99">
        <f>SUMIFS(L$1:L1836,$C$1:$C1836,$C1842,$F$1:$F1836,$F1842)</f>
        <v>0</v>
      </c>
      <c r="M1842" s="99">
        <f>SUMIFS(M$1:M1836,$C$1:$C1836,$C1842,$F$1:$F1836,$F1842)</f>
        <v>0</v>
      </c>
      <c r="N1842" s="99">
        <f>SUMIFS(N$1:N1836,$C$1:$C1836,$C1842,$F$1:$F1836,$F1842)</f>
        <v>0</v>
      </c>
      <c r="O1842" s="99">
        <f>SUMIFS(O$1:O1836,$C$1:$C1836,$C1842,$F$1:$F1836,$F1842)</f>
        <v>0</v>
      </c>
      <c r="P1842" s="99">
        <f t="shared" si="2311"/>
        <v>0</v>
      </c>
      <c r="Q1842" s="99">
        <f>SUMIFS(Q$1:Q1836,$C$1:$C1836,$C1842,$F$1:$F1836,$F1842)</f>
        <v>0</v>
      </c>
      <c r="R1842" s="99">
        <f>SUMIFS(R$1:R1836,$C$1:$C1836,$C1842,$F$1:$F1836,$F1842)</f>
        <v>0</v>
      </c>
      <c r="S1842" s="99">
        <f>SUMIFS(S$1:S1836,$C$1:$C1836,$C1842,$F$1:$F1836,$F1842)</f>
        <v>0</v>
      </c>
      <c r="T1842" s="99">
        <f>SUMIFS(T$1:T1836,$C$1:$C1836,$C1842,$F$1:$F1836,$F1842)</f>
        <v>0</v>
      </c>
      <c r="U1842" s="99">
        <f t="shared" si="2312"/>
        <v>0</v>
      </c>
      <c r="V1842" s="255" t="str">
        <f t="shared" si="2313"/>
        <v>N/A</v>
      </c>
      <c r="W1842" s="102"/>
      <c r="X1842" s="102"/>
      <c r="Y1842" s="102">
        <f t="shared" si="2314"/>
        <v>0</v>
      </c>
      <c r="Z1842" s="309">
        <f>Y1842*(1+VLOOKUP($F1842,'GL Category'!$A:$H,4,FALSE))</f>
        <v>0</v>
      </c>
      <c r="AA1842" s="615"/>
      <c r="AB1842" s="622">
        <f t="shared" si="2315"/>
        <v>0</v>
      </c>
      <c r="AC1842" s="633">
        <f>AB1842*(1+VLOOKUP($F1842,'GL Category'!$A:$H,5,FALSE))</f>
        <v>0</v>
      </c>
      <c r="AD1842" s="307"/>
      <c r="AE1842" s="622">
        <f t="shared" si="2316"/>
        <v>0</v>
      </c>
      <c r="AF1842" s="633">
        <f>AE1842*(1+VLOOKUP($F1842,'GL Category'!$A:$H,6,FALSE))</f>
        <v>0</v>
      </c>
      <c r="AG1842" s="307"/>
      <c r="AH1842" s="622">
        <f t="shared" si="2317"/>
        <v>0</v>
      </c>
      <c r="AI1842" s="633">
        <f>AH1842*(1+VLOOKUP($F1842,'GL Category'!$A:$H,7,FALSE))</f>
        <v>0</v>
      </c>
      <c r="AJ1842" s="307"/>
      <c r="AK1842" s="622">
        <f t="shared" si="2318"/>
        <v>0</v>
      </c>
      <c r="AL1842" s="633">
        <f>AK1842*(1+VLOOKUP($F1842,'GL Category'!$A:$H,8,FALSE))</f>
        <v>0</v>
      </c>
      <c r="AM1842" s="307"/>
      <c r="AN1842" s="622">
        <f t="shared" si="2319"/>
        <v>0</v>
      </c>
      <c r="AO1842" s="97"/>
      <c r="AP1842" s="97"/>
      <c r="AQ1842" s="97"/>
      <c r="AR1842" s="70"/>
      <c r="AS1842" s="70"/>
      <c r="AT1842" s="70"/>
      <c r="AU1842" s="70"/>
      <c r="AV1842" s="70"/>
      <c r="AW1842" s="70"/>
      <c r="AX1842" s="70"/>
      <c r="AY1842" s="70"/>
      <c r="AZ1842" s="70"/>
      <c r="BA1842" s="70"/>
      <c r="BB1842" s="70"/>
      <c r="BC1842" s="70"/>
      <c r="BD1842" s="70"/>
      <c r="BE1842" s="70"/>
      <c r="BF1842" s="70"/>
    </row>
    <row r="1843" spans="1:58" s="71" customFormat="1" ht="15" customHeight="1">
      <c r="A1843" s="555"/>
      <c r="B1843" s="217"/>
      <c r="C1843" s="217">
        <v>63</v>
      </c>
      <c r="D1843" s="101"/>
      <c r="E1843" s="217"/>
      <c r="F1843" s="294" t="s">
        <v>166</v>
      </c>
      <c r="G1843" s="295" t="str">
        <f>VLOOKUP(F1843,'GL Category'!A:C,3,FALSE)</f>
        <v>Operations &amp; maintenance</v>
      </c>
      <c r="H1843" s="98" t="str">
        <f>VLOOKUP(F1843,'GL Category'!A:C,2,FALSE)</f>
        <v>WEARING APPAREL</v>
      </c>
      <c r="I1843" s="99">
        <f>SUMIFS(I$1:I1837,$C$1:$C1837,$C1843,$F$1:$F1837,$F1843)</f>
        <v>6131.3700000000008</v>
      </c>
      <c r="J1843" s="99">
        <f>SUMIFS(J$1:J1837,$C$1:$C1837,$C1843,$F$1:$F1837,$F1843)</f>
        <v>9207.2000000000007</v>
      </c>
      <c r="K1843" s="99">
        <f>SUMIFS(K$1:K1837,$C$1:$C1837,$C1843,$F$1:$F1837,$F1843)</f>
        <v>9237.9600000000009</v>
      </c>
      <c r="L1843" s="99">
        <f>SUMIFS(L$1:L1837,$C$1:$C1837,$C1843,$F$1:$F1837,$F1843)</f>
        <v>8173.84</v>
      </c>
      <c r="M1843" s="99">
        <f>SUMIFS(M$1:M1837,$C$1:$C1837,$C1843,$F$1:$F1837,$F1843)</f>
        <v>8799</v>
      </c>
      <c r="N1843" s="99">
        <f>SUMIFS(N$1:N1837,$C$1:$C1837,$C1843,$F$1:$F1837,$F1843)</f>
        <v>7070.33</v>
      </c>
      <c r="O1843" s="99">
        <f>SUMIFS(O$1:O1837,$C$1:$C1837,$C1843,$F$1:$F1837,$F1843)</f>
        <v>9749</v>
      </c>
      <c r="P1843" s="99">
        <f t="shared" si="2311"/>
        <v>950</v>
      </c>
      <c r="Q1843" s="99">
        <f>SUMIFS(Q$1:Q1837,$C$1:$C1837,$C1843,$F$1:$F1837,$F1843)</f>
        <v>8799</v>
      </c>
      <c r="R1843" s="99">
        <f>SUMIFS(R$1:R1837,$C$1:$C1837,$C1843,$F$1:$F1837,$F1843)</f>
        <v>0</v>
      </c>
      <c r="S1843" s="99">
        <f>SUMIFS(S$1:S1837,$C$1:$C1837,$C1843,$F$1:$F1837,$F1843)</f>
        <v>0</v>
      </c>
      <c r="T1843" s="99">
        <f>SUMIFS(T$1:T1837,$C$1:$C1837,$C1843,$F$1:$F1837,$F1843)</f>
        <v>8799</v>
      </c>
      <c r="U1843" s="99">
        <f t="shared" si="2312"/>
        <v>0</v>
      </c>
      <c r="V1843" s="255">
        <f t="shared" si="2313"/>
        <v>0</v>
      </c>
      <c r="W1843" s="102"/>
      <c r="X1843" s="102"/>
      <c r="Y1843" s="102">
        <f t="shared" si="2314"/>
        <v>8799</v>
      </c>
      <c r="Z1843" s="309">
        <f>Y1843*(1+VLOOKUP($F1843,'GL Category'!$A:$H,4,FALSE))</f>
        <v>8974.98</v>
      </c>
      <c r="AA1843" s="615"/>
      <c r="AB1843" s="622">
        <f t="shared" si="2315"/>
        <v>8974.98</v>
      </c>
      <c r="AC1843" s="633">
        <f>AB1843*(1+VLOOKUP($F1843,'GL Category'!$A:$H,5,FALSE))</f>
        <v>9154.4796000000006</v>
      </c>
      <c r="AD1843" s="307"/>
      <c r="AE1843" s="622">
        <f t="shared" si="2316"/>
        <v>9154.4796000000006</v>
      </c>
      <c r="AF1843" s="633">
        <f>AE1843*(1+VLOOKUP($F1843,'GL Category'!$A:$H,6,FALSE))</f>
        <v>9337.5691920000008</v>
      </c>
      <c r="AG1843" s="307"/>
      <c r="AH1843" s="622">
        <f t="shared" si="2317"/>
        <v>9337.5691920000008</v>
      </c>
      <c r="AI1843" s="633">
        <f>AH1843*(1+VLOOKUP($F1843,'GL Category'!$A:$H,7,FALSE))</f>
        <v>9524.3205758400018</v>
      </c>
      <c r="AJ1843" s="307"/>
      <c r="AK1843" s="622">
        <f t="shared" si="2318"/>
        <v>9524.3205758400018</v>
      </c>
      <c r="AL1843" s="633">
        <f>AK1843*(1+VLOOKUP($F1843,'GL Category'!$A:$H,8,FALSE))</f>
        <v>9714.806987356802</v>
      </c>
      <c r="AM1843" s="307"/>
      <c r="AN1843" s="622">
        <f t="shared" si="2319"/>
        <v>9714.806987356802</v>
      </c>
      <c r="AO1843" s="97"/>
      <c r="AP1843" s="97"/>
      <c r="AQ1843" s="97"/>
      <c r="AR1843" s="70"/>
      <c r="AS1843" s="70"/>
      <c r="AT1843" s="70"/>
      <c r="AU1843" s="70"/>
      <c r="AV1843" s="70"/>
      <c r="AW1843" s="70"/>
      <c r="AX1843" s="70"/>
      <c r="AY1843" s="70"/>
      <c r="AZ1843" s="70"/>
      <c r="BA1843" s="70"/>
      <c r="BB1843" s="70"/>
      <c r="BC1843" s="70"/>
      <c r="BD1843" s="70"/>
      <c r="BE1843" s="70"/>
      <c r="BF1843" s="70"/>
    </row>
    <row r="1844" spans="1:58" s="71" customFormat="1" ht="15" customHeight="1">
      <c r="A1844" s="555"/>
      <c r="B1844" s="217"/>
      <c r="C1844" s="217">
        <v>63</v>
      </c>
      <c r="D1844" s="101"/>
      <c r="E1844" s="217"/>
      <c r="F1844" s="294" t="s">
        <v>273</v>
      </c>
      <c r="G1844" s="295" t="str">
        <f>VLOOKUP(F1844,'GL Category'!A:C,3,FALSE)</f>
        <v>Operations &amp; maintenance</v>
      </c>
      <c r="H1844" s="98" t="str">
        <f>VLOOKUP(F1844,'GL Category'!A:C,2,FALSE)</f>
        <v>SAFETY EQUIPMENT/SUPPLIES</v>
      </c>
      <c r="I1844" s="99">
        <f>SUMIFS(I$1:I1838,$C$1:$C1838,$C1844,$F$1:$F1838,$F1844)</f>
        <v>1383.46</v>
      </c>
      <c r="J1844" s="99">
        <f>SUMIFS(J$1:J1838,$C$1:$C1838,$C1844,$F$1:$F1838,$F1844)</f>
        <v>910.81999999999994</v>
      </c>
      <c r="K1844" s="99">
        <f>SUMIFS(K$1:K1838,$C$1:$C1838,$C1844,$F$1:$F1838,$F1844)</f>
        <v>3463</v>
      </c>
      <c r="L1844" s="99">
        <f>SUMIFS(L$1:L1838,$C$1:$C1838,$C1844,$F$1:$F1838,$F1844)</f>
        <v>4355.66</v>
      </c>
      <c r="M1844" s="99">
        <f>SUMIFS(M$1:M1838,$C$1:$C1838,$C1844,$F$1:$F1838,$F1844)</f>
        <v>2500</v>
      </c>
      <c r="N1844" s="99">
        <f>SUMIFS(N$1:N1838,$C$1:$C1838,$C1844,$F$1:$F1838,$F1844)</f>
        <v>2282.75</v>
      </c>
      <c r="O1844" s="99">
        <f>SUMIFS(O$1:O1838,$C$1:$C1838,$C1844,$F$1:$F1838,$F1844)</f>
        <v>3900</v>
      </c>
      <c r="P1844" s="99">
        <f t="shared" si="2311"/>
        <v>1400</v>
      </c>
      <c r="Q1844" s="99">
        <f>SUMIFS(Q$1:Q1838,$C$1:$C1838,$C1844,$F$1:$F1838,$F1844)</f>
        <v>4000</v>
      </c>
      <c r="R1844" s="99">
        <f>SUMIFS(R$1:R1838,$C$1:$C1838,$C1844,$F$1:$F1838,$F1844)</f>
        <v>0</v>
      </c>
      <c r="S1844" s="99">
        <f>SUMIFS(S$1:S1838,$C$1:$C1838,$C1844,$F$1:$F1838,$F1844)</f>
        <v>0</v>
      </c>
      <c r="T1844" s="99">
        <f>SUMIFS(T$1:T1838,$C$1:$C1838,$C1844,$F$1:$F1838,$F1844)</f>
        <v>4000</v>
      </c>
      <c r="U1844" s="99">
        <f t="shared" si="2312"/>
        <v>1500</v>
      </c>
      <c r="V1844" s="255">
        <f t="shared" si="2313"/>
        <v>0.60000000000000009</v>
      </c>
      <c r="W1844" s="102"/>
      <c r="X1844" s="102"/>
      <c r="Y1844" s="102">
        <f t="shared" si="2314"/>
        <v>4000</v>
      </c>
      <c r="Z1844" s="309">
        <f>Y1844*(1+VLOOKUP($F1844,'GL Category'!$A:$H,4,FALSE))</f>
        <v>4080</v>
      </c>
      <c r="AA1844" s="615"/>
      <c r="AB1844" s="622">
        <f t="shared" si="2315"/>
        <v>4080</v>
      </c>
      <c r="AC1844" s="633">
        <f>AB1844*(1+VLOOKUP($F1844,'GL Category'!$A:$H,5,FALSE))</f>
        <v>4161.6000000000004</v>
      </c>
      <c r="AD1844" s="307"/>
      <c r="AE1844" s="622">
        <f t="shared" si="2316"/>
        <v>4161.6000000000004</v>
      </c>
      <c r="AF1844" s="633">
        <f>AE1844*(1+VLOOKUP($F1844,'GL Category'!$A:$H,6,FALSE))</f>
        <v>4244.8320000000003</v>
      </c>
      <c r="AG1844" s="307"/>
      <c r="AH1844" s="622">
        <f t="shared" si="2317"/>
        <v>4244.8320000000003</v>
      </c>
      <c r="AI1844" s="633">
        <f>AH1844*(1+VLOOKUP($F1844,'GL Category'!$A:$H,7,FALSE))</f>
        <v>4329.7286400000003</v>
      </c>
      <c r="AJ1844" s="307"/>
      <c r="AK1844" s="622">
        <f t="shared" si="2318"/>
        <v>4329.7286400000003</v>
      </c>
      <c r="AL1844" s="633">
        <f>AK1844*(1+VLOOKUP($F1844,'GL Category'!$A:$H,8,FALSE))</f>
        <v>4416.3232128</v>
      </c>
      <c r="AM1844" s="307"/>
      <c r="AN1844" s="622">
        <f t="shared" si="2319"/>
        <v>4416.3232128</v>
      </c>
      <c r="AO1844" s="97"/>
      <c r="AP1844" s="97"/>
      <c r="AQ1844" s="97"/>
      <c r="AR1844" s="70"/>
      <c r="AS1844" s="70"/>
      <c r="AT1844" s="70"/>
      <c r="AU1844" s="70"/>
      <c r="AV1844" s="70"/>
      <c r="AW1844" s="70"/>
      <c r="AX1844" s="70"/>
      <c r="AY1844" s="70"/>
      <c r="AZ1844" s="70"/>
      <c r="BA1844" s="70"/>
      <c r="BB1844" s="70"/>
      <c r="BC1844" s="70"/>
      <c r="BD1844" s="70"/>
      <c r="BE1844" s="70"/>
      <c r="BF1844" s="70"/>
    </row>
    <row r="1845" spans="1:58" s="71" customFormat="1" ht="15" customHeight="1">
      <c r="A1845" s="555"/>
      <c r="B1845" s="217"/>
      <c r="C1845" s="217">
        <v>63</v>
      </c>
      <c r="D1845" s="101"/>
      <c r="E1845" s="217"/>
      <c r="F1845" s="294" t="s">
        <v>168</v>
      </c>
      <c r="G1845" s="295" t="str">
        <f>VLOOKUP(F1845,'GL Category'!A:C,3,FALSE)</f>
        <v>Operations &amp; maintenance</v>
      </c>
      <c r="H1845" s="98" t="str">
        <f>VLOOKUP(F1845,'GL Category'!A:C,2,FALSE)</f>
        <v>MISCELLANEOUS SUPPLIES</v>
      </c>
      <c r="I1845" s="99">
        <f>SUMIFS(I$1:I1839,$C$1:$C1839,$C1845,$F$1:$F1839,$F1845)</f>
        <v>884.23</v>
      </c>
      <c r="J1845" s="99">
        <f>SUMIFS(J$1:J1839,$C$1:$C1839,$C1845,$F$1:$F1839,$F1845)</f>
        <v>242.92</v>
      </c>
      <c r="K1845" s="99">
        <f>SUMIFS(K$1:K1839,$C$1:$C1839,$C1845,$F$1:$F1839,$F1845)</f>
        <v>486.69</v>
      </c>
      <c r="L1845" s="99">
        <f>SUMIFS(L$1:L1839,$C$1:$C1839,$C1845,$F$1:$F1839,$F1845)</f>
        <v>4584.1499999999996</v>
      </c>
      <c r="M1845" s="99">
        <f>SUMIFS(M$1:M1839,$C$1:$C1839,$C1845,$F$1:$F1839,$F1845)</f>
        <v>8500</v>
      </c>
      <c r="N1845" s="99">
        <f>SUMIFS(N$1:N1839,$C$1:$C1839,$C1845,$F$1:$F1839,$F1845)</f>
        <v>3970.99</v>
      </c>
      <c r="O1845" s="99">
        <f>SUMIFS(O$1:O1839,$C$1:$C1839,$C1845,$F$1:$F1839,$F1845)</f>
        <v>8500</v>
      </c>
      <c r="P1845" s="99">
        <f t="shared" si="2311"/>
        <v>0</v>
      </c>
      <c r="Q1845" s="99">
        <f>SUMIFS(Q$1:Q1839,$C$1:$C1839,$C1845,$F$1:$F1839,$F1845)</f>
        <v>8500</v>
      </c>
      <c r="R1845" s="99">
        <f>SUMIFS(R$1:R1839,$C$1:$C1839,$C1845,$F$1:$F1839,$F1845)</f>
        <v>0</v>
      </c>
      <c r="S1845" s="99">
        <f>SUMIFS(S$1:S1839,$C$1:$C1839,$C1845,$F$1:$F1839,$F1845)</f>
        <v>0</v>
      </c>
      <c r="T1845" s="99">
        <f>SUMIFS(T$1:T1839,$C$1:$C1839,$C1845,$F$1:$F1839,$F1845)</f>
        <v>8500</v>
      </c>
      <c r="U1845" s="99">
        <f t="shared" si="2312"/>
        <v>0</v>
      </c>
      <c r="V1845" s="255">
        <f t="shared" si="2313"/>
        <v>0</v>
      </c>
      <c r="W1845" s="102"/>
      <c r="X1845" s="102"/>
      <c r="Y1845" s="102">
        <f t="shared" si="2314"/>
        <v>8500</v>
      </c>
      <c r="Z1845" s="309">
        <f>Y1845*(1+VLOOKUP($F1845,'GL Category'!$A:$H,4,FALSE))</f>
        <v>8670</v>
      </c>
      <c r="AA1845" s="615"/>
      <c r="AB1845" s="622">
        <f t="shared" si="2315"/>
        <v>8670</v>
      </c>
      <c r="AC1845" s="633">
        <f>AB1845*(1+VLOOKUP($F1845,'GL Category'!$A:$H,5,FALSE))</f>
        <v>8843.4</v>
      </c>
      <c r="AD1845" s="307"/>
      <c r="AE1845" s="622">
        <f t="shared" si="2316"/>
        <v>8843.4</v>
      </c>
      <c r="AF1845" s="633">
        <f>AE1845*(1+VLOOKUP($F1845,'GL Category'!$A:$H,6,FALSE))</f>
        <v>9020.268</v>
      </c>
      <c r="AG1845" s="307"/>
      <c r="AH1845" s="622">
        <f t="shared" si="2317"/>
        <v>9020.268</v>
      </c>
      <c r="AI1845" s="633">
        <f>AH1845*(1+VLOOKUP($F1845,'GL Category'!$A:$H,7,FALSE))</f>
        <v>9200.6733600000007</v>
      </c>
      <c r="AJ1845" s="307"/>
      <c r="AK1845" s="622">
        <f t="shared" si="2318"/>
        <v>9200.6733600000007</v>
      </c>
      <c r="AL1845" s="633">
        <f>AK1845*(1+VLOOKUP($F1845,'GL Category'!$A:$H,8,FALSE))</f>
        <v>9384.6868272000011</v>
      </c>
      <c r="AM1845" s="307"/>
      <c r="AN1845" s="622">
        <f t="shared" si="2319"/>
        <v>9384.6868272000011</v>
      </c>
      <c r="AO1845" s="97"/>
      <c r="AP1845" s="97"/>
      <c r="AQ1845" s="97"/>
      <c r="AR1845" s="70"/>
      <c r="AS1845" s="70"/>
      <c r="AT1845" s="70"/>
      <c r="AU1845" s="70"/>
      <c r="AV1845" s="70"/>
      <c r="AW1845" s="70"/>
      <c r="AX1845" s="70"/>
      <c r="AY1845" s="70"/>
      <c r="AZ1845" s="70"/>
      <c r="BA1845" s="70"/>
      <c r="BB1845" s="70"/>
      <c r="BC1845" s="70"/>
      <c r="BD1845" s="70"/>
      <c r="BE1845" s="70"/>
      <c r="BF1845" s="70"/>
    </row>
    <row r="1846" spans="1:58" s="71" customFormat="1" ht="15" customHeight="1">
      <c r="A1846" s="555"/>
      <c r="B1846" s="217"/>
      <c r="C1846" s="217">
        <v>63</v>
      </c>
      <c r="D1846" s="101"/>
      <c r="E1846" s="217"/>
      <c r="F1846" s="294" t="s">
        <v>170</v>
      </c>
      <c r="G1846" s="295" t="str">
        <f>VLOOKUP(F1846,'GL Category'!A:C,3,FALSE)</f>
        <v>Operations &amp; maintenance</v>
      </c>
      <c r="H1846" s="98" t="str">
        <f>VLOOKUP(F1846,'GL Category'!A:C,2,FALSE)</f>
        <v>BUILDING MAINTENANCE</v>
      </c>
      <c r="I1846" s="99">
        <f>SUMIFS(I$1:I1840,$C$1:$C1840,$C1846,$F$1:$F1840,$F1846)</f>
        <v>31433.53</v>
      </c>
      <c r="J1846" s="99">
        <f>SUMIFS(J$1:J1840,$C$1:$C1840,$C1846,$F$1:$F1840,$F1846)</f>
        <v>34539.11</v>
      </c>
      <c r="K1846" s="99">
        <f>SUMIFS(K$1:K1840,$C$1:$C1840,$C1846,$F$1:$F1840,$F1846)</f>
        <v>24510.18</v>
      </c>
      <c r="L1846" s="99">
        <f>SUMIFS(L$1:L1840,$C$1:$C1840,$C1846,$F$1:$F1840,$F1846)</f>
        <v>34951.74</v>
      </c>
      <c r="M1846" s="99">
        <f>SUMIFS(M$1:M1840,$C$1:$C1840,$C1846,$F$1:$F1840,$F1846)</f>
        <v>34555</v>
      </c>
      <c r="N1846" s="99">
        <f>SUMIFS(N$1:N1840,$C$1:$C1840,$C1846,$F$1:$F1840,$F1846)</f>
        <v>33884.19</v>
      </c>
      <c r="O1846" s="99">
        <f>SUMIFS(O$1:O1840,$C$1:$C1840,$C1846,$F$1:$F1840,$F1846)</f>
        <v>40055</v>
      </c>
      <c r="P1846" s="99">
        <f t="shared" si="2311"/>
        <v>5500</v>
      </c>
      <c r="Q1846" s="99">
        <f>SUMIFS(Q$1:Q1840,$C$1:$C1840,$C1846,$F$1:$F1840,$F1846)</f>
        <v>36555</v>
      </c>
      <c r="R1846" s="99">
        <f>SUMIFS(R$1:R1840,$C$1:$C1840,$C1846,$F$1:$F1840,$F1846)</f>
        <v>0</v>
      </c>
      <c r="S1846" s="99">
        <f>SUMIFS(S$1:S1840,$C$1:$C1840,$C1846,$F$1:$F1840,$F1846)</f>
        <v>0</v>
      </c>
      <c r="T1846" s="99">
        <f>SUMIFS(T$1:T1840,$C$1:$C1840,$C1846,$F$1:$F1840,$F1846)</f>
        <v>36555</v>
      </c>
      <c r="U1846" s="99">
        <f t="shared" si="2312"/>
        <v>2000</v>
      </c>
      <c r="V1846" s="255">
        <f t="shared" si="2313"/>
        <v>5.7878744031254481E-2</v>
      </c>
      <c r="W1846" s="102"/>
      <c r="X1846" s="102"/>
      <c r="Y1846" s="102">
        <f t="shared" si="2314"/>
        <v>36555</v>
      </c>
      <c r="Z1846" s="309">
        <f>Y1846*(1+VLOOKUP($F1846,'GL Category'!$A:$H,4,FALSE))</f>
        <v>37286.1</v>
      </c>
      <c r="AA1846" s="615"/>
      <c r="AB1846" s="622">
        <f t="shared" si="2315"/>
        <v>37286.1</v>
      </c>
      <c r="AC1846" s="633">
        <f>AB1846*(1+VLOOKUP($F1846,'GL Category'!$A:$H,5,FALSE))</f>
        <v>38031.822</v>
      </c>
      <c r="AD1846" s="307"/>
      <c r="AE1846" s="622">
        <f t="shared" si="2316"/>
        <v>38031.822</v>
      </c>
      <c r="AF1846" s="633">
        <f>AE1846*(1+VLOOKUP($F1846,'GL Category'!$A:$H,6,FALSE))</f>
        <v>38792.458440000002</v>
      </c>
      <c r="AG1846" s="307"/>
      <c r="AH1846" s="622">
        <f t="shared" si="2317"/>
        <v>38792.458440000002</v>
      </c>
      <c r="AI1846" s="633">
        <f>AH1846*(1+VLOOKUP($F1846,'GL Category'!$A:$H,7,FALSE))</f>
        <v>39568.307608800002</v>
      </c>
      <c r="AJ1846" s="307"/>
      <c r="AK1846" s="622">
        <f t="shared" si="2318"/>
        <v>39568.307608800002</v>
      </c>
      <c r="AL1846" s="633">
        <f>AK1846*(1+VLOOKUP($F1846,'GL Category'!$A:$H,8,FALSE))</f>
        <v>40359.673760976002</v>
      </c>
      <c r="AM1846" s="307"/>
      <c r="AN1846" s="622">
        <f t="shared" si="2319"/>
        <v>40359.673760976002</v>
      </c>
      <c r="AO1846" s="97"/>
      <c r="AP1846" s="97"/>
      <c r="AQ1846" s="97"/>
      <c r="AR1846" s="70"/>
      <c r="AS1846" s="70"/>
      <c r="AT1846" s="70"/>
      <c r="AU1846" s="70"/>
      <c r="AV1846" s="70"/>
      <c r="AW1846" s="70"/>
      <c r="AX1846" s="70"/>
      <c r="AY1846" s="70"/>
      <c r="AZ1846" s="70"/>
      <c r="BA1846" s="70"/>
      <c r="BB1846" s="70"/>
      <c r="BC1846" s="70"/>
      <c r="BD1846" s="70"/>
      <c r="BE1846" s="70"/>
      <c r="BF1846" s="70"/>
    </row>
    <row r="1847" spans="1:58" s="71" customFormat="1" ht="15" customHeight="1">
      <c r="A1847" s="555"/>
      <c r="B1847" s="217"/>
      <c r="C1847" s="217">
        <v>63</v>
      </c>
      <c r="D1847" s="101"/>
      <c r="E1847" s="217"/>
      <c r="F1847" s="294" t="s">
        <v>172</v>
      </c>
      <c r="G1847" s="295" t="str">
        <f>VLOOKUP(F1847,'GL Category'!A:C,3,FALSE)</f>
        <v>Operations &amp; maintenance</v>
      </c>
      <c r="H1847" s="98" t="str">
        <f>VLOOKUP(F1847,'GL Category'!A:C,2,FALSE)</f>
        <v>GROUNDS MAINTENANCE</v>
      </c>
      <c r="I1847" s="99">
        <f>SUMIFS(I$1:I1841,$C$1:$C1841,$C1847,$F$1:$F1841,$F1847)</f>
        <v>249723.03999999998</v>
      </c>
      <c r="J1847" s="99">
        <f>SUMIFS(J$1:J1841,$C$1:$C1841,$C1847,$F$1:$F1841,$F1847)</f>
        <v>258505.31</v>
      </c>
      <c r="K1847" s="99">
        <f>SUMIFS(K$1:K1841,$C$1:$C1841,$C1847,$F$1:$F1841,$F1847)</f>
        <v>228663.18000000002</v>
      </c>
      <c r="L1847" s="99">
        <f>SUMIFS(L$1:L1841,$C$1:$C1841,$C1847,$F$1:$F1841,$F1847)</f>
        <v>257839.13</v>
      </c>
      <c r="M1847" s="99">
        <f>SUMIFS(M$1:M1841,$C$1:$C1841,$C1847,$F$1:$F1841,$F1847)</f>
        <v>245000</v>
      </c>
      <c r="N1847" s="99">
        <f>SUMIFS(N$1:N1841,$C$1:$C1841,$C1847,$F$1:$F1841,$F1847)</f>
        <v>178631.15</v>
      </c>
      <c r="O1847" s="99">
        <f>SUMIFS(O$1:O1841,$C$1:$C1841,$C1847,$F$1:$F1841,$F1847)</f>
        <v>238500</v>
      </c>
      <c r="P1847" s="99">
        <f t="shared" si="2311"/>
        <v>-6500</v>
      </c>
      <c r="Q1847" s="99">
        <f>SUMIFS(Q$1:Q1841,$C$1:$C1841,$C1847,$F$1:$F1841,$F1847)</f>
        <v>238500</v>
      </c>
      <c r="R1847" s="99">
        <f>SUMIFS(R$1:R1841,$C$1:$C1841,$C1847,$F$1:$F1841,$F1847)</f>
        <v>0</v>
      </c>
      <c r="S1847" s="99">
        <f>SUMIFS(S$1:S1841,$C$1:$C1841,$C1847,$F$1:$F1841,$F1847)</f>
        <v>0</v>
      </c>
      <c r="T1847" s="99">
        <f>SUMIFS(T$1:T1841,$C$1:$C1841,$C1847,$F$1:$F1841,$F1847)</f>
        <v>238500</v>
      </c>
      <c r="U1847" s="99">
        <f t="shared" si="2312"/>
        <v>-6500</v>
      </c>
      <c r="V1847" s="255">
        <f t="shared" si="2313"/>
        <v>-2.6530612244897944E-2</v>
      </c>
      <c r="W1847" s="102"/>
      <c r="X1847" s="102"/>
      <c r="Y1847" s="102">
        <f t="shared" si="2314"/>
        <v>238500</v>
      </c>
      <c r="Z1847" s="309">
        <f>Y1847*(1+VLOOKUP($F1847,'GL Category'!$A:$H,4,FALSE))</f>
        <v>243270</v>
      </c>
      <c r="AA1847" s="615"/>
      <c r="AB1847" s="622">
        <f t="shared" si="2315"/>
        <v>243270</v>
      </c>
      <c r="AC1847" s="633">
        <f>AB1847*(1+VLOOKUP($F1847,'GL Category'!$A:$H,5,FALSE))</f>
        <v>248135.4</v>
      </c>
      <c r="AD1847" s="307"/>
      <c r="AE1847" s="622">
        <f t="shared" si="2316"/>
        <v>248135.4</v>
      </c>
      <c r="AF1847" s="633">
        <f>AE1847*(1+VLOOKUP($F1847,'GL Category'!$A:$H,6,FALSE))</f>
        <v>253098.10800000001</v>
      </c>
      <c r="AG1847" s="307"/>
      <c r="AH1847" s="622">
        <f t="shared" si="2317"/>
        <v>253098.10800000001</v>
      </c>
      <c r="AI1847" s="633">
        <f>AH1847*(1+VLOOKUP($F1847,'GL Category'!$A:$H,7,FALSE))</f>
        <v>258160.07016</v>
      </c>
      <c r="AJ1847" s="307"/>
      <c r="AK1847" s="622">
        <f t="shared" si="2318"/>
        <v>258160.07016</v>
      </c>
      <c r="AL1847" s="633">
        <f>AK1847*(1+VLOOKUP($F1847,'GL Category'!$A:$H,8,FALSE))</f>
        <v>263323.27156319999</v>
      </c>
      <c r="AM1847" s="307"/>
      <c r="AN1847" s="622">
        <f t="shared" si="2319"/>
        <v>263323.27156319999</v>
      </c>
      <c r="AO1847" s="97"/>
      <c r="AP1847" s="97"/>
      <c r="AQ1847" s="97"/>
      <c r="AR1847" s="70"/>
      <c r="AS1847" s="70"/>
    </row>
    <row r="1848" spans="1:58" s="71" customFormat="1" ht="15" customHeight="1">
      <c r="A1848" s="555"/>
      <c r="B1848" s="217"/>
      <c r="C1848" s="217">
        <v>63</v>
      </c>
      <c r="D1848" s="101"/>
      <c r="E1848" s="217"/>
      <c r="F1848" s="294" t="s">
        <v>294</v>
      </c>
      <c r="G1848" s="295" t="str">
        <f>VLOOKUP(F1848,'GL Category'!A:C,3,FALSE)</f>
        <v>Operations &amp; maintenance</v>
      </c>
      <c r="H1848" s="98" t="str">
        <f>VLOOKUP(F1848,'GL Category'!A:C,2,FALSE)</f>
        <v>SIGN &amp; SIGNAL MAINTENANCE</v>
      </c>
      <c r="I1848" s="99">
        <f>SUMIFS(I$1:I1842,$C$1:$C1842,$C1848,$F$1:$F1842,$F1848)</f>
        <v>5298.96</v>
      </c>
      <c r="J1848" s="99">
        <f>SUMIFS(J$1:J1842,$C$1:$C1842,$C1848,$F$1:$F1842,$F1848)</f>
        <v>748.69</v>
      </c>
      <c r="K1848" s="99">
        <f>SUMIFS(K$1:K1842,$C$1:$C1842,$C1848,$F$1:$F1842,$F1848)</f>
        <v>3431.3</v>
      </c>
      <c r="L1848" s="99">
        <f>SUMIFS(L$1:L1842,$C$1:$C1842,$C1848,$F$1:$F1842,$F1848)</f>
        <v>4412.53</v>
      </c>
      <c r="M1848" s="99">
        <f>SUMIFS(M$1:M1842,$C$1:$C1842,$C1848,$F$1:$F1842,$F1848)</f>
        <v>3500</v>
      </c>
      <c r="N1848" s="99">
        <f>SUMIFS(N$1:N1842,$C$1:$C1842,$C1848,$F$1:$F1842,$F1848)</f>
        <v>4439.54</v>
      </c>
      <c r="O1848" s="99">
        <f>SUMIFS(O$1:O1842,$C$1:$C1842,$C1848,$F$1:$F1842,$F1848)</f>
        <v>2000</v>
      </c>
      <c r="P1848" s="99">
        <f t="shared" si="2311"/>
        <v>-1500</v>
      </c>
      <c r="Q1848" s="99">
        <f>SUMIFS(Q$1:Q1842,$C$1:$C1842,$C1848,$F$1:$F1842,$F1848)</f>
        <v>3500</v>
      </c>
      <c r="R1848" s="99">
        <f>SUMIFS(R$1:R1842,$C$1:$C1842,$C1848,$F$1:$F1842,$F1848)</f>
        <v>0</v>
      </c>
      <c r="S1848" s="99">
        <f>SUMIFS(S$1:S1842,$C$1:$C1842,$C1848,$F$1:$F1842,$F1848)</f>
        <v>0</v>
      </c>
      <c r="T1848" s="99">
        <f>SUMIFS(T$1:T1842,$C$1:$C1842,$C1848,$F$1:$F1842,$F1848)</f>
        <v>3500</v>
      </c>
      <c r="U1848" s="99">
        <f t="shared" si="2312"/>
        <v>0</v>
      </c>
      <c r="V1848" s="255">
        <f t="shared" si="2313"/>
        <v>0</v>
      </c>
      <c r="W1848" s="102"/>
      <c r="X1848" s="102"/>
      <c r="Y1848" s="102">
        <f t="shared" si="2314"/>
        <v>3500</v>
      </c>
      <c r="Z1848" s="309">
        <f>Y1848*(1+VLOOKUP($F1848,'GL Category'!$A:$H,4,FALSE))</f>
        <v>3570</v>
      </c>
      <c r="AA1848" s="615"/>
      <c r="AB1848" s="622">
        <f t="shared" si="2315"/>
        <v>3570</v>
      </c>
      <c r="AC1848" s="633">
        <f>AB1848*(1+VLOOKUP($F1848,'GL Category'!$A:$H,5,FALSE))</f>
        <v>3641.4</v>
      </c>
      <c r="AD1848" s="307"/>
      <c r="AE1848" s="622">
        <f t="shared" si="2316"/>
        <v>3641.4</v>
      </c>
      <c r="AF1848" s="633">
        <f>AE1848*(1+VLOOKUP($F1848,'GL Category'!$A:$H,6,FALSE))</f>
        <v>3714.2280000000001</v>
      </c>
      <c r="AG1848" s="307"/>
      <c r="AH1848" s="622">
        <f t="shared" si="2317"/>
        <v>3714.2280000000001</v>
      </c>
      <c r="AI1848" s="633">
        <f>AH1848*(1+VLOOKUP($F1848,'GL Category'!$A:$H,7,FALSE))</f>
        <v>3788.5125600000001</v>
      </c>
      <c r="AJ1848" s="307"/>
      <c r="AK1848" s="622">
        <f t="shared" si="2318"/>
        <v>3788.5125600000001</v>
      </c>
      <c r="AL1848" s="633">
        <f>AK1848*(1+VLOOKUP($F1848,'GL Category'!$A:$H,8,FALSE))</f>
        <v>3864.2828112000002</v>
      </c>
      <c r="AM1848" s="307"/>
      <c r="AN1848" s="622">
        <f t="shared" si="2319"/>
        <v>3864.2828112000002</v>
      </c>
      <c r="AO1848" s="97"/>
      <c r="AP1848" s="97"/>
      <c r="AQ1848" s="97"/>
      <c r="AR1848" s="70"/>
      <c r="AS1848" s="70"/>
    </row>
    <row r="1849" spans="1:58" s="71" customFormat="1" ht="15" customHeight="1">
      <c r="A1849" s="555"/>
      <c r="B1849" s="217"/>
      <c r="C1849" s="217">
        <v>63</v>
      </c>
      <c r="D1849" s="101"/>
      <c r="E1849" s="217"/>
      <c r="F1849" s="294" t="s">
        <v>174</v>
      </c>
      <c r="G1849" s="295" t="str">
        <f>VLOOKUP(F1849,'GL Category'!A:C,3,FALSE)</f>
        <v>Operations &amp; maintenance</v>
      </c>
      <c r="H1849" s="98" t="str">
        <f>VLOOKUP(F1849,'GL Category'!A:C,2,FALSE)</f>
        <v>RADIO MAINTENANCE</v>
      </c>
      <c r="I1849" s="99">
        <f>SUMIFS(I$1:I1843,$C$1:$C1843,$C1849,$F$1:$F1843,$F1849)</f>
        <v>0</v>
      </c>
      <c r="J1849" s="99">
        <f>SUMIFS(J$1:J1843,$C$1:$C1843,$C1849,$F$1:$F1843,$F1849)</f>
        <v>0</v>
      </c>
      <c r="K1849" s="99">
        <f>SUMIFS(K$1:K1843,$C$1:$C1843,$C1849,$F$1:$F1843,$F1849)</f>
        <v>0</v>
      </c>
      <c r="L1849" s="99">
        <f>SUMIFS(L$1:L1843,$C$1:$C1843,$C1849,$F$1:$F1843,$F1849)</f>
        <v>0</v>
      </c>
      <c r="M1849" s="99">
        <f>SUMIFS(M$1:M1843,$C$1:$C1843,$C1849,$F$1:$F1843,$F1849)</f>
        <v>0</v>
      </c>
      <c r="N1849" s="99">
        <f>SUMIFS(N$1:N1843,$C$1:$C1843,$C1849,$F$1:$F1843,$F1849)</f>
        <v>0</v>
      </c>
      <c r="O1849" s="99">
        <f>SUMIFS(O$1:O1843,$C$1:$C1843,$C1849,$F$1:$F1843,$F1849)</f>
        <v>0</v>
      </c>
      <c r="P1849" s="99">
        <f t="shared" si="2311"/>
        <v>0</v>
      </c>
      <c r="Q1849" s="99">
        <f>SUMIFS(Q$1:Q1843,$C$1:$C1843,$C1849,$F$1:$F1843,$F1849)</f>
        <v>0</v>
      </c>
      <c r="R1849" s="99">
        <f>SUMIFS(R$1:R1843,$C$1:$C1843,$C1849,$F$1:$F1843,$F1849)</f>
        <v>0</v>
      </c>
      <c r="S1849" s="99">
        <f>SUMIFS(S$1:S1843,$C$1:$C1843,$C1849,$F$1:$F1843,$F1849)</f>
        <v>0</v>
      </c>
      <c r="T1849" s="99">
        <f>SUMIFS(T$1:T1843,$C$1:$C1843,$C1849,$F$1:$F1843,$F1849)</f>
        <v>0</v>
      </c>
      <c r="U1849" s="99">
        <f t="shared" si="2312"/>
        <v>0</v>
      </c>
      <c r="V1849" s="255" t="str">
        <f t="shared" si="2313"/>
        <v>N/A</v>
      </c>
      <c r="W1849" s="102"/>
      <c r="X1849" s="102"/>
      <c r="Y1849" s="102">
        <f t="shared" si="2314"/>
        <v>0</v>
      </c>
      <c r="Z1849" s="309">
        <f>Y1849*(1+VLOOKUP($F1849,'GL Category'!$A:$H,4,FALSE))</f>
        <v>0</v>
      </c>
      <c r="AA1849" s="615"/>
      <c r="AB1849" s="622">
        <f t="shared" si="2315"/>
        <v>0</v>
      </c>
      <c r="AC1849" s="633">
        <f>AB1849*(1+VLOOKUP($F1849,'GL Category'!$A:$H,5,FALSE))</f>
        <v>0</v>
      </c>
      <c r="AD1849" s="307"/>
      <c r="AE1849" s="622">
        <f t="shared" si="2316"/>
        <v>0</v>
      </c>
      <c r="AF1849" s="633">
        <f>AE1849*(1+VLOOKUP($F1849,'GL Category'!$A:$H,6,FALSE))</f>
        <v>0</v>
      </c>
      <c r="AG1849" s="307"/>
      <c r="AH1849" s="622">
        <f t="shared" si="2317"/>
        <v>0</v>
      </c>
      <c r="AI1849" s="633">
        <f>AH1849*(1+VLOOKUP($F1849,'GL Category'!$A:$H,7,FALSE))</f>
        <v>0</v>
      </c>
      <c r="AJ1849" s="307"/>
      <c r="AK1849" s="622">
        <f t="shared" si="2318"/>
        <v>0</v>
      </c>
      <c r="AL1849" s="633">
        <f>AK1849*(1+VLOOKUP($F1849,'GL Category'!$A:$H,8,FALSE))</f>
        <v>0</v>
      </c>
      <c r="AM1849" s="307"/>
      <c r="AN1849" s="622">
        <f t="shared" si="2319"/>
        <v>0</v>
      </c>
      <c r="AO1849" s="97"/>
      <c r="AP1849" s="97"/>
      <c r="AQ1849" s="97"/>
      <c r="AR1849" s="70"/>
      <c r="AS1849" s="70"/>
    </row>
    <row r="1850" spans="1:58" s="71" customFormat="1" ht="15" customHeight="1">
      <c r="A1850" s="555"/>
      <c r="B1850" s="217"/>
      <c r="C1850" s="217">
        <v>63</v>
      </c>
      <c r="D1850" s="101"/>
      <c r="E1850" s="217"/>
      <c r="F1850" s="294" t="s">
        <v>240</v>
      </c>
      <c r="G1850" s="295" t="str">
        <f>VLOOKUP(F1850,'GL Category'!A:C,3,FALSE)</f>
        <v>Operations &amp; maintenance</v>
      </c>
      <c r="H1850" s="98" t="str">
        <f>VLOOKUP(F1850,'GL Category'!A:C,2,FALSE)</f>
        <v>VEHICLE MAINTENANCE</v>
      </c>
      <c r="I1850" s="99">
        <f>SUMIFS(I$1:I1844,$C$1:$C1844,$C1850,$F$1:$F1844,$F1850)</f>
        <v>6308.86</v>
      </c>
      <c r="J1850" s="99">
        <f>SUMIFS(J$1:J1844,$C$1:$C1844,$C1850,$F$1:$F1844,$F1850)</f>
        <v>3107.4799999999996</v>
      </c>
      <c r="K1850" s="99">
        <f>SUMIFS(K$1:K1844,$C$1:$C1844,$C1850,$F$1:$F1844,$F1850)</f>
        <v>3003.2200000000003</v>
      </c>
      <c r="L1850" s="99">
        <f>SUMIFS(L$1:L1844,$C$1:$C1844,$C1850,$F$1:$F1844,$F1850)</f>
        <v>9932.34</v>
      </c>
      <c r="M1850" s="99">
        <f>SUMIFS(M$1:M1844,$C$1:$C1844,$C1850,$F$1:$F1844,$F1850)</f>
        <v>2429</v>
      </c>
      <c r="N1850" s="99">
        <f>SUMIFS(N$1:N1844,$C$1:$C1844,$C1850,$F$1:$F1844,$F1850)</f>
        <v>1494.72</v>
      </c>
      <c r="O1850" s="99">
        <f>SUMIFS(O$1:O1844,$C$1:$C1844,$C1850,$F$1:$F1844,$F1850)</f>
        <v>2500</v>
      </c>
      <c r="P1850" s="99">
        <f t="shared" si="2311"/>
        <v>71</v>
      </c>
      <c r="Q1850" s="99">
        <f>SUMIFS(Q$1:Q1844,$C$1:$C1844,$C1850,$F$1:$F1844,$F1850)</f>
        <v>3500</v>
      </c>
      <c r="R1850" s="99">
        <f>SUMIFS(R$1:R1844,$C$1:$C1844,$C1850,$F$1:$F1844,$F1850)</f>
        <v>0</v>
      </c>
      <c r="S1850" s="99">
        <f>SUMIFS(S$1:S1844,$C$1:$C1844,$C1850,$F$1:$F1844,$F1850)</f>
        <v>0</v>
      </c>
      <c r="T1850" s="99">
        <f>SUMIFS(T$1:T1844,$C$1:$C1844,$C1850,$F$1:$F1844,$F1850)</f>
        <v>3500</v>
      </c>
      <c r="U1850" s="99">
        <f t="shared" si="2312"/>
        <v>1071</v>
      </c>
      <c r="V1850" s="255">
        <f t="shared" si="2313"/>
        <v>0.44092219020172907</v>
      </c>
      <c r="W1850" s="102"/>
      <c r="X1850" s="102"/>
      <c r="Y1850" s="102">
        <f t="shared" si="2314"/>
        <v>3500</v>
      </c>
      <c r="Z1850" s="309">
        <f>Y1850*(1+VLOOKUP($F1850,'GL Category'!$A:$H,4,FALSE))</f>
        <v>3570</v>
      </c>
      <c r="AA1850" s="615"/>
      <c r="AB1850" s="622">
        <f t="shared" si="2315"/>
        <v>3570</v>
      </c>
      <c r="AC1850" s="633">
        <f>AB1850*(1+VLOOKUP($F1850,'GL Category'!$A:$H,5,FALSE))</f>
        <v>3641.4</v>
      </c>
      <c r="AD1850" s="307"/>
      <c r="AE1850" s="622">
        <f t="shared" si="2316"/>
        <v>3641.4</v>
      </c>
      <c r="AF1850" s="633">
        <f>AE1850*(1+VLOOKUP($F1850,'GL Category'!$A:$H,6,FALSE))</f>
        <v>3714.2280000000001</v>
      </c>
      <c r="AG1850" s="307"/>
      <c r="AH1850" s="622">
        <f t="shared" si="2317"/>
        <v>3714.2280000000001</v>
      </c>
      <c r="AI1850" s="633">
        <f>AH1850*(1+VLOOKUP($F1850,'GL Category'!$A:$H,7,FALSE))</f>
        <v>3788.5125600000001</v>
      </c>
      <c r="AJ1850" s="307"/>
      <c r="AK1850" s="622">
        <f t="shared" si="2318"/>
        <v>3788.5125600000001</v>
      </c>
      <c r="AL1850" s="633">
        <f>AK1850*(1+VLOOKUP($F1850,'GL Category'!$A:$H,8,FALSE))</f>
        <v>3864.2828112000002</v>
      </c>
      <c r="AM1850" s="307"/>
      <c r="AN1850" s="622">
        <f t="shared" si="2319"/>
        <v>3864.2828112000002</v>
      </c>
      <c r="AO1850" s="97"/>
      <c r="AP1850" s="97"/>
      <c r="AQ1850" s="97"/>
      <c r="AR1850" s="70"/>
      <c r="AS1850" s="70"/>
    </row>
    <row r="1851" spans="1:58" s="71" customFormat="1" ht="15" customHeight="1">
      <c r="A1851" s="555"/>
      <c r="B1851" s="217"/>
      <c r="C1851" s="217">
        <v>63</v>
      </c>
      <c r="D1851" s="101"/>
      <c r="E1851" s="217"/>
      <c r="F1851" s="294" t="s">
        <v>235</v>
      </c>
      <c r="G1851" s="295" t="str">
        <f>VLOOKUP(F1851,'GL Category'!A:C,3,FALSE)</f>
        <v>Operations &amp; maintenance</v>
      </c>
      <c r="H1851" s="98" t="str">
        <f>VLOOKUP(F1851,'GL Category'!A:C,2,FALSE)</f>
        <v>EQUIPMENT MAINTENANCE</v>
      </c>
      <c r="I1851" s="99">
        <f>SUMIFS(I$1:I1844,$C$1:$C1844,$C1851,$F$1:$F1844,$F1851)</f>
        <v>23373.7</v>
      </c>
      <c r="J1851" s="99">
        <f>SUMIFS(J$1:J1844,$C$1:$C1844,$C1851,$F$1:$F1844,$F1851)</f>
        <v>17178.77</v>
      </c>
      <c r="K1851" s="99">
        <f>SUMIFS(K$1:K1844,$C$1:$C1844,$C1851,$F$1:$F1844,$F1851)</f>
        <v>27840.799999999999</v>
      </c>
      <c r="L1851" s="99">
        <f>SUMIFS(L$1:L1844,$C$1:$C1844,$C1851,$F$1:$F1844,$F1851)</f>
        <v>23383.360000000001</v>
      </c>
      <c r="M1851" s="99">
        <f>SUMIFS(M$1:M1844,$C$1:$C1844,$C1851,$F$1:$F1844,$F1851)</f>
        <v>28000</v>
      </c>
      <c r="N1851" s="99">
        <f>SUMIFS(N$1:N1844,$C$1:$C1844,$C1851,$F$1:$F1844,$F1851)</f>
        <v>12454.16</v>
      </c>
      <c r="O1851" s="99">
        <f>SUMIFS(O$1:O1844,$C$1:$C1844,$C1851,$F$1:$F1844,$F1851)</f>
        <v>25001</v>
      </c>
      <c r="P1851" s="99">
        <f>O1851-M1851</f>
        <v>-2999</v>
      </c>
      <c r="Q1851" s="99">
        <f>SUMIFS(Q$1:Q1844,$C$1:$C1844,$C1851,$F$1:$F1844,$F1851)</f>
        <v>27000</v>
      </c>
      <c r="R1851" s="99">
        <f>SUMIFS(R$1:R1844,$C$1:$C1844,$C1851,$F$1:$F1844,$F1851)</f>
        <v>0</v>
      </c>
      <c r="S1851" s="99">
        <f>SUMIFS(S$1:S1844,$C$1:$C1844,$C1851,$F$1:$F1844,$F1851)</f>
        <v>0</v>
      </c>
      <c r="T1851" s="99">
        <f>SUMIFS(T$1:T1844,$C$1:$C1844,$C1851,$F$1:$F1844,$F1851)</f>
        <v>27000</v>
      </c>
      <c r="U1851" s="99">
        <f t="shared" si="2312"/>
        <v>-1000</v>
      </c>
      <c r="V1851" s="255">
        <f t="shared" si="2313"/>
        <v>-3.5714285714285698E-2</v>
      </c>
      <c r="W1851" s="102"/>
      <c r="X1851" s="102"/>
      <c r="Y1851" s="102">
        <f t="shared" si="2314"/>
        <v>27000</v>
      </c>
      <c r="Z1851" s="309">
        <f>Y1851*(1+VLOOKUP($F1851,'GL Category'!$A:$H,4,FALSE))</f>
        <v>27540</v>
      </c>
      <c r="AA1851" s="615"/>
      <c r="AB1851" s="622">
        <f t="shared" si="2315"/>
        <v>27540</v>
      </c>
      <c r="AC1851" s="633">
        <f>AB1851*(1+VLOOKUP($F1851,'GL Category'!$A:$H,5,FALSE))</f>
        <v>28090.799999999999</v>
      </c>
      <c r="AD1851" s="307"/>
      <c r="AE1851" s="622">
        <f t="shared" si="2316"/>
        <v>28090.799999999999</v>
      </c>
      <c r="AF1851" s="633">
        <f>AE1851*(1+VLOOKUP($F1851,'GL Category'!$A:$H,6,FALSE))</f>
        <v>28652.615999999998</v>
      </c>
      <c r="AG1851" s="307"/>
      <c r="AH1851" s="622">
        <f t="shared" si="2317"/>
        <v>28652.615999999998</v>
      </c>
      <c r="AI1851" s="633">
        <f>AH1851*(1+VLOOKUP($F1851,'GL Category'!$A:$H,7,FALSE))</f>
        <v>29225.668319999997</v>
      </c>
      <c r="AJ1851" s="307"/>
      <c r="AK1851" s="622">
        <f t="shared" si="2318"/>
        <v>29225.668319999997</v>
      </c>
      <c r="AL1851" s="633">
        <f>AK1851*(1+VLOOKUP($F1851,'GL Category'!$A:$H,8,FALSE))</f>
        <v>29810.181686399999</v>
      </c>
      <c r="AM1851" s="307"/>
      <c r="AN1851" s="622">
        <f t="shared" si="2319"/>
        <v>29810.181686399999</v>
      </c>
      <c r="AO1851" s="97"/>
      <c r="AP1851" s="97"/>
      <c r="AQ1851" s="97"/>
      <c r="AR1851" s="70"/>
      <c r="AS1851" s="70"/>
    </row>
    <row r="1852" spans="1:58" s="71" customFormat="1" ht="15" customHeight="1">
      <c r="A1852" s="555"/>
      <c r="B1852" s="217"/>
      <c r="C1852" s="217">
        <v>63</v>
      </c>
      <c r="D1852" s="101"/>
      <c r="E1852" s="217"/>
      <c r="F1852" s="294" t="s">
        <v>178</v>
      </c>
      <c r="G1852" s="295" t="str">
        <f>VLOOKUP(F1852,'GL Category'!A:C,3,FALSE)</f>
        <v>Operations &amp; maintenance</v>
      </c>
      <c r="H1852" s="98" t="str">
        <f>VLOOKUP(F1852,'GL Category'!A:C,2,FALSE)</f>
        <v>SOFTWARE LICENSE &amp; MAINTENANCE</v>
      </c>
      <c r="I1852" s="99">
        <f>SUMIFS(I$1:I1845,$C$1:$C1845,$C1852,$F$1:$F1845,$F1852)</f>
        <v>0</v>
      </c>
      <c r="J1852" s="99">
        <f>SUMIFS(J$1:J1845,$C$1:$C1845,$C1852,$F$1:$F1845,$F1852)</f>
        <v>0</v>
      </c>
      <c r="K1852" s="99">
        <f>SUMIFS(K$1:K1845,$C$1:$C1845,$C1852,$F$1:$F1845,$F1852)</f>
        <v>0</v>
      </c>
      <c r="L1852" s="99">
        <f>SUMIFS(L$1:L1845,$C$1:$C1845,$C1852,$F$1:$F1845,$F1852)</f>
        <v>0</v>
      </c>
      <c r="M1852" s="99">
        <f>SUMIFS(M$1:M1845,$C$1:$C1845,$C1852,$F$1:$F1845,$F1852)</f>
        <v>0</v>
      </c>
      <c r="N1852" s="99">
        <f>SUMIFS(N$1:N1845,$C$1:$C1845,$C1852,$F$1:$F1845,$F1852)</f>
        <v>0</v>
      </c>
      <c r="O1852" s="99">
        <f>SUMIFS(O$1:O1845,$C$1:$C1845,$C1852,$F$1:$F1845,$F1852)</f>
        <v>0</v>
      </c>
      <c r="P1852" s="99">
        <f t="shared" si="2311"/>
        <v>0</v>
      </c>
      <c r="Q1852" s="99">
        <f>SUMIFS(Q$1:Q1845,$C$1:$C1845,$C1852,$F$1:$F1845,$F1852)</f>
        <v>0</v>
      </c>
      <c r="R1852" s="99">
        <f>SUMIFS(R$1:R1845,$C$1:$C1845,$C1852,$F$1:$F1845,$F1852)</f>
        <v>0</v>
      </c>
      <c r="S1852" s="99">
        <f>SUMIFS(S$1:S1845,$C$1:$C1845,$C1852,$F$1:$F1845,$F1852)</f>
        <v>0</v>
      </c>
      <c r="T1852" s="99">
        <f>SUMIFS(T$1:T1845,$C$1:$C1845,$C1852,$F$1:$F1845,$F1852)</f>
        <v>0</v>
      </c>
      <c r="U1852" s="99">
        <f t="shared" si="2312"/>
        <v>0</v>
      </c>
      <c r="V1852" s="255" t="str">
        <f t="shared" si="2313"/>
        <v>N/A</v>
      </c>
      <c r="W1852" s="102"/>
      <c r="X1852" s="102"/>
      <c r="Y1852" s="102">
        <f t="shared" si="2314"/>
        <v>0</v>
      </c>
      <c r="Z1852" s="309">
        <f>Y1852*(1+VLOOKUP($F1852,'GL Category'!$A:$H,4,FALSE))</f>
        <v>0</v>
      </c>
      <c r="AA1852" s="615"/>
      <c r="AB1852" s="622">
        <f t="shared" si="2315"/>
        <v>0</v>
      </c>
      <c r="AC1852" s="633">
        <f>AB1852*(1+VLOOKUP($F1852,'GL Category'!$A:$H,5,FALSE))</f>
        <v>0</v>
      </c>
      <c r="AD1852" s="307"/>
      <c r="AE1852" s="622">
        <f t="shared" si="2316"/>
        <v>0</v>
      </c>
      <c r="AF1852" s="633">
        <f>AE1852*(1+VLOOKUP($F1852,'GL Category'!$A:$H,6,FALSE))</f>
        <v>0</v>
      </c>
      <c r="AG1852" s="307"/>
      <c r="AH1852" s="622">
        <f t="shared" si="2317"/>
        <v>0</v>
      </c>
      <c r="AI1852" s="633">
        <f>AH1852*(1+VLOOKUP($F1852,'GL Category'!$A:$H,7,FALSE))</f>
        <v>0</v>
      </c>
      <c r="AJ1852" s="307"/>
      <c r="AK1852" s="622">
        <f t="shared" si="2318"/>
        <v>0</v>
      </c>
      <c r="AL1852" s="633">
        <f>AK1852*(1+VLOOKUP($F1852,'GL Category'!$A:$H,8,FALSE))</f>
        <v>0</v>
      </c>
      <c r="AM1852" s="307"/>
      <c r="AN1852" s="622">
        <f t="shared" si="2319"/>
        <v>0</v>
      </c>
      <c r="AO1852" s="97"/>
      <c r="AP1852" s="97"/>
      <c r="AQ1852" s="97"/>
      <c r="AR1852" s="70"/>
      <c r="AS1852" s="70"/>
    </row>
    <row r="1853" spans="1:58" s="71" customFormat="1" ht="15" customHeight="1">
      <c r="A1853" s="555"/>
      <c r="B1853" s="217"/>
      <c r="C1853" s="217">
        <v>63</v>
      </c>
      <c r="D1853" s="101"/>
      <c r="E1853" s="217"/>
      <c r="F1853" s="294" t="s">
        <v>180</v>
      </c>
      <c r="G1853" s="295" t="str">
        <f>VLOOKUP(F1853,'GL Category'!A:C,3,FALSE)</f>
        <v>Operations &amp; maintenance</v>
      </c>
      <c r="H1853" s="98" t="str">
        <f>VLOOKUP(F1853,'GL Category'!A:C,2,FALSE)</f>
        <v>A/C &amp; HEATING MAINTENANCE</v>
      </c>
      <c r="I1853" s="99">
        <f>SUMIFS(I$1:I1846,$C$1:$C1846,$C1853,$F$1:$F1846,$F1853)</f>
        <v>1713.75</v>
      </c>
      <c r="J1853" s="99">
        <f>SUMIFS(J$1:J1846,$C$1:$C1846,$C1853,$F$1:$F1846,$F1853)</f>
        <v>1713.75</v>
      </c>
      <c r="K1853" s="99">
        <f>SUMIFS(K$1:K1846,$C$1:$C1846,$C1853,$F$1:$F1846,$F1853)</f>
        <v>4387.75</v>
      </c>
      <c r="L1853" s="99">
        <f>SUMIFS(L$1:L1846,$C$1:$C1846,$C1853,$F$1:$F1846,$F1853)</f>
        <v>7594.5</v>
      </c>
      <c r="M1853" s="99">
        <f>SUMIFS(M$1:M1846,$C$1:$C1846,$C1853,$F$1:$F1846,$F1853)</f>
        <v>2535</v>
      </c>
      <c r="N1853" s="99">
        <f>SUMIFS(N$1:N1846,$C$1:$C1846,$C1853,$F$1:$F1846,$F1853)</f>
        <v>8004.57</v>
      </c>
      <c r="O1853" s="99">
        <f>SUMIFS(O$1:O1846,$C$1:$C1846,$C1853,$F$1:$F1846,$F1853)</f>
        <v>10850</v>
      </c>
      <c r="P1853" s="99">
        <f t="shared" si="2311"/>
        <v>8315</v>
      </c>
      <c r="Q1853" s="99">
        <f>SUMIFS(Q$1:Q1846,$C$1:$C1846,$C1853,$F$1:$F1846,$F1853)</f>
        <v>7000</v>
      </c>
      <c r="R1853" s="99">
        <f>SUMIFS(R$1:R1846,$C$1:$C1846,$C1853,$F$1:$F1846,$F1853)</f>
        <v>0</v>
      </c>
      <c r="S1853" s="99">
        <f>SUMIFS(S$1:S1846,$C$1:$C1846,$C1853,$F$1:$F1846,$F1853)</f>
        <v>0</v>
      </c>
      <c r="T1853" s="99">
        <f>SUMIFS(T$1:T1846,$C$1:$C1846,$C1853,$F$1:$F1846,$F1853)</f>
        <v>7000</v>
      </c>
      <c r="U1853" s="99">
        <f t="shared" si="2312"/>
        <v>4465</v>
      </c>
      <c r="V1853" s="255">
        <f t="shared" si="2313"/>
        <v>1.7613412228796843</v>
      </c>
      <c r="W1853" s="102"/>
      <c r="X1853" s="102"/>
      <c r="Y1853" s="102">
        <f t="shared" si="2314"/>
        <v>7000</v>
      </c>
      <c r="Z1853" s="309">
        <f>Y1853*(1+VLOOKUP($F1853,'GL Category'!$A:$H,4,FALSE))</f>
        <v>7140</v>
      </c>
      <c r="AA1853" s="615"/>
      <c r="AB1853" s="622">
        <f t="shared" si="2315"/>
        <v>7140</v>
      </c>
      <c r="AC1853" s="633">
        <f>AB1853*(1+VLOOKUP($F1853,'GL Category'!$A:$H,5,FALSE))</f>
        <v>7282.8</v>
      </c>
      <c r="AD1853" s="307"/>
      <c r="AE1853" s="622">
        <f t="shared" si="2316"/>
        <v>7282.8</v>
      </c>
      <c r="AF1853" s="633">
        <f>AE1853*(1+VLOOKUP($F1853,'GL Category'!$A:$H,6,FALSE))</f>
        <v>7428.4560000000001</v>
      </c>
      <c r="AG1853" s="307"/>
      <c r="AH1853" s="622">
        <f t="shared" si="2317"/>
        <v>7428.4560000000001</v>
      </c>
      <c r="AI1853" s="633">
        <f>AH1853*(1+VLOOKUP($F1853,'GL Category'!$A:$H,7,FALSE))</f>
        <v>7577.0251200000002</v>
      </c>
      <c r="AJ1853" s="307"/>
      <c r="AK1853" s="622">
        <f t="shared" si="2318"/>
        <v>7577.0251200000002</v>
      </c>
      <c r="AL1853" s="633">
        <f>AK1853*(1+VLOOKUP($F1853,'GL Category'!$A:$H,8,FALSE))</f>
        <v>7728.5656224000004</v>
      </c>
      <c r="AM1853" s="307"/>
      <c r="AN1853" s="622">
        <f t="shared" si="2319"/>
        <v>7728.5656224000004</v>
      </c>
      <c r="AO1853" s="97"/>
      <c r="AP1853" s="97"/>
      <c r="AQ1853" s="97"/>
      <c r="AR1853" s="70"/>
      <c r="AS1853" s="70"/>
    </row>
    <row r="1854" spans="1:58" s="71" customFormat="1" ht="28.35" customHeight="1">
      <c r="A1854" s="555"/>
      <c r="B1854" s="217"/>
      <c r="C1854" s="217"/>
      <c r="D1854" s="101"/>
      <c r="E1854" s="217"/>
      <c r="F1854" s="294"/>
      <c r="G1854" s="295"/>
      <c r="H1854" s="107" t="str">
        <f>UPPER(G1853)&amp;" TOTAL"</f>
        <v>OPERATIONS &amp; MAINTENANCE TOTAL</v>
      </c>
      <c r="I1854" s="109">
        <f t="shared" ref="I1854:T1854" si="2320">SUBTOTAL(9,I1833:I1853)</f>
        <v>384404.27</v>
      </c>
      <c r="J1854" s="109">
        <f t="shared" si="2320"/>
        <v>398796.72000000003</v>
      </c>
      <c r="K1854" s="109">
        <f t="shared" si="2320"/>
        <v>400832.75</v>
      </c>
      <c r="L1854" s="109">
        <f t="shared" si="2320"/>
        <v>439369.37000000005</v>
      </c>
      <c r="M1854" s="109">
        <f t="shared" si="2320"/>
        <v>429288</v>
      </c>
      <c r="N1854" s="109">
        <f t="shared" si="2320"/>
        <v>308410.1999999999</v>
      </c>
      <c r="O1854" s="109">
        <f t="shared" si="2320"/>
        <v>430775</v>
      </c>
      <c r="P1854" s="109">
        <f t="shared" si="2320"/>
        <v>1487</v>
      </c>
      <c r="Q1854" s="109">
        <f t="shared" si="2320"/>
        <v>430074</v>
      </c>
      <c r="R1854" s="109">
        <f t="shared" si="2320"/>
        <v>0</v>
      </c>
      <c r="S1854" s="109">
        <f t="shared" si="2320"/>
        <v>0</v>
      </c>
      <c r="T1854" s="109">
        <f t="shared" si="2320"/>
        <v>430074</v>
      </c>
      <c r="U1854" s="99">
        <f t="shared" si="2312"/>
        <v>786</v>
      </c>
      <c r="V1854" s="255">
        <f t="shared" si="2313"/>
        <v>1.8309386705428476E-3</v>
      </c>
      <c r="W1854" s="102"/>
      <c r="X1854" s="102"/>
      <c r="Y1854" s="102"/>
      <c r="Z1854" s="200"/>
      <c r="AA1854" s="615"/>
      <c r="AB1854" s="631"/>
      <c r="AC1854" s="631"/>
      <c r="AD1854" s="631"/>
      <c r="AE1854" s="631"/>
      <c r="AF1854" s="631"/>
      <c r="AG1854" s="631"/>
      <c r="AH1854" s="631"/>
      <c r="AI1854" s="631"/>
      <c r="AJ1854" s="631"/>
      <c r="AK1854" s="631"/>
      <c r="AL1854" s="631"/>
      <c r="AM1854" s="631"/>
      <c r="AN1854" s="631"/>
      <c r="AO1854" s="97"/>
      <c r="AP1854" s="97"/>
      <c r="AQ1854" s="97"/>
      <c r="AR1854" s="70"/>
      <c r="AS1854" s="70"/>
    </row>
    <row r="1855" spans="1:58" s="71" customFormat="1" ht="15" customHeight="1">
      <c r="A1855" s="555"/>
      <c r="B1855" s="217"/>
      <c r="C1855" s="217"/>
      <c r="D1855" s="101"/>
      <c r="E1855" s="217"/>
      <c r="F1855" s="294"/>
      <c r="G1855" s="295"/>
      <c r="H1855" s="98"/>
      <c r="I1855" s="106"/>
      <c r="J1855" s="106"/>
      <c r="K1855" s="106"/>
      <c r="L1855" s="106"/>
      <c r="M1855" s="106"/>
      <c r="N1855" s="112"/>
      <c r="O1855" s="112"/>
      <c r="P1855" s="112"/>
      <c r="Q1855" s="113"/>
      <c r="R1855" s="113"/>
      <c r="S1855" s="113"/>
      <c r="T1855" s="113"/>
      <c r="U1855" s="99"/>
      <c r="V1855" s="255"/>
      <c r="W1855" s="102"/>
      <c r="X1855" s="102"/>
      <c r="Y1855" s="102"/>
      <c r="Z1855" s="200"/>
      <c r="AA1855" s="615"/>
      <c r="AB1855" s="631"/>
      <c r="AC1855" s="631"/>
      <c r="AD1855" s="631"/>
      <c r="AE1855" s="631"/>
      <c r="AF1855" s="631"/>
      <c r="AG1855" s="631"/>
      <c r="AH1855" s="631"/>
      <c r="AI1855" s="631"/>
      <c r="AJ1855" s="631"/>
      <c r="AK1855" s="631"/>
      <c r="AL1855" s="631"/>
      <c r="AM1855" s="631"/>
      <c r="AN1855" s="631"/>
      <c r="AO1855" s="97"/>
      <c r="AP1855" s="97"/>
      <c r="AQ1855" s="97"/>
      <c r="AR1855" s="70"/>
      <c r="AS1855" s="70"/>
    </row>
    <row r="1856" spans="1:58" s="71" customFormat="1" ht="15" customHeight="1">
      <c r="A1856" s="555"/>
      <c r="B1856" s="217"/>
      <c r="C1856" s="217">
        <v>63</v>
      </c>
      <c r="D1856" s="101"/>
      <c r="E1856" s="217"/>
      <c r="F1856" s="556" t="s">
        <v>237</v>
      </c>
      <c r="G1856" s="295" t="str">
        <f>VLOOKUP(F1856,'GL Category'!A:C,3,FALSE)</f>
        <v>Services &amp; other</v>
      </c>
      <c r="H1856" s="98" t="str">
        <f>VLOOKUP(F1856,'GL Category'!A:C,2,FALSE)</f>
        <v>MISCELLANEOUS SERVICES</v>
      </c>
      <c r="I1856" s="99">
        <f>SUMIFS(I$1:I1849,$C$1:$C1849,$C1856,$F$1:$F1849,$F1856)</f>
        <v>48494.89</v>
      </c>
      <c r="J1856" s="99">
        <f>SUMIFS(J$1:J1849,$C$1:$C1849,$C1856,$F$1:$F1849,$F1856)</f>
        <v>41169.14</v>
      </c>
      <c r="K1856" s="99">
        <f>SUMIFS(K$1:K1849,$C$1:$C1849,$C1856,$F$1:$F1849,$F1856)</f>
        <v>39878.71</v>
      </c>
      <c r="L1856" s="99">
        <f>SUMIFS(L$1:L1849,$C$1:$C1849,$C1856,$F$1:$F1849,$F1856)</f>
        <v>62133.5</v>
      </c>
      <c r="M1856" s="99">
        <f>SUMIFS(M$1:M1849,$C$1:$C1849,$C1856,$F$1:$F1849,$F1856)</f>
        <v>72862</v>
      </c>
      <c r="N1856" s="99">
        <f>SUMIFS(N$1:N1849,$C$1:$C1849,$C1856,$F$1:$F1849,$F1856)</f>
        <v>60478.990000000005</v>
      </c>
      <c r="O1856" s="99">
        <f>SUMIFS(O$1:O1849,$C$1:$C1849,$C1856,$F$1:$F1849,$F1856)</f>
        <v>69662</v>
      </c>
      <c r="P1856" s="99">
        <f t="shared" ref="P1856:P1877" si="2321">O1856-M1856</f>
        <v>-3200</v>
      </c>
      <c r="Q1856" s="99">
        <f>SUMIFS(Q$1:Q1849,$C$1:$C1849,$C1856,$F$1:$F1849,$F1856)</f>
        <v>77862</v>
      </c>
      <c r="R1856" s="99">
        <f>SUMIFS(R$1:R1849,$C$1:$C1849,$C1856,$F$1:$F1849,$F1856)</f>
        <v>0</v>
      </c>
      <c r="S1856" s="99">
        <f>SUMIFS(S$1:S1849,$C$1:$C1849,$C1856,$F$1:$F1849,$F1856)</f>
        <v>0</v>
      </c>
      <c r="T1856" s="99">
        <f>SUMIFS(T$1:T1849,$C$1:$C1849,$C1856,$F$1:$F1849,$F1856)</f>
        <v>77862</v>
      </c>
      <c r="U1856" s="99">
        <f t="shared" ref="U1856:U1878" si="2322">T1856-M1856</f>
        <v>5000</v>
      </c>
      <c r="V1856" s="255">
        <f t="shared" ref="V1856:V1878" si="2323">IF(M1856=0,"N/A",T1856/M1856-1)</f>
        <v>6.8622876121984033E-2</v>
      </c>
      <c r="W1856" s="102"/>
      <c r="X1856" s="102"/>
      <c r="Y1856" s="102">
        <f t="shared" ref="Y1856" si="2324">T1856-X1856</f>
        <v>77862</v>
      </c>
      <c r="Z1856" s="309">
        <f>Y1856*(1+VLOOKUP($F1856,'GL Category'!$A:$H,4,FALSE))</f>
        <v>80197.86</v>
      </c>
      <c r="AA1856" s="615"/>
      <c r="AB1856" s="622">
        <f t="shared" ref="AB1856" si="2325">Z1856+AA1856</f>
        <v>80197.86</v>
      </c>
      <c r="AC1856" s="633">
        <f>AB1856*(1+VLOOKUP($F1856,'GL Category'!$A:$H,5,FALSE))</f>
        <v>82603.795800000007</v>
      </c>
      <c r="AD1856" s="615"/>
      <c r="AE1856" s="622">
        <f t="shared" ref="AE1856" si="2326">AC1856+AD1856</f>
        <v>82603.795800000007</v>
      </c>
      <c r="AF1856" s="633">
        <f>AE1856*(1+VLOOKUP($F1856,'GL Category'!$A:$H,6,FALSE))</f>
        <v>85081.90967400001</v>
      </c>
      <c r="AG1856" s="615"/>
      <c r="AH1856" s="622">
        <f t="shared" ref="AH1856" si="2327">AF1856+AG1856</f>
        <v>85081.90967400001</v>
      </c>
      <c r="AI1856" s="633">
        <f>AH1856*(1+VLOOKUP($F1856,'GL Category'!$A:$H,7,FALSE))</f>
        <v>87634.366964220011</v>
      </c>
      <c r="AJ1856" s="615"/>
      <c r="AK1856" s="622">
        <f t="shared" ref="AK1856" si="2328">AI1856+AJ1856</f>
        <v>87634.366964220011</v>
      </c>
      <c r="AL1856" s="633">
        <f>AK1856*(1+VLOOKUP($F1856,'GL Category'!$A:$H,8,FALSE))</f>
        <v>90263.39797314661</v>
      </c>
      <c r="AM1856" s="615"/>
      <c r="AN1856" s="622">
        <f t="shared" ref="AN1856" si="2329">AL1856+AM1856</f>
        <v>90263.39797314661</v>
      </c>
      <c r="AO1856" s="97"/>
      <c r="AP1856" s="97"/>
      <c r="AQ1856" s="97"/>
      <c r="AR1856" s="70"/>
      <c r="AS1856" s="70"/>
    </row>
    <row r="1857" spans="1:45" s="71" customFormat="1" ht="15" customHeight="1">
      <c r="A1857" s="555"/>
      <c r="B1857" s="217"/>
      <c r="C1857" s="217">
        <v>63</v>
      </c>
      <c r="D1857" s="101"/>
      <c r="E1857" s="217"/>
      <c r="F1857" s="294" t="s">
        <v>189</v>
      </c>
      <c r="G1857" s="295" t="str">
        <f>VLOOKUP(F1857,'GL Category'!A:C,3,FALSE)</f>
        <v>Services &amp; other</v>
      </c>
      <c r="H1857" s="98" t="str">
        <f>VLOOKUP(F1857,'GL Category'!A:C,2,FALSE)</f>
        <v>DUES &amp; SUBSCRIPTIONS</v>
      </c>
      <c r="I1857" s="99">
        <f>SUMIFS(I$1:I1850,$C$1:$C1850,$C1857,$F$1:$F1850,$F1857)</f>
        <v>1484</v>
      </c>
      <c r="J1857" s="99">
        <f>SUMIFS(J$1:J1850,$C$1:$C1850,$C1857,$F$1:$F1850,$F1857)</f>
        <v>1141.8600000000001</v>
      </c>
      <c r="K1857" s="99">
        <f>SUMIFS(K$1:K1850,$C$1:$C1850,$C1857,$F$1:$F1850,$F1857)</f>
        <v>2533.61</v>
      </c>
      <c r="L1857" s="99">
        <f>SUMIFS(L$1:L1850,$C$1:$C1850,$C1857,$F$1:$F1850,$F1857)</f>
        <v>2291.2800000000002</v>
      </c>
      <c r="M1857" s="99">
        <f>SUMIFS(M$1:M1850,$C$1:$C1850,$C1857,$F$1:$F1850,$F1857)</f>
        <v>2895</v>
      </c>
      <c r="N1857" s="99">
        <f>SUMIFS(N$1:N1850,$C$1:$C1850,$C1857,$F$1:$F1850,$F1857)</f>
        <v>1934.43</v>
      </c>
      <c r="O1857" s="99">
        <f>SUMIFS(O$1:O1850,$C$1:$C1850,$C1857,$F$1:$F1850,$F1857)</f>
        <v>2710</v>
      </c>
      <c r="P1857" s="99">
        <f t="shared" si="2321"/>
        <v>-185</v>
      </c>
      <c r="Q1857" s="99">
        <f>SUMIFS(Q$1:Q1850,$C$1:$C1850,$C1857,$F$1:$F1850,$F1857)</f>
        <v>2710</v>
      </c>
      <c r="R1857" s="99">
        <f>SUMIFS(R$1:R1850,$C$1:$C1850,$C1857,$F$1:$F1850,$F1857)</f>
        <v>0</v>
      </c>
      <c r="S1857" s="99">
        <f>SUMIFS(S$1:S1850,$C$1:$C1850,$C1857,$F$1:$F1850,$F1857)</f>
        <v>0</v>
      </c>
      <c r="T1857" s="99">
        <f>SUMIFS(T$1:T1850,$C$1:$C1850,$C1857,$F$1:$F1850,$F1857)</f>
        <v>2710</v>
      </c>
      <c r="U1857" s="99">
        <f t="shared" si="2322"/>
        <v>-185</v>
      </c>
      <c r="V1857" s="255">
        <f t="shared" si="2323"/>
        <v>-6.3903281519861799E-2</v>
      </c>
      <c r="W1857" s="102"/>
      <c r="X1857" s="102"/>
      <c r="Y1857" s="102">
        <f t="shared" ref="Y1857:Y1877" si="2330">T1857-X1857</f>
        <v>2710</v>
      </c>
      <c r="Z1857" s="309">
        <f>Y1857*(1+VLOOKUP($F1857,'GL Category'!$A:$H,4,FALSE))</f>
        <v>2791.3</v>
      </c>
      <c r="AA1857" s="615"/>
      <c r="AB1857" s="622">
        <f t="shared" ref="AB1857:AB1877" si="2331">Z1857+AA1857</f>
        <v>2791.3</v>
      </c>
      <c r="AC1857" s="633">
        <f>AB1857*(1+VLOOKUP($F1857,'GL Category'!$A:$H,5,FALSE))</f>
        <v>2875.0390000000002</v>
      </c>
      <c r="AD1857" s="307"/>
      <c r="AE1857" s="622">
        <f t="shared" ref="AE1857:AE1877" si="2332">AC1857+AD1857</f>
        <v>2875.0390000000002</v>
      </c>
      <c r="AF1857" s="633">
        <f>AE1857*(1+VLOOKUP($F1857,'GL Category'!$A:$H,6,FALSE))</f>
        <v>2961.2901700000002</v>
      </c>
      <c r="AG1857" s="307"/>
      <c r="AH1857" s="622">
        <f t="shared" ref="AH1857:AH1877" si="2333">AF1857+AG1857</f>
        <v>2961.2901700000002</v>
      </c>
      <c r="AI1857" s="633">
        <f>AH1857*(1+VLOOKUP($F1857,'GL Category'!$A:$H,7,FALSE))</f>
        <v>3050.1288751000002</v>
      </c>
      <c r="AJ1857" s="307"/>
      <c r="AK1857" s="622">
        <f t="shared" ref="AK1857:AK1877" si="2334">AI1857+AJ1857</f>
        <v>3050.1288751000002</v>
      </c>
      <c r="AL1857" s="633">
        <f>AK1857*(1+VLOOKUP($F1857,'GL Category'!$A:$H,8,FALSE))</f>
        <v>3141.6327413530003</v>
      </c>
      <c r="AM1857" s="307"/>
      <c r="AN1857" s="622">
        <f t="shared" ref="AN1857:AN1877" si="2335">AL1857+AM1857</f>
        <v>3141.6327413530003</v>
      </c>
      <c r="AO1857" s="97"/>
      <c r="AP1857" s="97"/>
      <c r="AQ1857" s="97"/>
      <c r="AR1857" s="70"/>
      <c r="AS1857" s="70"/>
    </row>
    <row r="1858" spans="1:45" s="71" customFormat="1" ht="15" customHeight="1">
      <c r="A1858" s="555"/>
      <c r="B1858" s="217"/>
      <c r="C1858" s="217">
        <v>63</v>
      </c>
      <c r="D1858" s="101"/>
      <c r="E1858" s="217"/>
      <c r="F1858" s="556" t="s">
        <v>264</v>
      </c>
      <c r="G1858" s="295" t="str">
        <f>VLOOKUP(F1858,'GL Category'!A:C,3,FALSE)</f>
        <v>Services &amp; other</v>
      </c>
      <c r="H1858" s="98" t="str">
        <f>VLOOKUP(F1858,'GL Category'!A:C,2,FALSE)</f>
        <v>TRAVEL, TRAINING &amp; EDUCATION</v>
      </c>
      <c r="I1858" s="99">
        <f>SUMIFS(I$1:I1852,$C$1:$C1852,$C1858,$F$1:$F1852,$F1858)</f>
        <v>14418.12</v>
      </c>
      <c r="J1858" s="99">
        <f>SUMIFS(J$1:J1852,$C$1:$C1852,$C1858,$F$1:$F1852,$F1858)</f>
        <v>6935.04</v>
      </c>
      <c r="K1858" s="99">
        <f>SUMIFS(K$1:K1852,$C$1:$C1852,$C1858,$F$1:$F1852,$F1858)</f>
        <v>10906.289999999999</v>
      </c>
      <c r="L1858" s="99">
        <f>SUMIFS(L$1:L1852,$C$1:$C1852,$C1858,$F$1:$F1852,$F1858)</f>
        <v>11309.95</v>
      </c>
      <c r="M1858" s="99">
        <f>SUMIFS(M$1:M1852,$C$1:$C1852,$C1858,$F$1:$F1852,$F1858)</f>
        <v>18175</v>
      </c>
      <c r="N1858" s="99">
        <f>SUMIFS(N$1:N1852,$C$1:$C1852,$C1858,$F$1:$F1852,$F1858)</f>
        <v>10179.26</v>
      </c>
      <c r="O1858" s="99">
        <f>SUMIFS(O$1:O1852,$C$1:$C1852,$C1858,$F$1:$F1852,$F1858)</f>
        <v>12510</v>
      </c>
      <c r="P1858" s="99">
        <f t="shared" si="2321"/>
        <v>-5665</v>
      </c>
      <c r="Q1858" s="99">
        <f>SUMIFS(Q$1:Q1852,$C$1:$C1852,$C1858,$F$1:$F1852,$F1858)</f>
        <v>15775</v>
      </c>
      <c r="R1858" s="99">
        <f>SUMIFS(R$1:R1852,$C$1:$C1852,$C1858,$F$1:$F1852,$F1858)</f>
        <v>0</v>
      </c>
      <c r="S1858" s="99">
        <f>SUMIFS(S$1:S1852,$C$1:$C1852,$C1858,$F$1:$F1852,$F1858)</f>
        <v>0</v>
      </c>
      <c r="T1858" s="99">
        <f>SUMIFS(T$1:T1852,$C$1:$C1852,$C1858,$F$1:$F1852,$F1858)</f>
        <v>15775</v>
      </c>
      <c r="U1858" s="99">
        <f t="shared" si="2322"/>
        <v>-2400</v>
      </c>
      <c r="V1858" s="255">
        <f t="shared" si="2323"/>
        <v>-0.13204951856946356</v>
      </c>
      <c r="W1858" s="102"/>
      <c r="X1858" s="102"/>
      <c r="Y1858" s="102">
        <f t="shared" si="2330"/>
        <v>15775</v>
      </c>
      <c r="Z1858" s="309">
        <f>Y1858*(1+VLOOKUP($F1858,'GL Category'!$A:$H,4,FALSE))</f>
        <v>16248.25</v>
      </c>
      <c r="AA1858" s="615"/>
      <c r="AB1858" s="622">
        <f t="shared" si="2331"/>
        <v>16248.25</v>
      </c>
      <c r="AC1858" s="633">
        <f>AB1858*(1+VLOOKUP($F1858,'GL Category'!$A:$H,5,FALSE))</f>
        <v>16735.697500000002</v>
      </c>
      <c r="AD1858" s="307"/>
      <c r="AE1858" s="622">
        <f t="shared" si="2332"/>
        <v>16735.697500000002</v>
      </c>
      <c r="AF1858" s="633">
        <f>AE1858*(1+VLOOKUP($F1858,'GL Category'!$A:$H,6,FALSE))</f>
        <v>17237.768425000002</v>
      </c>
      <c r="AG1858" s="307"/>
      <c r="AH1858" s="622">
        <f t="shared" si="2333"/>
        <v>17237.768425000002</v>
      </c>
      <c r="AI1858" s="633">
        <f>AH1858*(1+VLOOKUP($F1858,'GL Category'!$A:$H,7,FALSE))</f>
        <v>17754.901477750002</v>
      </c>
      <c r="AJ1858" s="307"/>
      <c r="AK1858" s="622">
        <f t="shared" si="2334"/>
        <v>17754.901477750002</v>
      </c>
      <c r="AL1858" s="633">
        <f>AK1858*(1+VLOOKUP($F1858,'GL Category'!$A:$H,8,FALSE))</f>
        <v>18287.548522082503</v>
      </c>
      <c r="AM1858" s="307"/>
      <c r="AN1858" s="622">
        <f t="shared" si="2335"/>
        <v>18287.548522082503</v>
      </c>
      <c r="AO1858" s="97"/>
      <c r="AP1858" s="97"/>
      <c r="AQ1858" s="97"/>
      <c r="AR1858" s="70"/>
      <c r="AS1858" s="70"/>
    </row>
    <row r="1859" spans="1:45" s="71" customFormat="1" ht="15" customHeight="1">
      <c r="A1859" s="555"/>
      <c r="B1859" s="217"/>
      <c r="C1859" s="217">
        <v>63</v>
      </c>
      <c r="D1859" s="101"/>
      <c r="E1859" s="217"/>
      <c r="F1859" s="294" t="s">
        <v>192</v>
      </c>
      <c r="G1859" s="295" t="str">
        <f>VLOOKUP(F1859,'GL Category'!A:C,3,FALSE)</f>
        <v>Services &amp; other</v>
      </c>
      <c r="H1859" s="98" t="str">
        <f>VLOOKUP(F1859,'GL Category'!A:C,2,FALSE)</f>
        <v>CONSULTING SERVICES</v>
      </c>
      <c r="I1859" s="99">
        <f>SUMIFS(I$1:I1853,$C$1:$C1853,$C1859,$F$1:$F1853,$F1859)</f>
        <v>0</v>
      </c>
      <c r="J1859" s="99">
        <f>SUMIFS(J$1:J1853,$C$1:$C1853,$C1859,$F$1:$F1853,$F1859)</f>
        <v>0</v>
      </c>
      <c r="K1859" s="99">
        <f>SUMIFS(K$1:K1853,$C$1:$C1853,$C1859,$F$1:$F1853,$F1859)</f>
        <v>0</v>
      </c>
      <c r="L1859" s="99">
        <f>SUMIFS(L$1:L1853,$C$1:$C1853,$C1859,$F$1:$F1853,$F1859)</f>
        <v>0</v>
      </c>
      <c r="M1859" s="99">
        <f>SUMIFS(M$1:M1853,$C$1:$C1853,$C1859,$F$1:$F1853,$F1859)</f>
        <v>0</v>
      </c>
      <c r="N1859" s="99">
        <f>SUMIFS(N$1:N1853,$C$1:$C1853,$C1859,$F$1:$F1853,$F1859)</f>
        <v>0</v>
      </c>
      <c r="O1859" s="99">
        <f>SUMIFS(O$1:O1853,$C$1:$C1853,$C1859,$F$1:$F1853,$F1859)</f>
        <v>0</v>
      </c>
      <c r="P1859" s="99">
        <f t="shared" ref="P1859" si="2336">O1859-M1859</f>
        <v>0</v>
      </c>
      <c r="Q1859" s="99">
        <f>SUMIFS(Q$1:Q1853,$C$1:$C1853,$C1859,$F$1:$F1853,$F1859)</f>
        <v>0</v>
      </c>
      <c r="R1859" s="99">
        <f>SUMIFS(R$1:R1853,$C$1:$C1853,$C1859,$F$1:$F1853,$F1859)</f>
        <v>0</v>
      </c>
      <c r="S1859" s="99">
        <f>SUMIFS(S$1:S1853,$C$1:$C1853,$C1859,$F$1:$F1853,$F1859)</f>
        <v>0</v>
      </c>
      <c r="T1859" s="99">
        <f>SUMIFS(T$1:T1853,$C$1:$C1853,$C1859,$F$1:$F1853,$F1859)</f>
        <v>0</v>
      </c>
      <c r="U1859" s="99">
        <f t="shared" si="2322"/>
        <v>0</v>
      </c>
      <c r="V1859" s="255" t="str">
        <f t="shared" si="2323"/>
        <v>N/A</v>
      </c>
      <c r="W1859" s="102"/>
      <c r="X1859" s="102"/>
      <c r="Y1859" s="102">
        <f t="shared" si="2330"/>
        <v>0</v>
      </c>
      <c r="Z1859" s="309">
        <f>Y1859*(1+VLOOKUP($F1859,'GL Category'!$A:$H,4,FALSE))</f>
        <v>0</v>
      </c>
      <c r="AA1859" s="615"/>
      <c r="AB1859" s="622">
        <f t="shared" si="2331"/>
        <v>0</v>
      </c>
      <c r="AC1859" s="633">
        <f>AB1859*(1+VLOOKUP($F1859,'GL Category'!$A:$H,5,FALSE))</f>
        <v>0</v>
      </c>
      <c r="AD1859" s="307"/>
      <c r="AE1859" s="622">
        <f t="shared" si="2332"/>
        <v>0</v>
      </c>
      <c r="AF1859" s="633">
        <f>AE1859*(1+VLOOKUP($F1859,'GL Category'!$A:$H,6,FALSE))</f>
        <v>0</v>
      </c>
      <c r="AG1859" s="307"/>
      <c r="AH1859" s="622">
        <f t="shared" si="2333"/>
        <v>0</v>
      </c>
      <c r="AI1859" s="633">
        <f>AH1859*(1+VLOOKUP($F1859,'GL Category'!$A:$H,7,FALSE))</f>
        <v>0</v>
      </c>
      <c r="AJ1859" s="307"/>
      <c r="AK1859" s="622">
        <f t="shared" si="2334"/>
        <v>0</v>
      </c>
      <c r="AL1859" s="633">
        <f>AK1859*(1+VLOOKUP($F1859,'GL Category'!$A:$H,8,FALSE))</f>
        <v>0</v>
      </c>
      <c r="AM1859" s="307"/>
      <c r="AN1859" s="622">
        <f t="shared" si="2335"/>
        <v>0</v>
      </c>
      <c r="AO1859" s="97"/>
      <c r="AP1859" s="97"/>
      <c r="AQ1859" s="97"/>
      <c r="AR1859" s="70"/>
      <c r="AS1859" s="70"/>
    </row>
    <row r="1860" spans="1:45" s="71" customFormat="1" ht="15" customHeight="1">
      <c r="A1860" s="555"/>
      <c r="B1860" s="217"/>
      <c r="C1860" s="217">
        <v>63</v>
      </c>
      <c r="D1860" s="101"/>
      <c r="E1860" s="217"/>
      <c r="F1860" s="294" t="s">
        <v>196</v>
      </c>
      <c r="G1860" s="295" t="str">
        <f>VLOOKUP(F1860,'GL Category'!A:C,3,FALSE)</f>
        <v>Services &amp; other</v>
      </c>
      <c r="H1860" s="98" t="str">
        <f>VLOOKUP(F1860,'GL Category'!A:C,2,FALSE)</f>
        <v>ADVERTISING &amp; RECORDING</v>
      </c>
      <c r="I1860" s="99">
        <f>SUMIFS(I$1:I1853,$C$1:$C1853,$C1860,$F$1:$F1853,$F1860)</f>
        <v>0</v>
      </c>
      <c r="J1860" s="99">
        <f>SUMIFS(J$1:J1853,$C$1:$C1853,$C1860,$F$1:$F1853,$F1860)</f>
        <v>0</v>
      </c>
      <c r="K1860" s="99">
        <f>SUMIFS(K$1:K1853,$C$1:$C1853,$C1860,$F$1:$F1853,$F1860)</f>
        <v>0</v>
      </c>
      <c r="L1860" s="99">
        <f>SUMIFS(L$1:L1853,$C$1:$C1853,$C1860,$F$1:$F1853,$F1860)</f>
        <v>0</v>
      </c>
      <c r="M1860" s="99">
        <f>SUMIFS(M$1:M1853,$C$1:$C1853,$C1860,$F$1:$F1853,$F1860)</f>
        <v>0</v>
      </c>
      <c r="N1860" s="99">
        <f>SUMIFS(N$1:N1853,$C$1:$C1853,$C1860,$F$1:$F1853,$F1860)</f>
        <v>0</v>
      </c>
      <c r="O1860" s="99">
        <f>SUMIFS(O$1:O1853,$C$1:$C1853,$C1860,$F$1:$F1853,$F1860)</f>
        <v>0</v>
      </c>
      <c r="P1860" s="99">
        <f t="shared" si="2321"/>
        <v>0</v>
      </c>
      <c r="Q1860" s="99">
        <f>SUMIFS(Q$1:Q1853,$C$1:$C1853,$C1860,$F$1:$F1853,$F1860)</f>
        <v>0</v>
      </c>
      <c r="R1860" s="99">
        <f>SUMIFS(R$1:R1853,$C$1:$C1853,$C1860,$F$1:$F1853,$F1860)</f>
        <v>0</v>
      </c>
      <c r="S1860" s="99">
        <f>SUMIFS(S$1:S1853,$C$1:$C1853,$C1860,$F$1:$F1853,$F1860)</f>
        <v>0</v>
      </c>
      <c r="T1860" s="99">
        <f>SUMIFS(T$1:T1853,$C$1:$C1853,$C1860,$F$1:$F1853,$F1860)</f>
        <v>0</v>
      </c>
      <c r="U1860" s="99">
        <f t="shared" si="2322"/>
        <v>0</v>
      </c>
      <c r="V1860" s="255" t="str">
        <f t="shared" si="2323"/>
        <v>N/A</v>
      </c>
      <c r="W1860" s="102"/>
      <c r="X1860" s="102"/>
      <c r="Y1860" s="102">
        <f t="shared" si="2330"/>
        <v>0</v>
      </c>
      <c r="Z1860" s="309">
        <f>Y1860*(1+VLOOKUP($F1860,'GL Category'!$A:$H,4,FALSE))</f>
        <v>0</v>
      </c>
      <c r="AA1860" s="615"/>
      <c r="AB1860" s="622">
        <f t="shared" si="2331"/>
        <v>0</v>
      </c>
      <c r="AC1860" s="633">
        <f>AB1860*(1+VLOOKUP($F1860,'GL Category'!$A:$H,5,FALSE))</f>
        <v>0</v>
      </c>
      <c r="AD1860" s="307"/>
      <c r="AE1860" s="622">
        <f t="shared" si="2332"/>
        <v>0</v>
      </c>
      <c r="AF1860" s="633">
        <f>AE1860*(1+VLOOKUP($F1860,'GL Category'!$A:$H,6,FALSE))</f>
        <v>0</v>
      </c>
      <c r="AG1860" s="307"/>
      <c r="AH1860" s="622">
        <f t="shared" si="2333"/>
        <v>0</v>
      </c>
      <c r="AI1860" s="633">
        <f>AH1860*(1+VLOOKUP($F1860,'GL Category'!$A:$H,7,FALSE))</f>
        <v>0</v>
      </c>
      <c r="AJ1860" s="307"/>
      <c r="AK1860" s="622">
        <f t="shared" si="2334"/>
        <v>0</v>
      </c>
      <c r="AL1860" s="633">
        <f>AK1860*(1+VLOOKUP($F1860,'GL Category'!$A:$H,8,FALSE))</f>
        <v>0</v>
      </c>
      <c r="AM1860" s="307"/>
      <c r="AN1860" s="622">
        <f t="shared" si="2335"/>
        <v>0</v>
      </c>
      <c r="AO1860" s="97"/>
      <c r="AP1860" s="97"/>
      <c r="AQ1860" s="97"/>
      <c r="AR1860" s="70"/>
      <c r="AS1860" s="70"/>
    </row>
    <row r="1861" spans="1:45" s="71" customFormat="1" ht="15" customHeight="1">
      <c r="A1861" s="555"/>
      <c r="B1861" s="217"/>
      <c r="C1861" s="217">
        <v>63</v>
      </c>
      <c r="D1861" s="101"/>
      <c r="E1861" s="217"/>
      <c r="F1861" s="294" t="s">
        <v>198</v>
      </c>
      <c r="G1861" s="295" t="str">
        <f>VLOOKUP(F1861,'GL Category'!A:C,3,FALSE)</f>
        <v>Services &amp; other</v>
      </c>
      <c r="H1861" s="98" t="str">
        <f>VLOOKUP(F1861,'GL Category'!A:C,2,FALSE)</f>
        <v>EQUIPMENT RENTAL</v>
      </c>
      <c r="I1861" s="99">
        <f>SUMIFS(I$1:I1854,$C$1:$C1854,$C1861,$F$1:$F1854,$F1861)</f>
        <v>6497.7199999999993</v>
      </c>
      <c r="J1861" s="99">
        <f>SUMIFS(J$1:J1854,$C$1:$C1854,$C1861,$F$1:$F1854,$F1861)</f>
        <v>8694.06</v>
      </c>
      <c r="K1861" s="99">
        <f>SUMIFS(K$1:K1854,$C$1:$C1854,$C1861,$F$1:$F1854,$F1861)</f>
        <v>8523.84</v>
      </c>
      <c r="L1861" s="99">
        <f>SUMIFS(L$1:L1854,$C$1:$C1854,$C1861,$F$1:$F1854,$F1861)</f>
        <v>10727.43</v>
      </c>
      <c r="M1861" s="99">
        <f>SUMIFS(M$1:M1854,$C$1:$C1854,$C1861,$F$1:$F1854,$F1861)</f>
        <v>11000</v>
      </c>
      <c r="N1861" s="99">
        <f>SUMIFS(N$1:N1854,$C$1:$C1854,$C1861,$F$1:$F1854,$F1861)</f>
        <v>6234.14</v>
      </c>
      <c r="O1861" s="99">
        <f>SUMIFS(O$1:O1854,$C$1:$C1854,$C1861,$F$1:$F1854,$F1861)</f>
        <v>9700</v>
      </c>
      <c r="P1861" s="99">
        <f t="shared" si="2321"/>
        <v>-1300</v>
      </c>
      <c r="Q1861" s="99">
        <f>SUMIFS(Q$1:Q1854,$C$1:$C1854,$C1861,$F$1:$F1854,$F1861)</f>
        <v>9500</v>
      </c>
      <c r="R1861" s="99">
        <f>SUMIFS(R$1:R1854,$C$1:$C1854,$C1861,$F$1:$F1854,$F1861)</f>
        <v>0</v>
      </c>
      <c r="S1861" s="99">
        <f>SUMIFS(S$1:S1854,$C$1:$C1854,$C1861,$F$1:$F1854,$F1861)</f>
        <v>0</v>
      </c>
      <c r="T1861" s="99">
        <f>SUMIFS(T$1:T1854,$C$1:$C1854,$C1861,$F$1:$F1854,$F1861)</f>
        <v>9500</v>
      </c>
      <c r="U1861" s="99">
        <f t="shared" si="2322"/>
        <v>-1500</v>
      </c>
      <c r="V1861" s="255">
        <f t="shared" si="2323"/>
        <v>-0.13636363636363635</v>
      </c>
      <c r="W1861" s="102"/>
      <c r="X1861" s="102"/>
      <c r="Y1861" s="102">
        <f t="shared" si="2330"/>
        <v>9500</v>
      </c>
      <c r="Z1861" s="309">
        <f>Y1861*(1+VLOOKUP($F1861,'GL Category'!$A:$H,4,FALSE))</f>
        <v>9785</v>
      </c>
      <c r="AA1861" s="615"/>
      <c r="AB1861" s="622">
        <f t="shared" si="2331"/>
        <v>9785</v>
      </c>
      <c r="AC1861" s="633">
        <f>AB1861*(1+VLOOKUP($F1861,'GL Category'!$A:$H,5,FALSE))</f>
        <v>10078.550000000001</v>
      </c>
      <c r="AD1861" s="307"/>
      <c r="AE1861" s="622">
        <f t="shared" si="2332"/>
        <v>10078.550000000001</v>
      </c>
      <c r="AF1861" s="633">
        <f>AE1861*(1+VLOOKUP($F1861,'GL Category'!$A:$H,6,FALSE))</f>
        <v>10380.906500000001</v>
      </c>
      <c r="AG1861" s="307"/>
      <c r="AH1861" s="622">
        <f t="shared" si="2333"/>
        <v>10380.906500000001</v>
      </c>
      <c r="AI1861" s="633">
        <f>AH1861*(1+VLOOKUP($F1861,'GL Category'!$A:$H,7,FALSE))</f>
        <v>10692.333695000001</v>
      </c>
      <c r="AJ1861" s="307"/>
      <c r="AK1861" s="622">
        <f t="shared" si="2334"/>
        <v>10692.333695000001</v>
      </c>
      <c r="AL1861" s="633">
        <f>AK1861*(1+VLOOKUP($F1861,'GL Category'!$A:$H,8,FALSE))</f>
        <v>11013.103705850002</v>
      </c>
      <c r="AM1861" s="307"/>
      <c r="AN1861" s="622">
        <f t="shared" si="2335"/>
        <v>11013.103705850002</v>
      </c>
      <c r="AO1861" s="97"/>
      <c r="AP1861" s="97"/>
      <c r="AQ1861" s="97"/>
      <c r="AR1861" s="70"/>
      <c r="AS1861" s="70"/>
    </row>
    <row r="1862" spans="1:45" s="71" customFormat="1" ht="15" customHeight="1">
      <c r="A1862" s="555"/>
      <c r="B1862" s="217"/>
      <c r="C1862" s="217">
        <v>63</v>
      </c>
      <c r="D1862" s="101"/>
      <c r="E1862" s="217"/>
      <c r="F1862" s="294" t="s">
        <v>935</v>
      </c>
      <c r="G1862" s="295" t="str">
        <f>VLOOKUP(F1862,'GL Category'!A:C,3,FALSE)</f>
        <v>Services &amp; other</v>
      </c>
      <c r="H1862" s="98" t="str">
        <f>VLOOKUP(F1862,'GL Category'!A:C,2,FALSE)</f>
        <v>LANDSCAPE SERVICES</v>
      </c>
      <c r="I1862" s="99">
        <f>SUMIFS(I$1:I1855,$C$1:$C1855,$C1862,$F$1:$F1855,$F1862)</f>
        <v>560660.67000000004</v>
      </c>
      <c r="J1862" s="99">
        <f>SUMIFS(J$1:J1855,$C$1:$C1855,$C1862,$F$1:$F1855,$F1862)</f>
        <v>589665.74</v>
      </c>
      <c r="K1862" s="99">
        <f>SUMIFS(K$1:K1855,$C$1:$C1855,$C1862,$F$1:$F1855,$F1862)</f>
        <v>517482.59</v>
      </c>
      <c r="L1862" s="99">
        <f>SUMIFS(L$1:L1855,$C$1:$C1855,$C1862,$F$1:$F1855,$F1862)</f>
        <v>551147.97000000009</v>
      </c>
      <c r="M1862" s="99">
        <f>SUMIFS(M$1:M1855,$C$1:$C1855,$C1862,$F$1:$F1855,$F1862)</f>
        <v>613900</v>
      </c>
      <c r="N1862" s="99">
        <f>SUMIFS(N$1:N1855,$C$1:$C1855,$C1862,$F$1:$F1855,$F1862)</f>
        <v>451408.63</v>
      </c>
      <c r="O1862" s="99">
        <f>SUMIFS(O$1:O1855,$C$1:$C1855,$C1862,$F$1:$F1855,$F1862)</f>
        <v>608900</v>
      </c>
      <c r="P1862" s="99">
        <f>O1862-M1862</f>
        <v>-5000</v>
      </c>
      <c r="Q1862" s="99">
        <f>SUMIFS(Q$1:Q1855,$C$1:$C1855,$C1862,$F$1:$F1855,$F1862)</f>
        <v>652000</v>
      </c>
      <c r="R1862" s="99">
        <f>SUMIFS(R$1:R1855,$C$1:$C1855,$C1862,$F$1:$F1855,$F1862)</f>
        <v>0</v>
      </c>
      <c r="S1862" s="99">
        <f>SUMIFS(S$1:S1855,$C$1:$C1855,$C1862,$F$1:$F1855,$F1862)</f>
        <v>0</v>
      </c>
      <c r="T1862" s="99">
        <f>SUMIFS(T$1:T1855,$C$1:$C1855,$C1862,$F$1:$F1855,$F1862)</f>
        <v>652000</v>
      </c>
      <c r="U1862" s="99">
        <f t="shared" si="2322"/>
        <v>38100</v>
      </c>
      <c r="V1862" s="255">
        <f t="shared" si="2323"/>
        <v>6.2062225118097336E-2</v>
      </c>
      <c r="W1862" s="102"/>
      <c r="X1862" s="102"/>
      <c r="Y1862" s="102">
        <f t="shared" si="2330"/>
        <v>652000</v>
      </c>
      <c r="Z1862" s="309">
        <f>Y1862*(1+VLOOKUP($F1862,'GL Category'!$A:$H,4,FALSE))</f>
        <v>671560</v>
      </c>
      <c r="AA1862" s="615"/>
      <c r="AB1862" s="622">
        <f t="shared" si="2331"/>
        <v>671560</v>
      </c>
      <c r="AC1862" s="633">
        <f>AB1862*(1+VLOOKUP($F1862,'GL Category'!$A:$H,5,FALSE))</f>
        <v>691706.8</v>
      </c>
      <c r="AD1862" s="307"/>
      <c r="AE1862" s="622">
        <f t="shared" si="2332"/>
        <v>691706.8</v>
      </c>
      <c r="AF1862" s="633">
        <f>AE1862*(1+VLOOKUP($F1862,'GL Category'!$A:$H,6,FALSE))</f>
        <v>712458.00400000007</v>
      </c>
      <c r="AG1862" s="307"/>
      <c r="AH1862" s="622">
        <f t="shared" si="2333"/>
        <v>712458.00400000007</v>
      </c>
      <c r="AI1862" s="633">
        <f>AH1862*(1+VLOOKUP($F1862,'GL Category'!$A:$H,7,FALSE))</f>
        <v>733831.74412000005</v>
      </c>
      <c r="AJ1862" s="307"/>
      <c r="AK1862" s="622">
        <f t="shared" si="2334"/>
        <v>733831.74412000005</v>
      </c>
      <c r="AL1862" s="633">
        <f>AK1862*(1+VLOOKUP($F1862,'GL Category'!$A:$H,8,FALSE))</f>
        <v>755846.69644360011</v>
      </c>
      <c r="AM1862" s="307"/>
      <c r="AN1862" s="622">
        <f t="shared" si="2335"/>
        <v>755846.69644360011</v>
      </c>
      <c r="AO1862" s="97"/>
      <c r="AP1862" s="97"/>
      <c r="AQ1862" s="97"/>
      <c r="AR1862" s="70"/>
      <c r="AS1862" s="70"/>
    </row>
    <row r="1863" spans="1:45" s="71" customFormat="1" ht="15" customHeight="1">
      <c r="A1863" s="555"/>
      <c r="B1863" s="217"/>
      <c r="C1863" s="217">
        <v>63</v>
      </c>
      <c r="D1863" s="101"/>
      <c r="E1863" s="217"/>
      <c r="F1863" s="294" t="s">
        <v>936</v>
      </c>
      <c r="G1863" s="295" t="str">
        <f>VLOOKUP(F1863,'GL Category'!A:C,3,FALSE)</f>
        <v>Services &amp; other</v>
      </c>
      <c r="H1863" s="98" t="str">
        <f>VLOOKUP(F1863,'GL Category'!A:C,2,FALSE)</f>
        <v>JANITORIAL SERVICES</v>
      </c>
      <c r="I1863" s="99">
        <f>SUMIFS(I$1:I1856,$C$1:$C1856,$C1863,$F$1:$F1856,$F1863)</f>
        <v>63369.71</v>
      </c>
      <c r="J1863" s="99">
        <f>SUMIFS(J$1:J1856,$C$1:$C1856,$C1863,$F$1:$F1856,$F1863)</f>
        <v>49949.32</v>
      </c>
      <c r="K1863" s="99">
        <f>SUMIFS(K$1:K1856,$C$1:$C1856,$C1863,$F$1:$F1856,$F1863)</f>
        <v>78782.820000000007</v>
      </c>
      <c r="L1863" s="99">
        <f>SUMIFS(L$1:L1856,$C$1:$C1856,$C1863,$F$1:$F1856,$F1863)</f>
        <v>89609.63</v>
      </c>
      <c r="M1863" s="99">
        <f>SUMIFS(M$1:M1856,$C$1:$C1856,$C1863,$F$1:$F1856,$F1863)</f>
        <v>108600</v>
      </c>
      <c r="N1863" s="99">
        <f>SUMIFS(N$1:N1856,$C$1:$C1856,$C1863,$F$1:$F1856,$F1863)</f>
        <v>74214.399999999994</v>
      </c>
      <c r="O1863" s="99">
        <f>SUMIFS(O$1:O1856,$C$1:$C1856,$C1863,$F$1:$F1856,$F1863)</f>
        <v>101000</v>
      </c>
      <c r="P1863" s="99">
        <f>O1863-M1863</f>
        <v>-7600</v>
      </c>
      <c r="Q1863" s="99">
        <f>SUMIFS(Q$1:Q1856,$C$1:$C1856,$C1863,$F$1:$F1856,$F1863)</f>
        <v>102000</v>
      </c>
      <c r="R1863" s="99">
        <f>SUMIFS(R$1:R1856,$C$1:$C1856,$C1863,$F$1:$F1856,$F1863)</f>
        <v>0</v>
      </c>
      <c r="S1863" s="99">
        <f>SUMIFS(S$1:S1856,$C$1:$C1856,$C1863,$F$1:$F1856,$F1863)</f>
        <v>0</v>
      </c>
      <c r="T1863" s="99">
        <f>SUMIFS(T$1:T1856,$C$1:$C1856,$C1863,$F$1:$F1856,$F1863)</f>
        <v>102000</v>
      </c>
      <c r="U1863" s="99">
        <f t="shared" si="2322"/>
        <v>-6600</v>
      </c>
      <c r="V1863" s="255">
        <f t="shared" si="2323"/>
        <v>-6.0773480662983381E-2</v>
      </c>
      <c r="W1863" s="102"/>
      <c r="X1863" s="102"/>
      <c r="Y1863" s="102">
        <f t="shared" si="2330"/>
        <v>102000</v>
      </c>
      <c r="Z1863" s="309">
        <f>Y1863*(1+VLOOKUP($F1863,'GL Category'!$A:$H,4,FALSE))</f>
        <v>105060</v>
      </c>
      <c r="AA1863" s="615"/>
      <c r="AB1863" s="622">
        <f t="shared" si="2331"/>
        <v>105060</v>
      </c>
      <c r="AC1863" s="633">
        <f>AB1863*(1+VLOOKUP($F1863,'GL Category'!$A:$H,5,FALSE))</f>
        <v>108211.8</v>
      </c>
      <c r="AD1863" s="307"/>
      <c r="AE1863" s="622">
        <f t="shared" si="2332"/>
        <v>108211.8</v>
      </c>
      <c r="AF1863" s="633">
        <f>AE1863*(1+VLOOKUP($F1863,'GL Category'!$A:$H,6,FALSE))</f>
        <v>111458.15400000001</v>
      </c>
      <c r="AG1863" s="307"/>
      <c r="AH1863" s="622">
        <f t="shared" si="2333"/>
        <v>111458.15400000001</v>
      </c>
      <c r="AI1863" s="633">
        <f>AH1863*(1+VLOOKUP($F1863,'GL Category'!$A:$H,7,FALSE))</f>
        <v>114801.89862000001</v>
      </c>
      <c r="AJ1863" s="307"/>
      <c r="AK1863" s="622">
        <f t="shared" si="2334"/>
        <v>114801.89862000001</v>
      </c>
      <c r="AL1863" s="633">
        <f>AK1863*(1+VLOOKUP($F1863,'GL Category'!$A:$H,8,FALSE))</f>
        <v>118245.95557860001</v>
      </c>
      <c r="AM1863" s="307"/>
      <c r="AN1863" s="622">
        <f t="shared" si="2335"/>
        <v>118245.95557860001</v>
      </c>
      <c r="AO1863" s="97"/>
      <c r="AP1863" s="97"/>
      <c r="AQ1863" s="97"/>
      <c r="AR1863" s="70"/>
      <c r="AS1863" s="70"/>
    </row>
    <row r="1864" spans="1:45" s="71" customFormat="1" ht="15" customHeight="1">
      <c r="A1864" s="555"/>
      <c r="B1864" s="217"/>
      <c r="C1864" s="217">
        <v>63</v>
      </c>
      <c r="D1864" s="101"/>
      <c r="E1864" s="217"/>
      <c r="F1864" s="294" t="s">
        <v>201</v>
      </c>
      <c r="G1864" s="295" t="str">
        <f>VLOOKUP(F1864,'GL Category'!A:C,3,FALSE)</f>
        <v>Services &amp; other</v>
      </c>
      <c r="H1864" s="98" t="str">
        <f>VLOOKUP(F1864,'GL Category'!A:C,2,FALSE)</f>
        <v>MARKETING &amp; PROMOTIONAL</v>
      </c>
      <c r="I1864" s="99">
        <f>SUMIFS(I$1:I1855,$C$1:$C1855,$C1864,$F$1:$F1855,$F1864)</f>
        <v>2748.69</v>
      </c>
      <c r="J1864" s="99">
        <f>SUMIFS(J$1:J1855,$C$1:$C1855,$C1864,$F$1:$F1855,$F1864)</f>
        <v>3163.1</v>
      </c>
      <c r="K1864" s="99">
        <f>SUMIFS(K$1:K1855,$C$1:$C1855,$C1864,$F$1:$F1855,$F1864)</f>
        <v>3480.41</v>
      </c>
      <c r="L1864" s="99">
        <f>SUMIFS(L$1:L1855,$C$1:$C1855,$C1864,$F$1:$F1855,$F1864)</f>
        <v>3679.37</v>
      </c>
      <c r="M1864" s="99">
        <f>SUMIFS(M$1:M1855,$C$1:$C1855,$C1864,$F$1:$F1855,$F1864)</f>
        <v>4900</v>
      </c>
      <c r="N1864" s="99">
        <f>SUMIFS(N$1:N1855,$C$1:$C1855,$C1864,$F$1:$F1855,$F1864)</f>
        <v>544.94000000000005</v>
      </c>
      <c r="O1864" s="99">
        <f>SUMIFS(O$1:O1855,$C$1:$C1855,$C1864,$F$1:$F1855,$F1864)</f>
        <v>4900</v>
      </c>
      <c r="P1864" s="99">
        <f t="shared" si="2321"/>
        <v>0</v>
      </c>
      <c r="Q1864" s="99">
        <f>SUMIFS(Q$1:Q1855,$C$1:$C1855,$C1864,$F$1:$F1855,$F1864)</f>
        <v>4900</v>
      </c>
      <c r="R1864" s="99">
        <f>SUMIFS(R$1:R1855,$C$1:$C1855,$C1864,$F$1:$F1855,$F1864)</f>
        <v>0</v>
      </c>
      <c r="S1864" s="99">
        <f>SUMIFS(S$1:S1855,$C$1:$C1855,$C1864,$F$1:$F1855,$F1864)</f>
        <v>0</v>
      </c>
      <c r="T1864" s="99">
        <f>SUMIFS(T$1:T1855,$C$1:$C1855,$C1864,$F$1:$F1855,$F1864)</f>
        <v>4900</v>
      </c>
      <c r="U1864" s="99">
        <f t="shared" si="2322"/>
        <v>0</v>
      </c>
      <c r="V1864" s="255">
        <f t="shared" si="2323"/>
        <v>0</v>
      </c>
      <c r="W1864" s="102"/>
      <c r="X1864" s="102"/>
      <c r="Y1864" s="102">
        <f t="shared" si="2330"/>
        <v>4900</v>
      </c>
      <c r="Z1864" s="309">
        <f>Y1864*(1+VLOOKUP($F1864,'GL Category'!$A:$H,4,FALSE))</f>
        <v>5047</v>
      </c>
      <c r="AA1864" s="615"/>
      <c r="AB1864" s="622">
        <f t="shared" si="2331"/>
        <v>5047</v>
      </c>
      <c r="AC1864" s="633">
        <f>AB1864*(1+VLOOKUP($F1864,'GL Category'!$A:$H,5,FALSE))</f>
        <v>5198.41</v>
      </c>
      <c r="AD1864" s="307"/>
      <c r="AE1864" s="622">
        <f t="shared" si="2332"/>
        <v>5198.41</v>
      </c>
      <c r="AF1864" s="633">
        <f>AE1864*(1+VLOOKUP($F1864,'GL Category'!$A:$H,6,FALSE))</f>
        <v>5354.3622999999998</v>
      </c>
      <c r="AG1864" s="307"/>
      <c r="AH1864" s="622">
        <f t="shared" si="2333"/>
        <v>5354.3622999999998</v>
      </c>
      <c r="AI1864" s="633">
        <f>AH1864*(1+VLOOKUP($F1864,'GL Category'!$A:$H,7,FALSE))</f>
        <v>5514.9931690000003</v>
      </c>
      <c r="AJ1864" s="307"/>
      <c r="AK1864" s="622">
        <f t="shared" si="2334"/>
        <v>5514.9931690000003</v>
      </c>
      <c r="AL1864" s="633">
        <f>AK1864*(1+VLOOKUP($F1864,'GL Category'!$A:$H,8,FALSE))</f>
        <v>5680.44296407</v>
      </c>
      <c r="AM1864" s="307"/>
      <c r="AN1864" s="622">
        <f t="shared" si="2335"/>
        <v>5680.44296407</v>
      </c>
      <c r="AO1864" s="97"/>
      <c r="AP1864" s="97"/>
      <c r="AQ1864" s="97"/>
      <c r="AR1864" s="70"/>
      <c r="AS1864" s="70"/>
    </row>
    <row r="1865" spans="1:45" s="71" customFormat="1" ht="15" customHeight="1">
      <c r="A1865" s="555"/>
      <c r="B1865" s="217"/>
      <c r="C1865" s="217">
        <v>63</v>
      </c>
      <c r="D1865" s="101"/>
      <c r="E1865" s="217"/>
      <c r="F1865" s="294" t="s">
        <v>303</v>
      </c>
      <c r="G1865" s="295" t="str">
        <f>VLOOKUP(F1865,'GL Category'!A:C,3,FALSE)</f>
        <v>Services &amp; other</v>
      </c>
      <c r="H1865" s="98" t="str">
        <f>VLOOKUP(F1865,'GL Category'!A:C,2,FALSE)</f>
        <v>RECREATION &amp; CULTURE PROGRAMS</v>
      </c>
      <c r="I1865" s="99">
        <f>SUMIFS(I$1:I1856,$C$1:$C1856,$C1865,$F$1:$F1856,$F1865)</f>
        <v>1253.74</v>
      </c>
      <c r="J1865" s="99">
        <f>SUMIFS(J$1:J1856,$C$1:$C1856,$C1865,$F$1:$F1856,$F1865)</f>
        <v>18956.8</v>
      </c>
      <c r="K1865" s="99">
        <f>SUMIFS(K$1:K1856,$C$1:$C1856,$C1865,$F$1:$F1856,$F1865)</f>
        <v>54270.97</v>
      </c>
      <c r="L1865" s="99">
        <f>SUMIFS(L$1:L1856,$C$1:$C1856,$C1865,$F$1:$F1856,$F1865)</f>
        <v>22819.45</v>
      </c>
      <c r="M1865" s="99">
        <f>SUMIFS(M$1:M1856,$C$1:$C1856,$C1865,$F$1:$F1856,$F1865)</f>
        <v>27950</v>
      </c>
      <c r="N1865" s="99">
        <f>SUMIFS(N$1:N1856,$C$1:$C1856,$C1865,$F$1:$F1856,$F1865)</f>
        <v>17182.78</v>
      </c>
      <c r="O1865" s="99">
        <f>SUMIFS(O$1:O1856,$C$1:$C1856,$C1865,$F$1:$F1856,$F1865)</f>
        <v>26670</v>
      </c>
      <c r="P1865" s="99">
        <f t="shared" si="2321"/>
        <v>-1280</v>
      </c>
      <c r="Q1865" s="99">
        <f>SUMIFS(Q$1:Q1856,$C$1:$C1856,$C1865,$F$1:$F1856,$F1865)</f>
        <v>26986</v>
      </c>
      <c r="R1865" s="99">
        <f>SUMIFS(R$1:R1856,$C$1:$C1856,$C1865,$F$1:$F1856,$F1865)</f>
        <v>0</v>
      </c>
      <c r="S1865" s="99">
        <f>SUMIFS(S$1:S1856,$C$1:$C1856,$C1865,$F$1:$F1856,$F1865)</f>
        <v>0</v>
      </c>
      <c r="T1865" s="99">
        <f>SUMIFS(T$1:T1856,$C$1:$C1856,$C1865,$F$1:$F1856,$F1865)</f>
        <v>26986</v>
      </c>
      <c r="U1865" s="99">
        <f>T1865-M1865</f>
        <v>-964</v>
      </c>
      <c r="V1865" s="255">
        <f t="shared" si="2323"/>
        <v>-3.4490161001788922E-2</v>
      </c>
      <c r="W1865" s="102"/>
      <c r="X1865" s="102"/>
      <c r="Y1865" s="102">
        <f t="shared" si="2330"/>
        <v>26986</v>
      </c>
      <c r="Z1865" s="309">
        <f>Y1865*(1+VLOOKUP($F1865,'GL Category'!$A:$H,4,FALSE))</f>
        <v>27795.58</v>
      </c>
      <c r="AA1865" s="615"/>
      <c r="AB1865" s="622">
        <f t="shared" si="2331"/>
        <v>27795.58</v>
      </c>
      <c r="AC1865" s="633">
        <f>AB1865*(1+VLOOKUP($F1865,'GL Category'!$A:$H,5,FALSE))</f>
        <v>28629.447400000001</v>
      </c>
      <c r="AD1865" s="307"/>
      <c r="AE1865" s="622">
        <f t="shared" si="2332"/>
        <v>28629.447400000001</v>
      </c>
      <c r="AF1865" s="633">
        <f>AE1865*(1+VLOOKUP($F1865,'GL Category'!$A:$H,6,FALSE))</f>
        <v>29488.330822</v>
      </c>
      <c r="AG1865" s="307"/>
      <c r="AH1865" s="622">
        <f t="shared" si="2333"/>
        <v>29488.330822</v>
      </c>
      <c r="AI1865" s="633">
        <f>AH1865*(1+VLOOKUP($F1865,'GL Category'!$A:$H,7,FALSE))</f>
        <v>30372.98074666</v>
      </c>
      <c r="AJ1865" s="307"/>
      <c r="AK1865" s="622">
        <f t="shared" si="2334"/>
        <v>30372.98074666</v>
      </c>
      <c r="AL1865" s="633">
        <f>AK1865*(1+VLOOKUP($F1865,'GL Category'!$A:$H,8,FALSE))</f>
        <v>31284.170169059802</v>
      </c>
      <c r="AM1865" s="307"/>
      <c r="AN1865" s="622">
        <f t="shared" si="2335"/>
        <v>31284.170169059802</v>
      </c>
      <c r="AO1865" s="97"/>
      <c r="AP1865" s="97"/>
      <c r="AQ1865" s="97"/>
      <c r="AR1865" s="70"/>
      <c r="AS1865" s="70"/>
    </row>
    <row r="1866" spans="1:45" s="71" customFormat="1" ht="15" customHeight="1">
      <c r="A1866" s="555"/>
      <c r="B1866" s="217"/>
      <c r="C1866" s="217">
        <v>63</v>
      </c>
      <c r="D1866" s="101"/>
      <c r="E1866" s="217"/>
      <c r="F1866" s="294" t="s">
        <v>202</v>
      </c>
      <c r="G1866" s="295" t="str">
        <f>VLOOKUP(F1866,'GL Category'!A:C,3,FALSE)</f>
        <v>Services &amp; other</v>
      </c>
      <c r="H1866" s="98" t="str">
        <f>VLOOKUP(F1866,'GL Category'!A:C,2,FALSE)</f>
        <v>PRINTING &amp; BINDING SERVICES</v>
      </c>
      <c r="I1866" s="99">
        <f>SUMIFS(I$1:I1857,$C$1:$C1857,$C1866,$F$1:$F1857,$F1866)</f>
        <v>8296.1</v>
      </c>
      <c r="J1866" s="99">
        <f>SUMIFS(J$1:J1857,$C$1:$C1857,$C1866,$F$1:$F1857,$F1866)</f>
        <v>4741.5999999999995</v>
      </c>
      <c r="K1866" s="99">
        <f>SUMIFS(K$1:K1857,$C$1:$C1857,$C1866,$F$1:$F1857,$F1866)</f>
        <v>12740.09</v>
      </c>
      <c r="L1866" s="99">
        <f>SUMIFS(L$1:L1857,$C$1:$C1857,$C1866,$F$1:$F1857,$F1866)</f>
        <v>14662.36</v>
      </c>
      <c r="M1866" s="99">
        <f>SUMIFS(M$1:M1857,$C$1:$C1857,$C1866,$F$1:$F1857,$F1866)</f>
        <v>14320</v>
      </c>
      <c r="N1866" s="99">
        <f>SUMIFS(N$1:N1857,$C$1:$C1857,$C1866,$F$1:$F1857,$F1866)</f>
        <v>13104.67</v>
      </c>
      <c r="O1866" s="99">
        <f>SUMIFS(O$1:O1857,$C$1:$C1857,$C1866,$F$1:$F1857,$F1866)</f>
        <v>15284</v>
      </c>
      <c r="P1866" s="99">
        <f t="shared" si="2321"/>
        <v>964</v>
      </c>
      <c r="Q1866" s="99">
        <f>SUMIFS(Q$1:Q1857,$C$1:$C1857,$C1866,$F$1:$F1857,$F1866)</f>
        <v>15284</v>
      </c>
      <c r="R1866" s="99">
        <f>SUMIFS(R$1:R1857,$C$1:$C1857,$C1866,$F$1:$F1857,$F1866)</f>
        <v>0</v>
      </c>
      <c r="S1866" s="99">
        <f>SUMIFS(S$1:S1857,$C$1:$C1857,$C1866,$F$1:$F1857,$F1866)</f>
        <v>0</v>
      </c>
      <c r="T1866" s="99">
        <f>SUMIFS(T$1:T1857,$C$1:$C1857,$C1866,$F$1:$F1857,$F1866)</f>
        <v>15284</v>
      </c>
      <c r="U1866" s="99">
        <f t="shared" si="2322"/>
        <v>964</v>
      </c>
      <c r="V1866" s="255">
        <f t="shared" si="2323"/>
        <v>6.7318435754190054E-2</v>
      </c>
      <c r="W1866" s="102"/>
      <c r="X1866" s="102"/>
      <c r="Y1866" s="102">
        <f t="shared" si="2330"/>
        <v>15284</v>
      </c>
      <c r="Z1866" s="309">
        <f>Y1866*(1+VLOOKUP($F1866,'GL Category'!$A:$H,4,FALSE))</f>
        <v>15742.52</v>
      </c>
      <c r="AA1866" s="615"/>
      <c r="AB1866" s="622">
        <f t="shared" si="2331"/>
        <v>15742.52</v>
      </c>
      <c r="AC1866" s="633">
        <f>AB1866*(1+VLOOKUP($F1866,'GL Category'!$A:$H,5,FALSE))</f>
        <v>16214.795600000001</v>
      </c>
      <c r="AD1866" s="307"/>
      <c r="AE1866" s="622">
        <f t="shared" si="2332"/>
        <v>16214.795600000001</v>
      </c>
      <c r="AF1866" s="633">
        <f>AE1866*(1+VLOOKUP($F1866,'GL Category'!$A:$H,6,FALSE))</f>
        <v>16701.239468000003</v>
      </c>
      <c r="AG1866" s="307"/>
      <c r="AH1866" s="622">
        <f t="shared" si="2333"/>
        <v>16701.239468000003</v>
      </c>
      <c r="AI1866" s="633">
        <f>AH1866*(1+VLOOKUP($F1866,'GL Category'!$A:$H,7,FALSE))</f>
        <v>17202.276652040004</v>
      </c>
      <c r="AJ1866" s="307"/>
      <c r="AK1866" s="622">
        <f t="shared" si="2334"/>
        <v>17202.276652040004</v>
      </c>
      <c r="AL1866" s="633">
        <f>AK1866*(1+VLOOKUP($F1866,'GL Category'!$A:$H,8,FALSE))</f>
        <v>17718.344951601204</v>
      </c>
      <c r="AM1866" s="307"/>
      <c r="AN1866" s="622">
        <f t="shared" si="2335"/>
        <v>17718.344951601204</v>
      </c>
      <c r="AO1866" s="97"/>
      <c r="AP1866" s="97"/>
      <c r="AQ1866" s="97"/>
      <c r="AR1866" s="70"/>
      <c r="AS1866" s="70"/>
    </row>
    <row r="1867" spans="1:45" s="71" customFormat="1" ht="15" customHeight="1">
      <c r="A1867" s="555"/>
      <c r="B1867" s="217"/>
      <c r="C1867" s="217">
        <v>63</v>
      </c>
      <c r="D1867" s="101"/>
      <c r="E1867" s="217"/>
      <c r="F1867" s="294" t="s">
        <v>304</v>
      </c>
      <c r="G1867" s="295" t="str">
        <f>VLOOKUP(F1867,'GL Category'!A:C,3,FALSE)</f>
        <v>Services &amp; other</v>
      </c>
      <c r="H1867" s="98" t="str">
        <f>VLOOKUP(F1867,'GL Category'!A:C,2,FALSE)</f>
        <v>ENGINEERING/DESIGN SERVICES</v>
      </c>
      <c r="I1867" s="99">
        <f>SUMIFS(I$1:I1858,$C$1:$C1858,$C1867,$F$1:$F1858,$F1867)</f>
        <v>0</v>
      </c>
      <c r="J1867" s="99">
        <f>SUMIFS(J$1:J1858,$C$1:$C1858,$C1867,$F$1:$F1858,$F1867)</f>
        <v>0</v>
      </c>
      <c r="K1867" s="99">
        <f>SUMIFS(K$1:K1858,$C$1:$C1858,$C1867,$F$1:$F1858,$F1867)</f>
        <v>0</v>
      </c>
      <c r="L1867" s="99">
        <f>SUMIFS(L$1:L1858,$C$1:$C1858,$C1867,$F$1:$F1858,$F1867)</f>
        <v>0</v>
      </c>
      <c r="M1867" s="99">
        <f>SUMIFS(M$1:M1858,$C$1:$C1858,$C1867,$F$1:$F1858,$F1867)</f>
        <v>0</v>
      </c>
      <c r="N1867" s="99">
        <f>SUMIFS(N$1:N1858,$C$1:$C1858,$C1867,$F$1:$F1858,$F1867)</f>
        <v>0</v>
      </c>
      <c r="O1867" s="99">
        <f>SUMIFS(O$1:O1858,$C$1:$C1858,$C1867,$F$1:$F1858,$F1867)</f>
        <v>0</v>
      </c>
      <c r="P1867" s="99">
        <f t="shared" si="2321"/>
        <v>0</v>
      </c>
      <c r="Q1867" s="99">
        <f>SUMIFS(Q$1:Q1858,$C$1:$C1858,$C1867,$F$1:$F1858,$F1867)</f>
        <v>0</v>
      </c>
      <c r="R1867" s="99">
        <f>SUMIFS(R$1:R1858,$C$1:$C1858,$C1867,$F$1:$F1858,$F1867)</f>
        <v>0</v>
      </c>
      <c r="S1867" s="99">
        <f>SUMIFS(S$1:S1858,$C$1:$C1858,$C1867,$F$1:$F1858,$F1867)</f>
        <v>0</v>
      </c>
      <c r="T1867" s="99">
        <f>SUMIFS(T$1:T1858,$C$1:$C1858,$C1867,$F$1:$F1858,$F1867)</f>
        <v>0</v>
      </c>
      <c r="U1867" s="99">
        <f t="shared" si="2322"/>
        <v>0</v>
      </c>
      <c r="V1867" s="255" t="str">
        <f t="shared" si="2323"/>
        <v>N/A</v>
      </c>
      <c r="W1867" s="102"/>
      <c r="X1867" s="102"/>
      <c r="Y1867" s="102">
        <f t="shared" si="2330"/>
        <v>0</v>
      </c>
      <c r="Z1867" s="309">
        <f>Y1867*(1+VLOOKUP($F1867,'GL Category'!$A:$H,4,FALSE))</f>
        <v>0</v>
      </c>
      <c r="AA1867" s="615"/>
      <c r="AB1867" s="622">
        <f t="shared" si="2331"/>
        <v>0</v>
      </c>
      <c r="AC1867" s="633">
        <f>AB1867*(1+VLOOKUP($F1867,'GL Category'!$A:$H,5,FALSE))</f>
        <v>0</v>
      </c>
      <c r="AD1867" s="307"/>
      <c r="AE1867" s="622">
        <f t="shared" si="2332"/>
        <v>0</v>
      </c>
      <c r="AF1867" s="633">
        <f>AE1867*(1+VLOOKUP($F1867,'GL Category'!$A:$H,6,FALSE))</f>
        <v>0</v>
      </c>
      <c r="AG1867" s="307"/>
      <c r="AH1867" s="622">
        <f t="shared" si="2333"/>
        <v>0</v>
      </c>
      <c r="AI1867" s="633">
        <f>AH1867*(1+VLOOKUP($F1867,'GL Category'!$A:$H,7,FALSE))</f>
        <v>0</v>
      </c>
      <c r="AJ1867" s="307"/>
      <c r="AK1867" s="622">
        <f t="shared" si="2334"/>
        <v>0</v>
      </c>
      <c r="AL1867" s="633">
        <f>AK1867*(1+VLOOKUP($F1867,'GL Category'!$A:$H,8,FALSE))</f>
        <v>0</v>
      </c>
      <c r="AM1867" s="307"/>
      <c r="AN1867" s="622">
        <f t="shared" si="2335"/>
        <v>0</v>
      </c>
      <c r="AO1867" s="97"/>
      <c r="AP1867" s="97"/>
      <c r="AQ1867" s="97"/>
      <c r="AR1867" s="70"/>
      <c r="AS1867" s="70"/>
    </row>
    <row r="1868" spans="1:45" s="71" customFormat="1" ht="15" customHeight="1">
      <c r="A1868" s="555"/>
      <c r="B1868" s="217"/>
      <c r="C1868" s="217">
        <v>63</v>
      </c>
      <c r="D1868" s="101"/>
      <c r="E1868" s="217"/>
      <c r="F1868" s="294" t="s">
        <v>204</v>
      </c>
      <c r="G1868" s="295" t="str">
        <f>VLOOKUP(F1868,'GL Category'!A:C,3,FALSE)</f>
        <v>Services &amp; other</v>
      </c>
      <c r="H1868" s="98" t="str">
        <f>VLOOKUP(F1868,'GL Category'!A:C,2,FALSE)</f>
        <v>BAD DEBT EXPENSE</v>
      </c>
      <c r="I1868" s="99">
        <f>SUMIFS(I$1:I1859,$C$1:$C1859,$C1868,$F$1:$F1859,$F1868)</f>
        <v>0</v>
      </c>
      <c r="J1868" s="99">
        <f>SUMIFS(J$1:J1859,$C$1:$C1859,$C1868,$F$1:$F1859,$F1868)</f>
        <v>0</v>
      </c>
      <c r="K1868" s="99">
        <f>SUMIFS(K$1:K1859,$C$1:$C1859,$C1868,$F$1:$F1859,$F1868)</f>
        <v>0</v>
      </c>
      <c r="L1868" s="99">
        <f>SUMIFS(L$1:L1859,$C$1:$C1859,$C1868,$F$1:$F1859,$F1868)</f>
        <v>0</v>
      </c>
      <c r="M1868" s="99">
        <f>SUMIFS(M$1:M1859,$C$1:$C1859,$C1868,$F$1:$F1859,$F1868)</f>
        <v>0</v>
      </c>
      <c r="N1868" s="99">
        <f>SUMIFS(N$1:N1859,$C$1:$C1859,$C1868,$F$1:$F1859,$F1868)</f>
        <v>0</v>
      </c>
      <c r="O1868" s="99">
        <f>SUMIFS(O$1:O1859,$C$1:$C1859,$C1868,$F$1:$F1859,$F1868)</f>
        <v>0</v>
      </c>
      <c r="P1868" s="99">
        <f t="shared" si="2321"/>
        <v>0</v>
      </c>
      <c r="Q1868" s="99">
        <f>SUMIFS(Q$1:Q1859,$C$1:$C1859,$C1868,$F$1:$F1859,$F1868)</f>
        <v>0</v>
      </c>
      <c r="R1868" s="99">
        <f>SUMIFS(R$1:R1859,$C$1:$C1859,$C1868,$F$1:$F1859,$F1868)</f>
        <v>0</v>
      </c>
      <c r="S1868" s="99">
        <f>SUMIFS(S$1:S1859,$C$1:$C1859,$C1868,$F$1:$F1859,$F1868)</f>
        <v>0</v>
      </c>
      <c r="T1868" s="99">
        <f>SUMIFS(T$1:T1859,$C$1:$C1859,$C1868,$F$1:$F1859,$F1868)</f>
        <v>0</v>
      </c>
      <c r="U1868" s="99">
        <f t="shared" si="2322"/>
        <v>0</v>
      </c>
      <c r="V1868" s="255" t="str">
        <f t="shared" si="2323"/>
        <v>N/A</v>
      </c>
      <c r="W1868" s="102"/>
      <c r="X1868" s="102"/>
      <c r="Y1868" s="102">
        <f t="shared" si="2330"/>
        <v>0</v>
      </c>
      <c r="Z1868" s="309">
        <f>Y1868*(1+VLOOKUP($F1868,'GL Category'!$A:$H,4,FALSE))</f>
        <v>0</v>
      </c>
      <c r="AA1868" s="615"/>
      <c r="AB1868" s="622">
        <f t="shared" si="2331"/>
        <v>0</v>
      </c>
      <c r="AC1868" s="633">
        <f>AB1868*(1+VLOOKUP($F1868,'GL Category'!$A:$H,5,FALSE))</f>
        <v>0</v>
      </c>
      <c r="AD1868" s="307"/>
      <c r="AE1868" s="622">
        <f t="shared" si="2332"/>
        <v>0</v>
      </c>
      <c r="AF1868" s="633">
        <f>AE1868*(1+VLOOKUP($F1868,'GL Category'!$A:$H,6,FALSE))</f>
        <v>0</v>
      </c>
      <c r="AG1868" s="307"/>
      <c r="AH1868" s="622">
        <f t="shared" si="2333"/>
        <v>0</v>
      </c>
      <c r="AI1868" s="633">
        <f>AH1868*(1+VLOOKUP($F1868,'GL Category'!$A:$H,7,FALSE))</f>
        <v>0</v>
      </c>
      <c r="AJ1868" s="307"/>
      <c r="AK1868" s="622">
        <f t="shared" si="2334"/>
        <v>0</v>
      </c>
      <c r="AL1868" s="633">
        <f>AK1868*(1+VLOOKUP($F1868,'GL Category'!$A:$H,8,FALSE))</f>
        <v>0</v>
      </c>
      <c r="AM1868" s="307"/>
      <c r="AN1868" s="622">
        <f t="shared" si="2335"/>
        <v>0</v>
      </c>
      <c r="AO1868" s="97"/>
      <c r="AP1868" s="97"/>
      <c r="AQ1868" s="97"/>
      <c r="AR1868" s="70"/>
      <c r="AS1868" s="70"/>
    </row>
    <row r="1869" spans="1:45" s="71" customFormat="1" ht="15" customHeight="1">
      <c r="A1869" s="555"/>
      <c r="B1869" s="217"/>
      <c r="C1869" s="217">
        <v>63</v>
      </c>
      <c r="D1869" s="101"/>
      <c r="E1869" s="217"/>
      <c r="F1869" s="294" t="s">
        <v>206</v>
      </c>
      <c r="G1869" s="295" t="str">
        <f>VLOOKUP(F1869,'GL Category'!A:C,3,FALSE)</f>
        <v>Services &amp; other</v>
      </c>
      <c r="H1869" s="98" t="str">
        <f>VLOOKUP(F1869,'GL Category'!A:C,2,FALSE)</f>
        <v>FREIGHT &amp; EXPRESS SERVICES</v>
      </c>
      <c r="I1869" s="99">
        <f>SUMIFS(I$1:I1860,$C$1:$C1860,$C1869,$F$1:$F1860,$F1869)</f>
        <v>0</v>
      </c>
      <c r="J1869" s="99">
        <f>SUMIFS(J$1:J1860,$C$1:$C1860,$C1869,$F$1:$F1860,$F1869)</f>
        <v>0</v>
      </c>
      <c r="K1869" s="99">
        <f>SUMIFS(K$1:K1860,$C$1:$C1860,$C1869,$F$1:$F1860,$F1869)</f>
        <v>0</v>
      </c>
      <c r="L1869" s="99">
        <f>SUMIFS(L$1:L1860,$C$1:$C1860,$C1869,$F$1:$F1860,$F1869)</f>
        <v>0</v>
      </c>
      <c r="M1869" s="99">
        <f>SUMIFS(M$1:M1860,$C$1:$C1860,$C1869,$F$1:$F1860,$F1869)</f>
        <v>0</v>
      </c>
      <c r="N1869" s="99">
        <f>SUMIFS(N$1:N1860,$C$1:$C1860,$C1869,$F$1:$F1860,$F1869)</f>
        <v>0</v>
      </c>
      <c r="O1869" s="99">
        <f>SUMIFS(O$1:O1860,$C$1:$C1860,$C1869,$F$1:$F1860,$F1869)</f>
        <v>0</v>
      </c>
      <c r="P1869" s="99">
        <f t="shared" ref="P1869" si="2337">O1869-M1869</f>
        <v>0</v>
      </c>
      <c r="Q1869" s="99">
        <f>SUMIFS(Q$1:Q1860,$C$1:$C1860,$C1869,$F$1:$F1860,$F1869)</f>
        <v>0</v>
      </c>
      <c r="R1869" s="99">
        <f>SUMIFS(R$1:R1860,$C$1:$C1860,$C1869,$F$1:$F1860,$F1869)</f>
        <v>0</v>
      </c>
      <c r="S1869" s="99">
        <f>SUMIFS(S$1:S1860,$C$1:$C1860,$C1869,$F$1:$F1860,$F1869)</f>
        <v>0</v>
      </c>
      <c r="T1869" s="99">
        <f>SUMIFS(T$1:T1860,$C$1:$C1860,$C1869,$F$1:$F1860,$F1869)</f>
        <v>0</v>
      </c>
      <c r="U1869" s="99">
        <f t="shared" si="2322"/>
        <v>0</v>
      </c>
      <c r="V1869" s="255" t="str">
        <f t="shared" si="2323"/>
        <v>N/A</v>
      </c>
      <c r="W1869" s="102"/>
      <c r="X1869" s="102"/>
      <c r="Y1869" s="102">
        <f t="shared" si="2330"/>
        <v>0</v>
      </c>
      <c r="Z1869" s="309">
        <f>Y1869*(1+VLOOKUP($F1869,'GL Category'!$A:$H,4,FALSE))</f>
        <v>0</v>
      </c>
      <c r="AA1869" s="615"/>
      <c r="AB1869" s="622">
        <f t="shared" si="2331"/>
        <v>0</v>
      </c>
      <c r="AC1869" s="633">
        <f>AB1869*(1+VLOOKUP($F1869,'GL Category'!$A:$H,5,FALSE))</f>
        <v>0</v>
      </c>
      <c r="AD1869" s="307"/>
      <c r="AE1869" s="622">
        <f t="shared" si="2332"/>
        <v>0</v>
      </c>
      <c r="AF1869" s="633">
        <f>AE1869*(1+VLOOKUP($F1869,'GL Category'!$A:$H,6,FALSE))</f>
        <v>0</v>
      </c>
      <c r="AG1869" s="307"/>
      <c r="AH1869" s="622">
        <f t="shared" si="2333"/>
        <v>0</v>
      </c>
      <c r="AI1869" s="633">
        <f>AH1869*(1+VLOOKUP($F1869,'GL Category'!$A:$H,7,FALSE))</f>
        <v>0</v>
      </c>
      <c r="AJ1869" s="307"/>
      <c r="AK1869" s="622">
        <f t="shared" si="2334"/>
        <v>0</v>
      </c>
      <c r="AL1869" s="633">
        <f>AK1869*(1+VLOOKUP($F1869,'GL Category'!$A:$H,8,FALSE))</f>
        <v>0</v>
      </c>
      <c r="AM1869" s="307"/>
      <c r="AN1869" s="622">
        <f t="shared" si="2335"/>
        <v>0</v>
      </c>
      <c r="AO1869" s="97"/>
      <c r="AP1869" s="97"/>
      <c r="AQ1869" s="97"/>
      <c r="AR1869" s="70"/>
      <c r="AS1869" s="70"/>
    </row>
    <row r="1870" spans="1:45" s="71" customFormat="1" ht="15" customHeight="1">
      <c r="A1870" s="555"/>
      <c r="B1870" s="217"/>
      <c r="C1870" s="217">
        <v>63</v>
      </c>
      <c r="D1870" s="101"/>
      <c r="E1870" s="217"/>
      <c r="F1870" s="294" t="s">
        <v>208</v>
      </c>
      <c r="G1870" s="295" t="str">
        <f>VLOOKUP(F1870,'GL Category'!A:C,3,FALSE)</f>
        <v>Services &amp; other</v>
      </c>
      <c r="H1870" s="98" t="str">
        <f>VLOOKUP(F1870,'GL Category'!A:C,2,FALSE)</f>
        <v>GENERAL INSURANCE</v>
      </c>
      <c r="I1870" s="99">
        <f>SUMIFS(I$1:I1861,$C$1:$C1861,$C1870,$F$1:$F1861,$F1870)</f>
        <v>0</v>
      </c>
      <c r="J1870" s="99">
        <f>SUMIFS(J$1:J1861,$C$1:$C1861,$C1870,$F$1:$F1861,$F1870)</f>
        <v>0</v>
      </c>
      <c r="K1870" s="99">
        <f>SUMIFS(K$1:K1861,$C$1:$C1861,$C1870,$F$1:$F1861,$F1870)</f>
        <v>0</v>
      </c>
      <c r="L1870" s="99">
        <f>SUMIFS(L$1:L1861,$C$1:$C1861,$C1870,$F$1:$F1861,$F1870)</f>
        <v>0</v>
      </c>
      <c r="M1870" s="99">
        <f>SUMIFS(M$1:M1861,$C$1:$C1861,$C1870,$F$1:$F1861,$F1870)</f>
        <v>0</v>
      </c>
      <c r="N1870" s="99">
        <f>SUMIFS(N$1:N1861,$C$1:$C1861,$C1870,$F$1:$F1861,$F1870)</f>
        <v>0</v>
      </c>
      <c r="O1870" s="99">
        <f>SUMIFS(O$1:O1861,$C$1:$C1861,$C1870,$F$1:$F1861,$F1870)</f>
        <v>0</v>
      </c>
      <c r="P1870" s="99">
        <f t="shared" si="2321"/>
        <v>0</v>
      </c>
      <c r="Q1870" s="99">
        <f>SUMIFS(Q$1:Q1861,$C$1:$C1861,$C1870,$F$1:$F1861,$F1870)</f>
        <v>0</v>
      </c>
      <c r="R1870" s="99">
        <f>SUMIFS(R$1:R1861,$C$1:$C1861,$C1870,$F$1:$F1861,$F1870)</f>
        <v>0</v>
      </c>
      <c r="S1870" s="99">
        <f>SUMIFS(S$1:S1861,$C$1:$C1861,$C1870,$F$1:$F1861,$F1870)</f>
        <v>0</v>
      </c>
      <c r="T1870" s="99">
        <f>SUMIFS(T$1:T1861,$C$1:$C1861,$C1870,$F$1:$F1861,$F1870)</f>
        <v>0</v>
      </c>
      <c r="U1870" s="99">
        <f t="shared" si="2322"/>
        <v>0</v>
      </c>
      <c r="V1870" s="255" t="str">
        <f t="shared" si="2323"/>
        <v>N/A</v>
      </c>
      <c r="W1870" s="102"/>
      <c r="X1870" s="102"/>
      <c r="Y1870" s="102">
        <f t="shared" si="2330"/>
        <v>0</v>
      </c>
      <c r="Z1870" s="309">
        <f>Y1870*(1+VLOOKUP($F1870,'GL Category'!$A:$H,4,FALSE))</f>
        <v>0</v>
      </c>
      <c r="AA1870" s="615"/>
      <c r="AB1870" s="622">
        <f t="shared" si="2331"/>
        <v>0</v>
      </c>
      <c r="AC1870" s="633">
        <f>AB1870*(1+VLOOKUP($F1870,'GL Category'!$A:$H,5,FALSE))</f>
        <v>0</v>
      </c>
      <c r="AD1870" s="307"/>
      <c r="AE1870" s="622">
        <f t="shared" si="2332"/>
        <v>0</v>
      </c>
      <c r="AF1870" s="633">
        <f>AE1870*(1+VLOOKUP($F1870,'GL Category'!$A:$H,6,FALSE))</f>
        <v>0</v>
      </c>
      <c r="AG1870" s="307"/>
      <c r="AH1870" s="622">
        <f t="shared" si="2333"/>
        <v>0</v>
      </c>
      <c r="AI1870" s="633">
        <f>AH1870*(1+VLOOKUP($F1870,'GL Category'!$A:$H,7,FALSE))</f>
        <v>0</v>
      </c>
      <c r="AJ1870" s="307"/>
      <c r="AK1870" s="622">
        <f t="shared" si="2334"/>
        <v>0</v>
      </c>
      <c r="AL1870" s="633">
        <f>AK1870*(1+VLOOKUP($F1870,'GL Category'!$A:$H,8,FALSE))</f>
        <v>0</v>
      </c>
      <c r="AM1870" s="307"/>
      <c r="AN1870" s="622">
        <f t="shared" si="2335"/>
        <v>0</v>
      </c>
      <c r="AO1870" s="97"/>
      <c r="AP1870" s="97"/>
      <c r="AQ1870" s="97"/>
      <c r="AR1870" s="70"/>
      <c r="AS1870" s="70"/>
    </row>
    <row r="1871" spans="1:45" s="71" customFormat="1" ht="15" customHeight="1">
      <c r="A1871" s="555"/>
      <c r="B1871" s="217"/>
      <c r="C1871" s="217">
        <v>63</v>
      </c>
      <c r="D1871" s="101"/>
      <c r="E1871" s="217"/>
      <c r="F1871" s="294" t="s">
        <v>210</v>
      </c>
      <c r="G1871" s="295" t="str">
        <f>VLOOKUP(F1871,'GL Category'!A:C,3,FALSE)</f>
        <v>Services &amp; other</v>
      </c>
      <c r="H1871" s="98" t="str">
        <f>VLOOKUP(F1871,'GL Category'!A:C,2,FALSE)</f>
        <v>TELEPHONE/COMMUNICATIONS</v>
      </c>
      <c r="I1871" s="99">
        <f>SUMIFS(I$1:I1864,$C$1:$C1864,$C1871,$F$1:$F1864,$F1871)</f>
        <v>0</v>
      </c>
      <c r="J1871" s="99">
        <f>SUMIFS(J$1:J1864,$C$1:$C1864,$C1871,$F$1:$F1864,$F1871)</f>
        <v>0</v>
      </c>
      <c r="K1871" s="99">
        <f>SUMIFS(K$1:K1864,$C$1:$C1864,$C1871,$F$1:$F1864,$F1871)</f>
        <v>0</v>
      </c>
      <c r="L1871" s="99">
        <f>SUMIFS(L$1:L1864,$C$1:$C1864,$C1871,$F$1:$F1864,$F1871)</f>
        <v>0</v>
      </c>
      <c r="M1871" s="99">
        <f>SUMIFS(M$1:M1864,$C$1:$C1864,$C1871,$F$1:$F1864,$F1871)</f>
        <v>0</v>
      </c>
      <c r="N1871" s="99">
        <f>SUMIFS(N$1:N1864,$C$1:$C1864,$C1871,$F$1:$F1864,$F1871)</f>
        <v>0</v>
      </c>
      <c r="O1871" s="99">
        <f>SUMIFS(O$1:O1864,$C$1:$C1864,$C1871,$F$1:$F1864,$F1871)</f>
        <v>0</v>
      </c>
      <c r="P1871" s="99">
        <f t="shared" si="2321"/>
        <v>0</v>
      </c>
      <c r="Q1871" s="99">
        <f>SUMIFS(Q$1:Q1864,$C$1:$C1864,$C1871,$F$1:$F1864,$F1871)</f>
        <v>0</v>
      </c>
      <c r="R1871" s="99">
        <f>SUMIFS(R$1:R1864,$C$1:$C1864,$C1871,$F$1:$F1864,$F1871)</f>
        <v>0</v>
      </c>
      <c r="S1871" s="99">
        <f>SUMIFS(S$1:S1864,$C$1:$C1864,$C1871,$F$1:$F1864,$F1871)</f>
        <v>0</v>
      </c>
      <c r="T1871" s="99">
        <f>SUMIFS(T$1:T1864,$C$1:$C1864,$C1871,$F$1:$F1864,$F1871)</f>
        <v>0</v>
      </c>
      <c r="U1871" s="99">
        <f t="shared" si="2322"/>
        <v>0</v>
      </c>
      <c r="V1871" s="255" t="str">
        <f t="shared" si="2323"/>
        <v>N/A</v>
      </c>
      <c r="W1871" s="102"/>
      <c r="X1871" s="102"/>
      <c r="Y1871" s="102">
        <f t="shared" si="2330"/>
        <v>0</v>
      </c>
      <c r="Z1871" s="309">
        <f>Y1871*(1+VLOOKUP($F1871,'GL Category'!$A:$H,4,FALSE))</f>
        <v>0</v>
      </c>
      <c r="AA1871" s="615"/>
      <c r="AB1871" s="622">
        <f t="shared" si="2331"/>
        <v>0</v>
      </c>
      <c r="AC1871" s="633">
        <f>AB1871*(1+VLOOKUP($F1871,'GL Category'!$A:$H,5,FALSE))</f>
        <v>0</v>
      </c>
      <c r="AD1871" s="307"/>
      <c r="AE1871" s="622">
        <f t="shared" si="2332"/>
        <v>0</v>
      </c>
      <c r="AF1871" s="633">
        <f>AE1871*(1+VLOOKUP($F1871,'GL Category'!$A:$H,6,FALSE))</f>
        <v>0</v>
      </c>
      <c r="AG1871" s="307"/>
      <c r="AH1871" s="622">
        <f t="shared" si="2333"/>
        <v>0</v>
      </c>
      <c r="AI1871" s="633">
        <f>AH1871*(1+VLOOKUP($F1871,'GL Category'!$A:$H,7,FALSE))</f>
        <v>0</v>
      </c>
      <c r="AJ1871" s="307"/>
      <c r="AK1871" s="622">
        <f t="shared" si="2334"/>
        <v>0</v>
      </c>
      <c r="AL1871" s="633">
        <f>AK1871*(1+VLOOKUP($F1871,'GL Category'!$A:$H,8,FALSE))</f>
        <v>0</v>
      </c>
      <c r="AM1871" s="307"/>
      <c r="AN1871" s="622">
        <f t="shared" si="2335"/>
        <v>0</v>
      </c>
      <c r="AO1871" s="97"/>
      <c r="AP1871" s="97"/>
      <c r="AQ1871" s="97"/>
      <c r="AR1871" s="70"/>
      <c r="AS1871" s="70"/>
    </row>
    <row r="1872" spans="1:45" s="71" customFormat="1" ht="15" customHeight="1">
      <c r="A1872" s="555"/>
      <c r="B1872" s="217"/>
      <c r="C1872" s="217">
        <v>63</v>
      </c>
      <c r="D1872" s="101"/>
      <c r="E1872" s="217"/>
      <c r="F1872" s="294" t="s">
        <v>212</v>
      </c>
      <c r="G1872" s="295" t="str">
        <f>VLOOKUP(F1872,'GL Category'!A:C,3,FALSE)</f>
        <v>Services &amp; other</v>
      </c>
      <c r="H1872" s="98" t="str">
        <f>VLOOKUP(F1872,'GL Category'!A:C,2,FALSE)</f>
        <v>NATURAL GAS UTILITY SERVICE</v>
      </c>
      <c r="I1872" s="99">
        <f>SUMIFS(I$1:I1865,$C$1:$C1865,$C1872,$F$1:$F1865,$F1872)</f>
        <v>854.67</v>
      </c>
      <c r="J1872" s="99">
        <f>SUMIFS(J$1:J1865,$C$1:$C1865,$C1872,$F$1:$F1865,$F1872)</f>
        <v>1163.92</v>
      </c>
      <c r="K1872" s="99">
        <f>SUMIFS(K$1:K1865,$C$1:$C1865,$C1872,$F$1:$F1865,$F1872)</f>
        <v>841.04</v>
      </c>
      <c r="L1872" s="99">
        <f>SUMIFS(L$1:L1865,$C$1:$C1865,$C1872,$F$1:$F1865,$F1872)</f>
        <v>0</v>
      </c>
      <c r="M1872" s="99">
        <f>SUMIFS(M$1:M1865,$C$1:$C1865,$C1872,$F$1:$F1865,$F1872)</f>
        <v>0</v>
      </c>
      <c r="N1872" s="99">
        <f>SUMIFS(N$1:N1865,$C$1:$C1865,$C1872,$F$1:$F1865,$F1872)</f>
        <v>0</v>
      </c>
      <c r="O1872" s="99">
        <f>SUMIFS(O$1:O1865,$C$1:$C1865,$C1872,$F$1:$F1865,$F1872)</f>
        <v>0</v>
      </c>
      <c r="P1872" s="99">
        <f t="shared" si="2321"/>
        <v>0</v>
      </c>
      <c r="Q1872" s="99">
        <f>SUMIFS(Q$1:Q1865,$C$1:$C1865,$C1872,$F$1:$F1865,$F1872)</f>
        <v>0</v>
      </c>
      <c r="R1872" s="99">
        <f>SUMIFS(R$1:R1865,$C$1:$C1865,$C1872,$F$1:$F1865,$F1872)</f>
        <v>0</v>
      </c>
      <c r="S1872" s="99">
        <f>SUMIFS(S$1:S1865,$C$1:$C1865,$C1872,$F$1:$F1865,$F1872)</f>
        <v>0</v>
      </c>
      <c r="T1872" s="99">
        <f>SUMIFS(T$1:T1865,$C$1:$C1865,$C1872,$F$1:$F1865,$F1872)</f>
        <v>0</v>
      </c>
      <c r="U1872" s="99">
        <f t="shared" si="2322"/>
        <v>0</v>
      </c>
      <c r="V1872" s="255" t="str">
        <f t="shared" si="2323"/>
        <v>N/A</v>
      </c>
      <c r="W1872" s="102"/>
      <c r="X1872" s="102"/>
      <c r="Y1872" s="102">
        <f t="shared" si="2330"/>
        <v>0</v>
      </c>
      <c r="Z1872" s="309">
        <f>Y1872*(1+VLOOKUP($F1872,'GL Category'!$A:$H,4,FALSE))</f>
        <v>0</v>
      </c>
      <c r="AA1872" s="615"/>
      <c r="AB1872" s="622">
        <f t="shared" si="2331"/>
        <v>0</v>
      </c>
      <c r="AC1872" s="633">
        <f>AB1872*(1+VLOOKUP($F1872,'GL Category'!$A:$H,5,FALSE))</f>
        <v>0</v>
      </c>
      <c r="AD1872" s="307"/>
      <c r="AE1872" s="622">
        <f t="shared" si="2332"/>
        <v>0</v>
      </c>
      <c r="AF1872" s="633">
        <f>AE1872*(1+VLOOKUP($F1872,'GL Category'!$A:$H,6,FALSE))</f>
        <v>0</v>
      </c>
      <c r="AG1872" s="307"/>
      <c r="AH1872" s="622">
        <f t="shared" si="2333"/>
        <v>0</v>
      </c>
      <c r="AI1872" s="633">
        <f>AH1872*(1+VLOOKUP($F1872,'GL Category'!$A:$H,7,FALSE))</f>
        <v>0</v>
      </c>
      <c r="AJ1872" s="307"/>
      <c r="AK1872" s="622">
        <f t="shared" si="2334"/>
        <v>0</v>
      </c>
      <c r="AL1872" s="633">
        <f>AK1872*(1+VLOOKUP($F1872,'GL Category'!$A:$H,8,FALSE))</f>
        <v>0</v>
      </c>
      <c r="AM1872" s="307"/>
      <c r="AN1872" s="622">
        <f t="shared" si="2335"/>
        <v>0</v>
      </c>
      <c r="AO1872" s="97"/>
      <c r="AP1872" s="97"/>
      <c r="AQ1872" s="97"/>
      <c r="AR1872" s="70"/>
      <c r="AS1872" s="70"/>
    </row>
    <row r="1873" spans="1:45" s="71" customFormat="1" ht="15" customHeight="1">
      <c r="A1873" s="555"/>
      <c r="B1873" s="217"/>
      <c r="C1873" s="217">
        <v>63</v>
      </c>
      <c r="D1873" s="101"/>
      <c r="E1873" s="217"/>
      <c r="F1873" s="294" t="s">
        <v>214</v>
      </c>
      <c r="G1873" s="295" t="str">
        <f>VLOOKUP(F1873,'GL Category'!A:C,3,FALSE)</f>
        <v>Services &amp; other</v>
      </c>
      <c r="H1873" s="98" t="str">
        <f>VLOOKUP(F1873,'GL Category'!A:C,2,FALSE)</f>
        <v>ELECTRICAL UTILITY SERVICE</v>
      </c>
      <c r="I1873" s="99">
        <f>SUMIFS(I$1:I1866,$C$1:$C1866,$C1873,$F$1:$F1866,$F1873)</f>
        <v>59176.82</v>
      </c>
      <c r="J1873" s="99">
        <f>SUMIFS(J$1:J1866,$C$1:$C1866,$C1873,$F$1:$F1866,$F1873)</f>
        <v>127543.64</v>
      </c>
      <c r="K1873" s="99">
        <f>SUMIFS(K$1:K1866,$C$1:$C1866,$C1873,$F$1:$F1866,$F1873)</f>
        <v>119713.29</v>
      </c>
      <c r="L1873" s="99">
        <f>SUMIFS(L$1:L1866,$C$1:$C1866,$C1873,$F$1:$F1866,$F1873)</f>
        <v>172350.31</v>
      </c>
      <c r="M1873" s="99">
        <f>SUMIFS(M$1:M1866,$C$1:$C1866,$C1873,$F$1:$F1866,$F1873)</f>
        <v>204550</v>
      </c>
      <c r="N1873" s="99">
        <f>SUMIFS(N$1:N1866,$C$1:$C1866,$C1873,$F$1:$F1866,$F1873)</f>
        <v>94107.459999999992</v>
      </c>
      <c r="O1873" s="99">
        <f>SUMIFS(O$1:O1866,$C$1:$C1866,$C1873,$F$1:$F1866,$F1873)</f>
        <v>190520</v>
      </c>
      <c r="P1873" s="99">
        <f t="shared" si="2321"/>
        <v>-14030</v>
      </c>
      <c r="Q1873" s="99">
        <f>SUMIFS(Q$1:Q1866,$C$1:$C1866,$C1873,$F$1:$F1866,$F1873)</f>
        <v>199685</v>
      </c>
      <c r="R1873" s="99">
        <f>SUMIFS(R$1:R1866,$C$1:$C1866,$C1873,$F$1:$F1866,$F1873)</f>
        <v>0</v>
      </c>
      <c r="S1873" s="99">
        <f>SUMIFS(S$1:S1866,$C$1:$C1866,$C1873,$F$1:$F1866,$F1873)</f>
        <v>0</v>
      </c>
      <c r="T1873" s="99">
        <f>SUMIFS(T$1:T1866,$C$1:$C1866,$C1873,$F$1:$F1866,$F1873)</f>
        <v>199685</v>
      </c>
      <c r="U1873" s="99">
        <f t="shared" si="2322"/>
        <v>-4865</v>
      </c>
      <c r="V1873" s="255">
        <f t="shared" si="2323"/>
        <v>-2.3783915912979681E-2</v>
      </c>
      <c r="W1873" s="102"/>
      <c r="X1873" s="102"/>
      <c r="Y1873" s="102">
        <f t="shared" si="2330"/>
        <v>199685</v>
      </c>
      <c r="Z1873" s="309">
        <f>Y1873*(1+VLOOKUP($F1873,'GL Category'!$A:$H,4,FALSE))</f>
        <v>205675.55000000002</v>
      </c>
      <c r="AA1873" s="615"/>
      <c r="AB1873" s="622">
        <f t="shared" si="2331"/>
        <v>205675.55000000002</v>
      </c>
      <c r="AC1873" s="633">
        <f>AB1873*(1+VLOOKUP($F1873,'GL Category'!$A:$H,5,FALSE))</f>
        <v>211845.81650000002</v>
      </c>
      <c r="AD1873" s="307"/>
      <c r="AE1873" s="622">
        <f t="shared" si="2332"/>
        <v>211845.81650000002</v>
      </c>
      <c r="AF1873" s="633">
        <f>AE1873*(1+VLOOKUP($F1873,'GL Category'!$A:$H,6,FALSE))</f>
        <v>218201.19099500001</v>
      </c>
      <c r="AG1873" s="307"/>
      <c r="AH1873" s="622">
        <f t="shared" si="2333"/>
        <v>218201.19099500001</v>
      </c>
      <c r="AI1873" s="633">
        <f>AH1873*(1+VLOOKUP($F1873,'GL Category'!$A:$H,7,FALSE))</f>
        <v>224747.22672485001</v>
      </c>
      <c r="AJ1873" s="307"/>
      <c r="AK1873" s="622">
        <f t="shared" si="2334"/>
        <v>224747.22672485001</v>
      </c>
      <c r="AL1873" s="633">
        <f>AK1873*(1+VLOOKUP($F1873,'GL Category'!$A:$H,8,FALSE))</f>
        <v>231489.64352659552</v>
      </c>
      <c r="AM1873" s="307"/>
      <c r="AN1873" s="622">
        <f t="shared" si="2335"/>
        <v>231489.64352659552</v>
      </c>
      <c r="AO1873" s="97"/>
      <c r="AP1873" s="97"/>
      <c r="AQ1873" s="97"/>
      <c r="AR1873" s="70"/>
      <c r="AS1873" s="70"/>
    </row>
    <row r="1874" spans="1:45" s="71" customFormat="1" ht="15" customHeight="1">
      <c r="A1874" s="555"/>
      <c r="B1874" s="217"/>
      <c r="C1874" s="217">
        <v>63</v>
      </c>
      <c r="D1874" s="101"/>
      <c r="E1874" s="217"/>
      <c r="F1874" s="294" t="s">
        <v>216</v>
      </c>
      <c r="G1874" s="295" t="str">
        <f>VLOOKUP(F1874,'GL Category'!A:C,3,FALSE)</f>
        <v>Services &amp; other</v>
      </c>
      <c r="H1874" s="98" t="str">
        <f>VLOOKUP(F1874,'GL Category'!A:C,2,FALSE)</f>
        <v>WATER/SEWER UTILITY SERVICE</v>
      </c>
      <c r="I1874" s="99">
        <f>SUMIFS(I$1:I1867,$C$1:$C1867,$C1874,$F$1:$F1867,$F1874)</f>
        <v>240202.58000000002</v>
      </c>
      <c r="J1874" s="99">
        <f>SUMIFS(J$1:J1867,$C$1:$C1867,$C1874,$F$1:$F1867,$F1874)</f>
        <v>229540.32</v>
      </c>
      <c r="K1874" s="99">
        <f>SUMIFS(K$1:K1867,$C$1:$C1867,$C1874,$F$1:$F1867,$F1874)</f>
        <v>305936.46000000002</v>
      </c>
      <c r="L1874" s="99">
        <f>SUMIFS(L$1:L1867,$C$1:$C1867,$C1874,$F$1:$F1867,$F1874)</f>
        <v>249715.77</v>
      </c>
      <c r="M1874" s="99">
        <f>SUMIFS(M$1:M1867,$C$1:$C1867,$C1874,$F$1:$F1867,$F1874)</f>
        <v>261475</v>
      </c>
      <c r="N1874" s="99">
        <f>SUMIFS(N$1:N1867,$C$1:$C1867,$C1874,$F$1:$F1867,$F1874)</f>
        <v>215092.44</v>
      </c>
      <c r="O1874" s="99">
        <f>SUMIFS(O$1:O1867,$C$1:$C1867,$C1874,$F$1:$F1867,$F1874)</f>
        <v>248500</v>
      </c>
      <c r="P1874" s="99">
        <f t="shared" si="2321"/>
        <v>-12975</v>
      </c>
      <c r="Q1874" s="99">
        <f>SUMIFS(Q$1:Q1867,$C$1:$C1867,$C1874,$F$1:$F1867,$F1874)</f>
        <v>265750</v>
      </c>
      <c r="R1874" s="99">
        <f>SUMIFS(R$1:R1867,$C$1:$C1867,$C1874,$F$1:$F1867,$F1874)</f>
        <v>0</v>
      </c>
      <c r="S1874" s="99">
        <f>SUMIFS(S$1:S1867,$C$1:$C1867,$C1874,$F$1:$F1867,$F1874)</f>
        <v>0</v>
      </c>
      <c r="T1874" s="99">
        <f>SUMIFS(T$1:T1867,$C$1:$C1867,$C1874,$F$1:$F1867,$F1874)</f>
        <v>265750</v>
      </c>
      <c r="U1874" s="99">
        <f t="shared" si="2322"/>
        <v>4275</v>
      </c>
      <c r="V1874" s="255">
        <f t="shared" si="2323"/>
        <v>1.6349555406826699E-2</v>
      </c>
      <c r="W1874" s="102"/>
      <c r="X1874" s="102"/>
      <c r="Y1874" s="102">
        <f t="shared" si="2330"/>
        <v>265750</v>
      </c>
      <c r="Z1874" s="309">
        <f>Y1874*(1+VLOOKUP($F1874,'GL Category'!$A:$H,4,FALSE))</f>
        <v>273722.5</v>
      </c>
      <c r="AA1874" s="615"/>
      <c r="AB1874" s="622">
        <f t="shared" si="2331"/>
        <v>273722.5</v>
      </c>
      <c r="AC1874" s="633">
        <f>AB1874*(1+VLOOKUP($F1874,'GL Category'!$A:$H,5,FALSE))</f>
        <v>281934.17499999999</v>
      </c>
      <c r="AD1874" s="307"/>
      <c r="AE1874" s="622">
        <f t="shared" si="2332"/>
        <v>281934.17499999999</v>
      </c>
      <c r="AF1874" s="633">
        <f>AE1874*(1+VLOOKUP($F1874,'GL Category'!$A:$H,6,FALSE))</f>
        <v>290392.20024999999</v>
      </c>
      <c r="AG1874" s="307"/>
      <c r="AH1874" s="622">
        <f t="shared" si="2333"/>
        <v>290392.20024999999</v>
      </c>
      <c r="AI1874" s="633">
        <f>AH1874*(1+VLOOKUP($F1874,'GL Category'!$A:$H,7,FALSE))</f>
        <v>299103.9662575</v>
      </c>
      <c r="AJ1874" s="307"/>
      <c r="AK1874" s="622">
        <f t="shared" si="2334"/>
        <v>299103.9662575</v>
      </c>
      <c r="AL1874" s="633">
        <f>AK1874*(1+VLOOKUP($F1874,'GL Category'!$A:$H,8,FALSE))</f>
        <v>308077.085245225</v>
      </c>
      <c r="AM1874" s="307"/>
      <c r="AN1874" s="622">
        <f t="shared" si="2335"/>
        <v>308077.085245225</v>
      </c>
      <c r="AO1874" s="97"/>
      <c r="AP1874" s="97"/>
      <c r="AQ1874" s="97"/>
      <c r="AR1874" s="70"/>
      <c r="AS1874" s="70"/>
    </row>
    <row r="1875" spans="1:45" s="71" customFormat="1" ht="15" customHeight="1">
      <c r="A1875" s="555"/>
      <c r="B1875" s="217"/>
      <c r="C1875" s="217">
        <v>63</v>
      </c>
      <c r="D1875" s="101"/>
      <c r="E1875" s="217"/>
      <c r="F1875" s="294" t="s">
        <v>218</v>
      </c>
      <c r="G1875" s="295" t="str">
        <f>VLOOKUP(F1875,'GL Category'!A:C,3,FALSE)</f>
        <v>Services &amp; other</v>
      </c>
      <c r="H1875" s="98" t="str">
        <f>VLOOKUP(F1875,'GL Category'!A:C,2,FALSE)</f>
        <v>BANKING SERVICES CHARGES</v>
      </c>
      <c r="I1875" s="99">
        <f>SUMIFS(I$1:I1868,$C$1:$C1868,$C1875,$F$1:$F1868,$F1875)</f>
        <v>2684.61</v>
      </c>
      <c r="J1875" s="99">
        <f>SUMIFS(J$1:J1868,$C$1:$C1868,$C1875,$F$1:$F1868,$F1875)</f>
        <v>9123.74</v>
      </c>
      <c r="K1875" s="99">
        <f>SUMIFS(K$1:K1868,$C$1:$C1868,$C1875,$F$1:$F1868,$F1875)</f>
        <v>7079.4800000000005</v>
      </c>
      <c r="L1875" s="99">
        <f>SUMIFS(L$1:L1868,$C$1:$C1868,$C1875,$F$1:$F1868,$F1875)</f>
        <v>10947.53</v>
      </c>
      <c r="M1875" s="99">
        <f>SUMIFS(M$1:M1868,$C$1:$C1868,$C1875,$F$1:$F1868,$F1875)</f>
        <v>18180</v>
      </c>
      <c r="N1875" s="99">
        <f>SUMIFS(N$1:N1868,$C$1:$C1868,$C1875,$F$1:$F1868,$F1875)</f>
        <v>15449.48</v>
      </c>
      <c r="O1875" s="99">
        <f>SUMIFS(O$1:O1868,$C$1:$C1868,$C1875,$F$1:$F1868,$F1875)</f>
        <v>21600</v>
      </c>
      <c r="P1875" s="99">
        <f t="shared" si="2321"/>
        <v>3420</v>
      </c>
      <c r="Q1875" s="99">
        <f>SUMIFS(Q$1:Q1868,$C$1:$C1868,$C1875,$F$1:$F1868,$F1875)</f>
        <v>19600</v>
      </c>
      <c r="R1875" s="99">
        <f>SUMIFS(R$1:R1868,$C$1:$C1868,$C1875,$F$1:$F1868,$F1875)</f>
        <v>0</v>
      </c>
      <c r="S1875" s="99">
        <f>SUMIFS(S$1:S1868,$C$1:$C1868,$C1875,$F$1:$F1868,$F1875)</f>
        <v>0</v>
      </c>
      <c r="T1875" s="99">
        <f>SUMIFS(T$1:T1868,$C$1:$C1868,$C1875,$F$1:$F1868,$F1875)</f>
        <v>19600</v>
      </c>
      <c r="U1875" s="99">
        <f t="shared" si="2322"/>
        <v>1420</v>
      </c>
      <c r="V1875" s="255">
        <f t="shared" si="2323"/>
        <v>7.8107810781078202E-2</v>
      </c>
      <c r="W1875" s="102"/>
      <c r="X1875" s="102"/>
      <c r="Y1875" s="102">
        <f t="shared" si="2330"/>
        <v>19600</v>
      </c>
      <c r="Z1875" s="309">
        <f>Y1875*(1+VLOOKUP($F1875,'GL Category'!$A:$H,4,FALSE))</f>
        <v>20188</v>
      </c>
      <c r="AA1875" s="615"/>
      <c r="AB1875" s="622">
        <f t="shared" si="2331"/>
        <v>20188</v>
      </c>
      <c r="AC1875" s="633">
        <f>AB1875*(1+VLOOKUP($F1875,'GL Category'!$A:$H,5,FALSE))</f>
        <v>20793.64</v>
      </c>
      <c r="AD1875" s="307"/>
      <c r="AE1875" s="622">
        <f t="shared" si="2332"/>
        <v>20793.64</v>
      </c>
      <c r="AF1875" s="633">
        <f>AE1875*(1+VLOOKUP($F1875,'GL Category'!$A:$H,6,FALSE))</f>
        <v>21417.449199999999</v>
      </c>
      <c r="AG1875" s="307"/>
      <c r="AH1875" s="622">
        <f t="shared" si="2333"/>
        <v>21417.449199999999</v>
      </c>
      <c r="AI1875" s="633">
        <f>AH1875*(1+VLOOKUP($F1875,'GL Category'!$A:$H,7,FALSE))</f>
        <v>22059.972676000001</v>
      </c>
      <c r="AJ1875" s="307"/>
      <c r="AK1875" s="622">
        <f t="shared" si="2334"/>
        <v>22059.972676000001</v>
      </c>
      <c r="AL1875" s="633">
        <f>AK1875*(1+VLOOKUP($F1875,'GL Category'!$A:$H,8,FALSE))</f>
        <v>22721.77185628</v>
      </c>
      <c r="AM1875" s="307"/>
      <c r="AN1875" s="622">
        <f t="shared" si="2335"/>
        <v>22721.77185628</v>
      </c>
      <c r="AO1875" s="97"/>
      <c r="AP1875" s="97"/>
      <c r="AQ1875" s="97"/>
      <c r="AR1875" s="70"/>
      <c r="AS1875" s="70"/>
    </row>
    <row r="1876" spans="1:45" s="71" customFormat="1" ht="15" customHeight="1">
      <c r="A1876" s="555"/>
      <c r="B1876" s="217"/>
      <c r="C1876" s="217">
        <v>63</v>
      </c>
      <c r="D1876" s="101"/>
      <c r="E1876" s="217"/>
      <c r="F1876" s="556" t="s">
        <v>3124</v>
      </c>
      <c r="G1876" s="295" t="str">
        <f>VLOOKUP(F1876,'GL Category'!A:C,3,FALSE)</f>
        <v>Services &amp; other</v>
      </c>
      <c r="H1876" s="98" t="str">
        <f>VLOOKUP(F1876,'GL Category'!A:C,2,FALSE)</f>
        <v>VEHICLE/EQUIP LEASE EXP-CITY</v>
      </c>
      <c r="I1876" s="99">
        <f>SUMIFS(I$1:I1869,$C$1:$C1869,$C1876,$F$1:$F1869,$F1876)</f>
        <v>24339</v>
      </c>
      <c r="J1876" s="99">
        <f>SUMIFS(J$1:J1869,$C$1:$C1869,$C1876,$F$1:$F1869,$F1876)</f>
        <v>125944</v>
      </c>
      <c r="K1876" s="99">
        <f>SUMIFS(K$1:K1869,$C$1:$C1869,$C1876,$F$1:$F1869,$F1876)</f>
        <v>40468</v>
      </c>
      <c r="L1876" s="99">
        <f>SUMIFS(L$1:L1869,$C$1:$C1869,$C1876,$F$1:$F1869,$F1876)</f>
        <v>81133</v>
      </c>
      <c r="M1876" s="99">
        <f>SUMIFS(M$1:M1869,$C$1:$C1869,$C1876,$F$1:$F1869,$F1876)</f>
        <v>79206</v>
      </c>
      <c r="N1876" s="99">
        <f>SUMIFS(N$1:N1869,$C$1:$C1869,$C1876,$F$1:$F1869,$F1876)</f>
        <v>59404.5</v>
      </c>
      <c r="O1876" s="99">
        <f>SUMIFS(O$1:O1869,$C$1:$C1869,$C1876,$F$1:$F1869,$F1876)</f>
        <v>79206</v>
      </c>
      <c r="P1876" s="99">
        <f t="shared" ref="P1876" si="2338">O1876-M1876</f>
        <v>0</v>
      </c>
      <c r="Q1876" s="99">
        <f>SUMIFS(Q$1:Q1869,$C$1:$C1869,$C1876,$F$1:$F1869,$F1876)</f>
        <v>76193</v>
      </c>
      <c r="R1876" s="99">
        <f>SUMIFS(R$1:R1869,$C$1:$C1869,$C1876,$F$1:$F1869,$F1876)</f>
        <v>0</v>
      </c>
      <c r="S1876" s="99">
        <f>SUMIFS(S$1:S1869,$C$1:$C1869,$C1876,$F$1:$F1869,$F1876)</f>
        <v>0</v>
      </c>
      <c r="T1876" s="99">
        <f>SUMIFS(T$1:T1869,$C$1:$C1869,$C1876,$F$1:$F1869,$F1876)</f>
        <v>76193</v>
      </c>
      <c r="U1876" s="99">
        <f t="shared" si="2322"/>
        <v>-3013</v>
      </c>
      <c r="V1876" s="255">
        <f t="shared" si="2323"/>
        <v>-3.8040047471151195E-2</v>
      </c>
      <c r="W1876" s="102"/>
      <c r="X1876" s="102"/>
      <c r="Y1876" s="102">
        <f t="shared" si="2330"/>
        <v>76193</v>
      </c>
      <c r="Z1876" s="309">
        <f>Y1876*(1+VLOOKUP($F1876,'GL Category'!$A:$H,4,FALSE))</f>
        <v>78478.790000000008</v>
      </c>
      <c r="AA1876" s="615"/>
      <c r="AB1876" s="622">
        <f t="shared" si="2331"/>
        <v>78478.790000000008</v>
      </c>
      <c r="AC1876" s="633">
        <f>AB1876*(1+VLOOKUP($F1876,'GL Category'!$A:$H,5,FALSE))</f>
        <v>80833.15370000001</v>
      </c>
      <c r="AD1876" s="307"/>
      <c r="AE1876" s="622">
        <f t="shared" si="2332"/>
        <v>80833.15370000001</v>
      </c>
      <c r="AF1876" s="633">
        <f>AE1876*(1+VLOOKUP($F1876,'GL Category'!$A:$H,6,FALSE))</f>
        <v>83258.148311000012</v>
      </c>
      <c r="AG1876" s="307"/>
      <c r="AH1876" s="622">
        <f t="shared" si="2333"/>
        <v>83258.148311000012</v>
      </c>
      <c r="AI1876" s="633">
        <f>AH1876*(1+VLOOKUP($F1876,'GL Category'!$A:$H,7,FALSE))</f>
        <v>85755.892760330011</v>
      </c>
      <c r="AJ1876" s="307"/>
      <c r="AK1876" s="622">
        <f t="shared" si="2334"/>
        <v>85755.892760330011</v>
      </c>
      <c r="AL1876" s="633">
        <f>AK1876*(1+VLOOKUP($F1876,'GL Category'!$A:$H,8,FALSE))</f>
        <v>88328.569543139907</v>
      </c>
      <c r="AM1876" s="307"/>
      <c r="AN1876" s="622">
        <f t="shared" si="2335"/>
        <v>88328.569543139907</v>
      </c>
      <c r="AO1876" s="97"/>
      <c r="AP1876" s="97"/>
      <c r="AQ1876" s="97"/>
      <c r="AR1876" s="70"/>
      <c r="AS1876" s="70"/>
    </row>
    <row r="1877" spans="1:45" s="71" customFormat="1" ht="15" customHeight="1">
      <c r="A1877" s="555"/>
      <c r="B1877" s="217"/>
      <c r="C1877" s="217">
        <v>63</v>
      </c>
      <c r="D1877" s="101"/>
      <c r="E1877" s="217"/>
      <c r="F1877" s="556" t="s">
        <v>3122</v>
      </c>
      <c r="G1877" s="295" t="str">
        <f>VLOOKUP(F1877,'GL Category'!A:C,3,FALSE)</f>
        <v>Services &amp; other</v>
      </c>
      <c r="H1877" s="98" t="str">
        <f>VLOOKUP(F1877,'GL Category'!A:C,2,FALSE)</f>
        <v>OFFICE EQUIP LEASE EXP-CITY</v>
      </c>
      <c r="I1877" s="99">
        <f>SUMIFS(I$1:I1870,$C$1:$C1870,$C1877,$F$1:$F1870,$F1877)</f>
        <v>121498</v>
      </c>
      <c r="J1877" s="99">
        <f>SUMIFS(J$1:J1870,$C$1:$C1870,$C1877,$F$1:$F1870,$F1877)</f>
        <v>118504</v>
      </c>
      <c r="K1877" s="99">
        <f>SUMIFS(K$1:K1870,$C$1:$C1870,$C1877,$F$1:$F1870,$F1877)</f>
        <v>107103</v>
      </c>
      <c r="L1877" s="99">
        <f>SUMIFS(L$1:L1870,$C$1:$C1870,$C1877,$F$1:$F1870,$F1877)</f>
        <v>110752</v>
      </c>
      <c r="M1877" s="99">
        <f>SUMIFS(M$1:M1870,$C$1:$C1870,$C1877,$F$1:$F1870,$F1877)</f>
        <v>125917</v>
      </c>
      <c r="N1877" s="99">
        <f>SUMIFS(N$1:N1870,$C$1:$C1870,$C1877,$F$1:$F1870,$F1877)</f>
        <v>94437.75</v>
      </c>
      <c r="O1877" s="99">
        <f>SUMIFS(O$1:O1870,$C$1:$C1870,$C1877,$F$1:$F1870,$F1877)</f>
        <v>125917</v>
      </c>
      <c r="P1877" s="99">
        <f t="shared" si="2321"/>
        <v>0</v>
      </c>
      <c r="Q1877" s="99">
        <f>SUMIFS(Q$1:Q1870,$C$1:$C1870,$C1877,$F$1:$F1870,$F1877)</f>
        <v>133785</v>
      </c>
      <c r="R1877" s="99">
        <f>SUMIFS(R$1:R1870,$C$1:$C1870,$C1877,$F$1:$F1870,$F1877)</f>
        <v>0</v>
      </c>
      <c r="S1877" s="99">
        <f>SUMIFS(S$1:S1870,$C$1:$C1870,$C1877,$F$1:$F1870,$F1877)</f>
        <v>0</v>
      </c>
      <c r="T1877" s="99">
        <f>SUMIFS(T$1:T1870,$C$1:$C1870,$C1877,$F$1:$F1870,$F1877)</f>
        <v>133785</v>
      </c>
      <c r="U1877" s="99">
        <f t="shared" si="2322"/>
        <v>7868</v>
      </c>
      <c r="V1877" s="255">
        <f t="shared" si="2323"/>
        <v>6.2485605597337956E-2</v>
      </c>
      <c r="W1877" s="102"/>
      <c r="X1877" s="102"/>
      <c r="Y1877" s="102">
        <f t="shared" si="2330"/>
        <v>133785</v>
      </c>
      <c r="Z1877" s="309">
        <f>Y1877*(1+VLOOKUP($F1877,'GL Category'!$A:$H,4,FALSE))</f>
        <v>137798.55000000002</v>
      </c>
      <c r="AA1877" s="615"/>
      <c r="AB1877" s="622">
        <f t="shared" si="2331"/>
        <v>137798.55000000002</v>
      </c>
      <c r="AC1877" s="633">
        <f>AB1877*(1+VLOOKUP($F1877,'GL Category'!$A:$H,5,FALSE))</f>
        <v>141932.50650000002</v>
      </c>
      <c r="AD1877" s="307"/>
      <c r="AE1877" s="622">
        <f t="shared" si="2332"/>
        <v>141932.50650000002</v>
      </c>
      <c r="AF1877" s="633">
        <f>AE1877*(1+VLOOKUP($F1877,'GL Category'!$A:$H,6,FALSE))</f>
        <v>146190.48169500002</v>
      </c>
      <c r="AG1877" s="307"/>
      <c r="AH1877" s="622">
        <f t="shared" si="2333"/>
        <v>146190.48169500002</v>
      </c>
      <c r="AI1877" s="633">
        <f>AH1877*(1+VLOOKUP($F1877,'GL Category'!$A:$H,7,FALSE))</f>
        <v>150576.19614585003</v>
      </c>
      <c r="AJ1877" s="307"/>
      <c r="AK1877" s="622">
        <f t="shared" si="2334"/>
        <v>150576.19614585003</v>
      </c>
      <c r="AL1877" s="633">
        <f>AK1877*(1+VLOOKUP($F1877,'GL Category'!$A:$H,8,FALSE))</f>
        <v>155093.48203022554</v>
      </c>
      <c r="AM1877" s="307"/>
      <c r="AN1877" s="622">
        <f t="shared" si="2335"/>
        <v>155093.48203022554</v>
      </c>
      <c r="AO1877" s="97"/>
      <c r="AP1877" s="97"/>
      <c r="AQ1877" s="97"/>
      <c r="AR1877" s="70"/>
      <c r="AS1877" s="70"/>
    </row>
    <row r="1878" spans="1:45" s="71" customFormat="1" ht="15" customHeight="1">
      <c r="A1878" s="555"/>
      <c r="B1878" s="217"/>
      <c r="C1878" s="217"/>
      <c r="D1878" s="101"/>
      <c r="E1878" s="217"/>
      <c r="F1878" s="294"/>
      <c r="G1878" s="295"/>
      <c r="H1878" s="107" t="str">
        <f>UPPER(G1877)&amp;" TOTAL"</f>
        <v>SERVICES &amp; OTHER TOTAL</v>
      </c>
      <c r="I1878" s="108">
        <f t="shared" ref="I1878" si="2339">SUBTOTAL(9,I1856:I1877)</f>
        <v>1155979.3199999998</v>
      </c>
      <c r="J1878" s="108">
        <f t="shared" ref="J1878:T1878" si="2340">SUBTOTAL(9,J1856:J1877)</f>
        <v>1336236.28</v>
      </c>
      <c r="K1878" s="108">
        <f t="shared" ref="K1878" si="2341">SUBTOTAL(9,K1856:K1877)</f>
        <v>1309740.6000000001</v>
      </c>
      <c r="L1878" s="108">
        <f t="shared" ref="L1878" si="2342">SUBTOTAL(9,L1856:L1877)</f>
        <v>1393279.55</v>
      </c>
      <c r="M1878" s="108">
        <f t="shared" si="2340"/>
        <v>1563930</v>
      </c>
      <c r="N1878" s="108">
        <f t="shared" ref="N1878" si="2343">SUBTOTAL(9,N1856:N1877)</f>
        <v>1113773.8699999999</v>
      </c>
      <c r="O1878" s="108">
        <f t="shared" si="2340"/>
        <v>1517079</v>
      </c>
      <c r="P1878" s="108">
        <f t="shared" si="2340"/>
        <v>-46851</v>
      </c>
      <c r="Q1878" s="108">
        <f t="shared" si="2340"/>
        <v>1602030</v>
      </c>
      <c r="R1878" s="108">
        <f t="shared" si="2340"/>
        <v>0</v>
      </c>
      <c r="S1878" s="108">
        <f t="shared" si="2340"/>
        <v>0</v>
      </c>
      <c r="T1878" s="108">
        <f t="shared" si="2340"/>
        <v>1602030</v>
      </c>
      <c r="U1878" s="99">
        <f t="shared" si="2322"/>
        <v>38100</v>
      </c>
      <c r="V1878" s="255">
        <f t="shared" si="2323"/>
        <v>2.4361704168345044E-2</v>
      </c>
      <c r="W1878" s="102"/>
      <c r="X1878" s="102"/>
      <c r="Y1878" s="102"/>
      <c r="Z1878" s="200"/>
      <c r="AA1878" s="615"/>
      <c r="AB1878" s="631"/>
      <c r="AC1878" s="631"/>
      <c r="AD1878" s="631"/>
      <c r="AE1878" s="631"/>
      <c r="AF1878" s="631"/>
      <c r="AG1878" s="631"/>
      <c r="AH1878" s="631"/>
      <c r="AI1878" s="631"/>
      <c r="AJ1878" s="631"/>
      <c r="AK1878" s="631"/>
      <c r="AL1878" s="631"/>
      <c r="AM1878" s="631"/>
      <c r="AN1878" s="631"/>
      <c r="AO1878" s="97"/>
      <c r="AP1878" s="97"/>
      <c r="AQ1878" s="97"/>
      <c r="AR1878" s="70"/>
      <c r="AS1878" s="70"/>
    </row>
    <row r="1879" spans="1:45" s="71" customFormat="1" ht="15" customHeight="1">
      <c r="A1879" s="555"/>
      <c r="B1879" s="217"/>
      <c r="C1879" s="217"/>
      <c r="D1879" s="101"/>
      <c r="E1879" s="217"/>
      <c r="F1879" s="294"/>
      <c r="G1879" s="295"/>
      <c r="H1879" s="232"/>
      <c r="I1879" s="233"/>
      <c r="J1879" s="233"/>
      <c r="K1879" s="233"/>
      <c r="L1879" s="233"/>
      <c r="M1879" s="233"/>
      <c r="N1879" s="233"/>
      <c r="O1879" s="233"/>
      <c r="P1879" s="233"/>
      <c r="Q1879" s="233"/>
      <c r="R1879" s="233"/>
      <c r="S1879" s="233"/>
      <c r="T1879" s="233"/>
      <c r="U1879" s="99"/>
      <c r="V1879" s="255"/>
      <c r="W1879" s="102"/>
      <c r="X1879" s="102"/>
      <c r="Y1879" s="102"/>
      <c r="Z1879" s="200"/>
      <c r="AA1879" s="615"/>
      <c r="AB1879" s="631"/>
      <c r="AC1879" s="631"/>
      <c r="AD1879" s="631"/>
      <c r="AE1879" s="631"/>
      <c r="AF1879" s="631"/>
      <c r="AG1879" s="631"/>
      <c r="AH1879" s="631"/>
      <c r="AI1879" s="631"/>
      <c r="AJ1879" s="631"/>
      <c r="AK1879" s="631"/>
      <c r="AL1879" s="631"/>
      <c r="AM1879" s="631"/>
      <c r="AN1879" s="631"/>
      <c r="AO1879" s="97"/>
      <c r="AP1879" s="97"/>
      <c r="AQ1879" s="97"/>
      <c r="AR1879" s="70"/>
      <c r="AS1879" s="70"/>
    </row>
    <row r="1880" spans="1:45" s="71" customFormat="1" ht="15" customHeight="1">
      <c r="A1880" s="555"/>
      <c r="B1880" s="217"/>
      <c r="C1880" s="217">
        <v>63</v>
      </c>
      <c r="D1880" s="101"/>
      <c r="E1880" s="217"/>
      <c r="F1880" s="294" t="s">
        <v>265</v>
      </c>
      <c r="G1880" s="295" t="str">
        <f>VLOOKUP(F1880,'GL Category'!A:C,3,FALSE)</f>
        <v>Capital Outlay</v>
      </c>
      <c r="H1880" s="98" t="str">
        <f>VLOOKUP(F1880,'GL Category'!A:C,2,FALSE)</f>
        <v>BUILDINGS &amp; IMPROVEMENTS</v>
      </c>
      <c r="I1880" s="99">
        <f>SUMIFS(I$1:I1873,$C$1:$C1873,$C1880,$F$1:$F1873,$F1880)</f>
        <v>0</v>
      </c>
      <c r="J1880" s="99">
        <f>SUMIFS(J$1:J1873,$C$1:$C1873,$C1880,$F$1:$F1873,$F1880)</f>
        <v>0</v>
      </c>
      <c r="K1880" s="99">
        <f>SUMIFS(K$1:K1873,$C$1:$C1873,$C1880,$F$1:$F1873,$F1880)</f>
        <v>0</v>
      </c>
      <c r="L1880" s="99">
        <f>SUMIFS(L$1:L1873,$C$1:$C1873,$C1880,$F$1:$F1873,$F1880)</f>
        <v>0</v>
      </c>
      <c r="M1880" s="99">
        <f>SUMIFS(M$1:M1873,$C$1:$C1873,$C1880,$F$1:$F1873,$F1880)</f>
        <v>0</v>
      </c>
      <c r="N1880" s="99">
        <f>SUMIFS(N$1:N1873,$C$1:$C1873,$C1880,$F$1:$F1873,$F1880)</f>
        <v>0</v>
      </c>
      <c r="O1880" s="99">
        <f>SUMIFS(O$1:O1873,$C$1:$C1873,$C1880,$F$1:$F1873,$F1880)</f>
        <v>0</v>
      </c>
      <c r="P1880" s="99">
        <f>O1880-M1880</f>
        <v>0</v>
      </c>
      <c r="Q1880" s="99">
        <f>SUMIFS(Q$1:Q1873,$C$1:$C1873,$C1880,$F$1:$F1873,$F1880)</f>
        <v>0</v>
      </c>
      <c r="R1880" s="99">
        <f>SUMIFS(R$1:R1873,$C$1:$C1873,$C1880,$F$1:$F1873,$F1880)</f>
        <v>0</v>
      </c>
      <c r="S1880" s="99">
        <f>SUMIFS(S$1:S1873,$C$1:$C1873,$C1880,$F$1:$F1873,$F1880)</f>
        <v>0</v>
      </c>
      <c r="T1880" s="99">
        <f>SUMIFS(T$1:T1873,$C$1:$C1873,$C1880,$F$1:$F1873,$F1880)</f>
        <v>0</v>
      </c>
      <c r="U1880" s="99">
        <f>T1880-M1880</f>
        <v>0</v>
      </c>
      <c r="V1880" s="255" t="str">
        <f>IF(M1880=0,"N/A",T1880/M1880-1)</f>
        <v>N/A</v>
      </c>
      <c r="W1880" s="102"/>
      <c r="X1880" s="102"/>
      <c r="Y1880" s="102">
        <f t="shared" ref="Y1880:Y1881" si="2344">T1880-X1880</f>
        <v>0</v>
      </c>
      <c r="Z1880" s="309">
        <f>Y1880*(1+VLOOKUP($F1880,'GL Category'!$A:$H,4,FALSE))</f>
        <v>0</v>
      </c>
      <c r="AA1880" s="615"/>
      <c r="AB1880" s="622">
        <f t="shared" ref="AB1880:AB1881" si="2345">Z1880+AA1880</f>
        <v>0</v>
      </c>
      <c r="AC1880" s="633">
        <f>AB1880*(1+VLOOKUP($F1880,'GL Category'!$A:$H,5,FALSE))</f>
        <v>0</v>
      </c>
      <c r="AD1880" s="307"/>
      <c r="AE1880" s="622">
        <f t="shared" ref="AE1880:AE1881" si="2346">AC1880+AD1880</f>
        <v>0</v>
      </c>
      <c r="AF1880" s="633">
        <f>AE1880*(1+VLOOKUP($F1880,'GL Category'!$A:$H,6,FALSE))</f>
        <v>0</v>
      </c>
      <c r="AG1880" s="307"/>
      <c r="AH1880" s="622">
        <f t="shared" ref="AH1880:AH1881" si="2347">AF1880+AG1880</f>
        <v>0</v>
      </c>
      <c r="AI1880" s="633">
        <f>AH1880*(1+VLOOKUP($F1880,'GL Category'!$A:$H,7,FALSE))</f>
        <v>0</v>
      </c>
      <c r="AJ1880" s="307"/>
      <c r="AK1880" s="622">
        <f t="shared" ref="AK1880:AK1881" si="2348">AI1880+AJ1880</f>
        <v>0</v>
      </c>
      <c r="AL1880" s="633">
        <f>AK1880*(1+VLOOKUP($F1880,'GL Category'!$A:$H,8,FALSE))</f>
        <v>0</v>
      </c>
      <c r="AM1880" s="307"/>
      <c r="AN1880" s="622">
        <f t="shared" ref="AN1880:AN1881" si="2349">AL1880+AM1880</f>
        <v>0</v>
      </c>
      <c r="AO1880" s="97"/>
      <c r="AP1880" s="97"/>
      <c r="AQ1880" s="97"/>
      <c r="AR1880" s="70"/>
      <c r="AS1880" s="70"/>
    </row>
    <row r="1881" spans="1:45" s="71" customFormat="1" ht="15" customHeight="1">
      <c r="A1881" s="555"/>
      <c r="B1881" s="217"/>
      <c r="C1881" s="217">
        <v>63</v>
      </c>
      <c r="D1881" s="101"/>
      <c r="E1881" s="217"/>
      <c r="F1881" s="294" t="s">
        <v>267</v>
      </c>
      <c r="G1881" s="295" t="str">
        <f>VLOOKUP(F1881,'GL Category'!A:C,3,FALSE)</f>
        <v>Capital Outlay</v>
      </c>
      <c r="H1881" s="98" t="str">
        <f>VLOOKUP(F1881,'GL Category'!A:C,2,FALSE)</f>
        <v>MACHINERY &amp; EQUIPMENT</v>
      </c>
      <c r="I1881" s="99">
        <f>SUMIFS(I$1:I1874,$C$1:$C1874,$C1881,$F$1:$F1874,$F1881)</f>
        <v>0</v>
      </c>
      <c r="J1881" s="99">
        <f>SUMIFS(J$1:J1874,$C$1:$C1874,$C1881,$F$1:$F1874,$F1881)</f>
        <v>6499</v>
      </c>
      <c r="K1881" s="99">
        <f>SUMIFS(K$1:K1874,$C$1:$C1874,$C1881,$F$1:$F1874,$F1881)</f>
        <v>0</v>
      </c>
      <c r="L1881" s="99">
        <f>SUMIFS(L$1:L1874,$C$1:$C1874,$C1881,$F$1:$F1874,$F1881)</f>
        <v>0</v>
      </c>
      <c r="M1881" s="99">
        <f>SUMIFS(M$1:M1874,$C$1:$C1874,$C1881,$F$1:$F1874,$F1881)</f>
        <v>0</v>
      </c>
      <c r="N1881" s="99">
        <f>SUMIFS(N$1:N1874,$C$1:$C1874,$C1881,$F$1:$F1874,$F1881)</f>
        <v>0</v>
      </c>
      <c r="O1881" s="99">
        <f>SUMIFS(O$1:O1874,$C$1:$C1874,$C1881,$F$1:$F1874,$F1881)</f>
        <v>0</v>
      </c>
      <c r="P1881" s="99">
        <f>O1881-M1881</f>
        <v>0</v>
      </c>
      <c r="Q1881" s="99">
        <f>SUMIFS(Q$1:Q1874,$C$1:$C1874,$C1881,$F$1:$F1874,$F1881)</f>
        <v>0</v>
      </c>
      <c r="R1881" s="99">
        <f>SUMIFS(R$1:R1874,$C$1:$C1874,$C1881,$F$1:$F1874,$F1881)</f>
        <v>0</v>
      </c>
      <c r="S1881" s="99">
        <f>SUMIFS(S$1:S1874,$C$1:$C1874,$C1881,$F$1:$F1874,$F1881)</f>
        <v>0</v>
      </c>
      <c r="T1881" s="99">
        <f>SUMIFS(T$1:T1874,$C$1:$C1874,$C1881,$F$1:$F1874,$F1881)</f>
        <v>0</v>
      </c>
      <c r="U1881" s="99">
        <f>T1881-M1881</f>
        <v>0</v>
      </c>
      <c r="V1881" s="255" t="str">
        <f>IF(M1881=0,"N/A",T1881/M1881-1)</f>
        <v>N/A</v>
      </c>
      <c r="W1881" s="102"/>
      <c r="X1881" s="102"/>
      <c r="Y1881" s="102">
        <f t="shared" si="2344"/>
        <v>0</v>
      </c>
      <c r="Z1881" s="309">
        <f>Y1881*(1+VLOOKUP($F1881,'GL Category'!$A:$H,4,FALSE))</f>
        <v>0</v>
      </c>
      <c r="AA1881" s="615"/>
      <c r="AB1881" s="622">
        <f t="shared" si="2345"/>
        <v>0</v>
      </c>
      <c r="AC1881" s="633">
        <f>AB1881*(1+VLOOKUP($F1881,'GL Category'!$A:$H,5,FALSE))</f>
        <v>0</v>
      </c>
      <c r="AD1881" s="307"/>
      <c r="AE1881" s="622">
        <f t="shared" si="2346"/>
        <v>0</v>
      </c>
      <c r="AF1881" s="633">
        <f>AE1881*(1+VLOOKUP($F1881,'GL Category'!$A:$H,6,FALSE))</f>
        <v>0</v>
      </c>
      <c r="AG1881" s="307"/>
      <c r="AH1881" s="622">
        <f t="shared" si="2347"/>
        <v>0</v>
      </c>
      <c r="AI1881" s="633">
        <f>AH1881*(1+VLOOKUP($F1881,'GL Category'!$A:$H,7,FALSE))</f>
        <v>0</v>
      </c>
      <c r="AJ1881" s="307"/>
      <c r="AK1881" s="622">
        <f t="shared" si="2348"/>
        <v>0</v>
      </c>
      <c r="AL1881" s="633">
        <f>AK1881*(1+VLOOKUP($F1881,'GL Category'!$A:$H,8,FALSE))</f>
        <v>0</v>
      </c>
      <c r="AM1881" s="307"/>
      <c r="AN1881" s="622">
        <f t="shared" si="2349"/>
        <v>0</v>
      </c>
      <c r="AO1881" s="97"/>
      <c r="AP1881" s="97"/>
      <c r="AQ1881" s="97"/>
      <c r="AR1881" s="70"/>
      <c r="AS1881" s="70"/>
    </row>
    <row r="1882" spans="1:45" s="71" customFormat="1" ht="15" customHeight="1">
      <c r="A1882" s="555"/>
      <c r="B1882" s="217"/>
      <c r="C1882" s="217"/>
      <c r="D1882" s="101"/>
      <c r="E1882" s="217"/>
      <c r="F1882" s="294"/>
      <c r="G1882" s="295"/>
      <c r="H1882" s="107" t="str">
        <f>UPPER(G1881)&amp;" TOTAL"</f>
        <v>CAPITAL OUTLAY TOTAL</v>
      </c>
      <c r="I1882" s="109">
        <f t="shared" ref="I1882:T1882" si="2350">SUBTOTAL(9,I1880:I1881)</f>
        <v>0</v>
      </c>
      <c r="J1882" s="109">
        <f t="shared" si="2350"/>
        <v>6499</v>
      </c>
      <c r="K1882" s="109">
        <f t="shared" si="2350"/>
        <v>0</v>
      </c>
      <c r="L1882" s="109">
        <f t="shared" si="2350"/>
        <v>0</v>
      </c>
      <c r="M1882" s="109">
        <f t="shared" si="2350"/>
        <v>0</v>
      </c>
      <c r="N1882" s="109">
        <f t="shared" si="2350"/>
        <v>0</v>
      </c>
      <c r="O1882" s="109">
        <f t="shared" si="2350"/>
        <v>0</v>
      </c>
      <c r="P1882" s="109">
        <f t="shared" si="2350"/>
        <v>0</v>
      </c>
      <c r="Q1882" s="109">
        <f t="shared" si="2350"/>
        <v>0</v>
      </c>
      <c r="R1882" s="109">
        <f t="shared" si="2350"/>
        <v>0</v>
      </c>
      <c r="S1882" s="109">
        <f t="shared" si="2350"/>
        <v>0</v>
      </c>
      <c r="T1882" s="109">
        <f t="shared" si="2350"/>
        <v>0</v>
      </c>
      <c r="U1882" s="99">
        <f>T1882-M1882</f>
        <v>0</v>
      </c>
      <c r="V1882" s="255" t="str">
        <f>IF(M1882=0,"N/A",T1882/M1882-1)</f>
        <v>N/A</v>
      </c>
      <c r="W1882" s="102"/>
      <c r="X1882" s="102"/>
      <c r="Y1882" s="102"/>
      <c r="Z1882" s="200"/>
      <c r="AA1882" s="615"/>
      <c r="AB1882" s="631"/>
      <c r="AC1882" s="631"/>
      <c r="AD1882" s="631"/>
      <c r="AE1882" s="631"/>
      <c r="AF1882" s="631"/>
      <c r="AG1882" s="631"/>
      <c r="AH1882" s="631"/>
      <c r="AI1882" s="631"/>
      <c r="AJ1882" s="631"/>
      <c r="AK1882" s="631"/>
      <c r="AL1882" s="631"/>
      <c r="AM1882" s="631"/>
      <c r="AN1882" s="631"/>
      <c r="AO1882" s="97"/>
      <c r="AP1882" s="97"/>
      <c r="AQ1882" s="97"/>
      <c r="AR1882" s="70"/>
      <c r="AS1882" s="70"/>
    </row>
    <row r="1883" spans="1:45" s="71" customFormat="1" ht="15" customHeight="1">
      <c r="A1883" s="555"/>
      <c r="B1883" s="217"/>
      <c r="C1883" s="217"/>
      <c r="D1883" s="101"/>
      <c r="E1883" s="217"/>
      <c r="F1883" s="294"/>
      <c r="G1883" s="295"/>
      <c r="H1883" s="98"/>
      <c r="I1883" s="106"/>
      <c r="J1883" s="106"/>
      <c r="K1883" s="106"/>
      <c r="L1883" s="106"/>
      <c r="M1883" s="106"/>
      <c r="N1883" s="112"/>
      <c r="O1883" s="112"/>
      <c r="P1883" s="112"/>
      <c r="Q1883" s="113"/>
      <c r="R1883" s="113"/>
      <c r="S1883" s="113"/>
      <c r="T1883" s="113"/>
      <c r="U1883" s="99"/>
      <c r="V1883" s="255"/>
      <c r="W1883" s="102"/>
      <c r="X1883" s="102"/>
      <c r="Y1883" s="102"/>
      <c r="Z1883" s="200"/>
      <c r="AA1883" s="615"/>
      <c r="AB1883" s="631"/>
      <c r="AC1883" s="631"/>
      <c r="AD1883" s="631"/>
      <c r="AE1883" s="631"/>
      <c r="AF1883" s="631"/>
      <c r="AG1883" s="631"/>
      <c r="AH1883" s="631"/>
      <c r="AI1883" s="631"/>
      <c r="AJ1883" s="631"/>
      <c r="AK1883" s="631"/>
      <c r="AL1883" s="631"/>
      <c r="AM1883" s="631"/>
      <c r="AN1883" s="631"/>
      <c r="AO1883" s="97"/>
      <c r="AP1883" s="97"/>
      <c r="AQ1883" s="97"/>
      <c r="AR1883" s="70"/>
      <c r="AS1883" s="70"/>
    </row>
    <row r="1884" spans="1:45" s="71" customFormat="1" ht="15" customHeight="1">
      <c r="A1884" s="555"/>
      <c r="B1884" s="217"/>
      <c r="C1884" s="217">
        <v>63</v>
      </c>
      <c r="D1884" s="101"/>
      <c r="E1884" s="217"/>
      <c r="F1884" s="294" t="s">
        <v>844</v>
      </c>
      <c r="G1884" s="295" t="str">
        <f>VLOOKUP(F1884,'GL Category'!A:C,3,FALSE)</f>
        <v>Transfers to other funds</v>
      </c>
      <c r="H1884" s="98" t="str">
        <f>VLOOKUP(F1884,'GL Category'!A:C,2,FALSE)</f>
        <v>TRANSFER TO CIP-GENERAL GOVERN</v>
      </c>
      <c r="I1884" s="99">
        <f>SUMIFS(I$1:I1879,$C$1:$C1879,$C1884,$F$1:$F1879,$F1884)</f>
        <v>0</v>
      </c>
      <c r="J1884" s="99">
        <f>SUMIFS(J$1:J1879,$C$1:$C1879,$C1884,$F$1:$F1879,$F1884)</f>
        <v>0</v>
      </c>
      <c r="K1884" s="99">
        <f>SUMIFS(K$1:K1879,$C$1:$C1879,$C1884,$F$1:$F1879,$F1884)</f>
        <v>0</v>
      </c>
      <c r="L1884" s="99">
        <f>SUMIFS(L$1:L1879,$C$1:$C1879,$C1884,$F$1:$F1879,$F1884)</f>
        <v>0</v>
      </c>
      <c r="M1884" s="99">
        <f>SUMIFS(M$1:M1879,$C$1:$C1879,$C1884,$F$1:$F1879,$F1884)</f>
        <v>0</v>
      </c>
      <c r="N1884" s="99">
        <f>SUMIFS(N$1:N1879,$C$1:$C1879,$C1884,$F$1:$F1879,$F1884)</f>
        <v>0</v>
      </c>
      <c r="O1884" s="99">
        <f>SUMIFS(O$1:O1879,$C$1:$C1879,$C1884,$F$1:$F1879,$F1884)</f>
        <v>0</v>
      </c>
      <c r="P1884" s="99">
        <f>O1884-M1884</f>
        <v>0</v>
      </c>
      <c r="Q1884" s="99">
        <f>SUMIFS(Q$1:Q1879,$C$1:$C1879,$C1884,$F$1:$F1879,$F1884)</f>
        <v>0</v>
      </c>
      <c r="R1884" s="99">
        <f>SUMIFS(R$1:R1879,$C$1:$C1879,$C1884,$F$1:$F1879,$F1884)</f>
        <v>0</v>
      </c>
      <c r="S1884" s="99">
        <f>SUMIFS(S$1:S1879,$C$1:$C1879,$C1884,$F$1:$F1879,$F1884)</f>
        <v>0</v>
      </c>
      <c r="T1884" s="99">
        <f>SUMIFS(T$1:T1879,$C$1:$C1879,$C1884,$F$1:$F1879,$F1884)</f>
        <v>0</v>
      </c>
      <c r="U1884" s="99">
        <f>T1884-M1884</f>
        <v>0</v>
      </c>
      <c r="V1884" s="255" t="str">
        <f>IF(M1884=0,"N/A",T1884/M1884-1)</f>
        <v>N/A</v>
      </c>
      <c r="W1884" s="102"/>
      <c r="X1884" s="102"/>
      <c r="Y1884" s="102">
        <f t="shared" ref="Y1884:Y1885" si="2351">T1884-X1884</f>
        <v>0</v>
      </c>
      <c r="Z1884" s="309">
        <f>Y1884*(1+VLOOKUP($F1884,'GL Category'!$A:$H,4,FALSE))</f>
        <v>0</v>
      </c>
      <c r="AA1884" s="615"/>
      <c r="AB1884" s="622">
        <f t="shared" ref="AB1884:AB1885" si="2352">Z1884+AA1884</f>
        <v>0</v>
      </c>
      <c r="AC1884" s="633">
        <f>AB1884*(1+VLOOKUP($F1884,'GL Category'!$A:$H,5,FALSE))</f>
        <v>0</v>
      </c>
      <c r="AD1884" s="307"/>
      <c r="AE1884" s="622">
        <f t="shared" ref="AE1884:AE1885" si="2353">AC1884+AD1884</f>
        <v>0</v>
      </c>
      <c r="AF1884" s="633">
        <f>AE1884*(1+VLOOKUP($F1884,'GL Category'!$A:$H,6,FALSE))</f>
        <v>0</v>
      </c>
      <c r="AG1884" s="307"/>
      <c r="AH1884" s="622">
        <f t="shared" ref="AH1884:AH1885" si="2354">AF1884+AG1884</f>
        <v>0</v>
      </c>
      <c r="AI1884" s="633">
        <f>AH1884*(1+VLOOKUP($F1884,'GL Category'!$A:$H,7,FALSE))</f>
        <v>0</v>
      </c>
      <c r="AJ1884" s="307"/>
      <c r="AK1884" s="622">
        <f t="shared" ref="AK1884:AK1885" si="2355">AI1884+AJ1884</f>
        <v>0</v>
      </c>
      <c r="AL1884" s="633">
        <f>AK1884*(1+VLOOKUP($F1884,'GL Category'!$A:$H,8,FALSE))</f>
        <v>0</v>
      </c>
      <c r="AM1884" s="307"/>
      <c r="AN1884" s="622">
        <f t="shared" ref="AN1884:AN1885" si="2356">AL1884+AM1884</f>
        <v>0</v>
      </c>
      <c r="AO1884" s="97"/>
      <c r="AP1884" s="97"/>
      <c r="AQ1884" s="97"/>
      <c r="AR1884" s="70"/>
      <c r="AS1884" s="70"/>
    </row>
    <row r="1885" spans="1:45" s="71" customFormat="1" ht="15" customHeight="1">
      <c r="A1885" s="555"/>
      <c r="B1885" s="217"/>
      <c r="C1885" s="217">
        <v>63</v>
      </c>
      <c r="D1885" s="101"/>
      <c r="E1885" s="217"/>
      <c r="F1885" s="294" t="s">
        <v>308</v>
      </c>
      <c r="G1885" s="295" t="str">
        <f>VLOOKUP(F1885,'GL Category'!A:C,3,FALSE)</f>
        <v>Transfers to other funds</v>
      </c>
      <c r="H1885" s="98" t="str">
        <f>VLOOKUP(F1885,'GL Category'!A:C,2,FALSE)</f>
        <v>TRANSFER TO REC SPEC REV FUND</v>
      </c>
      <c r="I1885" s="99">
        <f>SUMIFS(I$1:I1880,$C$1:$C1880,$C1885,$F$1:$F1880,$F1885)</f>
        <v>47600</v>
      </c>
      <c r="J1885" s="99">
        <f>SUMIFS(J$1:J1880,$C$1:$C1880,$C1885,$F$1:$F1880,$F1885)</f>
        <v>47600</v>
      </c>
      <c r="K1885" s="99">
        <f>SUMIFS(K$1:K1880,$C$1:$C1880,$C1885,$F$1:$F1880,$F1885)</f>
        <v>47600</v>
      </c>
      <c r="L1885" s="99">
        <f>SUMIFS(L$1:L1880,$C$1:$C1880,$C1885,$F$1:$F1880,$F1885)</f>
        <v>97600</v>
      </c>
      <c r="M1885" s="99">
        <f>SUMIFS(M$1:M1880,$C$1:$C1880,$C1885,$F$1:$F1880,$F1885)</f>
        <v>127600</v>
      </c>
      <c r="N1885" s="99">
        <f>SUMIFS(N$1:N1880,$C$1:$C1880,$C1885,$F$1:$F1880,$F1885)</f>
        <v>95700</v>
      </c>
      <c r="O1885" s="99">
        <f>SUMIFS(O$1:O1880,$C$1:$C1880,$C1885,$F$1:$F1880,$F1885)</f>
        <v>127600</v>
      </c>
      <c r="P1885" s="99">
        <f>O1885-M1885</f>
        <v>0</v>
      </c>
      <c r="Q1885" s="99">
        <f>SUMIFS(Q$1:Q1880,$C$1:$C1880,$C1885,$F$1:$F1880,$F1885)</f>
        <v>127600</v>
      </c>
      <c r="R1885" s="99">
        <f>SUMIFS(R$1:R1880,$C$1:$C1880,$C1885,$F$1:$F1880,$F1885)</f>
        <v>0</v>
      </c>
      <c r="S1885" s="99">
        <f>SUMIFS(S$1:S1880,$C$1:$C1880,$C1885,$F$1:$F1880,$F1885)</f>
        <v>0</v>
      </c>
      <c r="T1885" s="99">
        <f>SUMIFS(T$1:T1880,$C$1:$C1880,$C1885,$F$1:$F1880,$F1885)</f>
        <v>127600</v>
      </c>
      <c r="U1885" s="99">
        <f>T1885-M1885</f>
        <v>0</v>
      </c>
      <c r="V1885" s="255">
        <f>IF(M1885=0,"N/A",T1885/M1885-1)</f>
        <v>0</v>
      </c>
      <c r="W1885" s="102"/>
      <c r="X1885" s="102"/>
      <c r="Y1885" s="102">
        <f t="shared" si="2351"/>
        <v>127600</v>
      </c>
      <c r="Z1885" s="309">
        <f>Y1885*(1+VLOOKUP($F1885,'GL Category'!$A:$H,4,FALSE))</f>
        <v>127600</v>
      </c>
      <c r="AA1885" s="615"/>
      <c r="AB1885" s="622">
        <f t="shared" si="2352"/>
        <v>127600</v>
      </c>
      <c r="AC1885" s="633">
        <f>AB1885*(1+VLOOKUP($F1885,'GL Category'!$A:$H,5,FALSE))</f>
        <v>127600</v>
      </c>
      <c r="AD1885" s="307"/>
      <c r="AE1885" s="622">
        <f t="shared" si="2353"/>
        <v>127600</v>
      </c>
      <c r="AF1885" s="633">
        <f>AE1885*(1+VLOOKUP($F1885,'GL Category'!$A:$H,6,FALSE))</f>
        <v>127600</v>
      </c>
      <c r="AG1885" s="307"/>
      <c r="AH1885" s="622">
        <f t="shared" si="2354"/>
        <v>127600</v>
      </c>
      <c r="AI1885" s="633">
        <f>AH1885*(1+VLOOKUP($F1885,'GL Category'!$A:$H,7,FALSE))</f>
        <v>127600</v>
      </c>
      <c r="AJ1885" s="307"/>
      <c r="AK1885" s="622">
        <f t="shared" si="2355"/>
        <v>127600</v>
      </c>
      <c r="AL1885" s="633">
        <f>AK1885*(1+VLOOKUP($F1885,'GL Category'!$A:$H,8,FALSE))</f>
        <v>127600</v>
      </c>
      <c r="AM1885" s="307"/>
      <c r="AN1885" s="622">
        <f t="shared" si="2356"/>
        <v>127600</v>
      </c>
      <c r="AO1885" s="97"/>
      <c r="AP1885" s="97"/>
      <c r="AQ1885" s="97"/>
      <c r="AR1885" s="70"/>
      <c r="AS1885" s="70"/>
    </row>
    <row r="1886" spans="1:45" s="71" customFormat="1" ht="24" customHeight="1">
      <c r="A1886" s="555"/>
      <c r="B1886" s="217"/>
      <c r="C1886" s="217"/>
      <c r="D1886" s="101"/>
      <c r="E1886" s="217"/>
      <c r="F1886" s="294" t="str">
        <f t="shared" ref="F1886:F1911" si="2357">RIGHT(A1886,5)</f>
        <v/>
      </c>
      <c r="G1886" s="295"/>
      <c r="H1886" s="107" t="str">
        <f>UPPER(G1885)&amp;" TOTAL"</f>
        <v>TRANSFERS TO OTHER FUNDS TOTAL</v>
      </c>
      <c r="I1886" s="109">
        <f t="shared" ref="I1886:T1886" si="2358">SUBTOTAL(9,I1882:I1885)</f>
        <v>47600</v>
      </c>
      <c r="J1886" s="109">
        <f t="shared" si="2358"/>
        <v>47600</v>
      </c>
      <c r="K1886" s="109">
        <f t="shared" si="2358"/>
        <v>47600</v>
      </c>
      <c r="L1886" s="109">
        <f t="shared" si="2358"/>
        <v>97600</v>
      </c>
      <c r="M1886" s="109">
        <f t="shared" si="2358"/>
        <v>127600</v>
      </c>
      <c r="N1886" s="109">
        <f t="shared" si="2358"/>
        <v>95700</v>
      </c>
      <c r="O1886" s="109">
        <f t="shared" si="2358"/>
        <v>127600</v>
      </c>
      <c r="P1886" s="109">
        <f t="shared" si="2358"/>
        <v>0</v>
      </c>
      <c r="Q1886" s="109">
        <f t="shared" si="2358"/>
        <v>127600</v>
      </c>
      <c r="R1886" s="109">
        <f t="shared" si="2358"/>
        <v>0</v>
      </c>
      <c r="S1886" s="109">
        <f t="shared" si="2358"/>
        <v>0</v>
      </c>
      <c r="T1886" s="109">
        <f t="shared" si="2358"/>
        <v>127600</v>
      </c>
      <c r="U1886" s="99">
        <f>T1886-M1886</f>
        <v>0</v>
      </c>
      <c r="V1886" s="255">
        <f>IF(M1886=0,"N/A",T1886/M1886-1)</f>
        <v>0</v>
      </c>
      <c r="W1886" s="102"/>
      <c r="X1886" s="102"/>
      <c r="Y1886" s="102"/>
      <c r="Z1886" s="200"/>
      <c r="AA1886" s="615"/>
      <c r="AB1886" s="631"/>
      <c r="AC1886" s="631"/>
      <c r="AD1886" s="631"/>
      <c r="AE1886" s="631"/>
      <c r="AF1886" s="631"/>
      <c r="AG1886" s="631"/>
      <c r="AH1886" s="631"/>
      <c r="AI1886" s="631"/>
      <c r="AJ1886" s="631"/>
      <c r="AK1886" s="631"/>
      <c r="AL1886" s="631"/>
      <c r="AM1886" s="631"/>
      <c r="AN1886" s="631"/>
      <c r="AO1886" s="97"/>
      <c r="AP1886" s="97"/>
      <c r="AQ1886" s="97"/>
      <c r="AR1886" s="70"/>
      <c r="AS1886" s="70"/>
    </row>
    <row r="1887" spans="1:45" s="71" customFormat="1" ht="15" customHeight="1">
      <c r="A1887" s="555"/>
      <c r="B1887" s="217"/>
      <c r="C1887" s="217"/>
      <c r="D1887" s="101"/>
      <c r="E1887" s="217"/>
      <c r="F1887" s="294" t="str">
        <f t="shared" si="2357"/>
        <v/>
      </c>
      <c r="G1887" s="295"/>
      <c r="H1887" s="98"/>
      <c r="I1887" s="106"/>
      <c r="J1887" s="106"/>
      <c r="K1887" s="106"/>
      <c r="L1887" s="106"/>
      <c r="M1887" s="106"/>
      <c r="N1887" s="112"/>
      <c r="O1887" s="112"/>
      <c r="P1887" s="112"/>
      <c r="Q1887" s="113"/>
      <c r="R1887" s="113"/>
      <c r="S1887" s="113"/>
      <c r="T1887" s="113"/>
      <c r="U1887" s="99"/>
      <c r="V1887" s="255"/>
      <c r="W1887" s="102"/>
      <c r="X1887" s="102"/>
      <c r="Y1887" s="102"/>
      <c r="Z1887" s="200"/>
      <c r="AA1887" s="615"/>
      <c r="AB1887" s="631"/>
      <c r="AC1887" s="631"/>
      <c r="AD1887" s="631"/>
      <c r="AE1887" s="631"/>
      <c r="AF1887" s="631"/>
      <c r="AG1887" s="631"/>
      <c r="AH1887" s="631"/>
      <c r="AI1887" s="631"/>
      <c r="AJ1887" s="631"/>
      <c r="AK1887" s="631"/>
      <c r="AL1887" s="631"/>
      <c r="AM1887" s="631"/>
      <c r="AN1887" s="631"/>
      <c r="AO1887" s="97"/>
      <c r="AP1887" s="97"/>
      <c r="AQ1887" s="97"/>
      <c r="AR1887" s="70"/>
      <c r="AS1887" s="70"/>
    </row>
    <row r="1888" spans="1:45" s="71" customFormat="1" ht="15" customHeight="1">
      <c r="A1888" s="555"/>
      <c r="B1888" s="217"/>
      <c r="C1888" s="217"/>
      <c r="D1888" s="101"/>
      <c r="E1888" s="217"/>
      <c r="F1888" s="294" t="str">
        <f t="shared" si="2357"/>
        <v/>
      </c>
      <c r="G1888" s="295"/>
      <c r="H1888" s="114" t="s">
        <v>51</v>
      </c>
      <c r="I1888" s="108">
        <f t="shared" ref="I1888:T1888" si="2359">SUBTOTAL(9,I1820:I1886)</f>
        <v>3143690.4300000006</v>
      </c>
      <c r="J1888" s="108">
        <f t="shared" si="2359"/>
        <v>3295040.9600000004</v>
      </c>
      <c r="K1888" s="108">
        <f t="shared" si="2359"/>
        <v>3385536.23</v>
      </c>
      <c r="L1888" s="108">
        <f t="shared" si="2359"/>
        <v>3607830.4200000009</v>
      </c>
      <c r="M1888" s="108">
        <f t="shared" si="2359"/>
        <v>3841909</v>
      </c>
      <c r="N1888" s="108">
        <f t="shared" si="2359"/>
        <v>2824368.1699999995</v>
      </c>
      <c r="O1888" s="108">
        <f t="shared" si="2359"/>
        <v>3801307</v>
      </c>
      <c r="P1888" s="108">
        <f t="shared" si="2359"/>
        <v>-40602</v>
      </c>
      <c r="Q1888" s="108">
        <f t="shared" si="2359"/>
        <v>3954891</v>
      </c>
      <c r="R1888" s="108">
        <f t="shared" si="2359"/>
        <v>0</v>
      </c>
      <c r="S1888" s="108">
        <f t="shared" si="2359"/>
        <v>0</v>
      </c>
      <c r="T1888" s="108">
        <f t="shared" si="2359"/>
        <v>3954891</v>
      </c>
      <c r="U1888" s="99">
        <f>T1888-M1888</f>
        <v>112982</v>
      </c>
      <c r="V1888" s="255">
        <f>IF(M1888=0,"N/A",T1888/M1888-1)</f>
        <v>2.9407776186265666E-2</v>
      </c>
      <c r="W1888" s="102"/>
      <c r="X1888" s="102"/>
      <c r="Y1888" s="102"/>
      <c r="Z1888" s="200"/>
      <c r="AA1888" s="615"/>
      <c r="AB1888" s="631"/>
      <c r="AC1888" s="631"/>
      <c r="AD1888" s="631"/>
      <c r="AE1888" s="631"/>
      <c r="AF1888" s="631"/>
      <c r="AG1888" s="631"/>
      <c r="AH1888" s="631"/>
      <c r="AI1888" s="631"/>
      <c r="AJ1888" s="631"/>
      <c r="AK1888" s="631"/>
      <c r="AL1888" s="631"/>
      <c r="AM1888" s="631"/>
      <c r="AN1888" s="631"/>
      <c r="AO1888" s="97"/>
      <c r="AP1888" s="97"/>
      <c r="AQ1888" s="97"/>
      <c r="AR1888" s="70"/>
      <c r="AS1888" s="70"/>
    </row>
    <row r="1889" spans="1:49" s="71" customFormat="1" ht="15" customHeight="1">
      <c r="A1889" s="555"/>
      <c r="B1889" s="217"/>
      <c r="C1889" s="217"/>
      <c r="D1889" s="101"/>
      <c r="E1889" s="217"/>
      <c r="F1889" s="294" t="str">
        <f t="shared" si="2357"/>
        <v/>
      </c>
      <c r="G1889" s="295"/>
      <c r="H1889" s="89"/>
      <c r="I1889" s="233"/>
      <c r="J1889" s="233"/>
      <c r="K1889" s="233"/>
      <c r="L1889" s="233"/>
      <c r="M1889" s="233"/>
      <c r="N1889" s="233"/>
      <c r="O1889" s="233"/>
      <c r="P1889" s="233"/>
      <c r="Q1889" s="233">
        <f>3672826-Q1888</f>
        <v>-282065</v>
      </c>
      <c r="R1889" s="233"/>
      <c r="S1889" s="233"/>
      <c r="T1889" s="233"/>
      <c r="U1889" s="99"/>
      <c r="V1889" s="255"/>
      <c r="W1889" s="102"/>
      <c r="X1889" s="102"/>
      <c r="Y1889" s="102"/>
      <c r="Z1889" s="200"/>
      <c r="AA1889" s="615"/>
      <c r="AB1889" s="631"/>
      <c r="AC1889" s="631"/>
      <c r="AD1889" s="631"/>
      <c r="AE1889" s="631"/>
      <c r="AF1889" s="631"/>
      <c r="AG1889" s="631"/>
      <c r="AH1889" s="631"/>
      <c r="AI1889" s="631"/>
      <c r="AJ1889" s="631"/>
      <c r="AK1889" s="631"/>
      <c r="AL1889" s="631"/>
      <c r="AM1889" s="631"/>
      <c r="AN1889" s="631"/>
      <c r="AO1889" s="97"/>
      <c r="AP1889" s="97"/>
      <c r="AQ1889" s="97"/>
      <c r="AR1889" s="70"/>
      <c r="AS1889" s="70"/>
    </row>
    <row r="1890" spans="1:49" ht="15" customHeight="1" thickBot="1">
      <c r="A1890" s="555"/>
      <c r="B1890" s="217"/>
      <c r="C1890" s="217"/>
      <c r="D1890" s="101"/>
      <c r="E1890" s="217"/>
      <c r="F1890" s="294"/>
      <c r="G1890" s="295"/>
      <c r="I1890" s="96"/>
      <c r="J1890" s="96"/>
      <c r="K1890" s="96"/>
      <c r="L1890" s="96"/>
      <c r="M1890" s="96"/>
      <c r="Q1890" s="96"/>
      <c r="R1890" s="96"/>
      <c r="S1890" s="96"/>
      <c r="T1890" s="96"/>
      <c r="U1890" s="99"/>
      <c r="V1890" s="255"/>
      <c r="W1890" s="102"/>
      <c r="X1890" s="102"/>
      <c r="Y1890" s="102"/>
      <c r="AA1890" s="615"/>
      <c r="AB1890" s="192"/>
      <c r="AC1890" s="317"/>
      <c r="AD1890" s="317"/>
      <c r="AE1890" s="317"/>
      <c r="AF1890" s="317"/>
      <c r="AG1890" s="317"/>
      <c r="AH1890" s="192"/>
      <c r="AI1890" s="192"/>
      <c r="AJ1890" s="317"/>
      <c r="AK1890" s="317"/>
      <c r="AL1890" s="317"/>
      <c r="AM1890" s="317"/>
      <c r="AN1890" s="317"/>
      <c r="AO1890" s="317"/>
      <c r="AP1890" s="317"/>
      <c r="AQ1890" s="317"/>
      <c r="AR1890" s="192"/>
      <c r="AS1890" s="192"/>
      <c r="AT1890" s="192"/>
      <c r="AU1890" s="192"/>
      <c r="AV1890" s="192"/>
      <c r="AW1890" s="192"/>
    </row>
    <row r="1891" spans="1:49" ht="26.25" customHeight="1" thickBot="1">
      <c r="A1891" s="555"/>
      <c r="B1891" s="217"/>
      <c r="C1891" s="217"/>
      <c r="D1891" s="101"/>
      <c r="E1891" s="217"/>
      <c r="F1891" s="294"/>
      <c r="G1891" s="295"/>
      <c r="H1891" s="668" t="s">
        <v>639</v>
      </c>
      <c r="I1891" s="669"/>
      <c r="J1891" s="669"/>
      <c r="K1891" s="669"/>
      <c r="L1891" s="669"/>
      <c r="M1891" s="669"/>
      <c r="N1891" s="669"/>
      <c r="O1891" s="669"/>
      <c r="P1891" s="669"/>
      <c r="Q1891" s="669"/>
      <c r="R1891" s="669"/>
      <c r="S1891" s="669"/>
      <c r="T1891" s="670"/>
      <c r="U1891" s="99"/>
      <c r="V1891" s="255"/>
      <c r="W1891" s="102"/>
      <c r="X1891" s="102"/>
      <c r="Y1891" s="102"/>
      <c r="AA1891" s="615"/>
      <c r="AB1891" s="192"/>
      <c r="AC1891" s="312"/>
      <c r="AD1891" s="312"/>
      <c r="AE1891" s="312"/>
      <c r="AF1891" s="312"/>
      <c r="AG1891" s="312"/>
      <c r="AH1891" s="192"/>
      <c r="AI1891" s="192"/>
      <c r="AJ1891" s="194"/>
      <c r="AK1891" s="194"/>
      <c r="AL1891" s="194"/>
      <c r="AM1891" s="194"/>
      <c r="AN1891" s="194"/>
      <c r="AO1891" s="194"/>
      <c r="AP1891" s="194"/>
      <c r="AQ1891" s="194"/>
      <c r="AR1891" s="192"/>
      <c r="AS1891" s="192"/>
      <c r="AT1891" s="192"/>
      <c r="AU1891" s="192"/>
      <c r="AV1891" s="192"/>
      <c r="AW1891" s="192"/>
    </row>
    <row r="1892" spans="1:49" ht="15" customHeight="1">
      <c r="A1892" s="555"/>
      <c r="B1892" s="217"/>
      <c r="C1892" s="217"/>
      <c r="D1892" s="101"/>
      <c r="E1892" s="217"/>
      <c r="F1892" s="294"/>
      <c r="G1892" s="295"/>
      <c r="H1892" s="225"/>
      <c r="I1892" s="225"/>
      <c r="J1892" s="225"/>
      <c r="K1892" s="225"/>
      <c r="L1892" s="225"/>
      <c r="M1892" s="225"/>
      <c r="N1892" s="225"/>
      <c r="O1892" s="225"/>
      <c r="P1892" s="225"/>
      <c r="Q1892" s="225"/>
      <c r="R1892" s="225"/>
      <c r="S1892" s="225"/>
      <c r="T1892" s="225"/>
      <c r="U1892" s="99"/>
      <c r="V1892" s="255"/>
      <c r="W1892" s="102"/>
      <c r="X1892" s="102"/>
      <c r="Y1892" s="102"/>
      <c r="AA1892" s="615"/>
      <c r="AB1892" s="192"/>
      <c r="AC1892" s="312"/>
      <c r="AD1892" s="312"/>
      <c r="AE1892" s="312"/>
      <c r="AF1892" s="312"/>
      <c r="AG1892" s="312"/>
      <c r="AH1892" s="192"/>
      <c r="AI1892" s="192"/>
      <c r="AJ1892" s="194"/>
      <c r="AK1892" s="194"/>
      <c r="AL1892" s="194"/>
      <c r="AM1892" s="194"/>
      <c r="AN1892" s="194"/>
      <c r="AO1892" s="194"/>
      <c r="AP1892" s="194"/>
      <c r="AQ1892" s="194"/>
      <c r="AR1892" s="192"/>
      <c r="AS1892" s="192"/>
      <c r="AT1892" s="192"/>
      <c r="AU1892" s="192"/>
      <c r="AV1892" s="192"/>
      <c r="AW1892" s="192"/>
    </row>
    <row r="1893" spans="1:49" ht="15" customHeight="1">
      <c r="A1893" s="555" t="s">
        <v>3095</v>
      </c>
      <c r="B1893" s="217" t="str">
        <f t="shared" ref="B1893:B1911" si="2360">LEFT(A1893,3)</f>
        <v>100</v>
      </c>
      <c r="C1893" s="217" t="str">
        <f t="shared" ref="C1893:C1911" si="2361">MID(A1893,5,2)</f>
        <v>99</v>
      </c>
      <c r="D1893" s="101" t="str">
        <f t="shared" ref="D1893:D1911" si="2362">MID(A1893,8,3)</f>
        <v>998</v>
      </c>
      <c r="E1893" s="217" t="str">
        <f>LEFT(A1893,6)</f>
        <v>100-99</v>
      </c>
      <c r="F1893" s="294" t="str">
        <f t="shared" si="2357"/>
        <v>59105</v>
      </c>
      <c r="G1893" s="295" t="str">
        <f>VLOOKUP(F1893,'GL Category'!A:C,3,FALSE)</f>
        <v>Transfers to other funds</v>
      </c>
      <c r="H1893" s="98" t="str">
        <f>VLOOKUP(F1893,'GL Category'!A:C,2,FALSE)</f>
        <v>TRANSFER TO CIP-GENERAL GOVERN</v>
      </c>
      <c r="I1893" s="99">
        <f>SUMIF(Import!$B:$B,$A1893,Import!D:D)</f>
        <v>0</v>
      </c>
      <c r="J1893" s="99">
        <f>SUMIF(Import!$B:$B,$A1893,Import!E:E)</f>
        <v>0</v>
      </c>
      <c r="K1893" s="99">
        <f>SUMIF(Import!$B:$B,$A1893,Import!F:F)</f>
        <v>0</v>
      </c>
      <c r="L1893" s="99">
        <f>SUMIF(Import!$B:$B,$A1893,Import!G:G)</f>
        <v>0</v>
      </c>
      <c r="M1893" s="99">
        <f>SUMIF(Import!$B:$B,$A1893,Import!H:H)</f>
        <v>0</v>
      </c>
      <c r="N1893" s="99">
        <f>SUMIF(Import!$B:$B,$A1893,Import!I:I)</f>
        <v>0</v>
      </c>
      <c r="O1893" s="99">
        <f>SUMIF(Import!$B:$B,$A1893,Import!J:J)</f>
        <v>0</v>
      </c>
      <c r="P1893" s="99">
        <f t="shared" ref="P1893:P1896" si="2363">O1893-M1893</f>
        <v>0</v>
      </c>
      <c r="Q1893" s="99">
        <f>SUMIF(Import!$B:$B,$A1893,Import!K:K)</f>
        <v>0</v>
      </c>
      <c r="R1893" s="99">
        <f>SUMIF(Import!$B:$B,$A1893,Import!L:L)</f>
        <v>0</v>
      </c>
      <c r="S1893" s="99">
        <f>SUMIF(Import!$B:$B,$A1893,Import!M:M)</f>
        <v>0</v>
      </c>
      <c r="T1893" s="99">
        <f>SUMIF(Import!$B:$B,$A1893,Import!N:N)</f>
        <v>0</v>
      </c>
      <c r="U1893" s="99">
        <f t="shared" ref="U1893:U1896" si="2364">T1893-M1893</f>
        <v>0</v>
      </c>
      <c r="V1893" s="255" t="str">
        <f t="shared" ref="V1893:V1896" si="2365">IF(M1893=0,"N/A",T1893/M1893-1)</f>
        <v>N/A</v>
      </c>
      <c r="W1893" s="102" t="s">
        <v>3095</v>
      </c>
      <c r="X1893" s="102"/>
      <c r="Y1893" s="102">
        <f t="shared" ref="Y1893:Y1896" si="2366">T1893-X1893</f>
        <v>0</v>
      </c>
      <c r="Z1893" s="309">
        <f>Y1893*(1+VLOOKUP($F1893,'GL Category'!$A:$H,4,FALSE))</f>
        <v>0</v>
      </c>
      <c r="AA1893" s="615"/>
      <c r="AB1893" s="622">
        <f t="shared" ref="AB1893:AB1896" si="2367">Z1893+AA1893</f>
        <v>0</v>
      </c>
      <c r="AC1893" s="633">
        <f>AB1893*(1+VLOOKUP($F1893,'GL Category'!$A:$H,5,FALSE))</f>
        <v>0</v>
      </c>
      <c r="AE1893" s="622">
        <f t="shared" ref="AE1893:AE1896" si="2368">AC1893+AD1893</f>
        <v>0</v>
      </c>
      <c r="AF1893" s="633">
        <f>AE1893*(1+VLOOKUP($F1893,'GL Category'!$A:$H,6,FALSE))</f>
        <v>0</v>
      </c>
      <c r="AH1893" s="622">
        <f t="shared" ref="AH1893:AH1896" si="2369">AF1893+AG1893</f>
        <v>0</v>
      </c>
      <c r="AI1893" s="633">
        <f>AH1893*(1+VLOOKUP($F1893,'GL Category'!$A:$H,7,FALSE))</f>
        <v>0</v>
      </c>
      <c r="AK1893" s="622">
        <f t="shared" ref="AK1893:AK1896" si="2370">AI1893+AJ1893</f>
        <v>0</v>
      </c>
      <c r="AL1893" s="633">
        <f>AK1893*(1+VLOOKUP($F1893,'GL Category'!$A:$H,8,FALSE))</f>
        <v>0</v>
      </c>
      <c r="AN1893" s="622">
        <f t="shared" ref="AN1893:AN1896" si="2371">AL1893+AM1893</f>
        <v>0</v>
      </c>
      <c r="AO1893" s="314"/>
      <c r="AP1893" s="314"/>
      <c r="AQ1893" s="314"/>
      <c r="AR1893" s="192"/>
      <c r="AS1893" s="192"/>
      <c r="AT1893" s="192"/>
      <c r="AU1893" s="192"/>
      <c r="AV1893" s="192"/>
      <c r="AW1893" s="192"/>
    </row>
    <row r="1894" spans="1:49" ht="15" customHeight="1">
      <c r="A1894" s="555" t="s">
        <v>3096</v>
      </c>
      <c r="B1894" s="217" t="str">
        <f t="shared" si="2360"/>
        <v>100</v>
      </c>
      <c r="C1894" s="217" t="str">
        <f t="shared" si="2361"/>
        <v>99</v>
      </c>
      <c r="D1894" s="101" t="str">
        <f t="shared" si="2362"/>
        <v>998</v>
      </c>
      <c r="E1894" s="217" t="str">
        <f t="shared" ref="E1894:E1896" si="2372">LEFT(A1894,6)</f>
        <v>100-99</v>
      </c>
      <c r="F1894" s="294" t="str">
        <f t="shared" si="2357"/>
        <v>59129</v>
      </c>
      <c r="G1894" s="295" t="str">
        <f>VLOOKUP(F1894,'GL Category'!A:C,3,FALSE)</f>
        <v>Transfers to other funds</v>
      </c>
      <c r="H1894" s="98" t="str">
        <f>VLOOKUP(F1894,'GL Category'!A:C,2,FALSE)</f>
        <v>TRANSFER TO SELF-INSURANCE FUN</v>
      </c>
      <c r="I1894" s="99">
        <f>SUMIF(Import!$B:$B,$A1894,Import!D:D)</f>
        <v>1242147</v>
      </c>
      <c r="J1894" s="99">
        <f>SUMIF(Import!$B:$B,$A1894,Import!E:E)</f>
        <v>1000000</v>
      </c>
      <c r="K1894" s="99">
        <f>SUMIF(Import!$B:$B,$A1894,Import!F:F)</f>
        <v>0</v>
      </c>
      <c r="L1894" s="99">
        <f>SUMIF(Import!$B:$B,$A1894,Import!G:G)</f>
        <v>0</v>
      </c>
      <c r="M1894" s="99">
        <f>SUMIF(Import!$B:$B,$A1894,Import!H:H)</f>
        <v>0</v>
      </c>
      <c r="N1894" s="99">
        <f>SUMIF(Import!$B:$B,$A1894,Import!I:I)</f>
        <v>0</v>
      </c>
      <c r="O1894" s="99">
        <f>SUMIF(Import!$B:$B,$A1894,Import!J:J)</f>
        <v>0</v>
      </c>
      <c r="P1894" s="99">
        <f t="shared" si="2363"/>
        <v>0</v>
      </c>
      <c r="Q1894" s="99">
        <f>SUMIF(Import!$B:$B,$A1894,Import!K:K)</f>
        <v>0</v>
      </c>
      <c r="R1894" s="99">
        <f>SUMIF(Import!$B:$B,$A1894,Import!L:L)</f>
        <v>0</v>
      </c>
      <c r="S1894" s="99">
        <f>SUMIF(Import!$B:$B,$A1894,Import!M:M)</f>
        <v>0</v>
      </c>
      <c r="T1894" s="99">
        <f>SUMIF(Import!$B:$B,$A1894,Import!N:N)</f>
        <v>0</v>
      </c>
      <c r="U1894" s="99">
        <f t="shared" si="2364"/>
        <v>0</v>
      </c>
      <c r="V1894" s="255" t="str">
        <f t="shared" si="2365"/>
        <v>N/A</v>
      </c>
      <c r="W1894" s="102" t="s">
        <v>3096</v>
      </c>
      <c r="X1894" s="102"/>
      <c r="Y1894" s="102">
        <f t="shared" si="2366"/>
        <v>0</v>
      </c>
      <c r="Z1894" s="309">
        <f>Y1894*(1+VLOOKUP($F1894,'GL Category'!$A:$H,4,FALSE))</f>
        <v>0</v>
      </c>
      <c r="AA1894" s="615"/>
      <c r="AB1894" s="622">
        <f t="shared" si="2367"/>
        <v>0</v>
      </c>
      <c r="AC1894" s="633">
        <f>AB1894*(1+VLOOKUP($F1894,'GL Category'!$A:$H,5,FALSE))</f>
        <v>0</v>
      </c>
      <c r="AE1894" s="622">
        <f t="shared" si="2368"/>
        <v>0</v>
      </c>
      <c r="AF1894" s="633">
        <f>AE1894*(1+VLOOKUP($F1894,'GL Category'!$A:$H,6,FALSE))</f>
        <v>0</v>
      </c>
      <c r="AH1894" s="622">
        <f t="shared" si="2369"/>
        <v>0</v>
      </c>
      <c r="AI1894" s="633">
        <f>AH1894*(1+VLOOKUP($F1894,'GL Category'!$A:$H,7,FALSE))</f>
        <v>0</v>
      </c>
      <c r="AK1894" s="622">
        <f t="shared" si="2370"/>
        <v>0</v>
      </c>
      <c r="AL1894" s="633">
        <f>AK1894*(1+VLOOKUP($F1894,'GL Category'!$A:$H,8,FALSE))</f>
        <v>0</v>
      </c>
      <c r="AN1894" s="622">
        <f t="shared" si="2371"/>
        <v>0</v>
      </c>
      <c r="AO1894" s="194"/>
      <c r="AP1894" s="194"/>
      <c r="AQ1894" s="194"/>
      <c r="AR1894" s="192"/>
      <c r="AS1894" s="192"/>
      <c r="AT1894" s="192"/>
      <c r="AU1894" s="192"/>
      <c r="AV1894" s="192"/>
      <c r="AW1894" s="192"/>
    </row>
    <row r="1895" spans="1:49" ht="15" customHeight="1">
      <c r="A1895" s="555" t="s">
        <v>3097</v>
      </c>
      <c r="B1895" s="217" t="str">
        <f t="shared" si="2360"/>
        <v>100</v>
      </c>
      <c r="C1895" s="217" t="str">
        <f t="shared" si="2361"/>
        <v>99</v>
      </c>
      <c r="D1895" s="101" t="str">
        <f t="shared" si="2362"/>
        <v>998</v>
      </c>
      <c r="E1895" s="217" t="str">
        <f t="shared" si="2372"/>
        <v>100-99</v>
      </c>
      <c r="F1895" s="294" t="str">
        <f t="shared" si="2357"/>
        <v>59170</v>
      </c>
      <c r="G1895" s="295" t="str">
        <f>VLOOKUP(F1895,'GL Category'!A:C,3,FALSE)</f>
        <v>Transfers to other funds</v>
      </c>
      <c r="H1895" s="98" t="str">
        <f>VLOOKUP(F1895,'GL Category'!A:C,2,FALSE)</f>
        <v>TRANSFER TO CIP-STREET IMPROVE</v>
      </c>
      <c r="I1895" s="99">
        <f>SUMIF(Import!$B:$B,$A1895,Import!D:D)</f>
        <v>0</v>
      </c>
      <c r="J1895" s="99">
        <f>SUMIF(Import!$B:$B,$A1895,Import!E:E)</f>
        <v>0</v>
      </c>
      <c r="K1895" s="99">
        <f>SUMIF(Import!$B:$B,$A1895,Import!F:F)</f>
        <v>0</v>
      </c>
      <c r="L1895" s="99">
        <f>SUMIF(Import!$B:$B,$A1895,Import!G:G)</f>
        <v>0</v>
      </c>
      <c r="M1895" s="99">
        <f>SUMIF(Import!$B:$B,$A1895,Import!H:H)</f>
        <v>0</v>
      </c>
      <c r="N1895" s="99">
        <f>SUMIF(Import!$B:$B,$A1895,Import!I:I)</f>
        <v>0</v>
      </c>
      <c r="O1895" s="99">
        <f>SUMIF(Import!$B:$B,$A1895,Import!J:J)</f>
        <v>0</v>
      </c>
      <c r="P1895" s="99">
        <f t="shared" si="2363"/>
        <v>0</v>
      </c>
      <c r="Q1895" s="99">
        <f>SUMIF(Import!$B:$B,$A1895,Import!K:K)</f>
        <v>0</v>
      </c>
      <c r="R1895" s="99">
        <f>SUMIF(Import!$B:$B,$A1895,Import!L:L)</f>
        <v>0</v>
      </c>
      <c r="S1895" s="99">
        <f>SUMIF(Import!$B:$B,$A1895,Import!M:M)</f>
        <v>0</v>
      </c>
      <c r="T1895" s="99">
        <f>SUMIF(Import!$B:$B,$A1895,Import!N:N)</f>
        <v>0</v>
      </c>
      <c r="U1895" s="99">
        <f t="shared" si="2364"/>
        <v>0</v>
      </c>
      <c r="V1895" s="255" t="str">
        <f t="shared" si="2365"/>
        <v>N/A</v>
      </c>
      <c r="W1895" s="102" t="s">
        <v>3097</v>
      </c>
      <c r="X1895" s="102"/>
      <c r="Y1895" s="102">
        <f t="shared" si="2366"/>
        <v>0</v>
      </c>
      <c r="Z1895" s="309">
        <f>Y1895*(1+VLOOKUP($F1895,'GL Category'!$A:$H,4,FALSE))</f>
        <v>0</v>
      </c>
      <c r="AA1895" s="615"/>
      <c r="AB1895" s="622">
        <f t="shared" si="2367"/>
        <v>0</v>
      </c>
      <c r="AC1895" s="633">
        <f>AB1895*(1+VLOOKUP($F1895,'GL Category'!$A:$H,5,FALSE))</f>
        <v>0</v>
      </c>
      <c r="AE1895" s="622">
        <f t="shared" si="2368"/>
        <v>0</v>
      </c>
      <c r="AF1895" s="633">
        <f>AE1895*(1+VLOOKUP($F1895,'GL Category'!$A:$H,6,FALSE))</f>
        <v>0</v>
      </c>
      <c r="AH1895" s="622">
        <f t="shared" si="2369"/>
        <v>0</v>
      </c>
      <c r="AI1895" s="633">
        <f>AH1895*(1+VLOOKUP($F1895,'GL Category'!$A:$H,7,FALSE))</f>
        <v>0</v>
      </c>
      <c r="AK1895" s="622">
        <f t="shared" si="2370"/>
        <v>0</v>
      </c>
      <c r="AL1895" s="633">
        <f>AK1895*(1+VLOOKUP($F1895,'GL Category'!$A:$H,8,FALSE))</f>
        <v>0</v>
      </c>
      <c r="AN1895" s="622">
        <f t="shared" si="2371"/>
        <v>0</v>
      </c>
      <c r="AO1895" s="194"/>
      <c r="AP1895" s="194"/>
      <c r="AQ1895" s="194"/>
      <c r="AR1895" s="192"/>
      <c r="AS1895" s="192"/>
      <c r="AT1895" s="192"/>
      <c r="AU1895" s="192"/>
      <c r="AV1895" s="192"/>
      <c r="AW1895" s="192"/>
    </row>
    <row r="1896" spans="1:49" ht="15" customHeight="1">
      <c r="A1896" s="555" t="s">
        <v>3098</v>
      </c>
      <c r="B1896" s="217" t="str">
        <f t="shared" si="2360"/>
        <v>100</v>
      </c>
      <c r="C1896" s="217" t="str">
        <f t="shared" si="2361"/>
        <v>99</v>
      </c>
      <c r="D1896" s="101" t="str">
        <f t="shared" si="2362"/>
        <v>998</v>
      </c>
      <c r="E1896" s="217" t="str">
        <f t="shared" si="2372"/>
        <v>100-99</v>
      </c>
      <c r="F1896" s="294" t="str">
        <f t="shared" si="2357"/>
        <v>59179</v>
      </c>
      <c r="G1896" s="295" t="str">
        <f>VLOOKUP(F1896,'GL Category'!A:C,3,FALSE)</f>
        <v>Transfers to other funds</v>
      </c>
      <c r="H1896" s="98" t="str">
        <f>VLOOKUP(F1896,'GL Category'!A:C,2,FALSE)</f>
        <v>TRANSFER TO FACILITY EQUIP REP</v>
      </c>
      <c r="I1896" s="99">
        <f>SUMIF(Import!$B:$B,$A1896,Import!D:D)</f>
        <v>0</v>
      </c>
      <c r="J1896" s="99">
        <f>SUMIF(Import!$B:$B,$A1896,Import!E:E)</f>
        <v>375000</v>
      </c>
      <c r="K1896" s="99">
        <f>SUMIF(Import!$B:$B,$A1896,Import!F:F)</f>
        <v>243067</v>
      </c>
      <c r="L1896" s="99">
        <f>SUMIF(Import!$B:$B,$A1896,Import!G:G)</f>
        <v>243067</v>
      </c>
      <c r="M1896" s="99">
        <f>SUMIF(Import!$B:$B,$A1896,Import!H:H)</f>
        <v>243067</v>
      </c>
      <c r="N1896" s="99">
        <f>SUMIF(Import!$B:$B,$A1896,Import!I:I)</f>
        <v>182300.25</v>
      </c>
      <c r="O1896" s="99">
        <f>SUMIF(Import!$B:$B,$A1896,Import!J:J)</f>
        <v>243067</v>
      </c>
      <c r="P1896" s="99">
        <f t="shared" si="2363"/>
        <v>0</v>
      </c>
      <c r="Q1896" s="99">
        <f>SUMIF(Import!$B:$B,$A1896,Import!K:K)</f>
        <v>243067</v>
      </c>
      <c r="R1896" s="99">
        <f>SUMIF(Import!$B:$B,$A1896,Import!L:L)</f>
        <v>0</v>
      </c>
      <c r="S1896" s="99">
        <f>SUMIF(Import!$B:$B,$A1896,Import!M:M)</f>
        <v>0</v>
      </c>
      <c r="T1896" s="99">
        <f>SUMIF(Import!$B:$B,$A1896,Import!N:N)</f>
        <v>243067</v>
      </c>
      <c r="U1896" s="99">
        <f t="shared" si="2364"/>
        <v>0</v>
      </c>
      <c r="V1896" s="255">
        <f t="shared" si="2365"/>
        <v>0</v>
      </c>
      <c r="W1896" s="102" t="s">
        <v>3098</v>
      </c>
      <c r="X1896" s="102"/>
      <c r="Y1896" s="102">
        <f t="shared" si="2366"/>
        <v>243067</v>
      </c>
      <c r="Z1896" s="309">
        <f>Y1896*(1+VLOOKUP($F1896,'GL Category'!$A:$H,4,FALSE))</f>
        <v>243067</v>
      </c>
      <c r="AA1896" s="615"/>
      <c r="AB1896" s="622">
        <f t="shared" si="2367"/>
        <v>243067</v>
      </c>
      <c r="AC1896" s="633">
        <f>AB1896*(1+VLOOKUP($F1896,'GL Category'!$A:$H,5,FALSE))</f>
        <v>243067</v>
      </c>
      <c r="AE1896" s="622">
        <f t="shared" si="2368"/>
        <v>243067</v>
      </c>
      <c r="AF1896" s="633">
        <f>AE1896*(1+VLOOKUP($F1896,'GL Category'!$A:$H,6,FALSE))</f>
        <v>243067</v>
      </c>
      <c r="AH1896" s="622">
        <f t="shared" si="2369"/>
        <v>243067</v>
      </c>
      <c r="AI1896" s="633">
        <f>AH1896*(1+VLOOKUP($F1896,'GL Category'!$A:$H,7,FALSE))</f>
        <v>243067</v>
      </c>
      <c r="AK1896" s="622">
        <f t="shared" si="2370"/>
        <v>243067</v>
      </c>
      <c r="AL1896" s="633">
        <f>AK1896*(1+VLOOKUP($F1896,'GL Category'!$A:$H,8,FALSE))</f>
        <v>243067</v>
      </c>
      <c r="AN1896" s="622">
        <f t="shared" si="2371"/>
        <v>243067</v>
      </c>
      <c r="AO1896" s="194"/>
      <c r="AP1896" s="194"/>
      <c r="AQ1896" s="194"/>
      <c r="AR1896" s="192"/>
      <c r="AS1896" s="192"/>
      <c r="AT1896" s="192"/>
      <c r="AU1896" s="192"/>
      <c r="AV1896" s="192"/>
      <c r="AW1896" s="192"/>
    </row>
    <row r="1897" spans="1:49" ht="25.35" customHeight="1">
      <c r="A1897" s="555"/>
      <c r="B1897" s="217"/>
      <c r="C1897" s="217"/>
      <c r="D1897" s="101"/>
      <c r="E1897" s="217"/>
      <c r="F1897" s="294"/>
      <c r="G1897" s="295"/>
      <c r="H1897" s="107" t="str">
        <f>UPPER(G1896)&amp;" TOTAL"</f>
        <v>TRANSFERS TO OTHER FUNDS TOTAL</v>
      </c>
      <c r="I1897" s="108">
        <f t="shared" ref="I1897:T1897" si="2373">SUBTOTAL(9,I1893:I1896)</f>
        <v>1242147</v>
      </c>
      <c r="J1897" s="108">
        <f t="shared" si="2373"/>
        <v>1375000</v>
      </c>
      <c r="K1897" s="108">
        <f t="shared" si="2373"/>
        <v>243067</v>
      </c>
      <c r="L1897" s="108">
        <f t="shared" si="2373"/>
        <v>243067</v>
      </c>
      <c r="M1897" s="108">
        <f t="shared" si="2373"/>
        <v>243067</v>
      </c>
      <c r="N1897" s="108">
        <f t="shared" si="2373"/>
        <v>182300.25</v>
      </c>
      <c r="O1897" s="108">
        <f t="shared" si="2373"/>
        <v>243067</v>
      </c>
      <c r="P1897" s="108">
        <f t="shared" si="2373"/>
        <v>0</v>
      </c>
      <c r="Q1897" s="108">
        <f t="shared" si="2373"/>
        <v>243067</v>
      </c>
      <c r="R1897" s="108">
        <f t="shared" si="2373"/>
        <v>0</v>
      </c>
      <c r="S1897" s="108">
        <f t="shared" si="2373"/>
        <v>0</v>
      </c>
      <c r="T1897" s="108">
        <f t="shared" si="2373"/>
        <v>243067</v>
      </c>
      <c r="U1897" s="99">
        <f>T1897-M1897</f>
        <v>0</v>
      </c>
      <c r="V1897" s="255">
        <f>IF(M1897=0,"N/A",T1897/M1897-1)</f>
        <v>0</v>
      </c>
      <c r="W1897" s="102"/>
      <c r="X1897" s="102"/>
      <c r="Y1897" s="102"/>
      <c r="AA1897" s="615"/>
      <c r="AB1897" s="192"/>
      <c r="AC1897" s="314"/>
      <c r="AD1897" s="314"/>
      <c r="AE1897" s="314"/>
      <c r="AF1897" s="314"/>
      <c r="AG1897" s="314"/>
      <c r="AH1897" s="192"/>
      <c r="AI1897" s="192"/>
      <c r="AJ1897" s="314"/>
      <c r="AK1897" s="314"/>
      <c r="AL1897" s="314"/>
      <c r="AM1897" s="314"/>
      <c r="AN1897" s="314"/>
      <c r="AO1897" s="314"/>
      <c r="AP1897" s="314"/>
      <c r="AQ1897" s="314"/>
      <c r="AR1897" s="192"/>
      <c r="AS1897" s="192"/>
      <c r="AT1897" s="192"/>
      <c r="AU1897" s="192"/>
      <c r="AV1897" s="192"/>
      <c r="AW1897" s="192"/>
    </row>
    <row r="1898" spans="1:49" ht="15" customHeight="1">
      <c r="A1898" s="555"/>
      <c r="B1898" s="217"/>
      <c r="C1898" s="217"/>
      <c r="D1898" s="101"/>
      <c r="E1898" s="217"/>
      <c r="F1898" s="294"/>
      <c r="G1898" s="295"/>
      <c r="H1898" s="98"/>
      <c r="I1898" s="106"/>
      <c r="J1898" s="106"/>
      <c r="K1898" s="106"/>
      <c r="L1898" s="106"/>
      <c r="M1898" s="106"/>
      <c r="N1898" s="112"/>
      <c r="O1898" s="112"/>
      <c r="P1898" s="112"/>
      <c r="Q1898" s="113"/>
      <c r="R1898" s="113"/>
      <c r="S1898" s="113"/>
      <c r="T1898" s="113"/>
      <c r="U1898" s="99"/>
      <c r="V1898" s="255"/>
      <c r="W1898" s="102"/>
      <c r="X1898" s="102"/>
      <c r="Y1898" s="102"/>
      <c r="AA1898" s="615"/>
      <c r="AB1898" s="192"/>
      <c r="AC1898" s="317"/>
      <c r="AD1898" s="317"/>
      <c r="AE1898" s="317"/>
      <c r="AF1898" s="317"/>
      <c r="AG1898" s="317"/>
      <c r="AH1898" s="192"/>
      <c r="AI1898" s="192"/>
      <c r="AJ1898" s="317"/>
      <c r="AK1898" s="317"/>
      <c r="AL1898" s="317"/>
      <c r="AM1898" s="317"/>
      <c r="AN1898" s="317"/>
      <c r="AO1898" s="317"/>
      <c r="AP1898" s="317"/>
      <c r="AQ1898" s="317"/>
      <c r="AR1898" s="192"/>
      <c r="AS1898" s="192"/>
      <c r="AT1898" s="192"/>
      <c r="AU1898" s="192"/>
      <c r="AV1898" s="192"/>
      <c r="AW1898" s="192"/>
    </row>
    <row r="1899" spans="1:49" ht="15" customHeight="1">
      <c r="A1899" s="555" t="s">
        <v>3099</v>
      </c>
      <c r="B1899" s="217" t="str">
        <f t="shared" si="2360"/>
        <v>100</v>
      </c>
      <c r="C1899" s="217" t="str">
        <f t="shared" si="2361"/>
        <v>99</v>
      </c>
      <c r="D1899" s="101" t="str">
        <f t="shared" si="2362"/>
        <v>993</v>
      </c>
      <c r="E1899" s="217" t="str">
        <f>LEFT(A1899,6)</f>
        <v>100-99</v>
      </c>
      <c r="F1899" s="294" t="str">
        <f t="shared" si="2357"/>
        <v>53545</v>
      </c>
      <c r="G1899" s="295" t="str">
        <f>VLOOKUP(F1899,'GL Category'!A:C,3,FALSE)</f>
        <v>Services &amp; other</v>
      </c>
      <c r="H1899" s="98" t="str">
        <f>VLOOKUP(F1899,'GL Category'!A:C,2,FALSE)</f>
        <v>ECONOMIC DEVEL INCENTIVES</v>
      </c>
      <c r="I1899" s="99">
        <f>SUMIF(Import!$B:$B,$A1899,Import!D:D)</f>
        <v>0</v>
      </c>
      <c r="J1899" s="99">
        <f>SUMIF(Import!$B:$B,$A1899,Import!E:E)</f>
        <v>0</v>
      </c>
      <c r="K1899" s="99">
        <f>SUMIF(Import!$B:$B,$A1899,Import!F:F)</f>
        <v>0</v>
      </c>
      <c r="L1899" s="99">
        <f>SUMIF(Import!$B:$B,$A1899,Import!G:G)</f>
        <v>0</v>
      </c>
      <c r="M1899" s="99">
        <f>SUMIF(Import!$B:$B,$A1899,Import!H:H)</f>
        <v>0</v>
      </c>
      <c r="N1899" s="99">
        <f>SUMIF(Import!$B:$B,$A1899,Import!I:I)</f>
        <v>0</v>
      </c>
      <c r="O1899" s="99">
        <f>SUMIF(Import!$B:$B,$A1899,Import!J:J)</f>
        <v>0</v>
      </c>
      <c r="P1899" s="99">
        <f t="shared" ref="P1899" si="2374">O1899-M1899</f>
        <v>0</v>
      </c>
      <c r="Q1899" s="99">
        <f>SUMIF(Import!$B:$B,$A1899,Import!K:K)</f>
        <v>0</v>
      </c>
      <c r="R1899" s="99">
        <f>SUMIF(Import!$B:$B,$A1899,Import!L:L)</f>
        <v>0</v>
      </c>
      <c r="S1899" s="99">
        <f>SUMIF(Import!$B:$B,$A1899,Import!M:M)</f>
        <v>0</v>
      </c>
      <c r="T1899" s="99">
        <f>SUMIF(Import!$B:$B,$A1899,Import!N:N)</f>
        <v>0</v>
      </c>
      <c r="U1899" s="99">
        <f t="shared" ref="U1899" si="2375">T1899-M1899</f>
        <v>0</v>
      </c>
      <c r="V1899" s="255" t="str">
        <f t="shared" ref="V1899" si="2376">IF(M1899=0,"N/A",T1899/M1899-1)</f>
        <v>N/A</v>
      </c>
      <c r="W1899" s="102" t="s">
        <v>3099</v>
      </c>
      <c r="X1899" s="102"/>
      <c r="Y1899" s="102">
        <f t="shared" ref="Y1899" si="2377">T1899-X1899</f>
        <v>0</v>
      </c>
      <c r="Z1899" s="309">
        <f>Y1899*(1+VLOOKUP($F1899,'GL Category'!$A:$H,4,FALSE))</f>
        <v>0</v>
      </c>
      <c r="AA1899" s="615"/>
      <c r="AB1899" s="622">
        <f>Z1899+AA1899</f>
        <v>0</v>
      </c>
      <c r="AC1899" s="633">
        <f>AB1899*(1+VLOOKUP($F1899,'GL Category'!$A:$H,5,FALSE))</f>
        <v>0</v>
      </c>
      <c r="AE1899" s="622">
        <f>AC1899+AD1899</f>
        <v>0</v>
      </c>
      <c r="AF1899" s="633">
        <f>AE1899*(1+VLOOKUP($F1899,'GL Category'!$A:$H,6,FALSE))</f>
        <v>0</v>
      </c>
      <c r="AH1899" s="622">
        <f>AF1899+AG1899</f>
        <v>0</v>
      </c>
      <c r="AI1899" s="633">
        <f>AH1899*(1+VLOOKUP($F1899,'GL Category'!$A:$H,7,FALSE))</f>
        <v>0</v>
      </c>
      <c r="AK1899" s="622">
        <f>AI1899+AJ1899</f>
        <v>0</v>
      </c>
      <c r="AL1899" s="633">
        <f>AK1899*(1+VLOOKUP($F1899,'GL Category'!$A:$H,8,FALSE))</f>
        <v>0</v>
      </c>
      <c r="AN1899" s="622">
        <f>AL1899+AM1899</f>
        <v>0</v>
      </c>
      <c r="AR1899" s="192"/>
      <c r="AS1899" s="192"/>
      <c r="AT1899" s="192"/>
      <c r="AU1899" s="192"/>
      <c r="AV1899" s="192"/>
      <c r="AW1899" s="192"/>
    </row>
    <row r="1900" spans="1:49" ht="15" customHeight="1">
      <c r="A1900" s="555"/>
      <c r="B1900" s="217"/>
      <c r="C1900" s="217"/>
      <c r="D1900" s="101"/>
      <c r="E1900" s="217"/>
      <c r="F1900" s="294"/>
      <c r="G1900" s="295"/>
      <c r="H1900" s="107" t="str">
        <f>UPPER(G1899)&amp;" TOTAL"</f>
        <v>SERVICES &amp; OTHER TOTAL</v>
      </c>
      <c r="I1900" s="108">
        <f t="shared" ref="I1900" si="2378">SUBTOTAL(9,I1899:I1899)</f>
        <v>0</v>
      </c>
      <c r="J1900" s="108">
        <f t="shared" ref="J1900:P1900" si="2379">SUBTOTAL(9,J1899:J1899)</f>
        <v>0</v>
      </c>
      <c r="K1900" s="108">
        <f t="shared" ref="K1900" si="2380">SUBTOTAL(9,K1899:K1899)</f>
        <v>0</v>
      </c>
      <c r="L1900" s="108">
        <f t="shared" ref="L1900" si="2381">SUBTOTAL(9,L1899:L1899)</f>
        <v>0</v>
      </c>
      <c r="M1900" s="108">
        <f t="shared" si="2379"/>
        <v>0</v>
      </c>
      <c r="N1900" s="108">
        <f t="shared" ref="N1900" si="2382">SUBTOTAL(9,N1899:N1899)</f>
        <v>0</v>
      </c>
      <c r="O1900" s="108">
        <f t="shared" si="2379"/>
        <v>0</v>
      </c>
      <c r="P1900" s="108">
        <f t="shared" si="2379"/>
        <v>0</v>
      </c>
      <c r="Q1900" s="108">
        <f t="shared" ref="Q1900:T1900" si="2383">SUBTOTAL(9,Q1899:Q1899)</f>
        <v>0</v>
      </c>
      <c r="R1900" s="108">
        <f t="shared" si="2383"/>
        <v>0</v>
      </c>
      <c r="S1900" s="108">
        <f t="shared" si="2383"/>
        <v>0</v>
      </c>
      <c r="T1900" s="108">
        <f t="shared" si="2383"/>
        <v>0</v>
      </c>
      <c r="U1900" s="99">
        <f>T1900-M1900</f>
        <v>0</v>
      </c>
      <c r="V1900" s="255" t="str">
        <f>IF(M1900=0,"N/A",T1900/M1900-1)</f>
        <v>N/A</v>
      </c>
      <c r="W1900" s="102"/>
      <c r="X1900" s="102"/>
      <c r="Y1900" s="102"/>
      <c r="AA1900" s="615"/>
      <c r="AB1900" s="192"/>
      <c r="AC1900" s="192"/>
      <c r="AD1900" s="192"/>
      <c r="AE1900" s="192"/>
      <c r="AF1900" s="192"/>
      <c r="AG1900" s="192"/>
      <c r="AH1900" s="192"/>
      <c r="AI1900" s="192"/>
      <c r="AJ1900" s="192"/>
      <c r="AK1900" s="192"/>
      <c r="AL1900" s="192"/>
      <c r="AM1900" s="192"/>
      <c r="AN1900" s="192"/>
      <c r="AR1900" s="192"/>
      <c r="AS1900" s="192"/>
      <c r="AT1900" s="192"/>
      <c r="AU1900" s="192"/>
      <c r="AV1900" s="192"/>
      <c r="AW1900" s="192"/>
    </row>
    <row r="1901" spans="1:49" ht="15" customHeight="1">
      <c r="A1901" s="555"/>
      <c r="B1901" s="217"/>
      <c r="C1901" s="217"/>
      <c r="D1901" s="101"/>
      <c r="E1901" s="217"/>
      <c r="F1901" s="294"/>
      <c r="G1901" s="295"/>
      <c r="H1901" s="232"/>
      <c r="I1901" s="233"/>
      <c r="J1901" s="233"/>
      <c r="K1901" s="233"/>
      <c r="L1901" s="233"/>
      <c r="M1901" s="233"/>
      <c r="N1901" s="233"/>
      <c r="O1901" s="233"/>
      <c r="P1901" s="233"/>
      <c r="Q1901" s="233"/>
      <c r="R1901" s="233"/>
      <c r="S1901" s="233"/>
      <c r="T1901" s="233"/>
      <c r="U1901" s="99"/>
      <c r="V1901" s="255"/>
      <c r="W1901" s="102"/>
      <c r="X1901" s="102"/>
      <c r="Y1901" s="102"/>
      <c r="AA1901" s="615"/>
      <c r="AB1901" s="195"/>
      <c r="AC1901" s="95"/>
      <c r="AD1901" s="95"/>
      <c r="AE1901" s="95"/>
      <c r="AF1901" s="95"/>
      <c r="AG1901" s="95"/>
      <c r="AH1901" s="88"/>
      <c r="AI1901" s="195"/>
      <c r="AJ1901" s="196"/>
      <c r="AK1901" s="196"/>
      <c r="AL1901" s="196"/>
      <c r="AM1901" s="196"/>
      <c r="AN1901" s="196"/>
      <c r="AO1901" s="196"/>
      <c r="AP1901" s="196"/>
      <c r="AQ1901" s="196"/>
      <c r="AR1901" s="192"/>
      <c r="AS1901" s="192"/>
      <c r="AT1901" s="192"/>
      <c r="AU1901" s="192"/>
      <c r="AV1901" s="192"/>
      <c r="AW1901" s="192"/>
    </row>
    <row r="1902" spans="1:49" ht="15" customHeight="1">
      <c r="A1902" s="555" t="s">
        <v>3100</v>
      </c>
      <c r="B1902" s="217" t="str">
        <f t="shared" si="2360"/>
        <v>100</v>
      </c>
      <c r="C1902" s="217" t="str">
        <f t="shared" si="2361"/>
        <v>99</v>
      </c>
      <c r="D1902" s="101" t="str">
        <f t="shared" si="2362"/>
        <v>993</v>
      </c>
      <c r="E1902" s="217" t="str">
        <f t="shared" ref="E1902:E1903" si="2384">LEFT(A1902,6)</f>
        <v>100-99</v>
      </c>
      <c r="F1902" s="294" t="str">
        <f t="shared" si="2357"/>
        <v>58830</v>
      </c>
      <c r="G1902" s="295" t="str">
        <f>VLOOKUP(F1902,'GL Category'!A:C,3,FALSE)</f>
        <v>Capital Outlay</v>
      </c>
      <c r="H1902" s="98" t="str">
        <f>VLOOKUP(F1902,'GL Category'!A:C,2,FALSE)</f>
        <v>MACHINERY &amp; EQUIPMENT</v>
      </c>
      <c r="I1902" s="99">
        <f>SUMIF(Import!$B:$B,$A1902,Import!D:D)</f>
        <v>0</v>
      </c>
      <c r="J1902" s="99">
        <f>SUMIF(Import!$B:$B,$A1902,Import!E:E)</f>
        <v>0</v>
      </c>
      <c r="K1902" s="99">
        <f>SUMIF(Import!$B:$B,$A1902,Import!F:F)</f>
        <v>0</v>
      </c>
      <c r="L1902" s="99">
        <f>SUMIF(Import!$B:$B,$A1902,Import!G:G)</f>
        <v>0</v>
      </c>
      <c r="M1902" s="99">
        <f>SUMIF(Import!$B:$B,$A1902,Import!H:H)</f>
        <v>0</v>
      </c>
      <c r="N1902" s="99">
        <f>SUMIF(Import!$B:$B,$A1902,Import!I:I)</f>
        <v>0</v>
      </c>
      <c r="O1902" s="99">
        <f>SUMIF(Import!$B:$B,$A1902,Import!J:J)</f>
        <v>0</v>
      </c>
      <c r="P1902" s="99">
        <f t="shared" ref="P1902:P1903" si="2385">O1902-M1902</f>
        <v>0</v>
      </c>
      <c r="Q1902" s="99">
        <f>SUMIF(Import!$B:$B,$A1902,Import!K:K)</f>
        <v>0</v>
      </c>
      <c r="R1902" s="99">
        <f>SUMIF(Import!$B:$B,$A1902,Import!L:L)</f>
        <v>0</v>
      </c>
      <c r="S1902" s="99">
        <f>SUMIF(Import!$B:$B,$A1902,Import!M:M)</f>
        <v>0</v>
      </c>
      <c r="T1902" s="99">
        <f>SUMIF(Import!$B:$B,$A1902,Import!N:N)</f>
        <v>0</v>
      </c>
      <c r="U1902" s="99">
        <f t="shared" ref="U1902:U1903" si="2386">T1902-M1902</f>
        <v>0</v>
      </c>
      <c r="V1902" s="255" t="str">
        <f t="shared" ref="V1902:V1903" si="2387">IF(M1902=0,"N/A",T1902/M1902-1)</f>
        <v>N/A</v>
      </c>
      <c r="W1902" s="102" t="s">
        <v>3100</v>
      </c>
      <c r="X1902" s="102"/>
      <c r="Y1902" s="102">
        <f t="shared" ref="Y1902:Y1903" si="2388">T1902-X1902</f>
        <v>0</v>
      </c>
      <c r="Z1902" s="309">
        <f>Y1902*(1+VLOOKUP($F1902,'GL Category'!$A:$H,4,FALSE))</f>
        <v>0</v>
      </c>
      <c r="AA1902" s="615"/>
      <c r="AB1902" s="622">
        <f t="shared" ref="AB1902:AB1903" si="2389">Z1902+AA1902</f>
        <v>0</v>
      </c>
      <c r="AC1902" s="633">
        <f>AB1902*(1+VLOOKUP($F1902,'GL Category'!$A:$H,5,FALSE))</f>
        <v>0</v>
      </c>
      <c r="AE1902" s="622">
        <f t="shared" ref="AE1902:AE1903" si="2390">AC1902+AD1902</f>
        <v>0</v>
      </c>
      <c r="AF1902" s="633">
        <f>AE1902*(1+VLOOKUP($F1902,'GL Category'!$A:$H,6,FALSE))</f>
        <v>0</v>
      </c>
      <c r="AH1902" s="622">
        <f t="shared" ref="AH1902:AH1903" si="2391">AF1902+AG1902</f>
        <v>0</v>
      </c>
      <c r="AI1902" s="633">
        <f>AH1902*(1+VLOOKUP($F1902,'GL Category'!$A:$H,7,FALSE))</f>
        <v>0</v>
      </c>
      <c r="AK1902" s="622">
        <f t="shared" ref="AK1902:AK1903" si="2392">AI1902+AJ1902</f>
        <v>0</v>
      </c>
      <c r="AL1902" s="633">
        <f>AK1902*(1+VLOOKUP($F1902,'GL Category'!$A:$H,8,FALSE))</f>
        <v>0</v>
      </c>
      <c r="AN1902" s="622">
        <f t="shared" ref="AN1902:AN1903" si="2393">AL1902+AM1902</f>
        <v>0</v>
      </c>
      <c r="AO1902" s="194"/>
      <c r="AP1902" s="194"/>
      <c r="AQ1902" s="194"/>
      <c r="AR1902" s="192"/>
      <c r="AS1902" s="192"/>
      <c r="AT1902" s="192"/>
      <c r="AU1902" s="192"/>
      <c r="AV1902" s="192"/>
      <c r="AW1902" s="192"/>
    </row>
    <row r="1903" spans="1:49" ht="15" customHeight="1">
      <c r="A1903" s="555" t="s">
        <v>3101</v>
      </c>
      <c r="B1903" s="217" t="str">
        <f t="shared" si="2360"/>
        <v>100</v>
      </c>
      <c r="C1903" s="217" t="str">
        <f t="shared" si="2361"/>
        <v>99</v>
      </c>
      <c r="D1903" s="101" t="str">
        <f t="shared" si="2362"/>
        <v>993</v>
      </c>
      <c r="E1903" s="217" t="str">
        <f t="shared" si="2384"/>
        <v>100-99</v>
      </c>
      <c r="F1903" s="294" t="str">
        <f t="shared" si="2357"/>
        <v>58840</v>
      </c>
      <c r="G1903" s="295" t="str">
        <f>VLOOKUP(F1903,'GL Category'!A:C,3,FALSE)</f>
        <v>Capital Outlay</v>
      </c>
      <c r="H1903" s="98" t="str">
        <f>VLOOKUP(F1903,'GL Category'!A:C,2,FALSE)</f>
        <v>MOTOR VEHICLES</v>
      </c>
      <c r="I1903" s="99">
        <f>SUMIF(Import!$B:$B,$A1903,Import!D:D)</f>
        <v>0</v>
      </c>
      <c r="J1903" s="99">
        <f>SUMIF(Import!$B:$B,$A1903,Import!E:E)</f>
        <v>0</v>
      </c>
      <c r="K1903" s="99">
        <f>SUMIF(Import!$B:$B,$A1903,Import!F:F)</f>
        <v>0</v>
      </c>
      <c r="L1903" s="99">
        <f>SUMIF(Import!$B:$B,$A1903,Import!G:G)</f>
        <v>0</v>
      </c>
      <c r="M1903" s="99">
        <f>SUMIF(Import!$B:$B,$A1903,Import!H:H)</f>
        <v>0</v>
      </c>
      <c r="N1903" s="99">
        <f>SUMIF(Import!$B:$B,$A1903,Import!I:I)</f>
        <v>0</v>
      </c>
      <c r="O1903" s="99">
        <f>SUMIF(Import!$B:$B,$A1903,Import!J:J)</f>
        <v>0</v>
      </c>
      <c r="P1903" s="99">
        <f t="shared" si="2385"/>
        <v>0</v>
      </c>
      <c r="Q1903" s="99">
        <f>SUMIF(Import!$B:$B,$A1903,Import!K:K)</f>
        <v>0</v>
      </c>
      <c r="R1903" s="99">
        <f>SUMIF(Import!$B:$B,$A1903,Import!L:L)</f>
        <v>0</v>
      </c>
      <c r="S1903" s="99">
        <f>SUMIF(Import!$B:$B,$A1903,Import!M:M)</f>
        <v>0</v>
      </c>
      <c r="T1903" s="99">
        <f>SUMIF(Import!$B:$B,$A1903,Import!N:N)</f>
        <v>0</v>
      </c>
      <c r="U1903" s="99">
        <f t="shared" si="2386"/>
        <v>0</v>
      </c>
      <c r="V1903" s="255" t="str">
        <f t="shared" si="2387"/>
        <v>N/A</v>
      </c>
      <c r="W1903" s="102" t="s">
        <v>3101</v>
      </c>
      <c r="X1903" s="102"/>
      <c r="Y1903" s="102">
        <f t="shared" si="2388"/>
        <v>0</v>
      </c>
      <c r="Z1903" s="309">
        <f>Y1903*(1+VLOOKUP($F1903,'GL Category'!$A:$H,4,FALSE))</f>
        <v>0</v>
      </c>
      <c r="AA1903" s="615"/>
      <c r="AB1903" s="622">
        <f t="shared" si="2389"/>
        <v>0</v>
      </c>
      <c r="AC1903" s="633">
        <f>AB1903*(1+VLOOKUP($F1903,'GL Category'!$A:$H,5,FALSE))</f>
        <v>0</v>
      </c>
      <c r="AE1903" s="622">
        <f t="shared" si="2390"/>
        <v>0</v>
      </c>
      <c r="AF1903" s="633">
        <f>AE1903*(1+VLOOKUP($F1903,'GL Category'!$A:$H,6,FALSE))</f>
        <v>0</v>
      </c>
      <c r="AH1903" s="622">
        <f t="shared" si="2391"/>
        <v>0</v>
      </c>
      <c r="AI1903" s="633">
        <f>AH1903*(1+VLOOKUP($F1903,'GL Category'!$A:$H,7,FALSE))</f>
        <v>0</v>
      </c>
      <c r="AK1903" s="622">
        <f t="shared" si="2392"/>
        <v>0</v>
      </c>
      <c r="AL1903" s="633">
        <f>AK1903*(1+VLOOKUP($F1903,'GL Category'!$A:$H,8,FALSE))</f>
        <v>0</v>
      </c>
      <c r="AN1903" s="622">
        <f t="shared" si="2393"/>
        <v>0</v>
      </c>
      <c r="AO1903" s="194"/>
      <c r="AP1903" s="194"/>
      <c r="AQ1903" s="194"/>
      <c r="AR1903" s="192"/>
      <c r="AS1903" s="192"/>
      <c r="AT1903" s="192"/>
      <c r="AU1903" s="192"/>
      <c r="AV1903" s="192"/>
      <c r="AW1903" s="192"/>
    </row>
    <row r="1904" spans="1:49" ht="15" customHeight="1">
      <c r="A1904" s="555"/>
      <c r="B1904" s="217"/>
      <c r="C1904" s="217"/>
      <c r="D1904" s="101"/>
      <c r="E1904" s="217"/>
      <c r="F1904" s="294"/>
      <c r="G1904" s="295"/>
      <c r="H1904" s="107" t="str">
        <f>UPPER(G1903)&amp;" TOTAL"</f>
        <v>CAPITAL OUTLAY TOTAL</v>
      </c>
      <c r="I1904" s="108">
        <f t="shared" ref="I1904" si="2394">SUBTOTAL(9,I1902:I1903)</f>
        <v>0</v>
      </c>
      <c r="J1904" s="108">
        <f t="shared" ref="J1904:T1904" si="2395">SUBTOTAL(9,J1902:J1903)</f>
        <v>0</v>
      </c>
      <c r="K1904" s="108">
        <f t="shared" ref="K1904" si="2396">SUBTOTAL(9,K1902:K1903)</f>
        <v>0</v>
      </c>
      <c r="L1904" s="108">
        <f t="shared" ref="L1904" si="2397">SUBTOTAL(9,L1902:L1903)</f>
        <v>0</v>
      </c>
      <c r="M1904" s="108">
        <f t="shared" si="2395"/>
        <v>0</v>
      </c>
      <c r="N1904" s="108">
        <f t="shared" ref="N1904" si="2398">SUBTOTAL(9,N1902:N1903)</f>
        <v>0</v>
      </c>
      <c r="O1904" s="108">
        <f t="shared" si="2395"/>
        <v>0</v>
      </c>
      <c r="P1904" s="108">
        <f t="shared" si="2395"/>
        <v>0</v>
      </c>
      <c r="Q1904" s="108">
        <f t="shared" si="2395"/>
        <v>0</v>
      </c>
      <c r="R1904" s="108">
        <f t="shared" si="2395"/>
        <v>0</v>
      </c>
      <c r="S1904" s="108">
        <f t="shared" si="2395"/>
        <v>0</v>
      </c>
      <c r="T1904" s="108">
        <f t="shared" si="2395"/>
        <v>0</v>
      </c>
      <c r="U1904" s="99">
        <f>T1904-M1904</f>
        <v>0</v>
      </c>
      <c r="V1904" s="255" t="str">
        <f>IF(M1904=0,"N/A",T1904/M1904-1)</f>
        <v>N/A</v>
      </c>
      <c r="W1904" s="102"/>
      <c r="X1904" s="102"/>
      <c r="Y1904" s="102"/>
      <c r="AA1904" s="615"/>
      <c r="AB1904" s="192"/>
      <c r="AC1904" s="312"/>
      <c r="AD1904" s="312"/>
      <c r="AE1904" s="312"/>
      <c r="AF1904" s="312"/>
      <c r="AG1904" s="312"/>
      <c r="AH1904" s="192"/>
      <c r="AI1904" s="192"/>
      <c r="AJ1904" s="194"/>
      <c r="AK1904" s="194"/>
      <c r="AL1904" s="194"/>
      <c r="AM1904" s="194"/>
      <c r="AN1904" s="194"/>
      <c r="AO1904" s="194"/>
      <c r="AP1904" s="194"/>
      <c r="AQ1904" s="194"/>
      <c r="AR1904" s="192"/>
      <c r="AS1904" s="192"/>
      <c r="AT1904" s="192"/>
      <c r="AU1904" s="192"/>
      <c r="AV1904" s="192"/>
      <c r="AW1904" s="192"/>
    </row>
    <row r="1905" spans="1:49" ht="15" customHeight="1">
      <c r="A1905" s="555"/>
      <c r="B1905" s="217"/>
      <c r="C1905" s="217"/>
      <c r="D1905" s="101"/>
      <c r="E1905" s="217"/>
      <c r="F1905" s="294"/>
      <c r="G1905" s="295"/>
      <c r="H1905" s="98"/>
      <c r="I1905" s="106"/>
      <c r="J1905" s="106"/>
      <c r="K1905" s="106"/>
      <c r="L1905" s="106"/>
      <c r="M1905" s="106"/>
      <c r="N1905" s="112"/>
      <c r="O1905" s="112"/>
      <c r="P1905" s="112"/>
      <c r="Q1905" s="113"/>
      <c r="R1905" s="113"/>
      <c r="S1905" s="113"/>
      <c r="T1905" s="113"/>
      <c r="U1905" s="99"/>
      <c r="V1905" s="255"/>
      <c r="W1905" s="102"/>
      <c r="X1905" s="102"/>
      <c r="Y1905" s="102"/>
      <c r="AA1905" s="615"/>
      <c r="AB1905" s="192"/>
      <c r="AC1905" s="312"/>
      <c r="AD1905" s="312"/>
      <c r="AE1905" s="312"/>
      <c r="AF1905" s="312"/>
      <c r="AG1905" s="312"/>
      <c r="AH1905" s="192"/>
      <c r="AI1905" s="192"/>
      <c r="AJ1905" s="194"/>
      <c r="AK1905" s="194"/>
      <c r="AL1905" s="194"/>
      <c r="AM1905" s="194"/>
      <c r="AN1905" s="194"/>
      <c r="AO1905" s="194"/>
      <c r="AP1905" s="194"/>
      <c r="AQ1905" s="194"/>
      <c r="AR1905" s="192"/>
      <c r="AS1905" s="192"/>
      <c r="AT1905" s="192"/>
      <c r="AU1905" s="192"/>
      <c r="AV1905" s="192"/>
      <c r="AW1905" s="192"/>
    </row>
    <row r="1906" spans="1:49" ht="15" customHeight="1">
      <c r="A1906" s="555" t="s">
        <v>3102</v>
      </c>
      <c r="B1906" s="217" t="str">
        <f t="shared" si="2360"/>
        <v>100</v>
      </c>
      <c r="C1906" s="217" t="str">
        <f t="shared" si="2361"/>
        <v>99</v>
      </c>
      <c r="D1906" s="101" t="str">
        <f t="shared" si="2362"/>
        <v>993</v>
      </c>
      <c r="E1906" s="217" t="str">
        <f>LEFT(A1906,6)</f>
        <v>100-99</v>
      </c>
      <c r="F1906" s="294" t="str">
        <f t="shared" si="2357"/>
        <v>59170</v>
      </c>
      <c r="G1906" s="295" t="str">
        <f>VLOOKUP(F1906,'GL Category'!A:C,3,FALSE)</f>
        <v>Transfers to other funds</v>
      </c>
      <c r="H1906" s="98" t="str">
        <f>VLOOKUP(F1906,'GL Category'!A:C,2,FALSE)</f>
        <v>TRANSFER TO CIP-STREET IMPROVE</v>
      </c>
      <c r="I1906" s="99">
        <f>SUMIF(Import!$B:$B,$A1906,Import!D:D)</f>
        <v>0</v>
      </c>
      <c r="J1906" s="99">
        <f>SUMIF(Import!$B:$B,$A1906,Import!E:E)</f>
        <v>0</v>
      </c>
      <c r="K1906" s="99">
        <f>SUMIF(Import!$B:$B,$A1906,Import!F:F)</f>
        <v>0</v>
      </c>
      <c r="L1906" s="99">
        <f>SUMIF(Import!$B:$B,$A1906,Import!G:G)</f>
        <v>0</v>
      </c>
      <c r="M1906" s="99">
        <f>SUMIF(Import!$B:$B,$A1906,Import!H:H)</f>
        <v>0</v>
      </c>
      <c r="N1906" s="99">
        <f>SUMIF(Import!$B:$B,$A1906,Import!I:I)</f>
        <v>0</v>
      </c>
      <c r="O1906" s="99">
        <f>SUMIF(Import!$B:$B,$A1906,Import!J:J)</f>
        <v>0</v>
      </c>
      <c r="P1906" s="99">
        <f t="shared" ref="P1906" si="2399">O1906-M1906</f>
        <v>0</v>
      </c>
      <c r="Q1906" s="99">
        <f>SUMIF(Import!$B:$B,$A1906,Import!K:K)</f>
        <v>0</v>
      </c>
      <c r="R1906" s="99">
        <f>SUMIF(Import!$B:$B,$A1906,Import!L:L)</f>
        <v>0</v>
      </c>
      <c r="S1906" s="99">
        <f>SUMIF(Import!$B:$B,$A1906,Import!M:M)</f>
        <v>0</v>
      </c>
      <c r="T1906" s="99">
        <f>SUMIF(Import!$B:$B,$A1906,Import!N:N)</f>
        <v>0</v>
      </c>
      <c r="U1906" s="99">
        <f t="shared" ref="U1906" si="2400">T1906-M1906</f>
        <v>0</v>
      </c>
      <c r="V1906" s="255" t="str">
        <f t="shared" ref="V1906" si="2401">IF(M1906=0,"N/A",T1906/M1906-1)</f>
        <v>N/A</v>
      </c>
      <c r="W1906" s="102" t="s">
        <v>3102</v>
      </c>
      <c r="X1906" s="102"/>
      <c r="Y1906" s="102">
        <f t="shared" ref="Y1906" si="2402">T1906-X1906</f>
        <v>0</v>
      </c>
      <c r="Z1906" s="309">
        <f>Y1906*(1+VLOOKUP($F1906,'GL Category'!$A:$H,4,FALSE))</f>
        <v>0</v>
      </c>
      <c r="AA1906" s="615"/>
      <c r="AB1906" s="622">
        <f>Z1906+AA1906</f>
        <v>0</v>
      </c>
      <c r="AC1906" s="633">
        <f>AB1906*(1+VLOOKUP($F1906,'GL Category'!$A:$H,5,FALSE))</f>
        <v>0</v>
      </c>
      <c r="AE1906" s="622">
        <f>AC1906+AD1906</f>
        <v>0</v>
      </c>
      <c r="AF1906" s="633">
        <f>AE1906*(1+VLOOKUP($F1906,'GL Category'!$A:$H,6,FALSE))</f>
        <v>0</v>
      </c>
      <c r="AH1906" s="622">
        <f>AF1906+AG1906</f>
        <v>0</v>
      </c>
      <c r="AI1906" s="633">
        <f>AH1906*(1+VLOOKUP($F1906,'GL Category'!$A:$H,7,FALSE))</f>
        <v>0</v>
      </c>
      <c r="AK1906" s="622">
        <f>AI1906+AJ1906</f>
        <v>0</v>
      </c>
      <c r="AL1906" s="633">
        <f>AK1906*(1+VLOOKUP($F1906,'GL Category'!$A:$H,8,FALSE))</f>
        <v>0</v>
      </c>
      <c r="AN1906" s="622">
        <f>AL1906+AM1906</f>
        <v>0</v>
      </c>
      <c r="AO1906" s="194"/>
      <c r="AP1906" s="194"/>
      <c r="AQ1906" s="194"/>
      <c r="AR1906" s="192"/>
      <c r="AS1906" s="192"/>
      <c r="AT1906" s="192"/>
      <c r="AU1906" s="192"/>
      <c r="AV1906" s="192"/>
      <c r="AW1906" s="192"/>
    </row>
    <row r="1907" spans="1:49" ht="28.35" customHeight="1">
      <c r="A1907" s="555"/>
      <c r="B1907" s="217"/>
      <c r="C1907" s="217"/>
      <c r="D1907" s="101"/>
      <c r="E1907" s="217"/>
      <c r="F1907" s="294"/>
      <c r="G1907" s="295"/>
      <c r="H1907" s="107" t="str">
        <f>UPPER(G1906)&amp;" TOTAL"</f>
        <v>TRANSFERS TO OTHER FUNDS TOTAL</v>
      </c>
      <c r="I1907" s="108">
        <f t="shared" ref="I1907" si="2403">SUBTOTAL(9,I1904:I1906)</f>
        <v>0</v>
      </c>
      <c r="J1907" s="108">
        <f t="shared" ref="J1907:T1907" si="2404">SUBTOTAL(9,J1904:J1906)</f>
        <v>0</v>
      </c>
      <c r="K1907" s="108">
        <f t="shared" ref="K1907" si="2405">SUBTOTAL(9,K1904:K1906)</f>
        <v>0</v>
      </c>
      <c r="L1907" s="108">
        <f t="shared" ref="L1907" si="2406">SUBTOTAL(9,L1904:L1906)</f>
        <v>0</v>
      </c>
      <c r="M1907" s="108">
        <f t="shared" si="2404"/>
        <v>0</v>
      </c>
      <c r="N1907" s="108">
        <f t="shared" ref="N1907" si="2407">SUBTOTAL(9,N1904:N1906)</f>
        <v>0</v>
      </c>
      <c r="O1907" s="108">
        <f t="shared" si="2404"/>
        <v>0</v>
      </c>
      <c r="P1907" s="108">
        <f t="shared" si="2404"/>
        <v>0</v>
      </c>
      <c r="Q1907" s="108">
        <f t="shared" si="2404"/>
        <v>0</v>
      </c>
      <c r="R1907" s="108">
        <f t="shared" si="2404"/>
        <v>0</v>
      </c>
      <c r="S1907" s="108">
        <f t="shared" si="2404"/>
        <v>0</v>
      </c>
      <c r="T1907" s="108">
        <f t="shared" si="2404"/>
        <v>0</v>
      </c>
      <c r="U1907" s="99">
        <f>T1907-M1907</f>
        <v>0</v>
      </c>
      <c r="V1907" s="255" t="str">
        <f>IF(M1907=0,"N/A",T1907/M1907-1)</f>
        <v>N/A</v>
      </c>
      <c r="W1907" s="102"/>
      <c r="X1907" s="102"/>
      <c r="Y1907" s="102"/>
      <c r="AA1907" s="615"/>
      <c r="AB1907" s="192"/>
      <c r="AC1907" s="312"/>
      <c r="AD1907" s="312"/>
      <c r="AE1907" s="312"/>
      <c r="AF1907" s="312"/>
      <c r="AG1907" s="312"/>
      <c r="AH1907" s="192"/>
      <c r="AI1907" s="192"/>
      <c r="AJ1907" s="194"/>
      <c r="AK1907" s="194"/>
      <c r="AL1907" s="194"/>
      <c r="AM1907" s="194"/>
      <c r="AN1907" s="194"/>
      <c r="AO1907" s="194"/>
      <c r="AP1907" s="194"/>
      <c r="AQ1907" s="194"/>
      <c r="AR1907" s="192"/>
      <c r="AS1907" s="192"/>
      <c r="AT1907" s="192"/>
      <c r="AU1907" s="192"/>
      <c r="AV1907" s="192"/>
      <c r="AW1907" s="192"/>
    </row>
    <row r="1908" spans="1:49" ht="15" customHeight="1">
      <c r="A1908" s="555"/>
      <c r="B1908" s="217"/>
      <c r="C1908" s="217"/>
      <c r="D1908" s="101"/>
      <c r="E1908" s="217"/>
      <c r="F1908" s="294"/>
      <c r="G1908" s="295"/>
      <c r="H1908" s="98"/>
      <c r="I1908" s="106"/>
      <c r="J1908" s="106"/>
      <c r="K1908" s="106"/>
      <c r="L1908" s="106"/>
      <c r="M1908" s="106"/>
      <c r="N1908" s="112"/>
      <c r="O1908" s="112"/>
      <c r="P1908" s="112"/>
      <c r="Q1908" s="113"/>
      <c r="R1908" s="113"/>
      <c r="S1908" s="113"/>
      <c r="T1908" s="113"/>
      <c r="U1908" s="99"/>
      <c r="V1908" s="255"/>
      <c r="W1908" s="102"/>
      <c r="X1908" s="102"/>
      <c r="Y1908" s="102"/>
      <c r="AA1908" s="615"/>
      <c r="AB1908" s="192"/>
      <c r="AC1908" s="312"/>
      <c r="AD1908" s="312"/>
      <c r="AE1908" s="312"/>
      <c r="AF1908" s="312"/>
      <c r="AG1908" s="312"/>
      <c r="AH1908" s="192"/>
      <c r="AI1908" s="192"/>
      <c r="AJ1908" s="194"/>
      <c r="AK1908" s="194"/>
      <c r="AL1908" s="194"/>
      <c r="AM1908" s="194"/>
      <c r="AN1908" s="194"/>
      <c r="AO1908" s="194"/>
      <c r="AP1908" s="194"/>
      <c r="AQ1908" s="194"/>
      <c r="AR1908" s="192"/>
      <c r="AS1908" s="192"/>
      <c r="AT1908" s="192"/>
      <c r="AU1908" s="192"/>
      <c r="AV1908" s="192"/>
      <c r="AW1908" s="192"/>
    </row>
    <row r="1909" spans="1:49" ht="15" customHeight="1">
      <c r="A1909" s="555" t="s">
        <v>3103</v>
      </c>
      <c r="B1909" s="217" t="str">
        <f t="shared" si="2360"/>
        <v>100</v>
      </c>
      <c r="C1909" s="217" t="str">
        <f t="shared" si="2361"/>
        <v>99</v>
      </c>
      <c r="D1909" s="101" t="str">
        <f t="shared" si="2362"/>
        <v>994</v>
      </c>
      <c r="E1909" s="217" t="str">
        <f t="shared" ref="E1909:E1911" si="2408">LEFT(A1909,6)</f>
        <v>100-99</v>
      </c>
      <c r="F1909" s="294" t="str">
        <f t="shared" si="2357"/>
        <v>51287</v>
      </c>
      <c r="G1909" s="295" t="str">
        <f>VLOOKUP(F1909,'GL Category'!A:C,3,FALSE)</f>
        <v>Operations &amp; maintenance</v>
      </c>
      <c r="H1909" s="98" t="str">
        <f>VLOOKUP(F1909,'GL Category'!A:C,2,FALSE)</f>
        <v>SAFETY EQUIPMENT/SUPPLIES</v>
      </c>
      <c r="I1909" s="99">
        <f>SUMIF(Import!$B:$B,$A1909,Import!D:D)</f>
        <v>0</v>
      </c>
      <c r="J1909" s="99">
        <f>SUMIF(Import!$B:$B,$A1909,Import!E:E)</f>
        <v>0</v>
      </c>
      <c r="K1909" s="99">
        <f>SUMIF(Import!$B:$B,$A1909,Import!F:F)</f>
        <v>0</v>
      </c>
      <c r="L1909" s="99">
        <f>SUMIF(Import!$B:$B,$A1909,Import!G:G)</f>
        <v>0</v>
      </c>
      <c r="M1909" s="99">
        <f>SUMIF(Import!$B:$B,$A1909,Import!H:H)</f>
        <v>0</v>
      </c>
      <c r="N1909" s="99">
        <f>SUMIF(Import!$B:$B,$A1909,Import!I:I)</f>
        <v>0</v>
      </c>
      <c r="O1909" s="99">
        <f>SUMIF(Import!$B:$B,$A1909,Import!J:J)</f>
        <v>0</v>
      </c>
      <c r="P1909" s="99">
        <f t="shared" ref="P1909:P1911" si="2409">O1909-M1909</f>
        <v>0</v>
      </c>
      <c r="Q1909" s="99">
        <f>SUMIF(Import!$B:$B,$A1909,Import!K:K)</f>
        <v>0</v>
      </c>
      <c r="R1909" s="99">
        <f>SUMIF(Import!$B:$B,$A1909,Import!L:L)</f>
        <v>0</v>
      </c>
      <c r="S1909" s="99">
        <f>SUMIF(Import!$B:$B,$A1909,Import!M:M)</f>
        <v>0</v>
      </c>
      <c r="T1909" s="99">
        <f>SUMIF(Import!$B:$B,$A1909,Import!N:N)</f>
        <v>0</v>
      </c>
      <c r="U1909" s="99">
        <f t="shared" ref="U1909:U1911" si="2410">T1909-M1909</f>
        <v>0</v>
      </c>
      <c r="V1909" s="255" t="str">
        <f t="shared" ref="V1909:V1911" si="2411">IF(M1909=0,"N/A",T1909/M1909-1)</f>
        <v>N/A</v>
      </c>
      <c r="W1909" s="102" t="s">
        <v>3103</v>
      </c>
      <c r="X1909" s="102"/>
      <c r="Y1909" s="102">
        <f t="shared" ref="Y1909:Y1911" si="2412">T1909-X1909</f>
        <v>0</v>
      </c>
      <c r="Z1909" s="309">
        <f>Y1909*(1+VLOOKUP($F1909,'GL Category'!$A:$H,4,FALSE))</f>
        <v>0</v>
      </c>
      <c r="AA1909" s="615"/>
      <c r="AB1909" s="622">
        <f t="shared" ref="AB1909:AB1911" si="2413">Z1909+AA1909</f>
        <v>0</v>
      </c>
      <c r="AC1909" s="633">
        <f>AB1909*(1+VLOOKUP($F1909,'GL Category'!$A:$H,5,FALSE))</f>
        <v>0</v>
      </c>
      <c r="AE1909" s="622">
        <f t="shared" ref="AE1909:AE1911" si="2414">AC1909+AD1909</f>
        <v>0</v>
      </c>
      <c r="AF1909" s="633">
        <f>AE1909*(1+VLOOKUP($F1909,'GL Category'!$A:$H,6,FALSE))</f>
        <v>0</v>
      </c>
      <c r="AH1909" s="622">
        <f t="shared" ref="AH1909:AH1911" si="2415">AF1909+AG1909</f>
        <v>0</v>
      </c>
      <c r="AI1909" s="633">
        <f>AH1909*(1+VLOOKUP($F1909,'GL Category'!$A:$H,7,FALSE))</f>
        <v>0</v>
      </c>
      <c r="AK1909" s="622">
        <f t="shared" ref="AK1909:AK1911" si="2416">AI1909+AJ1909</f>
        <v>0</v>
      </c>
      <c r="AL1909" s="633">
        <f>AK1909*(1+VLOOKUP($F1909,'GL Category'!$A:$H,8,FALSE))</f>
        <v>0</v>
      </c>
      <c r="AN1909" s="622">
        <f t="shared" ref="AN1909:AN1911" si="2417">AL1909+AM1909</f>
        <v>0</v>
      </c>
      <c r="AO1909" s="194"/>
      <c r="AP1909" s="194"/>
      <c r="AQ1909" s="194"/>
      <c r="AR1909" s="192"/>
      <c r="AS1909" s="192"/>
      <c r="AT1909" s="192"/>
      <c r="AU1909" s="192"/>
      <c r="AV1909" s="192"/>
      <c r="AW1909" s="192"/>
    </row>
    <row r="1910" spans="1:49" ht="15" customHeight="1">
      <c r="A1910" s="555" t="s">
        <v>3104</v>
      </c>
      <c r="B1910" s="217" t="str">
        <f t="shared" si="2360"/>
        <v>100</v>
      </c>
      <c r="C1910" s="217" t="str">
        <f t="shared" si="2361"/>
        <v>99</v>
      </c>
      <c r="D1910" s="101" t="str">
        <f t="shared" si="2362"/>
        <v>994</v>
      </c>
      <c r="E1910" s="217" t="str">
        <f t="shared" si="2408"/>
        <v>100-99</v>
      </c>
      <c r="F1910" s="294" t="str">
        <f t="shared" si="2357"/>
        <v>51220</v>
      </c>
      <c r="G1910" s="295" t="str">
        <f>VLOOKUP(F1910,'GL Category'!A:C,3,FALSE)</f>
        <v>Operations &amp; maintenance</v>
      </c>
      <c r="H1910" s="98" t="str">
        <f>VLOOKUP(F1910,'GL Category'!A:C,2,FALSE)</f>
        <v>POSTAGE SUPPLIES</v>
      </c>
      <c r="I1910" s="99">
        <f>SUMIF(Import!$B:$B,$A1910,Import!D:D)</f>
        <v>9451.2999999999993</v>
      </c>
      <c r="J1910" s="99">
        <f>SUMIF(Import!$B:$B,$A1910,Import!E:E)</f>
        <v>9107.2999999999993</v>
      </c>
      <c r="K1910" s="99">
        <f>SUMIF(Import!$B:$B,$A1910,Import!F:F)</f>
        <v>12231.32</v>
      </c>
      <c r="L1910" s="99">
        <f>SUMIF(Import!$B:$B,$A1910,Import!G:G)</f>
        <v>14999.55</v>
      </c>
      <c r="M1910" s="99">
        <f>SUMIF(Import!$B:$B,$A1910,Import!H:H)</f>
        <v>18800</v>
      </c>
      <c r="N1910" s="99">
        <f>SUMIF(Import!$B:$B,$A1910,Import!I:I)</f>
        <v>11193.33</v>
      </c>
      <c r="O1910" s="99">
        <f>SUMIF(Import!$B:$B,$A1910,Import!J:J)</f>
        <v>18800</v>
      </c>
      <c r="P1910" s="99">
        <f t="shared" si="2409"/>
        <v>0</v>
      </c>
      <c r="Q1910" s="99">
        <f>SUMIF(Import!$B:$B,$A1910,Import!K:K)</f>
        <v>18800</v>
      </c>
      <c r="R1910" s="99">
        <f>SUMIF(Import!$B:$B,$A1910,Import!L:L)</f>
        <v>0</v>
      </c>
      <c r="S1910" s="99">
        <f>SUMIF(Import!$B:$B,$A1910,Import!M:M)</f>
        <v>0</v>
      </c>
      <c r="T1910" s="99">
        <f>SUMIF(Import!$B:$B,$A1910,Import!N:N)</f>
        <v>18800</v>
      </c>
      <c r="U1910" s="99">
        <f t="shared" si="2410"/>
        <v>0</v>
      </c>
      <c r="V1910" s="255">
        <f t="shared" si="2411"/>
        <v>0</v>
      </c>
      <c r="W1910" s="102" t="s">
        <v>3104</v>
      </c>
      <c r="X1910" s="102"/>
      <c r="Y1910" s="102">
        <f t="shared" si="2412"/>
        <v>18800</v>
      </c>
      <c r="Z1910" s="309">
        <f>Y1910*(1+VLOOKUP($F1910,'GL Category'!$A:$H,4,FALSE))</f>
        <v>19176</v>
      </c>
      <c r="AA1910" s="615"/>
      <c r="AB1910" s="622">
        <f t="shared" si="2413"/>
        <v>19176</v>
      </c>
      <c r="AC1910" s="633">
        <f>AB1910*(1+VLOOKUP($F1910,'GL Category'!$A:$H,5,FALSE))</f>
        <v>19559.52</v>
      </c>
      <c r="AE1910" s="622">
        <f t="shared" si="2414"/>
        <v>19559.52</v>
      </c>
      <c r="AF1910" s="633">
        <f>AE1910*(1+VLOOKUP($F1910,'GL Category'!$A:$H,6,FALSE))</f>
        <v>19950.7104</v>
      </c>
      <c r="AH1910" s="622">
        <f t="shared" si="2415"/>
        <v>19950.7104</v>
      </c>
      <c r="AI1910" s="633">
        <f>AH1910*(1+VLOOKUP($F1910,'GL Category'!$A:$H,7,FALSE))</f>
        <v>20349.724608</v>
      </c>
      <c r="AK1910" s="622">
        <f t="shared" si="2416"/>
        <v>20349.724608</v>
      </c>
      <c r="AL1910" s="633">
        <f>AK1910*(1+VLOOKUP($F1910,'GL Category'!$A:$H,8,FALSE))</f>
        <v>20756.71910016</v>
      </c>
      <c r="AN1910" s="622">
        <f t="shared" si="2417"/>
        <v>20756.71910016</v>
      </c>
      <c r="AO1910" s="194"/>
      <c r="AP1910" s="194"/>
      <c r="AQ1910" s="194"/>
      <c r="AR1910" s="192"/>
      <c r="AS1910" s="192"/>
      <c r="AT1910" s="192"/>
      <c r="AU1910" s="192"/>
      <c r="AV1910" s="192"/>
      <c r="AW1910" s="192"/>
    </row>
    <row r="1911" spans="1:49" ht="15" customHeight="1">
      <c r="A1911" s="555" t="s">
        <v>3105</v>
      </c>
      <c r="B1911" s="217" t="str">
        <f t="shared" si="2360"/>
        <v>100</v>
      </c>
      <c r="C1911" s="217" t="str">
        <f t="shared" si="2361"/>
        <v>99</v>
      </c>
      <c r="D1911" s="101" t="str">
        <f t="shared" si="2362"/>
        <v>994</v>
      </c>
      <c r="E1911" s="217" t="str">
        <f t="shared" si="2408"/>
        <v>100-99</v>
      </c>
      <c r="F1911" s="294" t="str">
        <f t="shared" si="2357"/>
        <v>51299</v>
      </c>
      <c r="G1911" s="295" t="str">
        <f>VLOOKUP(F1911,'GL Category'!A:C,3,FALSE)</f>
        <v>Operations &amp; maintenance</v>
      </c>
      <c r="H1911" s="98" t="str">
        <f>VLOOKUP(F1911,'GL Category'!A:C,2,FALSE)</f>
        <v>MISCELLANEOUS SUPPLIES</v>
      </c>
      <c r="I1911" s="99">
        <f>SUMIF(Import!$B:$B,$A1911,Import!D:D)</f>
        <v>2400</v>
      </c>
      <c r="J1911" s="99">
        <f>SUMIF(Import!$B:$B,$A1911,Import!E:E)</f>
        <v>2400</v>
      </c>
      <c r="K1911" s="99">
        <f>SUMIF(Import!$B:$B,$A1911,Import!F:F)</f>
        <v>2654.98</v>
      </c>
      <c r="L1911" s="99">
        <f>SUMIF(Import!$B:$B,$A1911,Import!G:G)</f>
        <v>3146.88</v>
      </c>
      <c r="M1911" s="99">
        <f>SUMIF(Import!$B:$B,$A1911,Import!H:H)</f>
        <v>2320</v>
      </c>
      <c r="N1911" s="99">
        <f>SUMIF(Import!$B:$B,$A1911,Import!I:I)</f>
        <v>849.64</v>
      </c>
      <c r="O1911" s="99">
        <f>SUMIF(Import!$B:$B,$A1911,Import!J:J)</f>
        <v>2320</v>
      </c>
      <c r="P1911" s="99">
        <f t="shared" si="2409"/>
        <v>0</v>
      </c>
      <c r="Q1911" s="99">
        <f>SUMIF(Import!$B:$B,$A1911,Import!K:K)</f>
        <v>2320</v>
      </c>
      <c r="R1911" s="99">
        <f>SUMIF(Import!$B:$B,$A1911,Import!L:L)</f>
        <v>0</v>
      </c>
      <c r="S1911" s="99">
        <f>SUMIF(Import!$B:$B,$A1911,Import!M:M)</f>
        <v>0</v>
      </c>
      <c r="T1911" s="99">
        <f>SUMIF(Import!$B:$B,$A1911,Import!N:N)</f>
        <v>2320</v>
      </c>
      <c r="U1911" s="99">
        <f t="shared" si="2410"/>
        <v>0</v>
      </c>
      <c r="V1911" s="255">
        <f t="shared" si="2411"/>
        <v>0</v>
      </c>
      <c r="W1911" s="102" t="s">
        <v>3105</v>
      </c>
      <c r="X1911" s="102"/>
      <c r="Y1911" s="102">
        <f t="shared" si="2412"/>
        <v>2320</v>
      </c>
      <c r="Z1911" s="309">
        <f>Y1911*(1+VLOOKUP($F1911,'GL Category'!$A:$H,4,FALSE))</f>
        <v>2366.4</v>
      </c>
      <c r="AA1911" s="615"/>
      <c r="AB1911" s="622">
        <f t="shared" si="2413"/>
        <v>2366.4</v>
      </c>
      <c r="AC1911" s="633">
        <f>AB1911*(1+VLOOKUP($F1911,'GL Category'!$A:$H,5,FALSE))</f>
        <v>2413.7280000000001</v>
      </c>
      <c r="AE1911" s="622">
        <f t="shared" si="2414"/>
        <v>2413.7280000000001</v>
      </c>
      <c r="AF1911" s="633">
        <f>AE1911*(1+VLOOKUP($F1911,'GL Category'!$A:$H,6,FALSE))</f>
        <v>2462.0025599999999</v>
      </c>
      <c r="AH1911" s="622">
        <f t="shared" si="2415"/>
        <v>2462.0025599999999</v>
      </c>
      <c r="AI1911" s="633">
        <f>AH1911*(1+VLOOKUP($F1911,'GL Category'!$A:$H,7,FALSE))</f>
        <v>2511.2426111999998</v>
      </c>
      <c r="AK1911" s="622">
        <f t="shared" si="2416"/>
        <v>2511.2426111999998</v>
      </c>
      <c r="AL1911" s="633">
        <f>AK1911*(1+VLOOKUP($F1911,'GL Category'!$A:$H,8,FALSE))</f>
        <v>2561.467463424</v>
      </c>
      <c r="AN1911" s="622">
        <f t="shared" si="2417"/>
        <v>2561.467463424</v>
      </c>
      <c r="AO1911" s="194"/>
      <c r="AP1911" s="194"/>
      <c r="AQ1911" s="194"/>
      <c r="AR1911" s="192"/>
      <c r="AS1911" s="192"/>
      <c r="AT1911" s="192"/>
      <c r="AU1911" s="192"/>
      <c r="AV1911" s="192"/>
      <c r="AW1911" s="192"/>
    </row>
    <row r="1912" spans="1:49" ht="28.35" customHeight="1">
      <c r="A1912" s="555"/>
      <c r="B1912" s="217"/>
      <c r="C1912" s="217"/>
      <c r="D1912" s="101"/>
      <c r="E1912" s="217"/>
      <c r="F1912" s="294"/>
      <c r="G1912" s="295"/>
      <c r="H1912" s="107" t="str">
        <f>UPPER(G1911)&amp;" TOTAL"</f>
        <v>OPERATIONS &amp; MAINTENANCE TOTAL</v>
      </c>
      <c r="I1912" s="108">
        <f t="shared" ref="I1912" si="2418">SUBTOTAL(9,I1909:I1911)</f>
        <v>11851.3</v>
      </c>
      <c r="J1912" s="108">
        <f t="shared" ref="J1912:T1912" si="2419">SUBTOTAL(9,J1909:J1911)</f>
        <v>11507.3</v>
      </c>
      <c r="K1912" s="108">
        <f t="shared" ref="K1912" si="2420">SUBTOTAL(9,K1909:K1911)</f>
        <v>14886.3</v>
      </c>
      <c r="L1912" s="108">
        <f t="shared" ref="L1912" si="2421">SUBTOTAL(9,L1909:L1911)</f>
        <v>18146.43</v>
      </c>
      <c r="M1912" s="108">
        <f t="shared" si="2419"/>
        <v>21120</v>
      </c>
      <c r="N1912" s="108">
        <f t="shared" ref="N1912" si="2422">SUBTOTAL(9,N1909:N1911)</f>
        <v>12042.97</v>
      </c>
      <c r="O1912" s="108">
        <f t="shared" si="2419"/>
        <v>21120</v>
      </c>
      <c r="P1912" s="108">
        <f t="shared" si="2419"/>
        <v>0</v>
      </c>
      <c r="Q1912" s="108">
        <f t="shared" si="2419"/>
        <v>21120</v>
      </c>
      <c r="R1912" s="108">
        <f t="shared" si="2419"/>
        <v>0</v>
      </c>
      <c r="S1912" s="108">
        <f t="shared" si="2419"/>
        <v>0</v>
      </c>
      <c r="T1912" s="108">
        <f t="shared" si="2419"/>
        <v>21120</v>
      </c>
      <c r="U1912" s="99">
        <f>T1912-M1912</f>
        <v>0</v>
      </c>
      <c r="V1912" s="255">
        <f>IF(M1912=0,"N/A",T1912/M1912-1)</f>
        <v>0</v>
      </c>
      <c r="W1912" s="102"/>
      <c r="X1912" s="102"/>
      <c r="Y1912" s="102"/>
      <c r="AA1912" s="615"/>
      <c r="AB1912" s="192"/>
      <c r="AC1912" s="314"/>
      <c r="AD1912" s="314"/>
      <c r="AE1912" s="314"/>
      <c r="AF1912" s="314"/>
      <c r="AG1912" s="314"/>
      <c r="AH1912" s="192"/>
      <c r="AI1912" s="192"/>
      <c r="AJ1912" s="314"/>
      <c r="AK1912" s="314"/>
      <c r="AL1912" s="314"/>
      <c r="AM1912" s="314"/>
      <c r="AN1912" s="314"/>
      <c r="AO1912" s="314"/>
      <c r="AP1912" s="314"/>
      <c r="AQ1912" s="314"/>
      <c r="AR1912" s="192"/>
      <c r="AS1912" s="192"/>
      <c r="AT1912" s="192"/>
      <c r="AU1912" s="192"/>
      <c r="AV1912" s="192"/>
      <c r="AW1912" s="192"/>
    </row>
    <row r="1913" spans="1:49" ht="15" customHeight="1">
      <c r="A1913" s="555"/>
      <c r="B1913" s="217"/>
      <c r="C1913" s="217"/>
      <c r="D1913" s="101"/>
      <c r="E1913" s="217"/>
      <c r="F1913" s="294"/>
      <c r="G1913" s="295"/>
      <c r="H1913" s="98"/>
      <c r="I1913" s="106"/>
      <c r="J1913" s="106"/>
      <c r="K1913" s="106"/>
      <c r="L1913" s="106"/>
      <c r="M1913" s="106"/>
      <c r="N1913" s="112"/>
      <c r="O1913" s="112"/>
      <c r="P1913" s="112"/>
      <c r="Q1913" s="113"/>
      <c r="R1913" s="113"/>
      <c r="S1913" s="113"/>
      <c r="T1913" s="113"/>
      <c r="U1913" s="99"/>
      <c r="V1913" s="255"/>
      <c r="W1913" s="102"/>
      <c r="X1913" s="102"/>
      <c r="Y1913" s="102"/>
      <c r="AA1913" s="615"/>
      <c r="AB1913" s="192"/>
      <c r="AC1913" s="312"/>
      <c r="AD1913" s="312"/>
      <c r="AE1913" s="312"/>
      <c r="AF1913" s="312"/>
      <c r="AG1913" s="312"/>
      <c r="AH1913" s="192"/>
      <c r="AI1913" s="192"/>
      <c r="AJ1913" s="194"/>
      <c r="AK1913" s="194"/>
      <c r="AL1913" s="194"/>
      <c r="AM1913" s="194"/>
      <c r="AN1913" s="194"/>
      <c r="AO1913" s="194"/>
      <c r="AP1913" s="194"/>
      <c r="AQ1913" s="194"/>
      <c r="AR1913" s="192"/>
      <c r="AS1913" s="192"/>
      <c r="AT1913" s="192"/>
      <c r="AU1913" s="192"/>
      <c r="AV1913" s="192"/>
      <c r="AW1913" s="192"/>
    </row>
    <row r="1914" spans="1:49" ht="15" customHeight="1">
      <c r="A1914" s="555" t="s">
        <v>3106</v>
      </c>
      <c r="B1914" s="217" t="str">
        <f t="shared" ref="B1914:B1927" si="2423">LEFT(A1914,3)</f>
        <v>100</v>
      </c>
      <c r="C1914" s="217" t="str">
        <f t="shared" ref="C1914:C1927" si="2424">MID(A1914,5,2)</f>
        <v>99</v>
      </c>
      <c r="D1914" s="101" t="str">
        <f t="shared" ref="D1914:D1927" si="2425">MID(A1914,8,3)</f>
        <v>994</v>
      </c>
      <c r="E1914" s="217" t="str">
        <f>LEFT(A1914,6)</f>
        <v>100-99</v>
      </c>
      <c r="F1914" s="294" t="str">
        <f t="shared" ref="F1914:F1927" si="2426">RIGHT(A1914,5)</f>
        <v>50640</v>
      </c>
      <c r="G1914" s="295" t="str">
        <f>VLOOKUP(F1914,'GL Category'!A:C,3,FALSE)</f>
        <v>Personnel services</v>
      </c>
      <c r="H1914" s="98" t="str">
        <f>VLOOKUP(F1914,'GL Category'!A:C,2,FALSE)</f>
        <v>UNEMPLOYMENT INSURANCE</v>
      </c>
      <c r="I1914" s="99">
        <f>SUMIF(Import!$B:$B,$A1914,Import!D:D)</f>
        <v>14541.51</v>
      </c>
      <c r="J1914" s="99">
        <f>SUMIF(Import!$B:$B,$A1914,Import!E:E)</f>
        <v>18966.95</v>
      </c>
      <c r="K1914" s="99">
        <f>SUMIF(Import!$B:$B,$A1914,Import!F:F)</f>
        <v>9294.56</v>
      </c>
      <c r="L1914" s="99">
        <f>SUMIF(Import!$B:$B,$A1914,Import!G:G)</f>
        <v>149.68</v>
      </c>
      <c r="M1914" s="99">
        <f>SUMIF(Import!$B:$B,$A1914,Import!H:H)</f>
        <v>30000</v>
      </c>
      <c r="N1914" s="99">
        <f>SUMIF(Import!$B:$B,$A1914,Import!I:I)</f>
        <v>0</v>
      </c>
      <c r="O1914" s="99">
        <f>SUMIF(Import!$B:$B,$A1914,Import!J:J)</f>
        <v>30000</v>
      </c>
      <c r="P1914" s="99">
        <f t="shared" ref="P1914" si="2427">O1914-M1914</f>
        <v>0</v>
      </c>
      <c r="Q1914" s="99">
        <f>SUMIF(Import!$B:$B,$A1914,Import!K:K)</f>
        <v>30000</v>
      </c>
      <c r="R1914" s="99">
        <f>SUMIF(Import!$B:$B,$A1914,Import!L:L)</f>
        <v>0</v>
      </c>
      <c r="S1914" s="99">
        <f>SUMIF(Import!$B:$B,$A1914,Import!M:M)</f>
        <v>0</v>
      </c>
      <c r="T1914" s="99">
        <f>SUMIF(Import!$B:$B,$A1914,Import!N:N)</f>
        <v>30000</v>
      </c>
      <c r="U1914" s="99">
        <f t="shared" ref="U1914" si="2428">T1914-M1914</f>
        <v>0</v>
      </c>
      <c r="V1914" s="255">
        <f t="shared" ref="V1914" si="2429">IF(M1914=0,"N/A",T1914/M1914-1)</f>
        <v>0</v>
      </c>
      <c r="W1914" s="102" t="s">
        <v>3106</v>
      </c>
      <c r="X1914" s="102"/>
      <c r="Y1914" s="102">
        <f t="shared" ref="Y1914" si="2430">T1914-X1914</f>
        <v>30000</v>
      </c>
      <c r="Z1914" s="309">
        <f>Y1914*(1+VLOOKUP($F1914,'GL Category'!$A:$H,4,FALSE))</f>
        <v>31049.999999999996</v>
      </c>
      <c r="AA1914" s="615"/>
      <c r="AB1914" s="622">
        <f>Z1914+AA1914</f>
        <v>31049.999999999996</v>
      </c>
      <c r="AC1914" s="633">
        <f>AB1914*(1+VLOOKUP($F1914,'GL Category'!$A:$H,5,FALSE))</f>
        <v>32136.749999999993</v>
      </c>
      <c r="AE1914" s="622">
        <f>AC1914+AD1914</f>
        <v>32136.749999999993</v>
      </c>
      <c r="AF1914" s="633">
        <f>AE1914*(1+VLOOKUP($F1914,'GL Category'!$A:$H,6,FALSE))</f>
        <v>33261.53624999999</v>
      </c>
      <c r="AH1914" s="622">
        <f>AF1914+AG1914</f>
        <v>33261.53624999999</v>
      </c>
      <c r="AI1914" s="633">
        <f>AH1914*(1+VLOOKUP($F1914,'GL Category'!$A:$H,7,FALSE))</f>
        <v>34425.690018749985</v>
      </c>
      <c r="AK1914" s="622">
        <f>AI1914+AJ1914</f>
        <v>34425.690018749985</v>
      </c>
      <c r="AL1914" s="633">
        <f>AK1914*(1+VLOOKUP($F1914,'GL Category'!$A:$H,8,FALSE))</f>
        <v>35630.58916940623</v>
      </c>
      <c r="AN1914" s="622">
        <f>AL1914+AM1914</f>
        <v>35630.58916940623</v>
      </c>
      <c r="AR1914" s="192"/>
      <c r="AS1914" s="192"/>
      <c r="AT1914" s="192"/>
      <c r="AU1914" s="192"/>
      <c r="AV1914" s="192"/>
      <c r="AW1914" s="192"/>
    </row>
    <row r="1915" spans="1:49" ht="15" customHeight="1">
      <c r="A1915" s="555"/>
      <c r="B1915" s="217"/>
      <c r="C1915" s="217"/>
      <c r="D1915" s="101"/>
      <c r="E1915" s="217"/>
      <c r="F1915" s="294"/>
      <c r="G1915" s="295"/>
      <c r="H1915" s="107" t="str">
        <f>UPPER(G1914)&amp;" TOTAL"</f>
        <v>PERSONNEL SERVICES TOTAL</v>
      </c>
      <c r="I1915" s="108">
        <f t="shared" ref="I1915" si="2431">SUBTOTAL(9,I1914:I1914)</f>
        <v>14541.51</v>
      </c>
      <c r="J1915" s="108">
        <f t="shared" ref="J1915:T1915" si="2432">SUBTOTAL(9,J1914:J1914)</f>
        <v>18966.95</v>
      </c>
      <c r="K1915" s="108">
        <f t="shared" ref="K1915" si="2433">SUBTOTAL(9,K1914:K1914)</f>
        <v>9294.56</v>
      </c>
      <c r="L1915" s="108">
        <f t="shared" ref="L1915" si="2434">SUBTOTAL(9,L1914:L1914)</f>
        <v>149.68</v>
      </c>
      <c r="M1915" s="108">
        <f t="shared" si="2432"/>
        <v>30000</v>
      </c>
      <c r="N1915" s="108">
        <f t="shared" ref="N1915" si="2435">SUBTOTAL(9,N1914:N1914)</f>
        <v>0</v>
      </c>
      <c r="O1915" s="108">
        <f t="shared" si="2432"/>
        <v>30000</v>
      </c>
      <c r="P1915" s="108">
        <f t="shared" si="2432"/>
        <v>0</v>
      </c>
      <c r="Q1915" s="108">
        <f t="shared" si="2432"/>
        <v>30000</v>
      </c>
      <c r="R1915" s="108">
        <f t="shared" si="2432"/>
        <v>0</v>
      </c>
      <c r="S1915" s="108">
        <f t="shared" si="2432"/>
        <v>0</v>
      </c>
      <c r="T1915" s="108">
        <f t="shared" si="2432"/>
        <v>30000</v>
      </c>
      <c r="U1915" s="99">
        <f>T1915-M1915</f>
        <v>0</v>
      </c>
      <c r="V1915" s="255">
        <f>IF(M1915=0,"N/A",T1915/M1915-1)</f>
        <v>0</v>
      </c>
      <c r="W1915" s="102"/>
      <c r="X1915" s="102"/>
      <c r="Y1915" s="102"/>
      <c r="AA1915" s="615"/>
      <c r="AB1915" s="192"/>
      <c r="AC1915" s="192"/>
      <c r="AD1915" s="192"/>
      <c r="AE1915" s="192"/>
      <c r="AF1915" s="192"/>
      <c r="AG1915" s="192"/>
      <c r="AH1915" s="192"/>
      <c r="AI1915" s="192"/>
      <c r="AJ1915" s="192"/>
      <c r="AK1915" s="192"/>
      <c r="AL1915" s="192"/>
      <c r="AM1915" s="192"/>
      <c r="AN1915" s="192"/>
      <c r="AR1915" s="192"/>
      <c r="AS1915" s="192"/>
      <c r="AT1915" s="192"/>
      <c r="AU1915" s="192"/>
      <c r="AV1915" s="192"/>
      <c r="AW1915" s="192"/>
    </row>
    <row r="1916" spans="1:49" ht="15" customHeight="1">
      <c r="A1916" s="555"/>
      <c r="B1916" s="217"/>
      <c r="C1916" s="217"/>
      <c r="D1916" s="101"/>
      <c r="E1916" s="217"/>
      <c r="F1916" s="294"/>
      <c r="G1916" s="295"/>
      <c r="H1916" s="232"/>
      <c r="I1916" s="233"/>
      <c r="J1916" s="233"/>
      <c r="K1916" s="233"/>
      <c r="L1916" s="233"/>
      <c r="M1916" s="233"/>
      <c r="N1916" s="233"/>
      <c r="O1916" s="233"/>
      <c r="P1916" s="233"/>
      <c r="Q1916" s="233"/>
      <c r="R1916" s="233"/>
      <c r="S1916" s="233"/>
      <c r="T1916" s="233"/>
      <c r="U1916" s="99"/>
      <c r="V1916" s="255"/>
      <c r="W1916" s="102"/>
      <c r="X1916" s="102"/>
      <c r="Y1916" s="102"/>
      <c r="AA1916" s="615"/>
      <c r="AB1916" s="195"/>
      <c r="AC1916" s="95"/>
      <c r="AD1916" s="95"/>
      <c r="AE1916" s="95"/>
      <c r="AF1916" s="95"/>
      <c r="AG1916" s="95"/>
      <c r="AH1916" s="88"/>
      <c r="AI1916" s="195"/>
      <c r="AJ1916" s="196"/>
      <c r="AK1916" s="196"/>
      <c r="AL1916" s="196"/>
      <c r="AM1916" s="196"/>
      <c r="AN1916" s="196"/>
      <c r="AO1916" s="196"/>
      <c r="AP1916" s="196"/>
      <c r="AQ1916" s="196"/>
      <c r="AR1916" s="192"/>
      <c r="AS1916" s="192"/>
      <c r="AT1916" s="192"/>
      <c r="AU1916" s="192"/>
      <c r="AV1916" s="192"/>
      <c r="AW1916" s="192"/>
    </row>
    <row r="1917" spans="1:49" ht="15" customHeight="1">
      <c r="A1917" s="555" t="s">
        <v>3108</v>
      </c>
      <c r="B1917" s="217" t="str">
        <f t="shared" si="2423"/>
        <v>100</v>
      </c>
      <c r="C1917" s="217" t="str">
        <f t="shared" si="2424"/>
        <v>99</v>
      </c>
      <c r="D1917" s="101" t="str">
        <f t="shared" si="2425"/>
        <v>994</v>
      </c>
      <c r="E1917" s="217" t="str">
        <f t="shared" ref="E1917:E1924" si="2436">LEFT(A1917,6)</f>
        <v>100-99</v>
      </c>
      <c r="F1917" s="294" t="str">
        <f t="shared" si="2426"/>
        <v>53510</v>
      </c>
      <c r="G1917" s="295" t="str">
        <f>VLOOKUP(F1917,'GL Category'!A:C,3,FALSE)</f>
        <v>Services &amp; other</v>
      </c>
      <c r="H1917" s="98" t="str">
        <f>VLOOKUP(F1917,'GL Category'!A:C,2,FALSE)</f>
        <v>DUES &amp; SUBSCRIPTIONS</v>
      </c>
      <c r="I1917" s="99">
        <f>SUMIF(Import!$B:$B,$A1917,Import!D:D)</f>
        <v>1299</v>
      </c>
      <c r="J1917" s="99">
        <f>SUMIF(Import!$B:$B,$A1917,Import!E:E)</f>
        <v>1299</v>
      </c>
      <c r="K1917" s="99">
        <f>SUMIF(Import!$B:$B,$A1917,Import!F:F)</f>
        <v>1299</v>
      </c>
      <c r="L1917" s="99">
        <f>SUMIF(Import!$B:$B,$A1917,Import!G:G)</f>
        <v>1299</v>
      </c>
      <c r="M1917" s="99">
        <f>SUMIF(Import!$B:$B,$A1917,Import!H:H)</f>
        <v>1300</v>
      </c>
      <c r="N1917" s="99">
        <f>SUMIF(Import!$B:$B,$A1917,Import!I:I)</f>
        <v>1299</v>
      </c>
      <c r="O1917" s="99">
        <f>SUMIF(Import!$B:$B,$A1917,Import!J:J)</f>
        <v>1300</v>
      </c>
      <c r="P1917" s="99">
        <f t="shared" ref="P1917:P1924" si="2437">O1917-M1917</f>
        <v>0</v>
      </c>
      <c r="Q1917" s="99">
        <f>SUMIF(Import!$B:$B,$A1917,Import!K:K)</f>
        <v>1300</v>
      </c>
      <c r="R1917" s="99">
        <f>SUMIF(Import!$B:$B,$A1917,Import!L:L)</f>
        <v>0</v>
      </c>
      <c r="S1917" s="99">
        <f>SUMIF(Import!$B:$B,$A1917,Import!M:M)</f>
        <v>0</v>
      </c>
      <c r="T1917" s="99">
        <f>SUMIF(Import!$B:$B,$A1917,Import!N:N)</f>
        <v>1300</v>
      </c>
      <c r="U1917" s="99">
        <f t="shared" ref="U1917:U1924" si="2438">T1917-M1917</f>
        <v>0</v>
      </c>
      <c r="V1917" s="255">
        <f t="shared" ref="V1917:V1924" si="2439">IF(M1917=0,"N/A",T1917/M1917-1)</f>
        <v>0</v>
      </c>
      <c r="W1917" s="102" t="s">
        <v>3108</v>
      </c>
      <c r="X1917" s="102"/>
      <c r="Y1917" s="102">
        <f t="shared" ref="Y1917:Y1924" si="2440">T1917-X1917</f>
        <v>1300</v>
      </c>
      <c r="Z1917" s="309">
        <f>Y1917*(1+VLOOKUP($F1917,'GL Category'!$A:$H,4,FALSE))</f>
        <v>1339</v>
      </c>
      <c r="AA1917" s="615"/>
      <c r="AB1917" s="622">
        <f t="shared" ref="AB1917:AB1924" si="2441">Z1917+AA1917</f>
        <v>1339</v>
      </c>
      <c r="AC1917" s="633">
        <f>AB1917*(1+VLOOKUP($F1917,'GL Category'!$A:$H,5,FALSE))</f>
        <v>1379.17</v>
      </c>
      <c r="AE1917" s="622">
        <f t="shared" ref="AE1917:AE1924" si="2442">AC1917+AD1917</f>
        <v>1379.17</v>
      </c>
      <c r="AF1917" s="633">
        <f>AE1917*(1+VLOOKUP($F1917,'GL Category'!$A:$H,6,FALSE))</f>
        <v>1420.5451</v>
      </c>
      <c r="AH1917" s="622">
        <f t="shared" ref="AH1917:AH1924" si="2443">AF1917+AG1917</f>
        <v>1420.5451</v>
      </c>
      <c r="AI1917" s="633">
        <f>AH1917*(1+VLOOKUP($F1917,'GL Category'!$A:$H,7,FALSE))</f>
        <v>1463.1614530000002</v>
      </c>
      <c r="AK1917" s="622">
        <f t="shared" ref="AK1917:AK1924" si="2444">AI1917+AJ1917</f>
        <v>1463.1614530000002</v>
      </c>
      <c r="AL1917" s="633">
        <f>AK1917*(1+VLOOKUP($F1917,'GL Category'!$A:$H,8,FALSE))</f>
        <v>1507.0562965900001</v>
      </c>
      <c r="AN1917" s="622">
        <f t="shared" ref="AN1917:AN1924" si="2445">AL1917+AM1917</f>
        <v>1507.0562965900001</v>
      </c>
      <c r="AO1917" s="194"/>
      <c r="AP1917" s="194"/>
      <c r="AQ1917" s="194"/>
      <c r="AR1917" s="192"/>
      <c r="AS1917" s="192"/>
      <c r="AT1917" s="192"/>
      <c r="AU1917" s="192"/>
      <c r="AV1917" s="192"/>
      <c r="AW1917" s="192"/>
    </row>
    <row r="1918" spans="1:49" ht="15" customHeight="1">
      <c r="A1918" s="555" t="s">
        <v>3340</v>
      </c>
      <c r="B1918" s="217" t="str">
        <f t="shared" si="2423"/>
        <v>100</v>
      </c>
      <c r="C1918" s="217" t="str">
        <f t="shared" si="2424"/>
        <v>99</v>
      </c>
      <c r="D1918" s="101" t="str">
        <f t="shared" si="2425"/>
        <v>994</v>
      </c>
      <c r="E1918" s="217" t="str">
        <f t="shared" si="2436"/>
        <v>100-99</v>
      </c>
      <c r="F1918" s="294" t="str">
        <f t="shared" si="2426"/>
        <v>53550</v>
      </c>
      <c r="G1918" s="295" t="str">
        <f>VLOOKUP(F1918,'GL Category'!A:C,3,FALSE)</f>
        <v>Services &amp; other</v>
      </c>
      <c r="H1918" s="98" t="str">
        <f>VLOOKUP(F1918,'GL Category'!A:C,2,FALSE)</f>
        <v>BAD DEBT EXPENSE</v>
      </c>
      <c r="I1918" s="99">
        <f>SUMIF(Import!$B:$B,$A1918,Import!D:D)</f>
        <v>0</v>
      </c>
      <c r="J1918" s="99">
        <f>SUMIF(Import!$B:$B,$A1918,Import!E:E)</f>
        <v>28410.7</v>
      </c>
      <c r="K1918" s="99">
        <f>SUMIF(Import!$B:$B,$A1918,Import!F:F)</f>
        <v>-17074.919999999998</v>
      </c>
      <c r="L1918" s="99">
        <f>SUMIF(Import!$B:$B,$A1918,Import!G:G)</f>
        <v>1000.09</v>
      </c>
      <c r="M1918" s="99">
        <f>SUMIF(Import!$B:$B,$A1918,Import!H:H)</f>
        <v>0</v>
      </c>
      <c r="N1918" s="99">
        <f>SUMIF(Import!$B:$B,$A1918,Import!I:I)</f>
        <v>1018.24</v>
      </c>
      <c r="O1918" s="99">
        <f>SUMIF(Import!$B:$B,$A1918,Import!J:J)</f>
        <v>0</v>
      </c>
      <c r="P1918" s="99">
        <f t="shared" si="2437"/>
        <v>0</v>
      </c>
      <c r="Q1918" s="99">
        <f>SUMIF(Import!$B:$B,$A1918,Import!K:K)</f>
        <v>0</v>
      </c>
      <c r="R1918" s="99">
        <f>SUMIF(Import!$B:$B,$A1918,Import!L:L)</f>
        <v>0</v>
      </c>
      <c r="S1918" s="99">
        <f>SUMIF(Import!$B:$B,$A1918,Import!M:M)</f>
        <v>0</v>
      </c>
      <c r="T1918" s="99">
        <f>SUMIF(Import!$B:$B,$A1918,Import!N:N)</f>
        <v>0</v>
      </c>
      <c r="U1918" s="99">
        <f t="shared" si="2438"/>
        <v>0</v>
      </c>
      <c r="V1918" s="255" t="str">
        <f t="shared" si="2439"/>
        <v>N/A</v>
      </c>
      <c r="W1918" s="102" t="s">
        <v>3109</v>
      </c>
      <c r="X1918" s="102"/>
      <c r="Y1918" s="102">
        <f t="shared" si="2440"/>
        <v>0</v>
      </c>
      <c r="Z1918" s="309">
        <f>Y1918*(1+VLOOKUP($F1918,'GL Category'!$A:$H,4,FALSE))</f>
        <v>0</v>
      </c>
      <c r="AA1918" s="615"/>
      <c r="AB1918" s="622">
        <f t="shared" si="2441"/>
        <v>0</v>
      </c>
      <c r="AC1918" s="633">
        <f>AB1918*(1+VLOOKUP($F1918,'GL Category'!$A:$H,5,FALSE))</f>
        <v>0</v>
      </c>
      <c r="AE1918" s="622">
        <f t="shared" si="2442"/>
        <v>0</v>
      </c>
      <c r="AF1918" s="633">
        <f>AE1918*(1+VLOOKUP($F1918,'GL Category'!$A:$H,6,FALSE))</f>
        <v>0</v>
      </c>
      <c r="AH1918" s="622">
        <f t="shared" si="2443"/>
        <v>0</v>
      </c>
      <c r="AI1918" s="633">
        <f>AH1918*(1+VLOOKUP($F1918,'GL Category'!$A:$H,7,FALSE))</f>
        <v>0</v>
      </c>
      <c r="AK1918" s="622">
        <f t="shared" si="2444"/>
        <v>0</v>
      </c>
      <c r="AL1918" s="633">
        <f>AK1918*(1+VLOOKUP($F1918,'GL Category'!$A:$H,8,FALSE))</f>
        <v>0</v>
      </c>
      <c r="AN1918" s="622">
        <f t="shared" si="2445"/>
        <v>0</v>
      </c>
      <c r="AO1918" s="194"/>
      <c r="AP1918" s="194"/>
      <c r="AQ1918" s="194"/>
      <c r="AR1918" s="192"/>
      <c r="AS1918" s="192"/>
      <c r="AT1918" s="192"/>
      <c r="AU1918" s="192"/>
      <c r="AV1918" s="192"/>
      <c r="AW1918" s="192"/>
    </row>
    <row r="1919" spans="1:49" ht="15" customHeight="1">
      <c r="A1919" s="555" t="s">
        <v>3110</v>
      </c>
      <c r="B1919" s="217" t="str">
        <f t="shared" si="2423"/>
        <v>100</v>
      </c>
      <c r="C1919" s="217" t="str">
        <f t="shared" si="2424"/>
        <v>99</v>
      </c>
      <c r="D1919" s="101" t="str">
        <f t="shared" si="2425"/>
        <v>994</v>
      </c>
      <c r="E1919" s="217" t="str">
        <f t="shared" si="2436"/>
        <v>100-99</v>
      </c>
      <c r="F1919" s="294" t="str">
        <f t="shared" si="2426"/>
        <v>53524</v>
      </c>
      <c r="G1919" s="295" t="str">
        <f>VLOOKUP(F1919,'GL Category'!A:C,3,FALSE)</f>
        <v>Services &amp; other</v>
      </c>
      <c r="H1919" s="98" t="str">
        <f>VLOOKUP(F1919,'GL Category'!A:C,2,FALSE)</f>
        <v>EQUIPMENT RENTAL</v>
      </c>
      <c r="I1919" s="99">
        <f>SUMIF(Import!$B:$B,$A1919,Import!D:D)</f>
        <v>4828.9399999999996</v>
      </c>
      <c r="J1919" s="99">
        <f>SUMIF(Import!$B:$B,$A1919,Import!E:E)</f>
        <v>5143.84</v>
      </c>
      <c r="K1919" s="99">
        <f>SUMIF(Import!$B:$B,$A1919,Import!F:F)</f>
        <v>4828.9399999999996</v>
      </c>
      <c r="L1919" s="99">
        <f>SUMIF(Import!$B:$B,$A1919,Import!G:G)</f>
        <v>4828.9399999999996</v>
      </c>
      <c r="M1919" s="99">
        <f>SUMIF(Import!$B:$B,$A1919,Import!H:H)</f>
        <v>4936</v>
      </c>
      <c r="N1919" s="99">
        <f>SUMIF(Import!$B:$B,$A1919,Import!I:I)</f>
        <v>4079.03</v>
      </c>
      <c r="O1919" s="99">
        <f>SUMIF(Import!$B:$B,$A1919,Import!J:J)</f>
        <v>4936</v>
      </c>
      <c r="P1919" s="99">
        <f t="shared" si="2437"/>
        <v>0</v>
      </c>
      <c r="Q1919" s="99">
        <f>SUMIF(Import!$B:$B,$A1919,Import!K:K)</f>
        <v>4936</v>
      </c>
      <c r="R1919" s="99">
        <f>SUMIF(Import!$B:$B,$A1919,Import!L:L)</f>
        <v>0</v>
      </c>
      <c r="S1919" s="99">
        <f>SUMIF(Import!$B:$B,$A1919,Import!M:M)</f>
        <v>0</v>
      </c>
      <c r="T1919" s="99">
        <f>SUMIF(Import!$B:$B,$A1919,Import!N:N)</f>
        <v>4936</v>
      </c>
      <c r="U1919" s="99">
        <f t="shared" si="2438"/>
        <v>0</v>
      </c>
      <c r="V1919" s="255">
        <f t="shared" si="2439"/>
        <v>0</v>
      </c>
      <c r="W1919" s="102" t="s">
        <v>3110</v>
      </c>
      <c r="X1919" s="102"/>
      <c r="Y1919" s="102">
        <f t="shared" si="2440"/>
        <v>4936</v>
      </c>
      <c r="Z1919" s="309">
        <f>Y1919*(1+VLOOKUP($F1919,'GL Category'!$A:$H,4,FALSE))</f>
        <v>5084.08</v>
      </c>
      <c r="AA1919" s="615"/>
      <c r="AB1919" s="622">
        <f t="shared" si="2441"/>
        <v>5084.08</v>
      </c>
      <c r="AC1919" s="633">
        <f>AB1919*(1+VLOOKUP($F1919,'GL Category'!$A:$H,5,FALSE))</f>
        <v>5236.6023999999998</v>
      </c>
      <c r="AE1919" s="622">
        <f t="shared" si="2442"/>
        <v>5236.6023999999998</v>
      </c>
      <c r="AF1919" s="633">
        <f>AE1919*(1+VLOOKUP($F1919,'GL Category'!$A:$H,6,FALSE))</f>
        <v>5393.7004719999995</v>
      </c>
      <c r="AH1919" s="622">
        <f t="shared" si="2443"/>
        <v>5393.7004719999995</v>
      </c>
      <c r="AI1919" s="633">
        <f>AH1919*(1+VLOOKUP($F1919,'GL Category'!$A:$H,7,FALSE))</f>
        <v>5555.5114861599995</v>
      </c>
      <c r="AK1919" s="622">
        <f t="shared" si="2444"/>
        <v>5555.5114861599995</v>
      </c>
      <c r="AL1919" s="633">
        <f>AK1919*(1+VLOOKUP($F1919,'GL Category'!$A:$H,8,FALSE))</f>
        <v>5722.1768307448001</v>
      </c>
      <c r="AN1919" s="622">
        <f t="shared" si="2445"/>
        <v>5722.1768307448001</v>
      </c>
      <c r="AO1919" s="194"/>
      <c r="AP1919" s="194"/>
      <c r="AQ1919" s="194"/>
      <c r="AR1919" s="192"/>
      <c r="AS1919" s="192"/>
      <c r="AT1919" s="192"/>
      <c r="AU1919" s="192"/>
      <c r="AV1919" s="192"/>
      <c r="AW1919" s="192"/>
    </row>
    <row r="1920" spans="1:49" ht="15" customHeight="1">
      <c r="A1920" s="555" t="s">
        <v>3111</v>
      </c>
      <c r="B1920" s="217" t="str">
        <f t="shared" si="2423"/>
        <v>100</v>
      </c>
      <c r="C1920" s="217" t="str">
        <f t="shared" si="2424"/>
        <v>99</v>
      </c>
      <c r="D1920" s="101" t="str">
        <f t="shared" si="2425"/>
        <v>994</v>
      </c>
      <c r="E1920" s="217" t="str">
        <f t="shared" si="2436"/>
        <v>100-99</v>
      </c>
      <c r="F1920" s="294" t="str">
        <f t="shared" si="2426"/>
        <v>53551</v>
      </c>
      <c r="G1920" s="295" t="str">
        <f>VLOOKUP(F1920,'GL Category'!A:C,3,FALSE)</f>
        <v>Services &amp; other</v>
      </c>
      <c r="H1920" s="98" t="str">
        <f>VLOOKUP(F1920,'GL Category'!A:C,2,FALSE)</f>
        <v>FREIGHT &amp; EXPRESS SERVICES</v>
      </c>
      <c r="I1920" s="99">
        <f>SUMIF(Import!$B:$B,$A1920,Import!D:D)</f>
        <v>0</v>
      </c>
      <c r="J1920" s="99">
        <f>SUMIF(Import!$B:$B,$A1920,Import!E:E)</f>
        <v>0</v>
      </c>
      <c r="K1920" s="99">
        <f>SUMIF(Import!$B:$B,$A1920,Import!F:F)</f>
        <v>0</v>
      </c>
      <c r="L1920" s="99">
        <f>SUMIF(Import!$B:$B,$A1920,Import!G:G)</f>
        <v>0</v>
      </c>
      <c r="M1920" s="99">
        <f>SUMIF(Import!$B:$B,$A1920,Import!H:H)</f>
        <v>0</v>
      </c>
      <c r="N1920" s="99">
        <f>SUMIF(Import!$B:$B,$A1920,Import!I:I)</f>
        <v>0</v>
      </c>
      <c r="O1920" s="99">
        <f>SUMIF(Import!$B:$B,$A1920,Import!J:J)</f>
        <v>0</v>
      </c>
      <c r="P1920" s="99">
        <f t="shared" si="2437"/>
        <v>0</v>
      </c>
      <c r="Q1920" s="99">
        <f>SUMIF(Import!$B:$B,$A1920,Import!K:K)</f>
        <v>0</v>
      </c>
      <c r="R1920" s="99">
        <f>SUMIF(Import!$B:$B,$A1920,Import!L:L)</f>
        <v>0</v>
      </c>
      <c r="S1920" s="99">
        <f>SUMIF(Import!$B:$B,$A1920,Import!M:M)</f>
        <v>0</v>
      </c>
      <c r="T1920" s="99">
        <f>SUMIF(Import!$B:$B,$A1920,Import!N:N)</f>
        <v>0</v>
      </c>
      <c r="U1920" s="99">
        <f t="shared" si="2438"/>
        <v>0</v>
      </c>
      <c r="V1920" s="255" t="str">
        <f t="shared" si="2439"/>
        <v>N/A</v>
      </c>
      <c r="W1920" s="102" t="s">
        <v>3111</v>
      </c>
      <c r="X1920" s="102"/>
      <c r="Y1920" s="102">
        <f t="shared" si="2440"/>
        <v>0</v>
      </c>
      <c r="Z1920" s="309">
        <f>Y1920*(1+VLOOKUP($F1920,'GL Category'!$A:$H,4,FALSE))</f>
        <v>0</v>
      </c>
      <c r="AA1920" s="615"/>
      <c r="AB1920" s="622">
        <f t="shared" si="2441"/>
        <v>0</v>
      </c>
      <c r="AC1920" s="633">
        <f>AB1920*(1+VLOOKUP($F1920,'GL Category'!$A:$H,5,FALSE))</f>
        <v>0</v>
      </c>
      <c r="AE1920" s="622">
        <f t="shared" si="2442"/>
        <v>0</v>
      </c>
      <c r="AF1920" s="633">
        <f>AE1920*(1+VLOOKUP($F1920,'GL Category'!$A:$H,6,FALSE))</f>
        <v>0</v>
      </c>
      <c r="AH1920" s="622">
        <f t="shared" si="2443"/>
        <v>0</v>
      </c>
      <c r="AI1920" s="633">
        <f>AH1920*(1+VLOOKUP($F1920,'GL Category'!$A:$H,7,FALSE))</f>
        <v>0</v>
      </c>
      <c r="AK1920" s="622">
        <f t="shared" si="2444"/>
        <v>0</v>
      </c>
      <c r="AL1920" s="633">
        <f>AK1920*(1+VLOOKUP($F1920,'GL Category'!$A:$H,8,FALSE))</f>
        <v>0</v>
      </c>
      <c r="AN1920" s="622">
        <f t="shared" si="2445"/>
        <v>0</v>
      </c>
      <c r="AO1920" s="196"/>
      <c r="AP1920" s="196"/>
      <c r="AQ1920" s="196"/>
      <c r="AR1920" s="192"/>
      <c r="AS1920" s="192"/>
      <c r="AT1920" s="192"/>
      <c r="AU1920" s="192"/>
      <c r="AV1920" s="192"/>
      <c r="AW1920" s="192"/>
    </row>
    <row r="1921" spans="1:49" ht="15" customHeight="1">
      <c r="A1921" s="555" t="s">
        <v>3112</v>
      </c>
      <c r="B1921" s="217" t="str">
        <f t="shared" si="2423"/>
        <v>100</v>
      </c>
      <c r="C1921" s="217" t="str">
        <f t="shared" si="2424"/>
        <v>99</v>
      </c>
      <c r="D1921" s="101" t="str">
        <f t="shared" si="2425"/>
        <v>994</v>
      </c>
      <c r="E1921" s="217" t="str">
        <f t="shared" si="2436"/>
        <v>100-99</v>
      </c>
      <c r="F1921" s="294" t="str">
        <f t="shared" si="2426"/>
        <v>53560</v>
      </c>
      <c r="G1921" s="295" t="str">
        <f>VLOOKUP(F1921,'GL Category'!A:C,3,FALSE)</f>
        <v>Services &amp; other</v>
      </c>
      <c r="H1921" s="98" t="str">
        <f>VLOOKUP(F1921,'GL Category'!A:C,2,FALSE)</f>
        <v>GENERAL INSURANCE</v>
      </c>
      <c r="I1921" s="99">
        <f>SUMIF(Import!$B:$B,$A1921,Import!D:D)</f>
        <v>217372.7</v>
      </c>
      <c r="J1921" s="99">
        <f>SUMIF(Import!$B:$B,$A1921,Import!E:E)</f>
        <v>246914.88</v>
      </c>
      <c r="K1921" s="99">
        <f>SUMIF(Import!$B:$B,$A1921,Import!F:F)</f>
        <v>298024.48</v>
      </c>
      <c r="L1921" s="99">
        <f>SUMIF(Import!$B:$B,$A1921,Import!G:G)</f>
        <v>337019.53</v>
      </c>
      <c r="M1921" s="99">
        <f>SUMIF(Import!$B:$B,$A1921,Import!H:H)</f>
        <v>398770</v>
      </c>
      <c r="N1921" s="99">
        <f>SUMIF(Import!$B:$B,$A1921,Import!I:I)</f>
        <v>375702.12</v>
      </c>
      <c r="O1921" s="99">
        <f>SUMIF(Import!$B:$B,$A1921,Import!J:J)</f>
        <v>398770</v>
      </c>
      <c r="P1921" s="99">
        <f t="shared" si="2437"/>
        <v>0</v>
      </c>
      <c r="Q1921" s="99">
        <f>SUMIF(Import!$B:$B,$A1921,Import!K:K)</f>
        <v>398770</v>
      </c>
      <c r="R1921" s="99">
        <f>SUMIF(Import!$B:$B,$A1921,Import!L:L)</f>
        <v>0</v>
      </c>
      <c r="S1921" s="99">
        <f>SUMIF(Import!$B:$B,$A1921,Import!M:M)</f>
        <v>0</v>
      </c>
      <c r="T1921" s="99">
        <f>SUMIF(Import!$B:$B,$A1921,Import!N:N)</f>
        <v>398770</v>
      </c>
      <c r="U1921" s="99">
        <f t="shared" si="2438"/>
        <v>0</v>
      </c>
      <c r="V1921" s="255">
        <f t="shared" si="2439"/>
        <v>0</v>
      </c>
      <c r="W1921" s="102" t="s">
        <v>3112</v>
      </c>
      <c r="X1921" s="102"/>
      <c r="Y1921" s="102">
        <f t="shared" si="2440"/>
        <v>398770</v>
      </c>
      <c r="Z1921" s="309">
        <f>Y1921*(1+VLOOKUP($F1921,'GL Category'!$A:$H,4,FALSE))</f>
        <v>410733.10000000003</v>
      </c>
      <c r="AA1921" s="615"/>
      <c r="AB1921" s="622">
        <f t="shared" si="2441"/>
        <v>410733.10000000003</v>
      </c>
      <c r="AC1921" s="633">
        <f>AB1921*(1+VLOOKUP($F1921,'GL Category'!$A:$H,5,FALSE))</f>
        <v>423055.09300000005</v>
      </c>
      <c r="AE1921" s="622">
        <f t="shared" si="2442"/>
        <v>423055.09300000005</v>
      </c>
      <c r="AF1921" s="633">
        <f>AE1921*(1+VLOOKUP($F1921,'GL Category'!$A:$H,6,FALSE))</f>
        <v>435746.74579000007</v>
      </c>
      <c r="AH1921" s="622">
        <f t="shared" si="2443"/>
        <v>435746.74579000007</v>
      </c>
      <c r="AI1921" s="633">
        <f>AH1921*(1+VLOOKUP($F1921,'GL Category'!$A:$H,7,FALSE))</f>
        <v>448819.14816370007</v>
      </c>
      <c r="AK1921" s="622">
        <f t="shared" si="2444"/>
        <v>448819.14816370007</v>
      </c>
      <c r="AL1921" s="633">
        <f>AK1921*(1+VLOOKUP($F1921,'GL Category'!$A:$H,8,FALSE))</f>
        <v>462283.7226086111</v>
      </c>
      <c r="AN1921" s="622">
        <f t="shared" si="2445"/>
        <v>462283.7226086111</v>
      </c>
      <c r="AO1921" s="196"/>
      <c r="AP1921" s="196"/>
      <c r="AQ1921" s="196"/>
      <c r="AR1921" s="192"/>
      <c r="AS1921" s="192"/>
      <c r="AT1921" s="192"/>
      <c r="AU1921" s="192"/>
      <c r="AV1921" s="192"/>
      <c r="AW1921" s="192"/>
    </row>
    <row r="1922" spans="1:49" ht="15" customHeight="1">
      <c r="A1922" s="555" t="s">
        <v>3107</v>
      </c>
      <c r="B1922" s="217" t="str">
        <f t="shared" si="2423"/>
        <v>100</v>
      </c>
      <c r="C1922" s="217" t="str">
        <f t="shared" si="2424"/>
        <v>99</v>
      </c>
      <c r="D1922" s="101" t="str">
        <f t="shared" si="2425"/>
        <v>994</v>
      </c>
      <c r="E1922" s="217" t="str">
        <f t="shared" si="2436"/>
        <v>100-99</v>
      </c>
      <c r="F1922" s="294" t="str">
        <f t="shared" si="2426"/>
        <v>53599</v>
      </c>
      <c r="G1922" s="295" t="str">
        <f>VLOOKUP(F1922,'GL Category'!A:C,3,FALSE)</f>
        <v>Services &amp; other</v>
      </c>
      <c r="H1922" s="98" t="str">
        <f>VLOOKUP(F1922,'GL Category'!A:C,2,FALSE)</f>
        <v>MISCELLANEOUS SERVICES</v>
      </c>
      <c r="I1922" s="99">
        <f>SUMIF(Import!$B:$B,$A1922,Import!D:D)</f>
        <v>49770.87</v>
      </c>
      <c r="J1922" s="99">
        <f>SUMIF(Import!$B:$B,$A1922,Import!E:E)</f>
        <v>47259.99</v>
      </c>
      <c r="K1922" s="99">
        <f>SUMIF(Import!$B:$B,$A1922,Import!F:F)</f>
        <v>68932.34</v>
      </c>
      <c r="L1922" s="99">
        <f>SUMIF(Import!$B:$B,$A1922,Import!G:G)</f>
        <v>84791.35</v>
      </c>
      <c r="M1922" s="99">
        <f>SUMIF(Import!$B:$B,$A1922,Import!H:H)</f>
        <v>83341</v>
      </c>
      <c r="N1922" s="99">
        <f>SUMIF(Import!$B:$B,$A1922,Import!I:I)</f>
        <v>75427.87</v>
      </c>
      <c r="O1922" s="99">
        <f>SUMIF(Import!$B:$B,$A1922,Import!J:J)</f>
        <v>83341</v>
      </c>
      <c r="P1922" s="99">
        <f t="shared" si="2437"/>
        <v>0</v>
      </c>
      <c r="Q1922" s="99">
        <f>SUMIF(Import!$B:$B,$A1922,Import!K:K)</f>
        <v>83341</v>
      </c>
      <c r="R1922" s="99">
        <f>SUMIF(Import!$B:$B,$A1922,Import!L:L)</f>
        <v>0</v>
      </c>
      <c r="S1922" s="99">
        <f>SUMIF(Import!$B:$B,$A1922,Import!M:M)</f>
        <v>0</v>
      </c>
      <c r="T1922" s="99">
        <f>SUMIF(Import!$B:$B,$A1922,Import!N:N)</f>
        <v>83341</v>
      </c>
      <c r="U1922" s="99">
        <f t="shared" si="2438"/>
        <v>0</v>
      </c>
      <c r="V1922" s="255">
        <f t="shared" si="2439"/>
        <v>0</v>
      </c>
      <c r="W1922" s="102" t="s">
        <v>3107</v>
      </c>
      <c r="X1922" s="102"/>
      <c r="Y1922" s="102">
        <f t="shared" si="2440"/>
        <v>83341</v>
      </c>
      <c r="Z1922" s="309">
        <f>Y1922*(1+VLOOKUP($F1922,'GL Category'!$A:$H,4,FALSE))</f>
        <v>85841.23</v>
      </c>
      <c r="AA1922" s="615"/>
      <c r="AB1922" s="622">
        <f t="shared" si="2441"/>
        <v>85841.23</v>
      </c>
      <c r="AC1922" s="633">
        <f>AB1922*(1+VLOOKUP($F1922,'GL Category'!$A:$H,5,FALSE))</f>
        <v>88416.466899999999</v>
      </c>
      <c r="AD1922" s="615"/>
      <c r="AE1922" s="622">
        <f t="shared" si="2442"/>
        <v>88416.466899999999</v>
      </c>
      <c r="AF1922" s="633">
        <f>AE1922*(1+VLOOKUP($F1922,'GL Category'!$A:$H,6,FALSE))</f>
        <v>91068.960907000001</v>
      </c>
      <c r="AG1922" s="615"/>
      <c r="AH1922" s="622">
        <f t="shared" si="2443"/>
        <v>91068.960907000001</v>
      </c>
      <c r="AI1922" s="633">
        <f>AH1922*(1+VLOOKUP($F1922,'GL Category'!$A:$H,7,FALSE))</f>
        <v>93801.029734210009</v>
      </c>
      <c r="AJ1922" s="615"/>
      <c r="AK1922" s="622">
        <f t="shared" si="2444"/>
        <v>93801.029734210009</v>
      </c>
      <c r="AL1922" s="633">
        <f>AK1922*(1+VLOOKUP($F1922,'GL Category'!$A:$H,8,FALSE))</f>
        <v>96615.060626236314</v>
      </c>
      <c r="AM1922" s="615"/>
      <c r="AN1922" s="622">
        <f t="shared" si="2445"/>
        <v>96615.060626236314</v>
      </c>
      <c r="AO1922" s="194"/>
      <c r="AP1922" s="194"/>
      <c r="AQ1922" s="194"/>
      <c r="AR1922" s="192"/>
      <c r="AS1922" s="192"/>
      <c r="AT1922" s="192"/>
      <c r="AU1922" s="192"/>
      <c r="AV1922" s="192"/>
      <c r="AW1922" s="192"/>
    </row>
    <row r="1923" spans="1:49" ht="15" customHeight="1">
      <c r="A1923" s="555" t="s">
        <v>3113</v>
      </c>
      <c r="B1923" s="217" t="str">
        <f t="shared" si="2423"/>
        <v>100</v>
      </c>
      <c r="C1923" s="217" t="str">
        <f t="shared" si="2424"/>
        <v>99</v>
      </c>
      <c r="D1923" s="101" t="str">
        <f t="shared" si="2425"/>
        <v>994</v>
      </c>
      <c r="E1923" s="217" t="str">
        <f t="shared" si="2436"/>
        <v>100-99</v>
      </c>
      <c r="F1923" s="294" t="str">
        <f t="shared" si="2426"/>
        <v>53582</v>
      </c>
      <c r="G1923" s="295" t="str">
        <f>VLOOKUP(F1923,'GL Category'!A:C,3,FALSE)</f>
        <v>Services &amp; other</v>
      </c>
      <c r="H1923" s="98" t="str">
        <f>VLOOKUP(F1923,'GL Category'!A:C,2,FALSE)</f>
        <v>JUDGMENTS/CLAIMS/DAMAGES</v>
      </c>
      <c r="I1923" s="99">
        <f>SUMIF(Import!$B:$B,$A1923,Import!D:D)</f>
        <v>158.29</v>
      </c>
      <c r="J1923" s="99">
        <f>SUMIF(Import!$B:$B,$A1923,Import!E:E)</f>
        <v>4712.38</v>
      </c>
      <c r="K1923" s="99">
        <f>SUMIF(Import!$B:$B,$A1923,Import!F:F)</f>
        <v>0</v>
      </c>
      <c r="L1923" s="99">
        <f>SUMIF(Import!$B:$B,$A1923,Import!G:G)</f>
        <v>0</v>
      </c>
      <c r="M1923" s="99">
        <f>SUMIF(Import!$B:$B,$A1923,Import!H:H)</f>
        <v>10000</v>
      </c>
      <c r="N1923" s="99">
        <f>SUMIF(Import!$B:$B,$A1923,Import!I:I)</f>
        <v>0</v>
      </c>
      <c r="O1923" s="99">
        <f>SUMIF(Import!$B:$B,$A1923,Import!J:J)</f>
        <v>10000</v>
      </c>
      <c r="P1923" s="99">
        <f t="shared" si="2437"/>
        <v>0</v>
      </c>
      <c r="Q1923" s="99">
        <f>SUMIF(Import!$B:$B,$A1923,Import!K:K)</f>
        <v>10000</v>
      </c>
      <c r="R1923" s="99">
        <f>SUMIF(Import!$B:$B,$A1923,Import!L:L)</f>
        <v>0</v>
      </c>
      <c r="S1923" s="99">
        <f>SUMIF(Import!$B:$B,$A1923,Import!M:M)</f>
        <v>0</v>
      </c>
      <c r="T1923" s="99">
        <f>SUMIF(Import!$B:$B,$A1923,Import!N:N)</f>
        <v>10000</v>
      </c>
      <c r="U1923" s="99">
        <f t="shared" si="2438"/>
        <v>0</v>
      </c>
      <c r="V1923" s="255">
        <f t="shared" si="2439"/>
        <v>0</v>
      </c>
      <c r="W1923" s="102" t="s">
        <v>3113</v>
      </c>
      <c r="X1923" s="102"/>
      <c r="Y1923" s="102">
        <f t="shared" si="2440"/>
        <v>10000</v>
      </c>
      <c r="Z1923" s="309">
        <f>Y1923*(1+VLOOKUP($F1923,'GL Category'!$A:$H,4,FALSE))</f>
        <v>10300</v>
      </c>
      <c r="AA1923" s="615"/>
      <c r="AB1923" s="622">
        <f t="shared" si="2441"/>
        <v>10300</v>
      </c>
      <c r="AC1923" s="633">
        <f>AB1923*(1+VLOOKUP($F1923,'GL Category'!$A:$H,5,FALSE))</f>
        <v>10609</v>
      </c>
      <c r="AE1923" s="622">
        <f t="shared" si="2442"/>
        <v>10609</v>
      </c>
      <c r="AF1923" s="633">
        <f>AE1923*(1+VLOOKUP($F1923,'GL Category'!$A:$H,6,FALSE))</f>
        <v>10927.27</v>
      </c>
      <c r="AH1923" s="622">
        <f t="shared" si="2443"/>
        <v>10927.27</v>
      </c>
      <c r="AI1923" s="633">
        <f>AH1923*(1+VLOOKUP($F1923,'GL Category'!$A:$H,7,FALSE))</f>
        <v>11255.088100000001</v>
      </c>
      <c r="AK1923" s="622">
        <f t="shared" si="2444"/>
        <v>11255.088100000001</v>
      </c>
      <c r="AL1923" s="633">
        <f>AK1923*(1+VLOOKUP($F1923,'GL Category'!$A:$H,8,FALSE))</f>
        <v>11592.740743</v>
      </c>
      <c r="AN1923" s="622">
        <f t="shared" si="2445"/>
        <v>11592.740743</v>
      </c>
      <c r="AO1923" s="194"/>
      <c r="AP1923" s="194"/>
      <c r="AQ1923" s="194"/>
      <c r="AR1923" s="192"/>
      <c r="AS1923" s="192"/>
      <c r="AT1923" s="192"/>
      <c r="AU1923" s="192"/>
      <c r="AV1923" s="192"/>
      <c r="AW1923" s="192"/>
    </row>
    <row r="1924" spans="1:49" ht="15" customHeight="1">
      <c r="A1924" s="555" t="s">
        <v>3114</v>
      </c>
      <c r="B1924" s="217" t="str">
        <f t="shared" si="2423"/>
        <v>100</v>
      </c>
      <c r="C1924" s="217" t="str">
        <f t="shared" si="2424"/>
        <v>99</v>
      </c>
      <c r="D1924" s="101" t="str">
        <f t="shared" si="2425"/>
        <v>994</v>
      </c>
      <c r="E1924" s="217" t="str">
        <f t="shared" si="2436"/>
        <v>100-99</v>
      </c>
      <c r="F1924" s="294" t="str">
        <f t="shared" si="2426"/>
        <v>55119</v>
      </c>
      <c r="G1924" s="295" t="str">
        <f>VLOOKUP(F1924,'GL Category'!A:C,3,FALSE)</f>
        <v>Services &amp; other</v>
      </c>
      <c r="H1924" s="98" t="str">
        <f>VLOOKUP(F1924,'GL Category'!A:C,2,FALSE)</f>
        <v>OFFICE EQUIP LEASE EXP-CITY</v>
      </c>
      <c r="I1924" s="99">
        <f>SUMIF(Import!$B:$B,$A1924,Import!D:D)</f>
        <v>662123</v>
      </c>
      <c r="J1924" s="99">
        <f>SUMIF(Import!$B:$B,$A1924,Import!E:E)</f>
        <v>287123</v>
      </c>
      <c r="K1924" s="99">
        <f>SUMIF(Import!$B:$B,$A1924,Import!F:F)</f>
        <v>327390</v>
      </c>
      <c r="L1924" s="99">
        <f>SUMIF(Import!$B:$B,$A1924,Import!G:G)</f>
        <v>332960</v>
      </c>
      <c r="M1924" s="99">
        <f>SUMIF(Import!$B:$B,$A1924,Import!H:H)</f>
        <v>404990</v>
      </c>
      <c r="N1924" s="99">
        <f>SUMIF(Import!$B:$B,$A1924,Import!I:I)</f>
        <v>303742.5</v>
      </c>
      <c r="O1924" s="99">
        <f>SUMIF(Import!$B:$B,$A1924,Import!J:J)</f>
        <v>404990</v>
      </c>
      <c r="P1924" s="99">
        <f t="shared" si="2437"/>
        <v>0</v>
      </c>
      <c r="Q1924" s="99">
        <f>SUMIF(Import!$B:$B,$A1924,Import!K:K)</f>
        <v>400535</v>
      </c>
      <c r="R1924" s="99">
        <f>SUMIF(Import!$B:$B,$A1924,Import!L:L)</f>
        <v>0</v>
      </c>
      <c r="S1924" s="99">
        <f>SUMIF(Import!$B:$B,$A1924,Import!M:M)</f>
        <v>0</v>
      </c>
      <c r="T1924" s="99">
        <f>SUMIF(Import!$B:$B,$A1924,Import!N:N)</f>
        <v>400535</v>
      </c>
      <c r="U1924" s="99">
        <f t="shared" si="2438"/>
        <v>-4455</v>
      </c>
      <c r="V1924" s="255">
        <f t="shared" si="2439"/>
        <v>-1.1000271611644741E-2</v>
      </c>
      <c r="W1924" s="102" t="s">
        <v>3114</v>
      </c>
      <c r="X1924" s="102"/>
      <c r="Y1924" s="102">
        <f t="shared" si="2440"/>
        <v>400535</v>
      </c>
      <c r="Z1924" s="309">
        <f>Y1924*(1+VLOOKUP($F1924,'GL Category'!$A:$H,4,FALSE))</f>
        <v>412551.05</v>
      </c>
      <c r="AA1924" s="615"/>
      <c r="AB1924" s="622">
        <f t="shared" si="2441"/>
        <v>412551.05</v>
      </c>
      <c r="AC1924" s="633">
        <f>AB1924*(1+VLOOKUP($F1924,'GL Category'!$A:$H,5,FALSE))</f>
        <v>424927.58149999997</v>
      </c>
      <c r="AE1924" s="622">
        <f t="shared" si="2442"/>
        <v>424927.58149999997</v>
      </c>
      <c r="AF1924" s="633">
        <f>AE1924*(1+VLOOKUP($F1924,'GL Category'!$A:$H,6,FALSE))</f>
        <v>437675.40894499997</v>
      </c>
      <c r="AH1924" s="622">
        <f t="shared" si="2443"/>
        <v>437675.40894499997</v>
      </c>
      <c r="AI1924" s="633">
        <f>AH1924*(1+VLOOKUP($F1924,'GL Category'!$A:$H,7,FALSE))</f>
        <v>450805.67121334997</v>
      </c>
      <c r="AK1924" s="622">
        <f t="shared" si="2444"/>
        <v>450805.67121334997</v>
      </c>
      <c r="AL1924" s="633">
        <f>AK1924*(1+VLOOKUP($F1924,'GL Category'!$A:$H,8,FALSE))</f>
        <v>464329.84134975047</v>
      </c>
      <c r="AN1924" s="622">
        <f t="shared" si="2445"/>
        <v>464329.84134975047</v>
      </c>
      <c r="AO1924" s="317"/>
      <c r="AP1924" s="317"/>
      <c r="AQ1924" s="317"/>
      <c r="AR1924" s="192"/>
      <c r="AS1924" s="192"/>
      <c r="AT1924" s="192"/>
      <c r="AU1924" s="192"/>
      <c r="AV1924" s="192"/>
      <c r="AW1924" s="192"/>
    </row>
    <row r="1925" spans="1:49" ht="15" customHeight="1">
      <c r="A1925" s="555"/>
      <c r="B1925" s="217"/>
      <c r="C1925" s="217"/>
      <c r="D1925" s="101"/>
      <c r="E1925" s="217"/>
      <c r="F1925" s="294"/>
      <c r="G1925" s="295"/>
      <c r="H1925" s="107" t="str">
        <f>UPPER(G1924)&amp;" TOTAL"</f>
        <v>SERVICES &amp; OTHER TOTAL</v>
      </c>
      <c r="I1925" s="108">
        <f t="shared" ref="I1925" si="2446">SUBTOTAL(9,I1917:I1924)</f>
        <v>935552.8</v>
      </c>
      <c r="J1925" s="108">
        <f t="shared" ref="J1925:T1925" si="2447">SUBTOTAL(9,J1917:J1924)</f>
        <v>620863.79</v>
      </c>
      <c r="K1925" s="108">
        <f t="shared" ref="K1925" si="2448">SUBTOTAL(9,K1917:K1924)</f>
        <v>683399.84</v>
      </c>
      <c r="L1925" s="108">
        <f t="shared" ref="L1925" si="2449">SUBTOTAL(9,L1917:L1924)</f>
        <v>761898.91</v>
      </c>
      <c r="M1925" s="108">
        <f t="shared" si="2447"/>
        <v>903337</v>
      </c>
      <c r="N1925" s="109">
        <f t="shared" ref="N1925" si="2450">SUBTOTAL(9,N1917:N1924)</f>
        <v>761268.76</v>
      </c>
      <c r="O1925" s="109">
        <f t="shared" si="2447"/>
        <v>903337</v>
      </c>
      <c r="P1925" s="109">
        <f t="shared" si="2447"/>
        <v>0</v>
      </c>
      <c r="Q1925" s="109">
        <f t="shared" si="2447"/>
        <v>898882</v>
      </c>
      <c r="R1925" s="109">
        <f t="shared" si="2447"/>
        <v>0</v>
      </c>
      <c r="S1925" s="109">
        <f t="shared" si="2447"/>
        <v>0</v>
      </c>
      <c r="T1925" s="109">
        <f t="shared" si="2447"/>
        <v>898882</v>
      </c>
      <c r="U1925" s="99">
        <f>T1925-M1925</f>
        <v>-4455</v>
      </c>
      <c r="V1925" s="255">
        <f>IF(M1925=0,"N/A",T1925/M1925-1)</f>
        <v>-4.9317142993146046E-3</v>
      </c>
      <c r="W1925" s="102"/>
      <c r="X1925" s="102"/>
      <c r="Y1925" s="102"/>
      <c r="AA1925" s="615"/>
      <c r="AB1925" s="192"/>
      <c r="AC1925" s="317"/>
      <c r="AD1925" s="317"/>
      <c r="AE1925" s="317"/>
      <c r="AF1925" s="317"/>
      <c r="AG1925" s="317"/>
      <c r="AH1925" s="192"/>
      <c r="AI1925" s="192"/>
      <c r="AJ1925" s="317"/>
      <c r="AK1925" s="317"/>
      <c r="AL1925" s="317"/>
      <c r="AM1925" s="317"/>
      <c r="AN1925" s="317"/>
      <c r="AO1925" s="317"/>
      <c r="AP1925" s="317"/>
      <c r="AQ1925" s="317"/>
      <c r="AR1925" s="192"/>
      <c r="AS1925" s="192"/>
      <c r="AT1925" s="192"/>
      <c r="AU1925" s="192"/>
      <c r="AV1925" s="192"/>
      <c r="AW1925" s="192"/>
    </row>
    <row r="1926" spans="1:49" ht="15" customHeight="1">
      <c r="A1926" s="555"/>
      <c r="B1926" s="217"/>
      <c r="C1926" s="217"/>
      <c r="D1926" s="101"/>
      <c r="E1926" s="217"/>
      <c r="F1926" s="294"/>
      <c r="G1926" s="295"/>
      <c r="H1926" s="98"/>
      <c r="I1926" s="106"/>
      <c r="J1926" s="106"/>
      <c r="K1926" s="106"/>
      <c r="L1926" s="106"/>
      <c r="M1926" s="106"/>
      <c r="N1926" s="112"/>
      <c r="O1926" s="112"/>
      <c r="P1926" s="112"/>
      <c r="Q1926" s="113"/>
      <c r="R1926" s="113"/>
      <c r="S1926" s="113"/>
      <c r="T1926" s="113"/>
      <c r="U1926" s="99"/>
      <c r="V1926" s="255"/>
      <c r="W1926" s="102"/>
      <c r="X1926" s="102"/>
      <c r="Y1926" s="102"/>
      <c r="AA1926" s="615"/>
      <c r="AB1926" s="192"/>
      <c r="AC1926" s="317"/>
      <c r="AD1926" s="317"/>
      <c r="AE1926" s="317"/>
      <c r="AF1926" s="317"/>
      <c r="AG1926" s="317"/>
      <c r="AH1926" s="192"/>
      <c r="AI1926" s="192"/>
      <c r="AJ1926" s="317"/>
      <c r="AK1926" s="317"/>
      <c r="AL1926" s="317"/>
      <c r="AM1926" s="317"/>
      <c r="AN1926" s="317"/>
      <c r="AO1926" s="317"/>
      <c r="AP1926" s="317"/>
      <c r="AQ1926" s="317"/>
      <c r="AR1926" s="192"/>
      <c r="AS1926" s="192"/>
      <c r="AT1926" s="192"/>
      <c r="AU1926" s="192"/>
      <c r="AV1926" s="192"/>
      <c r="AW1926" s="192"/>
    </row>
    <row r="1927" spans="1:49" ht="15" customHeight="1">
      <c r="A1927" s="555" t="s">
        <v>3115</v>
      </c>
      <c r="B1927" s="217" t="str">
        <f t="shared" si="2423"/>
        <v>100</v>
      </c>
      <c r="C1927" s="217" t="str">
        <f t="shared" si="2424"/>
        <v>99</v>
      </c>
      <c r="D1927" s="101" t="str">
        <f t="shared" si="2425"/>
        <v>994</v>
      </c>
      <c r="E1927" s="217" t="str">
        <f>LEFT(A1927,6)</f>
        <v>100-99</v>
      </c>
      <c r="F1927" s="294" t="str">
        <f t="shared" si="2426"/>
        <v>58801</v>
      </c>
      <c r="G1927" s="295" t="str">
        <f>VLOOKUP(F1927,'GL Category'!A:C,3,FALSE)</f>
        <v>Capital Outlay</v>
      </c>
      <c r="H1927" s="98" t="str">
        <f>VLOOKUP(F1927,'GL Category'!A:C,2,FALSE)</f>
        <v>LAND &amp; LAND RIGHTS</v>
      </c>
      <c r="I1927" s="99">
        <f>SUMIF(Import!$B:$B,$A1927,Import!D:D)</f>
        <v>0</v>
      </c>
      <c r="J1927" s="99">
        <f>SUMIF(Import!$B:$B,$A1927,Import!E:E)</f>
        <v>0</v>
      </c>
      <c r="K1927" s="99">
        <f>SUMIF(Import!$B:$B,$A1927,Import!F:F)</f>
        <v>0</v>
      </c>
      <c r="L1927" s="99">
        <f>SUMIF(Import!$B:$B,$A1927,Import!G:G)</f>
        <v>0</v>
      </c>
      <c r="M1927" s="99">
        <f>SUMIF(Import!$B:$B,$A1927,Import!H:H)</f>
        <v>0</v>
      </c>
      <c r="N1927" s="99">
        <f>SUMIF(Import!$B:$B,$A1927,Import!I:I)</f>
        <v>0</v>
      </c>
      <c r="O1927" s="99">
        <f>SUMIF(Import!$B:$B,$A1927,Import!J:J)</f>
        <v>0</v>
      </c>
      <c r="P1927" s="99">
        <f t="shared" ref="P1927" si="2451">O1927-M1927</f>
        <v>0</v>
      </c>
      <c r="Q1927" s="99">
        <f>SUMIF(Import!$B:$B,$A1927,Import!K:K)</f>
        <v>0</v>
      </c>
      <c r="R1927" s="99">
        <f>SUMIF(Import!$B:$B,$A1927,Import!L:L)</f>
        <v>0</v>
      </c>
      <c r="S1927" s="99">
        <f>SUMIF(Import!$B:$B,$A1927,Import!M:M)</f>
        <v>0</v>
      </c>
      <c r="T1927" s="99">
        <f>SUMIF(Import!$B:$B,$A1927,Import!N:N)</f>
        <v>0</v>
      </c>
      <c r="U1927" s="99">
        <f t="shared" ref="U1927" si="2452">T1927-M1927</f>
        <v>0</v>
      </c>
      <c r="V1927" s="255" t="str">
        <f t="shared" ref="V1927" si="2453">IF(M1927=0,"N/A",T1927/M1927-1)</f>
        <v>N/A</v>
      </c>
      <c r="W1927" s="102" t="s">
        <v>3115</v>
      </c>
      <c r="X1927" s="102"/>
      <c r="Y1927" s="102">
        <f t="shared" ref="Y1927" si="2454">T1927-X1927</f>
        <v>0</v>
      </c>
      <c r="Z1927" s="309">
        <f>Y1927*(1+VLOOKUP($F1927,'GL Category'!$A:$H,4,FALSE))</f>
        <v>0</v>
      </c>
      <c r="AA1927" s="615"/>
      <c r="AB1927" s="622">
        <f>Z1927+AA1927</f>
        <v>0</v>
      </c>
      <c r="AC1927" s="633">
        <f>AB1927*(1+VLOOKUP($F1927,'GL Category'!$A:$H,5,FALSE))</f>
        <v>0</v>
      </c>
      <c r="AE1927" s="622">
        <f>AC1927+AD1927</f>
        <v>0</v>
      </c>
      <c r="AF1927" s="633">
        <f>AE1927*(1+VLOOKUP($F1927,'GL Category'!$A:$H,6,FALSE))</f>
        <v>0</v>
      </c>
      <c r="AH1927" s="622">
        <f>AF1927+AG1927</f>
        <v>0</v>
      </c>
      <c r="AI1927" s="633">
        <f>AH1927*(1+VLOOKUP($F1927,'GL Category'!$A:$H,7,FALSE))</f>
        <v>0</v>
      </c>
      <c r="AK1927" s="622">
        <f>AI1927+AJ1927</f>
        <v>0</v>
      </c>
      <c r="AL1927" s="633">
        <f>AK1927*(1+VLOOKUP($F1927,'GL Category'!$A:$H,8,FALSE))</f>
        <v>0</v>
      </c>
      <c r="AN1927" s="622">
        <f>AL1927+AM1927</f>
        <v>0</v>
      </c>
      <c r="AO1927" s="317"/>
      <c r="AP1927" s="317"/>
      <c r="AQ1927" s="317"/>
      <c r="AR1927" s="192"/>
      <c r="AS1927" s="192"/>
      <c r="AT1927" s="192"/>
      <c r="AU1927" s="192"/>
      <c r="AV1927" s="192"/>
      <c r="AW1927" s="192"/>
    </row>
    <row r="1928" spans="1:49" ht="15" customHeight="1">
      <c r="A1928" s="555"/>
      <c r="B1928" s="217"/>
      <c r="C1928" s="217"/>
      <c r="D1928" s="101"/>
      <c r="E1928" s="217"/>
      <c r="F1928" s="294"/>
      <c r="G1928" s="295"/>
      <c r="H1928" s="107" t="str">
        <f>UPPER(G1927)&amp;" TOTAL"</f>
        <v>CAPITAL OUTLAY TOTAL</v>
      </c>
      <c r="I1928" s="109">
        <f t="shared" ref="I1928" si="2455">SUBTOTAL(9,I1927:I1927)</f>
        <v>0</v>
      </c>
      <c r="J1928" s="109">
        <f t="shared" ref="J1928:T1928" si="2456">SUBTOTAL(9,J1927:J1927)</f>
        <v>0</v>
      </c>
      <c r="K1928" s="109">
        <f t="shared" ref="K1928" si="2457">SUBTOTAL(9,K1927:K1927)</f>
        <v>0</v>
      </c>
      <c r="L1928" s="109">
        <f t="shared" ref="L1928" si="2458">SUBTOTAL(9,L1927:L1927)</f>
        <v>0</v>
      </c>
      <c r="M1928" s="109">
        <f t="shared" si="2456"/>
        <v>0</v>
      </c>
      <c r="N1928" s="109">
        <f t="shared" ref="N1928" si="2459">SUBTOTAL(9,N1927:N1927)</f>
        <v>0</v>
      </c>
      <c r="O1928" s="109">
        <f t="shared" si="2456"/>
        <v>0</v>
      </c>
      <c r="P1928" s="109">
        <f t="shared" si="2456"/>
        <v>0</v>
      </c>
      <c r="Q1928" s="109">
        <f t="shared" si="2456"/>
        <v>0</v>
      </c>
      <c r="R1928" s="109">
        <f t="shared" si="2456"/>
        <v>0</v>
      </c>
      <c r="S1928" s="109">
        <f t="shared" si="2456"/>
        <v>0</v>
      </c>
      <c r="T1928" s="109">
        <f t="shared" si="2456"/>
        <v>0</v>
      </c>
      <c r="U1928" s="99">
        <f>T1928-M1928</f>
        <v>0</v>
      </c>
      <c r="V1928" s="255" t="str">
        <f>IF(M1928=0,"N/A",T1928/M1928-1)</f>
        <v>N/A</v>
      </c>
      <c r="W1928" s="102"/>
      <c r="X1928" s="102"/>
      <c r="Y1928" s="102"/>
      <c r="AA1928" s="615"/>
      <c r="AB1928" s="192"/>
      <c r="AC1928" s="317"/>
      <c r="AD1928" s="317"/>
      <c r="AE1928" s="317"/>
      <c r="AF1928" s="317"/>
      <c r="AG1928" s="317"/>
      <c r="AH1928" s="192"/>
      <c r="AI1928" s="192"/>
      <c r="AJ1928" s="317"/>
      <c r="AK1928" s="317"/>
      <c r="AL1928" s="317"/>
      <c r="AM1928" s="317"/>
      <c r="AN1928" s="317"/>
      <c r="AO1928" s="317"/>
      <c r="AP1928" s="317"/>
      <c r="AQ1928" s="317"/>
      <c r="AR1928" s="192"/>
      <c r="AS1928" s="192"/>
      <c r="AT1928" s="192"/>
      <c r="AU1928" s="192"/>
      <c r="AV1928" s="192"/>
      <c r="AW1928" s="192"/>
    </row>
    <row r="1929" spans="1:49" ht="15" customHeight="1">
      <c r="A1929" s="555"/>
      <c r="B1929" s="217"/>
      <c r="C1929" s="217"/>
      <c r="D1929" s="101"/>
      <c r="E1929" s="217"/>
      <c r="F1929" s="294"/>
      <c r="G1929" s="295"/>
      <c r="H1929" s="98"/>
      <c r="I1929" s="106"/>
      <c r="J1929" s="106"/>
      <c r="K1929" s="106"/>
      <c r="L1929" s="106"/>
      <c r="M1929" s="106"/>
      <c r="N1929" s="112"/>
      <c r="O1929" s="112"/>
      <c r="P1929" s="112"/>
      <c r="Q1929" s="113"/>
      <c r="R1929" s="113"/>
      <c r="S1929" s="113"/>
      <c r="T1929" s="113"/>
      <c r="U1929" s="99"/>
      <c r="V1929" s="255"/>
      <c r="W1929" s="102"/>
      <c r="X1929" s="102"/>
      <c r="Y1929" s="102"/>
      <c r="AA1929" s="615"/>
      <c r="AB1929" s="192"/>
      <c r="AC1929" s="317"/>
      <c r="AD1929" s="317"/>
      <c r="AE1929" s="317"/>
      <c r="AF1929" s="317"/>
      <c r="AG1929" s="317"/>
      <c r="AH1929" s="192"/>
      <c r="AI1929" s="192"/>
      <c r="AJ1929" s="317"/>
      <c r="AK1929" s="317"/>
      <c r="AL1929" s="317"/>
      <c r="AM1929" s="317"/>
      <c r="AN1929" s="317"/>
      <c r="AO1929" s="317"/>
      <c r="AP1929" s="317"/>
      <c r="AQ1929" s="317"/>
      <c r="AR1929" s="192"/>
      <c r="AS1929" s="192"/>
      <c r="AT1929" s="192"/>
      <c r="AU1929" s="192"/>
      <c r="AV1929" s="192"/>
      <c r="AW1929" s="192"/>
    </row>
    <row r="1930" spans="1:49" ht="15" customHeight="1">
      <c r="A1930" s="555"/>
      <c r="B1930" s="217"/>
      <c r="C1930" s="217"/>
      <c r="D1930" s="101"/>
      <c r="E1930" s="217"/>
      <c r="F1930" s="294"/>
      <c r="G1930" s="295"/>
      <c r="H1930" s="114" t="s">
        <v>51</v>
      </c>
      <c r="I1930" s="108">
        <f t="shared" ref="I1930:T1930" si="2460">SUBTOTAL(9,I1893:I1928)</f>
        <v>2204092.6100000003</v>
      </c>
      <c r="J1930" s="108">
        <f t="shared" si="2460"/>
        <v>2026338.0399999998</v>
      </c>
      <c r="K1930" s="108">
        <f t="shared" si="2460"/>
        <v>950647.70000000007</v>
      </c>
      <c r="L1930" s="108">
        <f t="shared" si="2460"/>
        <v>1023262.02</v>
      </c>
      <c r="M1930" s="108">
        <f t="shared" si="2460"/>
        <v>1197524</v>
      </c>
      <c r="N1930" s="108">
        <f t="shared" si="2460"/>
        <v>955611.98</v>
      </c>
      <c r="O1930" s="108">
        <f t="shared" si="2460"/>
        <v>1197524</v>
      </c>
      <c r="P1930" s="108">
        <f t="shared" si="2460"/>
        <v>0</v>
      </c>
      <c r="Q1930" s="108">
        <f t="shared" si="2460"/>
        <v>1193069</v>
      </c>
      <c r="R1930" s="108">
        <f t="shared" si="2460"/>
        <v>0</v>
      </c>
      <c r="S1930" s="108">
        <f t="shared" si="2460"/>
        <v>0</v>
      </c>
      <c r="T1930" s="108">
        <f t="shared" si="2460"/>
        <v>1193069</v>
      </c>
      <c r="U1930" s="99">
        <f>T1930-M1930</f>
        <v>-4455</v>
      </c>
      <c r="V1930" s="255">
        <f>IF(M1930=0,"N/A",T1930/M1930-1)</f>
        <v>-3.7201759630705045E-3</v>
      </c>
      <c r="W1930" s="102"/>
      <c r="X1930" s="102"/>
      <c r="Y1930" s="102"/>
      <c r="AA1930" s="615"/>
      <c r="AB1930" s="192"/>
      <c r="AC1930" s="317"/>
      <c r="AD1930" s="317"/>
      <c r="AE1930" s="317"/>
      <c r="AF1930" s="317"/>
      <c r="AG1930" s="317"/>
      <c r="AH1930" s="192"/>
      <c r="AI1930" s="192"/>
      <c r="AJ1930" s="317"/>
      <c r="AK1930" s="317"/>
      <c r="AL1930" s="317"/>
      <c r="AM1930" s="317"/>
      <c r="AN1930" s="317"/>
      <c r="AO1930" s="317"/>
      <c r="AP1930" s="317"/>
      <c r="AQ1930" s="317"/>
      <c r="AR1930" s="192"/>
      <c r="AS1930" s="192"/>
      <c r="AT1930" s="192"/>
      <c r="AU1930" s="192"/>
      <c r="AV1930" s="192"/>
      <c r="AW1930" s="192"/>
    </row>
    <row r="1931" spans="1:49" ht="15" customHeight="1">
      <c r="A1931" s="555"/>
      <c r="B1931" s="217"/>
      <c r="C1931" s="217"/>
      <c r="D1931" s="101"/>
      <c r="E1931" s="217"/>
      <c r="F1931" s="294"/>
      <c r="G1931" s="295"/>
      <c r="H1931" s="98"/>
      <c r="I1931" s="218"/>
      <c r="J1931" s="218"/>
      <c r="K1931" s="218"/>
      <c r="L1931" s="218"/>
      <c r="M1931" s="218"/>
      <c r="U1931" s="99"/>
      <c r="V1931" s="255"/>
      <c r="W1931" s="102"/>
      <c r="X1931" s="102"/>
      <c r="Y1931" s="102"/>
      <c r="Z1931" s="196"/>
      <c r="AA1931" s="615"/>
      <c r="AB1931" s="192"/>
      <c r="AC1931" s="317"/>
      <c r="AD1931" s="317"/>
      <c r="AE1931" s="317"/>
      <c r="AF1931" s="317"/>
      <c r="AG1931" s="317"/>
      <c r="AH1931" s="192"/>
      <c r="AI1931" s="192"/>
      <c r="AJ1931" s="317"/>
      <c r="AK1931" s="317"/>
      <c r="AL1931" s="317"/>
      <c r="AM1931" s="317"/>
      <c r="AN1931" s="317"/>
      <c r="AO1931" s="317"/>
      <c r="AP1931" s="317"/>
      <c r="AQ1931" s="317"/>
      <c r="AR1931" s="192"/>
      <c r="AS1931" s="192"/>
      <c r="AT1931" s="192"/>
      <c r="AU1931" s="192"/>
      <c r="AV1931" s="192"/>
      <c r="AW1931" s="192"/>
    </row>
    <row r="1932" spans="1:49" ht="15" customHeight="1">
      <c r="A1932" s="297"/>
      <c r="B1932" s="217"/>
      <c r="C1932" s="217"/>
      <c r="D1932" s="101"/>
      <c r="E1932" s="101"/>
      <c r="F1932" s="294"/>
      <c r="G1932" s="295"/>
      <c r="H1932" s="237"/>
      <c r="I1932" s="238"/>
      <c r="J1932" s="238"/>
      <c r="K1932" s="238"/>
      <c r="L1932" s="238"/>
      <c r="M1932" s="238"/>
      <c r="N1932" s="239"/>
      <c r="O1932" s="239"/>
      <c r="P1932" s="239"/>
      <c r="Q1932" s="239"/>
      <c r="R1932" s="239"/>
      <c r="S1932" s="239"/>
      <c r="T1932" s="239"/>
      <c r="U1932" s="253"/>
      <c r="V1932" s="253"/>
      <c r="W1932" s="240"/>
      <c r="X1932" s="240"/>
      <c r="Y1932" s="240"/>
      <c r="AB1932" s="192"/>
      <c r="AC1932" s="312"/>
      <c r="AD1932" s="312"/>
      <c r="AE1932" s="312"/>
      <c r="AF1932" s="312"/>
      <c r="AG1932" s="312"/>
      <c r="AH1932" s="192"/>
      <c r="AI1932" s="192"/>
      <c r="AJ1932" s="194"/>
      <c r="AK1932" s="194"/>
      <c r="AL1932" s="194"/>
      <c r="AM1932" s="194"/>
      <c r="AN1932" s="194"/>
      <c r="AO1932" s="194"/>
      <c r="AP1932" s="194"/>
      <c r="AQ1932" s="194"/>
      <c r="AR1932" s="192"/>
      <c r="AS1932" s="192"/>
      <c r="AT1932" s="192"/>
      <c r="AU1932" s="192"/>
      <c r="AV1932" s="192"/>
      <c r="AW1932" s="192"/>
    </row>
    <row r="1933" spans="1:49" ht="15" customHeight="1">
      <c r="A1933" s="297"/>
      <c r="B1933" s="217"/>
      <c r="C1933" s="217"/>
      <c r="D1933" s="101"/>
      <c r="E1933" s="101"/>
      <c r="F1933" s="294"/>
      <c r="G1933" s="295"/>
      <c r="H1933" s="295">
        <f t="shared" ref="H1933:V1933" si="2461">G1933+1</f>
        <v>1</v>
      </c>
      <c r="I1933" s="295" t="e">
        <f>#REF!+1</f>
        <v>#REF!</v>
      </c>
      <c r="J1933" s="295" t="e">
        <f>#REF!+1</f>
        <v>#REF!</v>
      </c>
      <c r="K1933" s="295" t="e">
        <f>I1933+1</f>
        <v>#REF!</v>
      </c>
      <c r="L1933" s="295" t="e">
        <f>J1933+1</f>
        <v>#REF!</v>
      </c>
      <c r="M1933" s="295" t="e">
        <f>J1933+1</f>
        <v>#REF!</v>
      </c>
      <c r="N1933" s="295" t="e">
        <f>J1933+1</f>
        <v>#REF!</v>
      </c>
      <c r="O1933" s="295" t="e">
        <f>M1933+1</f>
        <v>#REF!</v>
      </c>
      <c r="P1933" s="295" t="e">
        <f t="shared" si="2461"/>
        <v>#REF!</v>
      </c>
      <c r="Q1933" s="295" t="e">
        <f>P1933+1</f>
        <v>#REF!</v>
      </c>
      <c r="R1933" s="295" t="e">
        <f t="shared" si="2461"/>
        <v>#REF!</v>
      </c>
      <c r="S1933" s="295" t="e">
        <f>#REF!+1</f>
        <v>#REF!</v>
      </c>
      <c r="T1933" s="295" t="e">
        <f>#REF!+1</f>
        <v>#REF!</v>
      </c>
      <c r="U1933" s="295" t="e">
        <f t="shared" si="2461"/>
        <v>#REF!</v>
      </c>
      <c r="V1933" s="295" t="e">
        <f t="shared" si="2461"/>
        <v>#REF!</v>
      </c>
      <c r="W1933" s="295">
        <v>23</v>
      </c>
      <c r="X1933" s="295"/>
      <c r="Y1933" s="295"/>
      <c r="Z1933" s="491"/>
      <c r="AA1933" s="618"/>
      <c r="AB1933" s="192"/>
      <c r="AC1933" s="312"/>
      <c r="AD1933" s="312"/>
      <c r="AE1933" s="312"/>
      <c r="AF1933" s="312"/>
      <c r="AG1933" s="312"/>
      <c r="AH1933" s="192"/>
      <c r="AI1933" s="192"/>
      <c r="AJ1933" s="194"/>
      <c r="AK1933" s="194"/>
      <c r="AL1933" s="194"/>
      <c r="AM1933" s="194"/>
      <c r="AN1933" s="194"/>
      <c r="AO1933" s="194"/>
      <c r="AP1933" s="194"/>
      <c r="AQ1933" s="194"/>
      <c r="AR1933" s="192"/>
      <c r="AS1933" s="192"/>
      <c r="AT1933" s="192"/>
      <c r="AU1933" s="192"/>
      <c r="AV1933" s="192"/>
      <c r="AW1933" s="192"/>
    </row>
    <row r="1934" spans="1:49" ht="15" customHeight="1">
      <c r="A1934" s="297"/>
      <c r="B1934" s="217"/>
      <c r="C1934" s="217"/>
      <c r="D1934" s="101"/>
      <c r="E1934" s="101"/>
      <c r="F1934" s="294"/>
      <c r="G1934" s="295"/>
      <c r="H1934" s="98">
        <f>14509+4133</f>
        <v>18642</v>
      </c>
      <c r="I1934" s="99"/>
      <c r="J1934" s="99"/>
      <c r="K1934" s="99"/>
      <c r="L1934" s="99"/>
      <c r="M1934" s="99"/>
      <c r="N1934" s="99"/>
      <c r="O1934" s="99"/>
      <c r="P1934" s="99"/>
      <c r="Q1934" s="99"/>
      <c r="R1934" s="242"/>
      <c r="S1934" s="242"/>
      <c r="T1934" s="298"/>
      <c r="U1934" s="298"/>
      <c r="V1934" s="298"/>
      <c r="W1934" s="240"/>
      <c r="X1934" s="240"/>
      <c r="Y1934" s="240"/>
      <c r="AB1934" s="192"/>
      <c r="AC1934" s="312"/>
      <c r="AD1934" s="312"/>
      <c r="AE1934" s="312"/>
      <c r="AF1934" s="312"/>
      <c r="AG1934" s="312"/>
      <c r="AH1934" s="192"/>
      <c r="AI1934" s="192"/>
      <c r="AJ1934" s="194"/>
      <c r="AK1934" s="194"/>
      <c r="AL1934" s="194"/>
      <c r="AM1934" s="194"/>
      <c r="AN1934" s="194"/>
      <c r="AO1934" s="194"/>
      <c r="AP1934" s="194"/>
      <c r="AQ1934" s="194"/>
      <c r="AR1934" s="192"/>
      <c r="AS1934" s="192"/>
      <c r="AT1934" s="192"/>
      <c r="AU1934" s="192"/>
      <c r="AV1934" s="192"/>
      <c r="AW1934" s="192"/>
    </row>
    <row r="1935" spans="1:49" ht="15" customHeight="1">
      <c r="A1935" s="297"/>
      <c r="B1935" s="217"/>
      <c r="C1935" s="217"/>
      <c r="D1935" s="101"/>
      <c r="E1935" s="101"/>
      <c r="F1935" s="185"/>
      <c r="G1935" s="295"/>
      <c r="H1935" s="295">
        <f>H1934*4*1.04</f>
        <v>77550.720000000001</v>
      </c>
      <c r="I1935" s="99"/>
      <c r="J1935" s="99"/>
      <c r="K1935" s="99"/>
      <c r="L1935" s="99"/>
      <c r="M1935" s="99"/>
      <c r="N1935" s="99"/>
      <c r="O1935" s="99"/>
      <c r="P1935" s="99"/>
      <c r="Q1935" s="99"/>
      <c r="R1935" s="99"/>
      <c r="S1935" s="99"/>
      <c r="T1935" s="99"/>
      <c r="U1935" s="298"/>
      <c r="V1935" s="298"/>
      <c r="W1935" s="240"/>
      <c r="X1935" s="240"/>
      <c r="Y1935" s="240"/>
      <c r="AB1935" s="192"/>
      <c r="AC1935" s="312"/>
      <c r="AD1935" s="312"/>
      <c r="AE1935" s="312"/>
      <c r="AF1935" s="312"/>
      <c r="AG1935" s="312"/>
      <c r="AH1935" s="192"/>
      <c r="AI1935" s="192"/>
      <c r="AJ1935" s="194"/>
      <c r="AK1935" s="194"/>
      <c r="AL1935" s="194"/>
      <c r="AM1935" s="194"/>
      <c r="AN1935" s="194"/>
      <c r="AO1935" s="194"/>
      <c r="AP1935" s="194"/>
      <c r="AQ1935" s="194"/>
      <c r="AR1935" s="192"/>
      <c r="AS1935" s="192"/>
      <c r="AT1935" s="192"/>
      <c r="AU1935" s="192"/>
      <c r="AV1935" s="192"/>
      <c r="AW1935" s="192"/>
    </row>
    <row r="1936" spans="1:49" ht="15" customHeight="1">
      <c r="A1936" s="297"/>
      <c r="B1936" s="217"/>
      <c r="C1936" s="217"/>
      <c r="D1936" s="101"/>
      <c r="E1936" s="101"/>
      <c r="F1936" s="185"/>
      <c r="G1936" s="295"/>
      <c r="H1936" s="295"/>
      <c r="I1936" s="99"/>
      <c r="J1936" s="99"/>
      <c r="K1936" s="99"/>
      <c r="L1936" s="99"/>
      <c r="M1936" s="99"/>
      <c r="N1936" s="99"/>
      <c r="O1936" s="99"/>
      <c r="P1936" s="99"/>
      <c r="Q1936" s="99"/>
      <c r="R1936" s="99"/>
      <c r="S1936" s="99"/>
      <c r="T1936" s="99"/>
      <c r="U1936" s="253"/>
      <c r="V1936" s="298"/>
      <c r="W1936" s="240"/>
      <c r="X1936" s="240"/>
      <c r="Y1936" s="240"/>
      <c r="AB1936" s="192"/>
      <c r="AC1936" s="312"/>
      <c r="AD1936" s="312"/>
      <c r="AE1936" s="312"/>
      <c r="AF1936" s="312"/>
      <c r="AG1936" s="312"/>
      <c r="AH1936" s="192"/>
      <c r="AI1936" s="192"/>
      <c r="AJ1936" s="194"/>
      <c r="AK1936" s="194"/>
      <c r="AL1936" s="194"/>
      <c r="AM1936" s="194"/>
      <c r="AN1936" s="194"/>
      <c r="AO1936" s="194"/>
      <c r="AP1936" s="194"/>
      <c r="AQ1936" s="194"/>
      <c r="AR1936" s="192"/>
      <c r="AS1936" s="192"/>
      <c r="AT1936" s="192"/>
      <c r="AU1936" s="192"/>
      <c r="AV1936" s="192"/>
      <c r="AW1936" s="192"/>
    </row>
    <row r="1937" spans="1:49" ht="15" customHeight="1">
      <c r="A1937" s="297"/>
      <c r="B1937" s="217"/>
      <c r="C1937" s="217"/>
      <c r="D1937" s="101"/>
      <c r="E1937" s="101"/>
      <c r="F1937" s="185"/>
      <c r="G1937" s="295"/>
      <c r="H1937" s="114" t="s">
        <v>1115</v>
      </c>
      <c r="I1937" s="108">
        <f t="shared" ref="I1937:O1937" si="2462">I274+I315+I330+I419+I452+I578+I687+I831+I1116+I1327+I1516+I1570+I1888+I1930</f>
        <v>36350485.700000003</v>
      </c>
      <c r="J1937" s="108">
        <f t="shared" si="2462"/>
        <v>37339847.950000003</v>
      </c>
      <c r="K1937" s="108">
        <f t="shared" si="2462"/>
        <v>44196586.140000001</v>
      </c>
      <c r="L1937" s="108">
        <f t="shared" si="2462"/>
        <v>44848198.320000015</v>
      </c>
      <c r="M1937" s="108">
        <f t="shared" si="2462"/>
        <v>44350725</v>
      </c>
      <c r="N1937" s="108">
        <f t="shared" si="2462"/>
        <v>31894534.739999995</v>
      </c>
      <c r="O1937" s="108">
        <f t="shared" si="2462"/>
        <v>43704168.100000001</v>
      </c>
      <c r="P1937" s="99"/>
      <c r="Q1937" s="108">
        <f>Q274+Q315+Q330+Q419+Q452+Q578+Q687+Q831+Q1116+Q1327+Q1516+Q1570+Q1888+Q1930</f>
        <v>49037277</v>
      </c>
      <c r="R1937" s="108">
        <f>R274+R315+R330+R419+R452+R578+R687+R831+R1116+R1327+R1516+R1570+R1888+R1930</f>
        <v>496587</v>
      </c>
      <c r="S1937" s="108">
        <f>S274+S315+S330+S419+S452+S578+S687+S831+S1116+S1327+S1516+S1570+S1888+S1930</f>
        <v>541370</v>
      </c>
      <c r="T1937" s="108">
        <f>T274+T315+T330+T419+T452+T578+T687+T831+T1116+T1327+T1516+T1570+T1888+T1930</f>
        <v>50075234</v>
      </c>
      <c r="U1937" s="241"/>
      <c r="V1937" s="241"/>
      <c r="W1937" s="240"/>
      <c r="X1937" s="108">
        <f>SUM(X101:X1935)</f>
        <v>6893024</v>
      </c>
      <c r="Y1937" s="108">
        <f>SUM(Y101:Y1935)</f>
        <v>43182210</v>
      </c>
      <c r="Z1937" s="108">
        <f>SUM(Z101:Z1935)</f>
        <v>44571843.059999995</v>
      </c>
      <c r="AA1937" s="108"/>
      <c r="AB1937" s="108">
        <f t="shared" ref="AB1937:AN1937" si="2463">SUM(AB101:AB1935)</f>
        <v>44571843.059999995</v>
      </c>
      <c r="AC1937" s="108">
        <f t="shared" si="2463"/>
        <v>46007670.602399975</v>
      </c>
      <c r="AD1937" s="108"/>
      <c r="AE1937" s="108">
        <f t="shared" si="2463"/>
        <v>46007670.602399975</v>
      </c>
      <c r="AF1937" s="108">
        <f t="shared" si="2463"/>
        <v>47491245.73791597</v>
      </c>
      <c r="AG1937" s="108"/>
      <c r="AH1937" s="108">
        <f t="shared" si="2463"/>
        <v>47491245.73791597</v>
      </c>
      <c r="AI1937" s="108">
        <f t="shared" si="2463"/>
        <v>49024174.216935463</v>
      </c>
      <c r="AJ1937" s="108"/>
      <c r="AK1937" s="108">
        <f t="shared" si="2463"/>
        <v>49024174.216935463</v>
      </c>
      <c r="AL1937" s="108">
        <f t="shared" si="2463"/>
        <v>50608116.224163458</v>
      </c>
      <c r="AM1937" s="108"/>
      <c r="AN1937" s="108">
        <f t="shared" si="2463"/>
        <v>50608116.224163458</v>
      </c>
      <c r="AO1937" s="194"/>
      <c r="AP1937" s="194"/>
      <c r="AQ1937" s="194"/>
      <c r="AR1937" s="192"/>
      <c r="AS1937" s="192"/>
      <c r="AT1937" s="192"/>
      <c r="AU1937" s="192"/>
      <c r="AV1937" s="192"/>
      <c r="AW1937" s="192"/>
    </row>
    <row r="1938" spans="1:49" ht="15" customHeight="1">
      <c r="A1938" s="297"/>
      <c r="B1938" s="217"/>
      <c r="C1938" s="217"/>
      <c r="D1938" s="101"/>
      <c r="E1938" s="101"/>
      <c r="F1938" s="185"/>
      <c r="G1938" s="295"/>
      <c r="H1938" s="295"/>
      <c r="I1938" s="99"/>
      <c r="J1938" s="99"/>
      <c r="K1938" s="99"/>
      <c r="L1938" s="99"/>
      <c r="M1938" s="99"/>
      <c r="N1938" s="99"/>
      <c r="O1938" s="99"/>
      <c r="P1938" s="99"/>
      <c r="Q1938" s="99"/>
      <c r="R1938" s="99"/>
      <c r="S1938" s="99"/>
      <c r="T1938" s="99"/>
      <c r="U1938" s="298"/>
      <c r="V1938" s="298"/>
      <c r="W1938" s="240"/>
      <c r="X1938" s="99"/>
      <c r="Y1938" s="99"/>
      <c r="Z1938" s="99"/>
      <c r="AA1938" s="99"/>
      <c r="AB1938" s="99"/>
      <c r="AC1938" s="99"/>
      <c r="AD1938" s="99"/>
      <c r="AE1938" s="99"/>
      <c r="AF1938" s="99"/>
      <c r="AG1938" s="99"/>
      <c r="AH1938" s="99"/>
      <c r="AI1938" s="99"/>
      <c r="AJ1938" s="99"/>
      <c r="AK1938" s="99"/>
      <c r="AL1938" s="99"/>
      <c r="AM1938" s="99"/>
      <c r="AN1938" s="99"/>
      <c r="AO1938" s="194"/>
      <c r="AP1938" s="194"/>
      <c r="AQ1938" s="194"/>
      <c r="AR1938" s="192"/>
      <c r="AS1938" s="192"/>
      <c r="AT1938" s="192"/>
      <c r="AU1938" s="192"/>
      <c r="AV1938" s="192"/>
      <c r="AW1938" s="192"/>
    </row>
    <row r="1939" spans="1:49" ht="15" customHeight="1">
      <c r="A1939" s="297"/>
      <c r="B1939" s="217"/>
      <c r="C1939" s="217"/>
      <c r="D1939" s="101"/>
      <c r="E1939" s="101"/>
      <c r="F1939" s="185"/>
      <c r="G1939" s="295"/>
      <c r="H1939" s="114" t="s">
        <v>1116</v>
      </c>
      <c r="I1939" s="108">
        <f t="shared" ref="I1939:O1939" si="2464">I96+I1937</f>
        <v>-3606216.6799999848</v>
      </c>
      <c r="J1939" s="108">
        <f t="shared" si="2464"/>
        <v>-4543087.5399999991</v>
      </c>
      <c r="K1939" s="108">
        <f t="shared" si="2464"/>
        <v>570885.63000001013</v>
      </c>
      <c r="L1939" s="108">
        <f t="shared" si="2464"/>
        <v>-480558.14999999106</v>
      </c>
      <c r="M1939" s="108">
        <f t="shared" si="2464"/>
        <v>219677</v>
      </c>
      <c r="N1939" s="108">
        <f t="shared" si="2464"/>
        <v>-7980394.4400000125</v>
      </c>
      <c r="O1939" s="108">
        <f t="shared" si="2464"/>
        <v>-2219988.8999999985</v>
      </c>
      <c r="P1939" s="99"/>
      <c r="Q1939" s="108">
        <f>Q96+Q1937</f>
        <v>3231673</v>
      </c>
      <c r="R1939" s="108">
        <f>R96+R1937</f>
        <v>496587</v>
      </c>
      <c r="S1939" s="108">
        <f>S96+S1937</f>
        <v>541370</v>
      </c>
      <c r="T1939" s="108">
        <f>T96+T1937</f>
        <v>4269630</v>
      </c>
      <c r="U1939" s="253"/>
      <c r="V1939" s="253"/>
      <c r="W1939" s="240"/>
      <c r="X1939" s="108">
        <f t="shared" ref="X1939:Z1939" si="2465">X97+X1937</f>
        <v>6893024</v>
      </c>
      <c r="Y1939" s="108">
        <f t="shared" si="2465"/>
        <v>17744583</v>
      </c>
      <c r="Z1939" s="108">
        <f t="shared" si="2465"/>
        <v>-1755412.2100000232</v>
      </c>
      <c r="AA1939" s="108"/>
      <c r="AB1939" s="108">
        <f>AB97+AB1937</f>
        <v>-1755412.2100000232</v>
      </c>
      <c r="AC1939" s="108">
        <f t="shared" ref="AC1939:AN1939" si="2466">AC97+AC1937</f>
        <v>-707371.86680001765</v>
      </c>
      <c r="AD1939" s="108"/>
      <c r="AE1939" s="108">
        <f t="shared" si="2466"/>
        <v>-707371.86680001765</v>
      </c>
      <c r="AF1939" s="108">
        <f t="shared" si="2466"/>
        <v>-113528.97108200938</v>
      </c>
      <c r="AG1939" s="108"/>
      <c r="AH1939" s="108">
        <f t="shared" si="2466"/>
        <v>-113528.97108200938</v>
      </c>
      <c r="AI1939" s="108">
        <f t="shared" si="2466"/>
        <v>578948.08578097075</v>
      </c>
      <c r="AJ1939" s="108"/>
      <c r="AK1939" s="108">
        <f t="shared" si="2466"/>
        <v>578948.08578097075</v>
      </c>
      <c r="AL1939" s="108">
        <f t="shared" si="2466"/>
        <v>871091.49333357066</v>
      </c>
      <c r="AM1939" s="108"/>
      <c r="AN1939" s="108">
        <f t="shared" si="2466"/>
        <v>871091.49333357066</v>
      </c>
      <c r="AO1939" s="194"/>
      <c r="AP1939" s="194"/>
      <c r="AQ1939" s="194"/>
      <c r="AR1939" s="192"/>
      <c r="AS1939" s="192"/>
      <c r="AT1939" s="192"/>
      <c r="AU1939" s="192"/>
      <c r="AV1939" s="192"/>
      <c r="AW1939" s="192"/>
    </row>
    <row r="1940" spans="1:49" ht="15" customHeight="1">
      <c r="A1940" s="297"/>
      <c r="B1940" s="217"/>
      <c r="C1940" s="217"/>
      <c r="D1940" s="101"/>
      <c r="E1940" s="101"/>
      <c r="F1940" s="185"/>
      <c r="G1940" s="295"/>
      <c r="H1940" s="295"/>
      <c r="I1940" s="99"/>
      <c r="J1940" s="99"/>
      <c r="K1940" s="99"/>
      <c r="L1940" s="99"/>
      <c r="M1940" s="99"/>
      <c r="N1940" s="99"/>
      <c r="O1940" s="99"/>
      <c r="P1940" s="99"/>
      <c r="Q1940" s="99"/>
      <c r="R1940" s="99"/>
      <c r="S1940" s="99"/>
      <c r="T1940" s="99"/>
      <c r="U1940" s="241"/>
      <c r="V1940" s="241"/>
      <c r="W1940" s="240"/>
      <c r="X1940" s="240"/>
      <c r="Y1940" s="240"/>
      <c r="AB1940" s="192"/>
      <c r="AC1940" s="314"/>
      <c r="AD1940" s="314"/>
      <c r="AE1940" s="314"/>
      <c r="AF1940" s="314"/>
      <c r="AG1940" s="314"/>
      <c r="AH1940" s="192"/>
      <c r="AI1940" s="192"/>
      <c r="AJ1940" s="314"/>
      <c r="AK1940" s="314"/>
      <c r="AL1940" s="314"/>
      <c r="AM1940" s="314"/>
      <c r="AN1940" s="314"/>
      <c r="AO1940" s="314"/>
      <c r="AP1940" s="314"/>
      <c r="AQ1940" s="314"/>
      <c r="AR1940" s="192"/>
      <c r="AS1940" s="192"/>
      <c r="AT1940" s="192"/>
      <c r="AU1940" s="192"/>
      <c r="AV1940" s="192"/>
      <c r="AW1940" s="192"/>
    </row>
    <row r="1941" spans="1:49" ht="15" customHeight="1">
      <c r="A1941" s="297"/>
      <c r="B1941" s="217"/>
      <c r="C1941" s="217"/>
      <c r="D1941" s="101"/>
      <c r="E1941" s="101"/>
      <c r="F1941" s="185"/>
      <c r="G1941" s="295"/>
      <c r="H1941" s="295"/>
      <c r="I1941" s="99"/>
      <c r="J1941" s="99"/>
      <c r="K1941" s="99"/>
      <c r="L1941" s="99"/>
      <c r="M1941" s="99"/>
      <c r="N1941" s="99"/>
      <c r="O1941" s="99"/>
      <c r="P1941" s="99"/>
      <c r="Q1941" s="99">
        <v>42779461</v>
      </c>
      <c r="R1941" s="99">
        <v>392450</v>
      </c>
      <c r="S1941" s="99"/>
      <c r="T1941" s="99"/>
      <c r="U1941" s="298"/>
      <c r="V1941" s="298"/>
      <c r="W1941" s="240"/>
      <c r="X1941" s="240"/>
      <c r="Y1941" s="240">
        <f>T1937-X1937-Y1937</f>
        <v>0</v>
      </c>
      <c r="AB1941" s="192"/>
      <c r="AC1941" s="317"/>
      <c r="AD1941" s="317"/>
      <c r="AE1941" s="317"/>
      <c r="AF1941" s="317"/>
      <c r="AG1941" s="317"/>
      <c r="AH1941" s="192"/>
      <c r="AI1941" s="192"/>
      <c r="AJ1941" s="317"/>
      <c r="AK1941" s="317"/>
      <c r="AL1941" s="317"/>
      <c r="AM1941" s="317"/>
      <c r="AN1941" s="317"/>
      <c r="AO1941" s="317"/>
      <c r="AP1941" s="317"/>
      <c r="AQ1941" s="317"/>
      <c r="AR1941" s="192"/>
      <c r="AS1941" s="192"/>
      <c r="AT1941" s="192"/>
      <c r="AU1941" s="192"/>
      <c r="AV1941" s="192"/>
      <c r="AW1941" s="192"/>
    </row>
    <row r="1942" spans="1:49" ht="15" customHeight="1">
      <c r="A1942" s="297"/>
      <c r="B1942" s="217"/>
      <c r="C1942" s="217"/>
      <c r="D1942" s="101"/>
      <c r="E1942" s="101"/>
      <c r="F1942" s="185"/>
      <c r="G1942" s="295"/>
      <c r="H1942" s="295"/>
      <c r="I1942" s="99"/>
      <c r="J1942" s="99"/>
      <c r="K1942" s="99"/>
      <c r="L1942" s="99"/>
      <c r="M1942" s="99"/>
      <c r="N1942" s="99"/>
      <c r="O1942" s="99"/>
      <c r="P1942" s="99"/>
      <c r="Q1942" s="99">
        <f>Q1941-Q1937</f>
        <v>-6257816</v>
      </c>
      <c r="R1942" s="99">
        <f>R1941-R1937</f>
        <v>-104137</v>
      </c>
      <c r="S1942" s="99"/>
      <c r="T1942" s="99"/>
      <c r="U1942" s="298"/>
      <c r="V1942" s="298"/>
      <c r="W1942" s="240"/>
      <c r="X1942" s="240"/>
      <c r="Y1942" s="240"/>
      <c r="AB1942" s="192"/>
      <c r="AC1942" s="312"/>
      <c r="AD1942" s="312"/>
      <c r="AE1942" s="312"/>
      <c r="AF1942" s="312"/>
      <c r="AG1942" s="312"/>
      <c r="AH1942" s="192"/>
      <c r="AI1942" s="192"/>
      <c r="AJ1942" s="194"/>
      <c r="AK1942" s="194"/>
      <c r="AL1942" s="194"/>
      <c r="AM1942" s="194"/>
      <c r="AN1942" s="194"/>
      <c r="AO1942" s="194"/>
      <c r="AP1942" s="194"/>
      <c r="AQ1942" s="194"/>
      <c r="AR1942" s="192"/>
      <c r="AS1942" s="192"/>
      <c r="AT1942" s="192"/>
      <c r="AU1942" s="192"/>
      <c r="AV1942" s="192"/>
      <c r="AW1942" s="192"/>
    </row>
    <row r="1943" spans="1:49" ht="15" customHeight="1">
      <c r="A1943" s="297"/>
      <c r="B1943" s="217"/>
      <c r="C1943" s="217"/>
      <c r="D1943" s="101"/>
      <c r="E1943" s="101"/>
      <c r="F1943" s="185"/>
      <c r="G1943" s="295"/>
      <c r="H1943" s="295"/>
      <c r="I1943" s="99"/>
      <c r="J1943" s="99"/>
      <c r="K1943" s="99"/>
      <c r="L1943" s="99"/>
      <c r="M1943" s="99"/>
      <c r="N1943" s="99"/>
      <c r="O1943" s="99"/>
      <c r="P1943" s="99"/>
      <c r="Q1943" s="99">
        <f>7936-7076</f>
        <v>860</v>
      </c>
      <c r="R1943" s="99"/>
      <c r="S1943" s="99"/>
      <c r="T1943" s="99"/>
      <c r="U1943" s="298"/>
      <c r="V1943" s="298"/>
      <c r="W1943" s="240"/>
      <c r="X1943" s="240"/>
      <c r="Y1943" s="240"/>
      <c r="AB1943" s="192"/>
      <c r="AC1943" s="312"/>
      <c r="AD1943" s="312"/>
      <c r="AE1943" s="312"/>
      <c r="AF1943" s="312"/>
      <c r="AG1943" s="312"/>
      <c r="AH1943" s="192"/>
      <c r="AI1943" s="192"/>
      <c r="AJ1943" s="194"/>
      <c r="AK1943" s="194"/>
      <c r="AL1943" s="194"/>
      <c r="AM1943" s="194"/>
      <c r="AN1943" s="194"/>
      <c r="AO1943" s="194"/>
      <c r="AP1943" s="194"/>
      <c r="AQ1943" s="194"/>
      <c r="AR1943" s="192"/>
      <c r="AS1943" s="192"/>
      <c r="AT1943" s="192"/>
      <c r="AU1943" s="192"/>
      <c r="AV1943" s="192"/>
      <c r="AW1943" s="192"/>
    </row>
    <row r="1944" spans="1:49" ht="15" customHeight="1">
      <c r="A1944" s="297"/>
      <c r="B1944" s="217"/>
      <c r="C1944" s="217"/>
      <c r="D1944" s="101"/>
      <c r="E1944" s="101"/>
      <c r="F1944" s="185"/>
      <c r="G1944" s="295"/>
      <c r="H1944" s="295"/>
      <c r="I1944" s="99"/>
      <c r="J1944" s="99"/>
      <c r="K1944" s="99"/>
      <c r="L1944" s="99"/>
      <c r="M1944" s="99"/>
      <c r="N1944" s="99"/>
      <c r="O1944" s="99"/>
      <c r="P1944" s="99"/>
      <c r="Q1944" s="99">
        <f>-(19213-15793)</f>
        <v>-3420</v>
      </c>
      <c r="R1944" s="99"/>
      <c r="S1944" s="99"/>
      <c r="T1944" s="99"/>
      <c r="U1944" s="298"/>
      <c r="V1944" s="298"/>
      <c r="W1944" s="240"/>
      <c r="X1944" s="240"/>
      <c r="Y1944" s="240"/>
      <c r="AB1944" s="192"/>
      <c r="AC1944" s="312"/>
      <c r="AD1944" s="312"/>
      <c r="AE1944" s="312"/>
      <c r="AF1944" s="312"/>
      <c r="AG1944" s="312"/>
      <c r="AH1944" s="192"/>
      <c r="AI1944" s="192"/>
      <c r="AJ1944" s="194"/>
      <c r="AK1944" s="194"/>
      <c r="AL1944" s="194"/>
      <c r="AM1944" s="194"/>
      <c r="AN1944" s="194"/>
      <c r="AO1944" s="194"/>
      <c r="AP1944" s="194"/>
      <c r="AQ1944" s="194"/>
      <c r="AR1944" s="192"/>
      <c r="AS1944" s="192"/>
      <c r="AT1944" s="192"/>
      <c r="AU1944" s="192"/>
      <c r="AV1944" s="192"/>
      <c r="AW1944" s="192"/>
    </row>
    <row r="1945" spans="1:49" ht="15" customHeight="1">
      <c r="A1945" s="297"/>
      <c r="B1945" s="217"/>
      <c r="C1945" s="217"/>
      <c r="D1945" s="101"/>
      <c r="E1945" s="101"/>
      <c r="F1945" s="185"/>
      <c r="G1945" s="295"/>
      <c r="H1945" s="295"/>
      <c r="I1945" s="99"/>
      <c r="J1945" s="99"/>
      <c r="K1945" s="99"/>
      <c r="L1945" s="99"/>
      <c r="M1945" s="99"/>
      <c r="N1945" s="99"/>
      <c r="O1945" s="99"/>
      <c r="P1945" s="99"/>
      <c r="Q1945" s="99">
        <f>-(127811-129017)</f>
        <v>1206</v>
      </c>
      <c r="R1945" s="99"/>
      <c r="S1945" s="99"/>
      <c r="T1945" s="99"/>
      <c r="U1945" s="254"/>
      <c r="V1945" s="254"/>
      <c r="W1945" s="240"/>
      <c r="X1945" s="240"/>
      <c r="Y1945" s="240"/>
      <c r="AB1945" s="192"/>
      <c r="AC1945" s="312"/>
      <c r="AD1945" s="312"/>
      <c r="AE1945" s="312"/>
      <c r="AF1945" s="312"/>
      <c r="AG1945" s="312"/>
      <c r="AH1945" s="192"/>
      <c r="AI1945" s="192"/>
      <c r="AJ1945" s="194"/>
      <c r="AK1945" s="194"/>
      <c r="AL1945" s="194"/>
      <c r="AM1945" s="194"/>
      <c r="AN1945" s="194"/>
      <c r="AO1945" s="194"/>
      <c r="AP1945" s="194"/>
      <c r="AQ1945" s="194"/>
      <c r="AR1945" s="192"/>
      <c r="AS1945" s="192"/>
      <c r="AT1945" s="192"/>
      <c r="AU1945" s="192"/>
      <c r="AV1945" s="192"/>
      <c r="AW1945" s="192"/>
    </row>
    <row r="1946" spans="1:49" ht="15" customHeight="1">
      <c r="A1946" s="297"/>
      <c r="B1946" s="217"/>
      <c r="C1946" s="217"/>
      <c r="D1946" s="101"/>
      <c r="E1946" s="101"/>
      <c r="F1946" s="185"/>
      <c r="G1946" s="295"/>
      <c r="H1946" s="295"/>
      <c r="I1946" s="99"/>
      <c r="J1946" s="99"/>
      <c r="K1946" s="99"/>
      <c r="L1946" s="99"/>
      <c r="M1946" s="99"/>
      <c r="N1946" s="99"/>
      <c r="O1946" s="99"/>
      <c r="P1946" s="99"/>
      <c r="Q1946" s="99"/>
      <c r="R1946" s="99"/>
      <c r="S1946" s="99"/>
      <c r="T1946" s="99"/>
      <c r="U1946" s="225"/>
      <c r="V1946" s="225"/>
      <c r="W1946" s="240"/>
      <c r="X1946" s="240"/>
      <c r="Y1946" s="240"/>
      <c r="AB1946" s="192"/>
      <c r="AC1946" s="312"/>
      <c r="AD1946" s="312"/>
      <c r="AE1946" s="312"/>
      <c r="AF1946" s="312"/>
      <c r="AG1946" s="312"/>
      <c r="AH1946" s="192"/>
      <c r="AI1946" s="192"/>
      <c r="AJ1946" s="194"/>
      <c r="AK1946" s="194"/>
      <c r="AL1946" s="194"/>
      <c r="AM1946" s="194"/>
      <c r="AN1946" s="194"/>
      <c r="AO1946" s="194"/>
      <c r="AP1946" s="194"/>
      <c r="AQ1946" s="194"/>
      <c r="AR1946" s="192"/>
      <c r="AS1946" s="192"/>
      <c r="AT1946" s="192"/>
      <c r="AU1946" s="192"/>
      <c r="AV1946" s="192"/>
      <c r="AW1946" s="192"/>
    </row>
    <row r="1947" spans="1:49" ht="15" customHeight="1">
      <c r="A1947" s="297"/>
      <c r="B1947" s="217"/>
      <c r="C1947" s="217"/>
      <c r="D1947" s="101"/>
      <c r="E1947" s="101"/>
      <c r="F1947" s="185"/>
      <c r="G1947" s="295"/>
      <c r="H1947" s="295"/>
      <c r="I1947" s="99"/>
      <c r="J1947" s="99"/>
      <c r="K1947" s="99"/>
      <c r="L1947" s="99"/>
      <c r="M1947" s="99"/>
      <c r="N1947" s="99"/>
      <c r="O1947" s="99"/>
      <c r="P1947" s="99"/>
      <c r="Q1947" s="99">
        <f>SUM(Q1943:Q1946)</f>
        <v>-1354</v>
      </c>
      <c r="R1947" s="99"/>
      <c r="S1947" s="99"/>
      <c r="T1947" s="99"/>
      <c r="U1947" s="99"/>
      <c r="V1947" s="99"/>
      <c r="W1947" s="240"/>
      <c r="X1947" s="240"/>
      <c r="Y1947" s="240"/>
      <c r="AB1947" s="192"/>
      <c r="AC1947" s="314"/>
      <c r="AD1947" s="314"/>
      <c r="AE1947" s="314"/>
      <c r="AF1947" s="314"/>
      <c r="AG1947" s="314"/>
      <c r="AH1947" s="192"/>
      <c r="AI1947" s="192"/>
      <c r="AJ1947" s="314"/>
      <c r="AK1947" s="314"/>
      <c r="AL1947" s="314"/>
      <c r="AM1947" s="314"/>
      <c r="AN1947" s="314"/>
      <c r="AO1947" s="314"/>
      <c r="AP1947" s="314"/>
      <c r="AQ1947" s="314"/>
      <c r="AR1947" s="192"/>
      <c r="AS1947" s="192"/>
      <c r="AT1947" s="192"/>
      <c r="AU1947" s="192"/>
      <c r="AV1947" s="192"/>
      <c r="AW1947" s="192"/>
    </row>
    <row r="1948" spans="1:49" ht="15" customHeight="1">
      <c r="A1948" s="297"/>
      <c r="B1948" s="217"/>
      <c r="C1948" s="217"/>
      <c r="D1948" s="101"/>
      <c r="E1948" s="101"/>
      <c r="F1948" s="185"/>
      <c r="G1948" s="295"/>
      <c r="H1948" s="295"/>
      <c r="I1948" s="99"/>
      <c r="J1948" s="99"/>
      <c r="K1948" s="99"/>
      <c r="L1948" s="99"/>
      <c r="M1948" s="99"/>
      <c r="N1948" s="99"/>
      <c r="O1948" s="99"/>
      <c r="P1948" s="99"/>
      <c r="Q1948" s="99">
        <f>Q1947-Q1942</f>
        <v>6256462</v>
      </c>
      <c r="R1948" s="99"/>
      <c r="S1948" s="99"/>
      <c r="T1948" s="99"/>
      <c r="U1948" s="99"/>
      <c r="V1948" s="99"/>
      <c r="W1948" s="240"/>
      <c r="X1948" s="240"/>
      <c r="Y1948" s="240"/>
      <c r="AB1948" s="192"/>
      <c r="AC1948" s="317"/>
      <c r="AD1948" s="317"/>
      <c r="AE1948" s="317"/>
      <c r="AF1948" s="317"/>
      <c r="AG1948" s="317"/>
      <c r="AH1948" s="192"/>
      <c r="AI1948" s="192"/>
      <c r="AJ1948" s="317"/>
      <c r="AK1948" s="317"/>
      <c r="AL1948" s="317"/>
      <c r="AM1948" s="317"/>
      <c r="AN1948" s="317"/>
      <c r="AO1948" s="317"/>
      <c r="AP1948" s="317"/>
      <c r="AQ1948" s="317"/>
      <c r="AR1948" s="192"/>
      <c r="AS1948" s="192"/>
      <c r="AT1948" s="192"/>
      <c r="AU1948" s="192"/>
      <c r="AV1948" s="192"/>
      <c r="AW1948" s="192"/>
    </row>
    <row r="1949" spans="1:49" ht="15" customHeight="1">
      <c r="A1949" s="297"/>
      <c r="B1949" s="217"/>
      <c r="C1949" s="217"/>
      <c r="D1949" s="101"/>
      <c r="E1949" s="101"/>
      <c r="F1949" s="185"/>
      <c r="G1949" s="295"/>
      <c r="H1949" s="295"/>
      <c r="I1949" s="99"/>
      <c r="J1949" s="99"/>
      <c r="K1949" s="99"/>
      <c r="L1949" s="99"/>
      <c r="M1949" s="99"/>
      <c r="N1949" s="99"/>
      <c r="O1949" s="99"/>
      <c r="P1949" s="99"/>
      <c r="Q1949" s="99"/>
      <c r="R1949" s="99"/>
      <c r="S1949" s="99"/>
      <c r="T1949" s="99"/>
      <c r="U1949" s="99"/>
      <c r="V1949" s="99"/>
      <c r="W1949" s="240"/>
      <c r="X1949" s="240"/>
      <c r="Y1949" s="240"/>
      <c r="AB1949" s="192"/>
      <c r="AC1949" s="312"/>
      <c r="AD1949" s="312"/>
      <c r="AE1949" s="312"/>
      <c r="AF1949" s="312"/>
      <c r="AG1949" s="312"/>
      <c r="AH1949" s="192"/>
      <c r="AI1949" s="192"/>
      <c r="AJ1949" s="194"/>
      <c r="AK1949" s="194"/>
      <c r="AL1949" s="194"/>
      <c r="AM1949" s="194"/>
      <c r="AN1949" s="194"/>
      <c r="AO1949" s="194"/>
      <c r="AP1949" s="194"/>
      <c r="AQ1949" s="194"/>
      <c r="AR1949" s="192"/>
      <c r="AS1949" s="192"/>
      <c r="AT1949" s="192"/>
      <c r="AU1949" s="192"/>
      <c r="AV1949" s="192"/>
      <c r="AW1949" s="192"/>
    </row>
    <row r="1950" spans="1:49" ht="15" customHeight="1">
      <c r="A1950" s="297"/>
      <c r="B1950" s="217"/>
      <c r="C1950" s="217"/>
      <c r="D1950" s="101"/>
      <c r="E1950" s="101"/>
      <c r="F1950" s="185"/>
      <c r="G1950" s="295"/>
      <c r="H1950" s="295"/>
      <c r="I1950" s="99"/>
      <c r="J1950" s="99"/>
      <c r="K1950" s="99"/>
      <c r="L1950" s="99"/>
      <c r="M1950" s="99"/>
      <c r="N1950" s="99"/>
      <c r="O1950" s="99"/>
      <c r="P1950" s="99"/>
      <c r="Q1950" s="99"/>
      <c r="R1950" s="99"/>
      <c r="S1950" s="99"/>
      <c r="T1950" s="99"/>
      <c r="U1950" s="99"/>
      <c r="V1950" s="99"/>
      <c r="W1950" s="240"/>
      <c r="X1950" s="240"/>
      <c r="Y1950" s="240"/>
      <c r="AB1950" s="192"/>
      <c r="AC1950" s="312"/>
      <c r="AD1950" s="312"/>
      <c r="AE1950" s="312"/>
      <c r="AF1950" s="312"/>
      <c r="AG1950" s="312"/>
      <c r="AH1950" s="192"/>
      <c r="AI1950" s="192"/>
      <c r="AJ1950" s="194"/>
      <c r="AK1950" s="194"/>
      <c r="AL1950" s="194"/>
      <c r="AM1950" s="194"/>
      <c r="AN1950" s="194"/>
      <c r="AO1950" s="194"/>
      <c r="AP1950" s="194"/>
      <c r="AQ1950" s="194"/>
      <c r="AR1950" s="192"/>
      <c r="AS1950" s="192"/>
      <c r="AT1950" s="192"/>
      <c r="AU1950" s="192"/>
      <c r="AV1950" s="192"/>
      <c r="AW1950" s="192"/>
    </row>
    <row r="1951" spans="1:49" ht="15" customHeight="1">
      <c r="A1951" s="297"/>
      <c r="B1951" s="217"/>
      <c r="C1951" s="217"/>
      <c r="D1951" s="101"/>
      <c r="E1951" s="101"/>
      <c r="F1951" s="185"/>
      <c r="G1951" s="295"/>
      <c r="H1951" s="295"/>
      <c r="I1951" s="99"/>
      <c r="J1951" s="99"/>
      <c r="K1951" s="99"/>
      <c r="L1951" s="99"/>
      <c r="M1951" s="99"/>
      <c r="N1951" s="99"/>
      <c r="O1951" s="99"/>
      <c r="P1951" s="99"/>
      <c r="Q1951" s="99"/>
      <c r="R1951" s="99"/>
      <c r="S1951" s="99"/>
      <c r="T1951" s="99"/>
      <c r="U1951" s="99"/>
      <c r="V1951" s="99"/>
      <c r="W1951" s="240"/>
      <c r="X1951" s="240"/>
      <c r="Y1951" s="240"/>
      <c r="AB1951" s="192"/>
      <c r="AC1951" s="314"/>
      <c r="AD1951" s="314"/>
      <c r="AE1951" s="314"/>
      <c r="AF1951" s="314"/>
      <c r="AG1951" s="314"/>
      <c r="AH1951" s="192"/>
      <c r="AI1951" s="192"/>
      <c r="AJ1951" s="314"/>
      <c r="AK1951" s="314"/>
      <c r="AL1951" s="314"/>
      <c r="AM1951" s="314"/>
      <c r="AN1951" s="314"/>
      <c r="AO1951" s="314"/>
      <c r="AP1951" s="314"/>
      <c r="AQ1951" s="314"/>
      <c r="AR1951" s="192"/>
      <c r="AS1951" s="192"/>
      <c r="AT1951" s="192"/>
      <c r="AU1951" s="192"/>
      <c r="AV1951" s="192"/>
      <c r="AW1951" s="192"/>
    </row>
    <row r="1952" spans="1:49" ht="15" customHeight="1">
      <c r="A1952" s="297"/>
      <c r="B1952" s="217"/>
      <c r="C1952" s="217"/>
      <c r="D1952" s="101"/>
      <c r="E1952" s="101"/>
      <c r="F1952" s="185"/>
      <c r="G1952" s="295"/>
      <c r="H1952" s="295"/>
      <c r="I1952" s="99"/>
      <c r="J1952" s="99"/>
      <c r="K1952" s="99"/>
      <c r="L1952" s="99"/>
      <c r="M1952" s="99"/>
      <c r="N1952" s="99"/>
      <c r="O1952" s="99"/>
      <c r="P1952" s="99"/>
      <c r="Q1952" s="99"/>
      <c r="R1952" s="99"/>
      <c r="S1952" s="99"/>
      <c r="T1952" s="99"/>
      <c r="U1952" s="99"/>
      <c r="V1952" s="99"/>
      <c r="W1952" s="240"/>
      <c r="X1952" s="240"/>
      <c r="Y1952" s="240"/>
      <c r="AB1952" s="192"/>
      <c r="AC1952" s="317"/>
      <c r="AD1952" s="317"/>
      <c r="AE1952" s="317"/>
      <c r="AF1952" s="317"/>
      <c r="AG1952" s="317"/>
      <c r="AH1952" s="192"/>
      <c r="AI1952" s="192"/>
      <c r="AJ1952" s="317"/>
      <c r="AK1952" s="317"/>
      <c r="AL1952" s="317"/>
      <c r="AM1952" s="317"/>
      <c r="AN1952" s="317"/>
      <c r="AO1952" s="317"/>
      <c r="AP1952" s="317"/>
      <c r="AQ1952" s="317"/>
      <c r="AR1952" s="192"/>
      <c r="AS1952" s="192"/>
      <c r="AT1952" s="192"/>
      <c r="AU1952" s="192"/>
      <c r="AV1952" s="192"/>
      <c r="AW1952" s="192"/>
    </row>
    <row r="1953" spans="1:49" ht="15" customHeight="1">
      <c r="A1953" s="297"/>
      <c r="B1953" s="217"/>
      <c r="C1953" s="217"/>
      <c r="D1953" s="101"/>
      <c r="E1953" s="101"/>
      <c r="F1953" s="185"/>
      <c r="G1953" s="295"/>
      <c r="H1953" s="295"/>
      <c r="I1953" s="99"/>
      <c r="J1953" s="99"/>
      <c r="K1953" s="99"/>
      <c r="L1953" s="99"/>
      <c r="M1953" s="99"/>
      <c r="N1953" s="99"/>
      <c r="O1953" s="99"/>
      <c r="P1953" s="99"/>
      <c r="Q1953" s="99"/>
      <c r="R1953" s="99"/>
      <c r="S1953" s="99"/>
      <c r="T1953" s="99"/>
      <c r="U1953" s="99"/>
      <c r="V1953" s="99"/>
      <c r="W1953" s="240"/>
      <c r="X1953" s="240"/>
      <c r="Y1953" s="240"/>
      <c r="AB1953" s="192"/>
      <c r="AC1953" s="312"/>
      <c r="AD1953" s="312"/>
      <c r="AE1953" s="312"/>
      <c r="AF1953" s="312"/>
      <c r="AG1953" s="312"/>
      <c r="AH1953" s="192"/>
      <c r="AI1953" s="192"/>
      <c r="AJ1953" s="194"/>
      <c r="AK1953" s="194"/>
      <c r="AL1953" s="194"/>
      <c r="AM1953" s="194"/>
      <c r="AN1953" s="194"/>
      <c r="AO1953" s="194"/>
      <c r="AP1953" s="194"/>
      <c r="AQ1953" s="194"/>
      <c r="AR1953" s="192"/>
      <c r="AS1953" s="192"/>
      <c r="AT1953" s="192"/>
      <c r="AU1953" s="192"/>
      <c r="AV1953" s="192"/>
      <c r="AW1953" s="192"/>
    </row>
    <row r="1954" spans="1:49" ht="15" customHeight="1">
      <c r="A1954" s="297"/>
      <c r="B1954" s="217"/>
      <c r="C1954" s="217"/>
      <c r="D1954" s="101"/>
      <c r="E1954" s="101"/>
      <c r="F1954" s="185"/>
      <c r="G1954" s="295"/>
      <c r="H1954" s="295"/>
      <c r="I1954" s="99"/>
      <c r="J1954" s="99"/>
      <c r="K1954" s="99"/>
      <c r="L1954" s="99"/>
      <c r="M1954" s="99"/>
      <c r="N1954" s="99"/>
      <c r="O1954" s="99"/>
      <c r="P1954" s="99"/>
      <c r="Q1954" s="99"/>
      <c r="R1954" s="99"/>
      <c r="S1954" s="99"/>
      <c r="T1954" s="99"/>
      <c r="U1954" s="99"/>
      <c r="V1954" s="99"/>
      <c r="W1954" s="240"/>
      <c r="X1954" s="240"/>
      <c r="Y1954" s="240"/>
      <c r="AB1954" s="192"/>
      <c r="AC1954" s="312"/>
      <c r="AD1954" s="312"/>
      <c r="AE1954" s="312"/>
      <c r="AF1954" s="312"/>
      <c r="AG1954" s="312"/>
      <c r="AH1954" s="192"/>
      <c r="AI1954" s="192"/>
      <c r="AJ1954" s="194"/>
      <c r="AK1954" s="194"/>
      <c r="AL1954" s="194"/>
      <c r="AM1954" s="194"/>
      <c r="AN1954" s="194"/>
      <c r="AO1954" s="194"/>
      <c r="AP1954" s="194"/>
      <c r="AQ1954" s="194"/>
      <c r="AR1954" s="192"/>
      <c r="AS1954" s="192"/>
      <c r="AT1954" s="192"/>
      <c r="AU1954" s="192"/>
      <c r="AV1954" s="192"/>
      <c r="AW1954" s="192"/>
    </row>
    <row r="1955" spans="1:49" ht="15" customHeight="1">
      <c r="A1955" s="297"/>
      <c r="B1955" s="217"/>
      <c r="C1955" s="217"/>
      <c r="D1955" s="101"/>
      <c r="E1955" s="101"/>
      <c r="F1955" s="185"/>
      <c r="G1955" s="295"/>
      <c r="H1955" s="295"/>
      <c r="I1955" s="99"/>
      <c r="J1955" s="99"/>
      <c r="K1955" s="99"/>
      <c r="L1955" s="99"/>
      <c r="M1955" s="99"/>
      <c r="N1955" s="99"/>
      <c r="O1955" s="99"/>
      <c r="P1955" s="99"/>
      <c r="Q1955" s="99"/>
      <c r="R1955" s="99"/>
      <c r="S1955" s="99"/>
      <c r="T1955" s="99"/>
      <c r="U1955" s="99"/>
      <c r="V1955" s="99"/>
      <c r="W1955" s="240"/>
      <c r="X1955" s="240"/>
      <c r="Y1955" s="240"/>
      <c r="AB1955" s="192"/>
      <c r="AC1955" s="312"/>
      <c r="AD1955" s="312"/>
      <c r="AE1955" s="312"/>
      <c r="AF1955" s="312"/>
      <c r="AG1955" s="312"/>
      <c r="AH1955" s="192"/>
      <c r="AI1955" s="192"/>
      <c r="AJ1955" s="194"/>
      <c r="AK1955" s="194"/>
      <c r="AL1955" s="194"/>
      <c r="AM1955" s="194"/>
      <c r="AN1955" s="194"/>
      <c r="AO1955" s="194"/>
      <c r="AP1955" s="194"/>
      <c r="AQ1955" s="194"/>
      <c r="AR1955" s="192"/>
      <c r="AS1955" s="192"/>
      <c r="AT1955" s="192"/>
      <c r="AU1955" s="192"/>
      <c r="AV1955" s="192"/>
      <c r="AW1955" s="192"/>
    </row>
    <row r="1956" spans="1:49" ht="15" customHeight="1">
      <c r="A1956" s="297"/>
      <c r="B1956" s="217"/>
      <c r="C1956" s="217"/>
      <c r="D1956" s="101"/>
      <c r="E1956" s="101"/>
      <c r="F1956" s="185"/>
      <c r="G1956" s="295"/>
      <c r="H1956" s="295"/>
      <c r="I1956" s="99"/>
      <c r="J1956" s="99"/>
      <c r="K1956" s="99"/>
      <c r="L1956" s="99"/>
      <c r="M1956" s="99"/>
      <c r="N1956" s="99"/>
      <c r="O1956" s="99"/>
      <c r="P1956" s="99"/>
      <c r="Q1956" s="99"/>
      <c r="R1956" s="99"/>
      <c r="S1956" s="99"/>
      <c r="T1956" s="99"/>
      <c r="U1956" s="99"/>
      <c r="V1956" s="99"/>
      <c r="W1956" s="240"/>
      <c r="X1956" s="240"/>
      <c r="Y1956" s="240"/>
      <c r="AB1956" s="192"/>
      <c r="AC1956" s="312"/>
      <c r="AD1956" s="312"/>
      <c r="AE1956" s="312"/>
      <c r="AF1956" s="312"/>
      <c r="AG1956" s="312"/>
      <c r="AH1956" s="192"/>
      <c r="AI1956" s="192"/>
      <c r="AJ1956" s="194"/>
      <c r="AK1956" s="194"/>
      <c r="AL1956" s="194"/>
      <c r="AM1956" s="194"/>
      <c r="AN1956" s="194"/>
      <c r="AO1956" s="194"/>
      <c r="AP1956" s="194"/>
      <c r="AQ1956" s="194"/>
      <c r="AR1956" s="192"/>
      <c r="AS1956" s="192"/>
      <c r="AT1956" s="192"/>
      <c r="AU1956" s="192"/>
      <c r="AV1956" s="192"/>
      <c r="AW1956" s="192"/>
    </row>
    <row r="1957" spans="1:49" ht="15" customHeight="1">
      <c r="A1957" s="297"/>
      <c r="B1957" s="217"/>
      <c r="C1957" s="217"/>
      <c r="D1957" s="101"/>
      <c r="E1957" s="101"/>
      <c r="F1957" s="185"/>
      <c r="G1957" s="295"/>
      <c r="H1957" s="107"/>
      <c r="I1957" s="108"/>
      <c r="J1957" s="108"/>
      <c r="K1957" s="108"/>
      <c r="L1957" s="108"/>
      <c r="M1957" s="108"/>
      <c r="N1957" s="108"/>
      <c r="O1957" s="108"/>
      <c r="P1957" s="108"/>
      <c r="Q1957" s="108"/>
      <c r="R1957" s="108"/>
      <c r="S1957" s="108"/>
      <c r="T1957" s="108"/>
      <c r="U1957" s="99"/>
      <c r="V1957" s="99"/>
      <c r="W1957" s="240"/>
      <c r="X1957" s="240"/>
      <c r="Y1957" s="240"/>
      <c r="AB1957" s="192"/>
      <c r="AC1957" s="312"/>
      <c r="AD1957" s="312"/>
      <c r="AE1957" s="312"/>
      <c r="AF1957" s="312"/>
      <c r="AG1957" s="312"/>
      <c r="AH1957" s="192"/>
      <c r="AI1957" s="192"/>
      <c r="AJ1957" s="194"/>
      <c r="AK1957" s="194"/>
      <c r="AL1957" s="194"/>
      <c r="AM1957" s="194"/>
      <c r="AN1957" s="194"/>
      <c r="AO1957" s="194"/>
      <c r="AP1957" s="194"/>
      <c r="AQ1957" s="194"/>
      <c r="AR1957" s="192"/>
      <c r="AS1957" s="192"/>
      <c r="AT1957" s="192"/>
      <c r="AU1957" s="192"/>
      <c r="AV1957" s="192"/>
      <c r="AW1957" s="192"/>
    </row>
    <row r="1958" spans="1:49" ht="15" customHeight="1">
      <c r="A1958" s="297"/>
      <c r="B1958" s="217"/>
      <c r="C1958" s="217"/>
      <c r="D1958" s="101"/>
      <c r="E1958" s="101"/>
      <c r="F1958" s="185"/>
      <c r="G1958" s="295"/>
      <c r="H1958" s="295"/>
      <c r="I1958" s="99"/>
      <c r="J1958" s="99"/>
      <c r="K1958" s="99"/>
      <c r="L1958" s="99"/>
      <c r="M1958" s="99"/>
      <c r="N1958" s="99"/>
      <c r="O1958" s="99"/>
      <c r="P1958" s="99"/>
      <c r="Q1958" s="99"/>
      <c r="R1958" s="99"/>
      <c r="S1958" s="99"/>
      <c r="T1958" s="99"/>
      <c r="U1958" s="99"/>
      <c r="V1958" s="99"/>
      <c r="W1958" s="240"/>
      <c r="X1958" s="240"/>
      <c r="Y1958" s="240"/>
      <c r="AB1958" s="192"/>
      <c r="AC1958" s="312"/>
      <c r="AD1958" s="312"/>
      <c r="AE1958" s="312"/>
      <c r="AF1958" s="312"/>
      <c r="AG1958" s="312"/>
      <c r="AH1958" s="192"/>
      <c r="AI1958" s="192"/>
      <c r="AJ1958" s="194"/>
      <c r="AK1958" s="194"/>
      <c r="AL1958" s="194"/>
      <c r="AM1958" s="194"/>
      <c r="AN1958" s="194"/>
      <c r="AO1958" s="194"/>
      <c r="AP1958" s="194"/>
      <c r="AQ1958" s="194"/>
      <c r="AR1958" s="192"/>
      <c r="AS1958" s="192"/>
      <c r="AT1958" s="192"/>
      <c r="AU1958" s="192"/>
      <c r="AV1958" s="192"/>
      <c r="AW1958" s="192"/>
    </row>
    <row r="1959" spans="1:49" ht="15" customHeight="1">
      <c r="A1959" s="297"/>
      <c r="B1959" s="217"/>
      <c r="C1959" s="217"/>
      <c r="D1959" s="101"/>
      <c r="E1959" s="101"/>
      <c r="F1959" s="185"/>
      <c r="G1959" s="295"/>
      <c r="H1959" s="295"/>
      <c r="I1959" s="99"/>
      <c r="J1959" s="99"/>
      <c r="K1959" s="99"/>
      <c r="L1959" s="99"/>
      <c r="M1959" s="99"/>
      <c r="N1959" s="99"/>
      <c r="O1959" s="99"/>
      <c r="P1959" s="99"/>
      <c r="Q1959" s="99"/>
      <c r="R1959" s="99"/>
      <c r="S1959" s="99"/>
      <c r="T1959" s="99"/>
      <c r="U1959" s="99"/>
      <c r="V1959" s="99"/>
      <c r="W1959" s="240"/>
      <c r="X1959" s="240"/>
      <c r="Y1959" s="240"/>
      <c r="AB1959" s="192"/>
      <c r="AC1959" s="314"/>
      <c r="AD1959" s="314"/>
      <c r="AE1959" s="314"/>
      <c r="AF1959" s="314"/>
      <c r="AG1959" s="314"/>
      <c r="AH1959" s="192"/>
      <c r="AI1959" s="192"/>
      <c r="AJ1959" s="314"/>
      <c r="AK1959" s="314"/>
      <c r="AL1959" s="314"/>
      <c r="AM1959" s="314"/>
      <c r="AN1959" s="314"/>
      <c r="AO1959" s="314"/>
      <c r="AP1959" s="314"/>
      <c r="AQ1959" s="314"/>
      <c r="AR1959" s="192"/>
      <c r="AS1959" s="192"/>
      <c r="AT1959" s="192"/>
      <c r="AU1959" s="192"/>
      <c r="AV1959" s="192"/>
      <c r="AW1959" s="192"/>
    </row>
    <row r="1960" spans="1:49" ht="15" customHeight="1">
      <c r="A1960" s="297"/>
      <c r="B1960" s="217"/>
      <c r="C1960" s="217"/>
      <c r="D1960" s="101"/>
      <c r="E1960" s="101"/>
      <c r="F1960" s="185"/>
      <c r="G1960" s="295"/>
      <c r="H1960" s="295"/>
      <c r="I1960" s="99"/>
      <c r="J1960" s="99"/>
      <c r="K1960" s="99"/>
      <c r="L1960" s="99"/>
      <c r="M1960" s="99"/>
      <c r="N1960" s="99"/>
      <c r="O1960" s="99"/>
      <c r="P1960" s="99"/>
      <c r="Q1960" s="99"/>
      <c r="R1960" s="99"/>
      <c r="S1960" s="99"/>
      <c r="T1960" s="99"/>
      <c r="U1960" s="99"/>
      <c r="V1960" s="99"/>
      <c r="W1960" s="240"/>
      <c r="X1960" s="240"/>
      <c r="Y1960" s="240"/>
      <c r="AB1960" s="192"/>
      <c r="AC1960" s="317"/>
      <c r="AD1960" s="317"/>
      <c r="AE1960" s="317"/>
      <c r="AF1960" s="317"/>
      <c r="AG1960" s="317"/>
      <c r="AH1960" s="192"/>
      <c r="AI1960" s="192"/>
      <c r="AJ1960" s="317"/>
      <c r="AK1960" s="317"/>
      <c r="AL1960" s="317"/>
      <c r="AM1960" s="317"/>
      <c r="AN1960" s="317"/>
      <c r="AO1960" s="317"/>
      <c r="AP1960" s="317"/>
      <c r="AQ1960" s="317"/>
      <c r="AR1960" s="192"/>
      <c r="AS1960" s="192"/>
      <c r="AT1960" s="192"/>
      <c r="AU1960" s="192"/>
      <c r="AV1960" s="192"/>
      <c r="AW1960" s="192"/>
    </row>
    <row r="1961" spans="1:49" ht="15" customHeight="1">
      <c r="A1961" s="297"/>
      <c r="B1961" s="217"/>
      <c r="C1961" s="217"/>
      <c r="D1961" s="101"/>
      <c r="E1961" s="101"/>
      <c r="F1961" s="185"/>
      <c r="G1961" s="295"/>
      <c r="H1961" s="295"/>
      <c r="I1961" s="99"/>
      <c r="J1961" s="99"/>
      <c r="K1961" s="99"/>
      <c r="L1961" s="99"/>
      <c r="M1961" s="99"/>
      <c r="N1961" s="99"/>
      <c r="O1961" s="99"/>
      <c r="P1961" s="99"/>
      <c r="Q1961" s="99"/>
      <c r="R1961" s="99"/>
      <c r="S1961" s="99"/>
      <c r="T1961" s="99"/>
      <c r="U1961" s="99"/>
      <c r="V1961" s="99"/>
      <c r="W1961" s="240"/>
      <c r="X1961" s="240"/>
      <c r="Y1961" s="240"/>
      <c r="AB1961" s="192"/>
      <c r="AC1961" s="312"/>
      <c r="AD1961" s="312"/>
      <c r="AE1961" s="312"/>
      <c r="AF1961" s="312"/>
      <c r="AG1961" s="312"/>
      <c r="AH1961" s="192"/>
      <c r="AI1961" s="192"/>
      <c r="AJ1961" s="194"/>
      <c r="AK1961" s="194"/>
      <c r="AL1961" s="194"/>
      <c r="AM1961" s="194"/>
      <c r="AN1961" s="194"/>
      <c r="AO1961" s="194"/>
      <c r="AP1961" s="194"/>
      <c r="AQ1961" s="194"/>
      <c r="AR1961" s="192"/>
      <c r="AS1961" s="192"/>
      <c r="AT1961" s="192"/>
      <c r="AU1961" s="192"/>
      <c r="AV1961" s="192"/>
      <c r="AW1961" s="192"/>
    </row>
    <row r="1962" spans="1:49" ht="15" customHeight="1">
      <c r="A1962" s="297"/>
      <c r="B1962" s="217"/>
      <c r="C1962" s="217"/>
      <c r="D1962" s="101"/>
      <c r="E1962" s="101"/>
      <c r="F1962" s="185"/>
      <c r="G1962" s="295"/>
      <c r="H1962" s="295"/>
      <c r="I1962" s="99"/>
      <c r="J1962" s="99"/>
      <c r="K1962" s="99"/>
      <c r="L1962" s="99"/>
      <c r="M1962" s="99"/>
      <c r="N1962" s="99"/>
      <c r="O1962" s="99"/>
      <c r="P1962" s="99"/>
      <c r="Q1962" s="99"/>
      <c r="R1962" s="99"/>
      <c r="S1962" s="99"/>
      <c r="T1962" s="99"/>
      <c r="U1962" s="99"/>
      <c r="V1962" s="99"/>
      <c r="W1962" s="240"/>
      <c r="X1962" s="240"/>
      <c r="Y1962" s="240"/>
      <c r="AB1962" s="192"/>
      <c r="AC1962" s="312"/>
      <c r="AD1962" s="312"/>
      <c r="AE1962" s="312"/>
      <c r="AF1962" s="312"/>
      <c r="AG1962" s="312"/>
      <c r="AH1962" s="192"/>
      <c r="AI1962" s="192"/>
      <c r="AJ1962" s="194"/>
      <c r="AK1962" s="194"/>
      <c r="AL1962" s="194"/>
      <c r="AM1962" s="194"/>
      <c r="AN1962" s="194"/>
      <c r="AO1962" s="194"/>
      <c r="AP1962" s="194"/>
      <c r="AQ1962" s="194"/>
      <c r="AR1962" s="192"/>
      <c r="AS1962" s="192"/>
      <c r="AT1962" s="192"/>
      <c r="AU1962" s="192"/>
      <c r="AV1962" s="192"/>
      <c r="AW1962" s="192"/>
    </row>
    <row r="1963" spans="1:49" ht="15" customHeight="1">
      <c r="A1963" s="297"/>
      <c r="B1963" s="217"/>
      <c r="C1963" s="217"/>
      <c r="D1963" s="101"/>
      <c r="E1963" s="101"/>
      <c r="F1963" s="185"/>
      <c r="G1963" s="295"/>
      <c r="H1963" s="295"/>
      <c r="I1963" s="99"/>
      <c r="J1963" s="99"/>
      <c r="K1963" s="99"/>
      <c r="L1963" s="99"/>
      <c r="M1963" s="99"/>
      <c r="N1963" s="99"/>
      <c r="O1963" s="99"/>
      <c r="P1963" s="99"/>
      <c r="Q1963" s="99"/>
      <c r="R1963" s="99"/>
      <c r="S1963" s="99"/>
      <c r="T1963" s="99"/>
      <c r="U1963" s="99"/>
      <c r="V1963" s="99"/>
      <c r="W1963" s="240"/>
      <c r="X1963" s="240"/>
      <c r="Y1963" s="240"/>
      <c r="AB1963" s="192"/>
      <c r="AC1963" s="312"/>
      <c r="AD1963" s="312"/>
      <c r="AE1963" s="312"/>
      <c r="AF1963" s="312"/>
      <c r="AG1963" s="312"/>
      <c r="AH1963" s="192"/>
      <c r="AI1963" s="192"/>
      <c r="AJ1963" s="194"/>
      <c r="AK1963" s="194"/>
      <c r="AL1963" s="194"/>
      <c r="AM1963" s="194"/>
      <c r="AN1963" s="194"/>
      <c r="AO1963" s="194"/>
      <c r="AP1963" s="194"/>
      <c r="AQ1963" s="194"/>
      <c r="AR1963" s="192"/>
      <c r="AS1963" s="192"/>
      <c r="AT1963" s="192"/>
      <c r="AU1963" s="192"/>
      <c r="AV1963" s="192"/>
      <c r="AW1963" s="192"/>
    </row>
    <row r="1964" spans="1:49" ht="15" customHeight="1">
      <c r="A1964" s="297"/>
      <c r="B1964" s="217"/>
      <c r="C1964" s="217"/>
      <c r="D1964" s="101"/>
      <c r="E1964" s="101"/>
      <c r="F1964" s="185"/>
      <c r="G1964" s="295"/>
      <c r="H1964" s="295"/>
      <c r="I1964" s="99"/>
      <c r="J1964" s="99"/>
      <c r="K1964" s="99"/>
      <c r="L1964" s="99"/>
      <c r="M1964" s="99"/>
      <c r="N1964" s="99"/>
      <c r="O1964" s="99"/>
      <c r="P1964" s="99"/>
      <c r="Q1964" s="99"/>
      <c r="R1964" s="99"/>
      <c r="S1964" s="99"/>
      <c r="T1964" s="99"/>
      <c r="U1964" s="99"/>
      <c r="V1964" s="99"/>
      <c r="W1964" s="240"/>
      <c r="X1964" s="240"/>
      <c r="Y1964" s="240"/>
      <c r="AB1964" s="192"/>
      <c r="AC1964" s="312"/>
      <c r="AD1964" s="312"/>
      <c r="AE1964" s="312"/>
      <c r="AF1964" s="312"/>
      <c r="AG1964" s="312"/>
      <c r="AH1964" s="192"/>
      <c r="AI1964" s="192"/>
      <c r="AJ1964" s="194"/>
      <c r="AK1964" s="194"/>
      <c r="AL1964" s="194"/>
      <c r="AM1964" s="194"/>
      <c r="AN1964" s="194"/>
      <c r="AO1964" s="194"/>
      <c r="AP1964" s="194"/>
      <c r="AQ1964" s="194"/>
      <c r="AR1964" s="192"/>
      <c r="AS1964" s="192"/>
      <c r="AT1964" s="192"/>
      <c r="AU1964" s="192"/>
      <c r="AV1964" s="192"/>
      <c r="AW1964" s="192"/>
    </row>
    <row r="1965" spans="1:49" ht="15" customHeight="1">
      <c r="A1965" s="297"/>
      <c r="B1965" s="217"/>
      <c r="C1965" s="217"/>
      <c r="D1965" s="101"/>
      <c r="E1965" s="101"/>
      <c r="F1965" s="185"/>
      <c r="G1965" s="295"/>
      <c r="H1965" s="295"/>
      <c r="I1965" s="99"/>
      <c r="J1965" s="99"/>
      <c r="K1965" s="99"/>
      <c r="L1965" s="99"/>
      <c r="M1965" s="99"/>
      <c r="N1965" s="99"/>
      <c r="O1965" s="99"/>
      <c r="P1965" s="99"/>
      <c r="Q1965" s="99"/>
      <c r="R1965" s="99"/>
      <c r="S1965" s="99"/>
      <c r="T1965" s="99"/>
      <c r="U1965" s="233"/>
      <c r="V1965" s="233"/>
      <c r="W1965" s="240"/>
      <c r="X1965" s="240"/>
      <c r="Y1965" s="240"/>
      <c r="AB1965" s="192"/>
      <c r="AC1965" s="312"/>
      <c r="AD1965" s="312"/>
      <c r="AE1965" s="312"/>
      <c r="AF1965" s="312"/>
      <c r="AG1965" s="312"/>
      <c r="AH1965" s="192"/>
      <c r="AI1965" s="192"/>
      <c r="AJ1965" s="194"/>
      <c r="AK1965" s="194"/>
      <c r="AL1965" s="194"/>
      <c r="AM1965" s="194"/>
      <c r="AN1965" s="194"/>
      <c r="AO1965" s="194"/>
      <c r="AP1965" s="194"/>
      <c r="AQ1965" s="194"/>
      <c r="AR1965" s="192"/>
      <c r="AS1965" s="192"/>
      <c r="AT1965" s="192"/>
      <c r="AU1965" s="192"/>
      <c r="AV1965" s="192"/>
      <c r="AW1965" s="192"/>
    </row>
    <row r="1966" spans="1:49" ht="15" customHeight="1">
      <c r="A1966" s="297"/>
      <c r="B1966" s="217"/>
      <c r="C1966" s="217"/>
      <c r="D1966" s="101"/>
      <c r="E1966" s="101"/>
      <c r="F1966" s="185"/>
      <c r="G1966" s="295"/>
      <c r="H1966" s="295"/>
      <c r="I1966" s="99"/>
      <c r="J1966" s="99"/>
      <c r="K1966" s="99"/>
      <c r="L1966" s="99"/>
      <c r="M1966" s="99"/>
      <c r="N1966" s="99"/>
      <c r="O1966" s="99"/>
      <c r="P1966" s="99"/>
      <c r="Q1966" s="99"/>
      <c r="R1966" s="99"/>
      <c r="S1966" s="99"/>
      <c r="T1966" s="99"/>
      <c r="U1966" s="111"/>
      <c r="V1966" s="111"/>
      <c r="W1966" s="240"/>
      <c r="X1966" s="240"/>
      <c r="Y1966" s="240"/>
      <c r="AB1966" s="192"/>
      <c r="AC1966" s="312"/>
      <c r="AD1966" s="312"/>
      <c r="AE1966" s="312"/>
      <c r="AF1966" s="312"/>
      <c r="AG1966" s="312"/>
      <c r="AH1966" s="192"/>
      <c r="AI1966" s="192"/>
      <c r="AJ1966" s="194"/>
      <c r="AK1966" s="194"/>
      <c r="AL1966" s="194"/>
      <c r="AM1966" s="194"/>
      <c r="AN1966" s="194"/>
      <c r="AO1966" s="194"/>
      <c r="AP1966" s="194"/>
      <c r="AQ1966" s="194"/>
      <c r="AR1966" s="192"/>
      <c r="AS1966" s="192"/>
      <c r="AT1966" s="192"/>
      <c r="AU1966" s="192"/>
      <c r="AV1966" s="192"/>
      <c r="AW1966" s="192"/>
    </row>
    <row r="1967" spans="1:49" ht="15" customHeight="1">
      <c r="A1967" s="297"/>
      <c r="B1967" s="217"/>
      <c r="C1967" s="217"/>
      <c r="D1967" s="101"/>
      <c r="E1967" s="101"/>
      <c r="F1967" s="185"/>
      <c r="G1967" s="295"/>
      <c r="H1967" s="295"/>
      <c r="I1967" s="99"/>
      <c r="J1967" s="99"/>
      <c r="K1967" s="99"/>
      <c r="L1967" s="99"/>
      <c r="M1967" s="99"/>
      <c r="N1967" s="99"/>
      <c r="O1967" s="99"/>
      <c r="P1967" s="99"/>
      <c r="Q1967" s="99"/>
      <c r="R1967" s="99"/>
      <c r="S1967" s="99"/>
      <c r="T1967" s="99"/>
      <c r="U1967" s="99"/>
      <c r="V1967" s="99"/>
      <c r="W1967" s="240"/>
      <c r="X1967" s="240"/>
      <c r="Y1967" s="240"/>
      <c r="AB1967" s="192"/>
      <c r="AC1967" s="314"/>
      <c r="AD1967" s="314"/>
      <c r="AE1967" s="314"/>
      <c r="AF1967" s="314"/>
      <c r="AG1967" s="314"/>
      <c r="AH1967" s="192"/>
      <c r="AI1967" s="192"/>
      <c r="AJ1967" s="314"/>
      <c r="AK1967" s="314"/>
      <c r="AL1967" s="314"/>
      <c r="AM1967" s="314"/>
      <c r="AN1967" s="314"/>
      <c r="AO1967" s="314"/>
      <c r="AP1967" s="314"/>
      <c r="AQ1967" s="314"/>
      <c r="AR1967" s="192"/>
      <c r="AS1967" s="192"/>
      <c r="AT1967" s="192"/>
      <c r="AU1967" s="192"/>
      <c r="AV1967" s="192"/>
      <c r="AW1967" s="192"/>
    </row>
    <row r="1968" spans="1:49" ht="15" customHeight="1">
      <c r="A1968" s="297"/>
      <c r="B1968" s="217"/>
      <c r="C1968" s="217"/>
      <c r="D1968" s="101"/>
      <c r="E1968" s="101"/>
      <c r="F1968" s="185"/>
      <c r="G1968" s="295"/>
      <c r="H1968" s="295"/>
      <c r="I1968" s="99"/>
      <c r="J1968" s="99"/>
      <c r="K1968" s="99"/>
      <c r="L1968" s="99"/>
      <c r="M1968" s="99"/>
      <c r="N1968" s="99"/>
      <c r="O1968" s="99"/>
      <c r="P1968" s="99"/>
      <c r="Q1968" s="99"/>
      <c r="R1968" s="99"/>
      <c r="S1968" s="99"/>
      <c r="T1968" s="99"/>
      <c r="U1968" s="99"/>
      <c r="V1968" s="99"/>
      <c r="W1968" s="240"/>
      <c r="X1968" s="240"/>
      <c r="Y1968" s="240"/>
      <c r="AB1968" s="192"/>
      <c r="AC1968" s="317"/>
      <c r="AD1968" s="317"/>
      <c r="AE1968" s="317"/>
      <c r="AF1968" s="317"/>
      <c r="AG1968" s="317"/>
      <c r="AH1968" s="192"/>
      <c r="AI1968" s="192"/>
      <c r="AJ1968" s="317"/>
      <c r="AK1968" s="317"/>
      <c r="AL1968" s="317"/>
      <c r="AM1968" s="317"/>
      <c r="AN1968" s="317"/>
      <c r="AO1968" s="317"/>
      <c r="AP1968" s="317"/>
      <c r="AQ1968" s="317"/>
      <c r="AR1968" s="192"/>
      <c r="AS1968" s="192"/>
      <c r="AT1968" s="192"/>
      <c r="AU1968" s="192"/>
      <c r="AV1968" s="192"/>
      <c r="AW1968" s="192"/>
    </row>
    <row r="1969" spans="1:49" ht="15" customHeight="1">
      <c r="A1969" s="297"/>
      <c r="B1969" s="217"/>
      <c r="C1969" s="217"/>
      <c r="D1969" s="101"/>
      <c r="E1969" s="101"/>
      <c r="F1969" s="185"/>
      <c r="G1969" s="295"/>
      <c r="H1969" s="295"/>
      <c r="I1969" s="99"/>
      <c r="J1969" s="99"/>
      <c r="K1969" s="99"/>
      <c r="L1969" s="99"/>
      <c r="M1969" s="99"/>
      <c r="N1969" s="99"/>
      <c r="O1969" s="99"/>
      <c r="P1969" s="99"/>
      <c r="Q1969" s="99"/>
      <c r="R1969" s="99"/>
      <c r="S1969" s="99"/>
      <c r="T1969" s="99"/>
      <c r="U1969" s="99"/>
      <c r="V1969" s="99"/>
      <c r="W1969" s="240"/>
      <c r="X1969" s="240"/>
      <c r="Y1969" s="240"/>
      <c r="AB1969" s="192"/>
      <c r="AC1969" s="312"/>
      <c r="AD1969" s="312"/>
      <c r="AE1969" s="312"/>
      <c r="AF1969" s="312"/>
      <c r="AG1969" s="312"/>
      <c r="AH1969" s="192"/>
      <c r="AI1969" s="192"/>
      <c r="AJ1969" s="194"/>
      <c r="AK1969" s="194"/>
      <c r="AL1969" s="194"/>
      <c r="AM1969" s="194"/>
      <c r="AN1969" s="194"/>
      <c r="AO1969" s="194"/>
      <c r="AP1969" s="194"/>
      <c r="AQ1969" s="194"/>
      <c r="AR1969" s="192"/>
      <c r="AS1969" s="192"/>
      <c r="AT1969" s="192"/>
      <c r="AU1969" s="192"/>
      <c r="AV1969" s="192"/>
      <c r="AW1969" s="192"/>
    </row>
    <row r="1970" spans="1:49" ht="15" customHeight="1">
      <c r="A1970" s="297"/>
      <c r="B1970" s="217"/>
      <c r="C1970" s="217"/>
      <c r="D1970" s="101"/>
      <c r="E1970" s="101"/>
      <c r="F1970" s="185"/>
      <c r="G1970" s="295"/>
      <c r="H1970" s="295"/>
      <c r="I1970" s="99"/>
      <c r="J1970" s="99"/>
      <c r="K1970" s="99"/>
      <c r="L1970" s="99"/>
      <c r="M1970" s="99"/>
      <c r="N1970" s="99"/>
      <c r="O1970" s="99"/>
      <c r="P1970" s="99"/>
      <c r="Q1970" s="99"/>
      <c r="R1970" s="99"/>
      <c r="S1970" s="99"/>
      <c r="T1970" s="99"/>
      <c r="U1970" s="99"/>
      <c r="V1970" s="99"/>
      <c r="W1970" s="240"/>
      <c r="X1970" s="240"/>
      <c r="Y1970" s="240"/>
      <c r="AB1970" s="192"/>
      <c r="AC1970" s="312"/>
      <c r="AD1970" s="312"/>
      <c r="AE1970" s="312"/>
      <c r="AF1970" s="312"/>
      <c r="AG1970" s="312"/>
      <c r="AH1970" s="192"/>
      <c r="AI1970" s="192"/>
      <c r="AJ1970" s="194"/>
      <c r="AK1970" s="194"/>
      <c r="AL1970" s="194"/>
      <c r="AM1970" s="194"/>
      <c r="AN1970" s="194"/>
      <c r="AO1970" s="194"/>
      <c r="AP1970" s="194"/>
      <c r="AQ1970" s="194"/>
      <c r="AR1970" s="192"/>
      <c r="AS1970" s="192"/>
      <c r="AT1970" s="192"/>
      <c r="AU1970" s="192"/>
      <c r="AV1970" s="192"/>
      <c r="AW1970" s="192"/>
    </row>
    <row r="1971" spans="1:49" ht="15" customHeight="1">
      <c r="A1971" s="297"/>
      <c r="B1971" s="217"/>
      <c r="C1971" s="217"/>
      <c r="D1971" s="101"/>
      <c r="E1971" s="101"/>
      <c r="F1971" s="185"/>
      <c r="G1971" s="295"/>
      <c r="H1971" s="295"/>
      <c r="I1971" s="99"/>
      <c r="J1971" s="99"/>
      <c r="K1971" s="99"/>
      <c r="L1971" s="99"/>
      <c r="M1971" s="99"/>
      <c r="N1971" s="99"/>
      <c r="O1971" s="99"/>
      <c r="P1971" s="99"/>
      <c r="Q1971" s="99"/>
      <c r="R1971" s="99"/>
      <c r="S1971" s="99"/>
      <c r="T1971" s="99"/>
      <c r="U1971" s="99"/>
      <c r="V1971" s="99"/>
      <c r="W1971" s="240"/>
      <c r="X1971" s="240"/>
      <c r="Y1971" s="240"/>
      <c r="AB1971" s="192"/>
      <c r="AC1971" s="312"/>
      <c r="AD1971" s="312"/>
      <c r="AE1971" s="312"/>
      <c r="AF1971" s="312"/>
      <c r="AG1971" s="312"/>
      <c r="AH1971" s="192"/>
      <c r="AI1971" s="192"/>
      <c r="AJ1971" s="194"/>
      <c r="AK1971" s="194"/>
      <c r="AL1971" s="194"/>
      <c r="AM1971" s="194"/>
      <c r="AN1971" s="194"/>
      <c r="AO1971" s="194"/>
      <c r="AP1971" s="194"/>
      <c r="AQ1971" s="194"/>
      <c r="AR1971" s="192"/>
      <c r="AS1971" s="192"/>
      <c r="AT1971" s="192"/>
      <c r="AU1971" s="192"/>
      <c r="AV1971" s="192"/>
      <c r="AW1971" s="192"/>
    </row>
    <row r="1972" spans="1:49" ht="15" customHeight="1">
      <c r="A1972" s="297"/>
      <c r="B1972" s="217"/>
      <c r="C1972" s="217"/>
      <c r="D1972" s="101"/>
      <c r="E1972" s="101"/>
      <c r="F1972" s="185"/>
      <c r="G1972" s="295"/>
      <c r="H1972" s="295"/>
      <c r="I1972" s="99"/>
      <c r="J1972" s="99"/>
      <c r="K1972" s="99"/>
      <c r="L1972" s="99"/>
      <c r="M1972" s="99"/>
      <c r="N1972" s="99"/>
      <c r="O1972" s="99"/>
      <c r="P1972" s="99"/>
      <c r="Q1972" s="99"/>
      <c r="R1972" s="99"/>
      <c r="S1972" s="99"/>
      <c r="T1972" s="99"/>
      <c r="U1972" s="99"/>
      <c r="V1972" s="99"/>
      <c r="W1972" s="240"/>
      <c r="X1972" s="240"/>
      <c r="Y1972" s="240"/>
      <c r="AB1972" s="192"/>
      <c r="AC1972" s="314"/>
      <c r="AD1972" s="314"/>
      <c r="AE1972" s="314"/>
      <c r="AF1972" s="314"/>
      <c r="AG1972" s="314"/>
      <c r="AH1972" s="192"/>
      <c r="AI1972" s="192"/>
      <c r="AJ1972" s="314"/>
      <c r="AK1972" s="314"/>
      <c r="AL1972" s="314"/>
      <c r="AM1972" s="314"/>
      <c r="AN1972" s="314"/>
      <c r="AO1972" s="314"/>
      <c r="AP1972" s="314"/>
      <c r="AQ1972" s="314"/>
      <c r="AR1972" s="192"/>
      <c r="AS1972" s="192"/>
      <c r="AT1972" s="192"/>
      <c r="AU1972" s="192"/>
      <c r="AV1972" s="192"/>
      <c r="AW1972" s="192"/>
    </row>
    <row r="1973" spans="1:49" ht="15" customHeight="1">
      <c r="A1973" s="297"/>
      <c r="B1973" s="217"/>
      <c r="C1973" s="217"/>
      <c r="D1973" s="101"/>
      <c r="E1973" s="101"/>
      <c r="F1973" s="185"/>
      <c r="G1973" s="295"/>
      <c r="H1973" s="295"/>
      <c r="I1973" s="99"/>
      <c r="J1973" s="99"/>
      <c r="K1973" s="99"/>
      <c r="L1973" s="99"/>
      <c r="M1973" s="99"/>
      <c r="N1973" s="99"/>
      <c r="O1973" s="99"/>
      <c r="P1973" s="99"/>
      <c r="Q1973" s="99"/>
      <c r="R1973" s="99"/>
      <c r="S1973" s="99"/>
      <c r="T1973" s="99"/>
      <c r="U1973" s="99"/>
      <c r="V1973" s="99"/>
      <c r="W1973" s="240"/>
      <c r="X1973" s="240"/>
      <c r="Y1973" s="240"/>
      <c r="AB1973" s="192"/>
      <c r="AC1973" s="317"/>
      <c r="AD1973" s="317"/>
      <c r="AE1973" s="317"/>
      <c r="AF1973" s="317"/>
      <c r="AG1973" s="317"/>
      <c r="AH1973" s="192"/>
      <c r="AI1973" s="192"/>
      <c r="AJ1973" s="317"/>
      <c r="AK1973" s="317"/>
      <c r="AL1973" s="317"/>
      <c r="AM1973" s="317"/>
      <c r="AN1973" s="317"/>
      <c r="AO1973" s="317"/>
      <c r="AP1973" s="317"/>
      <c r="AQ1973" s="317"/>
      <c r="AR1973" s="192"/>
      <c r="AS1973" s="192"/>
      <c r="AT1973" s="192"/>
      <c r="AU1973" s="192"/>
      <c r="AV1973" s="192"/>
      <c r="AW1973" s="192"/>
    </row>
    <row r="1974" spans="1:49" ht="15" customHeight="1">
      <c r="A1974" s="297"/>
      <c r="B1974" s="217"/>
      <c r="C1974" s="217"/>
      <c r="D1974" s="101"/>
      <c r="E1974" s="101"/>
      <c r="F1974" s="185"/>
      <c r="G1974" s="295"/>
      <c r="H1974" s="295"/>
      <c r="I1974" s="99"/>
      <c r="J1974" s="99"/>
      <c r="K1974" s="99"/>
      <c r="L1974" s="99"/>
      <c r="M1974" s="99"/>
      <c r="N1974" s="99"/>
      <c r="O1974" s="99"/>
      <c r="P1974" s="99"/>
      <c r="Q1974" s="99"/>
      <c r="R1974" s="99"/>
      <c r="S1974" s="99"/>
      <c r="T1974" s="99"/>
      <c r="U1974" s="99"/>
      <c r="V1974" s="99"/>
      <c r="W1974" s="240"/>
      <c r="X1974" s="240"/>
      <c r="Y1974" s="240"/>
      <c r="AB1974" s="192"/>
      <c r="AC1974" s="314"/>
      <c r="AD1974" s="314"/>
      <c r="AE1974" s="314"/>
      <c r="AF1974" s="314"/>
      <c r="AG1974" s="314"/>
      <c r="AH1974" s="192"/>
      <c r="AI1974" s="192"/>
      <c r="AJ1974" s="314"/>
      <c r="AK1974" s="314"/>
      <c r="AL1974" s="314"/>
      <c r="AM1974" s="314"/>
      <c r="AN1974" s="314"/>
      <c r="AO1974" s="314"/>
      <c r="AP1974" s="314"/>
      <c r="AQ1974" s="314"/>
      <c r="AR1974" s="192"/>
      <c r="AS1974" s="192"/>
      <c r="AT1974" s="192"/>
      <c r="AU1974" s="192"/>
      <c r="AV1974" s="192"/>
      <c r="AW1974" s="192"/>
    </row>
    <row r="1975" spans="1:49" ht="15" customHeight="1">
      <c r="A1975" s="297"/>
      <c r="B1975" s="217"/>
      <c r="C1975" s="217"/>
      <c r="D1975" s="101"/>
      <c r="E1975" s="101"/>
      <c r="F1975" s="185"/>
      <c r="G1975" s="295"/>
      <c r="H1975" s="295"/>
      <c r="I1975" s="99"/>
      <c r="J1975" s="99"/>
      <c r="K1975" s="99"/>
      <c r="L1975" s="99"/>
      <c r="M1975" s="99"/>
      <c r="N1975" s="99"/>
      <c r="O1975" s="99"/>
      <c r="P1975" s="99"/>
      <c r="Q1975" s="99"/>
      <c r="R1975" s="99"/>
      <c r="S1975" s="99"/>
      <c r="T1975" s="99"/>
      <c r="U1975" s="99"/>
      <c r="V1975" s="99"/>
      <c r="W1975" s="240"/>
      <c r="X1975" s="240"/>
      <c r="Y1975" s="240"/>
      <c r="AB1975" s="192"/>
      <c r="AC1975" s="192"/>
      <c r="AD1975" s="192"/>
      <c r="AE1975" s="192"/>
      <c r="AF1975" s="192"/>
      <c r="AG1975" s="192"/>
      <c r="AH1975" s="192"/>
      <c r="AI1975" s="192"/>
      <c r="AJ1975" s="192"/>
      <c r="AK1975" s="192"/>
      <c r="AL1975" s="192"/>
      <c r="AM1975" s="192"/>
      <c r="AN1975" s="192"/>
      <c r="AR1975" s="192"/>
      <c r="AS1975" s="192"/>
      <c r="AT1975" s="192"/>
      <c r="AU1975" s="192"/>
      <c r="AV1975" s="192"/>
      <c r="AW1975" s="192"/>
    </row>
    <row r="1976" spans="1:49" ht="15" customHeight="1">
      <c r="A1976" s="297"/>
      <c r="B1976" s="217"/>
      <c r="C1976" s="217"/>
      <c r="D1976" s="101"/>
      <c r="E1976" s="101"/>
      <c r="F1976" s="185"/>
      <c r="G1976" s="295"/>
      <c r="H1976" s="295"/>
      <c r="I1976" s="99"/>
      <c r="J1976" s="99"/>
      <c r="K1976" s="99"/>
      <c r="L1976" s="99"/>
      <c r="M1976" s="99"/>
      <c r="N1976" s="99"/>
      <c r="O1976" s="99"/>
      <c r="P1976" s="99"/>
      <c r="Q1976" s="99"/>
      <c r="R1976" s="99"/>
      <c r="S1976" s="99"/>
      <c r="T1976" s="99"/>
      <c r="U1976" s="99"/>
      <c r="V1976" s="99"/>
      <c r="W1976" s="243"/>
      <c r="X1976" s="243"/>
      <c r="Y1976" s="243"/>
      <c r="Z1976" s="193"/>
      <c r="AA1976" s="193"/>
      <c r="AB1976" s="195"/>
      <c r="AC1976" s="95"/>
      <c r="AD1976" s="95"/>
      <c r="AE1976" s="95"/>
      <c r="AF1976" s="95"/>
      <c r="AG1976" s="95"/>
      <c r="AH1976" s="88"/>
      <c r="AI1976" s="195"/>
      <c r="AJ1976" s="196"/>
      <c r="AK1976" s="196"/>
      <c r="AL1976" s="196"/>
      <c r="AM1976" s="196"/>
      <c r="AN1976" s="196"/>
      <c r="AO1976" s="196"/>
      <c r="AP1976" s="196"/>
      <c r="AQ1976" s="196"/>
      <c r="AR1976" s="192"/>
      <c r="AS1976" s="192"/>
      <c r="AT1976" s="192"/>
      <c r="AU1976" s="192"/>
      <c r="AV1976" s="192"/>
      <c r="AW1976" s="192"/>
    </row>
    <row r="1977" spans="1:49" ht="15" customHeight="1">
      <c r="A1977" s="297"/>
      <c r="B1977" s="217"/>
      <c r="C1977" s="217"/>
      <c r="D1977" s="101"/>
      <c r="E1977" s="101"/>
      <c r="F1977" s="185"/>
      <c r="G1977" s="295"/>
      <c r="H1977" s="295"/>
      <c r="I1977" s="99"/>
      <c r="J1977" s="99"/>
      <c r="K1977" s="99"/>
      <c r="L1977" s="99"/>
      <c r="M1977" s="99"/>
      <c r="N1977" s="99"/>
      <c r="O1977" s="99"/>
      <c r="P1977" s="99"/>
      <c r="Q1977" s="99"/>
      <c r="R1977" s="99"/>
      <c r="S1977" s="99"/>
      <c r="T1977" s="99"/>
      <c r="U1977" s="233"/>
      <c r="V1977" s="233"/>
      <c r="W1977" s="240"/>
      <c r="X1977" s="240"/>
      <c r="Y1977" s="240"/>
      <c r="AB1977" s="192"/>
      <c r="AC1977" s="312"/>
      <c r="AD1977" s="312"/>
      <c r="AE1977" s="312"/>
      <c r="AF1977" s="312"/>
      <c r="AG1977" s="312"/>
      <c r="AH1977" s="192"/>
      <c r="AI1977" s="192"/>
      <c r="AJ1977" s="194"/>
      <c r="AK1977" s="194"/>
      <c r="AL1977" s="194"/>
      <c r="AM1977" s="194"/>
      <c r="AN1977" s="194"/>
      <c r="AO1977" s="194"/>
      <c r="AP1977" s="194"/>
      <c r="AQ1977" s="194"/>
      <c r="AR1977" s="192"/>
      <c r="AS1977" s="192"/>
      <c r="AT1977" s="192"/>
      <c r="AU1977" s="192"/>
      <c r="AV1977" s="192"/>
      <c r="AW1977" s="192"/>
    </row>
    <row r="1978" spans="1:49" ht="15" customHeight="1">
      <c r="A1978" s="297"/>
      <c r="B1978" s="217"/>
      <c r="C1978" s="217"/>
      <c r="D1978" s="101"/>
      <c r="E1978" s="101"/>
      <c r="F1978" s="185"/>
      <c r="G1978" s="295"/>
      <c r="H1978" s="295"/>
      <c r="I1978" s="99"/>
      <c r="J1978" s="99"/>
      <c r="K1978" s="99"/>
      <c r="L1978" s="99"/>
      <c r="M1978" s="99"/>
      <c r="N1978" s="99"/>
      <c r="O1978" s="99"/>
      <c r="P1978" s="99"/>
      <c r="Q1978" s="99"/>
      <c r="R1978" s="99"/>
      <c r="S1978" s="99"/>
      <c r="T1978" s="99"/>
      <c r="U1978" s="100"/>
      <c r="V1978" s="100"/>
      <c r="W1978" s="240"/>
      <c r="X1978" s="240"/>
      <c r="Y1978" s="240"/>
      <c r="AB1978" s="192"/>
      <c r="AC1978" s="312"/>
      <c r="AD1978" s="312"/>
      <c r="AE1978" s="312"/>
      <c r="AF1978" s="312"/>
      <c r="AG1978" s="312"/>
      <c r="AH1978" s="192"/>
      <c r="AI1978" s="192"/>
      <c r="AJ1978" s="194"/>
      <c r="AK1978" s="194"/>
      <c r="AL1978" s="194"/>
      <c r="AM1978" s="194"/>
      <c r="AN1978" s="194"/>
      <c r="AO1978" s="194"/>
      <c r="AP1978" s="194"/>
      <c r="AQ1978" s="194"/>
      <c r="AR1978" s="192"/>
      <c r="AS1978" s="192"/>
      <c r="AT1978" s="192"/>
      <c r="AU1978" s="192"/>
      <c r="AV1978" s="192"/>
      <c r="AW1978" s="192"/>
    </row>
    <row r="1979" spans="1:49" ht="15" customHeight="1">
      <c r="A1979" s="297"/>
      <c r="B1979" s="217"/>
      <c r="C1979" s="217"/>
      <c r="D1979" s="101"/>
      <c r="E1979" s="101"/>
      <c r="F1979" s="185"/>
      <c r="G1979" s="295"/>
      <c r="H1979" s="295"/>
      <c r="I1979" s="99"/>
      <c r="J1979" s="99"/>
      <c r="K1979" s="99"/>
      <c r="L1979" s="99"/>
      <c r="M1979" s="99"/>
      <c r="N1979" s="99"/>
      <c r="O1979" s="99"/>
      <c r="P1979" s="99"/>
      <c r="Q1979" s="99"/>
      <c r="R1979" s="99"/>
      <c r="S1979" s="99"/>
      <c r="T1979" s="99"/>
      <c r="U1979" s="99"/>
      <c r="V1979" s="99"/>
      <c r="W1979" s="240"/>
      <c r="X1979" s="240"/>
      <c r="Y1979" s="240"/>
      <c r="AB1979" s="192"/>
      <c r="AC1979" s="312"/>
      <c r="AD1979" s="312"/>
      <c r="AE1979" s="312"/>
      <c r="AF1979" s="312"/>
      <c r="AG1979" s="312"/>
      <c r="AH1979" s="192"/>
      <c r="AI1979" s="192"/>
      <c r="AJ1979" s="194"/>
      <c r="AK1979" s="194"/>
      <c r="AL1979" s="194"/>
      <c r="AM1979" s="194"/>
      <c r="AN1979" s="194"/>
      <c r="AO1979" s="194"/>
      <c r="AP1979" s="194"/>
      <c r="AQ1979" s="194"/>
      <c r="AR1979" s="192"/>
      <c r="AS1979" s="192"/>
      <c r="AT1979" s="192"/>
      <c r="AU1979" s="192"/>
      <c r="AV1979" s="192"/>
      <c r="AW1979" s="192"/>
    </row>
    <row r="1980" spans="1:49" ht="15" customHeight="1">
      <c r="A1980" s="297"/>
      <c r="B1980" s="217"/>
      <c r="C1980" s="217"/>
      <c r="D1980" s="101"/>
      <c r="E1980" s="101"/>
      <c r="F1980" s="185"/>
      <c r="G1980" s="295"/>
      <c r="H1980" s="295"/>
      <c r="I1980" s="99"/>
      <c r="J1980" s="99"/>
      <c r="K1980" s="99"/>
      <c r="L1980" s="99"/>
      <c r="M1980" s="99"/>
      <c r="N1980" s="99"/>
      <c r="O1980" s="99"/>
      <c r="P1980" s="99"/>
      <c r="Q1980" s="99"/>
      <c r="R1980" s="99"/>
      <c r="S1980" s="99"/>
      <c r="T1980" s="99"/>
      <c r="U1980" s="99"/>
      <c r="V1980" s="99"/>
      <c r="W1980" s="240"/>
      <c r="X1980" s="240"/>
      <c r="Y1980" s="240"/>
      <c r="AB1980" s="192"/>
      <c r="AC1980" s="312"/>
      <c r="AD1980" s="312"/>
      <c r="AE1980" s="312"/>
      <c r="AF1980" s="312"/>
      <c r="AG1980" s="312"/>
      <c r="AH1980" s="192"/>
      <c r="AI1980" s="192"/>
      <c r="AJ1980" s="194"/>
      <c r="AK1980" s="194"/>
      <c r="AL1980" s="194"/>
      <c r="AM1980" s="194"/>
      <c r="AN1980" s="194"/>
      <c r="AO1980" s="194"/>
      <c r="AP1980" s="194"/>
      <c r="AQ1980" s="194"/>
      <c r="AR1980" s="192"/>
      <c r="AS1980" s="192"/>
      <c r="AT1980" s="192"/>
      <c r="AU1980" s="192"/>
      <c r="AV1980" s="192"/>
      <c r="AW1980" s="192"/>
    </row>
    <row r="1981" spans="1:49" ht="15" customHeight="1">
      <c r="A1981" s="297"/>
      <c r="B1981" s="217"/>
      <c r="C1981" s="217"/>
      <c r="D1981" s="101"/>
      <c r="E1981" s="101"/>
      <c r="F1981" s="185"/>
      <c r="G1981" s="295"/>
      <c r="H1981" s="295"/>
      <c r="I1981" s="99"/>
      <c r="J1981" s="99"/>
      <c r="K1981" s="99"/>
      <c r="L1981" s="99"/>
      <c r="M1981" s="99"/>
      <c r="N1981" s="99"/>
      <c r="O1981" s="99"/>
      <c r="P1981" s="99"/>
      <c r="Q1981" s="99"/>
      <c r="R1981" s="99"/>
      <c r="S1981" s="99"/>
      <c r="T1981" s="99"/>
      <c r="U1981" s="99"/>
      <c r="V1981" s="99"/>
      <c r="W1981" s="240"/>
      <c r="X1981" s="240"/>
      <c r="Y1981" s="240"/>
      <c r="AB1981" s="192"/>
      <c r="AC1981" s="312"/>
      <c r="AD1981" s="312"/>
      <c r="AE1981" s="312"/>
      <c r="AF1981" s="312"/>
      <c r="AG1981" s="312"/>
      <c r="AH1981" s="192"/>
      <c r="AI1981" s="192"/>
      <c r="AJ1981" s="194"/>
      <c r="AK1981" s="194"/>
      <c r="AL1981" s="194"/>
      <c r="AM1981" s="194"/>
      <c r="AN1981" s="194"/>
      <c r="AO1981" s="194"/>
      <c r="AP1981" s="194"/>
      <c r="AQ1981" s="194"/>
      <c r="AR1981" s="192"/>
      <c r="AS1981" s="192"/>
      <c r="AT1981" s="192"/>
      <c r="AU1981" s="192"/>
      <c r="AV1981" s="192"/>
      <c r="AW1981" s="192"/>
    </row>
    <row r="1982" spans="1:49" ht="15" customHeight="1">
      <c r="A1982" s="297"/>
      <c r="B1982" s="217"/>
      <c r="C1982" s="217"/>
      <c r="D1982" s="101"/>
      <c r="E1982" s="101"/>
      <c r="F1982" s="185"/>
      <c r="G1982" s="295"/>
      <c r="H1982" s="295"/>
      <c r="I1982" s="99"/>
      <c r="J1982" s="99"/>
      <c r="K1982" s="99"/>
      <c r="L1982" s="99"/>
      <c r="M1982" s="99"/>
      <c r="N1982" s="99"/>
      <c r="O1982" s="99"/>
      <c r="P1982" s="99"/>
      <c r="Q1982" s="99"/>
      <c r="R1982" s="99"/>
      <c r="S1982" s="99"/>
      <c r="T1982" s="99"/>
      <c r="U1982" s="99"/>
      <c r="V1982" s="99"/>
      <c r="W1982" s="240"/>
      <c r="X1982" s="240"/>
      <c r="Y1982" s="240"/>
      <c r="AB1982" s="192"/>
      <c r="AC1982" s="312"/>
      <c r="AD1982" s="312"/>
      <c r="AE1982" s="312"/>
      <c r="AF1982" s="312"/>
      <c r="AG1982" s="312"/>
      <c r="AH1982" s="192"/>
      <c r="AI1982" s="192"/>
      <c r="AJ1982" s="194"/>
      <c r="AK1982" s="194"/>
      <c r="AL1982" s="194"/>
      <c r="AM1982" s="194"/>
      <c r="AN1982" s="194"/>
      <c r="AO1982" s="194"/>
      <c r="AP1982" s="194"/>
      <c r="AQ1982" s="194"/>
      <c r="AR1982" s="192"/>
      <c r="AS1982" s="192"/>
      <c r="AT1982" s="192"/>
      <c r="AU1982" s="192"/>
      <c r="AV1982" s="192"/>
      <c r="AW1982" s="192"/>
    </row>
    <row r="1983" spans="1:49" ht="15" customHeight="1">
      <c r="A1983" s="297"/>
      <c r="B1983" s="217"/>
      <c r="C1983" s="217"/>
      <c r="D1983" s="101"/>
      <c r="E1983" s="101"/>
      <c r="F1983" s="185"/>
      <c r="G1983" s="295"/>
      <c r="H1983" s="295"/>
      <c r="I1983" s="99"/>
      <c r="J1983" s="99"/>
      <c r="K1983" s="99"/>
      <c r="L1983" s="99"/>
      <c r="M1983" s="99"/>
      <c r="N1983" s="99"/>
      <c r="O1983" s="99"/>
      <c r="P1983" s="99"/>
      <c r="Q1983" s="99"/>
      <c r="R1983" s="99"/>
      <c r="S1983" s="99"/>
      <c r="T1983" s="99"/>
      <c r="U1983" s="99"/>
      <c r="V1983" s="99"/>
      <c r="W1983" s="240"/>
      <c r="X1983" s="240"/>
      <c r="Y1983" s="240"/>
      <c r="AB1983" s="192"/>
      <c r="AC1983" s="312"/>
      <c r="AD1983" s="312"/>
      <c r="AE1983" s="312"/>
      <c r="AF1983" s="312"/>
      <c r="AG1983" s="312"/>
      <c r="AH1983" s="192"/>
      <c r="AI1983" s="192"/>
      <c r="AJ1983" s="194"/>
      <c r="AK1983" s="194"/>
      <c r="AL1983" s="194"/>
      <c r="AM1983" s="194"/>
      <c r="AN1983" s="194"/>
      <c r="AO1983" s="194"/>
      <c r="AP1983" s="194"/>
      <c r="AQ1983" s="194"/>
      <c r="AR1983" s="192"/>
      <c r="AS1983" s="192"/>
      <c r="AT1983" s="192"/>
      <c r="AU1983" s="192"/>
      <c r="AV1983" s="192"/>
      <c r="AW1983" s="192"/>
    </row>
    <row r="1984" spans="1:49" ht="15" customHeight="1">
      <c r="A1984" s="297"/>
      <c r="B1984" s="217"/>
      <c r="C1984" s="217"/>
      <c r="D1984" s="101"/>
      <c r="E1984" s="101"/>
      <c r="F1984" s="185"/>
      <c r="G1984" s="295"/>
      <c r="H1984" s="295"/>
      <c r="I1984" s="99"/>
      <c r="J1984" s="99"/>
      <c r="K1984" s="99"/>
      <c r="L1984" s="99"/>
      <c r="M1984" s="99"/>
      <c r="N1984" s="99"/>
      <c r="O1984" s="99"/>
      <c r="P1984" s="99"/>
      <c r="Q1984" s="99"/>
      <c r="R1984" s="99"/>
      <c r="S1984" s="99"/>
      <c r="T1984" s="99"/>
      <c r="U1984" s="99"/>
      <c r="V1984" s="99"/>
      <c r="W1984" s="240"/>
      <c r="X1984" s="240"/>
      <c r="Y1984" s="240"/>
      <c r="AB1984" s="192"/>
      <c r="AC1984" s="314"/>
      <c r="AD1984" s="314"/>
      <c r="AE1984" s="314"/>
      <c r="AF1984" s="314"/>
      <c r="AG1984" s="314"/>
      <c r="AH1984" s="192"/>
      <c r="AI1984" s="192"/>
      <c r="AJ1984" s="314"/>
      <c r="AK1984" s="314"/>
      <c r="AL1984" s="314"/>
      <c r="AM1984" s="314"/>
      <c r="AN1984" s="314"/>
      <c r="AO1984" s="314"/>
      <c r="AP1984" s="314"/>
      <c r="AQ1984" s="314"/>
      <c r="AR1984" s="192"/>
      <c r="AS1984" s="192"/>
      <c r="AT1984" s="192"/>
      <c r="AU1984" s="192"/>
      <c r="AV1984" s="192"/>
      <c r="AW1984" s="192"/>
    </row>
    <row r="1985" spans="1:49" ht="15" customHeight="1">
      <c r="A1985" s="297"/>
      <c r="B1985" s="217"/>
      <c r="C1985" s="217"/>
      <c r="D1985" s="101"/>
      <c r="E1985" s="101"/>
      <c r="F1985" s="185"/>
      <c r="G1985" s="295"/>
      <c r="H1985" s="295"/>
      <c r="I1985" s="99"/>
      <c r="J1985" s="99"/>
      <c r="K1985" s="99"/>
      <c r="L1985" s="99"/>
      <c r="M1985" s="99"/>
      <c r="N1985" s="99"/>
      <c r="O1985" s="99"/>
      <c r="P1985" s="99"/>
      <c r="Q1985" s="99"/>
      <c r="R1985" s="99"/>
      <c r="S1985" s="99"/>
      <c r="T1985" s="99"/>
      <c r="U1985" s="99"/>
      <c r="V1985" s="99"/>
      <c r="W1985" s="240"/>
      <c r="X1985" s="240"/>
      <c r="Y1985" s="240"/>
      <c r="AB1985" s="192"/>
      <c r="AC1985" s="317"/>
      <c r="AD1985" s="317"/>
      <c r="AE1985" s="317"/>
      <c r="AF1985" s="317"/>
      <c r="AG1985" s="317"/>
      <c r="AH1985" s="192"/>
      <c r="AI1985" s="192"/>
      <c r="AJ1985" s="317"/>
      <c r="AK1985" s="317"/>
      <c r="AL1985" s="317"/>
      <c r="AM1985" s="317"/>
      <c r="AN1985" s="317"/>
      <c r="AO1985" s="317"/>
      <c r="AP1985" s="317"/>
      <c r="AQ1985" s="317"/>
      <c r="AR1985" s="192"/>
      <c r="AS1985" s="192"/>
      <c r="AT1985" s="192"/>
      <c r="AU1985" s="192"/>
      <c r="AV1985" s="192"/>
      <c r="AW1985" s="192"/>
    </row>
    <row r="1986" spans="1:49" ht="15" customHeight="1">
      <c r="A1986" s="297"/>
      <c r="B1986" s="217"/>
      <c r="C1986" s="217"/>
      <c r="D1986" s="101"/>
      <c r="E1986" s="101"/>
      <c r="F1986" s="185"/>
      <c r="G1986" s="295"/>
      <c r="H1986" s="295"/>
      <c r="I1986" s="99"/>
      <c r="J1986" s="99"/>
      <c r="K1986" s="99"/>
      <c r="L1986" s="99"/>
      <c r="M1986" s="99"/>
      <c r="N1986" s="99"/>
      <c r="O1986" s="99"/>
      <c r="P1986" s="99"/>
      <c r="Q1986" s="99"/>
      <c r="R1986" s="99"/>
      <c r="S1986" s="99"/>
      <c r="T1986" s="99"/>
      <c r="U1986" s="99"/>
      <c r="V1986" s="99"/>
      <c r="W1986" s="240"/>
      <c r="X1986" s="240"/>
      <c r="Y1986" s="240"/>
      <c r="AB1986" s="192"/>
      <c r="AC1986" s="312"/>
      <c r="AD1986" s="312"/>
      <c r="AE1986" s="312"/>
      <c r="AF1986" s="312"/>
      <c r="AG1986" s="312"/>
      <c r="AH1986" s="192"/>
      <c r="AI1986" s="192"/>
      <c r="AJ1986" s="194"/>
      <c r="AK1986" s="194"/>
      <c r="AL1986" s="194"/>
      <c r="AM1986" s="194"/>
      <c r="AN1986" s="194"/>
      <c r="AO1986" s="194"/>
      <c r="AP1986" s="194"/>
      <c r="AQ1986" s="194"/>
      <c r="AR1986" s="192"/>
      <c r="AS1986" s="192"/>
      <c r="AT1986" s="192"/>
      <c r="AU1986" s="192"/>
      <c r="AV1986" s="192"/>
      <c r="AW1986" s="192"/>
    </row>
    <row r="1987" spans="1:49" ht="15" customHeight="1">
      <c r="A1987" s="297"/>
      <c r="B1987" s="217"/>
      <c r="C1987" s="217"/>
      <c r="D1987" s="101"/>
      <c r="E1987" s="101"/>
      <c r="F1987" s="185"/>
      <c r="G1987" s="295"/>
      <c r="H1987" s="295"/>
      <c r="I1987" s="99"/>
      <c r="J1987" s="99"/>
      <c r="K1987" s="99"/>
      <c r="L1987" s="99"/>
      <c r="M1987" s="99"/>
      <c r="N1987" s="99"/>
      <c r="O1987" s="99"/>
      <c r="P1987" s="99"/>
      <c r="Q1987" s="99"/>
      <c r="R1987" s="99"/>
      <c r="S1987" s="99"/>
      <c r="T1987" s="99"/>
      <c r="U1987" s="99"/>
      <c r="V1987" s="99"/>
      <c r="W1987" s="240"/>
      <c r="X1987" s="240"/>
      <c r="Y1987" s="240"/>
      <c r="AB1987" s="192"/>
      <c r="AC1987" s="312"/>
      <c r="AD1987" s="312"/>
      <c r="AE1987" s="312"/>
      <c r="AF1987" s="312"/>
      <c r="AG1987" s="312"/>
      <c r="AH1987" s="192"/>
      <c r="AI1987" s="192"/>
      <c r="AJ1987" s="194"/>
      <c r="AK1987" s="194"/>
      <c r="AL1987" s="194"/>
      <c r="AM1987" s="194"/>
      <c r="AN1987" s="194"/>
      <c r="AO1987" s="194"/>
      <c r="AP1987" s="194"/>
      <c r="AQ1987" s="194"/>
      <c r="AR1987" s="192"/>
      <c r="AS1987" s="192"/>
      <c r="AT1987" s="192"/>
      <c r="AU1987" s="192"/>
      <c r="AV1987" s="192"/>
      <c r="AW1987" s="192"/>
    </row>
    <row r="1988" spans="1:49" ht="15" customHeight="1">
      <c r="A1988" s="297"/>
      <c r="B1988" s="217"/>
      <c r="C1988" s="217"/>
      <c r="D1988" s="101"/>
      <c r="E1988" s="101"/>
      <c r="F1988" s="185"/>
      <c r="G1988" s="295"/>
      <c r="H1988" s="295"/>
      <c r="I1988" s="99"/>
      <c r="J1988" s="99"/>
      <c r="K1988" s="99"/>
      <c r="L1988" s="99"/>
      <c r="M1988" s="99"/>
      <c r="N1988" s="99"/>
      <c r="O1988" s="99"/>
      <c r="P1988" s="99"/>
      <c r="Q1988" s="99"/>
      <c r="R1988" s="99"/>
      <c r="S1988" s="99"/>
      <c r="T1988" s="99"/>
      <c r="U1988" s="99"/>
      <c r="V1988" s="99"/>
      <c r="W1988" s="240"/>
      <c r="X1988" s="240"/>
      <c r="Y1988" s="240"/>
      <c r="AB1988" s="192"/>
      <c r="AC1988" s="312"/>
      <c r="AD1988" s="312"/>
      <c r="AE1988" s="312"/>
      <c r="AF1988" s="312"/>
      <c r="AG1988" s="312"/>
      <c r="AH1988" s="192"/>
      <c r="AI1988" s="192"/>
      <c r="AJ1988" s="194"/>
      <c r="AK1988" s="194"/>
      <c r="AL1988" s="194"/>
      <c r="AM1988" s="194"/>
      <c r="AN1988" s="194"/>
      <c r="AO1988" s="194"/>
      <c r="AP1988" s="194"/>
      <c r="AQ1988" s="194"/>
      <c r="AR1988" s="192"/>
      <c r="AS1988" s="192"/>
      <c r="AT1988" s="192"/>
      <c r="AU1988" s="192"/>
      <c r="AV1988" s="192"/>
      <c r="AW1988" s="192"/>
    </row>
    <row r="1989" spans="1:49" ht="15" customHeight="1">
      <c r="A1989" s="297"/>
      <c r="B1989" s="217"/>
      <c r="C1989" s="217"/>
      <c r="D1989" s="101"/>
      <c r="E1989" s="101"/>
      <c r="F1989" s="185"/>
      <c r="G1989" s="295"/>
      <c r="H1989" s="295"/>
      <c r="I1989" s="99"/>
      <c r="J1989" s="99"/>
      <c r="K1989" s="99"/>
      <c r="L1989" s="99"/>
      <c r="M1989" s="99"/>
      <c r="N1989" s="99"/>
      <c r="O1989" s="99"/>
      <c r="P1989" s="99"/>
      <c r="Q1989" s="99"/>
      <c r="R1989" s="99"/>
      <c r="S1989" s="99"/>
      <c r="T1989" s="99"/>
      <c r="U1989" s="99"/>
      <c r="V1989" s="99"/>
      <c r="W1989" s="240"/>
      <c r="X1989" s="240"/>
      <c r="Y1989" s="240"/>
      <c r="AB1989" s="192"/>
      <c r="AC1989" s="312"/>
      <c r="AD1989" s="312"/>
      <c r="AE1989" s="312"/>
      <c r="AF1989" s="312"/>
      <c r="AG1989" s="312"/>
      <c r="AH1989" s="192"/>
      <c r="AI1989" s="192"/>
      <c r="AJ1989" s="194"/>
      <c r="AK1989" s="194"/>
      <c r="AL1989" s="194"/>
      <c r="AM1989" s="194"/>
      <c r="AN1989" s="194"/>
      <c r="AO1989" s="194"/>
      <c r="AP1989" s="194"/>
      <c r="AQ1989" s="194"/>
      <c r="AR1989" s="192"/>
      <c r="AS1989" s="192"/>
      <c r="AT1989" s="192"/>
      <c r="AU1989" s="192"/>
      <c r="AV1989" s="192"/>
      <c r="AW1989" s="192"/>
    </row>
    <row r="1990" spans="1:49" ht="15" customHeight="1">
      <c r="A1990" s="297"/>
      <c r="B1990" s="217"/>
      <c r="C1990" s="217"/>
      <c r="D1990" s="101"/>
      <c r="E1990" s="101"/>
      <c r="F1990" s="185"/>
      <c r="G1990" s="295"/>
      <c r="H1990" s="295"/>
      <c r="I1990" s="99"/>
      <c r="J1990" s="99"/>
      <c r="K1990" s="99"/>
      <c r="L1990" s="99"/>
      <c r="M1990" s="99"/>
      <c r="N1990" s="99"/>
      <c r="O1990" s="99"/>
      <c r="P1990" s="99"/>
      <c r="Q1990" s="99"/>
      <c r="R1990" s="99"/>
      <c r="S1990" s="99"/>
      <c r="T1990" s="99"/>
      <c r="U1990" s="99"/>
      <c r="V1990" s="99"/>
      <c r="W1990" s="240"/>
      <c r="X1990" s="240"/>
      <c r="Y1990" s="240"/>
      <c r="AB1990" s="192"/>
      <c r="AC1990" s="312"/>
      <c r="AD1990" s="312"/>
      <c r="AE1990" s="312"/>
      <c r="AF1990" s="312"/>
      <c r="AG1990" s="312"/>
      <c r="AH1990" s="192"/>
      <c r="AI1990" s="192"/>
      <c r="AJ1990" s="194"/>
      <c r="AK1990" s="194"/>
      <c r="AL1990" s="194"/>
      <c r="AM1990" s="194"/>
      <c r="AN1990" s="194"/>
      <c r="AO1990" s="194"/>
      <c r="AP1990" s="194"/>
      <c r="AQ1990" s="194"/>
      <c r="AR1990" s="192"/>
      <c r="AS1990" s="192"/>
      <c r="AT1990" s="192"/>
      <c r="AU1990" s="192"/>
      <c r="AV1990" s="192"/>
      <c r="AW1990" s="192"/>
    </row>
    <row r="1991" spans="1:49" ht="15" customHeight="1">
      <c r="A1991" s="297"/>
      <c r="B1991" s="217"/>
      <c r="C1991" s="217"/>
      <c r="D1991" s="101"/>
      <c r="E1991" s="101"/>
      <c r="F1991" s="185"/>
      <c r="G1991" s="295"/>
      <c r="H1991" s="295"/>
      <c r="I1991" s="99"/>
      <c r="J1991" s="99"/>
      <c r="K1991" s="99"/>
      <c r="L1991" s="99"/>
      <c r="M1991" s="99"/>
      <c r="N1991" s="99"/>
      <c r="O1991" s="99"/>
      <c r="P1991" s="99"/>
      <c r="Q1991" s="99"/>
      <c r="R1991" s="99"/>
      <c r="S1991" s="99"/>
      <c r="T1991" s="99"/>
      <c r="U1991" s="99"/>
      <c r="V1991" s="99"/>
      <c r="W1991" s="240"/>
      <c r="X1991" s="240"/>
      <c r="Y1991" s="240"/>
      <c r="AB1991" s="192"/>
      <c r="AC1991" s="314"/>
      <c r="AD1991" s="314"/>
      <c r="AE1991" s="314"/>
      <c r="AF1991" s="314"/>
      <c r="AG1991" s="314"/>
      <c r="AH1991" s="192"/>
      <c r="AI1991" s="192"/>
      <c r="AJ1991" s="314"/>
      <c r="AK1991" s="314"/>
      <c r="AL1991" s="314"/>
      <c r="AM1991" s="314"/>
      <c r="AN1991" s="314"/>
      <c r="AO1991" s="314"/>
      <c r="AP1991" s="314"/>
      <c r="AQ1991" s="314"/>
      <c r="AR1991" s="192"/>
      <c r="AS1991" s="192"/>
      <c r="AT1991" s="192"/>
      <c r="AU1991" s="192"/>
      <c r="AV1991" s="192"/>
      <c r="AW1991" s="192"/>
    </row>
    <row r="1992" spans="1:49" ht="15" customHeight="1">
      <c r="A1992" s="297"/>
      <c r="B1992" s="217"/>
      <c r="C1992" s="217"/>
      <c r="D1992" s="101"/>
      <c r="E1992" s="101"/>
      <c r="F1992" s="185"/>
      <c r="G1992" s="295"/>
      <c r="H1992" s="295"/>
      <c r="I1992" s="99"/>
      <c r="J1992" s="99"/>
      <c r="K1992" s="99"/>
      <c r="L1992" s="99"/>
      <c r="M1992" s="99"/>
      <c r="N1992" s="99"/>
      <c r="O1992" s="99"/>
      <c r="P1992" s="99"/>
      <c r="Q1992" s="99"/>
      <c r="R1992" s="99"/>
      <c r="S1992" s="99"/>
      <c r="T1992" s="99"/>
      <c r="U1992" s="99"/>
      <c r="V1992" s="99"/>
      <c r="W1992" s="240"/>
      <c r="X1992" s="240"/>
      <c r="Y1992" s="240"/>
      <c r="AB1992" s="192"/>
      <c r="AC1992" s="317"/>
      <c r="AD1992" s="317"/>
      <c r="AE1992" s="317"/>
      <c r="AF1992" s="317"/>
      <c r="AG1992" s="317"/>
      <c r="AH1992" s="192"/>
      <c r="AI1992" s="192"/>
      <c r="AJ1992" s="317"/>
      <c r="AK1992" s="317"/>
      <c r="AL1992" s="317"/>
      <c r="AM1992" s="317"/>
      <c r="AN1992" s="317"/>
      <c r="AO1992" s="317"/>
      <c r="AP1992" s="317"/>
      <c r="AQ1992" s="317"/>
      <c r="AR1992" s="192"/>
      <c r="AS1992" s="192"/>
      <c r="AT1992" s="192"/>
      <c r="AU1992" s="192"/>
      <c r="AV1992" s="192"/>
      <c r="AW1992" s="192"/>
    </row>
    <row r="1993" spans="1:49" ht="15" customHeight="1">
      <c r="A1993" s="297"/>
      <c r="B1993" s="217"/>
      <c r="C1993" s="217"/>
      <c r="D1993" s="101"/>
      <c r="E1993" s="101"/>
      <c r="F1993" s="185"/>
      <c r="G1993" s="295"/>
      <c r="H1993" s="295"/>
      <c r="I1993" s="99"/>
      <c r="J1993" s="99"/>
      <c r="K1993" s="99"/>
      <c r="L1993" s="99"/>
      <c r="M1993" s="99"/>
      <c r="N1993" s="99"/>
      <c r="O1993" s="99"/>
      <c r="P1993" s="99"/>
      <c r="Q1993" s="99"/>
      <c r="R1993" s="99"/>
      <c r="S1993" s="99"/>
      <c r="T1993" s="99"/>
      <c r="U1993" s="99"/>
      <c r="V1993" s="99"/>
      <c r="W1993" s="240"/>
      <c r="X1993" s="240"/>
      <c r="Y1993" s="240"/>
      <c r="AB1993" s="192"/>
      <c r="AC1993" s="312"/>
      <c r="AD1993" s="312"/>
      <c r="AE1993" s="312"/>
      <c r="AF1993" s="312"/>
      <c r="AG1993" s="312"/>
      <c r="AH1993" s="192"/>
      <c r="AI1993" s="192"/>
      <c r="AJ1993" s="194"/>
      <c r="AK1993" s="194"/>
      <c r="AL1993" s="194"/>
      <c r="AM1993" s="194"/>
      <c r="AN1993" s="194"/>
      <c r="AO1993" s="194"/>
      <c r="AP1993" s="194"/>
      <c r="AQ1993" s="194"/>
      <c r="AR1993" s="192"/>
      <c r="AS1993" s="192"/>
      <c r="AT1993" s="192"/>
      <c r="AU1993" s="192"/>
      <c r="AV1993" s="192"/>
      <c r="AW1993" s="192"/>
    </row>
    <row r="1994" spans="1:49" ht="15" customHeight="1">
      <c r="A1994" s="297"/>
      <c r="B1994" s="217"/>
      <c r="C1994" s="217"/>
      <c r="D1994" s="101"/>
      <c r="E1994" s="101"/>
      <c r="F1994" s="185"/>
      <c r="G1994" s="295"/>
      <c r="H1994" s="295"/>
      <c r="I1994" s="99"/>
      <c r="J1994" s="99"/>
      <c r="K1994" s="99"/>
      <c r="L1994" s="99"/>
      <c r="M1994" s="99"/>
      <c r="N1994" s="99"/>
      <c r="O1994" s="99"/>
      <c r="P1994" s="99"/>
      <c r="Q1994" s="99"/>
      <c r="R1994" s="99"/>
      <c r="S1994" s="99"/>
      <c r="T1994" s="99"/>
      <c r="U1994" s="99"/>
      <c r="V1994" s="99"/>
      <c r="W1994" s="240"/>
      <c r="X1994" s="240"/>
      <c r="Y1994" s="240"/>
      <c r="AB1994" s="192"/>
      <c r="AC1994" s="312"/>
      <c r="AD1994" s="312"/>
      <c r="AE1994" s="312"/>
      <c r="AF1994" s="312"/>
      <c r="AG1994" s="312"/>
      <c r="AH1994" s="192"/>
      <c r="AI1994" s="192"/>
      <c r="AJ1994" s="194"/>
      <c r="AK1994" s="194"/>
      <c r="AL1994" s="194"/>
      <c r="AM1994" s="194"/>
      <c r="AN1994" s="194"/>
      <c r="AO1994" s="194"/>
      <c r="AP1994" s="194"/>
      <c r="AQ1994" s="194"/>
      <c r="AR1994" s="192"/>
      <c r="AS1994" s="192"/>
      <c r="AT1994" s="192"/>
      <c r="AU1994" s="192"/>
      <c r="AV1994" s="192"/>
      <c r="AW1994" s="192"/>
    </row>
    <row r="1995" spans="1:49" ht="15" customHeight="1">
      <c r="A1995" s="297"/>
      <c r="B1995" s="217"/>
      <c r="C1995" s="217"/>
      <c r="D1995" s="101"/>
      <c r="E1995" s="101"/>
      <c r="F1995" s="185"/>
      <c r="G1995" s="295"/>
      <c r="H1995" s="295"/>
      <c r="I1995" s="99"/>
      <c r="J1995" s="99"/>
      <c r="K1995" s="99"/>
      <c r="L1995" s="99"/>
      <c r="M1995" s="99"/>
      <c r="N1995" s="99"/>
      <c r="O1995" s="99"/>
      <c r="P1995" s="99"/>
      <c r="Q1995" s="99"/>
      <c r="R1995" s="99"/>
      <c r="S1995" s="99"/>
      <c r="T1995" s="99"/>
      <c r="U1995" s="99"/>
      <c r="V1995" s="99"/>
      <c r="W1995" s="240"/>
      <c r="X1995" s="240"/>
      <c r="Y1995" s="240"/>
      <c r="AB1995" s="192"/>
      <c r="AC1995" s="312"/>
      <c r="AD1995" s="312"/>
      <c r="AE1995" s="312"/>
      <c r="AF1995" s="312"/>
      <c r="AG1995" s="312"/>
      <c r="AH1995" s="192"/>
      <c r="AI1995" s="192"/>
      <c r="AJ1995" s="194"/>
      <c r="AK1995" s="194"/>
      <c r="AL1995" s="194"/>
      <c r="AM1995" s="194"/>
      <c r="AN1995" s="194"/>
      <c r="AO1995" s="194"/>
      <c r="AP1995" s="194"/>
      <c r="AQ1995" s="194"/>
      <c r="AR1995" s="192"/>
      <c r="AS1995" s="192"/>
      <c r="AT1995" s="192"/>
      <c r="AU1995" s="192"/>
      <c r="AV1995" s="192"/>
      <c r="AW1995" s="192"/>
    </row>
    <row r="1996" spans="1:49" ht="15" customHeight="1">
      <c r="A1996" s="297"/>
      <c r="B1996" s="217"/>
      <c r="C1996" s="217"/>
      <c r="D1996" s="101"/>
      <c r="E1996" s="101"/>
      <c r="F1996" s="185"/>
      <c r="G1996" s="295"/>
      <c r="H1996" s="295"/>
      <c r="I1996" s="99"/>
      <c r="J1996" s="99"/>
      <c r="K1996" s="99"/>
      <c r="L1996" s="99"/>
      <c r="M1996" s="99"/>
      <c r="N1996" s="99"/>
      <c r="O1996" s="99"/>
      <c r="P1996" s="99"/>
      <c r="Q1996" s="99"/>
      <c r="R1996" s="99"/>
      <c r="S1996" s="99"/>
      <c r="T1996" s="99"/>
      <c r="U1996" s="99"/>
      <c r="V1996" s="99"/>
      <c r="W1996" s="240"/>
      <c r="X1996" s="240"/>
      <c r="Y1996" s="240"/>
      <c r="AB1996" s="192"/>
      <c r="AC1996" s="314"/>
      <c r="AD1996" s="314"/>
      <c r="AE1996" s="314"/>
      <c r="AF1996" s="314"/>
      <c r="AG1996" s="314"/>
      <c r="AH1996" s="192"/>
      <c r="AI1996" s="192"/>
      <c r="AJ1996" s="314"/>
      <c r="AK1996" s="314"/>
      <c r="AL1996" s="314"/>
      <c r="AM1996" s="314"/>
      <c r="AN1996" s="314"/>
      <c r="AO1996" s="314"/>
      <c r="AP1996" s="314"/>
      <c r="AQ1996" s="314"/>
      <c r="AR1996" s="192"/>
      <c r="AS1996" s="192"/>
      <c r="AT1996" s="192"/>
      <c r="AU1996" s="192"/>
      <c r="AV1996" s="192"/>
      <c r="AW1996" s="192"/>
    </row>
    <row r="1997" spans="1:49" ht="15" customHeight="1">
      <c r="A1997" s="297"/>
      <c r="B1997" s="217"/>
      <c r="C1997" s="217"/>
      <c r="D1997" s="101"/>
      <c r="E1997" s="101"/>
      <c r="F1997" s="185"/>
      <c r="G1997" s="295"/>
      <c r="H1997" s="295"/>
      <c r="I1997" s="99"/>
      <c r="J1997" s="99"/>
      <c r="K1997" s="99"/>
      <c r="L1997" s="99"/>
      <c r="M1997" s="99"/>
      <c r="N1997" s="99"/>
      <c r="O1997" s="99"/>
      <c r="P1997" s="99"/>
      <c r="Q1997" s="99"/>
      <c r="R1997" s="99"/>
      <c r="S1997" s="99"/>
      <c r="T1997" s="99"/>
      <c r="U1997" s="99"/>
      <c r="V1997" s="99"/>
      <c r="W1997" s="240"/>
      <c r="X1997" s="240"/>
      <c r="Y1997" s="240"/>
      <c r="AB1997" s="192"/>
      <c r="AC1997" s="317"/>
      <c r="AD1997" s="317"/>
      <c r="AE1997" s="317"/>
      <c r="AF1997" s="317"/>
      <c r="AG1997" s="317"/>
      <c r="AH1997" s="192"/>
      <c r="AI1997" s="192"/>
      <c r="AJ1997" s="317"/>
      <c r="AK1997" s="317"/>
      <c r="AL1997" s="317"/>
      <c r="AM1997" s="317"/>
      <c r="AN1997" s="317"/>
      <c r="AO1997" s="317"/>
      <c r="AP1997" s="317"/>
      <c r="AQ1997" s="317"/>
      <c r="AR1997" s="192"/>
      <c r="AS1997" s="192"/>
      <c r="AT1997" s="192"/>
      <c r="AU1997" s="192"/>
      <c r="AV1997" s="192"/>
      <c r="AW1997" s="192"/>
    </row>
    <row r="1998" spans="1:49" ht="15" customHeight="1">
      <c r="A1998" s="297"/>
      <c r="B1998" s="217"/>
      <c r="C1998" s="217"/>
      <c r="D1998" s="101"/>
      <c r="E1998" s="101"/>
      <c r="F1998" s="185"/>
      <c r="G1998" s="295"/>
      <c r="H1998" s="295"/>
      <c r="I1998" s="99"/>
      <c r="J1998" s="99"/>
      <c r="K1998" s="99"/>
      <c r="L1998" s="99"/>
      <c r="M1998" s="99"/>
      <c r="N1998" s="99"/>
      <c r="O1998" s="99"/>
      <c r="P1998" s="99"/>
      <c r="Q1998" s="99"/>
      <c r="R1998" s="99"/>
      <c r="S1998" s="99"/>
      <c r="T1998" s="99"/>
      <c r="U1998" s="99"/>
      <c r="V1998" s="99"/>
      <c r="W1998" s="240"/>
      <c r="X1998" s="240"/>
      <c r="Y1998" s="240"/>
      <c r="AB1998" s="192"/>
      <c r="AC1998" s="312"/>
      <c r="AD1998" s="312"/>
      <c r="AE1998" s="312"/>
      <c r="AF1998" s="312"/>
      <c r="AG1998" s="312"/>
      <c r="AH1998" s="192"/>
      <c r="AI1998" s="192"/>
      <c r="AJ1998" s="194"/>
      <c r="AK1998" s="194"/>
      <c r="AL1998" s="194"/>
      <c r="AM1998" s="194"/>
      <c r="AN1998" s="194"/>
      <c r="AO1998" s="194"/>
      <c r="AP1998" s="194"/>
      <c r="AQ1998" s="194"/>
      <c r="AR1998" s="192"/>
      <c r="AS1998" s="192"/>
      <c r="AT1998" s="192"/>
      <c r="AU1998" s="192"/>
      <c r="AV1998" s="192"/>
      <c r="AW1998" s="192"/>
    </row>
    <row r="1999" spans="1:49" ht="15" customHeight="1">
      <c r="A1999" s="297"/>
      <c r="B1999" s="217"/>
      <c r="C1999" s="217"/>
      <c r="D1999" s="101"/>
      <c r="E1999" s="101"/>
      <c r="F1999" s="185"/>
      <c r="G1999" s="295"/>
      <c r="H1999" s="295"/>
      <c r="I1999" s="99"/>
      <c r="J1999" s="99"/>
      <c r="K1999" s="99"/>
      <c r="L1999" s="99"/>
      <c r="M1999" s="99"/>
      <c r="N1999" s="99"/>
      <c r="O1999" s="99"/>
      <c r="P1999" s="99"/>
      <c r="Q1999" s="99"/>
      <c r="R1999" s="99"/>
      <c r="S1999" s="99"/>
      <c r="T1999" s="99"/>
      <c r="U1999" s="99"/>
      <c r="V1999" s="99"/>
      <c r="W1999" s="240"/>
      <c r="X1999" s="240"/>
      <c r="Y1999" s="240"/>
      <c r="AB1999" s="192"/>
      <c r="AC1999" s="312"/>
      <c r="AD1999" s="312"/>
      <c r="AE1999" s="312"/>
      <c r="AF1999" s="312"/>
      <c r="AG1999" s="312"/>
      <c r="AH1999" s="192"/>
      <c r="AI1999" s="192"/>
      <c r="AJ1999" s="194"/>
      <c r="AK1999" s="194"/>
      <c r="AL1999" s="194"/>
      <c r="AM1999" s="194"/>
      <c r="AN1999" s="194"/>
      <c r="AO1999" s="194"/>
      <c r="AP1999" s="194"/>
      <c r="AQ1999" s="194"/>
      <c r="AR1999" s="192"/>
      <c r="AS1999" s="192"/>
      <c r="AT1999" s="192"/>
      <c r="AU1999" s="192"/>
      <c r="AV1999" s="192"/>
      <c r="AW1999" s="192"/>
    </row>
    <row r="2000" spans="1:49" ht="15" customHeight="1">
      <c r="A2000" s="297"/>
      <c r="B2000" s="217"/>
      <c r="C2000" s="217"/>
      <c r="D2000" s="101"/>
      <c r="E2000" s="101"/>
      <c r="F2000" s="185"/>
      <c r="G2000" s="295"/>
      <c r="H2000" s="295"/>
      <c r="I2000" s="99"/>
      <c r="J2000" s="99"/>
      <c r="K2000" s="99"/>
      <c r="L2000" s="99"/>
      <c r="M2000" s="99"/>
      <c r="N2000" s="99"/>
      <c r="O2000" s="99"/>
      <c r="P2000" s="99"/>
      <c r="Q2000" s="99"/>
      <c r="R2000" s="99"/>
      <c r="S2000" s="99"/>
      <c r="T2000" s="99"/>
      <c r="U2000" s="99"/>
      <c r="V2000" s="99"/>
      <c r="W2000" s="240"/>
      <c r="X2000" s="240"/>
      <c r="Y2000" s="240"/>
      <c r="AB2000" s="192"/>
      <c r="AC2000" s="312"/>
      <c r="AD2000" s="312"/>
      <c r="AE2000" s="312"/>
      <c r="AF2000" s="312"/>
      <c r="AG2000" s="312"/>
      <c r="AH2000" s="192"/>
      <c r="AI2000" s="192"/>
      <c r="AJ2000" s="194"/>
      <c r="AK2000" s="194"/>
      <c r="AL2000" s="194"/>
      <c r="AM2000" s="194"/>
      <c r="AN2000" s="194"/>
      <c r="AO2000" s="194"/>
      <c r="AP2000" s="194"/>
      <c r="AQ2000" s="194"/>
      <c r="AR2000" s="192"/>
      <c r="AS2000" s="192"/>
      <c r="AT2000" s="192"/>
      <c r="AU2000" s="192"/>
      <c r="AV2000" s="192"/>
      <c r="AW2000" s="192"/>
    </row>
    <row r="2001" spans="1:49" ht="15" customHeight="1">
      <c r="A2001" s="297"/>
      <c r="B2001" s="217"/>
      <c r="C2001" s="217"/>
      <c r="D2001" s="101"/>
      <c r="E2001" s="101"/>
      <c r="F2001" s="185"/>
      <c r="G2001" s="295"/>
      <c r="H2001" s="295"/>
      <c r="I2001" s="99"/>
      <c r="J2001" s="99"/>
      <c r="K2001" s="99"/>
      <c r="L2001" s="99"/>
      <c r="M2001" s="99"/>
      <c r="N2001" s="99"/>
      <c r="O2001" s="99"/>
      <c r="P2001" s="99"/>
      <c r="Q2001" s="99"/>
      <c r="R2001" s="99"/>
      <c r="S2001" s="99"/>
      <c r="T2001" s="99"/>
      <c r="U2001" s="99"/>
      <c r="V2001" s="99"/>
      <c r="W2001" s="240"/>
      <c r="X2001" s="240"/>
      <c r="Y2001" s="240"/>
      <c r="AB2001" s="192"/>
      <c r="AC2001" s="312"/>
      <c r="AD2001" s="312"/>
      <c r="AE2001" s="312"/>
      <c r="AF2001" s="312"/>
      <c r="AG2001" s="312"/>
      <c r="AH2001" s="192"/>
      <c r="AI2001" s="192"/>
      <c r="AJ2001" s="194"/>
      <c r="AK2001" s="194"/>
      <c r="AL2001" s="194"/>
      <c r="AM2001" s="194"/>
      <c r="AN2001" s="194"/>
      <c r="AO2001" s="194"/>
      <c r="AP2001" s="194"/>
      <c r="AQ2001" s="194"/>
      <c r="AR2001" s="192"/>
      <c r="AS2001" s="192"/>
      <c r="AT2001" s="192"/>
      <c r="AU2001" s="192"/>
      <c r="AV2001" s="192"/>
      <c r="AW2001" s="192"/>
    </row>
    <row r="2002" spans="1:49" ht="15" customHeight="1">
      <c r="A2002" s="297"/>
      <c r="B2002" s="217"/>
      <c r="C2002" s="217"/>
      <c r="D2002" s="101"/>
      <c r="E2002" s="101"/>
      <c r="F2002" s="185"/>
      <c r="G2002" s="295"/>
      <c r="H2002" s="295"/>
      <c r="I2002" s="99"/>
      <c r="J2002" s="99"/>
      <c r="K2002" s="99"/>
      <c r="L2002" s="99"/>
      <c r="M2002" s="99"/>
      <c r="N2002" s="99"/>
      <c r="O2002" s="99"/>
      <c r="P2002" s="99"/>
      <c r="Q2002" s="99"/>
      <c r="R2002" s="99"/>
      <c r="S2002" s="99"/>
      <c r="T2002" s="99"/>
      <c r="U2002" s="99"/>
      <c r="V2002" s="99"/>
      <c r="W2002" s="240"/>
      <c r="X2002" s="240"/>
      <c r="Y2002" s="240"/>
      <c r="AB2002" s="192"/>
      <c r="AC2002" s="199"/>
      <c r="AD2002" s="199"/>
      <c r="AE2002" s="199"/>
      <c r="AF2002" s="199"/>
      <c r="AG2002" s="199"/>
      <c r="AH2002" s="192"/>
      <c r="AI2002" s="192"/>
      <c r="AJ2002" s="199"/>
      <c r="AK2002" s="199"/>
      <c r="AL2002" s="199"/>
      <c r="AM2002" s="199"/>
      <c r="AN2002" s="199"/>
      <c r="AO2002" s="199"/>
      <c r="AP2002" s="199"/>
      <c r="AQ2002" s="199"/>
      <c r="AR2002" s="192"/>
      <c r="AS2002" s="192"/>
      <c r="AT2002" s="192"/>
      <c r="AU2002" s="192"/>
      <c r="AV2002" s="192"/>
      <c r="AW2002" s="192"/>
    </row>
    <row r="2003" spans="1:49" ht="15" customHeight="1">
      <c r="A2003" s="297"/>
      <c r="B2003" s="217"/>
      <c r="C2003" s="217"/>
      <c r="D2003" s="101"/>
      <c r="E2003" s="101"/>
      <c r="F2003" s="185"/>
      <c r="G2003" s="295"/>
      <c r="H2003" s="295"/>
      <c r="I2003" s="99"/>
      <c r="J2003" s="99"/>
      <c r="K2003" s="99"/>
      <c r="L2003" s="99"/>
      <c r="M2003" s="99"/>
      <c r="N2003" s="99"/>
      <c r="O2003" s="99"/>
      <c r="P2003" s="99"/>
      <c r="Q2003" s="99"/>
      <c r="R2003" s="99"/>
      <c r="S2003" s="99"/>
      <c r="T2003" s="99"/>
      <c r="U2003" s="99"/>
      <c r="V2003" s="99"/>
      <c r="W2003" s="240"/>
      <c r="X2003" s="240"/>
      <c r="Y2003" s="240"/>
      <c r="AB2003" s="192"/>
      <c r="AC2003" s="317"/>
      <c r="AD2003" s="317"/>
      <c r="AE2003" s="317"/>
      <c r="AF2003" s="317"/>
      <c r="AG2003" s="317"/>
      <c r="AH2003" s="192"/>
      <c r="AI2003" s="192"/>
      <c r="AJ2003" s="317"/>
      <c r="AK2003" s="317"/>
      <c r="AL2003" s="317"/>
      <c r="AM2003" s="317"/>
      <c r="AN2003" s="317"/>
      <c r="AO2003" s="317"/>
      <c r="AP2003" s="317"/>
      <c r="AQ2003" s="317"/>
      <c r="AR2003" s="192"/>
      <c r="AS2003" s="192"/>
      <c r="AT2003" s="192"/>
      <c r="AU2003" s="192"/>
      <c r="AV2003" s="192"/>
      <c r="AW2003" s="192"/>
    </row>
    <row r="2004" spans="1:49" ht="15" customHeight="1">
      <c r="A2004" s="297"/>
      <c r="B2004" s="217"/>
      <c r="C2004" s="217"/>
      <c r="D2004" s="101"/>
      <c r="E2004" s="101"/>
      <c r="F2004" s="185"/>
      <c r="G2004" s="295"/>
      <c r="H2004" s="295"/>
      <c r="I2004" s="99"/>
      <c r="J2004" s="99"/>
      <c r="K2004" s="99"/>
      <c r="L2004" s="99"/>
      <c r="M2004" s="99"/>
      <c r="N2004" s="99"/>
      <c r="O2004" s="99"/>
      <c r="P2004" s="99"/>
      <c r="Q2004" s="99"/>
      <c r="R2004" s="99"/>
      <c r="S2004" s="99"/>
      <c r="T2004" s="99"/>
      <c r="U2004" s="233"/>
      <c r="V2004" s="233"/>
      <c r="W2004" s="240"/>
      <c r="X2004" s="240"/>
      <c r="Y2004" s="240"/>
      <c r="AB2004" s="192"/>
      <c r="AC2004" s="312"/>
      <c r="AD2004" s="312"/>
      <c r="AE2004" s="312"/>
      <c r="AF2004" s="312"/>
      <c r="AG2004" s="312"/>
      <c r="AH2004" s="192"/>
      <c r="AI2004" s="192"/>
      <c r="AJ2004" s="194"/>
      <c r="AK2004" s="194"/>
      <c r="AL2004" s="194"/>
      <c r="AM2004" s="194"/>
      <c r="AN2004" s="194"/>
      <c r="AO2004" s="194"/>
      <c r="AP2004" s="194"/>
      <c r="AQ2004" s="194"/>
      <c r="AR2004" s="192"/>
      <c r="AS2004" s="192"/>
      <c r="AT2004" s="192"/>
      <c r="AU2004" s="192"/>
      <c r="AV2004" s="192"/>
      <c r="AW2004" s="192"/>
    </row>
    <row r="2005" spans="1:49" ht="15" customHeight="1">
      <c r="A2005" s="297"/>
      <c r="B2005" s="217"/>
      <c r="C2005" s="217"/>
      <c r="D2005" s="101"/>
      <c r="E2005" s="101"/>
      <c r="F2005" s="185"/>
      <c r="G2005" s="295"/>
      <c r="H2005" s="295"/>
      <c r="I2005" s="99"/>
      <c r="J2005" s="99"/>
      <c r="K2005" s="99"/>
      <c r="L2005" s="99"/>
      <c r="M2005" s="99"/>
      <c r="N2005" s="99"/>
      <c r="O2005" s="99"/>
      <c r="P2005" s="99"/>
      <c r="Q2005" s="99"/>
      <c r="R2005" s="99"/>
      <c r="S2005" s="99"/>
      <c r="T2005" s="99"/>
      <c r="U2005" s="111"/>
      <c r="V2005" s="111"/>
      <c r="W2005" s="240"/>
      <c r="X2005" s="240"/>
      <c r="Y2005" s="240"/>
      <c r="AB2005" s="192"/>
      <c r="AC2005" s="312"/>
      <c r="AD2005" s="312"/>
      <c r="AE2005" s="312"/>
      <c r="AF2005" s="312"/>
      <c r="AG2005" s="312"/>
      <c r="AH2005" s="192"/>
      <c r="AI2005" s="192"/>
      <c r="AJ2005" s="194"/>
      <c r="AK2005" s="194"/>
      <c r="AL2005" s="194"/>
      <c r="AM2005" s="194"/>
      <c r="AN2005" s="194"/>
      <c r="AO2005" s="194"/>
      <c r="AP2005" s="194"/>
      <c r="AQ2005" s="194"/>
      <c r="AR2005" s="192"/>
      <c r="AS2005" s="192"/>
      <c r="AT2005" s="192"/>
      <c r="AU2005" s="192"/>
      <c r="AV2005" s="192"/>
      <c r="AW2005" s="192"/>
    </row>
    <row r="2006" spans="1:49" ht="15" customHeight="1">
      <c r="A2006" s="297"/>
      <c r="B2006" s="217"/>
      <c r="C2006" s="217"/>
      <c r="D2006" s="101"/>
      <c r="E2006" s="101"/>
      <c r="F2006" s="185"/>
      <c r="G2006" s="295"/>
      <c r="H2006" s="295"/>
      <c r="I2006" s="99"/>
      <c r="J2006" s="99"/>
      <c r="K2006" s="99"/>
      <c r="L2006" s="99"/>
      <c r="M2006" s="99"/>
      <c r="N2006" s="99"/>
      <c r="O2006" s="99"/>
      <c r="P2006" s="99"/>
      <c r="Q2006" s="99"/>
      <c r="R2006" s="99"/>
      <c r="S2006" s="99"/>
      <c r="T2006" s="99"/>
      <c r="U2006" s="99"/>
      <c r="V2006" s="99"/>
      <c r="W2006" s="240"/>
      <c r="X2006" s="240"/>
      <c r="Y2006" s="240"/>
      <c r="AB2006" s="192"/>
      <c r="AC2006" s="312"/>
      <c r="AD2006" s="312"/>
      <c r="AE2006" s="312"/>
      <c r="AF2006" s="312"/>
      <c r="AG2006" s="312"/>
      <c r="AH2006" s="192"/>
      <c r="AI2006" s="192"/>
      <c r="AJ2006" s="194"/>
      <c r="AK2006" s="194"/>
      <c r="AL2006" s="194"/>
      <c r="AM2006" s="194"/>
      <c r="AN2006" s="194"/>
      <c r="AO2006" s="194"/>
      <c r="AP2006" s="194"/>
      <c r="AQ2006" s="194"/>
      <c r="AR2006" s="192"/>
      <c r="AS2006" s="192"/>
      <c r="AT2006" s="192"/>
      <c r="AU2006" s="192"/>
      <c r="AV2006" s="192"/>
      <c r="AW2006" s="192"/>
    </row>
    <row r="2007" spans="1:49" ht="15" customHeight="1">
      <c r="A2007" s="297"/>
      <c r="B2007" s="217"/>
      <c r="C2007" s="217"/>
      <c r="D2007" s="101"/>
      <c r="E2007" s="101"/>
      <c r="F2007" s="185"/>
      <c r="G2007" s="295"/>
      <c r="H2007" s="295"/>
      <c r="I2007" s="99"/>
      <c r="J2007" s="99"/>
      <c r="K2007" s="99"/>
      <c r="L2007" s="99"/>
      <c r="M2007" s="99"/>
      <c r="N2007" s="99"/>
      <c r="O2007" s="99"/>
      <c r="P2007" s="99"/>
      <c r="Q2007" s="99"/>
      <c r="R2007" s="99"/>
      <c r="S2007" s="99"/>
      <c r="T2007" s="99"/>
      <c r="U2007" s="99"/>
      <c r="V2007" s="99"/>
      <c r="W2007" s="240"/>
      <c r="X2007" s="240"/>
      <c r="Y2007" s="240"/>
      <c r="AB2007" s="192"/>
      <c r="AC2007" s="312"/>
      <c r="AD2007" s="312"/>
      <c r="AE2007" s="312"/>
      <c r="AF2007" s="312"/>
      <c r="AG2007" s="312"/>
      <c r="AH2007" s="192"/>
      <c r="AI2007" s="192"/>
      <c r="AJ2007" s="194"/>
      <c r="AK2007" s="194"/>
      <c r="AL2007" s="194"/>
      <c r="AM2007" s="194"/>
      <c r="AN2007" s="194"/>
      <c r="AO2007" s="194"/>
      <c r="AP2007" s="194"/>
      <c r="AQ2007" s="194"/>
      <c r="AR2007" s="192"/>
      <c r="AS2007" s="192"/>
      <c r="AT2007" s="192"/>
      <c r="AU2007" s="192"/>
      <c r="AV2007" s="192"/>
      <c r="AW2007" s="192"/>
    </row>
    <row r="2008" spans="1:49" ht="15" customHeight="1">
      <c r="A2008" s="297"/>
      <c r="B2008" s="217"/>
      <c r="C2008" s="217"/>
      <c r="D2008" s="101"/>
      <c r="E2008" s="101"/>
      <c r="F2008" s="185"/>
      <c r="G2008" s="295"/>
      <c r="H2008" s="295"/>
      <c r="I2008" s="99"/>
      <c r="J2008" s="99"/>
      <c r="K2008" s="99"/>
      <c r="L2008" s="99"/>
      <c r="M2008" s="99"/>
      <c r="N2008" s="99"/>
      <c r="O2008" s="99"/>
      <c r="P2008" s="99"/>
      <c r="Q2008" s="99"/>
      <c r="R2008" s="99"/>
      <c r="S2008" s="99"/>
      <c r="T2008" s="99"/>
      <c r="U2008" s="99"/>
      <c r="V2008" s="99"/>
      <c r="W2008" s="240"/>
      <c r="X2008" s="240"/>
      <c r="Y2008" s="240"/>
      <c r="AB2008" s="192"/>
      <c r="AC2008" s="312"/>
      <c r="AD2008" s="312"/>
      <c r="AE2008" s="312"/>
      <c r="AF2008" s="312"/>
      <c r="AG2008" s="312"/>
      <c r="AH2008" s="192"/>
      <c r="AI2008" s="192"/>
      <c r="AJ2008" s="194"/>
      <c r="AK2008" s="194"/>
      <c r="AL2008" s="194"/>
      <c r="AM2008" s="194"/>
      <c r="AN2008" s="194"/>
      <c r="AO2008" s="194"/>
      <c r="AP2008" s="194"/>
      <c r="AQ2008" s="194"/>
      <c r="AR2008" s="192"/>
      <c r="AS2008" s="192"/>
      <c r="AT2008" s="192"/>
      <c r="AU2008" s="192"/>
      <c r="AV2008" s="192"/>
      <c r="AW2008" s="192"/>
    </row>
    <row r="2009" spans="1:49" ht="15" customHeight="1">
      <c r="A2009" s="297"/>
      <c r="B2009" s="217"/>
      <c r="C2009" s="217"/>
      <c r="D2009" s="101"/>
      <c r="E2009" s="101"/>
      <c r="F2009" s="185"/>
      <c r="G2009" s="295"/>
      <c r="H2009" s="295"/>
      <c r="I2009" s="99"/>
      <c r="J2009" s="99"/>
      <c r="K2009" s="99"/>
      <c r="L2009" s="99"/>
      <c r="M2009" s="99"/>
      <c r="N2009" s="99"/>
      <c r="O2009" s="99"/>
      <c r="P2009" s="99"/>
      <c r="Q2009" s="99"/>
      <c r="R2009" s="99"/>
      <c r="S2009" s="99"/>
      <c r="T2009" s="99"/>
      <c r="U2009" s="99"/>
      <c r="V2009" s="99"/>
      <c r="W2009" s="240"/>
      <c r="X2009" s="240"/>
      <c r="Y2009" s="240"/>
      <c r="AB2009" s="192"/>
      <c r="AC2009" s="199"/>
      <c r="AD2009" s="199"/>
      <c r="AE2009" s="199"/>
      <c r="AF2009" s="199"/>
      <c r="AG2009" s="199"/>
      <c r="AH2009" s="192"/>
      <c r="AI2009" s="192"/>
      <c r="AJ2009" s="199"/>
      <c r="AK2009" s="199"/>
      <c r="AL2009" s="199"/>
      <c r="AM2009" s="199"/>
      <c r="AN2009" s="199"/>
      <c r="AO2009" s="199"/>
      <c r="AP2009" s="199"/>
      <c r="AQ2009" s="199"/>
      <c r="AR2009" s="192"/>
      <c r="AS2009" s="192"/>
      <c r="AT2009" s="192"/>
      <c r="AU2009" s="192"/>
      <c r="AV2009" s="192"/>
      <c r="AW2009" s="192"/>
    </row>
    <row r="2010" spans="1:49" ht="15" customHeight="1">
      <c r="A2010" s="297"/>
      <c r="B2010" s="217"/>
      <c r="C2010" s="217"/>
      <c r="D2010" s="101"/>
      <c r="E2010" s="101"/>
      <c r="F2010" s="185"/>
      <c r="G2010" s="295"/>
      <c r="H2010" s="295"/>
      <c r="I2010" s="99"/>
      <c r="J2010" s="99"/>
      <c r="K2010" s="99"/>
      <c r="L2010" s="99"/>
      <c r="M2010" s="99"/>
      <c r="N2010" s="99"/>
      <c r="O2010" s="99"/>
      <c r="P2010" s="99"/>
      <c r="Q2010" s="99"/>
      <c r="R2010" s="99"/>
      <c r="S2010" s="99"/>
      <c r="T2010" s="99"/>
      <c r="U2010" s="99"/>
      <c r="V2010" s="99"/>
      <c r="W2010" s="240"/>
      <c r="X2010" s="240"/>
      <c r="Y2010" s="240"/>
      <c r="AB2010" s="192"/>
      <c r="AC2010" s="317"/>
      <c r="AD2010" s="317"/>
      <c r="AE2010" s="317"/>
      <c r="AF2010" s="317"/>
      <c r="AG2010" s="317"/>
      <c r="AH2010" s="192"/>
      <c r="AI2010" s="192"/>
      <c r="AJ2010" s="317"/>
      <c r="AK2010" s="317"/>
      <c r="AL2010" s="317"/>
      <c r="AM2010" s="317"/>
      <c r="AN2010" s="317"/>
      <c r="AO2010" s="317"/>
      <c r="AP2010" s="317"/>
      <c r="AQ2010" s="317"/>
      <c r="AR2010" s="192"/>
      <c r="AS2010" s="192"/>
      <c r="AT2010" s="192"/>
      <c r="AU2010" s="192"/>
      <c r="AV2010" s="192"/>
      <c r="AW2010" s="192"/>
    </row>
    <row r="2011" spans="1:49" ht="15" customHeight="1">
      <c r="A2011" s="297"/>
      <c r="B2011" s="217"/>
      <c r="C2011" s="217"/>
      <c r="D2011" s="101"/>
      <c r="E2011" s="101"/>
      <c r="F2011" s="185"/>
      <c r="G2011" s="295"/>
      <c r="H2011" s="295"/>
      <c r="I2011" s="99"/>
      <c r="J2011" s="99"/>
      <c r="K2011" s="99"/>
      <c r="L2011" s="99"/>
      <c r="M2011" s="99"/>
      <c r="N2011" s="99"/>
      <c r="O2011" s="99"/>
      <c r="P2011" s="99"/>
      <c r="Q2011" s="99"/>
      <c r="R2011" s="99"/>
      <c r="S2011" s="99"/>
      <c r="T2011" s="99"/>
      <c r="U2011" s="99"/>
      <c r="V2011" s="99"/>
      <c r="W2011" s="240"/>
      <c r="X2011" s="240"/>
      <c r="Y2011" s="240"/>
      <c r="AB2011" s="192"/>
      <c r="AC2011" s="312"/>
      <c r="AD2011" s="312"/>
      <c r="AE2011" s="312"/>
      <c r="AF2011" s="312"/>
      <c r="AG2011" s="312"/>
      <c r="AH2011" s="192"/>
      <c r="AI2011" s="192"/>
      <c r="AJ2011" s="194"/>
      <c r="AK2011" s="194"/>
      <c r="AL2011" s="194"/>
      <c r="AM2011" s="194"/>
      <c r="AN2011" s="194"/>
      <c r="AO2011" s="194"/>
      <c r="AP2011" s="194"/>
      <c r="AQ2011" s="194"/>
      <c r="AR2011" s="192"/>
      <c r="AS2011" s="192"/>
      <c r="AT2011" s="192"/>
      <c r="AU2011" s="192"/>
      <c r="AV2011" s="192"/>
      <c r="AW2011" s="192"/>
    </row>
    <row r="2012" spans="1:49" ht="15" customHeight="1">
      <c r="A2012" s="297"/>
      <c r="B2012" s="217"/>
      <c r="C2012" s="217"/>
      <c r="D2012" s="101"/>
      <c r="E2012" s="101"/>
      <c r="F2012" s="185"/>
      <c r="G2012" s="295"/>
      <c r="H2012" s="295"/>
      <c r="I2012" s="99"/>
      <c r="J2012" s="99"/>
      <c r="K2012" s="99"/>
      <c r="L2012" s="99"/>
      <c r="M2012" s="99"/>
      <c r="N2012" s="99"/>
      <c r="O2012" s="99"/>
      <c r="P2012" s="99"/>
      <c r="Q2012" s="99"/>
      <c r="R2012" s="99"/>
      <c r="S2012" s="99"/>
      <c r="T2012" s="99"/>
      <c r="U2012" s="99"/>
      <c r="V2012" s="99"/>
      <c r="W2012" s="240"/>
      <c r="X2012" s="240"/>
      <c r="Y2012" s="240"/>
      <c r="AB2012" s="192"/>
      <c r="AC2012" s="312"/>
      <c r="AD2012" s="312"/>
      <c r="AE2012" s="312"/>
      <c r="AF2012" s="312"/>
      <c r="AG2012" s="312"/>
      <c r="AH2012" s="192"/>
      <c r="AI2012" s="192"/>
      <c r="AJ2012" s="194"/>
      <c r="AK2012" s="194"/>
      <c r="AL2012" s="194"/>
      <c r="AM2012" s="194"/>
      <c r="AN2012" s="194"/>
      <c r="AO2012" s="194"/>
      <c r="AP2012" s="194"/>
      <c r="AQ2012" s="194"/>
      <c r="AR2012" s="192"/>
      <c r="AS2012" s="192"/>
      <c r="AT2012" s="192"/>
      <c r="AU2012" s="192"/>
      <c r="AV2012" s="192"/>
      <c r="AW2012" s="192"/>
    </row>
    <row r="2013" spans="1:49" ht="15" customHeight="1">
      <c r="A2013" s="297"/>
      <c r="B2013" s="217"/>
      <c r="C2013" s="217"/>
      <c r="D2013" s="101"/>
      <c r="E2013" s="101"/>
      <c r="F2013" s="185"/>
      <c r="G2013" s="295"/>
      <c r="H2013" s="295"/>
      <c r="I2013" s="99"/>
      <c r="J2013" s="99"/>
      <c r="K2013" s="99"/>
      <c r="L2013" s="99"/>
      <c r="M2013" s="99"/>
      <c r="N2013" s="99"/>
      <c r="O2013" s="99"/>
      <c r="P2013" s="99"/>
      <c r="Q2013" s="99"/>
      <c r="R2013" s="99"/>
      <c r="S2013" s="99"/>
      <c r="T2013" s="99"/>
      <c r="U2013" s="99"/>
      <c r="V2013" s="99"/>
      <c r="W2013" s="240"/>
      <c r="X2013" s="240"/>
      <c r="Y2013" s="240"/>
      <c r="AB2013" s="192"/>
      <c r="AC2013" s="312"/>
      <c r="AD2013" s="312"/>
      <c r="AE2013" s="312"/>
      <c r="AF2013" s="312"/>
      <c r="AG2013" s="312"/>
      <c r="AH2013" s="192"/>
      <c r="AI2013" s="192"/>
      <c r="AJ2013" s="194"/>
      <c r="AK2013" s="194"/>
      <c r="AL2013" s="194"/>
      <c r="AM2013" s="194"/>
      <c r="AN2013" s="194"/>
      <c r="AO2013" s="194"/>
      <c r="AP2013" s="194"/>
      <c r="AQ2013" s="194"/>
      <c r="AR2013" s="192"/>
      <c r="AS2013" s="192"/>
      <c r="AT2013" s="192"/>
      <c r="AU2013" s="192"/>
      <c r="AV2013" s="192"/>
      <c r="AW2013" s="192"/>
    </row>
    <row r="2014" spans="1:49" ht="15" customHeight="1">
      <c r="A2014" s="297"/>
      <c r="B2014" s="217"/>
      <c r="C2014" s="217"/>
      <c r="D2014" s="101"/>
      <c r="E2014" s="101"/>
      <c r="F2014" s="185"/>
      <c r="G2014" s="295"/>
      <c r="H2014" s="295"/>
      <c r="I2014" s="99"/>
      <c r="J2014" s="99"/>
      <c r="K2014" s="99"/>
      <c r="L2014" s="99"/>
      <c r="M2014" s="99"/>
      <c r="N2014" s="99"/>
      <c r="O2014" s="99"/>
      <c r="P2014" s="99"/>
      <c r="Q2014" s="99"/>
      <c r="R2014" s="99"/>
      <c r="S2014" s="99"/>
      <c r="T2014" s="99"/>
      <c r="U2014" s="99"/>
      <c r="V2014" s="99"/>
      <c r="W2014" s="240"/>
      <c r="X2014" s="240"/>
      <c r="Y2014" s="240"/>
      <c r="AB2014" s="192"/>
      <c r="AC2014" s="199"/>
      <c r="AD2014" s="199"/>
      <c r="AE2014" s="199"/>
      <c r="AF2014" s="199"/>
      <c r="AG2014" s="199"/>
      <c r="AH2014" s="192"/>
      <c r="AI2014" s="192"/>
      <c r="AJ2014" s="199"/>
      <c r="AK2014" s="199"/>
      <c r="AL2014" s="199"/>
      <c r="AM2014" s="199"/>
      <c r="AN2014" s="199"/>
      <c r="AO2014" s="199"/>
      <c r="AP2014" s="199"/>
      <c r="AQ2014" s="199"/>
      <c r="AR2014" s="192"/>
      <c r="AS2014" s="192"/>
      <c r="AT2014" s="192"/>
      <c r="AU2014" s="192"/>
      <c r="AV2014" s="192"/>
      <c r="AW2014" s="192"/>
    </row>
    <row r="2015" spans="1:49" ht="15" customHeight="1">
      <c r="A2015" s="297"/>
      <c r="B2015" s="217"/>
      <c r="C2015" s="217"/>
      <c r="D2015" s="101"/>
      <c r="E2015" s="101"/>
      <c r="F2015" s="185"/>
      <c r="G2015" s="295"/>
      <c r="H2015" s="295"/>
      <c r="I2015" s="99"/>
      <c r="J2015" s="99"/>
      <c r="K2015" s="99"/>
      <c r="L2015" s="99"/>
      <c r="M2015" s="99"/>
      <c r="N2015" s="99"/>
      <c r="O2015" s="99"/>
      <c r="P2015" s="99"/>
      <c r="Q2015" s="99"/>
      <c r="R2015" s="99"/>
      <c r="S2015" s="99"/>
      <c r="T2015" s="99"/>
      <c r="U2015" s="233"/>
      <c r="V2015" s="233"/>
      <c r="W2015" s="240"/>
      <c r="X2015" s="240"/>
      <c r="Y2015" s="240"/>
      <c r="AB2015" s="192"/>
      <c r="AC2015" s="317"/>
      <c r="AD2015" s="317"/>
      <c r="AE2015" s="317"/>
      <c r="AF2015" s="317"/>
      <c r="AG2015" s="317"/>
      <c r="AH2015" s="192"/>
      <c r="AI2015" s="192"/>
      <c r="AJ2015" s="317"/>
      <c r="AK2015" s="317"/>
      <c r="AL2015" s="317"/>
      <c r="AM2015" s="317"/>
      <c r="AN2015" s="317"/>
      <c r="AO2015" s="317"/>
      <c r="AP2015" s="317"/>
      <c r="AQ2015" s="317"/>
      <c r="AR2015" s="192"/>
      <c r="AS2015" s="192"/>
      <c r="AT2015" s="192"/>
      <c r="AU2015" s="192"/>
      <c r="AV2015" s="192"/>
      <c r="AW2015" s="192"/>
    </row>
    <row r="2016" spans="1:49" ht="15" customHeight="1">
      <c r="A2016" s="297"/>
      <c r="B2016" s="217"/>
      <c r="C2016" s="217"/>
      <c r="D2016" s="101"/>
      <c r="E2016" s="101"/>
      <c r="F2016" s="185"/>
      <c r="G2016" s="295"/>
      <c r="H2016" s="295"/>
      <c r="I2016" s="99"/>
      <c r="J2016" s="99"/>
      <c r="K2016" s="99"/>
      <c r="L2016" s="99"/>
      <c r="M2016" s="99"/>
      <c r="N2016" s="99"/>
      <c r="O2016" s="99"/>
      <c r="P2016" s="99"/>
      <c r="Q2016" s="99"/>
      <c r="R2016" s="99"/>
      <c r="S2016" s="99"/>
      <c r="T2016" s="99"/>
      <c r="U2016" s="111"/>
      <c r="V2016" s="111"/>
      <c r="W2016" s="240"/>
      <c r="X2016" s="240"/>
      <c r="Y2016" s="240"/>
      <c r="AB2016" s="192"/>
      <c r="AC2016" s="314"/>
      <c r="AD2016" s="314"/>
      <c r="AE2016" s="314"/>
      <c r="AF2016" s="314"/>
      <c r="AG2016" s="314"/>
      <c r="AH2016" s="192"/>
      <c r="AI2016" s="192"/>
      <c r="AJ2016" s="314"/>
      <c r="AK2016" s="314"/>
      <c r="AL2016" s="314"/>
      <c r="AM2016" s="314"/>
      <c r="AN2016" s="314"/>
      <c r="AO2016" s="314"/>
      <c r="AP2016" s="314"/>
      <c r="AQ2016" s="314"/>
      <c r="AR2016" s="192"/>
      <c r="AS2016" s="192"/>
      <c r="AT2016" s="192"/>
      <c r="AU2016" s="192"/>
      <c r="AV2016" s="192"/>
      <c r="AW2016" s="192"/>
    </row>
    <row r="2017" spans="1:49" ht="15" customHeight="1">
      <c r="A2017" s="297"/>
      <c r="B2017" s="217"/>
      <c r="C2017" s="217"/>
      <c r="D2017" s="101"/>
      <c r="E2017" s="101"/>
      <c r="F2017" s="185"/>
      <c r="G2017" s="295"/>
      <c r="H2017" s="295"/>
      <c r="I2017" s="99"/>
      <c r="J2017" s="99"/>
      <c r="K2017" s="99"/>
      <c r="L2017" s="99"/>
      <c r="M2017" s="99"/>
      <c r="N2017" s="99"/>
      <c r="O2017" s="99"/>
      <c r="P2017" s="99"/>
      <c r="Q2017" s="99"/>
      <c r="R2017" s="99"/>
      <c r="S2017" s="99"/>
      <c r="T2017" s="99"/>
      <c r="U2017" s="99"/>
      <c r="V2017" s="99"/>
      <c r="W2017" s="240"/>
      <c r="X2017" s="240"/>
      <c r="Y2017" s="240"/>
      <c r="AB2017" s="192"/>
      <c r="AC2017" s="192"/>
      <c r="AD2017" s="192"/>
      <c r="AE2017" s="192"/>
      <c r="AF2017" s="192"/>
      <c r="AG2017" s="192"/>
      <c r="AH2017" s="192"/>
      <c r="AI2017" s="192"/>
      <c r="AJ2017" s="192"/>
      <c r="AK2017" s="192"/>
      <c r="AL2017" s="192"/>
      <c r="AM2017" s="192"/>
      <c r="AN2017" s="192"/>
      <c r="AR2017" s="192"/>
      <c r="AS2017" s="192"/>
      <c r="AT2017" s="192"/>
      <c r="AU2017" s="192"/>
      <c r="AV2017" s="192"/>
      <c r="AW2017" s="192"/>
    </row>
    <row r="2018" spans="1:49" ht="15" customHeight="1">
      <c r="A2018" s="297"/>
      <c r="B2018" s="217"/>
      <c r="C2018" s="217"/>
      <c r="D2018" s="101"/>
      <c r="E2018" s="101"/>
      <c r="F2018" s="185"/>
      <c r="G2018" s="295"/>
      <c r="H2018" s="295"/>
      <c r="I2018" s="99"/>
      <c r="J2018" s="99"/>
      <c r="K2018" s="99"/>
      <c r="L2018" s="99"/>
      <c r="M2018" s="99"/>
      <c r="N2018" s="99"/>
      <c r="O2018" s="99"/>
      <c r="P2018" s="99"/>
      <c r="Q2018" s="99"/>
      <c r="R2018" s="99"/>
      <c r="S2018" s="99"/>
      <c r="T2018" s="99"/>
      <c r="U2018" s="99"/>
      <c r="V2018" s="99"/>
      <c r="W2018" s="243"/>
      <c r="X2018" s="243"/>
      <c r="Y2018" s="243"/>
      <c r="Z2018" s="193"/>
      <c r="AA2018" s="193"/>
      <c r="AB2018" s="195"/>
      <c r="AC2018" s="95"/>
      <c r="AD2018" s="95"/>
      <c r="AE2018" s="95"/>
      <c r="AF2018" s="95"/>
      <c r="AG2018" s="248"/>
      <c r="AH2018" s="88"/>
      <c r="AI2018" s="195"/>
      <c r="AJ2018" s="196"/>
      <c r="AK2018" s="196"/>
      <c r="AL2018" s="196"/>
      <c r="AM2018" s="196"/>
      <c r="AN2018" s="196"/>
      <c r="AO2018" s="196"/>
      <c r="AP2018" s="196"/>
      <c r="AQ2018" s="196"/>
      <c r="AR2018" s="192"/>
      <c r="AS2018" s="192"/>
      <c r="AT2018" s="192"/>
      <c r="AU2018" s="192"/>
      <c r="AV2018" s="192"/>
      <c r="AW2018" s="192"/>
    </row>
    <row r="2019" spans="1:49" ht="15" customHeight="1">
      <c r="A2019" s="297"/>
      <c r="B2019" s="217"/>
      <c r="C2019" s="217"/>
      <c r="D2019" s="101"/>
      <c r="E2019" s="101"/>
      <c r="F2019" s="185"/>
      <c r="G2019" s="295"/>
      <c r="H2019" s="295"/>
      <c r="I2019" s="99"/>
      <c r="J2019" s="99"/>
      <c r="K2019" s="99"/>
      <c r="L2019" s="99"/>
      <c r="M2019" s="99"/>
      <c r="N2019" s="99"/>
      <c r="O2019" s="99"/>
      <c r="P2019" s="99"/>
      <c r="Q2019" s="99"/>
      <c r="R2019" s="99"/>
      <c r="S2019" s="99"/>
      <c r="T2019" s="99"/>
      <c r="U2019" s="99"/>
      <c r="V2019" s="99"/>
      <c r="W2019" s="243"/>
      <c r="X2019" s="243"/>
      <c r="Y2019" s="243"/>
      <c r="Z2019" s="193"/>
      <c r="AA2019" s="193"/>
      <c r="AB2019" s="195"/>
      <c r="AC2019" s="310"/>
      <c r="AD2019" s="318"/>
      <c r="AE2019" s="318"/>
      <c r="AF2019" s="318"/>
      <c r="AG2019" s="318"/>
      <c r="AH2019" s="88"/>
      <c r="AI2019" s="195"/>
      <c r="AJ2019" s="311"/>
      <c r="AK2019" s="311"/>
      <c r="AL2019" s="311"/>
      <c r="AM2019" s="311"/>
      <c r="AN2019" s="311"/>
      <c r="AO2019" s="311"/>
      <c r="AP2019" s="311"/>
      <c r="AQ2019" s="311"/>
      <c r="AR2019" s="192"/>
      <c r="AS2019" s="192"/>
      <c r="AT2019" s="192"/>
      <c r="AU2019" s="192"/>
      <c r="AV2019" s="192"/>
      <c r="AW2019" s="192"/>
    </row>
    <row r="2020" spans="1:49" ht="15" customHeight="1">
      <c r="A2020" s="297"/>
      <c r="B2020" s="217"/>
      <c r="C2020" s="217"/>
      <c r="D2020" s="101"/>
      <c r="E2020" s="101"/>
      <c r="F2020" s="185"/>
      <c r="G2020" s="295"/>
      <c r="H2020" s="295"/>
      <c r="I2020" s="99"/>
      <c r="J2020" s="99"/>
      <c r="K2020" s="99"/>
      <c r="L2020" s="99"/>
      <c r="M2020" s="99"/>
      <c r="N2020" s="99"/>
      <c r="O2020" s="99"/>
      <c r="P2020" s="99"/>
      <c r="Q2020" s="99"/>
      <c r="R2020" s="99"/>
      <c r="S2020" s="99"/>
      <c r="T2020" s="99"/>
      <c r="U2020" s="99"/>
      <c r="V2020" s="99"/>
      <c r="W2020" s="240"/>
      <c r="X2020" s="240"/>
      <c r="Y2020" s="240"/>
      <c r="AB2020" s="192"/>
      <c r="AC2020" s="312"/>
      <c r="AD2020" s="312"/>
      <c r="AE2020" s="312"/>
      <c r="AF2020" s="312"/>
      <c r="AG2020" s="312"/>
      <c r="AH2020" s="192"/>
      <c r="AI2020" s="192"/>
      <c r="AJ2020" s="194"/>
      <c r="AK2020" s="194"/>
      <c r="AL2020" s="194"/>
      <c r="AM2020" s="194"/>
      <c r="AN2020" s="194"/>
      <c r="AO2020" s="194"/>
      <c r="AP2020" s="194"/>
      <c r="AQ2020" s="194"/>
      <c r="AR2020" s="192"/>
      <c r="AS2020" s="192"/>
      <c r="AT2020" s="192"/>
      <c r="AU2020" s="192"/>
      <c r="AV2020" s="192"/>
      <c r="AW2020" s="192"/>
    </row>
    <row r="2021" spans="1:49" ht="15" customHeight="1">
      <c r="A2021" s="297"/>
      <c r="B2021" s="217"/>
      <c r="C2021" s="217"/>
      <c r="D2021" s="101"/>
      <c r="E2021" s="101"/>
      <c r="F2021" s="185"/>
      <c r="G2021" s="295"/>
      <c r="H2021" s="295"/>
      <c r="I2021" s="99"/>
      <c r="J2021" s="99"/>
      <c r="K2021" s="99"/>
      <c r="L2021" s="99"/>
      <c r="M2021" s="99"/>
      <c r="N2021" s="99"/>
      <c r="O2021" s="99"/>
      <c r="P2021" s="99"/>
      <c r="Q2021" s="99"/>
      <c r="R2021" s="99"/>
      <c r="S2021" s="99"/>
      <c r="T2021" s="99"/>
      <c r="U2021" s="99"/>
      <c r="V2021" s="99"/>
      <c r="W2021" s="240"/>
      <c r="X2021" s="240"/>
      <c r="Y2021" s="240"/>
      <c r="AB2021" s="192"/>
      <c r="AC2021" s="312"/>
      <c r="AD2021" s="312"/>
      <c r="AE2021" s="312"/>
      <c r="AF2021" s="312"/>
      <c r="AG2021" s="312"/>
      <c r="AH2021" s="192"/>
      <c r="AI2021" s="192"/>
      <c r="AJ2021" s="194"/>
      <c r="AK2021" s="194"/>
      <c r="AL2021" s="194"/>
      <c r="AM2021" s="194"/>
      <c r="AN2021" s="194"/>
      <c r="AO2021" s="194"/>
      <c r="AP2021" s="194"/>
      <c r="AQ2021" s="194"/>
      <c r="AR2021" s="192"/>
      <c r="AS2021" s="192"/>
      <c r="AT2021" s="192"/>
      <c r="AU2021" s="192"/>
      <c r="AV2021" s="192"/>
      <c r="AW2021" s="192"/>
    </row>
    <row r="2022" spans="1:49" ht="15" customHeight="1">
      <c r="A2022" s="297"/>
      <c r="B2022" s="217"/>
      <c r="C2022" s="217"/>
      <c r="D2022" s="101"/>
      <c r="E2022" s="101"/>
      <c r="F2022" s="185"/>
      <c r="G2022" s="295"/>
      <c r="H2022" s="295"/>
      <c r="I2022" s="99"/>
      <c r="J2022" s="99"/>
      <c r="K2022" s="99"/>
      <c r="L2022" s="99"/>
      <c r="M2022" s="99"/>
      <c r="N2022" s="99"/>
      <c r="O2022" s="99"/>
      <c r="P2022" s="99"/>
      <c r="Q2022" s="99"/>
      <c r="R2022" s="99"/>
      <c r="S2022" s="99"/>
      <c r="T2022" s="99"/>
      <c r="U2022" s="99"/>
      <c r="V2022" s="99"/>
      <c r="W2022" s="240"/>
      <c r="X2022" s="240"/>
      <c r="Y2022" s="240"/>
      <c r="AB2022" s="192"/>
      <c r="AC2022" s="312"/>
      <c r="AD2022" s="312"/>
      <c r="AE2022" s="312"/>
      <c r="AF2022" s="312"/>
      <c r="AG2022" s="312"/>
      <c r="AH2022" s="192"/>
      <c r="AI2022" s="192"/>
      <c r="AJ2022" s="194"/>
      <c r="AK2022" s="194"/>
      <c r="AL2022" s="194"/>
      <c r="AM2022" s="194"/>
      <c r="AN2022" s="194"/>
      <c r="AO2022" s="194"/>
      <c r="AP2022" s="194"/>
      <c r="AQ2022" s="194"/>
      <c r="AR2022" s="192"/>
      <c r="AS2022" s="192"/>
      <c r="AT2022" s="192"/>
      <c r="AU2022" s="192"/>
      <c r="AV2022" s="192"/>
      <c r="AW2022" s="192"/>
    </row>
    <row r="2023" spans="1:49" ht="15" customHeight="1">
      <c r="A2023" s="297"/>
      <c r="B2023" s="217"/>
      <c r="C2023" s="217"/>
      <c r="D2023" s="101"/>
      <c r="E2023" s="101"/>
      <c r="F2023" s="185"/>
      <c r="G2023" s="295"/>
      <c r="H2023" s="295"/>
      <c r="I2023" s="99"/>
      <c r="J2023" s="99"/>
      <c r="K2023" s="99"/>
      <c r="L2023" s="99"/>
      <c r="M2023" s="99"/>
      <c r="N2023" s="99"/>
      <c r="O2023" s="99"/>
      <c r="P2023" s="99"/>
      <c r="Q2023" s="99"/>
      <c r="R2023" s="99"/>
      <c r="S2023" s="99"/>
      <c r="T2023" s="99"/>
      <c r="U2023" s="99"/>
      <c r="V2023" s="99"/>
      <c r="W2023" s="240"/>
      <c r="X2023" s="240"/>
      <c r="Y2023" s="240"/>
      <c r="AB2023" s="192"/>
      <c r="AC2023" s="312"/>
      <c r="AD2023" s="312"/>
      <c r="AE2023" s="312"/>
      <c r="AF2023" s="312"/>
      <c r="AG2023" s="312"/>
      <c r="AH2023" s="192"/>
      <c r="AI2023" s="192"/>
      <c r="AJ2023" s="194"/>
      <c r="AK2023" s="194"/>
      <c r="AL2023" s="194"/>
      <c r="AM2023" s="194"/>
      <c r="AN2023" s="194"/>
      <c r="AO2023" s="194"/>
      <c r="AP2023" s="194"/>
      <c r="AQ2023" s="194"/>
      <c r="AR2023" s="192"/>
      <c r="AS2023" s="192"/>
      <c r="AT2023" s="192"/>
      <c r="AU2023" s="192"/>
      <c r="AV2023" s="192"/>
      <c r="AW2023" s="192"/>
    </row>
    <row r="2024" spans="1:49" ht="15" customHeight="1">
      <c r="A2024" s="297"/>
      <c r="B2024" s="217"/>
      <c r="C2024" s="217"/>
      <c r="D2024" s="101"/>
      <c r="E2024" s="101"/>
      <c r="F2024" s="185"/>
      <c r="G2024" s="295"/>
      <c r="H2024" s="295"/>
      <c r="I2024" s="99"/>
      <c r="J2024" s="99"/>
      <c r="K2024" s="99"/>
      <c r="L2024" s="99"/>
      <c r="M2024" s="99"/>
      <c r="N2024" s="99"/>
      <c r="O2024" s="99"/>
      <c r="P2024" s="99"/>
      <c r="Q2024" s="99"/>
      <c r="R2024" s="99"/>
      <c r="S2024" s="99"/>
      <c r="T2024" s="99"/>
      <c r="U2024" s="99"/>
      <c r="V2024" s="99"/>
      <c r="W2024" s="240"/>
      <c r="X2024" s="240"/>
      <c r="Y2024" s="240"/>
      <c r="AB2024" s="192"/>
      <c r="AC2024" s="312"/>
      <c r="AD2024" s="312"/>
      <c r="AE2024" s="312"/>
      <c r="AF2024" s="312"/>
      <c r="AG2024" s="312"/>
      <c r="AH2024" s="192"/>
      <c r="AI2024" s="192"/>
      <c r="AJ2024" s="194"/>
      <c r="AK2024" s="194"/>
      <c r="AL2024" s="194"/>
      <c r="AM2024" s="194"/>
      <c r="AN2024" s="194"/>
      <c r="AO2024" s="194"/>
      <c r="AP2024" s="194"/>
      <c r="AQ2024" s="194"/>
      <c r="AR2024" s="192"/>
      <c r="AS2024" s="192"/>
      <c r="AT2024" s="192"/>
      <c r="AU2024" s="192"/>
      <c r="AV2024" s="192"/>
      <c r="AW2024" s="192"/>
    </row>
    <row r="2025" spans="1:49" ht="15" customHeight="1">
      <c r="A2025" s="297"/>
      <c r="B2025" s="217"/>
      <c r="C2025" s="217"/>
      <c r="D2025" s="101"/>
      <c r="E2025" s="101"/>
      <c r="F2025" s="185"/>
      <c r="G2025" s="295"/>
      <c r="H2025" s="295"/>
      <c r="I2025" s="99"/>
      <c r="J2025" s="99"/>
      <c r="K2025" s="99"/>
      <c r="L2025" s="99"/>
      <c r="M2025" s="99"/>
      <c r="N2025" s="99"/>
      <c r="O2025" s="99"/>
      <c r="P2025" s="99"/>
      <c r="Q2025" s="99"/>
      <c r="R2025" s="99"/>
      <c r="S2025" s="99"/>
      <c r="T2025" s="99"/>
      <c r="U2025" s="99"/>
      <c r="V2025" s="99"/>
      <c r="W2025" s="240"/>
      <c r="X2025" s="240"/>
      <c r="Y2025" s="240"/>
      <c r="AB2025" s="192"/>
      <c r="AC2025" s="312"/>
      <c r="AD2025" s="312"/>
      <c r="AE2025" s="312"/>
      <c r="AF2025" s="312"/>
      <c r="AG2025" s="312"/>
      <c r="AH2025" s="192"/>
      <c r="AI2025" s="192"/>
      <c r="AJ2025" s="194"/>
      <c r="AK2025" s="194"/>
      <c r="AL2025" s="194"/>
      <c r="AM2025" s="194"/>
      <c r="AN2025" s="194"/>
      <c r="AO2025" s="194"/>
      <c r="AP2025" s="194"/>
      <c r="AQ2025" s="194"/>
      <c r="AR2025" s="192"/>
      <c r="AS2025" s="192"/>
      <c r="AT2025" s="192"/>
      <c r="AU2025" s="192"/>
      <c r="AV2025" s="192"/>
      <c r="AW2025" s="192"/>
    </row>
    <row r="2026" spans="1:49" ht="15" customHeight="1">
      <c r="A2026" s="297"/>
      <c r="B2026" s="217"/>
      <c r="C2026" s="217"/>
      <c r="D2026" s="101"/>
      <c r="E2026" s="101"/>
      <c r="F2026" s="185"/>
      <c r="G2026" s="295"/>
      <c r="H2026" s="295"/>
      <c r="I2026" s="99"/>
      <c r="J2026" s="99"/>
      <c r="K2026" s="99"/>
      <c r="L2026" s="99"/>
      <c r="M2026" s="99"/>
      <c r="N2026" s="99"/>
      <c r="O2026" s="99"/>
      <c r="P2026" s="99"/>
      <c r="Q2026" s="99"/>
      <c r="R2026" s="99"/>
      <c r="S2026" s="99"/>
      <c r="T2026" s="99"/>
      <c r="U2026" s="99"/>
      <c r="V2026" s="99"/>
      <c r="W2026" s="240"/>
      <c r="X2026" s="240"/>
      <c r="Y2026" s="240"/>
      <c r="AB2026" s="192"/>
      <c r="AC2026" s="312"/>
      <c r="AD2026" s="312"/>
      <c r="AE2026" s="312"/>
      <c r="AF2026" s="312"/>
      <c r="AG2026" s="312"/>
      <c r="AH2026" s="192"/>
      <c r="AI2026" s="192"/>
      <c r="AJ2026" s="194"/>
      <c r="AK2026" s="194"/>
      <c r="AL2026" s="194"/>
      <c r="AM2026" s="194"/>
      <c r="AN2026" s="194"/>
      <c r="AO2026" s="194"/>
      <c r="AP2026" s="194"/>
      <c r="AQ2026" s="194"/>
      <c r="AR2026" s="192"/>
      <c r="AS2026" s="192"/>
      <c r="AT2026" s="192"/>
      <c r="AU2026" s="192"/>
      <c r="AV2026" s="192"/>
      <c r="AW2026" s="192"/>
    </row>
    <row r="2027" spans="1:49" ht="15" customHeight="1">
      <c r="A2027" s="297"/>
      <c r="B2027" s="217"/>
      <c r="C2027" s="217"/>
      <c r="D2027" s="101"/>
      <c r="E2027" s="101"/>
      <c r="F2027" s="185"/>
      <c r="G2027" s="295"/>
      <c r="H2027" s="295"/>
      <c r="I2027" s="99"/>
      <c r="J2027" s="99"/>
      <c r="K2027" s="99"/>
      <c r="L2027" s="99"/>
      <c r="M2027" s="99"/>
      <c r="N2027" s="99"/>
      <c r="O2027" s="99"/>
      <c r="P2027" s="99"/>
      <c r="Q2027" s="99"/>
      <c r="R2027" s="99"/>
      <c r="S2027" s="99"/>
      <c r="T2027" s="99"/>
      <c r="U2027" s="99"/>
      <c r="V2027" s="99"/>
      <c r="W2027" s="240"/>
      <c r="X2027" s="240"/>
      <c r="Y2027" s="240"/>
      <c r="AB2027" s="192"/>
      <c r="AC2027" s="199"/>
      <c r="AD2027" s="199"/>
      <c r="AE2027" s="199"/>
      <c r="AF2027" s="199"/>
      <c r="AG2027" s="199"/>
      <c r="AH2027" s="192"/>
      <c r="AI2027" s="192"/>
      <c r="AJ2027" s="199"/>
      <c r="AK2027" s="199"/>
      <c r="AL2027" s="199"/>
      <c r="AM2027" s="199"/>
      <c r="AN2027" s="199"/>
      <c r="AO2027" s="199"/>
      <c r="AP2027" s="199"/>
      <c r="AQ2027" s="199"/>
      <c r="AR2027" s="192"/>
      <c r="AS2027" s="192"/>
      <c r="AT2027" s="192"/>
      <c r="AU2027" s="192"/>
      <c r="AV2027" s="192"/>
      <c r="AW2027" s="192"/>
    </row>
    <row r="2028" spans="1:49" ht="15" customHeight="1">
      <c r="A2028" s="297"/>
      <c r="B2028" s="217"/>
      <c r="C2028" s="217"/>
      <c r="D2028" s="101"/>
      <c r="E2028" s="101"/>
      <c r="F2028" s="185"/>
      <c r="G2028" s="295"/>
      <c r="H2028" s="295"/>
      <c r="I2028" s="99"/>
      <c r="J2028" s="99"/>
      <c r="K2028" s="99"/>
      <c r="L2028" s="99"/>
      <c r="M2028" s="99"/>
      <c r="N2028" s="99"/>
      <c r="O2028" s="99"/>
      <c r="P2028" s="99"/>
      <c r="Q2028" s="99"/>
      <c r="R2028" s="99"/>
      <c r="S2028" s="99"/>
      <c r="T2028" s="99"/>
      <c r="U2028" s="99"/>
      <c r="V2028" s="99"/>
      <c r="W2028" s="240"/>
      <c r="X2028" s="240"/>
      <c r="Y2028" s="240"/>
      <c r="AB2028" s="192"/>
      <c r="AC2028" s="317"/>
      <c r="AD2028" s="317"/>
      <c r="AE2028" s="317"/>
      <c r="AF2028" s="317"/>
      <c r="AG2028" s="317"/>
      <c r="AH2028" s="192"/>
      <c r="AI2028" s="192"/>
      <c r="AJ2028" s="317"/>
      <c r="AK2028" s="317"/>
      <c r="AL2028" s="317"/>
      <c r="AM2028" s="317"/>
      <c r="AN2028" s="317"/>
      <c r="AO2028" s="317"/>
      <c r="AP2028" s="317"/>
      <c r="AQ2028" s="317"/>
      <c r="AR2028" s="192"/>
      <c r="AS2028" s="192"/>
      <c r="AT2028" s="192"/>
      <c r="AU2028" s="192"/>
      <c r="AV2028" s="192"/>
      <c r="AW2028" s="192"/>
    </row>
    <row r="2029" spans="1:49" ht="15" customHeight="1">
      <c r="A2029" s="297"/>
      <c r="B2029" s="217"/>
      <c r="C2029" s="217"/>
      <c r="D2029" s="101"/>
      <c r="E2029" s="101"/>
      <c r="F2029" s="185"/>
      <c r="G2029" s="295"/>
      <c r="H2029" s="107"/>
      <c r="I2029" s="108"/>
      <c r="J2029" s="108"/>
      <c r="K2029" s="108"/>
      <c r="L2029" s="108"/>
      <c r="M2029" s="108"/>
      <c r="N2029" s="108"/>
      <c r="O2029" s="108"/>
      <c r="P2029" s="108"/>
      <c r="Q2029" s="108"/>
      <c r="R2029" s="108"/>
      <c r="S2029" s="108"/>
      <c r="T2029" s="108"/>
      <c r="U2029" s="99"/>
      <c r="V2029" s="99"/>
      <c r="W2029" s="240"/>
      <c r="X2029" s="240"/>
      <c r="Y2029" s="240"/>
      <c r="AB2029" s="192"/>
      <c r="AC2029" s="317"/>
      <c r="AD2029" s="317"/>
      <c r="AE2029" s="317"/>
      <c r="AF2029" s="317"/>
      <c r="AG2029" s="317"/>
      <c r="AH2029" s="192"/>
      <c r="AI2029" s="192"/>
      <c r="AJ2029" s="317"/>
      <c r="AK2029" s="317"/>
      <c r="AL2029" s="317"/>
      <c r="AM2029" s="317"/>
      <c r="AN2029" s="317"/>
      <c r="AO2029" s="317"/>
      <c r="AP2029" s="317"/>
      <c r="AQ2029" s="317"/>
      <c r="AR2029" s="192"/>
      <c r="AS2029" s="192"/>
      <c r="AT2029" s="192"/>
      <c r="AU2029" s="192"/>
      <c r="AV2029" s="192"/>
      <c r="AW2029" s="192"/>
    </row>
    <row r="2030" spans="1:49" ht="15" customHeight="1">
      <c r="A2030" s="297"/>
      <c r="B2030" s="217"/>
      <c r="C2030" s="217"/>
      <c r="D2030" s="101"/>
      <c r="E2030" s="101"/>
      <c r="F2030" s="185"/>
      <c r="G2030" s="295"/>
      <c r="H2030" s="295"/>
      <c r="I2030" s="99"/>
      <c r="J2030" s="99"/>
      <c r="K2030" s="99"/>
      <c r="L2030" s="99"/>
      <c r="M2030" s="99"/>
      <c r="N2030" s="99"/>
      <c r="O2030" s="99"/>
      <c r="P2030" s="99"/>
      <c r="Q2030" s="99"/>
      <c r="R2030" s="99"/>
      <c r="S2030" s="99"/>
      <c r="T2030" s="99"/>
      <c r="U2030" s="99"/>
      <c r="V2030" s="99"/>
      <c r="W2030" s="240"/>
      <c r="X2030" s="240"/>
      <c r="Y2030" s="240"/>
      <c r="AB2030" s="192"/>
      <c r="AC2030" s="317"/>
      <c r="AD2030" s="317"/>
      <c r="AE2030" s="317"/>
      <c r="AF2030" s="317"/>
      <c r="AG2030" s="317"/>
      <c r="AH2030" s="192"/>
      <c r="AI2030" s="192"/>
      <c r="AJ2030" s="317"/>
      <c r="AK2030" s="317"/>
      <c r="AL2030" s="317"/>
      <c r="AM2030" s="317"/>
      <c r="AN2030" s="317"/>
      <c r="AO2030" s="317"/>
      <c r="AP2030" s="317"/>
      <c r="AQ2030" s="317"/>
      <c r="AR2030" s="192"/>
      <c r="AS2030" s="192"/>
      <c r="AT2030" s="192"/>
      <c r="AU2030" s="192"/>
      <c r="AV2030" s="192"/>
      <c r="AW2030" s="192"/>
    </row>
    <row r="2031" spans="1:49" ht="15" customHeight="1">
      <c r="A2031" s="297"/>
      <c r="B2031" s="217"/>
      <c r="C2031" s="217"/>
      <c r="D2031" s="101"/>
      <c r="E2031" s="101"/>
      <c r="F2031" s="185"/>
      <c r="G2031" s="295"/>
      <c r="H2031" s="295"/>
      <c r="I2031" s="99"/>
      <c r="J2031" s="99"/>
      <c r="K2031" s="99"/>
      <c r="L2031" s="99"/>
      <c r="M2031" s="99"/>
      <c r="N2031" s="99"/>
      <c r="O2031" s="99"/>
      <c r="P2031" s="99"/>
      <c r="Q2031" s="99"/>
      <c r="R2031" s="99"/>
      <c r="S2031" s="99"/>
      <c r="T2031" s="99"/>
      <c r="U2031" s="99"/>
      <c r="V2031" s="99"/>
      <c r="W2031" s="240"/>
      <c r="X2031" s="240"/>
      <c r="Y2031" s="240"/>
      <c r="AB2031" s="192"/>
      <c r="AC2031" s="312"/>
      <c r="AD2031" s="312"/>
      <c r="AE2031" s="312"/>
      <c r="AF2031" s="312"/>
      <c r="AG2031" s="312"/>
      <c r="AH2031" s="192"/>
      <c r="AI2031" s="192"/>
      <c r="AJ2031" s="194"/>
      <c r="AK2031" s="194"/>
      <c r="AL2031" s="194"/>
      <c r="AM2031" s="194"/>
      <c r="AN2031" s="194"/>
      <c r="AO2031" s="194"/>
      <c r="AP2031" s="194"/>
      <c r="AQ2031" s="194"/>
      <c r="AR2031" s="192"/>
      <c r="AS2031" s="192"/>
      <c r="AT2031" s="192"/>
      <c r="AU2031" s="192"/>
      <c r="AV2031" s="192"/>
      <c r="AW2031" s="192"/>
    </row>
    <row r="2032" spans="1:49" ht="15" customHeight="1">
      <c r="A2032" s="297"/>
      <c r="B2032" s="217"/>
      <c r="C2032" s="217"/>
      <c r="D2032" s="101"/>
      <c r="E2032" s="101"/>
      <c r="F2032" s="185"/>
      <c r="G2032" s="295"/>
      <c r="H2032" s="295"/>
      <c r="I2032" s="99"/>
      <c r="J2032" s="99"/>
      <c r="K2032" s="99"/>
      <c r="L2032" s="99"/>
      <c r="M2032" s="99"/>
      <c r="N2032" s="99"/>
      <c r="O2032" s="99"/>
      <c r="P2032" s="99"/>
      <c r="Q2032" s="99"/>
      <c r="R2032" s="99"/>
      <c r="S2032" s="99"/>
      <c r="T2032" s="99"/>
      <c r="U2032" s="99"/>
      <c r="V2032" s="99"/>
      <c r="W2032" s="240"/>
      <c r="X2032" s="240"/>
      <c r="Y2032" s="240"/>
      <c r="AB2032" s="192"/>
      <c r="AC2032" s="312"/>
      <c r="AD2032" s="312"/>
      <c r="AE2032" s="312"/>
      <c r="AF2032" s="312"/>
      <c r="AG2032" s="312"/>
      <c r="AH2032" s="192"/>
      <c r="AI2032" s="192"/>
      <c r="AJ2032" s="194"/>
      <c r="AK2032" s="194"/>
      <c r="AL2032" s="194"/>
      <c r="AM2032" s="194"/>
      <c r="AN2032" s="194"/>
      <c r="AO2032" s="194"/>
      <c r="AP2032" s="194"/>
      <c r="AQ2032" s="194"/>
      <c r="AR2032" s="192"/>
      <c r="AS2032" s="192"/>
      <c r="AT2032" s="192"/>
      <c r="AU2032" s="192"/>
      <c r="AV2032" s="192"/>
      <c r="AW2032" s="192"/>
    </row>
    <row r="2033" spans="1:49" ht="15" customHeight="1">
      <c r="A2033" s="297"/>
      <c r="B2033" s="217"/>
      <c r="C2033" s="217"/>
      <c r="D2033" s="101"/>
      <c r="E2033" s="101"/>
      <c r="F2033" s="185"/>
      <c r="G2033" s="295"/>
      <c r="H2033" s="295"/>
      <c r="I2033" s="99"/>
      <c r="J2033" s="99"/>
      <c r="K2033" s="99"/>
      <c r="L2033" s="99"/>
      <c r="M2033" s="99"/>
      <c r="N2033" s="99"/>
      <c r="O2033" s="99"/>
      <c r="P2033" s="99"/>
      <c r="Q2033" s="99"/>
      <c r="R2033" s="99"/>
      <c r="S2033" s="99"/>
      <c r="T2033" s="99"/>
      <c r="U2033" s="99"/>
      <c r="V2033" s="99"/>
      <c r="W2033" s="240"/>
      <c r="X2033" s="240"/>
      <c r="Y2033" s="240"/>
      <c r="AB2033" s="192"/>
      <c r="AC2033" s="312"/>
      <c r="AD2033" s="312"/>
      <c r="AE2033" s="312"/>
      <c r="AF2033" s="312"/>
      <c r="AG2033" s="312"/>
      <c r="AH2033" s="192"/>
      <c r="AI2033" s="192"/>
      <c r="AJ2033" s="194"/>
      <c r="AK2033" s="194"/>
      <c r="AL2033" s="194"/>
      <c r="AM2033" s="194"/>
      <c r="AN2033" s="194"/>
      <c r="AO2033" s="194"/>
      <c r="AP2033" s="194"/>
      <c r="AQ2033" s="194"/>
      <c r="AR2033" s="192"/>
      <c r="AS2033" s="192"/>
      <c r="AT2033" s="192"/>
      <c r="AU2033" s="192"/>
      <c r="AV2033" s="192"/>
      <c r="AW2033" s="192"/>
    </row>
    <row r="2034" spans="1:49" ht="15" customHeight="1">
      <c r="A2034" s="297"/>
      <c r="B2034" s="217"/>
      <c r="C2034" s="217"/>
      <c r="D2034" s="101"/>
      <c r="E2034" s="101"/>
      <c r="F2034" s="185"/>
      <c r="G2034" s="295"/>
      <c r="H2034" s="295"/>
      <c r="I2034" s="99"/>
      <c r="J2034" s="99"/>
      <c r="K2034" s="99"/>
      <c r="L2034" s="99"/>
      <c r="M2034" s="99"/>
      <c r="N2034" s="99"/>
      <c r="O2034" s="99"/>
      <c r="P2034" s="99"/>
      <c r="Q2034" s="99"/>
      <c r="R2034" s="99"/>
      <c r="S2034" s="99"/>
      <c r="T2034" s="99"/>
      <c r="U2034" s="99"/>
      <c r="V2034" s="99"/>
      <c r="W2034" s="240"/>
      <c r="X2034" s="240"/>
      <c r="Y2034" s="240"/>
      <c r="AB2034" s="192"/>
      <c r="AC2034" s="312"/>
      <c r="AD2034" s="312"/>
      <c r="AE2034" s="312"/>
      <c r="AF2034" s="312"/>
      <c r="AG2034" s="312"/>
      <c r="AH2034" s="192"/>
      <c r="AI2034" s="192"/>
      <c r="AJ2034" s="194"/>
      <c r="AK2034" s="194"/>
      <c r="AL2034" s="194"/>
      <c r="AM2034" s="194"/>
      <c r="AN2034" s="194"/>
      <c r="AO2034" s="194"/>
      <c r="AP2034" s="194"/>
      <c r="AQ2034" s="194"/>
      <c r="AR2034" s="192"/>
      <c r="AS2034" s="192"/>
      <c r="AT2034" s="192"/>
      <c r="AU2034" s="192"/>
      <c r="AV2034" s="192"/>
      <c r="AW2034" s="192"/>
    </row>
    <row r="2035" spans="1:49" ht="15" customHeight="1">
      <c r="A2035" s="297"/>
      <c r="B2035" s="217"/>
      <c r="C2035" s="217"/>
      <c r="D2035" s="101"/>
      <c r="E2035" s="101"/>
      <c r="F2035" s="185"/>
      <c r="G2035" s="295"/>
      <c r="H2035" s="295"/>
      <c r="I2035" s="99"/>
      <c r="J2035" s="99"/>
      <c r="K2035" s="99"/>
      <c r="L2035" s="99"/>
      <c r="M2035" s="99"/>
      <c r="N2035" s="99"/>
      <c r="O2035" s="99"/>
      <c r="P2035" s="99"/>
      <c r="Q2035" s="99"/>
      <c r="R2035" s="99"/>
      <c r="S2035" s="99"/>
      <c r="T2035" s="99"/>
      <c r="U2035" s="99"/>
      <c r="V2035" s="99"/>
      <c r="W2035" s="240"/>
      <c r="X2035" s="240"/>
      <c r="Y2035" s="240"/>
      <c r="AB2035" s="192"/>
      <c r="AC2035" s="312"/>
      <c r="AD2035" s="312"/>
      <c r="AE2035" s="312"/>
      <c r="AF2035" s="312"/>
      <c r="AG2035" s="312"/>
      <c r="AH2035" s="192"/>
      <c r="AI2035" s="192"/>
      <c r="AJ2035" s="194"/>
      <c r="AK2035" s="194"/>
      <c r="AL2035" s="194"/>
      <c r="AM2035" s="194"/>
      <c r="AN2035" s="194"/>
      <c r="AO2035" s="194"/>
      <c r="AP2035" s="194"/>
      <c r="AQ2035" s="194"/>
      <c r="AR2035" s="192"/>
      <c r="AS2035" s="192"/>
      <c r="AT2035" s="192"/>
      <c r="AU2035" s="192"/>
      <c r="AV2035" s="192"/>
      <c r="AW2035" s="192"/>
    </row>
    <row r="2036" spans="1:49" ht="15" customHeight="1">
      <c r="A2036" s="297"/>
      <c r="B2036" s="217"/>
      <c r="C2036" s="217"/>
      <c r="D2036" s="101"/>
      <c r="E2036" s="101"/>
      <c r="F2036" s="185"/>
      <c r="G2036" s="295"/>
      <c r="H2036" s="295"/>
      <c r="I2036" s="99"/>
      <c r="J2036" s="99"/>
      <c r="K2036" s="99"/>
      <c r="L2036" s="99"/>
      <c r="M2036" s="99"/>
      <c r="N2036" s="99"/>
      <c r="O2036" s="99"/>
      <c r="P2036" s="99"/>
      <c r="Q2036" s="99"/>
      <c r="R2036" s="99"/>
      <c r="S2036" s="99"/>
      <c r="T2036" s="99"/>
      <c r="U2036" s="99"/>
      <c r="V2036" s="99"/>
      <c r="W2036" s="240"/>
      <c r="X2036" s="240"/>
      <c r="Y2036" s="240"/>
      <c r="AB2036" s="192"/>
      <c r="AC2036" s="199"/>
      <c r="AD2036" s="199"/>
      <c r="AE2036" s="199"/>
      <c r="AF2036" s="199"/>
      <c r="AG2036" s="199"/>
      <c r="AH2036" s="192"/>
      <c r="AI2036" s="192"/>
      <c r="AJ2036" s="199"/>
      <c r="AK2036" s="199"/>
      <c r="AL2036" s="199"/>
      <c r="AM2036" s="199"/>
      <c r="AN2036" s="199"/>
      <c r="AO2036" s="199"/>
      <c r="AP2036" s="199"/>
      <c r="AQ2036" s="199"/>
      <c r="AR2036" s="192"/>
      <c r="AS2036" s="192"/>
      <c r="AT2036" s="192"/>
      <c r="AU2036" s="192"/>
      <c r="AV2036" s="192"/>
      <c r="AW2036" s="192"/>
    </row>
    <row r="2037" spans="1:49" ht="15" customHeight="1">
      <c r="A2037" s="297"/>
      <c r="B2037" s="217"/>
      <c r="C2037" s="217"/>
      <c r="D2037" s="101"/>
      <c r="E2037" s="101"/>
      <c r="F2037" s="185"/>
      <c r="G2037" s="295"/>
      <c r="H2037" s="295"/>
      <c r="I2037" s="99"/>
      <c r="J2037" s="99"/>
      <c r="K2037" s="99"/>
      <c r="L2037" s="99"/>
      <c r="M2037" s="99"/>
      <c r="N2037" s="99"/>
      <c r="O2037" s="99"/>
      <c r="P2037" s="99"/>
      <c r="Q2037" s="99"/>
      <c r="R2037" s="99"/>
      <c r="S2037" s="99"/>
      <c r="T2037" s="99"/>
      <c r="U2037" s="99"/>
      <c r="V2037" s="99"/>
      <c r="W2037" s="240"/>
      <c r="X2037" s="240"/>
      <c r="Y2037" s="240"/>
      <c r="AB2037" s="192"/>
      <c r="AC2037" s="317"/>
      <c r="AD2037" s="317"/>
      <c r="AE2037" s="317"/>
      <c r="AF2037" s="317"/>
      <c r="AG2037" s="317"/>
      <c r="AH2037" s="192"/>
      <c r="AI2037" s="192"/>
      <c r="AJ2037" s="317"/>
      <c r="AK2037" s="317"/>
      <c r="AL2037" s="317"/>
      <c r="AM2037" s="317"/>
      <c r="AN2037" s="317"/>
      <c r="AO2037" s="317"/>
      <c r="AP2037" s="317"/>
      <c r="AQ2037" s="317"/>
      <c r="AR2037" s="192"/>
      <c r="AS2037" s="192"/>
      <c r="AT2037" s="192"/>
      <c r="AU2037" s="192"/>
      <c r="AV2037" s="192"/>
      <c r="AW2037" s="192"/>
    </row>
    <row r="2038" spans="1:49" ht="15" customHeight="1">
      <c r="A2038" s="297"/>
      <c r="B2038" s="217"/>
      <c r="C2038" s="217"/>
      <c r="D2038" s="101"/>
      <c r="E2038" s="101"/>
      <c r="F2038" s="185"/>
      <c r="G2038" s="295"/>
      <c r="H2038" s="295"/>
      <c r="I2038" s="99"/>
      <c r="J2038" s="99"/>
      <c r="K2038" s="99"/>
      <c r="L2038" s="99"/>
      <c r="M2038" s="99"/>
      <c r="N2038" s="99"/>
      <c r="O2038" s="99"/>
      <c r="P2038" s="99"/>
      <c r="Q2038" s="99"/>
      <c r="R2038" s="99"/>
      <c r="S2038" s="99"/>
      <c r="T2038" s="99"/>
      <c r="U2038" s="99"/>
      <c r="V2038" s="99"/>
      <c r="W2038" s="240"/>
      <c r="X2038" s="240"/>
      <c r="Y2038" s="240"/>
      <c r="AB2038" s="192"/>
      <c r="AC2038" s="312"/>
      <c r="AD2038" s="312"/>
      <c r="AE2038" s="312"/>
      <c r="AF2038" s="312"/>
      <c r="AG2038" s="312"/>
      <c r="AH2038" s="192"/>
      <c r="AI2038" s="192"/>
      <c r="AJ2038" s="194"/>
      <c r="AK2038" s="194"/>
      <c r="AL2038" s="194"/>
      <c r="AM2038" s="194"/>
      <c r="AN2038" s="194"/>
      <c r="AO2038" s="194"/>
      <c r="AP2038" s="194"/>
      <c r="AQ2038" s="194"/>
      <c r="AR2038" s="192"/>
      <c r="AS2038" s="192"/>
      <c r="AT2038" s="192"/>
      <c r="AU2038" s="192"/>
      <c r="AV2038" s="192"/>
      <c r="AW2038" s="192"/>
    </row>
    <row r="2039" spans="1:49" ht="15" customHeight="1">
      <c r="A2039" s="297"/>
      <c r="B2039" s="217"/>
      <c r="C2039" s="217"/>
      <c r="D2039" s="101"/>
      <c r="E2039" s="101"/>
      <c r="F2039" s="185"/>
      <c r="G2039" s="295"/>
      <c r="H2039" s="295"/>
      <c r="I2039" s="99"/>
      <c r="J2039" s="99"/>
      <c r="K2039" s="99"/>
      <c r="L2039" s="99"/>
      <c r="M2039" s="99"/>
      <c r="N2039" s="99"/>
      <c r="O2039" s="99"/>
      <c r="P2039" s="99"/>
      <c r="Q2039" s="99"/>
      <c r="R2039" s="99"/>
      <c r="S2039" s="99"/>
      <c r="T2039" s="99"/>
      <c r="U2039" s="99"/>
      <c r="V2039" s="99"/>
      <c r="W2039" s="240"/>
      <c r="X2039" s="240"/>
      <c r="Y2039" s="240"/>
      <c r="AB2039" s="192"/>
      <c r="AC2039" s="312"/>
      <c r="AD2039" s="312"/>
      <c r="AE2039" s="312"/>
      <c r="AF2039" s="312"/>
      <c r="AG2039" s="312"/>
      <c r="AH2039" s="192"/>
      <c r="AI2039" s="192"/>
      <c r="AJ2039" s="194"/>
      <c r="AK2039" s="194"/>
      <c r="AL2039" s="194"/>
      <c r="AM2039" s="194"/>
      <c r="AN2039" s="194"/>
      <c r="AO2039" s="194"/>
      <c r="AP2039" s="194"/>
      <c r="AQ2039" s="194"/>
      <c r="AR2039" s="192"/>
      <c r="AS2039" s="192"/>
      <c r="AT2039" s="192"/>
      <c r="AU2039" s="192"/>
      <c r="AV2039" s="192"/>
      <c r="AW2039" s="192"/>
    </row>
    <row r="2040" spans="1:49" ht="15" customHeight="1">
      <c r="A2040" s="297"/>
      <c r="B2040" s="217"/>
      <c r="C2040" s="217"/>
      <c r="D2040" s="101"/>
      <c r="E2040" s="101"/>
      <c r="F2040" s="185"/>
      <c r="G2040" s="295"/>
      <c r="H2040" s="295"/>
      <c r="I2040" s="99"/>
      <c r="J2040" s="99"/>
      <c r="K2040" s="99"/>
      <c r="L2040" s="99"/>
      <c r="M2040" s="99"/>
      <c r="N2040" s="99"/>
      <c r="O2040" s="99"/>
      <c r="P2040" s="99"/>
      <c r="Q2040" s="99"/>
      <c r="R2040" s="99"/>
      <c r="S2040" s="99"/>
      <c r="T2040" s="99"/>
      <c r="U2040" s="99"/>
      <c r="V2040" s="99"/>
      <c r="W2040" s="240"/>
      <c r="X2040" s="240"/>
      <c r="Y2040" s="240"/>
      <c r="AB2040" s="192"/>
      <c r="AC2040" s="312"/>
      <c r="AD2040" s="312"/>
      <c r="AE2040" s="312"/>
      <c r="AF2040" s="312"/>
      <c r="AG2040" s="312"/>
      <c r="AH2040" s="192"/>
      <c r="AI2040" s="192"/>
      <c r="AJ2040" s="194"/>
      <c r="AK2040" s="194"/>
      <c r="AL2040" s="194"/>
      <c r="AM2040" s="194"/>
      <c r="AN2040" s="194"/>
      <c r="AO2040" s="194"/>
      <c r="AP2040" s="194"/>
      <c r="AQ2040" s="194"/>
      <c r="AR2040" s="192"/>
      <c r="AS2040" s="192"/>
      <c r="AT2040" s="192"/>
      <c r="AU2040" s="192"/>
      <c r="AV2040" s="192"/>
      <c r="AW2040" s="192"/>
    </row>
    <row r="2041" spans="1:49" ht="15" customHeight="1">
      <c r="A2041" s="297"/>
      <c r="B2041" s="217"/>
      <c r="C2041" s="217"/>
      <c r="D2041" s="101"/>
      <c r="E2041" s="101"/>
      <c r="F2041" s="185"/>
      <c r="G2041" s="295"/>
      <c r="H2041" s="295"/>
      <c r="I2041" s="99"/>
      <c r="J2041" s="99"/>
      <c r="K2041" s="99"/>
      <c r="L2041" s="99"/>
      <c r="M2041" s="99"/>
      <c r="N2041" s="99"/>
      <c r="O2041" s="99"/>
      <c r="P2041" s="99"/>
      <c r="Q2041" s="99"/>
      <c r="R2041" s="99"/>
      <c r="S2041" s="99"/>
      <c r="T2041" s="99"/>
      <c r="U2041" s="99"/>
      <c r="V2041" s="99"/>
      <c r="W2041" s="240"/>
      <c r="X2041" s="240"/>
      <c r="Y2041" s="240"/>
      <c r="AB2041" s="192"/>
      <c r="AC2041" s="314"/>
      <c r="AD2041" s="314"/>
      <c r="AE2041" s="314"/>
      <c r="AF2041" s="314"/>
      <c r="AG2041" s="314"/>
      <c r="AH2041" s="192"/>
      <c r="AI2041" s="192"/>
      <c r="AJ2041" s="314"/>
      <c r="AK2041" s="314"/>
      <c r="AL2041" s="314"/>
      <c r="AM2041" s="314"/>
      <c r="AN2041" s="314"/>
      <c r="AO2041" s="314"/>
      <c r="AP2041" s="314"/>
      <c r="AQ2041" s="314"/>
      <c r="AR2041" s="192"/>
      <c r="AS2041" s="192"/>
      <c r="AT2041" s="192"/>
      <c r="AU2041" s="192"/>
      <c r="AV2041" s="192"/>
      <c r="AW2041" s="192"/>
    </row>
    <row r="2042" spans="1:49" ht="15" customHeight="1">
      <c r="A2042" s="297"/>
      <c r="B2042" s="217"/>
      <c r="C2042" s="217"/>
      <c r="D2042" s="101"/>
      <c r="E2042" s="101"/>
      <c r="F2042" s="185"/>
      <c r="G2042" s="295"/>
      <c r="H2042" s="295"/>
      <c r="I2042" s="99"/>
      <c r="J2042" s="99"/>
      <c r="K2042" s="99"/>
      <c r="L2042" s="99"/>
      <c r="M2042" s="99"/>
      <c r="N2042" s="99"/>
      <c r="O2042" s="99"/>
      <c r="P2042" s="99"/>
      <c r="Q2042" s="99"/>
      <c r="R2042" s="99"/>
      <c r="S2042" s="99"/>
      <c r="T2042" s="99"/>
      <c r="U2042" s="99"/>
      <c r="V2042" s="99"/>
      <c r="W2042" s="240"/>
      <c r="X2042" s="240"/>
      <c r="Y2042" s="240"/>
      <c r="AB2042" s="192"/>
      <c r="AC2042" s="317"/>
      <c r="AD2042" s="317"/>
      <c r="AE2042" s="317"/>
      <c r="AF2042" s="317"/>
      <c r="AG2042" s="317"/>
      <c r="AH2042" s="192"/>
      <c r="AI2042" s="192"/>
      <c r="AJ2042" s="317"/>
      <c r="AK2042" s="317"/>
      <c r="AL2042" s="317"/>
      <c r="AM2042" s="317"/>
      <c r="AN2042" s="317"/>
      <c r="AO2042" s="317"/>
      <c r="AP2042" s="317"/>
      <c r="AQ2042" s="317"/>
      <c r="AR2042" s="192"/>
      <c r="AS2042" s="192"/>
      <c r="AT2042" s="192"/>
      <c r="AU2042" s="192"/>
      <c r="AV2042" s="192"/>
      <c r="AW2042" s="192"/>
    </row>
    <row r="2043" spans="1:49" ht="15" customHeight="1">
      <c r="A2043" s="297"/>
      <c r="B2043" s="217"/>
      <c r="C2043" s="217"/>
      <c r="D2043" s="101"/>
      <c r="E2043" s="101"/>
      <c r="F2043" s="185"/>
      <c r="G2043" s="295"/>
      <c r="H2043" s="295"/>
      <c r="I2043" s="99"/>
      <c r="J2043" s="99"/>
      <c r="K2043" s="99"/>
      <c r="L2043" s="99"/>
      <c r="M2043" s="99"/>
      <c r="N2043" s="99"/>
      <c r="O2043" s="99"/>
      <c r="P2043" s="99"/>
      <c r="Q2043" s="99"/>
      <c r="R2043" s="99"/>
      <c r="S2043" s="99"/>
      <c r="T2043" s="99"/>
      <c r="U2043" s="99"/>
      <c r="V2043" s="99"/>
      <c r="W2043" s="240"/>
      <c r="X2043" s="240"/>
      <c r="Y2043" s="240"/>
      <c r="AB2043" s="192"/>
      <c r="AC2043" s="312"/>
      <c r="AD2043" s="312"/>
      <c r="AE2043" s="312"/>
      <c r="AF2043" s="312"/>
      <c r="AG2043" s="312"/>
      <c r="AH2043" s="192"/>
      <c r="AI2043" s="192"/>
      <c r="AJ2043" s="194"/>
      <c r="AK2043" s="194"/>
      <c r="AL2043" s="194"/>
      <c r="AM2043" s="194"/>
      <c r="AN2043" s="194"/>
      <c r="AO2043" s="194"/>
      <c r="AP2043" s="194"/>
      <c r="AQ2043" s="194"/>
      <c r="AR2043" s="192"/>
      <c r="AS2043" s="192"/>
      <c r="AT2043" s="192"/>
      <c r="AU2043" s="192"/>
      <c r="AV2043" s="192"/>
      <c r="AW2043" s="192"/>
    </row>
    <row r="2044" spans="1:49" ht="15" customHeight="1">
      <c r="A2044" s="297"/>
      <c r="B2044" s="217"/>
      <c r="C2044" s="217"/>
      <c r="D2044" s="101"/>
      <c r="E2044" s="101"/>
      <c r="F2044" s="185"/>
      <c r="G2044" s="295"/>
      <c r="H2044" s="295"/>
      <c r="I2044" s="99"/>
      <c r="J2044" s="99"/>
      <c r="K2044" s="99"/>
      <c r="L2044" s="99"/>
      <c r="M2044" s="99"/>
      <c r="N2044" s="99"/>
      <c r="O2044" s="99"/>
      <c r="P2044" s="99"/>
      <c r="Q2044" s="99"/>
      <c r="R2044" s="99"/>
      <c r="S2044" s="99"/>
      <c r="T2044" s="99"/>
      <c r="U2044" s="99"/>
      <c r="V2044" s="99"/>
      <c r="W2044" s="240"/>
      <c r="X2044" s="240"/>
      <c r="Y2044" s="240"/>
      <c r="AB2044" s="192"/>
      <c r="AC2044" s="312"/>
      <c r="AD2044" s="312"/>
      <c r="AE2044" s="312"/>
      <c r="AF2044" s="312"/>
      <c r="AG2044" s="312"/>
      <c r="AH2044" s="192"/>
      <c r="AI2044" s="192"/>
      <c r="AJ2044" s="194"/>
      <c r="AK2044" s="194"/>
      <c r="AL2044" s="194"/>
      <c r="AM2044" s="194"/>
      <c r="AN2044" s="194"/>
      <c r="AO2044" s="194"/>
      <c r="AP2044" s="194"/>
      <c r="AQ2044" s="194"/>
      <c r="AR2044" s="192"/>
      <c r="AS2044" s="192"/>
      <c r="AT2044" s="192"/>
      <c r="AU2044" s="192"/>
      <c r="AV2044" s="192"/>
      <c r="AW2044" s="192"/>
    </row>
    <row r="2045" spans="1:49" ht="15" customHeight="1">
      <c r="A2045" s="297"/>
      <c r="B2045" s="217"/>
      <c r="C2045" s="217"/>
      <c r="D2045" s="101"/>
      <c r="E2045" s="101"/>
      <c r="F2045" s="185"/>
      <c r="G2045" s="295"/>
      <c r="H2045" s="295"/>
      <c r="I2045" s="99"/>
      <c r="J2045" s="99"/>
      <c r="K2045" s="99"/>
      <c r="L2045" s="99"/>
      <c r="M2045" s="99"/>
      <c r="N2045" s="99"/>
      <c r="O2045" s="99"/>
      <c r="P2045" s="99"/>
      <c r="Q2045" s="99"/>
      <c r="R2045" s="99"/>
      <c r="S2045" s="99"/>
      <c r="T2045" s="99"/>
      <c r="U2045" s="99"/>
      <c r="V2045" s="99"/>
      <c r="W2045" s="240"/>
      <c r="X2045" s="240"/>
      <c r="Y2045" s="240"/>
      <c r="AB2045" s="192"/>
      <c r="AC2045" s="199"/>
      <c r="AD2045" s="199"/>
      <c r="AE2045" s="199"/>
      <c r="AF2045" s="199"/>
      <c r="AG2045" s="199"/>
      <c r="AH2045" s="192"/>
      <c r="AI2045" s="192"/>
      <c r="AJ2045" s="199"/>
      <c r="AK2045" s="199"/>
      <c r="AL2045" s="199"/>
      <c r="AM2045" s="199"/>
      <c r="AN2045" s="199"/>
      <c r="AO2045" s="199"/>
      <c r="AP2045" s="199"/>
      <c r="AQ2045" s="199"/>
      <c r="AR2045" s="192"/>
      <c r="AS2045" s="192"/>
      <c r="AT2045" s="192"/>
      <c r="AU2045" s="192"/>
      <c r="AV2045" s="192"/>
      <c r="AW2045" s="192"/>
    </row>
    <row r="2046" spans="1:49" ht="15" customHeight="1">
      <c r="A2046" s="297"/>
      <c r="B2046" s="217"/>
      <c r="C2046" s="217"/>
      <c r="D2046" s="101"/>
      <c r="E2046" s="101"/>
      <c r="F2046" s="185"/>
      <c r="G2046" s="295"/>
      <c r="H2046" s="295"/>
      <c r="I2046" s="99"/>
      <c r="J2046" s="99"/>
      <c r="K2046" s="99"/>
      <c r="L2046" s="99"/>
      <c r="M2046" s="99"/>
      <c r="N2046" s="99"/>
      <c r="O2046" s="99"/>
      <c r="P2046" s="99"/>
      <c r="Q2046" s="99"/>
      <c r="R2046" s="99"/>
      <c r="S2046" s="99"/>
      <c r="T2046" s="99"/>
      <c r="U2046" s="99"/>
      <c r="V2046" s="99"/>
      <c r="W2046" s="240"/>
      <c r="X2046" s="240"/>
      <c r="Y2046" s="240"/>
      <c r="AB2046" s="192"/>
      <c r="AC2046" s="317"/>
      <c r="AD2046" s="317"/>
      <c r="AE2046" s="317"/>
      <c r="AF2046" s="317"/>
      <c r="AG2046" s="317"/>
      <c r="AH2046" s="192"/>
      <c r="AI2046" s="192"/>
      <c r="AJ2046" s="317"/>
      <c r="AK2046" s="317"/>
      <c r="AL2046" s="317"/>
      <c r="AM2046" s="317"/>
      <c r="AN2046" s="317"/>
      <c r="AO2046" s="317"/>
      <c r="AP2046" s="317"/>
      <c r="AQ2046" s="317"/>
      <c r="AR2046" s="192"/>
      <c r="AS2046" s="192"/>
      <c r="AT2046" s="192"/>
      <c r="AU2046" s="192"/>
      <c r="AV2046" s="192"/>
      <c r="AW2046" s="192"/>
    </row>
    <row r="2047" spans="1:49" ht="15" customHeight="1">
      <c r="A2047" s="297"/>
      <c r="B2047" s="217"/>
      <c r="C2047" s="217"/>
      <c r="D2047" s="101"/>
      <c r="E2047" s="101"/>
      <c r="F2047" s="185"/>
      <c r="G2047" s="295"/>
      <c r="H2047" s="295"/>
      <c r="I2047" s="99"/>
      <c r="J2047" s="99"/>
      <c r="K2047" s="99"/>
      <c r="L2047" s="99"/>
      <c r="M2047" s="99"/>
      <c r="N2047" s="99"/>
      <c r="O2047" s="99"/>
      <c r="P2047" s="99"/>
      <c r="Q2047" s="99"/>
      <c r="R2047" s="99"/>
      <c r="S2047" s="99"/>
      <c r="T2047" s="99"/>
      <c r="U2047" s="99"/>
      <c r="V2047" s="99"/>
      <c r="W2047" s="240"/>
      <c r="X2047" s="240"/>
      <c r="Y2047" s="240"/>
      <c r="AB2047" s="192"/>
      <c r="AC2047" s="312"/>
      <c r="AD2047" s="312"/>
      <c r="AE2047" s="312"/>
      <c r="AF2047" s="312"/>
      <c r="AG2047" s="312"/>
      <c r="AH2047" s="192"/>
      <c r="AI2047" s="192"/>
      <c r="AJ2047" s="194"/>
      <c r="AK2047" s="194"/>
      <c r="AL2047" s="194"/>
      <c r="AM2047" s="194"/>
      <c r="AN2047" s="194"/>
      <c r="AO2047" s="194"/>
      <c r="AP2047" s="194"/>
      <c r="AQ2047" s="194"/>
      <c r="AR2047" s="192"/>
      <c r="AS2047" s="192"/>
      <c r="AT2047" s="192"/>
      <c r="AU2047" s="192"/>
      <c r="AV2047" s="192"/>
      <c r="AW2047" s="192"/>
    </row>
    <row r="2048" spans="1:49" ht="15" customHeight="1">
      <c r="A2048" s="297"/>
      <c r="B2048" s="217"/>
      <c r="C2048" s="217"/>
      <c r="D2048" s="101"/>
      <c r="E2048" s="101"/>
      <c r="F2048" s="185"/>
      <c r="G2048" s="295"/>
      <c r="H2048" s="295"/>
      <c r="I2048" s="99"/>
      <c r="J2048" s="99"/>
      <c r="K2048" s="99"/>
      <c r="L2048" s="99"/>
      <c r="M2048" s="99"/>
      <c r="N2048" s="99"/>
      <c r="O2048" s="99"/>
      <c r="P2048" s="99"/>
      <c r="Q2048" s="99"/>
      <c r="R2048" s="99"/>
      <c r="S2048" s="99"/>
      <c r="T2048" s="99"/>
      <c r="U2048" s="99"/>
      <c r="V2048" s="99"/>
      <c r="W2048" s="240"/>
      <c r="X2048" s="240"/>
      <c r="Y2048" s="240"/>
      <c r="AB2048" s="192"/>
      <c r="AC2048" s="312"/>
      <c r="AD2048" s="312"/>
      <c r="AE2048" s="312"/>
      <c r="AF2048" s="312"/>
      <c r="AG2048" s="312"/>
      <c r="AH2048" s="192"/>
      <c r="AI2048" s="192"/>
      <c r="AJ2048" s="194"/>
      <c r="AK2048" s="194"/>
      <c r="AL2048" s="194"/>
      <c r="AM2048" s="194"/>
      <c r="AN2048" s="194"/>
      <c r="AO2048" s="194"/>
      <c r="AP2048" s="194"/>
      <c r="AQ2048" s="194"/>
      <c r="AR2048" s="192"/>
      <c r="AS2048" s="192"/>
      <c r="AT2048" s="192"/>
      <c r="AU2048" s="192"/>
      <c r="AV2048" s="192"/>
      <c r="AW2048" s="192"/>
    </row>
    <row r="2049" spans="1:49" ht="15" customHeight="1">
      <c r="A2049" s="297"/>
      <c r="B2049" s="217"/>
      <c r="C2049" s="217"/>
      <c r="D2049" s="101"/>
      <c r="E2049" s="101"/>
      <c r="F2049" s="185"/>
      <c r="G2049" s="295"/>
      <c r="H2049" s="295"/>
      <c r="I2049" s="99"/>
      <c r="J2049" s="99"/>
      <c r="K2049" s="99"/>
      <c r="L2049" s="99"/>
      <c r="M2049" s="99"/>
      <c r="N2049" s="99"/>
      <c r="O2049" s="99"/>
      <c r="P2049" s="99"/>
      <c r="Q2049" s="99"/>
      <c r="R2049" s="99"/>
      <c r="S2049" s="99"/>
      <c r="T2049" s="99"/>
      <c r="U2049" s="99"/>
      <c r="V2049" s="99"/>
      <c r="W2049" s="240"/>
      <c r="X2049" s="240"/>
      <c r="Y2049" s="240"/>
      <c r="AB2049" s="192"/>
      <c r="AC2049" s="312"/>
      <c r="AD2049" s="312"/>
      <c r="AE2049" s="312"/>
      <c r="AF2049" s="312"/>
      <c r="AG2049" s="312"/>
      <c r="AH2049" s="192"/>
      <c r="AI2049" s="192"/>
      <c r="AJ2049" s="194"/>
      <c r="AK2049" s="194"/>
      <c r="AL2049" s="194"/>
      <c r="AM2049" s="194"/>
      <c r="AN2049" s="194"/>
      <c r="AO2049" s="194"/>
      <c r="AP2049" s="194"/>
      <c r="AQ2049" s="194"/>
      <c r="AR2049" s="192"/>
      <c r="AS2049" s="192"/>
      <c r="AT2049" s="192"/>
      <c r="AU2049" s="192"/>
      <c r="AV2049" s="192"/>
      <c r="AW2049" s="192"/>
    </row>
    <row r="2050" spans="1:49" ht="15" customHeight="1">
      <c r="A2050" s="297"/>
      <c r="B2050" s="217"/>
      <c r="C2050" s="217"/>
      <c r="D2050" s="101"/>
      <c r="E2050" s="101"/>
      <c r="F2050" s="185"/>
      <c r="G2050" s="295"/>
      <c r="H2050" s="295"/>
      <c r="I2050" s="99"/>
      <c r="J2050" s="99"/>
      <c r="K2050" s="99"/>
      <c r="L2050" s="99"/>
      <c r="M2050" s="99"/>
      <c r="N2050" s="99"/>
      <c r="O2050" s="99"/>
      <c r="P2050" s="99"/>
      <c r="Q2050" s="99"/>
      <c r="R2050" s="99"/>
      <c r="S2050" s="99"/>
      <c r="T2050" s="99"/>
      <c r="U2050" s="99"/>
      <c r="V2050" s="99"/>
      <c r="W2050" s="240"/>
      <c r="X2050" s="240"/>
      <c r="Y2050" s="240"/>
      <c r="AB2050" s="192"/>
      <c r="AC2050" s="312"/>
      <c r="AD2050" s="312"/>
      <c r="AE2050" s="312"/>
      <c r="AF2050" s="312"/>
      <c r="AG2050" s="312"/>
      <c r="AH2050" s="192"/>
      <c r="AI2050" s="192"/>
      <c r="AJ2050" s="194"/>
      <c r="AK2050" s="194"/>
      <c r="AL2050" s="194"/>
      <c r="AM2050" s="194"/>
      <c r="AN2050" s="194"/>
      <c r="AO2050" s="194"/>
      <c r="AP2050" s="194"/>
      <c r="AQ2050" s="194"/>
      <c r="AR2050" s="192"/>
      <c r="AS2050" s="192"/>
      <c r="AT2050" s="192"/>
      <c r="AU2050" s="192"/>
      <c r="AV2050" s="192"/>
      <c r="AW2050" s="192"/>
    </row>
    <row r="2051" spans="1:49" ht="15" customHeight="1">
      <c r="A2051" s="297"/>
      <c r="B2051" s="217"/>
      <c r="C2051" s="217"/>
      <c r="D2051" s="101"/>
      <c r="E2051" s="101"/>
      <c r="F2051" s="185"/>
      <c r="G2051" s="295"/>
      <c r="H2051" s="295"/>
      <c r="I2051" s="99"/>
      <c r="J2051" s="99"/>
      <c r="K2051" s="99"/>
      <c r="L2051" s="99"/>
      <c r="M2051" s="99"/>
      <c r="N2051" s="99"/>
      <c r="O2051" s="99"/>
      <c r="P2051" s="99"/>
      <c r="Q2051" s="99"/>
      <c r="R2051" s="99"/>
      <c r="S2051" s="99"/>
      <c r="T2051" s="99"/>
      <c r="U2051" s="99"/>
      <c r="V2051" s="99"/>
      <c r="W2051" s="240"/>
      <c r="X2051" s="240"/>
      <c r="Y2051" s="240"/>
      <c r="AB2051" s="192"/>
      <c r="AC2051" s="312"/>
      <c r="AD2051" s="312"/>
      <c r="AE2051" s="312"/>
      <c r="AF2051" s="312"/>
      <c r="AG2051" s="312"/>
      <c r="AH2051" s="192"/>
      <c r="AI2051" s="192"/>
      <c r="AJ2051" s="194"/>
      <c r="AK2051" s="194"/>
      <c r="AL2051" s="194"/>
      <c r="AM2051" s="194"/>
      <c r="AN2051" s="194"/>
      <c r="AO2051" s="194"/>
      <c r="AP2051" s="194"/>
      <c r="AQ2051" s="194"/>
      <c r="AR2051" s="192"/>
      <c r="AS2051" s="192"/>
      <c r="AT2051" s="192"/>
      <c r="AU2051" s="192"/>
      <c r="AV2051" s="192"/>
      <c r="AW2051" s="192"/>
    </row>
    <row r="2052" spans="1:49" ht="15" customHeight="1">
      <c r="A2052" s="297"/>
      <c r="B2052" s="217"/>
      <c r="C2052" s="217"/>
      <c r="D2052" s="101"/>
      <c r="E2052" s="101"/>
      <c r="F2052" s="185"/>
      <c r="G2052" s="295"/>
      <c r="H2052" s="295"/>
      <c r="I2052" s="99"/>
      <c r="J2052" s="99"/>
      <c r="K2052" s="99"/>
      <c r="L2052" s="99"/>
      <c r="M2052" s="99"/>
      <c r="N2052" s="99"/>
      <c r="O2052" s="99"/>
      <c r="P2052" s="99"/>
      <c r="Q2052" s="99"/>
      <c r="R2052" s="99"/>
      <c r="S2052" s="99"/>
      <c r="T2052" s="99"/>
      <c r="U2052" s="99"/>
      <c r="V2052" s="99"/>
      <c r="W2052" s="240"/>
      <c r="X2052" s="240"/>
      <c r="Y2052" s="240"/>
      <c r="AB2052" s="192"/>
      <c r="AC2052" s="199"/>
      <c r="AD2052" s="199"/>
      <c r="AE2052" s="199"/>
      <c r="AF2052" s="199"/>
      <c r="AG2052" s="199"/>
      <c r="AH2052" s="192"/>
      <c r="AI2052" s="192"/>
      <c r="AJ2052" s="199"/>
      <c r="AK2052" s="199"/>
      <c r="AL2052" s="199"/>
      <c r="AM2052" s="199"/>
      <c r="AN2052" s="199"/>
      <c r="AO2052" s="199"/>
      <c r="AP2052" s="199"/>
      <c r="AQ2052" s="199"/>
      <c r="AR2052" s="192"/>
      <c r="AS2052" s="192"/>
      <c r="AT2052" s="192"/>
      <c r="AU2052" s="192"/>
      <c r="AV2052" s="192"/>
      <c r="AW2052" s="192"/>
    </row>
    <row r="2053" spans="1:49" ht="15" customHeight="1">
      <c r="A2053" s="297"/>
      <c r="B2053" s="217"/>
      <c r="C2053" s="217"/>
      <c r="D2053" s="101"/>
      <c r="E2053" s="101"/>
      <c r="F2053" s="185"/>
      <c r="G2053" s="295"/>
      <c r="H2053" s="295"/>
      <c r="I2053" s="99"/>
      <c r="J2053" s="99"/>
      <c r="K2053" s="99"/>
      <c r="L2053" s="99"/>
      <c r="M2053" s="99"/>
      <c r="N2053" s="99"/>
      <c r="O2053" s="99"/>
      <c r="P2053" s="99"/>
      <c r="Q2053" s="99"/>
      <c r="R2053" s="99"/>
      <c r="S2053" s="99"/>
      <c r="T2053" s="99"/>
      <c r="U2053" s="99"/>
      <c r="V2053" s="99"/>
      <c r="W2053" s="240"/>
      <c r="X2053" s="240"/>
      <c r="Y2053" s="240"/>
      <c r="AB2053" s="192"/>
      <c r="AC2053" s="317"/>
      <c r="AD2053" s="317"/>
      <c r="AE2053" s="317"/>
      <c r="AF2053" s="317"/>
      <c r="AG2053" s="317"/>
      <c r="AH2053" s="192"/>
      <c r="AI2053" s="192"/>
      <c r="AJ2053" s="317"/>
      <c r="AK2053" s="317"/>
      <c r="AL2053" s="317"/>
      <c r="AM2053" s="317"/>
      <c r="AN2053" s="317"/>
      <c r="AO2053" s="317"/>
      <c r="AP2053" s="317"/>
      <c r="AQ2053" s="317"/>
      <c r="AR2053" s="192"/>
      <c r="AS2053" s="192"/>
      <c r="AT2053" s="192"/>
      <c r="AU2053" s="192"/>
      <c r="AV2053" s="192"/>
      <c r="AW2053" s="192"/>
    </row>
    <row r="2054" spans="1:49" ht="15" customHeight="1">
      <c r="A2054" s="297"/>
      <c r="B2054" s="217"/>
      <c r="C2054" s="217"/>
      <c r="D2054" s="101"/>
      <c r="E2054" s="101"/>
      <c r="F2054" s="185"/>
      <c r="G2054" s="295"/>
      <c r="H2054" s="295"/>
      <c r="I2054" s="99"/>
      <c r="J2054" s="99"/>
      <c r="K2054" s="99"/>
      <c r="L2054" s="99"/>
      <c r="M2054" s="99"/>
      <c r="N2054" s="99"/>
      <c r="O2054" s="99"/>
      <c r="P2054" s="99"/>
      <c r="Q2054" s="99"/>
      <c r="R2054" s="99"/>
      <c r="S2054" s="99"/>
      <c r="T2054" s="99"/>
      <c r="U2054" s="99"/>
      <c r="V2054" s="99"/>
      <c r="W2054" s="240"/>
      <c r="X2054" s="240"/>
      <c r="Y2054" s="240"/>
      <c r="AB2054" s="192"/>
      <c r="AC2054" s="312"/>
      <c r="AD2054" s="312"/>
      <c r="AE2054" s="312"/>
      <c r="AF2054" s="312"/>
      <c r="AG2054" s="312"/>
      <c r="AH2054" s="192"/>
      <c r="AI2054" s="192"/>
      <c r="AJ2054" s="194"/>
      <c r="AK2054" s="194"/>
      <c r="AL2054" s="194"/>
      <c r="AM2054" s="194"/>
      <c r="AN2054" s="194"/>
      <c r="AO2054" s="194"/>
      <c r="AP2054" s="194"/>
      <c r="AQ2054" s="194"/>
      <c r="AR2054" s="192"/>
      <c r="AS2054" s="192"/>
      <c r="AT2054" s="192"/>
      <c r="AU2054" s="192"/>
      <c r="AV2054" s="192"/>
      <c r="AW2054" s="192"/>
    </row>
    <row r="2055" spans="1:49" ht="15" customHeight="1">
      <c r="A2055" s="297"/>
      <c r="B2055" s="217"/>
      <c r="C2055" s="217"/>
      <c r="D2055" s="101"/>
      <c r="E2055" s="101"/>
      <c r="F2055" s="185"/>
      <c r="G2055" s="295"/>
      <c r="H2055" s="295"/>
      <c r="I2055" s="99"/>
      <c r="J2055" s="99"/>
      <c r="K2055" s="99"/>
      <c r="L2055" s="99"/>
      <c r="M2055" s="99"/>
      <c r="N2055" s="99"/>
      <c r="O2055" s="99"/>
      <c r="P2055" s="99"/>
      <c r="Q2055" s="99"/>
      <c r="R2055" s="99"/>
      <c r="S2055" s="99"/>
      <c r="T2055" s="99"/>
      <c r="U2055" s="99"/>
      <c r="V2055" s="99"/>
      <c r="W2055" s="240"/>
      <c r="X2055" s="240"/>
      <c r="Y2055" s="240"/>
      <c r="AB2055" s="192"/>
      <c r="AC2055" s="312"/>
      <c r="AD2055" s="312"/>
      <c r="AE2055" s="312"/>
      <c r="AF2055" s="312"/>
      <c r="AG2055" s="312"/>
      <c r="AH2055" s="192"/>
      <c r="AI2055" s="192"/>
      <c r="AJ2055" s="194"/>
      <c r="AK2055" s="194"/>
      <c r="AL2055" s="194"/>
      <c r="AM2055" s="194"/>
      <c r="AN2055" s="194"/>
      <c r="AO2055" s="194"/>
      <c r="AP2055" s="194"/>
      <c r="AQ2055" s="194"/>
      <c r="AR2055" s="192"/>
      <c r="AS2055" s="192"/>
      <c r="AT2055" s="192"/>
      <c r="AU2055" s="192"/>
      <c r="AV2055" s="192"/>
      <c r="AW2055" s="192"/>
    </row>
    <row r="2056" spans="1:49" ht="15" customHeight="1">
      <c r="A2056" s="297"/>
      <c r="B2056" s="217"/>
      <c r="C2056" s="217"/>
      <c r="D2056" s="101"/>
      <c r="E2056" s="101"/>
      <c r="F2056" s="185"/>
      <c r="G2056" s="295"/>
      <c r="H2056" s="295"/>
      <c r="I2056" s="99"/>
      <c r="J2056" s="99"/>
      <c r="K2056" s="99"/>
      <c r="L2056" s="99"/>
      <c r="M2056" s="99"/>
      <c r="N2056" s="99"/>
      <c r="O2056" s="99"/>
      <c r="P2056" s="99"/>
      <c r="Q2056" s="99"/>
      <c r="R2056" s="99"/>
      <c r="S2056" s="99"/>
      <c r="T2056" s="99"/>
      <c r="U2056" s="99"/>
      <c r="V2056" s="99"/>
      <c r="W2056" s="240"/>
      <c r="X2056" s="240"/>
      <c r="Y2056" s="240"/>
      <c r="AB2056" s="192"/>
      <c r="AC2056" s="312"/>
      <c r="AD2056" s="312"/>
      <c r="AE2056" s="312"/>
      <c r="AF2056" s="312"/>
      <c r="AG2056" s="312"/>
      <c r="AH2056" s="192"/>
      <c r="AI2056" s="192"/>
      <c r="AJ2056" s="194"/>
      <c r="AK2056" s="194"/>
      <c r="AL2056" s="194"/>
      <c r="AM2056" s="194"/>
      <c r="AN2056" s="194"/>
      <c r="AO2056" s="194"/>
      <c r="AP2056" s="194"/>
      <c r="AQ2056" s="194"/>
      <c r="AR2056" s="192"/>
      <c r="AS2056" s="192"/>
      <c r="AT2056" s="192"/>
      <c r="AU2056" s="192"/>
      <c r="AV2056" s="192"/>
      <c r="AW2056" s="192"/>
    </row>
    <row r="2057" spans="1:49" ht="15" customHeight="1">
      <c r="A2057" s="297"/>
      <c r="B2057" s="217"/>
      <c r="C2057" s="217"/>
      <c r="D2057" s="101"/>
      <c r="E2057" s="101"/>
      <c r="F2057" s="185"/>
      <c r="G2057" s="295"/>
      <c r="H2057" s="295"/>
      <c r="I2057" s="99"/>
      <c r="J2057" s="99"/>
      <c r="K2057" s="99"/>
      <c r="L2057" s="99"/>
      <c r="M2057" s="99"/>
      <c r="N2057" s="99"/>
      <c r="O2057" s="99"/>
      <c r="P2057" s="99"/>
      <c r="Q2057" s="99"/>
      <c r="R2057" s="99"/>
      <c r="S2057" s="99"/>
      <c r="T2057" s="99"/>
      <c r="U2057" s="99"/>
      <c r="V2057" s="99"/>
      <c r="W2057" s="240"/>
      <c r="X2057" s="240"/>
      <c r="Y2057" s="240"/>
      <c r="AB2057" s="192"/>
      <c r="AC2057" s="312"/>
      <c r="AD2057" s="312"/>
      <c r="AE2057" s="312"/>
      <c r="AF2057" s="312"/>
      <c r="AG2057" s="312"/>
      <c r="AH2057" s="192"/>
      <c r="AI2057" s="192"/>
      <c r="AJ2057" s="194"/>
      <c r="AK2057" s="194"/>
      <c r="AL2057" s="194"/>
      <c r="AM2057" s="194"/>
      <c r="AN2057" s="194"/>
      <c r="AO2057" s="194"/>
      <c r="AP2057" s="194"/>
      <c r="AQ2057" s="194"/>
      <c r="AR2057" s="192"/>
      <c r="AS2057" s="192"/>
      <c r="AT2057" s="192"/>
      <c r="AU2057" s="192"/>
      <c r="AV2057" s="192"/>
      <c r="AW2057" s="192"/>
    </row>
    <row r="2058" spans="1:49" ht="15" customHeight="1">
      <c r="A2058" s="297"/>
      <c r="B2058" s="217"/>
      <c r="C2058" s="217"/>
      <c r="D2058" s="101"/>
      <c r="E2058" s="101"/>
      <c r="F2058" s="185"/>
      <c r="G2058" s="295"/>
      <c r="H2058" s="295"/>
      <c r="I2058" s="99"/>
      <c r="J2058" s="99"/>
      <c r="K2058" s="99"/>
      <c r="L2058" s="99"/>
      <c r="M2058" s="99"/>
      <c r="N2058" s="99"/>
      <c r="O2058" s="99"/>
      <c r="P2058" s="99"/>
      <c r="Q2058" s="99"/>
      <c r="R2058" s="99"/>
      <c r="S2058" s="99"/>
      <c r="T2058" s="99"/>
      <c r="U2058" s="99"/>
      <c r="V2058" s="99"/>
      <c r="W2058" s="240"/>
      <c r="X2058" s="240"/>
      <c r="Y2058" s="240"/>
      <c r="AB2058" s="192"/>
      <c r="AC2058" s="312"/>
      <c r="AD2058" s="312"/>
      <c r="AE2058" s="312"/>
      <c r="AF2058" s="312"/>
      <c r="AG2058" s="312"/>
      <c r="AH2058" s="192"/>
      <c r="AI2058" s="192"/>
      <c r="AJ2058" s="194"/>
      <c r="AK2058" s="194"/>
      <c r="AL2058" s="194"/>
      <c r="AM2058" s="194"/>
      <c r="AN2058" s="194"/>
      <c r="AO2058" s="194"/>
      <c r="AP2058" s="194"/>
      <c r="AQ2058" s="194"/>
      <c r="AR2058" s="192"/>
      <c r="AS2058" s="192"/>
      <c r="AT2058" s="192"/>
      <c r="AU2058" s="192"/>
      <c r="AV2058" s="192"/>
      <c r="AW2058" s="192"/>
    </row>
    <row r="2059" spans="1:49" ht="15" customHeight="1">
      <c r="A2059" s="297"/>
      <c r="B2059" s="217"/>
      <c r="C2059" s="217"/>
      <c r="D2059" s="101"/>
      <c r="E2059" s="101"/>
      <c r="F2059" s="185"/>
      <c r="G2059" s="295"/>
      <c r="H2059" s="295"/>
      <c r="I2059" s="99"/>
      <c r="J2059" s="99"/>
      <c r="K2059" s="99"/>
      <c r="L2059" s="99"/>
      <c r="M2059" s="99"/>
      <c r="N2059" s="99"/>
      <c r="O2059" s="99"/>
      <c r="P2059" s="99"/>
      <c r="Q2059" s="99"/>
      <c r="R2059" s="99"/>
      <c r="S2059" s="99"/>
      <c r="T2059" s="99"/>
      <c r="U2059" s="99"/>
      <c r="V2059" s="99"/>
      <c r="W2059" s="240"/>
      <c r="X2059" s="240"/>
      <c r="Y2059" s="240"/>
      <c r="AB2059" s="192"/>
      <c r="AC2059" s="312"/>
      <c r="AD2059" s="312"/>
      <c r="AE2059" s="312"/>
      <c r="AF2059" s="312"/>
      <c r="AG2059" s="312"/>
      <c r="AH2059" s="192"/>
      <c r="AI2059" s="192"/>
      <c r="AJ2059" s="194"/>
      <c r="AK2059" s="194"/>
      <c r="AL2059" s="194"/>
      <c r="AM2059" s="194"/>
      <c r="AN2059" s="194"/>
      <c r="AO2059" s="194"/>
      <c r="AP2059" s="194"/>
      <c r="AQ2059" s="194"/>
      <c r="AR2059" s="192"/>
      <c r="AS2059" s="192"/>
      <c r="AT2059" s="192"/>
      <c r="AU2059" s="192"/>
      <c r="AV2059" s="192"/>
      <c r="AW2059" s="192"/>
    </row>
    <row r="2060" spans="1:49" ht="15" customHeight="1">
      <c r="A2060" s="297"/>
      <c r="B2060" s="217"/>
      <c r="C2060" s="217"/>
      <c r="D2060" s="101"/>
      <c r="E2060" s="101"/>
      <c r="F2060" s="185"/>
      <c r="G2060" s="295"/>
      <c r="H2060" s="295"/>
      <c r="I2060" s="99"/>
      <c r="J2060" s="99"/>
      <c r="K2060" s="99"/>
      <c r="L2060" s="99"/>
      <c r="M2060" s="99"/>
      <c r="N2060" s="99"/>
      <c r="O2060" s="99"/>
      <c r="P2060" s="99"/>
      <c r="Q2060" s="99"/>
      <c r="R2060" s="99"/>
      <c r="S2060" s="99"/>
      <c r="T2060" s="99"/>
      <c r="U2060" s="99"/>
      <c r="V2060" s="99"/>
      <c r="W2060" s="240"/>
      <c r="X2060" s="240"/>
      <c r="Y2060" s="240"/>
      <c r="AB2060" s="192"/>
      <c r="AC2060" s="312"/>
      <c r="AD2060" s="312"/>
      <c r="AE2060" s="312"/>
      <c r="AF2060" s="312"/>
      <c r="AG2060" s="312"/>
      <c r="AH2060" s="192"/>
      <c r="AI2060" s="192"/>
      <c r="AJ2060" s="194"/>
      <c r="AK2060" s="194"/>
      <c r="AL2060" s="194"/>
      <c r="AM2060" s="194"/>
      <c r="AN2060" s="194"/>
      <c r="AO2060" s="194"/>
      <c r="AP2060" s="194"/>
      <c r="AQ2060" s="194"/>
      <c r="AR2060" s="192"/>
      <c r="AS2060" s="192"/>
      <c r="AT2060" s="192"/>
      <c r="AU2060" s="192"/>
      <c r="AV2060" s="192"/>
      <c r="AW2060" s="192"/>
    </row>
    <row r="2061" spans="1:49" ht="15" customHeight="1">
      <c r="A2061" s="297"/>
      <c r="B2061" s="217"/>
      <c r="C2061" s="217"/>
      <c r="D2061" s="101"/>
      <c r="E2061" s="101"/>
      <c r="F2061" s="185"/>
      <c r="G2061" s="295"/>
      <c r="H2061" s="295"/>
      <c r="I2061" s="99"/>
      <c r="J2061" s="99"/>
      <c r="K2061" s="99"/>
      <c r="L2061" s="99"/>
      <c r="M2061" s="99"/>
      <c r="N2061" s="99"/>
      <c r="O2061" s="99"/>
      <c r="P2061" s="99"/>
      <c r="Q2061" s="99"/>
      <c r="R2061" s="99"/>
      <c r="S2061" s="99"/>
      <c r="T2061" s="99"/>
      <c r="U2061" s="99"/>
      <c r="V2061" s="99"/>
      <c r="W2061" s="240"/>
      <c r="X2061" s="240"/>
      <c r="Y2061" s="240"/>
      <c r="AB2061" s="192"/>
      <c r="AC2061" s="199"/>
      <c r="AD2061" s="199"/>
      <c r="AE2061" s="199"/>
      <c r="AF2061" s="199"/>
      <c r="AG2061" s="199"/>
      <c r="AH2061" s="192"/>
      <c r="AI2061" s="192"/>
      <c r="AJ2061" s="199"/>
      <c r="AK2061" s="199"/>
      <c r="AL2061" s="199"/>
      <c r="AM2061" s="199"/>
      <c r="AN2061" s="199"/>
      <c r="AO2061" s="199"/>
      <c r="AP2061" s="199"/>
      <c r="AQ2061" s="199"/>
      <c r="AR2061" s="192"/>
      <c r="AS2061" s="192"/>
      <c r="AT2061" s="192"/>
      <c r="AU2061" s="192"/>
      <c r="AV2061" s="192"/>
      <c r="AW2061" s="192"/>
    </row>
    <row r="2062" spans="1:49" ht="15" customHeight="1">
      <c r="A2062" s="297"/>
      <c r="B2062" s="217"/>
      <c r="C2062" s="217"/>
      <c r="D2062" s="101"/>
      <c r="E2062" s="101"/>
      <c r="F2062" s="185"/>
      <c r="G2062" s="295"/>
      <c r="H2062" s="295"/>
      <c r="I2062" s="99"/>
      <c r="J2062" s="99"/>
      <c r="K2062" s="99"/>
      <c r="L2062" s="99"/>
      <c r="M2062" s="99"/>
      <c r="N2062" s="99"/>
      <c r="O2062" s="99"/>
      <c r="P2062" s="99"/>
      <c r="Q2062" s="99"/>
      <c r="R2062" s="99"/>
      <c r="S2062" s="99"/>
      <c r="T2062" s="99"/>
      <c r="U2062" s="99"/>
      <c r="V2062" s="99"/>
      <c r="W2062" s="240"/>
      <c r="X2062" s="240"/>
      <c r="Y2062" s="240"/>
      <c r="AB2062" s="192"/>
      <c r="AC2062" s="317"/>
      <c r="AD2062" s="317"/>
      <c r="AE2062" s="317"/>
      <c r="AF2062" s="317"/>
      <c r="AG2062" s="317"/>
      <c r="AH2062" s="192"/>
      <c r="AI2062" s="192"/>
      <c r="AJ2062" s="317"/>
      <c r="AK2062" s="317"/>
      <c r="AL2062" s="317"/>
      <c r="AM2062" s="317"/>
      <c r="AN2062" s="317"/>
      <c r="AO2062" s="317"/>
      <c r="AP2062" s="317"/>
      <c r="AQ2062" s="317"/>
      <c r="AR2062" s="192"/>
      <c r="AS2062" s="192"/>
      <c r="AT2062" s="192"/>
      <c r="AU2062" s="192"/>
      <c r="AV2062" s="192"/>
      <c r="AW2062" s="192"/>
    </row>
    <row r="2063" spans="1:49" ht="15" customHeight="1">
      <c r="A2063" s="297"/>
      <c r="B2063" s="217"/>
      <c r="C2063" s="217"/>
      <c r="D2063" s="101"/>
      <c r="E2063" s="101"/>
      <c r="F2063" s="185"/>
      <c r="G2063" s="295"/>
      <c r="H2063" s="295"/>
      <c r="I2063" s="99"/>
      <c r="J2063" s="99"/>
      <c r="K2063" s="99"/>
      <c r="L2063" s="99"/>
      <c r="M2063" s="99"/>
      <c r="N2063" s="99"/>
      <c r="O2063" s="99"/>
      <c r="P2063" s="99"/>
      <c r="Q2063" s="99"/>
      <c r="R2063" s="99"/>
      <c r="S2063" s="99"/>
      <c r="T2063" s="99"/>
      <c r="U2063" s="99"/>
      <c r="V2063" s="99"/>
      <c r="W2063" s="240"/>
      <c r="X2063" s="240"/>
      <c r="Y2063" s="240"/>
      <c r="AB2063" s="192"/>
      <c r="AC2063" s="312"/>
      <c r="AD2063" s="312"/>
      <c r="AE2063" s="312"/>
      <c r="AF2063" s="312"/>
      <c r="AG2063" s="312"/>
      <c r="AH2063" s="192"/>
      <c r="AI2063" s="192"/>
      <c r="AJ2063" s="194"/>
      <c r="AK2063" s="194"/>
      <c r="AL2063" s="194"/>
      <c r="AM2063" s="194"/>
      <c r="AN2063" s="194"/>
      <c r="AO2063" s="194"/>
      <c r="AP2063" s="194"/>
      <c r="AQ2063" s="194"/>
      <c r="AR2063" s="192"/>
      <c r="AS2063" s="192"/>
      <c r="AT2063" s="192"/>
      <c r="AU2063" s="192"/>
      <c r="AV2063" s="192"/>
      <c r="AW2063" s="192"/>
    </row>
    <row r="2064" spans="1:49" ht="15" customHeight="1">
      <c r="A2064" s="297"/>
      <c r="B2064" s="217"/>
      <c r="C2064" s="217"/>
      <c r="D2064" s="101"/>
      <c r="E2064" s="101"/>
      <c r="F2064" s="185"/>
      <c r="G2064" s="295"/>
      <c r="H2064" s="295"/>
      <c r="I2064" s="99"/>
      <c r="J2064" s="99"/>
      <c r="K2064" s="99"/>
      <c r="L2064" s="99"/>
      <c r="M2064" s="99"/>
      <c r="N2064" s="99"/>
      <c r="O2064" s="99"/>
      <c r="P2064" s="99"/>
      <c r="Q2064" s="99"/>
      <c r="R2064" s="99"/>
      <c r="S2064" s="99"/>
      <c r="T2064" s="99"/>
      <c r="U2064" s="99"/>
      <c r="V2064" s="99"/>
      <c r="W2064" s="240"/>
      <c r="X2064" s="240"/>
      <c r="Y2064" s="240"/>
      <c r="AB2064" s="192"/>
      <c r="AC2064" s="312"/>
      <c r="AD2064" s="312"/>
      <c r="AE2064" s="312"/>
      <c r="AF2064" s="312"/>
      <c r="AG2064" s="312"/>
      <c r="AH2064" s="192"/>
      <c r="AI2064" s="192"/>
      <c r="AJ2064" s="194"/>
      <c r="AK2064" s="194"/>
      <c r="AL2064" s="194"/>
      <c r="AM2064" s="194"/>
      <c r="AN2064" s="194"/>
      <c r="AO2064" s="194"/>
      <c r="AP2064" s="194"/>
      <c r="AQ2064" s="194"/>
      <c r="AR2064" s="192"/>
      <c r="AS2064" s="192"/>
      <c r="AT2064" s="192"/>
      <c r="AU2064" s="192"/>
      <c r="AV2064" s="192"/>
      <c r="AW2064" s="192"/>
    </row>
    <row r="2065" spans="1:49" ht="15" customHeight="1">
      <c r="A2065" s="297"/>
      <c r="B2065" s="217"/>
      <c r="C2065" s="217"/>
      <c r="D2065" s="101"/>
      <c r="E2065" s="101"/>
      <c r="F2065" s="185"/>
      <c r="G2065" s="295"/>
      <c r="H2065" s="295"/>
      <c r="I2065" s="99"/>
      <c r="J2065" s="99"/>
      <c r="K2065" s="99"/>
      <c r="L2065" s="99"/>
      <c r="M2065" s="99"/>
      <c r="N2065" s="99"/>
      <c r="O2065" s="99"/>
      <c r="P2065" s="99"/>
      <c r="Q2065" s="99"/>
      <c r="R2065" s="99"/>
      <c r="S2065" s="99"/>
      <c r="T2065" s="99"/>
      <c r="U2065" s="99"/>
      <c r="V2065" s="99"/>
      <c r="W2065" s="240"/>
      <c r="X2065" s="240"/>
      <c r="Y2065" s="240"/>
      <c r="AB2065" s="192"/>
      <c r="AC2065" s="312"/>
      <c r="AD2065" s="312"/>
      <c r="AE2065" s="312"/>
      <c r="AF2065" s="312"/>
      <c r="AG2065" s="312"/>
      <c r="AH2065" s="192"/>
      <c r="AI2065" s="192"/>
      <c r="AJ2065" s="194"/>
      <c r="AK2065" s="194"/>
      <c r="AL2065" s="194"/>
      <c r="AM2065" s="194"/>
      <c r="AN2065" s="194"/>
      <c r="AO2065" s="194"/>
      <c r="AP2065" s="194"/>
      <c r="AQ2065" s="194"/>
      <c r="AR2065" s="192"/>
      <c r="AS2065" s="192"/>
      <c r="AT2065" s="192"/>
      <c r="AU2065" s="192"/>
      <c r="AV2065" s="192"/>
      <c r="AW2065" s="192"/>
    </row>
    <row r="2066" spans="1:49" ht="15" customHeight="1">
      <c r="A2066" s="297"/>
      <c r="B2066" s="217"/>
      <c r="C2066" s="217"/>
      <c r="D2066" s="101"/>
      <c r="E2066" s="101"/>
      <c r="F2066" s="185"/>
      <c r="G2066" s="295"/>
      <c r="H2066" s="295"/>
      <c r="I2066" s="99"/>
      <c r="J2066" s="99"/>
      <c r="K2066" s="99"/>
      <c r="L2066" s="99"/>
      <c r="M2066" s="99"/>
      <c r="N2066" s="99"/>
      <c r="O2066" s="99"/>
      <c r="P2066" s="99"/>
      <c r="Q2066" s="99"/>
      <c r="R2066" s="99"/>
      <c r="S2066" s="99"/>
      <c r="T2066" s="99"/>
      <c r="U2066" s="99"/>
      <c r="V2066" s="99"/>
      <c r="W2066" s="240"/>
      <c r="X2066" s="240"/>
      <c r="Y2066" s="240"/>
      <c r="AB2066" s="192"/>
      <c r="AC2066" s="199"/>
      <c r="AD2066" s="199"/>
      <c r="AE2066" s="199"/>
      <c r="AF2066" s="199"/>
      <c r="AG2066" s="199"/>
      <c r="AH2066" s="192"/>
      <c r="AI2066" s="192"/>
      <c r="AJ2066" s="199"/>
      <c r="AK2066" s="199"/>
      <c r="AL2066" s="199"/>
      <c r="AM2066" s="199"/>
      <c r="AN2066" s="199"/>
      <c r="AO2066" s="199"/>
      <c r="AP2066" s="199"/>
      <c r="AQ2066" s="199"/>
      <c r="AR2066" s="192"/>
      <c r="AS2066" s="192"/>
      <c r="AT2066" s="192"/>
      <c r="AU2066" s="192"/>
      <c r="AV2066" s="192"/>
      <c r="AW2066" s="192"/>
    </row>
    <row r="2067" spans="1:49" ht="15" customHeight="1">
      <c r="A2067" s="297"/>
      <c r="B2067" s="217"/>
      <c r="C2067" s="217"/>
      <c r="D2067" s="101"/>
      <c r="E2067" s="101"/>
      <c r="F2067" s="185"/>
      <c r="G2067" s="295"/>
      <c r="H2067" s="295"/>
      <c r="I2067" s="99"/>
      <c r="J2067" s="99"/>
      <c r="K2067" s="99"/>
      <c r="L2067" s="99"/>
      <c r="M2067" s="99"/>
      <c r="N2067" s="99"/>
      <c r="O2067" s="99"/>
      <c r="P2067" s="99"/>
      <c r="Q2067" s="99"/>
      <c r="R2067" s="99"/>
      <c r="S2067" s="99"/>
      <c r="T2067" s="99"/>
      <c r="U2067" s="99"/>
      <c r="V2067" s="99"/>
      <c r="W2067" s="240"/>
      <c r="X2067" s="240"/>
      <c r="Y2067" s="240"/>
      <c r="AB2067" s="192"/>
      <c r="AC2067" s="199"/>
      <c r="AD2067" s="199"/>
      <c r="AE2067" s="199"/>
      <c r="AF2067" s="199"/>
      <c r="AG2067" s="199"/>
      <c r="AH2067" s="192"/>
      <c r="AI2067" s="192"/>
      <c r="AJ2067" s="199"/>
      <c r="AK2067" s="199"/>
      <c r="AL2067" s="199"/>
      <c r="AM2067" s="199"/>
      <c r="AN2067" s="199"/>
      <c r="AO2067" s="199"/>
      <c r="AP2067" s="199"/>
      <c r="AQ2067" s="199"/>
      <c r="AR2067" s="192"/>
      <c r="AS2067" s="192"/>
      <c r="AT2067" s="192"/>
      <c r="AU2067" s="192"/>
      <c r="AV2067" s="192"/>
      <c r="AW2067" s="192"/>
    </row>
    <row r="2068" spans="1:49" ht="15" customHeight="1">
      <c r="A2068" s="297"/>
      <c r="B2068" s="217"/>
      <c r="C2068" s="217"/>
      <c r="D2068" s="101"/>
      <c r="E2068" s="101"/>
      <c r="F2068" s="185"/>
      <c r="G2068" s="295"/>
      <c r="H2068" s="295"/>
      <c r="I2068" s="99"/>
      <c r="J2068" s="99"/>
      <c r="K2068" s="99"/>
      <c r="L2068" s="99"/>
      <c r="M2068" s="99"/>
      <c r="N2068" s="99"/>
      <c r="O2068" s="99"/>
      <c r="P2068" s="99"/>
      <c r="Q2068" s="99"/>
      <c r="R2068" s="99"/>
      <c r="S2068" s="99"/>
      <c r="T2068" s="99"/>
      <c r="U2068" s="99"/>
      <c r="V2068" s="99"/>
      <c r="W2068" s="240"/>
      <c r="X2068" s="240"/>
      <c r="Y2068" s="240"/>
      <c r="AB2068" s="192"/>
      <c r="AC2068" s="317"/>
      <c r="AD2068" s="317"/>
      <c r="AE2068" s="317"/>
      <c r="AF2068" s="317"/>
      <c r="AG2068" s="317"/>
      <c r="AH2068" s="192"/>
      <c r="AI2068" s="192"/>
      <c r="AJ2068" s="317"/>
      <c r="AK2068" s="317"/>
      <c r="AL2068" s="317"/>
      <c r="AM2068" s="317"/>
      <c r="AN2068" s="317"/>
      <c r="AO2068" s="317"/>
      <c r="AP2068" s="317"/>
      <c r="AQ2068" s="317"/>
      <c r="AR2068" s="192"/>
      <c r="AS2068" s="192"/>
      <c r="AT2068" s="192"/>
      <c r="AU2068" s="192"/>
      <c r="AV2068" s="192"/>
      <c r="AW2068" s="192"/>
    </row>
    <row r="2069" spans="1:49" ht="15" customHeight="1">
      <c r="A2069" s="297"/>
      <c r="B2069" s="217"/>
      <c r="C2069" s="217"/>
      <c r="D2069" s="101"/>
      <c r="E2069" s="101"/>
      <c r="F2069" s="185"/>
      <c r="G2069" s="295"/>
      <c r="H2069" s="295"/>
      <c r="I2069" s="99"/>
      <c r="J2069" s="99"/>
      <c r="K2069" s="99"/>
      <c r="L2069" s="99"/>
      <c r="M2069" s="99"/>
      <c r="N2069" s="99"/>
      <c r="O2069" s="99"/>
      <c r="P2069" s="99"/>
      <c r="Q2069" s="99"/>
      <c r="R2069" s="99"/>
      <c r="S2069" s="99"/>
      <c r="T2069" s="99"/>
      <c r="U2069" s="99"/>
      <c r="V2069" s="99"/>
      <c r="W2069" s="240"/>
      <c r="X2069" s="240"/>
      <c r="Y2069" s="240"/>
      <c r="AB2069" s="192"/>
      <c r="AC2069" s="312"/>
      <c r="AD2069" s="312"/>
      <c r="AE2069" s="312"/>
      <c r="AF2069" s="312"/>
      <c r="AG2069" s="312"/>
      <c r="AH2069" s="192"/>
      <c r="AI2069" s="192"/>
      <c r="AJ2069" s="194"/>
      <c r="AK2069" s="194"/>
      <c r="AL2069" s="194"/>
      <c r="AM2069" s="194"/>
      <c r="AN2069" s="194"/>
      <c r="AO2069" s="194"/>
      <c r="AP2069" s="194"/>
      <c r="AQ2069" s="194"/>
      <c r="AR2069" s="192"/>
      <c r="AS2069" s="192"/>
      <c r="AT2069" s="192"/>
      <c r="AU2069" s="192"/>
      <c r="AV2069" s="192"/>
      <c r="AW2069" s="192"/>
    </row>
    <row r="2070" spans="1:49" ht="15" customHeight="1">
      <c r="A2070" s="297"/>
      <c r="B2070" s="217"/>
      <c r="C2070" s="217"/>
      <c r="D2070" s="101"/>
      <c r="E2070" s="101"/>
      <c r="F2070" s="185"/>
      <c r="G2070" s="295"/>
      <c r="H2070" s="295"/>
      <c r="I2070" s="99"/>
      <c r="J2070" s="99"/>
      <c r="K2070" s="99"/>
      <c r="L2070" s="99"/>
      <c r="M2070" s="99"/>
      <c r="N2070" s="99"/>
      <c r="O2070" s="99"/>
      <c r="P2070" s="99"/>
      <c r="Q2070" s="99"/>
      <c r="R2070" s="99"/>
      <c r="S2070" s="99"/>
      <c r="T2070" s="99"/>
      <c r="U2070" s="99"/>
      <c r="V2070" s="99"/>
      <c r="W2070" s="240"/>
      <c r="X2070" s="240"/>
      <c r="Y2070" s="240"/>
      <c r="AB2070" s="192"/>
      <c r="AC2070" s="199"/>
      <c r="AD2070" s="199"/>
      <c r="AE2070" s="199"/>
      <c r="AF2070" s="199"/>
      <c r="AG2070" s="199"/>
      <c r="AH2070" s="192"/>
      <c r="AI2070" s="192"/>
      <c r="AJ2070" s="199"/>
      <c r="AK2070" s="199"/>
      <c r="AL2070" s="199"/>
      <c r="AM2070" s="199"/>
      <c r="AN2070" s="199"/>
      <c r="AO2070" s="199"/>
      <c r="AP2070" s="199"/>
      <c r="AQ2070" s="199"/>
      <c r="AR2070" s="192"/>
      <c r="AS2070" s="192"/>
      <c r="AT2070" s="192"/>
      <c r="AU2070" s="192"/>
      <c r="AV2070" s="192"/>
      <c r="AW2070" s="192"/>
    </row>
    <row r="2071" spans="1:49" ht="15" customHeight="1">
      <c r="A2071" s="297"/>
      <c r="B2071" s="217"/>
      <c r="C2071" s="217"/>
      <c r="D2071" s="101"/>
      <c r="E2071" s="101"/>
      <c r="F2071" s="185"/>
      <c r="G2071" s="295"/>
      <c r="H2071" s="295"/>
      <c r="I2071" s="99"/>
      <c r="J2071" s="99"/>
      <c r="K2071" s="99"/>
      <c r="L2071" s="99"/>
      <c r="M2071" s="99"/>
      <c r="N2071" s="99"/>
      <c r="O2071" s="99"/>
      <c r="P2071" s="99"/>
      <c r="Q2071" s="99"/>
      <c r="R2071" s="99"/>
      <c r="S2071" s="99"/>
      <c r="T2071" s="99"/>
      <c r="U2071" s="99"/>
      <c r="V2071" s="99"/>
      <c r="W2071" s="240"/>
      <c r="X2071" s="240"/>
      <c r="Y2071" s="240"/>
      <c r="AB2071" s="192"/>
      <c r="AC2071" s="199"/>
      <c r="AD2071" s="199"/>
      <c r="AE2071" s="199"/>
      <c r="AF2071" s="199"/>
      <c r="AG2071" s="199"/>
      <c r="AH2071" s="192"/>
      <c r="AI2071" s="192"/>
      <c r="AJ2071" s="199"/>
      <c r="AK2071" s="199"/>
      <c r="AL2071" s="199"/>
      <c r="AM2071" s="199"/>
      <c r="AN2071" s="199"/>
      <c r="AO2071" s="199"/>
      <c r="AP2071" s="199"/>
      <c r="AQ2071" s="199"/>
      <c r="AR2071" s="192"/>
      <c r="AS2071" s="192"/>
      <c r="AT2071" s="192"/>
      <c r="AU2071" s="192"/>
      <c r="AV2071" s="192"/>
      <c r="AW2071" s="192"/>
    </row>
    <row r="2072" spans="1:49" ht="15" customHeight="1">
      <c r="A2072" s="297"/>
      <c r="B2072" s="217"/>
      <c r="C2072" s="217"/>
      <c r="D2072" s="101"/>
      <c r="E2072" s="101"/>
      <c r="F2072" s="185"/>
      <c r="G2072" s="295"/>
      <c r="H2072" s="295"/>
      <c r="I2072" s="99"/>
      <c r="J2072" s="99"/>
      <c r="K2072" s="99"/>
      <c r="L2072" s="99"/>
      <c r="M2072" s="99"/>
      <c r="N2072" s="99"/>
      <c r="O2072" s="99"/>
      <c r="P2072" s="99"/>
      <c r="Q2072" s="99"/>
      <c r="R2072" s="99"/>
      <c r="S2072" s="99"/>
      <c r="T2072" s="99"/>
      <c r="U2072" s="233"/>
      <c r="V2072" s="233"/>
      <c r="W2072" s="240"/>
      <c r="X2072" s="240"/>
      <c r="Y2072" s="240"/>
      <c r="AB2072" s="192"/>
      <c r="AC2072" s="317"/>
      <c r="AD2072" s="317"/>
      <c r="AE2072" s="317"/>
      <c r="AF2072" s="317"/>
      <c r="AG2072" s="317"/>
      <c r="AH2072" s="192"/>
      <c r="AI2072" s="192"/>
      <c r="AJ2072" s="317"/>
      <c r="AK2072" s="317"/>
      <c r="AL2072" s="317"/>
      <c r="AM2072" s="317"/>
      <c r="AN2072" s="317"/>
      <c r="AO2072" s="317"/>
      <c r="AP2072" s="317"/>
      <c r="AQ2072" s="317"/>
      <c r="AR2072" s="192"/>
      <c r="AS2072" s="192"/>
      <c r="AT2072" s="192"/>
      <c r="AU2072" s="192"/>
      <c r="AV2072" s="192"/>
      <c r="AW2072" s="192"/>
    </row>
    <row r="2073" spans="1:49" ht="15" customHeight="1">
      <c r="A2073" s="297"/>
      <c r="B2073" s="217"/>
      <c r="C2073" s="217"/>
      <c r="D2073" s="101"/>
      <c r="E2073" s="101"/>
      <c r="F2073" s="185"/>
      <c r="G2073" s="295"/>
      <c r="H2073" s="295"/>
      <c r="I2073" s="99"/>
      <c r="J2073" s="99"/>
      <c r="K2073" s="99"/>
      <c r="L2073" s="99"/>
      <c r="M2073" s="99"/>
      <c r="N2073" s="99"/>
      <c r="O2073" s="99"/>
      <c r="P2073" s="99"/>
      <c r="Q2073" s="99"/>
      <c r="R2073" s="99"/>
      <c r="S2073" s="99"/>
      <c r="T2073" s="99"/>
      <c r="U2073" s="111"/>
      <c r="V2073" s="111"/>
      <c r="W2073" s="240"/>
      <c r="X2073" s="240"/>
      <c r="Y2073" s="240"/>
      <c r="AB2073" s="192"/>
      <c r="AC2073" s="314"/>
      <c r="AD2073" s="314"/>
      <c r="AE2073" s="314"/>
      <c r="AF2073" s="314"/>
      <c r="AG2073" s="314"/>
      <c r="AH2073" s="192"/>
      <c r="AI2073" s="192"/>
      <c r="AJ2073" s="314"/>
      <c r="AK2073" s="314"/>
      <c r="AL2073" s="314"/>
      <c r="AM2073" s="314"/>
      <c r="AN2073" s="314"/>
      <c r="AO2073" s="314"/>
      <c r="AP2073" s="314"/>
      <c r="AQ2073" s="314"/>
      <c r="AR2073" s="192"/>
      <c r="AS2073" s="192"/>
      <c r="AT2073" s="192"/>
      <c r="AU2073" s="192"/>
      <c r="AV2073" s="192"/>
      <c r="AW2073" s="192"/>
    </row>
    <row r="2074" spans="1:49" ht="15" customHeight="1">
      <c r="A2074" s="297"/>
      <c r="B2074" s="217"/>
      <c r="C2074" s="217"/>
      <c r="D2074" s="101"/>
      <c r="E2074" s="101"/>
      <c r="F2074" s="185"/>
      <c r="G2074" s="295"/>
      <c r="H2074" s="295"/>
      <c r="I2074" s="99"/>
      <c r="J2074" s="99"/>
      <c r="K2074" s="99"/>
      <c r="L2074" s="99"/>
      <c r="M2074" s="99"/>
      <c r="N2074" s="99"/>
      <c r="O2074" s="99"/>
      <c r="P2074" s="99"/>
      <c r="Q2074" s="99"/>
      <c r="R2074" s="99"/>
      <c r="S2074" s="99"/>
      <c r="T2074" s="99"/>
      <c r="U2074" s="99"/>
      <c r="V2074" s="99"/>
      <c r="W2074" s="240"/>
      <c r="X2074" s="240"/>
      <c r="Y2074" s="240"/>
      <c r="Z2074" s="193"/>
      <c r="AA2074" s="193"/>
      <c r="AB2074" s="195"/>
      <c r="AC2074" s="310"/>
      <c r="AD2074" s="318"/>
      <c r="AE2074" s="318"/>
      <c r="AF2074" s="318"/>
      <c r="AG2074" s="318"/>
      <c r="AH2074" s="88"/>
      <c r="AI2074" s="195"/>
      <c r="AJ2074" s="311"/>
      <c r="AK2074" s="311"/>
      <c r="AL2074" s="311"/>
      <c r="AM2074" s="311"/>
      <c r="AN2074" s="311"/>
      <c r="AO2074" s="311"/>
      <c r="AP2074" s="311"/>
      <c r="AQ2074" s="311"/>
      <c r="AR2074" s="192"/>
      <c r="AS2074" s="192"/>
      <c r="AT2074" s="192"/>
      <c r="AU2074" s="192"/>
      <c r="AV2074" s="192"/>
      <c r="AW2074" s="192"/>
    </row>
    <row r="2075" spans="1:49" ht="15" customHeight="1">
      <c r="A2075" s="297"/>
      <c r="B2075" s="217"/>
      <c r="C2075" s="217"/>
      <c r="D2075" s="101"/>
      <c r="E2075" s="101"/>
      <c r="F2075" s="185"/>
      <c r="G2075" s="295"/>
      <c r="H2075" s="295"/>
      <c r="I2075" s="99"/>
      <c r="J2075" s="99"/>
      <c r="K2075" s="99"/>
      <c r="L2075" s="99"/>
      <c r="M2075" s="99"/>
      <c r="N2075" s="99"/>
      <c r="O2075" s="99"/>
      <c r="P2075" s="99"/>
      <c r="Q2075" s="99"/>
      <c r="R2075" s="99"/>
      <c r="S2075" s="99"/>
      <c r="T2075" s="99"/>
      <c r="U2075" s="99"/>
      <c r="V2075" s="99"/>
      <c r="W2075" s="240"/>
      <c r="X2075" s="240"/>
      <c r="Y2075" s="240"/>
      <c r="AB2075" s="192"/>
      <c r="AC2075" s="312"/>
      <c r="AD2075" s="312"/>
      <c r="AE2075" s="312"/>
      <c r="AF2075" s="312"/>
      <c r="AG2075" s="312"/>
      <c r="AH2075" s="192"/>
      <c r="AI2075" s="192"/>
      <c r="AJ2075" s="194"/>
      <c r="AK2075" s="194"/>
      <c r="AL2075" s="194"/>
      <c r="AM2075" s="194"/>
      <c r="AN2075" s="194"/>
      <c r="AO2075" s="194"/>
      <c r="AP2075" s="194"/>
      <c r="AQ2075" s="194"/>
      <c r="AR2075" s="192"/>
      <c r="AS2075" s="192"/>
      <c r="AT2075" s="192"/>
      <c r="AU2075" s="192"/>
      <c r="AV2075" s="192"/>
      <c r="AW2075" s="192"/>
    </row>
    <row r="2076" spans="1:49" ht="15" customHeight="1">
      <c r="A2076" s="297"/>
      <c r="B2076" s="217"/>
      <c r="C2076" s="217"/>
      <c r="D2076" s="101"/>
      <c r="E2076" s="101"/>
      <c r="F2076" s="185"/>
      <c r="G2076" s="295"/>
      <c r="H2076" s="295"/>
      <c r="I2076" s="99"/>
      <c r="J2076" s="99"/>
      <c r="K2076" s="99"/>
      <c r="L2076" s="99"/>
      <c r="M2076" s="99"/>
      <c r="N2076" s="99"/>
      <c r="O2076" s="99"/>
      <c r="P2076" s="99"/>
      <c r="Q2076" s="99"/>
      <c r="R2076" s="99"/>
      <c r="S2076" s="99"/>
      <c r="T2076" s="99"/>
      <c r="U2076" s="99"/>
      <c r="V2076" s="99"/>
      <c r="W2076" s="240"/>
      <c r="X2076" s="240"/>
      <c r="Y2076" s="240"/>
      <c r="AB2076" s="192"/>
      <c r="AC2076" s="312"/>
      <c r="AD2076" s="312"/>
      <c r="AE2076" s="312"/>
      <c r="AF2076" s="312"/>
      <c r="AG2076" s="312"/>
      <c r="AH2076" s="192"/>
      <c r="AI2076" s="192"/>
      <c r="AJ2076" s="194"/>
      <c r="AK2076" s="194"/>
      <c r="AL2076" s="194"/>
      <c r="AM2076" s="194"/>
      <c r="AN2076" s="194"/>
      <c r="AO2076" s="194"/>
      <c r="AP2076" s="194"/>
      <c r="AQ2076" s="194"/>
      <c r="AR2076" s="192"/>
      <c r="AS2076" s="192"/>
      <c r="AT2076" s="192"/>
      <c r="AU2076" s="192"/>
      <c r="AV2076" s="192"/>
      <c r="AW2076" s="192"/>
    </row>
    <row r="2077" spans="1:49" ht="15" customHeight="1">
      <c r="A2077" s="297"/>
      <c r="B2077" s="217"/>
      <c r="C2077" s="217"/>
      <c r="D2077" s="101"/>
      <c r="E2077" s="101"/>
      <c r="F2077" s="185"/>
      <c r="G2077" s="295"/>
      <c r="H2077" s="295"/>
      <c r="I2077" s="99"/>
      <c r="J2077" s="99"/>
      <c r="K2077" s="99"/>
      <c r="L2077" s="99"/>
      <c r="M2077" s="99"/>
      <c r="N2077" s="99"/>
      <c r="O2077" s="99"/>
      <c r="P2077" s="99"/>
      <c r="Q2077" s="99"/>
      <c r="R2077" s="99"/>
      <c r="S2077" s="99"/>
      <c r="T2077" s="99"/>
      <c r="U2077" s="99"/>
      <c r="V2077" s="99"/>
      <c r="W2077" s="240"/>
      <c r="X2077" s="240"/>
      <c r="Y2077" s="240"/>
      <c r="AB2077" s="192"/>
      <c r="AC2077" s="312"/>
      <c r="AD2077" s="312"/>
      <c r="AE2077" s="312"/>
      <c r="AF2077" s="312"/>
      <c r="AG2077" s="312"/>
      <c r="AH2077" s="192"/>
      <c r="AI2077" s="192"/>
      <c r="AJ2077" s="194"/>
      <c r="AK2077" s="194"/>
      <c r="AL2077" s="194"/>
      <c r="AM2077" s="194"/>
      <c r="AN2077" s="194"/>
      <c r="AO2077" s="194"/>
      <c r="AP2077" s="194"/>
      <c r="AQ2077" s="194"/>
      <c r="AR2077" s="192"/>
      <c r="AS2077" s="192"/>
      <c r="AT2077" s="192"/>
      <c r="AU2077" s="192"/>
      <c r="AV2077" s="192"/>
      <c r="AW2077" s="192"/>
    </row>
    <row r="2078" spans="1:49" ht="15" customHeight="1">
      <c r="A2078" s="297"/>
      <c r="B2078" s="217"/>
      <c r="C2078" s="217"/>
      <c r="D2078" s="101"/>
      <c r="E2078" s="101"/>
      <c r="F2078" s="185"/>
      <c r="G2078" s="295"/>
      <c r="H2078" s="295"/>
      <c r="I2078" s="99"/>
      <c r="J2078" s="99"/>
      <c r="K2078" s="99"/>
      <c r="L2078" s="99"/>
      <c r="M2078" s="99"/>
      <c r="N2078" s="99"/>
      <c r="O2078" s="99"/>
      <c r="P2078" s="99"/>
      <c r="Q2078" s="99"/>
      <c r="R2078" s="99"/>
      <c r="S2078" s="99"/>
      <c r="T2078" s="99"/>
      <c r="U2078" s="233"/>
      <c r="V2078" s="233"/>
      <c r="W2078" s="240"/>
      <c r="X2078" s="240"/>
      <c r="Y2078" s="240"/>
      <c r="AB2078" s="192"/>
      <c r="AC2078" s="312"/>
      <c r="AD2078" s="312"/>
      <c r="AE2078" s="312"/>
      <c r="AF2078" s="312"/>
      <c r="AG2078" s="312"/>
      <c r="AH2078" s="192"/>
      <c r="AI2078" s="192"/>
      <c r="AJ2078" s="194"/>
      <c r="AK2078" s="194"/>
      <c r="AL2078" s="194"/>
      <c r="AM2078" s="194"/>
      <c r="AN2078" s="194"/>
      <c r="AO2078" s="194"/>
      <c r="AP2078" s="194"/>
      <c r="AQ2078" s="194"/>
      <c r="AR2078" s="192"/>
      <c r="AS2078" s="192"/>
      <c r="AT2078" s="192"/>
      <c r="AU2078" s="192"/>
      <c r="AV2078" s="192"/>
      <c r="AW2078" s="192"/>
    </row>
    <row r="2079" spans="1:49" ht="15" customHeight="1">
      <c r="A2079" s="297"/>
      <c r="B2079" s="217"/>
      <c r="C2079" s="217"/>
      <c r="D2079" s="101"/>
      <c r="E2079" s="101"/>
      <c r="F2079" s="185"/>
      <c r="G2079" s="295"/>
      <c r="H2079" s="295"/>
      <c r="I2079" s="99"/>
      <c r="J2079" s="99"/>
      <c r="K2079" s="99"/>
      <c r="L2079" s="99"/>
      <c r="M2079" s="99"/>
      <c r="N2079" s="99"/>
      <c r="O2079" s="99"/>
      <c r="P2079" s="99"/>
      <c r="Q2079" s="99"/>
      <c r="R2079" s="99"/>
      <c r="S2079" s="99"/>
      <c r="T2079" s="99"/>
      <c r="U2079" s="111"/>
      <c r="V2079" s="111"/>
      <c r="W2079" s="240"/>
      <c r="X2079" s="240"/>
      <c r="Y2079" s="240"/>
      <c r="AB2079" s="192"/>
      <c r="AC2079" s="312"/>
      <c r="AD2079" s="312"/>
      <c r="AE2079" s="312"/>
      <c r="AF2079" s="312"/>
      <c r="AG2079" s="312"/>
      <c r="AH2079" s="192"/>
      <c r="AI2079" s="192"/>
      <c r="AJ2079" s="194"/>
      <c r="AK2079" s="194"/>
      <c r="AL2079" s="194"/>
      <c r="AM2079" s="194"/>
      <c r="AN2079" s="194"/>
      <c r="AO2079" s="194"/>
      <c r="AP2079" s="194"/>
      <c r="AQ2079" s="194"/>
      <c r="AR2079" s="192"/>
      <c r="AS2079" s="192"/>
      <c r="AT2079" s="192"/>
      <c r="AU2079" s="192"/>
      <c r="AV2079" s="192"/>
      <c r="AW2079" s="192"/>
    </row>
    <row r="2080" spans="1:49" ht="15" customHeight="1">
      <c r="A2080" s="297"/>
      <c r="B2080" s="217"/>
      <c r="C2080" s="217"/>
      <c r="D2080" s="101"/>
      <c r="E2080" s="101"/>
      <c r="F2080" s="185"/>
      <c r="G2080" s="295"/>
      <c r="H2080" s="295"/>
      <c r="I2080" s="99"/>
      <c r="J2080" s="99"/>
      <c r="K2080" s="99"/>
      <c r="L2080" s="99"/>
      <c r="M2080" s="99"/>
      <c r="N2080" s="99"/>
      <c r="O2080" s="99"/>
      <c r="P2080" s="99"/>
      <c r="Q2080" s="99"/>
      <c r="R2080" s="99"/>
      <c r="S2080" s="99"/>
      <c r="T2080" s="99"/>
      <c r="U2080" s="233"/>
      <c r="V2080" s="233"/>
      <c r="W2080" s="240"/>
      <c r="X2080" s="240"/>
      <c r="Y2080" s="240"/>
      <c r="AB2080" s="192"/>
      <c r="AC2080" s="312"/>
      <c r="AD2080" s="312"/>
      <c r="AE2080" s="312"/>
      <c r="AF2080" s="312"/>
      <c r="AG2080" s="312"/>
      <c r="AH2080" s="192"/>
      <c r="AI2080" s="192"/>
      <c r="AJ2080" s="194"/>
      <c r="AK2080" s="194"/>
      <c r="AL2080" s="194"/>
      <c r="AM2080" s="194"/>
      <c r="AN2080" s="194"/>
      <c r="AO2080" s="194"/>
      <c r="AP2080" s="194"/>
      <c r="AQ2080" s="194"/>
      <c r="AR2080" s="192"/>
      <c r="AS2080" s="192"/>
      <c r="AT2080" s="192"/>
      <c r="AU2080" s="192"/>
      <c r="AV2080" s="192"/>
      <c r="AW2080" s="192"/>
    </row>
    <row r="2081" spans="1:49" ht="15" customHeight="1">
      <c r="A2081" s="297"/>
      <c r="B2081" s="217"/>
      <c r="C2081" s="217"/>
      <c r="D2081" s="101"/>
      <c r="E2081" s="101"/>
      <c r="F2081" s="185"/>
      <c r="G2081" s="295"/>
      <c r="H2081" s="295"/>
      <c r="I2081" s="99"/>
      <c r="J2081" s="99"/>
      <c r="K2081" s="99"/>
      <c r="L2081" s="99"/>
      <c r="M2081" s="99"/>
      <c r="N2081" s="99"/>
      <c r="O2081" s="99"/>
      <c r="P2081" s="99"/>
      <c r="Q2081" s="99"/>
      <c r="R2081" s="99"/>
      <c r="S2081" s="99"/>
      <c r="T2081" s="99"/>
      <c r="U2081" s="100"/>
      <c r="V2081" s="100"/>
      <c r="W2081" s="240"/>
      <c r="X2081" s="240"/>
      <c r="Y2081" s="240"/>
      <c r="AB2081" s="192"/>
      <c r="AC2081" s="312"/>
      <c r="AD2081" s="312"/>
      <c r="AE2081" s="312"/>
      <c r="AF2081" s="312"/>
      <c r="AG2081" s="312"/>
      <c r="AH2081" s="192"/>
      <c r="AI2081" s="192"/>
      <c r="AJ2081" s="194"/>
      <c r="AK2081" s="194"/>
      <c r="AL2081" s="194"/>
      <c r="AM2081" s="194"/>
      <c r="AN2081" s="194"/>
      <c r="AO2081" s="194"/>
      <c r="AP2081" s="194"/>
      <c r="AQ2081" s="194"/>
      <c r="AR2081" s="192"/>
      <c r="AS2081" s="192"/>
      <c r="AT2081" s="192"/>
      <c r="AU2081" s="192"/>
      <c r="AV2081" s="192"/>
      <c r="AW2081" s="192"/>
    </row>
    <row r="2082" spans="1:49" ht="15" customHeight="1">
      <c r="A2082" s="297"/>
      <c r="B2082" s="217"/>
      <c r="C2082" s="217"/>
      <c r="D2082" s="101"/>
      <c r="E2082" s="101"/>
      <c r="F2082" s="185"/>
      <c r="G2082" s="295"/>
      <c r="H2082" s="295"/>
      <c r="I2082" s="99"/>
      <c r="J2082" s="99"/>
      <c r="K2082" s="99"/>
      <c r="L2082" s="99"/>
      <c r="M2082" s="99"/>
      <c r="N2082" s="99"/>
      <c r="O2082" s="99"/>
      <c r="P2082" s="99"/>
      <c r="Q2082" s="99"/>
      <c r="R2082" s="99"/>
      <c r="S2082" s="99"/>
      <c r="T2082" s="99"/>
      <c r="U2082" s="100"/>
      <c r="V2082" s="100"/>
      <c r="W2082" s="240"/>
      <c r="X2082" s="240"/>
      <c r="Y2082" s="240"/>
      <c r="AB2082" s="192"/>
      <c r="AC2082" s="312"/>
      <c r="AD2082" s="312"/>
      <c r="AE2082" s="312"/>
      <c r="AF2082" s="312"/>
      <c r="AG2082" s="312"/>
      <c r="AH2082" s="192"/>
      <c r="AI2082" s="192"/>
      <c r="AJ2082" s="194"/>
      <c r="AK2082" s="194"/>
      <c r="AL2082" s="194"/>
      <c r="AM2082" s="194"/>
      <c r="AN2082" s="194"/>
      <c r="AO2082" s="194"/>
      <c r="AP2082" s="194"/>
      <c r="AQ2082" s="194"/>
      <c r="AR2082" s="192"/>
      <c r="AS2082" s="192"/>
      <c r="AT2082" s="192"/>
      <c r="AU2082" s="192"/>
      <c r="AV2082" s="192"/>
      <c r="AW2082" s="192"/>
    </row>
    <row r="2083" spans="1:49" ht="15" customHeight="1">
      <c r="A2083" s="297"/>
      <c r="B2083" s="217"/>
      <c r="C2083" s="217"/>
      <c r="D2083" s="101"/>
      <c r="E2083" s="101"/>
      <c r="F2083" s="185"/>
      <c r="G2083" s="295"/>
      <c r="H2083" s="295"/>
      <c r="I2083" s="99"/>
      <c r="J2083" s="99"/>
      <c r="K2083" s="99"/>
      <c r="L2083" s="99"/>
      <c r="M2083" s="99"/>
      <c r="N2083" s="99"/>
      <c r="O2083" s="99"/>
      <c r="P2083" s="99"/>
      <c r="Q2083" s="99"/>
      <c r="R2083" s="99"/>
      <c r="S2083" s="99"/>
      <c r="T2083" s="99"/>
      <c r="U2083" s="254"/>
      <c r="V2083" s="254"/>
      <c r="W2083" s="244"/>
      <c r="X2083" s="244"/>
      <c r="Y2083" s="244"/>
      <c r="Z2083" s="97"/>
      <c r="AA2083" s="619"/>
      <c r="AB2083" s="97"/>
      <c r="AC2083" s="97"/>
      <c r="AD2083" s="97"/>
      <c r="AE2083" s="97"/>
      <c r="AF2083" s="97"/>
      <c r="AG2083" s="97"/>
      <c r="AH2083" s="97"/>
      <c r="AI2083" s="97"/>
      <c r="AJ2083" s="97"/>
      <c r="AK2083" s="97"/>
      <c r="AL2083" s="97"/>
      <c r="AM2083" s="97"/>
      <c r="AN2083" s="97"/>
      <c r="AO2083" s="97"/>
      <c r="AP2083" s="97"/>
      <c r="AQ2083" s="97"/>
      <c r="AR2083" s="97"/>
      <c r="AS2083" s="97"/>
      <c r="AT2083" s="97"/>
      <c r="AU2083" s="97"/>
      <c r="AV2083" s="97"/>
      <c r="AW2083" s="97"/>
    </row>
    <row r="2084" spans="1:49" ht="15" customHeight="1">
      <c r="A2084" s="297"/>
      <c r="B2084" s="217"/>
      <c r="C2084" s="217"/>
      <c r="D2084" s="101"/>
      <c r="E2084" s="101"/>
      <c r="F2084" s="185"/>
      <c r="G2084" s="295"/>
      <c r="H2084" s="295"/>
      <c r="I2084" s="99"/>
      <c r="J2084" s="99"/>
      <c r="K2084" s="99"/>
      <c r="L2084" s="99"/>
      <c r="M2084" s="99"/>
      <c r="N2084" s="99"/>
      <c r="O2084" s="99"/>
      <c r="P2084" s="99"/>
      <c r="Q2084" s="99"/>
      <c r="R2084" s="99"/>
      <c r="S2084" s="99"/>
      <c r="T2084" s="99"/>
      <c r="U2084" s="225"/>
      <c r="V2084" s="225"/>
      <c r="W2084" s="244"/>
      <c r="X2084" s="244"/>
      <c r="Y2084" s="244"/>
      <c r="Z2084" s="97"/>
      <c r="AA2084" s="619"/>
      <c r="AB2084" s="97"/>
      <c r="AC2084" s="97"/>
      <c r="AD2084" s="97"/>
      <c r="AE2084" s="97"/>
      <c r="AF2084" s="97"/>
      <c r="AG2084" s="97"/>
      <c r="AH2084" s="97"/>
      <c r="AI2084" s="97"/>
      <c r="AJ2084" s="97"/>
      <c r="AK2084" s="97"/>
      <c r="AL2084" s="97"/>
      <c r="AM2084" s="97"/>
      <c r="AN2084" s="97"/>
      <c r="AO2084" s="97"/>
      <c r="AP2084" s="97"/>
      <c r="AQ2084" s="97"/>
      <c r="AR2084" s="97"/>
      <c r="AS2084" s="97"/>
      <c r="AT2084" s="97"/>
      <c r="AU2084" s="97"/>
      <c r="AV2084" s="97"/>
      <c r="AW2084" s="97"/>
    </row>
    <row r="2085" spans="1:49" ht="15" customHeight="1">
      <c r="A2085" s="297"/>
      <c r="B2085" s="217"/>
      <c r="C2085" s="217"/>
      <c r="D2085" s="101"/>
      <c r="E2085" s="101"/>
      <c r="F2085" s="185"/>
      <c r="G2085" s="295"/>
      <c r="H2085" s="295"/>
      <c r="I2085" s="99"/>
      <c r="J2085" s="99"/>
      <c r="K2085" s="99"/>
      <c r="L2085" s="99"/>
      <c r="M2085" s="99"/>
      <c r="N2085" s="99"/>
      <c r="O2085" s="99"/>
      <c r="P2085" s="99"/>
      <c r="Q2085" s="99"/>
      <c r="R2085" s="99"/>
      <c r="S2085" s="99"/>
      <c r="T2085" s="99"/>
      <c r="U2085" s="99"/>
      <c r="V2085" s="99"/>
      <c r="W2085" s="244"/>
      <c r="X2085" s="244"/>
      <c r="Y2085" s="244"/>
      <c r="Z2085" s="97"/>
      <c r="AA2085" s="619"/>
      <c r="AB2085" s="97"/>
      <c r="AC2085" s="97"/>
      <c r="AD2085" s="97"/>
      <c r="AE2085" s="97"/>
      <c r="AF2085" s="97"/>
      <c r="AG2085" s="97"/>
      <c r="AH2085" s="97"/>
      <c r="AI2085" s="97"/>
      <c r="AJ2085" s="97"/>
      <c r="AK2085" s="97"/>
      <c r="AL2085" s="97"/>
      <c r="AM2085" s="97"/>
      <c r="AN2085" s="97"/>
      <c r="AO2085" s="97"/>
      <c r="AP2085" s="97"/>
      <c r="AQ2085" s="97"/>
      <c r="AR2085" s="97"/>
      <c r="AS2085" s="97"/>
      <c r="AT2085" s="97"/>
      <c r="AU2085" s="97"/>
      <c r="AV2085" s="97"/>
      <c r="AW2085" s="97"/>
    </row>
    <row r="2086" spans="1:49" ht="15" customHeight="1">
      <c r="A2086" s="297"/>
      <c r="B2086" s="217"/>
      <c r="C2086" s="217"/>
      <c r="D2086" s="101"/>
      <c r="E2086" s="101"/>
      <c r="F2086" s="185"/>
      <c r="G2086" s="295"/>
      <c r="H2086" s="295"/>
      <c r="I2086" s="99"/>
      <c r="J2086" s="99"/>
      <c r="K2086" s="99"/>
      <c r="L2086" s="99"/>
      <c r="M2086" s="99"/>
      <c r="N2086" s="99"/>
      <c r="O2086" s="99"/>
      <c r="P2086" s="99"/>
      <c r="Q2086" s="99"/>
      <c r="R2086" s="99"/>
      <c r="S2086" s="99"/>
      <c r="T2086" s="99"/>
      <c r="U2086" s="99"/>
      <c r="V2086" s="99"/>
      <c r="W2086" s="244"/>
      <c r="X2086" s="244"/>
      <c r="Y2086" s="244"/>
      <c r="Z2086" s="97"/>
      <c r="AA2086" s="619"/>
      <c r="AB2086" s="97"/>
      <c r="AC2086" s="97"/>
      <c r="AD2086" s="97"/>
      <c r="AE2086" s="97"/>
      <c r="AF2086" s="97"/>
      <c r="AG2086" s="97"/>
      <c r="AH2086" s="97"/>
      <c r="AI2086" s="97"/>
      <c r="AJ2086" s="97"/>
      <c r="AK2086" s="97"/>
      <c r="AL2086" s="97"/>
      <c r="AM2086" s="97"/>
      <c r="AN2086" s="97"/>
      <c r="AO2086" s="97"/>
      <c r="AP2086" s="97"/>
      <c r="AQ2086" s="97"/>
      <c r="AR2086" s="97"/>
      <c r="AS2086" s="97"/>
      <c r="AT2086" s="97"/>
      <c r="AU2086" s="97"/>
      <c r="AV2086" s="97"/>
      <c r="AW2086" s="97"/>
    </row>
    <row r="2087" spans="1:49" ht="15" customHeight="1">
      <c r="A2087" s="297"/>
      <c r="B2087" s="217"/>
      <c r="C2087" s="217"/>
      <c r="D2087" s="101"/>
      <c r="E2087" s="101"/>
      <c r="F2087" s="185"/>
      <c r="G2087" s="295"/>
      <c r="H2087" s="295"/>
      <c r="I2087" s="99"/>
      <c r="J2087" s="99"/>
      <c r="K2087" s="99"/>
      <c r="L2087" s="99"/>
      <c r="M2087" s="99"/>
      <c r="N2087" s="99"/>
      <c r="O2087" s="99"/>
      <c r="P2087" s="99"/>
      <c r="Q2087" s="99"/>
      <c r="R2087" s="99"/>
      <c r="S2087" s="99"/>
      <c r="T2087" s="99"/>
      <c r="U2087" s="99"/>
      <c r="V2087" s="99"/>
      <c r="W2087" s="244"/>
      <c r="X2087" s="244"/>
      <c r="Y2087" s="244"/>
      <c r="Z2087" s="97"/>
      <c r="AA2087" s="619"/>
      <c r="AB2087" s="97"/>
      <c r="AC2087" s="97"/>
      <c r="AD2087" s="97"/>
      <c r="AE2087" s="97"/>
      <c r="AF2087" s="97"/>
      <c r="AG2087" s="97"/>
      <c r="AH2087" s="97"/>
      <c r="AI2087" s="97"/>
      <c r="AJ2087" s="97"/>
      <c r="AK2087" s="97"/>
      <c r="AL2087" s="97"/>
      <c r="AM2087" s="97"/>
      <c r="AN2087" s="97"/>
      <c r="AO2087" s="97"/>
      <c r="AP2087" s="97"/>
      <c r="AQ2087" s="97"/>
      <c r="AR2087" s="97"/>
      <c r="AS2087" s="97"/>
      <c r="AT2087" s="97"/>
      <c r="AU2087" s="97"/>
      <c r="AV2087" s="97"/>
      <c r="AW2087" s="97"/>
    </row>
    <row r="2088" spans="1:49" ht="15" customHeight="1">
      <c r="A2088" s="297"/>
      <c r="B2088" s="217"/>
      <c r="C2088" s="217"/>
      <c r="D2088" s="101"/>
      <c r="E2088" s="101"/>
      <c r="F2088" s="185"/>
      <c r="G2088" s="295"/>
      <c r="H2088" s="295"/>
      <c r="I2088" s="99"/>
      <c r="J2088" s="99"/>
      <c r="K2088" s="99"/>
      <c r="L2088" s="99"/>
      <c r="M2088" s="99"/>
      <c r="N2088" s="99"/>
      <c r="O2088" s="99"/>
      <c r="P2088" s="99"/>
      <c r="Q2088" s="99"/>
      <c r="R2088" s="99"/>
      <c r="S2088" s="99"/>
      <c r="T2088" s="99"/>
      <c r="U2088" s="99"/>
      <c r="V2088" s="99"/>
      <c r="W2088" s="244"/>
      <c r="X2088" s="244"/>
      <c r="Y2088" s="244"/>
      <c r="Z2088" s="97"/>
      <c r="AA2088" s="619"/>
      <c r="AB2088" s="97"/>
      <c r="AC2088" s="97"/>
      <c r="AD2088" s="97"/>
      <c r="AE2088" s="97"/>
      <c r="AF2088" s="97"/>
      <c r="AG2088" s="97"/>
      <c r="AH2088" s="97"/>
      <c r="AI2088" s="97"/>
      <c r="AJ2088" s="97"/>
      <c r="AK2088" s="97"/>
      <c r="AL2088" s="97"/>
      <c r="AM2088" s="97"/>
      <c r="AN2088" s="97"/>
      <c r="AO2088" s="97"/>
      <c r="AP2088" s="97"/>
      <c r="AQ2088" s="97"/>
      <c r="AR2088" s="97"/>
      <c r="AS2088" s="97"/>
      <c r="AT2088" s="97"/>
      <c r="AU2088" s="97"/>
      <c r="AV2088" s="97"/>
      <c r="AW2088" s="97"/>
    </row>
    <row r="2089" spans="1:49" ht="15" customHeight="1">
      <c r="A2089" s="297"/>
      <c r="B2089" s="217"/>
      <c r="C2089" s="217"/>
      <c r="D2089" s="101"/>
      <c r="E2089" s="101"/>
      <c r="F2089" s="185"/>
      <c r="G2089" s="295"/>
      <c r="H2089" s="295"/>
      <c r="I2089" s="99"/>
      <c r="J2089" s="99"/>
      <c r="K2089" s="99"/>
      <c r="L2089" s="99"/>
      <c r="M2089" s="99"/>
      <c r="N2089" s="99"/>
      <c r="O2089" s="99"/>
      <c r="P2089" s="99"/>
      <c r="Q2089" s="99"/>
      <c r="R2089" s="99"/>
      <c r="S2089" s="99"/>
      <c r="T2089" s="99"/>
      <c r="U2089" s="202"/>
      <c r="V2089" s="202"/>
      <c r="W2089" s="244"/>
      <c r="X2089" s="244"/>
      <c r="Y2089" s="244"/>
      <c r="Z2089" s="97"/>
      <c r="AA2089" s="619"/>
      <c r="AB2089" s="97"/>
      <c r="AC2089" s="97"/>
      <c r="AD2089" s="97"/>
      <c r="AE2089" s="97"/>
      <c r="AF2089" s="97"/>
      <c r="AG2089" s="97"/>
      <c r="AH2089" s="97"/>
      <c r="AI2089" s="97"/>
      <c r="AJ2089" s="97"/>
      <c r="AK2089" s="97"/>
      <c r="AL2089" s="97"/>
      <c r="AM2089" s="97"/>
      <c r="AN2089" s="97"/>
      <c r="AO2089" s="97"/>
      <c r="AP2089" s="97"/>
      <c r="AQ2089" s="97"/>
      <c r="AR2089" s="97"/>
      <c r="AS2089" s="97"/>
      <c r="AT2089" s="97"/>
      <c r="AU2089" s="97"/>
      <c r="AV2089" s="97"/>
      <c r="AW2089" s="97"/>
    </row>
    <row r="2090" spans="1:49" ht="15" customHeight="1">
      <c r="A2090" s="297"/>
      <c r="B2090" s="217"/>
      <c r="C2090" s="217"/>
      <c r="D2090" s="101"/>
      <c r="E2090" s="101"/>
      <c r="F2090" s="185"/>
      <c r="G2090" s="295"/>
      <c r="H2090" s="295"/>
      <c r="I2090" s="99"/>
      <c r="J2090" s="99"/>
      <c r="K2090" s="99"/>
      <c r="L2090" s="99"/>
      <c r="M2090" s="99"/>
      <c r="N2090" s="99"/>
      <c r="O2090" s="99"/>
      <c r="P2090" s="99"/>
      <c r="Q2090" s="99"/>
      <c r="R2090" s="99"/>
      <c r="S2090" s="99"/>
      <c r="T2090" s="99"/>
      <c r="U2090" s="202"/>
      <c r="V2090" s="202"/>
      <c r="W2090" s="244"/>
      <c r="X2090" s="244"/>
      <c r="Y2090" s="244"/>
      <c r="Z2090" s="97"/>
      <c r="AA2090" s="619"/>
      <c r="AB2090" s="97"/>
      <c r="AC2090" s="97"/>
      <c r="AD2090" s="97"/>
      <c r="AE2090" s="97"/>
      <c r="AF2090" s="97"/>
      <c r="AG2090" s="97"/>
      <c r="AH2090" s="97"/>
      <c r="AI2090" s="97"/>
      <c r="AJ2090" s="97"/>
      <c r="AK2090" s="97"/>
      <c r="AL2090" s="97"/>
      <c r="AM2090" s="97"/>
      <c r="AN2090" s="97"/>
      <c r="AO2090" s="97"/>
      <c r="AP2090" s="97"/>
      <c r="AQ2090" s="97"/>
      <c r="AR2090" s="97"/>
      <c r="AS2090" s="97"/>
      <c r="AT2090" s="97"/>
      <c r="AU2090" s="97"/>
      <c r="AV2090" s="97"/>
      <c r="AW2090" s="97"/>
    </row>
    <row r="2091" spans="1:49" ht="15" customHeight="1">
      <c r="A2091" s="297"/>
      <c r="B2091" s="217"/>
      <c r="C2091" s="217"/>
      <c r="D2091" s="101"/>
      <c r="E2091" s="101"/>
      <c r="F2091" s="185"/>
      <c r="G2091" s="295"/>
      <c r="H2091" s="295"/>
      <c r="I2091" s="99"/>
      <c r="J2091" s="99"/>
      <c r="K2091" s="99"/>
      <c r="L2091" s="99"/>
      <c r="M2091" s="99"/>
      <c r="N2091" s="99"/>
      <c r="O2091" s="99"/>
      <c r="P2091" s="99"/>
      <c r="Q2091" s="99"/>
      <c r="R2091" s="99"/>
      <c r="S2091" s="99"/>
      <c r="T2091" s="99"/>
      <c r="U2091" s="99"/>
      <c r="V2091" s="99"/>
      <c r="W2091" s="244"/>
      <c r="X2091" s="244"/>
      <c r="Y2091" s="244"/>
      <c r="Z2091" s="97"/>
      <c r="AA2091" s="619"/>
      <c r="AB2091" s="97"/>
      <c r="AC2091" s="97"/>
      <c r="AD2091" s="97"/>
      <c r="AE2091" s="97"/>
      <c r="AF2091" s="97"/>
      <c r="AG2091" s="97"/>
      <c r="AH2091" s="97"/>
      <c r="AI2091" s="97"/>
      <c r="AJ2091" s="97"/>
      <c r="AK2091" s="97"/>
      <c r="AL2091" s="97"/>
      <c r="AM2091" s="97"/>
      <c r="AN2091" s="97"/>
      <c r="AO2091" s="97"/>
      <c r="AP2091" s="97"/>
      <c r="AQ2091" s="97"/>
      <c r="AR2091" s="97"/>
      <c r="AS2091" s="97"/>
      <c r="AT2091" s="97"/>
      <c r="AU2091" s="97"/>
      <c r="AV2091" s="97"/>
      <c r="AW2091" s="97"/>
    </row>
    <row r="2092" spans="1:49" ht="15" customHeight="1">
      <c r="A2092" s="297"/>
      <c r="B2092" s="217"/>
      <c r="C2092" s="217"/>
      <c r="D2092" s="101"/>
      <c r="E2092" s="101"/>
      <c r="F2092" s="185"/>
      <c r="G2092" s="295"/>
      <c r="H2092" s="295"/>
      <c r="I2092" s="99"/>
      <c r="J2092" s="99"/>
      <c r="K2092" s="99"/>
      <c r="L2092" s="99"/>
      <c r="M2092" s="99"/>
      <c r="N2092" s="99"/>
      <c r="O2092" s="99"/>
      <c r="P2092" s="99"/>
      <c r="Q2092" s="99"/>
      <c r="R2092" s="99"/>
      <c r="S2092" s="99"/>
      <c r="T2092" s="99"/>
      <c r="U2092" s="99"/>
      <c r="V2092" s="99"/>
      <c r="W2092" s="244"/>
      <c r="X2092" s="244"/>
      <c r="Y2092" s="244"/>
      <c r="Z2092" s="97"/>
      <c r="AA2092" s="619"/>
      <c r="AB2092" s="97"/>
      <c r="AC2092" s="97"/>
      <c r="AD2092" s="97"/>
      <c r="AE2092" s="97"/>
      <c r="AF2092" s="97"/>
      <c r="AG2092" s="97"/>
      <c r="AH2092" s="97"/>
      <c r="AI2092" s="97"/>
      <c r="AJ2092" s="97"/>
      <c r="AK2092" s="97"/>
      <c r="AL2092" s="97"/>
      <c r="AM2092" s="97"/>
      <c r="AN2092" s="97"/>
      <c r="AO2092" s="97"/>
      <c r="AP2092" s="97"/>
      <c r="AQ2092" s="97"/>
      <c r="AR2092" s="97"/>
      <c r="AS2092" s="97"/>
      <c r="AT2092" s="97"/>
      <c r="AU2092" s="97"/>
      <c r="AV2092" s="97"/>
      <c r="AW2092" s="97"/>
    </row>
    <row r="2093" spans="1:49" ht="15" customHeight="1">
      <c r="A2093" s="297"/>
      <c r="B2093" s="217"/>
      <c r="C2093" s="217"/>
      <c r="D2093" s="101"/>
      <c r="E2093" s="101"/>
      <c r="F2093" s="185"/>
      <c r="G2093" s="295"/>
      <c r="H2093" s="295"/>
      <c r="I2093" s="99"/>
      <c r="J2093" s="99"/>
      <c r="K2093" s="99"/>
      <c r="L2093" s="99"/>
      <c r="M2093" s="99"/>
      <c r="N2093" s="99"/>
      <c r="O2093" s="99"/>
      <c r="P2093" s="99"/>
      <c r="Q2093" s="99"/>
      <c r="R2093" s="99"/>
      <c r="S2093" s="99"/>
      <c r="T2093" s="99"/>
      <c r="U2093" s="99"/>
      <c r="V2093" s="99"/>
      <c r="W2093" s="244"/>
      <c r="X2093" s="244"/>
      <c r="Y2093" s="244"/>
      <c r="Z2093" s="97"/>
      <c r="AA2093" s="619"/>
      <c r="AB2093" s="97"/>
      <c r="AC2093" s="97"/>
      <c r="AD2093" s="97"/>
      <c r="AE2093" s="97"/>
      <c r="AF2093" s="97"/>
      <c r="AG2093" s="97"/>
      <c r="AH2093" s="97"/>
      <c r="AI2093" s="97"/>
      <c r="AJ2093" s="97"/>
      <c r="AK2093" s="97"/>
      <c r="AL2093" s="97"/>
      <c r="AM2093" s="97"/>
      <c r="AN2093" s="97"/>
      <c r="AO2093" s="97"/>
      <c r="AP2093" s="97"/>
      <c r="AQ2093" s="97"/>
      <c r="AR2093" s="97"/>
      <c r="AS2093" s="97"/>
      <c r="AT2093" s="97"/>
      <c r="AU2093" s="97"/>
      <c r="AV2093" s="97"/>
      <c r="AW2093" s="97"/>
    </row>
    <row r="2094" spans="1:49" ht="15" customHeight="1">
      <c r="A2094" s="297"/>
      <c r="B2094" s="217"/>
      <c r="C2094" s="217"/>
      <c r="D2094" s="101"/>
      <c r="E2094" s="101"/>
      <c r="F2094" s="185"/>
      <c r="G2094" s="295"/>
      <c r="H2094" s="295"/>
      <c r="I2094" s="99"/>
      <c r="J2094" s="99"/>
      <c r="K2094" s="99"/>
      <c r="L2094" s="99"/>
      <c r="M2094" s="99"/>
      <c r="N2094" s="99"/>
      <c r="O2094" s="99"/>
      <c r="P2094" s="99"/>
      <c r="Q2094" s="99"/>
      <c r="R2094" s="99"/>
      <c r="S2094" s="99"/>
      <c r="T2094" s="99"/>
      <c r="U2094" s="99"/>
      <c r="V2094" s="99"/>
      <c r="W2094" s="244"/>
      <c r="X2094" s="244"/>
      <c r="Y2094" s="244"/>
      <c r="Z2094" s="97"/>
      <c r="AA2094" s="619"/>
      <c r="AB2094" s="97"/>
      <c r="AC2094" s="97"/>
      <c r="AD2094" s="97"/>
      <c r="AE2094" s="97"/>
      <c r="AF2094" s="97"/>
      <c r="AG2094" s="97"/>
      <c r="AH2094" s="97"/>
      <c r="AI2094" s="97"/>
      <c r="AJ2094" s="97"/>
      <c r="AK2094" s="97"/>
      <c r="AL2094" s="97"/>
      <c r="AM2094" s="97"/>
      <c r="AN2094" s="97"/>
      <c r="AO2094" s="97"/>
      <c r="AP2094" s="97"/>
      <c r="AQ2094" s="97"/>
      <c r="AR2094" s="97"/>
      <c r="AS2094" s="97"/>
      <c r="AT2094" s="97"/>
      <c r="AU2094" s="97"/>
      <c r="AV2094" s="97"/>
      <c r="AW2094" s="97"/>
    </row>
    <row r="2095" spans="1:49" ht="15" customHeight="1">
      <c r="A2095" s="297"/>
      <c r="B2095" s="217"/>
      <c r="C2095" s="217"/>
      <c r="D2095" s="101"/>
      <c r="E2095" s="101"/>
      <c r="F2095" s="185"/>
      <c r="G2095" s="295"/>
      <c r="H2095" s="295"/>
      <c r="I2095" s="99"/>
      <c r="J2095" s="99"/>
      <c r="K2095" s="99"/>
      <c r="L2095" s="99"/>
      <c r="M2095" s="99"/>
      <c r="N2095" s="99"/>
      <c r="O2095" s="99"/>
      <c r="P2095" s="99"/>
      <c r="Q2095" s="99"/>
      <c r="R2095" s="99"/>
      <c r="S2095" s="99"/>
      <c r="T2095" s="99"/>
      <c r="U2095" s="99"/>
      <c r="V2095" s="99"/>
      <c r="W2095" s="244"/>
      <c r="X2095" s="244"/>
      <c r="Y2095" s="244"/>
      <c r="Z2095" s="97"/>
      <c r="AA2095" s="619"/>
      <c r="AB2095" s="97"/>
      <c r="AC2095" s="97"/>
      <c r="AD2095" s="97"/>
      <c r="AE2095" s="97"/>
      <c r="AF2095" s="97"/>
      <c r="AG2095" s="97"/>
      <c r="AH2095" s="97"/>
      <c r="AI2095" s="97"/>
      <c r="AJ2095" s="97"/>
      <c r="AK2095" s="97"/>
      <c r="AL2095" s="97"/>
      <c r="AM2095" s="97"/>
      <c r="AN2095" s="97"/>
      <c r="AO2095" s="97"/>
      <c r="AP2095" s="97"/>
      <c r="AQ2095" s="97"/>
      <c r="AR2095" s="97"/>
      <c r="AS2095" s="97"/>
      <c r="AT2095" s="97"/>
      <c r="AU2095" s="97"/>
      <c r="AV2095" s="97"/>
      <c r="AW2095" s="97"/>
    </row>
    <row r="2096" spans="1:49" ht="15" customHeight="1">
      <c r="A2096" s="297"/>
      <c r="B2096" s="217"/>
      <c r="C2096" s="217"/>
      <c r="D2096" s="101"/>
      <c r="E2096" s="101"/>
      <c r="F2096" s="185"/>
      <c r="G2096" s="295"/>
      <c r="H2096" s="295"/>
      <c r="I2096" s="99"/>
      <c r="J2096" s="99"/>
      <c r="K2096" s="99"/>
      <c r="L2096" s="99"/>
      <c r="M2096" s="99"/>
      <c r="N2096" s="99"/>
      <c r="O2096" s="99"/>
      <c r="P2096" s="99"/>
      <c r="Q2096" s="99"/>
      <c r="R2096" s="99"/>
      <c r="S2096" s="99"/>
      <c r="T2096" s="99"/>
      <c r="U2096" s="99"/>
      <c r="V2096" s="99"/>
      <c r="W2096" s="244"/>
      <c r="X2096" s="244"/>
      <c r="Y2096" s="244"/>
      <c r="Z2096" s="97"/>
      <c r="AA2096" s="619"/>
      <c r="AB2096" s="97"/>
      <c r="AC2096" s="97"/>
      <c r="AD2096" s="97"/>
      <c r="AE2096" s="97"/>
      <c r="AF2096" s="97"/>
      <c r="AG2096" s="97"/>
      <c r="AH2096" s="97"/>
      <c r="AI2096" s="97"/>
      <c r="AJ2096" s="97"/>
      <c r="AK2096" s="97"/>
      <c r="AL2096" s="97"/>
      <c r="AM2096" s="97"/>
      <c r="AN2096" s="97"/>
      <c r="AO2096" s="97"/>
      <c r="AP2096" s="97"/>
      <c r="AQ2096" s="97"/>
      <c r="AR2096" s="97"/>
      <c r="AS2096" s="97"/>
      <c r="AT2096" s="97"/>
      <c r="AU2096" s="97"/>
      <c r="AV2096" s="97"/>
      <c r="AW2096" s="97"/>
    </row>
    <row r="2097" spans="1:49" ht="15" customHeight="1">
      <c r="A2097" s="297"/>
      <c r="B2097" s="217"/>
      <c r="C2097" s="217"/>
      <c r="D2097" s="101"/>
      <c r="E2097" s="101"/>
      <c r="F2097" s="185"/>
      <c r="G2097" s="295"/>
      <c r="H2097" s="295"/>
      <c r="I2097" s="99"/>
      <c r="J2097" s="99"/>
      <c r="K2097" s="99"/>
      <c r="L2097" s="99"/>
      <c r="M2097" s="99"/>
      <c r="N2097" s="99"/>
      <c r="O2097" s="99"/>
      <c r="P2097" s="99"/>
      <c r="Q2097" s="99"/>
      <c r="R2097" s="99"/>
      <c r="S2097" s="99"/>
      <c r="T2097" s="99"/>
      <c r="U2097" s="99"/>
      <c r="V2097" s="99"/>
      <c r="W2097" s="244"/>
      <c r="X2097" s="244"/>
      <c r="Y2097" s="244"/>
      <c r="Z2097" s="97"/>
      <c r="AA2097" s="619"/>
      <c r="AB2097" s="97"/>
      <c r="AC2097" s="97"/>
      <c r="AD2097" s="97"/>
      <c r="AE2097" s="97"/>
      <c r="AF2097" s="97"/>
      <c r="AG2097" s="97"/>
      <c r="AH2097" s="97"/>
      <c r="AI2097" s="97"/>
      <c r="AJ2097" s="97"/>
      <c r="AK2097" s="97"/>
      <c r="AL2097" s="97"/>
      <c r="AM2097" s="97"/>
      <c r="AN2097" s="97"/>
      <c r="AO2097" s="97"/>
      <c r="AP2097" s="97"/>
      <c r="AQ2097" s="97"/>
      <c r="AR2097" s="97"/>
      <c r="AS2097" s="97"/>
      <c r="AT2097" s="97"/>
      <c r="AU2097" s="97"/>
      <c r="AV2097" s="97"/>
      <c r="AW2097" s="97"/>
    </row>
    <row r="2098" spans="1:49" ht="15" customHeight="1">
      <c r="A2098" s="297"/>
      <c r="B2098" s="217"/>
      <c r="C2098" s="217"/>
      <c r="D2098" s="101"/>
      <c r="E2098" s="101"/>
      <c r="F2098" s="185"/>
      <c r="G2098" s="295"/>
      <c r="H2098" s="295"/>
      <c r="I2098" s="99"/>
      <c r="J2098" s="99"/>
      <c r="K2098" s="99"/>
      <c r="L2098" s="99"/>
      <c r="M2098" s="99"/>
      <c r="N2098" s="99"/>
      <c r="O2098" s="99"/>
      <c r="P2098" s="99"/>
      <c r="Q2098" s="99"/>
      <c r="R2098" s="99"/>
      <c r="S2098" s="99"/>
      <c r="T2098" s="99"/>
      <c r="U2098" s="99"/>
      <c r="V2098" s="99"/>
      <c r="W2098" s="244"/>
      <c r="X2098" s="244"/>
      <c r="Y2098" s="244"/>
      <c r="Z2098" s="97"/>
      <c r="AA2098" s="619"/>
      <c r="AB2098" s="97"/>
      <c r="AC2098" s="97"/>
      <c r="AD2098" s="97"/>
      <c r="AE2098" s="97"/>
      <c r="AF2098" s="97"/>
      <c r="AG2098" s="97"/>
      <c r="AH2098" s="97"/>
      <c r="AI2098" s="97"/>
      <c r="AJ2098" s="97"/>
      <c r="AK2098" s="97"/>
      <c r="AL2098" s="97"/>
      <c r="AM2098" s="97"/>
      <c r="AN2098" s="97"/>
      <c r="AO2098" s="97"/>
      <c r="AP2098" s="97"/>
      <c r="AQ2098" s="97"/>
      <c r="AR2098" s="97"/>
      <c r="AS2098" s="97"/>
      <c r="AT2098" s="97"/>
      <c r="AU2098" s="97"/>
      <c r="AV2098" s="97"/>
      <c r="AW2098" s="97"/>
    </row>
    <row r="2099" spans="1:49" ht="15" customHeight="1">
      <c r="A2099" s="297"/>
      <c r="B2099" s="217"/>
      <c r="C2099" s="217"/>
      <c r="D2099" s="101"/>
      <c r="E2099" s="101"/>
      <c r="F2099" s="185"/>
      <c r="G2099" s="295"/>
      <c r="H2099" s="295"/>
      <c r="I2099" s="99"/>
      <c r="J2099" s="99"/>
      <c r="K2099" s="99"/>
      <c r="L2099" s="99"/>
      <c r="M2099" s="99"/>
      <c r="N2099" s="99"/>
      <c r="O2099" s="99"/>
      <c r="P2099" s="99"/>
      <c r="Q2099" s="99"/>
      <c r="R2099" s="99"/>
      <c r="S2099" s="99"/>
      <c r="T2099" s="99"/>
      <c r="U2099" s="99"/>
      <c r="V2099" s="99"/>
      <c r="W2099" s="244"/>
      <c r="X2099" s="244"/>
      <c r="Y2099" s="244"/>
      <c r="Z2099" s="97"/>
      <c r="AA2099" s="619"/>
      <c r="AB2099" s="97"/>
      <c r="AC2099" s="97"/>
      <c r="AD2099" s="97"/>
      <c r="AE2099" s="97"/>
      <c r="AF2099" s="97"/>
      <c r="AG2099" s="97"/>
      <c r="AH2099" s="97"/>
      <c r="AI2099" s="97"/>
      <c r="AJ2099" s="97"/>
      <c r="AK2099" s="97"/>
      <c r="AL2099" s="97"/>
      <c r="AM2099" s="97"/>
      <c r="AN2099" s="97"/>
      <c r="AO2099" s="97"/>
      <c r="AP2099" s="97"/>
      <c r="AQ2099" s="97"/>
      <c r="AR2099" s="97"/>
      <c r="AS2099" s="97"/>
      <c r="AT2099" s="97"/>
      <c r="AU2099" s="97"/>
      <c r="AV2099" s="97"/>
      <c r="AW2099" s="97"/>
    </row>
    <row r="2100" spans="1:49" ht="15" customHeight="1">
      <c r="A2100" s="297"/>
      <c r="B2100" s="217"/>
      <c r="C2100" s="217"/>
      <c r="D2100" s="101"/>
      <c r="E2100" s="101"/>
      <c r="F2100" s="185"/>
      <c r="G2100" s="295"/>
      <c r="H2100" s="295"/>
      <c r="I2100" s="99"/>
      <c r="J2100" s="99"/>
      <c r="K2100" s="99"/>
      <c r="L2100" s="99"/>
      <c r="M2100" s="99"/>
      <c r="N2100" s="99"/>
      <c r="O2100" s="99"/>
      <c r="P2100" s="99"/>
      <c r="Q2100" s="99"/>
      <c r="R2100" s="99"/>
      <c r="S2100" s="99"/>
      <c r="T2100" s="99"/>
      <c r="U2100" s="99"/>
      <c r="V2100" s="99"/>
      <c r="W2100" s="244"/>
      <c r="X2100" s="244"/>
      <c r="Y2100" s="244"/>
      <c r="Z2100" s="97"/>
      <c r="AA2100" s="619"/>
      <c r="AB2100" s="97"/>
      <c r="AC2100" s="97"/>
      <c r="AD2100" s="97"/>
      <c r="AE2100" s="97"/>
      <c r="AF2100" s="97"/>
      <c r="AG2100" s="97"/>
      <c r="AH2100" s="97"/>
      <c r="AI2100" s="97"/>
      <c r="AJ2100" s="97"/>
      <c r="AK2100" s="97"/>
      <c r="AL2100" s="97"/>
      <c r="AM2100" s="97"/>
      <c r="AN2100" s="97"/>
      <c r="AO2100" s="97"/>
      <c r="AP2100" s="97"/>
      <c r="AQ2100" s="97"/>
      <c r="AR2100" s="97"/>
      <c r="AS2100" s="97"/>
      <c r="AT2100" s="97"/>
      <c r="AU2100" s="97"/>
      <c r="AV2100" s="97"/>
      <c r="AW2100" s="97"/>
    </row>
    <row r="2101" spans="1:49" ht="15" customHeight="1">
      <c r="A2101" s="297"/>
      <c r="B2101" s="217"/>
      <c r="C2101" s="217"/>
      <c r="D2101" s="101"/>
      <c r="E2101" s="101"/>
      <c r="F2101" s="185"/>
      <c r="G2101" s="295"/>
      <c r="H2101" s="295"/>
      <c r="I2101" s="99"/>
      <c r="J2101" s="99"/>
      <c r="K2101" s="99"/>
      <c r="L2101" s="99"/>
      <c r="M2101" s="99"/>
      <c r="N2101" s="99"/>
      <c r="O2101" s="99"/>
      <c r="P2101" s="99"/>
      <c r="Q2101" s="99"/>
      <c r="R2101" s="99"/>
      <c r="S2101" s="99"/>
      <c r="T2101" s="99"/>
      <c r="U2101" s="99"/>
      <c r="V2101" s="99"/>
      <c r="W2101" s="244"/>
      <c r="X2101" s="244"/>
      <c r="Y2101" s="244"/>
      <c r="Z2101" s="97"/>
      <c r="AA2101" s="619"/>
      <c r="AB2101" s="97"/>
      <c r="AC2101" s="97"/>
      <c r="AD2101" s="97"/>
      <c r="AE2101" s="97"/>
      <c r="AF2101" s="97"/>
      <c r="AG2101" s="97"/>
      <c r="AH2101" s="97"/>
      <c r="AI2101" s="97"/>
      <c r="AJ2101" s="97"/>
      <c r="AK2101" s="97"/>
      <c r="AL2101" s="97"/>
      <c r="AM2101" s="97"/>
      <c r="AN2101" s="97"/>
      <c r="AO2101" s="97"/>
      <c r="AP2101" s="97"/>
      <c r="AQ2101" s="97"/>
      <c r="AR2101" s="97"/>
      <c r="AS2101" s="97"/>
      <c r="AT2101" s="97"/>
      <c r="AU2101" s="97"/>
      <c r="AV2101" s="97"/>
      <c r="AW2101" s="97"/>
    </row>
    <row r="2102" spans="1:49" ht="15" customHeight="1">
      <c r="A2102" s="297"/>
      <c r="B2102" s="217"/>
      <c r="C2102" s="217"/>
      <c r="D2102" s="101"/>
      <c r="E2102" s="101"/>
      <c r="F2102" s="185"/>
      <c r="G2102" s="295"/>
      <c r="H2102" s="295"/>
      <c r="I2102" s="99"/>
      <c r="J2102" s="99"/>
      <c r="K2102" s="99"/>
      <c r="L2102" s="99"/>
      <c r="M2102" s="99"/>
      <c r="N2102" s="99"/>
      <c r="O2102" s="99"/>
      <c r="P2102" s="99"/>
      <c r="Q2102" s="99"/>
      <c r="R2102" s="99"/>
      <c r="S2102" s="99"/>
      <c r="T2102" s="99"/>
      <c r="U2102" s="99"/>
      <c r="V2102" s="99"/>
      <c r="W2102" s="244"/>
      <c r="X2102" s="244"/>
      <c r="Y2102" s="244"/>
      <c r="Z2102" s="97"/>
      <c r="AA2102" s="619"/>
      <c r="AB2102" s="97"/>
      <c r="AC2102" s="97"/>
      <c r="AD2102" s="97"/>
      <c r="AE2102" s="97"/>
      <c r="AF2102" s="97"/>
      <c r="AG2102" s="97"/>
      <c r="AH2102" s="97"/>
      <c r="AI2102" s="97"/>
      <c r="AJ2102" s="97"/>
      <c r="AK2102" s="97"/>
      <c r="AL2102" s="97"/>
      <c r="AM2102" s="97"/>
      <c r="AN2102" s="97"/>
      <c r="AO2102" s="97"/>
      <c r="AP2102" s="97"/>
      <c r="AQ2102" s="97"/>
      <c r="AR2102" s="97"/>
      <c r="AS2102" s="97"/>
      <c r="AT2102" s="97"/>
      <c r="AU2102" s="97"/>
      <c r="AV2102" s="97"/>
      <c r="AW2102" s="97"/>
    </row>
    <row r="2103" spans="1:49" ht="15" customHeight="1">
      <c r="A2103" s="297"/>
      <c r="B2103" s="217"/>
      <c r="C2103" s="217"/>
      <c r="D2103" s="101"/>
      <c r="E2103" s="101"/>
      <c r="F2103" s="185"/>
      <c r="G2103" s="295"/>
      <c r="H2103" s="295"/>
      <c r="I2103" s="99"/>
      <c r="J2103" s="99"/>
      <c r="K2103" s="99"/>
      <c r="L2103" s="99"/>
      <c r="M2103" s="99"/>
      <c r="N2103" s="99"/>
      <c r="O2103" s="99"/>
      <c r="P2103" s="99"/>
      <c r="Q2103" s="99"/>
      <c r="R2103" s="99"/>
      <c r="S2103" s="99"/>
      <c r="T2103" s="99"/>
      <c r="U2103" s="99"/>
      <c r="V2103" s="99"/>
      <c r="W2103" s="244"/>
      <c r="X2103" s="244"/>
      <c r="Y2103" s="244"/>
      <c r="Z2103" s="97"/>
      <c r="AA2103" s="619"/>
      <c r="AB2103" s="97"/>
      <c r="AC2103" s="97"/>
      <c r="AD2103" s="97"/>
      <c r="AE2103" s="97"/>
      <c r="AF2103" s="97"/>
      <c r="AG2103" s="97"/>
      <c r="AH2103" s="97"/>
      <c r="AI2103" s="97"/>
      <c r="AJ2103" s="97"/>
      <c r="AK2103" s="97"/>
      <c r="AL2103" s="97"/>
      <c r="AM2103" s="97"/>
      <c r="AN2103" s="97"/>
      <c r="AO2103" s="97"/>
      <c r="AP2103" s="97"/>
      <c r="AQ2103" s="97"/>
      <c r="AR2103" s="97"/>
      <c r="AS2103" s="97"/>
      <c r="AT2103" s="97"/>
      <c r="AU2103" s="97"/>
      <c r="AV2103" s="97"/>
      <c r="AW2103" s="97"/>
    </row>
    <row r="2104" spans="1:49" ht="15" customHeight="1">
      <c r="A2104" s="297"/>
      <c r="B2104" s="217"/>
      <c r="C2104" s="217"/>
      <c r="D2104" s="101"/>
      <c r="E2104" s="101"/>
      <c r="F2104" s="185"/>
      <c r="G2104" s="295"/>
      <c r="H2104" s="295"/>
      <c r="I2104" s="99"/>
      <c r="J2104" s="99"/>
      <c r="K2104" s="99"/>
      <c r="L2104" s="99"/>
      <c r="M2104" s="99"/>
      <c r="N2104" s="99"/>
      <c r="O2104" s="99"/>
      <c r="P2104" s="99"/>
      <c r="Q2104" s="99"/>
      <c r="R2104" s="99"/>
      <c r="S2104" s="99"/>
      <c r="T2104" s="99"/>
      <c r="U2104" s="99"/>
      <c r="V2104" s="99"/>
      <c r="W2104" s="244"/>
      <c r="X2104" s="244"/>
      <c r="Y2104" s="244"/>
      <c r="Z2104" s="97"/>
      <c r="AA2104" s="619"/>
      <c r="AB2104" s="97"/>
      <c r="AC2104" s="97"/>
      <c r="AD2104" s="97"/>
      <c r="AE2104" s="97"/>
      <c r="AF2104" s="97"/>
      <c r="AG2104" s="97"/>
      <c r="AH2104" s="97"/>
      <c r="AI2104" s="97"/>
      <c r="AJ2104" s="97"/>
      <c r="AK2104" s="97"/>
      <c r="AL2104" s="97"/>
      <c r="AM2104" s="97"/>
      <c r="AN2104" s="97"/>
      <c r="AO2104" s="97"/>
      <c r="AP2104" s="97"/>
      <c r="AQ2104" s="97"/>
      <c r="AR2104" s="97"/>
      <c r="AS2104" s="97"/>
      <c r="AT2104" s="97"/>
      <c r="AU2104" s="97"/>
      <c r="AV2104" s="97"/>
      <c r="AW2104" s="97"/>
    </row>
    <row r="2105" spans="1:49" ht="15" customHeight="1">
      <c r="A2105" s="297"/>
      <c r="B2105" s="217"/>
      <c r="C2105" s="217"/>
      <c r="D2105" s="101"/>
      <c r="E2105" s="101"/>
      <c r="F2105" s="185"/>
      <c r="G2105" s="295"/>
      <c r="H2105" s="295"/>
      <c r="I2105" s="99"/>
      <c r="J2105" s="99"/>
      <c r="K2105" s="99"/>
      <c r="L2105" s="99"/>
      <c r="M2105" s="99"/>
      <c r="N2105" s="99"/>
      <c r="O2105" s="99"/>
      <c r="P2105" s="99"/>
      <c r="Q2105" s="99"/>
      <c r="R2105" s="99"/>
      <c r="S2105" s="99"/>
      <c r="T2105" s="99"/>
      <c r="U2105" s="99"/>
      <c r="V2105" s="99"/>
      <c r="W2105" s="244"/>
      <c r="X2105" s="244"/>
      <c r="Y2105" s="244"/>
      <c r="Z2105" s="97"/>
      <c r="AA2105" s="619"/>
      <c r="AB2105" s="97"/>
      <c r="AC2105" s="97"/>
      <c r="AD2105" s="97"/>
      <c r="AE2105" s="97"/>
      <c r="AF2105" s="97"/>
      <c r="AG2105" s="97"/>
      <c r="AH2105" s="97"/>
      <c r="AI2105" s="97"/>
      <c r="AJ2105" s="97"/>
      <c r="AK2105" s="97"/>
      <c r="AL2105" s="97"/>
      <c r="AM2105" s="97"/>
      <c r="AN2105" s="97"/>
      <c r="AO2105" s="97"/>
      <c r="AP2105" s="97"/>
      <c r="AQ2105" s="97"/>
      <c r="AR2105" s="97"/>
      <c r="AS2105" s="97"/>
      <c r="AT2105" s="97"/>
      <c r="AU2105" s="97"/>
      <c r="AV2105" s="97"/>
      <c r="AW2105" s="97"/>
    </row>
    <row r="2106" spans="1:49" ht="15" customHeight="1">
      <c r="A2106" s="297"/>
      <c r="B2106" s="217"/>
      <c r="C2106" s="217"/>
      <c r="D2106" s="101"/>
      <c r="E2106" s="101"/>
      <c r="F2106" s="185"/>
      <c r="G2106" s="295"/>
      <c r="H2106" s="295"/>
      <c r="I2106" s="99"/>
      <c r="J2106" s="99"/>
      <c r="K2106" s="99"/>
      <c r="L2106" s="99"/>
      <c r="M2106" s="99"/>
      <c r="N2106" s="99"/>
      <c r="O2106" s="99"/>
      <c r="P2106" s="99"/>
      <c r="Q2106" s="99"/>
      <c r="R2106" s="99"/>
      <c r="S2106" s="99"/>
      <c r="T2106" s="99"/>
      <c r="U2106" s="99"/>
      <c r="V2106" s="99"/>
      <c r="W2106" s="244"/>
      <c r="X2106" s="244"/>
      <c r="Y2106" s="244"/>
      <c r="Z2106" s="97"/>
      <c r="AA2106" s="619"/>
      <c r="AB2106" s="97"/>
      <c r="AC2106" s="97"/>
      <c r="AD2106" s="97"/>
      <c r="AE2106" s="97"/>
      <c r="AF2106" s="97"/>
      <c r="AG2106" s="97"/>
      <c r="AH2106" s="97"/>
      <c r="AI2106" s="97"/>
      <c r="AJ2106" s="97"/>
      <c r="AK2106" s="97"/>
      <c r="AL2106" s="97"/>
      <c r="AM2106" s="97"/>
      <c r="AN2106" s="97"/>
      <c r="AO2106" s="97"/>
      <c r="AP2106" s="97"/>
      <c r="AQ2106" s="97"/>
      <c r="AR2106" s="97"/>
      <c r="AS2106" s="97"/>
      <c r="AT2106" s="97"/>
      <c r="AU2106" s="97"/>
      <c r="AV2106" s="97"/>
      <c r="AW2106" s="97"/>
    </row>
    <row r="2107" spans="1:49" ht="15" customHeight="1">
      <c r="A2107" s="297"/>
      <c r="B2107" s="217"/>
      <c r="C2107" s="217"/>
      <c r="D2107" s="101"/>
      <c r="E2107" s="101"/>
      <c r="F2107" s="185"/>
      <c r="G2107" s="295"/>
      <c r="H2107" s="295"/>
      <c r="I2107" s="99"/>
      <c r="J2107" s="99"/>
      <c r="K2107" s="99"/>
      <c r="L2107" s="99"/>
      <c r="M2107" s="99"/>
      <c r="N2107" s="99"/>
      <c r="O2107" s="99"/>
      <c r="P2107" s="99"/>
      <c r="Q2107" s="99"/>
      <c r="R2107" s="99"/>
      <c r="S2107" s="99"/>
      <c r="T2107" s="99"/>
      <c r="U2107" s="99"/>
      <c r="V2107" s="99"/>
      <c r="W2107" s="244"/>
      <c r="X2107" s="244"/>
      <c r="Y2107" s="244"/>
      <c r="Z2107" s="97"/>
      <c r="AA2107" s="619"/>
      <c r="AB2107" s="97"/>
      <c r="AC2107" s="97"/>
      <c r="AD2107" s="97"/>
      <c r="AE2107" s="97"/>
      <c r="AF2107" s="97"/>
      <c r="AG2107" s="97"/>
      <c r="AH2107" s="97"/>
      <c r="AI2107" s="97"/>
      <c r="AJ2107" s="97"/>
      <c r="AK2107" s="97"/>
      <c r="AL2107" s="97"/>
      <c r="AM2107" s="97"/>
      <c r="AN2107" s="97"/>
      <c r="AO2107" s="97"/>
      <c r="AP2107" s="97"/>
      <c r="AQ2107" s="97"/>
      <c r="AR2107" s="97"/>
      <c r="AS2107" s="97"/>
      <c r="AT2107" s="97"/>
      <c r="AU2107" s="97"/>
      <c r="AV2107" s="97"/>
      <c r="AW2107" s="97"/>
    </row>
    <row r="2108" spans="1:49" ht="15" customHeight="1">
      <c r="A2108" s="297"/>
      <c r="B2108" s="217"/>
      <c r="C2108" s="217"/>
      <c r="D2108" s="101"/>
      <c r="E2108" s="101"/>
      <c r="F2108" s="185"/>
      <c r="G2108" s="295"/>
      <c r="H2108" s="295"/>
      <c r="I2108" s="99"/>
      <c r="J2108" s="99"/>
      <c r="K2108" s="99"/>
      <c r="L2108" s="99"/>
      <c r="M2108" s="99"/>
      <c r="N2108" s="99"/>
      <c r="O2108" s="99"/>
      <c r="P2108" s="99"/>
      <c r="Q2108" s="99"/>
      <c r="R2108" s="99"/>
      <c r="S2108" s="99"/>
      <c r="T2108" s="99"/>
      <c r="U2108" s="99"/>
      <c r="V2108" s="99"/>
      <c r="W2108" s="244"/>
      <c r="X2108" s="244"/>
      <c r="Y2108" s="244"/>
      <c r="Z2108" s="97"/>
      <c r="AA2108" s="619"/>
      <c r="AB2108" s="97"/>
      <c r="AC2108" s="97"/>
      <c r="AD2108" s="97"/>
      <c r="AE2108" s="97"/>
      <c r="AF2108" s="97"/>
      <c r="AG2108" s="97"/>
      <c r="AH2108" s="97"/>
      <c r="AI2108" s="97"/>
      <c r="AJ2108" s="97"/>
      <c r="AK2108" s="97"/>
      <c r="AL2108" s="97"/>
      <c r="AM2108" s="97"/>
      <c r="AN2108" s="97"/>
      <c r="AO2108" s="97"/>
      <c r="AP2108" s="97"/>
      <c r="AQ2108" s="97"/>
      <c r="AR2108" s="97"/>
      <c r="AS2108" s="97"/>
      <c r="AT2108" s="97"/>
      <c r="AU2108" s="97"/>
      <c r="AV2108" s="97"/>
      <c r="AW2108" s="97"/>
    </row>
    <row r="2109" spans="1:49" ht="15" customHeight="1">
      <c r="A2109" s="297"/>
      <c r="B2109" s="217"/>
      <c r="C2109" s="217"/>
      <c r="D2109" s="101"/>
      <c r="E2109" s="101"/>
      <c r="F2109" s="185"/>
      <c r="G2109" s="295"/>
      <c r="H2109" s="295"/>
      <c r="I2109" s="99"/>
      <c r="J2109" s="99"/>
      <c r="K2109" s="99"/>
      <c r="L2109" s="99"/>
      <c r="M2109" s="99"/>
      <c r="N2109" s="99"/>
      <c r="O2109" s="99"/>
      <c r="P2109" s="99"/>
      <c r="Q2109" s="99"/>
      <c r="R2109" s="99"/>
      <c r="S2109" s="99"/>
      <c r="T2109" s="99"/>
      <c r="U2109" s="99"/>
      <c r="V2109" s="99"/>
      <c r="W2109" s="244"/>
      <c r="X2109" s="244"/>
      <c r="Y2109" s="244"/>
      <c r="Z2109" s="97"/>
      <c r="AA2109" s="619"/>
      <c r="AB2109" s="97"/>
      <c r="AC2109" s="97"/>
      <c r="AD2109" s="97"/>
      <c r="AE2109" s="97"/>
      <c r="AF2109" s="97"/>
      <c r="AG2109" s="97"/>
      <c r="AH2109" s="97"/>
      <c r="AI2109" s="97"/>
      <c r="AJ2109" s="97"/>
      <c r="AK2109" s="97"/>
      <c r="AL2109" s="97"/>
      <c r="AM2109" s="97"/>
      <c r="AN2109" s="97"/>
      <c r="AO2109" s="97"/>
      <c r="AP2109" s="97"/>
      <c r="AQ2109" s="97"/>
      <c r="AR2109" s="97"/>
      <c r="AS2109" s="97"/>
      <c r="AT2109" s="97"/>
      <c r="AU2109" s="97"/>
      <c r="AV2109" s="97"/>
      <c r="AW2109" s="97"/>
    </row>
    <row r="2110" spans="1:49" ht="15" customHeight="1">
      <c r="A2110" s="297"/>
      <c r="B2110" s="217"/>
      <c r="C2110" s="217"/>
      <c r="D2110" s="101"/>
      <c r="E2110" s="101"/>
      <c r="F2110" s="185"/>
      <c r="G2110" s="295"/>
      <c r="H2110" s="295"/>
      <c r="I2110" s="99"/>
      <c r="J2110" s="99"/>
      <c r="K2110" s="99"/>
      <c r="L2110" s="99"/>
      <c r="M2110" s="99"/>
      <c r="N2110" s="99"/>
      <c r="O2110" s="99"/>
      <c r="P2110" s="99"/>
      <c r="Q2110" s="99"/>
      <c r="R2110" s="99"/>
      <c r="S2110" s="99"/>
      <c r="T2110" s="99"/>
      <c r="U2110" s="99"/>
      <c r="V2110" s="99"/>
      <c r="W2110" s="244"/>
      <c r="X2110" s="244"/>
      <c r="Y2110" s="244"/>
      <c r="Z2110" s="97"/>
      <c r="AA2110" s="619"/>
      <c r="AB2110" s="97"/>
      <c r="AC2110" s="97"/>
      <c r="AD2110" s="97"/>
      <c r="AE2110" s="97"/>
      <c r="AF2110" s="97"/>
      <c r="AG2110" s="97"/>
      <c r="AH2110" s="97"/>
      <c r="AI2110" s="97"/>
      <c r="AJ2110" s="97"/>
      <c r="AK2110" s="97"/>
      <c r="AL2110" s="97"/>
      <c r="AM2110" s="97"/>
      <c r="AN2110" s="97"/>
      <c r="AO2110" s="97"/>
      <c r="AP2110" s="97"/>
      <c r="AQ2110" s="97"/>
      <c r="AR2110" s="97"/>
      <c r="AS2110" s="97"/>
      <c r="AT2110" s="97"/>
      <c r="AU2110" s="97"/>
      <c r="AV2110" s="97"/>
      <c r="AW2110" s="97"/>
    </row>
    <row r="2111" spans="1:49" ht="15" customHeight="1">
      <c r="A2111" s="297"/>
      <c r="B2111" s="217"/>
      <c r="C2111" s="217"/>
      <c r="D2111" s="101"/>
      <c r="E2111" s="101"/>
      <c r="F2111" s="185"/>
      <c r="G2111" s="295"/>
      <c r="H2111" s="295"/>
      <c r="I2111" s="99"/>
      <c r="J2111" s="99"/>
      <c r="K2111" s="99"/>
      <c r="L2111" s="99"/>
      <c r="M2111" s="99"/>
      <c r="N2111" s="99"/>
      <c r="O2111" s="99"/>
      <c r="P2111" s="99"/>
      <c r="Q2111" s="99"/>
      <c r="R2111" s="99"/>
      <c r="S2111" s="99"/>
      <c r="T2111" s="99"/>
      <c r="U2111" s="99"/>
      <c r="V2111" s="99"/>
      <c r="W2111" s="244"/>
      <c r="X2111" s="244"/>
      <c r="Y2111" s="244"/>
      <c r="Z2111" s="97"/>
      <c r="AA2111" s="619"/>
      <c r="AB2111" s="97"/>
      <c r="AC2111" s="97"/>
      <c r="AD2111" s="97"/>
      <c r="AE2111" s="97"/>
      <c r="AF2111" s="97"/>
      <c r="AG2111" s="97"/>
      <c r="AH2111" s="97"/>
      <c r="AI2111" s="97"/>
      <c r="AJ2111" s="97"/>
      <c r="AK2111" s="97"/>
      <c r="AL2111" s="97"/>
      <c r="AM2111" s="97"/>
      <c r="AN2111" s="97"/>
      <c r="AO2111" s="97"/>
      <c r="AP2111" s="97"/>
      <c r="AQ2111" s="97"/>
      <c r="AR2111" s="97"/>
      <c r="AS2111" s="97"/>
      <c r="AT2111" s="97"/>
      <c r="AU2111" s="97"/>
      <c r="AV2111" s="97"/>
      <c r="AW2111" s="97"/>
    </row>
    <row r="2112" spans="1:49" ht="15" customHeight="1">
      <c r="A2112" s="297"/>
      <c r="B2112" s="217"/>
      <c r="C2112" s="217"/>
      <c r="D2112" s="101"/>
      <c r="E2112" s="101"/>
      <c r="F2112" s="185"/>
      <c r="G2112" s="295"/>
      <c r="H2112" s="295"/>
      <c r="I2112" s="99"/>
      <c r="J2112" s="99"/>
      <c r="K2112" s="99"/>
      <c r="L2112" s="99"/>
      <c r="M2112" s="99"/>
      <c r="N2112" s="99"/>
      <c r="O2112" s="99"/>
      <c r="P2112" s="99"/>
      <c r="Q2112" s="99"/>
      <c r="R2112" s="99"/>
      <c r="S2112" s="99"/>
      <c r="T2112" s="99"/>
      <c r="U2112" s="202"/>
      <c r="V2112" s="202"/>
      <c r="W2112" s="244"/>
      <c r="X2112" s="244"/>
      <c r="Y2112" s="244"/>
      <c r="Z2112" s="97"/>
      <c r="AA2112" s="619"/>
      <c r="AB2112" s="97"/>
      <c r="AC2112" s="97"/>
      <c r="AD2112" s="97"/>
      <c r="AE2112" s="97"/>
      <c r="AF2112" s="97"/>
      <c r="AG2112" s="97"/>
      <c r="AH2112" s="97"/>
      <c r="AI2112" s="97"/>
      <c r="AJ2112" s="97"/>
      <c r="AK2112" s="97"/>
      <c r="AL2112" s="97"/>
      <c r="AM2112" s="97"/>
      <c r="AN2112" s="97"/>
      <c r="AO2112" s="97"/>
      <c r="AP2112" s="97"/>
      <c r="AQ2112" s="97"/>
      <c r="AR2112" s="97"/>
      <c r="AS2112" s="97"/>
      <c r="AT2112" s="200"/>
      <c r="AU2112" s="200"/>
      <c r="AV2112" s="200"/>
      <c r="AW2112" s="200"/>
    </row>
    <row r="2113" spans="1:49" ht="15" customHeight="1">
      <c r="A2113" s="297"/>
      <c r="B2113" s="217"/>
      <c r="C2113" s="217"/>
      <c r="D2113" s="101"/>
      <c r="E2113" s="101"/>
      <c r="F2113" s="185"/>
      <c r="G2113" s="295"/>
      <c r="H2113" s="295"/>
      <c r="I2113" s="99"/>
      <c r="J2113" s="99"/>
      <c r="K2113" s="99"/>
      <c r="L2113" s="99"/>
      <c r="M2113" s="99"/>
      <c r="N2113" s="99"/>
      <c r="O2113" s="99"/>
      <c r="P2113" s="99"/>
      <c r="Q2113" s="99"/>
      <c r="R2113" s="99"/>
      <c r="S2113" s="99"/>
      <c r="T2113" s="99"/>
      <c r="U2113" s="113"/>
      <c r="V2113" s="113"/>
      <c r="W2113" s="244"/>
      <c r="X2113" s="244"/>
      <c r="Y2113" s="244"/>
      <c r="Z2113" s="97"/>
      <c r="AA2113" s="619"/>
      <c r="AB2113" s="97"/>
      <c r="AC2113" s="97"/>
      <c r="AD2113" s="97"/>
      <c r="AE2113" s="97"/>
      <c r="AF2113" s="97"/>
      <c r="AG2113" s="97"/>
      <c r="AH2113" s="97"/>
      <c r="AI2113" s="97"/>
      <c r="AJ2113" s="97"/>
      <c r="AK2113" s="97"/>
      <c r="AL2113" s="97"/>
      <c r="AM2113" s="97"/>
      <c r="AN2113" s="97"/>
      <c r="AO2113" s="97"/>
      <c r="AP2113" s="97"/>
      <c r="AQ2113" s="97"/>
      <c r="AR2113" s="97"/>
      <c r="AS2113" s="97"/>
      <c r="AT2113" s="200"/>
      <c r="AU2113" s="200"/>
      <c r="AV2113" s="200"/>
      <c r="AW2113" s="200"/>
    </row>
    <row r="2114" spans="1:49" ht="15" customHeight="1">
      <c r="A2114" s="297"/>
      <c r="B2114" s="217"/>
      <c r="C2114" s="217"/>
      <c r="D2114" s="101"/>
      <c r="E2114" s="101"/>
      <c r="F2114" s="185"/>
      <c r="G2114" s="295"/>
      <c r="H2114" s="295"/>
      <c r="I2114" s="99"/>
      <c r="J2114" s="99"/>
      <c r="K2114" s="99"/>
      <c r="L2114" s="99"/>
      <c r="M2114" s="99"/>
      <c r="N2114" s="99"/>
      <c r="O2114" s="99"/>
      <c r="P2114" s="99"/>
      <c r="Q2114" s="99"/>
      <c r="R2114" s="99"/>
      <c r="S2114" s="99"/>
      <c r="T2114" s="99"/>
      <c r="U2114" s="99"/>
      <c r="V2114" s="99"/>
      <c r="W2114" s="244"/>
      <c r="X2114" s="244"/>
      <c r="Y2114" s="244"/>
      <c r="Z2114" s="97"/>
      <c r="AA2114" s="619"/>
      <c r="AB2114" s="97"/>
      <c r="AC2114" s="97"/>
      <c r="AD2114" s="97"/>
      <c r="AE2114" s="97"/>
      <c r="AF2114" s="97"/>
      <c r="AG2114" s="97"/>
      <c r="AH2114" s="97"/>
      <c r="AI2114" s="97"/>
      <c r="AJ2114" s="97"/>
      <c r="AK2114" s="97"/>
      <c r="AL2114" s="97"/>
      <c r="AM2114" s="97"/>
      <c r="AN2114" s="97"/>
      <c r="AO2114" s="97"/>
      <c r="AP2114" s="97"/>
      <c r="AQ2114" s="97"/>
      <c r="AR2114" s="97"/>
      <c r="AS2114" s="97"/>
      <c r="AT2114" s="200"/>
      <c r="AU2114" s="200"/>
      <c r="AV2114" s="200"/>
      <c r="AW2114" s="200"/>
    </row>
    <row r="2115" spans="1:49" ht="15" customHeight="1">
      <c r="A2115" s="297"/>
      <c r="B2115" s="217"/>
      <c r="C2115" s="217"/>
      <c r="D2115" s="101"/>
      <c r="E2115" s="101"/>
      <c r="F2115" s="185"/>
      <c r="G2115" s="295"/>
      <c r="H2115" s="295"/>
      <c r="I2115" s="99"/>
      <c r="J2115" s="99"/>
      <c r="K2115" s="99"/>
      <c r="L2115" s="99"/>
      <c r="M2115" s="99"/>
      <c r="N2115" s="99"/>
      <c r="O2115" s="99"/>
      <c r="P2115" s="99"/>
      <c r="Q2115" s="99"/>
      <c r="R2115" s="99"/>
      <c r="S2115" s="99"/>
      <c r="T2115" s="99"/>
      <c r="U2115" s="99"/>
      <c r="V2115" s="99"/>
      <c r="W2115" s="244"/>
      <c r="X2115" s="244"/>
      <c r="Y2115" s="244"/>
      <c r="Z2115" s="97"/>
      <c r="AA2115" s="619"/>
      <c r="AB2115" s="97"/>
      <c r="AC2115" s="97"/>
      <c r="AD2115" s="97"/>
      <c r="AE2115" s="97"/>
      <c r="AF2115" s="97"/>
      <c r="AG2115" s="97"/>
      <c r="AH2115" s="97"/>
      <c r="AI2115" s="97"/>
      <c r="AJ2115" s="97"/>
      <c r="AK2115" s="97"/>
      <c r="AL2115" s="97"/>
      <c r="AM2115" s="97"/>
      <c r="AN2115" s="97"/>
      <c r="AO2115" s="97"/>
      <c r="AP2115" s="97"/>
      <c r="AQ2115" s="97"/>
      <c r="AR2115" s="97"/>
      <c r="AS2115" s="97"/>
      <c r="AT2115" s="200"/>
      <c r="AU2115" s="200"/>
      <c r="AV2115" s="200"/>
      <c r="AW2115" s="200"/>
    </row>
    <row r="2116" spans="1:49" ht="15" customHeight="1">
      <c r="A2116" s="297"/>
      <c r="B2116" s="217"/>
      <c r="C2116" s="217"/>
      <c r="D2116" s="101"/>
      <c r="E2116" s="101"/>
      <c r="F2116" s="185"/>
      <c r="G2116" s="295"/>
      <c r="H2116" s="295"/>
      <c r="I2116" s="99"/>
      <c r="J2116" s="99"/>
      <c r="K2116" s="99"/>
      <c r="L2116" s="99"/>
      <c r="M2116" s="99"/>
      <c r="N2116" s="99"/>
      <c r="O2116" s="99"/>
      <c r="P2116" s="99"/>
      <c r="Q2116" s="99"/>
      <c r="R2116" s="99"/>
      <c r="S2116" s="99"/>
      <c r="T2116" s="99"/>
      <c r="U2116" s="99"/>
      <c r="V2116" s="99"/>
      <c r="W2116" s="244"/>
      <c r="X2116" s="244"/>
      <c r="Y2116" s="244"/>
      <c r="Z2116" s="97"/>
      <c r="AA2116" s="619"/>
      <c r="AB2116" s="97"/>
      <c r="AC2116" s="97"/>
      <c r="AD2116" s="97"/>
      <c r="AE2116" s="97"/>
      <c r="AF2116" s="97"/>
      <c r="AG2116" s="97"/>
      <c r="AH2116" s="97"/>
      <c r="AI2116" s="97"/>
      <c r="AJ2116" s="97"/>
      <c r="AK2116" s="97"/>
      <c r="AL2116" s="97"/>
      <c r="AM2116" s="97"/>
      <c r="AN2116" s="97"/>
      <c r="AO2116" s="97"/>
      <c r="AP2116" s="97"/>
      <c r="AQ2116" s="97"/>
      <c r="AR2116" s="97"/>
      <c r="AS2116" s="97"/>
      <c r="AT2116" s="200"/>
      <c r="AU2116" s="200"/>
      <c r="AV2116" s="200"/>
      <c r="AW2116" s="200"/>
    </row>
    <row r="2117" spans="1:49" ht="15" customHeight="1">
      <c r="A2117" s="297"/>
      <c r="B2117" s="217"/>
      <c r="C2117" s="217"/>
      <c r="D2117" s="101"/>
      <c r="E2117" s="101"/>
      <c r="F2117" s="185"/>
      <c r="G2117" s="295"/>
      <c r="H2117" s="295"/>
      <c r="I2117" s="99"/>
      <c r="J2117" s="99"/>
      <c r="K2117" s="99"/>
      <c r="L2117" s="99"/>
      <c r="M2117" s="99"/>
      <c r="N2117" s="99"/>
      <c r="O2117" s="99"/>
      <c r="P2117" s="99"/>
      <c r="Q2117" s="99"/>
      <c r="R2117" s="99"/>
      <c r="S2117" s="99"/>
      <c r="T2117" s="99"/>
      <c r="U2117" s="99"/>
      <c r="V2117" s="99"/>
      <c r="W2117" s="244"/>
      <c r="X2117" s="244"/>
      <c r="Y2117" s="244"/>
      <c r="Z2117" s="97"/>
      <c r="AA2117" s="619"/>
      <c r="AB2117" s="97"/>
      <c r="AC2117" s="97"/>
      <c r="AD2117" s="97"/>
      <c r="AE2117" s="97"/>
      <c r="AF2117" s="97"/>
      <c r="AG2117" s="97"/>
      <c r="AH2117" s="97"/>
      <c r="AI2117" s="97"/>
      <c r="AJ2117" s="97"/>
      <c r="AK2117" s="97"/>
      <c r="AL2117" s="97"/>
      <c r="AM2117" s="97"/>
      <c r="AN2117" s="97"/>
      <c r="AO2117" s="97"/>
      <c r="AP2117" s="97"/>
      <c r="AQ2117" s="97"/>
      <c r="AR2117" s="97"/>
      <c r="AS2117" s="97"/>
      <c r="AT2117" s="200"/>
      <c r="AU2117" s="200"/>
      <c r="AV2117" s="200"/>
      <c r="AW2117" s="200"/>
    </row>
    <row r="2118" spans="1:49" ht="15" customHeight="1">
      <c r="A2118" s="297"/>
      <c r="B2118" s="217"/>
      <c r="C2118" s="217"/>
      <c r="D2118" s="101"/>
      <c r="E2118" s="101"/>
      <c r="F2118" s="185"/>
      <c r="G2118" s="295"/>
      <c r="H2118" s="295"/>
      <c r="I2118" s="99"/>
      <c r="J2118" s="99"/>
      <c r="K2118" s="99"/>
      <c r="L2118" s="99"/>
      <c r="M2118" s="99"/>
      <c r="N2118" s="99"/>
      <c r="O2118" s="99"/>
      <c r="P2118" s="99"/>
      <c r="Q2118" s="99"/>
      <c r="R2118" s="99"/>
      <c r="S2118" s="99"/>
      <c r="T2118" s="99"/>
      <c r="U2118" s="99"/>
      <c r="V2118" s="99"/>
      <c r="W2118" s="244"/>
      <c r="X2118" s="244"/>
      <c r="Y2118" s="244"/>
      <c r="Z2118" s="97"/>
      <c r="AA2118" s="619"/>
      <c r="AB2118" s="97"/>
      <c r="AC2118" s="97"/>
      <c r="AD2118" s="97"/>
      <c r="AE2118" s="97"/>
      <c r="AF2118" s="97"/>
      <c r="AG2118" s="97"/>
      <c r="AH2118" s="97"/>
      <c r="AI2118" s="97"/>
      <c r="AJ2118" s="97"/>
      <c r="AK2118" s="97"/>
      <c r="AL2118" s="97"/>
      <c r="AM2118" s="97"/>
      <c r="AN2118" s="97"/>
      <c r="AO2118" s="97"/>
      <c r="AP2118" s="97"/>
      <c r="AQ2118" s="97"/>
      <c r="AR2118" s="97"/>
      <c r="AS2118" s="97"/>
      <c r="AT2118" s="200"/>
      <c r="AU2118" s="200"/>
      <c r="AV2118" s="200"/>
      <c r="AW2118" s="200"/>
    </row>
    <row r="2119" spans="1:49" ht="15" customHeight="1">
      <c r="A2119" s="297"/>
      <c r="B2119" s="217"/>
      <c r="C2119" s="217"/>
      <c r="D2119" s="101"/>
      <c r="E2119" s="101"/>
      <c r="F2119" s="185"/>
      <c r="G2119" s="295"/>
      <c r="H2119" s="295"/>
      <c r="I2119" s="99"/>
      <c r="J2119" s="99"/>
      <c r="K2119" s="99"/>
      <c r="L2119" s="99"/>
      <c r="M2119" s="99"/>
      <c r="N2119" s="99"/>
      <c r="O2119" s="99"/>
      <c r="P2119" s="99"/>
      <c r="Q2119" s="99"/>
      <c r="R2119" s="99"/>
      <c r="S2119" s="99"/>
      <c r="T2119" s="99"/>
      <c r="U2119" s="99"/>
      <c r="V2119" s="99"/>
      <c r="W2119" s="244"/>
      <c r="X2119" s="244"/>
      <c r="Y2119" s="244"/>
      <c r="Z2119" s="97"/>
      <c r="AA2119" s="619"/>
      <c r="AB2119" s="97"/>
      <c r="AC2119" s="97"/>
      <c r="AD2119" s="97"/>
      <c r="AE2119" s="97"/>
      <c r="AF2119" s="97"/>
      <c r="AG2119" s="97"/>
      <c r="AH2119" s="97"/>
      <c r="AI2119" s="97"/>
      <c r="AJ2119" s="97"/>
      <c r="AK2119" s="97"/>
      <c r="AL2119" s="97"/>
      <c r="AM2119" s="97"/>
      <c r="AN2119" s="97"/>
      <c r="AO2119" s="97"/>
      <c r="AP2119" s="97"/>
      <c r="AQ2119" s="97"/>
      <c r="AR2119" s="97"/>
      <c r="AS2119" s="97"/>
      <c r="AT2119" s="200"/>
      <c r="AU2119" s="200"/>
      <c r="AV2119" s="200"/>
      <c r="AW2119" s="200"/>
    </row>
    <row r="2120" spans="1:49" ht="15" customHeight="1">
      <c r="A2120" s="297"/>
      <c r="B2120" s="217"/>
      <c r="C2120" s="217"/>
      <c r="D2120" s="101"/>
      <c r="E2120" s="101"/>
      <c r="F2120" s="185"/>
      <c r="G2120" s="295"/>
      <c r="H2120" s="295"/>
      <c r="I2120" s="99"/>
      <c r="J2120" s="99"/>
      <c r="K2120" s="99"/>
      <c r="L2120" s="99"/>
      <c r="M2120" s="99"/>
      <c r="N2120" s="99"/>
      <c r="O2120" s="99"/>
      <c r="P2120" s="99"/>
      <c r="Q2120" s="99"/>
      <c r="R2120" s="99"/>
      <c r="S2120" s="99"/>
      <c r="T2120" s="99"/>
      <c r="U2120" s="99"/>
      <c r="V2120" s="99"/>
      <c r="W2120" s="244"/>
      <c r="X2120" s="244"/>
      <c r="Y2120" s="244"/>
      <c r="Z2120" s="97"/>
      <c r="AA2120" s="619"/>
      <c r="AB2120" s="97"/>
      <c r="AC2120" s="97"/>
      <c r="AD2120" s="97"/>
      <c r="AE2120" s="97"/>
      <c r="AF2120" s="97"/>
      <c r="AG2120" s="97"/>
      <c r="AH2120" s="97"/>
      <c r="AI2120" s="97"/>
      <c r="AJ2120" s="97"/>
      <c r="AK2120" s="97"/>
      <c r="AL2120" s="97"/>
      <c r="AM2120" s="97"/>
      <c r="AN2120" s="97"/>
      <c r="AO2120" s="97"/>
      <c r="AP2120" s="97"/>
      <c r="AQ2120" s="97"/>
      <c r="AR2120" s="97"/>
      <c r="AS2120" s="97"/>
      <c r="AT2120" s="200"/>
      <c r="AU2120" s="200"/>
      <c r="AV2120" s="200"/>
      <c r="AW2120" s="200"/>
    </row>
    <row r="2121" spans="1:49" ht="15" customHeight="1">
      <c r="A2121" s="297"/>
      <c r="B2121" s="217"/>
      <c r="C2121" s="217"/>
      <c r="D2121" s="101"/>
      <c r="E2121" s="101"/>
      <c r="F2121" s="185"/>
      <c r="G2121" s="295"/>
      <c r="H2121" s="295"/>
      <c r="I2121" s="99"/>
      <c r="J2121" s="99"/>
      <c r="K2121" s="99"/>
      <c r="L2121" s="99"/>
      <c r="M2121" s="99"/>
      <c r="N2121" s="99"/>
      <c r="O2121" s="99"/>
      <c r="P2121" s="99"/>
      <c r="Q2121" s="99"/>
      <c r="R2121" s="99"/>
      <c r="S2121" s="99"/>
      <c r="T2121" s="99"/>
      <c r="U2121" s="99"/>
      <c r="V2121" s="99"/>
      <c r="W2121" s="244"/>
      <c r="X2121" s="244"/>
      <c r="Y2121" s="244"/>
      <c r="Z2121" s="97"/>
      <c r="AA2121" s="619"/>
      <c r="AB2121" s="97"/>
      <c r="AC2121" s="97"/>
      <c r="AD2121" s="97"/>
      <c r="AE2121" s="97"/>
      <c r="AF2121" s="97"/>
      <c r="AG2121" s="97"/>
      <c r="AH2121" s="97"/>
      <c r="AI2121" s="97"/>
      <c r="AJ2121" s="97"/>
      <c r="AK2121" s="97"/>
      <c r="AL2121" s="97"/>
      <c r="AM2121" s="97"/>
      <c r="AN2121" s="97"/>
      <c r="AO2121" s="97"/>
      <c r="AP2121" s="97"/>
      <c r="AQ2121" s="97"/>
      <c r="AR2121" s="97"/>
      <c r="AS2121" s="97"/>
      <c r="AT2121" s="200"/>
      <c r="AU2121" s="200"/>
      <c r="AV2121" s="200"/>
      <c r="AW2121" s="200"/>
    </row>
    <row r="2122" spans="1:49" ht="15" customHeight="1">
      <c r="A2122" s="297"/>
      <c r="B2122" s="217"/>
      <c r="C2122" s="217"/>
      <c r="D2122" s="101"/>
      <c r="E2122" s="101"/>
      <c r="F2122" s="185"/>
      <c r="G2122" s="295"/>
      <c r="H2122" s="295"/>
      <c r="I2122" s="99"/>
      <c r="J2122" s="99"/>
      <c r="K2122" s="99"/>
      <c r="L2122" s="99"/>
      <c r="M2122" s="99"/>
      <c r="N2122" s="99"/>
      <c r="O2122" s="99"/>
      <c r="P2122" s="99"/>
      <c r="Q2122" s="99"/>
      <c r="R2122" s="99"/>
      <c r="S2122" s="99"/>
      <c r="T2122" s="99"/>
      <c r="U2122" s="99"/>
      <c r="V2122" s="99"/>
      <c r="W2122" s="244"/>
      <c r="X2122" s="244"/>
      <c r="Y2122" s="244"/>
      <c r="Z2122" s="97"/>
      <c r="AA2122" s="619"/>
      <c r="AB2122" s="97"/>
      <c r="AC2122" s="97"/>
      <c r="AD2122" s="97"/>
      <c r="AE2122" s="97"/>
      <c r="AF2122" s="97"/>
      <c r="AG2122" s="97"/>
      <c r="AH2122" s="97"/>
      <c r="AI2122" s="97"/>
      <c r="AJ2122" s="97"/>
      <c r="AK2122" s="97"/>
      <c r="AL2122" s="97"/>
      <c r="AM2122" s="97"/>
      <c r="AN2122" s="97"/>
      <c r="AO2122" s="97"/>
      <c r="AP2122" s="97"/>
      <c r="AQ2122" s="97"/>
      <c r="AR2122" s="97"/>
      <c r="AS2122" s="97"/>
      <c r="AT2122" s="200"/>
      <c r="AU2122" s="200"/>
      <c r="AV2122" s="200"/>
      <c r="AW2122" s="200"/>
    </row>
    <row r="2123" spans="1:49" ht="15" customHeight="1">
      <c r="A2123" s="297"/>
      <c r="B2123" s="217"/>
      <c r="C2123" s="217"/>
      <c r="D2123" s="101"/>
      <c r="E2123" s="101"/>
      <c r="F2123" s="185"/>
      <c r="G2123" s="295"/>
      <c r="H2123" s="107"/>
      <c r="I2123" s="108"/>
      <c r="J2123" s="108"/>
      <c r="K2123" s="108"/>
      <c r="L2123" s="108"/>
      <c r="M2123" s="108"/>
      <c r="N2123" s="108"/>
      <c r="O2123" s="108"/>
      <c r="P2123" s="108"/>
      <c r="Q2123" s="108"/>
      <c r="R2123" s="108"/>
      <c r="S2123" s="108"/>
      <c r="T2123" s="108"/>
      <c r="U2123" s="99"/>
      <c r="V2123" s="99"/>
      <c r="W2123" s="244"/>
      <c r="X2123" s="244"/>
      <c r="Y2123" s="244"/>
      <c r="Z2123" s="97"/>
      <c r="AA2123" s="619"/>
      <c r="AB2123" s="97"/>
      <c r="AC2123" s="97"/>
      <c r="AD2123" s="97"/>
      <c r="AE2123" s="97"/>
      <c r="AF2123" s="97"/>
      <c r="AG2123" s="97"/>
      <c r="AH2123" s="97"/>
      <c r="AI2123" s="97"/>
      <c r="AJ2123" s="97"/>
      <c r="AK2123" s="97"/>
      <c r="AL2123" s="97"/>
      <c r="AM2123" s="97"/>
      <c r="AN2123" s="97"/>
      <c r="AO2123" s="97"/>
      <c r="AP2123" s="97"/>
      <c r="AQ2123" s="97"/>
      <c r="AR2123" s="97"/>
      <c r="AS2123" s="97"/>
      <c r="AT2123" s="200"/>
      <c r="AU2123" s="200"/>
      <c r="AV2123" s="200"/>
      <c r="AW2123" s="200"/>
    </row>
    <row r="2124" spans="1:49" ht="15" customHeight="1">
      <c r="A2124" s="297"/>
      <c r="B2124" s="217"/>
      <c r="C2124" s="217"/>
      <c r="D2124" s="101"/>
      <c r="E2124" s="101"/>
      <c r="F2124" s="185"/>
      <c r="G2124" s="295"/>
      <c r="H2124" s="295"/>
      <c r="I2124" s="99"/>
      <c r="J2124" s="99"/>
      <c r="K2124" s="99"/>
      <c r="L2124" s="99"/>
      <c r="M2124" s="99"/>
      <c r="N2124" s="99"/>
      <c r="O2124" s="99"/>
      <c r="P2124" s="99"/>
      <c r="Q2124" s="99"/>
      <c r="R2124" s="99"/>
      <c r="S2124" s="99"/>
      <c r="T2124" s="99"/>
      <c r="U2124" s="99"/>
      <c r="V2124" s="99"/>
      <c r="W2124" s="244"/>
      <c r="X2124" s="244"/>
      <c r="Y2124" s="244"/>
      <c r="Z2124" s="97"/>
      <c r="AA2124" s="619"/>
      <c r="AB2124" s="97"/>
      <c r="AC2124" s="97"/>
      <c r="AD2124" s="97"/>
      <c r="AE2124" s="97"/>
      <c r="AF2124" s="97"/>
      <c r="AG2124" s="97"/>
      <c r="AH2124" s="97"/>
      <c r="AI2124" s="97"/>
      <c r="AJ2124" s="97"/>
      <c r="AK2124" s="97"/>
      <c r="AL2124" s="97"/>
      <c r="AM2124" s="97"/>
      <c r="AN2124" s="97"/>
      <c r="AO2124" s="97"/>
      <c r="AP2124" s="97"/>
      <c r="AQ2124" s="97"/>
      <c r="AR2124" s="97"/>
      <c r="AS2124" s="97"/>
      <c r="AT2124" s="200"/>
      <c r="AU2124" s="200"/>
      <c r="AV2124" s="200"/>
      <c r="AW2124" s="200"/>
    </row>
    <row r="2125" spans="1:49" ht="15" customHeight="1">
      <c r="A2125" s="297"/>
      <c r="B2125" s="217"/>
      <c r="C2125" s="217"/>
      <c r="D2125" s="101"/>
      <c r="E2125" s="101"/>
      <c r="F2125" s="185"/>
      <c r="G2125" s="295"/>
      <c r="H2125" s="295"/>
      <c r="I2125" s="99"/>
      <c r="J2125" s="99"/>
      <c r="K2125" s="99"/>
      <c r="L2125" s="99"/>
      <c r="M2125" s="99"/>
      <c r="N2125" s="99"/>
      <c r="O2125" s="99"/>
      <c r="P2125" s="99"/>
      <c r="Q2125" s="99"/>
      <c r="R2125" s="99"/>
      <c r="S2125" s="99"/>
      <c r="T2125" s="99"/>
      <c r="U2125" s="99"/>
      <c r="V2125" s="99"/>
      <c r="W2125" s="240"/>
      <c r="X2125" s="240"/>
      <c r="Y2125" s="240"/>
      <c r="AB2125" s="192"/>
      <c r="AC2125" s="312"/>
      <c r="AD2125" s="312"/>
      <c r="AE2125" s="312"/>
      <c r="AF2125" s="312"/>
      <c r="AG2125" s="312"/>
      <c r="AH2125" s="192"/>
      <c r="AI2125" s="192"/>
      <c r="AJ2125" s="194"/>
      <c r="AK2125" s="194"/>
      <c r="AL2125" s="194"/>
      <c r="AM2125" s="194"/>
      <c r="AN2125" s="194"/>
      <c r="AO2125" s="194"/>
      <c r="AP2125" s="194"/>
      <c r="AQ2125" s="194"/>
      <c r="AR2125" s="192"/>
      <c r="AS2125" s="192"/>
      <c r="AT2125" s="192"/>
      <c r="AU2125" s="192"/>
      <c r="AV2125" s="192"/>
      <c r="AW2125" s="192"/>
    </row>
    <row r="2126" spans="1:49" ht="15" customHeight="1">
      <c r="A2126" s="297"/>
      <c r="B2126" s="217"/>
      <c r="C2126" s="217"/>
      <c r="D2126" s="101"/>
      <c r="E2126" s="101"/>
      <c r="F2126" s="185"/>
      <c r="G2126" s="295"/>
      <c r="H2126" s="295"/>
      <c r="I2126" s="99"/>
      <c r="J2126" s="99"/>
      <c r="K2126" s="99"/>
      <c r="L2126" s="99"/>
      <c r="M2126" s="99"/>
      <c r="N2126" s="99"/>
      <c r="O2126" s="99"/>
      <c r="P2126" s="99"/>
      <c r="Q2126" s="99"/>
      <c r="R2126" s="99"/>
      <c r="S2126" s="99"/>
      <c r="T2126" s="99"/>
      <c r="U2126" s="99"/>
      <c r="V2126" s="99"/>
      <c r="W2126" s="240"/>
      <c r="X2126" s="240"/>
      <c r="Y2126" s="240"/>
      <c r="AB2126" s="192"/>
      <c r="AC2126" s="312"/>
      <c r="AD2126" s="312"/>
      <c r="AE2126" s="312"/>
      <c r="AF2126" s="312"/>
      <c r="AG2126" s="312"/>
      <c r="AH2126" s="192"/>
      <c r="AI2126" s="192"/>
      <c r="AJ2126" s="194"/>
      <c r="AK2126" s="194"/>
      <c r="AL2126" s="194"/>
      <c r="AM2126" s="194"/>
      <c r="AN2126" s="194"/>
      <c r="AO2126" s="194"/>
      <c r="AP2126" s="194"/>
      <c r="AQ2126" s="194"/>
      <c r="AR2126" s="192"/>
      <c r="AS2126" s="192"/>
      <c r="AT2126" s="192"/>
      <c r="AU2126" s="192"/>
      <c r="AV2126" s="192"/>
      <c r="AW2126" s="192"/>
    </row>
    <row r="2127" spans="1:49" ht="15" customHeight="1">
      <c r="A2127" s="297"/>
      <c r="B2127" s="217"/>
      <c r="C2127" s="217"/>
      <c r="D2127" s="101"/>
      <c r="E2127" s="101"/>
      <c r="F2127" s="185"/>
      <c r="G2127" s="295"/>
      <c r="H2127" s="295"/>
      <c r="I2127" s="99"/>
      <c r="J2127" s="99"/>
      <c r="K2127" s="99"/>
      <c r="L2127" s="99"/>
      <c r="M2127" s="99"/>
      <c r="N2127" s="99"/>
      <c r="O2127" s="99"/>
      <c r="P2127" s="99"/>
      <c r="Q2127" s="99"/>
      <c r="R2127" s="99"/>
      <c r="S2127" s="99"/>
      <c r="T2127" s="99"/>
      <c r="U2127" s="99"/>
      <c r="V2127" s="99"/>
      <c r="W2127" s="240"/>
      <c r="X2127" s="240"/>
      <c r="Y2127" s="240"/>
      <c r="AB2127" s="192"/>
      <c r="AC2127" s="312"/>
      <c r="AD2127" s="312"/>
      <c r="AE2127" s="312"/>
      <c r="AF2127" s="312"/>
      <c r="AG2127" s="312"/>
      <c r="AH2127" s="192"/>
      <c r="AI2127" s="192"/>
      <c r="AJ2127" s="194"/>
      <c r="AK2127" s="194"/>
      <c r="AL2127" s="194"/>
      <c r="AM2127" s="194"/>
      <c r="AN2127" s="194"/>
      <c r="AO2127" s="194"/>
      <c r="AP2127" s="194"/>
      <c r="AQ2127" s="194"/>
      <c r="AR2127" s="192"/>
      <c r="AS2127" s="192"/>
      <c r="AT2127" s="192"/>
      <c r="AU2127" s="192"/>
      <c r="AV2127" s="192"/>
      <c r="AW2127" s="192"/>
    </row>
    <row r="2128" spans="1:49" ht="15" customHeight="1">
      <c r="A2128" s="297"/>
      <c r="B2128" s="217"/>
      <c r="C2128" s="217"/>
      <c r="D2128" s="101"/>
      <c r="E2128" s="101"/>
      <c r="F2128" s="185"/>
      <c r="G2128" s="295"/>
      <c r="H2128" s="295"/>
      <c r="I2128" s="99"/>
      <c r="J2128" s="99"/>
      <c r="K2128" s="99"/>
      <c r="L2128" s="99"/>
      <c r="M2128" s="99"/>
      <c r="N2128" s="99"/>
      <c r="O2128" s="99"/>
      <c r="P2128" s="99"/>
      <c r="Q2128" s="99"/>
      <c r="R2128" s="99"/>
      <c r="S2128" s="99"/>
      <c r="T2128" s="99"/>
      <c r="U2128" s="99"/>
      <c r="V2128" s="99"/>
      <c r="W2128" s="240"/>
      <c r="X2128" s="240"/>
      <c r="Y2128" s="240"/>
      <c r="AB2128" s="192"/>
      <c r="AC2128" s="312"/>
      <c r="AD2128" s="312"/>
      <c r="AE2128" s="312"/>
      <c r="AF2128" s="312"/>
      <c r="AG2128" s="312"/>
      <c r="AH2128" s="192"/>
      <c r="AI2128" s="192"/>
      <c r="AJ2128" s="194"/>
      <c r="AK2128" s="194"/>
      <c r="AL2128" s="194"/>
      <c r="AM2128" s="194"/>
      <c r="AN2128" s="194"/>
      <c r="AO2128" s="194"/>
      <c r="AP2128" s="194"/>
      <c r="AQ2128" s="194"/>
      <c r="AR2128" s="192"/>
      <c r="AS2128" s="192"/>
      <c r="AT2128" s="192"/>
      <c r="AU2128" s="192"/>
      <c r="AV2128" s="192"/>
      <c r="AW2128" s="192"/>
    </row>
    <row r="2129" spans="1:49" ht="15" customHeight="1">
      <c r="A2129" s="297"/>
      <c r="B2129" s="217"/>
      <c r="C2129" s="217"/>
      <c r="D2129" s="101"/>
      <c r="E2129" s="101"/>
      <c r="F2129" s="185"/>
      <c r="G2129" s="295"/>
      <c r="H2129" s="295"/>
      <c r="I2129" s="99"/>
      <c r="J2129" s="99"/>
      <c r="K2129" s="99"/>
      <c r="L2129" s="99"/>
      <c r="M2129" s="99"/>
      <c r="N2129" s="99"/>
      <c r="O2129" s="99"/>
      <c r="P2129" s="99"/>
      <c r="Q2129" s="99"/>
      <c r="R2129" s="99"/>
      <c r="S2129" s="99"/>
      <c r="T2129" s="99"/>
      <c r="U2129" s="99"/>
      <c r="V2129" s="99"/>
      <c r="W2129" s="244"/>
      <c r="X2129" s="244"/>
      <c r="Y2129" s="244"/>
      <c r="Z2129" s="97"/>
      <c r="AA2129" s="619"/>
      <c r="AB2129" s="97"/>
      <c r="AC2129" s="97"/>
      <c r="AD2129" s="97"/>
      <c r="AE2129" s="97"/>
      <c r="AF2129" s="97"/>
      <c r="AG2129" s="97"/>
      <c r="AH2129" s="97"/>
      <c r="AI2129" s="97"/>
      <c r="AJ2129" s="97"/>
      <c r="AK2129" s="97"/>
      <c r="AL2129" s="97"/>
      <c r="AM2129" s="97"/>
      <c r="AN2129" s="97"/>
      <c r="AO2129" s="97"/>
      <c r="AP2129" s="97"/>
      <c r="AQ2129" s="97"/>
      <c r="AR2129" s="97"/>
      <c r="AS2129" s="97"/>
      <c r="AT2129" s="200"/>
      <c r="AU2129" s="200"/>
      <c r="AV2129" s="200"/>
      <c r="AW2129" s="200"/>
    </row>
    <row r="2130" spans="1:49" ht="15" customHeight="1">
      <c r="A2130" s="297"/>
      <c r="B2130" s="217"/>
      <c r="C2130" s="217"/>
      <c r="D2130" s="101"/>
      <c r="E2130" s="101"/>
      <c r="F2130" s="185"/>
      <c r="G2130" s="295"/>
      <c r="H2130" s="295"/>
      <c r="I2130" s="99"/>
      <c r="J2130" s="99"/>
      <c r="K2130" s="99"/>
      <c r="L2130" s="99"/>
      <c r="M2130" s="99"/>
      <c r="N2130" s="99"/>
      <c r="O2130" s="99"/>
      <c r="P2130" s="99"/>
      <c r="Q2130" s="99"/>
      <c r="R2130" s="99"/>
      <c r="S2130" s="99"/>
      <c r="T2130" s="99"/>
      <c r="U2130" s="99"/>
      <c r="V2130" s="99"/>
      <c r="W2130" s="244"/>
      <c r="X2130" s="244"/>
      <c r="Y2130" s="244"/>
      <c r="Z2130" s="97"/>
      <c r="AA2130" s="619"/>
      <c r="AB2130" s="97"/>
      <c r="AC2130" s="97"/>
      <c r="AD2130" s="97"/>
      <c r="AE2130" s="97"/>
      <c r="AF2130" s="97"/>
      <c r="AG2130" s="97"/>
      <c r="AH2130" s="97"/>
      <c r="AI2130" s="97"/>
      <c r="AJ2130" s="97"/>
      <c r="AK2130" s="97"/>
      <c r="AL2130" s="97"/>
      <c r="AM2130" s="97"/>
      <c r="AN2130" s="97"/>
      <c r="AO2130" s="97"/>
      <c r="AP2130" s="97"/>
      <c r="AQ2130" s="97"/>
      <c r="AR2130" s="97"/>
      <c r="AS2130" s="97"/>
      <c r="AT2130" s="200"/>
      <c r="AU2130" s="200"/>
      <c r="AV2130" s="200"/>
      <c r="AW2130" s="200"/>
    </row>
    <row r="2131" spans="1:49" ht="15" customHeight="1">
      <c r="A2131" s="297"/>
      <c r="B2131" s="217"/>
      <c r="C2131" s="217"/>
      <c r="D2131" s="101"/>
      <c r="E2131" s="101"/>
      <c r="F2131" s="185"/>
      <c r="G2131" s="295"/>
      <c r="H2131" s="295"/>
      <c r="I2131" s="99"/>
      <c r="J2131" s="99"/>
      <c r="K2131" s="99"/>
      <c r="L2131" s="99"/>
      <c r="M2131" s="99"/>
      <c r="N2131" s="99"/>
      <c r="O2131" s="99"/>
      <c r="P2131" s="99"/>
      <c r="Q2131" s="99"/>
      <c r="R2131" s="99"/>
      <c r="S2131" s="99"/>
      <c r="T2131" s="99"/>
      <c r="U2131" s="99"/>
      <c r="V2131" s="99"/>
      <c r="W2131" s="244"/>
      <c r="X2131" s="244"/>
      <c r="Y2131" s="244"/>
      <c r="Z2131" s="97"/>
      <c r="AA2131" s="619"/>
      <c r="AB2131" s="97"/>
      <c r="AC2131" s="97"/>
      <c r="AD2131" s="97"/>
      <c r="AE2131" s="97"/>
      <c r="AF2131" s="97"/>
      <c r="AG2131" s="97"/>
      <c r="AH2131" s="97"/>
      <c r="AI2131" s="97"/>
      <c r="AJ2131" s="97"/>
      <c r="AK2131" s="97"/>
      <c r="AL2131" s="97"/>
      <c r="AM2131" s="97"/>
      <c r="AN2131" s="97"/>
      <c r="AO2131" s="97"/>
      <c r="AP2131" s="97"/>
      <c r="AQ2131" s="97"/>
      <c r="AR2131" s="97"/>
      <c r="AS2131" s="97"/>
      <c r="AT2131" s="200"/>
      <c r="AU2131" s="200"/>
      <c r="AV2131" s="200"/>
      <c r="AW2131" s="200"/>
    </row>
    <row r="2132" spans="1:49" ht="15" customHeight="1">
      <c r="A2132" s="297"/>
      <c r="B2132" s="217"/>
      <c r="C2132" s="217"/>
      <c r="D2132" s="101"/>
      <c r="E2132" s="101"/>
      <c r="F2132" s="185"/>
      <c r="G2132" s="295"/>
      <c r="H2132" s="295"/>
      <c r="I2132" s="99"/>
      <c r="J2132" s="99"/>
      <c r="K2132" s="99"/>
      <c r="L2132" s="99"/>
      <c r="M2132" s="99"/>
      <c r="N2132" s="99"/>
      <c r="O2132" s="99"/>
      <c r="P2132" s="99"/>
      <c r="Q2132" s="99"/>
      <c r="R2132" s="99"/>
      <c r="S2132" s="99"/>
      <c r="T2132" s="99"/>
      <c r="U2132" s="99"/>
      <c r="V2132" s="99"/>
      <c r="W2132" s="244"/>
      <c r="X2132" s="244"/>
      <c r="Y2132" s="244"/>
      <c r="Z2132" s="97"/>
      <c r="AA2132" s="619"/>
      <c r="AB2132" s="97"/>
      <c r="AC2132" s="97"/>
      <c r="AD2132" s="97"/>
      <c r="AE2132" s="97"/>
      <c r="AF2132" s="97"/>
      <c r="AG2132" s="97"/>
      <c r="AH2132" s="97"/>
      <c r="AI2132" s="97"/>
      <c r="AJ2132" s="97"/>
      <c r="AK2132" s="97"/>
      <c r="AL2132" s="97"/>
      <c r="AM2132" s="97"/>
      <c r="AN2132" s="97"/>
      <c r="AO2132" s="97"/>
      <c r="AP2132" s="97"/>
      <c r="AQ2132" s="97"/>
      <c r="AR2132" s="97"/>
      <c r="AS2132" s="97"/>
      <c r="AT2132" s="200"/>
      <c r="AU2132" s="200"/>
      <c r="AV2132" s="200"/>
      <c r="AW2132" s="200"/>
    </row>
    <row r="2133" spans="1:49" ht="15" customHeight="1">
      <c r="A2133" s="297"/>
      <c r="B2133" s="217"/>
      <c r="C2133" s="217"/>
      <c r="D2133" s="101"/>
      <c r="E2133" s="101"/>
      <c r="F2133" s="185"/>
      <c r="G2133" s="295"/>
      <c r="H2133" s="295"/>
      <c r="I2133" s="99"/>
      <c r="J2133" s="99"/>
      <c r="K2133" s="99"/>
      <c r="L2133" s="99"/>
      <c r="M2133" s="99"/>
      <c r="N2133" s="99"/>
      <c r="O2133" s="99"/>
      <c r="P2133" s="99"/>
      <c r="Q2133" s="99"/>
      <c r="R2133" s="99"/>
      <c r="S2133" s="99"/>
      <c r="T2133" s="99"/>
      <c r="U2133" s="99"/>
      <c r="V2133" s="99"/>
      <c r="W2133" s="244"/>
      <c r="X2133" s="244"/>
      <c r="Y2133" s="244"/>
      <c r="Z2133" s="97"/>
      <c r="AA2133" s="619"/>
      <c r="AB2133" s="97"/>
      <c r="AC2133" s="97"/>
      <c r="AD2133" s="97"/>
      <c r="AE2133" s="97"/>
      <c r="AF2133" s="97"/>
      <c r="AG2133" s="97"/>
      <c r="AH2133" s="97"/>
      <c r="AI2133" s="97"/>
      <c r="AJ2133" s="97"/>
      <c r="AK2133" s="97"/>
      <c r="AL2133" s="97"/>
      <c r="AM2133" s="97"/>
      <c r="AN2133" s="97"/>
      <c r="AO2133" s="97"/>
      <c r="AP2133" s="97"/>
      <c r="AQ2133" s="97"/>
      <c r="AR2133" s="97"/>
      <c r="AS2133" s="97"/>
      <c r="AT2133" s="200"/>
      <c r="AU2133" s="200"/>
      <c r="AV2133" s="200"/>
      <c r="AW2133" s="200"/>
    </row>
    <row r="2134" spans="1:49" ht="15" customHeight="1">
      <c r="A2134" s="297"/>
      <c r="B2134" s="217"/>
      <c r="C2134" s="217"/>
      <c r="D2134" s="101"/>
      <c r="E2134" s="101"/>
      <c r="F2134" s="185"/>
      <c r="G2134" s="295"/>
      <c r="H2134" s="295"/>
      <c r="I2134" s="99"/>
      <c r="J2134" s="99"/>
      <c r="K2134" s="99"/>
      <c r="L2134" s="99"/>
      <c r="M2134" s="99"/>
      <c r="N2134" s="99"/>
      <c r="O2134" s="99"/>
      <c r="P2134" s="99"/>
      <c r="Q2134" s="99"/>
      <c r="R2134" s="99"/>
      <c r="S2134" s="99"/>
      <c r="T2134" s="99"/>
      <c r="U2134" s="99"/>
      <c r="V2134" s="99"/>
      <c r="W2134" s="244"/>
      <c r="X2134" s="244"/>
      <c r="Y2134" s="244"/>
      <c r="Z2134" s="97"/>
      <c r="AA2134" s="619"/>
      <c r="AB2134" s="97"/>
      <c r="AC2134" s="97"/>
      <c r="AD2134" s="97"/>
      <c r="AE2134" s="97"/>
      <c r="AF2134" s="97"/>
      <c r="AG2134" s="97"/>
      <c r="AH2134" s="97"/>
      <c r="AI2134" s="97"/>
      <c r="AJ2134" s="97"/>
      <c r="AK2134" s="97"/>
      <c r="AL2134" s="97"/>
      <c r="AM2134" s="97"/>
      <c r="AN2134" s="97"/>
      <c r="AO2134" s="97"/>
      <c r="AP2134" s="97"/>
      <c r="AQ2134" s="97"/>
      <c r="AR2134" s="97"/>
      <c r="AS2134" s="97"/>
      <c r="AT2134" s="200"/>
      <c r="AU2134" s="200"/>
      <c r="AV2134" s="200"/>
      <c r="AW2134" s="200"/>
    </row>
    <row r="2135" spans="1:49" ht="15" customHeight="1">
      <c r="A2135" s="297"/>
      <c r="B2135" s="217"/>
      <c r="C2135" s="217"/>
      <c r="D2135" s="101"/>
      <c r="E2135" s="101"/>
      <c r="F2135" s="185"/>
      <c r="G2135" s="295"/>
      <c r="H2135" s="295"/>
      <c r="I2135" s="99"/>
      <c r="J2135" s="99"/>
      <c r="K2135" s="99"/>
      <c r="L2135" s="99"/>
      <c r="M2135" s="99"/>
      <c r="N2135" s="99"/>
      <c r="O2135" s="99"/>
      <c r="P2135" s="99"/>
      <c r="Q2135" s="99"/>
      <c r="R2135" s="99"/>
      <c r="S2135" s="99"/>
      <c r="T2135" s="99"/>
      <c r="U2135" s="202"/>
      <c r="V2135" s="202"/>
      <c r="W2135" s="244"/>
      <c r="X2135" s="244"/>
      <c r="Y2135" s="244"/>
      <c r="Z2135" s="97"/>
      <c r="AA2135" s="619"/>
      <c r="AB2135" s="97"/>
      <c r="AC2135" s="97"/>
      <c r="AD2135" s="97"/>
      <c r="AE2135" s="97"/>
      <c r="AF2135" s="97"/>
      <c r="AG2135" s="97"/>
      <c r="AH2135" s="97"/>
      <c r="AI2135" s="97"/>
      <c r="AJ2135" s="97"/>
      <c r="AK2135" s="97"/>
      <c r="AL2135" s="97"/>
      <c r="AM2135" s="97"/>
      <c r="AN2135" s="97"/>
      <c r="AO2135" s="97"/>
      <c r="AP2135" s="97"/>
      <c r="AQ2135" s="97"/>
      <c r="AR2135" s="97"/>
      <c r="AS2135" s="97"/>
      <c r="AT2135" s="200"/>
      <c r="AU2135" s="200"/>
      <c r="AV2135" s="200"/>
      <c r="AW2135" s="200"/>
    </row>
    <row r="2136" spans="1:49" ht="15" customHeight="1">
      <c r="A2136" s="297"/>
      <c r="B2136" s="217"/>
      <c r="C2136" s="217"/>
      <c r="D2136" s="101"/>
      <c r="E2136" s="101"/>
      <c r="F2136" s="185"/>
      <c r="G2136" s="295"/>
      <c r="H2136" s="295"/>
      <c r="I2136" s="99"/>
      <c r="J2136" s="99"/>
      <c r="K2136" s="99"/>
      <c r="L2136" s="99"/>
      <c r="M2136" s="99"/>
      <c r="N2136" s="99"/>
      <c r="O2136" s="99"/>
      <c r="P2136" s="99"/>
      <c r="Q2136" s="99"/>
      <c r="R2136" s="99"/>
      <c r="S2136" s="99"/>
      <c r="T2136" s="99"/>
      <c r="U2136" s="113"/>
      <c r="V2136" s="113"/>
      <c r="W2136" s="244"/>
      <c r="X2136" s="244"/>
      <c r="Y2136" s="244"/>
      <c r="Z2136" s="97"/>
      <c r="AA2136" s="619"/>
      <c r="AB2136" s="97"/>
      <c r="AC2136" s="97"/>
      <c r="AD2136" s="97"/>
      <c r="AE2136" s="97"/>
      <c r="AF2136" s="97"/>
      <c r="AG2136" s="97"/>
      <c r="AH2136" s="97"/>
      <c r="AI2136" s="97"/>
      <c r="AJ2136" s="97"/>
      <c r="AK2136" s="97"/>
      <c r="AL2136" s="97"/>
      <c r="AM2136" s="97"/>
      <c r="AN2136" s="97"/>
      <c r="AO2136" s="97"/>
      <c r="AP2136" s="97"/>
      <c r="AQ2136" s="97"/>
      <c r="AR2136" s="97"/>
      <c r="AS2136" s="97"/>
      <c r="AT2136" s="200"/>
      <c r="AU2136" s="200"/>
      <c r="AV2136" s="200"/>
      <c r="AW2136" s="200"/>
    </row>
    <row r="2137" spans="1:49" ht="15" customHeight="1">
      <c r="A2137" s="297"/>
      <c r="B2137" s="217"/>
      <c r="C2137" s="217"/>
      <c r="D2137" s="101"/>
      <c r="E2137" s="101"/>
      <c r="F2137" s="185"/>
      <c r="G2137" s="295"/>
      <c r="H2137" s="107"/>
      <c r="I2137" s="108"/>
      <c r="J2137" s="108"/>
      <c r="K2137" s="108"/>
      <c r="L2137" s="108"/>
      <c r="M2137" s="108"/>
      <c r="N2137" s="108"/>
      <c r="O2137" s="108"/>
      <c r="P2137" s="108"/>
      <c r="Q2137" s="108"/>
      <c r="R2137" s="108"/>
      <c r="S2137" s="108"/>
      <c r="T2137" s="108"/>
      <c r="U2137" s="113"/>
      <c r="V2137" s="113"/>
      <c r="W2137" s="244"/>
      <c r="X2137" s="244"/>
      <c r="Y2137" s="244"/>
      <c r="Z2137" s="97"/>
      <c r="AA2137" s="619"/>
      <c r="AB2137" s="97"/>
      <c r="AC2137" s="97"/>
      <c r="AD2137" s="97"/>
      <c r="AE2137" s="97"/>
      <c r="AF2137" s="97"/>
      <c r="AG2137" s="97"/>
      <c r="AH2137" s="97"/>
      <c r="AI2137" s="97"/>
      <c r="AJ2137" s="97"/>
      <c r="AK2137" s="97"/>
      <c r="AL2137" s="97"/>
      <c r="AM2137" s="97"/>
      <c r="AN2137" s="97"/>
      <c r="AO2137" s="97"/>
      <c r="AP2137" s="97"/>
      <c r="AQ2137" s="97"/>
      <c r="AR2137" s="97"/>
      <c r="AS2137" s="97"/>
      <c r="AT2137" s="200"/>
      <c r="AU2137" s="200"/>
      <c r="AV2137" s="200"/>
      <c r="AW2137" s="200"/>
    </row>
    <row r="2138" spans="1:49" ht="15" customHeight="1">
      <c r="A2138" s="297"/>
      <c r="B2138" s="217"/>
      <c r="C2138" s="217"/>
      <c r="D2138" s="101"/>
      <c r="E2138" s="101"/>
      <c r="F2138" s="185"/>
      <c r="G2138" s="295"/>
      <c r="H2138" s="295"/>
      <c r="I2138" s="99"/>
      <c r="J2138" s="99"/>
      <c r="K2138" s="99"/>
      <c r="L2138" s="99"/>
      <c r="M2138" s="99"/>
      <c r="N2138" s="99"/>
      <c r="O2138" s="99"/>
      <c r="P2138" s="99"/>
      <c r="Q2138" s="99"/>
      <c r="R2138" s="99"/>
      <c r="S2138" s="99"/>
      <c r="T2138" s="99"/>
      <c r="U2138" s="113"/>
      <c r="V2138" s="113"/>
      <c r="W2138" s="244"/>
      <c r="X2138" s="244"/>
      <c r="Y2138" s="244"/>
      <c r="Z2138" s="97"/>
      <c r="AA2138" s="619"/>
      <c r="AB2138" s="97"/>
      <c r="AC2138" s="97"/>
      <c r="AD2138" s="97"/>
      <c r="AE2138" s="97"/>
      <c r="AF2138" s="97"/>
      <c r="AG2138" s="97"/>
      <c r="AH2138" s="97"/>
      <c r="AI2138" s="97"/>
      <c r="AJ2138" s="97"/>
      <c r="AK2138" s="97"/>
      <c r="AL2138" s="97"/>
      <c r="AM2138" s="97"/>
      <c r="AN2138" s="97"/>
      <c r="AO2138" s="97"/>
      <c r="AP2138" s="97"/>
      <c r="AQ2138" s="97"/>
      <c r="AR2138" s="97"/>
      <c r="AS2138" s="97"/>
      <c r="AT2138" s="200"/>
      <c r="AU2138" s="200"/>
      <c r="AV2138" s="200"/>
      <c r="AW2138" s="200"/>
    </row>
    <row r="2139" spans="1:49" ht="15" customHeight="1">
      <c r="A2139" s="297"/>
      <c r="B2139" s="217"/>
      <c r="C2139" s="217"/>
      <c r="D2139" s="101"/>
      <c r="E2139" s="101"/>
      <c r="F2139" s="185"/>
      <c r="G2139" s="295"/>
      <c r="H2139" s="295"/>
      <c r="I2139" s="99"/>
      <c r="J2139" s="99"/>
      <c r="K2139" s="99"/>
      <c r="L2139" s="99"/>
      <c r="M2139" s="99"/>
      <c r="N2139" s="99"/>
      <c r="O2139" s="99"/>
      <c r="P2139" s="99"/>
      <c r="Q2139" s="99"/>
      <c r="R2139" s="99"/>
      <c r="S2139" s="99"/>
      <c r="T2139" s="99"/>
      <c r="U2139" s="99"/>
      <c r="V2139" s="99"/>
      <c r="W2139" s="244"/>
      <c r="X2139" s="244"/>
      <c r="Y2139" s="244"/>
      <c r="Z2139" s="97"/>
      <c r="AA2139" s="619"/>
      <c r="AB2139" s="97"/>
      <c r="AC2139" s="97"/>
      <c r="AD2139" s="97"/>
      <c r="AE2139" s="97"/>
      <c r="AF2139" s="97"/>
      <c r="AG2139" s="97"/>
      <c r="AH2139" s="97"/>
      <c r="AI2139" s="97"/>
      <c r="AJ2139" s="97"/>
      <c r="AK2139" s="97"/>
      <c r="AL2139" s="97"/>
      <c r="AM2139" s="97"/>
      <c r="AN2139" s="97"/>
      <c r="AO2139" s="97"/>
      <c r="AP2139" s="97"/>
      <c r="AQ2139" s="97"/>
      <c r="AR2139" s="97"/>
      <c r="AS2139" s="97"/>
      <c r="AT2139" s="200"/>
      <c r="AU2139" s="200"/>
      <c r="AV2139" s="200"/>
      <c r="AW2139" s="200"/>
    </row>
    <row r="2140" spans="1:49" ht="15" customHeight="1">
      <c r="A2140" s="297"/>
      <c r="B2140" s="217"/>
      <c r="C2140" s="217"/>
      <c r="D2140" s="101"/>
      <c r="E2140" s="101"/>
      <c r="F2140" s="185"/>
      <c r="G2140" s="295"/>
      <c r="H2140" s="295"/>
      <c r="I2140" s="99"/>
      <c r="J2140" s="99"/>
      <c r="K2140" s="99"/>
      <c r="L2140" s="99"/>
      <c r="M2140" s="99"/>
      <c r="N2140" s="99"/>
      <c r="O2140" s="99"/>
      <c r="P2140" s="99"/>
      <c r="Q2140" s="99"/>
      <c r="R2140" s="99"/>
      <c r="S2140" s="99"/>
      <c r="T2140" s="99"/>
      <c r="U2140" s="99"/>
      <c r="V2140" s="99"/>
      <c r="W2140" s="244"/>
      <c r="X2140" s="244"/>
      <c r="Y2140" s="244"/>
      <c r="Z2140" s="97"/>
      <c r="AA2140" s="619"/>
      <c r="AB2140" s="97"/>
      <c r="AC2140" s="97"/>
      <c r="AD2140" s="97"/>
      <c r="AE2140" s="97"/>
      <c r="AF2140" s="97"/>
      <c r="AG2140" s="97"/>
      <c r="AH2140" s="97"/>
      <c r="AI2140" s="97"/>
      <c r="AJ2140" s="97"/>
      <c r="AK2140" s="97"/>
      <c r="AL2140" s="97"/>
      <c r="AM2140" s="97"/>
      <c r="AN2140" s="97"/>
      <c r="AO2140" s="97"/>
      <c r="AP2140" s="97"/>
      <c r="AQ2140" s="97"/>
      <c r="AR2140" s="97"/>
      <c r="AS2140" s="97"/>
      <c r="AT2140" s="200"/>
      <c r="AU2140" s="200"/>
      <c r="AV2140" s="200"/>
      <c r="AW2140" s="200"/>
    </row>
    <row r="2141" spans="1:49" ht="15" customHeight="1">
      <c r="A2141" s="297"/>
      <c r="B2141" s="217"/>
      <c r="C2141" s="217"/>
      <c r="D2141" s="101"/>
      <c r="E2141" s="101"/>
      <c r="F2141" s="185"/>
      <c r="G2141" s="295"/>
      <c r="H2141" s="295"/>
      <c r="I2141" s="99"/>
      <c r="J2141" s="99"/>
      <c r="K2141" s="99"/>
      <c r="L2141" s="99"/>
      <c r="M2141" s="99"/>
      <c r="N2141" s="99"/>
      <c r="O2141" s="99"/>
      <c r="P2141" s="99"/>
      <c r="Q2141" s="99"/>
      <c r="R2141" s="99"/>
      <c r="S2141" s="99"/>
      <c r="T2141" s="99"/>
      <c r="U2141" s="99"/>
      <c r="V2141" s="99"/>
      <c r="W2141" s="244"/>
      <c r="X2141" s="244"/>
      <c r="Y2141" s="244"/>
      <c r="Z2141" s="97"/>
      <c r="AA2141" s="619"/>
      <c r="AB2141" s="97"/>
      <c r="AC2141" s="97"/>
      <c r="AD2141" s="97"/>
      <c r="AE2141" s="97"/>
      <c r="AF2141" s="97"/>
      <c r="AG2141" s="97"/>
      <c r="AH2141" s="97"/>
      <c r="AI2141" s="97"/>
      <c r="AJ2141" s="97"/>
      <c r="AK2141" s="97"/>
      <c r="AL2141" s="97"/>
      <c r="AM2141" s="97"/>
      <c r="AN2141" s="97"/>
      <c r="AO2141" s="97"/>
      <c r="AP2141" s="97"/>
      <c r="AQ2141" s="97"/>
      <c r="AR2141" s="97"/>
      <c r="AS2141" s="97"/>
      <c r="AT2141" s="200"/>
      <c r="AU2141" s="200"/>
      <c r="AV2141" s="200"/>
      <c r="AW2141" s="200"/>
    </row>
    <row r="2142" spans="1:49" ht="15" customHeight="1">
      <c r="A2142" s="297"/>
      <c r="B2142" s="217"/>
      <c r="C2142" s="217"/>
      <c r="D2142" s="101"/>
      <c r="E2142" s="101"/>
      <c r="F2142" s="185"/>
      <c r="G2142" s="295"/>
      <c r="H2142" s="295"/>
      <c r="I2142" s="99"/>
      <c r="J2142" s="99"/>
      <c r="K2142" s="99"/>
      <c r="L2142" s="99"/>
      <c r="M2142" s="99"/>
      <c r="N2142" s="99"/>
      <c r="O2142" s="99"/>
      <c r="P2142" s="99"/>
      <c r="Q2142" s="99"/>
      <c r="R2142" s="99"/>
      <c r="S2142" s="99"/>
      <c r="T2142" s="99"/>
      <c r="U2142" s="99"/>
      <c r="V2142" s="99"/>
      <c r="W2142" s="244"/>
      <c r="X2142" s="244"/>
      <c r="Y2142" s="244"/>
      <c r="Z2142" s="97"/>
      <c r="AA2142" s="619"/>
      <c r="AB2142" s="97"/>
      <c r="AC2142" s="97"/>
      <c r="AD2142" s="97"/>
      <c r="AE2142" s="97"/>
      <c r="AF2142" s="97"/>
      <c r="AG2142" s="97"/>
      <c r="AH2142" s="97"/>
      <c r="AI2142" s="97"/>
      <c r="AJ2142" s="97"/>
      <c r="AK2142" s="97"/>
      <c r="AL2142" s="97"/>
      <c r="AM2142" s="97"/>
      <c r="AN2142" s="97"/>
      <c r="AO2142" s="97"/>
      <c r="AP2142" s="97"/>
      <c r="AQ2142" s="97"/>
      <c r="AR2142" s="97"/>
      <c r="AS2142" s="97"/>
      <c r="AT2142" s="200"/>
      <c r="AU2142" s="200"/>
      <c r="AV2142" s="200"/>
      <c r="AW2142" s="200"/>
    </row>
    <row r="2143" spans="1:49" ht="15" customHeight="1">
      <c r="A2143" s="297"/>
      <c r="B2143" s="217"/>
      <c r="C2143" s="217"/>
      <c r="D2143" s="101"/>
      <c r="E2143" s="101"/>
      <c r="F2143" s="185"/>
      <c r="G2143" s="295"/>
      <c r="H2143" s="295"/>
      <c r="I2143" s="99"/>
      <c r="J2143" s="99"/>
      <c r="K2143" s="99"/>
      <c r="L2143" s="99"/>
      <c r="M2143" s="99"/>
      <c r="N2143" s="99"/>
      <c r="O2143" s="99"/>
      <c r="P2143" s="99"/>
      <c r="Q2143" s="99"/>
      <c r="R2143" s="99"/>
      <c r="S2143" s="99"/>
      <c r="T2143" s="99"/>
      <c r="U2143" s="99"/>
      <c r="V2143" s="99"/>
      <c r="W2143" s="244"/>
      <c r="X2143" s="244"/>
      <c r="Y2143" s="244"/>
      <c r="Z2143" s="97"/>
      <c r="AA2143" s="619"/>
      <c r="AB2143" s="97"/>
      <c r="AC2143" s="97"/>
      <c r="AD2143" s="97"/>
      <c r="AE2143" s="97"/>
      <c r="AF2143" s="97"/>
      <c r="AG2143" s="97"/>
      <c r="AH2143" s="97"/>
      <c r="AI2143" s="97"/>
      <c r="AJ2143" s="97"/>
      <c r="AK2143" s="97"/>
      <c r="AL2143" s="97"/>
      <c r="AM2143" s="97"/>
      <c r="AN2143" s="97"/>
      <c r="AO2143" s="97"/>
      <c r="AP2143" s="97"/>
      <c r="AQ2143" s="97"/>
      <c r="AR2143" s="97"/>
      <c r="AS2143" s="97"/>
      <c r="AT2143" s="200"/>
      <c r="AU2143" s="200"/>
      <c r="AV2143" s="200"/>
      <c r="AW2143" s="200"/>
    </row>
    <row r="2144" spans="1:49" ht="15" customHeight="1">
      <c r="A2144" s="297"/>
      <c r="B2144" s="217"/>
      <c r="C2144" s="217"/>
      <c r="D2144" s="101"/>
      <c r="E2144" s="101"/>
      <c r="F2144" s="185"/>
      <c r="G2144" s="295"/>
      <c r="H2144" s="295"/>
      <c r="I2144" s="99"/>
      <c r="J2144" s="99"/>
      <c r="K2144" s="99"/>
      <c r="L2144" s="99"/>
      <c r="M2144" s="99"/>
      <c r="N2144" s="99"/>
      <c r="O2144" s="99"/>
      <c r="P2144" s="99"/>
      <c r="Q2144" s="99"/>
      <c r="R2144" s="99"/>
      <c r="S2144" s="99"/>
      <c r="T2144" s="99"/>
      <c r="U2144" s="99"/>
      <c r="V2144" s="99"/>
      <c r="W2144" s="244"/>
      <c r="X2144" s="244"/>
      <c r="Y2144" s="244"/>
      <c r="Z2144" s="97"/>
      <c r="AA2144" s="619"/>
      <c r="AB2144" s="97"/>
      <c r="AC2144" s="97"/>
      <c r="AD2144" s="97"/>
      <c r="AE2144" s="97"/>
      <c r="AF2144" s="97"/>
      <c r="AG2144" s="97"/>
      <c r="AH2144" s="97"/>
      <c r="AI2144" s="97"/>
      <c r="AJ2144" s="97"/>
      <c r="AK2144" s="97"/>
      <c r="AL2144" s="97"/>
      <c r="AM2144" s="97"/>
      <c r="AN2144" s="97"/>
      <c r="AO2144" s="97"/>
      <c r="AP2144" s="97"/>
      <c r="AQ2144" s="97"/>
      <c r="AR2144" s="97"/>
      <c r="AS2144" s="97"/>
      <c r="AT2144" s="200"/>
      <c r="AU2144" s="200"/>
      <c r="AV2144" s="200"/>
      <c r="AW2144" s="200"/>
    </row>
    <row r="2145" spans="1:49" ht="15" customHeight="1">
      <c r="A2145" s="297"/>
      <c r="B2145" s="217"/>
      <c r="C2145" s="217"/>
      <c r="D2145" s="101"/>
      <c r="E2145" s="101"/>
      <c r="F2145" s="185"/>
      <c r="G2145" s="295"/>
      <c r="H2145" s="295"/>
      <c r="I2145" s="99"/>
      <c r="J2145" s="99"/>
      <c r="K2145" s="99"/>
      <c r="L2145" s="99"/>
      <c r="M2145" s="99"/>
      <c r="N2145" s="99"/>
      <c r="O2145" s="99"/>
      <c r="P2145" s="99"/>
      <c r="Q2145" s="99"/>
      <c r="R2145" s="99"/>
      <c r="S2145" s="99"/>
      <c r="T2145" s="99"/>
      <c r="U2145" s="99"/>
      <c r="V2145" s="99"/>
      <c r="W2145" s="244"/>
      <c r="X2145" s="244"/>
      <c r="Y2145" s="244"/>
      <c r="Z2145" s="97"/>
      <c r="AA2145" s="619"/>
      <c r="AB2145" s="97"/>
      <c r="AC2145" s="97"/>
      <c r="AD2145" s="97"/>
      <c r="AE2145" s="97"/>
      <c r="AF2145" s="97"/>
      <c r="AG2145" s="97"/>
      <c r="AH2145" s="97"/>
      <c r="AI2145" s="97"/>
      <c r="AJ2145" s="97"/>
      <c r="AK2145" s="97"/>
      <c r="AL2145" s="97"/>
      <c r="AM2145" s="97"/>
      <c r="AN2145" s="97"/>
      <c r="AO2145" s="97"/>
      <c r="AP2145" s="97"/>
      <c r="AQ2145" s="97"/>
      <c r="AR2145" s="97"/>
      <c r="AS2145" s="97"/>
      <c r="AT2145" s="200"/>
      <c r="AU2145" s="200"/>
      <c r="AV2145" s="200"/>
      <c r="AW2145" s="200"/>
    </row>
    <row r="2146" spans="1:49" ht="15" customHeight="1">
      <c r="A2146" s="297"/>
      <c r="B2146" s="217"/>
      <c r="C2146" s="217"/>
      <c r="D2146" s="101"/>
      <c r="E2146" s="101"/>
      <c r="F2146" s="185"/>
      <c r="G2146" s="295"/>
      <c r="H2146" s="295"/>
      <c r="I2146" s="99"/>
      <c r="J2146" s="99"/>
      <c r="K2146" s="99"/>
      <c r="L2146" s="99"/>
      <c r="M2146" s="99"/>
      <c r="N2146" s="99"/>
      <c r="O2146" s="99"/>
      <c r="P2146" s="99"/>
      <c r="Q2146" s="99"/>
      <c r="R2146" s="99"/>
      <c r="S2146" s="99"/>
      <c r="T2146" s="99"/>
      <c r="U2146" s="99"/>
      <c r="V2146" s="99"/>
      <c r="W2146" s="244"/>
      <c r="X2146" s="244"/>
      <c r="Y2146" s="244"/>
      <c r="Z2146" s="97"/>
      <c r="AA2146" s="619"/>
      <c r="AB2146" s="97"/>
      <c r="AC2146" s="97"/>
      <c r="AD2146" s="97"/>
      <c r="AE2146" s="97"/>
      <c r="AF2146" s="97"/>
      <c r="AG2146" s="97"/>
      <c r="AH2146" s="97"/>
      <c r="AI2146" s="97"/>
      <c r="AJ2146" s="97"/>
      <c r="AK2146" s="97"/>
      <c r="AL2146" s="97"/>
      <c r="AM2146" s="97"/>
      <c r="AN2146" s="97"/>
      <c r="AO2146" s="97"/>
      <c r="AP2146" s="97"/>
      <c r="AQ2146" s="97"/>
      <c r="AR2146" s="97"/>
      <c r="AS2146" s="97"/>
      <c r="AT2146" s="200"/>
      <c r="AU2146" s="200"/>
      <c r="AV2146" s="200"/>
      <c r="AW2146" s="200"/>
    </row>
    <row r="2147" spans="1:49" ht="15" customHeight="1">
      <c r="A2147" s="297"/>
      <c r="B2147" s="217"/>
      <c r="C2147" s="217"/>
      <c r="D2147" s="101"/>
      <c r="E2147" s="101"/>
      <c r="F2147" s="185"/>
      <c r="G2147" s="295"/>
      <c r="H2147" s="295"/>
      <c r="I2147" s="99"/>
      <c r="J2147" s="99"/>
      <c r="K2147" s="99"/>
      <c r="L2147" s="99"/>
      <c r="M2147" s="99"/>
      <c r="N2147" s="99"/>
      <c r="O2147" s="99"/>
      <c r="P2147" s="99"/>
      <c r="Q2147" s="99"/>
      <c r="R2147" s="99"/>
      <c r="S2147" s="99"/>
      <c r="T2147" s="99"/>
      <c r="U2147" s="233"/>
      <c r="V2147" s="233"/>
      <c r="W2147" s="244"/>
      <c r="X2147" s="244"/>
      <c r="Y2147" s="244"/>
      <c r="Z2147" s="97"/>
      <c r="AA2147" s="619"/>
      <c r="AB2147" s="97"/>
      <c r="AC2147" s="97"/>
      <c r="AD2147" s="97"/>
      <c r="AE2147" s="97"/>
      <c r="AF2147" s="97"/>
      <c r="AG2147" s="97"/>
      <c r="AH2147" s="97"/>
      <c r="AI2147" s="97"/>
      <c r="AJ2147" s="97"/>
      <c r="AK2147" s="97"/>
      <c r="AL2147" s="97"/>
      <c r="AM2147" s="97"/>
      <c r="AN2147" s="97"/>
      <c r="AO2147" s="97"/>
      <c r="AP2147" s="97"/>
      <c r="AQ2147" s="97"/>
      <c r="AR2147" s="97"/>
      <c r="AS2147" s="97"/>
      <c r="AT2147" s="200"/>
      <c r="AU2147" s="200"/>
      <c r="AV2147" s="200"/>
      <c r="AW2147" s="200"/>
    </row>
    <row r="2148" spans="1:49" ht="15" customHeight="1">
      <c r="A2148" s="297"/>
      <c r="B2148" s="217"/>
      <c r="C2148" s="217"/>
      <c r="D2148" s="101"/>
      <c r="E2148" s="101"/>
      <c r="F2148" s="185"/>
      <c r="G2148" s="295"/>
      <c r="H2148" s="295"/>
      <c r="I2148" s="99"/>
      <c r="J2148" s="99"/>
      <c r="K2148" s="99"/>
      <c r="L2148" s="99"/>
      <c r="M2148" s="99"/>
      <c r="N2148" s="99"/>
      <c r="O2148" s="99"/>
      <c r="P2148" s="99"/>
      <c r="Q2148" s="99"/>
      <c r="R2148" s="99"/>
      <c r="S2148" s="99"/>
      <c r="T2148" s="99"/>
      <c r="U2148" s="113"/>
      <c r="V2148" s="113"/>
      <c r="W2148" s="244"/>
      <c r="X2148" s="244"/>
      <c r="Y2148" s="244"/>
      <c r="Z2148" s="97"/>
      <c r="AA2148" s="619"/>
      <c r="AB2148" s="97"/>
      <c r="AC2148" s="97"/>
      <c r="AD2148" s="97"/>
      <c r="AE2148" s="97"/>
      <c r="AF2148" s="97"/>
      <c r="AG2148" s="97"/>
      <c r="AH2148" s="97"/>
      <c r="AI2148" s="97"/>
      <c r="AJ2148" s="97"/>
      <c r="AK2148" s="97"/>
      <c r="AL2148" s="97"/>
      <c r="AM2148" s="97"/>
      <c r="AN2148" s="97"/>
      <c r="AO2148" s="97"/>
      <c r="AP2148" s="97"/>
      <c r="AQ2148" s="97"/>
      <c r="AR2148" s="97"/>
      <c r="AS2148" s="97"/>
      <c r="AT2148" s="200"/>
      <c r="AU2148" s="200"/>
      <c r="AV2148" s="200"/>
      <c r="AW2148" s="200"/>
    </row>
    <row r="2149" spans="1:49" ht="15" customHeight="1">
      <c r="A2149" s="297"/>
      <c r="B2149" s="217"/>
      <c r="C2149" s="217"/>
      <c r="D2149" s="101"/>
      <c r="E2149" s="101"/>
      <c r="F2149" s="185"/>
      <c r="G2149" s="295"/>
      <c r="H2149" s="295"/>
      <c r="I2149" s="99"/>
      <c r="J2149" s="99"/>
      <c r="K2149" s="99"/>
      <c r="L2149" s="99"/>
      <c r="M2149" s="99"/>
      <c r="N2149" s="99"/>
      <c r="O2149" s="99"/>
      <c r="P2149" s="99"/>
      <c r="Q2149" s="99"/>
      <c r="R2149" s="99"/>
      <c r="S2149" s="99"/>
      <c r="T2149" s="99"/>
      <c r="U2149" s="99"/>
      <c r="V2149" s="99"/>
      <c r="W2149" s="244"/>
      <c r="X2149" s="244"/>
      <c r="Y2149" s="244"/>
      <c r="Z2149" s="97"/>
      <c r="AA2149" s="619"/>
      <c r="AB2149" s="97"/>
      <c r="AC2149" s="97"/>
      <c r="AD2149" s="97"/>
      <c r="AE2149" s="97"/>
      <c r="AF2149" s="97"/>
      <c r="AG2149" s="97"/>
      <c r="AH2149" s="97"/>
      <c r="AI2149" s="97"/>
      <c r="AJ2149" s="97"/>
      <c r="AK2149" s="97"/>
      <c r="AL2149" s="97"/>
      <c r="AM2149" s="97"/>
      <c r="AN2149" s="97"/>
      <c r="AO2149" s="97"/>
      <c r="AP2149" s="97"/>
      <c r="AQ2149" s="97"/>
      <c r="AR2149" s="97"/>
      <c r="AS2149" s="97"/>
      <c r="AT2149" s="200"/>
      <c r="AU2149" s="200"/>
      <c r="AV2149" s="200"/>
      <c r="AW2149" s="200"/>
    </row>
    <row r="2150" spans="1:49" ht="15" customHeight="1">
      <c r="A2150" s="297"/>
      <c r="B2150" s="217"/>
      <c r="C2150" s="217"/>
      <c r="D2150" s="101"/>
      <c r="E2150" s="101"/>
      <c r="F2150" s="185"/>
      <c r="G2150" s="295"/>
      <c r="H2150" s="295"/>
      <c r="I2150" s="99"/>
      <c r="J2150" s="99"/>
      <c r="K2150" s="99"/>
      <c r="L2150" s="99"/>
      <c r="M2150" s="99"/>
      <c r="N2150" s="99"/>
      <c r="O2150" s="99"/>
      <c r="P2150" s="99"/>
      <c r="Q2150" s="99"/>
      <c r="R2150" s="99"/>
      <c r="S2150" s="99"/>
      <c r="T2150" s="99"/>
      <c r="U2150" s="233"/>
      <c r="V2150" s="233"/>
      <c r="W2150" s="244"/>
      <c r="X2150" s="244"/>
      <c r="Y2150" s="244"/>
      <c r="Z2150" s="97"/>
      <c r="AA2150" s="619"/>
      <c r="AB2150" s="97"/>
      <c r="AC2150" s="97"/>
      <c r="AD2150" s="97"/>
      <c r="AE2150" s="97"/>
      <c r="AF2150" s="97"/>
      <c r="AG2150" s="97"/>
      <c r="AH2150" s="97"/>
      <c r="AI2150" s="97"/>
      <c r="AJ2150" s="97"/>
      <c r="AK2150" s="97"/>
      <c r="AL2150" s="97"/>
      <c r="AM2150" s="97"/>
      <c r="AN2150" s="97"/>
      <c r="AO2150" s="97"/>
      <c r="AP2150" s="97"/>
      <c r="AQ2150" s="97"/>
      <c r="AR2150" s="97"/>
      <c r="AS2150" s="97"/>
      <c r="AT2150" s="200"/>
      <c r="AU2150" s="200"/>
      <c r="AV2150" s="200"/>
      <c r="AW2150" s="200"/>
    </row>
    <row r="2151" spans="1:49" ht="15" customHeight="1">
      <c r="A2151" s="297"/>
      <c r="B2151" s="217"/>
      <c r="C2151" s="217"/>
      <c r="D2151" s="101"/>
      <c r="E2151" s="101"/>
      <c r="F2151" s="185"/>
      <c r="G2151" s="295"/>
      <c r="H2151" s="295"/>
      <c r="I2151" s="99"/>
      <c r="J2151" s="99"/>
      <c r="K2151" s="99"/>
      <c r="L2151" s="99"/>
      <c r="M2151" s="99"/>
      <c r="N2151" s="99"/>
      <c r="O2151" s="99"/>
      <c r="P2151" s="99"/>
      <c r="Q2151" s="99"/>
      <c r="R2151" s="99"/>
      <c r="S2151" s="99"/>
      <c r="T2151" s="99"/>
      <c r="U2151" s="113"/>
      <c r="V2151" s="113"/>
      <c r="W2151" s="244"/>
      <c r="X2151" s="244"/>
      <c r="Y2151" s="244"/>
      <c r="Z2151" s="97"/>
      <c r="AA2151" s="619"/>
      <c r="AB2151" s="97"/>
      <c r="AC2151" s="97"/>
      <c r="AD2151" s="97"/>
      <c r="AE2151" s="97"/>
      <c r="AF2151" s="97"/>
      <c r="AG2151" s="97"/>
      <c r="AH2151" s="97"/>
      <c r="AI2151" s="97"/>
      <c r="AJ2151" s="97"/>
      <c r="AK2151" s="97"/>
      <c r="AL2151" s="97"/>
      <c r="AM2151" s="97"/>
      <c r="AN2151" s="97"/>
      <c r="AO2151" s="97"/>
      <c r="AP2151" s="97"/>
      <c r="AQ2151" s="97"/>
      <c r="AR2151" s="97"/>
      <c r="AS2151" s="97"/>
      <c r="AT2151" s="200"/>
      <c r="AU2151" s="200"/>
      <c r="AV2151" s="200"/>
      <c r="AW2151" s="200"/>
    </row>
    <row r="2152" spans="1:49" ht="15" customHeight="1">
      <c r="A2152" s="297"/>
      <c r="B2152" s="217"/>
      <c r="C2152" s="217"/>
      <c r="D2152" s="101"/>
      <c r="E2152" s="101"/>
      <c r="F2152" s="185"/>
      <c r="G2152" s="295"/>
      <c r="H2152" s="295"/>
      <c r="I2152" s="99"/>
      <c r="J2152" s="99"/>
      <c r="K2152" s="99"/>
      <c r="L2152" s="99"/>
      <c r="M2152" s="99"/>
      <c r="N2152" s="99"/>
      <c r="O2152" s="99"/>
      <c r="P2152" s="99"/>
      <c r="Q2152" s="99"/>
      <c r="R2152" s="99"/>
      <c r="S2152" s="99"/>
      <c r="T2152" s="99"/>
      <c r="U2152" s="233"/>
      <c r="V2152" s="233"/>
      <c r="W2152" s="244"/>
      <c r="X2152" s="244"/>
      <c r="Y2152" s="244"/>
      <c r="Z2152" s="97"/>
      <c r="AA2152" s="619"/>
      <c r="AB2152" s="97"/>
      <c r="AC2152" s="97"/>
      <c r="AD2152" s="97"/>
      <c r="AE2152" s="97"/>
      <c r="AF2152" s="97"/>
      <c r="AG2152" s="97"/>
      <c r="AH2152" s="97"/>
      <c r="AI2152" s="97"/>
      <c r="AJ2152" s="97"/>
      <c r="AK2152" s="97"/>
      <c r="AL2152" s="97"/>
      <c r="AM2152" s="97"/>
      <c r="AN2152" s="97"/>
      <c r="AO2152" s="97"/>
      <c r="AP2152" s="97"/>
      <c r="AQ2152" s="97"/>
      <c r="AR2152" s="97"/>
      <c r="AS2152" s="97"/>
      <c r="AT2152" s="200"/>
      <c r="AU2152" s="200"/>
      <c r="AV2152" s="200"/>
      <c r="AW2152" s="200"/>
    </row>
    <row r="2153" spans="1:49" ht="15" customHeight="1">
      <c r="A2153" s="297"/>
      <c r="B2153" s="217"/>
      <c r="C2153" s="217"/>
      <c r="D2153" s="101"/>
      <c r="E2153" s="101"/>
      <c r="F2153" s="185"/>
      <c r="G2153" s="295"/>
      <c r="H2153" s="295"/>
      <c r="I2153" s="99"/>
      <c r="J2153" s="99"/>
      <c r="K2153" s="99"/>
      <c r="L2153" s="99"/>
      <c r="M2153" s="99"/>
      <c r="N2153" s="99"/>
      <c r="O2153" s="99"/>
      <c r="P2153" s="99"/>
      <c r="Q2153" s="99"/>
      <c r="R2153" s="99"/>
      <c r="S2153" s="99"/>
      <c r="T2153" s="99"/>
      <c r="U2153" s="233"/>
      <c r="V2153" s="233"/>
      <c r="W2153" s="244"/>
      <c r="X2153" s="244"/>
      <c r="Y2153" s="244"/>
      <c r="Z2153" s="97"/>
      <c r="AA2153" s="619"/>
      <c r="AB2153" s="97"/>
      <c r="AC2153" s="97"/>
      <c r="AD2153" s="97"/>
      <c r="AE2153" s="97"/>
      <c r="AF2153" s="97"/>
      <c r="AG2153" s="97"/>
      <c r="AH2153" s="97"/>
      <c r="AI2153" s="97"/>
      <c r="AJ2153" s="97"/>
      <c r="AK2153" s="97"/>
      <c r="AL2153" s="97"/>
      <c r="AM2153" s="97"/>
      <c r="AN2153" s="97"/>
      <c r="AO2153" s="97"/>
      <c r="AP2153" s="97"/>
      <c r="AQ2153" s="97"/>
      <c r="AR2153" s="97"/>
      <c r="AS2153" s="97"/>
      <c r="AT2153" s="200"/>
      <c r="AU2153" s="200"/>
      <c r="AV2153" s="200"/>
      <c r="AW2153" s="200"/>
    </row>
    <row r="2154" spans="1:49" ht="15" customHeight="1">
      <c r="A2154" s="297"/>
      <c r="B2154" s="217"/>
      <c r="C2154" s="217"/>
      <c r="D2154" s="101"/>
      <c r="E2154" s="101"/>
      <c r="F2154" s="185"/>
      <c r="G2154" s="295"/>
      <c r="H2154" s="295"/>
      <c r="I2154" s="99"/>
      <c r="J2154" s="99"/>
      <c r="K2154" s="99"/>
      <c r="L2154" s="99"/>
      <c r="M2154" s="99"/>
      <c r="N2154" s="99"/>
      <c r="O2154" s="99"/>
      <c r="P2154" s="99"/>
      <c r="Q2154" s="99"/>
      <c r="R2154" s="99"/>
      <c r="S2154" s="99"/>
      <c r="T2154" s="99"/>
      <c r="U2154" s="233"/>
      <c r="V2154" s="233"/>
      <c r="W2154" s="244"/>
      <c r="X2154" s="244"/>
      <c r="Y2154" s="244"/>
      <c r="Z2154" s="97"/>
      <c r="AA2154" s="619"/>
      <c r="AB2154" s="97"/>
      <c r="AC2154" s="97"/>
      <c r="AD2154" s="97"/>
      <c r="AE2154" s="97"/>
      <c r="AF2154" s="97"/>
      <c r="AG2154" s="97"/>
      <c r="AH2154" s="97"/>
      <c r="AI2154" s="97"/>
      <c r="AJ2154" s="97"/>
      <c r="AK2154" s="97"/>
      <c r="AL2154" s="97"/>
      <c r="AM2154" s="97"/>
      <c r="AN2154" s="97"/>
      <c r="AO2154" s="97"/>
      <c r="AP2154" s="97"/>
      <c r="AQ2154" s="97"/>
      <c r="AR2154" s="97"/>
      <c r="AS2154" s="97"/>
      <c r="AT2154" s="200"/>
      <c r="AU2154" s="200"/>
      <c r="AV2154" s="200"/>
      <c r="AW2154" s="200"/>
    </row>
    <row r="2155" spans="1:49" ht="15" customHeight="1">
      <c r="A2155" s="297"/>
      <c r="B2155" s="217"/>
      <c r="C2155" s="217"/>
      <c r="D2155" s="101"/>
      <c r="E2155" s="101"/>
      <c r="F2155" s="185"/>
      <c r="G2155" s="295"/>
      <c r="H2155" s="295"/>
      <c r="I2155" s="99"/>
      <c r="J2155" s="99"/>
      <c r="K2155" s="99"/>
      <c r="L2155" s="99"/>
      <c r="M2155" s="99"/>
      <c r="N2155" s="99"/>
      <c r="O2155" s="99"/>
      <c r="P2155" s="99"/>
      <c r="Q2155" s="99"/>
      <c r="R2155" s="99"/>
      <c r="S2155" s="99"/>
      <c r="T2155" s="99"/>
      <c r="U2155" s="254"/>
      <c r="V2155" s="254"/>
      <c r="W2155" s="244"/>
      <c r="X2155" s="244"/>
      <c r="Y2155" s="244"/>
      <c r="Z2155" s="97"/>
      <c r="AA2155" s="619"/>
      <c r="AB2155" s="97"/>
      <c r="AC2155" s="97"/>
      <c r="AD2155" s="97"/>
      <c r="AE2155" s="97"/>
      <c r="AF2155" s="97"/>
      <c r="AG2155" s="97"/>
      <c r="AH2155" s="97"/>
      <c r="AI2155" s="97"/>
      <c r="AJ2155" s="97"/>
      <c r="AK2155" s="97"/>
      <c r="AL2155" s="97"/>
      <c r="AM2155" s="97"/>
      <c r="AN2155" s="97"/>
      <c r="AO2155" s="97"/>
      <c r="AP2155" s="97"/>
      <c r="AQ2155" s="97"/>
      <c r="AR2155" s="97"/>
      <c r="AS2155" s="97"/>
      <c r="AT2155" s="200"/>
      <c r="AU2155" s="200"/>
      <c r="AV2155" s="200"/>
      <c r="AW2155" s="200"/>
    </row>
    <row r="2156" spans="1:49" ht="15" customHeight="1">
      <c r="A2156" s="297"/>
      <c r="B2156" s="217"/>
      <c r="C2156" s="217"/>
      <c r="D2156" s="101"/>
      <c r="E2156" s="101"/>
      <c r="F2156" s="185"/>
      <c r="G2156" s="295"/>
      <c r="H2156" s="295"/>
      <c r="I2156" s="99"/>
      <c r="J2156" s="99"/>
      <c r="K2156" s="99"/>
      <c r="L2156" s="99"/>
      <c r="M2156" s="99"/>
      <c r="N2156" s="99"/>
      <c r="O2156" s="99"/>
      <c r="P2156" s="99"/>
      <c r="Q2156" s="99"/>
      <c r="R2156" s="99"/>
      <c r="S2156" s="99"/>
      <c r="T2156" s="99"/>
      <c r="U2156" s="225"/>
      <c r="V2156" s="225"/>
      <c r="W2156" s="244"/>
      <c r="X2156" s="244"/>
      <c r="Y2156" s="244"/>
      <c r="Z2156" s="97"/>
      <c r="AA2156" s="619"/>
      <c r="AB2156" s="97"/>
      <c r="AC2156" s="97"/>
      <c r="AD2156" s="97"/>
      <c r="AE2156" s="97"/>
      <c r="AF2156" s="97"/>
      <c r="AG2156" s="97"/>
      <c r="AH2156" s="97"/>
      <c r="AI2156" s="97"/>
      <c r="AJ2156" s="97"/>
      <c r="AK2156" s="97"/>
      <c r="AL2156" s="97"/>
      <c r="AM2156" s="97"/>
      <c r="AN2156" s="97"/>
      <c r="AO2156" s="97"/>
      <c r="AP2156" s="97"/>
      <c r="AQ2156" s="97"/>
      <c r="AR2156" s="97"/>
      <c r="AS2156" s="97"/>
      <c r="AT2156" s="200"/>
      <c r="AU2156" s="200"/>
      <c r="AV2156" s="200"/>
      <c r="AW2156" s="200"/>
    </row>
    <row r="2157" spans="1:49" ht="15" customHeight="1">
      <c r="A2157" s="297"/>
      <c r="B2157" s="217"/>
      <c r="C2157" s="217"/>
      <c r="D2157" s="101"/>
      <c r="E2157" s="101"/>
      <c r="F2157" s="185"/>
      <c r="G2157" s="295"/>
      <c r="H2157" s="295"/>
      <c r="I2157" s="99"/>
      <c r="J2157" s="99"/>
      <c r="K2157" s="99"/>
      <c r="L2157" s="99"/>
      <c r="M2157" s="99"/>
      <c r="N2157" s="99"/>
      <c r="O2157" s="99"/>
      <c r="P2157" s="99"/>
      <c r="Q2157" s="99"/>
      <c r="R2157" s="99"/>
      <c r="S2157" s="99"/>
      <c r="T2157" s="99"/>
      <c r="U2157" s="99"/>
      <c r="V2157" s="99"/>
      <c r="W2157" s="244"/>
      <c r="X2157" s="244"/>
      <c r="Y2157" s="244"/>
      <c r="Z2157" s="97"/>
      <c r="AA2157" s="619"/>
      <c r="AB2157" s="97"/>
      <c r="AC2157" s="97"/>
      <c r="AD2157" s="97"/>
      <c r="AE2157" s="97"/>
      <c r="AF2157" s="97"/>
      <c r="AG2157" s="97"/>
      <c r="AH2157" s="97"/>
      <c r="AI2157" s="97"/>
      <c r="AJ2157" s="97"/>
      <c r="AK2157" s="97"/>
      <c r="AL2157" s="97"/>
      <c r="AM2157" s="97"/>
      <c r="AN2157" s="97"/>
      <c r="AO2157" s="97"/>
      <c r="AP2157" s="97"/>
      <c r="AQ2157" s="97"/>
      <c r="AR2157" s="97"/>
      <c r="AS2157" s="97"/>
      <c r="AT2157" s="200"/>
      <c r="AU2157" s="200"/>
      <c r="AV2157" s="200"/>
      <c r="AW2157" s="200"/>
    </row>
    <row r="2158" spans="1:49" ht="15" customHeight="1">
      <c r="A2158" s="297"/>
      <c r="B2158" s="217"/>
      <c r="C2158" s="217"/>
      <c r="D2158" s="101"/>
      <c r="E2158" s="101"/>
      <c r="F2158" s="185"/>
      <c r="G2158" s="295"/>
      <c r="H2158" s="295"/>
      <c r="I2158" s="99"/>
      <c r="J2158" s="99"/>
      <c r="K2158" s="99"/>
      <c r="L2158" s="99"/>
      <c r="M2158" s="99"/>
      <c r="N2158" s="99"/>
      <c r="O2158" s="99"/>
      <c r="P2158" s="99"/>
      <c r="Q2158" s="99"/>
      <c r="R2158" s="99"/>
      <c r="S2158" s="99"/>
      <c r="T2158" s="99"/>
      <c r="U2158" s="99"/>
      <c r="V2158" s="99"/>
      <c r="W2158" s="244"/>
      <c r="X2158" s="244"/>
      <c r="Y2158" s="244"/>
      <c r="Z2158" s="97"/>
      <c r="AA2158" s="619"/>
      <c r="AB2158" s="97"/>
      <c r="AC2158" s="97"/>
      <c r="AD2158" s="97"/>
      <c r="AE2158" s="97"/>
      <c r="AF2158" s="97"/>
      <c r="AG2158" s="97"/>
      <c r="AH2158" s="97"/>
      <c r="AI2158" s="97"/>
      <c r="AJ2158" s="97"/>
      <c r="AK2158" s="97"/>
      <c r="AL2158" s="97"/>
      <c r="AM2158" s="97"/>
      <c r="AN2158" s="97"/>
      <c r="AO2158" s="97"/>
      <c r="AP2158" s="97"/>
      <c r="AQ2158" s="97"/>
      <c r="AR2158" s="97"/>
      <c r="AS2158" s="97"/>
      <c r="AT2158" s="200"/>
      <c r="AU2158" s="200"/>
      <c r="AV2158" s="200"/>
      <c r="AW2158" s="200"/>
    </row>
    <row r="2159" spans="1:49" ht="15" customHeight="1">
      <c r="A2159" s="297"/>
      <c r="B2159" s="217"/>
      <c r="C2159" s="217"/>
      <c r="D2159" s="101"/>
      <c r="E2159" s="101"/>
      <c r="F2159" s="185"/>
      <c r="G2159" s="295"/>
      <c r="H2159" s="295"/>
      <c r="I2159" s="99"/>
      <c r="J2159" s="99"/>
      <c r="K2159" s="99"/>
      <c r="L2159" s="99"/>
      <c r="M2159" s="99"/>
      <c r="N2159" s="99"/>
      <c r="O2159" s="99"/>
      <c r="P2159" s="99"/>
      <c r="Q2159" s="99"/>
      <c r="R2159" s="99"/>
      <c r="S2159" s="99"/>
      <c r="T2159" s="99"/>
      <c r="U2159" s="99"/>
      <c r="V2159" s="99"/>
      <c r="W2159" s="244"/>
      <c r="X2159" s="244"/>
      <c r="Y2159" s="244"/>
      <c r="Z2159" s="97"/>
      <c r="AA2159" s="619"/>
      <c r="AB2159" s="97"/>
      <c r="AC2159" s="97"/>
      <c r="AD2159" s="97"/>
      <c r="AE2159" s="97"/>
      <c r="AF2159" s="97"/>
      <c r="AG2159" s="97"/>
      <c r="AH2159" s="97"/>
      <c r="AI2159" s="97"/>
      <c r="AJ2159" s="97"/>
      <c r="AK2159" s="97"/>
      <c r="AL2159" s="97"/>
      <c r="AM2159" s="97"/>
      <c r="AN2159" s="97"/>
      <c r="AO2159" s="97"/>
      <c r="AP2159" s="97"/>
      <c r="AQ2159" s="97"/>
      <c r="AR2159" s="97"/>
      <c r="AS2159" s="97"/>
      <c r="AT2159" s="200"/>
      <c r="AU2159" s="200"/>
      <c r="AV2159" s="200"/>
      <c r="AW2159" s="200"/>
    </row>
    <row r="2160" spans="1:49" ht="15" customHeight="1">
      <c r="A2160" s="297"/>
      <c r="B2160" s="217"/>
      <c r="C2160" s="217"/>
      <c r="D2160" s="101"/>
      <c r="E2160" s="101"/>
      <c r="F2160" s="185"/>
      <c r="G2160" s="295"/>
      <c r="H2160" s="295"/>
      <c r="I2160" s="99"/>
      <c r="J2160" s="99"/>
      <c r="K2160" s="99"/>
      <c r="L2160" s="99"/>
      <c r="M2160" s="99"/>
      <c r="N2160" s="99"/>
      <c r="O2160" s="99"/>
      <c r="P2160" s="99"/>
      <c r="Q2160" s="99"/>
      <c r="R2160" s="99"/>
      <c r="S2160" s="99"/>
      <c r="T2160" s="99"/>
      <c r="U2160" s="99"/>
      <c r="V2160" s="99"/>
      <c r="W2160" s="244"/>
      <c r="X2160" s="244"/>
      <c r="Y2160" s="244"/>
      <c r="Z2160" s="97"/>
      <c r="AA2160" s="619"/>
      <c r="AB2160" s="97"/>
      <c r="AC2160" s="97"/>
      <c r="AD2160" s="97"/>
      <c r="AE2160" s="97"/>
      <c r="AF2160" s="97"/>
      <c r="AG2160" s="97"/>
      <c r="AH2160" s="97"/>
      <c r="AI2160" s="97"/>
      <c r="AJ2160" s="97"/>
      <c r="AK2160" s="97"/>
      <c r="AL2160" s="97"/>
      <c r="AM2160" s="97"/>
      <c r="AN2160" s="97"/>
      <c r="AO2160" s="97"/>
      <c r="AP2160" s="97"/>
      <c r="AQ2160" s="97"/>
      <c r="AR2160" s="97"/>
      <c r="AS2160" s="97"/>
      <c r="AT2160" s="200"/>
      <c r="AU2160" s="200"/>
      <c r="AV2160" s="200"/>
      <c r="AW2160" s="200"/>
    </row>
    <row r="2161" spans="1:49" ht="15" customHeight="1">
      <c r="A2161" s="297"/>
      <c r="B2161" s="217"/>
      <c r="C2161" s="217"/>
      <c r="D2161" s="101"/>
      <c r="E2161" s="101"/>
      <c r="F2161" s="185"/>
      <c r="G2161" s="295"/>
      <c r="H2161" s="295"/>
      <c r="I2161" s="99"/>
      <c r="J2161" s="99"/>
      <c r="K2161" s="99"/>
      <c r="L2161" s="99"/>
      <c r="M2161" s="99"/>
      <c r="N2161" s="99"/>
      <c r="O2161" s="99"/>
      <c r="P2161" s="99"/>
      <c r="Q2161" s="99"/>
      <c r="R2161" s="99"/>
      <c r="S2161" s="99"/>
      <c r="T2161" s="99"/>
      <c r="U2161" s="202"/>
      <c r="V2161" s="202"/>
      <c r="W2161" s="244"/>
      <c r="X2161" s="244"/>
      <c r="Y2161" s="244"/>
      <c r="Z2161" s="97"/>
      <c r="AA2161" s="619"/>
      <c r="AB2161" s="97"/>
      <c r="AC2161" s="97"/>
      <c r="AD2161" s="97"/>
      <c r="AE2161" s="97"/>
      <c r="AF2161" s="97"/>
      <c r="AG2161" s="97"/>
      <c r="AH2161" s="97"/>
      <c r="AI2161" s="97"/>
      <c r="AJ2161" s="97"/>
      <c r="AK2161" s="97"/>
      <c r="AL2161" s="97"/>
      <c r="AM2161" s="97"/>
      <c r="AN2161" s="97"/>
      <c r="AO2161" s="97"/>
      <c r="AP2161" s="97"/>
      <c r="AQ2161" s="97"/>
      <c r="AR2161" s="97"/>
      <c r="AS2161" s="97"/>
      <c r="AT2161" s="200"/>
      <c r="AU2161" s="200"/>
      <c r="AV2161" s="200"/>
      <c r="AW2161" s="200"/>
    </row>
    <row r="2162" spans="1:49" ht="15" customHeight="1">
      <c r="A2162" s="297"/>
      <c r="B2162" s="217"/>
      <c r="C2162" s="217"/>
      <c r="D2162" s="101"/>
      <c r="E2162" s="101"/>
      <c r="F2162" s="185"/>
      <c r="G2162" s="295"/>
      <c r="H2162" s="295"/>
      <c r="I2162" s="99"/>
      <c r="J2162" s="99"/>
      <c r="K2162" s="99"/>
      <c r="L2162" s="99"/>
      <c r="M2162" s="99"/>
      <c r="N2162" s="99"/>
      <c r="O2162" s="99"/>
      <c r="P2162" s="99"/>
      <c r="Q2162" s="99"/>
      <c r="R2162" s="99"/>
      <c r="S2162" s="99"/>
      <c r="T2162" s="99"/>
      <c r="U2162" s="113"/>
      <c r="V2162" s="113"/>
      <c r="W2162" s="244"/>
      <c r="X2162" s="244"/>
      <c r="Y2162" s="244"/>
      <c r="Z2162" s="97"/>
      <c r="AA2162" s="619"/>
      <c r="AB2162" s="97"/>
      <c r="AC2162" s="97"/>
      <c r="AD2162" s="97"/>
      <c r="AE2162" s="97"/>
      <c r="AF2162" s="97"/>
      <c r="AG2162" s="97"/>
      <c r="AH2162" s="97"/>
      <c r="AI2162" s="97"/>
      <c r="AJ2162" s="97"/>
      <c r="AK2162" s="97"/>
      <c r="AL2162" s="97"/>
      <c r="AM2162" s="97"/>
      <c r="AN2162" s="97"/>
      <c r="AO2162" s="97"/>
      <c r="AP2162" s="97"/>
      <c r="AQ2162" s="97"/>
      <c r="AR2162" s="97"/>
      <c r="AS2162" s="97"/>
      <c r="AT2162" s="200"/>
      <c r="AU2162" s="200"/>
      <c r="AV2162" s="200"/>
      <c r="AW2162" s="200"/>
    </row>
    <row r="2163" spans="1:49" ht="15" customHeight="1">
      <c r="A2163" s="297"/>
      <c r="B2163" s="217"/>
      <c r="C2163" s="217"/>
      <c r="D2163" s="101"/>
      <c r="E2163" s="101"/>
      <c r="F2163" s="185"/>
      <c r="G2163" s="295"/>
      <c r="H2163" s="295"/>
      <c r="I2163" s="99"/>
      <c r="J2163" s="99"/>
      <c r="K2163" s="99"/>
      <c r="L2163" s="99"/>
      <c r="M2163" s="99"/>
      <c r="N2163" s="99"/>
      <c r="O2163" s="99"/>
      <c r="P2163" s="99"/>
      <c r="Q2163" s="99"/>
      <c r="R2163" s="99"/>
      <c r="S2163" s="99"/>
      <c r="T2163" s="99"/>
      <c r="U2163" s="99"/>
      <c r="V2163" s="99"/>
      <c r="W2163" s="244"/>
      <c r="X2163" s="244"/>
      <c r="Y2163" s="244"/>
      <c r="Z2163" s="97"/>
      <c r="AA2163" s="619"/>
      <c r="AB2163" s="97"/>
      <c r="AC2163" s="97"/>
      <c r="AD2163" s="97"/>
      <c r="AE2163" s="97"/>
      <c r="AF2163" s="97"/>
      <c r="AG2163" s="97"/>
      <c r="AH2163" s="97"/>
      <c r="AI2163" s="97"/>
      <c r="AJ2163" s="97"/>
      <c r="AK2163" s="97"/>
      <c r="AL2163" s="97"/>
      <c r="AM2163" s="97"/>
      <c r="AN2163" s="97"/>
      <c r="AO2163" s="97"/>
      <c r="AP2163" s="97"/>
      <c r="AQ2163" s="97"/>
      <c r="AR2163" s="97"/>
      <c r="AS2163" s="97"/>
      <c r="AT2163" s="200"/>
      <c r="AU2163" s="200"/>
      <c r="AV2163" s="200"/>
      <c r="AW2163" s="200"/>
    </row>
    <row r="2164" spans="1:49" ht="15" customHeight="1">
      <c r="A2164" s="297"/>
      <c r="B2164" s="217"/>
      <c r="C2164" s="217"/>
      <c r="D2164" s="101"/>
      <c r="E2164" s="101"/>
      <c r="F2164" s="185"/>
      <c r="G2164" s="295"/>
      <c r="H2164" s="295"/>
      <c r="I2164" s="99"/>
      <c r="J2164" s="99"/>
      <c r="K2164" s="99"/>
      <c r="L2164" s="99"/>
      <c r="M2164" s="99"/>
      <c r="N2164" s="99"/>
      <c r="O2164" s="99"/>
      <c r="P2164" s="99"/>
      <c r="Q2164" s="99"/>
      <c r="R2164" s="99"/>
      <c r="S2164" s="99"/>
      <c r="T2164" s="99"/>
      <c r="U2164" s="99"/>
      <c r="V2164" s="99"/>
      <c r="W2164" s="244"/>
      <c r="X2164" s="244"/>
      <c r="Y2164" s="244"/>
      <c r="Z2164" s="97"/>
      <c r="AA2164" s="619"/>
      <c r="AB2164" s="97"/>
      <c r="AC2164" s="97"/>
      <c r="AD2164" s="97"/>
      <c r="AE2164" s="97"/>
      <c r="AF2164" s="97"/>
      <c r="AG2164" s="97"/>
      <c r="AH2164" s="97"/>
      <c r="AI2164" s="97"/>
      <c r="AJ2164" s="97"/>
      <c r="AK2164" s="97"/>
      <c r="AL2164" s="97"/>
      <c r="AM2164" s="97"/>
      <c r="AN2164" s="97"/>
      <c r="AO2164" s="97"/>
      <c r="AP2164" s="97"/>
      <c r="AQ2164" s="97"/>
      <c r="AR2164" s="97"/>
      <c r="AS2164" s="97"/>
      <c r="AT2164" s="200"/>
      <c r="AU2164" s="200"/>
      <c r="AV2164" s="200"/>
      <c r="AW2164" s="200"/>
    </row>
    <row r="2165" spans="1:49" ht="15" customHeight="1">
      <c r="A2165" s="297"/>
      <c r="B2165" s="217"/>
      <c r="C2165" s="217"/>
      <c r="D2165" s="101"/>
      <c r="E2165" s="101"/>
      <c r="F2165" s="185"/>
      <c r="G2165" s="295"/>
      <c r="H2165" s="295"/>
      <c r="I2165" s="99"/>
      <c r="J2165" s="99"/>
      <c r="K2165" s="99"/>
      <c r="L2165" s="99"/>
      <c r="M2165" s="99"/>
      <c r="N2165" s="99"/>
      <c r="O2165" s="99"/>
      <c r="P2165" s="99"/>
      <c r="Q2165" s="99"/>
      <c r="R2165" s="99"/>
      <c r="S2165" s="99"/>
      <c r="T2165" s="99"/>
      <c r="U2165" s="99"/>
      <c r="V2165" s="99"/>
      <c r="W2165" s="244"/>
      <c r="X2165" s="244"/>
      <c r="Y2165" s="244"/>
      <c r="Z2165" s="97"/>
      <c r="AA2165" s="619"/>
      <c r="AB2165" s="97"/>
      <c r="AC2165" s="97"/>
      <c r="AD2165" s="97"/>
      <c r="AE2165" s="97"/>
      <c r="AF2165" s="97"/>
      <c r="AG2165" s="97"/>
      <c r="AH2165" s="97"/>
      <c r="AI2165" s="97"/>
      <c r="AJ2165" s="97"/>
      <c r="AK2165" s="97"/>
      <c r="AL2165" s="97"/>
      <c r="AM2165" s="97"/>
      <c r="AN2165" s="97"/>
      <c r="AO2165" s="97"/>
      <c r="AP2165" s="97"/>
      <c r="AQ2165" s="97"/>
      <c r="AR2165" s="97"/>
      <c r="AS2165" s="97"/>
      <c r="AT2165" s="200"/>
      <c r="AU2165" s="200"/>
      <c r="AV2165" s="200"/>
      <c r="AW2165" s="200"/>
    </row>
    <row r="2166" spans="1:49" ht="15" customHeight="1">
      <c r="A2166" s="297"/>
      <c r="B2166" s="217"/>
      <c r="C2166" s="217"/>
      <c r="D2166" s="101"/>
      <c r="E2166" s="101"/>
      <c r="F2166" s="185"/>
      <c r="G2166" s="295"/>
      <c r="H2166" s="295"/>
      <c r="I2166" s="99"/>
      <c r="J2166" s="99"/>
      <c r="K2166" s="99"/>
      <c r="L2166" s="99"/>
      <c r="M2166" s="99"/>
      <c r="N2166" s="99"/>
      <c r="O2166" s="99"/>
      <c r="P2166" s="99"/>
      <c r="Q2166" s="99"/>
      <c r="R2166" s="99"/>
      <c r="S2166" s="99"/>
      <c r="T2166" s="99"/>
      <c r="U2166" s="99"/>
      <c r="V2166" s="99"/>
      <c r="W2166" s="244"/>
      <c r="X2166" s="244"/>
      <c r="Y2166" s="244"/>
      <c r="Z2166" s="97"/>
      <c r="AA2166" s="619"/>
      <c r="AB2166" s="97"/>
      <c r="AC2166" s="97"/>
      <c r="AD2166" s="97"/>
      <c r="AE2166" s="97"/>
      <c r="AF2166" s="97"/>
      <c r="AG2166" s="97"/>
      <c r="AH2166" s="97"/>
      <c r="AI2166" s="97"/>
      <c r="AJ2166" s="97"/>
      <c r="AK2166" s="97"/>
      <c r="AL2166" s="97"/>
      <c r="AM2166" s="97"/>
      <c r="AN2166" s="97"/>
      <c r="AO2166" s="97"/>
      <c r="AP2166" s="97"/>
      <c r="AQ2166" s="97"/>
      <c r="AR2166" s="97"/>
      <c r="AS2166" s="97"/>
      <c r="AT2166" s="200"/>
      <c r="AU2166" s="200"/>
      <c r="AV2166" s="200"/>
      <c r="AW2166" s="200"/>
    </row>
    <row r="2167" spans="1:49" ht="15" customHeight="1">
      <c r="A2167" s="297"/>
      <c r="B2167" s="217"/>
      <c r="C2167" s="217"/>
      <c r="D2167" s="101"/>
      <c r="E2167" s="101"/>
      <c r="F2167" s="185"/>
      <c r="G2167" s="295"/>
      <c r="H2167" s="295"/>
      <c r="I2167" s="99"/>
      <c r="J2167" s="99"/>
      <c r="K2167" s="99"/>
      <c r="L2167" s="99"/>
      <c r="M2167" s="99"/>
      <c r="N2167" s="99"/>
      <c r="O2167" s="99"/>
      <c r="P2167" s="99"/>
      <c r="Q2167" s="99"/>
      <c r="R2167" s="99"/>
      <c r="S2167" s="99"/>
      <c r="T2167" s="99"/>
      <c r="U2167" s="99"/>
      <c r="V2167" s="99"/>
      <c r="W2167" s="244"/>
      <c r="X2167" s="244"/>
      <c r="Y2167" s="244"/>
      <c r="Z2167" s="97"/>
      <c r="AA2167" s="619"/>
      <c r="AB2167" s="97"/>
      <c r="AC2167" s="97"/>
      <c r="AD2167" s="97"/>
      <c r="AE2167" s="97"/>
      <c r="AF2167" s="97"/>
      <c r="AG2167" s="97"/>
      <c r="AH2167" s="97"/>
      <c r="AI2167" s="97"/>
      <c r="AJ2167" s="97"/>
      <c r="AK2167" s="97"/>
      <c r="AL2167" s="97"/>
      <c r="AM2167" s="97"/>
      <c r="AN2167" s="97"/>
      <c r="AO2167" s="97"/>
      <c r="AP2167" s="97"/>
      <c r="AQ2167" s="97"/>
      <c r="AR2167" s="97"/>
      <c r="AS2167" s="97"/>
      <c r="AT2167" s="200"/>
      <c r="AU2167" s="200"/>
      <c r="AV2167" s="200"/>
      <c r="AW2167" s="200"/>
    </row>
    <row r="2168" spans="1:49" ht="15" customHeight="1">
      <c r="A2168" s="297"/>
      <c r="B2168" s="217"/>
      <c r="C2168" s="217"/>
      <c r="D2168" s="101"/>
      <c r="E2168" s="101"/>
      <c r="F2168" s="185"/>
      <c r="G2168" s="295"/>
      <c r="H2168" s="295"/>
      <c r="I2168" s="99"/>
      <c r="J2168" s="99"/>
      <c r="K2168" s="99"/>
      <c r="L2168" s="99"/>
      <c r="M2168" s="99"/>
      <c r="N2168" s="99"/>
      <c r="O2168" s="99"/>
      <c r="P2168" s="99"/>
      <c r="Q2168" s="99"/>
      <c r="R2168" s="99"/>
      <c r="S2168" s="99"/>
      <c r="T2168" s="99"/>
      <c r="U2168" s="99"/>
      <c r="V2168" s="99"/>
      <c r="W2168" s="244"/>
      <c r="X2168" s="244"/>
      <c r="Y2168" s="244"/>
      <c r="Z2168" s="97"/>
      <c r="AA2168" s="619"/>
      <c r="AB2168" s="97"/>
      <c r="AC2168" s="97"/>
      <c r="AD2168" s="97"/>
      <c r="AE2168" s="97"/>
      <c r="AF2168" s="97"/>
      <c r="AG2168" s="97"/>
      <c r="AH2168" s="97"/>
      <c r="AI2168" s="97"/>
      <c r="AJ2168" s="97"/>
      <c r="AK2168" s="97"/>
      <c r="AL2168" s="97"/>
      <c r="AM2168" s="97"/>
      <c r="AN2168" s="97"/>
      <c r="AO2168" s="97"/>
      <c r="AP2168" s="97"/>
      <c r="AQ2168" s="97"/>
      <c r="AR2168" s="97"/>
      <c r="AS2168" s="97"/>
      <c r="AT2168" s="200"/>
      <c r="AU2168" s="200"/>
      <c r="AV2168" s="200"/>
      <c r="AW2168" s="200"/>
    </row>
    <row r="2169" spans="1:49" ht="15" customHeight="1">
      <c r="A2169" s="297"/>
      <c r="B2169" s="217"/>
      <c r="C2169" s="217"/>
      <c r="D2169" s="101"/>
      <c r="E2169" s="101"/>
      <c r="F2169" s="185"/>
      <c r="G2169" s="295"/>
      <c r="H2169" s="295"/>
      <c r="I2169" s="99"/>
      <c r="J2169" s="99"/>
      <c r="K2169" s="99"/>
      <c r="L2169" s="99"/>
      <c r="M2169" s="99"/>
      <c r="N2169" s="99"/>
      <c r="O2169" s="99"/>
      <c r="P2169" s="99"/>
      <c r="Q2169" s="99"/>
      <c r="R2169" s="99"/>
      <c r="S2169" s="99"/>
      <c r="T2169" s="99"/>
      <c r="U2169" s="99"/>
      <c r="V2169" s="99"/>
      <c r="W2169" s="244"/>
      <c r="X2169" s="244"/>
      <c r="Y2169" s="244"/>
      <c r="Z2169" s="97"/>
      <c r="AA2169" s="619"/>
      <c r="AB2169" s="97"/>
      <c r="AC2169" s="97"/>
      <c r="AD2169" s="97"/>
      <c r="AE2169" s="97"/>
      <c r="AF2169" s="97"/>
      <c r="AG2169" s="97"/>
      <c r="AH2169" s="97"/>
      <c r="AI2169" s="97"/>
      <c r="AJ2169" s="97"/>
      <c r="AK2169" s="97"/>
      <c r="AL2169" s="97"/>
      <c r="AM2169" s="97"/>
      <c r="AN2169" s="97"/>
      <c r="AO2169" s="97"/>
      <c r="AP2169" s="97"/>
      <c r="AQ2169" s="97"/>
      <c r="AR2169" s="97"/>
      <c r="AS2169" s="97"/>
      <c r="AT2169" s="200"/>
      <c r="AU2169" s="200"/>
      <c r="AV2169" s="200"/>
      <c r="AW2169" s="200"/>
    </row>
    <row r="2170" spans="1:49" ht="15" customHeight="1">
      <c r="A2170" s="297"/>
      <c r="B2170" s="217"/>
      <c r="C2170" s="217"/>
      <c r="D2170" s="101"/>
      <c r="E2170" s="101"/>
      <c r="F2170" s="185"/>
      <c r="G2170" s="295"/>
      <c r="H2170" s="295"/>
      <c r="I2170" s="99"/>
      <c r="J2170" s="99"/>
      <c r="K2170" s="99"/>
      <c r="L2170" s="99"/>
      <c r="M2170" s="99"/>
      <c r="N2170" s="99"/>
      <c r="O2170" s="99"/>
      <c r="P2170" s="99"/>
      <c r="Q2170" s="99"/>
      <c r="R2170" s="99"/>
      <c r="S2170" s="99"/>
      <c r="T2170" s="99"/>
      <c r="U2170" s="99"/>
      <c r="V2170" s="99"/>
      <c r="W2170" s="244"/>
      <c r="X2170" s="244"/>
      <c r="Y2170" s="244"/>
      <c r="Z2170" s="97"/>
      <c r="AA2170" s="619"/>
      <c r="AB2170" s="97"/>
      <c r="AC2170" s="97"/>
      <c r="AD2170" s="97"/>
      <c r="AE2170" s="97"/>
      <c r="AF2170" s="97"/>
      <c r="AG2170" s="97"/>
      <c r="AH2170" s="97"/>
      <c r="AI2170" s="97"/>
      <c r="AJ2170" s="97"/>
      <c r="AK2170" s="97"/>
      <c r="AL2170" s="97"/>
      <c r="AM2170" s="97"/>
      <c r="AN2170" s="97"/>
      <c r="AO2170" s="97"/>
      <c r="AP2170" s="97"/>
      <c r="AQ2170" s="97"/>
      <c r="AR2170" s="97"/>
      <c r="AS2170" s="97"/>
      <c r="AT2170" s="200"/>
      <c r="AU2170" s="200"/>
      <c r="AV2170" s="200"/>
      <c r="AW2170" s="200"/>
    </row>
    <row r="2171" spans="1:49" ht="15" customHeight="1">
      <c r="A2171" s="297"/>
      <c r="B2171" s="217"/>
      <c r="C2171" s="217"/>
      <c r="D2171" s="101"/>
      <c r="E2171" s="101"/>
      <c r="F2171" s="185"/>
      <c r="G2171" s="295"/>
      <c r="H2171" s="295"/>
      <c r="I2171" s="99"/>
      <c r="J2171" s="99"/>
      <c r="K2171" s="99"/>
      <c r="L2171" s="99"/>
      <c r="M2171" s="99"/>
      <c r="N2171" s="99"/>
      <c r="O2171" s="99"/>
      <c r="P2171" s="99"/>
      <c r="Q2171" s="99"/>
      <c r="R2171" s="99"/>
      <c r="S2171" s="99"/>
      <c r="T2171" s="99"/>
      <c r="U2171" s="99"/>
      <c r="V2171" s="99"/>
      <c r="W2171" s="244"/>
      <c r="X2171" s="244"/>
      <c r="Y2171" s="244"/>
      <c r="Z2171" s="97"/>
      <c r="AA2171" s="619"/>
      <c r="AB2171" s="97"/>
      <c r="AC2171" s="97"/>
      <c r="AD2171" s="97"/>
      <c r="AE2171" s="97"/>
      <c r="AF2171" s="97"/>
      <c r="AG2171" s="97"/>
      <c r="AH2171" s="97"/>
      <c r="AI2171" s="97"/>
      <c r="AJ2171" s="97"/>
      <c r="AK2171" s="97"/>
      <c r="AL2171" s="97"/>
      <c r="AM2171" s="97"/>
      <c r="AN2171" s="97"/>
      <c r="AO2171" s="97"/>
      <c r="AP2171" s="97"/>
      <c r="AQ2171" s="97"/>
      <c r="AR2171" s="97"/>
      <c r="AS2171" s="97"/>
      <c r="AT2171" s="200"/>
      <c r="AU2171" s="200"/>
      <c r="AV2171" s="200"/>
      <c r="AW2171" s="200"/>
    </row>
    <row r="2172" spans="1:49" ht="15" customHeight="1">
      <c r="A2172" s="297"/>
      <c r="B2172" s="217"/>
      <c r="C2172" s="217"/>
      <c r="D2172" s="101"/>
      <c r="E2172" s="101"/>
      <c r="F2172" s="185"/>
      <c r="G2172" s="295"/>
      <c r="H2172" s="295"/>
      <c r="I2172" s="99"/>
      <c r="J2172" s="99"/>
      <c r="K2172" s="99"/>
      <c r="L2172" s="99"/>
      <c r="M2172" s="99"/>
      <c r="N2172" s="99"/>
      <c r="O2172" s="99"/>
      <c r="P2172" s="99"/>
      <c r="Q2172" s="99"/>
      <c r="R2172" s="99"/>
      <c r="S2172" s="99"/>
      <c r="T2172" s="99"/>
      <c r="U2172" s="99"/>
      <c r="V2172" s="99"/>
      <c r="W2172" s="244"/>
      <c r="X2172" s="244"/>
      <c r="Y2172" s="244"/>
      <c r="Z2172" s="97"/>
      <c r="AA2172" s="619"/>
      <c r="AB2172" s="97"/>
      <c r="AC2172" s="97"/>
      <c r="AD2172" s="97"/>
      <c r="AE2172" s="97"/>
      <c r="AF2172" s="97"/>
      <c r="AG2172" s="97"/>
      <c r="AH2172" s="97"/>
      <c r="AI2172" s="97"/>
      <c r="AJ2172" s="97"/>
      <c r="AK2172" s="97"/>
      <c r="AL2172" s="97"/>
      <c r="AM2172" s="97"/>
      <c r="AN2172" s="97"/>
      <c r="AO2172" s="97"/>
      <c r="AP2172" s="97"/>
      <c r="AQ2172" s="97"/>
      <c r="AR2172" s="97"/>
      <c r="AS2172" s="97"/>
      <c r="AT2172" s="200"/>
      <c r="AU2172" s="200"/>
      <c r="AV2172" s="200"/>
      <c r="AW2172" s="200"/>
    </row>
    <row r="2173" spans="1:49" ht="15" customHeight="1">
      <c r="A2173" s="297"/>
      <c r="B2173" s="217"/>
      <c r="C2173" s="217"/>
      <c r="D2173" s="101"/>
      <c r="E2173" s="101"/>
      <c r="F2173" s="185"/>
      <c r="G2173" s="295"/>
      <c r="H2173" s="295"/>
      <c r="I2173" s="99"/>
      <c r="J2173" s="99"/>
      <c r="K2173" s="99"/>
      <c r="L2173" s="99"/>
      <c r="M2173" s="99"/>
      <c r="N2173" s="99"/>
      <c r="O2173" s="99"/>
      <c r="P2173" s="99"/>
      <c r="Q2173" s="99"/>
      <c r="R2173" s="99"/>
      <c r="S2173" s="99"/>
      <c r="T2173" s="99"/>
      <c r="U2173" s="99"/>
      <c r="V2173" s="99"/>
      <c r="W2173" s="244"/>
      <c r="X2173" s="244"/>
      <c r="Y2173" s="244"/>
      <c r="Z2173" s="97"/>
      <c r="AA2173" s="619"/>
      <c r="AB2173" s="97"/>
      <c r="AC2173" s="97"/>
      <c r="AD2173" s="97"/>
      <c r="AE2173" s="97"/>
      <c r="AF2173" s="97"/>
      <c r="AG2173" s="97"/>
      <c r="AH2173" s="97"/>
      <c r="AI2173" s="97"/>
      <c r="AJ2173" s="97"/>
      <c r="AK2173" s="97"/>
      <c r="AL2173" s="97"/>
      <c r="AM2173" s="97"/>
      <c r="AN2173" s="97"/>
      <c r="AO2173" s="97"/>
      <c r="AP2173" s="97"/>
      <c r="AQ2173" s="97"/>
      <c r="AR2173" s="97"/>
      <c r="AS2173" s="97"/>
      <c r="AT2173" s="200"/>
      <c r="AU2173" s="200"/>
      <c r="AV2173" s="200"/>
      <c r="AW2173" s="200"/>
    </row>
    <row r="2174" spans="1:49" ht="15" customHeight="1">
      <c r="A2174" s="297"/>
      <c r="B2174" s="217"/>
      <c r="C2174" s="217"/>
      <c r="D2174" s="101"/>
      <c r="E2174" s="101"/>
      <c r="F2174" s="185"/>
      <c r="G2174" s="295"/>
      <c r="H2174" s="295"/>
      <c r="I2174" s="99"/>
      <c r="J2174" s="99"/>
      <c r="K2174" s="99"/>
      <c r="L2174" s="99"/>
      <c r="M2174" s="99"/>
      <c r="N2174" s="99"/>
      <c r="O2174" s="99"/>
      <c r="P2174" s="99"/>
      <c r="Q2174" s="99"/>
      <c r="R2174" s="99"/>
      <c r="S2174" s="99"/>
      <c r="T2174" s="99"/>
      <c r="U2174" s="99"/>
      <c r="V2174" s="99"/>
      <c r="W2174" s="244"/>
      <c r="X2174" s="244"/>
      <c r="Y2174" s="244"/>
      <c r="Z2174" s="97"/>
      <c r="AA2174" s="619"/>
      <c r="AB2174" s="97"/>
      <c r="AC2174" s="97"/>
      <c r="AD2174" s="97"/>
      <c r="AE2174" s="97"/>
      <c r="AF2174" s="97"/>
      <c r="AG2174" s="97"/>
      <c r="AH2174" s="97"/>
      <c r="AI2174" s="97"/>
      <c r="AJ2174" s="97"/>
      <c r="AK2174" s="97"/>
      <c r="AL2174" s="97"/>
      <c r="AM2174" s="97"/>
      <c r="AN2174" s="97"/>
      <c r="AO2174" s="97"/>
      <c r="AP2174" s="97"/>
      <c r="AQ2174" s="97"/>
      <c r="AR2174" s="97"/>
      <c r="AS2174" s="97"/>
      <c r="AT2174" s="200"/>
      <c r="AU2174" s="200"/>
      <c r="AV2174" s="200"/>
      <c r="AW2174" s="200"/>
    </row>
    <row r="2175" spans="1:49" ht="15" customHeight="1">
      <c r="A2175" s="297"/>
      <c r="B2175" s="217"/>
      <c r="C2175" s="217"/>
      <c r="D2175" s="101"/>
      <c r="E2175" s="101"/>
      <c r="F2175" s="185"/>
      <c r="G2175" s="295"/>
      <c r="H2175" s="295"/>
      <c r="I2175" s="99"/>
      <c r="J2175" s="99"/>
      <c r="K2175" s="99"/>
      <c r="L2175" s="99"/>
      <c r="M2175" s="99"/>
      <c r="N2175" s="99"/>
      <c r="O2175" s="99"/>
      <c r="P2175" s="99"/>
      <c r="Q2175" s="99"/>
      <c r="R2175" s="99"/>
      <c r="S2175" s="99"/>
      <c r="T2175" s="99"/>
      <c r="U2175" s="99"/>
      <c r="V2175" s="99"/>
      <c r="W2175" s="244"/>
      <c r="X2175" s="244"/>
      <c r="Y2175" s="244"/>
      <c r="Z2175" s="97"/>
      <c r="AA2175" s="619"/>
      <c r="AB2175" s="97"/>
      <c r="AC2175" s="97"/>
      <c r="AD2175" s="97"/>
      <c r="AE2175" s="97"/>
      <c r="AF2175" s="97"/>
      <c r="AG2175" s="97"/>
      <c r="AH2175" s="97"/>
      <c r="AI2175" s="97"/>
      <c r="AJ2175" s="97"/>
      <c r="AK2175" s="97"/>
      <c r="AL2175" s="97"/>
      <c r="AM2175" s="97"/>
      <c r="AN2175" s="97"/>
      <c r="AO2175" s="97"/>
      <c r="AP2175" s="97"/>
      <c r="AQ2175" s="97"/>
      <c r="AR2175" s="97"/>
      <c r="AS2175" s="97"/>
      <c r="AT2175" s="192"/>
      <c r="AU2175" s="192"/>
      <c r="AV2175" s="192"/>
      <c r="AW2175" s="192"/>
    </row>
    <row r="2176" spans="1:49" ht="15" customHeight="1">
      <c r="A2176" s="297"/>
      <c r="B2176" s="217"/>
      <c r="C2176" s="217"/>
      <c r="D2176" s="101"/>
      <c r="E2176" s="101"/>
      <c r="F2176" s="185"/>
      <c r="G2176" s="295"/>
      <c r="H2176" s="295"/>
      <c r="I2176" s="99"/>
      <c r="J2176" s="99"/>
      <c r="K2176" s="99"/>
      <c r="L2176" s="99"/>
      <c r="M2176" s="99"/>
      <c r="N2176" s="99"/>
      <c r="O2176" s="99"/>
      <c r="P2176" s="99"/>
      <c r="Q2176" s="99"/>
      <c r="R2176" s="99"/>
      <c r="S2176" s="99"/>
      <c r="T2176" s="99"/>
      <c r="U2176" s="99"/>
      <c r="V2176" s="99"/>
      <c r="W2176" s="244"/>
      <c r="X2176" s="244"/>
      <c r="Y2176" s="244"/>
      <c r="Z2176" s="97"/>
      <c r="AA2176" s="619"/>
      <c r="AB2176" s="97"/>
      <c r="AC2176" s="97"/>
      <c r="AD2176" s="97"/>
      <c r="AE2176" s="97"/>
      <c r="AF2176" s="97"/>
      <c r="AG2176" s="97"/>
      <c r="AH2176" s="97"/>
      <c r="AI2176" s="97"/>
      <c r="AJ2176" s="97"/>
      <c r="AK2176" s="97"/>
      <c r="AL2176" s="97"/>
      <c r="AM2176" s="97"/>
      <c r="AN2176" s="97"/>
      <c r="AO2176" s="97"/>
      <c r="AP2176" s="97"/>
      <c r="AQ2176" s="97"/>
      <c r="AR2176" s="97"/>
      <c r="AS2176" s="97"/>
      <c r="AT2176" s="192"/>
      <c r="AU2176" s="192"/>
      <c r="AV2176" s="192"/>
      <c r="AW2176" s="192"/>
    </row>
    <row r="2177" spans="1:49" ht="15" customHeight="1">
      <c r="A2177" s="297"/>
      <c r="B2177" s="217"/>
      <c r="C2177" s="217"/>
      <c r="D2177" s="101"/>
      <c r="E2177" s="101"/>
      <c r="F2177" s="185"/>
      <c r="G2177" s="295"/>
      <c r="H2177" s="295"/>
      <c r="I2177" s="99"/>
      <c r="J2177" s="99"/>
      <c r="K2177" s="99"/>
      <c r="L2177" s="99"/>
      <c r="M2177" s="99"/>
      <c r="N2177" s="99"/>
      <c r="O2177" s="99"/>
      <c r="P2177" s="99"/>
      <c r="Q2177" s="99"/>
      <c r="R2177" s="99"/>
      <c r="S2177" s="99"/>
      <c r="T2177" s="99"/>
      <c r="U2177" s="99"/>
      <c r="V2177" s="99"/>
      <c r="W2177" s="244"/>
      <c r="X2177" s="244"/>
      <c r="Y2177" s="244"/>
      <c r="Z2177" s="97"/>
      <c r="AA2177" s="619"/>
      <c r="AB2177" s="97"/>
      <c r="AC2177" s="97"/>
      <c r="AD2177" s="97"/>
      <c r="AE2177" s="97"/>
      <c r="AF2177" s="97"/>
      <c r="AG2177" s="97"/>
      <c r="AH2177" s="97"/>
      <c r="AI2177" s="97"/>
      <c r="AJ2177" s="97"/>
      <c r="AK2177" s="97"/>
      <c r="AL2177" s="97"/>
      <c r="AM2177" s="97"/>
      <c r="AN2177" s="97"/>
      <c r="AO2177" s="97"/>
      <c r="AP2177" s="97"/>
      <c r="AQ2177" s="97"/>
      <c r="AR2177" s="97"/>
      <c r="AS2177" s="97"/>
      <c r="AT2177" s="192"/>
      <c r="AU2177" s="192"/>
      <c r="AV2177" s="192"/>
      <c r="AW2177" s="192"/>
    </row>
    <row r="2178" spans="1:49" ht="15" customHeight="1">
      <c r="A2178" s="297"/>
      <c r="B2178" s="217"/>
      <c r="C2178" s="217"/>
      <c r="D2178" s="101"/>
      <c r="E2178" s="101"/>
      <c r="F2178" s="185"/>
      <c r="G2178" s="295"/>
      <c r="H2178" s="295"/>
      <c r="I2178" s="99"/>
      <c r="J2178" s="99"/>
      <c r="K2178" s="99"/>
      <c r="L2178" s="99"/>
      <c r="M2178" s="99"/>
      <c r="N2178" s="99"/>
      <c r="O2178" s="99"/>
      <c r="P2178" s="99"/>
      <c r="Q2178" s="99"/>
      <c r="R2178" s="99"/>
      <c r="S2178" s="99"/>
      <c r="T2178" s="99"/>
      <c r="U2178" s="99"/>
      <c r="V2178" s="99"/>
      <c r="W2178" s="244"/>
      <c r="X2178" s="244"/>
      <c r="Y2178" s="244"/>
      <c r="Z2178" s="97"/>
      <c r="AA2178" s="619"/>
      <c r="AB2178" s="97"/>
      <c r="AC2178" s="97"/>
      <c r="AD2178" s="97"/>
      <c r="AE2178" s="97"/>
      <c r="AF2178" s="97"/>
      <c r="AG2178" s="97"/>
      <c r="AH2178" s="97"/>
      <c r="AI2178" s="97"/>
      <c r="AJ2178" s="97"/>
      <c r="AK2178" s="97"/>
      <c r="AL2178" s="97"/>
      <c r="AM2178" s="97"/>
      <c r="AN2178" s="97"/>
      <c r="AO2178" s="97"/>
      <c r="AP2178" s="97"/>
      <c r="AQ2178" s="97"/>
      <c r="AR2178" s="97"/>
      <c r="AS2178" s="97"/>
      <c r="AT2178" s="192"/>
      <c r="AU2178" s="192"/>
      <c r="AV2178" s="192"/>
      <c r="AW2178" s="192"/>
    </row>
    <row r="2179" spans="1:49" ht="15" customHeight="1">
      <c r="A2179" s="297"/>
      <c r="B2179" s="217"/>
      <c r="C2179" s="217"/>
      <c r="D2179" s="101"/>
      <c r="E2179" s="101"/>
      <c r="F2179" s="185"/>
      <c r="G2179" s="295"/>
      <c r="H2179" s="295"/>
      <c r="I2179" s="99"/>
      <c r="J2179" s="99"/>
      <c r="K2179" s="99"/>
      <c r="L2179" s="99"/>
      <c r="M2179" s="99"/>
      <c r="N2179" s="99"/>
      <c r="O2179" s="99"/>
      <c r="P2179" s="99"/>
      <c r="Q2179" s="99"/>
      <c r="R2179" s="99"/>
      <c r="S2179" s="99"/>
      <c r="T2179" s="99"/>
      <c r="U2179" s="99"/>
      <c r="V2179" s="99"/>
      <c r="W2179" s="244"/>
      <c r="X2179" s="244"/>
      <c r="Y2179" s="244"/>
      <c r="Z2179" s="97"/>
      <c r="AA2179" s="619"/>
      <c r="AB2179" s="97"/>
      <c r="AC2179" s="97"/>
      <c r="AD2179" s="97"/>
      <c r="AE2179" s="97"/>
      <c r="AF2179" s="97"/>
      <c r="AG2179" s="97"/>
      <c r="AH2179" s="97"/>
      <c r="AI2179" s="97"/>
      <c r="AJ2179" s="97"/>
      <c r="AK2179" s="97"/>
      <c r="AL2179" s="97"/>
      <c r="AM2179" s="97"/>
      <c r="AN2179" s="97"/>
      <c r="AO2179" s="97"/>
      <c r="AP2179" s="97"/>
      <c r="AQ2179" s="97"/>
      <c r="AR2179" s="97"/>
      <c r="AS2179" s="97"/>
      <c r="AT2179" s="192"/>
      <c r="AU2179" s="192"/>
      <c r="AV2179" s="192"/>
      <c r="AW2179" s="192"/>
    </row>
    <row r="2180" spans="1:49" ht="15" customHeight="1">
      <c r="A2180" s="297"/>
      <c r="B2180" s="217"/>
      <c r="C2180" s="217"/>
      <c r="D2180" s="101"/>
      <c r="E2180" s="101"/>
      <c r="F2180" s="185"/>
      <c r="G2180" s="295"/>
      <c r="H2180" s="295"/>
      <c r="I2180" s="99"/>
      <c r="J2180" s="99"/>
      <c r="K2180" s="99"/>
      <c r="L2180" s="99"/>
      <c r="M2180" s="99"/>
      <c r="N2180" s="99"/>
      <c r="O2180" s="99"/>
      <c r="P2180" s="99"/>
      <c r="Q2180" s="99"/>
      <c r="R2180" s="99"/>
      <c r="S2180" s="99"/>
      <c r="T2180" s="99"/>
      <c r="U2180" s="99"/>
      <c r="V2180" s="99"/>
      <c r="W2180" s="244"/>
      <c r="X2180" s="244"/>
      <c r="Y2180" s="244"/>
      <c r="Z2180" s="97"/>
      <c r="AA2180" s="619"/>
      <c r="AB2180" s="97"/>
      <c r="AC2180" s="97"/>
      <c r="AD2180" s="97"/>
      <c r="AE2180" s="97"/>
      <c r="AF2180" s="97"/>
      <c r="AG2180" s="97"/>
      <c r="AH2180" s="97"/>
      <c r="AI2180" s="97"/>
      <c r="AJ2180" s="97"/>
      <c r="AK2180" s="97"/>
      <c r="AL2180" s="97"/>
      <c r="AM2180" s="97"/>
      <c r="AN2180" s="97"/>
      <c r="AO2180" s="97"/>
      <c r="AP2180" s="97"/>
      <c r="AQ2180" s="97"/>
      <c r="AR2180" s="97"/>
      <c r="AS2180" s="97"/>
      <c r="AT2180" s="192"/>
      <c r="AU2180" s="192"/>
      <c r="AV2180" s="192"/>
      <c r="AW2180" s="192"/>
    </row>
    <row r="2181" spans="1:49" ht="15" customHeight="1">
      <c r="A2181" s="297"/>
      <c r="B2181" s="217"/>
      <c r="C2181" s="217"/>
      <c r="D2181" s="101"/>
      <c r="E2181" s="101"/>
      <c r="F2181" s="185"/>
      <c r="G2181" s="295"/>
      <c r="H2181" s="295"/>
      <c r="I2181" s="99"/>
      <c r="J2181" s="99"/>
      <c r="K2181" s="99"/>
      <c r="L2181" s="99"/>
      <c r="M2181" s="99"/>
      <c r="N2181" s="99"/>
      <c r="O2181" s="99"/>
      <c r="P2181" s="99"/>
      <c r="Q2181" s="99"/>
      <c r="R2181" s="99"/>
      <c r="S2181" s="99"/>
      <c r="T2181" s="99"/>
      <c r="U2181" s="99"/>
      <c r="V2181" s="99"/>
      <c r="W2181" s="244"/>
      <c r="X2181" s="244"/>
      <c r="Y2181" s="244"/>
      <c r="Z2181" s="97"/>
      <c r="AA2181" s="619"/>
      <c r="AB2181" s="97"/>
      <c r="AC2181" s="97"/>
      <c r="AD2181" s="97"/>
      <c r="AE2181" s="97"/>
      <c r="AF2181" s="97"/>
      <c r="AG2181" s="97"/>
      <c r="AH2181" s="97"/>
      <c r="AI2181" s="97"/>
      <c r="AJ2181" s="97"/>
      <c r="AK2181" s="97"/>
      <c r="AL2181" s="97"/>
      <c r="AM2181" s="97"/>
      <c r="AN2181" s="97"/>
      <c r="AO2181" s="97"/>
      <c r="AP2181" s="97"/>
      <c r="AQ2181" s="97"/>
      <c r="AR2181" s="97"/>
      <c r="AS2181" s="97"/>
      <c r="AT2181" s="192"/>
      <c r="AU2181" s="192"/>
      <c r="AV2181" s="192"/>
      <c r="AW2181" s="192"/>
    </row>
    <row r="2182" spans="1:49" ht="15" customHeight="1">
      <c r="A2182" s="297"/>
      <c r="B2182" s="217"/>
      <c r="C2182" s="217"/>
      <c r="D2182" s="101"/>
      <c r="E2182" s="101"/>
      <c r="F2182" s="185"/>
      <c r="G2182" s="295"/>
      <c r="H2182" s="295"/>
      <c r="I2182" s="99"/>
      <c r="J2182" s="99"/>
      <c r="K2182" s="99"/>
      <c r="L2182" s="99"/>
      <c r="M2182" s="99"/>
      <c r="N2182" s="99"/>
      <c r="O2182" s="99"/>
      <c r="P2182" s="99"/>
      <c r="Q2182" s="99"/>
      <c r="R2182" s="99"/>
      <c r="S2182" s="99"/>
      <c r="T2182" s="99"/>
      <c r="U2182" s="99"/>
      <c r="V2182" s="99"/>
      <c r="W2182" s="244"/>
      <c r="X2182" s="244"/>
      <c r="Y2182" s="244"/>
      <c r="Z2182" s="97"/>
      <c r="AA2182" s="619"/>
      <c r="AB2182" s="97"/>
      <c r="AC2182" s="97"/>
      <c r="AD2182" s="97"/>
      <c r="AE2182" s="97"/>
      <c r="AF2182" s="97"/>
      <c r="AG2182" s="97"/>
      <c r="AH2182" s="97"/>
      <c r="AI2182" s="97"/>
      <c r="AJ2182" s="97"/>
      <c r="AK2182" s="97"/>
      <c r="AL2182" s="97"/>
      <c r="AM2182" s="97"/>
      <c r="AN2182" s="97"/>
      <c r="AO2182" s="97"/>
      <c r="AP2182" s="97"/>
      <c r="AQ2182" s="97"/>
      <c r="AR2182" s="97"/>
      <c r="AS2182" s="97"/>
      <c r="AT2182" s="192"/>
      <c r="AU2182" s="192"/>
      <c r="AV2182" s="192"/>
      <c r="AW2182" s="192"/>
    </row>
    <row r="2183" spans="1:49" ht="15" customHeight="1">
      <c r="A2183" s="297"/>
      <c r="B2183" s="217"/>
      <c r="C2183" s="217"/>
      <c r="D2183" s="101"/>
      <c r="E2183" s="101"/>
      <c r="F2183" s="185"/>
      <c r="G2183" s="295"/>
      <c r="H2183" s="295"/>
      <c r="I2183" s="99"/>
      <c r="J2183" s="99"/>
      <c r="K2183" s="99"/>
      <c r="L2183" s="99"/>
      <c r="M2183" s="99"/>
      <c r="N2183" s="99"/>
      <c r="O2183" s="99"/>
      <c r="P2183" s="99"/>
      <c r="Q2183" s="99"/>
      <c r="R2183" s="99"/>
      <c r="S2183" s="99"/>
      <c r="T2183" s="99"/>
      <c r="U2183" s="99"/>
      <c r="V2183" s="99"/>
      <c r="W2183" s="244"/>
      <c r="X2183" s="244"/>
      <c r="Y2183" s="244"/>
      <c r="Z2183" s="97"/>
      <c r="AA2183" s="619"/>
      <c r="AB2183" s="97"/>
      <c r="AC2183" s="97"/>
      <c r="AD2183" s="97"/>
      <c r="AE2183" s="97"/>
      <c r="AF2183" s="97"/>
      <c r="AG2183" s="97"/>
      <c r="AH2183" s="97"/>
      <c r="AI2183" s="97"/>
      <c r="AJ2183" s="97"/>
      <c r="AK2183" s="97"/>
      <c r="AL2183" s="97"/>
      <c r="AM2183" s="97"/>
      <c r="AN2183" s="97"/>
      <c r="AO2183" s="97"/>
      <c r="AP2183" s="97"/>
      <c r="AQ2183" s="97"/>
      <c r="AR2183" s="97"/>
      <c r="AS2183" s="97"/>
      <c r="AT2183" s="192"/>
      <c r="AU2183" s="192"/>
      <c r="AV2183" s="192"/>
      <c r="AW2183" s="192"/>
    </row>
    <row r="2184" spans="1:49" ht="15" customHeight="1">
      <c r="A2184" s="297"/>
      <c r="B2184" s="217"/>
      <c r="C2184" s="217"/>
      <c r="D2184" s="101"/>
      <c r="E2184" s="101"/>
      <c r="F2184" s="185"/>
      <c r="G2184" s="295"/>
      <c r="H2184" s="295"/>
      <c r="I2184" s="99"/>
      <c r="J2184" s="99"/>
      <c r="K2184" s="99"/>
      <c r="L2184" s="99"/>
      <c r="M2184" s="99"/>
      <c r="N2184" s="99"/>
      <c r="O2184" s="99"/>
      <c r="P2184" s="99"/>
      <c r="Q2184" s="99"/>
      <c r="R2184" s="99"/>
      <c r="S2184" s="99"/>
      <c r="T2184" s="99"/>
      <c r="U2184" s="99"/>
      <c r="V2184" s="99"/>
      <c r="W2184" s="244"/>
      <c r="X2184" s="244"/>
      <c r="Y2184" s="244"/>
      <c r="Z2184" s="97"/>
      <c r="AA2184" s="619"/>
      <c r="AB2184" s="97"/>
      <c r="AC2184" s="97"/>
      <c r="AD2184" s="97"/>
      <c r="AE2184" s="97"/>
      <c r="AF2184" s="97"/>
      <c r="AG2184" s="97"/>
      <c r="AH2184" s="97"/>
      <c r="AI2184" s="97"/>
      <c r="AJ2184" s="97"/>
      <c r="AK2184" s="97"/>
      <c r="AL2184" s="97"/>
      <c r="AM2184" s="97"/>
      <c r="AN2184" s="97"/>
      <c r="AO2184" s="97"/>
      <c r="AP2184" s="97"/>
      <c r="AQ2184" s="97"/>
      <c r="AR2184" s="97"/>
      <c r="AS2184" s="97"/>
      <c r="AT2184" s="192"/>
      <c r="AU2184" s="192"/>
      <c r="AV2184" s="192"/>
      <c r="AW2184" s="192"/>
    </row>
    <row r="2185" spans="1:49" ht="15" customHeight="1">
      <c r="A2185" s="297"/>
      <c r="B2185" s="217"/>
      <c r="C2185" s="217"/>
      <c r="D2185" s="101"/>
      <c r="E2185" s="101"/>
      <c r="F2185" s="185"/>
      <c r="G2185" s="295"/>
      <c r="H2185" s="295"/>
      <c r="I2185" s="99"/>
      <c r="J2185" s="99"/>
      <c r="K2185" s="99"/>
      <c r="L2185" s="99"/>
      <c r="M2185" s="99"/>
      <c r="N2185" s="99"/>
      <c r="O2185" s="99"/>
      <c r="P2185" s="99"/>
      <c r="Q2185" s="99"/>
      <c r="R2185" s="99"/>
      <c r="S2185" s="99"/>
      <c r="T2185" s="99"/>
      <c r="U2185" s="99"/>
      <c r="V2185" s="99"/>
      <c r="W2185" s="244"/>
      <c r="X2185" s="244"/>
      <c r="Y2185" s="244"/>
      <c r="Z2185" s="97"/>
      <c r="AA2185" s="619"/>
      <c r="AB2185" s="97"/>
      <c r="AC2185" s="97"/>
      <c r="AD2185" s="97"/>
      <c r="AE2185" s="97"/>
      <c r="AF2185" s="97"/>
      <c r="AG2185" s="97"/>
      <c r="AH2185" s="97"/>
      <c r="AI2185" s="97"/>
      <c r="AJ2185" s="97"/>
      <c r="AK2185" s="97"/>
      <c r="AL2185" s="97"/>
      <c r="AM2185" s="97"/>
      <c r="AN2185" s="97"/>
      <c r="AO2185" s="97"/>
      <c r="AP2185" s="97"/>
      <c r="AQ2185" s="97"/>
      <c r="AR2185" s="97"/>
      <c r="AS2185" s="97"/>
      <c r="AT2185" s="192"/>
      <c r="AU2185" s="192"/>
      <c r="AV2185" s="192"/>
      <c r="AW2185" s="192"/>
    </row>
    <row r="2186" spans="1:49" ht="15" customHeight="1">
      <c r="A2186" s="297"/>
      <c r="B2186" s="217"/>
      <c r="C2186" s="217"/>
      <c r="D2186" s="101"/>
      <c r="E2186" s="101"/>
      <c r="F2186" s="185"/>
      <c r="G2186" s="295"/>
      <c r="H2186" s="295"/>
      <c r="I2186" s="99"/>
      <c r="J2186" s="99"/>
      <c r="K2186" s="99"/>
      <c r="L2186" s="99"/>
      <c r="M2186" s="99"/>
      <c r="N2186" s="99"/>
      <c r="O2186" s="99"/>
      <c r="P2186" s="99"/>
      <c r="Q2186" s="99"/>
      <c r="R2186" s="99"/>
      <c r="S2186" s="99"/>
      <c r="T2186" s="99"/>
      <c r="U2186" s="99"/>
      <c r="V2186" s="99"/>
      <c r="W2186" s="244"/>
      <c r="X2186" s="244"/>
      <c r="Y2186" s="244"/>
      <c r="Z2186" s="97"/>
      <c r="AA2186" s="619"/>
      <c r="AB2186" s="97"/>
      <c r="AC2186" s="97"/>
      <c r="AD2186" s="97"/>
      <c r="AE2186" s="97"/>
      <c r="AF2186" s="97"/>
      <c r="AG2186" s="97"/>
      <c r="AH2186" s="97"/>
      <c r="AI2186" s="97"/>
      <c r="AJ2186" s="97"/>
      <c r="AK2186" s="97"/>
      <c r="AL2186" s="97"/>
      <c r="AM2186" s="97"/>
      <c r="AN2186" s="97"/>
      <c r="AO2186" s="97"/>
      <c r="AP2186" s="97"/>
      <c r="AQ2186" s="97"/>
      <c r="AR2186" s="97"/>
      <c r="AS2186" s="97"/>
      <c r="AT2186" s="192"/>
      <c r="AU2186" s="192"/>
      <c r="AV2186" s="192"/>
      <c r="AW2186" s="192"/>
    </row>
    <row r="2187" spans="1:49" ht="15" customHeight="1">
      <c r="A2187" s="297"/>
      <c r="B2187" s="217"/>
      <c r="C2187" s="217"/>
      <c r="D2187" s="101"/>
      <c r="E2187" s="101"/>
      <c r="F2187" s="185"/>
      <c r="G2187" s="295"/>
      <c r="H2187" s="295"/>
      <c r="I2187" s="99"/>
      <c r="J2187" s="99"/>
      <c r="K2187" s="99"/>
      <c r="L2187" s="99"/>
      <c r="M2187" s="99"/>
      <c r="N2187" s="99"/>
      <c r="O2187" s="99"/>
      <c r="P2187" s="99"/>
      <c r="Q2187" s="99"/>
      <c r="R2187" s="99"/>
      <c r="S2187" s="99"/>
      <c r="T2187" s="99"/>
      <c r="U2187" s="99"/>
      <c r="V2187" s="99"/>
      <c r="W2187" s="244"/>
      <c r="X2187" s="244"/>
      <c r="Y2187" s="244"/>
      <c r="Z2187" s="97"/>
      <c r="AA2187" s="619"/>
      <c r="AB2187" s="97"/>
      <c r="AC2187" s="97"/>
      <c r="AD2187" s="97"/>
      <c r="AE2187" s="97"/>
      <c r="AF2187" s="97"/>
      <c r="AG2187" s="97"/>
      <c r="AH2187" s="97"/>
      <c r="AI2187" s="97"/>
      <c r="AJ2187" s="97"/>
      <c r="AK2187" s="97"/>
      <c r="AL2187" s="97"/>
      <c r="AM2187" s="97"/>
      <c r="AN2187" s="97"/>
      <c r="AO2187" s="97"/>
      <c r="AP2187" s="97"/>
      <c r="AQ2187" s="97"/>
      <c r="AR2187" s="97"/>
      <c r="AS2187" s="97"/>
      <c r="AT2187" s="192"/>
      <c r="AU2187" s="192"/>
      <c r="AV2187" s="192"/>
      <c r="AW2187" s="192"/>
    </row>
    <row r="2188" spans="1:49" ht="15" customHeight="1">
      <c r="A2188" s="297"/>
      <c r="B2188" s="217"/>
      <c r="C2188" s="217"/>
      <c r="D2188" s="101"/>
      <c r="E2188" s="101"/>
      <c r="F2188" s="185"/>
      <c r="G2188" s="295"/>
      <c r="H2188" s="295"/>
      <c r="I2188" s="99"/>
      <c r="J2188" s="99"/>
      <c r="K2188" s="99"/>
      <c r="L2188" s="99"/>
      <c r="M2188" s="99"/>
      <c r="N2188" s="99"/>
      <c r="O2188" s="99"/>
      <c r="P2188" s="99"/>
      <c r="Q2188" s="99"/>
      <c r="R2188" s="99"/>
      <c r="S2188" s="99"/>
      <c r="T2188" s="99"/>
      <c r="U2188" s="99"/>
      <c r="V2188" s="99"/>
      <c r="W2188" s="244"/>
      <c r="X2188" s="244"/>
      <c r="Y2188" s="244"/>
    </row>
    <row r="2189" spans="1:49" ht="15" customHeight="1">
      <c r="A2189" s="297"/>
      <c r="B2189" s="217"/>
      <c r="C2189" s="217"/>
      <c r="D2189" s="101"/>
      <c r="E2189" s="101"/>
      <c r="F2189" s="185"/>
      <c r="G2189" s="295"/>
      <c r="H2189" s="295"/>
      <c r="I2189" s="99"/>
      <c r="J2189" s="99"/>
      <c r="K2189" s="99"/>
      <c r="L2189" s="99"/>
      <c r="M2189" s="99"/>
      <c r="N2189" s="99"/>
      <c r="O2189" s="99"/>
      <c r="P2189" s="99"/>
      <c r="Q2189" s="99"/>
      <c r="R2189" s="99"/>
      <c r="S2189" s="99"/>
      <c r="T2189" s="99"/>
      <c r="U2189" s="99"/>
      <c r="V2189" s="99"/>
      <c r="W2189" s="244"/>
      <c r="X2189" s="244"/>
      <c r="Y2189" s="244"/>
    </row>
    <row r="2190" spans="1:49" ht="15" customHeight="1">
      <c r="A2190" s="297"/>
      <c r="B2190" s="217"/>
      <c r="C2190" s="217"/>
      <c r="D2190" s="101"/>
      <c r="E2190" s="101"/>
      <c r="F2190" s="185"/>
      <c r="G2190" s="295"/>
      <c r="H2190" s="295"/>
      <c r="I2190" s="99"/>
      <c r="J2190" s="99"/>
      <c r="K2190" s="99"/>
      <c r="L2190" s="99"/>
      <c r="M2190" s="99"/>
      <c r="N2190" s="99"/>
      <c r="O2190" s="99"/>
      <c r="P2190" s="99"/>
      <c r="Q2190" s="99"/>
      <c r="R2190" s="99"/>
      <c r="S2190" s="99"/>
      <c r="T2190" s="99"/>
      <c r="U2190" s="99"/>
      <c r="V2190" s="99"/>
      <c r="W2190" s="244"/>
      <c r="X2190" s="244"/>
      <c r="Y2190" s="244"/>
    </row>
    <row r="2191" spans="1:49" ht="15" customHeight="1">
      <c r="A2191" s="297"/>
      <c r="B2191" s="217"/>
      <c r="C2191" s="217"/>
      <c r="D2191" s="101"/>
      <c r="E2191" s="101"/>
      <c r="F2191" s="185"/>
      <c r="G2191" s="295"/>
      <c r="H2191" s="295"/>
      <c r="I2191" s="99"/>
      <c r="J2191" s="99"/>
      <c r="K2191" s="99"/>
      <c r="L2191" s="99"/>
      <c r="M2191" s="99"/>
      <c r="N2191" s="99"/>
      <c r="O2191" s="99"/>
      <c r="P2191" s="99"/>
      <c r="Q2191" s="99"/>
      <c r="R2191" s="99"/>
      <c r="S2191" s="99"/>
      <c r="T2191" s="99"/>
      <c r="U2191" s="99"/>
      <c r="V2191" s="99"/>
      <c r="W2191" s="244"/>
      <c r="X2191" s="244"/>
      <c r="Y2191" s="244"/>
    </row>
    <row r="2192" spans="1:49" ht="15" customHeight="1">
      <c r="A2192" s="297"/>
      <c r="B2192" s="217"/>
      <c r="C2192" s="217"/>
      <c r="D2192" s="101"/>
      <c r="E2192" s="101"/>
      <c r="F2192" s="185"/>
      <c r="G2192" s="295"/>
      <c r="H2192" s="295"/>
      <c r="I2192" s="99"/>
      <c r="J2192" s="99"/>
      <c r="K2192" s="99"/>
      <c r="L2192" s="99"/>
      <c r="M2192" s="99"/>
      <c r="N2192" s="99"/>
      <c r="O2192" s="99"/>
      <c r="P2192" s="99"/>
      <c r="Q2192" s="99"/>
      <c r="R2192" s="99"/>
      <c r="S2192" s="99"/>
      <c r="T2192" s="99"/>
      <c r="U2192" s="99"/>
      <c r="V2192" s="99"/>
      <c r="W2192" s="244"/>
      <c r="X2192" s="244"/>
      <c r="Y2192" s="244"/>
    </row>
    <row r="2193" spans="1:22" ht="15" customHeight="1">
      <c r="A2193" s="297"/>
      <c r="B2193" s="217"/>
      <c r="C2193" s="217"/>
      <c r="D2193" s="101"/>
      <c r="E2193" s="101"/>
      <c r="F2193" s="185"/>
      <c r="G2193" s="295"/>
      <c r="H2193" s="295"/>
      <c r="I2193" s="99"/>
      <c r="J2193" s="99"/>
      <c r="K2193" s="99"/>
      <c r="L2193" s="99"/>
      <c r="M2193" s="99"/>
      <c r="N2193" s="99"/>
      <c r="O2193" s="99"/>
      <c r="P2193" s="99"/>
      <c r="Q2193" s="99"/>
      <c r="R2193" s="99"/>
      <c r="S2193" s="99"/>
      <c r="T2193" s="99"/>
      <c r="U2193" s="233"/>
      <c r="V2193" s="233"/>
    </row>
    <row r="2194" spans="1:22" ht="15" customHeight="1">
      <c r="A2194" s="297"/>
      <c r="B2194" s="217"/>
      <c r="C2194" s="217"/>
      <c r="D2194" s="101"/>
      <c r="E2194" s="101"/>
      <c r="F2194" s="185"/>
      <c r="G2194" s="295"/>
      <c r="H2194" s="295"/>
      <c r="I2194" s="99"/>
      <c r="J2194" s="99"/>
      <c r="K2194" s="99"/>
      <c r="L2194" s="99"/>
      <c r="M2194" s="99"/>
      <c r="N2194" s="99"/>
      <c r="O2194" s="99"/>
      <c r="P2194" s="99"/>
      <c r="Q2194" s="99"/>
      <c r="R2194" s="99"/>
      <c r="S2194" s="99"/>
      <c r="T2194" s="99"/>
      <c r="U2194" s="113"/>
      <c r="V2194" s="113"/>
    </row>
    <row r="2195" spans="1:22" ht="15" customHeight="1">
      <c r="A2195" s="297"/>
      <c r="B2195" s="217"/>
      <c r="C2195" s="217"/>
      <c r="D2195" s="101"/>
      <c r="E2195" s="101"/>
      <c r="F2195" s="185"/>
      <c r="G2195" s="295"/>
      <c r="H2195" s="295"/>
      <c r="I2195" s="99"/>
      <c r="J2195" s="99"/>
      <c r="K2195" s="99"/>
      <c r="L2195" s="99"/>
      <c r="M2195" s="99"/>
      <c r="N2195" s="99"/>
      <c r="O2195" s="99"/>
      <c r="P2195" s="99"/>
      <c r="Q2195" s="99"/>
      <c r="R2195" s="99"/>
      <c r="S2195" s="99"/>
      <c r="T2195" s="99"/>
      <c r="U2195" s="99"/>
      <c r="V2195" s="99"/>
    </row>
    <row r="2196" spans="1:22" ht="15" customHeight="1">
      <c r="A2196" s="297"/>
      <c r="B2196" s="217"/>
      <c r="C2196" s="217"/>
      <c r="D2196" s="101"/>
      <c r="E2196" s="101"/>
      <c r="F2196" s="185"/>
      <c r="G2196" s="295"/>
      <c r="H2196" s="295"/>
      <c r="I2196" s="99"/>
      <c r="J2196" s="99"/>
      <c r="K2196" s="99"/>
      <c r="L2196" s="99"/>
      <c r="M2196" s="99"/>
      <c r="N2196" s="99"/>
      <c r="O2196" s="99"/>
      <c r="P2196" s="99"/>
      <c r="Q2196" s="99"/>
      <c r="R2196" s="99"/>
      <c r="S2196" s="99"/>
      <c r="T2196" s="99"/>
      <c r="U2196" s="99"/>
      <c r="V2196" s="99"/>
    </row>
    <row r="2197" spans="1:22" ht="15" customHeight="1">
      <c r="A2197" s="297"/>
      <c r="B2197" s="217"/>
      <c r="C2197" s="217"/>
      <c r="D2197" s="101"/>
      <c r="E2197" s="101"/>
      <c r="F2197" s="185"/>
      <c r="G2197" s="295"/>
      <c r="H2197" s="295"/>
      <c r="I2197" s="99"/>
      <c r="J2197" s="99"/>
      <c r="K2197" s="99"/>
      <c r="L2197" s="99"/>
      <c r="M2197" s="99"/>
      <c r="N2197" s="99"/>
      <c r="O2197" s="99"/>
      <c r="P2197" s="99"/>
      <c r="Q2197" s="99"/>
      <c r="R2197" s="99"/>
      <c r="S2197" s="99"/>
      <c r="T2197" s="99"/>
      <c r="U2197" s="99"/>
      <c r="V2197" s="99"/>
    </row>
    <row r="2198" spans="1:22" ht="15" customHeight="1">
      <c r="A2198" s="297"/>
      <c r="B2198" s="217"/>
      <c r="C2198" s="217"/>
      <c r="D2198" s="101"/>
      <c r="E2198" s="101"/>
      <c r="F2198" s="185"/>
      <c r="G2198" s="295"/>
      <c r="H2198" s="295"/>
      <c r="I2198" s="99"/>
      <c r="J2198" s="99"/>
      <c r="K2198" s="99"/>
      <c r="L2198" s="99"/>
      <c r="M2198" s="99"/>
      <c r="N2198" s="99"/>
      <c r="O2198" s="99"/>
      <c r="P2198" s="99"/>
      <c r="Q2198" s="99"/>
      <c r="R2198" s="99"/>
      <c r="S2198" s="99"/>
      <c r="T2198" s="99"/>
      <c r="U2198" s="99"/>
      <c r="V2198" s="99"/>
    </row>
    <row r="2199" spans="1:22" ht="15" customHeight="1">
      <c r="A2199" s="297"/>
      <c r="B2199" s="217"/>
      <c r="C2199" s="217"/>
      <c r="D2199" s="101"/>
      <c r="E2199" s="101"/>
      <c r="F2199" s="185"/>
      <c r="G2199" s="295"/>
      <c r="H2199" s="295"/>
      <c r="I2199" s="99"/>
      <c r="J2199" s="99"/>
      <c r="K2199" s="99"/>
      <c r="L2199" s="99"/>
      <c r="M2199" s="99"/>
      <c r="N2199" s="99"/>
      <c r="O2199" s="99"/>
      <c r="P2199" s="99"/>
      <c r="Q2199" s="99"/>
      <c r="R2199" s="99"/>
      <c r="S2199" s="99"/>
      <c r="T2199" s="99"/>
      <c r="U2199" s="99"/>
      <c r="V2199" s="99"/>
    </row>
    <row r="2200" spans="1:22" ht="15" customHeight="1">
      <c r="A2200" s="297"/>
      <c r="B2200" s="217"/>
      <c r="C2200" s="217"/>
      <c r="D2200" s="101"/>
      <c r="E2200" s="101"/>
      <c r="F2200" s="185"/>
      <c r="G2200" s="295"/>
      <c r="H2200" s="295"/>
      <c r="I2200" s="99"/>
      <c r="J2200" s="99"/>
      <c r="K2200" s="99"/>
      <c r="L2200" s="99"/>
      <c r="M2200" s="99"/>
      <c r="N2200" s="99"/>
      <c r="O2200" s="99"/>
      <c r="P2200" s="99"/>
      <c r="Q2200" s="99"/>
      <c r="R2200" s="99"/>
      <c r="S2200" s="99"/>
      <c r="T2200" s="99"/>
      <c r="U2200" s="99"/>
      <c r="V2200" s="99"/>
    </row>
    <row r="2201" spans="1:22" ht="15" customHeight="1">
      <c r="A2201" s="297"/>
      <c r="B2201" s="217"/>
      <c r="C2201" s="217"/>
      <c r="D2201" s="101"/>
      <c r="E2201" s="101"/>
      <c r="F2201" s="185"/>
      <c r="G2201" s="295"/>
      <c r="H2201" s="295"/>
      <c r="I2201" s="99"/>
      <c r="J2201" s="99"/>
      <c r="K2201" s="99"/>
      <c r="L2201" s="99"/>
      <c r="M2201" s="99"/>
      <c r="N2201" s="99"/>
      <c r="O2201" s="99"/>
      <c r="P2201" s="99"/>
      <c r="Q2201" s="99"/>
      <c r="R2201" s="99"/>
      <c r="S2201" s="99"/>
      <c r="T2201" s="99"/>
      <c r="U2201" s="99"/>
      <c r="V2201" s="99"/>
    </row>
    <row r="2202" spans="1:22" ht="15" customHeight="1">
      <c r="A2202" s="297"/>
      <c r="B2202" s="217"/>
      <c r="C2202" s="217"/>
      <c r="D2202" s="101"/>
      <c r="E2202" s="101"/>
      <c r="F2202" s="185"/>
      <c r="G2202" s="295"/>
      <c r="H2202" s="295"/>
      <c r="I2202" s="99"/>
      <c r="J2202" s="99"/>
      <c r="K2202" s="99"/>
      <c r="L2202" s="99"/>
      <c r="M2202" s="99"/>
      <c r="N2202" s="99"/>
      <c r="O2202" s="99"/>
      <c r="P2202" s="99"/>
      <c r="Q2202" s="99"/>
      <c r="R2202" s="99"/>
      <c r="S2202" s="99"/>
      <c r="T2202" s="99"/>
      <c r="U2202" s="99"/>
      <c r="V2202" s="99"/>
    </row>
    <row r="2203" spans="1:22" ht="15" customHeight="1">
      <c r="A2203" s="297"/>
      <c r="B2203" s="217"/>
      <c r="C2203" s="217"/>
      <c r="D2203" s="101"/>
      <c r="E2203" s="101"/>
      <c r="F2203" s="185"/>
      <c r="G2203" s="295"/>
      <c r="H2203" s="295"/>
      <c r="I2203" s="99"/>
      <c r="J2203" s="99"/>
      <c r="K2203" s="99"/>
      <c r="L2203" s="99"/>
      <c r="M2203" s="99"/>
      <c r="N2203" s="99"/>
      <c r="O2203" s="99"/>
      <c r="P2203" s="99"/>
      <c r="Q2203" s="99"/>
      <c r="R2203" s="99"/>
      <c r="S2203" s="99"/>
      <c r="T2203" s="99"/>
      <c r="U2203" s="99"/>
      <c r="V2203" s="99"/>
    </row>
    <row r="2204" spans="1:22" ht="15" customHeight="1">
      <c r="A2204" s="297"/>
      <c r="B2204" s="217"/>
      <c r="C2204" s="217"/>
      <c r="D2204" s="101"/>
      <c r="E2204" s="101"/>
      <c r="F2204" s="185"/>
      <c r="G2204" s="295"/>
      <c r="H2204" s="295"/>
      <c r="I2204" s="99"/>
      <c r="J2204" s="99"/>
      <c r="K2204" s="99"/>
      <c r="L2204" s="99"/>
      <c r="M2204" s="99"/>
      <c r="N2204" s="99"/>
      <c r="O2204" s="99"/>
      <c r="P2204" s="99"/>
      <c r="Q2204" s="99"/>
      <c r="R2204" s="99"/>
      <c r="S2204" s="99"/>
      <c r="T2204" s="99"/>
      <c r="U2204" s="99"/>
      <c r="V2204" s="99"/>
    </row>
    <row r="2205" spans="1:22" ht="15" customHeight="1">
      <c r="A2205" s="297"/>
      <c r="B2205" s="217"/>
      <c r="C2205" s="217"/>
      <c r="D2205" s="101"/>
      <c r="E2205" s="101"/>
      <c r="F2205" s="185"/>
      <c r="G2205" s="295"/>
      <c r="H2205" s="107"/>
      <c r="I2205" s="108"/>
      <c r="J2205" s="108"/>
      <c r="K2205" s="108"/>
      <c r="L2205" s="108"/>
      <c r="M2205" s="108"/>
      <c r="N2205" s="108"/>
      <c r="O2205" s="108"/>
      <c r="P2205" s="108"/>
      <c r="Q2205" s="108"/>
      <c r="R2205" s="108"/>
      <c r="S2205" s="108"/>
      <c r="T2205" s="108"/>
      <c r="U2205" s="99"/>
      <c r="V2205" s="99"/>
    </row>
    <row r="2206" spans="1:22" ht="15" customHeight="1">
      <c r="A2206" s="297"/>
      <c r="B2206" s="217"/>
      <c r="C2206" s="217"/>
      <c r="D2206" s="101"/>
      <c r="E2206" s="101"/>
      <c r="F2206" s="185"/>
      <c r="G2206" s="295"/>
      <c r="H2206" s="295"/>
      <c r="I2206" s="99"/>
      <c r="J2206" s="99"/>
      <c r="K2206" s="99"/>
      <c r="L2206" s="99"/>
      <c r="M2206" s="99"/>
      <c r="N2206" s="99"/>
      <c r="O2206" s="99"/>
      <c r="P2206" s="99"/>
      <c r="Q2206" s="99"/>
      <c r="R2206" s="99"/>
      <c r="S2206" s="99"/>
      <c r="T2206" s="99"/>
      <c r="U2206" s="99"/>
      <c r="V2206" s="99"/>
    </row>
    <row r="2207" spans="1:22" ht="15" customHeight="1">
      <c r="A2207" s="297"/>
      <c r="B2207" s="217"/>
      <c r="C2207" s="217"/>
      <c r="D2207" s="101"/>
      <c r="E2207" s="101"/>
      <c r="F2207" s="185"/>
      <c r="G2207" s="295"/>
      <c r="H2207" s="295"/>
      <c r="I2207" s="99"/>
      <c r="J2207" s="99"/>
      <c r="K2207" s="99"/>
      <c r="L2207" s="99"/>
      <c r="M2207" s="99"/>
      <c r="N2207" s="99"/>
      <c r="O2207" s="99"/>
      <c r="P2207" s="99"/>
      <c r="Q2207" s="99"/>
      <c r="R2207" s="99"/>
      <c r="S2207" s="99"/>
      <c r="T2207" s="99"/>
      <c r="U2207" s="99"/>
      <c r="V2207" s="99"/>
    </row>
    <row r="2208" spans="1:22" ht="15" customHeight="1">
      <c r="A2208" s="297"/>
      <c r="B2208" s="217"/>
      <c r="C2208" s="217"/>
      <c r="D2208" s="101"/>
      <c r="E2208" s="101"/>
      <c r="F2208" s="185"/>
      <c r="G2208" s="295"/>
      <c r="H2208" s="295"/>
      <c r="I2208" s="99"/>
      <c r="J2208" s="99"/>
      <c r="K2208" s="99"/>
      <c r="L2208" s="99"/>
      <c r="M2208" s="99"/>
      <c r="N2208" s="99"/>
      <c r="O2208" s="99"/>
      <c r="P2208" s="99"/>
      <c r="Q2208" s="99"/>
      <c r="R2208" s="99"/>
      <c r="S2208" s="99"/>
      <c r="T2208" s="99"/>
      <c r="U2208" s="99"/>
      <c r="V2208" s="99"/>
    </row>
    <row r="2209" spans="1:22" ht="15" customHeight="1">
      <c r="A2209" s="297"/>
      <c r="B2209" s="217"/>
      <c r="C2209" s="217"/>
      <c r="D2209" s="101"/>
      <c r="E2209" s="101"/>
      <c r="F2209" s="185"/>
      <c r="G2209" s="295"/>
      <c r="H2209" s="295"/>
      <c r="I2209" s="99"/>
      <c r="J2209" s="99"/>
      <c r="K2209" s="99"/>
      <c r="L2209" s="99"/>
      <c r="M2209" s="99"/>
      <c r="N2209" s="99"/>
      <c r="O2209" s="99"/>
      <c r="P2209" s="99"/>
      <c r="Q2209" s="99"/>
      <c r="R2209" s="99"/>
      <c r="S2209" s="99"/>
      <c r="T2209" s="99"/>
      <c r="U2209" s="99"/>
      <c r="V2209" s="99"/>
    </row>
    <row r="2210" spans="1:22" ht="15" customHeight="1">
      <c r="A2210" s="297"/>
      <c r="B2210" s="217"/>
      <c r="C2210" s="217"/>
      <c r="D2210" s="101"/>
      <c r="E2210" s="101"/>
      <c r="F2210" s="185"/>
      <c r="G2210" s="295"/>
      <c r="H2210" s="295"/>
      <c r="I2210" s="99"/>
      <c r="J2210" s="99"/>
      <c r="K2210" s="99"/>
      <c r="L2210" s="99"/>
      <c r="M2210" s="99"/>
      <c r="N2210" s="99"/>
      <c r="O2210" s="99"/>
      <c r="P2210" s="99"/>
      <c r="Q2210" s="99"/>
      <c r="R2210" s="99"/>
      <c r="S2210" s="99"/>
      <c r="T2210" s="99"/>
      <c r="U2210" s="99"/>
      <c r="V2210" s="99"/>
    </row>
    <row r="2211" spans="1:22" ht="15" customHeight="1">
      <c r="A2211" s="297"/>
      <c r="B2211" s="217"/>
      <c r="C2211" s="217"/>
      <c r="D2211" s="101"/>
      <c r="E2211" s="101"/>
      <c r="F2211" s="185"/>
      <c r="G2211" s="295"/>
      <c r="H2211" s="295"/>
      <c r="I2211" s="99"/>
      <c r="J2211" s="99"/>
      <c r="K2211" s="99"/>
      <c r="L2211" s="99"/>
      <c r="M2211" s="99"/>
      <c r="N2211" s="99"/>
      <c r="O2211" s="99"/>
      <c r="P2211" s="99"/>
      <c r="Q2211" s="99"/>
      <c r="R2211" s="99"/>
      <c r="S2211" s="99"/>
      <c r="T2211" s="99"/>
      <c r="U2211" s="99"/>
      <c r="V2211" s="99"/>
    </row>
    <row r="2212" spans="1:22" ht="15" customHeight="1">
      <c r="A2212" s="297"/>
      <c r="B2212" s="217"/>
      <c r="C2212" s="217"/>
      <c r="D2212" s="101"/>
      <c r="E2212" s="101"/>
      <c r="F2212" s="185"/>
      <c r="G2212" s="295"/>
      <c r="H2212" s="295"/>
      <c r="I2212" s="99"/>
      <c r="J2212" s="99"/>
      <c r="K2212" s="99"/>
      <c r="L2212" s="99"/>
      <c r="M2212" s="99"/>
      <c r="N2212" s="99"/>
      <c r="O2212" s="99"/>
      <c r="P2212" s="99"/>
      <c r="Q2212" s="99"/>
      <c r="R2212" s="99"/>
      <c r="S2212" s="99"/>
      <c r="T2212" s="99"/>
      <c r="U2212" s="99"/>
      <c r="V2212" s="99"/>
    </row>
    <row r="2213" spans="1:22" ht="15" customHeight="1">
      <c r="A2213" s="297"/>
      <c r="B2213" s="217"/>
      <c r="C2213" s="217"/>
      <c r="D2213" s="101"/>
      <c r="E2213" s="101"/>
      <c r="F2213" s="185"/>
      <c r="G2213" s="295"/>
      <c r="H2213" s="295"/>
      <c r="I2213" s="99"/>
      <c r="J2213" s="99"/>
      <c r="K2213" s="99"/>
      <c r="L2213" s="99"/>
      <c r="M2213" s="99"/>
      <c r="N2213" s="99"/>
      <c r="O2213" s="99"/>
      <c r="P2213" s="99"/>
      <c r="Q2213" s="99"/>
      <c r="R2213" s="99"/>
      <c r="S2213" s="99"/>
      <c r="T2213" s="99"/>
      <c r="U2213" s="99"/>
      <c r="V2213" s="99"/>
    </row>
    <row r="2214" spans="1:22" ht="15" customHeight="1">
      <c r="A2214" s="297"/>
      <c r="B2214" s="217"/>
      <c r="C2214" s="217"/>
      <c r="D2214" s="101"/>
      <c r="E2214" s="101"/>
      <c r="F2214" s="185"/>
      <c r="G2214" s="295"/>
      <c r="H2214" s="295"/>
      <c r="I2214" s="99"/>
      <c r="J2214" s="99"/>
      <c r="K2214" s="99"/>
      <c r="L2214" s="99"/>
      <c r="M2214" s="99"/>
      <c r="N2214" s="99"/>
      <c r="O2214" s="99"/>
      <c r="P2214" s="99"/>
      <c r="Q2214" s="99"/>
      <c r="R2214" s="99"/>
      <c r="S2214" s="99"/>
      <c r="T2214" s="99"/>
      <c r="U2214" s="99"/>
      <c r="V2214" s="99"/>
    </row>
    <row r="2215" spans="1:22" ht="15" customHeight="1">
      <c r="A2215" s="297"/>
      <c r="B2215" s="217"/>
      <c r="C2215" s="217"/>
      <c r="D2215" s="101"/>
      <c r="E2215" s="101"/>
      <c r="F2215" s="185"/>
      <c r="G2215" s="295"/>
      <c r="H2215" s="295"/>
      <c r="I2215" s="99"/>
      <c r="J2215" s="99"/>
      <c r="K2215" s="99"/>
      <c r="L2215" s="99"/>
      <c r="M2215" s="99"/>
      <c r="N2215" s="99"/>
      <c r="O2215" s="99"/>
      <c r="P2215" s="99"/>
      <c r="Q2215" s="99"/>
      <c r="R2215" s="99"/>
      <c r="S2215" s="99"/>
      <c r="T2215" s="99"/>
      <c r="U2215" s="99"/>
      <c r="V2215" s="99"/>
    </row>
    <row r="2216" spans="1:22" ht="15" customHeight="1">
      <c r="A2216" s="297"/>
      <c r="B2216" s="217"/>
      <c r="C2216" s="217"/>
      <c r="D2216" s="101"/>
      <c r="E2216" s="101"/>
      <c r="F2216" s="185"/>
      <c r="G2216" s="295"/>
      <c r="H2216" s="295"/>
      <c r="I2216" s="99"/>
      <c r="J2216" s="99"/>
      <c r="K2216" s="99"/>
      <c r="L2216" s="99"/>
      <c r="M2216" s="99"/>
      <c r="N2216" s="99"/>
      <c r="O2216" s="99"/>
      <c r="P2216" s="99"/>
      <c r="Q2216" s="99"/>
      <c r="R2216" s="99"/>
      <c r="S2216" s="99"/>
      <c r="T2216" s="99"/>
      <c r="U2216" s="99"/>
      <c r="V2216" s="99"/>
    </row>
    <row r="2217" spans="1:22" ht="15" customHeight="1">
      <c r="A2217" s="297"/>
      <c r="B2217" s="217"/>
      <c r="C2217" s="217"/>
      <c r="D2217" s="101"/>
      <c r="E2217" s="101"/>
      <c r="F2217" s="185"/>
      <c r="G2217" s="295"/>
      <c r="H2217" s="295"/>
      <c r="I2217" s="99"/>
      <c r="J2217" s="99"/>
      <c r="K2217" s="99"/>
      <c r="L2217" s="99"/>
      <c r="M2217" s="99"/>
      <c r="N2217" s="99"/>
      <c r="O2217" s="99"/>
      <c r="P2217" s="99"/>
      <c r="Q2217" s="99"/>
      <c r="R2217" s="99"/>
      <c r="S2217" s="99"/>
      <c r="T2217" s="99"/>
      <c r="U2217" s="99"/>
      <c r="V2217" s="99"/>
    </row>
    <row r="2218" spans="1:22" ht="15" customHeight="1">
      <c r="A2218" s="297"/>
      <c r="B2218" s="217"/>
      <c r="C2218" s="217"/>
      <c r="D2218" s="101"/>
      <c r="E2218" s="101"/>
      <c r="F2218" s="185"/>
      <c r="G2218" s="295"/>
      <c r="H2218" s="295"/>
      <c r="I2218" s="99"/>
      <c r="J2218" s="99"/>
      <c r="K2218" s="99"/>
      <c r="L2218" s="99"/>
      <c r="M2218" s="99"/>
      <c r="N2218" s="99"/>
      <c r="O2218" s="99"/>
      <c r="P2218" s="99"/>
      <c r="Q2218" s="99"/>
      <c r="R2218" s="99"/>
      <c r="S2218" s="99"/>
      <c r="T2218" s="99"/>
      <c r="U2218" s="99"/>
      <c r="V2218" s="99"/>
    </row>
    <row r="2219" spans="1:22" ht="15" customHeight="1">
      <c r="A2219" s="297"/>
      <c r="B2219" s="217"/>
      <c r="C2219" s="217"/>
      <c r="D2219" s="101"/>
      <c r="E2219" s="101"/>
      <c r="F2219" s="185"/>
      <c r="G2219" s="295"/>
      <c r="H2219" s="295"/>
      <c r="I2219" s="99"/>
      <c r="J2219" s="99"/>
      <c r="K2219" s="99"/>
      <c r="L2219" s="99"/>
      <c r="M2219" s="99"/>
      <c r="N2219" s="99"/>
      <c r="O2219" s="99"/>
      <c r="P2219" s="99"/>
      <c r="Q2219" s="99"/>
      <c r="R2219" s="99"/>
      <c r="S2219" s="99"/>
      <c r="T2219" s="99"/>
      <c r="U2219" s="99"/>
      <c r="V2219" s="99"/>
    </row>
    <row r="2220" spans="1:22" ht="15" customHeight="1">
      <c r="A2220" s="297"/>
      <c r="B2220" s="217"/>
      <c r="C2220" s="217"/>
      <c r="D2220" s="101"/>
      <c r="E2220" s="101"/>
      <c r="F2220" s="185"/>
      <c r="G2220" s="295"/>
      <c r="H2220" s="295"/>
      <c r="I2220" s="99"/>
      <c r="J2220" s="99"/>
      <c r="K2220" s="99"/>
      <c r="L2220" s="99"/>
      <c r="M2220" s="99"/>
      <c r="N2220" s="99"/>
      <c r="O2220" s="99"/>
      <c r="P2220" s="99"/>
      <c r="Q2220" s="99"/>
      <c r="R2220" s="99"/>
      <c r="S2220" s="99"/>
      <c r="T2220" s="99"/>
      <c r="U2220" s="99"/>
      <c r="V2220" s="99"/>
    </row>
    <row r="2221" spans="1:22" ht="15" customHeight="1">
      <c r="A2221" s="297"/>
      <c r="B2221" s="217"/>
      <c r="C2221" s="217"/>
      <c r="D2221" s="101"/>
      <c r="E2221" s="101"/>
      <c r="F2221" s="185"/>
      <c r="G2221" s="295"/>
      <c r="H2221" s="295"/>
      <c r="I2221" s="99"/>
      <c r="J2221" s="99"/>
      <c r="K2221" s="99"/>
      <c r="L2221" s="99"/>
      <c r="M2221" s="99"/>
      <c r="N2221" s="99"/>
      <c r="O2221" s="99"/>
      <c r="P2221" s="99"/>
      <c r="Q2221" s="99"/>
      <c r="R2221" s="99"/>
      <c r="S2221" s="99"/>
      <c r="T2221" s="99"/>
      <c r="U2221" s="99"/>
      <c r="V2221" s="99"/>
    </row>
    <row r="2222" spans="1:22" ht="15" customHeight="1">
      <c r="A2222" s="297"/>
      <c r="B2222" s="217"/>
      <c r="C2222" s="217"/>
      <c r="D2222" s="101"/>
      <c r="E2222" s="101"/>
      <c r="F2222" s="185"/>
      <c r="G2222" s="295"/>
      <c r="H2222" s="295"/>
      <c r="I2222" s="99"/>
      <c r="J2222" s="99"/>
      <c r="K2222" s="99"/>
      <c r="L2222" s="99"/>
      <c r="M2222" s="99"/>
      <c r="N2222" s="99"/>
      <c r="O2222" s="99"/>
      <c r="P2222" s="99"/>
      <c r="Q2222" s="99"/>
      <c r="R2222" s="99"/>
      <c r="S2222" s="99"/>
      <c r="T2222" s="99"/>
      <c r="U2222" s="99"/>
      <c r="V2222" s="99"/>
    </row>
    <row r="2223" spans="1:22" ht="15" customHeight="1">
      <c r="A2223" s="297"/>
      <c r="B2223" s="217"/>
      <c r="C2223" s="217"/>
      <c r="D2223" s="101"/>
      <c r="E2223" s="101"/>
      <c r="F2223" s="185"/>
      <c r="G2223" s="295"/>
      <c r="H2223" s="295"/>
      <c r="I2223" s="99"/>
      <c r="J2223" s="99"/>
      <c r="K2223" s="99"/>
      <c r="L2223" s="99"/>
      <c r="M2223" s="99"/>
      <c r="N2223" s="99"/>
      <c r="O2223" s="99"/>
      <c r="P2223" s="99"/>
      <c r="Q2223" s="99"/>
      <c r="R2223" s="99"/>
      <c r="S2223" s="99"/>
      <c r="T2223" s="99"/>
      <c r="U2223" s="99"/>
      <c r="V2223" s="99"/>
    </row>
    <row r="2224" spans="1:22" ht="15" customHeight="1">
      <c r="A2224" s="297"/>
      <c r="B2224" s="217"/>
      <c r="C2224" s="217"/>
      <c r="D2224" s="101"/>
      <c r="E2224" s="101"/>
      <c r="F2224" s="185"/>
      <c r="G2224" s="295"/>
      <c r="H2224" s="295"/>
      <c r="I2224" s="99"/>
      <c r="J2224" s="99"/>
      <c r="K2224" s="99"/>
      <c r="L2224" s="99"/>
      <c r="M2224" s="99"/>
      <c r="N2224" s="99"/>
      <c r="O2224" s="99"/>
      <c r="P2224" s="99"/>
      <c r="Q2224" s="99"/>
      <c r="R2224" s="99"/>
      <c r="S2224" s="99"/>
      <c r="T2224" s="99"/>
      <c r="U2224" s="99"/>
      <c r="V2224" s="99"/>
    </row>
    <row r="2225" spans="1:22" ht="15" customHeight="1">
      <c r="A2225" s="297"/>
      <c r="B2225" s="217"/>
      <c r="C2225" s="217"/>
      <c r="D2225" s="101"/>
      <c r="E2225" s="101"/>
      <c r="F2225" s="185"/>
      <c r="G2225" s="295"/>
      <c r="H2225" s="295"/>
      <c r="I2225" s="99"/>
      <c r="J2225" s="99"/>
      <c r="K2225" s="99"/>
      <c r="L2225" s="99"/>
      <c r="M2225" s="99"/>
      <c r="N2225" s="99"/>
      <c r="O2225" s="99"/>
      <c r="P2225" s="99"/>
      <c r="Q2225" s="99"/>
      <c r="R2225" s="99"/>
      <c r="S2225" s="99"/>
      <c r="T2225" s="99"/>
      <c r="U2225" s="99"/>
      <c r="V2225" s="99"/>
    </row>
    <row r="2226" spans="1:22" ht="15" customHeight="1">
      <c r="A2226" s="297"/>
      <c r="B2226" s="217"/>
      <c r="C2226" s="217"/>
      <c r="D2226" s="101"/>
      <c r="E2226" s="101"/>
      <c r="F2226" s="185"/>
      <c r="G2226" s="295"/>
      <c r="H2226" s="295"/>
      <c r="I2226" s="99"/>
      <c r="J2226" s="99"/>
      <c r="K2226" s="99"/>
      <c r="L2226" s="99"/>
      <c r="M2226" s="99"/>
      <c r="N2226" s="99"/>
      <c r="O2226" s="99"/>
      <c r="P2226" s="99"/>
      <c r="Q2226" s="99"/>
      <c r="R2226" s="99"/>
      <c r="S2226" s="99"/>
      <c r="T2226" s="99"/>
      <c r="U2226" s="99"/>
      <c r="V2226" s="99"/>
    </row>
    <row r="2227" spans="1:22" ht="15" customHeight="1">
      <c r="A2227" s="297"/>
      <c r="B2227" s="217"/>
      <c r="C2227" s="217"/>
      <c r="D2227" s="101"/>
      <c r="E2227" s="101"/>
      <c r="F2227" s="185"/>
      <c r="G2227" s="295"/>
      <c r="H2227" s="295"/>
      <c r="I2227" s="99"/>
      <c r="J2227" s="99"/>
      <c r="K2227" s="99"/>
      <c r="L2227" s="99"/>
      <c r="M2227" s="99"/>
      <c r="N2227" s="99"/>
      <c r="O2227" s="99"/>
      <c r="P2227" s="99"/>
      <c r="Q2227" s="99"/>
      <c r="R2227" s="99"/>
      <c r="S2227" s="99"/>
      <c r="T2227" s="99"/>
      <c r="U2227" s="99"/>
      <c r="V2227" s="99"/>
    </row>
    <row r="2228" spans="1:22" ht="15" customHeight="1">
      <c r="A2228" s="297"/>
      <c r="B2228" s="217"/>
      <c r="C2228" s="217"/>
      <c r="D2228" s="101"/>
      <c r="E2228" s="101"/>
      <c r="F2228" s="185"/>
      <c r="G2228" s="295"/>
      <c r="H2228" s="295"/>
      <c r="I2228" s="99"/>
      <c r="J2228" s="99"/>
      <c r="K2228" s="99"/>
      <c r="L2228" s="99"/>
      <c r="M2228" s="99"/>
      <c r="N2228" s="99"/>
      <c r="O2228" s="99"/>
      <c r="P2228" s="99"/>
      <c r="Q2228" s="99"/>
      <c r="R2228" s="99"/>
      <c r="S2228" s="99"/>
      <c r="T2228" s="99"/>
      <c r="U2228" s="99"/>
      <c r="V2228" s="99"/>
    </row>
    <row r="2229" spans="1:22" ht="15" customHeight="1">
      <c r="A2229" s="297"/>
      <c r="B2229" s="217"/>
      <c r="C2229" s="217"/>
      <c r="D2229" s="101"/>
      <c r="E2229" s="101"/>
      <c r="F2229" s="185"/>
      <c r="G2229" s="295"/>
      <c r="H2229" s="295"/>
      <c r="I2229" s="99"/>
      <c r="J2229" s="99"/>
      <c r="K2229" s="99"/>
      <c r="L2229" s="99"/>
      <c r="M2229" s="99"/>
      <c r="N2229" s="99"/>
      <c r="O2229" s="99"/>
      <c r="P2229" s="99"/>
      <c r="Q2229" s="99"/>
      <c r="R2229" s="99"/>
      <c r="S2229" s="99"/>
      <c r="T2229" s="99"/>
      <c r="U2229" s="99"/>
      <c r="V2229" s="99"/>
    </row>
    <row r="2230" spans="1:22" ht="15" customHeight="1">
      <c r="A2230" s="297"/>
      <c r="B2230" s="217"/>
      <c r="C2230" s="217"/>
      <c r="D2230" s="101"/>
      <c r="E2230" s="101"/>
      <c r="F2230" s="185"/>
      <c r="G2230" s="295"/>
      <c r="H2230" s="295"/>
      <c r="I2230" s="99"/>
      <c r="J2230" s="99"/>
      <c r="K2230" s="99"/>
      <c r="L2230" s="99"/>
      <c r="M2230" s="99"/>
      <c r="N2230" s="99"/>
      <c r="O2230" s="99"/>
      <c r="P2230" s="99"/>
      <c r="Q2230" s="99"/>
      <c r="R2230" s="99"/>
      <c r="S2230" s="99"/>
      <c r="T2230" s="99"/>
      <c r="U2230" s="99"/>
      <c r="V2230" s="99"/>
    </row>
    <row r="2231" spans="1:22" ht="15" customHeight="1">
      <c r="A2231" s="297"/>
      <c r="B2231" s="217"/>
      <c r="C2231" s="217"/>
      <c r="D2231" s="101"/>
      <c r="E2231" s="101"/>
      <c r="F2231" s="294"/>
      <c r="G2231" s="295"/>
      <c r="H2231" s="107"/>
      <c r="I2231" s="108"/>
      <c r="J2231" s="108"/>
      <c r="K2231" s="108"/>
      <c r="L2231" s="108"/>
      <c r="M2231" s="108"/>
      <c r="N2231" s="108"/>
      <c r="O2231" s="108"/>
      <c r="P2231" s="108"/>
      <c r="Q2231" s="108"/>
      <c r="R2231" s="108"/>
      <c r="S2231" s="108"/>
      <c r="T2231" s="108"/>
      <c r="U2231" s="99"/>
      <c r="V2231" s="99"/>
    </row>
    <row r="2232" spans="1:22" ht="15" customHeight="1">
      <c r="A2232" s="297"/>
      <c r="B2232" s="217"/>
      <c r="C2232" s="217"/>
      <c r="D2232" s="101"/>
      <c r="E2232" s="101"/>
      <c r="F2232" s="294"/>
      <c r="G2232" s="295"/>
      <c r="H2232" s="98"/>
      <c r="I2232" s="99"/>
      <c r="J2232" s="99"/>
      <c r="K2232" s="99"/>
      <c r="L2232" s="99"/>
      <c r="M2232" s="99"/>
      <c r="N2232" s="99"/>
      <c r="O2232" s="99"/>
      <c r="P2232" s="99"/>
      <c r="Q2232" s="99"/>
      <c r="R2232" s="99"/>
      <c r="S2232" s="99"/>
      <c r="T2232" s="99"/>
      <c r="U2232" s="99"/>
      <c r="V2232" s="99"/>
    </row>
    <row r="2233" spans="1:22" ht="15" customHeight="1">
      <c r="A2233" s="297"/>
      <c r="B2233" s="217"/>
      <c r="C2233" s="217"/>
      <c r="D2233" s="101"/>
      <c r="E2233" s="101"/>
      <c r="F2233" s="294"/>
      <c r="G2233" s="295"/>
      <c r="H2233" s="98"/>
      <c r="I2233" s="99"/>
      <c r="J2233" s="99"/>
      <c r="K2233" s="99"/>
      <c r="L2233" s="99"/>
      <c r="M2233" s="99"/>
      <c r="N2233" s="99"/>
      <c r="O2233" s="99"/>
      <c r="P2233" s="99"/>
      <c r="Q2233" s="99"/>
      <c r="R2233" s="99"/>
      <c r="S2233" s="99"/>
      <c r="T2233" s="99"/>
      <c r="U2233" s="99"/>
      <c r="V2233" s="99"/>
    </row>
    <row r="2234" spans="1:22" ht="15" customHeight="1">
      <c r="A2234" s="297"/>
      <c r="B2234" s="217"/>
      <c r="C2234" s="217"/>
      <c r="D2234" s="101"/>
      <c r="E2234" s="101"/>
      <c r="F2234" s="294"/>
      <c r="G2234" s="295"/>
      <c r="H2234" s="98"/>
      <c r="I2234" s="99"/>
      <c r="J2234" s="99"/>
      <c r="K2234" s="99"/>
      <c r="L2234" s="99"/>
      <c r="M2234" s="99"/>
      <c r="N2234" s="99"/>
      <c r="O2234" s="99"/>
      <c r="P2234" s="99"/>
      <c r="Q2234" s="99"/>
      <c r="R2234" s="99"/>
      <c r="S2234" s="99"/>
      <c r="T2234" s="99"/>
      <c r="U2234" s="99"/>
      <c r="V2234" s="99"/>
    </row>
    <row r="2235" spans="1:22" ht="15" customHeight="1">
      <c r="A2235" s="297"/>
      <c r="B2235" s="217"/>
      <c r="C2235" s="217"/>
      <c r="D2235" s="101"/>
      <c r="E2235" s="101"/>
      <c r="F2235" s="294"/>
      <c r="G2235" s="295"/>
      <c r="H2235" s="98"/>
      <c r="I2235" s="99"/>
      <c r="J2235" s="99"/>
      <c r="K2235" s="99"/>
      <c r="L2235" s="99"/>
      <c r="M2235" s="99"/>
      <c r="N2235" s="99"/>
      <c r="O2235" s="99"/>
      <c r="P2235" s="99"/>
      <c r="Q2235" s="99"/>
      <c r="R2235" s="99"/>
      <c r="S2235" s="99"/>
      <c r="T2235" s="99"/>
      <c r="U2235" s="99"/>
      <c r="V2235" s="99"/>
    </row>
    <row r="2236" spans="1:22" ht="15" customHeight="1">
      <c r="A2236" s="297"/>
      <c r="B2236" s="217"/>
      <c r="C2236" s="217"/>
      <c r="D2236" s="101"/>
      <c r="E2236" s="101"/>
      <c r="F2236" s="294"/>
      <c r="G2236" s="295"/>
      <c r="H2236" s="98"/>
      <c r="I2236" s="99"/>
      <c r="J2236" s="99"/>
      <c r="K2236" s="99"/>
      <c r="L2236" s="99"/>
      <c r="M2236" s="99"/>
      <c r="N2236" s="99"/>
      <c r="O2236" s="99"/>
      <c r="P2236" s="99"/>
      <c r="Q2236" s="99"/>
      <c r="R2236" s="99"/>
      <c r="S2236" s="99"/>
      <c r="T2236" s="99"/>
      <c r="U2236" s="99"/>
      <c r="V2236" s="99"/>
    </row>
    <row r="2237" spans="1:22" ht="15" customHeight="1">
      <c r="A2237" s="297"/>
      <c r="B2237" s="217"/>
      <c r="C2237" s="217"/>
      <c r="D2237" s="101"/>
      <c r="E2237" s="101"/>
      <c r="F2237" s="294"/>
      <c r="G2237" s="295"/>
      <c r="H2237" s="98"/>
      <c r="I2237" s="99"/>
      <c r="J2237" s="99"/>
      <c r="K2237" s="99"/>
      <c r="L2237" s="99"/>
      <c r="M2237" s="99"/>
      <c r="N2237" s="99"/>
      <c r="O2237" s="99"/>
      <c r="P2237" s="99"/>
      <c r="Q2237" s="99"/>
      <c r="R2237" s="99"/>
      <c r="S2237" s="99"/>
      <c r="T2237" s="99"/>
      <c r="U2237" s="99"/>
      <c r="V2237" s="99"/>
    </row>
    <row r="2238" spans="1:22" ht="15" customHeight="1">
      <c r="A2238" s="297"/>
      <c r="B2238" s="217"/>
      <c r="C2238" s="217"/>
      <c r="D2238" s="101"/>
      <c r="E2238" s="101"/>
      <c r="F2238" s="294"/>
      <c r="G2238" s="295"/>
      <c r="H2238" s="98"/>
      <c r="I2238" s="99"/>
      <c r="J2238" s="99"/>
      <c r="K2238" s="99"/>
      <c r="L2238" s="99"/>
      <c r="M2238" s="99"/>
      <c r="N2238" s="99"/>
      <c r="O2238" s="99"/>
      <c r="P2238" s="99"/>
      <c r="Q2238" s="99"/>
      <c r="R2238" s="99"/>
      <c r="S2238" s="99"/>
      <c r="T2238" s="99"/>
      <c r="U2238" s="99"/>
      <c r="V2238" s="99"/>
    </row>
    <row r="2239" spans="1:22" ht="15" customHeight="1">
      <c r="A2239" s="297"/>
      <c r="B2239" s="217"/>
      <c r="C2239" s="217"/>
      <c r="D2239" s="101"/>
      <c r="E2239" s="101"/>
      <c r="F2239" s="294"/>
      <c r="G2239" s="295"/>
      <c r="H2239" s="98"/>
      <c r="I2239" s="99"/>
      <c r="J2239" s="99"/>
      <c r="K2239" s="99"/>
      <c r="L2239" s="99"/>
      <c r="M2239" s="99"/>
      <c r="N2239" s="99"/>
      <c r="O2239" s="99"/>
      <c r="P2239" s="99"/>
      <c r="Q2239" s="99"/>
      <c r="R2239" s="99"/>
      <c r="S2239" s="99"/>
      <c r="T2239" s="99"/>
      <c r="U2239" s="99"/>
      <c r="V2239" s="99"/>
    </row>
    <row r="2240" spans="1:22" ht="15" customHeight="1">
      <c r="A2240" s="297"/>
      <c r="B2240" s="217"/>
      <c r="C2240" s="217"/>
      <c r="D2240" s="101"/>
      <c r="E2240" s="101"/>
      <c r="F2240" s="294"/>
      <c r="G2240" s="295"/>
      <c r="H2240" s="98"/>
      <c r="I2240" s="99"/>
      <c r="J2240" s="99"/>
      <c r="K2240" s="99"/>
      <c r="L2240" s="99"/>
      <c r="M2240" s="99"/>
      <c r="N2240" s="99"/>
      <c r="O2240" s="99"/>
      <c r="P2240" s="99"/>
      <c r="Q2240" s="99"/>
      <c r="R2240" s="99"/>
      <c r="S2240" s="99"/>
      <c r="T2240" s="99"/>
      <c r="U2240" s="99"/>
      <c r="V2240" s="99"/>
    </row>
    <row r="2241" spans="1:22" ht="15" customHeight="1">
      <c r="A2241" s="297"/>
      <c r="B2241" s="217"/>
      <c r="C2241" s="217"/>
      <c r="D2241" s="101"/>
      <c r="E2241" s="101"/>
      <c r="F2241" s="294"/>
      <c r="G2241" s="295"/>
      <c r="H2241" s="98"/>
      <c r="I2241" s="99"/>
      <c r="J2241" s="99"/>
      <c r="K2241" s="99"/>
      <c r="L2241" s="99"/>
      <c r="M2241" s="99"/>
      <c r="N2241" s="99"/>
      <c r="O2241" s="99"/>
      <c r="P2241" s="99"/>
      <c r="Q2241" s="99"/>
      <c r="R2241" s="99"/>
      <c r="S2241" s="99"/>
      <c r="T2241" s="99"/>
      <c r="U2241" s="99"/>
      <c r="V2241" s="99"/>
    </row>
    <row r="2242" spans="1:22" ht="15" customHeight="1">
      <c r="A2242" s="297"/>
      <c r="B2242" s="217"/>
      <c r="C2242" s="217"/>
      <c r="D2242" s="101"/>
      <c r="E2242" s="101"/>
      <c r="F2242" s="294"/>
      <c r="G2242" s="295"/>
      <c r="H2242" s="107"/>
      <c r="I2242" s="108"/>
      <c r="J2242" s="108"/>
      <c r="K2242" s="108"/>
      <c r="L2242" s="108"/>
      <c r="M2242" s="108"/>
      <c r="N2242" s="108"/>
      <c r="O2242" s="108"/>
      <c r="P2242" s="108"/>
      <c r="Q2242" s="108"/>
      <c r="R2242" s="108"/>
      <c r="S2242" s="108"/>
      <c r="T2242" s="108"/>
      <c r="U2242" s="233"/>
      <c r="V2242" s="233"/>
    </row>
    <row r="2243" spans="1:22" ht="15" customHeight="1">
      <c r="A2243" s="297"/>
      <c r="B2243" s="217"/>
      <c r="C2243" s="217"/>
      <c r="D2243" s="101"/>
      <c r="E2243" s="101"/>
      <c r="F2243" s="294"/>
      <c r="G2243" s="295"/>
      <c r="H2243" s="98"/>
      <c r="I2243" s="106"/>
      <c r="J2243" s="106"/>
      <c r="K2243" s="106"/>
      <c r="L2243" s="106"/>
      <c r="M2243" s="106"/>
      <c r="N2243" s="112"/>
      <c r="O2243" s="112"/>
      <c r="P2243" s="112"/>
      <c r="Q2243" s="113"/>
      <c r="T2243" s="113"/>
      <c r="U2243" s="113"/>
      <c r="V2243" s="113"/>
    </row>
    <row r="2244" spans="1:22" ht="15" customHeight="1">
      <c r="A2244" s="297"/>
      <c r="B2244" s="217"/>
      <c r="C2244" s="217"/>
      <c r="D2244" s="101"/>
      <c r="E2244" s="101"/>
      <c r="F2244" s="294"/>
      <c r="G2244" s="295"/>
      <c r="H2244" s="98"/>
      <c r="I2244" s="99"/>
      <c r="J2244" s="99"/>
      <c r="K2244" s="99"/>
      <c r="L2244" s="99"/>
      <c r="M2244" s="99"/>
      <c r="N2244" s="99"/>
      <c r="O2244" s="99"/>
      <c r="P2244" s="99"/>
      <c r="Q2244" s="99"/>
      <c r="R2244" s="99"/>
      <c r="S2244" s="99"/>
      <c r="T2244" s="99"/>
      <c r="U2244" s="99"/>
      <c r="V2244" s="99"/>
    </row>
    <row r="2245" spans="1:22" ht="15" customHeight="1">
      <c r="A2245" s="297"/>
      <c r="B2245" s="217"/>
      <c r="C2245" s="217"/>
      <c r="D2245" s="101"/>
      <c r="E2245" s="101"/>
      <c r="F2245" s="294"/>
      <c r="G2245" s="295"/>
      <c r="H2245" s="98"/>
      <c r="I2245" s="99"/>
      <c r="J2245" s="99"/>
      <c r="K2245" s="99"/>
      <c r="L2245" s="99"/>
      <c r="M2245" s="99"/>
      <c r="N2245" s="99"/>
      <c r="O2245" s="99"/>
      <c r="P2245" s="99"/>
      <c r="Q2245" s="99"/>
      <c r="R2245" s="99"/>
      <c r="S2245" s="99"/>
      <c r="T2245" s="99"/>
      <c r="U2245" s="99"/>
      <c r="V2245" s="99"/>
    </row>
    <row r="2246" spans="1:22" ht="15" customHeight="1">
      <c r="A2246" s="297"/>
      <c r="B2246" s="217"/>
      <c r="C2246" s="217"/>
      <c r="D2246" s="101"/>
      <c r="E2246" s="101"/>
      <c r="F2246" s="294"/>
      <c r="G2246" s="295"/>
      <c r="H2246" s="98"/>
      <c r="I2246" s="99"/>
      <c r="J2246" s="99"/>
      <c r="K2246" s="99"/>
      <c r="L2246" s="99"/>
      <c r="M2246" s="99"/>
      <c r="N2246" s="99"/>
      <c r="O2246" s="99"/>
      <c r="P2246" s="99"/>
      <c r="Q2246" s="99"/>
      <c r="R2246" s="99"/>
      <c r="S2246" s="99"/>
      <c r="T2246" s="99"/>
      <c r="U2246" s="99"/>
      <c r="V2246" s="99"/>
    </row>
    <row r="2247" spans="1:22" ht="15" customHeight="1">
      <c r="A2247" s="297"/>
      <c r="B2247" s="217"/>
      <c r="C2247" s="217"/>
      <c r="D2247" s="101"/>
      <c r="E2247" s="101"/>
      <c r="F2247" s="294"/>
      <c r="G2247" s="295"/>
      <c r="H2247" s="98"/>
      <c r="I2247" s="99"/>
      <c r="J2247" s="99"/>
      <c r="K2247" s="99"/>
      <c r="L2247" s="99"/>
      <c r="M2247" s="99"/>
      <c r="N2247" s="99"/>
      <c r="O2247" s="99"/>
      <c r="P2247" s="99"/>
      <c r="Q2247" s="99"/>
      <c r="R2247" s="99"/>
      <c r="S2247" s="99"/>
      <c r="T2247" s="99"/>
      <c r="U2247" s="99"/>
      <c r="V2247" s="99"/>
    </row>
    <row r="2248" spans="1:22" ht="15" customHeight="1">
      <c r="A2248" s="297"/>
      <c r="B2248" s="217"/>
      <c r="C2248" s="217"/>
      <c r="D2248" s="101"/>
      <c r="E2248" s="101"/>
      <c r="F2248" s="294"/>
      <c r="G2248" s="295"/>
      <c r="H2248" s="98"/>
      <c r="I2248" s="99"/>
      <c r="J2248" s="99"/>
      <c r="K2248" s="99"/>
      <c r="L2248" s="99"/>
      <c r="M2248" s="99"/>
      <c r="N2248" s="99"/>
      <c r="O2248" s="99"/>
      <c r="P2248" s="99"/>
      <c r="Q2248" s="99"/>
      <c r="R2248" s="99"/>
      <c r="S2248" s="99"/>
      <c r="T2248" s="99"/>
      <c r="U2248" s="99"/>
      <c r="V2248" s="99"/>
    </row>
    <row r="2249" spans="1:22" ht="15" customHeight="1">
      <c r="A2249" s="297"/>
      <c r="B2249" s="217"/>
      <c r="C2249" s="217"/>
      <c r="D2249" s="101"/>
      <c r="E2249" s="101"/>
      <c r="F2249" s="294"/>
      <c r="G2249" s="295"/>
      <c r="H2249" s="98"/>
      <c r="I2249" s="99"/>
      <c r="J2249" s="99"/>
      <c r="K2249" s="99"/>
      <c r="L2249" s="99"/>
      <c r="M2249" s="99"/>
      <c r="N2249" s="99"/>
      <c r="O2249" s="99"/>
      <c r="P2249" s="99"/>
      <c r="Q2249" s="99"/>
      <c r="R2249" s="99"/>
      <c r="S2249" s="99"/>
      <c r="T2249" s="99"/>
      <c r="U2249" s="99"/>
      <c r="V2249" s="99"/>
    </row>
    <row r="2250" spans="1:22" ht="15" customHeight="1">
      <c r="A2250" s="297"/>
      <c r="B2250" s="217"/>
      <c r="C2250" s="217"/>
      <c r="D2250" s="101"/>
      <c r="E2250" s="101"/>
      <c r="F2250" s="294"/>
      <c r="G2250" s="295"/>
      <c r="H2250" s="98"/>
      <c r="I2250" s="99"/>
      <c r="J2250" s="99"/>
      <c r="K2250" s="99"/>
      <c r="L2250" s="99"/>
      <c r="M2250" s="99"/>
      <c r="N2250" s="99"/>
      <c r="O2250" s="99"/>
      <c r="P2250" s="99"/>
      <c r="Q2250" s="99"/>
      <c r="R2250" s="99"/>
      <c r="S2250" s="99"/>
      <c r="T2250" s="99"/>
      <c r="U2250" s="99"/>
      <c r="V2250" s="99"/>
    </row>
    <row r="2251" spans="1:22" ht="15" customHeight="1">
      <c r="A2251" s="297"/>
      <c r="B2251" s="217"/>
      <c r="C2251" s="217"/>
      <c r="D2251" s="101"/>
      <c r="E2251" s="101"/>
      <c r="F2251" s="294"/>
      <c r="G2251" s="295"/>
      <c r="H2251" s="98"/>
      <c r="I2251" s="99"/>
      <c r="J2251" s="99"/>
      <c r="K2251" s="99"/>
      <c r="L2251" s="99"/>
      <c r="M2251" s="99"/>
      <c r="N2251" s="99"/>
      <c r="O2251" s="99"/>
      <c r="P2251" s="99"/>
      <c r="Q2251" s="99"/>
      <c r="R2251" s="99"/>
      <c r="S2251" s="99"/>
      <c r="T2251" s="99"/>
      <c r="U2251" s="99"/>
      <c r="V2251" s="99"/>
    </row>
    <row r="2252" spans="1:22" ht="15" customHeight="1">
      <c r="A2252" s="297"/>
      <c r="B2252" s="217"/>
      <c r="C2252" s="217"/>
      <c r="D2252" s="101"/>
      <c r="E2252" s="101"/>
      <c r="F2252" s="294"/>
      <c r="G2252" s="295"/>
      <c r="H2252" s="98"/>
      <c r="I2252" s="99"/>
      <c r="J2252" s="99"/>
      <c r="K2252" s="99"/>
      <c r="L2252" s="99"/>
      <c r="M2252" s="99"/>
      <c r="N2252" s="99"/>
      <c r="O2252" s="99"/>
      <c r="P2252" s="99"/>
      <c r="Q2252" s="99"/>
      <c r="R2252" s="99"/>
      <c r="S2252" s="99"/>
      <c r="T2252" s="99"/>
      <c r="U2252" s="99"/>
      <c r="V2252" s="99"/>
    </row>
    <row r="2253" spans="1:22" ht="15" customHeight="1">
      <c r="A2253" s="297"/>
      <c r="B2253" s="217"/>
      <c r="C2253" s="217"/>
      <c r="D2253" s="101"/>
      <c r="E2253" s="101"/>
      <c r="F2253" s="294"/>
      <c r="G2253" s="295"/>
      <c r="H2253" s="98"/>
      <c r="I2253" s="99"/>
      <c r="J2253" s="99"/>
      <c r="K2253" s="99"/>
      <c r="L2253" s="99"/>
      <c r="M2253" s="99"/>
      <c r="N2253" s="99"/>
      <c r="O2253" s="99"/>
      <c r="P2253" s="99"/>
      <c r="Q2253" s="99"/>
      <c r="R2253" s="99"/>
      <c r="S2253" s="99"/>
      <c r="T2253" s="99"/>
      <c r="U2253" s="99"/>
      <c r="V2253" s="99"/>
    </row>
    <row r="2254" spans="1:22" ht="15" customHeight="1">
      <c r="A2254" s="297"/>
      <c r="B2254" s="217"/>
      <c r="C2254" s="217"/>
      <c r="D2254" s="101"/>
      <c r="E2254" s="101"/>
      <c r="F2254" s="294"/>
      <c r="G2254" s="295"/>
      <c r="H2254" s="98"/>
      <c r="I2254" s="99"/>
      <c r="J2254" s="99"/>
      <c r="K2254" s="99"/>
      <c r="L2254" s="99"/>
      <c r="M2254" s="99"/>
      <c r="N2254" s="99"/>
      <c r="O2254" s="99"/>
      <c r="P2254" s="99"/>
      <c r="Q2254" s="99"/>
      <c r="R2254" s="99"/>
      <c r="S2254" s="99"/>
      <c r="T2254" s="99"/>
      <c r="U2254" s="99"/>
      <c r="V2254" s="99"/>
    </row>
    <row r="2255" spans="1:22" ht="15" customHeight="1">
      <c r="A2255" s="297"/>
      <c r="B2255" s="217"/>
      <c r="C2255" s="217"/>
      <c r="D2255" s="101"/>
      <c r="E2255" s="101"/>
      <c r="F2255" s="294"/>
      <c r="G2255" s="295"/>
      <c r="H2255" s="98"/>
      <c r="I2255" s="99"/>
      <c r="J2255" s="99"/>
      <c r="K2255" s="99"/>
      <c r="L2255" s="99"/>
      <c r="M2255" s="99"/>
      <c r="N2255" s="99"/>
      <c r="O2255" s="99"/>
      <c r="P2255" s="99"/>
      <c r="Q2255" s="99"/>
      <c r="R2255" s="99"/>
      <c r="S2255" s="99"/>
      <c r="T2255" s="99"/>
      <c r="U2255" s="99"/>
      <c r="V2255" s="99"/>
    </row>
    <row r="2256" spans="1:22" ht="15" customHeight="1">
      <c r="A2256" s="297"/>
      <c r="B2256" s="217"/>
      <c r="C2256" s="217"/>
      <c r="D2256" s="101"/>
      <c r="E2256" s="101"/>
      <c r="F2256" s="294"/>
      <c r="G2256" s="295"/>
      <c r="H2256" s="98"/>
      <c r="I2256" s="99"/>
      <c r="J2256" s="99"/>
      <c r="K2256" s="99"/>
      <c r="L2256" s="99"/>
      <c r="M2256" s="99"/>
      <c r="N2256" s="99"/>
      <c r="O2256" s="99"/>
      <c r="P2256" s="99"/>
      <c r="Q2256" s="99"/>
      <c r="R2256" s="99"/>
      <c r="S2256" s="99"/>
      <c r="T2256" s="99"/>
      <c r="U2256" s="99"/>
      <c r="V2256" s="99"/>
    </row>
    <row r="2257" spans="1:22" ht="15" customHeight="1">
      <c r="A2257" s="297"/>
      <c r="B2257" s="217"/>
      <c r="C2257" s="217"/>
      <c r="D2257" s="101"/>
      <c r="E2257" s="101"/>
      <c r="F2257" s="294"/>
      <c r="G2257" s="295"/>
      <c r="H2257" s="98"/>
      <c r="I2257" s="99"/>
      <c r="J2257" s="99"/>
      <c r="K2257" s="99"/>
      <c r="L2257" s="99"/>
      <c r="M2257" s="99"/>
      <c r="N2257" s="99"/>
      <c r="O2257" s="99"/>
      <c r="P2257" s="99"/>
      <c r="Q2257" s="99"/>
      <c r="R2257" s="99"/>
      <c r="S2257" s="99"/>
      <c r="T2257" s="99"/>
      <c r="U2257" s="99"/>
      <c r="V2257" s="99"/>
    </row>
    <row r="2258" spans="1:22" ht="15" customHeight="1">
      <c r="A2258" s="297"/>
      <c r="B2258" s="217"/>
      <c r="C2258" s="217"/>
      <c r="D2258" s="101"/>
      <c r="E2258" s="101"/>
      <c r="F2258" s="294"/>
      <c r="G2258" s="295"/>
      <c r="H2258" s="98"/>
      <c r="I2258" s="99"/>
      <c r="J2258" s="99"/>
      <c r="K2258" s="99"/>
      <c r="L2258" s="99"/>
      <c r="M2258" s="99"/>
      <c r="N2258" s="99"/>
      <c r="O2258" s="99"/>
      <c r="P2258" s="99"/>
      <c r="Q2258" s="99"/>
      <c r="R2258" s="99"/>
      <c r="S2258" s="99"/>
      <c r="T2258" s="99"/>
      <c r="U2258" s="99"/>
      <c r="V2258" s="99"/>
    </row>
    <row r="2259" spans="1:22" ht="15" customHeight="1">
      <c r="A2259" s="297"/>
      <c r="B2259" s="217"/>
      <c r="C2259" s="217"/>
      <c r="D2259" s="101"/>
      <c r="E2259" s="101"/>
      <c r="F2259" s="294"/>
      <c r="G2259" s="295"/>
      <c r="H2259" s="98"/>
      <c r="I2259" s="99"/>
      <c r="J2259" s="99"/>
      <c r="K2259" s="99"/>
      <c r="L2259" s="99"/>
      <c r="M2259" s="99"/>
      <c r="N2259" s="99"/>
      <c r="O2259" s="99"/>
      <c r="P2259" s="99"/>
      <c r="Q2259" s="99"/>
      <c r="R2259" s="99"/>
      <c r="S2259" s="99"/>
      <c r="T2259" s="99"/>
      <c r="U2259" s="99"/>
      <c r="V2259" s="99"/>
    </row>
    <row r="2260" spans="1:22" ht="15" customHeight="1">
      <c r="A2260" s="297"/>
      <c r="B2260" s="217"/>
      <c r="C2260" s="217"/>
      <c r="D2260" s="101"/>
      <c r="E2260" s="101"/>
      <c r="F2260" s="294"/>
      <c r="G2260" s="295"/>
      <c r="H2260" s="98"/>
      <c r="I2260" s="99"/>
      <c r="J2260" s="99"/>
      <c r="K2260" s="99"/>
      <c r="L2260" s="99"/>
      <c r="M2260" s="99"/>
      <c r="N2260" s="99"/>
      <c r="O2260" s="99"/>
      <c r="P2260" s="99"/>
      <c r="Q2260" s="99"/>
      <c r="R2260" s="99"/>
      <c r="S2260" s="99"/>
      <c r="T2260" s="99"/>
      <c r="U2260" s="99"/>
      <c r="V2260" s="99"/>
    </row>
    <row r="2261" spans="1:22" ht="15" customHeight="1">
      <c r="A2261" s="297"/>
      <c r="B2261" s="217"/>
      <c r="C2261" s="217"/>
      <c r="D2261" s="101"/>
      <c r="E2261" s="101"/>
      <c r="F2261" s="294"/>
      <c r="G2261" s="295"/>
      <c r="H2261" s="98"/>
      <c r="I2261" s="99"/>
      <c r="J2261" s="99"/>
      <c r="K2261" s="99"/>
      <c r="L2261" s="99"/>
      <c r="M2261" s="99"/>
      <c r="N2261" s="99"/>
      <c r="O2261" s="99"/>
      <c r="P2261" s="99"/>
      <c r="Q2261" s="99"/>
      <c r="R2261" s="99"/>
      <c r="S2261" s="99"/>
      <c r="T2261" s="99"/>
      <c r="U2261" s="99"/>
      <c r="V2261" s="99"/>
    </row>
    <row r="2262" spans="1:22" ht="15" customHeight="1">
      <c r="A2262" s="297"/>
      <c r="B2262" s="217"/>
      <c r="C2262" s="217"/>
      <c r="D2262" s="101"/>
      <c r="E2262" s="101"/>
      <c r="F2262" s="294"/>
      <c r="G2262" s="295"/>
      <c r="H2262" s="98"/>
      <c r="I2262" s="99"/>
      <c r="J2262" s="99"/>
      <c r="K2262" s="99"/>
      <c r="L2262" s="99"/>
      <c r="M2262" s="99"/>
      <c r="N2262" s="99"/>
      <c r="O2262" s="99"/>
      <c r="P2262" s="99"/>
      <c r="Q2262" s="99"/>
      <c r="R2262" s="99"/>
      <c r="S2262" s="99"/>
      <c r="T2262" s="99"/>
      <c r="U2262" s="99"/>
      <c r="V2262" s="99"/>
    </row>
    <row r="2263" spans="1:22" ht="15" customHeight="1">
      <c r="A2263" s="297"/>
      <c r="B2263" s="217"/>
      <c r="C2263" s="217"/>
      <c r="D2263" s="101"/>
      <c r="E2263" s="101"/>
      <c r="F2263" s="294"/>
      <c r="G2263" s="295"/>
      <c r="H2263" s="98"/>
      <c r="I2263" s="99"/>
      <c r="J2263" s="99"/>
      <c r="K2263" s="99"/>
      <c r="L2263" s="99"/>
      <c r="M2263" s="99"/>
      <c r="N2263" s="99"/>
      <c r="O2263" s="99"/>
      <c r="P2263" s="99"/>
      <c r="Q2263" s="99"/>
      <c r="R2263" s="99"/>
      <c r="S2263" s="99"/>
      <c r="T2263" s="99"/>
      <c r="U2263" s="99"/>
      <c r="V2263" s="99"/>
    </row>
    <row r="2264" spans="1:22" ht="15" customHeight="1">
      <c r="A2264" s="297"/>
      <c r="B2264" s="217"/>
      <c r="C2264" s="217"/>
      <c r="D2264" s="101"/>
      <c r="E2264" s="101"/>
      <c r="F2264" s="294"/>
      <c r="G2264" s="295"/>
      <c r="H2264" s="98"/>
      <c r="I2264" s="99"/>
      <c r="J2264" s="99"/>
      <c r="K2264" s="99"/>
      <c r="L2264" s="99"/>
      <c r="M2264" s="99"/>
      <c r="N2264" s="99"/>
      <c r="O2264" s="99"/>
      <c r="P2264" s="99"/>
      <c r="Q2264" s="99"/>
      <c r="R2264" s="99"/>
      <c r="S2264" s="99"/>
      <c r="T2264" s="99"/>
      <c r="U2264" s="99"/>
      <c r="V2264" s="99"/>
    </row>
    <row r="2265" spans="1:22" ht="15" customHeight="1">
      <c r="A2265" s="297"/>
      <c r="B2265" s="217"/>
      <c r="C2265" s="217"/>
      <c r="D2265" s="101"/>
      <c r="E2265" s="101"/>
      <c r="F2265" s="294"/>
      <c r="G2265" s="295"/>
      <c r="H2265" s="98"/>
      <c r="I2265" s="99"/>
      <c r="J2265" s="99"/>
      <c r="K2265" s="99"/>
      <c r="L2265" s="99"/>
      <c r="M2265" s="99"/>
      <c r="N2265" s="99"/>
      <c r="O2265" s="99"/>
      <c r="P2265" s="99"/>
      <c r="Q2265" s="99"/>
      <c r="R2265" s="99"/>
      <c r="S2265" s="99"/>
      <c r="T2265" s="99"/>
      <c r="U2265" s="99"/>
      <c r="V2265" s="99"/>
    </row>
    <row r="2266" spans="1:22" ht="15" customHeight="1">
      <c r="A2266" s="297"/>
      <c r="B2266" s="217"/>
      <c r="C2266" s="217"/>
      <c r="D2266" s="101"/>
      <c r="E2266" s="101"/>
      <c r="F2266" s="294"/>
      <c r="G2266" s="295"/>
      <c r="H2266" s="98"/>
      <c r="I2266" s="99"/>
      <c r="J2266" s="99"/>
      <c r="K2266" s="99"/>
      <c r="L2266" s="99"/>
      <c r="M2266" s="99"/>
      <c r="N2266" s="99"/>
      <c r="O2266" s="99"/>
      <c r="P2266" s="99"/>
      <c r="Q2266" s="99"/>
      <c r="R2266" s="99"/>
      <c r="S2266" s="99"/>
      <c r="T2266" s="99"/>
      <c r="U2266" s="99"/>
      <c r="V2266" s="99"/>
    </row>
    <row r="2267" spans="1:22" ht="15" customHeight="1">
      <c r="A2267" s="297"/>
      <c r="B2267" s="217"/>
      <c r="C2267" s="217"/>
      <c r="D2267" s="101"/>
      <c r="E2267" s="101"/>
      <c r="F2267" s="294"/>
      <c r="G2267" s="295"/>
      <c r="H2267" s="98"/>
      <c r="I2267" s="99"/>
      <c r="J2267" s="99"/>
      <c r="K2267" s="99"/>
      <c r="L2267" s="99"/>
      <c r="M2267" s="99"/>
      <c r="N2267" s="99"/>
      <c r="O2267" s="99"/>
      <c r="P2267" s="99"/>
      <c r="Q2267" s="99"/>
      <c r="R2267" s="99"/>
      <c r="S2267" s="99"/>
      <c r="T2267" s="99"/>
      <c r="U2267" s="99"/>
      <c r="V2267" s="99"/>
    </row>
    <row r="2268" spans="1:22" ht="15" customHeight="1">
      <c r="A2268" s="297"/>
      <c r="B2268" s="217"/>
      <c r="C2268" s="217"/>
      <c r="D2268" s="101"/>
      <c r="E2268" s="101"/>
      <c r="F2268" s="294"/>
      <c r="G2268" s="295"/>
      <c r="H2268" s="98"/>
      <c r="I2268" s="99"/>
      <c r="J2268" s="99"/>
      <c r="K2268" s="99"/>
      <c r="L2268" s="99"/>
      <c r="M2268" s="99"/>
      <c r="N2268" s="99"/>
      <c r="O2268" s="99"/>
      <c r="P2268" s="99"/>
      <c r="Q2268" s="99"/>
      <c r="R2268" s="99"/>
      <c r="S2268" s="99"/>
      <c r="T2268" s="99"/>
      <c r="U2268" s="99"/>
      <c r="V2268" s="99"/>
    </row>
    <row r="2269" spans="1:22" ht="15" customHeight="1">
      <c r="A2269" s="297"/>
      <c r="B2269" s="217"/>
      <c r="C2269" s="217"/>
      <c r="D2269" s="101"/>
      <c r="E2269" s="101"/>
      <c r="F2269" s="294"/>
      <c r="G2269" s="295"/>
      <c r="H2269" s="98"/>
      <c r="I2269" s="99"/>
      <c r="J2269" s="99"/>
      <c r="K2269" s="99"/>
      <c r="L2269" s="99"/>
      <c r="M2269" s="99"/>
      <c r="N2269" s="99"/>
      <c r="O2269" s="99"/>
      <c r="P2269" s="99"/>
      <c r="Q2269" s="99"/>
      <c r="R2269" s="99"/>
      <c r="S2269" s="99"/>
      <c r="T2269" s="99"/>
      <c r="U2269" s="99"/>
      <c r="V2269" s="99"/>
    </row>
    <row r="2270" spans="1:22" ht="15" customHeight="1">
      <c r="A2270" s="297"/>
      <c r="B2270" s="217"/>
      <c r="C2270" s="217"/>
      <c r="D2270" s="101"/>
      <c r="E2270" s="101"/>
      <c r="F2270" s="294"/>
      <c r="G2270" s="295"/>
      <c r="H2270" s="98"/>
      <c r="I2270" s="99"/>
      <c r="J2270" s="99"/>
      <c r="K2270" s="99"/>
      <c r="L2270" s="99"/>
      <c r="M2270" s="99"/>
      <c r="N2270" s="99"/>
      <c r="O2270" s="99"/>
      <c r="P2270" s="99"/>
      <c r="Q2270" s="99"/>
      <c r="R2270" s="99"/>
      <c r="S2270" s="99"/>
      <c r="T2270" s="99"/>
      <c r="U2270" s="99"/>
      <c r="V2270" s="99"/>
    </row>
    <row r="2271" spans="1:22" ht="15" customHeight="1">
      <c r="A2271" s="297"/>
      <c r="B2271" s="217"/>
      <c r="C2271" s="217"/>
      <c r="D2271" s="101"/>
      <c r="E2271" s="101"/>
      <c r="F2271" s="294"/>
      <c r="G2271" s="295"/>
      <c r="H2271" s="98"/>
      <c r="I2271" s="99"/>
      <c r="J2271" s="99"/>
      <c r="K2271" s="99"/>
      <c r="L2271" s="99"/>
      <c r="M2271" s="99"/>
      <c r="N2271" s="99"/>
      <c r="O2271" s="99"/>
      <c r="P2271" s="99"/>
      <c r="Q2271" s="99"/>
      <c r="R2271" s="99"/>
      <c r="S2271" s="99"/>
      <c r="T2271" s="99"/>
      <c r="U2271" s="99"/>
      <c r="V2271" s="99"/>
    </row>
    <row r="2272" spans="1:22" ht="15" customHeight="1">
      <c r="A2272" s="297"/>
      <c r="B2272" s="217"/>
      <c r="C2272" s="217"/>
      <c r="D2272" s="101"/>
      <c r="E2272" s="101"/>
      <c r="F2272" s="294"/>
      <c r="G2272" s="295"/>
      <c r="H2272" s="98"/>
      <c r="I2272" s="99"/>
      <c r="J2272" s="99"/>
      <c r="K2272" s="99"/>
      <c r="L2272" s="99"/>
      <c r="M2272" s="99"/>
      <c r="N2272" s="99"/>
      <c r="O2272" s="99"/>
      <c r="P2272" s="99"/>
      <c r="Q2272" s="99"/>
      <c r="R2272" s="99"/>
      <c r="S2272" s="99"/>
      <c r="T2272" s="99"/>
      <c r="U2272" s="99"/>
      <c r="V2272" s="99"/>
    </row>
    <row r="2273" spans="1:22" ht="15" customHeight="1">
      <c r="A2273" s="297"/>
      <c r="B2273" s="217"/>
      <c r="C2273" s="217"/>
      <c r="D2273" s="101"/>
      <c r="E2273" s="101"/>
      <c r="F2273" s="294"/>
      <c r="G2273" s="295"/>
      <c r="H2273" s="98"/>
      <c r="I2273" s="99"/>
      <c r="J2273" s="99"/>
      <c r="K2273" s="99"/>
      <c r="L2273" s="99"/>
      <c r="M2273" s="99"/>
      <c r="N2273" s="99"/>
      <c r="O2273" s="99"/>
      <c r="P2273" s="99"/>
      <c r="Q2273" s="99"/>
      <c r="R2273" s="99"/>
      <c r="S2273" s="99"/>
      <c r="T2273" s="99"/>
      <c r="U2273" s="99"/>
      <c r="V2273" s="99"/>
    </row>
    <row r="2274" spans="1:22" ht="15" customHeight="1">
      <c r="A2274" s="297"/>
      <c r="B2274" s="217"/>
      <c r="C2274" s="217"/>
      <c r="D2274" s="101"/>
      <c r="E2274" s="101"/>
      <c r="F2274" s="294"/>
      <c r="G2274" s="295"/>
      <c r="H2274" s="98"/>
      <c r="I2274" s="99"/>
      <c r="J2274" s="99"/>
      <c r="K2274" s="99"/>
      <c r="L2274" s="99"/>
      <c r="M2274" s="99"/>
      <c r="N2274" s="99"/>
      <c r="O2274" s="99"/>
      <c r="P2274" s="99"/>
      <c r="Q2274" s="99"/>
      <c r="R2274" s="99"/>
      <c r="S2274" s="99"/>
      <c r="T2274" s="99"/>
      <c r="U2274" s="99"/>
      <c r="V2274" s="99"/>
    </row>
    <row r="2275" spans="1:22" ht="15" customHeight="1">
      <c r="A2275" s="297"/>
      <c r="B2275" s="217"/>
      <c r="C2275" s="217"/>
      <c r="D2275" s="101"/>
      <c r="E2275" s="101"/>
      <c r="F2275" s="294"/>
      <c r="G2275" s="295"/>
      <c r="H2275" s="98"/>
      <c r="I2275" s="99"/>
      <c r="J2275" s="99"/>
      <c r="K2275" s="99"/>
      <c r="L2275" s="99"/>
      <c r="M2275" s="99"/>
      <c r="N2275" s="99"/>
      <c r="O2275" s="99"/>
      <c r="P2275" s="99"/>
      <c r="Q2275" s="99"/>
      <c r="R2275" s="99"/>
      <c r="S2275" s="99"/>
      <c r="T2275" s="99"/>
      <c r="U2275" s="99"/>
      <c r="V2275" s="99"/>
    </row>
    <row r="2276" spans="1:22" ht="15" customHeight="1">
      <c r="A2276" s="297"/>
      <c r="B2276" s="217"/>
      <c r="C2276" s="217"/>
      <c r="D2276" s="101"/>
      <c r="E2276" s="101"/>
      <c r="F2276" s="294"/>
      <c r="G2276" s="295"/>
      <c r="H2276" s="98"/>
      <c r="I2276" s="99"/>
      <c r="J2276" s="99"/>
      <c r="K2276" s="99"/>
      <c r="L2276" s="99"/>
      <c r="M2276" s="99"/>
      <c r="N2276" s="99"/>
      <c r="O2276" s="99"/>
      <c r="P2276" s="99"/>
      <c r="Q2276" s="99"/>
      <c r="R2276" s="99"/>
      <c r="S2276" s="99"/>
      <c r="T2276" s="99"/>
      <c r="U2276" s="99"/>
      <c r="V2276" s="99"/>
    </row>
    <row r="2277" spans="1:22" ht="15" customHeight="1">
      <c r="A2277" s="297"/>
      <c r="B2277" s="217"/>
      <c r="C2277" s="217"/>
      <c r="D2277" s="101"/>
      <c r="E2277" s="101"/>
      <c r="F2277" s="294"/>
      <c r="G2277" s="295"/>
      <c r="H2277" s="98"/>
      <c r="I2277" s="99"/>
      <c r="J2277" s="99"/>
      <c r="K2277" s="99"/>
      <c r="L2277" s="99"/>
      <c r="M2277" s="99"/>
      <c r="N2277" s="99"/>
      <c r="O2277" s="99"/>
      <c r="P2277" s="99"/>
      <c r="Q2277" s="99"/>
      <c r="R2277" s="99"/>
      <c r="S2277" s="99"/>
      <c r="T2277" s="99"/>
      <c r="U2277" s="99"/>
      <c r="V2277" s="99"/>
    </row>
    <row r="2278" spans="1:22" ht="15" customHeight="1">
      <c r="A2278" s="297"/>
      <c r="B2278" s="217"/>
      <c r="C2278" s="217"/>
      <c r="D2278" s="101"/>
      <c r="E2278" s="101"/>
      <c r="F2278" s="294"/>
      <c r="G2278" s="295"/>
      <c r="H2278" s="98"/>
      <c r="I2278" s="99"/>
      <c r="J2278" s="99"/>
      <c r="K2278" s="99"/>
      <c r="L2278" s="99"/>
      <c r="M2278" s="99"/>
      <c r="N2278" s="99"/>
      <c r="O2278" s="99"/>
      <c r="P2278" s="99"/>
      <c r="Q2278" s="99"/>
      <c r="R2278" s="99"/>
      <c r="S2278" s="99"/>
      <c r="T2278" s="99"/>
      <c r="U2278" s="99"/>
      <c r="V2278" s="99"/>
    </row>
    <row r="2279" spans="1:22" ht="15" customHeight="1">
      <c r="A2279" s="297"/>
      <c r="B2279" s="217"/>
      <c r="C2279" s="217"/>
      <c r="D2279" s="101"/>
      <c r="E2279" s="101"/>
      <c r="F2279" s="294"/>
      <c r="G2279" s="295"/>
      <c r="H2279" s="98"/>
      <c r="I2279" s="99"/>
      <c r="J2279" s="99"/>
      <c r="K2279" s="99"/>
      <c r="L2279" s="99"/>
      <c r="M2279" s="99"/>
      <c r="N2279" s="99"/>
      <c r="O2279" s="99"/>
      <c r="P2279" s="99"/>
      <c r="Q2279" s="99"/>
      <c r="R2279" s="99"/>
      <c r="S2279" s="99"/>
      <c r="T2279" s="99"/>
      <c r="U2279" s="99"/>
      <c r="V2279" s="99"/>
    </row>
    <row r="2280" spans="1:22" ht="15" customHeight="1">
      <c r="A2280" s="297"/>
      <c r="B2280" s="217"/>
      <c r="C2280" s="217"/>
      <c r="D2280" s="101"/>
      <c r="E2280" s="101"/>
      <c r="F2280" s="294"/>
      <c r="G2280" s="295"/>
      <c r="H2280" s="98"/>
      <c r="I2280" s="99"/>
      <c r="J2280" s="99"/>
      <c r="K2280" s="99"/>
      <c r="L2280" s="99"/>
      <c r="M2280" s="99"/>
      <c r="N2280" s="99"/>
      <c r="O2280" s="99"/>
      <c r="P2280" s="99"/>
      <c r="Q2280" s="99"/>
      <c r="R2280" s="99"/>
      <c r="S2280" s="99"/>
      <c r="T2280" s="99"/>
      <c r="U2280" s="99"/>
      <c r="V2280" s="99"/>
    </row>
    <row r="2281" spans="1:22" ht="15" customHeight="1">
      <c r="A2281" s="297"/>
      <c r="B2281" s="217"/>
      <c r="C2281" s="217"/>
      <c r="D2281" s="101"/>
      <c r="E2281" s="101"/>
      <c r="F2281" s="294"/>
      <c r="G2281" s="295"/>
      <c r="H2281" s="98"/>
      <c r="I2281" s="99"/>
      <c r="J2281" s="99"/>
      <c r="K2281" s="99"/>
      <c r="L2281" s="99"/>
      <c r="M2281" s="99"/>
      <c r="N2281" s="99"/>
      <c r="O2281" s="99"/>
      <c r="P2281" s="99"/>
      <c r="Q2281" s="99"/>
      <c r="R2281" s="99"/>
      <c r="S2281" s="99"/>
      <c r="T2281" s="99"/>
      <c r="U2281" s="99"/>
      <c r="V2281" s="99"/>
    </row>
    <row r="2282" spans="1:22" ht="15" customHeight="1">
      <c r="A2282" s="297"/>
      <c r="B2282" s="217"/>
      <c r="C2282" s="217"/>
      <c r="D2282" s="101"/>
      <c r="E2282" s="101"/>
      <c r="F2282" s="294"/>
      <c r="G2282" s="295"/>
      <c r="H2282" s="98"/>
      <c r="I2282" s="99"/>
      <c r="J2282" s="99"/>
      <c r="K2282" s="99"/>
      <c r="L2282" s="99"/>
      <c r="M2282" s="99"/>
      <c r="N2282" s="99"/>
      <c r="O2282" s="99"/>
      <c r="P2282" s="99"/>
      <c r="Q2282" s="99"/>
      <c r="R2282" s="99"/>
      <c r="S2282" s="99"/>
      <c r="T2282" s="99"/>
      <c r="U2282" s="99"/>
      <c r="V2282" s="99"/>
    </row>
    <row r="2283" spans="1:22" ht="15.75" customHeight="1">
      <c r="A2283" s="297"/>
      <c r="B2283" s="217"/>
      <c r="C2283" s="217"/>
      <c r="D2283" s="101"/>
      <c r="E2283" s="101"/>
      <c r="F2283" s="294"/>
      <c r="G2283" s="295"/>
      <c r="H2283" s="98"/>
      <c r="I2283" s="99"/>
      <c r="J2283" s="99"/>
      <c r="K2283" s="99"/>
      <c r="L2283" s="99"/>
      <c r="M2283" s="99"/>
      <c r="N2283" s="99"/>
      <c r="O2283" s="99"/>
      <c r="P2283" s="99"/>
      <c r="Q2283" s="99"/>
      <c r="R2283" s="99"/>
      <c r="S2283" s="99"/>
      <c r="T2283" s="99"/>
      <c r="U2283" s="99"/>
      <c r="V2283" s="99"/>
    </row>
    <row r="2284" spans="1:22" ht="15" customHeight="1">
      <c r="A2284" s="297"/>
      <c r="B2284" s="217"/>
      <c r="C2284" s="217"/>
      <c r="D2284" s="101"/>
      <c r="E2284" s="101"/>
      <c r="F2284" s="294"/>
      <c r="G2284" s="295"/>
      <c r="H2284" s="98"/>
      <c r="I2284" s="99"/>
      <c r="J2284" s="99"/>
      <c r="K2284" s="99"/>
      <c r="L2284" s="99"/>
      <c r="M2284" s="99"/>
      <c r="N2284" s="99"/>
      <c r="O2284" s="99"/>
      <c r="P2284" s="99"/>
      <c r="Q2284" s="99"/>
      <c r="R2284" s="99"/>
      <c r="S2284" s="99"/>
      <c r="T2284" s="99"/>
      <c r="U2284" s="99"/>
      <c r="V2284" s="99"/>
    </row>
    <row r="2285" spans="1:22" ht="15" customHeight="1">
      <c r="A2285" s="297"/>
      <c r="B2285" s="217"/>
      <c r="C2285" s="217"/>
      <c r="D2285" s="101"/>
      <c r="E2285" s="101"/>
      <c r="F2285" s="294"/>
      <c r="G2285" s="295"/>
      <c r="H2285" s="98"/>
      <c r="I2285" s="99"/>
      <c r="J2285" s="99"/>
      <c r="K2285" s="99"/>
      <c r="L2285" s="99"/>
      <c r="M2285" s="99"/>
      <c r="N2285" s="99"/>
      <c r="O2285" s="99"/>
      <c r="P2285" s="99"/>
      <c r="Q2285" s="99"/>
      <c r="R2285" s="99"/>
      <c r="S2285" s="99"/>
      <c r="T2285" s="99"/>
      <c r="U2285" s="99"/>
      <c r="V2285" s="99"/>
    </row>
    <row r="2286" spans="1:22" ht="15" customHeight="1">
      <c r="A2286" s="297"/>
      <c r="B2286" s="217"/>
      <c r="C2286" s="217"/>
      <c r="D2286" s="101"/>
      <c r="E2286" s="101"/>
      <c r="F2286" s="294"/>
      <c r="G2286" s="295"/>
      <c r="H2286" s="98"/>
      <c r="I2286" s="99"/>
      <c r="J2286" s="99"/>
      <c r="K2286" s="99"/>
      <c r="L2286" s="99"/>
      <c r="M2286" s="99"/>
      <c r="N2286" s="99"/>
      <c r="O2286" s="99"/>
      <c r="P2286" s="99"/>
      <c r="Q2286" s="99"/>
      <c r="R2286" s="99"/>
      <c r="S2286" s="99"/>
      <c r="T2286" s="99"/>
      <c r="U2286" s="99"/>
      <c r="V2286" s="99"/>
    </row>
    <row r="2287" spans="1:22" ht="15" customHeight="1">
      <c r="A2287" s="297"/>
      <c r="B2287" s="217"/>
      <c r="C2287" s="217"/>
      <c r="D2287" s="101"/>
      <c r="E2287" s="101"/>
      <c r="F2287" s="294"/>
      <c r="G2287" s="295"/>
      <c r="H2287" s="98"/>
      <c r="I2287" s="99"/>
      <c r="J2287" s="99"/>
      <c r="K2287" s="99"/>
      <c r="L2287" s="99"/>
      <c r="M2287" s="99"/>
      <c r="N2287" s="99"/>
      <c r="O2287" s="99"/>
      <c r="P2287" s="99"/>
      <c r="Q2287" s="99"/>
      <c r="R2287" s="99"/>
      <c r="S2287" s="99"/>
      <c r="T2287" s="99"/>
      <c r="U2287" s="99"/>
      <c r="V2287" s="99"/>
    </row>
    <row r="2288" spans="1:22" ht="15" customHeight="1">
      <c r="A2288" s="297"/>
      <c r="B2288" s="217"/>
      <c r="C2288" s="217"/>
      <c r="D2288" s="101"/>
      <c r="E2288" s="101"/>
      <c r="F2288" s="294"/>
      <c r="G2288" s="295"/>
      <c r="H2288" s="98"/>
      <c r="I2288" s="99"/>
      <c r="J2288" s="99"/>
      <c r="K2288" s="99"/>
      <c r="L2288" s="99"/>
      <c r="M2288" s="99"/>
      <c r="N2288" s="99"/>
      <c r="O2288" s="99"/>
      <c r="P2288" s="99"/>
      <c r="Q2288" s="99"/>
      <c r="R2288" s="99"/>
      <c r="S2288" s="99"/>
      <c r="T2288" s="99"/>
      <c r="U2288" s="99"/>
      <c r="V2288" s="99"/>
    </row>
    <row r="2289" spans="1:22" ht="15" customHeight="1">
      <c r="A2289" s="297"/>
      <c r="B2289" s="217"/>
      <c r="C2289" s="217"/>
      <c r="D2289" s="101"/>
      <c r="E2289" s="101"/>
      <c r="F2289" s="294"/>
      <c r="G2289" s="295"/>
      <c r="H2289" s="98"/>
      <c r="I2289" s="99"/>
      <c r="J2289" s="99"/>
      <c r="K2289" s="99"/>
      <c r="L2289" s="99"/>
      <c r="M2289" s="99"/>
      <c r="N2289" s="99"/>
      <c r="O2289" s="99"/>
      <c r="P2289" s="99"/>
      <c r="Q2289" s="99"/>
      <c r="R2289" s="99"/>
      <c r="S2289" s="99"/>
      <c r="T2289" s="99"/>
      <c r="U2289" s="99"/>
      <c r="V2289" s="99"/>
    </row>
    <row r="2290" spans="1:22" ht="15" customHeight="1">
      <c r="A2290" s="297"/>
      <c r="B2290" s="217"/>
      <c r="C2290" s="217"/>
      <c r="D2290" s="101"/>
      <c r="E2290" s="101"/>
      <c r="F2290" s="294"/>
      <c r="G2290" s="295"/>
      <c r="H2290" s="98"/>
      <c r="I2290" s="99"/>
      <c r="J2290" s="99"/>
      <c r="K2290" s="99"/>
      <c r="L2290" s="99"/>
      <c r="M2290" s="99"/>
      <c r="N2290" s="99"/>
      <c r="O2290" s="99"/>
      <c r="P2290" s="99"/>
      <c r="Q2290" s="99"/>
      <c r="R2290" s="99"/>
      <c r="S2290" s="99"/>
      <c r="T2290" s="99"/>
      <c r="U2290" s="99"/>
      <c r="V2290" s="99"/>
    </row>
    <row r="2291" spans="1:22" ht="15" customHeight="1">
      <c r="A2291" s="297"/>
      <c r="B2291" s="217"/>
      <c r="C2291" s="217"/>
      <c r="D2291" s="101"/>
      <c r="E2291" s="101"/>
      <c r="F2291" s="294"/>
      <c r="G2291" s="295"/>
      <c r="H2291" s="98"/>
      <c r="I2291" s="99"/>
      <c r="J2291" s="99"/>
      <c r="K2291" s="99"/>
      <c r="L2291" s="99"/>
      <c r="M2291" s="99"/>
      <c r="N2291" s="99"/>
      <c r="O2291" s="99"/>
      <c r="P2291" s="99"/>
      <c r="Q2291" s="99"/>
      <c r="R2291" s="99"/>
      <c r="S2291" s="99"/>
      <c r="T2291" s="99"/>
      <c r="U2291" s="99"/>
      <c r="V2291" s="99"/>
    </row>
    <row r="2292" spans="1:22" ht="15" customHeight="1">
      <c r="A2292" s="297"/>
      <c r="B2292" s="217"/>
      <c r="C2292" s="217"/>
      <c r="D2292" s="101"/>
      <c r="E2292" s="101"/>
      <c r="F2292" s="294"/>
      <c r="G2292" s="295"/>
      <c r="H2292" s="98"/>
      <c r="I2292" s="99"/>
      <c r="J2292" s="99"/>
      <c r="K2292" s="99"/>
      <c r="L2292" s="99"/>
      <c r="M2292" s="99"/>
      <c r="N2292" s="99"/>
      <c r="O2292" s="99"/>
      <c r="P2292" s="99"/>
      <c r="Q2292" s="99"/>
      <c r="R2292" s="99"/>
      <c r="S2292" s="99"/>
      <c r="T2292" s="99"/>
      <c r="U2292" s="99"/>
      <c r="V2292" s="99"/>
    </row>
    <row r="2293" spans="1:22" ht="15" customHeight="1">
      <c r="A2293" s="297"/>
      <c r="B2293" s="217"/>
      <c r="C2293" s="217"/>
      <c r="D2293" s="101"/>
      <c r="E2293" s="101"/>
      <c r="F2293" s="294"/>
      <c r="G2293" s="295"/>
      <c r="H2293" s="98"/>
      <c r="I2293" s="99"/>
      <c r="J2293" s="99"/>
      <c r="K2293" s="99"/>
      <c r="L2293" s="99"/>
      <c r="M2293" s="99"/>
      <c r="N2293" s="99"/>
      <c r="O2293" s="99"/>
      <c r="P2293" s="99"/>
      <c r="Q2293" s="99"/>
      <c r="R2293" s="99"/>
      <c r="S2293" s="99"/>
      <c r="T2293" s="99"/>
      <c r="U2293" s="99"/>
      <c r="V2293" s="99"/>
    </row>
    <row r="2294" spans="1:22" ht="15" customHeight="1">
      <c r="A2294" s="297"/>
      <c r="B2294" s="217"/>
      <c r="C2294" s="217"/>
      <c r="D2294" s="101"/>
      <c r="E2294" s="101"/>
      <c r="F2294" s="294"/>
      <c r="G2294" s="295"/>
      <c r="H2294" s="98"/>
      <c r="I2294" s="99"/>
      <c r="J2294" s="99"/>
      <c r="K2294" s="99"/>
      <c r="L2294" s="99"/>
      <c r="M2294" s="99"/>
      <c r="N2294" s="99"/>
      <c r="O2294" s="99"/>
      <c r="P2294" s="99"/>
      <c r="Q2294" s="99"/>
      <c r="R2294" s="99"/>
      <c r="S2294" s="99"/>
      <c r="T2294" s="99"/>
      <c r="U2294" s="99"/>
      <c r="V2294" s="99"/>
    </row>
    <row r="2295" spans="1:22" ht="15" customHeight="1">
      <c r="A2295" s="297"/>
      <c r="B2295" s="217"/>
      <c r="C2295" s="217"/>
      <c r="D2295" s="101"/>
      <c r="E2295" s="101"/>
      <c r="F2295" s="294"/>
      <c r="G2295" s="295"/>
      <c r="H2295" s="98"/>
      <c r="I2295" s="99"/>
      <c r="J2295" s="99"/>
      <c r="K2295" s="99"/>
      <c r="L2295" s="99"/>
      <c r="M2295" s="99"/>
      <c r="N2295" s="99"/>
      <c r="O2295" s="99"/>
      <c r="P2295" s="99"/>
      <c r="Q2295" s="99"/>
      <c r="R2295" s="99"/>
      <c r="S2295" s="99"/>
      <c r="T2295" s="99"/>
      <c r="U2295" s="99"/>
      <c r="V2295" s="99"/>
    </row>
    <row r="2296" spans="1:22" ht="15" customHeight="1">
      <c r="A2296" s="297"/>
      <c r="B2296" s="217"/>
      <c r="C2296" s="217"/>
      <c r="D2296" s="101"/>
      <c r="E2296" s="101"/>
      <c r="F2296" s="294"/>
      <c r="G2296" s="295"/>
      <c r="H2296" s="98"/>
      <c r="I2296" s="99"/>
      <c r="J2296" s="99"/>
      <c r="K2296" s="99"/>
      <c r="L2296" s="99"/>
      <c r="M2296" s="99"/>
      <c r="N2296" s="99"/>
      <c r="O2296" s="99"/>
      <c r="P2296" s="99"/>
      <c r="Q2296" s="99"/>
      <c r="R2296" s="99"/>
      <c r="S2296" s="99"/>
      <c r="T2296" s="99"/>
      <c r="U2296" s="99"/>
      <c r="V2296" s="99"/>
    </row>
    <row r="2297" spans="1:22" ht="15" customHeight="1">
      <c r="A2297" s="297"/>
      <c r="B2297" s="217"/>
      <c r="C2297" s="217"/>
      <c r="D2297" s="101"/>
      <c r="E2297" s="101"/>
      <c r="F2297" s="294"/>
      <c r="G2297" s="295"/>
      <c r="H2297" s="98"/>
      <c r="I2297" s="99"/>
      <c r="J2297" s="99"/>
      <c r="K2297" s="99"/>
      <c r="L2297" s="99"/>
      <c r="M2297" s="99"/>
      <c r="N2297" s="99"/>
      <c r="O2297" s="99"/>
      <c r="P2297" s="99"/>
      <c r="Q2297" s="99"/>
      <c r="R2297" s="99"/>
      <c r="S2297" s="99"/>
      <c r="T2297" s="99"/>
      <c r="U2297" s="99"/>
      <c r="V2297" s="99"/>
    </row>
    <row r="2298" spans="1:22" ht="15" customHeight="1">
      <c r="A2298" s="297"/>
      <c r="B2298" s="217"/>
      <c r="C2298" s="217"/>
      <c r="D2298" s="101"/>
      <c r="E2298" s="101"/>
      <c r="F2298" s="294"/>
      <c r="G2298" s="295"/>
      <c r="H2298" s="98"/>
      <c r="I2298" s="99"/>
      <c r="J2298" s="99"/>
      <c r="K2298" s="99"/>
      <c r="L2298" s="99"/>
      <c r="M2298" s="99"/>
      <c r="N2298" s="99"/>
      <c r="O2298" s="99"/>
      <c r="P2298" s="99"/>
      <c r="Q2298" s="99"/>
      <c r="R2298" s="99"/>
      <c r="S2298" s="99"/>
      <c r="T2298" s="99"/>
      <c r="U2298" s="99"/>
      <c r="V2298" s="99"/>
    </row>
    <row r="2299" spans="1:22" ht="15" customHeight="1">
      <c r="A2299" s="297"/>
      <c r="B2299" s="217"/>
      <c r="C2299" s="217"/>
      <c r="D2299" s="101"/>
      <c r="E2299" s="101"/>
      <c r="F2299" s="294"/>
      <c r="G2299" s="295"/>
      <c r="H2299" s="98"/>
      <c r="I2299" s="99"/>
      <c r="J2299" s="99"/>
      <c r="K2299" s="99"/>
      <c r="L2299" s="99"/>
      <c r="M2299" s="99"/>
      <c r="N2299" s="99"/>
      <c r="O2299" s="99"/>
      <c r="P2299" s="99"/>
      <c r="Q2299" s="99"/>
      <c r="R2299" s="99"/>
      <c r="S2299" s="99"/>
      <c r="T2299" s="99"/>
      <c r="U2299" s="99"/>
      <c r="V2299" s="99"/>
    </row>
    <row r="2300" spans="1:22" ht="15" customHeight="1">
      <c r="A2300" s="297"/>
      <c r="B2300" s="217"/>
      <c r="C2300" s="217"/>
      <c r="D2300" s="101"/>
      <c r="E2300" s="101"/>
      <c r="F2300" s="294"/>
      <c r="G2300" s="295"/>
      <c r="H2300" s="98"/>
      <c r="I2300" s="99"/>
      <c r="J2300" s="99"/>
      <c r="K2300" s="99"/>
      <c r="L2300" s="99"/>
      <c r="M2300" s="99"/>
      <c r="N2300" s="99"/>
      <c r="O2300" s="99"/>
      <c r="P2300" s="99"/>
      <c r="Q2300" s="99"/>
      <c r="R2300" s="99"/>
      <c r="S2300" s="99"/>
      <c r="T2300" s="99"/>
      <c r="U2300" s="99"/>
      <c r="V2300" s="99"/>
    </row>
    <row r="2301" spans="1:22" ht="15" customHeight="1">
      <c r="A2301" s="297"/>
      <c r="B2301" s="217"/>
      <c r="C2301" s="217"/>
      <c r="D2301" s="101"/>
      <c r="E2301" s="101"/>
      <c r="F2301" s="294"/>
      <c r="G2301" s="295"/>
      <c r="H2301" s="98"/>
      <c r="I2301" s="99"/>
      <c r="J2301" s="99"/>
      <c r="K2301" s="99"/>
      <c r="L2301" s="99"/>
      <c r="M2301" s="99"/>
      <c r="N2301" s="99"/>
      <c r="O2301" s="99"/>
      <c r="P2301" s="99"/>
      <c r="Q2301" s="99"/>
      <c r="R2301" s="99"/>
      <c r="S2301" s="99"/>
      <c r="T2301" s="99"/>
      <c r="U2301" s="99"/>
      <c r="V2301" s="99"/>
    </row>
    <row r="2302" spans="1:22" ht="15" customHeight="1">
      <c r="A2302" s="297"/>
      <c r="B2302" s="217"/>
      <c r="C2302" s="217"/>
      <c r="D2302" s="101"/>
      <c r="E2302" s="101"/>
      <c r="F2302" s="294"/>
      <c r="G2302" s="295"/>
      <c r="H2302" s="98"/>
      <c r="I2302" s="99"/>
      <c r="J2302" s="99"/>
      <c r="K2302" s="99"/>
      <c r="L2302" s="99"/>
      <c r="M2302" s="99"/>
      <c r="N2302" s="99"/>
      <c r="O2302" s="99"/>
      <c r="P2302" s="99"/>
      <c r="Q2302" s="99"/>
      <c r="R2302" s="99"/>
      <c r="S2302" s="99"/>
      <c r="T2302" s="99"/>
      <c r="U2302" s="99"/>
      <c r="V2302" s="99"/>
    </row>
    <row r="2303" spans="1:22" ht="15" customHeight="1">
      <c r="A2303" s="297"/>
      <c r="B2303" s="217"/>
      <c r="C2303" s="217"/>
      <c r="D2303" s="101"/>
      <c r="E2303" s="101"/>
      <c r="F2303" s="294"/>
      <c r="G2303" s="295"/>
      <c r="H2303" s="98"/>
      <c r="I2303" s="99"/>
      <c r="J2303" s="99"/>
      <c r="K2303" s="99"/>
      <c r="L2303" s="99"/>
      <c r="M2303" s="99"/>
      <c r="N2303" s="99"/>
      <c r="O2303" s="99"/>
      <c r="P2303" s="99"/>
      <c r="Q2303" s="99"/>
      <c r="R2303" s="99"/>
      <c r="S2303" s="99"/>
      <c r="T2303" s="99"/>
      <c r="U2303" s="99"/>
      <c r="V2303" s="99"/>
    </row>
    <row r="2304" spans="1:22" ht="15" customHeight="1">
      <c r="A2304" s="297"/>
      <c r="B2304" s="217"/>
      <c r="C2304" s="217"/>
      <c r="D2304" s="101"/>
      <c r="E2304" s="101"/>
      <c r="F2304" s="294"/>
      <c r="G2304" s="295"/>
      <c r="H2304" s="98"/>
      <c r="I2304" s="99"/>
      <c r="J2304" s="99"/>
      <c r="K2304" s="99"/>
      <c r="L2304" s="99"/>
      <c r="M2304" s="99"/>
      <c r="N2304" s="99"/>
      <c r="O2304" s="99"/>
      <c r="P2304" s="99"/>
      <c r="Q2304" s="99"/>
      <c r="R2304" s="99"/>
      <c r="S2304" s="99"/>
      <c r="T2304" s="99"/>
      <c r="U2304" s="99"/>
      <c r="V2304" s="99"/>
    </row>
    <row r="2305" spans="1:22" ht="15" customHeight="1">
      <c r="A2305" s="297"/>
      <c r="B2305" s="217"/>
      <c r="C2305" s="217"/>
      <c r="D2305" s="101"/>
      <c r="E2305" s="101"/>
      <c r="F2305" s="294"/>
      <c r="G2305" s="295"/>
      <c r="H2305" s="98"/>
      <c r="I2305" s="99"/>
      <c r="J2305" s="99"/>
      <c r="K2305" s="99"/>
      <c r="L2305" s="99"/>
      <c r="M2305" s="99"/>
      <c r="N2305" s="99"/>
      <c r="O2305" s="99"/>
      <c r="P2305" s="99"/>
      <c r="Q2305" s="99"/>
      <c r="R2305" s="99"/>
      <c r="S2305" s="99"/>
      <c r="T2305" s="99"/>
      <c r="U2305" s="99"/>
      <c r="V2305" s="99"/>
    </row>
    <row r="2306" spans="1:22" ht="15" customHeight="1">
      <c r="A2306" s="297"/>
      <c r="B2306" s="217"/>
      <c r="C2306" s="217"/>
      <c r="D2306" s="101"/>
      <c r="E2306" s="101"/>
      <c r="F2306" s="294"/>
      <c r="G2306" s="295"/>
      <c r="H2306" s="98"/>
      <c r="I2306" s="99"/>
      <c r="J2306" s="99"/>
      <c r="K2306" s="99"/>
      <c r="L2306" s="99"/>
      <c r="M2306" s="99"/>
      <c r="N2306" s="99"/>
      <c r="O2306" s="99"/>
      <c r="P2306" s="99"/>
      <c r="Q2306" s="99"/>
      <c r="R2306" s="99"/>
      <c r="S2306" s="99"/>
      <c r="T2306" s="99"/>
      <c r="U2306" s="99"/>
      <c r="V2306" s="99"/>
    </row>
    <row r="2307" spans="1:22" ht="15" customHeight="1">
      <c r="A2307" s="297"/>
      <c r="B2307" s="217"/>
      <c r="C2307" s="217"/>
      <c r="D2307" s="101"/>
      <c r="E2307" s="101"/>
      <c r="F2307" s="294"/>
      <c r="G2307" s="295"/>
      <c r="H2307" s="98"/>
      <c r="I2307" s="99"/>
      <c r="J2307" s="99"/>
      <c r="K2307" s="99"/>
      <c r="L2307" s="99"/>
      <c r="M2307" s="99"/>
      <c r="N2307" s="99"/>
      <c r="O2307" s="99"/>
      <c r="P2307" s="99"/>
      <c r="Q2307" s="99"/>
      <c r="R2307" s="99"/>
      <c r="S2307" s="99"/>
      <c r="T2307" s="99"/>
      <c r="U2307" s="99"/>
      <c r="V2307" s="99"/>
    </row>
    <row r="2308" spans="1:22" ht="15" customHeight="1">
      <c r="A2308" s="297"/>
      <c r="B2308" s="217"/>
      <c r="C2308" s="217"/>
      <c r="D2308" s="101"/>
      <c r="E2308" s="101"/>
      <c r="F2308" s="294"/>
      <c r="G2308" s="295"/>
      <c r="H2308" s="98"/>
      <c r="I2308" s="99"/>
      <c r="J2308" s="99"/>
      <c r="K2308" s="99"/>
      <c r="L2308" s="99"/>
      <c r="M2308" s="99"/>
      <c r="N2308" s="99"/>
      <c r="O2308" s="99"/>
      <c r="P2308" s="99"/>
      <c r="Q2308" s="99"/>
      <c r="R2308" s="99"/>
      <c r="S2308" s="99"/>
      <c r="T2308" s="99"/>
      <c r="U2308" s="99"/>
      <c r="V2308" s="99"/>
    </row>
    <row r="2309" spans="1:22" ht="15" customHeight="1">
      <c r="A2309" s="297"/>
      <c r="B2309" s="217"/>
      <c r="C2309" s="217"/>
      <c r="D2309" s="101"/>
      <c r="E2309" s="101"/>
      <c r="F2309" s="294"/>
      <c r="G2309" s="295"/>
      <c r="H2309" s="98"/>
      <c r="I2309" s="99"/>
      <c r="J2309" s="99"/>
      <c r="K2309" s="99"/>
      <c r="L2309" s="99"/>
      <c r="M2309" s="99"/>
      <c r="N2309" s="99"/>
      <c r="O2309" s="99"/>
      <c r="P2309" s="99"/>
      <c r="Q2309" s="99"/>
      <c r="R2309" s="99"/>
      <c r="S2309" s="99"/>
      <c r="T2309" s="99"/>
      <c r="U2309" s="99"/>
      <c r="V2309" s="99"/>
    </row>
    <row r="2310" spans="1:22" ht="15" customHeight="1">
      <c r="A2310" s="297"/>
      <c r="B2310" s="217"/>
      <c r="C2310" s="217"/>
      <c r="D2310" s="101"/>
      <c r="E2310" s="101"/>
      <c r="F2310" s="294"/>
      <c r="G2310" s="295"/>
      <c r="H2310" s="98"/>
      <c r="I2310" s="99"/>
      <c r="J2310" s="99"/>
      <c r="K2310" s="99"/>
      <c r="L2310" s="99"/>
      <c r="M2310" s="99"/>
      <c r="N2310" s="99"/>
      <c r="O2310" s="99"/>
      <c r="P2310" s="99"/>
      <c r="Q2310" s="99"/>
      <c r="R2310" s="99"/>
      <c r="S2310" s="99"/>
      <c r="T2310" s="99"/>
      <c r="U2310" s="99"/>
      <c r="V2310" s="99"/>
    </row>
    <row r="2311" spans="1:22" ht="15" customHeight="1">
      <c r="A2311" s="297"/>
      <c r="B2311" s="217"/>
      <c r="C2311" s="217"/>
      <c r="D2311" s="101"/>
      <c r="E2311" s="101"/>
      <c r="F2311" s="294"/>
      <c r="G2311" s="295"/>
      <c r="H2311" s="98"/>
      <c r="I2311" s="99"/>
      <c r="J2311" s="99"/>
      <c r="K2311" s="99"/>
      <c r="L2311" s="99"/>
      <c r="M2311" s="99"/>
      <c r="N2311" s="99"/>
      <c r="O2311" s="99"/>
      <c r="P2311" s="99"/>
      <c r="Q2311" s="99"/>
      <c r="R2311" s="99"/>
      <c r="S2311" s="99"/>
      <c r="T2311" s="99"/>
      <c r="U2311" s="99"/>
      <c r="V2311" s="99"/>
    </row>
    <row r="2312" spans="1:22" ht="15" customHeight="1">
      <c r="A2312" s="297"/>
      <c r="B2312" s="217"/>
      <c r="C2312" s="217"/>
      <c r="D2312" s="101"/>
      <c r="E2312" s="101"/>
      <c r="F2312" s="294"/>
      <c r="G2312" s="295"/>
      <c r="H2312" s="98"/>
      <c r="I2312" s="99"/>
      <c r="J2312" s="99"/>
      <c r="K2312" s="99"/>
      <c r="L2312" s="99"/>
      <c r="M2312" s="99"/>
      <c r="N2312" s="99"/>
      <c r="O2312" s="99"/>
      <c r="P2312" s="99"/>
      <c r="Q2312" s="99"/>
      <c r="R2312" s="99"/>
      <c r="S2312" s="99"/>
      <c r="T2312" s="99"/>
      <c r="U2312" s="99"/>
      <c r="V2312" s="99"/>
    </row>
    <row r="2313" spans="1:22" ht="15" customHeight="1">
      <c r="A2313" s="297"/>
      <c r="B2313" s="217"/>
      <c r="C2313" s="217"/>
      <c r="D2313" s="101"/>
      <c r="E2313" s="101"/>
      <c r="F2313" s="294"/>
      <c r="G2313" s="295"/>
      <c r="H2313" s="98"/>
      <c r="I2313" s="99"/>
      <c r="J2313" s="99"/>
      <c r="K2313" s="99"/>
      <c r="L2313" s="99"/>
      <c r="M2313" s="99"/>
      <c r="N2313" s="99"/>
      <c r="O2313" s="99"/>
      <c r="P2313" s="99"/>
      <c r="Q2313" s="99"/>
      <c r="R2313" s="99"/>
      <c r="S2313" s="99"/>
      <c r="T2313" s="99"/>
      <c r="U2313" s="99"/>
      <c r="V2313" s="99"/>
    </row>
    <row r="2314" spans="1:22" ht="15" customHeight="1">
      <c r="A2314" s="297"/>
      <c r="B2314" s="217"/>
      <c r="C2314" s="217"/>
      <c r="D2314" s="101"/>
      <c r="E2314" s="101"/>
      <c r="F2314" s="294"/>
      <c r="G2314" s="295"/>
      <c r="H2314" s="98"/>
      <c r="I2314" s="99"/>
      <c r="J2314" s="99"/>
      <c r="K2314" s="99"/>
      <c r="L2314" s="99"/>
      <c r="M2314" s="99"/>
      <c r="N2314" s="99"/>
      <c r="O2314" s="99"/>
      <c r="P2314" s="99"/>
      <c r="Q2314" s="99"/>
      <c r="R2314" s="99"/>
      <c r="S2314" s="99"/>
      <c r="T2314" s="99"/>
      <c r="U2314" s="99"/>
      <c r="V2314" s="99"/>
    </row>
    <row r="2315" spans="1:22" ht="15" customHeight="1">
      <c r="A2315" s="297"/>
      <c r="B2315" s="217"/>
      <c r="C2315" s="217"/>
      <c r="D2315" s="101"/>
      <c r="E2315" s="101"/>
      <c r="F2315" s="294"/>
      <c r="G2315" s="295"/>
      <c r="H2315" s="98"/>
      <c r="I2315" s="99"/>
      <c r="J2315" s="99"/>
      <c r="K2315" s="99"/>
      <c r="L2315" s="99"/>
      <c r="M2315" s="99"/>
      <c r="N2315" s="99"/>
      <c r="O2315" s="99"/>
      <c r="P2315" s="99"/>
      <c r="Q2315" s="99"/>
      <c r="R2315" s="99"/>
      <c r="S2315" s="99"/>
      <c r="T2315" s="99"/>
      <c r="U2315" s="99"/>
      <c r="V2315" s="99"/>
    </row>
    <row r="2316" spans="1:22" ht="15" customHeight="1">
      <c r="A2316" s="297"/>
      <c r="B2316" s="217"/>
      <c r="C2316" s="217"/>
      <c r="D2316" s="101"/>
      <c r="E2316" s="101"/>
      <c r="F2316" s="294"/>
      <c r="G2316" s="295"/>
      <c r="H2316" s="98"/>
      <c r="I2316" s="99"/>
      <c r="J2316" s="99"/>
      <c r="K2316" s="99"/>
      <c r="L2316" s="99"/>
      <c r="M2316" s="99"/>
      <c r="N2316" s="99"/>
      <c r="O2316" s="99"/>
      <c r="P2316" s="99"/>
      <c r="Q2316" s="99"/>
      <c r="R2316" s="99"/>
      <c r="S2316" s="99"/>
      <c r="T2316" s="99"/>
      <c r="U2316" s="99"/>
      <c r="V2316" s="99"/>
    </row>
    <row r="2317" spans="1:22" ht="15" customHeight="1">
      <c r="A2317" s="297"/>
      <c r="B2317" s="217"/>
      <c r="C2317" s="217"/>
      <c r="D2317" s="101"/>
      <c r="E2317" s="101"/>
      <c r="F2317" s="294"/>
      <c r="G2317" s="295"/>
      <c r="H2317" s="98"/>
      <c r="I2317" s="99"/>
      <c r="J2317" s="99"/>
      <c r="K2317" s="99"/>
      <c r="L2317" s="99"/>
      <c r="M2317" s="99"/>
      <c r="N2317" s="99"/>
      <c r="O2317" s="99"/>
      <c r="P2317" s="99"/>
      <c r="Q2317" s="99"/>
      <c r="R2317" s="99"/>
      <c r="S2317" s="99"/>
      <c r="T2317" s="99"/>
      <c r="U2317" s="99"/>
      <c r="V2317" s="99"/>
    </row>
    <row r="2318" spans="1:22" ht="15" customHeight="1">
      <c r="A2318" s="297"/>
      <c r="B2318" s="217"/>
      <c r="C2318" s="217"/>
      <c r="D2318" s="101"/>
      <c r="E2318" s="101"/>
      <c r="F2318" s="294"/>
      <c r="G2318" s="295"/>
      <c r="H2318" s="98"/>
      <c r="I2318" s="99"/>
      <c r="J2318" s="99"/>
      <c r="K2318" s="99"/>
      <c r="L2318" s="99"/>
      <c r="M2318" s="99"/>
      <c r="N2318" s="99"/>
      <c r="O2318" s="99"/>
      <c r="P2318" s="99"/>
      <c r="Q2318" s="99"/>
      <c r="R2318" s="99"/>
      <c r="S2318" s="99"/>
      <c r="T2318" s="99"/>
      <c r="U2318" s="99"/>
      <c r="V2318" s="99"/>
    </row>
    <row r="2319" spans="1:22" ht="15" customHeight="1">
      <c r="A2319" s="297"/>
      <c r="B2319" s="217"/>
      <c r="C2319" s="217"/>
      <c r="D2319" s="101"/>
      <c r="E2319" s="101"/>
      <c r="F2319" s="294"/>
      <c r="G2319" s="295"/>
      <c r="H2319" s="98"/>
      <c r="I2319" s="99"/>
      <c r="J2319" s="99"/>
      <c r="K2319" s="99"/>
      <c r="L2319" s="99"/>
      <c r="M2319" s="99"/>
      <c r="N2319" s="99"/>
      <c r="O2319" s="99"/>
      <c r="P2319" s="99"/>
      <c r="Q2319" s="99"/>
      <c r="R2319" s="99"/>
      <c r="S2319" s="99"/>
      <c r="T2319" s="99"/>
      <c r="U2319" s="99"/>
      <c r="V2319" s="99"/>
    </row>
    <row r="2320" spans="1:22" ht="15" customHeight="1">
      <c r="A2320" s="297"/>
      <c r="B2320" s="217"/>
      <c r="C2320" s="217"/>
      <c r="D2320" s="101"/>
      <c r="E2320" s="101"/>
      <c r="F2320" s="294"/>
      <c r="G2320" s="295"/>
      <c r="H2320" s="98"/>
      <c r="I2320" s="99"/>
      <c r="J2320" s="99"/>
      <c r="K2320" s="99"/>
      <c r="L2320" s="99"/>
      <c r="M2320" s="99"/>
      <c r="N2320" s="99"/>
      <c r="O2320" s="99"/>
      <c r="P2320" s="99"/>
      <c r="Q2320" s="99"/>
      <c r="R2320" s="99"/>
      <c r="S2320" s="99"/>
      <c r="T2320" s="99"/>
      <c r="U2320" s="99"/>
      <c r="V2320" s="99"/>
    </row>
    <row r="2321" spans="1:22" ht="15" customHeight="1">
      <c r="A2321" s="297"/>
      <c r="B2321" s="217"/>
      <c r="C2321" s="217"/>
      <c r="D2321" s="101"/>
      <c r="E2321" s="101"/>
      <c r="F2321" s="294"/>
      <c r="G2321" s="295"/>
      <c r="H2321" s="98"/>
      <c r="I2321" s="99"/>
      <c r="J2321" s="99"/>
      <c r="K2321" s="99"/>
      <c r="L2321" s="99"/>
      <c r="M2321" s="99"/>
      <c r="N2321" s="99"/>
      <c r="O2321" s="99"/>
      <c r="P2321" s="99"/>
      <c r="Q2321" s="99"/>
      <c r="R2321" s="99"/>
      <c r="S2321" s="99"/>
      <c r="T2321" s="99"/>
      <c r="U2321" s="99"/>
      <c r="V2321" s="99"/>
    </row>
    <row r="2322" spans="1:22" ht="15" customHeight="1">
      <c r="A2322" s="297"/>
      <c r="B2322" s="217"/>
      <c r="C2322" s="217"/>
      <c r="D2322" s="101"/>
      <c r="E2322" s="101"/>
      <c r="F2322" s="294"/>
      <c r="G2322" s="295"/>
      <c r="H2322" s="98"/>
      <c r="I2322" s="99"/>
      <c r="J2322" s="99"/>
      <c r="K2322" s="99"/>
      <c r="L2322" s="99"/>
      <c r="M2322" s="99"/>
      <c r="N2322" s="99"/>
      <c r="O2322" s="99"/>
      <c r="P2322" s="99"/>
      <c r="Q2322" s="99"/>
      <c r="R2322" s="99"/>
      <c r="S2322" s="99"/>
      <c r="T2322" s="99"/>
      <c r="U2322" s="99"/>
      <c r="V2322" s="99"/>
    </row>
    <row r="2323" spans="1:22" ht="15" customHeight="1">
      <c r="A2323" s="297"/>
      <c r="B2323" s="217"/>
      <c r="C2323" s="217"/>
      <c r="D2323" s="101"/>
      <c r="E2323" s="101"/>
      <c r="F2323" s="294"/>
      <c r="G2323" s="295"/>
      <c r="H2323" s="98"/>
      <c r="I2323" s="99"/>
      <c r="J2323" s="99"/>
      <c r="K2323" s="99"/>
      <c r="L2323" s="99"/>
      <c r="M2323" s="99"/>
      <c r="N2323" s="99"/>
      <c r="O2323" s="99"/>
      <c r="P2323" s="99"/>
      <c r="Q2323" s="99"/>
      <c r="R2323" s="99"/>
      <c r="S2323" s="99"/>
      <c r="T2323" s="99"/>
      <c r="U2323" s="99"/>
      <c r="V2323" s="99"/>
    </row>
    <row r="2324" spans="1:22" ht="15" customHeight="1">
      <c r="A2324" s="297"/>
      <c r="B2324" s="217"/>
      <c r="C2324" s="217"/>
      <c r="D2324" s="101"/>
      <c r="E2324" s="101"/>
      <c r="F2324" s="294"/>
      <c r="G2324" s="295"/>
      <c r="H2324" s="98"/>
      <c r="I2324" s="99"/>
      <c r="J2324" s="99"/>
      <c r="K2324" s="99"/>
      <c r="L2324" s="99"/>
      <c r="M2324" s="99"/>
      <c r="N2324" s="99"/>
      <c r="O2324" s="99"/>
      <c r="P2324" s="99"/>
      <c r="Q2324" s="99"/>
      <c r="R2324" s="99"/>
      <c r="S2324" s="99"/>
      <c r="T2324" s="99"/>
      <c r="U2324" s="99"/>
      <c r="V2324" s="99"/>
    </row>
    <row r="2325" spans="1:22" ht="15" customHeight="1">
      <c r="A2325" s="297"/>
      <c r="B2325" s="217"/>
      <c r="C2325" s="217"/>
      <c r="D2325" s="101"/>
      <c r="E2325" s="101"/>
      <c r="F2325" s="294"/>
      <c r="G2325" s="295"/>
      <c r="H2325" s="107"/>
      <c r="I2325" s="108"/>
      <c r="J2325" s="108"/>
      <c r="K2325" s="108"/>
      <c r="L2325" s="108"/>
      <c r="M2325" s="108"/>
      <c r="N2325" s="109"/>
      <c r="O2325" s="109"/>
      <c r="P2325" s="109"/>
      <c r="Q2325" s="109"/>
      <c r="R2325" s="109"/>
      <c r="S2325" s="109"/>
      <c r="T2325" s="109"/>
      <c r="U2325" s="202"/>
      <c r="V2325" s="202"/>
    </row>
    <row r="2326" spans="1:22" ht="15" customHeight="1">
      <c r="A2326" s="297"/>
      <c r="B2326" s="217"/>
      <c r="C2326" s="217"/>
      <c r="D2326" s="101"/>
      <c r="E2326" s="101"/>
      <c r="F2326" s="294"/>
      <c r="G2326" s="295"/>
      <c r="H2326" s="232"/>
      <c r="I2326" s="233"/>
      <c r="J2326" s="233"/>
      <c r="K2326" s="233"/>
      <c r="L2326" s="233"/>
      <c r="M2326" s="233"/>
      <c r="N2326" s="202"/>
      <c r="O2326" s="202"/>
      <c r="P2326" s="202"/>
      <c r="Q2326" s="202"/>
      <c r="R2326" s="202"/>
      <c r="S2326" s="202"/>
      <c r="T2326" s="202"/>
      <c r="U2326" s="202"/>
      <c r="V2326" s="202"/>
    </row>
    <row r="2327" spans="1:22" ht="15" customHeight="1">
      <c r="A2327" s="297"/>
      <c r="B2327" s="217"/>
      <c r="C2327" s="217"/>
      <c r="D2327" s="101"/>
      <c r="E2327" s="101"/>
      <c r="F2327" s="294"/>
      <c r="G2327" s="295"/>
      <c r="H2327" s="98"/>
      <c r="I2327" s="99"/>
      <c r="J2327" s="99"/>
      <c r="K2327" s="99"/>
      <c r="L2327" s="99"/>
      <c r="M2327" s="99"/>
      <c r="N2327" s="99"/>
      <c r="O2327" s="99"/>
      <c r="P2327" s="99"/>
      <c r="Q2327" s="99"/>
      <c r="R2327" s="99"/>
      <c r="S2327" s="99"/>
      <c r="T2327" s="99"/>
      <c r="U2327" s="99"/>
      <c r="V2327" s="99"/>
    </row>
    <row r="2328" spans="1:22" ht="15" customHeight="1">
      <c r="A2328" s="297"/>
      <c r="B2328" s="217"/>
      <c r="C2328" s="217"/>
      <c r="D2328" s="101"/>
      <c r="E2328" s="101"/>
      <c r="F2328" s="294"/>
      <c r="G2328" s="295"/>
      <c r="H2328" s="98"/>
      <c r="I2328" s="99"/>
      <c r="J2328" s="99"/>
      <c r="K2328" s="99"/>
      <c r="L2328" s="99"/>
      <c r="M2328" s="99"/>
      <c r="N2328" s="99"/>
      <c r="O2328" s="99"/>
      <c r="P2328" s="99"/>
      <c r="Q2328" s="99"/>
      <c r="R2328" s="99"/>
      <c r="S2328" s="99"/>
      <c r="T2328" s="99"/>
      <c r="U2328" s="99"/>
      <c r="V2328" s="99"/>
    </row>
    <row r="2329" spans="1:22" ht="15" customHeight="1">
      <c r="A2329" s="297"/>
      <c r="B2329" s="217"/>
      <c r="C2329" s="217"/>
      <c r="D2329" s="101"/>
      <c r="E2329" s="101"/>
      <c r="F2329" s="294"/>
      <c r="G2329" s="295"/>
      <c r="H2329" s="98"/>
      <c r="I2329" s="99"/>
      <c r="J2329" s="99"/>
      <c r="K2329" s="99"/>
      <c r="L2329" s="99"/>
      <c r="M2329" s="99"/>
      <c r="N2329" s="99"/>
      <c r="O2329" s="99"/>
      <c r="P2329" s="99"/>
      <c r="Q2329" s="99"/>
      <c r="R2329" s="99"/>
      <c r="S2329" s="99"/>
      <c r="T2329" s="99"/>
      <c r="U2329" s="99"/>
      <c r="V2329" s="99"/>
    </row>
    <row r="2330" spans="1:22" ht="15" customHeight="1">
      <c r="A2330" s="297"/>
      <c r="B2330" s="217"/>
      <c r="C2330" s="217"/>
      <c r="D2330" s="101"/>
      <c r="E2330" s="101"/>
      <c r="F2330" s="294"/>
      <c r="G2330" s="295"/>
      <c r="H2330" s="98"/>
      <c r="I2330" s="99"/>
      <c r="J2330" s="99"/>
      <c r="K2330" s="99"/>
      <c r="L2330" s="99"/>
      <c r="M2330" s="99"/>
      <c r="N2330" s="99"/>
      <c r="O2330" s="99"/>
      <c r="P2330" s="99"/>
      <c r="Q2330" s="99"/>
      <c r="R2330" s="99"/>
      <c r="S2330" s="99"/>
      <c r="T2330" s="99"/>
      <c r="U2330" s="99"/>
      <c r="V2330" s="99"/>
    </row>
    <row r="2331" spans="1:22" ht="15" customHeight="1">
      <c r="A2331" s="297"/>
      <c r="B2331" s="217"/>
      <c r="C2331" s="217"/>
      <c r="D2331" s="101"/>
      <c r="E2331" s="101"/>
      <c r="F2331" s="294"/>
      <c r="G2331" s="295"/>
      <c r="H2331" s="98"/>
      <c r="I2331" s="99"/>
      <c r="J2331" s="99"/>
      <c r="K2331" s="99"/>
      <c r="L2331" s="99"/>
      <c r="M2331" s="99"/>
      <c r="N2331" s="99"/>
      <c r="O2331" s="99"/>
      <c r="P2331" s="99"/>
      <c r="Q2331" s="99"/>
      <c r="R2331" s="99"/>
      <c r="S2331" s="99"/>
      <c r="T2331" s="99"/>
      <c r="U2331" s="99"/>
      <c r="V2331" s="99"/>
    </row>
    <row r="2332" spans="1:22" ht="15" customHeight="1">
      <c r="A2332" s="297"/>
      <c r="B2332" s="217"/>
      <c r="C2332" s="217"/>
      <c r="D2332" s="101"/>
      <c r="E2332" s="101"/>
      <c r="F2332" s="294"/>
      <c r="G2332" s="295"/>
      <c r="H2332" s="98"/>
      <c r="I2332" s="99"/>
      <c r="J2332" s="99"/>
      <c r="K2332" s="99"/>
      <c r="L2332" s="99"/>
      <c r="M2332" s="99"/>
      <c r="N2332" s="99"/>
      <c r="O2332" s="99"/>
      <c r="P2332" s="99"/>
      <c r="Q2332" s="99"/>
      <c r="R2332" s="99"/>
      <c r="S2332" s="99"/>
      <c r="T2332" s="99"/>
      <c r="U2332" s="99"/>
      <c r="V2332" s="99"/>
    </row>
    <row r="2333" spans="1:22" ht="15" customHeight="1">
      <c r="A2333" s="297"/>
      <c r="B2333" s="217"/>
      <c r="C2333" s="217"/>
      <c r="D2333" s="101"/>
      <c r="E2333" s="101"/>
      <c r="F2333" s="294"/>
      <c r="G2333" s="295"/>
      <c r="H2333" s="98"/>
      <c r="I2333" s="99"/>
      <c r="J2333" s="99"/>
      <c r="K2333" s="99"/>
      <c r="L2333" s="99"/>
      <c r="M2333" s="99"/>
      <c r="N2333" s="99"/>
      <c r="O2333" s="99"/>
      <c r="P2333" s="99"/>
      <c r="Q2333" s="99"/>
      <c r="R2333" s="99"/>
      <c r="S2333" s="99"/>
      <c r="T2333" s="99"/>
      <c r="U2333" s="99"/>
      <c r="V2333" s="99"/>
    </row>
    <row r="2334" spans="1:22" ht="15" customHeight="1">
      <c r="A2334" s="297"/>
      <c r="B2334" s="217"/>
      <c r="C2334" s="217"/>
      <c r="D2334" s="101"/>
      <c r="E2334" s="101"/>
      <c r="F2334" s="294"/>
      <c r="G2334" s="295"/>
      <c r="H2334" s="98"/>
      <c r="I2334" s="99"/>
      <c r="J2334" s="99"/>
      <c r="K2334" s="99"/>
      <c r="L2334" s="99"/>
      <c r="M2334" s="99"/>
      <c r="N2334" s="99"/>
      <c r="O2334" s="99"/>
      <c r="P2334" s="99"/>
      <c r="Q2334" s="99"/>
      <c r="R2334" s="99"/>
      <c r="S2334" s="99"/>
      <c r="T2334" s="99"/>
      <c r="U2334" s="99"/>
      <c r="V2334" s="99"/>
    </row>
    <row r="2335" spans="1:22" ht="15" customHeight="1">
      <c r="A2335" s="297"/>
      <c r="B2335" s="217"/>
      <c r="C2335" s="217"/>
      <c r="D2335" s="101"/>
      <c r="E2335" s="101"/>
      <c r="F2335" s="294"/>
      <c r="G2335" s="295"/>
      <c r="H2335" s="98"/>
      <c r="I2335" s="99"/>
      <c r="J2335" s="99"/>
      <c r="K2335" s="99"/>
      <c r="L2335" s="99"/>
      <c r="M2335" s="99"/>
      <c r="N2335" s="99"/>
      <c r="O2335" s="99"/>
      <c r="P2335" s="99"/>
      <c r="Q2335" s="99"/>
      <c r="R2335" s="99"/>
      <c r="S2335" s="99"/>
      <c r="T2335" s="99"/>
      <c r="U2335" s="99"/>
      <c r="V2335" s="99"/>
    </row>
    <row r="2336" spans="1:22" ht="15" customHeight="1">
      <c r="A2336" s="297"/>
      <c r="B2336" s="217"/>
      <c r="C2336" s="217"/>
      <c r="D2336" s="101"/>
      <c r="E2336" s="101"/>
      <c r="F2336" s="294"/>
      <c r="G2336" s="295"/>
      <c r="H2336" s="98"/>
      <c r="I2336" s="99"/>
      <c r="J2336" s="99"/>
      <c r="K2336" s="99"/>
      <c r="L2336" s="99"/>
      <c r="M2336" s="99"/>
      <c r="N2336" s="99"/>
      <c r="O2336" s="99"/>
      <c r="P2336" s="99"/>
      <c r="Q2336" s="99"/>
      <c r="R2336" s="99"/>
      <c r="S2336" s="99"/>
      <c r="T2336" s="99"/>
      <c r="U2336" s="99"/>
      <c r="V2336" s="99"/>
    </row>
    <row r="2337" spans="1:22" ht="15" customHeight="1">
      <c r="A2337" s="297"/>
      <c r="B2337" s="217"/>
      <c r="C2337" s="217"/>
      <c r="D2337" s="101"/>
      <c r="E2337" s="101"/>
      <c r="F2337" s="294"/>
      <c r="G2337" s="295"/>
      <c r="H2337" s="98"/>
      <c r="I2337" s="99"/>
      <c r="J2337" s="99"/>
      <c r="K2337" s="99"/>
      <c r="L2337" s="99"/>
      <c r="M2337" s="99"/>
      <c r="N2337" s="99"/>
      <c r="O2337" s="99"/>
      <c r="P2337" s="99"/>
      <c r="Q2337" s="99"/>
      <c r="R2337" s="99"/>
      <c r="S2337" s="99"/>
      <c r="T2337" s="99"/>
      <c r="U2337" s="99"/>
      <c r="V2337" s="99"/>
    </row>
    <row r="2338" spans="1:22" ht="15" customHeight="1">
      <c r="A2338" s="297"/>
      <c r="B2338" s="217"/>
      <c r="C2338" s="217"/>
      <c r="D2338" s="101"/>
      <c r="E2338" s="101"/>
      <c r="F2338" s="294"/>
      <c r="G2338" s="295"/>
      <c r="H2338" s="98"/>
      <c r="I2338" s="99"/>
      <c r="J2338" s="99"/>
      <c r="K2338" s="99"/>
      <c r="L2338" s="99"/>
      <c r="M2338" s="99"/>
      <c r="N2338" s="99"/>
      <c r="O2338" s="99"/>
      <c r="P2338" s="99"/>
      <c r="Q2338" s="99"/>
      <c r="R2338" s="99"/>
      <c r="S2338" s="99"/>
      <c r="T2338" s="99"/>
      <c r="U2338" s="99"/>
      <c r="V2338" s="99"/>
    </row>
    <row r="2339" spans="1:22" ht="15" customHeight="1">
      <c r="A2339" s="297"/>
      <c r="B2339" s="217"/>
      <c r="C2339" s="217"/>
      <c r="D2339" s="101"/>
      <c r="E2339" s="101"/>
      <c r="F2339" s="294"/>
      <c r="G2339" s="295"/>
      <c r="H2339" s="98"/>
      <c r="I2339" s="99"/>
      <c r="J2339" s="99"/>
      <c r="K2339" s="99"/>
      <c r="L2339" s="99"/>
      <c r="M2339" s="99"/>
      <c r="N2339" s="99"/>
      <c r="O2339" s="99"/>
      <c r="P2339" s="99"/>
      <c r="Q2339" s="99"/>
      <c r="R2339" s="99"/>
      <c r="S2339" s="99"/>
      <c r="T2339" s="99"/>
      <c r="U2339" s="99"/>
      <c r="V2339" s="99"/>
    </row>
    <row r="2340" spans="1:22" ht="15" customHeight="1">
      <c r="A2340" s="297"/>
      <c r="B2340" s="217"/>
      <c r="C2340" s="217"/>
      <c r="D2340" s="101"/>
      <c r="E2340" s="101"/>
      <c r="F2340" s="294"/>
      <c r="G2340" s="295"/>
      <c r="H2340" s="98"/>
      <c r="I2340" s="99"/>
      <c r="J2340" s="99"/>
      <c r="K2340" s="99"/>
      <c r="L2340" s="99"/>
      <c r="M2340" s="99"/>
      <c r="N2340" s="99"/>
      <c r="O2340" s="99"/>
      <c r="P2340" s="99"/>
      <c r="Q2340" s="99"/>
      <c r="R2340" s="99"/>
      <c r="S2340" s="99"/>
      <c r="T2340" s="99"/>
      <c r="U2340" s="99"/>
      <c r="V2340" s="99"/>
    </row>
    <row r="2341" spans="1:22" ht="15" customHeight="1">
      <c r="A2341" s="297"/>
      <c r="B2341" s="217"/>
      <c r="C2341" s="217"/>
      <c r="D2341" s="101"/>
      <c r="E2341" s="101"/>
      <c r="F2341" s="294"/>
      <c r="G2341" s="295"/>
      <c r="H2341" s="98"/>
      <c r="I2341" s="99"/>
      <c r="J2341" s="99"/>
      <c r="K2341" s="99"/>
      <c r="L2341" s="99"/>
      <c r="M2341" s="99"/>
      <c r="N2341" s="99"/>
      <c r="O2341" s="99"/>
      <c r="P2341" s="99"/>
      <c r="Q2341" s="99"/>
      <c r="R2341" s="99"/>
      <c r="S2341" s="99"/>
      <c r="T2341" s="99"/>
      <c r="U2341" s="99"/>
      <c r="V2341" s="99"/>
    </row>
    <row r="2342" spans="1:22" ht="15" customHeight="1">
      <c r="A2342" s="297"/>
      <c r="B2342" s="217"/>
      <c r="C2342" s="217"/>
      <c r="D2342" s="101"/>
      <c r="E2342" s="101"/>
      <c r="F2342" s="294"/>
      <c r="G2342" s="295"/>
      <c r="H2342" s="107"/>
      <c r="I2342" s="108"/>
      <c r="J2342" s="108"/>
      <c r="K2342" s="108"/>
      <c r="L2342" s="108"/>
      <c r="M2342" s="108"/>
      <c r="N2342" s="109"/>
      <c r="O2342" s="109"/>
      <c r="P2342" s="109"/>
      <c r="Q2342" s="109"/>
      <c r="R2342" s="109"/>
      <c r="S2342" s="109"/>
      <c r="T2342" s="109"/>
      <c r="U2342" s="202"/>
      <c r="V2342" s="202"/>
    </row>
    <row r="2343" spans="1:22" ht="15" customHeight="1">
      <c r="A2343" s="297"/>
      <c r="B2343" s="217"/>
      <c r="C2343" s="217"/>
      <c r="D2343" s="101"/>
      <c r="E2343" s="101"/>
      <c r="F2343" s="294"/>
      <c r="G2343" s="295"/>
      <c r="H2343" s="232"/>
      <c r="I2343" s="233"/>
      <c r="J2343" s="233"/>
      <c r="K2343" s="233"/>
      <c r="L2343" s="233"/>
      <c r="M2343" s="233"/>
      <c r="N2343" s="202"/>
      <c r="O2343" s="202"/>
      <c r="P2343" s="202"/>
      <c r="Q2343" s="202"/>
      <c r="R2343" s="202"/>
      <c r="S2343" s="202"/>
      <c r="T2343" s="202"/>
      <c r="U2343" s="202"/>
      <c r="V2343" s="202"/>
    </row>
    <row r="2344" spans="1:22" ht="15" customHeight="1">
      <c r="A2344" s="297"/>
      <c r="B2344" s="217"/>
      <c r="C2344" s="217"/>
      <c r="D2344" s="101"/>
      <c r="E2344" s="101"/>
      <c r="F2344" s="294"/>
      <c r="G2344" s="295"/>
      <c r="H2344" s="98"/>
      <c r="I2344" s="99"/>
      <c r="J2344" s="99"/>
      <c r="K2344" s="99"/>
      <c r="L2344" s="99"/>
      <c r="M2344" s="99"/>
      <c r="N2344" s="99"/>
      <c r="O2344" s="99"/>
      <c r="P2344" s="99"/>
      <c r="Q2344" s="99"/>
      <c r="R2344" s="99"/>
      <c r="S2344" s="99"/>
      <c r="T2344" s="99"/>
      <c r="U2344" s="99"/>
      <c r="V2344" s="99"/>
    </row>
    <row r="2345" spans="1:22" ht="15" customHeight="1">
      <c r="A2345" s="297"/>
      <c r="B2345" s="217"/>
      <c r="C2345" s="217"/>
      <c r="D2345" s="101"/>
      <c r="E2345" s="101"/>
      <c r="F2345" s="294"/>
      <c r="G2345" s="295"/>
      <c r="H2345" s="98"/>
      <c r="I2345" s="99"/>
      <c r="J2345" s="99"/>
      <c r="K2345" s="99"/>
      <c r="L2345" s="99"/>
      <c r="M2345" s="99"/>
      <c r="N2345" s="99"/>
      <c r="O2345" s="99"/>
      <c r="P2345" s="99"/>
      <c r="Q2345" s="99"/>
      <c r="R2345" s="99"/>
      <c r="S2345" s="99"/>
      <c r="T2345" s="99"/>
      <c r="U2345" s="99"/>
      <c r="V2345" s="99"/>
    </row>
    <row r="2346" spans="1:22" ht="15" customHeight="1">
      <c r="A2346" s="297"/>
      <c r="B2346" s="217"/>
      <c r="C2346" s="217"/>
      <c r="D2346" s="101"/>
      <c r="E2346" s="101"/>
      <c r="F2346" s="294"/>
      <c r="G2346" s="295"/>
      <c r="H2346" s="107"/>
      <c r="I2346" s="108"/>
      <c r="J2346" s="108"/>
      <c r="K2346" s="108"/>
      <c r="L2346" s="108"/>
      <c r="M2346" s="108"/>
      <c r="N2346" s="109"/>
      <c r="O2346" s="109"/>
      <c r="P2346" s="109"/>
      <c r="Q2346" s="109"/>
      <c r="R2346" s="109"/>
      <c r="S2346" s="109"/>
      <c r="T2346" s="109"/>
      <c r="U2346" s="202"/>
      <c r="V2346" s="202"/>
    </row>
    <row r="2347" spans="1:22" ht="15" customHeight="1">
      <c r="A2347" s="297"/>
      <c r="B2347" s="217"/>
      <c r="C2347" s="217"/>
      <c r="D2347" s="101"/>
      <c r="E2347" s="101"/>
      <c r="F2347" s="294"/>
      <c r="G2347" s="295"/>
      <c r="H2347" s="232"/>
      <c r="I2347" s="233"/>
      <c r="J2347" s="233"/>
      <c r="K2347" s="233"/>
      <c r="L2347" s="233"/>
      <c r="M2347" s="233"/>
      <c r="N2347" s="202"/>
      <c r="O2347" s="202"/>
      <c r="P2347" s="202"/>
      <c r="Q2347" s="202"/>
      <c r="R2347" s="202"/>
      <c r="S2347" s="202"/>
      <c r="T2347" s="202"/>
      <c r="U2347" s="202"/>
      <c r="V2347" s="202"/>
    </row>
    <row r="2348" spans="1:22" ht="15" customHeight="1">
      <c r="A2348" s="297"/>
      <c r="B2348" s="217"/>
      <c r="C2348" s="217"/>
      <c r="D2348" s="101"/>
      <c r="E2348" s="101"/>
      <c r="F2348" s="294"/>
      <c r="G2348" s="295"/>
      <c r="H2348" s="98"/>
      <c r="I2348" s="99"/>
      <c r="J2348" s="99"/>
      <c r="K2348" s="99"/>
      <c r="L2348" s="99"/>
      <c r="M2348" s="99"/>
      <c r="N2348" s="99"/>
      <c r="O2348" s="99"/>
      <c r="P2348" s="99"/>
      <c r="Q2348" s="99"/>
      <c r="R2348" s="99"/>
      <c r="S2348" s="99"/>
      <c r="T2348" s="99"/>
      <c r="U2348" s="99"/>
      <c r="V2348" s="99"/>
    </row>
    <row r="2349" spans="1:22" ht="15" customHeight="1">
      <c r="A2349" s="297"/>
      <c r="B2349" s="217"/>
      <c r="C2349" s="217"/>
      <c r="D2349" s="101"/>
      <c r="E2349" s="101"/>
      <c r="F2349" s="294"/>
      <c r="G2349" s="295"/>
      <c r="H2349" s="98"/>
      <c r="I2349" s="99"/>
      <c r="J2349" s="99"/>
      <c r="K2349" s="99"/>
      <c r="L2349" s="99"/>
      <c r="M2349" s="99"/>
      <c r="N2349" s="99"/>
      <c r="O2349" s="99"/>
      <c r="P2349" s="99"/>
      <c r="Q2349" s="99"/>
      <c r="R2349" s="99"/>
      <c r="S2349" s="99"/>
      <c r="T2349" s="99"/>
      <c r="U2349" s="99"/>
      <c r="V2349" s="99"/>
    </row>
    <row r="2350" spans="1:22" ht="15" customHeight="1">
      <c r="A2350" s="297"/>
      <c r="B2350" s="217"/>
      <c r="C2350" s="217"/>
      <c r="D2350" s="101"/>
      <c r="E2350" s="101"/>
      <c r="F2350" s="294"/>
      <c r="G2350" s="295"/>
      <c r="H2350" s="98"/>
      <c r="I2350" s="99"/>
      <c r="J2350" s="99"/>
      <c r="K2350" s="99"/>
      <c r="L2350" s="99"/>
      <c r="M2350" s="99"/>
      <c r="N2350" s="99"/>
      <c r="O2350" s="99"/>
      <c r="P2350" s="99"/>
      <c r="Q2350" s="99"/>
      <c r="R2350" s="99"/>
      <c r="S2350" s="99"/>
      <c r="T2350" s="99"/>
      <c r="U2350" s="99"/>
      <c r="V2350" s="99"/>
    </row>
    <row r="2351" spans="1:22" ht="15" customHeight="1">
      <c r="A2351" s="297"/>
      <c r="B2351" s="217"/>
      <c r="C2351" s="217"/>
      <c r="D2351" s="101"/>
      <c r="E2351" s="101"/>
      <c r="F2351" s="294"/>
      <c r="G2351" s="295"/>
      <c r="H2351" s="98"/>
      <c r="I2351" s="99"/>
      <c r="J2351" s="99"/>
      <c r="K2351" s="99"/>
      <c r="L2351" s="99"/>
      <c r="M2351" s="99"/>
      <c r="N2351" s="99"/>
      <c r="O2351" s="99"/>
      <c r="P2351" s="99"/>
      <c r="Q2351" s="99"/>
      <c r="R2351" s="99"/>
      <c r="S2351" s="99"/>
      <c r="T2351" s="99"/>
      <c r="U2351" s="99"/>
      <c r="V2351" s="99"/>
    </row>
    <row r="2352" spans="1:22" ht="15" customHeight="1">
      <c r="A2352" s="297"/>
      <c r="B2352" s="217"/>
      <c r="C2352" s="217"/>
      <c r="D2352" s="101"/>
      <c r="E2352" s="101"/>
      <c r="F2352" s="294"/>
      <c r="G2352" s="295"/>
      <c r="H2352" s="98"/>
      <c r="I2352" s="99"/>
      <c r="J2352" s="99"/>
      <c r="K2352" s="99"/>
      <c r="L2352" s="99"/>
      <c r="M2352" s="99"/>
      <c r="N2352" s="99"/>
      <c r="O2352" s="99"/>
      <c r="P2352" s="99"/>
      <c r="Q2352" s="99"/>
      <c r="R2352" s="99"/>
      <c r="S2352" s="99"/>
      <c r="T2352" s="99"/>
      <c r="U2352" s="99"/>
      <c r="V2352" s="99"/>
    </row>
    <row r="2353" spans="1:22" ht="15" customHeight="1">
      <c r="A2353" s="297"/>
      <c r="B2353" s="217"/>
      <c r="C2353" s="217"/>
      <c r="D2353" s="101"/>
      <c r="E2353" s="101"/>
      <c r="F2353" s="294"/>
      <c r="G2353" s="295"/>
      <c r="H2353" s="98"/>
      <c r="I2353" s="99"/>
      <c r="J2353" s="99"/>
      <c r="K2353" s="99"/>
      <c r="L2353" s="99"/>
      <c r="M2353" s="99"/>
      <c r="N2353" s="99"/>
      <c r="O2353" s="99"/>
      <c r="P2353" s="99"/>
      <c r="Q2353" s="99"/>
      <c r="R2353" s="99"/>
      <c r="S2353" s="99"/>
      <c r="T2353" s="99"/>
      <c r="U2353" s="99"/>
      <c r="V2353" s="99"/>
    </row>
    <row r="2354" spans="1:22" ht="15" customHeight="1">
      <c r="A2354" s="297"/>
      <c r="B2354" s="217"/>
      <c r="C2354" s="217"/>
      <c r="D2354" s="101"/>
      <c r="E2354" s="101"/>
      <c r="F2354" s="294"/>
      <c r="G2354" s="295"/>
      <c r="H2354" s="98"/>
      <c r="I2354" s="99"/>
      <c r="J2354" s="99"/>
      <c r="K2354" s="99"/>
      <c r="L2354" s="99"/>
      <c r="M2354" s="99"/>
      <c r="N2354" s="99"/>
      <c r="O2354" s="99"/>
      <c r="P2354" s="99"/>
      <c r="Q2354" s="99"/>
      <c r="R2354" s="99"/>
      <c r="S2354" s="99"/>
      <c r="T2354" s="99"/>
      <c r="U2354" s="99"/>
      <c r="V2354" s="99"/>
    </row>
    <row r="2355" spans="1:22" ht="15" customHeight="1">
      <c r="A2355" s="297"/>
      <c r="B2355" s="217"/>
      <c r="C2355" s="217"/>
      <c r="D2355" s="101"/>
      <c r="E2355" s="101"/>
      <c r="F2355" s="294"/>
      <c r="G2355" s="295"/>
      <c r="H2355" s="98"/>
      <c r="I2355" s="99"/>
      <c r="J2355" s="99"/>
      <c r="K2355" s="99"/>
      <c r="L2355" s="99"/>
      <c r="M2355" s="99"/>
      <c r="N2355" s="99"/>
      <c r="O2355" s="99"/>
      <c r="P2355" s="99"/>
      <c r="Q2355" s="99"/>
      <c r="R2355" s="99"/>
      <c r="S2355" s="99"/>
      <c r="T2355" s="99"/>
      <c r="U2355" s="99"/>
      <c r="V2355" s="99"/>
    </row>
    <row r="2356" spans="1:22" ht="15" customHeight="1">
      <c r="A2356" s="297"/>
      <c r="B2356" s="217"/>
      <c r="C2356" s="217"/>
      <c r="D2356" s="101"/>
      <c r="E2356" s="101"/>
      <c r="F2356" s="294"/>
      <c r="G2356" s="295"/>
      <c r="H2356" s="98"/>
      <c r="I2356" s="99"/>
      <c r="J2356" s="99"/>
      <c r="K2356" s="99"/>
      <c r="L2356" s="99"/>
      <c r="M2356" s="99"/>
      <c r="N2356" s="99"/>
      <c r="O2356" s="99"/>
      <c r="P2356" s="99"/>
      <c r="Q2356" s="99"/>
      <c r="R2356" s="99"/>
      <c r="S2356" s="99"/>
      <c r="T2356" s="99"/>
      <c r="U2356" s="99"/>
      <c r="V2356" s="99"/>
    </row>
    <row r="2357" spans="1:22" ht="15" customHeight="1">
      <c r="A2357" s="297"/>
      <c r="B2357" s="217"/>
      <c r="C2357" s="217"/>
      <c r="D2357" s="101"/>
      <c r="E2357" s="101"/>
      <c r="F2357" s="294"/>
      <c r="G2357" s="295"/>
      <c r="H2357" s="98"/>
      <c r="I2357" s="99"/>
      <c r="J2357" s="99"/>
      <c r="K2357" s="99"/>
      <c r="L2357" s="99"/>
      <c r="M2357" s="99"/>
      <c r="N2357" s="99"/>
      <c r="O2357" s="99"/>
      <c r="P2357" s="99"/>
      <c r="Q2357" s="99"/>
      <c r="R2357" s="99"/>
      <c r="S2357" s="99"/>
      <c r="T2357" s="99"/>
      <c r="U2357" s="99"/>
      <c r="V2357" s="99"/>
    </row>
    <row r="2358" spans="1:22" ht="15" customHeight="1">
      <c r="A2358" s="297"/>
      <c r="B2358" s="217"/>
      <c r="C2358" s="217"/>
      <c r="D2358" s="101"/>
      <c r="E2358" s="101"/>
      <c r="F2358" s="294"/>
      <c r="G2358" s="295"/>
      <c r="H2358" s="98"/>
      <c r="I2358" s="99"/>
      <c r="J2358" s="99"/>
      <c r="K2358" s="99"/>
      <c r="L2358" s="99"/>
      <c r="M2358" s="99"/>
      <c r="N2358" s="99"/>
      <c r="O2358" s="99"/>
      <c r="P2358" s="99"/>
      <c r="Q2358" s="99"/>
      <c r="R2358" s="99"/>
      <c r="S2358" s="99"/>
      <c r="T2358" s="99"/>
      <c r="U2358" s="99"/>
      <c r="V2358" s="99"/>
    </row>
    <row r="2359" spans="1:22" ht="15" customHeight="1">
      <c r="A2359" s="297"/>
      <c r="B2359" s="217"/>
      <c r="C2359" s="217"/>
      <c r="D2359" s="101"/>
      <c r="E2359" s="101"/>
      <c r="F2359" s="294"/>
      <c r="G2359" s="295"/>
      <c r="H2359" s="98"/>
      <c r="I2359" s="99"/>
      <c r="J2359" s="99"/>
      <c r="K2359" s="99"/>
      <c r="L2359" s="99"/>
      <c r="M2359" s="99"/>
      <c r="N2359" s="99"/>
      <c r="O2359" s="99"/>
      <c r="P2359" s="99"/>
      <c r="Q2359" s="99"/>
      <c r="R2359" s="99"/>
      <c r="S2359" s="99"/>
      <c r="T2359" s="99"/>
      <c r="U2359" s="99"/>
      <c r="V2359" s="99"/>
    </row>
    <row r="2360" spans="1:22" ht="15" customHeight="1">
      <c r="A2360" s="297"/>
      <c r="B2360" s="217"/>
      <c r="C2360" s="217"/>
      <c r="D2360" s="101"/>
      <c r="E2360" s="101"/>
      <c r="F2360" s="294"/>
      <c r="G2360" s="295"/>
      <c r="H2360" s="98"/>
      <c r="I2360" s="99"/>
      <c r="J2360" s="99"/>
      <c r="K2360" s="99"/>
      <c r="L2360" s="99"/>
      <c r="M2360" s="99"/>
      <c r="N2360" s="99"/>
      <c r="O2360" s="99"/>
      <c r="P2360" s="99"/>
      <c r="Q2360" s="99"/>
      <c r="R2360" s="99"/>
      <c r="S2360" s="99"/>
      <c r="T2360" s="99"/>
      <c r="U2360" s="99"/>
      <c r="V2360" s="99"/>
    </row>
    <row r="2361" spans="1:22" ht="15" customHeight="1">
      <c r="A2361" s="297"/>
      <c r="B2361" s="217"/>
      <c r="C2361" s="217"/>
      <c r="D2361" s="101"/>
      <c r="E2361" s="101"/>
      <c r="F2361" s="294"/>
      <c r="G2361" s="295"/>
      <c r="H2361" s="107"/>
      <c r="I2361" s="108"/>
      <c r="J2361" s="108"/>
      <c r="K2361" s="108"/>
      <c r="L2361" s="108"/>
      <c r="M2361" s="108"/>
      <c r="N2361" s="109"/>
      <c r="O2361" s="109"/>
      <c r="P2361" s="109"/>
      <c r="Q2361" s="109"/>
      <c r="R2361" s="109"/>
      <c r="S2361" s="109"/>
      <c r="T2361" s="109"/>
      <c r="U2361" s="202"/>
      <c r="V2361" s="202"/>
    </row>
    <row r="2362" spans="1:22" ht="15" customHeight="1">
      <c r="A2362" s="297"/>
      <c r="B2362" s="217"/>
      <c r="C2362" s="217"/>
      <c r="D2362" s="101"/>
      <c r="E2362" s="101"/>
      <c r="F2362" s="294"/>
      <c r="G2362" s="295"/>
      <c r="H2362" s="232"/>
      <c r="I2362" s="233"/>
      <c r="J2362" s="233"/>
      <c r="K2362" s="233"/>
      <c r="L2362" s="233"/>
      <c r="M2362" s="233"/>
      <c r="N2362" s="202"/>
      <c r="O2362" s="202"/>
      <c r="P2362" s="202"/>
      <c r="Q2362" s="202"/>
      <c r="R2362" s="202"/>
      <c r="S2362" s="202"/>
      <c r="T2362" s="202"/>
      <c r="U2362" s="202"/>
      <c r="V2362" s="202"/>
    </row>
    <row r="2363" spans="1:22" ht="15" customHeight="1">
      <c r="A2363" s="297"/>
      <c r="B2363" s="217"/>
      <c r="C2363" s="217"/>
      <c r="D2363" s="101"/>
      <c r="E2363" s="101"/>
      <c r="F2363" s="294"/>
      <c r="G2363" s="295"/>
      <c r="H2363" s="98"/>
      <c r="I2363" s="99"/>
      <c r="J2363" s="99"/>
      <c r="K2363" s="99"/>
      <c r="L2363" s="99"/>
      <c r="M2363" s="99"/>
      <c r="N2363" s="99"/>
      <c r="O2363" s="99"/>
      <c r="P2363" s="99"/>
      <c r="Q2363" s="99"/>
      <c r="R2363" s="99"/>
      <c r="S2363" s="99"/>
      <c r="T2363" s="99"/>
      <c r="U2363" s="99"/>
      <c r="V2363" s="99"/>
    </row>
    <row r="2364" spans="1:22" ht="15" customHeight="1">
      <c r="A2364" s="297"/>
      <c r="B2364" s="217"/>
      <c r="C2364" s="217"/>
      <c r="D2364" s="101"/>
      <c r="E2364" s="101"/>
      <c r="F2364" s="294"/>
      <c r="G2364" s="295"/>
      <c r="H2364" s="98"/>
      <c r="I2364" s="99"/>
      <c r="J2364" s="99"/>
      <c r="K2364" s="99"/>
      <c r="L2364" s="99"/>
      <c r="M2364" s="99"/>
      <c r="N2364" s="99"/>
      <c r="O2364" s="99"/>
      <c r="P2364" s="99"/>
      <c r="Q2364" s="99"/>
      <c r="R2364" s="99"/>
      <c r="S2364" s="99"/>
      <c r="T2364" s="99"/>
      <c r="U2364" s="99"/>
      <c r="V2364" s="99"/>
    </row>
    <row r="2365" spans="1:22" ht="15" customHeight="1">
      <c r="A2365" s="297"/>
      <c r="B2365" s="217"/>
      <c r="C2365" s="217"/>
      <c r="D2365" s="101"/>
      <c r="E2365" s="101"/>
      <c r="F2365" s="294"/>
      <c r="G2365" s="295"/>
      <c r="H2365" s="98"/>
      <c r="I2365" s="99"/>
      <c r="J2365" s="99"/>
      <c r="K2365" s="99"/>
      <c r="L2365" s="99"/>
      <c r="M2365" s="99"/>
      <c r="N2365" s="99"/>
      <c r="O2365" s="99"/>
      <c r="P2365" s="99"/>
      <c r="Q2365" s="99"/>
      <c r="R2365" s="99"/>
      <c r="S2365" s="99"/>
      <c r="T2365" s="99"/>
      <c r="U2365" s="99"/>
      <c r="V2365" s="99"/>
    </row>
    <row r="2366" spans="1:22" ht="15" customHeight="1">
      <c r="A2366" s="297"/>
      <c r="B2366" s="217"/>
      <c r="C2366" s="217"/>
      <c r="D2366" s="101"/>
      <c r="E2366" s="101"/>
      <c r="F2366" s="294"/>
      <c r="G2366" s="295"/>
      <c r="H2366" s="98"/>
      <c r="I2366" s="99"/>
      <c r="J2366" s="99"/>
      <c r="K2366" s="99"/>
      <c r="L2366" s="99"/>
      <c r="M2366" s="99"/>
      <c r="N2366" s="99"/>
      <c r="O2366" s="99"/>
      <c r="P2366" s="99"/>
      <c r="Q2366" s="99"/>
      <c r="R2366" s="99"/>
      <c r="S2366" s="99"/>
      <c r="T2366" s="99"/>
      <c r="U2366" s="99"/>
      <c r="V2366" s="99"/>
    </row>
    <row r="2367" spans="1:22" ht="15" customHeight="1">
      <c r="A2367" s="297"/>
      <c r="B2367" s="217"/>
      <c r="C2367" s="217"/>
      <c r="D2367" s="101"/>
      <c r="E2367" s="101"/>
      <c r="F2367" s="294"/>
      <c r="G2367" s="295"/>
      <c r="H2367" s="98"/>
      <c r="I2367" s="99"/>
      <c r="J2367" s="99"/>
      <c r="K2367" s="99"/>
      <c r="L2367" s="99"/>
      <c r="M2367" s="99"/>
      <c r="N2367" s="99"/>
      <c r="O2367" s="99"/>
      <c r="P2367" s="99"/>
      <c r="Q2367" s="99"/>
      <c r="R2367" s="99"/>
      <c r="S2367" s="99"/>
      <c r="T2367" s="99"/>
      <c r="U2367" s="99"/>
      <c r="V2367" s="99"/>
    </row>
    <row r="2368" spans="1:22" ht="15" customHeight="1">
      <c r="A2368" s="297"/>
      <c r="B2368" s="217"/>
      <c r="C2368" s="217"/>
      <c r="D2368" s="101"/>
      <c r="E2368" s="101"/>
      <c r="F2368" s="294"/>
      <c r="G2368" s="295"/>
      <c r="H2368" s="98"/>
      <c r="I2368" s="99"/>
      <c r="J2368" s="99"/>
      <c r="K2368" s="99"/>
      <c r="L2368" s="99"/>
      <c r="M2368" s="99"/>
      <c r="N2368" s="99"/>
      <c r="O2368" s="99"/>
      <c r="P2368" s="99"/>
      <c r="Q2368" s="99"/>
      <c r="R2368" s="99"/>
      <c r="S2368" s="99"/>
      <c r="T2368" s="99"/>
      <c r="U2368" s="99"/>
      <c r="V2368" s="99"/>
    </row>
    <row r="2369" spans="1:22" ht="15" customHeight="1">
      <c r="A2369" s="297"/>
      <c r="B2369" s="217"/>
      <c r="C2369" s="217"/>
      <c r="D2369" s="101"/>
      <c r="E2369" s="101"/>
      <c r="F2369" s="294"/>
      <c r="G2369" s="295"/>
      <c r="H2369" s="98"/>
      <c r="I2369" s="99"/>
      <c r="J2369" s="99"/>
      <c r="K2369" s="99"/>
      <c r="L2369" s="99"/>
      <c r="M2369" s="99"/>
      <c r="N2369" s="99"/>
      <c r="O2369" s="99"/>
      <c r="P2369" s="99"/>
      <c r="Q2369" s="99"/>
      <c r="R2369" s="99"/>
      <c r="S2369" s="99"/>
      <c r="T2369" s="99"/>
      <c r="U2369" s="99"/>
      <c r="V2369" s="99"/>
    </row>
    <row r="2370" spans="1:22" ht="15" customHeight="1">
      <c r="A2370" s="297"/>
      <c r="B2370" s="217"/>
      <c r="C2370" s="217"/>
      <c r="D2370" s="101"/>
      <c r="E2370" s="101"/>
      <c r="F2370" s="294"/>
      <c r="G2370" s="295"/>
      <c r="H2370" s="98"/>
      <c r="I2370" s="99"/>
      <c r="J2370" s="99"/>
      <c r="K2370" s="99"/>
      <c r="L2370" s="99"/>
      <c r="M2370" s="99"/>
      <c r="N2370" s="99"/>
      <c r="O2370" s="99"/>
      <c r="P2370" s="99"/>
      <c r="Q2370" s="99"/>
      <c r="R2370" s="99"/>
      <c r="S2370" s="99"/>
      <c r="T2370" s="99"/>
      <c r="U2370" s="99"/>
      <c r="V2370" s="99"/>
    </row>
    <row r="2371" spans="1:22" ht="15" customHeight="1">
      <c r="A2371" s="297"/>
      <c r="B2371" s="217"/>
      <c r="C2371" s="217"/>
      <c r="D2371" s="101"/>
      <c r="E2371" s="101"/>
      <c r="F2371" s="294"/>
      <c r="G2371" s="295"/>
      <c r="H2371" s="98"/>
      <c r="I2371" s="99"/>
      <c r="J2371" s="99"/>
      <c r="K2371" s="99"/>
      <c r="L2371" s="99"/>
      <c r="M2371" s="99"/>
      <c r="N2371" s="99"/>
      <c r="O2371" s="99"/>
      <c r="P2371" s="99"/>
      <c r="Q2371" s="99"/>
      <c r="R2371" s="99"/>
      <c r="S2371" s="99"/>
      <c r="T2371" s="99"/>
      <c r="U2371" s="99"/>
      <c r="V2371" s="99"/>
    </row>
    <row r="2372" spans="1:22" ht="15" customHeight="1">
      <c r="A2372" s="297"/>
      <c r="B2372" s="217"/>
      <c r="C2372" s="217"/>
      <c r="D2372" s="101"/>
      <c r="E2372" s="101"/>
      <c r="F2372" s="294"/>
      <c r="G2372" s="295"/>
      <c r="H2372" s="98"/>
      <c r="I2372" s="99"/>
      <c r="J2372" s="99"/>
      <c r="K2372" s="99"/>
      <c r="L2372" s="99"/>
      <c r="M2372" s="99"/>
      <c r="N2372" s="99"/>
      <c r="O2372" s="99"/>
      <c r="P2372" s="99"/>
      <c r="Q2372" s="99"/>
      <c r="R2372" s="99"/>
      <c r="S2372" s="99"/>
      <c r="T2372" s="99"/>
      <c r="U2372" s="99"/>
      <c r="V2372" s="99"/>
    </row>
    <row r="2373" spans="1:22" ht="15" customHeight="1">
      <c r="A2373" s="297"/>
      <c r="B2373" s="217"/>
      <c r="C2373" s="217"/>
      <c r="D2373" s="101"/>
      <c r="E2373" s="101"/>
      <c r="F2373" s="294"/>
      <c r="G2373" s="295"/>
      <c r="H2373" s="98"/>
      <c r="I2373" s="99"/>
      <c r="J2373" s="99"/>
      <c r="K2373" s="99"/>
      <c r="L2373" s="99"/>
      <c r="M2373" s="99"/>
      <c r="N2373" s="99"/>
      <c r="O2373" s="99"/>
      <c r="P2373" s="99"/>
      <c r="Q2373" s="99"/>
      <c r="R2373" s="99"/>
      <c r="S2373" s="99"/>
      <c r="T2373" s="99"/>
      <c r="U2373" s="99"/>
      <c r="V2373" s="99"/>
    </row>
    <row r="2374" spans="1:22" ht="15" customHeight="1">
      <c r="A2374" s="297"/>
      <c r="B2374" s="217"/>
      <c r="C2374" s="217"/>
      <c r="D2374" s="101"/>
      <c r="E2374" s="101"/>
      <c r="F2374" s="294"/>
      <c r="G2374" s="295"/>
      <c r="H2374" s="98"/>
      <c r="I2374" s="99"/>
      <c r="J2374" s="99"/>
      <c r="K2374" s="99"/>
      <c r="L2374" s="99"/>
      <c r="M2374" s="99"/>
      <c r="N2374" s="99"/>
      <c r="O2374" s="99"/>
      <c r="P2374" s="99"/>
      <c r="Q2374" s="99"/>
      <c r="R2374" s="99"/>
      <c r="S2374" s="99"/>
      <c r="T2374" s="99"/>
      <c r="U2374" s="99"/>
      <c r="V2374" s="99"/>
    </row>
    <row r="2375" spans="1:22" ht="15" customHeight="1">
      <c r="A2375" s="297"/>
      <c r="B2375" s="217"/>
      <c r="C2375" s="217"/>
      <c r="D2375" s="101"/>
      <c r="E2375" s="101"/>
      <c r="F2375" s="294"/>
      <c r="G2375" s="295"/>
      <c r="H2375" s="98"/>
      <c r="I2375" s="99"/>
      <c r="J2375" s="99"/>
      <c r="K2375" s="99"/>
      <c r="L2375" s="99"/>
      <c r="M2375" s="99"/>
      <c r="N2375" s="99"/>
      <c r="O2375" s="99"/>
      <c r="P2375" s="99"/>
      <c r="Q2375" s="99"/>
      <c r="R2375" s="99"/>
      <c r="S2375" s="99"/>
      <c r="T2375" s="99"/>
      <c r="U2375" s="99"/>
      <c r="V2375" s="99"/>
    </row>
    <row r="2376" spans="1:22" ht="15" customHeight="1">
      <c r="A2376" s="297"/>
      <c r="B2376" s="217"/>
      <c r="C2376" s="217"/>
      <c r="D2376" s="101"/>
      <c r="E2376" s="101"/>
      <c r="F2376" s="294"/>
      <c r="G2376" s="295"/>
      <c r="H2376" s="98"/>
      <c r="I2376" s="99"/>
      <c r="J2376" s="99"/>
      <c r="K2376" s="99"/>
      <c r="L2376" s="99"/>
      <c r="M2376" s="99"/>
      <c r="N2376" s="99"/>
      <c r="O2376" s="99"/>
      <c r="P2376" s="99"/>
      <c r="Q2376" s="99"/>
      <c r="R2376" s="99"/>
      <c r="S2376" s="99"/>
      <c r="T2376" s="99"/>
      <c r="U2376" s="99"/>
      <c r="V2376" s="99"/>
    </row>
    <row r="2377" spans="1:22" ht="15" customHeight="1">
      <c r="A2377" s="297"/>
      <c r="B2377" s="217"/>
      <c r="C2377" s="217"/>
      <c r="D2377" s="101"/>
      <c r="E2377" s="101"/>
      <c r="F2377" s="294"/>
      <c r="G2377" s="295"/>
      <c r="H2377" s="98"/>
      <c r="I2377" s="99"/>
      <c r="J2377" s="99"/>
      <c r="K2377" s="99"/>
      <c r="L2377" s="99"/>
      <c r="M2377" s="99"/>
      <c r="N2377" s="99"/>
      <c r="O2377" s="99"/>
      <c r="P2377" s="99"/>
      <c r="Q2377" s="99"/>
      <c r="R2377" s="99"/>
      <c r="S2377" s="99"/>
      <c r="T2377" s="99"/>
      <c r="U2377" s="99"/>
      <c r="V2377" s="99"/>
    </row>
    <row r="2378" spans="1:22" ht="15" customHeight="1">
      <c r="A2378" s="297"/>
      <c r="B2378" s="217"/>
      <c r="C2378" s="217"/>
      <c r="D2378" s="101"/>
      <c r="E2378" s="101"/>
      <c r="F2378" s="294"/>
      <c r="G2378" s="295"/>
      <c r="H2378" s="98"/>
      <c r="I2378" s="99"/>
      <c r="J2378" s="99"/>
      <c r="K2378" s="99"/>
      <c r="L2378" s="99"/>
      <c r="M2378" s="99"/>
      <c r="N2378" s="99"/>
      <c r="O2378" s="99"/>
      <c r="P2378" s="99"/>
      <c r="Q2378" s="99"/>
      <c r="R2378" s="99"/>
      <c r="S2378" s="99"/>
      <c r="T2378" s="99"/>
      <c r="U2378" s="99"/>
      <c r="V2378" s="99"/>
    </row>
    <row r="2379" spans="1:22" ht="15" customHeight="1">
      <c r="A2379" s="297"/>
      <c r="B2379" s="217"/>
      <c r="C2379" s="217"/>
      <c r="D2379" s="101"/>
      <c r="E2379" s="101"/>
      <c r="F2379" s="294"/>
      <c r="G2379" s="295"/>
      <c r="H2379" s="107"/>
      <c r="I2379" s="108"/>
      <c r="J2379" s="108"/>
      <c r="K2379" s="108"/>
      <c r="L2379" s="108"/>
      <c r="M2379" s="108"/>
      <c r="N2379" s="109"/>
      <c r="O2379" s="109"/>
      <c r="P2379" s="109"/>
      <c r="Q2379" s="109"/>
      <c r="R2379" s="109"/>
      <c r="S2379" s="109"/>
      <c r="T2379" s="109"/>
      <c r="U2379" s="202"/>
      <c r="V2379" s="202"/>
    </row>
    <row r="2380" spans="1:22" ht="15" customHeight="1">
      <c r="A2380" s="297"/>
      <c r="B2380" s="217"/>
      <c r="C2380" s="217"/>
      <c r="D2380" s="101"/>
      <c r="E2380" s="101"/>
      <c r="F2380" s="294"/>
      <c r="G2380" s="295"/>
      <c r="H2380" s="232"/>
      <c r="I2380" s="233"/>
      <c r="J2380" s="233"/>
      <c r="K2380" s="233"/>
      <c r="L2380" s="233"/>
      <c r="M2380" s="233"/>
      <c r="N2380" s="202"/>
      <c r="O2380" s="202"/>
      <c r="P2380" s="202"/>
      <c r="Q2380" s="202"/>
      <c r="R2380" s="202"/>
      <c r="S2380" s="202"/>
      <c r="T2380" s="202"/>
      <c r="U2380" s="202"/>
      <c r="V2380" s="202"/>
    </row>
    <row r="2381" spans="1:22" ht="15" customHeight="1">
      <c r="A2381" s="297"/>
      <c r="B2381" s="217"/>
      <c r="C2381" s="217"/>
      <c r="D2381" s="101"/>
      <c r="E2381" s="101"/>
      <c r="F2381" s="294"/>
      <c r="G2381" s="295"/>
      <c r="H2381" s="98"/>
      <c r="I2381" s="99"/>
      <c r="J2381" s="99"/>
      <c r="K2381" s="99"/>
      <c r="L2381" s="99"/>
      <c r="M2381" s="99"/>
      <c r="N2381" s="99"/>
      <c r="O2381" s="99"/>
      <c r="P2381" s="99"/>
      <c r="Q2381" s="99"/>
      <c r="R2381" s="99"/>
      <c r="S2381" s="99"/>
      <c r="T2381" s="99"/>
      <c r="U2381" s="99"/>
      <c r="V2381" s="99"/>
    </row>
    <row r="2382" spans="1:22" ht="15" customHeight="1">
      <c r="A2382" s="297"/>
      <c r="B2382" s="217"/>
      <c r="C2382" s="217"/>
      <c r="D2382" s="101"/>
      <c r="E2382" s="101"/>
      <c r="F2382" s="294"/>
      <c r="G2382" s="295"/>
      <c r="H2382" s="98"/>
      <c r="I2382" s="99"/>
      <c r="J2382" s="99"/>
      <c r="K2382" s="99"/>
      <c r="L2382" s="99"/>
      <c r="M2382" s="99"/>
      <c r="N2382" s="99"/>
      <c r="O2382" s="99"/>
      <c r="P2382" s="99"/>
      <c r="Q2382" s="99"/>
      <c r="R2382" s="99"/>
      <c r="S2382" s="99"/>
      <c r="T2382" s="99"/>
      <c r="U2382" s="99"/>
      <c r="V2382" s="99"/>
    </row>
    <row r="2383" spans="1:22" ht="15" customHeight="1">
      <c r="A2383" s="297"/>
      <c r="B2383" s="217"/>
      <c r="C2383" s="217"/>
      <c r="D2383" s="101"/>
      <c r="E2383" s="101"/>
      <c r="F2383" s="294"/>
      <c r="G2383" s="295"/>
      <c r="H2383" s="107"/>
      <c r="I2383" s="108"/>
      <c r="J2383" s="108"/>
      <c r="K2383" s="108"/>
      <c r="L2383" s="108"/>
      <c r="M2383" s="108"/>
      <c r="N2383" s="109"/>
      <c r="O2383" s="109"/>
      <c r="P2383" s="109"/>
      <c r="Q2383" s="109"/>
      <c r="R2383" s="109"/>
      <c r="S2383" s="109"/>
      <c r="T2383" s="109"/>
      <c r="U2383" s="202"/>
      <c r="V2383" s="202"/>
    </row>
    <row r="2384" spans="1:22" ht="15" customHeight="1">
      <c r="A2384" s="297"/>
      <c r="B2384" s="217"/>
      <c r="C2384" s="217"/>
      <c r="D2384" s="101"/>
      <c r="E2384" s="101"/>
      <c r="F2384" s="294"/>
      <c r="G2384" s="295"/>
      <c r="H2384" s="98"/>
      <c r="I2384" s="106"/>
      <c r="J2384" s="106"/>
      <c r="K2384" s="106"/>
      <c r="L2384" s="106"/>
      <c r="M2384" s="106"/>
      <c r="N2384" s="112"/>
      <c r="O2384" s="112"/>
      <c r="P2384" s="112"/>
      <c r="Q2384" s="113"/>
      <c r="R2384" s="113"/>
      <c r="S2384" s="113"/>
      <c r="T2384" s="113"/>
      <c r="U2384" s="113"/>
      <c r="V2384" s="113"/>
    </row>
    <row r="2385" spans="1:22" ht="15" customHeight="1">
      <c r="A2385" s="297"/>
      <c r="B2385" s="217"/>
      <c r="C2385" s="217"/>
      <c r="D2385" s="101"/>
      <c r="E2385" s="101"/>
      <c r="F2385" s="294"/>
      <c r="G2385" s="295"/>
      <c r="H2385" s="114"/>
      <c r="I2385" s="108"/>
      <c r="J2385" s="108"/>
      <c r="K2385" s="108"/>
      <c r="L2385" s="108"/>
      <c r="M2385" s="108"/>
      <c r="N2385" s="108"/>
      <c r="O2385" s="108"/>
      <c r="P2385" s="108"/>
      <c r="Q2385" s="108"/>
      <c r="R2385" s="108"/>
      <c r="S2385" s="108"/>
      <c r="T2385" s="108"/>
      <c r="U2385" s="233"/>
      <c r="V2385" s="233"/>
    </row>
    <row r="2386" spans="1:22" ht="15" customHeight="1">
      <c r="A2386" s="297"/>
      <c r="B2386" s="217"/>
      <c r="C2386" s="217"/>
      <c r="D2386" s="101"/>
      <c r="E2386" s="101"/>
      <c r="F2386" s="294"/>
      <c r="G2386" s="295"/>
      <c r="H2386" s="98"/>
      <c r="I2386" s="218"/>
      <c r="J2386" s="218"/>
      <c r="K2386" s="218"/>
      <c r="L2386" s="218"/>
      <c r="M2386" s="218"/>
      <c r="U2386" s="212"/>
      <c r="V2386" s="212"/>
    </row>
    <row r="2387" spans="1:22" ht="15" customHeight="1" thickBot="1">
      <c r="A2387" s="297"/>
      <c r="B2387" s="217"/>
      <c r="C2387" s="217"/>
      <c r="D2387" s="101"/>
      <c r="E2387" s="101"/>
      <c r="F2387" s="294"/>
      <c r="G2387" s="295"/>
      <c r="H2387" s="98"/>
      <c r="I2387" s="218"/>
      <c r="J2387" s="218"/>
      <c r="K2387" s="218"/>
      <c r="L2387" s="218"/>
      <c r="M2387" s="218"/>
      <c r="U2387" s="212"/>
      <c r="V2387" s="212"/>
    </row>
    <row r="2388" spans="1:22" ht="15" customHeight="1" thickBot="1">
      <c r="A2388" s="297"/>
      <c r="B2388" s="217"/>
      <c r="C2388" s="217"/>
      <c r="D2388" s="101"/>
      <c r="E2388" s="101"/>
      <c r="F2388" s="294"/>
      <c r="G2388" s="295"/>
      <c r="H2388" s="686"/>
      <c r="I2388" s="687"/>
      <c r="J2388" s="687"/>
      <c r="K2388" s="687"/>
      <c r="L2388" s="687"/>
      <c r="M2388" s="687"/>
      <c r="N2388" s="687"/>
      <c r="O2388" s="687"/>
      <c r="P2388" s="687"/>
      <c r="Q2388" s="687"/>
      <c r="R2388" s="687"/>
      <c r="S2388" s="715"/>
      <c r="T2388" s="688"/>
      <c r="U2388" s="254"/>
      <c r="V2388" s="254"/>
    </row>
    <row r="2389" spans="1:22" ht="15" customHeight="1">
      <c r="A2389" s="297"/>
      <c r="B2389" s="217"/>
      <c r="C2389" s="217"/>
      <c r="D2389" s="101"/>
      <c r="E2389" s="101"/>
      <c r="F2389" s="294"/>
      <c r="G2389" s="295"/>
      <c r="H2389" s="225"/>
      <c r="I2389" s="225"/>
      <c r="J2389" s="225"/>
      <c r="K2389" s="225"/>
      <c r="L2389" s="225"/>
      <c r="M2389" s="225"/>
      <c r="N2389" s="225"/>
      <c r="O2389" s="225"/>
      <c r="P2389" s="225"/>
      <c r="Q2389" s="225"/>
      <c r="R2389" s="225"/>
      <c r="S2389" s="225"/>
      <c r="T2389" s="225"/>
      <c r="U2389" s="225"/>
      <c r="V2389" s="225"/>
    </row>
    <row r="2390" spans="1:22" ht="15" customHeight="1">
      <c r="A2390" s="297"/>
      <c r="B2390" s="217"/>
      <c r="C2390" s="217"/>
      <c r="D2390" s="101"/>
      <c r="E2390" s="101"/>
      <c r="F2390" s="294"/>
      <c r="G2390" s="295"/>
      <c r="H2390" s="98"/>
      <c r="I2390" s="99"/>
      <c r="J2390" s="99"/>
      <c r="K2390" s="99"/>
      <c r="L2390" s="99"/>
      <c r="M2390" s="99"/>
      <c r="N2390" s="99"/>
      <c r="O2390" s="99"/>
      <c r="P2390" s="99"/>
      <c r="Q2390" s="99"/>
      <c r="R2390" s="99"/>
      <c r="S2390" s="99"/>
      <c r="T2390" s="99"/>
      <c r="U2390" s="99"/>
      <c r="V2390" s="99"/>
    </row>
    <row r="2391" spans="1:22" ht="15" customHeight="1">
      <c r="A2391" s="297"/>
      <c r="B2391" s="217"/>
      <c r="C2391" s="217"/>
      <c r="D2391" s="101"/>
      <c r="E2391" s="101"/>
      <c r="F2391" s="294"/>
      <c r="G2391" s="295"/>
      <c r="H2391" s="98"/>
      <c r="I2391" s="99"/>
      <c r="J2391" s="99"/>
      <c r="K2391" s="99"/>
      <c r="L2391" s="99"/>
      <c r="M2391" s="99"/>
      <c r="N2391" s="99"/>
      <c r="O2391" s="99"/>
      <c r="P2391" s="99"/>
      <c r="Q2391" s="99"/>
      <c r="R2391" s="99"/>
      <c r="S2391" s="99"/>
      <c r="T2391" s="99"/>
      <c r="U2391" s="99"/>
      <c r="V2391" s="99"/>
    </row>
    <row r="2392" spans="1:22" ht="15" customHeight="1">
      <c r="A2392" s="297"/>
      <c r="B2392" s="217"/>
      <c r="C2392" s="217"/>
      <c r="D2392" s="101"/>
      <c r="E2392" s="101"/>
      <c r="F2392" s="294"/>
      <c r="G2392" s="295"/>
      <c r="H2392" s="98"/>
      <c r="I2392" s="99"/>
      <c r="J2392" s="99"/>
      <c r="K2392" s="99"/>
      <c r="L2392" s="99"/>
      <c r="M2392" s="99"/>
      <c r="N2392" s="99"/>
      <c r="O2392" s="99"/>
      <c r="P2392" s="99"/>
      <c r="Q2392" s="99"/>
      <c r="R2392" s="99"/>
      <c r="S2392" s="99"/>
      <c r="T2392" s="99"/>
      <c r="U2392" s="99"/>
      <c r="V2392" s="99"/>
    </row>
    <row r="2393" spans="1:22" ht="15" customHeight="1">
      <c r="A2393" s="297"/>
      <c r="B2393" s="217"/>
      <c r="C2393" s="217"/>
      <c r="D2393" s="101"/>
      <c r="E2393" s="101"/>
      <c r="F2393" s="294"/>
      <c r="G2393" s="295"/>
      <c r="H2393" s="98"/>
      <c r="I2393" s="99"/>
      <c r="J2393" s="99"/>
      <c r="K2393" s="99"/>
      <c r="L2393" s="99"/>
      <c r="M2393" s="99"/>
      <c r="N2393" s="99"/>
      <c r="O2393" s="99"/>
      <c r="P2393" s="99"/>
      <c r="Q2393" s="99"/>
      <c r="R2393" s="99"/>
      <c r="S2393" s="99"/>
      <c r="T2393" s="99"/>
      <c r="U2393" s="99"/>
      <c r="V2393" s="99"/>
    </row>
    <row r="2394" spans="1:22" ht="15" customHeight="1">
      <c r="A2394" s="297"/>
      <c r="B2394" s="217"/>
      <c r="C2394" s="217"/>
      <c r="D2394" s="101"/>
      <c r="E2394" s="101"/>
      <c r="F2394" s="294"/>
      <c r="G2394" s="295"/>
      <c r="H2394" s="98"/>
      <c r="I2394" s="99"/>
      <c r="J2394" s="99"/>
      <c r="K2394" s="99"/>
      <c r="L2394" s="99"/>
      <c r="M2394" s="99"/>
      <c r="N2394" s="99"/>
      <c r="O2394" s="99"/>
      <c r="P2394" s="99"/>
      <c r="Q2394" s="99"/>
      <c r="R2394" s="99"/>
      <c r="S2394" s="99"/>
      <c r="T2394" s="99"/>
      <c r="U2394" s="99"/>
      <c r="V2394" s="99"/>
    </row>
    <row r="2395" spans="1:22" ht="15" customHeight="1">
      <c r="A2395" s="297"/>
      <c r="B2395" s="217"/>
      <c r="C2395" s="217"/>
      <c r="D2395" s="101"/>
      <c r="E2395" s="101"/>
      <c r="F2395" s="294"/>
      <c r="G2395" s="295"/>
      <c r="H2395" s="98"/>
      <c r="I2395" s="99"/>
      <c r="J2395" s="99"/>
      <c r="K2395" s="99"/>
      <c r="L2395" s="99"/>
      <c r="M2395" s="99"/>
      <c r="N2395" s="99"/>
      <c r="O2395" s="99"/>
      <c r="P2395" s="99"/>
      <c r="Q2395" s="99"/>
      <c r="R2395" s="99"/>
      <c r="S2395" s="99"/>
      <c r="T2395" s="99"/>
      <c r="U2395" s="99"/>
      <c r="V2395" s="99"/>
    </row>
    <row r="2396" spans="1:22" ht="15" customHeight="1">
      <c r="A2396" s="297"/>
      <c r="B2396" s="217"/>
      <c r="C2396" s="217"/>
      <c r="D2396" s="101"/>
      <c r="E2396" s="101"/>
      <c r="F2396" s="294"/>
      <c r="G2396" s="295"/>
      <c r="H2396" s="98"/>
      <c r="I2396" s="99"/>
      <c r="J2396" s="99"/>
      <c r="K2396" s="99"/>
      <c r="L2396" s="99"/>
      <c r="M2396" s="99"/>
      <c r="N2396" s="99"/>
      <c r="O2396" s="99"/>
      <c r="P2396" s="99"/>
      <c r="Q2396" s="99"/>
      <c r="R2396" s="99"/>
      <c r="S2396" s="99"/>
      <c r="T2396" s="99"/>
      <c r="U2396" s="99"/>
      <c r="V2396" s="99"/>
    </row>
    <row r="2397" spans="1:22" ht="15" customHeight="1">
      <c r="A2397" s="297"/>
      <c r="B2397" s="217"/>
      <c r="C2397" s="217"/>
      <c r="D2397" s="101"/>
      <c r="E2397" s="101"/>
      <c r="F2397" s="294"/>
      <c r="G2397" s="295"/>
      <c r="H2397" s="98"/>
      <c r="I2397" s="99"/>
      <c r="J2397" s="99"/>
      <c r="K2397" s="99"/>
      <c r="L2397" s="99"/>
      <c r="M2397" s="99"/>
      <c r="N2397" s="99"/>
      <c r="O2397" s="99"/>
      <c r="P2397" s="99"/>
      <c r="Q2397" s="99"/>
      <c r="R2397" s="99"/>
      <c r="S2397" s="99"/>
      <c r="T2397" s="99"/>
      <c r="U2397" s="99"/>
      <c r="V2397" s="99"/>
    </row>
    <row r="2398" spans="1:22" ht="15" customHeight="1">
      <c r="A2398" s="297"/>
      <c r="B2398" s="217"/>
      <c r="C2398" s="217"/>
      <c r="D2398" s="101"/>
      <c r="E2398" s="101"/>
      <c r="F2398" s="294"/>
      <c r="G2398" s="295"/>
      <c r="H2398" s="98"/>
      <c r="I2398" s="99"/>
      <c r="J2398" s="99"/>
      <c r="K2398" s="99"/>
      <c r="L2398" s="99"/>
      <c r="M2398" s="99"/>
      <c r="N2398" s="99"/>
      <c r="O2398" s="99"/>
      <c r="P2398" s="99"/>
      <c r="Q2398" s="99"/>
      <c r="R2398" s="99"/>
      <c r="S2398" s="99"/>
      <c r="T2398" s="99"/>
      <c r="U2398" s="99"/>
      <c r="V2398" s="99"/>
    </row>
    <row r="2399" spans="1:22" ht="15" customHeight="1">
      <c r="A2399" s="297"/>
      <c r="B2399" s="217"/>
      <c r="C2399" s="217"/>
      <c r="D2399" s="101"/>
      <c r="E2399" s="101"/>
      <c r="F2399" s="294"/>
      <c r="G2399" s="295"/>
      <c r="H2399" s="98"/>
      <c r="I2399" s="99"/>
      <c r="J2399" s="99"/>
      <c r="K2399" s="99"/>
      <c r="L2399" s="99"/>
      <c r="M2399" s="99"/>
      <c r="N2399" s="99"/>
      <c r="O2399" s="99"/>
      <c r="P2399" s="99"/>
      <c r="Q2399" s="99"/>
      <c r="R2399" s="99"/>
      <c r="S2399" s="99"/>
      <c r="T2399" s="99"/>
      <c r="U2399" s="99"/>
      <c r="V2399" s="99"/>
    </row>
    <row r="2400" spans="1:22" ht="15" customHeight="1">
      <c r="A2400" s="297"/>
      <c r="B2400" s="217"/>
      <c r="C2400" s="217"/>
      <c r="D2400" s="101"/>
      <c r="E2400" s="101"/>
      <c r="F2400" s="294"/>
      <c r="G2400" s="295"/>
      <c r="H2400" s="98"/>
      <c r="I2400" s="99"/>
      <c r="J2400" s="99"/>
      <c r="K2400" s="99"/>
      <c r="L2400" s="99"/>
      <c r="M2400" s="99"/>
      <c r="N2400" s="99"/>
      <c r="O2400" s="99"/>
      <c r="P2400" s="99"/>
      <c r="Q2400" s="99"/>
      <c r="R2400" s="99"/>
      <c r="S2400" s="99"/>
      <c r="T2400" s="99"/>
      <c r="U2400" s="99"/>
      <c r="V2400" s="99"/>
    </row>
    <row r="2401" spans="1:22" ht="15" customHeight="1">
      <c r="A2401" s="297"/>
      <c r="B2401" s="217"/>
      <c r="C2401" s="217"/>
      <c r="D2401" s="101"/>
      <c r="E2401" s="101"/>
      <c r="F2401" s="294"/>
      <c r="G2401" s="295"/>
      <c r="H2401" s="98"/>
      <c r="I2401" s="99"/>
      <c r="J2401" s="99"/>
      <c r="K2401" s="99"/>
      <c r="L2401" s="99"/>
      <c r="M2401" s="99"/>
      <c r="N2401" s="99"/>
      <c r="O2401" s="99"/>
      <c r="P2401" s="99"/>
      <c r="Q2401" s="99"/>
      <c r="R2401" s="99"/>
      <c r="S2401" s="99"/>
      <c r="T2401" s="99"/>
      <c r="U2401" s="99"/>
      <c r="V2401" s="99"/>
    </row>
    <row r="2402" spans="1:22" ht="15" customHeight="1">
      <c r="A2402" s="297"/>
      <c r="B2402" s="217"/>
      <c r="C2402" s="217"/>
      <c r="D2402" s="101"/>
      <c r="E2402" s="101"/>
      <c r="F2402" s="294"/>
      <c r="G2402" s="295"/>
      <c r="H2402" s="98"/>
      <c r="I2402" s="99"/>
      <c r="J2402" s="99"/>
      <c r="K2402" s="99"/>
      <c r="L2402" s="99"/>
      <c r="M2402" s="99"/>
      <c r="N2402" s="99"/>
      <c r="O2402" s="99"/>
      <c r="P2402" s="99"/>
      <c r="Q2402" s="99"/>
      <c r="R2402" s="99"/>
      <c r="S2402" s="99"/>
      <c r="T2402" s="99"/>
      <c r="U2402" s="99"/>
      <c r="V2402" s="99"/>
    </row>
    <row r="2403" spans="1:22" ht="15" customHeight="1">
      <c r="A2403" s="297"/>
      <c r="B2403" s="217"/>
      <c r="C2403" s="217"/>
      <c r="D2403" s="101"/>
      <c r="E2403" s="101"/>
      <c r="F2403" s="294"/>
      <c r="G2403" s="295"/>
      <c r="H2403" s="98"/>
      <c r="I2403" s="99"/>
      <c r="J2403" s="99"/>
      <c r="K2403" s="99"/>
      <c r="L2403" s="99"/>
      <c r="M2403" s="99"/>
      <c r="N2403" s="99"/>
      <c r="O2403" s="99"/>
      <c r="P2403" s="99"/>
      <c r="Q2403" s="99"/>
      <c r="R2403" s="99"/>
      <c r="S2403" s="99"/>
      <c r="T2403" s="99"/>
      <c r="U2403" s="99"/>
      <c r="V2403" s="99"/>
    </row>
    <row r="2404" spans="1:22" ht="15" customHeight="1">
      <c r="A2404" s="297"/>
      <c r="B2404" s="217"/>
      <c r="C2404" s="217"/>
      <c r="D2404" s="101"/>
      <c r="E2404" s="101"/>
      <c r="F2404" s="294"/>
      <c r="G2404" s="295"/>
      <c r="H2404" s="98"/>
      <c r="I2404" s="99"/>
      <c r="J2404" s="99"/>
      <c r="K2404" s="99"/>
      <c r="L2404" s="99"/>
      <c r="M2404" s="99"/>
      <c r="N2404" s="99"/>
      <c r="O2404" s="99"/>
      <c r="P2404" s="99"/>
      <c r="Q2404" s="99"/>
      <c r="R2404" s="99"/>
      <c r="S2404" s="99"/>
      <c r="T2404" s="99"/>
      <c r="U2404" s="99"/>
      <c r="V2404" s="99"/>
    </row>
    <row r="2405" spans="1:22" ht="15" customHeight="1">
      <c r="A2405" s="297"/>
      <c r="B2405" s="217"/>
      <c r="C2405" s="217"/>
      <c r="D2405" s="101"/>
      <c r="E2405" s="101"/>
      <c r="F2405" s="294"/>
      <c r="G2405" s="295"/>
      <c r="H2405" s="98"/>
      <c r="I2405" s="99"/>
      <c r="J2405" s="99"/>
      <c r="K2405" s="99"/>
      <c r="L2405" s="99"/>
      <c r="M2405" s="99"/>
      <c r="N2405" s="99"/>
      <c r="O2405" s="99"/>
      <c r="P2405" s="99"/>
      <c r="Q2405" s="99"/>
      <c r="R2405" s="99"/>
      <c r="S2405" s="99"/>
      <c r="T2405" s="99"/>
      <c r="U2405" s="99"/>
      <c r="V2405" s="99"/>
    </row>
    <row r="2406" spans="1:22" ht="15" customHeight="1">
      <c r="A2406" s="297"/>
      <c r="B2406" s="217"/>
      <c r="C2406" s="217"/>
      <c r="D2406" s="101"/>
      <c r="E2406" s="101"/>
      <c r="F2406" s="294"/>
      <c r="G2406" s="295"/>
      <c r="H2406" s="98"/>
      <c r="I2406" s="99"/>
      <c r="J2406" s="99"/>
      <c r="K2406" s="99"/>
      <c r="L2406" s="99"/>
      <c r="M2406" s="99"/>
      <c r="N2406" s="99"/>
      <c r="O2406" s="99"/>
      <c r="P2406" s="99"/>
      <c r="Q2406" s="99"/>
      <c r="R2406" s="99"/>
      <c r="S2406" s="99"/>
      <c r="T2406" s="99"/>
      <c r="U2406" s="99"/>
      <c r="V2406" s="99"/>
    </row>
    <row r="2407" spans="1:22" ht="15" customHeight="1">
      <c r="A2407" s="297"/>
      <c r="B2407" s="217"/>
      <c r="C2407" s="217"/>
      <c r="D2407" s="101"/>
      <c r="E2407" s="101"/>
      <c r="F2407" s="294"/>
      <c r="G2407" s="295"/>
      <c r="H2407" s="98"/>
      <c r="I2407" s="99"/>
      <c r="J2407" s="99"/>
      <c r="K2407" s="99"/>
      <c r="L2407" s="99"/>
      <c r="M2407" s="99"/>
      <c r="N2407" s="99"/>
      <c r="O2407" s="99"/>
      <c r="P2407" s="99"/>
      <c r="Q2407" s="99"/>
      <c r="R2407" s="99"/>
      <c r="S2407" s="99"/>
      <c r="T2407" s="99"/>
      <c r="U2407" s="99"/>
      <c r="V2407" s="99"/>
    </row>
    <row r="2408" spans="1:22" ht="15" customHeight="1">
      <c r="A2408" s="297"/>
      <c r="B2408" s="217"/>
      <c r="C2408" s="217"/>
      <c r="D2408" s="101"/>
      <c r="E2408" s="101"/>
      <c r="F2408" s="294"/>
      <c r="G2408" s="295"/>
      <c r="H2408" s="98"/>
      <c r="I2408" s="99"/>
      <c r="J2408" s="99"/>
      <c r="K2408" s="99"/>
      <c r="L2408" s="99"/>
      <c r="M2408" s="99"/>
      <c r="N2408" s="99"/>
      <c r="O2408" s="99"/>
      <c r="P2408" s="99"/>
      <c r="Q2408" s="99"/>
      <c r="R2408" s="99"/>
      <c r="S2408" s="99"/>
      <c r="T2408" s="99"/>
      <c r="U2408" s="99"/>
      <c r="V2408" s="99"/>
    </row>
    <row r="2409" spans="1:22" ht="15" customHeight="1">
      <c r="A2409" s="297"/>
      <c r="B2409" s="217"/>
      <c r="C2409" s="217"/>
      <c r="D2409" s="101"/>
      <c r="E2409" s="101"/>
      <c r="F2409" s="294"/>
      <c r="G2409" s="295"/>
      <c r="H2409" s="107"/>
      <c r="I2409" s="108"/>
      <c r="J2409" s="108"/>
      <c r="K2409" s="108"/>
      <c r="L2409" s="108"/>
      <c r="M2409" s="108"/>
      <c r="N2409" s="109"/>
      <c r="O2409" s="109"/>
      <c r="P2409" s="109"/>
      <c r="Q2409" s="109"/>
      <c r="R2409" s="109"/>
      <c r="S2409" s="109"/>
      <c r="T2409" s="109"/>
      <c r="U2409" s="202"/>
      <c r="V2409" s="202"/>
    </row>
    <row r="2410" spans="1:22" ht="15" customHeight="1">
      <c r="A2410" s="297"/>
      <c r="B2410" s="217"/>
      <c r="C2410" s="217"/>
      <c r="D2410" s="101"/>
      <c r="E2410" s="101"/>
      <c r="F2410" s="294"/>
      <c r="G2410" s="295"/>
      <c r="H2410" s="98"/>
      <c r="I2410" s="106"/>
      <c r="J2410" s="106"/>
      <c r="K2410" s="106"/>
      <c r="L2410" s="106"/>
      <c r="M2410" s="106"/>
      <c r="N2410" s="112"/>
      <c r="O2410" s="112"/>
      <c r="P2410" s="112"/>
      <c r="Q2410" s="113"/>
      <c r="T2410" s="113"/>
      <c r="U2410" s="113"/>
      <c r="V2410" s="113"/>
    </row>
    <row r="2411" spans="1:22" ht="15" customHeight="1">
      <c r="A2411" s="297"/>
      <c r="B2411" s="217"/>
      <c r="C2411" s="217"/>
      <c r="D2411" s="101"/>
      <c r="E2411" s="101"/>
      <c r="F2411" s="294"/>
      <c r="G2411" s="295"/>
      <c r="H2411" s="98"/>
      <c r="I2411" s="99"/>
      <c r="J2411" s="99"/>
      <c r="K2411" s="99"/>
      <c r="L2411" s="99"/>
      <c r="M2411" s="99"/>
      <c r="N2411" s="99"/>
      <c r="O2411" s="99"/>
      <c r="P2411" s="99"/>
      <c r="Q2411" s="99"/>
      <c r="R2411" s="99"/>
      <c r="S2411" s="99"/>
      <c r="T2411" s="99"/>
      <c r="U2411" s="99"/>
      <c r="V2411" s="99"/>
    </row>
    <row r="2412" spans="1:22" ht="15" customHeight="1">
      <c r="A2412" s="297"/>
      <c r="B2412" s="217"/>
      <c r="C2412" s="217"/>
      <c r="D2412" s="101"/>
      <c r="E2412" s="101"/>
      <c r="F2412" s="294"/>
      <c r="G2412" s="295"/>
      <c r="H2412" s="98"/>
      <c r="I2412" s="99"/>
      <c r="J2412" s="99"/>
      <c r="K2412" s="99"/>
      <c r="L2412" s="99"/>
      <c r="M2412" s="99"/>
      <c r="N2412" s="99"/>
      <c r="O2412" s="99"/>
      <c r="P2412" s="99"/>
      <c r="Q2412" s="99"/>
      <c r="R2412" s="99"/>
      <c r="S2412" s="99"/>
      <c r="T2412" s="99"/>
      <c r="U2412" s="99"/>
      <c r="V2412" s="99"/>
    </row>
    <row r="2413" spans="1:22" ht="15" customHeight="1">
      <c r="A2413" s="297"/>
      <c r="B2413" s="217"/>
      <c r="C2413" s="217"/>
      <c r="D2413" s="101"/>
      <c r="E2413" s="101"/>
      <c r="F2413" s="294"/>
      <c r="G2413" s="295"/>
      <c r="H2413" s="98"/>
      <c r="I2413" s="99"/>
      <c r="J2413" s="99"/>
      <c r="K2413" s="99"/>
      <c r="L2413" s="99"/>
      <c r="M2413" s="99"/>
      <c r="N2413" s="99"/>
      <c r="O2413" s="99"/>
      <c r="P2413" s="99"/>
      <c r="Q2413" s="99"/>
      <c r="R2413" s="99"/>
      <c r="S2413" s="99"/>
      <c r="T2413" s="99"/>
      <c r="U2413" s="99"/>
      <c r="V2413" s="99"/>
    </row>
    <row r="2414" spans="1:22" ht="15" customHeight="1">
      <c r="A2414" s="297"/>
      <c r="B2414" s="217"/>
      <c r="C2414" s="217"/>
      <c r="D2414" s="101"/>
      <c r="E2414" s="101"/>
      <c r="F2414" s="294"/>
      <c r="G2414" s="295"/>
      <c r="H2414" s="98"/>
      <c r="I2414" s="99"/>
      <c r="J2414" s="99"/>
      <c r="K2414" s="99"/>
      <c r="L2414" s="99"/>
      <c r="M2414" s="99"/>
      <c r="N2414" s="99"/>
      <c r="O2414" s="99"/>
      <c r="P2414" s="99"/>
      <c r="Q2414" s="99"/>
      <c r="R2414" s="99"/>
      <c r="S2414" s="99"/>
      <c r="T2414" s="99"/>
      <c r="U2414" s="99"/>
      <c r="V2414" s="99"/>
    </row>
    <row r="2415" spans="1:22" ht="15" customHeight="1">
      <c r="A2415" s="297"/>
      <c r="B2415" s="217"/>
      <c r="C2415" s="217"/>
      <c r="D2415" s="101"/>
      <c r="E2415" s="101"/>
      <c r="F2415" s="294"/>
      <c r="G2415" s="295"/>
      <c r="H2415" s="98"/>
      <c r="I2415" s="99"/>
      <c r="J2415" s="99"/>
      <c r="K2415" s="99"/>
      <c r="L2415" s="99"/>
      <c r="M2415" s="99"/>
      <c r="N2415" s="99"/>
      <c r="O2415" s="99"/>
      <c r="P2415" s="99"/>
      <c r="Q2415" s="99"/>
      <c r="R2415" s="99"/>
      <c r="S2415" s="99"/>
      <c r="T2415" s="99"/>
      <c r="U2415" s="99"/>
      <c r="V2415" s="99"/>
    </row>
    <row r="2416" spans="1:22" ht="15" customHeight="1">
      <c r="A2416" s="297"/>
      <c r="B2416" s="217"/>
      <c r="C2416" s="217"/>
      <c r="D2416" s="101"/>
      <c r="E2416" s="101"/>
      <c r="F2416" s="294"/>
      <c r="G2416" s="295"/>
      <c r="H2416" s="98"/>
      <c r="I2416" s="99"/>
      <c r="J2416" s="99"/>
      <c r="K2416" s="99"/>
      <c r="L2416" s="99"/>
      <c r="M2416" s="99"/>
      <c r="N2416" s="99"/>
      <c r="O2416" s="99"/>
      <c r="P2416" s="99"/>
      <c r="Q2416" s="99"/>
      <c r="R2416" s="99"/>
      <c r="S2416" s="99"/>
      <c r="T2416" s="99"/>
      <c r="U2416" s="99"/>
      <c r="V2416" s="99"/>
    </row>
    <row r="2417" spans="1:22" ht="15" customHeight="1">
      <c r="A2417" s="297"/>
      <c r="B2417" s="217"/>
      <c r="C2417" s="217"/>
      <c r="D2417" s="101"/>
      <c r="E2417" s="101"/>
      <c r="F2417" s="294"/>
      <c r="G2417" s="295"/>
      <c r="H2417" s="98"/>
      <c r="I2417" s="99"/>
      <c r="J2417" s="99"/>
      <c r="K2417" s="99"/>
      <c r="L2417" s="99"/>
      <c r="M2417" s="99"/>
      <c r="N2417" s="99"/>
      <c r="O2417" s="99"/>
      <c r="P2417" s="99"/>
      <c r="Q2417" s="99"/>
      <c r="R2417" s="99"/>
      <c r="S2417" s="99"/>
      <c r="T2417" s="99"/>
      <c r="U2417" s="99"/>
      <c r="V2417" s="99"/>
    </row>
    <row r="2418" spans="1:22" ht="15" customHeight="1">
      <c r="A2418" s="297"/>
      <c r="B2418" s="217"/>
      <c r="C2418" s="217"/>
      <c r="D2418" s="101"/>
      <c r="E2418" s="101"/>
      <c r="F2418" s="294"/>
      <c r="G2418" s="295"/>
      <c r="H2418" s="98"/>
      <c r="I2418" s="99"/>
      <c r="J2418" s="99"/>
      <c r="K2418" s="99"/>
      <c r="L2418" s="99"/>
      <c r="M2418" s="99"/>
      <c r="N2418" s="99"/>
      <c r="O2418" s="99"/>
      <c r="P2418" s="99"/>
      <c r="Q2418" s="99"/>
      <c r="R2418" s="99"/>
      <c r="S2418" s="99"/>
      <c r="T2418" s="99"/>
      <c r="U2418" s="99"/>
      <c r="V2418" s="99"/>
    </row>
    <row r="2419" spans="1:22" ht="15" customHeight="1">
      <c r="A2419" s="297"/>
      <c r="B2419" s="217"/>
      <c r="C2419" s="217"/>
      <c r="D2419" s="101"/>
      <c r="E2419" s="101"/>
      <c r="F2419" s="294"/>
      <c r="G2419" s="295"/>
      <c r="H2419" s="98"/>
      <c r="I2419" s="99"/>
      <c r="J2419" s="99"/>
      <c r="K2419" s="99"/>
      <c r="L2419" s="99"/>
      <c r="M2419" s="99"/>
      <c r="N2419" s="99"/>
      <c r="O2419" s="99"/>
      <c r="P2419" s="99"/>
      <c r="Q2419" s="99"/>
      <c r="R2419" s="99"/>
      <c r="S2419" s="99"/>
      <c r="T2419" s="99"/>
      <c r="U2419" s="99"/>
      <c r="V2419" s="99"/>
    </row>
    <row r="2420" spans="1:22" ht="15" customHeight="1">
      <c r="A2420" s="297"/>
      <c r="B2420" s="217"/>
      <c r="C2420" s="217"/>
      <c r="D2420" s="101"/>
      <c r="E2420" s="101"/>
      <c r="F2420" s="294"/>
      <c r="G2420" s="295"/>
      <c r="H2420" s="98"/>
      <c r="I2420" s="99"/>
      <c r="J2420" s="99"/>
      <c r="K2420" s="99"/>
      <c r="L2420" s="99"/>
      <c r="M2420" s="99"/>
      <c r="N2420" s="99"/>
      <c r="O2420" s="99"/>
      <c r="P2420" s="99"/>
      <c r="Q2420" s="99"/>
      <c r="R2420" s="99"/>
      <c r="S2420" s="99"/>
      <c r="T2420" s="99"/>
      <c r="U2420" s="99"/>
      <c r="V2420" s="99"/>
    </row>
    <row r="2421" spans="1:22" ht="15" customHeight="1">
      <c r="A2421" s="297"/>
      <c r="B2421" s="217"/>
      <c r="C2421" s="217"/>
      <c r="D2421" s="101"/>
      <c r="E2421" s="101"/>
      <c r="F2421" s="294"/>
      <c r="G2421" s="295"/>
      <c r="H2421" s="98"/>
      <c r="I2421" s="99"/>
      <c r="J2421" s="99"/>
      <c r="K2421" s="99"/>
      <c r="L2421" s="99"/>
      <c r="M2421" s="99"/>
      <c r="N2421" s="99"/>
      <c r="O2421" s="99"/>
      <c r="P2421" s="99"/>
      <c r="Q2421" s="99"/>
      <c r="R2421" s="99"/>
      <c r="S2421" s="99"/>
      <c r="T2421" s="99"/>
      <c r="U2421" s="99"/>
      <c r="V2421" s="99"/>
    </row>
    <row r="2422" spans="1:22" ht="15" customHeight="1">
      <c r="A2422" s="297"/>
      <c r="B2422" s="217"/>
      <c r="C2422" s="217"/>
      <c r="D2422" s="101"/>
      <c r="E2422" s="101"/>
      <c r="F2422" s="294"/>
      <c r="G2422" s="295"/>
      <c r="H2422" s="98"/>
      <c r="I2422" s="99"/>
      <c r="J2422" s="99"/>
      <c r="K2422" s="99"/>
      <c r="L2422" s="99"/>
      <c r="M2422" s="99"/>
      <c r="N2422" s="99"/>
      <c r="O2422" s="99"/>
      <c r="P2422" s="99"/>
      <c r="Q2422" s="99"/>
      <c r="R2422" s="99"/>
      <c r="S2422" s="99"/>
      <c r="T2422" s="99"/>
      <c r="U2422" s="99"/>
      <c r="V2422" s="99"/>
    </row>
    <row r="2423" spans="1:22" ht="15" customHeight="1">
      <c r="A2423" s="297"/>
      <c r="B2423" s="217"/>
      <c r="C2423" s="217"/>
      <c r="D2423" s="101"/>
      <c r="E2423" s="101"/>
      <c r="F2423" s="294"/>
      <c r="G2423" s="295"/>
      <c r="H2423" s="98"/>
      <c r="I2423" s="99"/>
      <c r="J2423" s="99"/>
      <c r="K2423" s="99"/>
      <c r="L2423" s="99"/>
      <c r="M2423" s="99"/>
      <c r="N2423" s="99"/>
      <c r="O2423" s="99"/>
      <c r="P2423" s="99"/>
      <c r="Q2423" s="99"/>
      <c r="R2423" s="99"/>
      <c r="S2423" s="99"/>
      <c r="T2423" s="99"/>
      <c r="U2423" s="99"/>
      <c r="V2423" s="99"/>
    </row>
    <row r="2424" spans="1:22" ht="15" customHeight="1">
      <c r="A2424" s="297"/>
      <c r="B2424" s="217"/>
      <c r="C2424" s="217"/>
      <c r="D2424" s="101"/>
      <c r="E2424" s="101"/>
      <c r="F2424" s="294"/>
      <c r="G2424" s="295"/>
      <c r="H2424" s="98"/>
      <c r="I2424" s="99"/>
      <c r="J2424" s="99"/>
      <c r="K2424" s="99"/>
      <c r="L2424" s="99"/>
      <c r="M2424" s="99"/>
      <c r="N2424" s="99"/>
      <c r="O2424" s="99"/>
      <c r="P2424" s="99"/>
      <c r="Q2424" s="99"/>
      <c r="R2424" s="99"/>
      <c r="S2424" s="99"/>
      <c r="T2424" s="99"/>
      <c r="U2424" s="99"/>
      <c r="V2424" s="99"/>
    </row>
    <row r="2425" spans="1:22" ht="15" customHeight="1">
      <c r="A2425" s="297"/>
      <c r="B2425" s="217"/>
      <c r="C2425" s="217"/>
      <c r="D2425" s="101"/>
      <c r="E2425" s="101"/>
      <c r="F2425" s="294"/>
      <c r="G2425" s="295"/>
      <c r="H2425" s="98"/>
      <c r="I2425" s="99"/>
      <c r="J2425" s="99"/>
      <c r="K2425" s="99"/>
      <c r="L2425" s="99"/>
      <c r="M2425" s="99"/>
      <c r="N2425" s="99"/>
      <c r="O2425" s="99"/>
      <c r="P2425" s="99"/>
      <c r="Q2425" s="99"/>
      <c r="R2425" s="99"/>
      <c r="S2425" s="99"/>
      <c r="T2425" s="99"/>
      <c r="U2425" s="99"/>
      <c r="V2425" s="99"/>
    </row>
    <row r="2426" spans="1:22" ht="15" customHeight="1">
      <c r="A2426" s="297"/>
      <c r="B2426" s="217"/>
      <c r="C2426" s="217"/>
      <c r="D2426" s="101"/>
      <c r="E2426" s="101"/>
      <c r="F2426" s="294"/>
      <c r="G2426" s="295"/>
      <c r="H2426" s="107"/>
      <c r="I2426" s="108"/>
      <c r="J2426" s="108"/>
      <c r="K2426" s="108"/>
      <c r="L2426" s="108"/>
      <c r="M2426" s="108"/>
      <c r="N2426" s="108"/>
      <c r="O2426" s="108"/>
      <c r="P2426" s="108"/>
      <c r="Q2426" s="108"/>
      <c r="R2426" s="108"/>
      <c r="S2426" s="108"/>
      <c r="T2426" s="108"/>
      <c r="U2426" s="233"/>
      <c r="V2426" s="233"/>
    </row>
    <row r="2427" spans="1:22" ht="15" customHeight="1">
      <c r="A2427" s="297"/>
      <c r="B2427" s="217"/>
      <c r="C2427" s="217"/>
      <c r="D2427" s="101"/>
      <c r="E2427" s="101"/>
      <c r="F2427" s="294"/>
      <c r="G2427" s="295"/>
      <c r="H2427" s="98"/>
      <c r="I2427" s="106"/>
      <c r="J2427" s="106"/>
      <c r="K2427" s="106"/>
      <c r="L2427" s="106"/>
      <c r="M2427" s="106"/>
      <c r="N2427" s="112"/>
      <c r="O2427" s="112"/>
      <c r="P2427" s="112"/>
      <c r="Q2427" s="113"/>
      <c r="T2427" s="113"/>
      <c r="U2427" s="113"/>
      <c r="V2427" s="113"/>
    </row>
    <row r="2428" spans="1:22" ht="15" customHeight="1">
      <c r="A2428" s="297"/>
      <c r="B2428" s="217"/>
      <c r="C2428" s="217"/>
      <c r="D2428" s="101"/>
      <c r="E2428" s="101"/>
      <c r="F2428" s="294"/>
      <c r="G2428" s="295"/>
      <c r="H2428" s="98"/>
      <c r="I2428" s="99"/>
      <c r="J2428" s="99"/>
      <c r="K2428" s="99"/>
      <c r="L2428" s="99"/>
      <c r="M2428" s="99"/>
      <c r="N2428" s="99"/>
      <c r="O2428" s="99"/>
      <c r="P2428" s="99"/>
      <c r="Q2428" s="99"/>
      <c r="R2428" s="99"/>
      <c r="S2428" s="99"/>
      <c r="T2428" s="99"/>
      <c r="U2428" s="99"/>
      <c r="V2428" s="99"/>
    </row>
    <row r="2429" spans="1:22" ht="15" customHeight="1">
      <c r="A2429" s="297"/>
      <c r="B2429" s="217"/>
      <c r="C2429" s="217"/>
      <c r="D2429" s="101"/>
      <c r="E2429" s="101"/>
      <c r="F2429" s="294"/>
      <c r="G2429" s="295"/>
      <c r="H2429" s="98"/>
      <c r="I2429" s="99"/>
      <c r="J2429" s="99"/>
      <c r="K2429" s="99"/>
      <c r="L2429" s="99"/>
      <c r="M2429" s="99"/>
      <c r="N2429" s="99"/>
      <c r="O2429" s="99"/>
      <c r="P2429" s="99"/>
      <c r="Q2429" s="99"/>
      <c r="R2429" s="99"/>
      <c r="S2429" s="99"/>
      <c r="T2429" s="99"/>
      <c r="U2429" s="99"/>
      <c r="V2429" s="99"/>
    </row>
    <row r="2430" spans="1:22" ht="15" customHeight="1">
      <c r="A2430" s="297"/>
      <c r="B2430" s="217"/>
      <c r="C2430" s="217"/>
      <c r="D2430" s="101"/>
      <c r="E2430" s="101"/>
      <c r="F2430" s="294"/>
      <c r="G2430" s="295"/>
      <c r="H2430" s="98"/>
      <c r="I2430" s="99"/>
      <c r="J2430" s="99"/>
      <c r="K2430" s="99"/>
      <c r="L2430" s="99"/>
      <c r="M2430" s="99"/>
      <c r="N2430" s="99"/>
      <c r="O2430" s="99"/>
      <c r="P2430" s="99"/>
      <c r="Q2430" s="99"/>
      <c r="R2430" s="99"/>
      <c r="S2430" s="99"/>
      <c r="T2430" s="99"/>
      <c r="U2430" s="99"/>
      <c r="V2430" s="99"/>
    </row>
    <row r="2431" spans="1:22" ht="15" customHeight="1">
      <c r="A2431" s="297"/>
      <c r="B2431" s="217"/>
      <c r="C2431" s="217"/>
      <c r="D2431" s="101"/>
      <c r="E2431" s="101"/>
      <c r="F2431" s="294"/>
      <c r="G2431" s="295"/>
      <c r="H2431" s="98"/>
      <c r="I2431" s="99"/>
      <c r="J2431" s="99"/>
      <c r="K2431" s="99"/>
      <c r="L2431" s="99"/>
      <c r="M2431" s="99"/>
      <c r="N2431" s="99"/>
      <c r="O2431" s="99"/>
      <c r="P2431" s="99"/>
      <c r="Q2431" s="99"/>
      <c r="R2431" s="99"/>
      <c r="S2431" s="99"/>
      <c r="T2431" s="99"/>
      <c r="U2431" s="99"/>
      <c r="V2431" s="99"/>
    </row>
    <row r="2432" spans="1:22" ht="15" customHeight="1">
      <c r="A2432" s="297"/>
      <c r="B2432" s="217"/>
      <c r="C2432" s="217"/>
      <c r="D2432" s="101"/>
      <c r="E2432" s="101"/>
      <c r="F2432" s="294"/>
      <c r="G2432" s="295"/>
      <c r="H2432" s="98"/>
      <c r="I2432" s="99"/>
      <c r="J2432" s="99"/>
      <c r="K2432" s="99"/>
      <c r="L2432" s="99"/>
      <c r="M2432" s="99"/>
      <c r="N2432" s="99"/>
      <c r="O2432" s="99"/>
      <c r="P2432" s="99"/>
      <c r="Q2432" s="99"/>
      <c r="R2432" s="99"/>
      <c r="S2432" s="99"/>
      <c r="T2432" s="99"/>
      <c r="U2432" s="99"/>
      <c r="V2432" s="99"/>
    </row>
    <row r="2433" spans="1:22" ht="15" customHeight="1">
      <c r="A2433" s="297"/>
      <c r="B2433" s="217"/>
      <c r="C2433" s="217"/>
      <c r="D2433" s="101"/>
      <c r="E2433" s="101"/>
      <c r="F2433" s="294"/>
      <c r="G2433" s="295"/>
      <c r="H2433" s="98"/>
      <c r="I2433" s="99"/>
      <c r="J2433" s="99"/>
      <c r="K2433" s="99"/>
      <c r="L2433" s="99"/>
      <c r="M2433" s="99"/>
      <c r="N2433" s="99"/>
      <c r="O2433" s="99"/>
      <c r="P2433" s="99"/>
      <c r="Q2433" s="99"/>
      <c r="R2433" s="99"/>
      <c r="S2433" s="99"/>
      <c r="T2433" s="99"/>
      <c r="U2433" s="99"/>
      <c r="V2433" s="99"/>
    </row>
    <row r="2434" spans="1:22" ht="15" customHeight="1">
      <c r="A2434" s="297"/>
      <c r="B2434" s="217"/>
      <c r="C2434" s="217"/>
      <c r="D2434" s="101"/>
      <c r="E2434" s="101"/>
      <c r="F2434" s="294"/>
      <c r="G2434" s="295"/>
      <c r="H2434" s="98"/>
      <c r="I2434" s="99"/>
      <c r="J2434" s="99"/>
      <c r="K2434" s="99"/>
      <c r="L2434" s="99"/>
      <c r="M2434" s="99"/>
      <c r="N2434" s="99"/>
      <c r="O2434" s="99"/>
      <c r="P2434" s="99"/>
      <c r="Q2434" s="99"/>
      <c r="R2434" s="99"/>
      <c r="S2434" s="99"/>
      <c r="T2434" s="99"/>
      <c r="U2434" s="99"/>
      <c r="V2434" s="99"/>
    </row>
    <row r="2435" spans="1:22" ht="15" customHeight="1">
      <c r="A2435" s="297"/>
      <c r="B2435" s="217"/>
      <c r="C2435" s="217"/>
      <c r="D2435" s="101"/>
      <c r="E2435" s="101"/>
      <c r="F2435" s="294"/>
      <c r="G2435" s="295"/>
      <c r="H2435" s="98"/>
      <c r="I2435" s="99"/>
      <c r="J2435" s="99"/>
      <c r="K2435" s="99"/>
      <c r="L2435" s="99"/>
      <c r="M2435" s="99"/>
      <c r="N2435" s="99"/>
      <c r="O2435" s="99"/>
      <c r="P2435" s="99"/>
      <c r="Q2435" s="99"/>
      <c r="R2435" s="99"/>
      <c r="S2435" s="99"/>
      <c r="T2435" s="99"/>
      <c r="U2435" s="99"/>
      <c r="V2435" s="99"/>
    </row>
    <row r="2436" spans="1:22" ht="15" customHeight="1">
      <c r="A2436" s="297"/>
      <c r="B2436" s="217"/>
      <c r="C2436" s="217"/>
      <c r="D2436" s="101"/>
      <c r="E2436" s="101"/>
      <c r="F2436" s="294"/>
      <c r="G2436" s="295"/>
      <c r="H2436" s="98"/>
      <c r="I2436" s="99"/>
      <c r="J2436" s="99"/>
      <c r="K2436" s="99"/>
      <c r="L2436" s="99"/>
      <c r="M2436" s="99"/>
      <c r="N2436" s="99"/>
      <c r="O2436" s="99"/>
      <c r="P2436" s="99"/>
      <c r="Q2436" s="99"/>
      <c r="R2436" s="99"/>
      <c r="S2436" s="99"/>
      <c r="T2436" s="99"/>
      <c r="U2436" s="99"/>
      <c r="V2436" s="99"/>
    </row>
    <row r="2437" spans="1:22" ht="15" customHeight="1">
      <c r="A2437" s="297"/>
      <c r="B2437" s="217"/>
      <c r="C2437" s="217"/>
      <c r="D2437" s="101"/>
      <c r="E2437" s="101"/>
      <c r="F2437" s="294"/>
      <c r="G2437" s="295"/>
      <c r="H2437" s="98"/>
      <c r="I2437" s="99"/>
      <c r="J2437" s="99"/>
      <c r="K2437" s="99"/>
      <c r="L2437" s="99"/>
      <c r="M2437" s="99"/>
      <c r="N2437" s="99"/>
      <c r="O2437" s="99"/>
      <c r="P2437" s="99"/>
      <c r="Q2437" s="99"/>
      <c r="R2437" s="99"/>
      <c r="S2437" s="99"/>
      <c r="T2437" s="99"/>
      <c r="U2437" s="99"/>
      <c r="V2437" s="99"/>
    </row>
    <row r="2438" spans="1:22" ht="15" customHeight="1">
      <c r="A2438" s="297"/>
      <c r="B2438" s="217"/>
      <c r="C2438" s="217"/>
      <c r="D2438" s="101"/>
      <c r="E2438" s="101"/>
      <c r="F2438" s="294"/>
      <c r="G2438" s="295"/>
      <c r="H2438" s="98"/>
      <c r="I2438" s="99"/>
      <c r="J2438" s="99"/>
      <c r="K2438" s="99"/>
      <c r="L2438" s="99"/>
      <c r="M2438" s="99"/>
      <c r="N2438" s="99"/>
      <c r="O2438" s="99"/>
      <c r="P2438" s="99"/>
      <c r="Q2438" s="99"/>
      <c r="R2438" s="99"/>
      <c r="S2438" s="99"/>
      <c r="T2438" s="99"/>
      <c r="U2438" s="99"/>
      <c r="V2438" s="99"/>
    </row>
    <row r="2439" spans="1:22" ht="15" customHeight="1">
      <c r="A2439" s="297"/>
      <c r="B2439" s="217"/>
      <c r="C2439" s="217"/>
      <c r="D2439" s="101"/>
      <c r="E2439" s="101"/>
      <c r="F2439" s="294"/>
      <c r="G2439" s="295"/>
      <c r="H2439" s="98"/>
      <c r="I2439" s="99"/>
      <c r="J2439" s="99"/>
      <c r="K2439" s="99"/>
      <c r="L2439" s="99"/>
      <c r="M2439" s="99"/>
      <c r="N2439" s="99"/>
      <c r="O2439" s="99"/>
      <c r="P2439" s="99"/>
      <c r="Q2439" s="99"/>
      <c r="R2439" s="99"/>
      <c r="S2439" s="99"/>
      <c r="T2439" s="99"/>
      <c r="U2439" s="99"/>
      <c r="V2439" s="99"/>
    </row>
    <row r="2440" spans="1:22" ht="15" customHeight="1">
      <c r="A2440" s="297"/>
      <c r="B2440" s="217"/>
      <c r="C2440" s="217"/>
      <c r="D2440" s="101"/>
      <c r="E2440" s="101"/>
      <c r="F2440" s="294"/>
      <c r="G2440" s="295"/>
      <c r="H2440" s="98"/>
      <c r="I2440" s="99"/>
      <c r="J2440" s="99"/>
      <c r="K2440" s="99"/>
      <c r="L2440" s="99"/>
      <c r="M2440" s="99"/>
      <c r="N2440" s="99"/>
      <c r="O2440" s="99"/>
      <c r="P2440" s="99"/>
      <c r="Q2440" s="99"/>
      <c r="R2440" s="99"/>
      <c r="S2440" s="99"/>
      <c r="T2440" s="99"/>
      <c r="U2440" s="99"/>
      <c r="V2440" s="99"/>
    </row>
    <row r="2441" spans="1:22" ht="15" customHeight="1">
      <c r="A2441" s="297"/>
      <c r="B2441" s="217"/>
      <c r="C2441" s="217"/>
      <c r="D2441" s="101"/>
      <c r="E2441" s="101"/>
      <c r="F2441" s="294"/>
      <c r="G2441" s="295"/>
      <c r="H2441" s="98"/>
      <c r="I2441" s="99"/>
      <c r="J2441" s="99"/>
      <c r="K2441" s="99"/>
      <c r="L2441" s="99"/>
      <c r="M2441" s="99"/>
      <c r="N2441" s="99"/>
      <c r="O2441" s="99"/>
      <c r="P2441" s="99"/>
      <c r="Q2441" s="99"/>
      <c r="R2441" s="99"/>
      <c r="S2441" s="99"/>
      <c r="T2441" s="99"/>
      <c r="U2441" s="99"/>
      <c r="V2441" s="99"/>
    </row>
    <row r="2442" spans="1:22" ht="15" customHeight="1">
      <c r="A2442" s="297"/>
      <c r="B2442" s="217"/>
      <c r="C2442" s="217"/>
      <c r="D2442" s="101"/>
      <c r="E2442" s="101"/>
      <c r="F2442" s="294"/>
      <c r="G2442" s="295"/>
      <c r="H2442" s="98"/>
      <c r="I2442" s="99"/>
      <c r="J2442" s="99"/>
      <c r="K2442" s="99"/>
      <c r="L2442" s="99"/>
      <c r="M2442" s="99"/>
      <c r="N2442" s="99"/>
      <c r="O2442" s="99"/>
      <c r="P2442" s="99"/>
      <c r="Q2442" s="99"/>
      <c r="R2442" s="99"/>
      <c r="S2442" s="99"/>
      <c r="T2442" s="99"/>
      <c r="U2442" s="99"/>
      <c r="V2442" s="99"/>
    </row>
    <row r="2443" spans="1:22" ht="15" customHeight="1">
      <c r="A2443" s="297"/>
      <c r="B2443" s="217"/>
      <c r="C2443" s="217"/>
      <c r="D2443" s="101"/>
      <c r="E2443" s="101"/>
      <c r="F2443" s="294"/>
      <c r="G2443" s="295"/>
      <c r="H2443" s="98"/>
      <c r="I2443" s="99"/>
      <c r="J2443" s="99"/>
      <c r="K2443" s="99"/>
      <c r="L2443" s="99"/>
      <c r="M2443" s="99"/>
      <c r="N2443" s="99"/>
      <c r="O2443" s="99"/>
      <c r="P2443" s="99"/>
      <c r="Q2443" s="99"/>
      <c r="R2443" s="99"/>
      <c r="S2443" s="99"/>
      <c r="T2443" s="99"/>
      <c r="U2443" s="99"/>
      <c r="V2443" s="99"/>
    </row>
    <row r="2444" spans="1:22" ht="15" customHeight="1">
      <c r="A2444" s="297"/>
      <c r="B2444" s="217"/>
      <c r="C2444" s="217"/>
      <c r="D2444" s="101"/>
      <c r="E2444" s="101"/>
      <c r="F2444" s="294"/>
      <c r="G2444" s="295"/>
      <c r="H2444" s="98"/>
      <c r="I2444" s="99"/>
      <c r="J2444" s="99"/>
      <c r="K2444" s="99"/>
      <c r="L2444" s="99"/>
      <c r="M2444" s="99"/>
      <c r="N2444" s="99"/>
      <c r="O2444" s="99"/>
      <c r="P2444" s="99"/>
      <c r="Q2444" s="99"/>
      <c r="R2444" s="99"/>
      <c r="S2444" s="99"/>
      <c r="T2444" s="99"/>
      <c r="U2444" s="99"/>
      <c r="V2444" s="99"/>
    </row>
    <row r="2445" spans="1:22" ht="15" customHeight="1">
      <c r="A2445" s="297"/>
      <c r="B2445" s="217"/>
      <c r="C2445" s="217"/>
      <c r="D2445" s="101"/>
      <c r="E2445" s="101"/>
      <c r="F2445" s="294"/>
      <c r="G2445" s="295"/>
      <c r="H2445" s="98"/>
      <c r="I2445" s="99"/>
      <c r="J2445" s="99"/>
      <c r="K2445" s="99"/>
      <c r="L2445" s="99"/>
      <c r="M2445" s="99"/>
      <c r="N2445" s="99"/>
      <c r="O2445" s="99"/>
      <c r="P2445" s="99"/>
      <c r="Q2445" s="99"/>
      <c r="R2445" s="99"/>
      <c r="S2445" s="99"/>
      <c r="T2445" s="99"/>
      <c r="U2445" s="99"/>
      <c r="V2445" s="99"/>
    </row>
    <row r="2446" spans="1:22" ht="15" customHeight="1">
      <c r="A2446" s="297"/>
      <c r="B2446" s="217"/>
      <c r="C2446" s="217"/>
      <c r="D2446" s="101"/>
      <c r="E2446" s="101"/>
      <c r="F2446" s="294"/>
      <c r="G2446" s="295"/>
      <c r="H2446" s="98"/>
      <c r="I2446" s="99"/>
      <c r="J2446" s="99"/>
      <c r="K2446" s="99"/>
      <c r="L2446" s="99"/>
      <c r="M2446" s="99"/>
      <c r="N2446" s="99"/>
      <c r="O2446" s="99"/>
      <c r="P2446" s="99"/>
      <c r="Q2446" s="99"/>
      <c r="R2446" s="99"/>
      <c r="S2446" s="99"/>
      <c r="T2446" s="99"/>
      <c r="U2446" s="99"/>
      <c r="V2446" s="99"/>
    </row>
    <row r="2447" spans="1:22" ht="15" customHeight="1">
      <c r="A2447" s="297"/>
      <c r="B2447" s="217"/>
      <c r="C2447" s="217"/>
      <c r="D2447" s="101"/>
      <c r="E2447" s="101"/>
      <c r="F2447" s="294"/>
      <c r="G2447" s="295"/>
      <c r="H2447" s="107"/>
      <c r="I2447" s="108"/>
      <c r="J2447" s="108"/>
      <c r="K2447" s="108"/>
      <c r="L2447" s="108"/>
      <c r="M2447" s="108"/>
      <c r="N2447" s="108"/>
      <c r="O2447" s="108"/>
      <c r="P2447" s="108"/>
      <c r="Q2447" s="108"/>
      <c r="R2447" s="108"/>
      <c r="S2447" s="108"/>
      <c r="T2447" s="108"/>
      <c r="U2447" s="233"/>
      <c r="V2447" s="233"/>
    </row>
    <row r="2448" spans="1:22" ht="15" customHeight="1">
      <c r="A2448" s="297"/>
      <c r="B2448" s="217"/>
      <c r="C2448" s="217"/>
      <c r="D2448" s="101"/>
      <c r="E2448" s="101"/>
      <c r="F2448" s="294"/>
      <c r="G2448" s="295"/>
      <c r="H2448" s="98"/>
      <c r="I2448" s="106"/>
      <c r="J2448" s="106"/>
      <c r="K2448" s="106"/>
      <c r="L2448" s="106"/>
      <c r="M2448" s="106"/>
      <c r="N2448" s="112"/>
      <c r="O2448" s="112"/>
      <c r="P2448" s="112"/>
      <c r="Q2448" s="113"/>
      <c r="T2448" s="113"/>
      <c r="U2448" s="113"/>
      <c r="V2448" s="113"/>
    </row>
    <row r="2449" spans="1:22" ht="15" customHeight="1">
      <c r="A2449" s="297"/>
      <c r="B2449" s="217"/>
      <c r="C2449" s="217"/>
      <c r="D2449" s="101"/>
      <c r="E2449" s="101"/>
      <c r="F2449" s="294"/>
      <c r="G2449" s="295"/>
      <c r="H2449" s="98"/>
      <c r="I2449" s="99"/>
      <c r="J2449" s="99"/>
      <c r="K2449" s="99"/>
      <c r="L2449" s="99"/>
      <c r="M2449" s="99"/>
      <c r="N2449" s="99"/>
      <c r="O2449" s="99"/>
      <c r="P2449" s="99"/>
      <c r="Q2449" s="99"/>
      <c r="R2449" s="99"/>
      <c r="S2449" s="99"/>
      <c r="T2449" s="99"/>
      <c r="U2449" s="99"/>
      <c r="V2449" s="99"/>
    </row>
    <row r="2450" spans="1:22" ht="15" customHeight="1">
      <c r="A2450" s="297"/>
      <c r="B2450" s="217"/>
      <c r="C2450" s="217"/>
      <c r="D2450" s="101"/>
      <c r="E2450" s="101"/>
      <c r="F2450" s="294"/>
      <c r="G2450" s="295"/>
      <c r="H2450" s="98"/>
      <c r="I2450" s="99"/>
      <c r="J2450" s="99"/>
      <c r="K2450" s="99"/>
      <c r="L2450" s="99"/>
      <c r="M2450" s="99"/>
      <c r="N2450" s="99"/>
      <c r="O2450" s="99"/>
      <c r="P2450" s="99"/>
      <c r="Q2450" s="99"/>
      <c r="R2450" s="99"/>
      <c r="S2450" s="99"/>
      <c r="T2450" s="99"/>
      <c r="U2450" s="99"/>
      <c r="V2450" s="99"/>
    </row>
    <row r="2451" spans="1:22" ht="15" customHeight="1">
      <c r="A2451" s="297"/>
      <c r="B2451" s="217"/>
      <c r="C2451" s="217"/>
      <c r="D2451" s="101"/>
      <c r="E2451" s="101"/>
      <c r="F2451" s="294"/>
      <c r="G2451" s="295"/>
      <c r="H2451" s="107"/>
      <c r="I2451" s="108"/>
      <c r="J2451" s="108"/>
      <c r="K2451" s="108"/>
      <c r="L2451" s="108"/>
      <c r="M2451" s="108"/>
      <c r="N2451" s="108"/>
      <c r="O2451" s="108"/>
      <c r="P2451" s="108"/>
      <c r="Q2451" s="108"/>
      <c r="R2451" s="108"/>
      <c r="S2451" s="108"/>
      <c r="T2451" s="108"/>
      <c r="U2451" s="233"/>
      <c r="V2451" s="233"/>
    </row>
    <row r="2452" spans="1:22" ht="15" customHeight="1">
      <c r="A2452" s="297"/>
      <c r="B2452" s="217"/>
      <c r="C2452" s="217"/>
      <c r="D2452" s="101"/>
      <c r="E2452" s="101"/>
      <c r="F2452" s="294"/>
      <c r="G2452" s="295"/>
      <c r="H2452" s="98"/>
      <c r="I2452" s="106"/>
      <c r="J2452" s="106"/>
      <c r="K2452" s="106"/>
      <c r="L2452" s="106"/>
      <c r="M2452" s="106"/>
      <c r="N2452" s="112"/>
      <c r="O2452" s="112"/>
      <c r="P2452" s="112"/>
      <c r="Q2452" s="113"/>
      <c r="R2452" s="113"/>
      <c r="S2452" s="113"/>
      <c r="T2452" s="113"/>
      <c r="U2452" s="113"/>
      <c r="V2452" s="113"/>
    </row>
    <row r="2453" spans="1:22" ht="15" customHeight="1">
      <c r="A2453" s="297"/>
      <c r="B2453" s="217"/>
      <c r="C2453" s="217"/>
      <c r="D2453" s="101"/>
      <c r="E2453" s="101"/>
      <c r="F2453" s="294"/>
      <c r="G2453" s="295"/>
      <c r="H2453" s="114"/>
      <c r="I2453" s="108"/>
      <c r="J2453" s="108"/>
      <c r="K2453" s="108"/>
      <c r="L2453" s="108"/>
      <c r="M2453" s="108"/>
      <c r="N2453" s="108"/>
      <c r="O2453" s="108"/>
      <c r="P2453" s="108"/>
      <c r="Q2453" s="108"/>
      <c r="R2453" s="108"/>
      <c r="S2453" s="108"/>
      <c r="T2453" s="108"/>
      <c r="U2453" s="233"/>
      <c r="V2453" s="233"/>
    </row>
    <row r="2454" spans="1:22" ht="15" customHeight="1">
      <c r="A2454" s="297"/>
      <c r="B2454" s="217"/>
      <c r="C2454" s="217"/>
      <c r="D2454" s="101"/>
      <c r="E2454" s="101"/>
      <c r="F2454" s="294"/>
      <c r="G2454" s="295"/>
      <c r="H2454" s="98"/>
      <c r="I2454" s="218"/>
      <c r="J2454" s="218"/>
      <c r="K2454" s="218"/>
      <c r="L2454" s="218"/>
      <c r="M2454" s="218"/>
      <c r="U2454" s="212"/>
      <c r="V2454" s="212"/>
    </row>
    <row r="2455" spans="1:22" ht="15" customHeight="1" thickBot="1">
      <c r="A2455" s="297"/>
      <c r="B2455" s="217"/>
      <c r="C2455" s="217"/>
      <c r="D2455" s="101"/>
      <c r="E2455" s="101"/>
      <c r="F2455" s="294"/>
      <c r="G2455" s="295"/>
      <c r="H2455" s="98"/>
      <c r="I2455" s="218"/>
      <c r="J2455" s="218"/>
      <c r="K2455" s="218"/>
      <c r="L2455" s="218"/>
      <c r="M2455" s="218"/>
      <c r="U2455" s="212"/>
      <c r="V2455" s="212"/>
    </row>
    <row r="2456" spans="1:22" ht="15" customHeight="1" thickBot="1">
      <c r="A2456" s="297"/>
      <c r="B2456" s="217"/>
      <c r="C2456" s="217"/>
      <c r="D2456" s="101"/>
      <c r="E2456" s="101"/>
      <c r="F2456" s="294"/>
      <c r="G2456" s="295"/>
      <c r="H2456" s="686"/>
      <c r="I2456" s="687"/>
      <c r="J2456" s="687"/>
      <c r="K2456" s="687"/>
      <c r="L2456" s="687"/>
      <c r="M2456" s="687"/>
      <c r="N2456" s="687"/>
      <c r="O2456" s="687"/>
      <c r="P2456" s="687"/>
      <c r="Q2456" s="687"/>
      <c r="R2456" s="687"/>
      <c r="S2456" s="715"/>
      <c r="T2456" s="688"/>
      <c r="U2456" s="254"/>
      <c r="V2456" s="254"/>
    </row>
    <row r="2457" spans="1:22" ht="15" customHeight="1">
      <c r="A2457" s="297"/>
      <c r="B2457" s="217"/>
      <c r="C2457" s="217"/>
      <c r="D2457" s="101"/>
      <c r="E2457" s="101"/>
      <c r="F2457" s="294"/>
      <c r="G2457" s="295"/>
      <c r="H2457" s="225"/>
      <c r="I2457" s="225"/>
      <c r="J2457" s="225"/>
      <c r="K2457" s="225"/>
      <c r="L2457" s="225"/>
      <c r="M2457" s="225"/>
      <c r="N2457" s="225"/>
      <c r="O2457" s="225"/>
      <c r="P2457" s="225"/>
      <c r="Q2457" s="225"/>
      <c r="R2457" s="225"/>
      <c r="S2457" s="225"/>
      <c r="T2457" s="225"/>
      <c r="U2457" s="225"/>
      <c r="V2457" s="225"/>
    </row>
    <row r="2458" spans="1:22" ht="15" customHeight="1">
      <c r="A2458" s="297"/>
      <c r="B2458" s="217"/>
      <c r="C2458" s="217"/>
      <c r="D2458" s="101"/>
      <c r="E2458" s="101"/>
      <c r="F2458" s="294"/>
      <c r="G2458" s="295"/>
      <c r="H2458" s="98"/>
      <c r="I2458" s="99"/>
      <c r="J2458" s="99"/>
      <c r="K2458" s="99"/>
      <c r="L2458" s="99"/>
      <c r="M2458" s="99"/>
      <c r="N2458" s="99"/>
      <c r="O2458" s="99"/>
      <c r="P2458" s="99"/>
      <c r="Q2458" s="99"/>
      <c r="R2458" s="99"/>
      <c r="S2458" s="99"/>
      <c r="T2458" s="99"/>
      <c r="U2458" s="99"/>
      <c r="V2458" s="99"/>
    </row>
    <row r="2459" spans="1:22" ht="15" customHeight="1">
      <c r="A2459" s="297"/>
      <c r="B2459" s="217"/>
      <c r="C2459" s="217"/>
      <c r="D2459" s="101"/>
      <c r="E2459" s="101"/>
      <c r="F2459" s="294"/>
      <c r="G2459" s="295"/>
      <c r="H2459" s="98"/>
      <c r="I2459" s="99"/>
      <c r="J2459" s="99"/>
      <c r="K2459" s="99"/>
      <c r="L2459" s="99"/>
      <c r="M2459" s="99"/>
      <c r="N2459" s="99"/>
      <c r="O2459" s="99"/>
      <c r="P2459" s="99"/>
      <c r="Q2459" s="99"/>
      <c r="R2459" s="99"/>
      <c r="S2459" s="99"/>
      <c r="T2459" s="99"/>
      <c r="U2459" s="99"/>
      <c r="V2459" s="99"/>
    </row>
    <row r="2460" spans="1:22" ht="15" customHeight="1">
      <c r="A2460" s="297"/>
      <c r="B2460" s="217"/>
      <c r="C2460" s="217"/>
      <c r="D2460" s="101"/>
      <c r="E2460" s="101"/>
      <c r="F2460" s="294"/>
      <c r="G2460" s="295"/>
      <c r="H2460" s="98"/>
      <c r="I2460" s="99"/>
      <c r="J2460" s="99"/>
      <c r="K2460" s="99"/>
      <c r="L2460" s="99"/>
      <c r="M2460" s="99"/>
      <c r="N2460" s="99"/>
      <c r="O2460" s="99"/>
      <c r="P2460" s="99"/>
      <c r="Q2460" s="99"/>
      <c r="R2460" s="99"/>
      <c r="S2460" s="99"/>
      <c r="T2460" s="99"/>
      <c r="U2460" s="99"/>
      <c r="V2460" s="99"/>
    </row>
    <row r="2461" spans="1:22" ht="15" customHeight="1">
      <c r="A2461" s="297"/>
      <c r="B2461" s="217"/>
      <c r="C2461" s="217"/>
      <c r="D2461" s="101"/>
      <c r="E2461" s="101"/>
      <c r="F2461" s="294"/>
      <c r="G2461" s="295"/>
      <c r="H2461" s="98"/>
      <c r="I2461" s="99"/>
      <c r="J2461" s="99"/>
      <c r="K2461" s="99"/>
      <c r="L2461" s="99"/>
      <c r="M2461" s="99"/>
      <c r="N2461" s="99"/>
      <c r="O2461" s="99"/>
      <c r="P2461" s="99"/>
      <c r="Q2461" s="99"/>
      <c r="R2461" s="99"/>
      <c r="S2461" s="99"/>
      <c r="T2461" s="99"/>
      <c r="U2461" s="99"/>
      <c r="V2461" s="99"/>
    </row>
    <row r="2462" spans="1:22" ht="15" customHeight="1">
      <c r="A2462" s="297"/>
      <c r="B2462" s="217"/>
      <c r="C2462" s="217"/>
      <c r="D2462" s="101"/>
      <c r="E2462" s="101"/>
      <c r="F2462" s="294"/>
      <c r="G2462" s="295"/>
      <c r="H2462" s="98"/>
      <c r="I2462" s="99"/>
      <c r="J2462" s="99"/>
      <c r="K2462" s="99"/>
      <c r="L2462" s="99"/>
      <c r="M2462" s="99"/>
      <c r="N2462" s="99"/>
      <c r="O2462" s="99"/>
      <c r="P2462" s="99"/>
      <c r="Q2462" s="99"/>
      <c r="R2462" s="99"/>
      <c r="S2462" s="99"/>
      <c r="T2462" s="99"/>
      <c r="U2462" s="99"/>
      <c r="V2462" s="99"/>
    </row>
    <row r="2463" spans="1:22" ht="15" customHeight="1">
      <c r="A2463" s="297"/>
      <c r="B2463" s="217"/>
      <c r="C2463" s="217"/>
      <c r="D2463" s="101"/>
      <c r="E2463" s="101"/>
      <c r="F2463" s="294"/>
      <c r="G2463" s="295"/>
      <c r="H2463" s="98"/>
      <c r="I2463" s="99"/>
      <c r="J2463" s="99"/>
      <c r="K2463" s="99"/>
      <c r="L2463" s="99"/>
      <c r="M2463" s="99"/>
      <c r="N2463" s="99"/>
      <c r="O2463" s="99"/>
      <c r="P2463" s="99"/>
      <c r="Q2463" s="99"/>
      <c r="R2463" s="99"/>
      <c r="S2463" s="99"/>
      <c r="T2463" s="99"/>
      <c r="U2463" s="99"/>
      <c r="V2463" s="99"/>
    </row>
    <row r="2464" spans="1:22" ht="15" customHeight="1">
      <c r="A2464" s="297"/>
      <c r="B2464" s="217"/>
      <c r="C2464" s="217"/>
      <c r="D2464" s="101"/>
      <c r="E2464" s="101"/>
      <c r="F2464" s="294"/>
      <c r="G2464" s="295"/>
      <c r="H2464" s="98"/>
      <c r="I2464" s="99"/>
      <c r="J2464" s="99"/>
      <c r="K2464" s="99"/>
      <c r="L2464" s="99"/>
      <c r="M2464" s="99"/>
      <c r="N2464" s="99"/>
      <c r="O2464" s="99"/>
      <c r="P2464" s="99"/>
      <c r="Q2464" s="99"/>
      <c r="R2464" s="99"/>
      <c r="S2464" s="99"/>
      <c r="T2464" s="99"/>
      <c r="U2464" s="99"/>
      <c r="V2464" s="99"/>
    </row>
    <row r="2465" spans="1:22" ht="15" customHeight="1">
      <c r="A2465" s="297"/>
      <c r="B2465" s="217"/>
      <c r="C2465" s="217"/>
      <c r="D2465" s="101"/>
      <c r="E2465" s="101"/>
      <c r="F2465" s="294"/>
      <c r="G2465" s="295"/>
      <c r="H2465" s="98"/>
      <c r="I2465" s="99"/>
      <c r="J2465" s="99"/>
      <c r="K2465" s="99"/>
      <c r="L2465" s="99"/>
      <c r="M2465" s="99"/>
      <c r="N2465" s="99"/>
      <c r="O2465" s="99"/>
      <c r="P2465" s="99"/>
      <c r="Q2465" s="99"/>
      <c r="R2465" s="99"/>
      <c r="S2465" s="99"/>
      <c r="T2465" s="99"/>
      <c r="U2465" s="99"/>
      <c r="V2465" s="99"/>
    </row>
    <row r="2466" spans="1:22" ht="15" customHeight="1">
      <c r="A2466" s="297"/>
      <c r="B2466" s="217"/>
      <c r="C2466" s="217"/>
      <c r="D2466" s="101"/>
      <c r="E2466" s="101"/>
      <c r="F2466" s="294"/>
      <c r="G2466" s="295"/>
      <c r="H2466" s="98"/>
      <c r="I2466" s="99"/>
      <c r="J2466" s="99"/>
      <c r="K2466" s="99"/>
      <c r="L2466" s="99"/>
      <c r="M2466" s="99"/>
      <c r="N2466" s="99"/>
      <c r="O2466" s="99"/>
      <c r="P2466" s="99"/>
      <c r="Q2466" s="99"/>
      <c r="R2466" s="99"/>
      <c r="S2466" s="99"/>
      <c r="T2466" s="99"/>
      <c r="U2466" s="99"/>
      <c r="V2466" s="99"/>
    </row>
    <row r="2467" spans="1:22" ht="15" customHeight="1">
      <c r="A2467" s="297"/>
      <c r="B2467" s="217"/>
      <c r="C2467" s="217"/>
      <c r="D2467" s="101"/>
      <c r="E2467" s="101"/>
      <c r="F2467" s="294"/>
      <c r="G2467" s="295"/>
      <c r="H2467" s="98"/>
      <c r="I2467" s="99"/>
      <c r="J2467" s="99"/>
      <c r="K2467" s="99"/>
      <c r="L2467" s="99"/>
      <c r="M2467" s="99"/>
      <c r="N2467" s="99"/>
      <c r="O2467" s="99"/>
      <c r="P2467" s="99"/>
      <c r="Q2467" s="99"/>
      <c r="R2467" s="99"/>
      <c r="S2467" s="99"/>
      <c r="T2467" s="99"/>
      <c r="U2467" s="99"/>
      <c r="V2467" s="99"/>
    </row>
    <row r="2468" spans="1:22" ht="15" customHeight="1">
      <c r="A2468" s="297"/>
      <c r="B2468" s="217"/>
      <c r="C2468" s="217"/>
      <c r="D2468" s="101"/>
      <c r="E2468" s="101"/>
      <c r="F2468" s="294"/>
      <c r="G2468" s="295"/>
      <c r="H2468" s="98"/>
      <c r="I2468" s="99"/>
      <c r="J2468" s="99"/>
      <c r="K2468" s="99"/>
      <c r="L2468" s="99"/>
      <c r="M2468" s="99"/>
      <c r="N2468" s="99"/>
      <c r="O2468" s="99"/>
      <c r="P2468" s="99"/>
      <c r="Q2468" s="99"/>
      <c r="R2468" s="99"/>
      <c r="S2468" s="99"/>
      <c r="T2468" s="99"/>
      <c r="U2468" s="99"/>
      <c r="V2468" s="99"/>
    </row>
    <row r="2469" spans="1:22" ht="15" customHeight="1">
      <c r="A2469" s="297"/>
      <c r="B2469" s="217"/>
      <c r="C2469" s="217"/>
      <c r="D2469" s="101"/>
      <c r="E2469" s="101"/>
      <c r="F2469" s="294"/>
      <c r="G2469" s="295"/>
      <c r="H2469" s="98"/>
      <c r="I2469" s="99"/>
      <c r="J2469" s="99"/>
      <c r="K2469" s="99"/>
      <c r="L2469" s="99"/>
      <c r="M2469" s="99"/>
      <c r="N2469" s="99"/>
      <c r="O2469" s="99"/>
      <c r="P2469" s="99"/>
      <c r="Q2469" s="99"/>
      <c r="R2469" s="99"/>
      <c r="S2469" s="99"/>
      <c r="T2469" s="99"/>
      <c r="U2469" s="99"/>
      <c r="V2469" s="99"/>
    </row>
    <row r="2470" spans="1:22" ht="15" customHeight="1">
      <c r="A2470" s="297"/>
      <c r="B2470" s="217"/>
      <c r="C2470" s="217"/>
      <c r="D2470" s="101"/>
      <c r="E2470" s="101"/>
      <c r="F2470" s="294"/>
      <c r="G2470" s="295"/>
      <c r="H2470" s="98"/>
      <c r="I2470" s="99"/>
      <c r="J2470" s="99"/>
      <c r="K2470" s="99"/>
      <c r="L2470" s="99"/>
      <c r="M2470" s="99"/>
      <c r="N2470" s="99"/>
      <c r="O2470" s="99"/>
      <c r="P2470" s="99"/>
      <c r="Q2470" s="99"/>
      <c r="R2470" s="99"/>
      <c r="S2470" s="99"/>
      <c r="T2470" s="99"/>
      <c r="U2470" s="99"/>
      <c r="V2470" s="99"/>
    </row>
    <row r="2471" spans="1:22" ht="15" customHeight="1">
      <c r="A2471" s="297"/>
      <c r="B2471" s="217"/>
      <c r="C2471" s="217"/>
      <c r="D2471" s="101"/>
      <c r="E2471" s="101"/>
      <c r="F2471" s="294"/>
      <c r="G2471" s="295"/>
      <c r="H2471" s="98"/>
      <c r="I2471" s="99"/>
      <c r="J2471" s="99"/>
      <c r="K2471" s="99"/>
      <c r="L2471" s="99"/>
      <c r="M2471" s="99"/>
      <c r="N2471" s="99"/>
      <c r="O2471" s="99"/>
      <c r="P2471" s="99"/>
      <c r="Q2471" s="99"/>
      <c r="R2471" s="99"/>
      <c r="S2471" s="99"/>
      <c r="T2471" s="99"/>
      <c r="U2471" s="99"/>
      <c r="V2471" s="99"/>
    </row>
    <row r="2472" spans="1:22" ht="15" customHeight="1">
      <c r="A2472" s="297"/>
      <c r="B2472" s="217"/>
      <c r="C2472" s="217"/>
      <c r="D2472" s="101"/>
      <c r="E2472" s="101"/>
      <c r="F2472" s="294"/>
      <c r="G2472" s="295"/>
      <c r="H2472" s="107"/>
      <c r="I2472" s="108"/>
      <c r="J2472" s="108"/>
      <c r="K2472" s="108"/>
      <c r="L2472" s="108"/>
      <c r="M2472" s="108"/>
      <c r="N2472" s="109"/>
      <c r="O2472" s="109"/>
      <c r="P2472" s="109"/>
      <c r="Q2472" s="109"/>
      <c r="R2472" s="109"/>
      <c r="S2472" s="109"/>
      <c r="T2472" s="109"/>
      <c r="U2472" s="202"/>
      <c r="V2472" s="202"/>
    </row>
    <row r="2473" spans="1:22" ht="15" customHeight="1">
      <c r="A2473" s="297"/>
      <c r="B2473" s="217"/>
      <c r="C2473" s="217"/>
      <c r="D2473" s="101"/>
      <c r="E2473" s="101"/>
      <c r="F2473" s="294"/>
      <c r="G2473" s="295"/>
      <c r="H2473" s="98"/>
      <c r="I2473" s="106"/>
      <c r="J2473" s="106"/>
      <c r="K2473" s="106"/>
      <c r="L2473" s="106"/>
      <c r="M2473" s="106"/>
      <c r="N2473" s="112"/>
      <c r="O2473" s="112"/>
      <c r="P2473" s="112"/>
      <c r="Q2473" s="113"/>
      <c r="T2473" s="113"/>
      <c r="U2473" s="113"/>
      <c r="V2473" s="113"/>
    </row>
    <row r="2474" spans="1:22" ht="15" customHeight="1">
      <c r="A2474" s="297"/>
      <c r="B2474" s="217"/>
      <c r="C2474" s="217"/>
      <c r="D2474" s="101"/>
      <c r="E2474" s="101"/>
      <c r="F2474" s="294"/>
      <c r="G2474" s="295"/>
      <c r="H2474" s="98"/>
      <c r="I2474" s="99"/>
      <c r="J2474" s="99"/>
      <c r="K2474" s="99"/>
      <c r="L2474" s="99"/>
      <c r="M2474" s="99"/>
      <c r="N2474" s="99"/>
      <c r="O2474" s="99"/>
      <c r="P2474" s="99"/>
      <c r="Q2474" s="99"/>
      <c r="R2474" s="99"/>
      <c r="S2474" s="99"/>
      <c r="T2474" s="99"/>
      <c r="U2474" s="99"/>
      <c r="V2474" s="99"/>
    </row>
    <row r="2475" spans="1:22" ht="15" customHeight="1">
      <c r="A2475" s="297"/>
      <c r="B2475" s="217"/>
      <c r="C2475" s="217"/>
      <c r="D2475" s="101"/>
      <c r="E2475" s="101"/>
      <c r="F2475" s="294"/>
      <c r="G2475" s="295"/>
      <c r="H2475" s="98"/>
      <c r="I2475" s="99"/>
      <c r="J2475" s="99"/>
      <c r="K2475" s="99"/>
      <c r="L2475" s="99"/>
      <c r="M2475" s="99"/>
      <c r="N2475" s="99"/>
      <c r="O2475" s="99"/>
      <c r="P2475" s="99"/>
      <c r="Q2475" s="99"/>
      <c r="R2475" s="99"/>
      <c r="S2475" s="99"/>
      <c r="T2475" s="99"/>
      <c r="U2475" s="99"/>
      <c r="V2475" s="99"/>
    </row>
    <row r="2476" spans="1:22" ht="15" customHeight="1">
      <c r="A2476" s="297"/>
      <c r="B2476" s="217"/>
      <c r="C2476" s="217"/>
      <c r="D2476" s="101"/>
      <c r="E2476" s="101"/>
      <c r="F2476" s="294"/>
      <c r="G2476" s="295"/>
      <c r="H2476" s="98"/>
      <c r="I2476" s="99"/>
      <c r="J2476" s="99"/>
      <c r="K2476" s="99"/>
      <c r="L2476" s="99"/>
      <c r="M2476" s="99"/>
      <c r="N2476" s="99"/>
      <c r="O2476" s="99"/>
      <c r="P2476" s="99"/>
      <c r="Q2476" s="99"/>
      <c r="R2476" s="99"/>
      <c r="S2476" s="99"/>
      <c r="T2476" s="99"/>
      <c r="U2476" s="99"/>
      <c r="V2476" s="99"/>
    </row>
    <row r="2477" spans="1:22" ht="15" customHeight="1">
      <c r="A2477" s="297"/>
      <c r="B2477" s="217"/>
      <c r="C2477" s="217"/>
      <c r="D2477" s="101"/>
      <c r="E2477" s="101"/>
      <c r="F2477" s="294"/>
      <c r="G2477" s="295"/>
      <c r="H2477" s="98"/>
      <c r="I2477" s="99"/>
      <c r="J2477" s="99"/>
      <c r="K2477" s="99"/>
      <c r="L2477" s="99"/>
      <c r="M2477" s="99"/>
      <c r="N2477" s="99"/>
      <c r="O2477" s="99"/>
      <c r="P2477" s="99"/>
      <c r="Q2477" s="99"/>
      <c r="R2477" s="99"/>
      <c r="S2477" s="99"/>
      <c r="T2477" s="99"/>
      <c r="U2477" s="99"/>
      <c r="V2477" s="99"/>
    </row>
    <row r="2478" spans="1:22" ht="15" customHeight="1">
      <c r="A2478" s="297"/>
      <c r="B2478" s="217"/>
      <c r="C2478" s="217"/>
      <c r="D2478" s="101"/>
      <c r="E2478" s="101"/>
      <c r="F2478" s="294"/>
      <c r="G2478" s="295"/>
      <c r="H2478" s="98"/>
      <c r="I2478" s="99"/>
      <c r="J2478" s="99"/>
      <c r="K2478" s="99"/>
      <c r="L2478" s="99"/>
      <c r="M2478" s="99"/>
      <c r="N2478" s="99"/>
      <c r="O2478" s="99"/>
      <c r="P2478" s="99"/>
      <c r="Q2478" s="99"/>
      <c r="R2478" s="99"/>
      <c r="S2478" s="99"/>
      <c r="T2478" s="99"/>
      <c r="U2478" s="99"/>
      <c r="V2478" s="99"/>
    </row>
    <row r="2479" spans="1:22" ht="15" customHeight="1">
      <c r="A2479" s="297"/>
      <c r="B2479" s="217"/>
      <c r="C2479" s="217"/>
      <c r="D2479" s="101"/>
      <c r="E2479" s="101"/>
      <c r="F2479" s="294"/>
      <c r="G2479" s="295"/>
      <c r="H2479" s="98"/>
      <c r="I2479" s="99"/>
      <c r="J2479" s="99"/>
      <c r="K2479" s="99"/>
      <c r="L2479" s="99"/>
      <c r="M2479" s="99"/>
      <c r="N2479" s="99"/>
      <c r="O2479" s="99"/>
      <c r="P2479" s="99"/>
      <c r="Q2479" s="99"/>
      <c r="R2479" s="99"/>
      <c r="S2479" s="99"/>
      <c r="T2479" s="99"/>
      <c r="U2479" s="99"/>
      <c r="V2479" s="99"/>
    </row>
    <row r="2480" spans="1:22" ht="15" customHeight="1">
      <c r="A2480" s="297"/>
      <c r="B2480" s="217"/>
      <c r="C2480" s="217"/>
      <c r="D2480" s="101"/>
      <c r="E2480" s="101"/>
      <c r="F2480" s="294"/>
      <c r="G2480" s="295"/>
      <c r="H2480" s="98"/>
      <c r="I2480" s="99"/>
      <c r="J2480" s="99"/>
      <c r="K2480" s="99"/>
      <c r="L2480" s="99"/>
      <c r="M2480" s="99"/>
      <c r="N2480" s="99"/>
      <c r="O2480" s="99"/>
      <c r="P2480" s="99"/>
      <c r="Q2480" s="99"/>
      <c r="R2480" s="99"/>
      <c r="S2480" s="99"/>
      <c r="T2480" s="99"/>
      <c r="U2480" s="99"/>
      <c r="V2480" s="99"/>
    </row>
    <row r="2481" spans="1:22" ht="15" customHeight="1">
      <c r="A2481" s="297"/>
      <c r="B2481" s="217"/>
      <c r="C2481" s="217"/>
      <c r="D2481" s="101"/>
      <c r="E2481" s="101"/>
      <c r="F2481" s="294"/>
      <c r="G2481" s="295"/>
      <c r="H2481" s="98"/>
      <c r="I2481" s="99"/>
      <c r="J2481" s="99"/>
      <c r="K2481" s="99"/>
      <c r="L2481" s="99"/>
      <c r="M2481" s="99"/>
      <c r="N2481" s="99"/>
      <c r="O2481" s="99"/>
      <c r="P2481" s="99"/>
      <c r="Q2481" s="99"/>
      <c r="R2481" s="99"/>
      <c r="S2481" s="99"/>
      <c r="T2481" s="99"/>
      <c r="U2481" s="99"/>
      <c r="V2481" s="99"/>
    </row>
    <row r="2482" spans="1:22" ht="15" customHeight="1">
      <c r="A2482" s="297"/>
      <c r="B2482" s="217"/>
      <c r="C2482" s="217"/>
      <c r="D2482" s="101"/>
      <c r="E2482" s="101"/>
      <c r="F2482" s="294"/>
      <c r="G2482" s="295"/>
      <c r="H2482" s="98"/>
      <c r="I2482" s="99"/>
      <c r="J2482" s="99"/>
      <c r="K2482" s="99"/>
      <c r="L2482" s="99"/>
      <c r="M2482" s="99"/>
      <c r="N2482" s="99"/>
      <c r="O2482" s="99"/>
      <c r="P2482" s="99"/>
      <c r="Q2482" s="99"/>
      <c r="R2482" s="99"/>
      <c r="S2482" s="99"/>
      <c r="T2482" s="99"/>
      <c r="U2482" s="99"/>
      <c r="V2482" s="99"/>
    </row>
    <row r="2483" spans="1:22" ht="15" customHeight="1">
      <c r="A2483" s="297"/>
      <c r="B2483" s="217"/>
      <c r="C2483" s="217"/>
      <c r="D2483" s="101"/>
      <c r="E2483" s="101"/>
      <c r="F2483" s="294"/>
      <c r="G2483" s="295"/>
      <c r="H2483" s="98"/>
      <c r="I2483" s="99"/>
      <c r="J2483" s="99"/>
      <c r="K2483" s="99"/>
      <c r="L2483" s="99"/>
      <c r="M2483" s="99"/>
      <c r="N2483" s="99"/>
      <c r="O2483" s="99"/>
      <c r="P2483" s="99"/>
      <c r="Q2483" s="99"/>
      <c r="R2483" s="99"/>
      <c r="S2483" s="99"/>
      <c r="T2483" s="99"/>
      <c r="U2483" s="99"/>
      <c r="V2483" s="99"/>
    </row>
    <row r="2484" spans="1:22" ht="15" customHeight="1">
      <c r="A2484" s="297"/>
      <c r="B2484" s="217"/>
      <c r="C2484" s="217"/>
      <c r="D2484" s="101"/>
      <c r="E2484" s="101"/>
      <c r="F2484" s="294"/>
      <c r="G2484" s="295"/>
      <c r="H2484" s="98"/>
      <c r="I2484" s="99"/>
      <c r="J2484" s="99"/>
      <c r="K2484" s="99"/>
      <c r="L2484" s="99"/>
      <c r="M2484" s="99"/>
      <c r="N2484" s="99"/>
      <c r="O2484" s="99"/>
      <c r="P2484" s="99"/>
      <c r="Q2484" s="99"/>
      <c r="R2484" s="99"/>
      <c r="S2484" s="99"/>
      <c r="T2484" s="99"/>
      <c r="U2484" s="99"/>
      <c r="V2484" s="99"/>
    </row>
    <row r="2485" spans="1:22" ht="15" customHeight="1">
      <c r="A2485" s="297"/>
      <c r="B2485" s="217"/>
      <c r="C2485" s="217"/>
      <c r="D2485" s="101"/>
      <c r="E2485" s="101"/>
      <c r="F2485" s="294"/>
      <c r="G2485" s="295"/>
      <c r="H2485" s="98"/>
      <c r="I2485" s="99"/>
      <c r="J2485" s="99"/>
      <c r="K2485" s="99"/>
      <c r="L2485" s="99"/>
      <c r="M2485" s="99"/>
      <c r="N2485" s="99"/>
      <c r="O2485" s="99"/>
      <c r="P2485" s="99"/>
      <c r="Q2485" s="99"/>
      <c r="R2485" s="99"/>
      <c r="S2485" s="99"/>
      <c r="T2485" s="99"/>
      <c r="U2485" s="99"/>
      <c r="V2485" s="99"/>
    </row>
    <row r="2486" spans="1:22" ht="15" customHeight="1">
      <c r="A2486" s="297"/>
      <c r="B2486" s="217"/>
      <c r="C2486" s="217"/>
      <c r="D2486" s="101"/>
      <c r="E2486" s="101"/>
      <c r="F2486" s="294"/>
      <c r="G2486" s="295"/>
      <c r="H2486" s="107"/>
      <c r="I2486" s="108"/>
      <c r="J2486" s="108"/>
      <c r="K2486" s="108"/>
      <c r="L2486" s="108"/>
      <c r="M2486" s="108"/>
      <c r="N2486" s="109"/>
      <c r="O2486" s="109"/>
      <c r="P2486" s="109"/>
      <c r="Q2486" s="109"/>
      <c r="R2486" s="109"/>
      <c r="S2486" s="109"/>
      <c r="T2486" s="109"/>
      <c r="U2486" s="202"/>
      <c r="V2486" s="202"/>
    </row>
    <row r="2487" spans="1:22" ht="15" customHeight="1">
      <c r="A2487" s="297"/>
      <c r="B2487" s="217"/>
      <c r="C2487" s="217"/>
      <c r="D2487" s="101"/>
      <c r="E2487" s="101"/>
      <c r="F2487" s="294"/>
      <c r="G2487" s="295"/>
      <c r="H2487" s="98"/>
      <c r="I2487" s="106"/>
      <c r="J2487" s="106"/>
      <c r="K2487" s="106"/>
      <c r="L2487" s="106"/>
      <c r="M2487" s="106"/>
      <c r="N2487" s="112"/>
      <c r="O2487" s="112"/>
      <c r="P2487" s="112"/>
      <c r="Q2487" s="113"/>
      <c r="R2487" s="99"/>
      <c r="S2487" s="99"/>
      <c r="T2487" s="113"/>
      <c r="U2487" s="113"/>
      <c r="V2487" s="113"/>
    </row>
    <row r="2488" spans="1:22" ht="15" customHeight="1">
      <c r="A2488" s="297"/>
      <c r="B2488" s="217"/>
      <c r="C2488" s="217"/>
      <c r="D2488" s="101"/>
      <c r="E2488" s="101"/>
      <c r="F2488" s="294"/>
      <c r="G2488" s="295"/>
      <c r="H2488" s="98"/>
      <c r="I2488" s="99"/>
      <c r="J2488" s="99"/>
      <c r="K2488" s="99"/>
      <c r="L2488" s="99"/>
      <c r="M2488" s="99"/>
      <c r="N2488" s="99"/>
      <c r="O2488" s="99"/>
      <c r="P2488" s="99"/>
      <c r="Q2488" s="99"/>
      <c r="R2488" s="99"/>
      <c r="S2488" s="99"/>
      <c r="T2488" s="99"/>
      <c r="U2488" s="99"/>
      <c r="V2488" s="99"/>
    </row>
    <row r="2489" spans="1:22" ht="15" customHeight="1">
      <c r="A2489" s="297"/>
      <c r="B2489" s="217"/>
      <c r="C2489" s="217"/>
      <c r="D2489" s="101"/>
      <c r="E2489" s="101"/>
      <c r="F2489" s="294"/>
      <c r="G2489" s="295"/>
      <c r="H2489" s="98"/>
      <c r="I2489" s="99"/>
      <c r="J2489" s="99"/>
      <c r="K2489" s="99"/>
      <c r="L2489" s="99"/>
      <c r="M2489" s="99"/>
      <c r="N2489" s="99"/>
      <c r="O2489" s="99"/>
      <c r="P2489" s="99"/>
      <c r="Q2489" s="99"/>
      <c r="R2489" s="99"/>
      <c r="S2489" s="99"/>
      <c r="T2489" s="99"/>
      <c r="U2489" s="99"/>
      <c r="V2489" s="99"/>
    </row>
    <row r="2490" spans="1:22" ht="15" customHeight="1">
      <c r="A2490" s="297"/>
      <c r="B2490" s="217"/>
      <c r="C2490" s="217"/>
      <c r="D2490" s="101"/>
      <c r="E2490" s="101"/>
      <c r="F2490" s="294"/>
      <c r="G2490" s="295"/>
      <c r="H2490" s="98"/>
      <c r="I2490" s="99"/>
      <c r="J2490" s="99"/>
      <c r="K2490" s="99"/>
      <c r="L2490" s="99"/>
      <c r="M2490" s="99"/>
      <c r="N2490" s="99"/>
      <c r="O2490" s="99"/>
      <c r="P2490" s="99"/>
      <c r="Q2490" s="99"/>
      <c r="R2490" s="99"/>
      <c r="S2490" s="99"/>
      <c r="T2490" s="99"/>
      <c r="U2490" s="99"/>
      <c r="V2490" s="99"/>
    </row>
    <row r="2491" spans="1:22" ht="15" customHeight="1">
      <c r="A2491" s="297"/>
      <c r="B2491" s="217"/>
      <c r="C2491" s="217"/>
      <c r="D2491" s="101"/>
      <c r="E2491" s="101"/>
      <c r="F2491" s="294"/>
      <c r="G2491" s="295"/>
      <c r="H2491" s="98"/>
      <c r="I2491" s="99"/>
      <c r="J2491" s="99"/>
      <c r="K2491" s="99"/>
      <c r="L2491" s="99"/>
      <c r="M2491" s="99"/>
      <c r="N2491" s="99"/>
      <c r="O2491" s="99"/>
      <c r="P2491" s="99"/>
      <c r="Q2491" s="99"/>
      <c r="R2491" s="99"/>
      <c r="S2491" s="99"/>
      <c r="T2491" s="99"/>
      <c r="U2491" s="99"/>
      <c r="V2491" s="99"/>
    </row>
    <row r="2492" spans="1:22" ht="15" customHeight="1">
      <c r="A2492" s="297"/>
      <c r="B2492" s="217"/>
      <c r="C2492" s="217"/>
      <c r="D2492" s="101"/>
      <c r="E2492" s="101"/>
      <c r="F2492" s="294"/>
      <c r="G2492" s="295"/>
      <c r="H2492" s="98"/>
      <c r="I2492" s="99"/>
      <c r="J2492" s="99"/>
      <c r="K2492" s="99"/>
      <c r="L2492" s="99"/>
      <c r="M2492" s="99"/>
      <c r="N2492" s="99"/>
      <c r="O2492" s="99"/>
      <c r="P2492" s="99"/>
      <c r="Q2492" s="99"/>
      <c r="R2492" s="99"/>
      <c r="S2492" s="99"/>
      <c r="T2492" s="99"/>
      <c r="U2492" s="99"/>
      <c r="V2492" s="99"/>
    </row>
    <row r="2493" spans="1:22" ht="15" customHeight="1">
      <c r="A2493" s="297"/>
      <c r="B2493" s="217"/>
      <c r="C2493" s="217"/>
      <c r="D2493" s="101"/>
      <c r="E2493" s="101"/>
      <c r="F2493" s="294"/>
      <c r="G2493" s="295"/>
      <c r="H2493" s="98"/>
      <c r="I2493" s="99"/>
      <c r="J2493" s="99"/>
      <c r="K2493" s="99"/>
      <c r="L2493" s="99"/>
      <c r="M2493" s="99"/>
      <c r="N2493" s="99"/>
      <c r="O2493" s="99"/>
      <c r="P2493" s="99"/>
      <c r="Q2493" s="99"/>
      <c r="R2493" s="99"/>
      <c r="S2493" s="99"/>
      <c r="T2493" s="99"/>
      <c r="U2493" s="99"/>
      <c r="V2493" s="99"/>
    </row>
    <row r="2494" spans="1:22" ht="15" customHeight="1">
      <c r="A2494" s="297"/>
      <c r="B2494" s="217"/>
      <c r="C2494" s="217"/>
      <c r="D2494" s="101"/>
      <c r="E2494" s="101"/>
      <c r="F2494" s="294"/>
      <c r="G2494" s="295"/>
      <c r="H2494" s="98"/>
      <c r="I2494" s="99"/>
      <c r="J2494" s="99"/>
      <c r="K2494" s="99"/>
      <c r="L2494" s="99"/>
      <c r="M2494" s="99"/>
      <c r="N2494" s="99"/>
      <c r="O2494" s="99"/>
      <c r="P2494" s="99"/>
      <c r="Q2494" s="99"/>
      <c r="R2494" s="99"/>
      <c r="S2494" s="99"/>
      <c r="T2494" s="99"/>
      <c r="U2494" s="99"/>
      <c r="V2494" s="99"/>
    </row>
    <row r="2495" spans="1:22" ht="15" customHeight="1">
      <c r="A2495" s="297"/>
      <c r="B2495" s="217"/>
      <c r="C2495" s="217"/>
      <c r="D2495" s="101"/>
      <c r="E2495" s="101"/>
      <c r="F2495" s="294"/>
      <c r="G2495" s="295"/>
      <c r="H2495" s="98"/>
      <c r="I2495" s="99"/>
      <c r="J2495" s="99"/>
      <c r="K2495" s="99"/>
      <c r="L2495" s="99"/>
      <c r="M2495" s="99"/>
      <c r="N2495" s="99"/>
      <c r="O2495" s="99"/>
      <c r="P2495" s="99"/>
      <c r="Q2495" s="99"/>
      <c r="R2495" s="99"/>
      <c r="S2495" s="99"/>
      <c r="T2495" s="99"/>
      <c r="U2495" s="99"/>
      <c r="V2495" s="99"/>
    </row>
    <row r="2496" spans="1:22" ht="15" customHeight="1">
      <c r="A2496" s="297"/>
      <c r="B2496" s="217"/>
      <c r="C2496" s="217"/>
      <c r="D2496" s="101"/>
      <c r="E2496" s="101"/>
      <c r="F2496" s="294"/>
      <c r="G2496" s="295"/>
      <c r="H2496" s="98"/>
      <c r="I2496" s="99"/>
      <c r="J2496" s="99"/>
      <c r="K2496" s="99"/>
      <c r="L2496" s="99"/>
      <c r="M2496" s="99"/>
      <c r="N2496" s="99"/>
      <c r="O2496" s="99"/>
      <c r="P2496" s="99"/>
      <c r="Q2496" s="99"/>
      <c r="R2496" s="99"/>
      <c r="S2496" s="99"/>
      <c r="T2496" s="99"/>
      <c r="U2496" s="99"/>
      <c r="V2496" s="99"/>
    </row>
    <row r="2497" spans="1:22" ht="15" customHeight="1">
      <c r="A2497" s="297"/>
      <c r="B2497" s="217"/>
      <c r="C2497" s="217"/>
      <c r="D2497" s="101"/>
      <c r="E2497" s="101"/>
      <c r="F2497" s="294"/>
      <c r="G2497" s="295"/>
      <c r="H2497" s="98"/>
      <c r="I2497" s="99"/>
      <c r="J2497" s="99"/>
      <c r="K2497" s="99"/>
      <c r="L2497" s="99"/>
      <c r="M2497" s="99"/>
      <c r="N2497" s="99"/>
      <c r="O2497" s="99"/>
      <c r="P2497" s="99"/>
      <c r="Q2497" s="99"/>
      <c r="R2497" s="99"/>
      <c r="S2497" s="99"/>
      <c r="T2497" s="99"/>
      <c r="U2497" s="99"/>
      <c r="V2497" s="99"/>
    </row>
    <row r="2498" spans="1:22" ht="15" customHeight="1">
      <c r="A2498" s="297"/>
      <c r="B2498" s="217"/>
      <c r="C2498" s="217"/>
      <c r="D2498" s="101"/>
      <c r="E2498" s="101"/>
      <c r="F2498" s="294"/>
      <c r="G2498" s="295"/>
      <c r="H2498" s="98"/>
      <c r="I2498" s="99"/>
      <c r="J2498" s="99"/>
      <c r="K2498" s="99"/>
      <c r="L2498" s="99"/>
      <c r="M2498" s="99"/>
      <c r="N2498" s="99"/>
      <c r="O2498" s="99"/>
      <c r="P2498" s="99"/>
      <c r="Q2498" s="99"/>
      <c r="R2498" s="99"/>
      <c r="S2498" s="99"/>
      <c r="T2498" s="99"/>
      <c r="U2498" s="99"/>
      <c r="V2498" s="99"/>
    </row>
    <row r="2499" spans="1:22" ht="15" customHeight="1">
      <c r="A2499" s="297"/>
      <c r="B2499" s="217"/>
      <c r="C2499" s="217"/>
      <c r="D2499" s="101"/>
      <c r="E2499" s="101"/>
      <c r="F2499" s="294"/>
      <c r="G2499" s="295"/>
      <c r="H2499" s="98"/>
      <c r="I2499" s="99"/>
      <c r="J2499" s="99"/>
      <c r="K2499" s="99"/>
      <c r="L2499" s="99"/>
      <c r="M2499" s="99"/>
      <c r="N2499" s="99"/>
      <c r="O2499" s="99"/>
      <c r="P2499" s="99"/>
      <c r="Q2499" s="99"/>
      <c r="R2499" s="99"/>
      <c r="S2499" s="99"/>
      <c r="T2499" s="99"/>
      <c r="U2499" s="99"/>
      <c r="V2499" s="99"/>
    </row>
    <row r="2500" spans="1:22" ht="15" customHeight="1">
      <c r="A2500" s="297"/>
      <c r="B2500" s="217"/>
      <c r="C2500" s="217"/>
      <c r="D2500" s="101"/>
      <c r="E2500" s="101"/>
      <c r="F2500" s="294"/>
      <c r="G2500" s="295"/>
      <c r="H2500" s="98"/>
      <c r="I2500" s="99"/>
      <c r="J2500" s="99"/>
      <c r="K2500" s="99"/>
      <c r="L2500" s="99"/>
      <c r="M2500" s="99"/>
      <c r="N2500" s="99"/>
      <c r="O2500" s="99"/>
      <c r="P2500" s="99"/>
      <c r="Q2500" s="99"/>
      <c r="R2500" s="99"/>
      <c r="S2500" s="99"/>
      <c r="T2500" s="99"/>
      <c r="U2500" s="99"/>
      <c r="V2500" s="99"/>
    </row>
    <row r="2501" spans="1:22" ht="15" customHeight="1">
      <c r="A2501" s="297"/>
      <c r="B2501" s="217"/>
      <c r="C2501" s="217"/>
      <c r="D2501" s="101"/>
      <c r="E2501" s="101"/>
      <c r="F2501" s="294"/>
      <c r="G2501" s="295"/>
      <c r="H2501" s="98"/>
      <c r="I2501" s="99"/>
      <c r="J2501" s="99"/>
      <c r="K2501" s="99"/>
      <c r="L2501" s="99"/>
      <c r="M2501" s="99"/>
      <c r="N2501" s="99"/>
      <c r="O2501" s="99"/>
      <c r="P2501" s="99"/>
      <c r="Q2501" s="99"/>
      <c r="R2501" s="99"/>
      <c r="S2501" s="99"/>
      <c r="T2501" s="99"/>
      <c r="U2501" s="99"/>
      <c r="V2501" s="99"/>
    </row>
    <row r="2502" spans="1:22" ht="15" customHeight="1">
      <c r="A2502" s="297"/>
      <c r="B2502" s="217"/>
      <c r="C2502" s="217"/>
      <c r="D2502" s="101"/>
      <c r="E2502" s="101"/>
      <c r="F2502" s="294"/>
      <c r="G2502" s="295"/>
      <c r="H2502" s="98"/>
      <c r="I2502" s="99"/>
      <c r="J2502" s="99"/>
      <c r="K2502" s="99"/>
      <c r="L2502" s="99"/>
      <c r="M2502" s="99"/>
      <c r="N2502" s="99"/>
      <c r="O2502" s="99"/>
      <c r="P2502" s="99"/>
      <c r="Q2502" s="99"/>
      <c r="R2502" s="99"/>
      <c r="S2502" s="99"/>
      <c r="T2502" s="99"/>
      <c r="U2502" s="99"/>
      <c r="V2502" s="99"/>
    </row>
    <row r="2503" spans="1:22" ht="15" customHeight="1">
      <c r="A2503" s="297"/>
      <c r="B2503" s="217"/>
      <c r="C2503" s="217"/>
      <c r="D2503" s="101"/>
      <c r="E2503" s="101"/>
      <c r="F2503" s="294"/>
      <c r="G2503" s="295"/>
      <c r="H2503" s="107"/>
      <c r="I2503" s="108"/>
      <c r="J2503" s="108"/>
      <c r="K2503" s="108"/>
      <c r="L2503" s="108"/>
      <c r="M2503" s="108"/>
      <c r="N2503" s="108"/>
      <c r="O2503" s="108"/>
      <c r="P2503" s="108"/>
      <c r="Q2503" s="108"/>
      <c r="R2503" s="108"/>
      <c r="S2503" s="108"/>
      <c r="T2503" s="108"/>
      <c r="U2503" s="233"/>
      <c r="V2503" s="233"/>
    </row>
    <row r="2504" spans="1:22" ht="15" customHeight="1">
      <c r="A2504" s="297"/>
      <c r="B2504" s="217"/>
      <c r="C2504" s="217"/>
      <c r="D2504" s="101"/>
      <c r="E2504" s="101"/>
      <c r="F2504" s="294"/>
      <c r="G2504" s="295"/>
      <c r="H2504" s="98"/>
      <c r="I2504" s="106"/>
      <c r="J2504" s="106"/>
      <c r="K2504" s="106"/>
      <c r="L2504" s="106"/>
      <c r="M2504" s="106"/>
      <c r="N2504" s="112"/>
      <c r="O2504" s="112"/>
      <c r="P2504" s="112"/>
      <c r="Q2504" s="113"/>
      <c r="T2504" s="113"/>
      <c r="U2504" s="113"/>
      <c r="V2504" s="113"/>
    </row>
    <row r="2505" spans="1:22" ht="15" customHeight="1">
      <c r="A2505" s="297"/>
      <c r="B2505" s="217"/>
      <c r="C2505" s="217"/>
      <c r="D2505" s="101"/>
      <c r="E2505" s="101"/>
      <c r="F2505" s="294"/>
      <c r="G2505" s="295"/>
      <c r="H2505" s="98"/>
      <c r="I2505" s="99"/>
      <c r="J2505" s="99"/>
      <c r="K2505" s="99"/>
      <c r="L2505" s="99"/>
      <c r="M2505" s="99"/>
      <c r="N2505" s="99"/>
      <c r="O2505" s="99"/>
      <c r="P2505" s="99"/>
      <c r="Q2505" s="99"/>
      <c r="R2505" s="99"/>
      <c r="S2505" s="99"/>
      <c r="T2505" s="99"/>
      <c r="U2505" s="99"/>
      <c r="V2505" s="99"/>
    </row>
    <row r="2506" spans="1:22" ht="15" customHeight="1">
      <c r="A2506" s="297"/>
      <c r="B2506" s="217"/>
      <c r="C2506" s="217"/>
      <c r="D2506" s="101"/>
      <c r="E2506" s="101"/>
      <c r="F2506" s="294"/>
      <c r="G2506" s="295"/>
      <c r="H2506" s="98"/>
      <c r="I2506" s="99"/>
      <c r="J2506" s="99"/>
      <c r="K2506" s="99"/>
      <c r="L2506" s="99"/>
      <c r="M2506" s="99"/>
      <c r="N2506" s="99"/>
      <c r="O2506" s="99"/>
      <c r="P2506" s="99"/>
      <c r="Q2506" s="99"/>
      <c r="R2506" s="99"/>
      <c r="S2506" s="99"/>
      <c r="T2506" s="99"/>
      <c r="U2506" s="99"/>
      <c r="V2506" s="99"/>
    </row>
    <row r="2507" spans="1:22" ht="15" customHeight="1">
      <c r="A2507" s="297"/>
      <c r="B2507" s="217"/>
      <c r="C2507" s="217"/>
      <c r="D2507" s="101"/>
      <c r="E2507" s="101"/>
      <c r="F2507" s="294"/>
      <c r="G2507" s="295"/>
      <c r="H2507" s="98"/>
      <c r="I2507" s="99"/>
      <c r="J2507" s="99"/>
      <c r="K2507" s="99"/>
      <c r="L2507" s="99"/>
      <c r="M2507" s="99"/>
      <c r="N2507" s="99"/>
      <c r="O2507" s="99"/>
      <c r="P2507" s="99"/>
      <c r="Q2507" s="99"/>
      <c r="R2507" s="99"/>
      <c r="S2507" s="99"/>
      <c r="T2507" s="99"/>
      <c r="U2507" s="99"/>
      <c r="V2507" s="99"/>
    </row>
    <row r="2508" spans="1:22" ht="15" customHeight="1">
      <c r="A2508" s="297"/>
      <c r="B2508" s="217"/>
      <c r="C2508" s="217"/>
      <c r="D2508" s="101"/>
      <c r="E2508" s="101"/>
      <c r="F2508" s="294"/>
      <c r="G2508" s="295"/>
      <c r="H2508" s="98"/>
      <c r="I2508" s="99"/>
      <c r="J2508" s="99"/>
      <c r="K2508" s="99"/>
      <c r="L2508" s="99"/>
      <c r="M2508" s="99"/>
      <c r="N2508" s="99"/>
      <c r="O2508" s="99"/>
      <c r="P2508" s="99"/>
      <c r="Q2508" s="99"/>
      <c r="R2508" s="99"/>
      <c r="S2508" s="99"/>
      <c r="T2508" s="99"/>
      <c r="U2508" s="99"/>
      <c r="V2508" s="99"/>
    </row>
    <row r="2509" spans="1:22" ht="15" customHeight="1">
      <c r="A2509" s="297"/>
      <c r="B2509" s="217"/>
      <c r="C2509" s="217"/>
      <c r="D2509" s="101"/>
      <c r="E2509" s="101"/>
      <c r="F2509" s="294"/>
      <c r="G2509" s="295"/>
      <c r="H2509" s="107"/>
      <c r="I2509" s="108"/>
      <c r="J2509" s="108"/>
      <c r="K2509" s="108"/>
      <c r="L2509" s="108"/>
      <c r="M2509" s="108"/>
      <c r="N2509" s="108"/>
      <c r="O2509" s="108"/>
      <c r="P2509" s="108"/>
      <c r="Q2509" s="108"/>
      <c r="R2509" s="108"/>
      <c r="S2509" s="108"/>
      <c r="T2509" s="108"/>
      <c r="U2509" s="233"/>
      <c r="V2509" s="233"/>
    </row>
    <row r="2510" spans="1:22" ht="15" customHeight="1">
      <c r="A2510" s="297"/>
      <c r="B2510" s="217"/>
      <c r="C2510" s="217"/>
      <c r="D2510" s="101"/>
      <c r="E2510" s="101"/>
      <c r="F2510" s="294"/>
      <c r="G2510" s="295"/>
      <c r="H2510" s="232"/>
      <c r="I2510" s="233"/>
      <c r="J2510" s="233"/>
      <c r="K2510" s="233"/>
      <c r="L2510" s="233"/>
      <c r="M2510" s="233"/>
      <c r="N2510" s="233"/>
      <c r="O2510" s="233"/>
      <c r="P2510" s="233"/>
      <c r="Q2510" s="233"/>
      <c r="R2510" s="233"/>
      <c r="S2510" s="233"/>
      <c r="T2510" s="233"/>
      <c r="U2510" s="233"/>
      <c r="V2510" s="233"/>
    </row>
    <row r="2511" spans="1:22" ht="15" customHeight="1">
      <c r="A2511" s="297"/>
      <c r="B2511" s="217"/>
      <c r="C2511" s="217"/>
      <c r="D2511" s="101"/>
      <c r="E2511" s="101"/>
      <c r="F2511" s="294"/>
      <c r="G2511" s="295"/>
      <c r="H2511" s="98"/>
      <c r="I2511" s="99"/>
      <c r="J2511" s="99"/>
      <c r="K2511" s="99"/>
      <c r="L2511" s="99"/>
      <c r="M2511" s="99"/>
      <c r="N2511" s="99"/>
      <c r="O2511" s="99"/>
      <c r="P2511" s="99"/>
      <c r="Q2511" s="99"/>
      <c r="R2511" s="99"/>
      <c r="S2511" s="99"/>
      <c r="T2511" s="99"/>
      <c r="U2511" s="99"/>
      <c r="V2511" s="99"/>
    </row>
    <row r="2512" spans="1:22" ht="15" customHeight="1">
      <c r="A2512" s="297"/>
      <c r="B2512" s="217"/>
      <c r="C2512" s="217"/>
      <c r="D2512" s="101"/>
      <c r="E2512" s="101"/>
      <c r="F2512" s="294"/>
      <c r="G2512" s="295"/>
      <c r="H2512" s="107"/>
      <c r="I2512" s="108"/>
      <c r="J2512" s="108"/>
      <c r="K2512" s="108"/>
      <c r="L2512" s="108"/>
      <c r="M2512" s="108"/>
      <c r="N2512" s="108"/>
      <c r="O2512" s="108"/>
      <c r="P2512" s="108"/>
      <c r="Q2512" s="108"/>
      <c r="R2512" s="108"/>
      <c r="S2512" s="108"/>
      <c r="T2512" s="108"/>
      <c r="U2512" s="233"/>
      <c r="V2512" s="233"/>
    </row>
    <row r="2513" spans="1:22" ht="15" customHeight="1">
      <c r="A2513" s="297"/>
      <c r="B2513" s="217"/>
      <c r="C2513" s="217"/>
      <c r="D2513" s="101"/>
      <c r="E2513" s="101"/>
      <c r="F2513" s="294"/>
      <c r="G2513" s="295"/>
      <c r="H2513" s="98"/>
      <c r="I2513" s="106"/>
      <c r="J2513" s="106"/>
      <c r="K2513" s="106"/>
      <c r="L2513" s="106"/>
      <c r="M2513" s="106"/>
      <c r="N2513" s="112"/>
      <c r="O2513" s="112"/>
      <c r="P2513" s="112"/>
      <c r="Q2513" s="113"/>
      <c r="T2513" s="113"/>
      <c r="U2513" s="113"/>
      <c r="V2513" s="113"/>
    </row>
    <row r="2514" spans="1:22" ht="15" customHeight="1">
      <c r="A2514" s="297"/>
      <c r="B2514" s="217"/>
      <c r="C2514" s="217"/>
      <c r="D2514" s="101"/>
      <c r="E2514" s="101"/>
      <c r="F2514" s="294"/>
      <c r="G2514" s="295"/>
      <c r="H2514" s="114"/>
      <c r="I2514" s="108"/>
      <c r="J2514" s="108"/>
      <c r="K2514" s="108"/>
      <c r="L2514" s="108"/>
      <c r="M2514" s="108"/>
      <c r="N2514" s="108"/>
      <c r="O2514" s="108"/>
      <c r="P2514" s="108"/>
      <c r="Q2514" s="108"/>
      <c r="R2514" s="108"/>
      <c r="S2514" s="108"/>
      <c r="T2514" s="108"/>
      <c r="U2514" s="233"/>
      <c r="V2514" s="233"/>
    </row>
    <row r="2515" spans="1:22" ht="15.75" customHeight="1">
      <c r="A2515" s="297"/>
      <c r="B2515" s="217"/>
      <c r="C2515" s="217"/>
      <c r="D2515" s="101"/>
      <c r="E2515" s="101"/>
      <c r="F2515" s="294"/>
      <c r="G2515" s="295"/>
      <c r="H2515" s="89"/>
      <c r="I2515" s="233"/>
      <c r="J2515" s="233"/>
      <c r="K2515" s="233"/>
      <c r="L2515" s="233"/>
      <c r="M2515" s="233"/>
      <c r="N2515" s="233"/>
      <c r="O2515" s="233"/>
      <c r="P2515" s="233"/>
      <c r="Q2515" s="233"/>
      <c r="R2515" s="233"/>
      <c r="S2515" s="233"/>
      <c r="T2515" s="233"/>
      <c r="U2515" s="233"/>
      <c r="V2515" s="233"/>
    </row>
    <row r="2516" spans="1:22" ht="15" customHeight="1" thickBot="1">
      <c r="A2516" s="297"/>
      <c r="B2516" s="217"/>
      <c r="C2516" s="217"/>
      <c r="D2516" s="101"/>
      <c r="E2516" s="101"/>
      <c r="F2516" s="294"/>
      <c r="G2516" s="295"/>
      <c r="H2516" s="98"/>
      <c r="I2516" s="218"/>
      <c r="J2516" s="218"/>
      <c r="K2516" s="218"/>
      <c r="L2516" s="218"/>
      <c r="M2516" s="218"/>
      <c r="U2516" s="212"/>
      <c r="V2516" s="212"/>
    </row>
    <row r="2517" spans="1:22" ht="15" customHeight="1" thickBot="1">
      <c r="A2517" s="297"/>
      <c r="B2517" s="217"/>
      <c r="C2517" s="217"/>
      <c r="D2517" s="101"/>
      <c r="E2517" s="101"/>
      <c r="F2517" s="294"/>
      <c r="G2517" s="295"/>
      <c r="H2517" s="686"/>
      <c r="I2517" s="687"/>
      <c r="J2517" s="687"/>
      <c r="K2517" s="687"/>
      <c r="L2517" s="687"/>
      <c r="M2517" s="687"/>
      <c r="N2517" s="687"/>
      <c r="O2517" s="687"/>
      <c r="P2517" s="687"/>
      <c r="Q2517" s="687"/>
      <c r="R2517" s="687"/>
      <c r="S2517" s="715"/>
      <c r="T2517" s="688"/>
      <c r="U2517" s="254"/>
      <c r="V2517" s="254"/>
    </row>
    <row r="2518" spans="1:22" ht="15" customHeight="1">
      <c r="A2518" s="297"/>
      <c r="B2518" s="217"/>
      <c r="C2518" s="217"/>
      <c r="D2518" s="101"/>
      <c r="E2518" s="101"/>
      <c r="F2518" s="294"/>
      <c r="G2518" s="295"/>
      <c r="H2518" s="225"/>
      <c r="I2518" s="225"/>
      <c r="J2518" s="225"/>
      <c r="K2518" s="225"/>
      <c r="L2518" s="225"/>
      <c r="M2518" s="225"/>
      <c r="N2518" s="225"/>
      <c r="O2518" s="225"/>
      <c r="P2518" s="225"/>
      <c r="Q2518" s="225"/>
      <c r="R2518" s="225"/>
      <c r="S2518" s="225"/>
      <c r="T2518" s="225"/>
      <c r="U2518" s="225"/>
      <c r="V2518" s="225"/>
    </row>
    <row r="2519" spans="1:22" ht="15" customHeight="1">
      <c r="A2519" s="297"/>
      <c r="B2519" s="217"/>
      <c r="C2519" s="217"/>
      <c r="D2519" s="101"/>
      <c r="E2519" s="101"/>
      <c r="F2519" s="294"/>
      <c r="G2519" s="295"/>
      <c r="H2519" s="98"/>
      <c r="I2519" s="99"/>
      <c r="J2519" s="99"/>
      <c r="K2519" s="99"/>
      <c r="L2519" s="99"/>
      <c r="M2519" s="99"/>
      <c r="N2519" s="99"/>
      <c r="O2519" s="99"/>
      <c r="P2519" s="99"/>
      <c r="Q2519" s="99"/>
      <c r="R2519" s="99"/>
      <c r="S2519" s="99"/>
      <c r="T2519" s="99"/>
      <c r="U2519" s="99"/>
      <c r="V2519" s="99"/>
    </row>
    <row r="2520" spans="1:22" ht="15" customHeight="1">
      <c r="A2520" s="297"/>
      <c r="B2520" s="217"/>
      <c r="C2520" s="217"/>
      <c r="D2520" s="101"/>
      <c r="E2520" s="101"/>
      <c r="F2520" s="294"/>
      <c r="G2520" s="295"/>
      <c r="H2520" s="98"/>
      <c r="I2520" s="99"/>
      <c r="J2520" s="99"/>
      <c r="K2520" s="99"/>
      <c r="L2520" s="99"/>
      <c r="M2520" s="99"/>
      <c r="N2520" s="99"/>
      <c r="O2520" s="99"/>
      <c r="P2520" s="99"/>
      <c r="Q2520" s="99"/>
      <c r="R2520" s="99"/>
      <c r="S2520" s="99"/>
      <c r="T2520" s="99"/>
      <c r="U2520" s="99"/>
      <c r="V2520" s="99"/>
    </row>
    <row r="2521" spans="1:22" ht="15" customHeight="1">
      <c r="A2521" s="297"/>
      <c r="B2521" s="217"/>
      <c r="C2521" s="217"/>
      <c r="D2521" s="101"/>
      <c r="E2521" s="101"/>
      <c r="F2521" s="294"/>
      <c r="G2521" s="295"/>
      <c r="H2521" s="98"/>
      <c r="I2521" s="99"/>
      <c r="J2521" s="99"/>
      <c r="K2521" s="99"/>
      <c r="L2521" s="99"/>
      <c r="M2521" s="99"/>
      <c r="N2521" s="99"/>
      <c r="O2521" s="99"/>
      <c r="P2521" s="99"/>
      <c r="Q2521" s="99"/>
      <c r="R2521" s="99"/>
      <c r="S2521" s="99"/>
      <c r="T2521" s="99"/>
      <c r="U2521" s="99"/>
      <c r="V2521" s="99"/>
    </row>
    <row r="2522" spans="1:22" ht="15" customHeight="1">
      <c r="A2522" s="297"/>
      <c r="B2522" s="217"/>
      <c r="C2522" s="217"/>
      <c r="D2522" s="101"/>
      <c r="E2522" s="101"/>
      <c r="F2522" s="294"/>
      <c r="G2522" s="295"/>
      <c r="H2522" s="98"/>
      <c r="I2522" s="99"/>
      <c r="J2522" s="99"/>
      <c r="K2522" s="99"/>
      <c r="L2522" s="99"/>
      <c r="M2522" s="99"/>
      <c r="N2522" s="99"/>
      <c r="O2522" s="99"/>
      <c r="P2522" s="99"/>
      <c r="Q2522" s="99"/>
      <c r="R2522" s="99"/>
      <c r="S2522" s="99"/>
      <c r="T2522" s="99"/>
      <c r="U2522" s="99"/>
      <c r="V2522" s="99"/>
    </row>
    <row r="2523" spans="1:22" ht="15" customHeight="1">
      <c r="A2523" s="297"/>
      <c r="B2523" s="217"/>
      <c r="C2523" s="217"/>
      <c r="D2523" s="101"/>
      <c r="E2523" s="101"/>
      <c r="F2523" s="294"/>
      <c r="G2523" s="295"/>
      <c r="H2523" s="98"/>
      <c r="I2523" s="99"/>
      <c r="J2523" s="99"/>
      <c r="K2523" s="99"/>
      <c r="L2523" s="99"/>
      <c r="M2523" s="99"/>
      <c r="N2523" s="99"/>
      <c r="O2523" s="99"/>
      <c r="P2523" s="99"/>
      <c r="Q2523" s="99"/>
      <c r="R2523" s="99"/>
      <c r="S2523" s="99"/>
      <c r="T2523" s="99"/>
      <c r="U2523" s="99"/>
      <c r="V2523" s="99"/>
    </row>
    <row r="2524" spans="1:22" ht="15" customHeight="1">
      <c r="A2524" s="297"/>
      <c r="B2524" s="217"/>
      <c r="C2524" s="217"/>
      <c r="D2524" s="101"/>
      <c r="E2524" s="101"/>
      <c r="F2524" s="294"/>
      <c r="G2524" s="295"/>
      <c r="H2524" s="98"/>
      <c r="I2524" s="99"/>
      <c r="J2524" s="99"/>
      <c r="K2524" s="99"/>
      <c r="L2524" s="99"/>
      <c r="M2524" s="99"/>
      <c r="N2524" s="99"/>
      <c r="O2524" s="99"/>
      <c r="P2524" s="99"/>
      <c r="Q2524" s="99"/>
      <c r="R2524" s="99"/>
      <c r="S2524" s="99"/>
      <c r="T2524" s="99"/>
      <c r="U2524" s="99"/>
      <c r="V2524" s="99"/>
    </row>
    <row r="2525" spans="1:22" ht="15" customHeight="1">
      <c r="A2525" s="297"/>
      <c r="B2525" s="217"/>
      <c r="C2525" s="217"/>
      <c r="D2525" s="101"/>
      <c r="E2525" s="101"/>
      <c r="F2525" s="294"/>
      <c r="G2525" s="295"/>
      <c r="H2525" s="107"/>
      <c r="I2525" s="108"/>
      <c r="J2525" s="108"/>
      <c r="K2525" s="108"/>
      <c r="L2525" s="108"/>
      <c r="M2525" s="108"/>
      <c r="N2525" s="109"/>
      <c r="O2525" s="109"/>
      <c r="P2525" s="109"/>
      <c r="Q2525" s="109"/>
      <c r="R2525" s="109"/>
      <c r="S2525" s="109"/>
      <c r="T2525" s="109"/>
      <c r="U2525" s="202"/>
      <c r="V2525" s="202"/>
    </row>
    <row r="2526" spans="1:22" ht="15" customHeight="1">
      <c r="A2526" s="297"/>
      <c r="B2526" s="217"/>
      <c r="C2526" s="217"/>
      <c r="D2526" s="101"/>
      <c r="E2526" s="101"/>
      <c r="F2526" s="294"/>
      <c r="G2526" s="295"/>
      <c r="H2526" s="98"/>
      <c r="I2526" s="106"/>
      <c r="J2526" s="106"/>
      <c r="K2526" s="106"/>
      <c r="L2526" s="106"/>
      <c r="M2526" s="106"/>
      <c r="N2526" s="112"/>
      <c r="O2526" s="112"/>
      <c r="P2526" s="112"/>
      <c r="Q2526" s="113"/>
      <c r="T2526" s="113"/>
      <c r="U2526" s="113"/>
      <c r="V2526" s="113"/>
    </row>
    <row r="2527" spans="1:22" ht="15" customHeight="1">
      <c r="A2527" s="297"/>
      <c r="B2527" s="217"/>
      <c r="C2527" s="217"/>
      <c r="D2527" s="101"/>
      <c r="E2527" s="101"/>
      <c r="F2527" s="294"/>
      <c r="G2527" s="295"/>
      <c r="H2527" s="98"/>
      <c r="I2527" s="99"/>
      <c r="J2527" s="99"/>
      <c r="K2527" s="99"/>
      <c r="L2527" s="99"/>
      <c r="M2527" s="99"/>
      <c r="N2527" s="99"/>
      <c r="O2527" s="99"/>
      <c r="P2527" s="99"/>
      <c r="Q2527" s="99"/>
      <c r="R2527" s="99"/>
      <c r="S2527" s="99"/>
      <c r="T2527" s="99"/>
      <c r="U2527" s="99"/>
      <c r="V2527" s="99"/>
    </row>
    <row r="2528" spans="1:22" ht="15" customHeight="1">
      <c r="A2528" s="297"/>
      <c r="B2528" s="217"/>
      <c r="C2528" s="217"/>
      <c r="D2528" s="101"/>
      <c r="E2528" s="101"/>
      <c r="F2528" s="294"/>
      <c r="G2528" s="295"/>
      <c r="H2528" s="98"/>
      <c r="I2528" s="99"/>
      <c r="J2528" s="99"/>
      <c r="K2528" s="99"/>
      <c r="L2528" s="99"/>
      <c r="M2528" s="99"/>
      <c r="N2528" s="99"/>
      <c r="O2528" s="99"/>
      <c r="P2528" s="99"/>
      <c r="Q2528" s="99"/>
      <c r="R2528" s="99"/>
      <c r="S2528" s="99"/>
      <c r="T2528" s="99"/>
      <c r="U2528" s="99"/>
      <c r="V2528" s="99"/>
    </row>
    <row r="2529" spans="1:22" ht="15" customHeight="1">
      <c r="A2529" s="297"/>
      <c r="B2529" s="217"/>
      <c r="C2529" s="217"/>
      <c r="D2529" s="101"/>
      <c r="E2529" s="101"/>
      <c r="F2529" s="294"/>
      <c r="G2529" s="295"/>
      <c r="H2529" s="98"/>
      <c r="I2529" s="99"/>
      <c r="J2529" s="99"/>
      <c r="K2529" s="99"/>
      <c r="L2529" s="99"/>
      <c r="M2529" s="99"/>
      <c r="N2529" s="99"/>
      <c r="O2529" s="99"/>
      <c r="P2529" s="99"/>
      <c r="Q2529" s="99"/>
      <c r="R2529" s="99"/>
      <c r="S2529" s="99"/>
      <c r="T2529" s="99"/>
      <c r="U2529" s="99"/>
      <c r="V2529" s="99"/>
    </row>
    <row r="2530" spans="1:22" ht="15" customHeight="1">
      <c r="A2530" s="297"/>
      <c r="B2530" s="217"/>
      <c r="C2530" s="217"/>
      <c r="D2530" s="101"/>
      <c r="E2530" s="101"/>
      <c r="F2530" s="294"/>
      <c r="G2530" s="295"/>
      <c r="H2530" s="98"/>
      <c r="I2530" s="99"/>
      <c r="J2530" s="99"/>
      <c r="K2530" s="99"/>
      <c r="L2530" s="99"/>
      <c r="M2530" s="99"/>
      <c r="N2530" s="99"/>
      <c r="O2530" s="99"/>
      <c r="P2530" s="99"/>
      <c r="Q2530" s="99"/>
      <c r="R2530" s="99"/>
      <c r="S2530" s="99"/>
      <c r="T2530" s="99"/>
      <c r="U2530" s="99"/>
      <c r="V2530" s="99"/>
    </row>
    <row r="2531" spans="1:22" ht="15" customHeight="1">
      <c r="A2531" s="297"/>
      <c r="B2531" s="217"/>
      <c r="C2531" s="217"/>
      <c r="D2531" s="101"/>
      <c r="E2531" s="101"/>
      <c r="F2531" s="294"/>
      <c r="G2531" s="295"/>
      <c r="H2531" s="98"/>
      <c r="I2531" s="99"/>
      <c r="J2531" s="99"/>
      <c r="K2531" s="99"/>
      <c r="L2531" s="99"/>
      <c r="M2531" s="99"/>
      <c r="N2531" s="99"/>
      <c r="O2531" s="99"/>
      <c r="P2531" s="99"/>
      <c r="Q2531" s="99"/>
      <c r="R2531" s="99"/>
      <c r="S2531" s="99"/>
      <c r="T2531" s="99"/>
      <c r="U2531" s="99"/>
      <c r="V2531" s="99"/>
    </row>
    <row r="2532" spans="1:22" ht="15" customHeight="1">
      <c r="A2532" s="297"/>
      <c r="B2532" s="217"/>
      <c r="C2532" s="217"/>
      <c r="D2532" s="101"/>
      <c r="E2532" s="101"/>
      <c r="F2532" s="294"/>
      <c r="G2532" s="295"/>
      <c r="H2532" s="98"/>
      <c r="I2532" s="99"/>
      <c r="J2532" s="99"/>
      <c r="K2532" s="99"/>
      <c r="L2532" s="99"/>
      <c r="M2532" s="99"/>
      <c r="N2532" s="99"/>
      <c r="O2532" s="99"/>
      <c r="P2532" s="99"/>
      <c r="Q2532" s="99"/>
      <c r="R2532" s="99"/>
      <c r="S2532" s="99"/>
      <c r="T2532" s="99"/>
      <c r="U2532" s="99"/>
      <c r="V2532" s="99"/>
    </row>
    <row r="2533" spans="1:22" ht="15" customHeight="1">
      <c r="A2533" s="297"/>
      <c r="B2533" s="217"/>
      <c r="C2533" s="217"/>
      <c r="D2533" s="101"/>
      <c r="E2533" s="101"/>
      <c r="F2533" s="294"/>
      <c r="G2533" s="295"/>
      <c r="H2533" s="98"/>
      <c r="I2533" s="99"/>
      <c r="J2533" s="99"/>
      <c r="K2533" s="99"/>
      <c r="L2533" s="99"/>
      <c r="M2533" s="99"/>
      <c r="N2533" s="99"/>
      <c r="O2533" s="99"/>
      <c r="P2533" s="99"/>
      <c r="Q2533" s="99"/>
      <c r="R2533" s="99"/>
      <c r="S2533" s="99"/>
      <c r="T2533" s="99"/>
      <c r="U2533" s="99"/>
      <c r="V2533" s="99"/>
    </row>
    <row r="2534" spans="1:22" ht="15" customHeight="1">
      <c r="A2534" s="297"/>
      <c r="B2534" s="217"/>
      <c r="C2534" s="217"/>
      <c r="D2534" s="101"/>
      <c r="E2534" s="101"/>
      <c r="F2534" s="294"/>
      <c r="G2534" s="295"/>
      <c r="H2534" s="98"/>
      <c r="I2534" s="99"/>
      <c r="J2534" s="99"/>
      <c r="K2534" s="99"/>
      <c r="L2534" s="99"/>
      <c r="M2534" s="99"/>
      <c r="N2534" s="99"/>
      <c r="O2534" s="99"/>
      <c r="P2534" s="99"/>
      <c r="Q2534" s="99"/>
      <c r="R2534" s="99"/>
      <c r="S2534" s="99"/>
      <c r="T2534" s="99"/>
      <c r="U2534" s="99"/>
      <c r="V2534" s="99"/>
    </row>
    <row r="2535" spans="1:22" ht="15" customHeight="1">
      <c r="A2535" s="297"/>
      <c r="B2535" s="217"/>
      <c r="C2535" s="217"/>
      <c r="D2535" s="101"/>
      <c r="E2535" s="101"/>
      <c r="F2535" s="294"/>
      <c r="G2535" s="295"/>
      <c r="H2535" s="98"/>
      <c r="I2535" s="99"/>
      <c r="J2535" s="99"/>
      <c r="K2535" s="99"/>
      <c r="L2535" s="99"/>
      <c r="M2535" s="99"/>
      <c r="N2535" s="99"/>
      <c r="O2535" s="99"/>
      <c r="P2535" s="99"/>
      <c r="Q2535" s="99"/>
      <c r="R2535" s="99"/>
      <c r="S2535" s="99"/>
      <c r="T2535" s="99"/>
      <c r="U2535" s="99"/>
      <c r="V2535" s="99"/>
    </row>
    <row r="2536" spans="1:22" ht="15" customHeight="1">
      <c r="A2536" s="297"/>
      <c r="B2536" s="217"/>
      <c r="C2536" s="217"/>
      <c r="D2536" s="101"/>
      <c r="E2536" s="101"/>
      <c r="F2536" s="294"/>
      <c r="G2536" s="295"/>
      <c r="H2536" s="98"/>
      <c r="I2536" s="99"/>
      <c r="J2536" s="99"/>
      <c r="K2536" s="99"/>
      <c r="L2536" s="99"/>
      <c r="M2536" s="99"/>
      <c r="N2536" s="99"/>
      <c r="O2536" s="99"/>
      <c r="P2536" s="99"/>
      <c r="Q2536" s="99"/>
      <c r="R2536" s="99"/>
      <c r="S2536" s="99"/>
      <c r="T2536" s="99"/>
      <c r="U2536" s="99"/>
      <c r="V2536" s="99"/>
    </row>
    <row r="2537" spans="1:22" ht="15" customHeight="1">
      <c r="A2537" s="297"/>
      <c r="B2537" s="217"/>
      <c r="C2537" s="217"/>
      <c r="D2537" s="101"/>
      <c r="E2537" s="101"/>
      <c r="F2537" s="294"/>
      <c r="G2537" s="295"/>
      <c r="H2537" s="107"/>
      <c r="I2537" s="108"/>
      <c r="J2537" s="108"/>
      <c r="K2537" s="108"/>
      <c r="L2537" s="108"/>
      <c r="M2537" s="108"/>
      <c r="N2537" s="109"/>
      <c r="O2537" s="109"/>
      <c r="P2537" s="109"/>
      <c r="Q2537" s="109"/>
      <c r="R2537" s="109"/>
      <c r="S2537" s="109"/>
      <c r="T2537" s="109"/>
      <c r="U2537" s="202"/>
      <c r="V2537" s="202"/>
    </row>
    <row r="2538" spans="1:22" ht="15" customHeight="1">
      <c r="A2538" s="297"/>
      <c r="B2538" s="217"/>
      <c r="C2538" s="217"/>
      <c r="D2538" s="101"/>
      <c r="E2538" s="101"/>
      <c r="F2538" s="294"/>
      <c r="G2538" s="295"/>
      <c r="H2538" s="98"/>
      <c r="I2538" s="106"/>
      <c r="J2538" s="106"/>
      <c r="K2538" s="106"/>
      <c r="L2538" s="106"/>
      <c r="M2538" s="106"/>
      <c r="N2538" s="112"/>
      <c r="O2538" s="112"/>
      <c r="P2538" s="112"/>
      <c r="Q2538" s="113"/>
      <c r="R2538" s="99"/>
      <c r="S2538" s="99"/>
      <c r="T2538" s="113"/>
      <c r="U2538" s="113"/>
      <c r="V2538" s="113"/>
    </row>
    <row r="2539" spans="1:22" ht="15" customHeight="1">
      <c r="A2539" s="297"/>
      <c r="B2539" s="217"/>
      <c r="C2539" s="217"/>
      <c r="D2539" s="101"/>
      <c r="E2539" s="101"/>
      <c r="F2539" s="294"/>
      <c r="G2539" s="295"/>
      <c r="H2539" s="98"/>
      <c r="I2539" s="99"/>
      <c r="J2539" s="99"/>
      <c r="K2539" s="99"/>
      <c r="L2539" s="99"/>
      <c r="M2539" s="99"/>
      <c r="N2539" s="99"/>
      <c r="O2539" s="99"/>
      <c r="P2539" s="99"/>
      <c r="Q2539" s="99"/>
      <c r="R2539" s="99"/>
      <c r="S2539" s="99"/>
      <c r="T2539" s="99"/>
      <c r="U2539" s="99"/>
      <c r="V2539" s="99"/>
    </row>
    <row r="2540" spans="1:22" ht="15" customHeight="1">
      <c r="A2540" s="297"/>
      <c r="B2540" s="217"/>
      <c r="C2540" s="217"/>
      <c r="D2540" s="101"/>
      <c r="E2540" s="101"/>
      <c r="F2540" s="294"/>
      <c r="G2540" s="295"/>
      <c r="H2540" s="98"/>
      <c r="I2540" s="99"/>
      <c r="J2540" s="99"/>
      <c r="K2540" s="99"/>
      <c r="L2540" s="99"/>
      <c r="M2540" s="99"/>
      <c r="N2540" s="99"/>
      <c r="O2540" s="99"/>
      <c r="P2540" s="99"/>
      <c r="Q2540" s="99"/>
      <c r="R2540" s="99"/>
      <c r="S2540" s="99"/>
      <c r="T2540" s="99"/>
      <c r="U2540" s="99"/>
      <c r="V2540" s="99"/>
    </row>
    <row r="2541" spans="1:22" ht="15" customHeight="1">
      <c r="A2541" s="297"/>
      <c r="B2541" s="217"/>
      <c r="C2541" s="217"/>
      <c r="D2541" s="101"/>
      <c r="E2541" s="101"/>
      <c r="F2541" s="294"/>
      <c r="G2541" s="295"/>
      <c r="H2541" s="98"/>
      <c r="I2541" s="99"/>
      <c r="J2541" s="99"/>
      <c r="K2541" s="99"/>
      <c r="L2541" s="99"/>
      <c r="M2541" s="99"/>
      <c r="N2541" s="99"/>
      <c r="O2541" s="99"/>
      <c r="P2541" s="99"/>
      <c r="Q2541" s="99"/>
      <c r="R2541" s="99"/>
      <c r="S2541" s="99"/>
      <c r="T2541" s="99"/>
      <c r="U2541" s="99"/>
      <c r="V2541" s="99"/>
    </row>
    <row r="2542" spans="1:22" ht="15" customHeight="1">
      <c r="A2542" s="297"/>
      <c r="B2542" s="217"/>
      <c r="C2542" s="217"/>
      <c r="D2542" s="101"/>
      <c r="E2542" s="101"/>
      <c r="F2542" s="294"/>
      <c r="G2542" s="295"/>
      <c r="H2542" s="98"/>
      <c r="I2542" s="99"/>
      <c r="J2542" s="99"/>
      <c r="K2542" s="99"/>
      <c r="L2542" s="99"/>
      <c r="M2542" s="99"/>
      <c r="N2542" s="99"/>
      <c r="O2542" s="99"/>
      <c r="P2542" s="99"/>
      <c r="Q2542" s="99"/>
      <c r="R2542" s="99"/>
      <c r="S2542" s="99"/>
      <c r="T2542" s="99"/>
      <c r="U2542" s="99"/>
      <c r="V2542" s="99"/>
    </row>
    <row r="2543" spans="1:22" ht="15" customHeight="1">
      <c r="A2543" s="297"/>
      <c r="B2543" s="217"/>
      <c r="C2543" s="217"/>
      <c r="D2543" s="101"/>
      <c r="E2543" s="101"/>
      <c r="F2543" s="294"/>
      <c r="G2543" s="295"/>
      <c r="H2543" s="107"/>
      <c r="I2543" s="108"/>
      <c r="J2543" s="108"/>
      <c r="K2543" s="108"/>
      <c r="L2543" s="108"/>
      <c r="M2543" s="108"/>
      <c r="N2543" s="108"/>
      <c r="O2543" s="108"/>
      <c r="P2543" s="108"/>
      <c r="Q2543" s="108"/>
      <c r="R2543" s="108"/>
      <c r="S2543" s="108"/>
      <c r="T2543" s="108"/>
      <c r="U2543" s="233"/>
      <c r="V2543" s="233"/>
    </row>
    <row r="2544" spans="1:22" ht="15" customHeight="1">
      <c r="A2544" s="297"/>
      <c r="B2544" s="217"/>
      <c r="C2544" s="217"/>
      <c r="D2544" s="101"/>
      <c r="E2544" s="101"/>
      <c r="F2544" s="294"/>
      <c r="G2544" s="295"/>
      <c r="H2544" s="98"/>
      <c r="I2544" s="106"/>
      <c r="J2544" s="106"/>
      <c r="K2544" s="106"/>
      <c r="L2544" s="106"/>
      <c r="M2544" s="106"/>
      <c r="N2544" s="112"/>
      <c r="O2544" s="112"/>
      <c r="P2544" s="112"/>
      <c r="Q2544" s="113"/>
      <c r="T2544" s="113"/>
      <c r="U2544" s="113"/>
      <c r="V2544" s="113"/>
    </row>
    <row r="2545" spans="1:22" ht="15" customHeight="1">
      <c r="A2545" s="297"/>
      <c r="B2545" s="217"/>
      <c r="C2545" s="217"/>
      <c r="D2545" s="101"/>
      <c r="E2545" s="101"/>
      <c r="F2545" s="294"/>
      <c r="G2545" s="295"/>
      <c r="H2545" s="98"/>
      <c r="I2545" s="99"/>
      <c r="J2545" s="99"/>
      <c r="K2545" s="99"/>
      <c r="L2545" s="99"/>
      <c r="M2545" s="99"/>
      <c r="N2545" s="99"/>
      <c r="O2545" s="99"/>
      <c r="P2545" s="99"/>
      <c r="Q2545" s="99"/>
      <c r="R2545" s="99"/>
      <c r="S2545" s="99"/>
      <c r="T2545" s="99"/>
      <c r="U2545" s="99"/>
      <c r="V2545" s="99"/>
    </row>
    <row r="2546" spans="1:22" ht="15" customHeight="1">
      <c r="A2546" s="297"/>
      <c r="B2546" s="217"/>
      <c r="C2546" s="217"/>
      <c r="D2546" s="101"/>
      <c r="E2546" s="101"/>
      <c r="F2546" s="294"/>
      <c r="G2546" s="295"/>
      <c r="H2546" s="98"/>
      <c r="I2546" s="99"/>
      <c r="J2546" s="99"/>
      <c r="K2546" s="99"/>
      <c r="L2546" s="99"/>
      <c r="M2546" s="99"/>
      <c r="N2546" s="99"/>
      <c r="O2546" s="99"/>
      <c r="P2546" s="99"/>
      <c r="Q2546" s="99"/>
      <c r="R2546" s="99"/>
      <c r="S2546" s="99"/>
      <c r="T2546" s="99"/>
      <c r="U2546" s="99"/>
      <c r="V2546" s="99"/>
    </row>
    <row r="2547" spans="1:22" ht="15" customHeight="1">
      <c r="A2547" s="297"/>
      <c r="B2547" s="217"/>
      <c r="C2547" s="217"/>
      <c r="D2547" s="101"/>
      <c r="E2547" s="101"/>
      <c r="F2547" s="294"/>
      <c r="G2547" s="295"/>
      <c r="H2547" s="98"/>
      <c r="I2547" s="99"/>
      <c r="J2547" s="99"/>
      <c r="K2547" s="99"/>
      <c r="L2547" s="99"/>
      <c r="M2547" s="99"/>
      <c r="N2547" s="99"/>
      <c r="O2547" s="99"/>
      <c r="P2547" s="99"/>
      <c r="Q2547" s="99"/>
      <c r="R2547" s="99"/>
      <c r="S2547" s="99"/>
      <c r="T2547" s="99"/>
      <c r="U2547" s="99"/>
      <c r="V2547" s="99"/>
    </row>
    <row r="2548" spans="1:22" ht="15" customHeight="1">
      <c r="A2548" s="297"/>
      <c r="B2548" s="217"/>
      <c r="C2548" s="217"/>
      <c r="D2548" s="101"/>
      <c r="E2548" s="101"/>
      <c r="F2548" s="294"/>
      <c r="G2548" s="295"/>
      <c r="H2548" s="98"/>
      <c r="I2548" s="99"/>
      <c r="J2548" s="99"/>
      <c r="K2548" s="99"/>
      <c r="L2548" s="99"/>
      <c r="M2548" s="99"/>
      <c r="N2548" s="99"/>
      <c r="O2548" s="99"/>
      <c r="P2548" s="99"/>
      <c r="Q2548" s="99"/>
      <c r="R2548" s="99"/>
      <c r="S2548" s="99"/>
      <c r="T2548" s="99"/>
      <c r="U2548" s="99"/>
      <c r="V2548" s="99"/>
    </row>
    <row r="2549" spans="1:22" ht="15" customHeight="1">
      <c r="A2549" s="297"/>
      <c r="B2549" s="217"/>
      <c r="C2549" s="217"/>
      <c r="D2549" s="101"/>
      <c r="E2549" s="101"/>
      <c r="F2549" s="294"/>
      <c r="G2549" s="295"/>
      <c r="H2549" s="98"/>
      <c r="I2549" s="99"/>
      <c r="J2549" s="99"/>
      <c r="K2549" s="99"/>
      <c r="L2549" s="99"/>
      <c r="M2549" s="99"/>
      <c r="N2549" s="99"/>
      <c r="O2549" s="99"/>
      <c r="P2549" s="99"/>
      <c r="Q2549" s="99"/>
      <c r="R2549" s="99"/>
      <c r="S2549" s="99"/>
      <c r="T2549" s="99"/>
      <c r="U2549" s="99"/>
      <c r="V2549" s="99"/>
    </row>
    <row r="2550" spans="1:22" ht="15" customHeight="1">
      <c r="A2550" s="297"/>
      <c r="B2550" s="217"/>
      <c r="C2550" s="217"/>
      <c r="D2550" s="101"/>
      <c r="E2550" s="101"/>
      <c r="F2550" s="294"/>
      <c r="G2550" s="295"/>
      <c r="H2550" s="98"/>
      <c r="I2550" s="99"/>
      <c r="J2550" s="99"/>
      <c r="K2550" s="99"/>
      <c r="L2550" s="99"/>
      <c r="M2550" s="99"/>
      <c r="N2550" s="99"/>
      <c r="O2550" s="99"/>
      <c r="P2550" s="99"/>
      <c r="Q2550" s="99"/>
      <c r="R2550" s="99"/>
      <c r="S2550" s="99"/>
      <c r="T2550" s="99"/>
      <c r="U2550" s="99"/>
      <c r="V2550" s="99"/>
    </row>
    <row r="2551" spans="1:22" ht="15" customHeight="1">
      <c r="A2551" s="297"/>
      <c r="B2551" s="217"/>
      <c r="C2551" s="217"/>
      <c r="D2551" s="101"/>
      <c r="E2551" s="101"/>
      <c r="F2551" s="294"/>
      <c r="G2551" s="295"/>
      <c r="H2551" s="98"/>
      <c r="I2551" s="99"/>
      <c r="J2551" s="99"/>
      <c r="K2551" s="99"/>
      <c r="L2551" s="99"/>
      <c r="M2551" s="99"/>
      <c r="N2551" s="99"/>
      <c r="O2551" s="99"/>
      <c r="P2551" s="99"/>
      <c r="Q2551" s="99"/>
      <c r="R2551" s="99"/>
      <c r="S2551" s="99"/>
      <c r="T2551" s="99"/>
      <c r="U2551" s="99"/>
      <c r="V2551" s="99"/>
    </row>
    <row r="2552" spans="1:22" ht="15" customHeight="1">
      <c r="A2552" s="297"/>
      <c r="B2552" s="217"/>
      <c r="C2552" s="217"/>
      <c r="D2552" s="101"/>
      <c r="E2552" s="101"/>
      <c r="F2552" s="294"/>
      <c r="G2552" s="295"/>
      <c r="H2552" s="98"/>
      <c r="I2552" s="99"/>
      <c r="J2552" s="99"/>
      <c r="K2552" s="99"/>
      <c r="L2552" s="99"/>
      <c r="M2552" s="99"/>
      <c r="N2552" s="99"/>
      <c r="O2552" s="99"/>
      <c r="P2552" s="99"/>
      <c r="Q2552" s="99"/>
      <c r="R2552" s="99"/>
      <c r="S2552" s="99"/>
      <c r="T2552" s="99"/>
      <c r="U2552" s="99"/>
      <c r="V2552" s="99"/>
    </row>
    <row r="2553" spans="1:22" ht="15" customHeight="1">
      <c r="A2553" s="297"/>
      <c r="B2553" s="217"/>
      <c r="C2553" s="217"/>
      <c r="D2553" s="101"/>
      <c r="E2553" s="101"/>
      <c r="F2553" s="294"/>
      <c r="G2553" s="295"/>
      <c r="H2553" s="98"/>
      <c r="I2553" s="99"/>
      <c r="J2553" s="99"/>
      <c r="K2553" s="99"/>
      <c r="L2553" s="99"/>
      <c r="M2553" s="99"/>
      <c r="N2553" s="99"/>
      <c r="O2553" s="99"/>
      <c r="P2553" s="99"/>
      <c r="Q2553" s="99"/>
      <c r="R2553" s="99"/>
      <c r="S2553" s="99"/>
      <c r="T2553" s="99"/>
      <c r="U2553" s="99"/>
      <c r="V2553" s="99"/>
    </row>
    <row r="2554" spans="1:22" ht="15" customHeight="1">
      <c r="A2554" s="297"/>
      <c r="B2554" s="217"/>
      <c r="C2554" s="217"/>
      <c r="D2554" s="101"/>
      <c r="E2554" s="101"/>
      <c r="F2554" s="294"/>
      <c r="G2554" s="295"/>
      <c r="H2554" s="98"/>
      <c r="I2554" s="99"/>
      <c r="J2554" s="99"/>
      <c r="K2554" s="99"/>
      <c r="L2554" s="99"/>
      <c r="M2554" s="99"/>
      <c r="N2554" s="99"/>
      <c r="O2554" s="99"/>
      <c r="P2554" s="99"/>
      <c r="Q2554" s="99"/>
      <c r="R2554" s="99"/>
      <c r="S2554" s="99"/>
      <c r="T2554" s="99"/>
      <c r="U2554" s="99"/>
      <c r="V2554" s="99"/>
    </row>
    <row r="2555" spans="1:22" ht="15" customHeight="1">
      <c r="A2555" s="297"/>
      <c r="B2555" s="217"/>
      <c r="C2555" s="217"/>
      <c r="D2555" s="101"/>
      <c r="E2555" s="101"/>
      <c r="F2555" s="294"/>
      <c r="G2555" s="295"/>
      <c r="H2555" s="98"/>
      <c r="I2555" s="99"/>
      <c r="J2555" s="99"/>
      <c r="K2555" s="99"/>
      <c r="L2555" s="99"/>
      <c r="M2555" s="99"/>
      <c r="N2555" s="99"/>
      <c r="O2555" s="99"/>
      <c r="P2555" s="99"/>
      <c r="Q2555" s="99"/>
      <c r="R2555" s="99"/>
      <c r="S2555" s="99"/>
      <c r="T2555" s="99"/>
      <c r="U2555" s="99"/>
      <c r="V2555" s="99"/>
    </row>
    <row r="2556" spans="1:22" ht="15" customHeight="1">
      <c r="A2556" s="297"/>
      <c r="B2556" s="217"/>
      <c r="C2556" s="217"/>
      <c r="D2556" s="101"/>
      <c r="E2556" s="101"/>
      <c r="F2556" s="294"/>
      <c r="G2556" s="295"/>
      <c r="H2556" s="98"/>
      <c r="I2556" s="99"/>
      <c r="J2556" s="99"/>
      <c r="K2556" s="99"/>
      <c r="L2556" s="99"/>
      <c r="M2556" s="99"/>
      <c r="N2556" s="99"/>
      <c r="O2556" s="99"/>
      <c r="P2556" s="99"/>
      <c r="Q2556" s="99"/>
      <c r="R2556" s="99"/>
      <c r="S2556" s="99"/>
      <c r="T2556" s="99"/>
      <c r="U2556" s="99"/>
      <c r="V2556" s="99"/>
    </row>
    <row r="2557" spans="1:22" ht="15" customHeight="1">
      <c r="A2557" s="297"/>
      <c r="B2557" s="217"/>
      <c r="C2557" s="217"/>
      <c r="D2557" s="101"/>
      <c r="E2557" s="101"/>
      <c r="F2557" s="294"/>
      <c r="G2557" s="295"/>
      <c r="H2557" s="98"/>
      <c r="I2557" s="99"/>
      <c r="J2557" s="99"/>
      <c r="K2557" s="99"/>
      <c r="L2557" s="99"/>
      <c r="M2557" s="99"/>
      <c r="N2557" s="99"/>
      <c r="O2557" s="99"/>
      <c r="P2557" s="99"/>
      <c r="Q2557" s="99"/>
      <c r="R2557" s="99"/>
      <c r="S2557" s="99"/>
      <c r="T2557" s="99"/>
      <c r="U2557" s="99"/>
      <c r="V2557" s="99"/>
    </row>
    <row r="2558" spans="1:22" ht="15" customHeight="1">
      <c r="A2558" s="297"/>
      <c r="B2558" s="217"/>
      <c r="C2558" s="217"/>
      <c r="D2558" s="101"/>
      <c r="E2558" s="101"/>
      <c r="F2558" s="294"/>
      <c r="G2558" s="295"/>
      <c r="H2558" s="107"/>
      <c r="I2558" s="108"/>
      <c r="J2558" s="108"/>
      <c r="K2558" s="108"/>
      <c r="L2558" s="108"/>
      <c r="M2558" s="108"/>
      <c r="N2558" s="109"/>
      <c r="O2558" s="109"/>
      <c r="P2558" s="109"/>
      <c r="Q2558" s="109"/>
      <c r="R2558" s="109"/>
      <c r="S2558" s="109"/>
      <c r="T2558" s="109"/>
      <c r="U2558" s="202"/>
      <c r="V2558" s="202"/>
    </row>
    <row r="2559" spans="1:22" ht="15" customHeight="1">
      <c r="A2559" s="297"/>
      <c r="B2559" s="217"/>
      <c r="C2559" s="217"/>
      <c r="D2559" s="101"/>
      <c r="E2559" s="101"/>
      <c r="F2559" s="294"/>
      <c r="G2559" s="295"/>
      <c r="H2559" s="98"/>
      <c r="I2559" s="106"/>
      <c r="J2559" s="106"/>
      <c r="K2559" s="106"/>
      <c r="L2559" s="106"/>
      <c r="M2559" s="106"/>
      <c r="N2559" s="112"/>
      <c r="O2559" s="112"/>
      <c r="P2559" s="112"/>
      <c r="Q2559" s="113"/>
      <c r="R2559" s="99"/>
      <c r="S2559" s="99"/>
      <c r="T2559" s="113"/>
      <c r="U2559" s="113"/>
      <c r="V2559" s="113"/>
    </row>
    <row r="2560" spans="1:22" ht="15" customHeight="1">
      <c r="A2560" s="297"/>
      <c r="B2560" s="217"/>
      <c r="C2560" s="217"/>
      <c r="D2560" s="101"/>
      <c r="E2560" s="101"/>
      <c r="F2560" s="294"/>
      <c r="G2560" s="295"/>
      <c r="H2560" s="98"/>
      <c r="I2560" s="99"/>
      <c r="J2560" s="99"/>
      <c r="K2560" s="99"/>
      <c r="L2560" s="99"/>
      <c r="M2560" s="99"/>
      <c r="N2560" s="99"/>
      <c r="O2560" s="99"/>
      <c r="P2560" s="99"/>
      <c r="Q2560" s="99"/>
      <c r="R2560" s="99"/>
      <c r="S2560" s="99"/>
      <c r="T2560" s="99"/>
      <c r="U2560" s="99"/>
      <c r="V2560" s="99"/>
    </row>
    <row r="2561" spans="1:22" ht="15" customHeight="1">
      <c r="A2561" s="297"/>
      <c r="B2561" s="217"/>
      <c r="C2561" s="217"/>
      <c r="D2561" s="101"/>
      <c r="E2561" s="101"/>
      <c r="F2561" s="294"/>
      <c r="G2561" s="295"/>
      <c r="H2561" s="98"/>
      <c r="I2561" s="99"/>
      <c r="J2561" s="99"/>
      <c r="K2561" s="99"/>
      <c r="L2561" s="99"/>
      <c r="M2561" s="99"/>
      <c r="N2561" s="99"/>
      <c r="O2561" s="99"/>
      <c r="P2561" s="99"/>
      <c r="Q2561" s="99"/>
      <c r="R2561" s="99"/>
      <c r="S2561" s="99"/>
      <c r="T2561" s="99"/>
      <c r="U2561" s="99"/>
      <c r="V2561" s="99"/>
    </row>
    <row r="2562" spans="1:22" ht="15" customHeight="1">
      <c r="A2562" s="297"/>
      <c r="B2562" s="217"/>
      <c r="C2562" s="217"/>
      <c r="D2562" s="101"/>
      <c r="E2562" s="101"/>
      <c r="F2562" s="294"/>
      <c r="G2562" s="295"/>
      <c r="H2562" s="98"/>
      <c r="I2562" s="99"/>
      <c r="J2562" s="99"/>
      <c r="K2562" s="99"/>
      <c r="L2562" s="99"/>
      <c r="M2562" s="99"/>
      <c r="N2562" s="99"/>
      <c r="O2562" s="99"/>
      <c r="P2562" s="99"/>
      <c r="Q2562" s="99"/>
      <c r="R2562" s="99"/>
      <c r="S2562" s="99"/>
      <c r="T2562" s="99"/>
      <c r="U2562" s="99"/>
      <c r="V2562" s="99"/>
    </row>
    <row r="2563" spans="1:22" ht="15" customHeight="1">
      <c r="A2563" s="297"/>
      <c r="B2563" s="217"/>
      <c r="C2563" s="217"/>
      <c r="D2563" s="101"/>
      <c r="E2563" s="101"/>
      <c r="F2563" s="294"/>
      <c r="G2563" s="295"/>
      <c r="H2563" s="98"/>
      <c r="I2563" s="99"/>
      <c r="J2563" s="99"/>
      <c r="K2563" s="99"/>
      <c r="L2563" s="99"/>
      <c r="M2563" s="99"/>
      <c r="N2563" s="99"/>
      <c r="O2563" s="99"/>
      <c r="P2563" s="99"/>
      <c r="Q2563" s="99"/>
      <c r="R2563" s="99"/>
      <c r="S2563" s="99"/>
      <c r="T2563" s="99"/>
      <c r="U2563" s="99"/>
      <c r="V2563" s="99"/>
    </row>
    <row r="2564" spans="1:22" ht="15" customHeight="1">
      <c r="A2564" s="297"/>
      <c r="B2564" s="217"/>
      <c r="C2564" s="217"/>
      <c r="D2564" s="101"/>
      <c r="E2564" s="101"/>
      <c r="F2564" s="294"/>
      <c r="G2564" s="295"/>
      <c r="H2564" s="98"/>
      <c r="I2564" s="99"/>
      <c r="J2564" s="99"/>
      <c r="K2564" s="99"/>
      <c r="L2564" s="99"/>
      <c r="M2564" s="99"/>
      <c r="N2564" s="99"/>
      <c r="O2564" s="99"/>
      <c r="P2564" s="99"/>
      <c r="Q2564" s="99"/>
      <c r="R2564" s="99"/>
      <c r="S2564" s="99"/>
      <c r="T2564" s="99"/>
      <c r="U2564" s="99"/>
      <c r="V2564" s="99"/>
    </row>
    <row r="2565" spans="1:22" ht="15" customHeight="1">
      <c r="A2565" s="297"/>
      <c r="B2565" s="217"/>
      <c r="C2565" s="217"/>
      <c r="D2565" s="101"/>
      <c r="E2565" s="101"/>
      <c r="F2565" s="294"/>
      <c r="G2565" s="295"/>
      <c r="H2565" s="98"/>
      <c r="I2565" s="99"/>
      <c r="J2565" s="99"/>
      <c r="K2565" s="99"/>
      <c r="L2565" s="99"/>
      <c r="M2565" s="99"/>
      <c r="N2565" s="99"/>
      <c r="O2565" s="99"/>
      <c r="P2565" s="99"/>
      <c r="Q2565" s="99"/>
      <c r="R2565" s="99"/>
      <c r="S2565" s="99"/>
      <c r="T2565" s="99"/>
      <c r="U2565" s="99"/>
      <c r="V2565" s="99"/>
    </row>
    <row r="2566" spans="1:22" ht="15" customHeight="1">
      <c r="A2566" s="297"/>
      <c r="B2566" s="217"/>
      <c r="C2566" s="217"/>
      <c r="D2566" s="101"/>
      <c r="E2566" s="101"/>
      <c r="F2566" s="294"/>
      <c r="G2566" s="295"/>
      <c r="H2566" s="98"/>
      <c r="I2566" s="99"/>
      <c r="J2566" s="99"/>
      <c r="K2566" s="99"/>
      <c r="L2566" s="99"/>
      <c r="M2566" s="99"/>
      <c r="N2566" s="99"/>
      <c r="O2566" s="99"/>
      <c r="P2566" s="99"/>
      <c r="Q2566" s="99"/>
      <c r="R2566" s="99"/>
      <c r="S2566" s="99"/>
      <c r="T2566" s="99"/>
      <c r="U2566" s="99"/>
      <c r="V2566" s="99"/>
    </row>
    <row r="2567" spans="1:22" ht="15" customHeight="1">
      <c r="A2567" s="297"/>
      <c r="B2567" s="217"/>
      <c r="C2567" s="217"/>
      <c r="D2567" s="101"/>
      <c r="E2567" s="101"/>
      <c r="F2567" s="294"/>
      <c r="G2567" s="295"/>
      <c r="H2567" s="98"/>
      <c r="I2567" s="99"/>
      <c r="J2567" s="99"/>
      <c r="K2567" s="99"/>
      <c r="L2567" s="99"/>
      <c r="M2567" s="99"/>
      <c r="N2567" s="99"/>
      <c r="O2567" s="99"/>
      <c r="P2567" s="99"/>
      <c r="Q2567" s="99"/>
      <c r="R2567" s="99"/>
      <c r="S2567" s="99"/>
      <c r="T2567" s="99"/>
      <c r="U2567" s="99"/>
      <c r="V2567" s="99"/>
    </row>
    <row r="2568" spans="1:22" ht="15" customHeight="1">
      <c r="A2568" s="297"/>
      <c r="B2568" s="217"/>
      <c r="C2568" s="217"/>
      <c r="D2568" s="101"/>
      <c r="E2568" s="101"/>
      <c r="F2568" s="294"/>
      <c r="G2568" s="295"/>
      <c r="H2568" s="107"/>
      <c r="I2568" s="108"/>
      <c r="J2568" s="108"/>
      <c r="K2568" s="108"/>
      <c r="L2568" s="108"/>
      <c r="M2568" s="108"/>
      <c r="N2568" s="108"/>
      <c r="O2568" s="108"/>
      <c r="P2568" s="108"/>
      <c r="Q2568" s="108"/>
      <c r="R2568" s="108"/>
      <c r="S2568" s="108"/>
      <c r="T2568" s="108"/>
      <c r="U2568" s="233"/>
      <c r="V2568" s="233"/>
    </row>
    <row r="2569" spans="1:22" ht="15" customHeight="1">
      <c r="A2569" s="297"/>
      <c r="B2569" s="217"/>
      <c r="C2569" s="217"/>
      <c r="D2569" s="101"/>
      <c r="E2569" s="101"/>
      <c r="F2569" s="294"/>
      <c r="G2569" s="295"/>
      <c r="H2569" s="98"/>
      <c r="I2569" s="106"/>
      <c r="J2569" s="106"/>
      <c r="K2569" s="106"/>
      <c r="L2569" s="106"/>
      <c r="M2569" s="106"/>
      <c r="N2569" s="112"/>
      <c r="O2569" s="112"/>
      <c r="P2569" s="112"/>
      <c r="Q2569" s="113"/>
      <c r="T2569" s="113"/>
      <c r="U2569" s="113"/>
      <c r="V2569" s="113"/>
    </row>
    <row r="2570" spans="1:22" ht="15" customHeight="1">
      <c r="A2570" s="297"/>
      <c r="B2570" s="217"/>
      <c r="C2570" s="217"/>
      <c r="D2570" s="101"/>
      <c r="E2570" s="101"/>
      <c r="F2570" s="294"/>
      <c r="G2570" s="295"/>
      <c r="H2570" s="98"/>
      <c r="I2570" s="99"/>
      <c r="J2570" s="99"/>
      <c r="K2570" s="99"/>
      <c r="L2570" s="99"/>
      <c r="M2570" s="99"/>
      <c r="N2570" s="99"/>
      <c r="O2570" s="99"/>
      <c r="P2570" s="99"/>
      <c r="Q2570" s="99"/>
      <c r="R2570" s="99"/>
      <c r="S2570" s="99"/>
      <c r="T2570" s="99"/>
      <c r="U2570" s="99"/>
      <c r="V2570" s="99"/>
    </row>
    <row r="2571" spans="1:22" ht="15" customHeight="1">
      <c r="A2571" s="297"/>
      <c r="B2571" s="217"/>
      <c r="C2571" s="217"/>
      <c r="D2571" s="101"/>
      <c r="E2571" s="101"/>
      <c r="F2571" s="294"/>
      <c r="G2571" s="295"/>
      <c r="H2571" s="98"/>
      <c r="I2571" s="99"/>
      <c r="J2571" s="99"/>
      <c r="K2571" s="99"/>
      <c r="L2571" s="99"/>
      <c r="M2571" s="99"/>
      <c r="N2571" s="99"/>
      <c r="O2571" s="99"/>
      <c r="P2571" s="99"/>
      <c r="Q2571" s="99"/>
      <c r="R2571" s="99"/>
      <c r="S2571" s="99"/>
      <c r="T2571" s="99"/>
      <c r="U2571" s="99"/>
      <c r="V2571" s="99"/>
    </row>
    <row r="2572" spans="1:22" ht="15" customHeight="1">
      <c r="A2572" s="297"/>
      <c r="B2572" s="217"/>
      <c r="C2572" s="217"/>
      <c r="D2572" s="101"/>
      <c r="E2572" s="101"/>
      <c r="F2572" s="294"/>
      <c r="G2572" s="295"/>
      <c r="H2572" s="98"/>
      <c r="I2572" s="99"/>
      <c r="J2572" s="99"/>
      <c r="K2572" s="99"/>
      <c r="L2572" s="99"/>
      <c r="M2572" s="99"/>
      <c r="N2572" s="99"/>
      <c r="O2572" s="99"/>
      <c r="P2572" s="99"/>
      <c r="Q2572" s="99"/>
      <c r="R2572" s="99"/>
      <c r="S2572" s="99"/>
      <c r="T2572" s="99"/>
      <c r="U2572" s="99"/>
      <c r="V2572" s="99"/>
    </row>
    <row r="2573" spans="1:22" ht="15" customHeight="1">
      <c r="A2573" s="297"/>
      <c r="B2573" s="217"/>
      <c r="C2573" s="217"/>
      <c r="D2573" s="101"/>
      <c r="E2573" s="101"/>
      <c r="F2573" s="294"/>
      <c r="G2573" s="295"/>
      <c r="H2573" s="98"/>
      <c r="I2573" s="99"/>
      <c r="J2573" s="99"/>
      <c r="K2573" s="99"/>
      <c r="L2573" s="99"/>
      <c r="M2573" s="99"/>
      <c r="N2573" s="99"/>
      <c r="O2573" s="99"/>
      <c r="P2573" s="99"/>
      <c r="Q2573" s="99"/>
      <c r="R2573" s="99"/>
      <c r="S2573" s="99"/>
      <c r="T2573" s="99"/>
      <c r="U2573" s="99"/>
      <c r="V2573" s="99"/>
    </row>
    <row r="2574" spans="1:22" ht="15" customHeight="1">
      <c r="A2574" s="297"/>
      <c r="B2574" s="217"/>
      <c r="C2574" s="217"/>
      <c r="D2574" s="101"/>
      <c r="E2574" s="101"/>
      <c r="F2574" s="294"/>
      <c r="G2574" s="295"/>
      <c r="H2574" s="98"/>
      <c r="I2574" s="99"/>
      <c r="J2574" s="99"/>
      <c r="K2574" s="99"/>
      <c r="L2574" s="99"/>
      <c r="M2574" s="99"/>
      <c r="N2574" s="99"/>
      <c r="O2574" s="99"/>
      <c r="P2574" s="99"/>
      <c r="Q2574" s="99"/>
      <c r="R2574" s="99"/>
      <c r="S2574" s="99"/>
      <c r="T2574" s="99"/>
      <c r="U2574" s="99"/>
      <c r="V2574" s="99"/>
    </row>
    <row r="2575" spans="1:22" ht="15" customHeight="1">
      <c r="A2575" s="297"/>
      <c r="B2575" s="217"/>
      <c r="C2575" s="217"/>
      <c r="D2575" s="101"/>
      <c r="E2575" s="101"/>
      <c r="F2575" s="294"/>
      <c r="G2575" s="295"/>
      <c r="H2575" s="98"/>
      <c r="I2575" s="99"/>
      <c r="J2575" s="99"/>
      <c r="K2575" s="99"/>
      <c r="L2575" s="99"/>
      <c r="M2575" s="99"/>
      <c r="N2575" s="99"/>
      <c r="O2575" s="99"/>
      <c r="P2575" s="99"/>
      <c r="Q2575" s="99"/>
      <c r="R2575" s="99"/>
      <c r="S2575" s="99"/>
      <c r="T2575" s="99"/>
      <c r="U2575" s="99"/>
      <c r="V2575" s="99"/>
    </row>
    <row r="2576" spans="1:22" ht="15" customHeight="1">
      <c r="A2576" s="297"/>
      <c r="B2576" s="217"/>
      <c r="C2576" s="217"/>
      <c r="D2576" s="101"/>
      <c r="E2576" s="101"/>
      <c r="F2576" s="294"/>
      <c r="G2576" s="295"/>
      <c r="H2576" s="98"/>
      <c r="I2576" s="99"/>
      <c r="J2576" s="99"/>
      <c r="K2576" s="99"/>
      <c r="L2576" s="99"/>
      <c r="M2576" s="99"/>
      <c r="N2576" s="99"/>
      <c r="O2576" s="99"/>
      <c r="P2576" s="99"/>
      <c r="Q2576" s="99"/>
      <c r="R2576" s="99"/>
      <c r="S2576" s="99"/>
      <c r="T2576" s="99"/>
      <c r="U2576" s="99"/>
      <c r="V2576" s="99"/>
    </row>
    <row r="2577" spans="1:22" ht="15" customHeight="1">
      <c r="A2577" s="297"/>
      <c r="B2577" s="217"/>
      <c r="C2577" s="217"/>
      <c r="D2577" s="101"/>
      <c r="E2577" s="101"/>
      <c r="F2577" s="294"/>
      <c r="G2577" s="295"/>
      <c r="H2577" s="98"/>
      <c r="I2577" s="99"/>
      <c r="J2577" s="99"/>
      <c r="K2577" s="99"/>
      <c r="L2577" s="99"/>
      <c r="M2577" s="99"/>
      <c r="N2577" s="99"/>
      <c r="O2577" s="99"/>
      <c r="P2577" s="99"/>
      <c r="Q2577" s="99"/>
      <c r="R2577" s="99"/>
      <c r="S2577" s="99"/>
      <c r="T2577" s="99"/>
      <c r="U2577" s="99"/>
      <c r="V2577" s="99"/>
    </row>
    <row r="2578" spans="1:22" ht="15" customHeight="1">
      <c r="A2578" s="297"/>
      <c r="B2578" s="217"/>
      <c r="C2578" s="217"/>
      <c r="D2578" s="101"/>
      <c r="E2578" s="101"/>
      <c r="F2578" s="294"/>
      <c r="G2578" s="295"/>
      <c r="H2578" s="107"/>
      <c r="I2578" s="108"/>
      <c r="J2578" s="108"/>
      <c r="K2578" s="108"/>
      <c r="L2578" s="108"/>
      <c r="M2578" s="108"/>
      <c r="N2578" s="108"/>
      <c r="O2578" s="108"/>
      <c r="P2578" s="108"/>
      <c r="Q2578" s="108"/>
      <c r="R2578" s="108"/>
      <c r="S2578" s="108"/>
      <c r="T2578" s="108"/>
      <c r="U2578" s="233"/>
      <c r="V2578" s="233"/>
    </row>
    <row r="2579" spans="1:22" ht="15" customHeight="1">
      <c r="A2579" s="297"/>
      <c r="B2579" s="217"/>
      <c r="C2579" s="217"/>
      <c r="D2579" s="101"/>
      <c r="E2579" s="101"/>
      <c r="F2579" s="294"/>
      <c r="G2579" s="295"/>
      <c r="H2579" s="232"/>
      <c r="I2579" s="233"/>
      <c r="J2579" s="233"/>
      <c r="K2579" s="233"/>
      <c r="L2579" s="233"/>
      <c r="M2579" s="233"/>
      <c r="N2579" s="233"/>
      <c r="O2579" s="233"/>
      <c r="P2579" s="233"/>
      <c r="Q2579" s="233"/>
      <c r="R2579" s="233"/>
      <c r="S2579" s="233"/>
      <c r="T2579" s="233"/>
      <c r="U2579" s="233"/>
      <c r="V2579" s="233"/>
    </row>
    <row r="2580" spans="1:22" ht="15" customHeight="1">
      <c r="A2580" s="297"/>
      <c r="B2580" s="217"/>
      <c r="C2580" s="217"/>
      <c r="D2580" s="101"/>
      <c r="E2580" s="101"/>
      <c r="F2580" s="294"/>
      <c r="G2580" s="295"/>
      <c r="H2580" s="98"/>
      <c r="I2580" s="99"/>
      <c r="J2580" s="99"/>
      <c r="K2580" s="99"/>
      <c r="L2580" s="99"/>
      <c r="M2580" s="99"/>
      <c r="N2580" s="99"/>
      <c r="O2580" s="99"/>
      <c r="P2580" s="99"/>
      <c r="Q2580" s="99"/>
      <c r="R2580" s="99"/>
      <c r="S2580" s="99"/>
      <c r="T2580" s="99"/>
      <c r="U2580" s="99"/>
      <c r="V2580" s="99"/>
    </row>
    <row r="2581" spans="1:22" ht="15" customHeight="1">
      <c r="A2581" s="297"/>
      <c r="B2581" s="217"/>
      <c r="C2581" s="217"/>
      <c r="D2581" s="101"/>
      <c r="E2581" s="101"/>
      <c r="F2581" s="294"/>
      <c r="G2581" s="295"/>
      <c r="H2581" s="98"/>
      <c r="I2581" s="99"/>
      <c r="J2581" s="99"/>
      <c r="K2581" s="99"/>
      <c r="L2581" s="99"/>
      <c r="M2581" s="99"/>
      <c r="N2581" s="99"/>
      <c r="O2581" s="99"/>
      <c r="P2581" s="99"/>
      <c r="Q2581" s="99"/>
      <c r="R2581" s="99"/>
      <c r="S2581" s="99"/>
      <c r="T2581" s="99"/>
      <c r="U2581" s="99"/>
      <c r="V2581" s="99"/>
    </row>
    <row r="2582" spans="1:22" ht="15" customHeight="1">
      <c r="A2582" s="297"/>
      <c r="B2582" s="217"/>
      <c r="C2582" s="217"/>
      <c r="D2582" s="101"/>
      <c r="E2582" s="101"/>
      <c r="F2582" s="294"/>
      <c r="G2582" s="295"/>
      <c r="H2582" s="98"/>
      <c r="I2582" s="99"/>
      <c r="J2582" s="99"/>
      <c r="K2582" s="99"/>
      <c r="L2582" s="99"/>
      <c r="M2582" s="99"/>
      <c r="N2582" s="99"/>
      <c r="O2582" s="99"/>
      <c r="P2582" s="99"/>
      <c r="Q2582" s="99"/>
      <c r="R2582" s="99"/>
      <c r="S2582" s="99"/>
      <c r="T2582" s="99"/>
      <c r="U2582" s="99"/>
      <c r="V2582" s="99"/>
    </row>
    <row r="2583" spans="1:22" ht="15" customHeight="1">
      <c r="A2583" s="297"/>
      <c r="B2583" s="217"/>
      <c r="C2583" s="217"/>
      <c r="D2583" s="101"/>
      <c r="E2583" s="101"/>
      <c r="F2583" s="294"/>
      <c r="G2583" s="295"/>
      <c r="H2583" s="107"/>
      <c r="I2583" s="108"/>
      <c r="J2583" s="108"/>
      <c r="K2583" s="108"/>
      <c r="L2583" s="108"/>
      <c r="M2583" s="108"/>
      <c r="N2583" s="108"/>
      <c r="O2583" s="108"/>
      <c r="P2583" s="108"/>
      <c r="Q2583" s="108"/>
      <c r="R2583" s="108"/>
      <c r="S2583" s="108"/>
      <c r="T2583" s="108"/>
      <c r="U2583" s="233"/>
      <c r="V2583" s="233"/>
    </row>
    <row r="2584" spans="1:22" ht="15" customHeight="1">
      <c r="A2584" s="297"/>
      <c r="B2584" s="217"/>
      <c r="C2584" s="217"/>
      <c r="D2584" s="101"/>
      <c r="E2584" s="101"/>
      <c r="F2584" s="294"/>
      <c r="G2584" s="295"/>
      <c r="H2584" s="232"/>
      <c r="I2584" s="233"/>
      <c r="J2584" s="233"/>
      <c r="K2584" s="233"/>
      <c r="L2584" s="233"/>
      <c r="M2584" s="233"/>
      <c r="N2584" s="233"/>
      <c r="O2584" s="233"/>
      <c r="P2584" s="233"/>
      <c r="Q2584" s="233"/>
      <c r="R2584" s="233"/>
      <c r="S2584" s="233"/>
      <c r="T2584" s="233"/>
      <c r="U2584" s="233"/>
      <c r="V2584" s="233"/>
    </row>
    <row r="2585" spans="1:22" ht="15" customHeight="1">
      <c r="A2585" s="297"/>
      <c r="B2585" s="217"/>
      <c r="C2585" s="217"/>
      <c r="D2585" s="101"/>
      <c r="E2585" s="101"/>
      <c r="F2585" s="294"/>
      <c r="G2585" s="295"/>
      <c r="H2585" s="114"/>
      <c r="I2585" s="108"/>
      <c r="J2585" s="108"/>
      <c r="K2585" s="108"/>
      <c r="L2585" s="108"/>
      <c r="M2585" s="108"/>
      <c r="N2585" s="108"/>
      <c r="O2585" s="108"/>
      <c r="P2585" s="108"/>
      <c r="Q2585" s="108"/>
      <c r="R2585" s="108"/>
      <c r="S2585" s="108"/>
      <c r="T2585" s="108"/>
      <c r="U2585" s="233"/>
      <c r="V2585" s="233"/>
    </row>
    <row r="2586" spans="1:22" ht="15" customHeight="1">
      <c r="A2586" s="297"/>
      <c r="B2586" s="217"/>
      <c r="C2586" s="217"/>
      <c r="D2586" s="101"/>
      <c r="E2586" s="101"/>
      <c r="F2586" s="294"/>
      <c r="G2586" s="295"/>
      <c r="H2586" s="89"/>
      <c r="I2586" s="233"/>
      <c r="J2586" s="233"/>
      <c r="K2586" s="233"/>
      <c r="L2586" s="233"/>
      <c r="M2586" s="233"/>
      <c r="N2586" s="233"/>
      <c r="O2586" s="233"/>
      <c r="P2586" s="233"/>
      <c r="Q2586" s="233"/>
      <c r="R2586" s="233"/>
      <c r="S2586" s="233"/>
      <c r="T2586" s="233"/>
      <c r="U2586" s="233"/>
      <c r="V2586" s="233"/>
    </row>
    <row r="2587" spans="1:22" ht="15" customHeight="1" thickBot="1">
      <c r="A2587" s="297"/>
      <c r="B2587" s="217"/>
      <c r="C2587" s="217"/>
      <c r="D2587" s="101"/>
      <c r="E2587" s="101"/>
      <c r="F2587" s="294"/>
      <c r="G2587" s="295"/>
      <c r="H2587" s="89"/>
      <c r="I2587" s="233"/>
      <c r="J2587" s="233"/>
      <c r="K2587" s="233"/>
      <c r="L2587" s="233"/>
      <c r="M2587" s="233"/>
      <c r="N2587" s="233"/>
      <c r="O2587" s="233"/>
      <c r="P2587" s="233"/>
      <c r="Q2587" s="233"/>
      <c r="R2587" s="233"/>
      <c r="S2587" s="233"/>
      <c r="T2587" s="233"/>
      <c r="U2587" s="233"/>
      <c r="V2587" s="233"/>
    </row>
    <row r="2588" spans="1:22" ht="15" customHeight="1" thickBot="1">
      <c r="A2588" s="297"/>
      <c r="B2588" s="217"/>
      <c r="C2588" s="217"/>
      <c r="D2588" s="101"/>
      <c r="E2588" s="101"/>
      <c r="F2588" s="294"/>
      <c r="G2588" s="295"/>
      <c r="H2588" s="686"/>
      <c r="I2588" s="687"/>
      <c r="J2588" s="687"/>
      <c r="K2588" s="687"/>
      <c r="L2588" s="687"/>
      <c r="M2588" s="687"/>
      <c r="N2588" s="687"/>
      <c r="O2588" s="687"/>
      <c r="P2588" s="687"/>
      <c r="Q2588" s="687"/>
      <c r="R2588" s="687"/>
      <c r="S2588" s="715"/>
      <c r="T2588" s="688"/>
      <c r="U2588" s="254"/>
      <c r="V2588" s="254"/>
    </row>
    <row r="2589" spans="1:22" ht="15" customHeight="1">
      <c r="A2589" s="297"/>
      <c r="B2589" s="217"/>
      <c r="C2589" s="217"/>
      <c r="D2589" s="101"/>
      <c r="E2589" s="101"/>
      <c r="F2589" s="294"/>
      <c r="G2589" s="295"/>
      <c r="H2589" s="225"/>
      <c r="I2589" s="225"/>
      <c r="J2589" s="225"/>
      <c r="K2589" s="225"/>
      <c r="L2589" s="225"/>
      <c r="M2589" s="225"/>
      <c r="N2589" s="225"/>
      <c r="O2589" s="225"/>
      <c r="P2589" s="225"/>
      <c r="Q2589" s="225"/>
      <c r="R2589" s="225"/>
      <c r="S2589" s="225"/>
      <c r="T2589" s="225"/>
      <c r="U2589" s="225"/>
      <c r="V2589" s="225"/>
    </row>
    <row r="2590" spans="1:22" ht="15" customHeight="1">
      <c r="A2590" s="297"/>
      <c r="B2590" s="217"/>
      <c r="C2590" s="217"/>
      <c r="D2590" s="101"/>
      <c r="E2590" s="101"/>
      <c r="F2590" s="294"/>
      <c r="G2590" s="295"/>
      <c r="H2590" s="98"/>
      <c r="I2590" s="99"/>
      <c r="J2590" s="99"/>
      <c r="K2590" s="99"/>
      <c r="L2590" s="99"/>
      <c r="M2590" s="99"/>
      <c r="N2590" s="99"/>
      <c r="O2590" s="99"/>
      <c r="P2590" s="99"/>
      <c r="Q2590" s="99"/>
      <c r="R2590" s="99"/>
      <c r="S2590" s="99"/>
      <c r="T2590" s="99"/>
      <c r="U2590" s="99"/>
      <c r="V2590" s="99"/>
    </row>
    <row r="2591" spans="1:22" ht="15" customHeight="1">
      <c r="A2591" s="297"/>
      <c r="B2591" s="217"/>
      <c r="C2591" s="217"/>
      <c r="D2591" s="101"/>
      <c r="E2591" s="101"/>
      <c r="F2591" s="294"/>
      <c r="G2591" s="295"/>
      <c r="H2591" s="98"/>
      <c r="I2591" s="99"/>
      <c r="J2591" s="99"/>
      <c r="K2591" s="99"/>
      <c r="L2591" s="99"/>
      <c r="M2591" s="99"/>
      <c r="N2591" s="99"/>
      <c r="O2591" s="99"/>
      <c r="P2591" s="99"/>
      <c r="Q2591" s="99"/>
      <c r="R2591" s="99"/>
      <c r="S2591" s="99"/>
      <c r="T2591" s="99"/>
      <c r="U2591" s="99"/>
      <c r="V2591" s="99"/>
    </row>
    <row r="2592" spans="1:22" ht="15" customHeight="1">
      <c r="A2592" s="297"/>
      <c r="B2592" s="217"/>
      <c r="C2592" s="217"/>
      <c r="D2592" s="101"/>
      <c r="E2592" s="101"/>
      <c r="F2592" s="294"/>
      <c r="G2592" s="295"/>
      <c r="H2592" s="98"/>
      <c r="I2592" s="99"/>
      <c r="J2592" s="99"/>
      <c r="K2592" s="99"/>
      <c r="L2592" s="99"/>
      <c r="M2592" s="99"/>
      <c r="N2592" s="99"/>
      <c r="O2592" s="99"/>
      <c r="P2592" s="99"/>
      <c r="Q2592" s="99"/>
      <c r="R2592" s="99"/>
      <c r="S2592" s="99"/>
      <c r="T2592" s="99"/>
      <c r="U2592" s="99"/>
      <c r="V2592" s="99"/>
    </row>
    <row r="2593" spans="1:22" ht="15" customHeight="1">
      <c r="A2593" s="297"/>
      <c r="B2593" s="217"/>
      <c r="C2593" s="217"/>
      <c r="D2593" s="101"/>
      <c r="E2593" s="101"/>
      <c r="F2593" s="294"/>
      <c r="G2593" s="295"/>
      <c r="H2593" s="98"/>
      <c r="I2593" s="99"/>
      <c r="J2593" s="99"/>
      <c r="K2593" s="99"/>
      <c r="L2593" s="99"/>
      <c r="M2593" s="99"/>
      <c r="N2593" s="99"/>
      <c r="O2593" s="99"/>
      <c r="P2593" s="99"/>
      <c r="Q2593" s="99"/>
      <c r="R2593" s="99"/>
      <c r="S2593" s="99"/>
      <c r="T2593" s="99"/>
      <c r="U2593" s="99"/>
      <c r="V2593" s="99"/>
    </row>
    <row r="2594" spans="1:22" ht="15" customHeight="1">
      <c r="A2594" s="297"/>
      <c r="B2594" s="217"/>
      <c r="C2594" s="217"/>
      <c r="D2594" s="101"/>
      <c r="E2594" s="101"/>
      <c r="F2594" s="294"/>
      <c r="G2594" s="295"/>
      <c r="H2594" s="98"/>
      <c r="I2594" s="99"/>
      <c r="J2594" s="99"/>
      <c r="K2594" s="99"/>
      <c r="L2594" s="99"/>
      <c r="M2594" s="99"/>
      <c r="N2594" s="99"/>
      <c r="O2594" s="99"/>
      <c r="P2594" s="99"/>
      <c r="Q2594" s="99"/>
      <c r="R2594" s="99"/>
      <c r="S2594" s="99"/>
      <c r="T2594" s="99"/>
      <c r="U2594" s="99"/>
      <c r="V2594" s="99"/>
    </row>
    <row r="2595" spans="1:22" ht="15" customHeight="1">
      <c r="A2595" s="297"/>
      <c r="B2595" s="217"/>
      <c r="C2595" s="217"/>
      <c r="D2595" s="101"/>
      <c r="E2595" s="101"/>
      <c r="F2595" s="294"/>
      <c r="G2595" s="295"/>
      <c r="H2595" s="98"/>
      <c r="I2595" s="99"/>
      <c r="J2595" s="99"/>
      <c r="K2595" s="99"/>
      <c r="L2595" s="99"/>
      <c r="M2595" s="99"/>
      <c r="N2595" s="99"/>
      <c r="O2595" s="99"/>
      <c r="P2595" s="99"/>
      <c r="Q2595" s="99"/>
      <c r="R2595" s="99"/>
      <c r="S2595" s="99"/>
      <c r="T2595" s="99"/>
      <c r="U2595" s="99"/>
      <c r="V2595" s="99"/>
    </row>
    <row r="2596" spans="1:22" ht="15" customHeight="1">
      <c r="A2596" s="297"/>
      <c r="B2596" s="217"/>
      <c r="C2596" s="217"/>
      <c r="D2596" s="101"/>
      <c r="E2596" s="101"/>
      <c r="F2596" s="294"/>
      <c r="G2596" s="295"/>
      <c r="H2596" s="98"/>
      <c r="I2596" s="99"/>
      <c r="J2596" s="99"/>
      <c r="K2596" s="99"/>
      <c r="L2596" s="99"/>
      <c r="M2596" s="99"/>
      <c r="N2596" s="99"/>
      <c r="O2596" s="99"/>
      <c r="P2596" s="99"/>
      <c r="Q2596" s="99"/>
      <c r="R2596" s="99"/>
      <c r="S2596" s="99"/>
      <c r="T2596" s="99"/>
      <c r="U2596" s="99"/>
      <c r="V2596" s="99"/>
    </row>
    <row r="2597" spans="1:22" ht="15" customHeight="1">
      <c r="A2597" s="297"/>
      <c r="B2597" s="217"/>
      <c r="C2597" s="217"/>
      <c r="D2597" s="101"/>
      <c r="E2597" s="101"/>
      <c r="F2597" s="294"/>
      <c r="G2597" s="295"/>
      <c r="H2597" s="98"/>
      <c r="I2597" s="99"/>
      <c r="J2597" s="99"/>
      <c r="K2597" s="99"/>
      <c r="L2597" s="99"/>
      <c r="M2597" s="99"/>
      <c r="N2597" s="99"/>
      <c r="O2597" s="99"/>
      <c r="P2597" s="99"/>
      <c r="Q2597" s="99"/>
      <c r="R2597" s="99"/>
      <c r="S2597" s="99"/>
      <c r="T2597" s="99"/>
      <c r="U2597" s="99"/>
      <c r="V2597" s="99"/>
    </row>
    <row r="2598" spans="1:22" ht="15" customHeight="1">
      <c r="A2598" s="297"/>
      <c r="B2598" s="217"/>
      <c r="C2598" s="217"/>
      <c r="D2598" s="101"/>
      <c r="E2598" s="101"/>
      <c r="F2598" s="294"/>
      <c r="G2598" s="295"/>
      <c r="H2598" s="98"/>
      <c r="I2598" s="99"/>
      <c r="J2598" s="99"/>
      <c r="K2598" s="99"/>
      <c r="L2598" s="99"/>
      <c r="M2598" s="99"/>
      <c r="N2598" s="99"/>
      <c r="O2598" s="99"/>
      <c r="P2598" s="99"/>
      <c r="Q2598" s="99"/>
      <c r="R2598" s="99"/>
      <c r="S2598" s="99"/>
      <c r="T2598" s="99"/>
      <c r="U2598" s="99"/>
      <c r="V2598" s="99"/>
    </row>
    <row r="2599" spans="1:22" ht="15" customHeight="1">
      <c r="A2599" s="297"/>
      <c r="B2599" s="217"/>
      <c r="C2599" s="217"/>
      <c r="D2599" s="101"/>
      <c r="E2599" s="101"/>
      <c r="F2599" s="294"/>
      <c r="G2599" s="295"/>
      <c r="H2599" s="98"/>
      <c r="I2599" s="99"/>
      <c r="J2599" s="99"/>
      <c r="K2599" s="99"/>
      <c r="L2599" s="99"/>
      <c r="M2599" s="99"/>
      <c r="N2599" s="99"/>
      <c r="O2599" s="99"/>
      <c r="P2599" s="99"/>
      <c r="Q2599" s="99"/>
      <c r="R2599" s="99"/>
      <c r="S2599" s="99"/>
      <c r="T2599" s="99"/>
      <c r="U2599" s="99"/>
      <c r="V2599" s="99"/>
    </row>
    <row r="2600" spans="1:22" ht="15" customHeight="1">
      <c r="A2600" s="297"/>
      <c r="B2600" s="217"/>
      <c r="C2600" s="217"/>
      <c r="D2600" s="101"/>
      <c r="E2600" s="101"/>
      <c r="F2600" s="294"/>
      <c r="G2600" s="295"/>
      <c r="H2600" s="98"/>
      <c r="I2600" s="99"/>
      <c r="J2600" s="99"/>
      <c r="K2600" s="99"/>
      <c r="L2600" s="99"/>
      <c r="M2600" s="99"/>
      <c r="N2600" s="99"/>
      <c r="O2600" s="99"/>
      <c r="P2600" s="99"/>
      <c r="Q2600" s="99"/>
      <c r="R2600" s="99"/>
      <c r="S2600" s="99"/>
      <c r="T2600" s="99"/>
      <c r="U2600" s="99"/>
      <c r="V2600" s="99"/>
    </row>
    <row r="2601" spans="1:22" ht="15" customHeight="1">
      <c r="A2601" s="297"/>
      <c r="B2601" s="217"/>
      <c r="C2601" s="217"/>
      <c r="D2601" s="101"/>
      <c r="E2601" s="101"/>
      <c r="F2601" s="294"/>
      <c r="G2601" s="295"/>
      <c r="H2601" s="98"/>
      <c r="I2601" s="99"/>
      <c r="J2601" s="99"/>
      <c r="K2601" s="99"/>
      <c r="L2601" s="99"/>
      <c r="M2601" s="99"/>
      <c r="N2601" s="99"/>
      <c r="O2601" s="99"/>
      <c r="P2601" s="99"/>
      <c r="Q2601" s="99"/>
      <c r="R2601" s="99"/>
      <c r="S2601" s="99"/>
      <c r="T2601" s="99"/>
      <c r="U2601" s="99"/>
      <c r="V2601" s="99"/>
    </row>
    <row r="2602" spans="1:22" ht="15" customHeight="1">
      <c r="A2602" s="297"/>
      <c r="B2602" s="217"/>
      <c r="C2602" s="217"/>
      <c r="D2602" s="101"/>
      <c r="E2602" s="101"/>
      <c r="F2602" s="294"/>
      <c r="G2602" s="295"/>
      <c r="H2602" s="98"/>
      <c r="I2602" s="99"/>
      <c r="J2602" s="99"/>
      <c r="K2602" s="99"/>
      <c r="L2602" s="99"/>
      <c r="M2602" s="99"/>
      <c r="N2602" s="99"/>
      <c r="O2602" s="99"/>
      <c r="P2602" s="99"/>
      <c r="Q2602" s="99"/>
      <c r="R2602" s="99"/>
      <c r="S2602" s="99"/>
      <c r="T2602" s="99"/>
      <c r="U2602" s="99"/>
      <c r="V2602" s="99"/>
    </row>
    <row r="2603" spans="1:22" ht="15" customHeight="1">
      <c r="A2603" s="297"/>
      <c r="B2603" s="217"/>
      <c r="C2603" s="217"/>
      <c r="D2603" s="101"/>
      <c r="E2603" s="101"/>
      <c r="F2603" s="294"/>
      <c r="G2603" s="295"/>
      <c r="H2603" s="98"/>
      <c r="I2603" s="99"/>
      <c r="J2603" s="99"/>
      <c r="K2603" s="99"/>
      <c r="L2603" s="99"/>
      <c r="M2603" s="99"/>
      <c r="N2603" s="99"/>
      <c r="O2603" s="99"/>
      <c r="P2603" s="99"/>
      <c r="Q2603" s="99"/>
      <c r="R2603" s="99"/>
      <c r="S2603" s="99"/>
      <c r="T2603" s="99"/>
      <c r="U2603" s="99"/>
      <c r="V2603" s="99"/>
    </row>
    <row r="2604" spans="1:22" ht="15" customHeight="1">
      <c r="A2604" s="297"/>
      <c r="B2604" s="217"/>
      <c r="C2604" s="217"/>
      <c r="D2604" s="101"/>
      <c r="E2604" s="101"/>
      <c r="F2604" s="294"/>
      <c r="G2604" s="295"/>
      <c r="H2604" s="98"/>
      <c r="I2604" s="99"/>
      <c r="J2604" s="99"/>
      <c r="K2604" s="99"/>
      <c r="L2604" s="99"/>
      <c r="M2604" s="99"/>
      <c r="N2604" s="99"/>
      <c r="O2604" s="99"/>
      <c r="P2604" s="99"/>
      <c r="Q2604" s="99"/>
      <c r="R2604" s="99"/>
      <c r="S2604" s="99"/>
      <c r="T2604" s="99"/>
      <c r="U2604" s="99"/>
      <c r="V2604" s="99"/>
    </row>
    <row r="2605" spans="1:22" ht="15" customHeight="1">
      <c r="A2605" s="297"/>
      <c r="B2605" s="217"/>
      <c r="C2605" s="217"/>
      <c r="D2605" s="101"/>
      <c r="E2605" s="101"/>
      <c r="F2605" s="294"/>
      <c r="G2605" s="295"/>
      <c r="H2605" s="107"/>
      <c r="I2605" s="108"/>
      <c r="J2605" s="108"/>
      <c r="K2605" s="108"/>
      <c r="L2605" s="108"/>
      <c r="M2605" s="108"/>
      <c r="N2605" s="109"/>
      <c r="O2605" s="109"/>
      <c r="P2605" s="109"/>
      <c r="Q2605" s="109"/>
      <c r="R2605" s="109"/>
      <c r="S2605" s="109"/>
      <c r="T2605" s="109"/>
      <c r="U2605" s="202"/>
      <c r="V2605" s="202"/>
    </row>
    <row r="2606" spans="1:22" ht="15" customHeight="1">
      <c r="A2606" s="297"/>
      <c r="B2606" s="217"/>
      <c r="C2606" s="217"/>
      <c r="D2606" s="101"/>
      <c r="E2606" s="101"/>
      <c r="F2606" s="294"/>
      <c r="G2606" s="295"/>
      <c r="H2606" s="98"/>
      <c r="I2606" s="106"/>
      <c r="J2606" s="106"/>
      <c r="K2606" s="106"/>
      <c r="L2606" s="106"/>
      <c r="M2606" s="106"/>
      <c r="N2606" s="112"/>
      <c r="O2606" s="112"/>
      <c r="P2606" s="112"/>
      <c r="Q2606" s="113"/>
      <c r="T2606" s="113"/>
      <c r="U2606" s="113"/>
      <c r="V2606" s="113"/>
    </row>
    <row r="2607" spans="1:22" ht="15" customHeight="1">
      <c r="A2607" s="297"/>
      <c r="B2607" s="217"/>
      <c r="C2607" s="217"/>
      <c r="D2607" s="101"/>
      <c r="E2607" s="101"/>
      <c r="F2607" s="294"/>
      <c r="G2607" s="295"/>
      <c r="H2607" s="98"/>
      <c r="I2607" s="99"/>
      <c r="J2607" s="99"/>
      <c r="K2607" s="99"/>
      <c r="L2607" s="99"/>
      <c r="M2607" s="99"/>
      <c r="N2607" s="99"/>
      <c r="O2607" s="99"/>
      <c r="P2607" s="99"/>
      <c r="Q2607" s="99"/>
      <c r="R2607" s="99"/>
      <c r="S2607" s="99"/>
      <c r="T2607" s="99"/>
      <c r="U2607" s="99"/>
      <c r="V2607" s="99"/>
    </row>
    <row r="2608" spans="1:22" ht="15" customHeight="1">
      <c r="A2608" s="297"/>
      <c r="B2608" s="217"/>
      <c r="C2608" s="217"/>
      <c r="D2608" s="101"/>
      <c r="E2608" s="101"/>
      <c r="F2608" s="294"/>
      <c r="G2608" s="295"/>
      <c r="H2608" s="98"/>
      <c r="I2608" s="99"/>
      <c r="J2608" s="99"/>
      <c r="K2608" s="99"/>
      <c r="L2608" s="99"/>
      <c r="M2608" s="99"/>
      <c r="N2608" s="99"/>
      <c r="O2608" s="99"/>
      <c r="P2608" s="99"/>
      <c r="Q2608" s="99"/>
      <c r="R2608" s="99"/>
      <c r="S2608" s="99"/>
      <c r="T2608" s="99"/>
      <c r="U2608" s="99"/>
      <c r="V2608" s="99"/>
    </row>
    <row r="2609" spans="1:22" ht="15" customHeight="1">
      <c r="A2609" s="297"/>
      <c r="B2609" s="217"/>
      <c r="C2609" s="217"/>
      <c r="D2609" s="101"/>
      <c r="E2609" s="101"/>
      <c r="F2609" s="294"/>
      <c r="G2609" s="295"/>
      <c r="H2609" s="98"/>
      <c r="I2609" s="99"/>
      <c r="J2609" s="99"/>
      <c r="K2609" s="99"/>
      <c r="L2609" s="99"/>
      <c r="M2609" s="99"/>
      <c r="N2609" s="99"/>
      <c r="O2609" s="99"/>
      <c r="P2609" s="99"/>
      <c r="Q2609" s="99"/>
      <c r="R2609" s="99"/>
      <c r="S2609" s="99"/>
      <c r="T2609" s="99"/>
      <c r="U2609" s="99"/>
      <c r="V2609" s="99"/>
    </row>
    <row r="2610" spans="1:22" ht="15" customHeight="1">
      <c r="A2610" s="297"/>
      <c r="B2610" s="217"/>
      <c r="C2610" s="217"/>
      <c r="D2610" s="101"/>
      <c r="E2610" s="101"/>
      <c r="F2610" s="294"/>
      <c r="G2610" s="295"/>
      <c r="H2610" s="98"/>
      <c r="I2610" s="99"/>
      <c r="J2610" s="99"/>
      <c r="K2610" s="99"/>
      <c r="L2610" s="99"/>
      <c r="M2610" s="99"/>
      <c r="N2610" s="99"/>
      <c r="O2610" s="99"/>
      <c r="P2610" s="99"/>
      <c r="Q2610" s="99"/>
      <c r="R2610" s="99"/>
      <c r="S2610" s="99"/>
      <c r="T2610" s="99"/>
      <c r="U2610" s="99"/>
      <c r="V2610" s="99"/>
    </row>
    <row r="2611" spans="1:22" ht="15" customHeight="1">
      <c r="A2611" s="297"/>
      <c r="B2611" s="217"/>
      <c r="C2611" s="217"/>
      <c r="D2611" s="101"/>
      <c r="E2611" s="101"/>
      <c r="F2611" s="294"/>
      <c r="G2611" s="295"/>
      <c r="H2611" s="98"/>
      <c r="I2611" s="99"/>
      <c r="J2611" s="99"/>
      <c r="K2611" s="99"/>
      <c r="L2611" s="99"/>
      <c r="M2611" s="99"/>
      <c r="N2611" s="99"/>
      <c r="O2611" s="99"/>
      <c r="P2611" s="99"/>
      <c r="Q2611" s="99"/>
      <c r="R2611" s="99"/>
      <c r="S2611" s="99"/>
      <c r="T2611" s="99"/>
      <c r="U2611" s="99"/>
      <c r="V2611" s="99"/>
    </row>
    <row r="2612" spans="1:22" ht="15" customHeight="1">
      <c r="A2612" s="297"/>
      <c r="B2612" s="217"/>
      <c r="C2612" s="217"/>
      <c r="D2612" s="101"/>
      <c r="E2612" s="101"/>
      <c r="F2612" s="294"/>
      <c r="G2612" s="295"/>
      <c r="H2612" s="98"/>
      <c r="I2612" s="99"/>
      <c r="J2612" s="99"/>
      <c r="K2612" s="99"/>
      <c r="L2612" s="99"/>
      <c r="M2612" s="99"/>
      <c r="N2612" s="99"/>
      <c r="O2612" s="99"/>
      <c r="P2612" s="99"/>
      <c r="Q2612" s="99"/>
      <c r="R2612" s="99"/>
      <c r="S2612" s="99"/>
      <c r="T2612" s="99"/>
      <c r="U2612" s="99"/>
      <c r="V2612" s="99"/>
    </row>
    <row r="2613" spans="1:22" ht="15" customHeight="1">
      <c r="A2613" s="297"/>
      <c r="B2613" s="217"/>
      <c r="C2613" s="217"/>
      <c r="D2613" s="101"/>
      <c r="E2613" s="101"/>
      <c r="F2613" s="294"/>
      <c r="G2613" s="295"/>
      <c r="H2613" s="98"/>
      <c r="I2613" s="99"/>
      <c r="J2613" s="99"/>
      <c r="K2613" s="99"/>
      <c r="L2613" s="99"/>
      <c r="M2613" s="99"/>
      <c r="N2613" s="99"/>
      <c r="O2613" s="99"/>
      <c r="P2613" s="99"/>
      <c r="Q2613" s="99"/>
      <c r="R2613" s="99"/>
      <c r="S2613" s="99"/>
      <c r="T2613" s="99"/>
      <c r="U2613" s="99"/>
      <c r="V2613" s="99"/>
    </row>
    <row r="2614" spans="1:22" ht="15" customHeight="1">
      <c r="A2614" s="297"/>
      <c r="B2614" s="217"/>
      <c r="C2614" s="217"/>
      <c r="D2614" s="101"/>
      <c r="E2614" s="101"/>
      <c r="F2614" s="294"/>
      <c r="G2614" s="295"/>
      <c r="H2614" s="98"/>
      <c r="I2614" s="99"/>
      <c r="J2614" s="99"/>
      <c r="K2614" s="99"/>
      <c r="L2614" s="99"/>
      <c r="M2614" s="99"/>
      <c r="N2614" s="99"/>
      <c r="O2614" s="99"/>
      <c r="P2614" s="99"/>
      <c r="Q2614" s="99"/>
      <c r="R2614" s="99"/>
      <c r="S2614" s="99"/>
      <c r="T2614" s="99"/>
      <c r="U2614" s="99"/>
      <c r="V2614" s="99"/>
    </row>
    <row r="2615" spans="1:22" ht="15" customHeight="1">
      <c r="A2615" s="297"/>
      <c r="B2615" s="217"/>
      <c r="C2615" s="217"/>
      <c r="D2615" s="101"/>
      <c r="E2615" s="101"/>
      <c r="F2615" s="294"/>
      <c r="G2615" s="295"/>
      <c r="H2615" s="98"/>
      <c r="I2615" s="99"/>
      <c r="J2615" s="99"/>
      <c r="K2615" s="99"/>
      <c r="L2615" s="99"/>
      <c r="M2615" s="99"/>
      <c r="N2615" s="99"/>
      <c r="O2615" s="99"/>
      <c r="P2615" s="99"/>
      <c r="Q2615" s="99"/>
      <c r="R2615" s="99"/>
      <c r="S2615" s="99"/>
      <c r="T2615" s="99"/>
      <c r="U2615" s="99"/>
      <c r="V2615" s="99"/>
    </row>
    <row r="2616" spans="1:22" ht="15" customHeight="1">
      <c r="A2616" s="297"/>
      <c r="B2616" s="217"/>
      <c r="C2616" s="217"/>
      <c r="D2616" s="101"/>
      <c r="E2616" s="101"/>
      <c r="F2616" s="294"/>
      <c r="G2616" s="295"/>
      <c r="H2616" s="98"/>
      <c r="I2616" s="99"/>
      <c r="J2616" s="99"/>
      <c r="K2616" s="99"/>
      <c r="L2616" s="99"/>
      <c r="M2616" s="99"/>
      <c r="N2616" s="99"/>
      <c r="O2616" s="99"/>
      <c r="P2616" s="99"/>
      <c r="Q2616" s="99"/>
      <c r="R2616" s="99"/>
      <c r="S2616" s="99"/>
      <c r="T2616" s="99"/>
      <c r="U2616" s="99"/>
      <c r="V2616" s="99"/>
    </row>
    <row r="2617" spans="1:22" ht="15" customHeight="1">
      <c r="A2617" s="297"/>
      <c r="B2617" s="217"/>
      <c r="C2617" s="217"/>
      <c r="D2617" s="101"/>
      <c r="E2617" s="101"/>
      <c r="F2617" s="294"/>
      <c r="G2617" s="295"/>
      <c r="H2617" s="107"/>
      <c r="I2617" s="108"/>
      <c r="J2617" s="108"/>
      <c r="K2617" s="108"/>
      <c r="L2617" s="108"/>
      <c r="M2617" s="108"/>
      <c r="N2617" s="109"/>
      <c r="O2617" s="109"/>
      <c r="P2617" s="109"/>
      <c r="Q2617" s="109"/>
      <c r="R2617" s="109"/>
      <c r="S2617" s="109"/>
      <c r="T2617" s="109"/>
      <c r="U2617" s="202"/>
      <c r="V2617" s="202"/>
    </row>
    <row r="2618" spans="1:22" ht="15" customHeight="1">
      <c r="A2618" s="297"/>
      <c r="B2618" s="217"/>
      <c r="C2618" s="217"/>
      <c r="D2618" s="101"/>
      <c r="E2618" s="101"/>
      <c r="F2618" s="294"/>
      <c r="G2618" s="295"/>
      <c r="H2618" s="98"/>
      <c r="I2618" s="106"/>
      <c r="J2618" s="106"/>
      <c r="K2618" s="106"/>
      <c r="L2618" s="106"/>
      <c r="M2618" s="106"/>
      <c r="N2618" s="112"/>
      <c r="O2618" s="112"/>
      <c r="P2618" s="112"/>
      <c r="Q2618" s="113"/>
      <c r="T2618" s="113"/>
      <c r="U2618" s="113"/>
      <c r="V2618" s="113"/>
    </row>
    <row r="2619" spans="1:22" ht="15" customHeight="1">
      <c r="A2619" s="297"/>
      <c r="B2619" s="217"/>
      <c r="C2619" s="217"/>
      <c r="D2619" s="101"/>
      <c r="E2619" s="101"/>
      <c r="F2619" s="294"/>
      <c r="G2619" s="295"/>
      <c r="H2619" s="98"/>
      <c r="I2619" s="99"/>
      <c r="J2619" s="99"/>
      <c r="K2619" s="99"/>
      <c r="L2619" s="99"/>
      <c r="M2619" s="99"/>
      <c r="N2619" s="99"/>
      <c r="O2619" s="99"/>
      <c r="P2619" s="99"/>
      <c r="Q2619" s="99"/>
      <c r="R2619" s="99"/>
      <c r="S2619" s="99"/>
      <c r="T2619" s="99"/>
      <c r="U2619" s="99"/>
      <c r="V2619" s="99"/>
    </row>
    <row r="2620" spans="1:22" ht="15" customHeight="1">
      <c r="A2620" s="297"/>
      <c r="B2620" s="217"/>
      <c r="C2620" s="217"/>
      <c r="D2620" s="101"/>
      <c r="E2620" s="101"/>
      <c r="F2620" s="294"/>
      <c r="G2620" s="295"/>
      <c r="H2620" s="98"/>
      <c r="I2620" s="99"/>
      <c r="J2620" s="99"/>
      <c r="K2620" s="99"/>
      <c r="L2620" s="99"/>
      <c r="M2620" s="99"/>
      <c r="N2620" s="99"/>
      <c r="O2620" s="99"/>
      <c r="P2620" s="99"/>
      <c r="Q2620" s="99"/>
      <c r="R2620" s="99"/>
      <c r="S2620" s="99"/>
      <c r="T2620" s="99"/>
      <c r="U2620" s="99"/>
      <c r="V2620" s="99"/>
    </row>
    <row r="2621" spans="1:22" ht="15" customHeight="1">
      <c r="A2621" s="297"/>
      <c r="B2621" s="217"/>
      <c r="C2621" s="217"/>
      <c r="D2621" s="101"/>
      <c r="E2621" s="101"/>
      <c r="F2621" s="294"/>
      <c r="G2621" s="295"/>
      <c r="H2621" s="98"/>
      <c r="I2621" s="99"/>
      <c r="J2621" s="99"/>
      <c r="K2621" s="99"/>
      <c r="L2621" s="99"/>
      <c r="M2621" s="99"/>
      <c r="N2621" s="99"/>
      <c r="O2621" s="99"/>
      <c r="P2621" s="99"/>
      <c r="Q2621" s="99"/>
      <c r="R2621" s="99"/>
      <c r="S2621" s="99"/>
      <c r="T2621" s="99"/>
      <c r="U2621" s="99"/>
      <c r="V2621" s="99"/>
    </row>
    <row r="2622" spans="1:22" ht="15" customHeight="1">
      <c r="A2622" s="297"/>
      <c r="B2622" s="217"/>
      <c r="C2622" s="217"/>
      <c r="D2622" s="101"/>
      <c r="E2622" s="101"/>
      <c r="F2622" s="294"/>
      <c r="G2622" s="295"/>
      <c r="H2622" s="98"/>
      <c r="I2622" s="99"/>
      <c r="J2622" s="99"/>
      <c r="K2622" s="99"/>
      <c r="L2622" s="99"/>
      <c r="M2622" s="99"/>
      <c r="N2622" s="99"/>
      <c r="O2622" s="99"/>
      <c r="P2622" s="99"/>
      <c r="Q2622" s="99"/>
      <c r="R2622" s="99"/>
      <c r="S2622" s="99"/>
      <c r="T2622" s="99"/>
      <c r="U2622" s="99"/>
      <c r="V2622" s="99"/>
    </row>
    <row r="2623" spans="1:22" ht="15" customHeight="1">
      <c r="A2623" s="297"/>
      <c r="B2623" s="217"/>
      <c r="C2623" s="217"/>
      <c r="D2623" s="101"/>
      <c r="E2623" s="101"/>
      <c r="F2623" s="294"/>
      <c r="G2623" s="295"/>
      <c r="H2623" s="98"/>
      <c r="I2623" s="99"/>
      <c r="J2623" s="99"/>
      <c r="K2623" s="99"/>
      <c r="L2623" s="99"/>
      <c r="M2623" s="99"/>
      <c r="N2623" s="99"/>
      <c r="O2623" s="99"/>
      <c r="P2623" s="99"/>
      <c r="Q2623" s="99"/>
      <c r="R2623" s="99"/>
      <c r="S2623" s="99"/>
      <c r="T2623" s="99"/>
      <c r="U2623" s="99"/>
      <c r="V2623" s="99"/>
    </row>
    <row r="2624" spans="1:22" ht="15" customHeight="1">
      <c r="A2624" s="297"/>
      <c r="B2624" s="217"/>
      <c r="C2624" s="217"/>
      <c r="D2624" s="101"/>
      <c r="E2624" s="101"/>
      <c r="F2624" s="294"/>
      <c r="G2624" s="295"/>
      <c r="H2624" s="98"/>
      <c r="I2624" s="99"/>
      <c r="J2624" s="99"/>
      <c r="K2624" s="99"/>
      <c r="L2624" s="99"/>
      <c r="M2624" s="99"/>
      <c r="N2624" s="99"/>
      <c r="O2624" s="99"/>
      <c r="P2624" s="99"/>
      <c r="Q2624" s="99"/>
      <c r="R2624" s="99"/>
      <c r="S2624" s="99"/>
      <c r="T2624" s="99"/>
      <c r="U2624" s="99"/>
      <c r="V2624" s="99"/>
    </row>
    <row r="2625" spans="1:22" ht="15" customHeight="1">
      <c r="A2625" s="297"/>
      <c r="B2625" s="217"/>
      <c r="C2625" s="217"/>
      <c r="D2625" s="101"/>
      <c r="E2625" s="101"/>
      <c r="F2625" s="294"/>
      <c r="G2625" s="295"/>
      <c r="H2625" s="98"/>
      <c r="I2625" s="99"/>
      <c r="J2625" s="99"/>
      <c r="K2625" s="99"/>
      <c r="L2625" s="99"/>
      <c r="M2625" s="99"/>
      <c r="N2625" s="99"/>
      <c r="O2625" s="99"/>
      <c r="P2625" s="99"/>
      <c r="Q2625" s="99"/>
      <c r="R2625" s="99"/>
      <c r="S2625" s="99"/>
      <c r="T2625" s="99"/>
      <c r="U2625" s="99"/>
      <c r="V2625" s="99"/>
    </row>
    <row r="2626" spans="1:22" ht="15" customHeight="1">
      <c r="A2626" s="297"/>
      <c r="B2626" s="217"/>
      <c r="C2626" s="217"/>
      <c r="D2626" s="101"/>
      <c r="E2626" s="101"/>
      <c r="F2626" s="294"/>
      <c r="G2626" s="295"/>
      <c r="H2626" s="98"/>
      <c r="I2626" s="99"/>
      <c r="J2626" s="99"/>
      <c r="K2626" s="99"/>
      <c r="L2626" s="99"/>
      <c r="M2626" s="99"/>
      <c r="N2626" s="99"/>
      <c r="O2626" s="99"/>
      <c r="P2626" s="99"/>
      <c r="Q2626" s="99"/>
      <c r="R2626" s="99"/>
      <c r="S2626" s="99"/>
      <c r="T2626" s="99"/>
      <c r="U2626" s="99"/>
      <c r="V2626" s="99"/>
    </row>
    <row r="2627" spans="1:22" ht="15" customHeight="1">
      <c r="A2627" s="297"/>
      <c r="B2627" s="217"/>
      <c r="C2627" s="217"/>
      <c r="D2627" s="101"/>
      <c r="E2627" s="101"/>
      <c r="F2627" s="294"/>
      <c r="G2627" s="295"/>
      <c r="H2627" s="98"/>
      <c r="I2627" s="99"/>
      <c r="J2627" s="99"/>
      <c r="K2627" s="99"/>
      <c r="L2627" s="99"/>
      <c r="M2627" s="99"/>
      <c r="N2627" s="99"/>
      <c r="O2627" s="99"/>
      <c r="P2627" s="99"/>
      <c r="Q2627" s="99"/>
      <c r="R2627" s="99"/>
      <c r="S2627" s="99"/>
      <c r="T2627" s="99"/>
      <c r="U2627" s="99"/>
      <c r="V2627" s="99"/>
    </row>
    <row r="2628" spans="1:22" ht="15" customHeight="1">
      <c r="A2628" s="297"/>
      <c r="B2628" s="217"/>
      <c r="C2628" s="217"/>
      <c r="D2628" s="101"/>
      <c r="E2628" s="101"/>
      <c r="F2628" s="294"/>
      <c r="G2628" s="295"/>
      <c r="H2628" s="98"/>
      <c r="I2628" s="99"/>
      <c r="J2628" s="99"/>
      <c r="K2628" s="99"/>
      <c r="L2628" s="99"/>
      <c r="M2628" s="99"/>
      <c r="N2628" s="99"/>
      <c r="O2628" s="99"/>
      <c r="P2628" s="99"/>
      <c r="Q2628" s="99"/>
      <c r="R2628" s="99"/>
      <c r="S2628" s="99"/>
      <c r="T2628" s="99"/>
      <c r="U2628" s="99"/>
      <c r="V2628" s="99"/>
    </row>
    <row r="2629" spans="1:22" ht="15" customHeight="1">
      <c r="A2629" s="297"/>
      <c r="B2629" s="217"/>
      <c r="C2629" s="217"/>
      <c r="D2629" s="101"/>
      <c r="E2629" s="101"/>
      <c r="F2629" s="294"/>
      <c r="G2629" s="295"/>
      <c r="H2629" s="98"/>
      <c r="I2629" s="99"/>
      <c r="J2629" s="99"/>
      <c r="K2629" s="99"/>
      <c r="L2629" s="99"/>
      <c r="M2629" s="99"/>
      <c r="N2629" s="99"/>
      <c r="O2629" s="99"/>
      <c r="P2629" s="99"/>
      <c r="Q2629" s="99"/>
      <c r="R2629" s="99"/>
      <c r="S2629" s="99"/>
      <c r="T2629" s="99"/>
      <c r="U2629" s="99"/>
      <c r="V2629" s="99"/>
    </row>
    <row r="2630" spans="1:22" ht="15" customHeight="1">
      <c r="A2630" s="297"/>
      <c r="B2630" s="217"/>
      <c r="C2630" s="217"/>
      <c r="D2630" s="101"/>
      <c r="E2630" s="101"/>
      <c r="F2630" s="294"/>
      <c r="G2630" s="295"/>
      <c r="H2630" s="98"/>
      <c r="I2630" s="99"/>
      <c r="J2630" s="99"/>
      <c r="K2630" s="99"/>
      <c r="L2630" s="99"/>
      <c r="M2630" s="99"/>
      <c r="N2630" s="99"/>
      <c r="O2630" s="99"/>
      <c r="P2630" s="99"/>
      <c r="Q2630" s="99"/>
      <c r="R2630" s="99"/>
      <c r="S2630" s="99"/>
      <c r="T2630" s="99"/>
      <c r="U2630" s="99"/>
      <c r="V2630" s="99"/>
    </row>
    <row r="2631" spans="1:22" ht="15" customHeight="1">
      <c r="A2631" s="297"/>
      <c r="B2631" s="217"/>
      <c r="C2631" s="217"/>
      <c r="D2631" s="101"/>
      <c r="E2631" s="101"/>
      <c r="F2631" s="294"/>
      <c r="G2631" s="295"/>
      <c r="H2631" s="98"/>
      <c r="I2631" s="99"/>
      <c r="J2631" s="99"/>
      <c r="K2631" s="99"/>
      <c r="L2631" s="99"/>
      <c r="M2631" s="99"/>
      <c r="N2631" s="99"/>
      <c r="O2631" s="99"/>
      <c r="P2631" s="99"/>
      <c r="Q2631" s="99"/>
      <c r="R2631" s="99"/>
      <c r="S2631" s="99"/>
      <c r="T2631" s="99"/>
      <c r="U2631" s="99"/>
      <c r="V2631" s="99"/>
    </row>
    <row r="2632" spans="1:22" ht="15" customHeight="1">
      <c r="A2632" s="297"/>
      <c r="B2632" s="217"/>
      <c r="C2632" s="217"/>
      <c r="D2632" s="101"/>
      <c r="E2632" s="101"/>
      <c r="F2632" s="294"/>
      <c r="G2632" s="295"/>
      <c r="H2632" s="98"/>
      <c r="I2632" s="99"/>
      <c r="J2632" s="99"/>
      <c r="K2632" s="99"/>
      <c r="L2632" s="99"/>
      <c r="M2632" s="99"/>
      <c r="N2632" s="99"/>
      <c r="O2632" s="99"/>
      <c r="P2632" s="99"/>
      <c r="Q2632" s="99"/>
      <c r="R2632" s="99"/>
      <c r="S2632" s="99"/>
      <c r="T2632" s="99"/>
      <c r="U2632" s="99"/>
      <c r="V2632" s="99"/>
    </row>
    <row r="2633" spans="1:22" ht="15" customHeight="1">
      <c r="A2633" s="297"/>
      <c r="B2633" s="217"/>
      <c r="C2633" s="217"/>
      <c r="D2633" s="101"/>
      <c r="E2633" s="101"/>
      <c r="F2633" s="294"/>
      <c r="G2633" s="295"/>
      <c r="H2633" s="98"/>
      <c r="I2633" s="99"/>
      <c r="J2633" s="99"/>
      <c r="K2633" s="99"/>
      <c r="L2633" s="99"/>
      <c r="M2633" s="99"/>
      <c r="N2633" s="99"/>
      <c r="O2633" s="99"/>
      <c r="P2633" s="99"/>
      <c r="Q2633" s="99"/>
      <c r="R2633" s="99"/>
      <c r="S2633" s="99"/>
      <c r="T2633" s="99"/>
      <c r="U2633" s="99"/>
      <c r="V2633" s="99"/>
    </row>
    <row r="2634" spans="1:22" ht="15" customHeight="1">
      <c r="A2634" s="297"/>
      <c r="B2634" s="217"/>
      <c r="C2634" s="217"/>
      <c r="D2634" s="101"/>
      <c r="E2634" s="101"/>
      <c r="F2634" s="294"/>
      <c r="G2634" s="295"/>
      <c r="H2634" s="107"/>
      <c r="I2634" s="108"/>
      <c r="J2634" s="108"/>
      <c r="K2634" s="108"/>
      <c r="L2634" s="108"/>
      <c r="M2634" s="108"/>
      <c r="N2634" s="109"/>
      <c r="O2634" s="109"/>
      <c r="P2634" s="109"/>
      <c r="Q2634" s="109"/>
      <c r="R2634" s="109"/>
      <c r="S2634" s="109"/>
      <c r="T2634" s="109"/>
      <c r="U2634" s="202"/>
      <c r="V2634" s="202"/>
    </row>
    <row r="2635" spans="1:22" ht="15" customHeight="1">
      <c r="A2635" s="297"/>
      <c r="B2635" s="217"/>
      <c r="C2635" s="217"/>
      <c r="D2635" s="101"/>
      <c r="E2635" s="101"/>
      <c r="F2635" s="294"/>
      <c r="G2635" s="295"/>
      <c r="H2635" s="98"/>
      <c r="I2635" s="106"/>
      <c r="J2635" s="106"/>
      <c r="K2635" s="106"/>
      <c r="L2635" s="106"/>
      <c r="M2635" s="106"/>
      <c r="N2635" s="112"/>
      <c r="O2635" s="112"/>
      <c r="P2635" s="112"/>
      <c r="Q2635" s="113"/>
      <c r="R2635" s="99"/>
      <c r="S2635" s="99"/>
      <c r="T2635" s="113"/>
      <c r="U2635" s="113"/>
      <c r="V2635" s="113"/>
    </row>
    <row r="2636" spans="1:22" ht="15" customHeight="1">
      <c r="A2636" s="297"/>
      <c r="B2636" s="217"/>
      <c r="C2636" s="217"/>
      <c r="D2636" s="101"/>
      <c r="E2636" s="101"/>
      <c r="F2636" s="294"/>
      <c r="G2636" s="295"/>
      <c r="H2636" s="98"/>
      <c r="I2636" s="99"/>
      <c r="J2636" s="99"/>
      <c r="K2636" s="99"/>
      <c r="L2636" s="99"/>
      <c r="M2636" s="99"/>
      <c r="N2636" s="99"/>
      <c r="O2636" s="99"/>
      <c r="P2636" s="99"/>
      <c r="Q2636" s="99"/>
      <c r="R2636" s="99"/>
      <c r="S2636" s="99"/>
      <c r="T2636" s="99"/>
      <c r="U2636" s="99"/>
      <c r="V2636" s="99"/>
    </row>
    <row r="2637" spans="1:22" ht="15" customHeight="1">
      <c r="A2637" s="297"/>
      <c r="B2637" s="217"/>
      <c r="C2637" s="217"/>
      <c r="D2637" s="101"/>
      <c r="E2637" s="101"/>
      <c r="F2637" s="294"/>
      <c r="G2637" s="295"/>
      <c r="H2637" s="98"/>
      <c r="I2637" s="99"/>
      <c r="J2637" s="99"/>
      <c r="K2637" s="99"/>
      <c r="L2637" s="99"/>
      <c r="M2637" s="99"/>
      <c r="N2637" s="99"/>
      <c r="O2637" s="99"/>
      <c r="P2637" s="99"/>
      <c r="Q2637" s="99"/>
      <c r="R2637" s="99"/>
      <c r="S2637" s="99"/>
      <c r="T2637" s="99"/>
      <c r="U2637" s="99"/>
      <c r="V2637" s="99"/>
    </row>
    <row r="2638" spans="1:22" ht="15" customHeight="1">
      <c r="A2638" s="297"/>
      <c r="B2638" s="217"/>
      <c r="C2638" s="217"/>
      <c r="D2638" s="101"/>
      <c r="E2638" s="101"/>
      <c r="F2638" s="294"/>
      <c r="G2638" s="295"/>
      <c r="H2638" s="98"/>
      <c r="I2638" s="99"/>
      <c r="J2638" s="99"/>
      <c r="K2638" s="99"/>
      <c r="L2638" s="99"/>
      <c r="M2638" s="99"/>
      <c r="N2638" s="99"/>
      <c r="O2638" s="99"/>
      <c r="P2638" s="99"/>
      <c r="Q2638" s="99"/>
      <c r="R2638" s="99"/>
      <c r="S2638" s="99"/>
      <c r="T2638" s="99"/>
      <c r="U2638" s="99"/>
      <c r="V2638" s="99"/>
    </row>
    <row r="2639" spans="1:22" ht="15" customHeight="1">
      <c r="A2639" s="297"/>
      <c r="B2639" s="217"/>
      <c r="C2639" s="217"/>
      <c r="D2639" s="101"/>
      <c r="E2639" s="101"/>
      <c r="F2639" s="294"/>
      <c r="G2639" s="295"/>
      <c r="H2639" s="98"/>
      <c r="I2639" s="99"/>
      <c r="J2639" s="99"/>
      <c r="K2639" s="99"/>
      <c r="L2639" s="99"/>
      <c r="M2639" s="99"/>
      <c r="N2639" s="99"/>
      <c r="O2639" s="99"/>
      <c r="P2639" s="99"/>
      <c r="Q2639" s="99"/>
      <c r="R2639" s="99"/>
      <c r="S2639" s="99"/>
      <c r="T2639" s="99"/>
      <c r="U2639" s="99"/>
      <c r="V2639" s="99"/>
    </row>
    <row r="2640" spans="1:22" ht="15" customHeight="1">
      <c r="A2640" s="297"/>
      <c r="B2640" s="217"/>
      <c r="C2640" s="217"/>
      <c r="D2640" s="101"/>
      <c r="E2640" s="101"/>
      <c r="F2640" s="294"/>
      <c r="G2640" s="295"/>
      <c r="H2640" s="107"/>
      <c r="I2640" s="108"/>
      <c r="J2640" s="108"/>
      <c r="K2640" s="108"/>
      <c r="L2640" s="108"/>
      <c r="M2640" s="108"/>
      <c r="N2640" s="108"/>
      <c r="O2640" s="108"/>
      <c r="P2640" s="108"/>
      <c r="Q2640" s="108"/>
      <c r="R2640" s="108"/>
      <c r="S2640" s="108"/>
      <c r="T2640" s="108"/>
      <c r="U2640" s="233"/>
      <c r="V2640" s="233"/>
    </row>
    <row r="2641" spans="1:22" ht="15" customHeight="1">
      <c r="A2641" s="297"/>
      <c r="B2641" s="217"/>
      <c r="C2641" s="217"/>
      <c r="D2641" s="101"/>
      <c r="E2641" s="101"/>
      <c r="F2641" s="294"/>
      <c r="G2641" s="295"/>
      <c r="H2641" s="98"/>
      <c r="I2641" s="106"/>
      <c r="J2641" s="106"/>
      <c r="K2641" s="106"/>
      <c r="L2641" s="106"/>
      <c r="M2641" s="106"/>
      <c r="N2641" s="112"/>
      <c r="O2641" s="112"/>
      <c r="P2641" s="112"/>
      <c r="Q2641" s="113"/>
      <c r="T2641" s="113"/>
      <c r="U2641" s="113"/>
      <c r="V2641" s="113"/>
    </row>
    <row r="2642" spans="1:22" ht="15" customHeight="1">
      <c r="A2642" s="297"/>
      <c r="B2642" s="217"/>
      <c r="C2642" s="217"/>
      <c r="D2642" s="101"/>
      <c r="E2642" s="101"/>
      <c r="F2642" s="294"/>
      <c r="G2642" s="295"/>
      <c r="H2642" s="114"/>
      <c r="I2642" s="108"/>
      <c r="J2642" s="108"/>
      <c r="K2642" s="108"/>
      <c r="L2642" s="108"/>
      <c r="M2642" s="108"/>
      <c r="N2642" s="108"/>
      <c r="O2642" s="108"/>
      <c r="P2642" s="108"/>
      <c r="Q2642" s="108"/>
      <c r="R2642" s="108"/>
      <c r="S2642" s="108"/>
      <c r="T2642" s="108"/>
      <c r="U2642" s="233"/>
      <c r="V2642" s="233"/>
    </row>
    <row r="2643" spans="1:22" ht="15" customHeight="1">
      <c r="A2643" s="297"/>
      <c r="B2643" s="217"/>
      <c r="C2643" s="217"/>
      <c r="D2643" s="101"/>
      <c r="E2643" s="101"/>
      <c r="F2643" s="294"/>
      <c r="G2643" s="295"/>
      <c r="H2643" s="89"/>
      <c r="I2643" s="233"/>
      <c r="J2643" s="233"/>
      <c r="K2643" s="233"/>
      <c r="L2643" s="233"/>
      <c r="M2643" s="233"/>
      <c r="N2643" s="233"/>
      <c r="O2643" s="233"/>
      <c r="P2643" s="233"/>
      <c r="Q2643" s="233"/>
      <c r="R2643" s="233"/>
      <c r="S2643" s="233"/>
      <c r="T2643" s="233"/>
      <c r="U2643" s="233"/>
      <c r="V2643" s="233"/>
    </row>
    <row r="2644" spans="1:22" ht="15" customHeight="1" thickBot="1">
      <c r="A2644" s="297"/>
      <c r="B2644" s="217"/>
      <c r="C2644" s="217"/>
      <c r="D2644" s="101"/>
      <c r="E2644" s="101"/>
      <c r="F2644" s="294"/>
      <c r="G2644" s="295"/>
      <c r="H2644" s="89"/>
      <c r="I2644" s="233"/>
      <c r="J2644" s="233"/>
      <c r="K2644" s="233"/>
      <c r="L2644" s="233"/>
      <c r="M2644" s="233"/>
      <c r="N2644" s="233"/>
      <c r="O2644" s="233"/>
      <c r="P2644" s="233"/>
      <c r="Q2644" s="233"/>
      <c r="R2644" s="233"/>
      <c r="S2644" s="233"/>
      <c r="T2644" s="233"/>
      <c r="U2644" s="233"/>
      <c r="V2644" s="233"/>
    </row>
    <row r="2645" spans="1:22" ht="15" customHeight="1" thickBot="1">
      <c r="A2645" s="297"/>
      <c r="B2645" s="217"/>
      <c r="C2645" s="217"/>
      <c r="D2645" s="101"/>
      <c r="E2645" s="101"/>
      <c r="F2645" s="294"/>
      <c r="G2645" s="295"/>
      <c r="H2645" s="686"/>
      <c r="I2645" s="687"/>
      <c r="J2645" s="687"/>
      <c r="K2645" s="687"/>
      <c r="L2645" s="687"/>
      <c r="M2645" s="687"/>
      <c r="N2645" s="687"/>
      <c r="O2645" s="687"/>
      <c r="P2645" s="687"/>
      <c r="Q2645" s="687"/>
      <c r="R2645" s="687"/>
      <c r="S2645" s="715"/>
      <c r="T2645" s="688"/>
      <c r="U2645" s="254"/>
      <c r="V2645" s="254"/>
    </row>
    <row r="2646" spans="1:22" ht="15" customHeight="1">
      <c r="A2646" s="297"/>
      <c r="B2646" s="217"/>
      <c r="C2646" s="217"/>
      <c r="D2646" s="101"/>
      <c r="E2646" s="101"/>
      <c r="F2646" s="294"/>
      <c r="G2646" s="295"/>
      <c r="H2646" s="225"/>
      <c r="I2646" s="225"/>
      <c r="J2646" s="225"/>
      <c r="K2646" s="225"/>
      <c r="L2646" s="225"/>
      <c r="M2646" s="225"/>
      <c r="N2646" s="225"/>
      <c r="O2646" s="225"/>
      <c r="P2646" s="225"/>
      <c r="Q2646" s="225"/>
      <c r="R2646" s="225"/>
      <c r="S2646" s="225"/>
      <c r="T2646" s="225"/>
      <c r="U2646" s="225"/>
      <c r="V2646" s="225"/>
    </row>
    <row r="2647" spans="1:22" ht="15" customHeight="1">
      <c r="A2647" s="297"/>
      <c r="B2647" s="217"/>
      <c r="C2647" s="217"/>
      <c r="D2647" s="101"/>
      <c r="E2647" s="101"/>
      <c r="F2647" s="294"/>
      <c r="G2647" s="295"/>
      <c r="H2647" s="98"/>
      <c r="I2647" s="99"/>
      <c r="J2647" s="99"/>
      <c r="K2647" s="99"/>
      <c r="L2647" s="99"/>
      <c r="M2647" s="99"/>
      <c r="N2647" s="99"/>
      <c r="O2647" s="99"/>
      <c r="P2647" s="99"/>
      <c r="Q2647" s="99"/>
      <c r="R2647" s="99"/>
      <c r="S2647" s="99"/>
      <c r="T2647" s="99"/>
      <c r="U2647" s="99"/>
      <c r="V2647" s="99"/>
    </row>
    <row r="2648" spans="1:22" ht="15" customHeight="1">
      <c r="A2648" s="297"/>
      <c r="B2648" s="217"/>
      <c r="C2648" s="217"/>
      <c r="D2648" s="101"/>
      <c r="E2648" s="101"/>
      <c r="F2648" s="294"/>
      <c r="G2648" s="295"/>
      <c r="H2648" s="98"/>
      <c r="I2648" s="99"/>
      <c r="J2648" s="99"/>
      <c r="K2648" s="99"/>
      <c r="L2648" s="99"/>
      <c r="M2648" s="99"/>
      <c r="N2648" s="99"/>
      <c r="O2648" s="99"/>
      <c r="P2648" s="99"/>
      <c r="Q2648" s="99"/>
      <c r="R2648" s="99"/>
      <c r="S2648" s="99"/>
      <c r="T2648" s="99"/>
      <c r="U2648" s="99"/>
      <c r="V2648" s="99"/>
    </row>
    <row r="2649" spans="1:22" ht="15" customHeight="1">
      <c r="A2649" s="297"/>
      <c r="B2649" s="217"/>
      <c r="C2649" s="217"/>
      <c r="D2649" s="101"/>
      <c r="E2649" s="101"/>
      <c r="F2649" s="294"/>
      <c r="G2649" s="295"/>
      <c r="H2649" s="98"/>
      <c r="I2649" s="99"/>
      <c r="J2649" s="99"/>
      <c r="K2649" s="99"/>
      <c r="L2649" s="99"/>
      <c r="M2649" s="99"/>
      <c r="N2649" s="99"/>
      <c r="O2649" s="99"/>
      <c r="P2649" s="99"/>
      <c r="Q2649" s="99"/>
      <c r="R2649" s="99"/>
      <c r="S2649" s="99"/>
      <c r="T2649" s="99"/>
      <c r="U2649" s="99"/>
      <c r="V2649" s="99"/>
    </row>
    <row r="2650" spans="1:22" ht="15" customHeight="1">
      <c r="A2650" s="297"/>
      <c r="B2650" s="217"/>
      <c r="C2650" s="217"/>
      <c r="D2650" s="101"/>
      <c r="E2650" s="101"/>
      <c r="F2650" s="294"/>
      <c r="G2650" s="295"/>
      <c r="H2650" s="98"/>
      <c r="I2650" s="99"/>
      <c r="J2650" s="99"/>
      <c r="K2650" s="99"/>
      <c r="L2650" s="99"/>
      <c r="M2650" s="99"/>
      <c r="N2650" s="99"/>
      <c r="O2650" s="99"/>
      <c r="P2650" s="99"/>
      <c r="Q2650" s="99"/>
      <c r="R2650" s="99"/>
      <c r="S2650" s="99"/>
      <c r="T2650" s="99"/>
      <c r="U2650" s="99"/>
      <c r="V2650" s="99"/>
    </row>
    <row r="2651" spans="1:22" ht="15" customHeight="1">
      <c r="A2651" s="297"/>
      <c r="B2651" s="217"/>
      <c r="C2651" s="217"/>
      <c r="D2651" s="101"/>
      <c r="E2651" s="101"/>
      <c r="F2651" s="294"/>
      <c r="G2651" s="295"/>
      <c r="H2651" s="98"/>
      <c r="I2651" s="99"/>
      <c r="J2651" s="99"/>
      <c r="K2651" s="99"/>
      <c r="L2651" s="99"/>
      <c r="M2651" s="99"/>
      <c r="N2651" s="99"/>
      <c r="O2651" s="99"/>
      <c r="P2651" s="99"/>
      <c r="Q2651" s="99"/>
      <c r="R2651" s="99"/>
      <c r="S2651" s="99"/>
      <c r="T2651" s="99"/>
      <c r="U2651" s="99"/>
      <c r="V2651" s="99"/>
    </row>
    <row r="2652" spans="1:22" ht="15" customHeight="1">
      <c r="A2652" s="297"/>
      <c r="B2652" s="217"/>
      <c r="C2652" s="217"/>
      <c r="D2652" s="101"/>
      <c r="E2652" s="101"/>
      <c r="F2652" s="294"/>
      <c r="G2652" s="295"/>
      <c r="H2652" s="98"/>
      <c r="I2652" s="99"/>
      <c r="J2652" s="99"/>
      <c r="K2652" s="99"/>
      <c r="L2652" s="99"/>
      <c r="M2652" s="99"/>
      <c r="N2652" s="99"/>
      <c r="O2652" s="99"/>
      <c r="P2652" s="99"/>
      <c r="Q2652" s="99"/>
      <c r="R2652" s="99"/>
      <c r="S2652" s="99"/>
      <c r="T2652" s="99"/>
      <c r="U2652" s="99"/>
      <c r="V2652" s="99"/>
    </row>
    <row r="2653" spans="1:22" ht="15" customHeight="1">
      <c r="A2653" s="297"/>
      <c r="B2653" s="217"/>
      <c r="C2653" s="217"/>
      <c r="D2653" s="101"/>
      <c r="E2653" s="101"/>
      <c r="F2653" s="294"/>
      <c r="G2653" s="295"/>
      <c r="H2653" s="98"/>
      <c r="I2653" s="99"/>
      <c r="J2653" s="99"/>
      <c r="K2653" s="99"/>
      <c r="L2653" s="99"/>
      <c r="M2653" s="99"/>
      <c r="N2653" s="99"/>
      <c r="O2653" s="99"/>
      <c r="P2653" s="99"/>
      <c r="Q2653" s="99"/>
      <c r="R2653" s="99"/>
      <c r="S2653" s="99"/>
      <c r="T2653" s="99"/>
      <c r="U2653" s="99"/>
      <c r="V2653" s="99"/>
    </row>
    <row r="2654" spans="1:22" ht="15" customHeight="1">
      <c r="A2654" s="297"/>
      <c r="B2654" s="217"/>
      <c r="C2654" s="217"/>
      <c r="D2654" s="101"/>
      <c r="E2654" s="101"/>
      <c r="F2654" s="294"/>
      <c r="G2654" s="295"/>
      <c r="H2654" s="98"/>
      <c r="I2654" s="99"/>
      <c r="J2654" s="99"/>
      <c r="K2654" s="99"/>
      <c r="L2654" s="99"/>
      <c r="M2654" s="99"/>
      <c r="N2654" s="99"/>
      <c r="O2654" s="99"/>
      <c r="P2654" s="99"/>
      <c r="Q2654" s="99"/>
      <c r="R2654" s="99"/>
      <c r="S2654" s="99"/>
      <c r="T2654" s="99"/>
      <c r="U2654" s="99"/>
      <c r="V2654" s="99"/>
    </row>
    <row r="2655" spans="1:22" ht="15" customHeight="1">
      <c r="A2655" s="297"/>
      <c r="B2655" s="217"/>
      <c r="C2655" s="217"/>
      <c r="D2655" s="101"/>
      <c r="E2655" s="101"/>
      <c r="F2655" s="294"/>
      <c r="G2655" s="295"/>
      <c r="H2655" s="98"/>
      <c r="I2655" s="99"/>
      <c r="J2655" s="99"/>
      <c r="K2655" s="99"/>
      <c r="L2655" s="99"/>
      <c r="M2655" s="99"/>
      <c r="N2655" s="99"/>
      <c r="O2655" s="99"/>
      <c r="P2655" s="99"/>
      <c r="Q2655" s="99"/>
      <c r="R2655" s="99"/>
      <c r="S2655" s="99"/>
      <c r="T2655" s="99"/>
      <c r="U2655" s="99"/>
      <c r="V2655" s="99"/>
    </row>
    <row r="2656" spans="1:22" ht="15" customHeight="1">
      <c r="A2656" s="297"/>
      <c r="B2656" s="217"/>
      <c r="C2656" s="217"/>
      <c r="D2656" s="101"/>
      <c r="E2656" s="101"/>
      <c r="F2656" s="294"/>
      <c r="G2656" s="295"/>
      <c r="H2656" s="98"/>
      <c r="I2656" s="99"/>
      <c r="J2656" s="99"/>
      <c r="K2656" s="99"/>
      <c r="L2656" s="99"/>
      <c r="M2656" s="99"/>
      <c r="N2656" s="99"/>
      <c r="O2656" s="99"/>
      <c r="P2656" s="99"/>
      <c r="Q2656" s="99"/>
      <c r="R2656" s="99"/>
      <c r="S2656" s="99"/>
      <c r="T2656" s="99"/>
      <c r="U2656" s="99"/>
      <c r="V2656" s="99"/>
    </row>
    <row r="2657" spans="1:22" ht="15" customHeight="1">
      <c r="A2657" s="297"/>
      <c r="B2657" s="217"/>
      <c r="C2657" s="217"/>
      <c r="D2657" s="101"/>
      <c r="E2657" s="101"/>
      <c r="F2657" s="294"/>
      <c r="G2657" s="295"/>
      <c r="H2657" s="98"/>
      <c r="I2657" s="99"/>
      <c r="J2657" s="99"/>
      <c r="K2657" s="99"/>
      <c r="L2657" s="99"/>
      <c r="M2657" s="99"/>
      <c r="N2657" s="99"/>
      <c r="O2657" s="99"/>
      <c r="P2657" s="99"/>
      <c r="Q2657" s="99"/>
      <c r="R2657" s="99"/>
      <c r="S2657" s="99"/>
      <c r="T2657" s="99"/>
      <c r="U2657" s="99"/>
      <c r="V2657" s="99"/>
    </row>
    <row r="2658" spans="1:22" ht="15" customHeight="1">
      <c r="A2658" s="297"/>
      <c r="B2658" s="217"/>
      <c r="C2658" s="217"/>
      <c r="D2658" s="101"/>
      <c r="E2658" s="101"/>
      <c r="F2658" s="294"/>
      <c r="G2658" s="295"/>
      <c r="H2658" s="98"/>
      <c r="I2658" s="99"/>
      <c r="J2658" s="99"/>
      <c r="K2658" s="99"/>
      <c r="L2658" s="99"/>
      <c r="M2658" s="99"/>
      <c r="N2658" s="99"/>
      <c r="O2658" s="99"/>
      <c r="P2658" s="99"/>
      <c r="Q2658" s="99"/>
      <c r="R2658" s="99"/>
      <c r="S2658" s="99"/>
      <c r="T2658" s="99"/>
      <c r="U2658" s="99"/>
      <c r="V2658" s="99"/>
    </row>
    <row r="2659" spans="1:22" ht="15" customHeight="1">
      <c r="A2659" s="297"/>
      <c r="B2659" s="217"/>
      <c r="C2659" s="217"/>
      <c r="D2659" s="101"/>
      <c r="E2659" s="101"/>
      <c r="F2659" s="294"/>
      <c r="G2659" s="295"/>
      <c r="H2659" s="107"/>
      <c r="I2659" s="108"/>
      <c r="J2659" s="108"/>
      <c r="K2659" s="108"/>
      <c r="L2659" s="108"/>
      <c r="M2659" s="108"/>
      <c r="N2659" s="109"/>
      <c r="O2659" s="109"/>
      <c r="P2659" s="109"/>
      <c r="Q2659" s="109"/>
      <c r="R2659" s="109"/>
      <c r="S2659" s="109"/>
      <c r="T2659" s="109"/>
      <c r="U2659" s="202"/>
      <c r="V2659" s="202"/>
    </row>
    <row r="2660" spans="1:22" ht="15" customHeight="1">
      <c r="A2660" s="297"/>
      <c r="B2660" s="217"/>
      <c r="C2660" s="217"/>
      <c r="D2660" s="101"/>
      <c r="E2660" s="101"/>
      <c r="F2660" s="294"/>
      <c r="G2660" s="295"/>
      <c r="H2660" s="98"/>
      <c r="I2660" s="106"/>
      <c r="J2660" s="106"/>
      <c r="K2660" s="106"/>
      <c r="L2660" s="106"/>
      <c r="M2660" s="106"/>
      <c r="N2660" s="112"/>
      <c r="O2660" s="112"/>
      <c r="P2660" s="112"/>
      <c r="Q2660" s="113"/>
      <c r="T2660" s="113"/>
      <c r="U2660" s="113"/>
      <c r="V2660" s="113"/>
    </row>
    <row r="2661" spans="1:22" ht="15" customHeight="1">
      <c r="A2661" s="297"/>
      <c r="B2661" s="217"/>
      <c r="C2661" s="217"/>
      <c r="D2661" s="101"/>
      <c r="E2661" s="101"/>
      <c r="F2661" s="294"/>
      <c r="G2661" s="295"/>
      <c r="H2661" s="98"/>
      <c r="I2661" s="99"/>
      <c r="J2661" s="99"/>
      <c r="K2661" s="99"/>
      <c r="L2661" s="99"/>
      <c r="M2661" s="99"/>
      <c r="N2661" s="99"/>
      <c r="O2661" s="99"/>
      <c r="P2661" s="99"/>
      <c r="Q2661" s="99"/>
      <c r="R2661" s="99"/>
      <c r="S2661" s="99"/>
      <c r="T2661" s="99"/>
      <c r="U2661" s="99"/>
      <c r="V2661" s="99"/>
    </row>
    <row r="2662" spans="1:22" ht="15" customHeight="1">
      <c r="A2662" s="297"/>
      <c r="B2662" s="217"/>
      <c r="C2662" s="217"/>
      <c r="D2662" s="101"/>
      <c r="E2662" s="101"/>
      <c r="F2662" s="294"/>
      <c r="G2662" s="295"/>
      <c r="H2662" s="98"/>
      <c r="I2662" s="99"/>
      <c r="J2662" s="99"/>
      <c r="K2662" s="99"/>
      <c r="L2662" s="99"/>
      <c r="M2662" s="99"/>
      <c r="N2662" s="99"/>
      <c r="O2662" s="99"/>
      <c r="P2662" s="99"/>
      <c r="Q2662" s="99"/>
      <c r="R2662" s="99"/>
      <c r="S2662" s="99"/>
      <c r="T2662" s="99"/>
      <c r="U2662" s="99"/>
      <c r="V2662" s="99"/>
    </row>
    <row r="2663" spans="1:22" ht="15" customHeight="1">
      <c r="A2663" s="297"/>
      <c r="B2663" s="217"/>
      <c r="C2663" s="217"/>
      <c r="D2663" s="101"/>
      <c r="E2663" s="101"/>
      <c r="F2663" s="294"/>
      <c r="G2663" s="295"/>
      <c r="H2663" s="98"/>
      <c r="I2663" s="99"/>
      <c r="J2663" s="99"/>
      <c r="K2663" s="99"/>
      <c r="L2663" s="99"/>
      <c r="M2663" s="99"/>
      <c r="N2663" s="99"/>
      <c r="O2663" s="99"/>
      <c r="P2663" s="99"/>
      <c r="Q2663" s="99"/>
      <c r="R2663" s="99"/>
      <c r="S2663" s="99"/>
      <c r="T2663" s="99"/>
      <c r="U2663" s="99"/>
      <c r="V2663" s="99"/>
    </row>
    <row r="2664" spans="1:22" ht="15" customHeight="1">
      <c r="A2664" s="297"/>
      <c r="B2664" s="217"/>
      <c r="C2664" s="217"/>
      <c r="D2664" s="101"/>
      <c r="E2664" s="101"/>
      <c r="F2664" s="294"/>
      <c r="G2664" s="295"/>
      <c r="H2664" s="98"/>
      <c r="I2664" s="99"/>
      <c r="J2664" s="99"/>
      <c r="K2664" s="99"/>
      <c r="L2664" s="99"/>
      <c r="M2664" s="99"/>
      <c r="N2664" s="99"/>
      <c r="O2664" s="99"/>
      <c r="P2664" s="99"/>
      <c r="Q2664" s="99"/>
      <c r="R2664" s="99"/>
      <c r="S2664" s="99"/>
      <c r="T2664" s="99"/>
      <c r="U2664" s="99"/>
      <c r="V2664" s="99"/>
    </row>
    <row r="2665" spans="1:22" ht="15" customHeight="1">
      <c r="A2665" s="297"/>
      <c r="B2665" s="217"/>
      <c r="C2665" s="217"/>
      <c r="D2665" s="101"/>
      <c r="E2665" s="101"/>
      <c r="F2665" s="294"/>
      <c r="G2665" s="295"/>
      <c r="H2665" s="98"/>
      <c r="I2665" s="99"/>
      <c r="J2665" s="99"/>
      <c r="K2665" s="99"/>
      <c r="L2665" s="99"/>
      <c r="M2665" s="99"/>
      <c r="N2665" s="99"/>
      <c r="O2665" s="99"/>
      <c r="P2665" s="99"/>
      <c r="Q2665" s="99"/>
      <c r="R2665" s="99"/>
      <c r="S2665" s="99"/>
      <c r="T2665" s="99"/>
      <c r="U2665" s="99"/>
      <c r="V2665" s="99"/>
    </row>
    <row r="2666" spans="1:22" ht="15" customHeight="1">
      <c r="A2666" s="297"/>
      <c r="B2666" s="217"/>
      <c r="C2666" s="217"/>
      <c r="D2666" s="101"/>
      <c r="E2666" s="101"/>
      <c r="F2666" s="294"/>
      <c r="G2666" s="295"/>
      <c r="H2666" s="98"/>
      <c r="I2666" s="99"/>
      <c r="J2666" s="99"/>
      <c r="K2666" s="99"/>
      <c r="L2666" s="99"/>
      <c r="M2666" s="99"/>
      <c r="N2666" s="99"/>
      <c r="O2666" s="99"/>
      <c r="P2666" s="99"/>
      <c r="Q2666" s="99"/>
      <c r="R2666" s="99"/>
      <c r="S2666" s="99"/>
      <c r="T2666" s="99"/>
      <c r="U2666" s="99"/>
      <c r="V2666" s="99"/>
    </row>
    <row r="2667" spans="1:22" ht="15" customHeight="1">
      <c r="A2667" s="297"/>
      <c r="B2667" s="217"/>
      <c r="C2667" s="217"/>
      <c r="D2667" s="101"/>
      <c r="E2667" s="101"/>
      <c r="F2667" s="294"/>
      <c r="G2667" s="295"/>
      <c r="H2667" s="107"/>
      <c r="I2667" s="108"/>
      <c r="J2667" s="108"/>
      <c r="K2667" s="108"/>
      <c r="L2667" s="108"/>
      <c r="M2667" s="108"/>
      <c r="N2667" s="109"/>
      <c r="O2667" s="109"/>
      <c r="P2667" s="109"/>
      <c r="Q2667" s="109"/>
      <c r="R2667" s="109"/>
      <c r="S2667" s="109"/>
      <c r="T2667" s="109"/>
      <c r="U2667" s="202"/>
      <c r="V2667" s="202"/>
    </row>
    <row r="2668" spans="1:22" ht="15" customHeight="1">
      <c r="A2668" s="297"/>
      <c r="B2668" s="217"/>
      <c r="C2668" s="217"/>
      <c r="D2668" s="101"/>
      <c r="E2668" s="101"/>
      <c r="F2668" s="294"/>
      <c r="G2668" s="295"/>
      <c r="H2668" s="98"/>
      <c r="I2668" s="106"/>
      <c r="J2668" s="106"/>
      <c r="K2668" s="106"/>
      <c r="L2668" s="106"/>
      <c r="M2668" s="106"/>
      <c r="N2668" s="112"/>
      <c r="O2668" s="112"/>
      <c r="P2668" s="112"/>
      <c r="Q2668" s="113"/>
      <c r="R2668" s="99"/>
      <c r="S2668" s="99"/>
      <c r="T2668" s="113"/>
      <c r="U2668" s="113"/>
      <c r="V2668" s="113"/>
    </row>
    <row r="2669" spans="1:22" ht="15" customHeight="1">
      <c r="A2669" s="297"/>
      <c r="B2669" s="217"/>
      <c r="C2669" s="217"/>
      <c r="D2669" s="101"/>
      <c r="E2669" s="101"/>
      <c r="F2669" s="294"/>
      <c r="G2669" s="295"/>
      <c r="H2669" s="98"/>
      <c r="I2669" s="99"/>
      <c r="J2669" s="99"/>
      <c r="K2669" s="99"/>
      <c r="L2669" s="99"/>
      <c r="M2669" s="99"/>
      <c r="N2669" s="99"/>
      <c r="O2669" s="99"/>
      <c r="P2669" s="99"/>
      <c r="Q2669" s="99"/>
      <c r="R2669" s="99"/>
      <c r="S2669" s="99"/>
      <c r="T2669" s="99"/>
      <c r="U2669" s="99"/>
      <c r="V2669" s="99"/>
    </row>
    <row r="2670" spans="1:22" ht="15" customHeight="1">
      <c r="A2670" s="297"/>
      <c r="B2670" s="217"/>
      <c r="C2670" s="217"/>
      <c r="D2670" s="101"/>
      <c r="E2670" s="101"/>
      <c r="F2670" s="294"/>
      <c r="G2670" s="295"/>
      <c r="H2670" s="98"/>
      <c r="I2670" s="99"/>
      <c r="J2670" s="99"/>
      <c r="K2670" s="99"/>
      <c r="L2670" s="99"/>
      <c r="M2670" s="99"/>
      <c r="N2670" s="99"/>
      <c r="O2670" s="99"/>
      <c r="P2670" s="99"/>
      <c r="Q2670" s="99"/>
      <c r="R2670" s="99"/>
      <c r="S2670" s="99"/>
      <c r="T2670" s="99"/>
      <c r="U2670" s="99"/>
      <c r="V2670" s="99"/>
    </row>
    <row r="2671" spans="1:22" ht="15" customHeight="1">
      <c r="A2671" s="297"/>
      <c r="B2671" s="217"/>
      <c r="C2671" s="217"/>
      <c r="D2671" s="101"/>
      <c r="E2671" s="101"/>
      <c r="F2671" s="294"/>
      <c r="G2671" s="295"/>
      <c r="H2671" s="98"/>
      <c r="I2671" s="99"/>
      <c r="J2671" s="99"/>
      <c r="K2671" s="99"/>
      <c r="L2671" s="99"/>
      <c r="M2671" s="99"/>
      <c r="N2671" s="99"/>
      <c r="O2671" s="99"/>
      <c r="P2671" s="99"/>
      <c r="Q2671" s="99"/>
      <c r="R2671" s="99"/>
      <c r="S2671" s="99"/>
      <c r="T2671" s="99"/>
      <c r="U2671" s="99"/>
      <c r="V2671" s="99"/>
    </row>
    <row r="2672" spans="1:22" ht="15" customHeight="1">
      <c r="A2672" s="297"/>
      <c r="B2672" s="217"/>
      <c r="C2672" s="217"/>
      <c r="D2672" s="101"/>
      <c r="E2672" s="101"/>
      <c r="F2672" s="294"/>
      <c r="G2672" s="295"/>
      <c r="H2672" s="98"/>
      <c r="I2672" s="99"/>
      <c r="J2672" s="99"/>
      <c r="K2672" s="99"/>
      <c r="L2672" s="99"/>
      <c r="M2672" s="99"/>
      <c r="N2672" s="99"/>
      <c r="O2672" s="99"/>
      <c r="P2672" s="99"/>
      <c r="Q2672" s="99"/>
      <c r="R2672" s="99"/>
      <c r="S2672" s="99"/>
      <c r="T2672" s="99"/>
      <c r="U2672" s="99"/>
      <c r="V2672" s="99"/>
    </row>
    <row r="2673" spans="1:22" ht="15" customHeight="1">
      <c r="A2673" s="297"/>
      <c r="B2673" s="217"/>
      <c r="C2673" s="217"/>
      <c r="D2673" s="101"/>
      <c r="E2673" s="101"/>
      <c r="F2673" s="294"/>
      <c r="G2673" s="295"/>
      <c r="H2673" s="98"/>
      <c r="I2673" s="99"/>
      <c r="J2673" s="99"/>
      <c r="K2673" s="99"/>
      <c r="L2673" s="99"/>
      <c r="M2673" s="99"/>
      <c r="N2673" s="99"/>
      <c r="O2673" s="99"/>
      <c r="P2673" s="99"/>
      <c r="Q2673" s="99"/>
      <c r="R2673" s="99"/>
      <c r="S2673" s="99"/>
      <c r="T2673" s="99"/>
      <c r="U2673" s="99"/>
      <c r="V2673" s="99"/>
    </row>
    <row r="2674" spans="1:22" ht="15" customHeight="1">
      <c r="A2674" s="297"/>
      <c r="B2674" s="217"/>
      <c r="C2674" s="217"/>
      <c r="D2674" s="101"/>
      <c r="E2674" s="101"/>
      <c r="F2674" s="294"/>
      <c r="G2674" s="295"/>
      <c r="H2674" s="107"/>
      <c r="I2674" s="108"/>
      <c r="J2674" s="108"/>
      <c r="K2674" s="108"/>
      <c r="L2674" s="108"/>
      <c r="M2674" s="108"/>
      <c r="N2674" s="109"/>
      <c r="O2674" s="109"/>
      <c r="P2674" s="109"/>
      <c r="Q2674" s="109"/>
      <c r="R2674" s="109"/>
      <c r="S2674" s="109"/>
      <c r="T2674" s="109"/>
      <c r="U2674" s="202"/>
      <c r="V2674" s="202"/>
    </row>
    <row r="2675" spans="1:22" ht="15" customHeight="1">
      <c r="A2675" s="297"/>
      <c r="B2675" s="217"/>
      <c r="C2675" s="217"/>
      <c r="D2675" s="101"/>
      <c r="E2675" s="101"/>
      <c r="F2675" s="294"/>
      <c r="G2675" s="295"/>
      <c r="H2675" s="98"/>
      <c r="I2675" s="106"/>
      <c r="J2675" s="106"/>
      <c r="K2675" s="106"/>
      <c r="L2675" s="106"/>
      <c r="M2675" s="106"/>
      <c r="N2675" s="112"/>
      <c r="O2675" s="112"/>
      <c r="P2675" s="112"/>
      <c r="Q2675" s="113"/>
      <c r="R2675" s="99"/>
      <c r="S2675" s="99"/>
      <c r="T2675" s="113"/>
      <c r="U2675" s="113"/>
      <c r="V2675" s="113"/>
    </row>
    <row r="2676" spans="1:22" ht="15" customHeight="1">
      <c r="A2676" s="297"/>
      <c r="B2676" s="217"/>
      <c r="C2676" s="217"/>
      <c r="D2676" s="101"/>
      <c r="E2676" s="101"/>
      <c r="F2676" s="294"/>
      <c r="G2676" s="295"/>
      <c r="H2676" s="98"/>
      <c r="I2676" s="99"/>
      <c r="J2676" s="99"/>
      <c r="K2676" s="99"/>
      <c r="L2676" s="99"/>
      <c r="M2676" s="99"/>
      <c r="N2676" s="99"/>
      <c r="O2676" s="99"/>
      <c r="P2676" s="99"/>
      <c r="Q2676" s="99"/>
      <c r="R2676" s="99"/>
      <c r="S2676" s="99"/>
      <c r="T2676" s="99"/>
      <c r="U2676" s="99"/>
      <c r="V2676" s="99"/>
    </row>
    <row r="2677" spans="1:22" ht="15" customHeight="1">
      <c r="A2677" s="297"/>
      <c r="B2677" s="217"/>
      <c r="C2677" s="217"/>
      <c r="D2677" s="101"/>
      <c r="E2677" s="101"/>
      <c r="F2677" s="294"/>
      <c r="G2677" s="295"/>
      <c r="H2677" s="107"/>
      <c r="I2677" s="108"/>
      <c r="J2677" s="108"/>
      <c r="K2677" s="108"/>
      <c r="L2677" s="108"/>
      <c r="M2677" s="108"/>
      <c r="N2677" s="108"/>
      <c r="O2677" s="108"/>
      <c r="P2677" s="108"/>
      <c r="Q2677" s="108"/>
      <c r="R2677" s="108"/>
      <c r="S2677" s="108"/>
      <c r="T2677" s="108"/>
      <c r="U2677" s="233"/>
      <c r="V2677" s="233"/>
    </row>
    <row r="2678" spans="1:22" ht="15" customHeight="1">
      <c r="A2678" s="297"/>
      <c r="B2678" s="217"/>
      <c r="C2678" s="217"/>
      <c r="D2678" s="101"/>
      <c r="E2678" s="101"/>
      <c r="F2678" s="294"/>
      <c r="G2678" s="295"/>
      <c r="H2678" s="232"/>
      <c r="I2678" s="233"/>
      <c r="J2678" s="233"/>
      <c r="K2678" s="233"/>
      <c r="L2678" s="233"/>
      <c r="M2678" s="233"/>
      <c r="N2678" s="233"/>
      <c r="O2678" s="233"/>
      <c r="P2678" s="233"/>
      <c r="Q2678" s="233"/>
      <c r="R2678" s="233"/>
      <c r="S2678" s="233"/>
      <c r="T2678" s="233"/>
      <c r="U2678" s="233"/>
      <c r="V2678" s="233"/>
    </row>
    <row r="2679" spans="1:22" ht="15" customHeight="1">
      <c r="A2679" s="297"/>
      <c r="B2679" s="217"/>
      <c r="C2679" s="217"/>
      <c r="D2679" s="101"/>
      <c r="E2679" s="101"/>
      <c r="F2679" s="294"/>
      <c r="G2679" s="295"/>
      <c r="H2679" s="114"/>
      <c r="I2679" s="108"/>
      <c r="J2679" s="108"/>
      <c r="K2679" s="108"/>
      <c r="L2679" s="108"/>
      <c r="M2679" s="108"/>
      <c r="N2679" s="108"/>
      <c r="O2679" s="108"/>
      <c r="P2679" s="108"/>
      <c r="Q2679" s="108"/>
      <c r="R2679" s="108"/>
      <c r="S2679" s="108"/>
      <c r="T2679" s="108"/>
      <c r="U2679" s="233"/>
      <c r="V2679" s="233"/>
    </row>
    <row r="2680" spans="1:22" ht="15" customHeight="1" thickBot="1">
      <c r="A2680" s="297"/>
      <c r="B2680" s="217"/>
      <c r="C2680" s="217"/>
      <c r="D2680" s="101"/>
      <c r="E2680" s="101"/>
      <c r="F2680" s="294"/>
      <c r="G2680" s="295"/>
      <c r="H2680" s="98"/>
      <c r="I2680" s="218"/>
      <c r="J2680" s="218"/>
      <c r="K2680" s="218"/>
      <c r="L2680" s="218"/>
      <c r="M2680" s="218"/>
      <c r="U2680" s="212"/>
      <c r="V2680" s="212"/>
    </row>
    <row r="2681" spans="1:22" ht="15" customHeight="1" thickBot="1">
      <c r="A2681" s="297"/>
      <c r="B2681" s="217"/>
      <c r="C2681" s="217"/>
      <c r="D2681" s="101"/>
      <c r="E2681" s="101"/>
      <c r="F2681" s="294"/>
      <c r="G2681" s="295"/>
      <c r="H2681" s="686"/>
      <c r="I2681" s="687"/>
      <c r="J2681" s="687"/>
      <c r="K2681" s="687"/>
      <c r="L2681" s="687"/>
      <c r="M2681" s="687"/>
      <c r="N2681" s="687"/>
      <c r="O2681" s="687"/>
      <c r="P2681" s="687"/>
      <c r="Q2681" s="687"/>
      <c r="R2681" s="687"/>
      <c r="S2681" s="715"/>
      <c r="T2681" s="688"/>
      <c r="U2681" s="254"/>
      <c r="V2681" s="254"/>
    </row>
    <row r="2682" spans="1:22" ht="15" customHeight="1">
      <c r="A2682" s="297"/>
      <c r="B2682" s="217"/>
      <c r="C2682" s="217"/>
      <c r="D2682" s="101"/>
      <c r="E2682" s="101"/>
      <c r="F2682" s="294"/>
      <c r="G2682" s="295"/>
      <c r="H2682" s="225"/>
      <c r="I2682" s="225"/>
      <c r="J2682" s="225"/>
      <c r="K2682" s="225"/>
      <c r="L2682" s="225"/>
      <c r="M2682" s="225"/>
      <c r="N2682" s="225"/>
      <c r="O2682" s="225"/>
      <c r="P2682" s="225"/>
      <c r="Q2682" s="225"/>
      <c r="R2682" s="225"/>
      <c r="S2682" s="225"/>
      <c r="T2682" s="225"/>
      <c r="U2682" s="225"/>
      <c r="V2682" s="225"/>
    </row>
    <row r="2683" spans="1:22" ht="15" customHeight="1">
      <c r="A2683" s="297"/>
      <c r="B2683" s="217"/>
      <c r="C2683" s="217"/>
      <c r="D2683" s="101"/>
      <c r="E2683" s="101"/>
      <c r="F2683" s="294"/>
      <c r="G2683" s="295"/>
      <c r="H2683" s="98"/>
      <c r="I2683" s="99"/>
      <c r="J2683" s="99"/>
      <c r="K2683" s="99"/>
      <c r="L2683" s="99"/>
      <c r="M2683" s="99"/>
      <c r="N2683" s="99"/>
      <c r="O2683" s="99"/>
      <c r="P2683" s="99"/>
      <c r="Q2683" s="99"/>
      <c r="R2683" s="99"/>
      <c r="S2683" s="99"/>
      <c r="T2683" s="99"/>
      <c r="U2683" s="99"/>
      <c r="V2683" s="99"/>
    </row>
    <row r="2684" spans="1:22" ht="15" customHeight="1">
      <c r="A2684" s="297"/>
      <c r="B2684" s="217"/>
      <c r="C2684" s="217"/>
      <c r="D2684" s="101"/>
      <c r="E2684" s="101"/>
      <c r="F2684" s="294"/>
      <c r="G2684" s="295"/>
      <c r="H2684" s="107"/>
      <c r="I2684" s="108"/>
      <c r="J2684" s="108"/>
      <c r="K2684" s="108"/>
      <c r="L2684" s="108"/>
      <c r="M2684" s="108"/>
      <c r="N2684" s="109"/>
      <c r="O2684" s="109"/>
      <c r="P2684" s="109"/>
      <c r="Q2684" s="109"/>
      <c r="R2684" s="109"/>
      <c r="S2684" s="109"/>
      <c r="T2684" s="109"/>
      <c r="U2684" s="202"/>
      <c r="V2684" s="202"/>
    </row>
    <row r="2685" spans="1:22" ht="15" customHeight="1">
      <c r="A2685" s="297"/>
      <c r="B2685" s="217"/>
      <c r="C2685" s="217"/>
      <c r="D2685" s="101"/>
      <c r="E2685" s="101"/>
      <c r="F2685" s="294"/>
      <c r="G2685" s="295"/>
      <c r="H2685" s="98"/>
      <c r="I2685" s="111"/>
      <c r="J2685" s="111"/>
      <c r="K2685" s="111"/>
      <c r="L2685" s="111"/>
      <c r="M2685" s="111"/>
      <c r="N2685" s="112"/>
      <c r="O2685" s="112"/>
      <c r="P2685" s="112"/>
      <c r="Q2685" s="113"/>
      <c r="R2685" s="113"/>
      <c r="S2685" s="113"/>
      <c r="T2685" s="113"/>
      <c r="U2685" s="113"/>
      <c r="V2685" s="113"/>
    </row>
    <row r="2686" spans="1:22" ht="15" customHeight="1">
      <c r="A2686" s="297"/>
      <c r="B2686" s="217"/>
      <c r="C2686" s="217"/>
      <c r="D2686" s="101"/>
      <c r="E2686" s="101"/>
      <c r="F2686" s="294"/>
      <c r="G2686" s="295"/>
      <c r="H2686" s="98"/>
      <c r="I2686" s="99"/>
      <c r="J2686" s="99"/>
      <c r="K2686" s="99"/>
      <c r="L2686" s="99"/>
      <c r="M2686" s="99"/>
      <c r="N2686" s="99"/>
      <c r="O2686" s="99"/>
      <c r="P2686" s="99"/>
      <c r="Q2686" s="99"/>
      <c r="R2686" s="99"/>
      <c r="S2686" s="99"/>
      <c r="T2686" s="99"/>
      <c r="U2686" s="99"/>
      <c r="V2686" s="99"/>
    </row>
    <row r="2687" spans="1:22" ht="15" customHeight="1">
      <c r="A2687" s="297"/>
      <c r="B2687" s="217"/>
      <c r="C2687" s="217"/>
      <c r="D2687" s="101"/>
      <c r="E2687" s="101"/>
      <c r="F2687" s="294"/>
      <c r="G2687" s="295"/>
      <c r="H2687" s="98"/>
      <c r="I2687" s="99"/>
      <c r="J2687" s="99"/>
      <c r="K2687" s="99"/>
      <c r="L2687" s="99"/>
      <c r="M2687" s="99"/>
      <c r="N2687" s="99"/>
      <c r="O2687" s="99"/>
      <c r="P2687" s="99"/>
      <c r="Q2687" s="99"/>
      <c r="R2687" s="99"/>
      <c r="S2687" s="99"/>
      <c r="T2687" s="99"/>
      <c r="U2687" s="99"/>
      <c r="V2687" s="99"/>
    </row>
    <row r="2688" spans="1:22" ht="15" customHeight="1">
      <c r="A2688" s="297"/>
      <c r="B2688" s="217"/>
      <c r="C2688" s="217"/>
      <c r="D2688" s="101"/>
      <c r="E2688" s="101"/>
      <c r="F2688" s="294"/>
      <c r="G2688" s="295"/>
      <c r="H2688" s="107"/>
      <c r="I2688" s="108"/>
      <c r="J2688" s="108"/>
      <c r="K2688" s="108"/>
      <c r="L2688" s="108"/>
      <c r="M2688" s="108"/>
      <c r="N2688" s="108"/>
      <c r="O2688" s="108"/>
      <c r="P2688" s="108"/>
      <c r="Q2688" s="108"/>
      <c r="R2688" s="108"/>
      <c r="S2688" s="108"/>
      <c r="T2688" s="108"/>
      <c r="U2688" s="233"/>
      <c r="V2688" s="233"/>
    </row>
    <row r="2689" spans="1:22" ht="15" customHeight="1">
      <c r="A2689" s="297"/>
      <c r="B2689" s="217"/>
      <c r="C2689" s="217"/>
      <c r="D2689" s="101"/>
      <c r="E2689" s="101"/>
      <c r="F2689" s="294"/>
      <c r="G2689" s="295"/>
      <c r="H2689" s="98"/>
      <c r="I2689" s="111"/>
      <c r="J2689" s="111"/>
      <c r="K2689" s="111"/>
      <c r="L2689" s="111"/>
      <c r="M2689" s="111"/>
      <c r="N2689" s="112"/>
      <c r="O2689" s="112"/>
      <c r="P2689" s="112"/>
      <c r="Q2689" s="113"/>
      <c r="R2689" s="113"/>
      <c r="S2689" s="113"/>
      <c r="T2689" s="113"/>
      <c r="U2689" s="113"/>
      <c r="V2689" s="113"/>
    </row>
    <row r="2690" spans="1:22" ht="15" customHeight="1">
      <c r="A2690" s="297"/>
      <c r="B2690" s="217"/>
      <c r="C2690" s="217"/>
      <c r="D2690" s="101"/>
      <c r="E2690" s="101"/>
      <c r="F2690" s="294"/>
      <c r="G2690" s="295"/>
      <c r="H2690" s="114"/>
      <c r="I2690" s="108"/>
      <c r="J2690" s="108"/>
      <c r="K2690" s="108"/>
      <c r="L2690" s="108"/>
      <c r="M2690" s="108"/>
      <c r="N2690" s="108"/>
      <c r="O2690" s="108"/>
      <c r="P2690" s="108"/>
      <c r="Q2690" s="108"/>
      <c r="R2690" s="108"/>
      <c r="S2690" s="108"/>
      <c r="T2690" s="108"/>
      <c r="U2690" s="233"/>
      <c r="V2690" s="233"/>
    </row>
    <row r="2691" spans="1:22" ht="15" customHeight="1">
      <c r="A2691" s="297"/>
      <c r="B2691" s="217"/>
      <c r="C2691" s="217"/>
      <c r="D2691" s="101"/>
      <c r="E2691" s="101"/>
      <c r="F2691" s="294"/>
      <c r="G2691" s="295"/>
      <c r="H2691" s="98"/>
      <c r="I2691" s="218"/>
      <c r="J2691" s="218"/>
      <c r="K2691" s="218"/>
      <c r="L2691" s="218"/>
      <c r="M2691" s="218"/>
      <c r="U2691" s="212"/>
      <c r="V2691" s="212"/>
    </row>
    <row r="2692" spans="1:22" ht="15" customHeight="1">
      <c r="A2692" s="297"/>
      <c r="B2692" s="217"/>
      <c r="C2692" s="217"/>
      <c r="D2692" s="101"/>
      <c r="E2692" s="101"/>
      <c r="F2692" s="294"/>
      <c r="G2692" s="295"/>
      <c r="H2692" s="98"/>
      <c r="I2692" s="218"/>
      <c r="J2692" s="218"/>
      <c r="K2692" s="218"/>
      <c r="L2692" s="218"/>
      <c r="M2692" s="218"/>
      <c r="U2692" s="212"/>
      <c r="V2692" s="212"/>
    </row>
    <row r="2693" spans="1:22" ht="15" customHeight="1" thickBot="1">
      <c r="A2693" s="297"/>
      <c r="B2693" s="217"/>
      <c r="C2693" s="217"/>
      <c r="D2693" s="101"/>
      <c r="E2693" s="101"/>
      <c r="F2693" s="294"/>
      <c r="G2693" s="295"/>
      <c r="H2693" s="98"/>
      <c r="I2693" s="218"/>
      <c r="J2693" s="218"/>
      <c r="K2693" s="218"/>
      <c r="L2693" s="218"/>
      <c r="M2693" s="218"/>
      <c r="U2693" s="212"/>
      <c r="V2693" s="212"/>
    </row>
    <row r="2694" spans="1:22" ht="15" customHeight="1" thickBot="1">
      <c r="A2694" s="297"/>
      <c r="B2694" s="217"/>
      <c r="C2694" s="217"/>
      <c r="D2694" s="101"/>
      <c r="E2694" s="101"/>
      <c r="F2694" s="294"/>
      <c r="G2694" s="295"/>
      <c r="H2694" s="686"/>
      <c r="I2694" s="687"/>
      <c r="J2694" s="687"/>
      <c r="K2694" s="687"/>
      <c r="L2694" s="687"/>
      <c r="M2694" s="687"/>
      <c r="N2694" s="687"/>
      <c r="O2694" s="687"/>
      <c r="P2694" s="687"/>
      <c r="Q2694" s="687"/>
      <c r="R2694" s="687"/>
      <c r="S2694" s="715"/>
      <c r="T2694" s="688"/>
      <c r="U2694" s="254"/>
      <c r="V2694" s="254"/>
    </row>
    <row r="2695" spans="1:22" ht="15" customHeight="1">
      <c r="A2695" s="297"/>
      <c r="B2695" s="217"/>
      <c r="C2695" s="217"/>
      <c r="D2695" s="101"/>
      <c r="E2695" s="101"/>
      <c r="F2695" s="294"/>
      <c r="G2695" s="295"/>
      <c r="H2695" s="225"/>
      <c r="I2695" s="225"/>
      <c r="J2695" s="225"/>
      <c r="K2695" s="225"/>
      <c r="L2695" s="225"/>
      <c r="M2695" s="225"/>
      <c r="N2695" s="225"/>
      <c r="O2695" s="225"/>
      <c r="P2695" s="225"/>
      <c r="Q2695" s="225"/>
      <c r="R2695" s="225"/>
      <c r="S2695" s="225"/>
      <c r="T2695" s="225"/>
      <c r="U2695" s="225"/>
      <c r="V2695" s="225"/>
    </row>
    <row r="2696" spans="1:22" ht="15" customHeight="1">
      <c r="A2696" s="297"/>
      <c r="B2696" s="217"/>
      <c r="C2696" s="217"/>
      <c r="D2696" s="101"/>
      <c r="E2696" s="101"/>
      <c r="F2696" s="294"/>
      <c r="G2696" s="295"/>
      <c r="H2696" s="98"/>
      <c r="I2696" s="99"/>
      <c r="J2696" s="99"/>
      <c r="K2696" s="99"/>
      <c r="L2696" s="99"/>
      <c r="M2696" s="99"/>
      <c r="N2696" s="99"/>
      <c r="O2696" s="99"/>
      <c r="P2696" s="99"/>
      <c r="Q2696" s="99"/>
      <c r="R2696" s="99"/>
      <c r="S2696" s="99"/>
      <c r="T2696" s="99"/>
      <c r="U2696" s="99"/>
      <c r="V2696" s="99"/>
    </row>
    <row r="2697" spans="1:22" ht="15" customHeight="1">
      <c r="A2697" s="297"/>
      <c r="B2697" s="217"/>
      <c r="C2697" s="217"/>
      <c r="D2697" s="101"/>
      <c r="E2697" s="101"/>
      <c r="F2697" s="294"/>
      <c r="G2697" s="295"/>
      <c r="H2697" s="98"/>
      <c r="I2697" s="99"/>
      <c r="J2697" s="99"/>
      <c r="K2697" s="99"/>
      <c r="L2697" s="99"/>
      <c r="M2697" s="99"/>
      <c r="N2697" s="99"/>
      <c r="O2697" s="99"/>
      <c r="P2697" s="99"/>
      <c r="Q2697" s="99"/>
      <c r="R2697" s="99"/>
      <c r="S2697" s="99"/>
      <c r="T2697" s="99"/>
      <c r="U2697" s="99"/>
      <c r="V2697" s="99"/>
    </row>
    <row r="2698" spans="1:22" ht="15" customHeight="1">
      <c r="A2698" s="297"/>
      <c r="B2698" s="217"/>
      <c r="C2698" s="217"/>
      <c r="D2698" s="101"/>
      <c r="E2698" s="101"/>
      <c r="F2698" s="294"/>
      <c r="G2698" s="295"/>
      <c r="H2698" s="98"/>
      <c r="I2698" s="99"/>
      <c r="J2698" s="99"/>
      <c r="K2698" s="99"/>
      <c r="L2698" s="99"/>
      <c r="M2698" s="99"/>
      <c r="N2698" s="99"/>
      <c r="O2698" s="99"/>
      <c r="P2698" s="99"/>
      <c r="Q2698" s="99"/>
      <c r="R2698" s="99"/>
      <c r="S2698" s="99"/>
      <c r="T2698" s="99"/>
      <c r="U2698" s="99"/>
      <c r="V2698" s="99"/>
    </row>
    <row r="2699" spans="1:22" ht="15" customHeight="1">
      <c r="A2699" s="297"/>
      <c r="B2699" s="217"/>
      <c r="C2699" s="217"/>
      <c r="D2699" s="101"/>
      <c r="E2699" s="101"/>
      <c r="F2699" s="294"/>
      <c r="G2699" s="295"/>
      <c r="H2699" s="98"/>
      <c r="I2699" s="99"/>
      <c r="J2699" s="99"/>
      <c r="K2699" s="99"/>
      <c r="L2699" s="99"/>
      <c r="M2699" s="99"/>
      <c r="N2699" s="99"/>
      <c r="O2699" s="99"/>
      <c r="P2699" s="99"/>
      <c r="Q2699" s="99"/>
      <c r="R2699" s="99"/>
      <c r="S2699" s="99"/>
      <c r="T2699" s="99"/>
      <c r="U2699" s="99"/>
      <c r="V2699" s="99"/>
    </row>
    <row r="2700" spans="1:22" ht="15" customHeight="1">
      <c r="A2700" s="297"/>
      <c r="B2700" s="217"/>
      <c r="C2700" s="217"/>
      <c r="D2700" s="101"/>
      <c r="E2700" s="101"/>
      <c r="F2700" s="294"/>
      <c r="G2700" s="295"/>
      <c r="H2700" s="98"/>
      <c r="I2700" s="99"/>
      <c r="J2700" s="99"/>
      <c r="K2700" s="99"/>
      <c r="L2700" s="99"/>
      <c r="M2700" s="99"/>
      <c r="N2700" s="99"/>
      <c r="O2700" s="99"/>
      <c r="P2700" s="99"/>
      <c r="Q2700" s="99"/>
      <c r="R2700" s="99"/>
      <c r="S2700" s="99"/>
      <c r="T2700" s="99"/>
      <c r="U2700" s="99"/>
      <c r="V2700" s="99"/>
    </row>
    <row r="2701" spans="1:22" ht="15" customHeight="1">
      <c r="A2701" s="297"/>
      <c r="B2701" s="217"/>
      <c r="C2701" s="217"/>
      <c r="D2701" s="101"/>
      <c r="E2701" s="101"/>
      <c r="F2701" s="294"/>
      <c r="G2701" s="295"/>
      <c r="H2701" s="98"/>
      <c r="I2701" s="99"/>
      <c r="J2701" s="99"/>
      <c r="K2701" s="99"/>
      <c r="L2701" s="99"/>
      <c r="M2701" s="99"/>
      <c r="N2701" s="99"/>
      <c r="O2701" s="99"/>
      <c r="P2701" s="99"/>
      <c r="Q2701" s="99"/>
      <c r="R2701" s="99"/>
      <c r="S2701" s="99"/>
      <c r="T2701" s="99"/>
      <c r="U2701" s="99"/>
      <c r="V2701" s="99"/>
    </row>
    <row r="2702" spans="1:22" ht="15" customHeight="1">
      <c r="A2702" s="297"/>
      <c r="B2702" s="217"/>
      <c r="C2702" s="217"/>
      <c r="D2702" s="101"/>
      <c r="E2702" s="101"/>
      <c r="F2702" s="294"/>
      <c r="G2702" s="295"/>
      <c r="H2702" s="98"/>
      <c r="I2702" s="99"/>
      <c r="J2702" s="99"/>
      <c r="K2702" s="99"/>
      <c r="L2702" s="99"/>
      <c r="M2702" s="99"/>
      <c r="N2702" s="99"/>
      <c r="O2702" s="99"/>
      <c r="P2702" s="99"/>
      <c r="Q2702" s="99"/>
      <c r="R2702" s="99"/>
      <c r="S2702" s="99"/>
      <c r="T2702" s="99"/>
      <c r="U2702" s="99"/>
      <c r="V2702" s="99"/>
    </row>
    <row r="2703" spans="1:22" ht="15" customHeight="1">
      <c r="A2703" s="297"/>
      <c r="B2703" s="217"/>
      <c r="C2703" s="217"/>
      <c r="D2703" s="101"/>
      <c r="E2703" s="101"/>
      <c r="F2703" s="294"/>
      <c r="G2703" s="295"/>
      <c r="H2703" s="98"/>
      <c r="I2703" s="99"/>
      <c r="J2703" s="99"/>
      <c r="K2703" s="99"/>
      <c r="L2703" s="99"/>
      <c r="M2703" s="99"/>
      <c r="N2703" s="99"/>
      <c r="O2703" s="99"/>
      <c r="P2703" s="99"/>
      <c r="Q2703" s="99"/>
      <c r="R2703" s="99"/>
      <c r="S2703" s="99"/>
      <c r="T2703" s="99"/>
      <c r="U2703" s="99"/>
      <c r="V2703" s="99"/>
    </row>
    <row r="2704" spans="1:22" ht="15" customHeight="1">
      <c r="A2704" s="297"/>
      <c r="B2704" s="217"/>
      <c r="C2704" s="217"/>
      <c r="D2704" s="101"/>
      <c r="E2704" s="101"/>
      <c r="F2704" s="294"/>
      <c r="G2704" s="295"/>
      <c r="H2704" s="98"/>
      <c r="I2704" s="99"/>
      <c r="J2704" s="99"/>
      <c r="K2704" s="99"/>
      <c r="L2704" s="99"/>
      <c r="M2704" s="99"/>
      <c r="N2704" s="99"/>
      <c r="O2704" s="99"/>
      <c r="P2704" s="99"/>
      <c r="Q2704" s="99"/>
      <c r="R2704" s="99"/>
      <c r="S2704" s="99"/>
      <c r="T2704" s="99"/>
      <c r="U2704" s="99"/>
      <c r="V2704" s="99"/>
    </row>
    <row r="2705" spans="1:22" ht="15" customHeight="1">
      <c r="A2705" s="297"/>
      <c r="B2705" s="217"/>
      <c r="C2705" s="217"/>
      <c r="D2705" s="101"/>
      <c r="E2705" s="101"/>
      <c r="F2705" s="294"/>
      <c r="G2705" s="295"/>
      <c r="H2705" s="98"/>
      <c r="I2705" s="99"/>
      <c r="J2705" s="99"/>
      <c r="K2705" s="99"/>
      <c r="L2705" s="99"/>
      <c r="M2705" s="99"/>
      <c r="N2705" s="99"/>
      <c r="O2705" s="99"/>
      <c r="P2705" s="99"/>
      <c r="Q2705" s="99"/>
      <c r="R2705" s="99"/>
      <c r="S2705" s="99"/>
      <c r="T2705" s="99"/>
      <c r="U2705" s="99"/>
      <c r="V2705" s="99"/>
    </row>
    <row r="2706" spans="1:22" ht="15" customHeight="1">
      <c r="A2706" s="297"/>
      <c r="B2706" s="217"/>
      <c r="C2706" s="217"/>
      <c r="D2706" s="101"/>
      <c r="E2706" s="101"/>
      <c r="F2706" s="294"/>
      <c r="G2706" s="295"/>
      <c r="H2706" s="98"/>
      <c r="I2706" s="99"/>
      <c r="J2706" s="99"/>
      <c r="K2706" s="99"/>
      <c r="L2706" s="99"/>
      <c r="M2706" s="99"/>
      <c r="N2706" s="99"/>
      <c r="O2706" s="99"/>
      <c r="P2706" s="99"/>
      <c r="Q2706" s="99"/>
      <c r="R2706" s="99"/>
      <c r="S2706" s="99"/>
      <c r="T2706" s="99"/>
      <c r="U2706" s="99"/>
      <c r="V2706" s="99"/>
    </row>
    <row r="2707" spans="1:22" ht="15" customHeight="1">
      <c r="A2707" s="297"/>
      <c r="B2707" s="217"/>
      <c r="C2707" s="217"/>
      <c r="D2707" s="101"/>
      <c r="E2707" s="101"/>
      <c r="F2707" s="294"/>
      <c r="G2707" s="295"/>
      <c r="H2707" s="98"/>
      <c r="I2707" s="99"/>
      <c r="J2707" s="99"/>
      <c r="K2707" s="99"/>
      <c r="L2707" s="99"/>
      <c r="M2707" s="99"/>
      <c r="N2707" s="99"/>
      <c r="O2707" s="99"/>
      <c r="P2707" s="99"/>
      <c r="Q2707" s="99"/>
      <c r="R2707" s="99"/>
      <c r="S2707" s="99"/>
      <c r="T2707" s="99"/>
      <c r="U2707" s="99"/>
      <c r="V2707" s="99"/>
    </row>
    <row r="2708" spans="1:22" ht="15" customHeight="1">
      <c r="A2708" s="297"/>
      <c r="B2708" s="217"/>
      <c r="C2708" s="217"/>
      <c r="D2708" s="101"/>
      <c r="E2708" s="101"/>
      <c r="F2708" s="294"/>
      <c r="G2708" s="295"/>
      <c r="H2708" s="98"/>
      <c r="I2708" s="99"/>
      <c r="J2708" s="99"/>
      <c r="K2708" s="99"/>
      <c r="L2708" s="99"/>
      <c r="M2708" s="99"/>
      <c r="N2708" s="99"/>
      <c r="O2708" s="99"/>
      <c r="P2708" s="99"/>
      <c r="Q2708" s="99"/>
      <c r="R2708" s="99"/>
      <c r="S2708" s="99"/>
      <c r="T2708" s="99"/>
      <c r="U2708" s="99"/>
      <c r="V2708" s="99"/>
    </row>
    <row r="2709" spans="1:22" ht="15" customHeight="1">
      <c r="A2709" s="297"/>
      <c r="B2709" s="217"/>
      <c r="C2709" s="217"/>
      <c r="D2709" s="101"/>
      <c r="E2709" s="101"/>
      <c r="F2709" s="294"/>
      <c r="G2709" s="295"/>
      <c r="H2709" s="98"/>
      <c r="I2709" s="99"/>
      <c r="J2709" s="99"/>
      <c r="K2709" s="99"/>
      <c r="L2709" s="99"/>
      <c r="M2709" s="99"/>
      <c r="N2709" s="99"/>
      <c r="O2709" s="99"/>
      <c r="P2709" s="99"/>
      <c r="Q2709" s="99"/>
      <c r="R2709" s="99"/>
      <c r="S2709" s="99"/>
      <c r="T2709" s="99"/>
      <c r="U2709" s="99"/>
      <c r="V2709" s="99"/>
    </row>
    <row r="2710" spans="1:22" ht="15" customHeight="1">
      <c r="A2710" s="297"/>
      <c r="B2710" s="217"/>
      <c r="C2710" s="217"/>
      <c r="D2710" s="101"/>
      <c r="E2710" s="101"/>
      <c r="F2710" s="294"/>
      <c r="G2710" s="295"/>
      <c r="H2710" s="98"/>
      <c r="I2710" s="99"/>
      <c r="J2710" s="99"/>
      <c r="K2710" s="99"/>
      <c r="L2710" s="99"/>
      <c r="M2710" s="99"/>
      <c r="N2710" s="99"/>
      <c r="O2710" s="99"/>
      <c r="P2710" s="99"/>
      <c r="Q2710" s="99"/>
      <c r="R2710" s="99"/>
      <c r="S2710" s="99"/>
      <c r="T2710" s="99"/>
      <c r="U2710" s="99"/>
      <c r="V2710" s="99"/>
    </row>
    <row r="2711" spans="1:22" ht="15" customHeight="1">
      <c r="A2711" s="297"/>
      <c r="B2711" s="217"/>
      <c r="C2711" s="217"/>
      <c r="D2711" s="101"/>
      <c r="E2711" s="101"/>
      <c r="F2711" s="294"/>
      <c r="G2711" s="295"/>
      <c r="H2711" s="98"/>
      <c r="I2711" s="99"/>
      <c r="J2711" s="99"/>
      <c r="K2711" s="99"/>
      <c r="L2711" s="99"/>
      <c r="M2711" s="99"/>
      <c r="N2711" s="99"/>
      <c r="O2711" s="99"/>
      <c r="P2711" s="99"/>
      <c r="Q2711" s="99"/>
      <c r="R2711" s="99"/>
      <c r="S2711" s="99"/>
      <c r="T2711" s="99"/>
      <c r="U2711" s="99"/>
      <c r="V2711" s="99"/>
    </row>
    <row r="2712" spans="1:22" ht="15" customHeight="1">
      <c r="A2712" s="297"/>
      <c r="B2712" s="217"/>
      <c r="C2712" s="217"/>
      <c r="D2712" s="101"/>
      <c r="E2712" s="101"/>
      <c r="F2712" s="294"/>
      <c r="G2712" s="295"/>
      <c r="H2712" s="107"/>
      <c r="I2712" s="108"/>
      <c r="J2712" s="108"/>
      <c r="K2712" s="108"/>
      <c r="L2712" s="108"/>
      <c r="M2712" s="108"/>
      <c r="N2712" s="109"/>
      <c r="O2712" s="109"/>
      <c r="P2712" s="109"/>
      <c r="Q2712" s="109"/>
      <c r="R2712" s="109"/>
      <c r="S2712" s="109"/>
      <c r="T2712" s="109"/>
      <c r="U2712" s="202"/>
      <c r="V2712" s="202"/>
    </row>
    <row r="2713" spans="1:22" ht="15" customHeight="1">
      <c r="A2713" s="297"/>
      <c r="B2713" s="217"/>
      <c r="C2713" s="217"/>
      <c r="D2713" s="101"/>
      <c r="E2713" s="101"/>
      <c r="F2713" s="294"/>
      <c r="G2713" s="295"/>
      <c r="H2713" s="98"/>
      <c r="I2713" s="106"/>
      <c r="J2713" s="106"/>
      <c r="K2713" s="106"/>
      <c r="L2713" s="106"/>
      <c r="M2713" s="106"/>
      <c r="N2713" s="112"/>
      <c r="O2713" s="112"/>
      <c r="P2713" s="112"/>
      <c r="Q2713" s="113"/>
      <c r="R2713" s="113"/>
      <c r="S2713" s="113"/>
      <c r="T2713" s="113"/>
      <c r="U2713" s="113"/>
      <c r="V2713" s="113"/>
    </row>
    <row r="2714" spans="1:22" ht="15" customHeight="1">
      <c r="A2714" s="297"/>
      <c r="B2714" s="217"/>
      <c r="C2714" s="217"/>
      <c r="D2714" s="101"/>
      <c r="E2714" s="101"/>
      <c r="F2714" s="294"/>
      <c r="G2714" s="295"/>
      <c r="H2714" s="98"/>
      <c r="I2714" s="99"/>
      <c r="J2714" s="99"/>
      <c r="K2714" s="99"/>
      <c r="L2714" s="99"/>
      <c r="M2714" s="99"/>
      <c r="N2714" s="99"/>
      <c r="O2714" s="99"/>
      <c r="P2714" s="99"/>
      <c r="Q2714" s="99"/>
      <c r="R2714" s="99"/>
      <c r="S2714" s="99"/>
      <c r="T2714" s="99"/>
      <c r="U2714" s="99"/>
      <c r="V2714" s="99"/>
    </row>
    <row r="2715" spans="1:22" ht="15" customHeight="1">
      <c r="A2715" s="297"/>
      <c r="B2715" s="217"/>
      <c r="C2715" s="217"/>
      <c r="D2715" s="101"/>
      <c r="E2715" s="101"/>
      <c r="F2715" s="294"/>
      <c r="G2715" s="295"/>
      <c r="H2715" s="98"/>
      <c r="I2715" s="99"/>
      <c r="J2715" s="99"/>
      <c r="K2715" s="99"/>
      <c r="L2715" s="99"/>
      <c r="M2715" s="99"/>
      <c r="N2715" s="99"/>
      <c r="O2715" s="99"/>
      <c r="P2715" s="99"/>
      <c r="Q2715" s="99"/>
      <c r="R2715" s="99"/>
      <c r="S2715" s="99"/>
      <c r="T2715" s="99"/>
      <c r="U2715" s="99"/>
      <c r="V2715" s="99"/>
    </row>
    <row r="2716" spans="1:22" ht="15" customHeight="1">
      <c r="A2716" s="297"/>
      <c r="B2716" s="217"/>
      <c r="C2716" s="217"/>
      <c r="D2716" s="101"/>
      <c r="E2716" s="101"/>
      <c r="F2716" s="294"/>
      <c r="G2716" s="295"/>
      <c r="H2716" s="98"/>
      <c r="I2716" s="99"/>
      <c r="J2716" s="99"/>
      <c r="K2716" s="99"/>
      <c r="L2716" s="99"/>
      <c r="M2716" s="99"/>
      <c r="N2716" s="99"/>
      <c r="O2716" s="99"/>
      <c r="P2716" s="99"/>
      <c r="Q2716" s="99"/>
      <c r="R2716" s="99"/>
      <c r="S2716" s="99"/>
      <c r="T2716" s="99"/>
      <c r="U2716" s="99"/>
      <c r="V2716" s="99"/>
    </row>
    <row r="2717" spans="1:22" ht="15" customHeight="1">
      <c r="A2717" s="297"/>
      <c r="B2717" s="217"/>
      <c r="C2717" s="217"/>
      <c r="D2717" s="101"/>
      <c r="E2717" s="101"/>
      <c r="F2717" s="294"/>
      <c r="G2717" s="295"/>
      <c r="H2717" s="98"/>
      <c r="I2717" s="99"/>
      <c r="J2717" s="99"/>
      <c r="K2717" s="99"/>
      <c r="L2717" s="99"/>
      <c r="M2717" s="99"/>
      <c r="N2717" s="99"/>
      <c r="O2717" s="99"/>
      <c r="P2717" s="99"/>
      <c r="Q2717" s="99"/>
      <c r="R2717" s="99"/>
      <c r="S2717" s="99"/>
      <c r="T2717" s="99"/>
      <c r="U2717" s="99"/>
      <c r="V2717" s="99"/>
    </row>
    <row r="2718" spans="1:22" ht="15" customHeight="1">
      <c r="A2718" s="297"/>
      <c r="B2718" s="217"/>
      <c r="C2718" s="217"/>
      <c r="D2718" s="101"/>
      <c r="E2718" s="101"/>
      <c r="F2718" s="294"/>
      <c r="G2718" s="295"/>
      <c r="H2718" s="98"/>
      <c r="I2718" s="99"/>
      <c r="J2718" s="99"/>
      <c r="K2718" s="99"/>
      <c r="L2718" s="99"/>
      <c r="M2718" s="99"/>
      <c r="N2718" s="99"/>
      <c r="O2718" s="99"/>
      <c r="P2718" s="99"/>
      <c r="Q2718" s="99"/>
      <c r="R2718" s="99"/>
      <c r="S2718" s="99"/>
      <c r="T2718" s="99"/>
      <c r="U2718" s="99"/>
      <c r="V2718" s="99"/>
    </row>
    <row r="2719" spans="1:22" ht="15" customHeight="1">
      <c r="A2719" s="297"/>
      <c r="B2719" s="217"/>
      <c r="C2719" s="217"/>
      <c r="D2719" s="101"/>
      <c r="E2719" s="101"/>
      <c r="F2719" s="294"/>
      <c r="G2719" s="295"/>
      <c r="H2719" s="98"/>
      <c r="I2719" s="99"/>
      <c r="J2719" s="99"/>
      <c r="K2719" s="99"/>
      <c r="L2719" s="99"/>
      <c r="M2719" s="99"/>
      <c r="N2719" s="99"/>
      <c r="O2719" s="99"/>
      <c r="P2719" s="99"/>
      <c r="Q2719" s="99"/>
      <c r="R2719" s="99"/>
      <c r="S2719" s="99"/>
      <c r="T2719" s="99"/>
      <c r="U2719" s="99"/>
      <c r="V2719" s="99"/>
    </row>
    <row r="2720" spans="1:22" ht="15" customHeight="1">
      <c r="A2720" s="297"/>
      <c r="B2720" s="217"/>
      <c r="C2720" s="217"/>
      <c r="D2720" s="101"/>
      <c r="E2720" s="101"/>
      <c r="F2720" s="294"/>
      <c r="G2720" s="295"/>
      <c r="H2720" s="98"/>
      <c r="I2720" s="99"/>
      <c r="J2720" s="99"/>
      <c r="K2720" s="99"/>
      <c r="L2720" s="99"/>
      <c r="M2720" s="99"/>
      <c r="N2720" s="99"/>
      <c r="O2720" s="99"/>
      <c r="P2720" s="99"/>
      <c r="Q2720" s="99"/>
      <c r="R2720" s="99"/>
      <c r="S2720" s="99"/>
      <c r="T2720" s="99"/>
      <c r="U2720" s="99"/>
      <c r="V2720" s="99"/>
    </row>
    <row r="2721" spans="1:22" ht="15" customHeight="1">
      <c r="A2721" s="297"/>
      <c r="B2721" s="217"/>
      <c r="C2721" s="217"/>
      <c r="D2721" s="101"/>
      <c r="E2721" s="101"/>
      <c r="F2721" s="294"/>
      <c r="G2721" s="295"/>
      <c r="H2721" s="98"/>
      <c r="I2721" s="99"/>
      <c r="J2721" s="99"/>
      <c r="K2721" s="99"/>
      <c r="L2721" s="99"/>
      <c r="M2721" s="99"/>
      <c r="N2721" s="99"/>
      <c r="O2721" s="99"/>
      <c r="P2721" s="99"/>
      <c r="Q2721" s="99"/>
      <c r="R2721" s="99"/>
      <c r="S2721" s="99"/>
      <c r="T2721" s="99"/>
      <c r="U2721" s="99"/>
      <c r="V2721" s="99"/>
    </row>
    <row r="2722" spans="1:22" ht="15" customHeight="1">
      <c r="A2722" s="297"/>
      <c r="B2722" s="217"/>
      <c r="C2722" s="217"/>
      <c r="D2722" s="101"/>
      <c r="E2722" s="101"/>
      <c r="F2722" s="294"/>
      <c r="G2722" s="295"/>
      <c r="H2722" s="98"/>
      <c r="I2722" s="99"/>
      <c r="J2722" s="99"/>
      <c r="K2722" s="99"/>
      <c r="L2722" s="99"/>
      <c r="M2722" s="99"/>
      <c r="N2722" s="99"/>
      <c r="O2722" s="99"/>
      <c r="P2722" s="99"/>
      <c r="Q2722" s="99"/>
      <c r="R2722" s="99"/>
      <c r="S2722" s="99"/>
      <c r="T2722" s="99"/>
      <c r="U2722" s="99"/>
      <c r="V2722" s="99"/>
    </row>
    <row r="2723" spans="1:22" ht="15" customHeight="1">
      <c r="A2723" s="297"/>
      <c r="B2723" s="217"/>
      <c r="C2723" s="217"/>
      <c r="D2723" s="101"/>
      <c r="E2723" s="101"/>
      <c r="F2723" s="294"/>
      <c r="G2723" s="295"/>
      <c r="H2723" s="98"/>
      <c r="I2723" s="99"/>
      <c r="J2723" s="99"/>
      <c r="K2723" s="99"/>
      <c r="L2723" s="99"/>
      <c r="M2723" s="99"/>
      <c r="N2723" s="99"/>
      <c r="O2723" s="99"/>
      <c r="P2723" s="99"/>
      <c r="Q2723" s="99"/>
      <c r="R2723" s="99"/>
      <c r="S2723" s="99"/>
      <c r="T2723" s="99"/>
      <c r="U2723" s="99"/>
      <c r="V2723" s="99"/>
    </row>
    <row r="2724" spans="1:22" ht="15" customHeight="1">
      <c r="A2724" s="297"/>
      <c r="B2724" s="217"/>
      <c r="C2724" s="217"/>
      <c r="D2724" s="101"/>
      <c r="E2724" s="101"/>
      <c r="F2724" s="294"/>
      <c r="G2724" s="295"/>
      <c r="H2724" s="98"/>
      <c r="I2724" s="99"/>
      <c r="J2724" s="99"/>
      <c r="K2724" s="99"/>
      <c r="L2724" s="99"/>
      <c r="M2724" s="99"/>
      <c r="N2724" s="99"/>
      <c r="O2724" s="99"/>
      <c r="P2724" s="99"/>
      <c r="Q2724" s="99"/>
      <c r="R2724" s="99"/>
      <c r="S2724" s="99"/>
      <c r="T2724" s="99"/>
      <c r="U2724" s="99"/>
      <c r="V2724" s="99"/>
    </row>
    <row r="2725" spans="1:22" ht="15" customHeight="1">
      <c r="A2725" s="297"/>
      <c r="B2725" s="217"/>
      <c r="C2725" s="217"/>
      <c r="D2725" s="101"/>
      <c r="E2725" s="101"/>
      <c r="F2725" s="294"/>
      <c r="G2725" s="295"/>
      <c r="H2725" s="98"/>
      <c r="I2725" s="99"/>
      <c r="J2725" s="99"/>
      <c r="K2725" s="99"/>
      <c r="L2725" s="99"/>
      <c r="M2725" s="99"/>
      <c r="N2725" s="99"/>
      <c r="O2725" s="99"/>
      <c r="P2725" s="99"/>
      <c r="Q2725" s="99"/>
      <c r="R2725" s="99"/>
      <c r="S2725" s="99"/>
      <c r="T2725" s="99"/>
      <c r="U2725" s="99"/>
      <c r="V2725" s="99"/>
    </row>
    <row r="2726" spans="1:22" ht="15" customHeight="1">
      <c r="A2726" s="297"/>
      <c r="B2726" s="217"/>
      <c r="C2726" s="217"/>
      <c r="D2726" s="101"/>
      <c r="E2726" s="101"/>
      <c r="F2726" s="294"/>
      <c r="G2726" s="295"/>
      <c r="H2726" s="98"/>
      <c r="I2726" s="99"/>
      <c r="J2726" s="99"/>
      <c r="K2726" s="99"/>
      <c r="L2726" s="99"/>
      <c r="M2726" s="99"/>
      <c r="N2726" s="99"/>
      <c r="O2726" s="99"/>
      <c r="P2726" s="99"/>
      <c r="Q2726" s="99"/>
      <c r="R2726" s="99"/>
      <c r="S2726" s="99"/>
      <c r="T2726" s="99"/>
      <c r="U2726" s="99"/>
      <c r="V2726" s="99"/>
    </row>
    <row r="2727" spans="1:22" ht="15" customHeight="1">
      <c r="A2727" s="297"/>
      <c r="B2727" s="217"/>
      <c r="C2727" s="217"/>
      <c r="D2727" s="101"/>
      <c r="E2727" s="101"/>
      <c r="F2727" s="294"/>
      <c r="G2727" s="295"/>
      <c r="H2727" s="98"/>
      <c r="I2727" s="99"/>
      <c r="J2727" s="99"/>
      <c r="K2727" s="99"/>
      <c r="L2727" s="99"/>
      <c r="M2727" s="99"/>
      <c r="N2727" s="99"/>
      <c r="O2727" s="99"/>
      <c r="P2727" s="99"/>
      <c r="Q2727" s="99"/>
      <c r="R2727" s="99"/>
      <c r="S2727" s="99"/>
      <c r="T2727" s="99"/>
      <c r="U2727" s="99"/>
      <c r="V2727" s="99"/>
    </row>
    <row r="2728" spans="1:22" ht="15" customHeight="1">
      <c r="A2728" s="297"/>
      <c r="B2728" s="217"/>
      <c r="C2728" s="217"/>
      <c r="D2728" s="101"/>
      <c r="E2728" s="101"/>
      <c r="F2728" s="294"/>
      <c r="G2728" s="295"/>
      <c r="H2728" s="98"/>
      <c r="I2728" s="99"/>
      <c r="J2728" s="99"/>
      <c r="K2728" s="99"/>
      <c r="L2728" s="99"/>
      <c r="M2728" s="99"/>
      <c r="N2728" s="99"/>
      <c r="O2728" s="99"/>
      <c r="P2728" s="99"/>
      <c r="Q2728" s="99"/>
      <c r="R2728" s="99"/>
      <c r="S2728" s="99"/>
      <c r="T2728" s="99"/>
      <c r="U2728" s="99"/>
      <c r="V2728" s="99"/>
    </row>
    <row r="2729" spans="1:22" ht="15" customHeight="1">
      <c r="A2729" s="297"/>
      <c r="B2729" s="217"/>
      <c r="C2729" s="217"/>
      <c r="D2729" s="101"/>
      <c r="E2729" s="101"/>
      <c r="F2729" s="294"/>
      <c r="G2729" s="295"/>
      <c r="H2729" s="98"/>
      <c r="I2729" s="99"/>
      <c r="J2729" s="99"/>
      <c r="K2729" s="99"/>
      <c r="L2729" s="99"/>
      <c r="M2729" s="99"/>
      <c r="N2729" s="99"/>
      <c r="O2729" s="99"/>
      <c r="P2729" s="99"/>
      <c r="Q2729" s="99"/>
      <c r="R2729" s="99"/>
      <c r="S2729" s="99"/>
      <c r="T2729" s="99"/>
      <c r="U2729" s="99"/>
      <c r="V2729" s="99"/>
    </row>
    <row r="2730" spans="1:22" ht="15" customHeight="1">
      <c r="A2730" s="297"/>
      <c r="B2730" s="217"/>
      <c r="C2730" s="217"/>
      <c r="D2730" s="101"/>
      <c r="E2730" s="101"/>
      <c r="F2730" s="294"/>
      <c r="G2730" s="295"/>
      <c r="H2730" s="98"/>
      <c r="I2730" s="99"/>
      <c r="J2730" s="99"/>
      <c r="K2730" s="99"/>
      <c r="L2730" s="99"/>
      <c r="M2730" s="99"/>
      <c r="N2730" s="99"/>
      <c r="O2730" s="99"/>
      <c r="P2730" s="99"/>
      <c r="Q2730" s="99"/>
      <c r="R2730" s="99"/>
      <c r="S2730" s="99"/>
      <c r="T2730" s="99"/>
      <c r="U2730" s="99"/>
      <c r="V2730" s="99"/>
    </row>
    <row r="2731" spans="1:22" ht="15" customHeight="1">
      <c r="A2731" s="297"/>
      <c r="B2731" s="217"/>
      <c r="C2731" s="217"/>
      <c r="D2731" s="101"/>
      <c r="E2731" s="101"/>
      <c r="F2731" s="294"/>
      <c r="G2731" s="295"/>
      <c r="H2731" s="98"/>
      <c r="I2731" s="99"/>
      <c r="J2731" s="99"/>
      <c r="K2731" s="99"/>
      <c r="L2731" s="99"/>
      <c r="M2731" s="99"/>
      <c r="N2731" s="99"/>
      <c r="O2731" s="99"/>
      <c r="P2731" s="99"/>
      <c r="Q2731" s="99"/>
      <c r="R2731" s="99"/>
      <c r="S2731" s="99"/>
      <c r="T2731" s="99"/>
      <c r="U2731" s="99"/>
      <c r="V2731" s="99"/>
    </row>
    <row r="2732" spans="1:22" ht="15" customHeight="1">
      <c r="A2732" s="297"/>
      <c r="B2732" s="217"/>
      <c r="C2732" s="217"/>
      <c r="D2732" s="101"/>
      <c r="E2732" s="101"/>
      <c r="F2732" s="294"/>
      <c r="G2732" s="295"/>
      <c r="H2732" s="98"/>
      <c r="I2732" s="99"/>
      <c r="J2732" s="99"/>
      <c r="K2732" s="99"/>
      <c r="L2732" s="99"/>
      <c r="M2732" s="99"/>
      <c r="N2732" s="99"/>
      <c r="O2732" s="99"/>
      <c r="P2732" s="99"/>
      <c r="Q2732" s="99"/>
      <c r="R2732" s="99"/>
      <c r="S2732" s="99"/>
      <c r="T2732" s="99"/>
      <c r="U2732" s="99"/>
      <c r="V2732" s="99"/>
    </row>
    <row r="2733" spans="1:22" ht="15" customHeight="1">
      <c r="A2733" s="297"/>
      <c r="B2733" s="217"/>
      <c r="C2733" s="217"/>
      <c r="D2733" s="101"/>
      <c r="E2733" s="101"/>
      <c r="F2733" s="294"/>
      <c r="G2733" s="295"/>
      <c r="H2733" s="107"/>
      <c r="I2733" s="109"/>
      <c r="J2733" s="109"/>
      <c r="K2733" s="109"/>
      <c r="L2733" s="109"/>
      <c r="M2733" s="109"/>
      <c r="N2733" s="109"/>
      <c r="O2733" s="109"/>
      <c r="P2733" s="109"/>
      <c r="Q2733" s="109"/>
      <c r="R2733" s="109"/>
      <c r="S2733" s="109"/>
      <c r="T2733" s="109"/>
      <c r="U2733" s="202"/>
      <c r="V2733" s="202"/>
    </row>
    <row r="2734" spans="1:22" ht="15" customHeight="1">
      <c r="A2734" s="297"/>
      <c r="B2734" s="217"/>
      <c r="C2734" s="217"/>
      <c r="D2734" s="101"/>
      <c r="E2734" s="101"/>
      <c r="F2734" s="294"/>
      <c r="G2734" s="295"/>
      <c r="H2734" s="98"/>
      <c r="I2734" s="106"/>
      <c r="J2734" s="106"/>
      <c r="K2734" s="106"/>
      <c r="L2734" s="106"/>
      <c r="M2734" s="106"/>
      <c r="N2734" s="112"/>
      <c r="O2734" s="112"/>
      <c r="P2734" s="112"/>
      <c r="Q2734" s="113"/>
      <c r="R2734" s="113"/>
      <c r="S2734" s="113"/>
      <c r="T2734" s="113"/>
      <c r="U2734" s="113"/>
      <c r="V2734" s="113"/>
    </row>
    <row r="2735" spans="1:22" ht="15" customHeight="1">
      <c r="A2735" s="297"/>
      <c r="B2735" s="217"/>
      <c r="C2735" s="217"/>
      <c r="D2735" s="101"/>
      <c r="E2735" s="101"/>
      <c r="F2735" s="294"/>
      <c r="G2735" s="295"/>
      <c r="H2735" s="98"/>
      <c r="I2735" s="99"/>
      <c r="J2735" s="99"/>
      <c r="K2735" s="99"/>
      <c r="L2735" s="99"/>
      <c r="M2735" s="99"/>
      <c r="N2735" s="99"/>
      <c r="O2735" s="99"/>
      <c r="P2735" s="99"/>
      <c r="Q2735" s="99"/>
      <c r="R2735" s="99"/>
      <c r="S2735" s="99"/>
      <c r="T2735" s="99"/>
      <c r="U2735" s="99"/>
      <c r="V2735" s="99"/>
    </row>
    <row r="2736" spans="1:22" ht="15" customHeight="1">
      <c r="A2736" s="297"/>
      <c r="B2736" s="217"/>
      <c r="C2736" s="217"/>
      <c r="D2736" s="101"/>
      <c r="E2736" s="101"/>
      <c r="F2736" s="294"/>
      <c r="G2736" s="295"/>
      <c r="H2736" s="98"/>
      <c r="I2736" s="99"/>
      <c r="J2736" s="99"/>
      <c r="K2736" s="99"/>
      <c r="L2736" s="99"/>
      <c r="M2736" s="99"/>
      <c r="N2736" s="99"/>
      <c r="O2736" s="99"/>
      <c r="P2736" s="99"/>
      <c r="Q2736" s="99"/>
      <c r="R2736" s="99"/>
      <c r="S2736" s="99"/>
      <c r="T2736" s="99"/>
      <c r="U2736" s="99"/>
      <c r="V2736" s="99"/>
    </row>
    <row r="2737" spans="1:22" ht="15" customHeight="1">
      <c r="A2737" s="297"/>
      <c r="B2737" s="217"/>
      <c r="C2737" s="217"/>
      <c r="D2737" s="101"/>
      <c r="E2737" s="101"/>
      <c r="F2737" s="294"/>
      <c r="G2737" s="295"/>
      <c r="H2737" s="98"/>
      <c r="I2737" s="99"/>
      <c r="J2737" s="99"/>
      <c r="K2737" s="99"/>
      <c r="L2737" s="99"/>
      <c r="M2737" s="99"/>
      <c r="N2737" s="99"/>
      <c r="O2737" s="99"/>
      <c r="P2737" s="99"/>
      <c r="Q2737" s="99"/>
      <c r="R2737" s="99"/>
      <c r="S2737" s="99"/>
      <c r="T2737" s="99"/>
      <c r="U2737" s="99"/>
      <c r="V2737" s="99"/>
    </row>
    <row r="2738" spans="1:22" ht="15" customHeight="1">
      <c r="A2738" s="297"/>
      <c r="B2738" s="217"/>
      <c r="C2738" s="217"/>
      <c r="D2738" s="101"/>
      <c r="E2738" s="101"/>
      <c r="F2738" s="294"/>
      <c r="G2738" s="295"/>
      <c r="H2738" s="98"/>
      <c r="I2738" s="99"/>
      <c r="J2738" s="99"/>
      <c r="K2738" s="99"/>
      <c r="L2738" s="99"/>
      <c r="M2738" s="99"/>
      <c r="N2738" s="99"/>
      <c r="O2738" s="99"/>
      <c r="P2738" s="99"/>
      <c r="Q2738" s="99"/>
      <c r="R2738" s="99"/>
      <c r="S2738" s="99"/>
      <c r="T2738" s="99"/>
      <c r="U2738" s="99"/>
      <c r="V2738" s="99"/>
    </row>
    <row r="2739" spans="1:22" ht="15" customHeight="1">
      <c r="A2739" s="297"/>
      <c r="B2739" s="217"/>
      <c r="C2739" s="217"/>
      <c r="D2739" s="101"/>
      <c r="E2739" s="101"/>
      <c r="F2739" s="294"/>
      <c r="G2739" s="295"/>
      <c r="H2739" s="98"/>
      <c r="I2739" s="99"/>
      <c r="J2739" s="99"/>
      <c r="K2739" s="99"/>
      <c r="L2739" s="99"/>
      <c r="M2739" s="99"/>
      <c r="N2739" s="99"/>
      <c r="O2739" s="99"/>
      <c r="P2739" s="99"/>
      <c r="Q2739" s="99"/>
      <c r="R2739" s="99"/>
      <c r="S2739" s="99"/>
      <c r="T2739" s="99"/>
      <c r="U2739" s="99"/>
      <c r="V2739" s="99"/>
    </row>
    <row r="2740" spans="1:22" ht="15" customHeight="1">
      <c r="A2740" s="297"/>
      <c r="B2740" s="217"/>
      <c r="C2740" s="217"/>
      <c r="D2740" s="101"/>
      <c r="E2740" s="101"/>
      <c r="F2740" s="294"/>
      <c r="G2740" s="295"/>
      <c r="H2740" s="98"/>
      <c r="I2740" s="99"/>
      <c r="J2740" s="99"/>
      <c r="K2740" s="99"/>
      <c r="L2740" s="99"/>
      <c r="M2740" s="99"/>
      <c r="N2740" s="99"/>
      <c r="O2740" s="99"/>
      <c r="P2740" s="99"/>
      <c r="Q2740" s="99"/>
      <c r="R2740" s="99"/>
      <c r="S2740" s="99"/>
      <c r="T2740" s="99"/>
      <c r="U2740" s="99"/>
      <c r="V2740" s="99"/>
    </row>
    <row r="2741" spans="1:22" ht="15" customHeight="1">
      <c r="A2741" s="297"/>
      <c r="B2741" s="217"/>
      <c r="C2741" s="217"/>
      <c r="D2741" s="101"/>
      <c r="E2741" s="101"/>
      <c r="F2741" s="294"/>
      <c r="G2741" s="295"/>
      <c r="H2741" s="98"/>
      <c r="I2741" s="99"/>
      <c r="J2741" s="99"/>
      <c r="K2741" s="99"/>
      <c r="L2741" s="99"/>
      <c r="M2741" s="99"/>
      <c r="N2741" s="99"/>
      <c r="O2741" s="99"/>
      <c r="P2741" s="99"/>
      <c r="Q2741" s="99"/>
      <c r="R2741" s="99"/>
      <c r="S2741" s="99"/>
      <c r="T2741" s="99"/>
      <c r="U2741" s="99"/>
      <c r="V2741" s="99"/>
    </row>
    <row r="2742" spans="1:22" ht="15" customHeight="1">
      <c r="A2742" s="297"/>
      <c r="B2742" s="217"/>
      <c r="C2742" s="217"/>
      <c r="D2742" s="101"/>
      <c r="E2742" s="101"/>
      <c r="F2742" s="294"/>
      <c r="G2742" s="295"/>
      <c r="H2742" s="98"/>
      <c r="I2742" s="99"/>
      <c r="J2742" s="99"/>
      <c r="K2742" s="99"/>
      <c r="L2742" s="99"/>
      <c r="M2742" s="99"/>
      <c r="N2742" s="99"/>
      <c r="O2742" s="99"/>
      <c r="P2742" s="99"/>
      <c r="Q2742" s="99"/>
      <c r="R2742" s="99"/>
      <c r="S2742" s="99"/>
      <c r="T2742" s="99"/>
      <c r="U2742" s="99"/>
      <c r="V2742" s="99"/>
    </row>
    <row r="2743" spans="1:22" ht="15" customHeight="1">
      <c r="A2743" s="297"/>
      <c r="B2743" s="217"/>
      <c r="C2743" s="217"/>
      <c r="D2743" s="101"/>
      <c r="E2743" s="101"/>
      <c r="F2743" s="294"/>
      <c r="G2743" s="295"/>
      <c r="H2743" s="98"/>
      <c r="I2743" s="99"/>
      <c r="J2743" s="99"/>
      <c r="K2743" s="99"/>
      <c r="L2743" s="99"/>
      <c r="M2743" s="99"/>
      <c r="N2743" s="99"/>
      <c r="O2743" s="99"/>
      <c r="P2743" s="99"/>
      <c r="Q2743" s="99"/>
      <c r="R2743" s="99"/>
      <c r="S2743" s="99"/>
      <c r="T2743" s="99"/>
      <c r="U2743" s="99"/>
      <c r="V2743" s="99"/>
    </row>
    <row r="2744" spans="1:22" ht="15" customHeight="1">
      <c r="A2744" s="297"/>
      <c r="B2744" s="217"/>
      <c r="C2744" s="217"/>
      <c r="D2744" s="101"/>
      <c r="E2744" s="101"/>
      <c r="F2744" s="294"/>
      <c r="G2744" s="295"/>
      <c r="H2744" s="98"/>
      <c r="I2744" s="99"/>
      <c r="J2744" s="99"/>
      <c r="K2744" s="99"/>
      <c r="L2744" s="99"/>
      <c r="M2744" s="99"/>
      <c r="N2744" s="99"/>
      <c r="O2744" s="99"/>
      <c r="P2744" s="99"/>
      <c r="Q2744" s="99"/>
      <c r="R2744" s="99"/>
      <c r="S2744" s="99"/>
      <c r="T2744" s="99"/>
      <c r="U2744" s="99"/>
      <c r="V2744" s="99"/>
    </row>
    <row r="2745" spans="1:22" ht="15" customHeight="1">
      <c r="A2745" s="297"/>
      <c r="B2745" s="217"/>
      <c r="C2745" s="217"/>
      <c r="D2745" s="101"/>
      <c r="E2745" s="101"/>
      <c r="F2745" s="294"/>
      <c r="G2745" s="295"/>
      <c r="H2745" s="98"/>
      <c r="I2745" s="99"/>
      <c r="J2745" s="99"/>
      <c r="K2745" s="99"/>
      <c r="L2745" s="99"/>
      <c r="M2745" s="99"/>
      <c r="N2745" s="99"/>
      <c r="O2745" s="99"/>
      <c r="P2745" s="99"/>
      <c r="Q2745" s="99"/>
      <c r="R2745" s="99"/>
      <c r="S2745" s="99"/>
      <c r="T2745" s="99"/>
      <c r="U2745" s="99"/>
      <c r="V2745" s="99"/>
    </row>
    <row r="2746" spans="1:22" ht="15" customHeight="1">
      <c r="A2746" s="297"/>
      <c r="B2746" s="217"/>
      <c r="C2746" s="217"/>
      <c r="D2746" s="101"/>
      <c r="E2746" s="101"/>
      <c r="F2746" s="294"/>
      <c r="G2746" s="295"/>
      <c r="H2746" s="98"/>
      <c r="I2746" s="99"/>
      <c r="J2746" s="99"/>
      <c r="K2746" s="99"/>
      <c r="L2746" s="99"/>
      <c r="M2746" s="99"/>
      <c r="N2746" s="99"/>
      <c r="O2746" s="99"/>
      <c r="P2746" s="99"/>
      <c r="Q2746" s="99"/>
      <c r="R2746" s="99"/>
      <c r="S2746" s="99"/>
      <c r="T2746" s="99"/>
      <c r="U2746" s="99"/>
      <c r="V2746" s="99"/>
    </row>
    <row r="2747" spans="1:22" ht="15" customHeight="1">
      <c r="A2747" s="297"/>
      <c r="B2747" s="217"/>
      <c r="C2747" s="217"/>
      <c r="D2747" s="101"/>
      <c r="E2747" s="101"/>
      <c r="F2747" s="294"/>
      <c r="G2747" s="295"/>
      <c r="H2747" s="98"/>
      <c r="I2747" s="99"/>
      <c r="J2747" s="99"/>
      <c r="K2747" s="99"/>
      <c r="L2747" s="99"/>
      <c r="M2747" s="99"/>
      <c r="N2747" s="99"/>
      <c r="O2747" s="99"/>
      <c r="P2747" s="99"/>
      <c r="Q2747" s="99"/>
      <c r="R2747" s="99"/>
      <c r="S2747" s="99"/>
      <c r="T2747" s="99"/>
      <c r="U2747" s="99"/>
      <c r="V2747" s="99"/>
    </row>
    <row r="2748" spans="1:22" ht="15" customHeight="1">
      <c r="A2748" s="297"/>
      <c r="B2748" s="217"/>
      <c r="C2748" s="217"/>
      <c r="D2748" s="101"/>
      <c r="E2748" s="101"/>
      <c r="F2748" s="294"/>
      <c r="G2748" s="295"/>
      <c r="H2748" s="98"/>
      <c r="I2748" s="99"/>
      <c r="J2748" s="99"/>
      <c r="K2748" s="99"/>
      <c r="L2748" s="99"/>
      <c r="M2748" s="99"/>
      <c r="N2748" s="99"/>
      <c r="O2748" s="99"/>
      <c r="P2748" s="99"/>
      <c r="Q2748" s="99"/>
      <c r="R2748" s="99"/>
      <c r="S2748" s="99"/>
      <c r="T2748" s="99"/>
      <c r="U2748" s="99"/>
      <c r="V2748" s="99"/>
    </row>
    <row r="2749" spans="1:22" ht="15" customHeight="1">
      <c r="A2749" s="297"/>
      <c r="B2749" s="217"/>
      <c r="C2749" s="217"/>
      <c r="D2749" s="101"/>
      <c r="E2749" s="101"/>
      <c r="F2749" s="294"/>
      <c r="G2749" s="295"/>
      <c r="H2749" s="98"/>
      <c r="I2749" s="99"/>
      <c r="J2749" s="99"/>
      <c r="K2749" s="99"/>
      <c r="L2749" s="99"/>
      <c r="M2749" s="99"/>
      <c r="N2749" s="99"/>
      <c r="O2749" s="99"/>
      <c r="P2749" s="99"/>
      <c r="Q2749" s="99"/>
      <c r="R2749" s="99"/>
      <c r="S2749" s="99"/>
      <c r="T2749" s="99"/>
      <c r="U2749" s="99"/>
      <c r="V2749" s="99"/>
    </row>
    <row r="2750" spans="1:22" ht="15" customHeight="1">
      <c r="A2750" s="297"/>
      <c r="B2750" s="217"/>
      <c r="C2750" s="217"/>
      <c r="D2750" s="101"/>
      <c r="E2750" s="101"/>
      <c r="F2750" s="294"/>
      <c r="G2750" s="295"/>
      <c r="H2750" s="98"/>
      <c r="I2750" s="99"/>
      <c r="J2750" s="99"/>
      <c r="K2750" s="99"/>
      <c r="L2750" s="99"/>
      <c r="M2750" s="99"/>
      <c r="N2750" s="99"/>
      <c r="O2750" s="99"/>
      <c r="P2750" s="99"/>
      <c r="Q2750" s="99"/>
      <c r="R2750" s="99"/>
      <c r="S2750" s="99"/>
      <c r="T2750" s="99"/>
      <c r="U2750" s="99"/>
      <c r="V2750" s="99"/>
    </row>
    <row r="2751" spans="1:22" ht="15" customHeight="1">
      <c r="A2751" s="297"/>
      <c r="B2751" s="217"/>
      <c r="C2751" s="217"/>
      <c r="D2751" s="101"/>
      <c r="E2751" s="101"/>
      <c r="F2751" s="294"/>
      <c r="G2751" s="295"/>
      <c r="H2751" s="98"/>
      <c r="I2751" s="99"/>
      <c r="J2751" s="99"/>
      <c r="K2751" s="99"/>
      <c r="L2751" s="99"/>
      <c r="M2751" s="99"/>
      <c r="N2751" s="99"/>
      <c r="O2751" s="99"/>
      <c r="P2751" s="99"/>
      <c r="Q2751" s="99"/>
      <c r="R2751" s="99"/>
      <c r="S2751" s="99"/>
      <c r="T2751" s="99"/>
      <c r="U2751" s="99"/>
      <c r="V2751" s="99"/>
    </row>
    <row r="2752" spans="1:22" ht="15" customHeight="1">
      <c r="A2752" s="297"/>
      <c r="B2752" s="217"/>
      <c r="C2752" s="217"/>
      <c r="D2752" s="101"/>
      <c r="E2752" s="101"/>
      <c r="F2752" s="294"/>
      <c r="G2752" s="295"/>
      <c r="H2752" s="98"/>
      <c r="I2752" s="99"/>
      <c r="J2752" s="99"/>
      <c r="K2752" s="99"/>
      <c r="L2752" s="99"/>
      <c r="M2752" s="99"/>
      <c r="N2752" s="99"/>
      <c r="O2752" s="99"/>
      <c r="P2752" s="99"/>
      <c r="Q2752" s="99"/>
      <c r="R2752" s="99"/>
      <c r="S2752" s="99"/>
      <c r="T2752" s="99"/>
      <c r="U2752" s="99"/>
      <c r="V2752" s="99"/>
    </row>
    <row r="2753" spans="1:22" ht="15" customHeight="1">
      <c r="A2753" s="297"/>
      <c r="B2753" s="217"/>
      <c r="C2753" s="217"/>
      <c r="D2753" s="101"/>
      <c r="E2753" s="101"/>
      <c r="F2753" s="294"/>
      <c r="G2753" s="295"/>
      <c r="H2753" s="98"/>
      <c r="I2753" s="99"/>
      <c r="J2753" s="99"/>
      <c r="K2753" s="99"/>
      <c r="L2753" s="99"/>
      <c r="M2753" s="99"/>
      <c r="N2753" s="99"/>
      <c r="O2753" s="99"/>
      <c r="P2753" s="99"/>
      <c r="Q2753" s="99"/>
      <c r="R2753" s="99"/>
      <c r="S2753" s="99"/>
      <c r="T2753" s="99"/>
      <c r="U2753" s="99"/>
      <c r="V2753" s="99"/>
    </row>
    <row r="2754" spans="1:22" ht="15" customHeight="1">
      <c r="A2754" s="297"/>
      <c r="B2754" s="217"/>
      <c r="C2754" s="217"/>
      <c r="D2754" s="101"/>
      <c r="E2754" s="101"/>
      <c r="F2754" s="294"/>
      <c r="G2754" s="295"/>
      <c r="H2754" s="98"/>
      <c r="I2754" s="99"/>
      <c r="J2754" s="99"/>
      <c r="K2754" s="99"/>
      <c r="L2754" s="99"/>
      <c r="M2754" s="99"/>
      <c r="N2754" s="99"/>
      <c r="O2754" s="99"/>
      <c r="P2754" s="99"/>
      <c r="Q2754" s="99"/>
      <c r="R2754" s="99"/>
      <c r="S2754" s="99"/>
      <c r="T2754" s="99"/>
      <c r="U2754" s="99"/>
      <c r="V2754" s="99"/>
    </row>
    <row r="2755" spans="1:22" ht="15" customHeight="1">
      <c r="A2755" s="297"/>
      <c r="B2755" s="217"/>
      <c r="C2755" s="217"/>
      <c r="D2755" s="101"/>
      <c r="E2755" s="101"/>
      <c r="F2755" s="294"/>
      <c r="G2755" s="295"/>
      <c r="H2755" s="98"/>
      <c r="I2755" s="99"/>
      <c r="J2755" s="99"/>
      <c r="K2755" s="99"/>
      <c r="L2755" s="99"/>
      <c r="M2755" s="99"/>
      <c r="N2755" s="99"/>
      <c r="O2755" s="99"/>
      <c r="P2755" s="99"/>
      <c r="Q2755" s="99"/>
      <c r="R2755" s="99"/>
      <c r="S2755" s="99"/>
      <c r="T2755" s="99"/>
      <c r="U2755" s="99"/>
      <c r="V2755" s="99"/>
    </row>
    <row r="2756" spans="1:22" ht="15" customHeight="1">
      <c r="A2756" s="297"/>
      <c r="B2756" s="217"/>
      <c r="C2756" s="217"/>
      <c r="D2756" s="101"/>
      <c r="E2756" s="101"/>
      <c r="F2756" s="294"/>
      <c r="G2756" s="295"/>
      <c r="H2756" s="98"/>
      <c r="I2756" s="99"/>
      <c r="J2756" s="99"/>
      <c r="K2756" s="99"/>
      <c r="L2756" s="99"/>
      <c r="M2756" s="99"/>
      <c r="N2756" s="99"/>
      <c r="O2756" s="99"/>
      <c r="P2756" s="99"/>
      <c r="Q2756" s="99"/>
      <c r="R2756" s="99"/>
      <c r="S2756" s="99"/>
      <c r="T2756" s="99"/>
      <c r="U2756" s="99"/>
      <c r="V2756" s="99"/>
    </row>
    <row r="2757" spans="1:22" ht="15" customHeight="1">
      <c r="A2757" s="297"/>
      <c r="B2757" s="217"/>
      <c r="C2757" s="217"/>
      <c r="D2757" s="101"/>
      <c r="E2757" s="101"/>
      <c r="F2757" s="294"/>
      <c r="G2757" s="295"/>
      <c r="H2757" s="98"/>
      <c r="I2757" s="99"/>
      <c r="J2757" s="99"/>
      <c r="K2757" s="99"/>
      <c r="L2757" s="99"/>
      <c r="M2757" s="99"/>
      <c r="N2757" s="99"/>
      <c r="O2757" s="99"/>
      <c r="P2757" s="99"/>
      <c r="Q2757" s="99"/>
      <c r="R2757" s="99"/>
      <c r="S2757" s="99"/>
      <c r="T2757" s="99"/>
      <c r="U2757" s="99"/>
      <c r="V2757" s="99"/>
    </row>
    <row r="2758" spans="1:22" ht="15" customHeight="1">
      <c r="A2758" s="297"/>
      <c r="B2758" s="217"/>
      <c r="C2758" s="217"/>
      <c r="D2758" s="101"/>
      <c r="E2758" s="101"/>
      <c r="F2758" s="294"/>
      <c r="G2758" s="295"/>
      <c r="H2758" s="98"/>
      <c r="I2758" s="99"/>
      <c r="J2758" s="99"/>
      <c r="K2758" s="99"/>
      <c r="L2758" s="99"/>
      <c r="M2758" s="99"/>
      <c r="N2758" s="99"/>
      <c r="O2758" s="99"/>
      <c r="P2758" s="99"/>
      <c r="Q2758" s="99"/>
      <c r="R2758" s="99"/>
      <c r="S2758" s="99"/>
      <c r="T2758" s="99"/>
      <c r="U2758" s="99"/>
      <c r="V2758" s="99"/>
    </row>
    <row r="2759" spans="1:22" ht="15" customHeight="1">
      <c r="A2759" s="297"/>
      <c r="B2759" s="217"/>
      <c r="C2759" s="217"/>
      <c r="D2759" s="101"/>
      <c r="E2759" s="101"/>
      <c r="F2759" s="294"/>
      <c r="G2759" s="295"/>
      <c r="H2759" s="98"/>
      <c r="I2759" s="99"/>
      <c r="J2759" s="99"/>
      <c r="K2759" s="99"/>
      <c r="L2759" s="99"/>
      <c r="M2759" s="99"/>
      <c r="N2759" s="99"/>
      <c r="O2759" s="99"/>
      <c r="P2759" s="99"/>
      <c r="Q2759" s="99"/>
      <c r="R2759" s="99"/>
      <c r="S2759" s="99"/>
      <c r="T2759" s="99"/>
      <c r="U2759" s="99"/>
      <c r="V2759" s="99"/>
    </row>
    <row r="2760" spans="1:22" ht="15" customHeight="1">
      <c r="A2760" s="297"/>
      <c r="B2760" s="217"/>
      <c r="C2760" s="217"/>
      <c r="D2760" s="101"/>
      <c r="E2760" s="101"/>
      <c r="F2760" s="294"/>
      <c r="G2760" s="295"/>
      <c r="H2760" s="98"/>
      <c r="I2760" s="99"/>
      <c r="J2760" s="99"/>
      <c r="K2760" s="99"/>
      <c r="L2760" s="99"/>
      <c r="M2760" s="99"/>
      <c r="N2760" s="99"/>
      <c r="O2760" s="99"/>
      <c r="P2760" s="99"/>
      <c r="Q2760" s="99"/>
      <c r="R2760" s="99"/>
      <c r="S2760" s="99"/>
      <c r="T2760" s="99"/>
      <c r="U2760" s="99"/>
      <c r="V2760" s="99"/>
    </row>
    <row r="2761" spans="1:22" ht="15" customHeight="1">
      <c r="A2761" s="297"/>
      <c r="B2761" s="217"/>
      <c r="C2761" s="217"/>
      <c r="D2761" s="101"/>
      <c r="E2761" s="101"/>
      <c r="F2761" s="294"/>
      <c r="G2761" s="295"/>
      <c r="H2761" s="98"/>
      <c r="I2761" s="99"/>
      <c r="J2761" s="99"/>
      <c r="K2761" s="99"/>
      <c r="L2761" s="99"/>
      <c r="M2761" s="99"/>
      <c r="N2761" s="99"/>
      <c r="O2761" s="99"/>
      <c r="P2761" s="99"/>
      <c r="Q2761" s="99"/>
      <c r="R2761" s="99"/>
      <c r="S2761" s="99"/>
      <c r="T2761" s="99"/>
      <c r="U2761" s="99"/>
      <c r="V2761" s="99"/>
    </row>
    <row r="2762" spans="1:22" ht="15" customHeight="1">
      <c r="A2762" s="297"/>
      <c r="B2762" s="217"/>
      <c r="C2762" s="217"/>
      <c r="D2762" s="101"/>
      <c r="E2762" s="101"/>
      <c r="F2762" s="294"/>
      <c r="G2762" s="295"/>
      <c r="H2762" s="107"/>
      <c r="I2762" s="109"/>
      <c r="J2762" s="109"/>
      <c r="K2762" s="109"/>
      <c r="L2762" s="109"/>
      <c r="M2762" s="109"/>
      <c r="N2762" s="109"/>
      <c r="O2762" s="109"/>
      <c r="P2762" s="109"/>
      <c r="Q2762" s="109"/>
      <c r="R2762" s="109"/>
      <c r="S2762" s="109"/>
      <c r="T2762" s="109"/>
      <c r="U2762" s="202"/>
      <c r="V2762" s="202"/>
    </row>
    <row r="2763" spans="1:22" ht="15" customHeight="1">
      <c r="A2763" s="297"/>
      <c r="B2763" s="217"/>
      <c r="C2763" s="217"/>
      <c r="D2763" s="101"/>
      <c r="E2763" s="101"/>
      <c r="F2763" s="294"/>
      <c r="G2763" s="295"/>
      <c r="H2763" s="98"/>
      <c r="I2763" s="106"/>
      <c r="J2763" s="106"/>
      <c r="K2763" s="106"/>
      <c r="L2763" s="106"/>
      <c r="M2763" s="106"/>
      <c r="N2763" s="112"/>
      <c r="O2763" s="112"/>
      <c r="P2763" s="112"/>
      <c r="Q2763" s="113"/>
      <c r="R2763" s="113"/>
      <c r="S2763" s="113"/>
      <c r="T2763" s="113"/>
      <c r="U2763" s="113"/>
      <c r="V2763" s="113"/>
    </row>
    <row r="2764" spans="1:22" ht="15" customHeight="1">
      <c r="A2764" s="297"/>
      <c r="B2764" s="217"/>
      <c r="C2764" s="217"/>
      <c r="D2764" s="101"/>
      <c r="E2764" s="101"/>
      <c r="F2764" s="294"/>
      <c r="G2764" s="295"/>
      <c r="H2764" s="98"/>
      <c r="I2764" s="99"/>
      <c r="J2764" s="99"/>
      <c r="K2764" s="99"/>
      <c r="L2764" s="99"/>
      <c r="M2764" s="99"/>
      <c r="N2764" s="99"/>
      <c r="O2764" s="99"/>
      <c r="P2764" s="99"/>
      <c r="Q2764" s="99"/>
      <c r="R2764" s="99"/>
      <c r="S2764" s="99"/>
      <c r="T2764" s="99"/>
      <c r="U2764" s="99"/>
      <c r="V2764" s="99"/>
    </row>
    <row r="2765" spans="1:22" ht="15" customHeight="1">
      <c r="A2765" s="297"/>
      <c r="B2765" s="217"/>
      <c r="C2765" s="217"/>
      <c r="D2765" s="101"/>
      <c r="E2765" s="101"/>
      <c r="F2765" s="294"/>
      <c r="G2765" s="295"/>
      <c r="H2765" s="98"/>
      <c r="I2765" s="99"/>
      <c r="J2765" s="99"/>
      <c r="K2765" s="99"/>
      <c r="L2765" s="99"/>
      <c r="M2765" s="99"/>
      <c r="N2765" s="99"/>
      <c r="O2765" s="99"/>
      <c r="P2765" s="99"/>
      <c r="Q2765" s="99"/>
      <c r="R2765" s="99"/>
      <c r="S2765" s="99"/>
      <c r="T2765" s="99"/>
      <c r="U2765" s="99"/>
      <c r="V2765" s="99"/>
    </row>
    <row r="2766" spans="1:22" ht="15" customHeight="1">
      <c r="A2766" s="297"/>
      <c r="B2766" s="217"/>
      <c r="C2766" s="217"/>
      <c r="D2766" s="101"/>
      <c r="E2766" s="101"/>
      <c r="F2766" s="294"/>
      <c r="G2766" s="295"/>
      <c r="H2766" s="107"/>
      <c r="I2766" s="108"/>
      <c r="J2766" s="108"/>
      <c r="K2766" s="108"/>
      <c r="L2766" s="108"/>
      <c r="M2766" s="108"/>
      <c r="N2766" s="109"/>
      <c r="O2766" s="109"/>
      <c r="P2766" s="109"/>
      <c r="Q2766" s="109"/>
      <c r="R2766" s="109"/>
      <c r="S2766" s="109"/>
      <c r="T2766" s="109"/>
      <c r="U2766" s="202"/>
      <c r="V2766" s="202"/>
    </row>
    <row r="2767" spans="1:22" ht="15" customHeight="1">
      <c r="A2767" s="297"/>
      <c r="B2767" s="217"/>
      <c r="C2767" s="217"/>
      <c r="D2767" s="101"/>
      <c r="E2767" s="101"/>
      <c r="F2767" s="294"/>
      <c r="G2767" s="295"/>
      <c r="H2767" s="98"/>
      <c r="I2767" s="106"/>
      <c r="J2767" s="106"/>
      <c r="K2767" s="106"/>
      <c r="L2767" s="106"/>
      <c r="M2767" s="106"/>
      <c r="N2767" s="112"/>
      <c r="O2767" s="112"/>
      <c r="P2767" s="112"/>
      <c r="Q2767" s="113"/>
      <c r="R2767" s="113"/>
      <c r="S2767" s="113"/>
      <c r="T2767" s="113"/>
      <c r="U2767" s="113"/>
      <c r="V2767" s="113"/>
    </row>
    <row r="2768" spans="1:22" ht="15" customHeight="1">
      <c r="A2768" s="297"/>
      <c r="B2768" s="217"/>
      <c r="C2768" s="217"/>
      <c r="D2768" s="101"/>
      <c r="E2768" s="101"/>
      <c r="F2768" s="294"/>
      <c r="G2768" s="295"/>
      <c r="H2768" s="98"/>
      <c r="I2768" s="99"/>
      <c r="J2768" s="99"/>
      <c r="K2768" s="99"/>
      <c r="L2768" s="99"/>
      <c r="M2768" s="99"/>
      <c r="N2768" s="99"/>
      <c r="O2768" s="99"/>
      <c r="P2768" s="99"/>
      <c r="Q2768" s="99"/>
      <c r="R2768" s="99"/>
      <c r="S2768" s="99"/>
      <c r="T2768" s="99"/>
      <c r="U2768" s="99"/>
      <c r="V2768" s="99"/>
    </row>
    <row r="2769" spans="1:22" ht="15" customHeight="1">
      <c r="A2769" s="297"/>
      <c r="B2769" s="217"/>
      <c r="C2769" s="217"/>
      <c r="D2769" s="101"/>
      <c r="E2769" s="101"/>
      <c r="F2769" s="294"/>
      <c r="G2769" s="295"/>
      <c r="H2769" s="98"/>
      <c r="I2769" s="99"/>
      <c r="J2769" s="99"/>
      <c r="K2769" s="99"/>
      <c r="L2769" s="99"/>
      <c r="M2769" s="99"/>
      <c r="N2769" s="99"/>
      <c r="O2769" s="99"/>
      <c r="P2769" s="99"/>
      <c r="Q2769" s="99"/>
      <c r="R2769" s="99"/>
      <c r="S2769" s="99"/>
      <c r="T2769" s="99"/>
      <c r="U2769" s="99"/>
      <c r="V2769" s="99"/>
    </row>
    <row r="2770" spans="1:22" ht="15" customHeight="1">
      <c r="A2770" s="297"/>
      <c r="B2770" s="217"/>
      <c r="C2770" s="217"/>
      <c r="D2770" s="101"/>
      <c r="E2770" s="101"/>
      <c r="F2770" s="294"/>
      <c r="G2770" s="295"/>
      <c r="H2770" s="107"/>
      <c r="I2770" s="108"/>
      <c r="J2770" s="108"/>
      <c r="K2770" s="108"/>
      <c r="L2770" s="108"/>
      <c r="M2770" s="108"/>
      <c r="N2770" s="109"/>
      <c r="O2770" s="109"/>
      <c r="P2770" s="109"/>
      <c r="Q2770" s="109"/>
      <c r="R2770" s="109"/>
      <c r="S2770" s="109"/>
      <c r="T2770" s="109"/>
      <c r="U2770" s="202"/>
      <c r="V2770" s="202"/>
    </row>
    <row r="2771" spans="1:22" ht="15" customHeight="1">
      <c r="A2771" s="297"/>
      <c r="B2771" s="217"/>
      <c r="C2771" s="217"/>
      <c r="D2771" s="101"/>
      <c r="E2771" s="101"/>
      <c r="F2771" s="294"/>
      <c r="G2771" s="295"/>
      <c r="H2771" s="98"/>
      <c r="I2771" s="106"/>
      <c r="J2771" s="106"/>
      <c r="K2771" s="106"/>
      <c r="L2771" s="106"/>
      <c r="M2771" s="106"/>
      <c r="N2771" s="112"/>
      <c r="O2771" s="112"/>
      <c r="P2771" s="112"/>
      <c r="Q2771" s="113"/>
      <c r="R2771" s="113"/>
      <c r="S2771" s="113"/>
      <c r="T2771" s="113"/>
      <c r="U2771" s="113"/>
      <c r="V2771" s="113"/>
    </row>
    <row r="2772" spans="1:22" ht="15" customHeight="1">
      <c r="A2772" s="297"/>
      <c r="B2772" s="217"/>
      <c r="C2772" s="217"/>
      <c r="D2772" s="101"/>
      <c r="E2772" s="101"/>
      <c r="F2772" s="294"/>
      <c r="G2772" s="295"/>
      <c r="H2772" s="114"/>
      <c r="I2772" s="108"/>
      <c r="J2772" s="108"/>
      <c r="K2772" s="108"/>
      <c r="L2772" s="108"/>
      <c r="M2772" s="108"/>
      <c r="N2772" s="108"/>
      <c r="O2772" s="108"/>
      <c r="P2772" s="108"/>
      <c r="Q2772" s="108"/>
      <c r="R2772" s="108"/>
      <c r="S2772" s="108"/>
      <c r="T2772" s="108"/>
      <c r="U2772" s="233"/>
      <c r="V2772" s="233"/>
    </row>
    <row r="2773" spans="1:22" ht="15" customHeight="1" thickBot="1">
      <c r="A2773" s="297"/>
      <c r="B2773" s="217"/>
      <c r="C2773" s="217"/>
      <c r="D2773" s="101"/>
      <c r="E2773" s="101"/>
      <c r="F2773" s="294"/>
      <c r="G2773" s="295"/>
      <c r="H2773" s="89"/>
      <c r="I2773" s="233"/>
      <c r="J2773" s="233"/>
      <c r="K2773" s="233"/>
      <c r="L2773" s="233"/>
      <c r="M2773" s="233"/>
      <c r="N2773" s="233"/>
      <c r="O2773" s="233"/>
      <c r="P2773" s="233"/>
      <c r="Q2773" s="233"/>
      <c r="R2773" s="233"/>
      <c r="S2773" s="233"/>
      <c r="T2773" s="233"/>
      <c r="U2773" s="233"/>
      <c r="V2773" s="233"/>
    </row>
    <row r="2774" spans="1:22" ht="15" customHeight="1" thickBot="1">
      <c r="A2774" s="297"/>
      <c r="B2774" s="217"/>
      <c r="C2774" s="217"/>
      <c r="D2774" s="101"/>
      <c r="E2774" s="101"/>
      <c r="F2774" s="294"/>
      <c r="G2774" s="295"/>
      <c r="H2774" s="686"/>
      <c r="I2774" s="687"/>
      <c r="J2774" s="687"/>
      <c r="K2774" s="687"/>
      <c r="L2774" s="687"/>
      <c r="M2774" s="687"/>
      <c r="N2774" s="687"/>
      <c r="O2774" s="687"/>
      <c r="P2774" s="687"/>
      <c r="Q2774" s="687"/>
      <c r="R2774" s="687"/>
      <c r="S2774" s="715"/>
      <c r="T2774" s="688"/>
      <c r="U2774" s="254"/>
      <c r="V2774" s="254"/>
    </row>
    <row r="2775" spans="1:22" ht="15" customHeight="1">
      <c r="A2775" s="297"/>
      <c r="B2775" s="217"/>
      <c r="C2775" s="217"/>
      <c r="D2775" s="101"/>
      <c r="E2775" s="101"/>
      <c r="F2775" s="294"/>
      <c r="G2775" s="295"/>
      <c r="H2775" s="225"/>
      <c r="I2775" s="225"/>
      <c r="J2775" s="225"/>
      <c r="K2775" s="225"/>
      <c r="L2775" s="225"/>
      <c r="M2775" s="225"/>
      <c r="N2775" s="225"/>
      <c r="O2775" s="225"/>
      <c r="P2775" s="225"/>
      <c r="Q2775" s="225"/>
      <c r="R2775" s="225"/>
      <c r="S2775" s="225"/>
      <c r="T2775" s="225"/>
      <c r="U2775" s="225"/>
      <c r="V2775" s="225"/>
    </row>
    <row r="2776" spans="1:22" ht="15" customHeight="1">
      <c r="A2776" s="297"/>
      <c r="B2776" s="217"/>
      <c r="C2776" s="217"/>
      <c r="D2776" s="101"/>
      <c r="E2776" s="101"/>
      <c r="F2776" s="294"/>
      <c r="G2776" s="295"/>
      <c r="H2776" s="98"/>
      <c r="I2776" s="99"/>
      <c r="J2776" s="99"/>
      <c r="K2776" s="99"/>
      <c r="L2776" s="99"/>
      <c r="M2776" s="99"/>
      <c r="N2776" s="99"/>
      <c r="O2776" s="99"/>
      <c r="P2776" s="99"/>
      <c r="Q2776" s="99"/>
      <c r="R2776" s="99"/>
      <c r="S2776" s="99"/>
      <c r="T2776" s="99"/>
      <c r="U2776" s="99"/>
      <c r="V2776" s="99"/>
    </row>
    <row r="2777" spans="1:22" ht="15" customHeight="1">
      <c r="A2777" s="297"/>
      <c r="B2777" s="217"/>
      <c r="C2777" s="217"/>
      <c r="D2777" s="101"/>
      <c r="E2777" s="101"/>
      <c r="F2777" s="294"/>
      <c r="G2777" s="295"/>
      <c r="H2777" s="98"/>
      <c r="I2777" s="99"/>
      <c r="J2777" s="99"/>
      <c r="K2777" s="99"/>
      <c r="L2777" s="99"/>
      <c r="M2777" s="99"/>
      <c r="N2777" s="99"/>
      <c r="O2777" s="99"/>
      <c r="P2777" s="99"/>
      <c r="Q2777" s="99"/>
      <c r="R2777" s="99"/>
      <c r="S2777" s="99"/>
      <c r="T2777" s="99"/>
      <c r="U2777" s="99"/>
      <c r="V2777" s="99"/>
    </row>
    <row r="2778" spans="1:22" ht="15" customHeight="1">
      <c r="A2778" s="297"/>
      <c r="B2778" s="217"/>
      <c r="C2778" s="217"/>
      <c r="D2778" s="101"/>
      <c r="E2778" s="101"/>
      <c r="F2778" s="294"/>
      <c r="G2778" s="295"/>
      <c r="H2778" s="98"/>
      <c r="I2778" s="99"/>
      <c r="J2778" s="99"/>
      <c r="K2778" s="99"/>
      <c r="L2778" s="99"/>
      <c r="M2778" s="99"/>
      <c r="N2778" s="99"/>
      <c r="O2778" s="99"/>
      <c r="P2778" s="99"/>
      <c r="Q2778" s="99"/>
      <c r="R2778" s="99"/>
      <c r="S2778" s="99"/>
      <c r="T2778" s="99"/>
      <c r="U2778" s="99"/>
      <c r="V2778" s="99"/>
    </row>
    <row r="2779" spans="1:22" ht="15" customHeight="1">
      <c r="A2779" s="297"/>
      <c r="B2779" s="217"/>
      <c r="C2779" s="217"/>
      <c r="D2779" s="101"/>
      <c r="E2779" s="101"/>
      <c r="F2779" s="294"/>
      <c r="G2779" s="295"/>
      <c r="H2779" s="98"/>
      <c r="I2779" s="99"/>
      <c r="J2779" s="99"/>
      <c r="K2779" s="99"/>
      <c r="L2779" s="99"/>
      <c r="M2779" s="99"/>
      <c r="N2779" s="99"/>
      <c r="O2779" s="99"/>
      <c r="P2779" s="99"/>
      <c r="Q2779" s="99"/>
      <c r="R2779" s="99"/>
      <c r="S2779" s="99"/>
      <c r="T2779" s="99"/>
      <c r="U2779" s="99"/>
      <c r="V2779" s="99"/>
    </row>
    <row r="2780" spans="1:22" ht="15" customHeight="1">
      <c r="A2780" s="297"/>
      <c r="B2780" s="217"/>
      <c r="C2780" s="217"/>
      <c r="D2780" s="101"/>
      <c r="E2780" s="101"/>
      <c r="F2780" s="294"/>
      <c r="G2780" s="295"/>
      <c r="H2780" s="98"/>
      <c r="I2780" s="99"/>
      <c r="J2780" s="99"/>
      <c r="K2780" s="99"/>
      <c r="L2780" s="99"/>
      <c r="M2780" s="99"/>
      <c r="N2780" s="99"/>
      <c r="O2780" s="99"/>
      <c r="P2780" s="99"/>
      <c r="Q2780" s="99"/>
      <c r="R2780" s="99"/>
      <c r="S2780" s="99"/>
      <c r="T2780" s="99"/>
      <c r="U2780" s="99"/>
      <c r="V2780" s="99"/>
    </row>
    <row r="2781" spans="1:22" ht="15" customHeight="1">
      <c r="A2781" s="297"/>
      <c r="B2781" s="217"/>
      <c r="C2781" s="217"/>
      <c r="D2781" s="101"/>
      <c r="E2781" s="101"/>
      <c r="F2781" s="294"/>
      <c r="G2781" s="295"/>
      <c r="H2781" s="98"/>
      <c r="I2781" s="99"/>
      <c r="J2781" s="99"/>
      <c r="K2781" s="99"/>
      <c r="L2781" s="99"/>
      <c r="M2781" s="99"/>
      <c r="N2781" s="99"/>
      <c r="O2781" s="99"/>
      <c r="P2781" s="99"/>
      <c r="Q2781" s="99"/>
      <c r="R2781" s="99"/>
      <c r="S2781" s="99"/>
      <c r="T2781" s="99"/>
      <c r="U2781" s="99"/>
      <c r="V2781" s="99"/>
    </row>
    <row r="2782" spans="1:22" ht="15" customHeight="1">
      <c r="A2782" s="297"/>
      <c r="B2782" s="217"/>
      <c r="C2782" s="217"/>
      <c r="D2782" s="101"/>
      <c r="E2782" s="101"/>
      <c r="F2782" s="294"/>
      <c r="G2782" s="295"/>
      <c r="H2782" s="98"/>
      <c r="I2782" s="99"/>
      <c r="J2782" s="99"/>
      <c r="K2782" s="99"/>
      <c r="L2782" s="99"/>
      <c r="M2782" s="99"/>
      <c r="N2782" s="99"/>
      <c r="O2782" s="99"/>
      <c r="P2782" s="99"/>
      <c r="Q2782" s="99"/>
      <c r="R2782" s="99"/>
      <c r="S2782" s="99"/>
      <c r="T2782" s="99"/>
      <c r="U2782" s="99"/>
      <c r="V2782" s="99"/>
    </row>
    <row r="2783" spans="1:22" ht="15" customHeight="1">
      <c r="A2783" s="297"/>
      <c r="B2783" s="217"/>
      <c r="C2783" s="217"/>
      <c r="D2783" s="101"/>
      <c r="E2783" s="101"/>
      <c r="F2783" s="294"/>
      <c r="G2783" s="295"/>
      <c r="H2783" s="98"/>
      <c r="I2783" s="99"/>
      <c r="J2783" s="99"/>
      <c r="K2783" s="99"/>
      <c r="L2783" s="99"/>
      <c r="M2783" s="99"/>
      <c r="N2783" s="99"/>
      <c r="O2783" s="99"/>
      <c r="P2783" s="99"/>
      <c r="Q2783" s="99"/>
      <c r="R2783" s="99"/>
      <c r="S2783" s="99"/>
      <c r="T2783" s="99"/>
      <c r="U2783" s="99"/>
      <c r="V2783" s="99"/>
    </row>
    <row r="2784" spans="1:22" ht="15" customHeight="1">
      <c r="A2784" s="297"/>
      <c r="B2784" s="217"/>
      <c r="C2784" s="217"/>
      <c r="D2784" s="101"/>
      <c r="E2784" s="101"/>
      <c r="F2784" s="294"/>
      <c r="G2784" s="295"/>
      <c r="H2784" s="98"/>
      <c r="I2784" s="99"/>
      <c r="J2784" s="99"/>
      <c r="K2784" s="99"/>
      <c r="L2784" s="99"/>
      <c r="M2784" s="99"/>
      <c r="N2784" s="99"/>
      <c r="O2784" s="99"/>
      <c r="P2784" s="99"/>
      <c r="Q2784" s="99"/>
      <c r="R2784" s="99"/>
      <c r="S2784" s="99"/>
      <c r="T2784" s="99"/>
      <c r="U2784" s="99"/>
      <c r="V2784" s="99"/>
    </row>
    <row r="2785" spans="1:22" ht="15" customHeight="1">
      <c r="A2785" s="297"/>
      <c r="B2785" s="217"/>
      <c r="C2785" s="217"/>
      <c r="D2785" s="101"/>
      <c r="E2785" s="101"/>
      <c r="F2785" s="294"/>
      <c r="G2785" s="295"/>
      <c r="H2785" s="98"/>
      <c r="I2785" s="99"/>
      <c r="J2785" s="99"/>
      <c r="K2785" s="99"/>
      <c r="L2785" s="99"/>
      <c r="M2785" s="99"/>
      <c r="N2785" s="99"/>
      <c r="O2785" s="99"/>
      <c r="P2785" s="99"/>
      <c r="Q2785" s="99"/>
      <c r="R2785" s="99"/>
      <c r="S2785" s="99"/>
      <c r="T2785" s="99"/>
      <c r="U2785" s="99"/>
      <c r="V2785" s="99"/>
    </row>
    <row r="2786" spans="1:22" ht="15" customHeight="1">
      <c r="A2786" s="297"/>
      <c r="B2786" s="217"/>
      <c r="C2786" s="217"/>
      <c r="D2786" s="101"/>
      <c r="E2786" s="101"/>
      <c r="F2786" s="294"/>
      <c r="G2786" s="295"/>
      <c r="H2786" s="98"/>
      <c r="I2786" s="99"/>
      <c r="J2786" s="99"/>
      <c r="K2786" s="99"/>
      <c r="L2786" s="99"/>
      <c r="M2786" s="99"/>
      <c r="N2786" s="99"/>
      <c r="O2786" s="99"/>
      <c r="P2786" s="99"/>
      <c r="Q2786" s="99"/>
      <c r="R2786" s="99"/>
      <c r="S2786" s="99"/>
      <c r="T2786" s="99"/>
      <c r="U2786" s="99"/>
      <c r="V2786" s="99"/>
    </row>
    <row r="2787" spans="1:22" ht="15" customHeight="1">
      <c r="A2787" s="297"/>
      <c r="B2787" s="217"/>
      <c r="C2787" s="217"/>
      <c r="D2787" s="101"/>
      <c r="E2787" s="101"/>
      <c r="F2787" s="294"/>
      <c r="G2787" s="295"/>
      <c r="H2787" s="98"/>
      <c r="I2787" s="99"/>
      <c r="J2787" s="99"/>
      <c r="K2787" s="99"/>
      <c r="L2787" s="99"/>
      <c r="M2787" s="99"/>
      <c r="N2787" s="99"/>
      <c r="O2787" s="99"/>
      <c r="P2787" s="99"/>
      <c r="Q2787" s="99"/>
      <c r="R2787" s="99"/>
      <c r="S2787" s="99"/>
      <c r="T2787" s="99"/>
      <c r="U2787" s="99"/>
      <c r="V2787" s="99"/>
    </row>
    <row r="2788" spans="1:22" ht="15" customHeight="1">
      <c r="A2788" s="297"/>
      <c r="B2788" s="217"/>
      <c r="C2788" s="217"/>
      <c r="D2788" s="101"/>
      <c r="E2788" s="101"/>
      <c r="F2788" s="294"/>
      <c r="G2788" s="295"/>
      <c r="H2788" s="98"/>
      <c r="I2788" s="99"/>
      <c r="J2788" s="99"/>
      <c r="K2788" s="99"/>
      <c r="L2788" s="99"/>
      <c r="M2788" s="99"/>
      <c r="N2788" s="99"/>
      <c r="O2788" s="99"/>
      <c r="P2788" s="99"/>
      <c r="Q2788" s="99"/>
      <c r="R2788" s="99"/>
      <c r="S2788" s="99"/>
      <c r="T2788" s="99"/>
      <c r="U2788" s="99"/>
      <c r="V2788" s="99"/>
    </row>
    <row r="2789" spans="1:22" ht="15" customHeight="1">
      <c r="A2789" s="297"/>
      <c r="B2789" s="217"/>
      <c r="C2789" s="217"/>
      <c r="D2789" s="101"/>
      <c r="E2789" s="101"/>
      <c r="F2789" s="294"/>
      <c r="G2789" s="295"/>
      <c r="H2789" s="98"/>
      <c r="I2789" s="99"/>
      <c r="J2789" s="99"/>
      <c r="K2789" s="99"/>
      <c r="L2789" s="99"/>
      <c r="M2789" s="99"/>
      <c r="N2789" s="99"/>
      <c r="O2789" s="99"/>
      <c r="P2789" s="99"/>
      <c r="Q2789" s="99"/>
      <c r="R2789" s="99"/>
      <c r="S2789" s="99"/>
      <c r="T2789" s="99"/>
      <c r="U2789" s="99"/>
      <c r="V2789" s="99"/>
    </row>
    <row r="2790" spans="1:22" ht="15" customHeight="1">
      <c r="A2790" s="297"/>
      <c r="B2790" s="217"/>
      <c r="C2790" s="217"/>
      <c r="D2790" s="101"/>
      <c r="E2790" s="101"/>
      <c r="F2790" s="294"/>
      <c r="G2790" s="295"/>
      <c r="H2790" s="107"/>
      <c r="I2790" s="108"/>
      <c r="J2790" s="108"/>
      <c r="K2790" s="108"/>
      <c r="L2790" s="108"/>
      <c r="M2790" s="108"/>
      <c r="N2790" s="109"/>
      <c r="O2790" s="109"/>
      <c r="P2790" s="109"/>
      <c r="Q2790" s="109"/>
      <c r="R2790" s="109"/>
      <c r="S2790" s="109"/>
      <c r="T2790" s="109"/>
      <c r="U2790" s="202"/>
      <c r="V2790" s="202"/>
    </row>
    <row r="2791" spans="1:22" ht="15" customHeight="1">
      <c r="A2791" s="297"/>
      <c r="B2791" s="217"/>
      <c r="C2791" s="217"/>
      <c r="D2791" s="101"/>
      <c r="E2791" s="101"/>
      <c r="F2791" s="294"/>
      <c r="G2791" s="295"/>
      <c r="H2791" s="98"/>
      <c r="I2791" s="106"/>
      <c r="J2791" s="106"/>
      <c r="K2791" s="106"/>
      <c r="L2791" s="106"/>
      <c r="M2791" s="106"/>
      <c r="N2791" s="112"/>
      <c r="O2791" s="112"/>
      <c r="P2791" s="112"/>
      <c r="Q2791" s="113"/>
      <c r="R2791" s="113"/>
      <c r="S2791" s="113"/>
      <c r="T2791" s="113"/>
      <c r="U2791" s="113"/>
      <c r="V2791" s="113"/>
    </row>
    <row r="2792" spans="1:22" ht="15" customHeight="1">
      <c r="A2792" s="297"/>
      <c r="B2792" s="217"/>
      <c r="C2792" s="217"/>
      <c r="D2792" s="101"/>
      <c r="E2792" s="101"/>
      <c r="F2792" s="294"/>
      <c r="G2792" s="295"/>
      <c r="H2792" s="98"/>
      <c r="I2792" s="99"/>
      <c r="J2792" s="99"/>
      <c r="K2792" s="99"/>
      <c r="L2792" s="99"/>
      <c r="M2792" s="99"/>
      <c r="N2792" s="99"/>
      <c r="O2792" s="99"/>
      <c r="P2792" s="99"/>
      <c r="Q2792" s="99"/>
      <c r="R2792" s="99"/>
      <c r="S2792" s="99"/>
      <c r="T2792" s="99"/>
      <c r="U2792" s="99"/>
      <c r="V2792" s="99"/>
    </row>
    <row r="2793" spans="1:22" ht="15" customHeight="1">
      <c r="A2793" s="297"/>
      <c r="B2793" s="217"/>
      <c r="C2793" s="217"/>
      <c r="D2793" s="101"/>
      <c r="E2793" s="101"/>
      <c r="F2793" s="294"/>
      <c r="G2793" s="295"/>
      <c r="H2793" s="98"/>
      <c r="I2793" s="99"/>
      <c r="J2793" s="99"/>
      <c r="K2793" s="99"/>
      <c r="L2793" s="99"/>
      <c r="M2793" s="99"/>
      <c r="N2793" s="99"/>
      <c r="O2793" s="99"/>
      <c r="P2793" s="99"/>
      <c r="Q2793" s="99"/>
      <c r="R2793" s="99"/>
      <c r="S2793" s="99"/>
      <c r="T2793" s="99"/>
      <c r="U2793" s="99"/>
      <c r="V2793" s="99"/>
    </row>
    <row r="2794" spans="1:22" ht="15" customHeight="1">
      <c r="A2794" s="297"/>
      <c r="B2794" s="217"/>
      <c r="C2794" s="217"/>
      <c r="D2794" s="101"/>
      <c r="E2794" s="101"/>
      <c r="F2794" s="294"/>
      <c r="G2794" s="295"/>
      <c r="H2794" s="98"/>
      <c r="I2794" s="99"/>
      <c r="J2794" s="99"/>
      <c r="K2794" s="99"/>
      <c r="L2794" s="99"/>
      <c r="M2794" s="99"/>
      <c r="N2794" s="99"/>
      <c r="O2794" s="99"/>
      <c r="P2794" s="99"/>
      <c r="Q2794" s="99"/>
      <c r="R2794" s="99"/>
      <c r="S2794" s="99"/>
      <c r="T2794" s="99"/>
      <c r="U2794" s="99"/>
      <c r="V2794" s="99"/>
    </row>
    <row r="2795" spans="1:22" ht="15" customHeight="1">
      <c r="A2795" s="297"/>
      <c r="B2795" s="217"/>
      <c r="C2795" s="217"/>
      <c r="D2795" s="101"/>
      <c r="E2795" s="101"/>
      <c r="F2795" s="294"/>
      <c r="G2795" s="295"/>
      <c r="H2795" s="98"/>
      <c r="I2795" s="99"/>
      <c r="J2795" s="99"/>
      <c r="K2795" s="99"/>
      <c r="L2795" s="99"/>
      <c r="M2795" s="99"/>
      <c r="N2795" s="99"/>
      <c r="O2795" s="99"/>
      <c r="P2795" s="99"/>
      <c r="Q2795" s="99"/>
      <c r="R2795" s="99"/>
      <c r="S2795" s="99"/>
      <c r="T2795" s="99"/>
      <c r="U2795" s="99"/>
      <c r="V2795" s="99"/>
    </row>
    <row r="2796" spans="1:22" ht="15" customHeight="1">
      <c r="A2796" s="297"/>
      <c r="B2796" s="217"/>
      <c r="C2796" s="217"/>
      <c r="D2796" s="101"/>
      <c r="E2796" s="101"/>
      <c r="F2796" s="294"/>
      <c r="G2796" s="295"/>
      <c r="H2796" s="98"/>
      <c r="I2796" s="99"/>
      <c r="J2796" s="99"/>
      <c r="K2796" s="99"/>
      <c r="L2796" s="99"/>
      <c r="M2796" s="99"/>
      <c r="N2796" s="99"/>
      <c r="O2796" s="99"/>
      <c r="P2796" s="99"/>
      <c r="Q2796" s="99"/>
      <c r="R2796" s="99"/>
      <c r="S2796" s="99"/>
      <c r="T2796" s="99"/>
      <c r="U2796" s="99"/>
      <c r="V2796" s="99"/>
    </row>
    <row r="2797" spans="1:22" ht="15" customHeight="1">
      <c r="A2797" s="297"/>
      <c r="B2797" s="217"/>
      <c r="C2797" s="217"/>
      <c r="D2797" s="101"/>
      <c r="E2797" s="101"/>
      <c r="F2797" s="294"/>
      <c r="G2797" s="295"/>
      <c r="H2797" s="98"/>
      <c r="I2797" s="99"/>
      <c r="J2797" s="99"/>
      <c r="K2797" s="99"/>
      <c r="L2797" s="99"/>
      <c r="M2797" s="99"/>
      <c r="N2797" s="99"/>
      <c r="O2797" s="99"/>
      <c r="P2797" s="99"/>
      <c r="Q2797" s="99"/>
      <c r="R2797" s="99"/>
      <c r="S2797" s="99"/>
      <c r="T2797" s="99"/>
      <c r="U2797" s="99"/>
      <c r="V2797" s="99"/>
    </row>
    <row r="2798" spans="1:22" ht="15" customHeight="1">
      <c r="A2798" s="297"/>
      <c r="B2798" s="217"/>
      <c r="C2798" s="217"/>
      <c r="D2798" s="101"/>
      <c r="E2798" s="101"/>
      <c r="F2798" s="294"/>
      <c r="G2798" s="295"/>
      <c r="H2798" s="107"/>
      <c r="I2798" s="109"/>
      <c r="J2798" s="109"/>
      <c r="K2798" s="109"/>
      <c r="L2798" s="109"/>
      <c r="M2798" s="109"/>
      <c r="N2798" s="109"/>
      <c r="O2798" s="109"/>
      <c r="P2798" s="109"/>
      <c r="Q2798" s="109"/>
      <c r="R2798" s="109"/>
      <c r="S2798" s="109"/>
      <c r="T2798" s="109"/>
      <c r="U2798" s="202"/>
      <c r="V2798" s="202"/>
    </row>
    <row r="2799" spans="1:22" ht="15" customHeight="1">
      <c r="A2799" s="297"/>
      <c r="B2799" s="217"/>
      <c r="C2799" s="217"/>
      <c r="D2799" s="101"/>
      <c r="E2799" s="101"/>
      <c r="F2799" s="294"/>
      <c r="G2799" s="295"/>
      <c r="H2799" s="98"/>
      <c r="I2799" s="106"/>
      <c r="J2799" s="106"/>
      <c r="K2799" s="106"/>
      <c r="L2799" s="106"/>
      <c r="M2799" s="106"/>
      <c r="N2799" s="112"/>
      <c r="O2799" s="112"/>
      <c r="P2799" s="112"/>
      <c r="Q2799" s="113"/>
      <c r="R2799" s="113"/>
      <c r="S2799" s="113"/>
      <c r="T2799" s="113"/>
      <c r="U2799" s="113"/>
      <c r="V2799" s="113"/>
    </row>
    <row r="2800" spans="1:22" ht="15" customHeight="1">
      <c r="A2800" s="297"/>
      <c r="B2800" s="217"/>
      <c r="C2800" s="217"/>
      <c r="D2800" s="101"/>
      <c r="E2800" s="101"/>
      <c r="F2800" s="294"/>
      <c r="G2800" s="295"/>
      <c r="H2800" s="98"/>
      <c r="I2800" s="99"/>
      <c r="J2800" s="99"/>
      <c r="K2800" s="99"/>
      <c r="L2800" s="99"/>
      <c r="M2800" s="99"/>
      <c r="N2800" s="99"/>
      <c r="O2800" s="99"/>
      <c r="P2800" s="99"/>
      <c r="Q2800" s="99"/>
      <c r="R2800" s="99"/>
      <c r="S2800" s="99"/>
      <c r="T2800" s="99"/>
      <c r="U2800" s="99"/>
      <c r="V2800" s="99"/>
    </row>
    <row r="2801" spans="1:22" ht="15" customHeight="1">
      <c r="A2801" s="297"/>
      <c r="B2801" s="217"/>
      <c r="C2801" s="217"/>
      <c r="D2801" s="101"/>
      <c r="E2801" s="101"/>
      <c r="F2801" s="294"/>
      <c r="G2801" s="295"/>
      <c r="H2801" s="98"/>
      <c r="I2801" s="99"/>
      <c r="J2801" s="99"/>
      <c r="K2801" s="99"/>
      <c r="L2801" s="99"/>
      <c r="M2801" s="99"/>
      <c r="N2801" s="99"/>
      <c r="O2801" s="99"/>
      <c r="P2801" s="99"/>
      <c r="Q2801" s="99"/>
      <c r="R2801" s="99"/>
      <c r="S2801" s="99"/>
      <c r="T2801" s="99"/>
      <c r="U2801" s="99"/>
      <c r="V2801" s="99"/>
    </row>
    <row r="2802" spans="1:22" ht="15" customHeight="1">
      <c r="A2802" s="297"/>
      <c r="B2802" s="217"/>
      <c r="C2802" s="217"/>
      <c r="D2802" s="101"/>
      <c r="E2802" s="101"/>
      <c r="F2802" s="294"/>
      <c r="G2802" s="295"/>
      <c r="H2802" s="98"/>
      <c r="I2802" s="99"/>
      <c r="J2802" s="99"/>
      <c r="K2802" s="99"/>
      <c r="L2802" s="99"/>
      <c r="M2802" s="99"/>
      <c r="N2802" s="99"/>
      <c r="O2802" s="99"/>
      <c r="P2802" s="99"/>
      <c r="Q2802" s="99"/>
      <c r="R2802" s="99"/>
      <c r="S2802" s="99"/>
      <c r="T2802" s="99"/>
      <c r="U2802" s="99"/>
      <c r="V2802" s="99"/>
    </row>
    <row r="2803" spans="1:22" ht="15" customHeight="1">
      <c r="A2803" s="297"/>
      <c r="B2803" s="217"/>
      <c r="C2803" s="217"/>
      <c r="D2803" s="101"/>
      <c r="E2803" s="101"/>
      <c r="F2803" s="294"/>
      <c r="G2803" s="295"/>
      <c r="H2803" s="98"/>
      <c r="I2803" s="99"/>
      <c r="J2803" s="99"/>
      <c r="K2803" s="99"/>
      <c r="L2803" s="99"/>
      <c r="M2803" s="99"/>
      <c r="N2803" s="99"/>
      <c r="O2803" s="99"/>
      <c r="P2803" s="99"/>
      <c r="Q2803" s="99"/>
      <c r="R2803" s="99"/>
      <c r="S2803" s="99"/>
      <c r="T2803" s="99"/>
      <c r="U2803" s="99"/>
      <c r="V2803" s="99"/>
    </row>
    <row r="2804" spans="1:22" ht="15" customHeight="1">
      <c r="A2804" s="297"/>
      <c r="B2804" s="217"/>
      <c r="C2804" s="217"/>
      <c r="D2804" s="101"/>
      <c r="E2804" s="101"/>
      <c r="F2804" s="294"/>
      <c r="G2804" s="295"/>
      <c r="H2804" s="98"/>
      <c r="I2804" s="99"/>
      <c r="J2804" s="99"/>
      <c r="K2804" s="99"/>
      <c r="L2804" s="99"/>
      <c r="M2804" s="99"/>
      <c r="N2804" s="99"/>
      <c r="O2804" s="99"/>
      <c r="P2804" s="99"/>
      <c r="Q2804" s="99"/>
      <c r="R2804" s="99"/>
      <c r="S2804" s="99"/>
      <c r="T2804" s="99"/>
      <c r="U2804" s="99"/>
      <c r="V2804" s="99"/>
    </row>
    <row r="2805" spans="1:22" ht="15" customHeight="1">
      <c r="A2805" s="297"/>
      <c r="B2805" s="217"/>
      <c r="C2805" s="217"/>
      <c r="D2805" s="101"/>
      <c r="E2805" s="101"/>
      <c r="F2805" s="294"/>
      <c r="G2805" s="295"/>
      <c r="H2805" s="98"/>
      <c r="I2805" s="99"/>
      <c r="J2805" s="99"/>
      <c r="K2805" s="99"/>
      <c r="L2805" s="99"/>
      <c r="M2805" s="99"/>
      <c r="N2805" s="99"/>
      <c r="O2805" s="99"/>
      <c r="P2805" s="99"/>
      <c r="Q2805" s="99"/>
      <c r="R2805" s="99"/>
      <c r="S2805" s="99"/>
      <c r="T2805" s="99"/>
      <c r="U2805" s="99"/>
      <c r="V2805" s="99"/>
    </row>
    <row r="2806" spans="1:22" ht="15" customHeight="1">
      <c r="A2806" s="297"/>
      <c r="B2806" s="217"/>
      <c r="C2806" s="217"/>
      <c r="D2806" s="101"/>
      <c r="E2806" s="101"/>
      <c r="F2806" s="294"/>
      <c r="G2806" s="295"/>
      <c r="H2806" s="98"/>
      <c r="I2806" s="99"/>
      <c r="J2806" s="99"/>
      <c r="K2806" s="99"/>
      <c r="L2806" s="99"/>
      <c r="M2806" s="99"/>
      <c r="N2806" s="99"/>
      <c r="O2806" s="99"/>
      <c r="P2806" s="99"/>
      <c r="Q2806" s="99"/>
      <c r="R2806" s="99"/>
      <c r="S2806" s="99"/>
      <c r="T2806" s="99"/>
      <c r="U2806" s="99"/>
      <c r="V2806" s="99"/>
    </row>
    <row r="2807" spans="1:22" ht="15" customHeight="1">
      <c r="A2807" s="297"/>
      <c r="B2807" s="217"/>
      <c r="C2807" s="217"/>
      <c r="D2807" s="101"/>
      <c r="E2807" s="101"/>
      <c r="F2807" s="294"/>
      <c r="G2807" s="295"/>
      <c r="H2807" s="107"/>
      <c r="I2807" s="109"/>
      <c r="J2807" s="109"/>
      <c r="K2807" s="109"/>
      <c r="L2807" s="109"/>
      <c r="M2807" s="109"/>
      <c r="N2807" s="109"/>
      <c r="O2807" s="109"/>
      <c r="P2807" s="109"/>
      <c r="Q2807" s="109"/>
      <c r="R2807" s="109"/>
      <c r="S2807" s="109"/>
      <c r="T2807" s="109"/>
      <c r="U2807" s="202"/>
      <c r="V2807" s="202"/>
    </row>
    <row r="2808" spans="1:22" ht="15" customHeight="1">
      <c r="A2808" s="297"/>
      <c r="B2808" s="217"/>
      <c r="C2808" s="217"/>
      <c r="D2808" s="101"/>
      <c r="E2808" s="101"/>
      <c r="F2808" s="294"/>
      <c r="G2808" s="295"/>
      <c r="H2808" s="98"/>
      <c r="I2808" s="106"/>
      <c r="J2808" s="106"/>
      <c r="K2808" s="106"/>
      <c r="L2808" s="106"/>
      <c r="M2808" s="106"/>
      <c r="N2808" s="112"/>
      <c r="O2808" s="112"/>
      <c r="P2808" s="112"/>
      <c r="Q2808" s="113"/>
      <c r="R2808" s="113"/>
      <c r="S2808" s="113"/>
      <c r="T2808" s="113"/>
      <c r="U2808" s="113"/>
      <c r="V2808" s="113"/>
    </row>
    <row r="2809" spans="1:22" ht="15" customHeight="1">
      <c r="A2809" s="297"/>
      <c r="B2809" s="217"/>
      <c r="C2809" s="217"/>
      <c r="D2809" s="101"/>
      <c r="E2809" s="101"/>
      <c r="F2809" s="294"/>
      <c r="G2809" s="295"/>
      <c r="H2809" s="98"/>
      <c r="I2809" s="99"/>
      <c r="J2809" s="99"/>
      <c r="K2809" s="99"/>
      <c r="L2809" s="99"/>
      <c r="M2809" s="99"/>
      <c r="N2809" s="99"/>
      <c r="O2809" s="99"/>
      <c r="P2809" s="99"/>
      <c r="Q2809" s="99"/>
      <c r="R2809" s="99"/>
      <c r="S2809" s="99"/>
      <c r="T2809" s="99"/>
      <c r="U2809" s="99"/>
      <c r="V2809" s="99"/>
    </row>
    <row r="2810" spans="1:22" ht="15" customHeight="1">
      <c r="A2810" s="297"/>
      <c r="B2810" s="217"/>
      <c r="C2810" s="217"/>
      <c r="D2810" s="101"/>
      <c r="E2810" s="101"/>
      <c r="F2810" s="294"/>
      <c r="G2810" s="295"/>
      <c r="H2810" s="98"/>
      <c r="I2810" s="99"/>
      <c r="J2810" s="99"/>
      <c r="K2810" s="99"/>
      <c r="L2810" s="99"/>
      <c r="M2810" s="99"/>
      <c r="N2810" s="99"/>
      <c r="O2810" s="99"/>
      <c r="P2810" s="99"/>
      <c r="Q2810" s="99"/>
      <c r="R2810" s="99"/>
      <c r="S2810" s="99"/>
      <c r="T2810" s="99"/>
      <c r="U2810" s="99"/>
      <c r="V2810" s="99"/>
    </row>
    <row r="2811" spans="1:22" ht="15" customHeight="1">
      <c r="F2811" s="105"/>
      <c r="G2811" s="105"/>
      <c r="H2811" s="107"/>
      <c r="I2811" s="108"/>
      <c r="J2811" s="108"/>
      <c r="K2811" s="108"/>
      <c r="L2811" s="108"/>
      <c r="M2811" s="108"/>
      <c r="N2811" s="109"/>
      <c r="O2811" s="109"/>
      <c r="P2811" s="109"/>
      <c r="Q2811" s="109"/>
      <c r="R2811" s="109"/>
      <c r="S2811" s="109"/>
      <c r="T2811" s="109"/>
      <c r="U2811" s="202"/>
      <c r="V2811" s="202"/>
    </row>
    <row r="2812" spans="1:22" ht="15" customHeight="1">
      <c r="A2812" s="297"/>
      <c r="B2812" s="217"/>
      <c r="C2812" s="217"/>
      <c r="D2812" s="101"/>
      <c r="E2812" s="101"/>
      <c r="F2812" s="294"/>
      <c r="G2812" s="295"/>
      <c r="H2812" s="98"/>
      <c r="I2812" s="106"/>
      <c r="J2812" s="106"/>
      <c r="K2812" s="106"/>
      <c r="L2812" s="106"/>
      <c r="M2812" s="106"/>
      <c r="N2812" s="112"/>
      <c r="O2812" s="112"/>
      <c r="P2812" s="112"/>
      <c r="Q2812" s="113"/>
      <c r="R2812" s="113"/>
      <c r="S2812" s="113"/>
      <c r="T2812" s="113"/>
      <c r="U2812" s="113"/>
      <c r="V2812" s="113"/>
    </row>
    <row r="2813" spans="1:22" ht="15" customHeight="1">
      <c r="A2813" s="297"/>
      <c r="B2813" s="217"/>
      <c r="C2813" s="217"/>
      <c r="D2813" s="101"/>
      <c r="E2813" s="101"/>
      <c r="F2813" s="294"/>
      <c r="G2813" s="295"/>
      <c r="H2813" s="114"/>
      <c r="I2813" s="108"/>
      <c r="J2813" s="108"/>
      <c r="K2813" s="108"/>
      <c r="L2813" s="108"/>
      <c r="M2813" s="108"/>
      <c r="N2813" s="108"/>
      <c r="O2813" s="108"/>
      <c r="P2813" s="108"/>
      <c r="Q2813" s="108"/>
      <c r="R2813" s="108"/>
      <c r="S2813" s="108"/>
      <c r="T2813" s="108"/>
      <c r="U2813" s="233"/>
      <c r="V2813" s="233"/>
    </row>
    <row r="2814" spans="1:22" ht="15" customHeight="1" thickBot="1">
      <c r="A2814" s="297"/>
      <c r="B2814" s="217"/>
      <c r="C2814" s="217"/>
      <c r="D2814" s="101"/>
      <c r="E2814" s="101"/>
      <c r="F2814" s="294"/>
      <c r="G2814" s="295"/>
      <c r="H2814" s="98"/>
      <c r="I2814" s="218"/>
      <c r="J2814" s="218"/>
      <c r="K2814" s="218"/>
      <c r="L2814" s="218"/>
      <c r="M2814" s="218"/>
      <c r="U2814" s="212"/>
      <c r="V2814" s="212"/>
    </row>
    <row r="2815" spans="1:22" ht="15" customHeight="1" thickBot="1">
      <c r="A2815" s="297"/>
      <c r="B2815" s="217"/>
      <c r="C2815" s="217"/>
      <c r="D2815" s="101"/>
      <c r="E2815" s="101"/>
      <c r="F2815" s="294"/>
      <c r="G2815" s="295"/>
      <c r="H2815" s="686"/>
      <c r="I2815" s="687"/>
      <c r="J2815" s="687"/>
      <c r="K2815" s="687"/>
      <c r="L2815" s="687"/>
      <c r="M2815" s="687"/>
      <c r="N2815" s="687"/>
      <c r="O2815" s="687"/>
      <c r="P2815" s="687"/>
      <c r="Q2815" s="687"/>
      <c r="R2815" s="687"/>
      <c r="S2815" s="715"/>
      <c r="T2815" s="688"/>
      <c r="U2815" s="254"/>
      <c r="V2815" s="254"/>
    </row>
    <row r="2816" spans="1:22" ht="15" customHeight="1">
      <c r="A2816" s="297"/>
      <c r="B2816" s="217"/>
      <c r="C2816" s="217"/>
      <c r="D2816" s="101"/>
      <c r="E2816" s="101"/>
      <c r="F2816" s="294"/>
      <c r="G2816" s="295"/>
      <c r="H2816" s="225"/>
      <c r="I2816" s="225"/>
      <c r="J2816" s="225"/>
      <c r="K2816" s="225"/>
      <c r="L2816" s="225"/>
      <c r="M2816" s="225"/>
      <c r="N2816" s="225"/>
      <c r="O2816" s="225"/>
      <c r="P2816" s="225"/>
      <c r="Q2816" s="225"/>
      <c r="R2816" s="225"/>
      <c r="S2816" s="225"/>
      <c r="T2816" s="225"/>
      <c r="U2816" s="225"/>
      <c r="V2816" s="225"/>
    </row>
    <row r="2817" spans="1:22" ht="15" customHeight="1">
      <c r="A2817" s="297"/>
      <c r="B2817" s="217"/>
      <c r="C2817" s="217"/>
      <c r="D2817" s="101"/>
      <c r="E2817" s="101"/>
      <c r="F2817" s="294"/>
      <c r="G2817" s="295"/>
      <c r="H2817" s="98"/>
      <c r="I2817" s="99"/>
      <c r="J2817" s="99"/>
      <c r="K2817" s="99"/>
      <c r="L2817" s="99"/>
      <c r="M2817" s="99"/>
      <c r="N2817" s="99"/>
      <c r="O2817" s="99"/>
      <c r="P2817" s="99"/>
      <c r="Q2817" s="99"/>
      <c r="R2817" s="99"/>
      <c r="S2817" s="99"/>
      <c r="T2817" s="99"/>
      <c r="U2817" s="99"/>
      <c r="V2817" s="99"/>
    </row>
    <row r="2818" spans="1:22" ht="15" customHeight="1">
      <c r="A2818" s="297"/>
      <c r="B2818" s="217"/>
      <c r="C2818" s="217"/>
      <c r="D2818" s="101"/>
      <c r="E2818" s="101"/>
      <c r="F2818" s="294"/>
      <c r="G2818" s="295"/>
      <c r="H2818" s="98"/>
      <c r="I2818" s="99"/>
      <c r="J2818" s="99"/>
      <c r="K2818" s="99"/>
      <c r="L2818" s="99"/>
      <c r="M2818" s="99"/>
      <c r="N2818" s="99"/>
      <c r="O2818" s="99"/>
      <c r="P2818" s="99"/>
      <c r="Q2818" s="99"/>
      <c r="R2818" s="99"/>
      <c r="S2818" s="99"/>
      <c r="T2818" s="99"/>
      <c r="U2818" s="99"/>
      <c r="V2818" s="99"/>
    </row>
    <row r="2819" spans="1:22" ht="15" customHeight="1">
      <c r="A2819" s="297"/>
      <c r="B2819" s="217"/>
      <c r="C2819" s="217"/>
      <c r="D2819" s="101"/>
      <c r="E2819" s="101"/>
      <c r="F2819" s="294"/>
      <c r="G2819" s="295"/>
      <c r="H2819" s="98"/>
      <c r="I2819" s="99"/>
      <c r="J2819" s="99"/>
      <c r="K2819" s="99"/>
      <c r="L2819" s="99"/>
      <c r="M2819" s="99"/>
      <c r="N2819" s="99"/>
      <c r="O2819" s="99"/>
      <c r="P2819" s="99"/>
      <c r="Q2819" s="99"/>
      <c r="R2819" s="99"/>
      <c r="S2819" s="99"/>
      <c r="T2819" s="99"/>
      <c r="U2819" s="99"/>
      <c r="V2819" s="99"/>
    </row>
    <row r="2820" spans="1:22" ht="15" customHeight="1">
      <c r="A2820" s="297"/>
      <c r="B2820" s="217"/>
      <c r="C2820" s="217"/>
      <c r="D2820" s="101"/>
      <c r="E2820" s="101"/>
      <c r="F2820" s="294"/>
      <c r="G2820" s="295"/>
      <c r="H2820" s="98"/>
      <c r="I2820" s="99"/>
      <c r="J2820" s="99"/>
      <c r="K2820" s="99"/>
      <c r="L2820" s="99"/>
      <c r="M2820" s="99"/>
      <c r="N2820" s="99"/>
      <c r="O2820" s="99"/>
      <c r="P2820" s="99"/>
      <c r="Q2820" s="99"/>
      <c r="R2820" s="99"/>
      <c r="S2820" s="99"/>
      <c r="T2820" s="99"/>
      <c r="U2820" s="99"/>
      <c r="V2820" s="99"/>
    </row>
    <row r="2821" spans="1:22" ht="15" customHeight="1">
      <c r="A2821" s="297"/>
      <c r="B2821" s="217"/>
      <c r="C2821" s="217"/>
      <c r="D2821" s="101"/>
      <c r="E2821" s="101"/>
      <c r="F2821" s="294"/>
      <c r="G2821" s="295"/>
      <c r="H2821" s="98"/>
      <c r="I2821" s="99"/>
      <c r="J2821" s="99"/>
      <c r="K2821" s="99"/>
      <c r="L2821" s="99"/>
      <c r="M2821" s="99"/>
      <c r="N2821" s="99"/>
      <c r="O2821" s="99"/>
      <c r="P2821" s="99"/>
      <c r="Q2821" s="99"/>
      <c r="R2821" s="99"/>
      <c r="S2821" s="99"/>
      <c r="T2821" s="99"/>
      <c r="U2821" s="99"/>
      <c r="V2821" s="99"/>
    </row>
    <row r="2822" spans="1:22" ht="15" customHeight="1">
      <c r="A2822" s="297"/>
      <c r="B2822" s="217"/>
      <c r="C2822" s="217"/>
      <c r="D2822" s="101"/>
      <c r="E2822" s="101"/>
      <c r="F2822" s="294"/>
      <c r="G2822" s="295"/>
      <c r="H2822" s="98"/>
      <c r="I2822" s="99"/>
      <c r="J2822" s="99"/>
      <c r="K2822" s="99"/>
      <c r="L2822" s="99"/>
      <c r="M2822" s="99"/>
      <c r="N2822" s="99"/>
      <c r="O2822" s="99"/>
      <c r="P2822" s="99"/>
      <c r="Q2822" s="99"/>
      <c r="R2822" s="99"/>
      <c r="S2822" s="99"/>
      <c r="T2822" s="99"/>
      <c r="U2822" s="99"/>
      <c r="V2822" s="99"/>
    </row>
    <row r="2823" spans="1:22" ht="15" customHeight="1">
      <c r="A2823" s="297"/>
      <c r="B2823" s="217"/>
      <c r="C2823" s="217"/>
      <c r="D2823" s="101"/>
      <c r="E2823" s="101"/>
      <c r="F2823" s="294"/>
      <c r="G2823" s="295"/>
      <c r="H2823" s="98"/>
      <c r="I2823" s="99"/>
      <c r="J2823" s="99"/>
      <c r="K2823" s="99"/>
      <c r="L2823" s="99"/>
      <c r="M2823" s="99"/>
      <c r="N2823" s="99"/>
      <c r="O2823" s="99"/>
      <c r="P2823" s="99"/>
      <c r="Q2823" s="99"/>
      <c r="R2823" s="99"/>
      <c r="S2823" s="99"/>
      <c r="T2823" s="99"/>
      <c r="U2823" s="99"/>
      <c r="V2823" s="99"/>
    </row>
    <row r="2824" spans="1:22" ht="15" customHeight="1">
      <c r="A2824" s="297"/>
      <c r="B2824" s="217"/>
      <c r="C2824" s="217"/>
      <c r="D2824" s="101"/>
      <c r="E2824" s="101"/>
      <c r="F2824" s="294"/>
      <c r="G2824" s="295"/>
      <c r="H2824" s="98"/>
      <c r="I2824" s="99"/>
      <c r="J2824" s="99"/>
      <c r="K2824" s="99"/>
      <c r="L2824" s="99"/>
      <c r="M2824" s="99"/>
      <c r="N2824" s="99"/>
      <c r="O2824" s="99"/>
      <c r="P2824" s="99"/>
      <c r="Q2824" s="99"/>
      <c r="R2824" s="99"/>
      <c r="S2824" s="99"/>
      <c r="T2824" s="99"/>
      <c r="U2824" s="99"/>
      <c r="V2824" s="99"/>
    </row>
    <row r="2825" spans="1:22" ht="15" customHeight="1">
      <c r="A2825" s="297"/>
      <c r="B2825" s="217"/>
      <c r="C2825" s="217"/>
      <c r="D2825" s="101"/>
      <c r="E2825" s="101"/>
      <c r="F2825" s="294"/>
      <c r="G2825" s="295"/>
      <c r="H2825" s="98"/>
      <c r="I2825" s="99"/>
      <c r="J2825" s="99"/>
      <c r="K2825" s="99"/>
      <c r="L2825" s="99"/>
      <c r="M2825" s="99"/>
      <c r="N2825" s="99"/>
      <c r="O2825" s="99"/>
      <c r="P2825" s="99"/>
      <c r="Q2825" s="99"/>
      <c r="R2825" s="99"/>
      <c r="S2825" s="99"/>
      <c r="T2825" s="99"/>
      <c r="U2825" s="99"/>
      <c r="V2825" s="99"/>
    </row>
    <row r="2826" spans="1:22" ht="15" customHeight="1">
      <c r="A2826" s="297"/>
      <c r="B2826" s="217"/>
      <c r="C2826" s="217"/>
      <c r="D2826" s="101"/>
      <c r="E2826" s="101"/>
      <c r="F2826" s="294"/>
      <c r="G2826" s="295"/>
      <c r="H2826" s="98"/>
      <c r="I2826" s="99"/>
      <c r="J2826" s="99"/>
      <c r="K2826" s="99"/>
      <c r="L2826" s="99"/>
      <c r="M2826" s="99"/>
      <c r="N2826" s="99"/>
      <c r="O2826" s="99"/>
      <c r="P2826" s="99"/>
      <c r="Q2826" s="99"/>
      <c r="R2826" s="99"/>
      <c r="S2826" s="99"/>
      <c r="T2826" s="99"/>
      <c r="U2826" s="99"/>
      <c r="V2826" s="99"/>
    </row>
    <row r="2827" spans="1:22" ht="15" customHeight="1">
      <c r="A2827" s="297"/>
      <c r="B2827" s="217"/>
      <c r="C2827" s="217"/>
      <c r="D2827" s="101"/>
      <c r="E2827" s="101"/>
      <c r="F2827" s="294"/>
      <c r="G2827" s="295"/>
      <c r="H2827" s="98"/>
      <c r="I2827" s="99"/>
      <c r="J2827" s="99"/>
      <c r="K2827" s="99"/>
      <c r="L2827" s="99"/>
      <c r="M2827" s="99"/>
      <c r="N2827" s="99"/>
      <c r="O2827" s="99"/>
      <c r="P2827" s="99"/>
      <c r="Q2827" s="99"/>
      <c r="R2827" s="99"/>
      <c r="S2827" s="99"/>
      <c r="T2827" s="99"/>
      <c r="U2827" s="99"/>
      <c r="V2827" s="99"/>
    </row>
    <row r="2828" spans="1:22" ht="15" customHeight="1">
      <c r="A2828" s="297"/>
      <c r="B2828" s="217"/>
      <c r="C2828" s="217"/>
      <c r="D2828" s="101"/>
      <c r="E2828" s="101"/>
      <c r="F2828" s="294"/>
      <c r="G2828" s="295"/>
      <c r="H2828" s="98"/>
      <c r="I2828" s="99"/>
      <c r="J2828" s="99"/>
      <c r="K2828" s="99"/>
      <c r="L2828" s="99"/>
      <c r="M2828" s="99"/>
      <c r="N2828" s="99"/>
      <c r="O2828" s="99"/>
      <c r="P2828" s="99"/>
      <c r="Q2828" s="99"/>
      <c r="R2828" s="99"/>
      <c r="S2828" s="99"/>
      <c r="T2828" s="99"/>
      <c r="U2828" s="99"/>
      <c r="V2828" s="99"/>
    </row>
    <row r="2829" spans="1:22" ht="15" customHeight="1">
      <c r="A2829" s="297"/>
      <c r="B2829" s="217"/>
      <c r="C2829" s="217"/>
      <c r="D2829" s="101"/>
      <c r="E2829" s="101"/>
      <c r="F2829" s="294"/>
      <c r="G2829" s="295"/>
      <c r="H2829" s="98"/>
      <c r="I2829" s="99"/>
      <c r="J2829" s="99"/>
      <c r="K2829" s="99"/>
      <c r="L2829" s="99"/>
      <c r="M2829" s="99"/>
      <c r="N2829" s="99"/>
      <c r="O2829" s="99"/>
      <c r="P2829" s="99"/>
      <c r="Q2829" s="99"/>
      <c r="R2829" s="99"/>
      <c r="S2829" s="99"/>
      <c r="T2829" s="99"/>
      <c r="U2829" s="99"/>
      <c r="V2829" s="99"/>
    </row>
    <row r="2830" spans="1:22" ht="15" customHeight="1">
      <c r="A2830" s="297"/>
      <c r="B2830" s="217"/>
      <c r="C2830" s="217"/>
      <c r="D2830" s="101"/>
      <c r="E2830" s="101"/>
      <c r="F2830" s="294"/>
      <c r="G2830" s="295"/>
      <c r="H2830" s="98"/>
      <c r="I2830" s="99"/>
      <c r="J2830" s="99"/>
      <c r="K2830" s="99"/>
      <c r="L2830" s="99"/>
      <c r="M2830" s="99"/>
      <c r="N2830" s="99"/>
      <c r="O2830" s="99"/>
      <c r="P2830" s="99"/>
      <c r="Q2830" s="99"/>
      <c r="R2830" s="99"/>
      <c r="S2830" s="99"/>
      <c r="T2830" s="99"/>
      <c r="U2830" s="99"/>
      <c r="V2830" s="99"/>
    </row>
    <row r="2831" spans="1:22" ht="15" customHeight="1">
      <c r="A2831" s="297"/>
      <c r="B2831" s="217"/>
      <c r="C2831" s="217"/>
      <c r="D2831" s="101"/>
      <c r="E2831" s="101"/>
      <c r="F2831" s="294"/>
      <c r="G2831" s="295"/>
      <c r="H2831" s="98"/>
      <c r="I2831" s="99"/>
      <c r="J2831" s="99"/>
      <c r="K2831" s="99"/>
      <c r="L2831" s="99"/>
      <c r="M2831" s="99"/>
      <c r="N2831" s="99"/>
      <c r="O2831" s="99"/>
      <c r="P2831" s="99"/>
      <c r="Q2831" s="99"/>
      <c r="R2831" s="99"/>
      <c r="S2831" s="99"/>
      <c r="T2831" s="99"/>
      <c r="U2831" s="99"/>
      <c r="V2831" s="99"/>
    </row>
    <row r="2832" spans="1:22" ht="15" customHeight="1">
      <c r="A2832" s="297"/>
      <c r="B2832" s="217"/>
      <c r="C2832" s="217"/>
      <c r="D2832" s="101"/>
      <c r="E2832" s="101"/>
      <c r="F2832" s="294"/>
      <c r="G2832" s="295"/>
      <c r="H2832" s="107"/>
      <c r="I2832" s="108"/>
      <c r="J2832" s="108"/>
      <c r="K2832" s="108"/>
      <c r="L2832" s="108"/>
      <c r="M2832" s="108"/>
      <c r="N2832" s="109"/>
      <c r="O2832" s="109"/>
      <c r="P2832" s="109"/>
      <c r="Q2832" s="109"/>
      <c r="R2832" s="109"/>
      <c r="S2832" s="109"/>
      <c r="T2832" s="109"/>
      <c r="U2832" s="202"/>
      <c r="V2832" s="202"/>
    </row>
    <row r="2833" spans="1:22" ht="15" customHeight="1">
      <c r="A2833" s="297"/>
      <c r="B2833" s="217"/>
      <c r="C2833" s="217"/>
      <c r="D2833" s="101"/>
      <c r="E2833" s="101"/>
      <c r="F2833" s="294"/>
      <c r="G2833" s="295"/>
      <c r="H2833" s="98"/>
      <c r="I2833" s="106"/>
      <c r="J2833" s="106"/>
      <c r="K2833" s="106"/>
      <c r="L2833" s="106"/>
      <c r="M2833" s="106"/>
      <c r="N2833" s="112"/>
      <c r="O2833" s="112"/>
      <c r="P2833" s="112"/>
      <c r="Q2833" s="113"/>
      <c r="R2833" s="113"/>
      <c r="S2833" s="113"/>
      <c r="T2833" s="113"/>
      <c r="U2833" s="113"/>
      <c r="V2833" s="113"/>
    </row>
    <row r="2834" spans="1:22" ht="15" customHeight="1">
      <c r="A2834" s="297"/>
      <c r="B2834" s="217"/>
      <c r="C2834" s="217"/>
      <c r="D2834" s="101"/>
      <c r="E2834" s="101"/>
      <c r="F2834" s="294"/>
      <c r="G2834" s="295"/>
      <c r="H2834" s="98"/>
      <c r="I2834" s="99"/>
      <c r="J2834" s="99"/>
      <c r="K2834" s="99"/>
      <c r="L2834" s="99"/>
      <c r="M2834" s="99"/>
      <c r="N2834" s="99"/>
      <c r="O2834" s="99"/>
      <c r="P2834" s="99"/>
      <c r="Q2834" s="99"/>
      <c r="R2834" s="99"/>
      <c r="S2834" s="99"/>
      <c r="T2834" s="99"/>
      <c r="U2834" s="99"/>
      <c r="V2834" s="99"/>
    </row>
    <row r="2835" spans="1:22" ht="15" customHeight="1">
      <c r="A2835" s="297"/>
      <c r="B2835" s="217"/>
      <c r="C2835" s="217"/>
      <c r="D2835" s="101"/>
      <c r="E2835" s="101"/>
      <c r="F2835" s="294"/>
      <c r="G2835" s="295"/>
      <c r="H2835" s="98"/>
      <c r="I2835" s="99"/>
      <c r="J2835" s="99"/>
      <c r="K2835" s="99"/>
      <c r="L2835" s="99"/>
      <c r="M2835" s="99"/>
      <c r="N2835" s="99"/>
      <c r="O2835" s="99"/>
      <c r="P2835" s="99"/>
      <c r="Q2835" s="99"/>
      <c r="R2835" s="99"/>
      <c r="S2835" s="99"/>
      <c r="T2835" s="99"/>
      <c r="U2835" s="99"/>
      <c r="V2835" s="99"/>
    </row>
    <row r="2836" spans="1:22" ht="15" customHeight="1">
      <c r="A2836" s="297"/>
      <c r="B2836" s="217"/>
      <c r="C2836" s="217"/>
      <c r="D2836" s="101"/>
      <c r="E2836" s="101"/>
      <c r="F2836" s="294"/>
      <c r="G2836" s="295"/>
      <c r="H2836" s="98"/>
      <c r="I2836" s="99"/>
      <c r="J2836" s="99"/>
      <c r="K2836" s="99"/>
      <c r="L2836" s="99"/>
      <c r="M2836" s="99"/>
      <c r="N2836" s="99"/>
      <c r="O2836" s="99"/>
      <c r="P2836" s="99"/>
      <c r="Q2836" s="99"/>
      <c r="R2836" s="99"/>
      <c r="S2836" s="99"/>
      <c r="T2836" s="99"/>
      <c r="U2836" s="99"/>
      <c r="V2836" s="99"/>
    </row>
    <row r="2837" spans="1:22" ht="15" customHeight="1">
      <c r="A2837" s="297"/>
      <c r="B2837" s="217"/>
      <c r="C2837" s="217"/>
      <c r="D2837" s="101"/>
      <c r="E2837" s="101"/>
      <c r="F2837" s="294"/>
      <c r="G2837" s="295"/>
      <c r="H2837" s="98"/>
      <c r="I2837" s="99"/>
      <c r="J2837" s="99"/>
      <c r="K2837" s="99"/>
      <c r="L2837" s="99"/>
      <c r="M2837" s="99"/>
      <c r="N2837" s="99"/>
      <c r="O2837" s="99"/>
      <c r="P2837" s="99"/>
      <c r="Q2837" s="99"/>
      <c r="R2837" s="99"/>
      <c r="S2837" s="99"/>
      <c r="T2837" s="99"/>
      <c r="U2837" s="99"/>
      <c r="V2837" s="99"/>
    </row>
    <row r="2838" spans="1:22" ht="15" customHeight="1">
      <c r="A2838" s="297"/>
      <c r="B2838" s="217"/>
      <c r="C2838" s="217"/>
      <c r="D2838" s="101"/>
      <c r="E2838" s="101"/>
      <c r="F2838" s="294"/>
      <c r="G2838" s="295"/>
      <c r="H2838" s="107"/>
      <c r="I2838" s="108"/>
      <c r="J2838" s="108"/>
      <c r="K2838" s="108"/>
      <c r="L2838" s="108"/>
      <c r="M2838" s="108"/>
      <c r="N2838" s="109"/>
      <c r="O2838" s="109"/>
      <c r="P2838" s="109"/>
      <c r="Q2838" s="109"/>
      <c r="R2838" s="109"/>
      <c r="S2838" s="109"/>
      <c r="T2838" s="109"/>
      <c r="U2838" s="202"/>
      <c r="V2838" s="202"/>
    </row>
    <row r="2839" spans="1:22" ht="15" customHeight="1">
      <c r="A2839" s="297"/>
      <c r="B2839" s="217"/>
      <c r="C2839" s="217"/>
      <c r="D2839" s="101"/>
      <c r="E2839" s="101"/>
      <c r="F2839" s="294"/>
      <c r="G2839" s="295"/>
      <c r="H2839" s="98"/>
      <c r="I2839" s="106"/>
      <c r="J2839" s="106"/>
      <c r="K2839" s="106"/>
      <c r="L2839" s="106"/>
      <c r="M2839" s="106"/>
      <c r="N2839" s="112"/>
      <c r="O2839" s="112"/>
      <c r="P2839" s="112"/>
      <c r="Q2839" s="113"/>
      <c r="R2839" s="113"/>
      <c r="S2839" s="113"/>
      <c r="T2839" s="113"/>
      <c r="U2839" s="113"/>
      <c r="V2839" s="113"/>
    </row>
    <row r="2840" spans="1:22" ht="15" customHeight="1">
      <c r="A2840" s="297"/>
      <c r="B2840" s="217"/>
      <c r="C2840" s="217"/>
      <c r="D2840" s="101"/>
      <c r="E2840" s="101"/>
      <c r="F2840" s="294"/>
      <c r="G2840" s="295"/>
      <c r="H2840" s="98"/>
      <c r="I2840" s="99"/>
      <c r="J2840" s="99"/>
      <c r="K2840" s="99"/>
      <c r="L2840" s="99"/>
      <c r="M2840" s="99"/>
      <c r="N2840" s="99"/>
      <c r="O2840" s="99"/>
      <c r="P2840" s="99"/>
      <c r="Q2840" s="99"/>
      <c r="R2840" s="99"/>
      <c r="S2840" s="99"/>
      <c r="T2840" s="99"/>
      <c r="U2840" s="99"/>
      <c r="V2840" s="99"/>
    </row>
    <row r="2841" spans="1:22" ht="15" customHeight="1">
      <c r="A2841" s="297"/>
      <c r="B2841" s="217"/>
      <c r="C2841" s="217"/>
      <c r="D2841" s="101"/>
      <c r="E2841" s="101"/>
      <c r="F2841" s="294"/>
      <c r="G2841" s="295"/>
      <c r="H2841" s="98"/>
      <c r="I2841" s="99"/>
      <c r="J2841" s="99"/>
      <c r="K2841" s="99"/>
      <c r="L2841" s="99"/>
      <c r="M2841" s="99"/>
      <c r="N2841" s="99"/>
      <c r="O2841" s="99"/>
      <c r="P2841" s="99"/>
      <c r="Q2841" s="99"/>
      <c r="R2841" s="99"/>
      <c r="S2841" s="99"/>
      <c r="T2841" s="99"/>
      <c r="U2841" s="99"/>
      <c r="V2841" s="99"/>
    </row>
    <row r="2842" spans="1:22" ht="15" customHeight="1">
      <c r="A2842" s="297"/>
      <c r="B2842" s="217"/>
      <c r="C2842" s="217"/>
      <c r="D2842" s="101"/>
      <c r="E2842" s="101"/>
      <c r="F2842" s="294"/>
      <c r="G2842" s="295"/>
      <c r="H2842" s="98"/>
      <c r="I2842" s="99"/>
      <c r="J2842" s="99"/>
      <c r="K2842" s="99"/>
      <c r="L2842" s="99"/>
      <c r="M2842" s="99"/>
      <c r="N2842" s="99"/>
      <c r="O2842" s="99"/>
      <c r="P2842" s="99"/>
      <c r="Q2842" s="99"/>
      <c r="R2842" s="99"/>
      <c r="S2842" s="99"/>
      <c r="T2842" s="99"/>
      <c r="U2842" s="99"/>
      <c r="V2842" s="99"/>
    </row>
    <row r="2843" spans="1:22" ht="15" customHeight="1">
      <c r="A2843" s="297"/>
      <c r="B2843" s="217"/>
      <c r="C2843" s="217"/>
      <c r="D2843" s="101"/>
      <c r="E2843" s="101"/>
      <c r="F2843" s="294"/>
      <c r="G2843" s="295"/>
      <c r="H2843" s="98"/>
      <c r="I2843" s="99"/>
      <c r="J2843" s="99"/>
      <c r="K2843" s="99"/>
      <c r="L2843" s="99"/>
      <c r="M2843" s="99"/>
      <c r="N2843" s="99"/>
      <c r="O2843" s="99"/>
      <c r="P2843" s="99"/>
      <c r="Q2843" s="99"/>
      <c r="R2843" s="99"/>
      <c r="S2843" s="99"/>
      <c r="T2843" s="99"/>
      <c r="U2843" s="99"/>
      <c r="V2843" s="99"/>
    </row>
    <row r="2844" spans="1:22" ht="15" customHeight="1">
      <c r="A2844" s="297"/>
      <c r="B2844" s="217"/>
      <c r="C2844" s="217"/>
      <c r="D2844" s="101"/>
      <c r="E2844" s="101"/>
      <c r="F2844" s="294"/>
      <c r="G2844" s="295"/>
      <c r="H2844" s="98"/>
      <c r="I2844" s="99"/>
      <c r="J2844" s="99"/>
      <c r="K2844" s="99"/>
      <c r="L2844" s="99"/>
      <c r="M2844" s="99"/>
      <c r="N2844" s="99"/>
      <c r="O2844" s="99"/>
      <c r="P2844" s="99"/>
      <c r="Q2844" s="99"/>
      <c r="R2844" s="99"/>
      <c r="S2844" s="99"/>
      <c r="T2844" s="99"/>
      <c r="U2844" s="99"/>
      <c r="V2844" s="99"/>
    </row>
    <row r="2845" spans="1:22" ht="15" customHeight="1">
      <c r="A2845" s="297"/>
      <c r="B2845" s="217"/>
      <c r="C2845" s="217"/>
      <c r="D2845" s="101"/>
      <c r="E2845" s="101"/>
      <c r="F2845" s="294"/>
      <c r="G2845" s="295"/>
      <c r="H2845" s="98"/>
      <c r="I2845" s="99"/>
      <c r="J2845" s="99"/>
      <c r="K2845" s="99"/>
      <c r="L2845" s="99"/>
      <c r="M2845" s="99"/>
      <c r="N2845" s="99"/>
      <c r="O2845" s="99"/>
      <c r="P2845" s="99"/>
      <c r="Q2845" s="99"/>
      <c r="R2845" s="99"/>
      <c r="S2845" s="99"/>
      <c r="T2845" s="99"/>
      <c r="U2845" s="99"/>
      <c r="V2845" s="99"/>
    </row>
    <row r="2846" spans="1:22" ht="15" customHeight="1">
      <c r="A2846" s="297"/>
      <c r="B2846" s="217"/>
      <c r="C2846" s="217"/>
      <c r="D2846" s="101"/>
      <c r="E2846" s="101"/>
      <c r="F2846" s="294"/>
      <c r="G2846" s="295"/>
      <c r="H2846" s="98"/>
      <c r="I2846" s="99"/>
      <c r="J2846" s="99"/>
      <c r="K2846" s="99"/>
      <c r="L2846" s="99"/>
      <c r="M2846" s="99"/>
      <c r="N2846" s="99"/>
      <c r="O2846" s="99"/>
      <c r="P2846" s="99"/>
      <c r="Q2846" s="99"/>
      <c r="R2846" s="99"/>
      <c r="S2846" s="99"/>
      <c r="T2846" s="99"/>
      <c r="U2846" s="99"/>
      <c r="V2846" s="99"/>
    </row>
    <row r="2847" spans="1:22" ht="15" customHeight="1">
      <c r="A2847" s="297"/>
      <c r="B2847" s="217"/>
      <c r="C2847" s="217"/>
      <c r="D2847" s="101"/>
      <c r="E2847" s="101"/>
      <c r="F2847" s="294"/>
      <c r="G2847" s="295"/>
      <c r="H2847" s="98"/>
      <c r="I2847" s="99"/>
      <c r="J2847" s="99"/>
      <c r="K2847" s="99"/>
      <c r="L2847" s="99"/>
      <c r="M2847" s="99"/>
      <c r="N2847" s="99"/>
      <c r="O2847" s="99"/>
      <c r="P2847" s="99"/>
      <c r="Q2847" s="99"/>
      <c r="R2847" s="99"/>
      <c r="S2847" s="99"/>
      <c r="T2847" s="99"/>
      <c r="U2847" s="99"/>
      <c r="V2847" s="99"/>
    </row>
    <row r="2848" spans="1:22" ht="15" customHeight="1">
      <c r="A2848" s="297"/>
      <c r="B2848" s="217"/>
      <c r="C2848" s="217"/>
      <c r="D2848" s="101"/>
      <c r="E2848" s="101"/>
      <c r="F2848" s="294"/>
      <c r="G2848" s="295"/>
      <c r="H2848" s="98"/>
      <c r="I2848" s="99"/>
      <c r="J2848" s="99"/>
      <c r="K2848" s="99"/>
      <c r="L2848" s="99"/>
      <c r="M2848" s="99"/>
      <c r="N2848" s="99"/>
      <c r="O2848" s="99"/>
      <c r="P2848" s="99"/>
      <c r="Q2848" s="99"/>
      <c r="R2848" s="99"/>
      <c r="S2848" s="99"/>
      <c r="T2848" s="99"/>
      <c r="U2848" s="99"/>
      <c r="V2848" s="99"/>
    </row>
    <row r="2849" spans="1:22" ht="15" customHeight="1">
      <c r="A2849" s="297"/>
      <c r="B2849" s="217"/>
      <c r="C2849" s="217"/>
      <c r="D2849" s="101"/>
      <c r="E2849" s="101"/>
      <c r="F2849" s="294"/>
      <c r="G2849" s="295"/>
      <c r="H2849" s="98"/>
      <c r="I2849" s="99"/>
      <c r="J2849" s="99"/>
      <c r="K2849" s="99"/>
      <c r="L2849" s="99"/>
      <c r="M2849" s="99"/>
      <c r="N2849" s="99"/>
      <c r="O2849" s="99"/>
      <c r="P2849" s="99"/>
      <c r="Q2849" s="99"/>
      <c r="R2849" s="99"/>
      <c r="S2849" s="99"/>
      <c r="T2849" s="99"/>
      <c r="U2849" s="99"/>
      <c r="V2849" s="99"/>
    </row>
    <row r="2850" spans="1:22" ht="15" customHeight="1">
      <c r="A2850" s="297"/>
      <c r="B2850" s="217"/>
      <c r="C2850" s="217"/>
      <c r="D2850" s="101"/>
      <c r="E2850" s="101"/>
      <c r="F2850" s="294"/>
      <c r="G2850" s="295"/>
      <c r="H2850" s="107"/>
      <c r="I2850" s="109"/>
      <c r="J2850" s="109"/>
      <c r="K2850" s="109"/>
      <c r="L2850" s="109"/>
      <c r="M2850" s="109"/>
      <c r="N2850" s="109"/>
      <c r="O2850" s="109"/>
      <c r="P2850" s="109"/>
      <c r="Q2850" s="109"/>
      <c r="R2850" s="109"/>
      <c r="S2850" s="109"/>
      <c r="T2850" s="109"/>
      <c r="U2850" s="202"/>
      <c r="V2850" s="202"/>
    </row>
    <row r="2851" spans="1:22" ht="15" customHeight="1">
      <c r="A2851" s="297"/>
      <c r="B2851" s="217"/>
      <c r="C2851" s="217"/>
      <c r="D2851" s="101"/>
      <c r="E2851" s="101"/>
      <c r="F2851" s="294"/>
      <c r="G2851" s="295"/>
      <c r="H2851" s="98"/>
      <c r="I2851" s="106"/>
      <c r="J2851" s="106"/>
      <c r="K2851" s="106"/>
      <c r="L2851" s="106"/>
      <c r="M2851" s="106"/>
      <c r="N2851" s="112"/>
      <c r="O2851" s="112"/>
      <c r="P2851" s="112"/>
      <c r="Q2851" s="113"/>
      <c r="R2851" s="113"/>
      <c r="S2851" s="113"/>
      <c r="T2851" s="113"/>
      <c r="U2851" s="113"/>
      <c r="V2851" s="113"/>
    </row>
    <row r="2852" spans="1:22" ht="15" customHeight="1">
      <c r="A2852" s="297"/>
      <c r="B2852" s="217"/>
      <c r="C2852" s="217"/>
      <c r="D2852" s="101"/>
      <c r="E2852" s="101"/>
      <c r="F2852" s="294"/>
      <c r="G2852" s="295"/>
      <c r="H2852" s="98"/>
      <c r="I2852" s="99"/>
      <c r="J2852" s="99"/>
      <c r="K2852" s="99"/>
      <c r="L2852" s="99"/>
      <c r="M2852" s="99"/>
      <c r="N2852" s="99"/>
      <c r="O2852" s="99"/>
      <c r="P2852" s="99"/>
      <c r="Q2852" s="99"/>
      <c r="R2852" s="99"/>
      <c r="S2852" s="99"/>
      <c r="T2852" s="99"/>
      <c r="U2852" s="99"/>
      <c r="V2852" s="99"/>
    </row>
    <row r="2853" spans="1:22" ht="15" customHeight="1">
      <c r="A2853" s="297"/>
      <c r="B2853" s="217"/>
      <c r="C2853" s="217"/>
      <c r="D2853" s="101"/>
      <c r="E2853" s="101"/>
      <c r="F2853" s="294"/>
      <c r="G2853" s="295"/>
      <c r="H2853" s="107"/>
      <c r="I2853" s="109"/>
      <c r="J2853" s="109"/>
      <c r="K2853" s="109"/>
      <c r="L2853" s="109"/>
      <c r="M2853" s="109"/>
      <c r="N2853" s="109"/>
      <c r="O2853" s="109"/>
      <c r="P2853" s="109"/>
      <c r="Q2853" s="109"/>
      <c r="R2853" s="109"/>
      <c r="S2853" s="109"/>
      <c r="T2853" s="109"/>
      <c r="U2853" s="202"/>
      <c r="V2853" s="202"/>
    </row>
    <row r="2854" spans="1:22" ht="15" customHeight="1">
      <c r="A2854" s="297"/>
      <c r="B2854" s="217"/>
      <c r="C2854" s="217"/>
      <c r="D2854" s="101"/>
      <c r="E2854" s="101"/>
      <c r="F2854" s="294"/>
      <c r="G2854" s="295"/>
      <c r="H2854" s="98"/>
      <c r="I2854" s="106"/>
      <c r="J2854" s="106"/>
      <c r="K2854" s="106"/>
      <c r="L2854" s="106"/>
      <c r="M2854" s="106"/>
      <c r="N2854" s="112"/>
      <c r="O2854" s="112"/>
      <c r="P2854" s="112"/>
      <c r="Q2854" s="113"/>
      <c r="R2854" s="113"/>
      <c r="S2854" s="113"/>
      <c r="T2854" s="113"/>
      <c r="U2854" s="113"/>
      <c r="V2854" s="113"/>
    </row>
    <row r="2855" spans="1:22" ht="15" customHeight="1">
      <c r="A2855" s="297"/>
      <c r="B2855" s="217"/>
      <c r="C2855" s="217"/>
      <c r="D2855" s="101"/>
      <c r="E2855" s="101"/>
      <c r="F2855" s="294"/>
      <c r="G2855" s="295"/>
      <c r="H2855" s="114"/>
      <c r="I2855" s="108"/>
      <c r="J2855" s="108"/>
      <c r="K2855" s="108"/>
      <c r="L2855" s="108"/>
      <c r="M2855" s="108"/>
      <c r="N2855" s="108"/>
      <c r="O2855" s="108"/>
      <c r="P2855" s="108"/>
      <c r="Q2855" s="108"/>
      <c r="R2855" s="108"/>
      <c r="S2855" s="108"/>
      <c r="T2855" s="108"/>
      <c r="U2855" s="233"/>
      <c r="V2855" s="233"/>
    </row>
    <row r="2856" spans="1:22" ht="15" customHeight="1" thickBot="1">
      <c r="A2856" s="297"/>
      <c r="B2856" s="217"/>
      <c r="C2856" s="217"/>
      <c r="D2856" s="101"/>
      <c r="E2856" s="101"/>
      <c r="F2856" s="294"/>
      <c r="G2856" s="295"/>
      <c r="H2856" s="98"/>
      <c r="I2856" s="218"/>
      <c r="J2856" s="218"/>
      <c r="K2856" s="218"/>
      <c r="L2856" s="218"/>
      <c r="M2856" s="218"/>
      <c r="U2856" s="212"/>
      <c r="V2856" s="212"/>
    </row>
    <row r="2857" spans="1:22" ht="15" customHeight="1" thickBot="1">
      <c r="A2857" s="297"/>
      <c r="B2857" s="217"/>
      <c r="C2857" s="217"/>
      <c r="D2857" s="101"/>
      <c r="E2857" s="101"/>
      <c r="F2857" s="294"/>
      <c r="G2857" s="295"/>
      <c r="H2857" s="686"/>
      <c r="I2857" s="687"/>
      <c r="J2857" s="687"/>
      <c r="K2857" s="687"/>
      <c r="L2857" s="687"/>
      <c r="M2857" s="687"/>
      <c r="N2857" s="687"/>
      <c r="O2857" s="687"/>
      <c r="P2857" s="687"/>
      <c r="Q2857" s="687"/>
      <c r="R2857" s="687"/>
      <c r="S2857" s="715"/>
      <c r="T2857" s="688"/>
      <c r="U2857" s="254"/>
      <c r="V2857" s="254"/>
    </row>
    <row r="2858" spans="1:22" ht="15" customHeight="1">
      <c r="A2858" s="297"/>
      <c r="B2858" s="217"/>
      <c r="C2858" s="217"/>
      <c r="D2858" s="101"/>
      <c r="E2858" s="101"/>
      <c r="F2858" s="294"/>
      <c r="G2858" s="295"/>
      <c r="H2858" s="225"/>
      <c r="I2858" s="225"/>
      <c r="J2858" s="225"/>
      <c r="K2858" s="225"/>
      <c r="L2858" s="225"/>
      <c r="M2858" s="225"/>
      <c r="N2858" s="225"/>
      <c r="O2858" s="225"/>
      <c r="P2858" s="225"/>
      <c r="Q2858" s="225"/>
      <c r="R2858" s="225"/>
      <c r="S2858" s="225"/>
      <c r="T2858" s="225"/>
      <c r="U2858" s="225"/>
      <c r="V2858" s="225"/>
    </row>
    <row r="2859" spans="1:22" ht="15" customHeight="1">
      <c r="A2859" s="297"/>
      <c r="B2859" s="217"/>
      <c r="C2859" s="217"/>
      <c r="D2859" s="101"/>
      <c r="E2859" s="101"/>
      <c r="F2859" s="294"/>
      <c r="G2859" s="295"/>
      <c r="H2859" s="98"/>
      <c r="I2859" s="99"/>
      <c r="J2859" s="99"/>
      <c r="K2859" s="99"/>
      <c r="L2859" s="99"/>
      <c r="M2859" s="99"/>
      <c r="N2859" s="99"/>
      <c r="O2859" s="99"/>
      <c r="P2859" s="99"/>
      <c r="Q2859" s="99"/>
      <c r="R2859" s="99"/>
      <c r="S2859" s="99"/>
      <c r="T2859" s="99"/>
      <c r="U2859" s="99"/>
      <c r="V2859" s="99"/>
    </row>
    <row r="2860" spans="1:22" ht="15" customHeight="1">
      <c r="A2860" s="297"/>
      <c r="B2860" s="217"/>
      <c r="C2860" s="217"/>
      <c r="D2860" s="101"/>
      <c r="E2860" s="101"/>
      <c r="F2860" s="294"/>
      <c r="G2860" s="295"/>
      <c r="H2860" s="98"/>
      <c r="I2860" s="99"/>
      <c r="J2860" s="99"/>
      <c r="K2860" s="99"/>
      <c r="L2860" s="99"/>
      <c r="M2860" s="99"/>
      <c r="N2860" s="99"/>
      <c r="O2860" s="99"/>
      <c r="P2860" s="99"/>
      <c r="Q2860" s="99"/>
      <c r="R2860" s="99"/>
      <c r="S2860" s="99"/>
      <c r="T2860" s="99"/>
      <c r="U2860" s="99"/>
      <c r="V2860" s="99"/>
    </row>
    <row r="2861" spans="1:22" ht="15" customHeight="1">
      <c r="A2861" s="297"/>
      <c r="B2861" s="217"/>
      <c r="C2861" s="217"/>
      <c r="D2861" s="101"/>
      <c r="E2861" s="101"/>
      <c r="F2861" s="294"/>
      <c r="G2861" s="295"/>
      <c r="H2861" s="98"/>
      <c r="I2861" s="99"/>
      <c r="J2861" s="99"/>
      <c r="K2861" s="99"/>
      <c r="L2861" s="99"/>
      <c r="M2861" s="99"/>
      <c r="N2861" s="99"/>
      <c r="O2861" s="99"/>
      <c r="P2861" s="99"/>
      <c r="Q2861" s="99"/>
      <c r="R2861" s="99"/>
      <c r="S2861" s="99"/>
      <c r="T2861" s="99"/>
      <c r="U2861" s="99"/>
      <c r="V2861" s="99"/>
    </row>
    <row r="2862" spans="1:22" ht="15" customHeight="1">
      <c r="A2862" s="297"/>
      <c r="B2862" s="217"/>
      <c r="C2862" s="217"/>
      <c r="D2862" s="101"/>
      <c r="E2862" s="101"/>
      <c r="F2862" s="294"/>
      <c r="G2862" s="295"/>
      <c r="H2862" s="98"/>
      <c r="I2862" s="99"/>
      <c r="J2862" s="99"/>
      <c r="K2862" s="99"/>
      <c r="L2862" s="99"/>
      <c r="M2862" s="99"/>
      <c r="N2862" s="99"/>
      <c r="O2862" s="99"/>
      <c r="P2862" s="99"/>
      <c r="Q2862" s="99"/>
      <c r="R2862" s="99"/>
      <c r="S2862" s="99"/>
      <c r="T2862" s="99"/>
      <c r="U2862" s="99"/>
      <c r="V2862" s="99"/>
    </row>
    <row r="2863" spans="1:22" ht="15" customHeight="1">
      <c r="A2863" s="297"/>
      <c r="B2863" s="217"/>
      <c r="C2863" s="217"/>
      <c r="D2863" s="101"/>
      <c r="E2863" s="101"/>
      <c r="F2863" s="294"/>
      <c r="G2863" s="295"/>
      <c r="H2863" s="98"/>
      <c r="I2863" s="99"/>
      <c r="J2863" s="99"/>
      <c r="K2863" s="99"/>
      <c r="L2863" s="99"/>
      <c r="M2863" s="99"/>
      <c r="N2863" s="99"/>
      <c r="O2863" s="99"/>
      <c r="P2863" s="99"/>
      <c r="Q2863" s="99"/>
      <c r="R2863" s="99"/>
      <c r="S2863" s="99"/>
      <c r="T2863" s="99"/>
      <c r="U2863" s="99"/>
      <c r="V2863" s="99"/>
    </row>
    <row r="2864" spans="1:22" ht="15" customHeight="1">
      <c r="A2864" s="297"/>
      <c r="B2864" s="217"/>
      <c r="C2864" s="217"/>
      <c r="D2864" s="101"/>
      <c r="E2864" s="101"/>
      <c r="F2864" s="294"/>
      <c r="G2864" s="295"/>
      <c r="H2864" s="98"/>
      <c r="I2864" s="99"/>
      <c r="J2864" s="99"/>
      <c r="K2864" s="99"/>
      <c r="L2864" s="99"/>
      <c r="M2864" s="99"/>
      <c r="N2864" s="99"/>
      <c r="O2864" s="99"/>
      <c r="P2864" s="99"/>
      <c r="Q2864" s="99"/>
      <c r="R2864" s="99"/>
      <c r="S2864" s="99"/>
      <c r="T2864" s="99"/>
      <c r="U2864" s="99"/>
      <c r="V2864" s="99"/>
    </row>
    <row r="2865" spans="1:22" ht="15" customHeight="1">
      <c r="A2865" s="297"/>
      <c r="B2865" s="217"/>
      <c r="C2865" s="217"/>
      <c r="D2865" s="101"/>
      <c r="E2865" s="101"/>
      <c r="F2865" s="294"/>
      <c r="G2865" s="295"/>
      <c r="H2865" s="98"/>
      <c r="I2865" s="99"/>
      <c r="J2865" s="99"/>
      <c r="K2865" s="99"/>
      <c r="L2865" s="99"/>
      <c r="M2865" s="99"/>
      <c r="N2865" s="99"/>
      <c r="O2865" s="99"/>
      <c r="P2865" s="99"/>
      <c r="Q2865" s="99"/>
      <c r="R2865" s="99"/>
      <c r="S2865" s="99"/>
      <c r="T2865" s="99"/>
      <c r="U2865" s="99"/>
      <c r="V2865" s="99"/>
    </row>
    <row r="2866" spans="1:22" ht="15" customHeight="1">
      <c r="A2866" s="297"/>
      <c r="B2866" s="217"/>
      <c r="C2866" s="217"/>
      <c r="D2866" s="101"/>
      <c r="E2866" s="101"/>
      <c r="F2866" s="294"/>
      <c r="G2866" s="295"/>
      <c r="H2866" s="98"/>
      <c r="I2866" s="99"/>
      <c r="J2866" s="99"/>
      <c r="K2866" s="99"/>
      <c r="L2866" s="99"/>
      <c r="M2866" s="99"/>
      <c r="N2866" s="99"/>
      <c r="O2866" s="99"/>
      <c r="P2866" s="99"/>
      <c r="Q2866" s="99"/>
      <c r="R2866" s="99"/>
      <c r="S2866" s="99"/>
      <c r="T2866" s="99"/>
      <c r="U2866" s="99"/>
      <c r="V2866" s="99"/>
    </row>
    <row r="2867" spans="1:22" ht="15" customHeight="1">
      <c r="A2867" s="297"/>
      <c r="B2867" s="217"/>
      <c r="C2867" s="217"/>
      <c r="D2867" s="101"/>
      <c r="E2867" s="101"/>
      <c r="F2867" s="294"/>
      <c r="G2867" s="295"/>
      <c r="H2867" s="98"/>
      <c r="I2867" s="99"/>
      <c r="J2867" s="99"/>
      <c r="K2867" s="99"/>
      <c r="L2867" s="99"/>
      <c r="M2867" s="99"/>
      <c r="N2867" s="99"/>
      <c r="O2867" s="99"/>
      <c r="P2867" s="99"/>
      <c r="Q2867" s="99"/>
      <c r="R2867" s="99"/>
      <c r="S2867" s="99"/>
      <c r="T2867" s="99"/>
      <c r="U2867" s="99"/>
      <c r="V2867" s="99"/>
    </row>
    <row r="2868" spans="1:22" ht="15" customHeight="1">
      <c r="A2868" s="297"/>
      <c r="B2868" s="217"/>
      <c r="C2868" s="217"/>
      <c r="D2868" s="101"/>
      <c r="E2868" s="101"/>
      <c r="F2868" s="294"/>
      <c r="G2868" s="295"/>
      <c r="H2868" s="98"/>
      <c r="I2868" s="99"/>
      <c r="J2868" s="99"/>
      <c r="K2868" s="99"/>
      <c r="L2868" s="99"/>
      <c r="M2868" s="99"/>
      <c r="N2868" s="99"/>
      <c r="O2868" s="99"/>
      <c r="P2868" s="99"/>
      <c r="Q2868" s="99"/>
      <c r="R2868" s="99"/>
      <c r="S2868" s="99"/>
      <c r="T2868" s="99"/>
      <c r="U2868" s="99"/>
      <c r="V2868" s="99"/>
    </row>
    <row r="2869" spans="1:22" ht="15" customHeight="1">
      <c r="A2869" s="297"/>
      <c r="B2869" s="217"/>
      <c r="C2869" s="217"/>
      <c r="D2869" s="101"/>
      <c r="E2869" s="101"/>
      <c r="F2869" s="294"/>
      <c r="G2869" s="295"/>
      <c r="H2869" s="98"/>
      <c r="I2869" s="99"/>
      <c r="J2869" s="99"/>
      <c r="K2869" s="99"/>
      <c r="L2869" s="99"/>
      <c r="M2869" s="99"/>
      <c r="N2869" s="99"/>
      <c r="O2869" s="99"/>
      <c r="P2869" s="99"/>
      <c r="Q2869" s="99"/>
      <c r="R2869" s="99"/>
      <c r="S2869" s="99"/>
      <c r="T2869" s="99"/>
      <c r="U2869" s="99"/>
      <c r="V2869" s="99"/>
    </row>
    <row r="2870" spans="1:22" ht="15" customHeight="1">
      <c r="A2870" s="297"/>
      <c r="B2870" s="217"/>
      <c r="C2870" s="217"/>
      <c r="D2870" s="101"/>
      <c r="E2870" s="101"/>
      <c r="F2870" s="294"/>
      <c r="G2870" s="295"/>
      <c r="H2870" s="98"/>
      <c r="I2870" s="99"/>
      <c r="J2870" s="99"/>
      <c r="K2870" s="99"/>
      <c r="L2870" s="99"/>
      <c r="M2870" s="99"/>
      <c r="N2870" s="99"/>
      <c r="O2870" s="99"/>
      <c r="P2870" s="99"/>
      <c r="Q2870" s="99"/>
      <c r="R2870" s="99"/>
      <c r="S2870" s="99"/>
      <c r="T2870" s="99"/>
      <c r="U2870" s="99"/>
      <c r="V2870" s="99"/>
    </row>
    <row r="2871" spans="1:22" ht="15" customHeight="1">
      <c r="A2871" s="297"/>
      <c r="B2871" s="217"/>
      <c r="C2871" s="217"/>
      <c r="D2871" s="101"/>
      <c r="E2871" s="101"/>
      <c r="F2871" s="294"/>
      <c r="G2871" s="295"/>
      <c r="H2871" s="98"/>
      <c r="I2871" s="99"/>
      <c r="J2871" s="99"/>
      <c r="K2871" s="99"/>
      <c r="L2871" s="99"/>
      <c r="M2871" s="99"/>
      <c r="N2871" s="99"/>
      <c r="O2871" s="99"/>
      <c r="P2871" s="99"/>
      <c r="Q2871" s="99"/>
      <c r="R2871" s="99"/>
      <c r="S2871" s="99"/>
      <c r="T2871" s="99"/>
      <c r="U2871" s="99"/>
      <c r="V2871" s="99"/>
    </row>
    <row r="2872" spans="1:22" ht="15" customHeight="1">
      <c r="A2872" s="297"/>
      <c r="B2872" s="217"/>
      <c r="C2872" s="217"/>
      <c r="D2872" s="101"/>
      <c r="E2872" s="101"/>
      <c r="F2872" s="294"/>
      <c r="G2872" s="295"/>
      <c r="H2872" s="107"/>
      <c r="I2872" s="108"/>
      <c r="J2872" s="108"/>
      <c r="K2872" s="108"/>
      <c r="L2872" s="108"/>
      <c r="M2872" s="108"/>
      <c r="N2872" s="108"/>
      <c r="O2872" s="108"/>
      <c r="P2872" s="108"/>
      <c r="Q2872" s="108"/>
      <c r="R2872" s="108"/>
      <c r="S2872" s="108"/>
      <c r="T2872" s="108"/>
      <c r="U2872" s="233"/>
      <c r="V2872" s="233"/>
    </row>
    <row r="2873" spans="1:22" ht="15" customHeight="1">
      <c r="A2873" s="297"/>
      <c r="B2873" s="217"/>
      <c r="C2873" s="217"/>
      <c r="D2873" s="101"/>
      <c r="E2873" s="101"/>
      <c r="F2873" s="294"/>
      <c r="G2873" s="295"/>
      <c r="H2873" s="98"/>
      <c r="I2873" s="106"/>
      <c r="J2873" s="106"/>
      <c r="K2873" s="106"/>
      <c r="L2873" s="106"/>
      <c r="M2873" s="106"/>
      <c r="N2873" s="112"/>
      <c r="O2873" s="112"/>
      <c r="P2873" s="112"/>
      <c r="Q2873" s="113"/>
      <c r="R2873" s="113"/>
      <c r="S2873" s="113"/>
      <c r="T2873" s="113"/>
      <c r="U2873" s="113"/>
      <c r="V2873" s="113"/>
    </row>
    <row r="2874" spans="1:22" ht="15" customHeight="1">
      <c r="A2874" s="297"/>
      <c r="B2874" s="217"/>
      <c r="C2874" s="217"/>
      <c r="D2874" s="101"/>
      <c r="E2874" s="101"/>
      <c r="F2874" s="294"/>
      <c r="G2874" s="295"/>
      <c r="H2874" s="98"/>
      <c r="I2874" s="99"/>
      <c r="J2874" s="99"/>
      <c r="K2874" s="99"/>
      <c r="L2874" s="99"/>
      <c r="M2874" s="99"/>
      <c r="N2874" s="99"/>
      <c r="O2874" s="99"/>
      <c r="P2874" s="99"/>
      <c r="Q2874" s="99"/>
      <c r="R2874" s="99"/>
      <c r="S2874" s="99"/>
      <c r="T2874" s="99"/>
      <c r="U2874" s="99"/>
      <c r="V2874" s="99"/>
    </row>
    <row r="2875" spans="1:22" ht="15" customHeight="1">
      <c r="A2875" s="297"/>
      <c r="B2875" s="217"/>
      <c r="C2875" s="217"/>
      <c r="D2875" s="101"/>
      <c r="E2875" s="101"/>
      <c r="F2875" s="294"/>
      <c r="G2875" s="295"/>
      <c r="H2875" s="98"/>
      <c r="I2875" s="99"/>
      <c r="J2875" s="99"/>
      <c r="K2875" s="99"/>
      <c r="L2875" s="99"/>
      <c r="M2875" s="99"/>
      <c r="N2875" s="99"/>
      <c r="O2875" s="99"/>
      <c r="P2875" s="99"/>
      <c r="Q2875" s="99"/>
      <c r="R2875" s="99"/>
      <c r="S2875" s="99"/>
      <c r="T2875" s="99"/>
      <c r="U2875" s="99"/>
      <c r="V2875" s="99"/>
    </row>
    <row r="2876" spans="1:22" ht="15" customHeight="1">
      <c r="A2876" s="297"/>
      <c r="B2876" s="217"/>
      <c r="C2876" s="217"/>
      <c r="D2876" s="101"/>
      <c r="E2876" s="101"/>
      <c r="F2876" s="294"/>
      <c r="G2876" s="295"/>
      <c r="H2876" s="98"/>
      <c r="I2876" s="99"/>
      <c r="J2876" s="99"/>
      <c r="K2876" s="99"/>
      <c r="L2876" s="99"/>
      <c r="M2876" s="99"/>
      <c r="N2876" s="99"/>
      <c r="O2876" s="99"/>
      <c r="P2876" s="99"/>
      <c r="Q2876" s="99"/>
      <c r="R2876" s="99"/>
      <c r="S2876" s="99"/>
      <c r="T2876" s="99"/>
      <c r="U2876" s="99"/>
      <c r="V2876" s="99"/>
    </row>
    <row r="2877" spans="1:22" ht="15" customHeight="1">
      <c r="A2877" s="297"/>
      <c r="B2877" s="217"/>
      <c r="C2877" s="217"/>
      <c r="D2877" s="101"/>
      <c r="E2877" s="101"/>
      <c r="F2877" s="294"/>
      <c r="G2877" s="295"/>
      <c r="H2877" s="98"/>
      <c r="I2877" s="99"/>
      <c r="J2877" s="99"/>
      <c r="K2877" s="99"/>
      <c r="L2877" s="99"/>
      <c r="M2877" s="99"/>
      <c r="N2877" s="99"/>
      <c r="O2877" s="99"/>
      <c r="P2877" s="99"/>
      <c r="Q2877" s="99"/>
      <c r="R2877" s="99"/>
      <c r="S2877" s="99"/>
      <c r="T2877" s="99"/>
      <c r="U2877" s="99"/>
      <c r="V2877" s="99"/>
    </row>
    <row r="2878" spans="1:22" ht="15" customHeight="1">
      <c r="A2878" s="297"/>
      <c r="B2878" s="217"/>
      <c r="C2878" s="217"/>
      <c r="D2878" s="101"/>
      <c r="E2878" s="101"/>
      <c r="F2878" s="294"/>
      <c r="G2878" s="295"/>
      <c r="H2878" s="107"/>
      <c r="I2878" s="109"/>
      <c r="J2878" s="109"/>
      <c r="K2878" s="109"/>
      <c r="L2878" s="109"/>
      <c r="M2878" s="109"/>
      <c r="N2878" s="109"/>
      <c r="O2878" s="109"/>
      <c r="P2878" s="109"/>
      <c r="Q2878" s="109"/>
      <c r="R2878" s="109"/>
      <c r="S2878" s="109"/>
      <c r="T2878" s="109"/>
      <c r="U2878" s="202"/>
      <c r="V2878" s="202"/>
    </row>
    <row r="2879" spans="1:22" ht="15" customHeight="1">
      <c r="A2879" s="297"/>
      <c r="B2879" s="217"/>
      <c r="C2879" s="217"/>
      <c r="D2879" s="101"/>
      <c r="E2879" s="101"/>
      <c r="F2879" s="294"/>
      <c r="G2879" s="295"/>
      <c r="H2879" s="98"/>
      <c r="I2879" s="106"/>
      <c r="J2879" s="106"/>
      <c r="K2879" s="106"/>
      <c r="L2879" s="106"/>
      <c r="M2879" s="106"/>
      <c r="N2879" s="112"/>
      <c r="O2879" s="112"/>
      <c r="P2879" s="112"/>
      <c r="Q2879" s="113"/>
      <c r="R2879" s="113"/>
      <c r="S2879" s="113"/>
      <c r="T2879" s="113"/>
      <c r="U2879" s="113"/>
      <c r="V2879" s="113"/>
    </row>
    <row r="2880" spans="1:22" ht="15" customHeight="1">
      <c r="A2880" s="297"/>
      <c r="B2880" s="217"/>
      <c r="C2880" s="217"/>
      <c r="D2880" s="101"/>
      <c r="E2880" s="101"/>
      <c r="F2880" s="294"/>
      <c r="G2880" s="295"/>
      <c r="H2880" s="98"/>
      <c r="I2880" s="99"/>
      <c r="J2880" s="99"/>
      <c r="K2880" s="99"/>
      <c r="L2880" s="99"/>
      <c r="M2880" s="99"/>
      <c r="N2880" s="99"/>
      <c r="O2880" s="99"/>
      <c r="P2880" s="99"/>
      <c r="Q2880" s="99"/>
      <c r="R2880" s="99"/>
      <c r="S2880" s="99"/>
      <c r="T2880" s="99"/>
      <c r="U2880" s="99"/>
      <c r="V2880" s="99"/>
    </row>
    <row r="2881" spans="1:22" ht="15" customHeight="1">
      <c r="A2881" s="297"/>
      <c r="B2881" s="217"/>
      <c r="C2881" s="217"/>
      <c r="D2881" s="101"/>
      <c r="E2881" s="101"/>
      <c r="F2881" s="294"/>
      <c r="G2881" s="295"/>
      <c r="H2881" s="98"/>
      <c r="I2881" s="99"/>
      <c r="J2881" s="99"/>
      <c r="K2881" s="99"/>
      <c r="L2881" s="99"/>
      <c r="M2881" s="99"/>
      <c r="N2881" s="99"/>
      <c r="O2881" s="99"/>
      <c r="P2881" s="99"/>
      <c r="Q2881" s="99"/>
      <c r="R2881" s="99"/>
      <c r="S2881" s="99"/>
      <c r="T2881" s="99"/>
      <c r="U2881" s="99"/>
      <c r="V2881" s="99"/>
    </row>
    <row r="2882" spans="1:22" ht="15" customHeight="1">
      <c r="A2882" s="297"/>
      <c r="B2882" s="217"/>
      <c r="C2882" s="217"/>
      <c r="D2882" s="101"/>
      <c r="E2882" s="101"/>
      <c r="F2882" s="294"/>
      <c r="G2882" s="295"/>
      <c r="H2882" s="98"/>
      <c r="I2882" s="99"/>
      <c r="J2882" s="99"/>
      <c r="K2882" s="99"/>
      <c r="L2882" s="99"/>
      <c r="M2882" s="99"/>
      <c r="N2882" s="99"/>
      <c r="O2882" s="99"/>
      <c r="P2882" s="99"/>
      <c r="Q2882" s="99"/>
      <c r="R2882" s="99"/>
      <c r="S2882" s="99"/>
      <c r="T2882" s="99"/>
      <c r="U2882" s="99"/>
      <c r="V2882" s="99"/>
    </row>
    <row r="2883" spans="1:22" ht="15" customHeight="1">
      <c r="A2883" s="297"/>
      <c r="B2883" s="217"/>
      <c r="C2883" s="217"/>
      <c r="D2883" s="101"/>
      <c r="E2883" s="101"/>
      <c r="F2883" s="294"/>
      <c r="G2883" s="295"/>
      <c r="H2883" s="98"/>
      <c r="I2883" s="99"/>
      <c r="J2883" s="99"/>
      <c r="K2883" s="99"/>
      <c r="L2883" s="99"/>
      <c r="M2883" s="99"/>
      <c r="N2883" s="99"/>
      <c r="O2883" s="99"/>
      <c r="P2883" s="99"/>
      <c r="Q2883" s="99"/>
      <c r="R2883" s="99"/>
      <c r="S2883" s="99"/>
      <c r="T2883" s="99"/>
      <c r="U2883" s="99"/>
      <c r="V2883" s="99"/>
    </row>
    <row r="2884" spans="1:22" ht="15" customHeight="1">
      <c r="A2884" s="297"/>
      <c r="B2884" s="217"/>
      <c r="C2884" s="217"/>
      <c r="D2884" s="101"/>
      <c r="E2884" s="101"/>
      <c r="F2884" s="294"/>
      <c r="G2884" s="295"/>
      <c r="H2884" s="98"/>
      <c r="I2884" s="99"/>
      <c r="J2884" s="99"/>
      <c r="K2884" s="99"/>
      <c r="L2884" s="99"/>
      <c r="M2884" s="99"/>
      <c r="N2884" s="99"/>
      <c r="O2884" s="99"/>
      <c r="P2884" s="99"/>
      <c r="Q2884" s="99"/>
      <c r="R2884" s="99"/>
      <c r="S2884" s="99"/>
      <c r="T2884" s="99"/>
      <c r="U2884" s="99"/>
      <c r="V2884" s="99"/>
    </row>
    <row r="2885" spans="1:22" ht="15" customHeight="1">
      <c r="A2885" s="297"/>
      <c r="B2885" s="217"/>
      <c r="C2885" s="217"/>
      <c r="D2885" s="101"/>
      <c r="E2885" s="101"/>
      <c r="F2885" s="294"/>
      <c r="G2885" s="295"/>
      <c r="H2885" s="98"/>
      <c r="I2885" s="99"/>
      <c r="J2885" s="99"/>
      <c r="K2885" s="99"/>
      <c r="L2885" s="99"/>
      <c r="M2885" s="99"/>
      <c r="N2885" s="99"/>
      <c r="O2885" s="99"/>
      <c r="P2885" s="99"/>
      <c r="Q2885" s="99"/>
      <c r="R2885" s="99"/>
      <c r="S2885" s="99"/>
      <c r="T2885" s="99"/>
      <c r="U2885" s="99"/>
      <c r="V2885" s="99"/>
    </row>
    <row r="2886" spans="1:22" ht="15" customHeight="1">
      <c r="A2886" s="297"/>
      <c r="B2886" s="217"/>
      <c r="C2886" s="217"/>
      <c r="D2886" s="101"/>
      <c r="E2886" s="101"/>
      <c r="F2886" s="294"/>
      <c r="G2886" s="295"/>
      <c r="H2886" s="98"/>
      <c r="I2886" s="99"/>
      <c r="J2886" s="99"/>
      <c r="K2886" s="99"/>
      <c r="L2886" s="99"/>
      <c r="M2886" s="99"/>
      <c r="N2886" s="99"/>
      <c r="O2886" s="99"/>
      <c r="P2886" s="99"/>
      <c r="Q2886" s="99"/>
      <c r="R2886" s="99"/>
      <c r="S2886" s="99"/>
      <c r="T2886" s="99"/>
      <c r="U2886" s="99"/>
      <c r="V2886" s="99"/>
    </row>
    <row r="2887" spans="1:22" ht="15" customHeight="1">
      <c r="A2887" s="297"/>
      <c r="B2887" s="217"/>
      <c r="C2887" s="217"/>
      <c r="D2887" s="101"/>
      <c r="E2887" s="101"/>
      <c r="F2887" s="294"/>
      <c r="G2887" s="295"/>
      <c r="H2887" s="98"/>
      <c r="I2887" s="99"/>
      <c r="J2887" s="99"/>
      <c r="K2887" s="99"/>
      <c r="L2887" s="99"/>
      <c r="M2887" s="99"/>
      <c r="N2887" s="99"/>
      <c r="O2887" s="99"/>
      <c r="P2887" s="99"/>
      <c r="Q2887" s="99"/>
      <c r="R2887" s="99"/>
      <c r="S2887" s="99"/>
      <c r="T2887" s="99"/>
      <c r="U2887" s="99"/>
      <c r="V2887" s="99"/>
    </row>
    <row r="2888" spans="1:22" ht="15" customHeight="1">
      <c r="A2888" s="297"/>
      <c r="B2888" s="217"/>
      <c r="C2888" s="217"/>
      <c r="D2888" s="101"/>
      <c r="E2888" s="101"/>
      <c r="F2888" s="294"/>
      <c r="G2888" s="295"/>
      <c r="H2888" s="107"/>
      <c r="I2888" s="109"/>
      <c r="J2888" s="109"/>
      <c r="K2888" s="109"/>
      <c r="L2888" s="109"/>
      <c r="M2888" s="109"/>
      <c r="N2888" s="109"/>
      <c r="O2888" s="109"/>
      <c r="P2888" s="109"/>
      <c r="Q2888" s="109"/>
      <c r="R2888" s="109"/>
      <c r="S2888" s="109"/>
      <c r="T2888" s="109"/>
      <c r="U2888" s="202"/>
      <c r="V2888" s="202"/>
    </row>
    <row r="2889" spans="1:22" ht="15" customHeight="1">
      <c r="A2889" s="297"/>
      <c r="B2889" s="217"/>
      <c r="C2889" s="217"/>
      <c r="D2889" s="101"/>
      <c r="E2889" s="101"/>
      <c r="F2889" s="294"/>
      <c r="G2889" s="295"/>
      <c r="H2889" s="98"/>
      <c r="I2889" s="106"/>
      <c r="J2889" s="106"/>
      <c r="K2889" s="106"/>
      <c r="L2889" s="106"/>
      <c r="M2889" s="106"/>
      <c r="N2889" s="112"/>
      <c r="O2889" s="112"/>
      <c r="P2889" s="112"/>
      <c r="Q2889" s="113"/>
      <c r="R2889" s="113"/>
      <c r="S2889" s="113"/>
      <c r="T2889" s="113"/>
      <c r="U2889" s="113"/>
      <c r="V2889" s="113"/>
    </row>
    <row r="2890" spans="1:22" ht="15" customHeight="1">
      <c r="A2890" s="297"/>
      <c r="B2890" s="217"/>
      <c r="C2890" s="217"/>
      <c r="D2890" s="101"/>
      <c r="E2890" s="101"/>
      <c r="F2890" s="294"/>
      <c r="G2890" s="295"/>
      <c r="H2890" s="114"/>
      <c r="I2890" s="108"/>
      <c r="J2890" s="108"/>
      <c r="K2890" s="108"/>
      <c r="L2890" s="108"/>
      <c r="M2890" s="108"/>
      <c r="N2890" s="108"/>
      <c r="O2890" s="108"/>
      <c r="P2890" s="108"/>
      <c r="Q2890" s="108"/>
      <c r="R2890" s="108"/>
      <c r="S2890" s="108"/>
      <c r="T2890" s="108"/>
      <c r="U2890" s="233"/>
      <c r="V2890" s="233"/>
    </row>
    <row r="2891" spans="1:22" ht="15" customHeight="1">
      <c r="A2891" s="297"/>
      <c r="B2891" s="217"/>
      <c r="C2891" s="217"/>
      <c r="D2891" s="101"/>
      <c r="E2891" s="101"/>
      <c r="F2891" s="294"/>
      <c r="G2891" s="295"/>
      <c r="H2891" s="89"/>
      <c r="I2891" s="233"/>
      <c r="J2891" s="233"/>
      <c r="K2891" s="233"/>
      <c r="L2891" s="233"/>
      <c r="M2891" s="233"/>
      <c r="N2891" s="233"/>
      <c r="O2891" s="233"/>
      <c r="P2891" s="233"/>
      <c r="Q2891" s="233"/>
      <c r="R2891" s="233"/>
      <c r="S2891" s="233"/>
      <c r="T2891" s="233"/>
      <c r="U2891" s="233"/>
      <c r="V2891" s="233"/>
    </row>
    <row r="2892" spans="1:22" ht="15" customHeight="1" thickBot="1">
      <c r="A2892" s="297"/>
      <c r="B2892" s="217"/>
      <c r="C2892" s="217"/>
      <c r="D2892" s="101"/>
      <c r="E2892" s="101"/>
      <c r="F2892" s="294"/>
      <c r="G2892" s="295"/>
      <c r="H2892" s="98"/>
      <c r="I2892" s="218"/>
      <c r="J2892" s="218"/>
      <c r="K2892" s="218"/>
      <c r="L2892" s="218"/>
      <c r="M2892" s="218"/>
      <c r="U2892" s="212"/>
      <c r="V2892" s="212"/>
    </row>
    <row r="2893" spans="1:22" ht="15" customHeight="1" thickBot="1">
      <c r="A2893" s="297"/>
      <c r="B2893" s="217"/>
      <c r="C2893" s="217"/>
      <c r="D2893" s="101"/>
      <c r="E2893" s="101"/>
      <c r="F2893" s="294"/>
      <c r="G2893" s="295"/>
      <c r="H2893" s="686"/>
      <c r="I2893" s="687"/>
      <c r="J2893" s="687"/>
      <c r="K2893" s="687"/>
      <c r="L2893" s="687"/>
      <c r="M2893" s="687"/>
      <c r="N2893" s="687"/>
      <c r="O2893" s="687"/>
      <c r="P2893" s="687"/>
      <c r="Q2893" s="687"/>
      <c r="R2893" s="687"/>
      <c r="S2893" s="715"/>
      <c r="T2893" s="688"/>
      <c r="U2893" s="254"/>
      <c r="V2893" s="254"/>
    </row>
    <row r="2894" spans="1:22" ht="15" customHeight="1">
      <c r="A2894" s="297"/>
      <c r="B2894" s="217"/>
      <c r="C2894" s="217"/>
      <c r="D2894" s="101"/>
      <c r="E2894" s="101"/>
      <c r="F2894" s="294"/>
      <c r="G2894" s="295"/>
      <c r="H2894" s="225"/>
      <c r="I2894" s="225"/>
      <c r="J2894" s="225"/>
      <c r="K2894" s="225"/>
      <c r="L2894" s="225"/>
      <c r="M2894" s="225"/>
      <c r="N2894" s="225"/>
      <c r="O2894" s="225"/>
      <c r="P2894" s="225"/>
      <c r="Q2894" s="225"/>
      <c r="R2894" s="225"/>
      <c r="S2894" s="225"/>
      <c r="T2894" s="225"/>
      <c r="U2894" s="225"/>
      <c r="V2894" s="225"/>
    </row>
    <row r="2895" spans="1:22" ht="15" customHeight="1">
      <c r="A2895" s="297"/>
      <c r="B2895" s="217"/>
      <c r="C2895" s="217"/>
      <c r="D2895" s="101"/>
      <c r="E2895" s="101"/>
      <c r="F2895" s="294"/>
      <c r="G2895" s="295"/>
      <c r="H2895" s="98"/>
      <c r="I2895" s="99"/>
      <c r="J2895" s="99"/>
      <c r="K2895" s="99"/>
      <c r="L2895" s="99"/>
      <c r="M2895" s="99"/>
      <c r="N2895" s="99"/>
      <c r="O2895" s="99"/>
      <c r="P2895" s="99"/>
      <c r="Q2895" s="99"/>
      <c r="R2895" s="99"/>
      <c r="S2895" s="99"/>
      <c r="T2895" s="99"/>
      <c r="U2895" s="99"/>
      <c r="V2895" s="99"/>
    </row>
    <row r="2896" spans="1:22" ht="15" customHeight="1">
      <c r="A2896" s="297"/>
      <c r="B2896" s="217"/>
      <c r="C2896" s="217"/>
      <c r="D2896" s="101"/>
      <c r="E2896" s="101"/>
      <c r="F2896" s="294"/>
      <c r="G2896" s="295"/>
      <c r="H2896" s="98"/>
      <c r="I2896" s="99"/>
      <c r="J2896" s="99"/>
      <c r="K2896" s="99"/>
      <c r="L2896" s="99"/>
      <c r="M2896" s="99"/>
      <c r="N2896" s="99"/>
      <c r="O2896" s="99"/>
      <c r="P2896" s="99"/>
      <c r="Q2896" s="99"/>
      <c r="R2896" s="99"/>
      <c r="S2896" s="99"/>
      <c r="T2896" s="99"/>
      <c r="U2896" s="99"/>
      <c r="V2896" s="99"/>
    </row>
    <row r="2897" spans="1:22" ht="15" customHeight="1">
      <c r="A2897" s="297"/>
      <c r="B2897" s="217"/>
      <c r="C2897" s="217"/>
      <c r="D2897" s="101"/>
      <c r="E2897" s="101"/>
      <c r="F2897" s="294"/>
      <c r="G2897" s="295"/>
      <c r="H2897" s="98"/>
      <c r="I2897" s="99"/>
      <c r="J2897" s="99"/>
      <c r="K2897" s="99"/>
      <c r="L2897" s="99"/>
      <c r="M2897" s="99"/>
      <c r="N2897" s="99"/>
      <c r="O2897" s="99"/>
      <c r="P2897" s="99"/>
      <c r="Q2897" s="99"/>
      <c r="R2897" s="99"/>
      <c r="S2897" s="99"/>
      <c r="T2897" s="99"/>
      <c r="U2897" s="99"/>
      <c r="V2897" s="99"/>
    </row>
    <row r="2898" spans="1:22" ht="15" customHeight="1">
      <c r="A2898" s="297"/>
      <c r="B2898" s="217"/>
      <c r="C2898" s="217"/>
      <c r="D2898" s="101"/>
      <c r="E2898" s="101"/>
      <c r="F2898" s="294"/>
      <c r="G2898" s="295"/>
      <c r="H2898" s="98"/>
      <c r="I2898" s="99"/>
      <c r="J2898" s="99"/>
      <c r="K2898" s="99"/>
      <c r="L2898" s="99"/>
      <c r="M2898" s="99"/>
      <c r="N2898" s="99"/>
      <c r="O2898" s="99"/>
      <c r="P2898" s="99"/>
      <c r="Q2898" s="99"/>
      <c r="R2898" s="99"/>
      <c r="S2898" s="99"/>
      <c r="T2898" s="99"/>
      <c r="U2898" s="99"/>
      <c r="V2898" s="99"/>
    </row>
    <row r="2899" spans="1:22" ht="15" customHeight="1">
      <c r="A2899" s="297"/>
      <c r="B2899" s="217"/>
      <c r="C2899" s="217"/>
      <c r="D2899" s="101"/>
      <c r="E2899" s="101"/>
      <c r="F2899" s="294"/>
      <c r="G2899" s="295"/>
      <c r="H2899" s="98"/>
      <c r="I2899" s="99"/>
      <c r="J2899" s="99"/>
      <c r="K2899" s="99"/>
      <c r="L2899" s="99"/>
      <c r="M2899" s="99"/>
      <c r="N2899" s="99"/>
      <c r="O2899" s="99"/>
      <c r="P2899" s="99"/>
      <c r="Q2899" s="99"/>
      <c r="R2899" s="99"/>
      <c r="S2899" s="99"/>
      <c r="T2899" s="99"/>
      <c r="U2899" s="99"/>
      <c r="V2899" s="99"/>
    </row>
    <row r="2900" spans="1:22" ht="15" customHeight="1">
      <c r="A2900" s="297"/>
      <c r="B2900" s="217"/>
      <c r="C2900" s="217"/>
      <c r="D2900" s="101"/>
      <c r="E2900" s="101"/>
      <c r="F2900" s="294"/>
      <c r="G2900" s="295"/>
      <c r="H2900" s="98"/>
      <c r="I2900" s="99"/>
      <c r="J2900" s="99"/>
      <c r="K2900" s="99"/>
      <c r="L2900" s="99"/>
      <c r="M2900" s="99"/>
      <c r="N2900" s="99"/>
      <c r="O2900" s="99"/>
      <c r="P2900" s="99"/>
      <c r="Q2900" s="99"/>
      <c r="R2900" s="99"/>
      <c r="S2900" s="99"/>
      <c r="T2900" s="99"/>
      <c r="U2900" s="99"/>
      <c r="V2900" s="99"/>
    </row>
    <row r="2901" spans="1:22" ht="15" customHeight="1">
      <c r="A2901" s="297"/>
      <c r="B2901" s="217"/>
      <c r="C2901" s="217"/>
      <c r="D2901" s="101"/>
      <c r="E2901" s="101"/>
      <c r="F2901" s="294"/>
      <c r="G2901" s="295"/>
      <c r="H2901" s="98"/>
      <c r="I2901" s="99"/>
      <c r="J2901" s="99"/>
      <c r="K2901" s="99"/>
      <c r="L2901" s="99"/>
      <c r="M2901" s="99"/>
      <c r="N2901" s="99"/>
      <c r="O2901" s="99"/>
      <c r="P2901" s="99"/>
      <c r="Q2901" s="99"/>
      <c r="R2901" s="99"/>
      <c r="S2901" s="99"/>
      <c r="T2901" s="99"/>
      <c r="U2901" s="99"/>
      <c r="V2901" s="99"/>
    </row>
    <row r="2902" spans="1:22" ht="15" customHeight="1">
      <c r="A2902" s="297"/>
      <c r="B2902" s="217"/>
      <c r="C2902" s="217"/>
      <c r="D2902" s="101"/>
      <c r="E2902" s="101"/>
      <c r="F2902" s="294"/>
      <c r="G2902" s="295"/>
      <c r="H2902" s="98"/>
      <c r="I2902" s="99"/>
      <c r="J2902" s="99"/>
      <c r="K2902" s="99"/>
      <c r="L2902" s="99"/>
      <c r="M2902" s="99"/>
      <c r="N2902" s="99"/>
      <c r="O2902" s="99"/>
      <c r="P2902" s="99"/>
      <c r="Q2902" s="99"/>
      <c r="R2902" s="99"/>
      <c r="S2902" s="99"/>
      <c r="T2902" s="99"/>
      <c r="U2902" s="99"/>
      <c r="V2902" s="99"/>
    </row>
    <row r="2903" spans="1:22" ht="15" customHeight="1">
      <c r="A2903" s="297"/>
      <c r="B2903" s="217"/>
      <c r="C2903" s="217"/>
      <c r="D2903" s="101"/>
      <c r="E2903" s="101"/>
      <c r="F2903" s="294"/>
      <c r="G2903" s="295"/>
      <c r="H2903" s="98"/>
      <c r="I2903" s="99"/>
      <c r="J2903" s="99"/>
      <c r="K2903" s="99"/>
      <c r="L2903" s="99"/>
      <c r="M2903" s="99"/>
      <c r="N2903" s="99"/>
      <c r="O2903" s="99"/>
      <c r="P2903" s="99"/>
      <c r="Q2903" s="99"/>
      <c r="R2903" s="99"/>
      <c r="S2903" s="99"/>
      <c r="T2903" s="99"/>
      <c r="U2903" s="99"/>
      <c r="V2903" s="99"/>
    </row>
    <row r="2904" spans="1:22" ht="15" customHeight="1">
      <c r="A2904" s="297"/>
      <c r="B2904" s="217"/>
      <c r="C2904" s="217"/>
      <c r="D2904" s="101"/>
      <c r="E2904" s="101"/>
      <c r="F2904" s="294"/>
      <c r="G2904" s="295"/>
      <c r="H2904" s="98"/>
      <c r="I2904" s="99"/>
      <c r="J2904" s="99"/>
      <c r="K2904" s="99"/>
      <c r="L2904" s="99"/>
      <c r="M2904" s="99"/>
      <c r="N2904" s="99"/>
      <c r="O2904" s="99"/>
      <c r="P2904" s="99"/>
      <c r="Q2904" s="99"/>
      <c r="R2904" s="99"/>
      <c r="S2904" s="99"/>
      <c r="T2904" s="99"/>
      <c r="U2904" s="99"/>
      <c r="V2904" s="99"/>
    </row>
    <row r="2905" spans="1:22" ht="15" customHeight="1">
      <c r="A2905" s="297"/>
      <c r="B2905" s="217"/>
      <c r="C2905" s="217"/>
      <c r="D2905" s="101"/>
      <c r="E2905" s="101"/>
      <c r="F2905" s="294"/>
      <c r="G2905" s="295"/>
      <c r="H2905" s="98"/>
      <c r="I2905" s="99"/>
      <c r="J2905" s="99"/>
      <c r="K2905" s="99"/>
      <c r="L2905" s="99"/>
      <c r="M2905" s="99"/>
      <c r="N2905" s="99"/>
      <c r="O2905" s="99"/>
      <c r="P2905" s="99"/>
      <c r="Q2905" s="99"/>
      <c r="R2905" s="99"/>
      <c r="S2905" s="99"/>
      <c r="T2905" s="99"/>
      <c r="U2905" s="99"/>
      <c r="V2905" s="99"/>
    </row>
    <row r="2906" spans="1:22" ht="15" customHeight="1">
      <c r="A2906" s="297"/>
      <c r="B2906" s="217"/>
      <c r="C2906" s="217"/>
      <c r="D2906" s="101"/>
      <c r="E2906" s="101"/>
      <c r="F2906" s="294"/>
      <c r="G2906" s="295"/>
      <c r="H2906" s="98"/>
      <c r="I2906" s="99"/>
      <c r="J2906" s="99"/>
      <c r="K2906" s="99"/>
      <c r="L2906" s="99"/>
      <c r="M2906" s="99"/>
      <c r="N2906" s="99"/>
      <c r="O2906" s="99"/>
      <c r="P2906" s="99"/>
      <c r="Q2906" s="99"/>
      <c r="R2906" s="99"/>
      <c r="S2906" s="99"/>
      <c r="T2906" s="99"/>
      <c r="U2906" s="99"/>
      <c r="V2906" s="99"/>
    </row>
    <row r="2907" spans="1:22" ht="15" customHeight="1">
      <c r="A2907" s="297"/>
      <c r="B2907" s="217"/>
      <c r="C2907" s="217"/>
      <c r="D2907" s="101"/>
      <c r="E2907" s="101"/>
      <c r="F2907" s="294"/>
      <c r="G2907" s="295"/>
      <c r="H2907" s="98"/>
      <c r="I2907" s="99"/>
      <c r="J2907" s="99"/>
      <c r="K2907" s="99"/>
      <c r="L2907" s="99"/>
      <c r="M2907" s="99"/>
      <c r="N2907" s="99"/>
      <c r="O2907" s="99"/>
      <c r="P2907" s="99"/>
      <c r="Q2907" s="99"/>
      <c r="R2907" s="99"/>
      <c r="S2907" s="99"/>
      <c r="T2907" s="99"/>
      <c r="U2907" s="99"/>
      <c r="V2907" s="99"/>
    </row>
    <row r="2908" spans="1:22" ht="15" customHeight="1">
      <c r="A2908" s="297"/>
      <c r="B2908" s="217"/>
      <c r="C2908" s="217"/>
      <c r="D2908" s="101"/>
      <c r="E2908" s="101"/>
      <c r="F2908" s="294"/>
      <c r="G2908" s="295"/>
      <c r="H2908" s="107"/>
      <c r="I2908" s="108"/>
      <c r="J2908" s="108"/>
      <c r="K2908" s="108"/>
      <c r="L2908" s="108"/>
      <c r="M2908" s="108"/>
      <c r="N2908" s="109"/>
      <c r="O2908" s="109"/>
      <c r="P2908" s="109"/>
      <c r="Q2908" s="109"/>
      <c r="R2908" s="109"/>
      <c r="S2908" s="109"/>
      <c r="T2908" s="109"/>
      <c r="U2908" s="202"/>
      <c r="V2908" s="202"/>
    </row>
    <row r="2909" spans="1:22" ht="15" customHeight="1">
      <c r="A2909" s="297"/>
      <c r="B2909" s="217"/>
      <c r="C2909" s="217"/>
      <c r="D2909" s="101"/>
      <c r="E2909" s="101"/>
      <c r="F2909" s="294"/>
      <c r="G2909" s="295"/>
      <c r="H2909" s="98"/>
      <c r="I2909" s="106"/>
      <c r="J2909" s="106"/>
      <c r="K2909" s="106"/>
      <c r="L2909" s="106"/>
      <c r="M2909" s="106"/>
      <c r="N2909" s="112"/>
      <c r="O2909" s="112"/>
      <c r="P2909" s="112"/>
      <c r="Q2909" s="113"/>
      <c r="R2909" s="113"/>
      <c r="S2909" s="113"/>
      <c r="T2909" s="113"/>
      <c r="U2909" s="113"/>
      <c r="V2909" s="113"/>
    </row>
    <row r="2910" spans="1:22" ht="15" customHeight="1">
      <c r="A2910" s="297"/>
      <c r="B2910" s="217"/>
      <c r="C2910" s="217"/>
      <c r="D2910" s="101"/>
      <c r="E2910" s="101"/>
      <c r="F2910" s="294"/>
      <c r="G2910" s="295"/>
      <c r="H2910" s="98"/>
      <c r="I2910" s="99"/>
      <c r="J2910" s="99"/>
      <c r="K2910" s="99"/>
      <c r="L2910" s="99"/>
      <c r="M2910" s="99"/>
      <c r="N2910" s="99"/>
      <c r="O2910" s="99"/>
      <c r="P2910" s="99"/>
      <c r="Q2910" s="99"/>
      <c r="R2910" s="99"/>
      <c r="S2910" s="99"/>
      <c r="T2910" s="99"/>
      <c r="U2910" s="99"/>
      <c r="V2910" s="99"/>
    </row>
    <row r="2911" spans="1:22" ht="15" customHeight="1">
      <c r="A2911" s="297"/>
      <c r="B2911" s="217"/>
      <c r="C2911" s="217"/>
      <c r="D2911" s="101"/>
      <c r="E2911" s="101"/>
      <c r="F2911" s="294"/>
      <c r="G2911" s="295"/>
      <c r="H2911" s="98"/>
      <c r="I2911" s="99"/>
      <c r="J2911" s="99"/>
      <c r="K2911" s="99"/>
      <c r="L2911" s="99"/>
      <c r="M2911" s="99"/>
      <c r="N2911" s="99"/>
      <c r="O2911" s="99"/>
      <c r="P2911" s="99"/>
      <c r="Q2911" s="99"/>
      <c r="R2911" s="99"/>
      <c r="S2911" s="99"/>
      <c r="T2911" s="99"/>
      <c r="U2911" s="99"/>
      <c r="V2911" s="99"/>
    </row>
    <row r="2912" spans="1:22" ht="15" customHeight="1">
      <c r="A2912" s="297"/>
      <c r="B2912" s="217"/>
      <c r="C2912" s="217"/>
      <c r="D2912" s="101"/>
      <c r="E2912" s="101"/>
      <c r="F2912" s="294"/>
      <c r="G2912" s="295"/>
      <c r="H2912" s="98"/>
      <c r="I2912" s="99"/>
      <c r="J2912" s="99"/>
      <c r="K2912" s="99"/>
      <c r="L2912" s="99"/>
      <c r="M2912" s="99"/>
      <c r="N2912" s="99"/>
      <c r="O2912" s="99"/>
      <c r="P2912" s="99"/>
      <c r="Q2912" s="99"/>
      <c r="R2912" s="99"/>
      <c r="S2912" s="99"/>
      <c r="T2912" s="99"/>
      <c r="U2912" s="99"/>
      <c r="V2912" s="99"/>
    </row>
    <row r="2913" spans="1:22" ht="15" customHeight="1">
      <c r="A2913" s="297"/>
      <c r="B2913" s="217"/>
      <c r="C2913" s="217"/>
      <c r="D2913" s="101"/>
      <c r="E2913" s="101"/>
      <c r="F2913" s="294"/>
      <c r="G2913" s="295"/>
      <c r="H2913" s="98"/>
      <c r="I2913" s="99"/>
      <c r="J2913" s="99"/>
      <c r="K2913" s="99"/>
      <c r="L2913" s="99"/>
      <c r="M2913" s="99"/>
      <c r="N2913" s="99"/>
      <c r="O2913" s="99"/>
      <c r="P2913" s="99"/>
      <c r="Q2913" s="99"/>
      <c r="R2913" s="99"/>
      <c r="S2913" s="99"/>
      <c r="T2913" s="99"/>
      <c r="U2913" s="99"/>
      <c r="V2913" s="99"/>
    </row>
    <row r="2914" spans="1:22" ht="15" customHeight="1">
      <c r="A2914" s="297"/>
      <c r="B2914" s="217"/>
      <c r="C2914" s="217"/>
      <c r="D2914" s="101"/>
      <c r="E2914" s="101"/>
      <c r="F2914" s="294"/>
      <c r="G2914" s="295"/>
      <c r="H2914" s="98"/>
      <c r="I2914" s="99"/>
      <c r="J2914" s="99"/>
      <c r="K2914" s="99"/>
      <c r="L2914" s="99"/>
      <c r="M2914" s="99"/>
      <c r="N2914" s="99"/>
      <c r="O2914" s="99"/>
      <c r="P2914" s="99"/>
      <c r="Q2914" s="99"/>
      <c r="R2914" s="99"/>
      <c r="S2914" s="99"/>
      <c r="T2914" s="99"/>
      <c r="U2914" s="99"/>
      <c r="V2914" s="99"/>
    </row>
    <row r="2915" spans="1:22" ht="15" customHeight="1">
      <c r="A2915" s="297"/>
      <c r="B2915" s="217"/>
      <c r="C2915" s="217"/>
      <c r="D2915" s="101"/>
      <c r="E2915" s="101"/>
      <c r="F2915" s="294"/>
      <c r="G2915" s="295"/>
      <c r="H2915" s="98"/>
      <c r="I2915" s="99"/>
      <c r="J2915" s="99"/>
      <c r="K2915" s="99"/>
      <c r="L2915" s="99"/>
      <c r="M2915" s="99"/>
      <c r="N2915" s="99"/>
      <c r="O2915" s="99"/>
      <c r="P2915" s="99"/>
      <c r="Q2915" s="99"/>
      <c r="R2915" s="99"/>
      <c r="S2915" s="99"/>
      <c r="T2915" s="99"/>
      <c r="U2915" s="99"/>
      <c r="V2915" s="99"/>
    </row>
    <row r="2916" spans="1:22" ht="15" customHeight="1">
      <c r="A2916" s="297"/>
      <c r="B2916" s="217"/>
      <c r="C2916" s="217"/>
      <c r="D2916" s="101"/>
      <c r="E2916" s="101"/>
      <c r="F2916" s="294"/>
      <c r="G2916" s="295"/>
      <c r="H2916" s="98"/>
      <c r="I2916" s="99"/>
      <c r="J2916" s="99"/>
      <c r="K2916" s="99"/>
      <c r="L2916" s="99"/>
      <c r="M2916" s="99"/>
      <c r="N2916" s="99"/>
      <c r="O2916" s="99"/>
      <c r="P2916" s="99"/>
      <c r="Q2916" s="99"/>
      <c r="R2916" s="99"/>
      <c r="S2916" s="99"/>
      <c r="T2916" s="99"/>
      <c r="U2916" s="99"/>
      <c r="V2916" s="99"/>
    </row>
    <row r="2917" spans="1:22" ht="15" customHeight="1">
      <c r="A2917" s="297"/>
      <c r="B2917" s="217"/>
      <c r="C2917" s="217"/>
      <c r="D2917" s="101"/>
      <c r="E2917" s="101"/>
      <c r="F2917" s="294"/>
      <c r="G2917" s="295"/>
      <c r="H2917" s="98"/>
      <c r="I2917" s="99"/>
      <c r="J2917" s="99"/>
      <c r="K2917" s="99"/>
      <c r="L2917" s="99"/>
      <c r="M2917" s="99"/>
      <c r="N2917" s="99"/>
      <c r="O2917" s="99"/>
      <c r="P2917" s="99"/>
      <c r="Q2917" s="99"/>
      <c r="R2917" s="99"/>
      <c r="S2917" s="99"/>
      <c r="T2917" s="99"/>
      <c r="U2917" s="99"/>
      <c r="V2917" s="99"/>
    </row>
    <row r="2918" spans="1:22" ht="15" customHeight="1">
      <c r="A2918" s="297"/>
      <c r="B2918" s="217"/>
      <c r="C2918" s="217"/>
      <c r="D2918" s="101"/>
      <c r="E2918" s="101"/>
      <c r="F2918" s="294"/>
      <c r="G2918" s="295"/>
      <c r="H2918" s="98"/>
      <c r="I2918" s="99"/>
      <c r="J2918" s="99"/>
      <c r="K2918" s="99"/>
      <c r="L2918" s="99"/>
      <c r="M2918" s="99"/>
      <c r="N2918" s="99"/>
      <c r="O2918" s="99"/>
      <c r="P2918" s="99"/>
      <c r="Q2918" s="99"/>
      <c r="R2918" s="99"/>
      <c r="S2918" s="99"/>
      <c r="T2918" s="99"/>
      <c r="U2918" s="99"/>
      <c r="V2918" s="99"/>
    </row>
    <row r="2919" spans="1:22" ht="15" customHeight="1">
      <c r="A2919" s="297"/>
      <c r="B2919" s="217"/>
      <c r="C2919" s="217"/>
      <c r="D2919" s="101"/>
      <c r="E2919" s="101"/>
      <c r="F2919" s="294"/>
      <c r="G2919" s="295"/>
      <c r="H2919" s="98"/>
      <c r="I2919" s="99"/>
      <c r="J2919" s="99"/>
      <c r="K2919" s="99"/>
      <c r="L2919" s="99"/>
      <c r="M2919" s="99"/>
      <c r="N2919" s="99"/>
      <c r="O2919" s="99"/>
      <c r="P2919" s="99"/>
      <c r="Q2919" s="99"/>
      <c r="R2919" s="99"/>
      <c r="S2919" s="99"/>
      <c r="T2919" s="99"/>
      <c r="U2919" s="99"/>
      <c r="V2919" s="99"/>
    </row>
    <row r="2920" spans="1:22" ht="15" customHeight="1">
      <c r="A2920" s="297"/>
      <c r="B2920" s="217"/>
      <c r="C2920" s="217"/>
      <c r="D2920" s="101"/>
      <c r="E2920" s="101"/>
      <c r="F2920" s="294"/>
      <c r="G2920" s="295"/>
      <c r="H2920" s="107"/>
      <c r="I2920" s="108"/>
      <c r="J2920" s="108"/>
      <c r="K2920" s="108"/>
      <c r="L2920" s="108"/>
      <c r="M2920" s="108"/>
      <c r="N2920" s="109"/>
      <c r="O2920" s="109"/>
      <c r="P2920" s="109"/>
      <c r="Q2920" s="109"/>
      <c r="R2920" s="109"/>
      <c r="S2920" s="109"/>
      <c r="T2920" s="109"/>
      <c r="U2920" s="202"/>
      <c r="V2920" s="202"/>
    </row>
    <row r="2921" spans="1:22" ht="15" customHeight="1">
      <c r="A2921" s="297"/>
      <c r="B2921" s="217"/>
      <c r="C2921" s="217"/>
      <c r="D2921" s="101"/>
      <c r="E2921" s="101"/>
      <c r="F2921" s="294"/>
      <c r="G2921" s="295"/>
      <c r="H2921" s="98"/>
      <c r="I2921" s="106"/>
      <c r="J2921" s="106"/>
      <c r="K2921" s="106"/>
      <c r="L2921" s="106"/>
      <c r="M2921" s="106"/>
      <c r="N2921" s="112"/>
      <c r="O2921" s="112"/>
      <c r="P2921" s="112"/>
      <c r="Q2921" s="113"/>
      <c r="R2921" s="113"/>
      <c r="S2921" s="113"/>
      <c r="T2921" s="113"/>
      <c r="U2921" s="113"/>
      <c r="V2921" s="113"/>
    </row>
    <row r="2922" spans="1:22" ht="15" customHeight="1">
      <c r="A2922" s="297"/>
      <c r="B2922" s="217"/>
      <c r="C2922" s="217"/>
      <c r="D2922" s="101"/>
      <c r="E2922" s="101"/>
      <c r="F2922" s="294"/>
      <c r="G2922" s="295"/>
      <c r="H2922" s="98"/>
      <c r="I2922" s="99"/>
      <c r="J2922" s="99"/>
      <c r="K2922" s="99"/>
      <c r="L2922" s="99"/>
      <c r="M2922" s="99"/>
      <c r="N2922" s="99"/>
      <c r="O2922" s="99"/>
      <c r="P2922" s="99"/>
      <c r="Q2922" s="99"/>
      <c r="R2922" s="99"/>
      <c r="S2922" s="99"/>
      <c r="T2922" s="99"/>
      <c r="U2922" s="99"/>
      <c r="V2922" s="99"/>
    </row>
    <row r="2923" spans="1:22" ht="15" customHeight="1">
      <c r="A2923" s="297"/>
      <c r="B2923" s="217"/>
      <c r="C2923" s="217"/>
      <c r="D2923" s="101"/>
      <c r="E2923" s="101"/>
      <c r="F2923" s="294"/>
      <c r="G2923" s="295"/>
      <c r="H2923" s="98"/>
      <c r="I2923" s="99"/>
      <c r="J2923" s="99"/>
      <c r="K2923" s="99"/>
      <c r="L2923" s="99"/>
      <c r="M2923" s="99"/>
      <c r="N2923" s="99"/>
      <c r="O2923" s="99"/>
      <c r="P2923" s="99"/>
      <c r="Q2923" s="99"/>
      <c r="R2923" s="99"/>
      <c r="S2923" s="99"/>
      <c r="T2923" s="99"/>
      <c r="U2923" s="99"/>
      <c r="V2923" s="99"/>
    </row>
    <row r="2924" spans="1:22" ht="15" customHeight="1">
      <c r="A2924" s="297"/>
      <c r="B2924" s="217"/>
      <c r="C2924" s="217"/>
      <c r="D2924" s="101"/>
      <c r="E2924" s="101"/>
      <c r="F2924" s="294"/>
      <c r="G2924" s="295"/>
      <c r="H2924" s="98"/>
      <c r="I2924" s="99"/>
      <c r="J2924" s="99"/>
      <c r="K2924" s="99"/>
      <c r="L2924" s="99"/>
      <c r="M2924" s="99"/>
      <c r="N2924" s="99"/>
      <c r="O2924" s="99"/>
      <c r="P2924" s="99"/>
      <c r="Q2924" s="99"/>
      <c r="R2924" s="99"/>
      <c r="S2924" s="99"/>
      <c r="T2924" s="99"/>
      <c r="U2924" s="99"/>
      <c r="V2924" s="99"/>
    </row>
    <row r="2925" spans="1:22" ht="15" customHeight="1">
      <c r="A2925" s="297"/>
      <c r="B2925" s="217"/>
      <c r="C2925" s="217"/>
      <c r="D2925" s="101"/>
      <c r="E2925" s="101"/>
      <c r="F2925" s="294"/>
      <c r="G2925" s="295"/>
      <c r="H2925" s="98"/>
      <c r="I2925" s="99"/>
      <c r="J2925" s="99"/>
      <c r="K2925" s="99"/>
      <c r="L2925" s="99"/>
      <c r="M2925" s="99"/>
      <c r="N2925" s="99"/>
      <c r="O2925" s="99"/>
      <c r="P2925" s="99"/>
      <c r="Q2925" s="99"/>
      <c r="R2925" s="99"/>
      <c r="S2925" s="99"/>
      <c r="T2925" s="99"/>
      <c r="U2925" s="99"/>
      <c r="V2925" s="99"/>
    </row>
    <row r="2926" spans="1:22" ht="15" customHeight="1">
      <c r="A2926" s="297"/>
      <c r="B2926" s="217"/>
      <c r="C2926" s="217"/>
      <c r="D2926" s="101"/>
      <c r="E2926" s="101"/>
      <c r="F2926" s="294"/>
      <c r="G2926" s="295"/>
      <c r="H2926" s="98"/>
      <c r="I2926" s="99"/>
      <c r="J2926" s="99"/>
      <c r="K2926" s="99"/>
      <c r="L2926" s="99"/>
      <c r="M2926" s="99"/>
      <c r="N2926" s="99"/>
      <c r="O2926" s="99"/>
      <c r="P2926" s="99"/>
      <c r="Q2926" s="99"/>
      <c r="R2926" s="99"/>
      <c r="S2926" s="99"/>
      <c r="T2926" s="99"/>
      <c r="U2926" s="99"/>
      <c r="V2926" s="99"/>
    </row>
    <row r="2927" spans="1:22" ht="15" customHeight="1">
      <c r="A2927" s="297"/>
      <c r="B2927" s="217"/>
      <c r="C2927" s="217"/>
      <c r="D2927" s="101"/>
      <c r="E2927" s="101"/>
      <c r="F2927" s="294"/>
      <c r="G2927" s="295"/>
      <c r="H2927" s="107"/>
      <c r="I2927" s="108"/>
      <c r="J2927" s="108"/>
      <c r="K2927" s="108"/>
      <c r="L2927" s="108"/>
      <c r="M2927" s="108"/>
      <c r="N2927" s="109"/>
      <c r="O2927" s="109"/>
      <c r="P2927" s="109"/>
      <c r="Q2927" s="109"/>
      <c r="R2927" s="109"/>
      <c r="S2927" s="109"/>
      <c r="T2927" s="109"/>
      <c r="U2927" s="202"/>
      <c r="V2927" s="202"/>
    </row>
    <row r="2928" spans="1:22" ht="15" customHeight="1">
      <c r="A2928" s="297"/>
      <c r="B2928" s="217"/>
      <c r="C2928" s="217"/>
      <c r="D2928" s="101"/>
      <c r="E2928" s="101"/>
      <c r="F2928" s="294"/>
      <c r="G2928" s="295"/>
      <c r="H2928" s="98"/>
      <c r="I2928" s="106"/>
      <c r="J2928" s="106"/>
      <c r="K2928" s="106"/>
      <c r="L2928" s="106"/>
      <c r="M2928" s="106"/>
      <c r="N2928" s="112"/>
      <c r="O2928" s="112"/>
      <c r="P2928" s="112"/>
      <c r="Q2928" s="113"/>
      <c r="R2928" s="113"/>
      <c r="S2928" s="113"/>
      <c r="T2928" s="113"/>
      <c r="U2928" s="113"/>
      <c r="V2928" s="113"/>
    </row>
    <row r="2929" spans="1:22" ht="15" customHeight="1">
      <c r="A2929" s="297"/>
      <c r="B2929" s="217"/>
      <c r="C2929" s="217"/>
      <c r="D2929" s="101"/>
      <c r="E2929" s="101"/>
      <c r="F2929" s="294"/>
      <c r="G2929" s="295"/>
      <c r="H2929" s="98"/>
      <c r="I2929" s="99"/>
      <c r="J2929" s="99"/>
      <c r="K2929" s="99"/>
      <c r="L2929" s="99"/>
      <c r="M2929" s="99"/>
      <c r="N2929" s="99"/>
      <c r="O2929" s="99"/>
      <c r="P2929" s="99"/>
      <c r="Q2929" s="99"/>
      <c r="R2929" s="99"/>
      <c r="S2929" s="99"/>
      <c r="T2929" s="99"/>
      <c r="U2929" s="99"/>
      <c r="V2929" s="99"/>
    </row>
    <row r="2930" spans="1:22" ht="15" customHeight="1">
      <c r="A2930" s="297"/>
      <c r="B2930" s="217"/>
      <c r="C2930" s="217"/>
      <c r="D2930" s="101"/>
      <c r="E2930" s="101"/>
      <c r="F2930" s="294"/>
      <c r="G2930" s="295"/>
      <c r="H2930" s="98"/>
      <c r="I2930" s="99"/>
      <c r="J2930" s="99"/>
      <c r="K2930" s="99"/>
      <c r="L2930" s="99"/>
      <c r="M2930" s="99"/>
      <c r="N2930" s="99"/>
      <c r="O2930" s="99"/>
      <c r="P2930" s="99"/>
      <c r="Q2930" s="99"/>
      <c r="R2930" s="99"/>
      <c r="S2930" s="99"/>
      <c r="T2930" s="99"/>
      <c r="U2930" s="99"/>
      <c r="V2930" s="99"/>
    </row>
    <row r="2931" spans="1:22" ht="15" customHeight="1">
      <c r="A2931" s="297"/>
      <c r="B2931" s="217"/>
      <c r="C2931" s="217"/>
      <c r="D2931" s="101"/>
      <c r="E2931" s="101"/>
      <c r="F2931" s="294"/>
      <c r="G2931" s="295"/>
      <c r="H2931" s="107"/>
      <c r="I2931" s="109"/>
      <c r="J2931" s="109"/>
      <c r="K2931" s="109"/>
      <c r="L2931" s="109"/>
      <c r="M2931" s="109"/>
      <c r="N2931" s="109"/>
      <c r="O2931" s="109"/>
      <c r="P2931" s="109"/>
      <c r="Q2931" s="109"/>
      <c r="R2931" s="109"/>
      <c r="S2931" s="109"/>
      <c r="T2931" s="109"/>
      <c r="U2931" s="202"/>
      <c r="V2931" s="202"/>
    </row>
    <row r="2932" spans="1:22" ht="15" customHeight="1">
      <c r="A2932" s="297"/>
      <c r="B2932" s="217"/>
      <c r="C2932" s="217"/>
      <c r="D2932" s="101"/>
      <c r="E2932" s="101"/>
      <c r="F2932" s="294"/>
      <c r="G2932" s="295"/>
      <c r="H2932" s="98"/>
      <c r="I2932" s="106"/>
      <c r="J2932" s="106"/>
      <c r="K2932" s="106"/>
      <c r="L2932" s="106"/>
      <c r="M2932" s="106"/>
      <c r="N2932" s="112"/>
      <c r="O2932" s="112"/>
      <c r="P2932" s="112"/>
      <c r="Q2932" s="113"/>
      <c r="R2932" s="113"/>
      <c r="S2932" s="113"/>
      <c r="T2932" s="113"/>
      <c r="U2932" s="113"/>
      <c r="V2932" s="113"/>
    </row>
    <row r="2933" spans="1:22" ht="15" customHeight="1">
      <c r="A2933" s="297"/>
      <c r="B2933" s="217"/>
      <c r="C2933" s="217"/>
      <c r="D2933" s="101"/>
      <c r="E2933" s="101"/>
      <c r="F2933" s="294"/>
      <c r="G2933" s="295"/>
      <c r="H2933" s="114"/>
      <c r="I2933" s="108"/>
      <c r="J2933" s="108"/>
      <c r="K2933" s="108"/>
      <c r="L2933" s="108"/>
      <c r="M2933" s="108"/>
      <c r="N2933" s="108"/>
      <c r="O2933" s="108"/>
      <c r="P2933" s="108"/>
      <c r="Q2933" s="108"/>
      <c r="R2933" s="108"/>
      <c r="S2933" s="108"/>
      <c r="T2933" s="108"/>
      <c r="U2933" s="233"/>
      <c r="V2933" s="233"/>
    </row>
    <row r="2934" spans="1:22" ht="15" customHeight="1" thickBot="1">
      <c r="A2934" s="297"/>
      <c r="B2934" s="217"/>
      <c r="C2934" s="217"/>
      <c r="D2934" s="101"/>
      <c r="E2934" s="101"/>
      <c r="F2934" s="294"/>
      <c r="G2934" s="295"/>
      <c r="H2934" s="98"/>
      <c r="I2934" s="218"/>
      <c r="J2934" s="218"/>
      <c r="K2934" s="218"/>
      <c r="L2934" s="218"/>
      <c r="M2934" s="218"/>
      <c r="U2934" s="212"/>
      <c r="V2934" s="212"/>
    </row>
    <row r="2935" spans="1:22" ht="15" customHeight="1" thickBot="1">
      <c r="A2935" s="297"/>
      <c r="B2935" s="217"/>
      <c r="C2935" s="217"/>
      <c r="D2935" s="101"/>
      <c r="E2935" s="101"/>
      <c r="F2935" s="294"/>
      <c r="G2935" s="295"/>
      <c r="H2935" s="686"/>
      <c r="I2935" s="687"/>
      <c r="J2935" s="687"/>
      <c r="K2935" s="687"/>
      <c r="L2935" s="687"/>
      <c r="M2935" s="687"/>
      <c r="N2935" s="687"/>
      <c r="O2935" s="687"/>
      <c r="P2935" s="687"/>
      <c r="Q2935" s="687"/>
      <c r="R2935" s="687"/>
      <c r="S2935" s="715"/>
      <c r="T2935" s="688"/>
      <c r="U2935" s="254"/>
      <c r="V2935" s="254"/>
    </row>
    <row r="2936" spans="1:22" ht="15" customHeight="1">
      <c r="A2936" s="297"/>
      <c r="B2936" s="217"/>
      <c r="C2936" s="217"/>
      <c r="D2936" s="101"/>
      <c r="E2936" s="101"/>
      <c r="F2936" s="294"/>
      <c r="G2936" s="295"/>
      <c r="H2936" s="225"/>
      <c r="I2936" s="225"/>
      <c r="J2936" s="225"/>
      <c r="K2936" s="225"/>
      <c r="L2936" s="225"/>
      <c r="M2936" s="225"/>
      <c r="N2936" s="225"/>
      <c r="O2936" s="225"/>
      <c r="P2936" s="225"/>
      <c r="Q2936" s="225"/>
      <c r="R2936" s="225"/>
      <c r="S2936" s="225"/>
      <c r="T2936" s="225"/>
      <c r="U2936" s="225"/>
      <c r="V2936" s="225"/>
    </row>
    <row r="2937" spans="1:22" ht="15" customHeight="1">
      <c r="A2937" s="297"/>
      <c r="B2937" s="217"/>
      <c r="C2937" s="217"/>
      <c r="D2937" s="101"/>
      <c r="E2937" s="101"/>
      <c r="F2937" s="294"/>
      <c r="G2937" s="295"/>
      <c r="H2937" s="98"/>
      <c r="I2937" s="99"/>
      <c r="J2937" s="99"/>
      <c r="K2937" s="99"/>
      <c r="L2937" s="99"/>
      <c r="M2937" s="99"/>
      <c r="N2937" s="99"/>
      <c r="O2937" s="99"/>
      <c r="P2937" s="99"/>
      <c r="Q2937" s="99"/>
      <c r="R2937" s="99"/>
      <c r="S2937" s="99"/>
      <c r="T2937" s="99"/>
      <c r="U2937" s="99"/>
      <c r="V2937" s="99"/>
    </row>
    <row r="2938" spans="1:22" ht="15" customHeight="1">
      <c r="A2938" s="297"/>
      <c r="B2938" s="217"/>
      <c r="C2938" s="217"/>
      <c r="D2938" s="101"/>
      <c r="E2938" s="101"/>
      <c r="F2938" s="294"/>
      <c r="G2938" s="295"/>
      <c r="H2938" s="98"/>
      <c r="I2938" s="99"/>
      <c r="J2938" s="99"/>
      <c r="K2938" s="99"/>
      <c r="L2938" s="99"/>
      <c r="M2938" s="99"/>
      <c r="N2938" s="99"/>
      <c r="O2938" s="99"/>
      <c r="P2938" s="99"/>
      <c r="Q2938" s="99"/>
      <c r="R2938" s="99"/>
      <c r="S2938" s="99"/>
      <c r="T2938" s="99"/>
      <c r="U2938" s="99"/>
      <c r="V2938" s="99"/>
    </row>
    <row r="2939" spans="1:22" ht="15" customHeight="1">
      <c r="A2939" s="297"/>
      <c r="B2939" s="217"/>
      <c r="C2939" s="217"/>
      <c r="D2939" s="101"/>
      <c r="E2939" s="101"/>
      <c r="F2939" s="294"/>
      <c r="G2939" s="295"/>
      <c r="H2939" s="98"/>
      <c r="I2939" s="99"/>
      <c r="J2939" s="99"/>
      <c r="K2939" s="99"/>
      <c r="L2939" s="99"/>
      <c r="M2939" s="99"/>
      <c r="N2939" s="99"/>
      <c r="O2939" s="99"/>
      <c r="P2939" s="99"/>
      <c r="Q2939" s="99"/>
      <c r="R2939" s="99"/>
      <c r="S2939" s="99"/>
      <c r="T2939" s="99"/>
      <c r="U2939" s="99"/>
      <c r="V2939" s="99"/>
    </row>
    <row r="2940" spans="1:22" ht="15" customHeight="1">
      <c r="A2940" s="297"/>
      <c r="B2940" s="217"/>
      <c r="C2940" s="217"/>
      <c r="D2940" s="101"/>
      <c r="E2940" s="101"/>
      <c r="F2940" s="294"/>
      <c r="G2940" s="295"/>
      <c r="H2940" s="98"/>
      <c r="I2940" s="99"/>
      <c r="J2940" s="99"/>
      <c r="K2940" s="99"/>
      <c r="L2940" s="99"/>
      <c r="M2940" s="99"/>
      <c r="N2940" s="99"/>
      <c r="O2940" s="99"/>
      <c r="P2940" s="99"/>
      <c r="Q2940" s="99"/>
      <c r="R2940" s="99"/>
      <c r="S2940" s="99"/>
      <c r="T2940" s="99"/>
      <c r="U2940" s="99"/>
      <c r="V2940" s="99"/>
    </row>
    <row r="2941" spans="1:22" ht="15" customHeight="1">
      <c r="A2941" s="297"/>
      <c r="B2941" s="217"/>
      <c r="C2941" s="217"/>
      <c r="D2941" s="101"/>
      <c r="E2941" s="101"/>
      <c r="F2941" s="294"/>
      <c r="G2941" s="295"/>
      <c r="H2941" s="98"/>
      <c r="I2941" s="99"/>
      <c r="J2941" s="99"/>
      <c r="K2941" s="99"/>
      <c r="L2941" s="99"/>
      <c r="M2941" s="99"/>
      <c r="N2941" s="99"/>
      <c r="O2941" s="99"/>
      <c r="P2941" s="99"/>
      <c r="Q2941" s="99"/>
      <c r="R2941" s="99"/>
      <c r="S2941" s="99"/>
      <c r="T2941" s="99"/>
      <c r="U2941" s="99"/>
      <c r="V2941" s="99"/>
    </row>
    <row r="2942" spans="1:22" ht="15" customHeight="1">
      <c r="A2942" s="297"/>
      <c r="B2942" s="217"/>
      <c r="C2942" s="217"/>
      <c r="D2942" s="101"/>
      <c r="E2942" s="101"/>
      <c r="F2942" s="294"/>
      <c r="G2942" s="295"/>
      <c r="H2942" s="98"/>
      <c r="I2942" s="99"/>
      <c r="J2942" s="99"/>
      <c r="K2942" s="99"/>
      <c r="L2942" s="99"/>
      <c r="M2942" s="99"/>
      <c r="N2942" s="99"/>
      <c r="O2942" s="99"/>
      <c r="P2942" s="99"/>
      <c r="Q2942" s="99"/>
      <c r="R2942" s="99"/>
      <c r="S2942" s="99"/>
      <c r="T2942" s="99"/>
      <c r="U2942" s="99"/>
      <c r="V2942" s="99"/>
    </row>
    <row r="2943" spans="1:22" ht="15" customHeight="1">
      <c r="A2943" s="297"/>
      <c r="B2943" s="217"/>
      <c r="C2943" s="217"/>
      <c r="D2943" s="101"/>
      <c r="E2943" s="101"/>
      <c r="F2943" s="294"/>
      <c r="G2943" s="295"/>
      <c r="H2943" s="98"/>
      <c r="I2943" s="99"/>
      <c r="J2943" s="99"/>
      <c r="K2943" s="99"/>
      <c r="L2943" s="99"/>
      <c r="M2943" s="99"/>
      <c r="N2943" s="99"/>
      <c r="O2943" s="99"/>
      <c r="P2943" s="99"/>
      <c r="Q2943" s="99"/>
      <c r="R2943" s="99"/>
      <c r="S2943" s="99"/>
      <c r="T2943" s="99"/>
      <c r="U2943" s="99"/>
      <c r="V2943" s="99"/>
    </row>
    <row r="2944" spans="1:22" ht="15" customHeight="1">
      <c r="A2944" s="297"/>
      <c r="B2944" s="217"/>
      <c r="C2944" s="217"/>
      <c r="D2944" s="101"/>
      <c r="E2944" s="101"/>
      <c r="F2944" s="294"/>
      <c r="G2944" s="295"/>
      <c r="H2944" s="98"/>
      <c r="I2944" s="99"/>
      <c r="J2944" s="99"/>
      <c r="K2944" s="99"/>
      <c r="L2944" s="99"/>
      <c r="M2944" s="99"/>
      <c r="N2944" s="99"/>
      <c r="O2944" s="99"/>
      <c r="P2944" s="99"/>
      <c r="Q2944" s="99"/>
      <c r="R2944" s="99"/>
      <c r="S2944" s="99"/>
      <c r="T2944" s="99"/>
      <c r="U2944" s="99"/>
      <c r="V2944" s="99"/>
    </row>
    <row r="2945" spans="1:22" ht="15" customHeight="1">
      <c r="A2945" s="297"/>
      <c r="B2945" s="217"/>
      <c r="C2945" s="217"/>
      <c r="D2945" s="101"/>
      <c r="E2945" s="101"/>
      <c r="F2945" s="294"/>
      <c r="G2945" s="295"/>
      <c r="H2945" s="98"/>
      <c r="I2945" s="99"/>
      <c r="J2945" s="99"/>
      <c r="K2945" s="99"/>
      <c r="L2945" s="99"/>
      <c r="M2945" s="99"/>
      <c r="N2945" s="99"/>
      <c r="O2945" s="99"/>
      <c r="P2945" s="99"/>
      <c r="Q2945" s="99"/>
      <c r="R2945" s="99"/>
      <c r="S2945" s="99"/>
      <c r="T2945" s="99"/>
      <c r="U2945" s="99"/>
      <c r="V2945" s="99"/>
    </row>
    <row r="2946" spans="1:22" ht="15" customHeight="1">
      <c r="A2946" s="297"/>
      <c r="B2946" s="217"/>
      <c r="C2946" s="217"/>
      <c r="D2946" s="101"/>
      <c r="E2946" s="101"/>
      <c r="F2946" s="294"/>
      <c r="G2946" s="295"/>
      <c r="H2946" s="98"/>
      <c r="I2946" s="99"/>
      <c r="J2946" s="99"/>
      <c r="K2946" s="99"/>
      <c r="L2946" s="99"/>
      <c r="M2946" s="99"/>
      <c r="N2946" s="99"/>
      <c r="O2946" s="99"/>
      <c r="P2946" s="99"/>
      <c r="Q2946" s="99"/>
      <c r="R2946" s="99"/>
      <c r="S2946" s="99"/>
      <c r="T2946" s="99"/>
      <c r="U2946" s="99"/>
      <c r="V2946" s="99"/>
    </row>
    <row r="2947" spans="1:22" ht="15" customHeight="1">
      <c r="A2947" s="297"/>
      <c r="B2947" s="217"/>
      <c r="C2947" s="217"/>
      <c r="D2947" s="101"/>
      <c r="E2947" s="101"/>
      <c r="F2947" s="294"/>
      <c r="G2947" s="295"/>
      <c r="H2947" s="98"/>
      <c r="I2947" s="99"/>
      <c r="J2947" s="99"/>
      <c r="K2947" s="99"/>
      <c r="L2947" s="99"/>
      <c r="M2947" s="99"/>
      <c r="N2947" s="99"/>
      <c r="O2947" s="99"/>
      <c r="P2947" s="99"/>
      <c r="Q2947" s="99"/>
      <c r="R2947" s="99"/>
      <c r="S2947" s="99"/>
      <c r="T2947" s="99"/>
      <c r="U2947" s="99"/>
      <c r="V2947" s="99"/>
    </row>
    <row r="2948" spans="1:22" ht="15" customHeight="1">
      <c r="A2948" s="297"/>
      <c r="B2948" s="217"/>
      <c r="C2948" s="217"/>
      <c r="D2948" s="101"/>
      <c r="E2948" s="101"/>
      <c r="F2948" s="294"/>
      <c r="G2948" s="295"/>
      <c r="H2948" s="98"/>
      <c r="I2948" s="99"/>
      <c r="J2948" s="99"/>
      <c r="K2948" s="99"/>
      <c r="L2948" s="99"/>
      <c r="M2948" s="99"/>
      <c r="N2948" s="99"/>
      <c r="O2948" s="99"/>
      <c r="P2948" s="99"/>
      <c r="Q2948" s="99"/>
      <c r="R2948" s="99"/>
      <c r="S2948" s="99"/>
      <c r="T2948" s="99"/>
      <c r="U2948" s="99"/>
      <c r="V2948" s="99"/>
    </row>
    <row r="2949" spans="1:22" ht="15" customHeight="1">
      <c r="A2949" s="297"/>
      <c r="B2949" s="217"/>
      <c r="C2949" s="217"/>
      <c r="D2949" s="101"/>
      <c r="E2949" s="101"/>
      <c r="F2949" s="294"/>
      <c r="G2949" s="295"/>
      <c r="H2949" s="98"/>
      <c r="I2949" s="99"/>
      <c r="J2949" s="99"/>
      <c r="K2949" s="99"/>
      <c r="L2949" s="99"/>
      <c r="M2949" s="99"/>
      <c r="N2949" s="99"/>
      <c r="O2949" s="99"/>
      <c r="P2949" s="99"/>
      <c r="Q2949" s="99"/>
      <c r="R2949" s="99"/>
      <c r="S2949" s="99"/>
      <c r="T2949" s="99"/>
      <c r="U2949" s="99"/>
      <c r="V2949" s="99"/>
    </row>
    <row r="2950" spans="1:22" ht="15" customHeight="1">
      <c r="A2950" s="297"/>
      <c r="B2950" s="217"/>
      <c r="C2950" s="217"/>
      <c r="D2950" s="101"/>
      <c r="E2950" s="101"/>
      <c r="F2950" s="294"/>
      <c r="G2950" s="295"/>
      <c r="H2950" s="98"/>
      <c r="I2950" s="99"/>
      <c r="J2950" s="99"/>
      <c r="K2950" s="99"/>
      <c r="L2950" s="99"/>
      <c r="M2950" s="99"/>
      <c r="N2950" s="99"/>
      <c r="O2950" s="99"/>
      <c r="P2950" s="99"/>
      <c r="Q2950" s="99"/>
      <c r="R2950" s="99"/>
      <c r="S2950" s="99"/>
      <c r="T2950" s="99"/>
      <c r="U2950" s="99"/>
      <c r="V2950" s="99"/>
    </row>
    <row r="2951" spans="1:22" ht="15" customHeight="1">
      <c r="A2951" s="297"/>
      <c r="B2951" s="217"/>
      <c r="C2951" s="217"/>
      <c r="D2951" s="101"/>
      <c r="E2951" s="101"/>
      <c r="F2951" s="294"/>
      <c r="G2951" s="295"/>
      <c r="H2951" s="107"/>
      <c r="I2951" s="108"/>
      <c r="J2951" s="108"/>
      <c r="K2951" s="108"/>
      <c r="L2951" s="108"/>
      <c r="M2951" s="108"/>
      <c r="N2951" s="109"/>
      <c r="O2951" s="109"/>
      <c r="P2951" s="109"/>
      <c r="Q2951" s="109"/>
      <c r="R2951" s="109"/>
      <c r="S2951" s="109"/>
      <c r="T2951" s="109"/>
      <c r="U2951" s="202"/>
      <c r="V2951" s="202"/>
    </row>
    <row r="2952" spans="1:22" ht="15" customHeight="1">
      <c r="A2952" s="297"/>
      <c r="B2952" s="217"/>
      <c r="C2952" s="217"/>
      <c r="D2952" s="101"/>
      <c r="E2952" s="101"/>
      <c r="F2952" s="294"/>
      <c r="G2952" s="295"/>
      <c r="H2952" s="98"/>
      <c r="I2952" s="106"/>
      <c r="J2952" s="106"/>
      <c r="K2952" s="106"/>
      <c r="L2952" s="106"/>
      <c r="M2952" s="106"/>
      <c r="N2952" s="112"/>
      <c r="O2952" s="112"/>
      <c r="P2952" s="112"/>
      <c r="Q2952" s="113"/>
      <c r="R2952" s="113"/>
      <c r="S2952" s="113"/>
      <c r="T2952" s="113"/>
      <c r="U2952" s="113"/>
      <c r="V2952" s="113"/>
    </row>
    <row r="2953" spans="1:22" ht="15" customHeight="1">
      <c r="A2953" s="297"/>
      <c r="B2953" s="217"/>
      <c r="C2953" s="217"/>
      <c r="D2953" s="101"/>
      <c r="E2953" s="101"/>
      <c r="F2953" s="294"/>
      <c r="G2953" s="295"/>
      <c r="H2953" s="98"/>
      <c r="I2953" s="99"/>
      <c r="J2953" s="99"/>
      <c r="K2953" s="99"/>
      <c r="L2953" s="99"/>
      <c r="M2953" s="99"/>
      <c r="N2953" s="99"/>
      <c r="O2953" s="99"/>
      <c r="P2953" s="99"/>
      <c r="Q2953" s="99"/>
      <c r="R2953" s="99"/>
      <c r="S2953" s="99"/>
      <c r="T2953" s="99"/>
      <c r="U2953" s="99"/>
      <c r="V2953" s="99"/>
    </row>
    <row r="2954" spans="1:22" ht="15" customHeight="1">
      <c r="A2954" s="297"/>
      <c r="B2954" s="217"/>
      <c r="C2954" s="217"/>
      <c r="D2954" s="101"/>
      <c r="E2954" s="101"/>
      <c r="F2954" s="294"/>
      <c r="G2954" s="295"/>
      <c r="H2954" s="98"/>
      <c r="I2954" s="99"/>
      <c r="J2954" s="99"/>
      <c r="K2954" s="99"/>
      <c r="L2954" s="99"/>
      <c r="M2954" s="99"/>
      <c r="N2954" s="99"/>
      <c r="O2954" s="99"/>
      <c r="P2954" s="99"/>
      <c r="Q2954" s="99"/>
      <c r="R2954" s="99"/>
      <c r="S2954" s="99"/>
      <c r="T2954" s="99"/>
      <c r="U2954" s="99"/>
      <c r="V2954" s="99"/>
    </row>
    <row r="2955" spans="1:22" ht="15" customHeight="1">
      <c r="A2955" s="297"/>
      <c r="B2955" s="217"/>
      <c r="C2955" s="217"/>
      <c r="D2955" s="101"/>
      <c r="E2955" s="101"/>
      <c r="F2955" s="294"/>
      <c r="G2955" s="295"/>
      <c r="H2955" s="98"/>
      <c r="I2955" s="99"/>
      <c r="J2955" s="99"/>
      <c r="K2955" s="99"/>
      <c r="L2955" s="99"/>
      <c r="M2955" s="99"/>
      <c r="N2955" s="99"/>
      <c r="O2955" s="99"/>
      <c r="P2955" s="99"/>
      <c r="Q2955" s="99"/>
      <c r="R2955" s="99"/>
      <c r="S2955" s="99"/>
      <c r="T2955" s="99"/>
      <c r="U2955" s="99"/>
      <c r="V2955" s="99"/>
    </row>
    <row r="2956" spans="1:22" ht="15" customHeight="1">
      <c r="A2956" s="297"/>
      <c r="B2956" s="217"/>
      <c r="C2956" s="217"/>
      <c r="D2956" s="101"/>
      <c r="E2956" s="101"/>
      <c r="F2956" s="294"/>
      <c r="G2956" s="295"/>
      <c r="H2956" s="98"/>
      <c r="I2956" s="99"/>
      <c r="J2956" s="99"/>
      <c r="K2956" s="99"/>
      <c r="L2956" s="99"/>
      <c r="M2956" s="99"/>
      <c r="N2956" s="99"/>
      <c r="O2956" s="99"/>
      <c r="P2956" s="99"/>
      <c r="Q2956" s="99"/>
      <c r="R2956" s="99"/>
      <c r="S2956" s="99"/>
      <c r="T2956" s="99"/>
      <c r="U2956" s="99"/>
      <c r="V2956" s="99"/>
    </row>
    <row r="2957" spans="1:22" ht="15" customHeight="1">
      <c r="A2957" s="297"/>
      <c r="B2957" s="217"/>
      <c r="C2957" s="217"/>
      <c r="D2957" s="101"/>
      <c r="E2957" s="101"/>
      <c r="F2957" s="294"/>
      <c r="G2957" s="295"/>
      <c r="H2957" s="98"/>
      <c r="I2957" s="99"/>
      <c r="J2957" s="99"/>
      <c r="K2957" s="99"/>
      <c r="L2957" s="99"/>
      <c r="M2957" s="99"/>
      <c r="N2957" s="99"/>
      <c r="O2957" s="99"/>
      <c r="P2957" s="99"/>
      <c r="Q2957" s="99"/>
      <c r="R2957" s="99"/>
      <c r="S2957" s="99"/>
      <c r="T2957" s="99"/>
      <c r="U2957" s="99"/>
      <c r="V2957" s="99"/>
    </row>
    <row r="2958" spans="1:22" ht="15" customHeight="1">
      <c r="A2958" s="297"/>
      <c r="B2958" s="217"/>
      <c r="C2958" s="217"/>
      <c r="D2958" s="101"/>
      <c r="E2958" s="101"/>
      <c r="F2958" s="294"/>
      <c r="G2958" s="295"/>
      <c r="H2958" s="98"/>
      <c r="I2958" s="99"/>
      <c r="J2958" s="99"/>
      <c r="K2958" s="99"/>
      <c r="L2958" s="99"/>
      <c r="M2958" s="99"/>
      <c r="N2958" s="99"/>
      <c r="O2958" s="99"/>
      <c r="P2958" s="99"/>
      <c r="Q2958" s="99"/>
      <c r="R2958" s="99"/>
      <c r="S2958" s="99"/>
      <c r="T2958" s="99"/>
      <c r="U2958" s="99"/>
      <c r="V2958" s="99"/>
    </row>
    <row r="2959" spans="1:22" ht="15" customHeight="1">
      <c r="A2959" s="297"/>
      <c r="B2959" s="217"/>
      <c r="C2959" s="217"/>
      <c r="D2959" s="101"/>
      <c r="E2959" s="101"/>
      <c r="F2959" s="294"/>
      <c r="G2959" s="295"/>
      <c r="H2959" s="107"/>
      <c r="I2959" s="109"/>
      <c r="J2959" s="109"/>
      <c r="K2959" s="109"/>
      <c r="L2959" s="109"/>
      <c r="M2959" s="109"/>
      <c r="N2959" s="109"/>
      <c r="O2959" s="109"/>
      <c r="P2959" s="109"/>
      <c r="Q2959" s="109"/>
      <c r="R2959" s="109"/>
      <c r="S2959" s="109"/>
      <c r="T2959" s="109"/>
      <c r="U2959" s="202"/>
      <c r="V2959" s="202"/>
    </row>
    <row r="2960" spans="1:22" ht="15" customHeight="1">
      <c r="A2960" s="297"/>
      <c r="B2960" s="217"/>
      <c r="C2960" s="217"/>
      <c r="D2960" s="101"/>
      <c r="E2960" s="101"/>
      <c r="F2960" s="294"/>
      <c r="G2960" s="295"/>
      <c r="H2960" s="98"/>
      <c r="I2960" s="106"/>
      <c r="J2960" s="106"/>
      <c r="K2960" s="106"/>
      <c r="L2960" s="106"/>
      <c r="M2960" s="106"/>
      <c r="N2960" s="112"/>
      <c r="O2960" s="112"/>
      <c r="P2960" s="112"/>
      <c r="Q2960" s="113"/>
      <c r="R2960" s="113"/>
      <c r="S2960" s="113"/>
      <c r="T2960" s="113"/>
      <c r="U2960" s="113"/>
      <c r="V2960" s="113"/>
    </row>
    <row r="2961" spans="1:22" ht="15" customHeight="1">
      <c r="A2961" s="297"/>
      <c r="B2961" s="217"/>
      <c r="C2961" s="217"/>
      <c r="D2961" s="101"/>
      <c r="E2961" s="101"/>
      <c r="F2961" s="294"/>
      <c r="G2961" s="295"/>
      <c r="H2961" s="98"/>
      <c r="I2961" s="99"/>
      <c r="J2961" s="99"/>
      <c r="K2961" s="99"/>
      <c r="L2961" s="99"/>
      <c r="M2961" s="99"/>
      <c r="N2961" s="99"/>
      <c r="O2961" s="99"/>
      <c r="P2961" s="99"/>
      <c r="Q2961" s="99"/>
      <c r="R2961" s="99"/>
      <c r="S2961" s="99"/>
      <c r="T2961" s="99"/>
      <c r="U2961" s="99"/>
      <c r="V2961" s="99"/>
    </row>
    <row r="2962" spans="1:22" ht="15" customHeight="1">
      <c r="A2962" s="297"/>
      <c r="B2962" s="217"/>
      <c r="C2962" s="217"/>
      <c r="D2962" s="101"/>
      <c r="E2962" s="101"/>
      <c r="F2962" s="294"/>
      <c r="G2962" s="295"/>
      <c r="H2962" s="98"/>
      <c r="I2962" s="99"/>
      <c r="J2962" s="99"/>
      <c r="K2962" s="99"/>
      <c r="L2962" s="99"/>
      <c r="M2962" s="99"/>
      <c r="N2962" s="99"/>
      <c r="O2962" s="99"/>
      <c r="P2962" s="99"/>
      <c r="Q2962" s="99"/>
      <c r="R2962" s="99"/>
      <c r="S2962" s="99"/>
      <c r="T2962" s="99"/>
      <c r="U2962" s="99"/>
      <c r="V2962" s="99"/>
    </row>
    <row r="2963" spans="1:22" ht="15" customHeight="1">
      <c r="A2963" s="297"/>
      <c r="B2963" s="217"/>
      <c r="C2963" s="217"/>
      <c r="D2963" s="101"/>
      <c r="E2963" s="101"/>
      <c r="F2963" s="294"/>
      <c r="G2963" s="295"/>
      <c r="H2963" s="98"/>
      <c r="I2963" s="99"/>
      <c r="J2963" s="99"/>
      <c r="K2963" s="99"/>
      <c r="L2963" s="99"/>
      <c r="M2963" s="99"/>
      <c r="N2963" s="99"/>
      <c r="O2963" s="99"/>
      <c r="P2963" s="99"/>
      <c r="Q2963" s="99"/>
      <c r="R2963" s="99"/>
      <c r="S2963" s="99"/>
      <c r="T2963" s="99"/>
      <c r="U2963" s="99"/>
      <c r="V2963" s="99"/>
    </row>
    <row r="2964" spans="1:22" ht="15" customHeight="1">
      <c r="A2964" s="297"/>
      <c r="B2964" s="217"/>
      <c r="C2964" s="217"/>
      <c r="D2964" s="101"/>
      <c r="E2964" s="101"/>
      <c r="F2964" s="294"/>
      <c r="G2964" s="295"/>
      <c r="H2964" s="98"/>
      <c r="I2964" s="99"/>
      <c r="J2964" s="99"/>
      <c r="K2964" s="99"/>
      <c r="L2964" s="99"/>
      <c r="M2964" s="99"/>
      <c r="N2964" s="99"/>
      <c r="O2964" s="99"/>
      <c r="P2964" s="99"/>
      <c r="Q2964" s="99"/>
      <c r="R2964" s="99"/>
      <c r="S2964" s="99"/>
      <c r="T2964" s="99"/>
      <c r="U2964" s="99"/>
      <c r="V2964" s="99"/>
    </row>
    <row r="2965" spans="1:22" ht="15" customHeight="1">
      <c r="A2965" s="297"/>
      <c r="B2965" s="217"/>
      <c r="C2965" s="217"/>
      <c r="D2965" s="101"/>
      <c r="E2965" s="101"/>
      <c r="F2965" s="294"/>
      <c r="G2965" s="295"/>
      <c r="H2965" s="98"/>
      <c r="I2965" s="99"/>
      <c r="J2965" s="99"/>
      <c r="K2965" s="99"/>
      <c r="L2965" s="99"/>
      <c r="M2965" s="99"/>
      <c r="N2965" s="99"/>
      <c r="O2965" s="99"/>
      <c r="P2965" s="99"/>
      <c r="Q2965" s="99"/>
      <c r="R2965" s="99"/>
      <c r="S2965" s="99"/>
      <c r="T2965" s="99"/>
      <c r="U2965" s="99"/>
      <c r="V2965" s="99"/>
    </row>
    <row r="2966" spans="1:22" ht="15" customHeight="1">
      <c r="A2966" s="297"/>
      <c r="B2966" s="217"/>
      <c r="C2966" s="217"/>
      <c r="D2966" s="101"/>
      <c r="E2966" s="101"/>
      <c r="F2966" s="294"/>
      <c r="G2966" s="295"/>
      <c r="H2966" s="98"/>
      <c r="I2966" s="99"/>
      <c r="J2966" s="99"/>
      <c r="K2966" s="99"/>
      <c r="L2966" s="99"/>
      <c r="M2966" s="99"/>
      <c r="N2966" s="99"/>
      <c r="O2966" s="99"/>
      <c r="P2966" s="99"/>
      <c r="Q2966" s="99"/>
      <c r="R2966" s="99"/>
      <c r="S2966" s="99"/>
      <c r="T2966" s="99"/>
      <c r="U2966" s="99"/>
      <c r="V2966" s="99"/>
    </row>
    <row r="2967" spans="1:22" ht="15" customHeight="1">
      <c r="A2967" s="297"/>
      <c r="B2967" s="217"/>
      <c r="C2967" s="217"/>
      <c r="D2967" s="101"/>
      <c r="E2967" s="101"/>
      <c r="F2967" s="294"/>
      <c r="G2967" s="295"/>
      <c r="H2967" s="107"/>
      <c r="I2967" s="109"/>
      <c r="J2967" s="109"/>
      <c r="K2967" s="109"/>
      <c r="L2967" s="109"/>
      <c r="M2967" s="109"/>
      <c r="N2967" s="109"/>
      <c r="O2967" s="109"/>
      <c r="P2967" s="109"/>
      <c r="Q2967" s="109"/>
      <c r="R2967" s="109"/>
      <c r="S2967" s="109"/>
      <c r="T2967" s="109"/>
      <c r="U2967" s="202"/>
      <c r="V2967" s="202"/>
    </row>
    <row r="2968" spans="1:22" ht="15" customHeight="1">
      <c r="A2968" s="297"/>
      <c r="B2968" s="217"/>
      <c r="C2968" s="217"/>
      <c r="D2968" s="101"/>
      <c r="E2968" s="101"/>
      <c r="F2968" s="294"/>
      <c r="G2968" s="295"/>
      <c r="H2968" s="98"/>
      <c r="I2968" s="106"/>
      <c r="J2968" s="106"/>
      <c r="K2968" s="106"/>
      <c r="L2968" s="106"/>
      <c r="M2968" s="106"/>
      <c r="N2968" s="112"/>
      <c r="O2968" s="112"/>
      <c r="P2968" s="112"/>
      <c r="Q2968" s="113"/>
      <c r="R2968" s="113"/>
      <c r="S2968" s="113"/>
      <c r="T2968" s="113"/>
      <c r="U2968" s="113"/>
      <c r="V2968" s="113"/>
    </row>
    <row r="2969" spans="1:22" ht="15" customHeight="1">
      <c r="A2969" s="297"/>
      <c r="B2969" s="217"/>
      <c r="C2969" s="217"/>
      <c r="D2969" s="101"/>
      <c r="E2969" s="101"/>
      <c r="F2969" s="294"/>
      <c r="G2969" s="295"/>
      <c r="H2969" s="114"/>
      <c r="I2969" s="108"/>
      <c r="J2969" s="108"/>
      <c r="K2969" s="108"/>
      <c r="L2969" s="108"/>
      <c r="M2969" s="108"/>
      <c r="N2969" s="108"/>
      <c r="O2969" s="108"/>
      <c r="P2969" s="108"/>
      <c r="Q2969" s="108"/>
      <c r="R2969" s="108"/>
      <c r="S2969" s="108"/>
      <c r="T2969" s="108"/>
      <c r="U2969" s="233"/>
      <c r="V2969" s="233"/>
    </row>
    <row r="2970" spans="1:22" ht="15" customHeight="1" thickBot="1">
      <c r="A2970" s="297"/>
      <c r="B2970" s="217"/>
      <c r="C2970" s="217"/>
      <c r="D2970" s="101"/>
      <c r="E2970" s="101"/>
      <c r="F2970" s="294"/>
      <c r="G2970" s="295"/>
      <c r="H2970" s="98"/>
      <c r="I2970" s="218"/>
      <c r="J2970" s="218"/>
      <c r="K2970" s="218"/>
      <c r="L2970" s="218"/>
      <c r="M2970" s="218"/>
      <c r="U2970" s="212"/>
      <c r="V2970" s="212"/>
    </row>
    <row r="2971" spans="1:22" ht="15" customHeight="1" thickBot="1">
      <c r="A2971" s="297"/>
      <c r="B2971" s="217"/>
      <c r="C2971" s="217"/>
      <c r="D2971" s="101"/>
      <c r="E2971" s="101"/>
      <c r="F2971" s="294"/>
      <c r="G2971" s="295"/>
      <c r="H2971" s="686"/>
      <c r="I2971" s="687"/>
      <c r="J2971" s="687"/>
      <c r="K2971" s="687"/>
      <c r="L2971" s="687"/>
      <c r="M2971" s="687"/>
      <c r="N2971" s="687"/>
      <c r="O2971" s="687"/>
      <c r="P2971" s="687"/>
      <c r="Q2971" s="687"/>
      <c r="R2971" s="687"/>
      <c r="S2971" s="715"/>
      <c r="T2971" s="688"/>
      <c r="U2971" s="254"/>
      <c r="V2971" s="254"/>
    </row>
    <row r="2972" spans="1:22" ht="15" customHeight="1">
      <c r="A2972" s="297"/>
      <c r="B2972" s="217"/>
      <c r="C2972" s="217"/>
      <c r="D2972" s="101"/>
      <c r="E2972" s="101"/>
      <c r="F2972" s="294"/>
      <c r="G2972" s="295"/>
      <c r="H2972" s="225"/>
      <c r="I2972" s="225"/>
      <c r="J2972" s="225"/>
      <c r="K2972" s="225"/>
      <c r="L2972" s="225"/>
      <c r="M2972" s="225"/>
      <c r="N2972" s="225"/>
      <c r="O2972" s="225"/>
      <c r="P2972" s="225"/>
      <c r="Q2972" s="225"/>
      <c r="R2972" s="225"/>
      <c r="S2972" s="225"/>
      <c r="T2972" s="225"/>
      <c r="U2972" s="225"/>
      <c r="V2972" s="225"/>
    </row>
    <row r="2973" spans="1:22" ht="15" customHeight="1">
      <c r="A2973" s="297"/>
      <c r="B2973" s="217"/>
      <c r="C2973" s="217"/>
      <c r="D2973" s="101"/>
      <c r="E2973" s="101"/>
      <c r="F2973" s="294"/>
      <c r="G2973" s="295"/>
      <c r="H2973" s="98"/>
      <c r="I2973" s="99"/>
      <c r="J2973" s="99"/>
      <c r="K2973" s="99"/>
      <c r="L2973" s="99"/>
      <c r="M2973" s="99"/>
      <c r="N2973" s="99"/>
      <c r="O2973" s="99"/>
      <c r="P2973" s="99"/>
      <c r="Q2973" s="99"/>
      <c r="R2973" s="99"/>
      <c r="S2973" s="99"/>
      <c r="T2973" s="99"/>
      <c r="U2973" s="99"/>
      <c r="V2973" s="99"/>
    </row>
    <row r="2974" spans="1:22" ht="15" customHeight="1">
      <c r="A2974" s="297"/>
      <c r="B2974" s="217"/>
      <c r="C2974" s="217"/>
      <c r="D2974" s="101"/>
      <c r="E2974" s="101"/>
      <c r="F2974" s="294"/>
      <c r="G2974" s="295"/>
      <c r="H2974" s="98"/>
      <c r="I2974" s="99"/>
      <c r="J2974" s="99"/>
      <c r="K2974" s="99"/>
      <c r="L2974" s="99"/>
      <c r="M2974" s="99"/>
      <c r="N2974" s="99"/>
      <c r="O2974" s="99"/>
      <c r="P2974" s="99"/>
      <c r="Q2974" s="99"/>
      <c r="R2974" s="99"/>
      <c r="S2974" s="99"/>
      <c r="T2974" s="99"/>
      <c r="U2974" s="99"/>
      <c r="V2974" s="99"/>
    </row>
    <row r="2975" spans="1:22" ht="15" customHeight="1">
      <c r="A2975" s="297"/>
      <c r="B2975" s="217"/>
      <c r="C2975" s="217"/>
      <c r="D2975" s="101"/>
      <c r="E2975" s="101"/>
      <c r="F2975" s="294"/>
      <c r="G2975" s="295"/>
      <c r="H2975" s="98"/>
      <c r="I2975" s="99"/>
      <c r="J2975" s="99"/>
      <c r="K2975" s="99"/>
      <c r="L2975" s="99"/>
      <c r="M2975" s="99"/>
      <c r="N2975" s="99"/>
      <c r="O2975" s="99"/>
      <c r="P2975" s="99"/>
      <c r="Q2975" s="99"/>
      <c r="R2975" s="99"/>
      <c r="S2975" s="99"/>
      <c r="T2975" s="99"/>
      <c r="U2975" s="99"/>
      <c r="V2975" s="99"/>
    </row>
    <row r="2976" spans="1:22" ht="15" customHeight="1">
      <c r="A2976" s="297"/>
      <c r="B2976" s="217"/>
      <c r="C2976" s="217"/>
      <c r="D2976" s="101"/>
      <c r="E2976" s="101"/>
      <c r="F2976" s="294"/>
      <c r="G2976" s="295"/>
      <c r="H2976" s="98"/>
      <c r="I2976" s="99"/>
      <c r="J2976" s="99"/>
      <c r="K2976" s="99"/>
      <c r="L2976" s="99"/>
      <c r="M2976" s="99"/>
      <c r="N2976" s="99"/>
      <c r="O2976" s="99"/>
      <c r="P2976" s="99"/>
      <c r="Q2976" s="99"/>
      <c r="R2976" s="99"/>
      <c r="S2976" s="99"/>
      <c r="T2976" s="99"/>
      <c r="U2976" s="99"/>
      <c r="V2976" s="99"/>
    </row>
    <row r="2977" spans="1:22" ht="15" customHeight="1">
      <c r="A2977" s="297"/>
      <c r="B2977" s="217"/>
      <c r="C2977" s="217"/>
      <c r="D2977" s="101"/>
      <c r="E2977" s="101"/>
      <c r="F2977" s="294"/>
      <c r="G2977" s="295"/>
      <c r="H2977" s="98"/>
      <c r="I2977" s="99"/>
      <c r="J2977" s="99"/>
      <c r="K2977" s="99"/>
      <c r="L2977" s="99"/>
      <c r="M2977" s="99"/>
      <c r="N2977" s="99"/>
      <c r="O2977" s="99"/>
      <c r="P2977" s="99"/>
      <c r="Q2977" s="99"/>
      <c r="R2977" s="99"/>
      <c r="S2977" s="99"/>
      <c r="T2977" s="99"/>
      <c r="U2977" s="99"/>
      <c r="V2977" s="99"/>
    </row>
    <row r="2978" spans="1:22" ht="15" customHeight="1">
      <c r="A2978" s="297"/>
      <c r="B2978" s="217"/>
      <c r="C2978" s="217"/>
      <c r="D2978" s="101"/>
      <c r="E2978" s="101"/>
      <c r="F2978" s="294"/>
      <c r="G2978" s="295"/>
      <c r="H2978" s="107"/>
      <c r="I2978" s="108"/>
      <c r="J2978" s="108"/>
      <c r="K2978" s="108"/>
      <c r="L2978" s="108"/>
      <c r="M2978" s="108"/>
      <c r="N2978" s="109"/>
      <c r="O2978" s="109"/>
      <c r="P2978" s="109"/>
      <c r="Q2978" s="109"/>
      <c r="R2978" s="109"/>
      <c r="S2978" s="109"/>
      <c r="T2978" s="109"/>
      <c r="U2978" s="202"/>
      <c r="V2978" s="202"/>
    </row>
    <row r="2979" spans="1:22" ht="15" customHeight="1">
      <c r="A2979" s="297"/>
      <c r="B2979" s="217"/>
      <c r="C2979" s="217"/>
      <c r="D2979" s="101"/>
      <c r="E2979" s="101"/>
      <c r="F2979" s="294"/>
      <c r="G2979" s="295"/>
      <c r="H2979" s="98"/>
      <c r="I2979" s="106"/>
      <c r="J2979" s="106"/>
      <c r="K2979" s="106"/>
      <c r="L2979" s="106"/>
      <c r="M2979" s="106"/>
      <c r="N2979" s="112"/>
      <c r="O2979" s="112"/>
      <c r="P2979" s="112"/>
      <c r="Q2979" s="113"/>
      <c r="R2979" s="113"/>
      <c r="S2979" s="113"/>
      <c r="T2979" s="113"/>
      <c r="U2979" s="113"/>
      <c r="V2979" s="113"/>
    </row>
    <row r="2980" spans="1:22" ht="15" customHeight="1">
      <c r="A2980" s="297"/>
      <c r="B2980" s="217"/>
      <c r="C2980" s="217"/>
      <c r="D2980" s="101"/>
      <c r="E2980" s="101"/>
      <c r="F2980" s="294"/>
      <c r="G2980" s="295"/>
      <c r="H2980" s="98"/>
      <c r="I2980" s="99"/>
      <c r="J2980" s="99"/>
      <c r="K2980" s="99"/>
      <c r="L2980" s="99"/>
      <c r="M2980" s="99"/>
      <c r="N2980" s="99"/>
      <c r="O2980" s="99"/>
      <c r="P2980" s="99"/>
      <c r="Q2980" s="99"/>
      <c r="R2980" s="99"/>
      <c r="S2980" s="99"/>
      <c r="T2980" s="99"/>
      <c r="U2980" s="99"/>
      <c r="V2980" s="99"/>
    </row>
    <row r="2981" spans="1:22" ht="15" customHeight="1">
      <c r="A2981" s="297"/>
      <c r="B2981" s="217"/>
      <c r="C2981" s="217"/>
      <c r="D2981" s="101"/>
      <c r="E2981" s="101"/>
      <c r="F2981" s="294"/>
      <c r="G2981" s="295"/>
      <c r="H2981" s="98"/>
      <c r="I2981" s="99"/>
      <c r="J2981" s="99"/>
      <c r="K2981" s="99"/>
      <c r="L2981" s="99"/>
      <c r="M2981" s="99"/>
      <c r="N2981" s="99"/>
      <c r="O2981" s="99"/>
      <c r="P2981" s="99"/>
      <c r="Q2981" s="99"/>
      <c r="R2981" s="99"/>
      <c r="S2981" s="99"/>
      <c r="T2981" s="99"/>
      <c r="U2981" s="99"/>
      <c r="V2981" s="99"/>
    </row>
    <row r="2982" spans="1:22" ht="15" customHeight="1">
      <c r="A2982" s="297"/>
      <c r="B2982" s="217"/>
      <c r="C2982" s="217"/>
      <c r="D2982" s="101"/>
      <c r="E2982" s="101"/>
      <c r="F2982" s="294"/>
      <c r="G2982" s="295"/>
      <c r="H2982" s="98"/>
      <c r="I2982" s="99"/>
      <c r="J2982" s="99"/>
      <c r="K2982" s="99"/>
      <c r="L2982" s="99"/>
      <c r="M2982" s="99"/>
      <c r="N2982" s="99"/>
      <c r="O2982" s="99"/>
      <c r="P2982" s="99"/>
      <c r="Q2982" s="99"/>
      <c r="R2982" s="99"/>
      <c r="S2982" s="99"/>
      <c r="T2982" s="99"/>
      <c r="U2982" s="99"/>
      <c r="V2982" s="99"/>
    </row>
    <row r="2983" spans="1:22" ht="15" customHeight="1">
      <c r="A2983" s="297"/>
      <c r="B2983" s="217"/>
      <c r="C2983" s="217"/>
      <c r="D2983" s="101"/>
      <c r="E2983" s="101"/>
      <c r="F2983" s="294"/>
      <c r="G2983" s="295"/>
      <c r="H2983" s="98"/>
      <c r="I2983" s="99"/>
      <c r="J2983" s="99"/>
      <c r="K2983" s="99"/>
      <c r="L2983" s="99"/>
      <c r="M2983" s="99"/>
      <c r="N2983" s="99"/>
      <c r="O2983" s="99"/>
      <c r="P2983" s="99"/>
      <c r="Q2983" s="99"/>
      <c r="R2983" s="99"/>
      <c r="S2983" s="99"/>
      <c r="T2983" s="99"/>
      <c r="U2983" s="99"/>
      <c r="V2983" s="99"/>
    </row>
    <row r="2984" spans="1:22" ht="15" customHeight="1">
      <c r="A2984" s="297"/>
      <c r="B2984" s="217"/>
      <c r="C2984" s="217"/>
      <c r="D2984" s="101"/>
      <c r="E2984" s="101"/>
      <c r="F2984" s="294"/>
      <c r="G2984" s="295"/>
      <c r="H2984" s="98"/>
      <c r="I2984" s="99"/>
      <c r="J2984" s="99"/>
      <c r="K2984" s="99"/>
      <c r="L2984" s="99"/>
      <c r="M2984" s="99"/>
      <c r="N2984" s="99"/>
      <c r="O2984" s="99"/>
      <c r="P2984" s="99"/>
      <c r="Q2984" s="99"/>
      <c r="R2984" s="99"/>
      <c r="S2984" s="99"/>
      <c r="T2984" s="99"/>
      <c r="U2984" s="99"/>
      <c r="V2984" s="99"/>
    </row>
    <row r="2985" spans="1:22" ht="15" customHeight="1">
      <c r="A2985" s="297"/>
      <c r="B2985" s="217"/>
      <c r="C2985" s="217"/>
      <c r="D2985" s="101"/>
      <c r="E2985" s="101"/>
      <c r="F2985" s="294"/>
      <c r="G2985" s="295"/>
      <c r="H2985" s="107"/>
      <c r="I2985" s="109"/>
      <c r="J2985" s="109"/>
      <c r="K2985" s="109"/>
      <c r="L2985" s="109"/>
      <c r="M2985" s="109"/>
      <c r="N2985" s="109"/>
      <c r="O2985" s="109"/>
      <c r="P2985" s="109"/>
      <c r="Q2985" s="109"/>
      <c r="R2985" s="109"/>
      <c r="S2985" s="109"/>
      <c r="T2985" s="109"/>
      <c r="U2985" s="202"/>
      <c r="V2985" s="202"/>
    </row>
    <row r="2986" spans="1:22" ht="15" customHeight="1">
      <c r="A2986" s="297"/>
      <c r="B2986" s="217"/>
      <c r="C2986" s="217"/>
      <c r="D2986" s="101"/>
      <c r="E2986" s="101"/>
      <c r="F2986" s="294"/>
      <c r="G2986" s="295"/>
      <c r="H2986" s="98"/>
      <c r="I2986" s="106"/>
      <c r="J2986" s="106"/>
      <c r="K2986" s="106"/>
      <c r="L2986" s="106"/>
      <c r="M2986" s="106"/>
      <c r="N2986" s="112"/>
      <c r="O2986" s="112"/>
      <c r="P2986" s="112"/>
      <c r="Q2986" s="113"/>
      <c r="R2986" s="113"/>
      <c r="S2986" s="113"/>
      <c r="T2986" s="113"/>
      <c r="U2986" s="113"/>
      <c r="V2986" s="113"/>
    </row>
    <row r="2987" spans="1:22" ht="15" customHeight="1">
      <c r="A2987" s="297"/>
      <c r="B2987" s="217"/>
      <c r="C2987" s="217"/>
      <c r="D2987" s="101"/>
      <c r="E2987" s="101"/>
      <c r="F2987" s="294"/>
      <c r="G2987" s="295"/>
      <c r="H2987" s="98"/>
      <c r="I2987" s="99"/>
      <c r="J2987" s="99"/>
      <c r="K2987" s="99"/>
      <c r="L2987" s="99"/>
      <c r="M2987" s="99"/>
      <c r="N2987" s="99"/>
      <c r="O2987" s="99"/>
      <c r="P2987" s="99"/>
      <c r="Q2987" s="99"/>
      <c r="R2987" s="99"/>
      <c r="S2987" s="99"/>
      <c r="T2987" s="99"/>
      <c r="U2987" s="99"/>
      <c r="V2987" s="99"/>
    </row>
    <row r="2988" spans="1:22" ht="15" customHeight="1">
      <c r="A2988" s="297"/>
      <c r="B2988" s="217"/>
      <c r="C2988" s="217"/>
      <c r="D2988" s="101"/>
      <c r="E2988" s="101"/>
      <c r="F2988" s="294"/>
      <c r="G2988" s="295"/>
      <c r="H2988" s="107"/>
      <c r="I2988" s="109"/>
      <c r="J2988" s="109"/>
      <c r="K2988" s="109"/>
      <c r="L2988" s="109"/>
      <c r="M2988" s="109"/>
      <c r="N2988" s="109"/>
      <c r="O2988" s="109"/>
      <c r="P2988" s="109"/>
      <c r="Q2988" s="109"/>
      <c r="R2988" s="109"/>
      <c r="S2988" s="109"/>
      <c r="T2988" s="109"/>
      <c r="U2988" s="202"/>
      <c r="V2988" s="202"/>
    </row>
    <row r="2989" spans="1:22" ht="15" customHeight="1">
      <c r="A2989" s="297"/>
      <c r="B2989" s="217"/>
      <c r="C2989" s="217"/>
      <c r="D2989" s="101"/>
      <c r="E2989" s="101"/>
      <c r="F2989" s="294"/>
      <c r="G2989" s="295"/>
      <c r="H2989" s="98"/>
      <c r="I2989" s="106"/>
      <c r="J2989" s="106"/>
      <c r="K2989" s="106"/>
      <c r="L2989" s="106"/>
      <c r="M2989" s="106"/>
      <c r="N2989" s="112"/>
      <c r="O2989" s="112"/>
      <c r="P2989" s="112"/>
      <c r="Q2989" s="113"/>
      <c r="R2989" s="113"/>
      <c r="S2989" s="113"/>
      <c r="T2989" s="113"/>
      <c r="U2989" s="113"/>
      <c r="V2989" s="113"/>
    </row>
    <row r="2990" spans="1:22" ht="15" customHeight="1">
      <c r="A2990" s="297"/>
      <c r="B2990" s="217"/>
      <c r="C2990" s="217"/>
      <c r="D2990" s="101"/>
      <c r="E2990" s="101"/>
      <c r="F2990" s="294"/>
      <c r="G2990" s="295"/>
      <c r="H2990" s="114"/>
      <c r="I2990" s="108"/>
      <c r="J2990" s="108"/>
      <c r="K2990" s="108"/>
      <c r="L2990" s="108"/>
      <c r="M2990" s="108"/>
      <c r="N2990" s="108"/>
      <c r="O2990" s="108"/>
      <c r="P2990" s="108"/>
      <c r="Q2990" s="108"/>
      <c r="R2990" s="108"/>
      <c r="S2990" s="108"/>
      <c r="T2990" s="108"/>
      <c r="U2990" s="233"/>
      <c r="V2990" s="233"/>
    </row>
    <row r="2991" spans="1:22" ht="15" customHeight="1" thickBot="1">
      <c r="A2991" s="297"/>
      <c r="B2991" s="217"/>
      <c r="C2991" s="217"/>
      <c r="D2991" s="101"/>
      <c r="E2991" s="101"/>
      <c r="F2991" s="294"/>
      <c r="G2991" s="295"/>
      <c r="H2991" s="98"/>
      <c r="I2991" s="218"/>
      <c r="J2991" s="218"/>
      <c r="K2991" s="218"/>
      <c r="L2991" s="218"/>
      <c r="M2991" s="218"/>
      <c r="U2991" s="212"/>
      <c r="V2991" s="212"/>
    </row>
    <row r="2992" spans="1:22" ht="15" customHeight="1" thickBot="1">
      <c r="A2992" s="297"/>
      <c r="B2992" s="217"/>
      <c r="C2992" s="217"/>
      <c r="D2992" s="101"/>
      <c r="E2992" s="101"/>
      <c r="F2992" s="294"/>
      <c r="G2992" s="295"/>
      <c r="H2992" s="686"/>
      <c r="I2992" s="687"/>
      <c r="J2992" s="687"/>
      <c r="K2992" s="687"/>
      <c r="L2992" s="687"/>
      <c r="M2992" s="687"/>
      <c r="N2992" s="687"/>
      <c r="O2992" s="687"/>
      <c r="P2992" s="687"/>
      <c r="Q2992" s="687"/>
      <c r="R2992" s="687"/>
      <c r="S2992" s="715"/>
      <c r="T2992" s="688"/>
      <c r="U2992" s="254"/>
      <c r="V2992" s="254"/>
    </row>
    <row r="2993" spans="1:22" ht="15" customHeight="1">
      <c r="A2993" s="297"/>
      <c r="B2993" s="217"/>
      <c r="C2993" s="217"/>
      <c r="D2993" s="101"/>
      <c r="E2993" s="101"/>
      <c r="F2993" s="294"/>
      <c r="G2993" s="295"/>
      <c r="H2993" s="225"/>
      <c r="I2993" s="225"/>
      <c r="J2993" s="225"/>
      <c r="K2993" s="225"/>
      <c r="L2993" s="225"/>
      <c r="M2993" s="225"/>
      <c r="N2993" s="225"/>
      <c r="O2993" s="225"/>
      <c r="P2993" s="225"/>
      <c r="Q2993" s="225"/>
      <c r="R2993" s="225"/>
      <c r="S2993" s="225"/>
      <c r="T2993" s="225"/>
      <c r="U2993" s="225"/>
      <c r="V2993" s="225"/>
    </row>
    <row r="2994" spans="1:22" ht="15" customHeight="1">
      <c r="A2994" s="297"/>
      <c r="B2994" s="217"/>
      <c r="C2994" s="217"/>
      <c r="D2994" s="101"/>
      <c r="E2994" s="101"/>
      <c r="F2994" s="294"/>
      <c r="G2994" s="295"/>
      <c r="H2994" s="98"/>
      <c r="I2994" s="99"/>
      <c r="J2994" s="99"/>
      <c r="K2994" s="99"/>
      <c r="L2994" s="99"/>
      <c r="M2994" s="99"/>
      <c r="N2994" s="99"/>
      <c r="O2994" s="99"/>
      <c r="P2994" s="99"/>
      <c r="Q2994" s="99"/>
      <c r="R2994" s="99"/>
      <c r="S2994" s="99"/>
      <c r="T2994" s="99"/>
      <c r="U2994" s="99"/>
      <c r="V2994" s="99"/>
    </row>
    <row r="2995" spans="1:22" ht="15" customHeight="1">
      <c r="A2995" s="297"/>
      <c r="B2995" s="217"/>
      <c r="C2995" s="217"/>
      <c r="D2995" s="101"/>
      <c r="E2995" s="101"/>
      <c r="F2995" s="294"/>
      <c r="G2995" s="295"/>
      <c r="H2995" s="107"/>
      <c r="I2995" s="108"/>
      <c r="J2995" s="108"/>
      <c r="K2995" s="108"/>
      <c r="L2995" s="108"/>
      <c r="M2995" s="108"/>
      <c r="N2995" s="109"/>
      <c r="O2995" s="109"/>
      <c r="P2995" s="109"/>
      <c r="Q2995" s="109"/>
      <c r="R2995" s="109"/>
      <c r="S2995" s="109"/>
      <c r="T2995" s="109"/>
      <c r="U2995" s="202"/>
      <c r="V2995" s="202"/>
    </row>
    <row r="2996" spans="1:22" ht="15" customHeight="1">
      <c r="A2996" s="297"/>
      <c r="B2996" s="217"/>
      <c r="C2996" s="217"/>
      <c r="D2996" s="101"/>
      <c r="E2996" s="101"/>
      <c r="F2996" s="294"/>
      <c r="G2996" s="295"/>
      <c r="H2996" s="98"/>
      <c r="I2996" s="106"/>
      <c r="J2996" s="106"/>
      <c r="K2996" s="106"/>
      <c r="L2996" s="106"/>
      <c r="M2996" s="106"/>
      <c r="N2996" s="112"/>
      <c r="O2996" s="112"/>
      <c r="P2996" s="112"/>
      <c r="Q2996" s="113"/>
      <c r="R2996" s="113"/>
      <c r="S2996" s="113"/>
      <c r="T2996" s="113"/>
      <c r="U2996" s="113"/>
      <c r="V2996" s="113"/>
    </row>
    <row r="2997" spans="1:22" ht="15" customHeight="1">
      <c r="A2997" s="297"/>
      <c r="B2997" s="217"/>
      <c r="C2997" s="217"/>
      <c r="D2997" s="101"/>
      <c r="E2997" s="101"/>
      <c r="F2997" s="294"/>
      <c r="G2997" s="295"/>
      <c r="H2997" s="98"/>
      <c r="I2997" s="99"/>
      <c r="J2997" s="99"/>
      <c r="K2997" s="99"/>
      <c r="L2997" s="99"/>
      <c r="M2997" s="99"/>
      <c r="N2997" s="99"/>
      <c r="O2997" s="99"/>
      <c r="P2997" s="99"/>
      <c r="Q2997" s="99"/>
      <c r="R2997" s="99"/>
      <c r="S2997" s="99"/>
      <c r="T2997" s="99"/>
      <c r="U2997" s="99"/>
      <c r="V2997" s="99"/>
    </row>
    <row r="2998" spans="1:22" ht="15" customHeight="1">
      <c r="A2998" s="297"/>
      <c r="B2998" s="217"/>
      <c r="C2998" s="217"/>
      <c r="D2998" s="101"/>
      <c r="E2998" s="101"/>
      <c r="F2998" s="294"/>
      <c r="G2998" s="295"/>
      <c r="H2998" s="98"/>
      <c r="I2998" s="99"/>
      <c r="J2998" s="99"/>
      <c r="K2998" s="99"/>
      <c r="L2998" s="99"/>
      <c r="M2998" s="99"/>
      <c r="N2998" s="99"/>
      <c r="O2998" s="99"/>
      <c r="P2998" s="99"/>
      <c r="Q2998" s="99"/>
      <c r="R2998" s="99"/>
      <c r="S2998" s="99"/>
      <c r="T2998" s="99"/>
      <c r="U2998" s="99"/>
      <c r="V2998" s="99"/>
    </row>
    <row r="2999" spans="1:22" ht="15" customHeight="1">
      <c r="A2999" s="297"/>
      <c r="B2999" s="217"/>
      <c r="C2999" s="217"/>
      <c r="D2999" s="101"/>
      <c r="E2999" s="101"/>
      <c r="F2999" s="294"/>
      <c r="G2999" s="295"/>
      <c r="H2999" s="107"/>
      <c r="I2999" s="108"/>
      <c r="J2999" s="108"/>
      <c r="K2999" s="108"/>
      <c r="L2999" s="108"/>
      <c r="M2999" s="108"/>
      <c r="N2999" s="109"/>
      <c r="O2999" s="109"/>
      <c r="P2999" s="109"/>
      <c r="Q2999" s="109"/>
      <c r="R2999" s="109"/>
      <c r="S2999" s="109"/>
      <c r="T2999" s="109"/>
      <c r="U2999" s="202"/>
      <c r="V2999" s="202"/>
    </row>
    <row r="3000" spans="1:22" ht="15" customHeight="1">
      <c r="A3000" s="297"/>
      <c r="B3000" s="217"/>
      <c r="C3000" s="217"/>
      <c r="D3000" s="101"/>
      <c r="E3000" s="101"/>
      <c r="F3000" s="294"/>
      <c r="G3000" s="295"/>
      <c r="H3000" s="98"/>
      <c r="I3000" s="106"/>
      <c r="J3000" s="106"/>
      <c r="K3000" s="106"/>
      <c r="L3000" s="106"/>
      <c r="M3000" s="106"/>
      <c r="N3000" s="112"/>
      <c r="O3000" s="112"/>
      <c r="P3000" s="112"/>
      <c r="Q3000" s="113"/>
      <c r="R3000" s="113"/>
      <c r="S3000" s="113"/>
      <c r="T3000" s="113"/>
      <c r="U3000" s="113"/>
      <c r="V3000" s="113"/>
    </row>
    <row r="3001" spans="1:22" ht="15" customHeight="1">
      <c r="A3001" s="297"/>
      <c r="B3001" s="217"/>
      <c r="C3001" s="217"/>
      <c r="D3001" s="101"/>
      <c r="E3001" s="101"/>
      <c r="F3001" s="294"/>
      <c r="G3001" s="295"/>
      <c r="H3001" s="114"/>
      <c r="I3001" s="108"/>
      <c r="J3001" s="108"/>
      <c r="K3001" s="108"/>
      <c r="L3001" s="108"/>
      <c r="M3001" s="108"/>
      <c r="N3001" s="108"/>
      <c r="O3001" s="108"/>
      <c r="P3001" s="108"/>
      <c r="Q3001" s="108"/>
      <c r="R3001" s="108"/>
      <c r="S3001" s="108"/>
      <c r="T3001" s="108"/>
      <c r="U3001" s="233"/>
      <c r="V3001" s="233"/>
    </row>
    <row r="3002" spans="1:22" ht="15" customHeight="1" thickBot="1">
      <c r="A3002" s="297"/>
      <c r="B3002" s="217"/>
      <c r="C3002" s="217"/>
      <c r="D3002" s="101"/>
      <c r="E3002" s="101"/>
      <c r="F3002" s="294"/>
      <c r="G3002" s="295"/>
      <c r="H3002" s="98"/>
      <c r="I3002" s="218"/>
      <c r="J3002" s="218"/>
      <c r="K3002" s="218"/>
      <c r="L3002" s="218"/>
      <c r="M3002" s="218"/>
      <c r="U3002" s="212"/>
      <c r="V3002" s="212"/>
    </row>
    <row r="3003" spans="1:22" ht="15" customHeight="1" thickBot="1">
      <c r="A3003" s="297"/>
      <c r="B3003" s="217"/>
      <c r="C3003" s="217"/>
      <c r="D3003" s="101"/>
      <c r="E3003" s="101"/>
      <c r="F3003" s="294"/>
      <c r="G3003" s="295"/>
      <c r="H3003" s="686"/>
      <c r="I3003" s="687"/>
      <c r="J3003" s="687"/>
      <c r="K3003" s="687"/>
      <c r="L3003" s="687"/>
      <c r="M3003" s="687"/>
      <c r="N3003" s="687"/>
      <c r="O3003" s="687"/>
      <c r="P3003" s="687"/>
      <c r="Q3003" s="687"/>
      <c r="R3003" s="687"/>
      <c r="S3003" s="715"/>
      <c r="T3003" s="688"/>
      <c r="U3003" s="254"/>
      <c r="V3003" s="254"/>
    </row>
    <row r="3004" spans="1:22" ht="15" customHeight="1">
      <c r="A3004" s="297"/>
      <c r="B3004" s="217"/>
      <c r="C3004" s="217"/>
      <c r="D3004" s="101"/>
      <c r="E3004" s="101"/>
      <c r="F3004" s="294"/>
      <c r="G3004" s="295"/>
      <c r="H3004" s="225"/>
      <c r="I3004" s="225"/>
      <c r="J3004" s="225"/>
      <c r="K3004" s="225"/>
      <c r="L3004" s="225"/>
      <c r="M3004" s="225"/>
      <c r="N3004" s="225"/>
      <c r="O3004" s="225"/>
      <c r="P3004" s="225"/>
      <c r="Q3004" s="225"/>
      <c r="R3004" s="225"/>
      <c r="S3004" s="225"/>
      <c r="T3004" s="225"/>
      <c r="U3004" s="225"/>
      <c r="V3004" s="225"/>
    </row>
    <row r="3005" spans="1:22" ht="15" customHeight="1">
      <c r="A3005" s="297"/>
      <c r="B3005" s="217"/>
      <c r="C3005" s="217"/>
      <c r="D3005" s="101"/>
      <c r="E3005" s="101"/>
      <c r="F3005" s="294"/>
      <c r="G3005" s="295"/>
      <c r="H3005" s="98"/>
      <c r="I3005" s="99"/>
      <c r="J3005" s="99"/>
      <c r="K3005" s="99"/>
      <c r="L3005" s="99"/>
      <c r="M3005" s="99"/>
      <c r="N3005" s="99"/>
      <c r="O3005" s="99"/>
      <c r="P3005" s="99"/>
      <c r="Q3005" s="99"/>
      <c r="R3005" s="99"/>
      <c r="S3005" s="99"/>
      <c r="T3005" s="99"/>
      <c r="U3005" s="99"/>
      <c r="V3005" s="99"/>
    </row>
    <row r="3006" spans="1:22" ht="15" customHeight="1">
      <c r="A3006" s="297"/>
      <c r="B3006" s="217"/>
      <c r="C3006" s="217"/>
      <c r="D3006" s="101"/>
      <c r="E3006" s="101"/>
      <c r="F3006" s="294"/>
      <c r="G3006" s="295"/>
      <c r="H3006" s="107"/>
      <c r="I3006" s="108"/>
      <c r="J3006" s="108"/>
      <c r="K3006" s="108"/>
      <c r="L3006" s="108"/>
      <c r="M3006" s="108"/>
      <c r="N3006" s="109"/>
      <c r="O3006" s="109"/>
      <c r="P3006" s="109"/>
      <c r="Q3006" s="109"/>
      <c r="R3006" s="109"/>
      <c r="S3006" s="109"/>
      <c r="T3006" s="109"/>
      <c r="U3006" s="202"/>
      <c r="V3006" s="202"/>
    </row>
    <row r="3007" spans="1:22" ht="15" customHeight="1">
      <c r="A3007" s="297"/>
      <c r="B3007" s="217"/>
      <c r="C3007" s="217"/>
      <c r="D3007" s="101"/>
      <c r="E3007" s="101"/>
      <c r="F3007" s="294"/>
      <c r="G3007" s="295"/>
      <c r="H3007" s="98"/>
      <c r="I3007" s="106"/>
      <c r="J3007" s="106"/>
      <c r="K3007" s="106"/>
      <c r="L3007" s="106"/>
      <c r="M3007" s="106"/>
      <c r="N3007" s="112"/>
      <c r="O3007" s="112"/>
      <c r="P3007" s="112"/>
      <c r="Q3007" s="113"/>
      <c r="R3007" s="113"/>
      <c r="S3007" s="113"/>
      <c r="T3007" s="113"/>
      <c r="U3007" s="113"/>
      <c r="V3007" s="113"/>
    </row>
    <row r="3008" spans="1:22" ht="15" customHeight="1">
      <c r="A3008" s="297"/>
      <c r="B3008" s="217"/>
      <c r="C3008" s="217"/>
      <c r="D3008" s="101"/>
      <c r="E3008" s="101"/>
      <c r="F3008" s="294"/>
      <c r="G3008" s="295"/>
      <c r="H3008" s="114"/>
      <c r="I3008" s="108"/>
      <c r="J3008" s="108"/>
      <c r="K3008" s="108"/>
      <c r="L3008" s="108"/>
      <c r="M3008" s="108"/>
      <c r="N3008" s="108"/>
      <c r="O3008" s="108"/>
      <c r="P3008" s="108"/>
      <c r="Q3008" s="108"/>
      <c r="R3008" s="108"/>
      <c r="S3008" s="108"/>
      <c r="T3008" s="108"/>
      <c r="U3008" s="233"/>
      <c r="V3008" s="233"/>
    </row>
    <row r="3009" spans="1:22" ht="15" customHeight="1">
      <c r="A3009" s="297"/>
      <c r="B3009" s="217"/>
      <c r="C3009" s="217"/>
      <c r="D3009" s="101"/>
      <c r="E3009" s="101"/>
      <c r="F3009" s="294"/>
      <c r="G3009" s="295"/>
      <c r="H3009" s="98"/>
      <c r="I3009" s="218"/>
      <c r="J3009" s="218"/>
      <c r="K3009" s="218"/>
      <c r="L3009" s="218"/>
      <c r="M3009" s="218"/>
      <c r="U3009" s="212"/>
      <c r="V3009" s="212"/>
    </row>
    <row r="3010" spans="1:22" ht="15" customHeight="1" thickBot="1">
      <c r="A3010" s="297"/>
      <c r="B3010" s="217"/>
      <c r="C3010" s="217"/>
      <c r="D3010" s="101"/>
      <c r="E3010" s="101"/>
      <c r="F3010" s="294"/>
      <c r="G3010" s="295"/>
      <c r="H3010" s="98"/>
      <c r="I3010" s="218"/>
      <c r="J3010" s="218"/>
      <c r="K3010" s="218"/>
      <c r="L3010" s="218"/>
      <c r="M3010" s="218"/>
      <c r="U3010" s="212"/>
      <c r="V3010" s="212"/>
    </row>
    <row r="3011" spans="1:22" ht="15" customHeight="1" thickBot="1">
      <c r="A3011" s="297"/>
      <c r="B3011" s="217"/>
      <c r="C3011" s="217"/>
      <c r="D3011" s="101"/>
      <c r="E3011" s="101"/>
      <c r="F3011" s="294"/>
      <c r="G3011" s="295"/>
      <c r="H3011" s="686"/>
      <c r="I3011" s="687"/>
      <c r="J3011" s="687"/>
      <c r="K3011" s="687"/>
      <c r="L3011" s="687"/>
      <c r="M3011" s="687"/>
      <c r="N3011" s="687"/>
      <c r="O3011" s="687"/>
      <c r="P3011" s="687"/>
      <c r="Q3011" s="687"/>
      <c r="R3011" s="687"/>
      <c r="S3011" s="715"/>
      <c r="T3011" s="688"/>
      <c r="U3011" s="254"/>
      <c r="V3011" s="254"/>
    </row>
    <row r="3012" spans="1:22" ht="15" customHeight="1">
      <c r="A3012" s="297"/>
      <c r="B3012" s="217"/>
      <c r="C3012" s="217"/>
      <c r="D3012" s="101"/>
      <c r="E3012" s="101"/>
      <c r="F3012" s="294"/>
      <c r="G3012" s="295"/>
      <c r="H3012" s="225"/>
      <c r="I3012" s="225"/>
      <c r="J3012" s="225"/>
      <c r="K3012" s="225"/>
      <c r="L3012" s="225"/>
      <c r="M3012" s="225"/>
      <c r="N3012" s="225"/>
      <c r="O3012" s="225"/>
      <c r="P3012" s="225"/>
      <c r="Q3012" s="225"/>
      <c r="R3012" s="225"/>
      <c r="S3012" s="225"/>
      <c r="T3012" s="225"/>
      <c r="U3012" s="225"/>
      <c r="V3012" s="225"/>
    </row>
    <row r="3013" spans="1:22" ht="15" customHeight="1">
      <c r="A3013" s="297"/>
      <c r="B3013" s="217"/>
      <c r="C3013" s="217"/>
      <c r="D3013" s="101"/>
      <c r="E3013" s="101"/>
      <c r="F3013" s="294"/>
      <c r="G3013" s="295"/>
      <c r="H3013" s="98"/>
      <c r="I3013" s="99"/>
      <c r="J3013" s="99"/>
      <c r="K3013" s="99"/>
      <c r="L3013" s="99"/>
      <c r="M3013" s="99"/>
      <c r="N3013" s="99"/>
      <c r="O3013" s="99"/>
      <c r="P3013" s="99"/>
      <c r="Q3013" s="99"/>
      <c r="R3013" s="99"/>
      <c r="S3013" s="99"/>
      <c r="T3013" s="99"/>
      <c r="U3013" s="99"/>
      <c r="V3013" s="99"/>
    </row>
    <row r="3014" spans="1:22" ht="15" customHeight="1">
      <c r="A3014" s="297"/>
      <c r="B3014" s="217"/>
      <c r="C3014" s="217"/>
      <c r="D3014" s="101"/>
      <c r="E3014" s="101"/>
      <c r="F3014" s="294"/>
      <c r="G3014" s="295"/>
      <c r="H3014" s="107"/>
      <c r="I3014" s="108"/>
      <c r="J3014" s="108"/>
      <c r="K3014" s="108"/>
      <c r="L3014" s="108"/>
      <c r="M3014" s="108"/>
      <c r="N3014" s="109"/>
      <c r="O3014" s="109"/>
      <c r="P3014" s="109"/>
      <c r="Q3014" s="109"/>
      <c r="R3014" s="109"/>
      <c r="S3014" s="109"/>
      <c r="T3014" s="109"/>
      <c r="U3014" s="202"/>
      <c r="V3014" s="202"/>
    </row>
    <row r="3015" spans="1:22" ht="15" customHeight="1">
      <c r="A3015" s="297"/>
      <c r="B3015" s="217"/>
      <c r="C3015" s="217"/>
      <c r="D3015" s="101"/>
      <c r="E3015" s="101"/>
      <c r="F3015" s="294"/>
      <c r="G3015" s="295"/>
      <c r="H3015" s="98"/>
      <c r="I3015" s="106"/>
      <c r="J3015" s="106"/>
      <c r="K3015" s="106"/>
      <c r="L3015" s="106"/>
      <c r="M3015" s="106"/>
      <c r="N3015" s="112"/>
      <c r="O3015" s="112"/>
      <c r="P3015" s="112"/>
      <c r="Q3015" s="113"/>
      <c r="R3015" s="113"/>
      <c r="S3015" s="113"/>
      <c r="T3015" s="113"/>
      <c r="U3015" s="113"/>
      <c r="V3015" s="113"/>
    </row>
    <row r="3016" spans="1:22" ht="15" customHeight="1">
      <c r="A3016" s="297"/>
      <c r="B3016" s="217"/>
      <c r="C3016" s="217"/>
      <c r="D3016" s="101"/>
      <c r="E3016" s="101"/>
      <c r="F3016" s="294"/>
      <c r="G3016" s="295"/>
      <c r="H3016" s="98"/>
      <c r="I3016" s="99"/>
      <c r="J3016" s="99"/>
      <c r="K3016" s="99"/>
      <c r="L3016" s="99"/>
      <c r="M3016" s="99"/>
      <c r="N3016" s="99"/>
      <c r="O3016" s="99"/>
      <c r="P3016" s="99"/>
      <c r="Q3016" s="99"/>
      <c r="R3016" s="99"/>
      <c r="S3016" s="99"/>
      <c r="T3016" s="99"/>
      <c r="U3016" s="99"/>
      <c r="V3016" s="99"/>
    </row>
    <row r="3017" spans="1:22" ht="15" customHeight="1">
      <c r="A3017" s="297"/>
      <c r="B3017" s="217"/>
      <c r="C3017" s="217"/>
      <c r="D3017" s="101"/>
      <c r="E3017" s="101"/>
      <c r="F3017" s="294"/>
      <c r="G3017" s="295"/>
      <c r="H3017" s="98"/>
      <c r="I3017" s="99"/>
      <c r="J3017" s="99"/>
      <c r="K3017" s="99"/>
      <c r="L3017" s="99"/>
      <c r="M3017" s="99"/>
      <c r="N3017" s="99"/>
      <c r="O3017" s="99"/>
      <c r="P3017" s="99"/>
      <c r="Q3017" s="99"/>
      <c r="R3017" s="99"/>
      <c r="S3017" s="99"/>
      <c r="T3017" s="99"/>
      <c r="U3017" s="99"/>
      <c r="V3017" s="99"/>
    </row>
    <row r="3018" spans="1:22" ht="15" customHeight="1">
      <c r="A3018" s="297"/>
      <c r="B3018" s="217"/>
      <c r="C3018" s="217"/>
      <c r="D3018" s="101"/>
      <c r="E3018" s="101"/>
      <c r="F3018" s="294"/>
      <c r="G3018" s="295"/>
      <c r="H3018" s="98"/>
      <c r="I3018" s="99"/>
      <c r="J3018" s="99"/>
      <c r="K3018" s="99"/>
      <c r="L3018" s="99"/>
      <c r="M3018" s="99"/>
      <c r="N3018" s="99"/>
      <c r="O3018" s="99"/>
      <c r="P3018" s="99"/>
      <c r="Q3018" s="99"/>
      <c r="R3018" s="99"/>
      <c r="S3018" s="99"/>
      <c r="T3018" s="99"/>
      <c r="U3018" s="99"/>
      <c r="V3018" s="99"/>
    </row>
    <row r="3019" spans="1:22" ht="15" customHeight="1">
      <c r="A3019" s="297"/>
      <c r="B3019" s="217"/>
      <c r="C3019" s="217"/>
      <c r="D3019" s="101"/>
      <c r="E3019" s="101"/>
      <c r="F3019" s="294"/>
      <c r="G3019" s="295"/>
      <c r="H3019" s="107"/>
      <c r="I3019" s="108"/>
      <c r="J3019" s="108"/>
      <c r="K3019" s="108"/>
      <c r="L3019" s="108"/>
      <c r="M3019" s="108"/>
      <c r="N3019" s="109"/>
      <c r="O3019" s="109"/>
      <c r="P3019" s="109"/>
      <c r="Q3019" s="109"/>
      <c r="R3019" s="109"/>
      <c r="S3019" s="109"/>
      <c r="T3019" s="109"/>
      <c r="U3019" s="202"/>
      <c r="V3019" s="202"/>
    </row>
    <row r="3020" spans="1:22" ht="15" customHeight="1">
      <c r="A3020" s="297"/>
      <c r="B3020" s="217"/>
      <c r="C3020" s="217"/>
      <c r="D3020" s="101"/>
      <c r="E3020" s="101"/>
      <c r="F3020" s="294"/>
      <c r="G3020" s="295"/>
      <c r="H3020" s="98"/>
      <c r="I3020" s="106"/>
      <c r="J3020" s="106"/>
      <c r="K3020" s="106"/>
      <c r="L3020" s="106"/>
      <c r="M3020" s="106"/>
      <c r="N3020" s="112"/>
      <c r="O3020" s="112"/>
      <c r="P3020" s="112"/>
      <c r="Q3020" s="113"/>
      <c r="R3020" s="113"/>
      <c r="S3020" s="113"/>
      <c r="T3020" s="113"/>
      <c r="U3020" s="113"/>
      <c r="V3020" s="113"/>
    </row>
    <row r="3021" spans="1:22" ht="15" customHeight="1">
      <c r="A3021" s="297"/>
      <c r="B3021" s="217"/>
      <c r="C3021" s="217"/>
      <c r="D3021" s="101"/>
      <c r="E3021" s="101"/>
      <c r="F3021" s="294"/>
      <c r="G3021" s="295"/>
      <c r="H3021" s="114"/>
      <c r="I3021" s="108"/>
      <c r="J3021" s="108"/>
      <c r="K3021" s="108"/>
      <c r="L3021" s="108"/>
      <c r="M3021" s="108"/>
      <c r="N3021" s="108"/>
      <c r="O3021" s="108"/>
      <c r="P3021" s="108"/>
      <c r="Q3021" s="108"/>
      <c r="R3021" s="108"/>
      <c r="S3021" s="108"/>
      <c r="T3021" s="108"/>
      <c r="U3021" s="233"/>
      <c r="V3021" s="233"/>
    </row>
    <row r="3022" spans="1:22" ht="15" customHeight="1" thickBot="1">
      <c r="A3022" s="297"/>
      <c r="B3022" s="217"/>
      <c r="C3022" s="217"/>
      <c r="D3022" s="101"/>
      <c r="E3022" s="101"/>
      <c r="F3022" s="294"/>
      <c r="G3022" s="295"/>
      <c r="H3022" s="98"/>
      <c r="I3022" s="218"/>
      <c r="J3022" s="218"/>
      <c r="K3022" s="218"/>
      <c r="L3022" s="218"/>
      <c r="M3022" s="218"/>
      <c r="U3022" s="212"/>
      <c r="V3022" s="212"/>
    </row>
    <row r="3023" spans="1:22" ht="15" customHeight="1" thickBot="1">
      <c r="A3023" s="297"/>
      <c r="B3023" s="217"/>
      <c r="C3023" s="217"/>
      <c r="D3023" s="101"/>
      <c r="E3023" s="101"/>
      <c r="F3023" s="294"/>
      <c r="G3023" s="295"/>
      <c r="H3023" s="686"/>
      <c r="I3023" s="687"/>
      <c r="J3023" s="687"/>
      <c r="K3023" s="687"/>
      <c r="L3023" s="687"/>
      <c r="M3023" s="687"/>
      <c r="N3023" s="687"/>
      <c r="O3023" s="687"/>
      <c r="P3023" s="687"/>
      <c r="Q3023" s="687"/>
      <c r="R3023" s="687"/>
      <c r="S3023" s="715"/>
      <c r="T3023" s="688"/>
      <c r="U3023" s="254"/>
      <c r="V3023" s="254"/>
    </row>
    <row r="3024" spans="1:22" ht="15" customHeight="1">
      <c r="A3024" s="297"/>
      <c r="B3024" s="217"/>
      <c r="C3024" s="217"/>
      <c r="D3024" s="101"/>
      <c r="E3024" s="101"/>
      <c r="F3024" s="294"/>
      <c r="G3024" s="295"/>
      <c r="H3024" s="225"/>
      <c r="I3024" s="225"/>
      <c r="J3024" s="225"/>
      <c r="K3024" s="225"/>
      <c r="L3024" s="225"/>
      <c r="M3024" s="225"/>
      <c r="N3024" s="225"/>
      <c r="O3024" s="225"/>
      <c r="P3024" s="225"/>
      <c r="Q3024" s="225"/>
      <c r="R3024" s="225"/>
      <c r="S3024" s="225"/>
      <c r="T3024" s="225"/>
      <c r="U3024" s="225"/>
      <c r="V3024" s="225"/>
    </row>
    <row r="3025" spans="1:22" ht="15" customHeight="1">
      <c r="A3025" s="297"/>
      <c r="B3025" s="217"/>
      <c r="C3025" s="217"/>
      <c r="D3025" s="101"/>
      <c r="E3025" s="101"/>
      <c r="F3025" s="294"/>
      <c r="G3025" s="295"/>
      <c r="H3025" s="98"/>
      <c r="I3025" s="99"/>
      <c r="J3025" s="99"/>
      <c r="K3025" s="99"/>
      <c r="L3025" s="99"/>
      <c r="M3025" s="99"/>
      <c r="N3025" s="99"/>
      <c r="O3025" s="99"/>
      <c r="P3025" s="99"/>
      <c r="Q3025" s="99"/>
      <c r="R3025" s="99"/>
      <c r="S3025" s="99"/>
      <c r="T3025" s="99"/>
      <c r="U3025" s="99"/>
      <c r="V3025" s="99"/>
    </row>
    <row r="3026" spans="1:22" ht="15" customHeight="1">
      <c r="A3026" s="297"/>
      <c r="B3026" s="217"/>
      <c r="C3026" s="217"/>
      <c r="D3026" s="101"/>
      <c r="E3026" s="101"/>
      <c r="F3026" s="294"/>
      <c r="G3026" s="295"/>
      <c r="H3026" s="107"/>
      <c r="I3026" s="108"/>
      <c r="J3026" s="108"/>
      <c r="K3026" s="108"/>
      <c r="L3026" s="108"/>
      <c r="M3026" s="108"/>
      <c r="N3026" s="109"/>
      <c r="O3026" s="109"/>
      <c r="P3026" s="109"/>
      <c r="Q3026" s="109"/>
      <c r="R3026" s="109"/>
      <c r="S3026" s="109"/>
      <c r="T3026" s="109"/>
      <c r="U3026" s="202"/>
      <c r="V3026" s="202"/>
    </row>
    <row r="3027" spans="1:22" ht="15" customHeight="1">
      <c r="A3027" s="297"/>
      <c r="B3027" s="217"/>
      <c r="C3027" s="217"/>
      <c r="D3027" s="101"/>
      <c r="E3027" s="101"/>
      <c r="F3027" s="294"/>
      <c r="G3027" s="295"/>
      <c r="H3027" s="98"/>
      <c r="I3027" s="106"/>
      <c r="J3027" s="106"/>
      <c r="K3027" s="106"/>
      <c r="L3027" s="106"/>
      <c r="M3027" s="106"/>
      <c r="N3027" s="112"/>
      <c r="O3027" s="112"/>
      <c r="P3027" s="112"/>
      <c r="Q3027" s="113"/>
      <c r="R3027" s="113"/>
      <c r="S3027" s="113"/>
      <c r="T3027" s="113"/>
      <c r="U3027" s="113"/>
      <c r="V3027" s="113"/>
    </row>
    <row r="3028" spans="1:22" ht="15" customHeight="1">
      <c r="A3028" s="297"/>
      <c r="B3028" s="217"/>
      <c r="C3028" s="217"/>
      <c r="D3028" s="101"/>
      <c r="E3028" s="101"/>
      <c r="F3028" s="294"/>
      <c r="G3028" s="295"/>
      <c r="H3028" s="98"/>
      <c r="I3028" s="99"/>
      <c r="J3028" s="99"/>
      <c r="K3028" s="99"/>
      <c r="L3028" s="99"/>
      <c r="M3028" s="99"/>
      <c r="N3028" s="99"/>
      <c r="O3028" s="99"/>
      <c r="P3028" s="99"/>
      <c r="Q3028" s="99"/>
      <c r="R3028" s="99"/>
      <c r="S3028" s="99"/>
      <c r="T3028" s="99"/>
      <c r="U3028" s="99"/>
      <c r="V3028" s="99"/>
    </row>
    <row r="3029" spans="1:22" ht="15" customHeight="1">
      <c r="A3029" s="297"/>
      <c r="B3029" s="217"/>
      <c r="C3029" s="217"/>
      <c r="D3029" s="101"/>
      <c r="E3029" s="101"/>
      <c r="F3029" s="294"/>
      <c r="G3029" s="295"/>
      <c r="H3029" s="98"/>
      <c r="I3029" s="99"/>
      <c r="J3029" s="99"/>
      <c r="K3029" s="99"/>
      <c r="L3029" s="99"/>
      <c r="M3029" s="99"/>
      <c r="N3029" s="99"/>
      <c r="O3029" s="99"/>
      <c r="P3029" s="99"/>
      <c r="Q3029" s="99"/>
      <c r="R3029" s="99"/>
      <c r="S3029" s="99"/>
      <c r="T3029" s="99"/>
      <c r="U3029" s="99"/>
      <c r="V3029" s="99"/>
    </row>
    <row r="3030" spans="1:22" ht="15" customHeight="1">
      <c r="A3030" s="297"/>
      <c r="B3030" s="217"/>
      <c r="C3030" s="217"/>
      <c r="D3030" s="101"/>
      <c r="E3030" s="101"/>
      <c r="F3030" s="294"/>
      <c r="G3030" s="295"/>
      <c r="H3030" s="98"/>
      <c r="I3030" s="99"/>
      <c r="J3030" s="99"/>
      <c r="K3030" s="99"/>
      <c r="L3030" s="99"/>
      <c r="M3030" s="99"/>
      <c r="N3030" s="99"/>
      <c r="O3030" s="99"/>
      <c r="P3030" s="99"/>
      <c r="Q3030" s="99"/>
      <c r="R3030" s="99"/>
      <c r="S3030" s="99"/>
      <c r="T3030" s="99"/>
      <c r="U3030" s="99"/>
      <c r="V3030" s="99"/>
    </row>
    <row r="3031" spans="1:22" ht="15" customHeight="1">
      <c r="A3031" s="297"/>
      <c r="B3031" s="217"/>
      <c r="C3031" s="217"/>
      <c r="D3031" s="101"/>
      <c r="E3031" s="101"/>
      <c r="F3031" s="294"/>
      <c r="G3031" s="295"/>
      <c r="H3031" s="107"/>
      <c r="I3031" s="108"/>
      <c r="J3031" s="108"/>
      <c r="K3031" s="108"/>
      <c r="L3031" s="108"/>
      <c r="M3031" s="108"/>
      <c r="N3031" s="109"/>
      <c r="O3031" s="109"/>
      <c r="P3031" s="109"/>
      <c r="Q3031" s="109"/>
      <c r="R3031" s="109"/>
      <c r="S3031" s="109"/>
      <c r="T3031" s="109"/>
      <c r="U3031" s="202"/>
      <c r="V3031" s="202"/>
    </row>
    <row r="3032" spans="1:22" ht="15" customHeight="1">
      <c r="A3032" s="297"/>
      <c r="B3032" s="217"/>
      <c r="C3032" s="217"/>
      <c r="D3032" s="101"/>
      <c r="E3032" s="101"/>
      <c r="F3032" s="294"/>
      <c r="G3032" s="295"/>
      <c r="H3032" s="98"/>
      <c r="I3032" s="106"/>
      <c r="J3032" s="106"/>
      <c r="K3032" s="106"/>
      <c r="L3032" s="106"/>
      <c r="M3032" s="106"/>
      <c r="N3032" s="112"/>
      <c r="O3032" s="112"/>
      <c r="P3032" s="112"/>
      <c r="Q3032" s="113"/>
      <c r="R3032" s="113"/>
      <c r="S3032" s="113"/>
      <c r="T3032" s="113"/>
      <c r="U3032" s="113"/>
      <c r="V3032" s="113"/>
    </row>
    <row r="3033" spans="1:22" ht="15" customHeight="1">
      <c r="A3033" s="297"/>
      <c r="B3033" s="217"/>
      <c r="C3033" s="217"/>
      <c r="D3033" s="101"/>
      <c r="E3033" s="101"/>
      <c r="F3033" s="294"/>
      <c r="G3033" s="295"/>
      <c r="H3033" s="114"/>
      <c r="I3033" s="108"/>
      <c r="J3033" s="108"/>
      <c r="K3033" s="108"/>
      <c r="L3033" s="108"/>
      <c r="M3033" s="108"/>
      <c r="N3033" s="108"/>
      <c r="O3033" s="108"/>
      <c r="P3033" s="108"/>
      <c r="Q3033" s="108"/>
      <c r="R3033" s="108"/>
      <c r="S3033" s="108"/>
      <c r="T3033" s="108"/>
      <c r="U3033" s="233"/>
      <c r="V3033" s="233"/>
    </row>
    <row r="3034" spans="1:22" ht="15" customHeight="1" thickBot="1">
      <c r="A3034" s="297"/>
      <c r="B3034" s="217"/>
      <c r="C3034" s="217"/>
      <c r="D3034" s="101"/>
      <c r="E3034" s="101"/>
      <c r="F3034" s="294"/>
      <c r="G3034" s="295"/>
      <c r="H3034" s="98"/>
      <c r="I3034" s="218"/>
      <c r="J3034" s="218"/>
      <c r="K3034" s="218"/>
      <c r="L3034" s="218"/>
      <c r="M3034" s="218"/>
      <c r="U3034" s="212"/>
      <c r="V3034" s="212"/>
    </row>
    <row r="3035" spans="1:22" ht="15" customHeight="1" thickBot="1">
      <c r="A3035" s="297"/>
      <c r="B3035" s="217"/>
      <c r="C3035" s="217"/>
      <c r="D3035" s="101"/>
      <c r="E3035" s="101"/>
      <c r="F3035" s="294"/>
      <c r="G3035" s="295"/>
      <c r="H3035" s="686"/>
      <c r="I3035" s="687"/>
      <c r="J3035" s="687"/>
      <c r="K3035" s="687"/>
      <c r="L3035" s="687"/>
      <c r="M3035" s="687"/>
      <c r="N3035" s="687"/>
      <c r="O3035" s="687"/>
      <c r="P3035" s="687"/>
      <c r="Q3035" s="687"/>
      <c r="R3035" s="687"/>
      <c r="S3035" s="715"/>
      <c r="T3035" s="688"/>
      <c r="U3035" s="254"/>
      <c r="V3035" s="254"/>
    </row>
    <row r="3036" spans="1:22" ht="15" customHeight="1">
      <c r="A3036" s="297"/>
      <c r="B3036" s="217"/>
      <c r="C3036" s="217"/>
      <c r="D3036" s="101"/>
      <c r="E3036" s="101"/>
      <c r="F3036" s="294"/>
      <c r="G3036" s="295"/>
      <c r="H3036" s="225"/>
      <c r="I3036" s="225"/>
      <c r="J3036" s="225"/>
      <c r="K3036" s="225"/>
      <c r="L3036" s="225"/>
      <c r="M3036" s="225"/>
      <c r="N3036" s="225"/>
      <c r="O3036" s="225"/>
      <c r="P3036" s="225"/>
      <c r="Q3036" s="225"/>
      <c r="R3036" s="225"/>
      <c r="S3036" s="225"/>
      <c r="T3036" s="225"/>
      <c r="U3036" s="225"/>
      <c r="V3036" s="225"/>
    </row>
    <row r="3037" spans="1:22" ht="15" customHeight="1">
      <c r="A3037" s="297"/>
      <c r="B3037" s="217"/>
      <c r="C3037" s="217"/>
      <c r="D3037" s="101"/>
      <c r="E3037" s="101"/>
      <c r="F3037" s="294"/>
      <c r="G3037" s="295"/>
      <c r="H3037" s="98"/>
      <c r="I3037" s="99"/>
      <c r="J3037" s="99"/>
      <c r="K3037" s="99"/>
      <c r="L3037" s="99"/>
      <c r="M3037" s="99"/>
      <c r="N3037" s="99"/>
      <c r="O3037" s="99"/>
      <c r="P3037" s="99"/>
      <c r="Q3037" s="99"/>
      <c r="R3037" s="99"/>
      <c r="S3037" s="99"/>
      <c r="T3037" s="99"/>
      <c r="U3037" s="99"/>
      <c r="V3037" s="99"/>
    </row>
    <row r="3038" spans="1:22" ht="15" customHeight="1">
      <c r="A3038" s="297"/>
      <c r="B3038" s="217"/>
      <c r="C3038" s="217"/>
      <c r="D3038" s="101"/>
      <c r="E3038" s="101"/>
      <c r="F3038" s="294"/>
      <c r="G3038" s="295"/>
      <c r="H3038" s="98"/>
      <c r="I3038" s="99"/>
      <c r="J3038" s="99"/>
      <c r="K3038" s="99"/>
      <c r="L3038" s="99"/>
      <c r="M3038" s="99"/>
      <c r="N3038" s="99"/>
      <c r="O3038" s="99"/>
      <c r="P3038" s="99"/>
      <c r="Q3038" s="99"/>
      <c r="R3038" s="99"/>
      <c r="S3038" s="99"/>
      <c r="T3038" s="99"/>
      <c r="U3038" s="99"/>
      <c r="V3038" s="99"/>
    </row>
    <row r="3039" spans="1:22" ht="15" customHeight="1">
      <c r="A3039" s="297"/>
      <c r="B3039" s="217"/>
      <c r="C3039" s="217"/>
      <c r="D3039" s="101"/>
      <c r="E3039" s="101"/>
      <c r="F3039" s="294"/>
      <c r="G3039" s="295"/>
      <c r="H3039" s="98"/>
      <c r="I3039" s="99"/>
      <c r="J3039" s="99"/>
      <c r="K3039" s="99"/>
      <c r="L3039" s="99"/>
      <c r="M3039" s="99"/>
      <c r="N3039" s="99"/>
      <c r="O3039" s="99"/>
      <c r="P3039" s="99"/>
      <c r="Q3039" s="99"/>
      <c r="R3039" s="99"/>
      <c r="S3039" s="99"/>
      <c r="T3039" s="99"/>
      <c r="U3039" s="99"/>
      <c r="V3039" s="99"/>
    </row>
    <row r="3040" spans="1:22" ht="15" customHeight="1">
      <c r="A3040" s="297"/>
      <c r="B3040" s="217"/>
      <c r="C3040" s="217"/>
      <c r="D3040" s="101"/>
      <c r="E3040" s="101"/>
      <c r="F3040" s="294"/>
      <c r="G3040" s="295"/>
      <c r="H3040" s="98"/>
      <c r="I3040" s="99"/>
      <c r="J3040" s="99"/>
      <c r="K3040" s="99"/>
      <c r="L3040" s="99"/>
      <c r="M3040" s="99"/>
      <c r="N3040" s="99"/>
      <c r="O3040" s="99"/>
      <c r="P3040" s="99"/>
      <c r="Q3040" s="99"/>
      <c r="R3040" s="99"/>
      <c r="S3040" s="99"/>
      <c r="T3040" s="99"/>
      <c r="U3040" s="99"/>
      <c r="V3040" s="99"/>
    </row>
    <row r="3041" spans="1:22" ht="15" customHeight="1">
      <c r="A3041" s="297"/>
      <c r="B3041" s="217"/>
      <c r="C3041" s="217"/>
      <c r="D3041" s="101"/>
      <c r="E3041" s="101"/>
      <c r="F3041" s="294"/>
      <c r="G3041" s="295"/>
      <c r="H3041" s="98"/>
      <c r="I3041" s="99"/>
      <c r="J3041" s="99"/>
      <c r="K3041" s="99"/>
      <c r="L3041" s="99"/>
      <c r="M3041" s="99"/>
      <c r="N3041" s="99"/>
      <c r="O3041" s="99"/>
      <c r="P3041" s="99"/>
      <c r="Q3041" s="99"/>
      <c r="R3041" s="99"/>
      <c r="S3041" s="99"/>
      <c r="T3041" s="99"/>
      <c r="U3041" s="99"/>
      <c r="V3041" s="99"/>
    </row>
    <row r="3042" spans="1:22" ht="15" customHeight="1">
      <c r="A3042" s="297"/>
      <c r="B3042" s="217"/>
      <c r="C3042" s="217"/>
      <c r="D3042" s="101"/>
      <c r="E3042" s="101"/>
      <c r="F3042" s="294"/>
      <c r="G3042" s="295"/>
      <c r="H3042" s="98"/>
      <c r="I3042" s="99"/>
      <c r="J3042" s="99"/>
      <c r="K3042" s="99"/>
      <c r="L3042" s="99"/>
      <c r="M3042" s="99"/>
      <c r="N3042" s="99"/>
      <c r="O3042" s="99"/>
      <c r="P3042" s="99"/>
      <c r="Q3042" s="99"/>
      <c r="R3042" s="99"/>
      <c r="S3042" s="99"/>
      <c r="T3042" s="99"/>
      <c r="U3042" s="99"/>
      <c r="V3042" s="99"/>
    </row>
    <row r="3043" spans="1:22" ht="15" customHeight="1">
      <c r="A3043" s="297"/>
      <c r="B3043" s="217"/>
      <c r="C3043" s="217"/>
      <c r="D3043" s="101"/>
      <c r="E3043" s="101"/>
      <c r="F3043" s="294"/>
      <c r="G3043" s="295"/>
      <c r="H3043" s="107"/>
      <c r="I3043" s="108"/>
      <c r="J3043" s="108"/>
      <c r="K3043" s="108"/>
      <c r="L3043" s="108"/>
      <c r="M3043" s="108"/>
      <c r="N3043" s="109"/>
      <c r="O3043" s="109"/>
      <c r="P3043" s="109"/>
      <c r="Q3043" s="109"/>
      <c r="R3043" s="109"/>
      <c r="S3043" s="109"/>
      <c r="T3043" s="109"/>
      <c r="U3043" s="202"/>
      <c r="V3043" s="202"/>
    </row>
    <row r="3044" spans="1:22" ht="15" customHeight="1">
      <c r="A3044" s="297"/>
      <c r="B3044" s="217"/>
      <c r="C3044" s="217"/>
      <c r="D3044" s="101"/>
      <c r="E3044" s="101"/>
      <c r="F3044" s="294"/>
      <c r="G3044" s="295"/>
      <c r="H3044" s="98"/>
      <c r="I3044" s="106"/>
      <c r="J3044" s="106"/>
      <c r="K3044" s="106"/>
      <c r="L3044" s="106"/>
      <c r="M3044" s="106"/>
      <c r="N3044" s="112"/>
      <c r="O3044" s="112"/>
      <c r="P3044" s="112"/>
      <c r="Q3044" s="113"/>
      <c r="R3044" s="113"/>
      <c r="S3044" s="113"/>
      <c r="T3044" s="113"/>
      <c r="U3044" s="113"/>
      <c r="V3044" s="113"/>
    </row>
    <row r="3045" spans="1:22" ht="15" customHeight="1">
      <c r="A3045" s="297"/>
      <c r="B3045" s="217"/>
      <c r="C3045" s="217"/>
      <c r="D3045" s="101"/>
      <c r="E3045" s="101"/>
      <c r="F3045" s="294"/>
      <c r="G3045" s="295"/>
      <c r="H3045" s="98"/>
      <c r="I3045" s="99"/>
      <c r="J3045" s="99"/>
      <c r="K3045" s="99"/>
      <c r="L3045" s="99"/>
      <c r="M3045" s="99"/>
      <c r="N3045" s="99"/>
      <c r="O3045" s="99"/>
      <c r="P3045" s="99"/>
      <c r="Q3045" s="99"/>
      <c r="R3045" s="99"/>
      <c r="S3045" s="99"/>
      <c r="T3045" s="99"/>
      <c r="U3045" s="99"/>
      <c r="V3045" s="99"/>
    </row>
    <row r="3046" spans="1:22" ht="15" customHeight="1">
      <c r="A3046" s="297"/>
      <c r="B3046" s="217"/>
      <c r="C3046" s="217"/>
      <c r="D3046" s="101"/>
      <c r="E3046" s="101"/>
      <c r="F3046" s="294"/>
      <c r="G3046" s="295"/>
      <c r="H3046" s="98"/>
      <c r="I3046" s="99"/>
      <c r="J3046" s="99"/>
      <c r="K3046" s="99"/>
      <c r="L3046" s="99"/>
      <c r="M3046" s="99"/>
      <c r="N3046" s="99"/>
      <c r="O3046" s="99"/>
      <c r="P3046" s="99"/>
      <c r="Q3046" s="99"/>
      <c r="R3046" s="99"/>
      <c r="S3046" s="99"/>
      <c r="T3046" s="99"/>
      <c r="U3046" s="99"/>
      <c r="V3046" s="99"/>
    </row>
    <row r="3047" spans="1:22" ht="15" customHeight="1">
      <c r="A3047" s="297"/>
      <c r="B3047" s="217"/>
      <c r="C3047" s="217"/>
      <c r="D3047" s="101"/>
      <c r="E3047" s="101"/>
      <c r="F3047" s="294"/>
      <c r="G3047" s="295"/>
      <c r="H3047" s="98"/>
      <c r="I3047" s="99"/>
      <c r="J3047" s="99"/>
      <c r="K3047" s="99"/>
      <c r="L3047" s="99"/>
      <c r="M3047" s="99"/>
      <c r="N3047" s="99"/>
      <c r="O3047" s="99"/>
      <c r="P3047" s="99"/>
      <c r="Q3047" s="99"/>
      <c r="R3047" s="99"/>
      <c r="S3047" s="99"/>
      <c r="T3047" s="99"/>
      <c r="U3047" s="99"/>
      <c r="V3047" s="99"/>
    </row>
    <row r="3048" spans="1:22" ht="15" customHeight="1">
      <c r="A3048" s="297"/>
      <c r="B3048" s="217"/>
      <c r="C3048" s="217"/>
      <c r="D3048" s="101"/>
      <c r="E3048" s="101"/>
      <c r="F3048" s="294"/>
      <c r="G3048" s="295"/>
      <c r="H3048" s="98"/>
      <c r="I3048" s="99"/>
      <c r="J3048" s="99"/>
      <c r="K3048" s="99"/>
      <c r="L3048" s="99"/>
      <c r="M3048" s="99"/>
      <c r="N3048" s="99"/>
      <c r="O3048" s="99"/>
      <c r="P3048" s="99"/>
      <c r="Q3048" s="99"/>
      <c r="R3048" s="99"/>
      <c r="S3048" s="99"/>
      <c r="T3048" s="99"/>
      <c r="U3048" s="99"/>
      <c r="V3048" s="99"/>
    </row>
    <row r="3049" spans="1:22" ht="15" customHeight="1">
      <c r="A3049" s="297"/>
      <c r="B3049" s="217"/>
      <c r="C3049" s="217"/>
      <c r="D3049" s="101"/>
      <c r="E3049" s="101"/>
      <c r="F3049" s="294"/>
      <c r="G3049" s="295"/>
      <c r="H3049" s="98"/>
      <c r="I3049" s="99"/>
      <c r="J3049" s="99"/>
      <c r="K3049" s="99"/>
      <c r="L3049" s="99"/>
      <c r="M3049" s="99"/>
      <c r="N3049" s="99"/>
      <c r="O3049" s="99"/>
      <c r="P3049" s="99"/>
      <c r="Q3049" s="99"/>
      <c r="R3049" s="99"/>
      <c r="S3049" s="99"/>
      <c r="T3049" s="99"/>
      <c r="U3049" s="99"/>
      <c r="V3049" s="99"/>
    </row>
    <row r="3050" spans="1:22" ht="15" customHeight="1">
      <c r="A3050" s="297"/>
      <c r="B3050" s="217"/>
      <c r="C3050" s="217"/>
      <c r="D3050" s="101"/>
      <c r="E3050" s="101"/>
      <c r="F3050" s="294"/>
      <c r="G3050" s="295"/>
      <c r="H3050" s="98"/>
      <c r="I3050" s="99"/>
      <c r="J3050" s="99"/>
      <c r="K3050" s="99"/>
      <c r="L3050" s="99"/>
      <c r="M3050" s="99"/>
      <c r="N3050" s="99"/>
      <c r="O3050" s="99"/>
      <c r="P3050" s="99"/>
      <c r="Q3050" s="99"/>
      <c r="R3050" s="99"/>
      <c r="S3050" s="99"/>
      <c r="T3050" s="99"/>
      <c r="U3050" s="99"/>
      <c r="V3050" s="99"/>
    </row>
    <row r="3051" spans="1:22" ht="15" customHeight="1">
      <c r="A3051" s="297"/>
      <c r="B3051" s="217"/>
      <c r="C3051" s="217"/>
      <c r="D3051" s="101"/>
      <c r="E3051" s="101"/>
      <c r="F3051" s="294"/>
      <c r="G3051" s="295"/>
      <c r="H3051" s="98"/>
      <c r="I3051" s="99"/>
      <c r="J3051" s="99"/>
      <c r="K3051" s="99"/>
      <c r="L3051" s="99"/>
      <c r="M3051" s="99"/>
      <c r="N3051" s="99"/>
      <c r="O3051" s="99"/>
      <c r="P3051" s="99"/>
      <c r="Q3051" s="99"/>
      <c r="R3051" s="99"/>
      <c r="S3051" s="99"/>
      <c r="T3051" s="99"/>
      <c r="U3051" s="99"/>
      <c r="V3051" s="99"/>
    </row>
    <row r="3052" spans="1:22" ht="15" customHeight="1">
      <c r="A3052" s="297"/>
      <c r="B3052" s="217"/>
      <c r="C3052" s="217"/>
      <c r="D3052" s="101"/>
      <c r="E3052" s="101"/>
      <c r="F3052" s="294"/>
      <c r="G3052" s="295"/>
      <c r="H3052" s="98"/>
      <c r="I3052" s="99"/>
      <c r="J3052" s="99"/>
      <c r="K3052" s="99"/>
      <c r="L3052" s="99"/>
      <c r="M3052" s="99"/>
      <c r="N3052" s="99"/>
      <c r="O3052" s="99"/>
      <c r="P3052" s="99"/>
      <c r="Q3052" s="99"/>
      <c r="R3052" s="99"/>
      <c r="S3052" s="99"/>
      <c r="T3052" s="99"/>
      <c r="U3052" s="99"/>
      <c r="V3052" s="99"/>
    </row>
    <row r="3053" spans="1:22" ht="15" customHeight="1">
      <c r="A3053" s="297"/>
      <c r="B3053" s="217"/>
      <c r="C3053" s="217"/>
      <c r="D3053" s="101"/>
      <c r="E3053" s="101"/>
      <c r="F3053" s="294"/>
      <c r="G3053" s="295"/>
      <c r="H3053" s="98"/>
      <c r="I3053" s="99"/>
      <c r="J3053" s="99"/>
      <c r="K3053" s="99"/>
      <c r="L3053" s="99"/>
      <c r="M3053" s="99"/>
      <c r="N3053" s="99"/>
      <c r="O3053" s="99"/>
      <c r="P3053" s="99"/>
      <c r="Q3053" s="99"/>
      <c r="R3053" s="99"/>
      <c r="S3053" s="99"/>
      <c r="T3053" s="99"/>
      <c r="U3053" s="99"/>
      <c r="V3053" s="99"/>
    </row>
    <row r="3054" spans="1:22" ht="15" customHeight="1">
      <c r="A3054" s="297"/>
      <c r="B3054" s="217"/>
      <c r="C3054" s="217"/>
      <c r="D3054" s="101"/>
      <c r="E3054" s="101"/>
      <c r="F3054" s="294"/>
      <c r="G3054" s="295"/>
      <c r="H3054" s="98"/>
      <c r="I3054" s="99"/>
      <c r="J3054" s="99"/>
      <c r="K3054" s="99"/>
      <c r="L3054" s="99"/>
      <c r="M3054" s="99"/>
      <c r="N3054" s="99"/>
      <c r="O3054" s="99"/>
      <c r="P3054" s="99"/>
      <c r="Q3054" s="99"/>
      <c r="R3054" s="99"/>
      <c r="S3054" s="99"/>
      <c r="T3054" s="99"/>
      <c r="U3054" s="99"/>
      <c r="V3054" s="99"/>
    </row>
    <row r="3055" spans="1:22" ht="15" customHeight="1">
      <c r="A3055" s="297"/>
      <c r="B3055" s="217"/>
      <c r="C3055" s="217"/>
      <c r="D3055" s="101"/>
      <c r="E3055" s="101"/>
      <c r="F3055" s="294"/>
      <c r="G3055" s="295"/>
      <c r="H3055" s="107"/>
      <c r="I3055" s="108"/>
      <c r="J3055" s="108"/>
      <c r="K3055" s="108"/>
      <c r="L3055" s="108"/>
      <c r="M3055" s="108"/>
      <c r="N3055" s="109"/>
      <c r="O3055" s="109"/>
      <c r="P3055" s="109"/>
      <c r="Q3055" s="109"/>
      <c r="R3055" s="109"/>
      <c r="S3055" s="109"/>
      <c r="T3055" s="109"/>
      <c r="U3055" s="202"/>
      <c r="V3055" s="202"/>
    </row>
    <row r="3056" spans="1:22" ht="15" customHeight="1">
      <c r="A3056" s="297"/>
      <c r="B3056" s="217"/>
      <c r="C3056" s="217"/>
      <c r="D3056" s="101"/>
      <c r="E3056" s="101"/>
      <c r="F3056" s="294"/>
      <c r="G3056" s="295"/>
      <c r="H3056" s="98"/>
      <c r="I3056" s="106"/>
      <c r="J3056" s="106"/>
      <c r="K3056" s="106"/>
      <c r="L3056" s="106"/>
      <c r="M3056" s="106"/>
      <c r="N3056" s="112"/>
      <c r="O3056" s="112"/>
      <c r="P3056" s="112"/>
      <c r="Q3056" s="113"/>
      <c r="R3056" s="113"/>
      <c r="S3056" s="113"/>
      <c r="T3056" s="113"/>
      <c r="U3056" s="113"/>
      <c r="V3056" s="113"/>
    </row>
    <row r="3057" spans="1:22" ht="15" customHeight="1">
      <c r="A3057" s="297"/>
      <c r="B3057" s="217"/>
      <c r="C3057" s="217"/>
      <c r="D3057" s="101"/>
      <c r="E3057" s="101"/>
      <c r="F3057" s="294"/>
      <c r="G3057" s="295"/>
      <c r="H3057" s="98"/>
      <c r="I3057" s="99"/>
      <c r="J3057" s="99"/>
      <c r="K3057" s="99"/>
      <c r="L3057" s="99"/>
      <c r="M3057" s="99"/>
      <c r="N3057" s="99"/>
      <c r="O3057" s="99"/>
      <c r="P3057" s="99"/>
      <c r="Q3057" s="99"/>
      <c r="R3057" s="99"/>
      <c r="S3057" s="99"/>
      <c r="T3057" s="99"/>
      <c r="U3057" s="99"/>
      <c r="V3057" s="99"/>
    </row>
    <row r="3058" spans="1:22" ht="15" customHeight="1">
      <c r="A3058" s="297"/>
      <c r="B3058" s="217"/>
      <c r="C3058" s="217"/>
      <c r="D3058" s="101"/>
      <c r="E3058" s="101"/>
      <c r="F3058" s="294"/>
      <c r="G3058" s="295"/>
      <c r="H3058" s="98"/>
      <c r="I3058" s="99"/>
      <c r="J3058" s="99"/>
      <c r="K3058" s="99"/>
      <c r="L3058" s="99"/>
      <c r="M3058" s="99"/>
      <c r="N3058" s="99"/>
      <c r="O3058" s="99"/>
      <c r="P3058" s="99"/>
      <c r="Q3058" s="99"/>
      <c r="R3058" s="99"/>
      <c r="S3058" s="99"/>
      <c r="T3058" s="99"/>
      <c r="U3058" s="99"/>
      <c r="V3058" s="99"/>
    </row>
    <row r="3059" spans="1:22" ht="15" customHeight="1">
      <c r="A3059" s="297"/>
      <c r="B3059" s="217"/>
      <c r="C3059" s="217"/>
      <c r="D3059" s="101"/>
      <c r="E3059" s="101"/>
      <c r="F3059" s="294"/>
      <c r="G3059" s="295"/>
      <c r="H3059" s="98"/>
      <c r="I3059" s="99"/>
      <c r="J3059" s="99"/>
      <c r="K3059" s="99"/>
      <c r="L3059" s="99"/>
      <c r="M3059" s="99"/>
      <c r="N3059" s="99"/>
      <c r="O3059" s="99"/>
      <c r="P3059" s="99"/>
      <c r="Q3059" s="99"/>
      <c r="R3059" s="99"/>
      <c r="S3059" s="99"/>
      <c r="T3059" s="99"/>
      <c r="U3059" s="99"/>
      <c r="V3059" s="99"/>
    </row>
    <row r="3060" spans="1:22" ht="15" customHeight="1">
      <c r="A3060" s="297"/>
      <c r="B3060" s="217"/>
      <c r="C3060" s="217"/>
      <c r="D3060" s="101"/>
      <c r="E3060" s="101"/>
      <c r="F3060" s="294"/>
      <c r="G3060" s="295"/>
      <c r="H3060" s="107"/>
      <c r="I3060" s="109"/>
      <c r="J3060" s="109"/>
      <c r="K3060" s="109"/>
      <c r="L3060" s="109"/>
      <c r="M3060" s="109"/>
      <c r="N3060" s="109"/>
      <c r="O3060" s="109"/>
      <c r="P3060" s="109"/>
      <c r="Q3060" s="109"/>
      <c r="R3060" s="109"/>
      <c r="S3060" s="109"/>
      <c r="T3060" s="109"/>
      <c r="U3060" s="202"/>
      <c r="V3060" s="202"/>
    </row>
    <row r="3061" spans="1:22" ht="15" customHeight="1">
      <c r="A3061" s="297"/>
      <c r="B3061" s="217"/>
      <c r="C3061" s="217"/>
      <c r="D3061" s="101"/>
      <c r="E3061" s="101"/>
      <c r="F3061" s="294"/>
      <c r="G3061" s="295"/>
      <c r="H3061" s="98"/>
      <c r="I3061" s="106"/>
      <c r="J3061" s="106"/>
      <c r="K3061" s="106"/>
      <c r="L3061" s="106"/>
      <c r="M3061" s="106"/>
      <c r="N3061" s="112"/>
      <c r="O3061" s="112"/>
      <c r="P3061" s="112"/>
      <c r="Q3061" s="113"/>
      <c r="R3061" s="113"/>
      <c r="S3061" s="113"/>
      <c r="T3061" s="113"/>
      <c r="U3061" s="113"/>
      <c r="V3061" s="113"/>
    </row>
    <row r="3062" spans="1:22" ht="15" customHeight="1">
      <c r="A3062" s="297"/>
      <c r="B3062" s="217"/>
      <c r="C3062" s="217"/>
      <c r="D3062" s="101"/>
      <c r="E3062" s="101"/>
      <c r="F3062" s="294"/>
      <c r="G3062" s="295"/>
      <c r="H3062" s="114"/>
      <c r="I3062" s="108"/>
      <c r="J3062" s="108"/>
      <c r="K3062" s="108"/>
      <c r="L3062" s="108"/>
      <c r="M3062" s="108"/>
      <c r="N3062" s="108"/>
      <c r="O3062" s="108"/>
      <c r="P3062" s="108"/>
      <c r="Q3062" s="108"/>
      <c r="R3062" s="108"/>
      <c r="S3062" s="108"/>
      <c r="T3062" s="108"/>
      <c r="U3062" s="233"/>
      <c r="V3062" s="233"/>
    </row>
    <row r="3063" spans="1:22" ht="15" customHeight="1" thickBot="1">
      <c r="A3063" s="297"/>
      <c r="B3063" s="217"/>
      <c r="C3063" s="217"/>
      <c r="D3063" s="101"/>
      <c r="E3063" s="101"/>
      <c r="F3063" s="294"/>
      <c r="G3063" s="295"/>
      <c r="H3063" s="98"/>
      <c r="I3063" s="218"/>
      <c r="J3063" s="218"/>
      <c r="K3063" s="218"/>
      <c r="L3063" s="218"/>
      <c r="M3063" s="218"/>
      <c r="U3063" s="212"/>
      <c r="V3063" s="212"/>
    </row>
    <row r="3064" spans="1:22" ht="15" customHeight="1" thickBot="1">
      <c r="A3064" s="297"/>
      <c r="B3064" s="217"/>
      <c r="C3064" s="217"/>
      <c r="D3064" s="101"/>
      <c r="E3064" s="101"/>
      <c r="F3064" s="294"/>
      <c r="G3064" s="295"/>
      <c r="H3064" s="686"/>
      <c r="I3064" s="687"/>
      <c r="J3064" s="687"/>
      <c r="K3064" s="687"/>
      <c r="L3064" s="687"/>
      <c r="M3064" s="687"/>
      <c r="N3064" s="687"/>
      <c r="O3064" s="687"/>
      <c r="P3064" s="687"/>
      <c r="Q3064" s="687"/>
      <c r="R3064" s="687"/>
      <c r="S3064" s="715"/>
      <c r="T3064" s="688"/>
      <c r="U3064" s="254"/>
      <c r="V3064" s="254"/>
    </row>
    <row r="3065" spans="1:22" ht="15" customHeight="1">
      <c r="A3065" s="297"/>
      <c r="B3065" s="217"/>
      <c r="C3065" s="217"/>
      <c r="D3065" s="101"/>
      <c r="E3065" s="101"/>
      <c r="F3065" s="294"/>
      <c r="G3065" s="295"/>
      <c r="H3065" s="225"/>
      <c r="I3065" s="225"/>
      <c r="J3065" s="225"/>
      <c r="K3065" s="225"/>
      <c r="L3065" s="225"/>
      <c r="M3065" s="225"/>
      <c r="N3065" s="225"/>
      <c r="O3065" s="225"/>
      <c r="P3065" s="225"/>
      <c r="Q3065" s="225"/>
      <c r="R3065" s="225"/>
      <c r="S3065" s="225"/>
      <c r="T3065" s="225"/>
      <c r="U3065" s="225"/>
      <c r="V3065" s="225"/>
    </row>
    <row r="3066" spans="1:22" ht="15" customHeight="1">
      <c r="A3066" s="297"/>
      <c r="B3066" s="217"/>
      <c r="C3066" s="217"/>
      <c r="D3066" s="101"/>
      <c r="E3066" s="101"/>
      <c r="F3066" s="294"/>
      <c r="G3066" s="295"/>
      <c r="H3066" s="98"/>
      <c r="I3066" s="99"/>
      <c r="J3066" s="99"/>
      <c r="K3066" s="99"/>
      <c r="L3066" s="99"/>
      <c r="M3066" s="99"/>
      <c r="N3066" s="99"/>
      <c r="O3066" s="99"/>
      <c r="P3066" s="99"/>
      <c r="Q3066" s="99"/>
      <c r="R3066" s="99"/>
      <c r="S3066" s="99"/>
      <c r="T3066" s="99"/>
      <c r="U3066" s="99"/>
      <c r="V3066" s="99"/>
    </row>
    <row r="3067" spans="1:22" ht="15" customHeight="1">
      <c r="A3067" s="297"/>
      <c r="B3067" s="217"/>
      <c r="C3067" s="217"/>
      <c r="D3067" s="101"/>
      <c r="E3067" s="101"/>
      <c r="F3067" s="294"/>
      <c r="G3067" s="295"/>
      <c r="H3067" s="98"/>
      <c r="I3067" s="99"/>
      <c r="J3067" s="99"/>
      <c r="K3067" s="99"/>
      <c r="L3067" s="99"/>
      <c r="M3067" s="99"/>
      <c r="N3067" s="99"/>
      <c r="O3067" s="99"/>
      <c r="P3067" s="99"/>
      <c r="Q3067" s="99"/>
      <c r="R3067" s="99"/>
      <c r="S3067" s="99"/>
      <c r="T3067" s="99"/>
      <c r="U3067" s="99"/>
      <c r="V3067" s="99"/>
    </row>
    <row r="3068" spans="1:22" ht="15" customHeight="1">
      <c r="A3068" s="297"/>
      <c r="B3068" s="217"/>
      <c r="C3068" s="217"/>
      <c r="D3068" s="101"/>
      <c r="E3068" s="101"/>
      <c r="F3068" s="294"/>
      <c r="G3068" s="295"/>
      <c r="H3068" s="107"/>
      <c r="I3068" s="109"/>
      <c r="J3068" s="109"/>
      <c r="K3068" s="109"/>
      <c r="L3068" s="109"/>
      <c r="M3068" s="109"/>
      <c r="N3068" s="109"/>
      <c r="O3068" s="109"/>
      <c r="P3068" s="109"/>
      <c r="Q3068" s="109"/>
      <c r="R3068" s="109"/>
      <c r="S3068" s="109"/>
      <c r="T3068" s="109"/>
      <c r="U3068" s="202"/>
      <c r="V3068" s="202"/>
    </row>
    <row r="3069" spans="1:22" ht="15" customHeight="1">
      <c r="A3069" s="297"/>
      <c r="B3069" s="217"/>
      <c r="C3069" s="217"/>
      <c r="D3069" s="101"/>
      <c r="E3069" s="101"/>
      <c r="F3069" s="294"/>
      <c r="G3069" s="295"/>
      <c r="H3069" s="98"/>
      <c r="I3069" s="106"/>
      <c r="J3069" s="106"/>
      <c r="K3069" s="106"/>
      <c r="L3069" s="106"/>
      <c r="M3069" s="106"/>
      <c r="N3069" s="112"/>
      <c r="O3069" s="112"/>
      <c r="P3069" s="112"/>
      <c r="Q3069" s="113"/>
      <c r="R3069" s="113"/>
      <c r="S3069" s="113"/>
      <c r="T3069" s="113"/>
      <c r="U3069" s="113"/>
      <c r="V3069" s="113"/>
    </row>
    <row r="3070" spans="1:22" ht="15" customHeight="1">
      <c r="A3070" s="297"/>
      <c r="B3070" s="217"/>
      <c r="C3070" s="217"/>
      <c r="D3070" s="101"/>
      <c r="E3070" s="101"/>
      <c r="F3070" s="294"/>
      <c r="G3070" s="295"/>
      <c r="H3070" s="98"/>
      <c r="I3070" s="106"/>
      <c r="J3070" s="106"/>
      <c r="K3070" s="106"/>
      <c r="L3070" s="106"/>
      <c r="M3070" s="106"/>
      <c r="N3070" s="112"/>
      <c r="O3070" s="112"/>
      <c r="P3070" s="112"/>
      <c r="Q3070" s="113"/>
      <c r="R3070" s="113"/>
      <c r="S3070" s="113"/>
      <c r="T3070" s="113"/>
      <c r="U3070" s="113"/>
      <c r="V3070" s="113"/>
    </row>
    <row r="3071" spans="1:22" ht="15" customHeight="1">
      <c r="A3071" s="297"/>
      <c r="B3071" s="217"/>
      <c r="C3071" s="217"/>
      <c r="D3071" s="101"/>
      <c r="E3071" s="101"/>
      <c r="F3071" s="294"/>
      <c r="G3071" s="295"/>
      <c r="H3071" s="98"/>
      <c r="I3071" s="99"/>
      <c r="J3071" s="99"/>
      <c r="K3071" s="99"/>
      <c r="L3071" s="99"/>
      <c r="M3071" s="99"/>
      <c r="N3071" s="99"/>
      <c r="O3071" s="99"/>
      <c r="P3071" s="99"/>
      <c r="Q3071" s="99"/>
      <c r="R3071" s="99"/>
      <c r="S3071" s="99"/>
      <c r="T3071" s="99"/>
      <c r="U3071" s="99"/>
      <c r="V3071" s="99"/>
    </row>
    <row r="3072" spans="1:22" ht="15" customHeight="1">
      <c r="A3072" s="297"/>
      <c r="B3072" s="217"/>
      <c r="C3072" s="217"/>
      <c r="D3072" s="101"/>
      <c r="E3072" s="101"/>
      <c r="F3072" s="294"/>
      <c r="G3072" s="295"/>
      <c r="H3072" s="98"/>
      <c r="I3072" s="99"/>
      <c r="J3072" s="99"/>
      <c r="K3072" s="99"/>
      <c r="L3072" s="99"/>
      <c r="M3072" s="99"/>
      <c r="N3072" s="99"/>
      <c r="O3072" s="99"/>
      <c r="P3072" s="99"/>
      <c r="Q3072" s="99"/>
      <c r="R3072" s="99"/>
      <c r="S3072" s="99"/>
      <c r="T3072" s="99"/>
      <c r="U3072" s="99"/>
      <c r="V3072" s="99"/>
    </row>
    <row r="3073" spans="1:22" ht="15" customHeight="1">
      <c r="A3073" s="297"/>
      <c r="B3073" s="217"/>
      <c r="C3073" s="217"/>
      <c r="D3073" s="101"/>
      <c r="E3073" s="101"/>
      <c r="F3073" s="294"/>
      <c r="G3073" s="295"/>
      <c r="H3073" s="98"/>
      <c r="I3073" s="99"/>
      <c r="J3073" s="99"/>
      <c r="K3073" s="99"/>
      <c r="L3073" s="99"/>
      <c r="M3073" s="99"/>
      <c r="N3073" s="99"/>
      <c r="O3073" s="99"/>
      <c r="P3073" s="99"/>
      <c r="Q3073" s="99"/>
      <c r="R3073" s="99"/>
      <c r="S3073" s="99"/>
      <c r="T3073" s="99"/>
      <c r="U3073" s="99"/>
      <c r="V3073" s="99"/>
    </row>
    <row r="3074" spans="1:22" ht="15" customHeight="1">
      <c r="A3074" s="297"/>
      <c r="B3074" s="217"/>
      <c r="C3074" s="217"/>
      <c r="D3074" s="101"/>
      <c r="E3074" s="101"/>
      <c r="F3074" s="294"/>
      <c r="G3074" s="295"/>
      <c r="H3074" s="98"/>
      <c r="I3074" s="99"/>
      <c r="J3074" s="99"/>
      <c r="K3074" s="99"/>
      <c r="L3074" s="99"/>
      <c r="M3074" s="99"/>
      <c r="N3074" s="99"/>
      <c r="O3074" s="99"/>
      <c r="P3074" s="99"/>
      <c r="Q3074" s="99"/>
      <c r="R3074" s="99"/>
      <c r="S3074" s="99"/>
      <c r="T3074" s="99"/>
      <c r="U3074" s="99"/>
      <c r="V3074" s="99"/>
    </row>
    <row r="3075" spans="1:22" ht="15" customHeight="1">
      <c r="A3075" s="297"/>
      <c r="B3075" s="217"/>
      <c r="C3075" s="217"/>
      <c r="D3075" s="101"/>
      <c r="E3075" s="101"/>
      <c r="F3075" s="294"/>
      <c r="G3075" s="295"/>
      <c r="H3075" s="98"/>
      <c r="I3075" s="99"/>
      <c r="J3075" s="99"/>
      <c r="K3075" s="99"/>
      <c r="L3075" s="99"/>
      <c r="M3075" s="99"/>
      <c r="N3075" s="99"/>
      <c r="O3075" s="99"/>
      <c r="P3075" s="99"/>
      <c r="Q3075" s="99"/>
      <c r="R3075" s="99"/>
      <c r="S3075" s="99"/>
      <c r="T3075" s="99"/>
      <c r="U3075" s="99"/>
      <c r="V3075" s="99"/>
    </row>
    <row r="3076" spans="1:22" ht="15" customHeight="1">
      <c r="A3076" s="297"/>
      <c r="B3076" s="217"/>
      <c r="C3076" s="217"/>
      <c r="D3076" s="101"/>
      <c r="E3076" s="101"/>
      <c r="F3076" s="294"/>
      <c r="G3076" s="295"/>
      <c r="H3076" s="98"/>
      <c r="I3076" s="99"/>
      <c r="J3076" s="99"/>
      <c r="K3076" s="99"/>
      <c r="L3076" s="99"/>
      <c r="M3076" s="99"/>
      <c r="N3076" s="99"/>
      <c r="O3076" s="99"/>
      <c r="P3076" s="99"/>
      <c r="Q3076" s="99"/>
      <c r="R3076" s="99"/>
      <c r="S3076" s="99"/>
      <c r="T3076" s="99"/>
      <c r="U3076" s="99"/>
      <c r="V3076" s="99"/>
    </row>
    <row r="3077" spans="1:22" ht="15" customHeight="1">
      <c r="A3077" s="297"/>
      <c r="B3077" s="217"/>
      <c r="C3077" s="217"/>
      <c r="D3077" s="101"/>
      <c r="E3077" s="101"/>
      <c r="F3077" s="294"/>
      <c r="G3077" s="295"/>
      <c r="H3077" s="107"/>
      <c r="I3077" s="109"/>
      <c r="J3077" s="109"/>
      <c r="K3077" s="109"/>
      <c r="L3077" s="109"/>
      <c r="M3077" s="109"/>
      <c r="N3077" s="109"/>
      <c r="O3077" s="109"/>
      <c r="P3077" s="109"/>
      <c r="Q3077" s="109"/>
      <c r="R3077" s="109"/>
      <c r="S3077" s="109"/>
      <c r="T3077" s="109"/>
      <c r="U3077" s="202"/>
      <c r="V3077" s="202"/>
    </row>
    <row r="3078" spans="1:22">
      <c r="A3078" s="297"/>
      <c r="B3078" s="217"/>
      <c r="C3078" s="217"/>
      <c r="D3078" s="101"/>
      <c r="E3078" s="101"/>
      <c r="F3078" s="294"/>
      <c r="G3078" s="295"/>
      <c r="H3078" s="98"/>
      <c r="I3078" s="106"/>
      <c r="J3078" s="106"/>
      <c r="K3078" s="106"/>
      <c r="L3078" s="106"/>
      <c r="M3078" s="106"/>
      <c r="N3078" s="112"/>
      <c r="O3078" s="112"/>
      <c r="P3078" s="112"/>
      <c r="Q3078" s="113"/>
      <c r="R3078" s="113"/>
      <c r="S3078" s="113"/>
      <c r="T3078" s="113"/>
      <c r="U3078" s="113"/>
      <c r="V3078" s="113"/>
    </row>
    <row r="3079" spans="1:22">
      <c r="A3079" s="297"/>
      <c r="B3079" s="217"/>
      <c r="C3079" s="217"/>
      <c r="D3079" s="101"/>
      <c r="E3079" s="101"/>
      <c r="F3079" s="294"/>
      <c r="G3079" s="295"/>
      <c r="H3079" s="114"/>
      <c r="I3079" s="108"/>
      <c r="J3079" s="108"/>
      <c r="K3079" s="108"/>
      <c r="L3079" s="108"/>
      <c r="M3079" s="108"/>
      <c r="N3079" s="108"/>
      <c r="O3079" s="108"/>
      <c r="P3079" s="108"/>
      <c r="Q3079" s="108"/>
      <c r="R3079" s="108"/>
      <c r="S3079" s="108"/>
      <c r="T3079" s="108"/>
      <c r="U3079" s="233"/>
      <c r="V3079" s="233"/>
    </row>
    <row r="3080" spans="1:22">
      <c r="A3080" s="297"/>
      <c r="B3080" s="217"/>
      <c r="C3080" s="217"/>
      <c r="D3080" s="101"/>
      <c r="E3080" s="101"/>
      <c r="F3080" s="294"/>
      <c r="G3080" s="295"/>
      <c r="H3080" s="98"/>
      <c r="I3080" s="218"/>
      <c r="J3080" s="218"/>
      <c r="K3080" s="218"/>
      <c r="L3080" s="218"/>
      <c r="M3080" s="218"/>
      <c r="U3080" s="212"/>
      <c r="V3080" s="212"/>
    </row>
    <row r="3081" spans="1:22" ht="14.4" thickBot="1">
      <c r="A3081" s="297"/>
      <c r="B3081" s="217"/>
      <c r="C3081" s="217"/>
      <c r="D3081" s="101"/>
      <c r="E3081" s="101"/>
      <c r="F3081" s="294"/>
      <c r="G3081" s="295"/>
      <c r="H3081" s="98"/>
      <c r="I3081" s="218"/>
      <c r="J3081" s="218"/>
      <c r="K3081" s="218"/>
      <c r="L3081" s="218"/>
      <c r="M3081" s="218"/>
      <c r="U3081" s="212"/>
      <c r="V3081" s="212"/>
    </row>
    <row r="3082" spans="1:22" ht="23.4" thickBot="1">
      <c r="A3082" s="297"/>
      <c r="B3082" s="217"/>
      <c r="C3082" s="217"/>
      <c r="D3082" s="101"/>
      <c r="E3082" s="101"/>
      <c r="F3082" s="294"/>
      <c r="G3082" s="295"/>
      <c r="H3082" s="686"/>
      <c r="I3082" s="687"/>
      <c r="J3082" s="687"/>
      <c r="K3082" s="687"/>
      <c r="L3082" s="687"/>
      <c r="M3082" s="687"/>
      <c r="N3082" s="687"/>
      <c r="O3082" s="687"/>
      <c r="P3082" s="687"/>
      <c r="Q3082" s="687"/>
      <c r="R3082" s="687"/>
      <c r="S3082" s="715"/>
      <c r="T3082" s="688"/>
      <c r="U3082" s="254"/>
      <c r="V3082" s="254"/>
    </row>
    <row r="3083" spans="1:22" ht="22.8">
      <c r="A3083" s="297"/>
      <c r="B3083" s="217"/>
      <c r="C3083" s="217"/>
      <c r="D3083" s="101"/>
      <c r="E3083" s="101"/>
      <c r="F3083" s="294"/>
      <c r="G3083" s="295"/>
      <c r="H3083" s="225"/>
      <c r="I3083" s="225"/>
      <c r="J3083" s="225"/>
      <c r="K3083" s="225"/>
      <c r="L3083" s="225"/>
      <c r="M3083" s="225"/>
      <c r="N3083" s="225"/>
      <c r="O3083" s="225"/>
      <c r="P3083" s="225"/>
      <c r="Q3083" s="225"/>
      <c r="R3083" s="225"/>
      <c r="S3083" s="225"/>
      <c r="T3083" s="225"/>
      <c r="U3083" s="225"/>
      <c r="V3083" s="225"/>
    </row>
    <row r="3084" spans="1:22">
      <c r="A3084" s="297"/>
      <c r="B3084" s="217"/>
      <c r="C3084" s="217"/>
      <c r="D3084" s="101"/>
      <c r="E3084" s="101"/>
      <c r="F3084" s="294"/>
      <c r="G3084" s="295"/>
      <c r="H3084" s="98"/>
      <c r="I3084" s="99"/>
      <c r="J3084" s="99"/>
      <c r="K3084" s="99"/>
      <c r="L3084" s="99"/>
      <c r="M3084" s="99"/>
      <c r="N3084" s="99"/>
      <c r="O3084" s="99"/>
      <c r="P3084" s="99"/>
      <c r="Q3084" s="99"/>
      <c r="R3084" s="99"/>
      <c r="S3084" s="99"/>
      <c r="T3084" s="99"/>
      <c r="U3084" s="99"/>
      <c r="V3084" s="99"/>
    </row>
    <row r="3085" spans="1:22">
      <c r="A3085" s="297"/>
      <c r="B3085" s="217"/>
      <c r="C3085" s="217"/>
      <c r="D3085" s="101"/>
      <c r="E3085" s="101"/>
      <c r="F3085" s="294"/>
      <c r="G3085" s="295"/>
      <c r="H3085" s="98"/>
      <c r="I3085" s="99"/>
      <c r="J3085" s="99"/>
      <c r="K3085" s="99"/>
      <c r="L3085" s="99"/>
      <c r="M3085" s="99"/>
      <c r="N3085" s="99"/>
      <c r="O3085" s="99"/>
      <c r="P3085" s="99"/>
      <c r="Q3085" s="99"/>
      <c r="R3085" s="99"/>
      <c r="S3085" s="99"/>
      <c r="T3085" s="99"/>
      <c r="U3085" s="99"/>
      <c r="V3085" s="99"/>
    </row>
    <row r="3086" spans="1:22">
      <c r="A3086" s="297"/>
      <c r="B3086" s="217"/>
      <c r="C3086" s="217"/>
      <c r="D3086" s="101"/>
      <c r="E3086" s="101"/>
      <c r="F3086" s="294"/>
      <c r="G3086" s="295"/>
      <c r="H3086" s="98"/>
      <c r="I3086" s="99"/>
      <c r="J3086" s="99"/>
      <c r="K3086" s="99"/>
      <c r="L3086" s="99"/>
      <c r="M3086" s="99"/>
      <c r="N3086" s="99"/>
      <c r="O3086" s="99"/>
      <c r="P3086" s="99"/>
      <c r="Q3086" s="99"/>
      <c r="R3086" s="99"/>
      <c r="S3086" s="99"/>
      <c r="T3086" s="99"/>
      <c r="U3086" s="99"/>
      <c r="V3086" s="99"/>
    </row>
    <row r="3087" spans="1:22">
      <c r="A3087" s="297"/>
      <c r="B3087" s="217"/>
      <c r="C3087" s="217"/>
      <c r="D3087" s="101"/>
      <c r="E3087" s="101"/>
      <c r="F3087" s="294"/>
      <c r="G3087" s="295"/>
      <c r="H3087" s="98"/>
      <c r="I3087" s="99"/>
      <c r="J3087" s="99"/>
      <c r="K3087" s="99"/>
      <c r="L3087" s="99"/>
      <c r="M3087" s="99"/>
      <c r="N3087" s="99"/>
      <c r="O3087" s="99"/>
      <c r="P3087" s="99"/>
      <c r="Q3087" s="99"/>
      <c r="R3087" s="99"/>
      <c r="S3087" s="99"/>
      <c r="T3087" s="99"/>
      <c r="U3087" s="99"/>
      <c r="V3087" s="99"/>
    </row>
    <row r="3088" spans="1:22">
      <c r="A3088" s="297"/>
      <c r="B3088" s="217"/>
      <c r="C3088" s="217"/>
      <c r="D3088" s="101"/>
      <c r="E3088" s="101"/>
      <c r="F3088" s="294"/>
      <c r="G3088" s="295"/>
      <c r="H3088" s="98"/>
      <c r="I3088" s="99"/>
      <c r="J3088" s="99"/>
      <c r="K3088" s="99"/>
      <c r="L3088" s="99"/>
      <c r="M3088" s="99"/>
      <c r="N3088" s="99"/>
      <c r="O3088" s="99"/>
      <c r="P3088" s="99"/>
      <c r="Q3088" s="99"/>
      <c r="R3088" s="99"/>
      <c r="S3088" s="99"/>
      <c r="T3088" s="99"/>
      <c r="U3088" s="99"/>
      <c r="V3088" s="99"/>
    </row>
    <row r="3089" spans="1:22">
      <c r="A3089" s="297"/>
      <c r="B3089" s="217"/>
      <c r="C3089" s="217"/>
      <c r="D3089" s="101"/>
      <c r="E3089" s="101"/>
      <c r="F3089" s="294"/>
      <c r="G3089" s="295"/>
      <c r="H3089" s="98"/>
      <c r="I3089" s="99"/>
      <c r="J3089" s="99"/>
      <c r="K3089" s="99"/>
      <c r="L3089" s="99"/>
      <c r="M3089" s="99"/>
      <c r="N3089" s="99"/>
      <c r="O3089" s="99"/>
      <c r="P3089" s="99"/>
      <c r="Q3089" s="99"/>
      <c r="R3089" s="99"/>
      <c r="S3089" s="99"/>
      <c r="T3089" s="99"/>
      <c r="U3089" s="99"/>
      <c r="V3089" s="99"/>
    </row>
    <row r="3090" spans="1:22">
      <c r="A3090" s="297"/>
      <c r="B3090" s="217"/>
      <c r="C3090" s="217"/>
      <c r="D3090" s="101"/>
      <c r="E3090" s="101"/>
      <c r="F3090" s="294"/>
      <c r="G3090" s="295"/>
      <c r="H3090" s="98"/>
      <c r="I3090" s="99"/>
      <c r="J3090" s="99"/>
      <c r="K3090" s="99"/>
      <c r="L3090" s="99"/>
      <c r="M3090" s="99"/>
      <c r="N3090" s="99"/>
      <c r="O3090" s="99"/>
      <c r="P3090" s="99"/>
      <c r="Q3090" s="99"/>
      <c r="R3090" s="99"/>
      <c r="S3090" s="99"/>
      <c r="T3090" s="99"/>
      <c r="U3090" s="99"/>
      <c r="V3090" s="99"/>
    </row>
    <row r="3091" spans="1:22">
      <c r="A3091" s="297"/>
      <c r="B3091" s="217"/>
      <c r="C3091" s="217"/>
      <c r="D3091" s="101"/>
      <c r="E3091" s="101"/>
      <c r="F3091" s="294"/>
      <c r="G3091" s="295"/>
      <c r="H3091" s="98"/>
      <c r="I3091" s="99"/>
      <c r="J3091" s="99"/>
      <c r="K3091" s="99"/>
      <c r="L3091" s="99"/>
      <c r="M3091" s="99"/>
      <c r="N3091" s="99"/>
      <c r="O3091" s="99"/>
      <c r="P3091" s="99"/>
      <c r="Q3091" s="99"/>
      <c r="R3091" s="99"/>
      <c r="S3091" s="99"/>
      <c r="T3091" s="99"/>
      <c r="U3091" s="99"/>
      <c r="V3091" s="99"/>
    </row>
    <row r="3092" spans="1:22">
      <c r="A3092" s="297"/>
      <c r="B3092" s="217"/>
      <c r="C3092" s="217"/>
      <c r="D3092" s="101"/>
      <c r="E3092" s="101"/>
      <c r="F3092" s="294"/>
      <c r="G3092" s="295"/>
      <c r="H3092" s="98"/>
      <c r="I3092" s="99"/>
      <c r="J3092" s="99"/>
      <c r="K3092" s="99"/>
      <c r="L3092" s="99"/>
      <c r="M3092" s="99"/>
      <c r="N3092" s="99"/>
      <c r="O3092" s="99"/>
      <c r="P3092" s="99"/>
      <c r="Q3092" s="99"/>
      <c r="R3092" s="99"/>
      <c r="S3092" s="99"/>
      <c r="T3092" s="99"/>
      <c r="U3092" s="99"/>
      <c r="V3092" s="99"/>
    </row>
    <row r="3093" spans="1:22">
      <c r="A3093" s="297"/>
      <c r="B3093" s="217"/>
      <c r="C3093" s="217"/>
      <c r="D3093" s="101"/>
      <c r="E3093" s="101"/>
      <c r="F3093" s="294"/>
      <c r="G3093" s="295"/>
      <c r="H3093" s="98"/>
      <c r="I3093" s="99"/>
      <c r="J3093" s="99"/>
      <c r="K3093" s="99"/>
      <c r="L3093" s="99"/>
      <c r="M3093" s="99"/>
      <c r="N3093" s="99"/>
      <c r="O3093" s="99"/>
      <c r="P3093" s="99"/>
      <c r="Q3093" s="99"/>
      <c r="R3093" s="99"/>
      <c r="S3093" s="99"/>
      <c r="T3093" s="99"/>
      <c r="U3093" s="99"/>
      <c r="V3093" s="99"/>
    </row>
    <row r="3094" spans="1:22">
      <c r="A3094" s="297"/>
      <c r="B3094" s="217"/>
      <c r="C3094" s="217"/>
      <c r="D3094" s="101"/>
      <c r="E3094" s="101"/>
      <c r="F3094" s="294"/>
      <c r="G3094" s="295"/>
      <c r="H3094" s="98"/>
      <c r="I3094" s="99"/>
      <c r="J3094" s="99"/>
      <c r="K3094" s="99"/>
      <c r="L3094" s="99"/>
      <c r="M3094" s="99"/>
      <c r="N3094" s="99"/>
      <c r="O3094" s="99"/>
      <c r="P3094" s="99"/>
      <c r="Q3094" s="99"/>
      <c r="R3094" s="99"/>
      <c r="S3094" s="99"/>
      <c r="T3094" s="99"/>
      <c r="U3094" s="99"/>
      <c r="V3094" s="99"/>
    </row>
    <row r="3095" spans="1:22">
      <c r="A3095" s="297"/>
      <c r="B3095" s="217"/>
      <c r="C3095" s="217"/>
      <c r="D3095" s="101"/>
      <c r="E3095" s="101"/>
      <c r="F3095" s="294"/>
      <c r="G3095" s="295"/>
      <c r="H3095" s="98"/>
      <c r="I3095" s="99"/>
      <c r="J3095" s="99"/>
      <c r="K3095" s="99"/>
      <c r="L3095" s="99"/>
      <c r="M3095" s="99"/>
      <c r="N3095" s="99"/>
      <c r="O3095" s="99"/>
      <c r="P3095" s="99"/>
      <c r="Q3095" s="99"/>
      <c r="R3095" s="99"/>
      <c r="S3095" s="99"/>
      <c r="T3095" s="99"/>
      <c r="U3095" s="99"/>
      <c r="V3095" s="99"/>
    </row>
    <row r="3096" spans="1:22">
      <c r="A3096" s="297"/>
      <c r="B3096" s="217"/>
      <c r="C3096" s="217"/>
      <c r="D3096" s="101"/>
      <c r="E3096" s="101"/>
      <c r="F3096" s="294"/>
      <c r="G3096" s="295"/>
      <c r="H3096" s="98"/>
      <c r="I3096" s="99"/>
      <c r="J3096" s="99"/>
      <c r="K3096" s="99"/>
      <c r="L3096" s="99"/>
      <c r="M3096" s="99"/>
      <c r="N3096" s="99"/>
      <c r="O3096" s="99"/>
      <c r="P3096" s="99"/>
      <c r="Q3096" s="99"/>
      <c r="R3096" s="99"/>
      <c r="S3096" s="99"/>
      <c r="T3096" s="99"/>
      <c r="U3096" s="99"/>
      <c r="V3096" s="99"/>
    </row>
    <row r="3097" spans="1:22">
      <c r="A3097" s="297"/>
      <c r="B3097" s="217"/>
      <c r="C3097" s="217"/>
      <c r="D3097" s="101"/>
      <c r="E3097" s="101"/>
      <c r="F3097" s="294"/>
      <c r="G3097" s="295"/>
      <c r="H3097" s="98"/>
      <c r="I3097" s="99"/>
      <c r="J3097" s="99"/>
      <c r="K3097" s="99"/>
      <c r="L3097" s="99"/>
      <c r="M3097" s="99"/>
      <c r="N3097" s="99"/>
      <c r="O3097" s="99"/>
      <c r="P3097" s="99"/>
      <c r="Q3097" s="99"/>
      <c r="R3097" s="99"/>
      <c r="S3097" s="99"/>
      <c r="T3097" s="99"/>
      <c r="U3097" s="99"/>
      <c r="V3097" s="99"/>
    </row>
    <row r="3098" spans="1:22">
      <c r="A3098" s="297"/>
      <c r="B3098" s="217"/>
      <c r="C3098" s="217"/>
      <c r="D3098" s="101"/>
      <c r="E3098" s="101"/>
      <c r="F3098" s="294"/>
      <c r="G3098" s="295"/>
      <c r="H3098" s="107"/>
      <c r="I3098" s="108"/>
      <c r="J3098" s="108"/>
      <c r="K3098" s="108"/>
      <c r="L3098" s="108"/>
      <c r="M3098" s="108"/>
      <c r="N3098" s="108"/>
      <c r="O3098" s="108"/>
      <c r="P3098" s="108"/>
      <c r="Q3098" s="108"/>
      <c r="R3098" s="108"/>
      <c r="S3098" s="108"/>
      <c r="T3098" s="108"/>
      <c r="U3098" s="233"/>
      <c r="V3098" s="233"/>
    </row>
    <row r="3099" spans="1:22">
      <c r="A3099" s="297"/>
      <c r="B3099" s="217"/>
      <c r="C3099" s="217"/>
      <c r="D3099" s="101"/>
      <c r="E3099" s="101"/>
      <c r="F3099" s="294"/>
      <c r="G3099" s="295"/>
      <c r="H3099" s="98"/>
      <c r="I3099" s="218"/>
      <c r="J3099" s="218"/>
      <c r="K3099" s="218"/>
      <c r="L3099" s="218"/>
      <c r="M3099" s="218"/>
      <c r="N3099" s="226"/>
      <c r="O3099" s="226"/>
      <c r="P3099" s="226"/>
      <c r="Q3099" s="111"/>
      <c r="R3099" s="111"/>
      <c r="S3099" s="111"/>
      <c r="T3099" s="111"/>
      <c r="U3099" s="111"/>
      <c r="V3099" s="111"/>
    </row>
    <row r="3100" spans="1:22">
      <c r="A3100" s="297"/>
      <c r="B3100" s="217"/>
      <c r="C3100" s="217"/>
      <c r="D3100" s="101"/>
      <c r="E3100" s="101"/>
      <c r="F3100" s="294"/>
      <c r="G3100" s="295"/>
      <c r="H3100" s="98"/>
      <c r="I3100" s="99"/>
      <c r="J3100" s="99"/>
      <c r="K3100" s="99"/>
      <c r="L3100" s="99"/>
      <c r="M3100" s="99"/>
      <c r="N3100" s="99"/>
      <c r="O3100" s="99"/>
      <c r="P3100" s="99"/>
      <c r="Q3100" s="99"/>
      <c r="R3100" s="99"/>
      <c r="S3100" s="99"/>
      <c r="T3100" s="99"/>
      <c r="U3100" s="99"/>
      <c r="V3100" s="99"/>
    </row>
    <row r="3101" spans="1:22">
      <c r="A3101" s="297"/>
      <c r="B3101" s="217"/>
      <c r="C3101" s="217"/>
      <c r="D3101" s="101"/>
      <c r="E3101" s="101"/>
      <c r="F3101" s="294"/>
      <c r="G3101" s="295"/>
      <c r="H3101" s="98"/>
      <c r="I3101" s="99"/>
      <c r="J3101" s="99"/>
      <c r="K3101" s="99"/>
      <c r="L3101" s="99"/>
      <c r="M3101" s="99"/>
      <c r="N3101" s="99"/>
      <c r="O3101" s="99"/>
      <c r="P3101" s="99"/>
      <c r="Q3101" s="99"/>
      <c r="R3101" s="99"/>
      <c r="S3101" s="99"/>
      <c r="T3101" s="99"/>
      <c r="U3101" s="99"/>
      <c r="V3101" s="99"/>
    </row>
    <row r="3102" spans="1:22">
      <c r="A3102" s="297"/>
      <c r="B3102" s="217"/>
      <c r="C3102" s="217"/>
      <c r="D3102" s="101"/>
      <c r="E3102" s="101"/>
      <c r="F3102" s="294"/>
      <c r="G3102" s="295"/>
      <c r="H3102" s="98"/>
      <c r="I3102" s="99"/>
      <c r="J3102" s="99"/>
      <c r="K3102" s="99"/>
      <c r="L3102" s="99"/>
      <c r="M3102" s="99"/>
      <c r="N3102" s="99"/>
      <c r="O3102" s="99"/>
      <c r="P3102" s="99"/>
      <c r="Q3102" s="99"/>
      <c r="R3102" s="99"/>
      <c r="S3102" s="99"/>
      <c r="T3102" s="99"/>
      <c r="U3102" s="99"/>
      <c r="V3102" s="99"/>
    </row>
    <row r="3103" spans="1:22">
      <c r="A3103" s="297"/>
      <c r="B3103" s="217"/>
      <c r="C3103" s="217"/>
      <c r="D3103" s="101"/>
      <c r="E3103" s="101"/>
      <c r="F3103" s="294"/>
      <c r="G3103" s="295"/>
      <c r="H3103" s="98"/>
      <c r="I3103" s="99"/>
      <c r="J3103" s="99"/>
      <c r="K3103" s="99"/>
      <c r="L3103" s="99"/>
      <c r="M3103" s="99"/>
      <c r="N3103" s="99"/>
      <c r="O3103" s="99"/>
      <c r="P3103" s="99"/>
      <c r="Q3103" s="99"/>
      <c r="R3103" s="99"/>
      <c r="S3103" s="99"/>
      <c r="T3103" s="99"/>
      <c r="U3103" s="99"/>
      <c r="V3103" s="99"/>
    </row>
    <row r="3104" spans="1:22">
      <c r="A3104" s="297"/>
      <c r="B3104" s="217"/>
      <c r="C3104" s="217"/>
      <c r="D3104" s="101"/>
      <c r="E3104" s="101"/>
      <c r="F3104" s="294"/>
      <c r="G3104" s="295"/>
      <c r="H3104" s="98"/>
      <c r="I3104" s="99"/>
      <c r="J3104" s="99"/>
      <c r="K3104" s="99"/>
      <c r="L3104" s="99"/>
      <c r="M3104" s="99"/>
      <c r="N3104" s="99"/>
      <c r="O3104" s="99"/>
      <c r="P3104" s="99"/>
      <c r="Q3104" s="99"/>
      <c r="R3104" s="99"/>
      <c r="S3104" s="99"/>
      <c r="T3104" s="99"/>
      <c r="U3104" s="99"/>
      <c r="V3104" s="99"/>
    </row>
    <row r="3105" spans="1:22">
      <c r="A3105" s="297"/>
      <c r="B3105" s="217"/>
      <c r="C3105" s="217"/>
      <c r="D3105" s="101"/>
      <c r="E3105" s="101"/>
      <c r="F3105" s="294"/>
      <c r="G3105" s="295"/>
      <c r="H3105" s="98"/>
      <c r="I3105" s="99"/>
      <c r="J3105" s="99"/>
      <c r="K3105" s="99"/>
      <c r="L3105" s="99"/>
      <c r="M3105" s="99"/>
      <c r="N3105" s="99"/>
      <c r="O3105" s="99"/>
      <c r="P3105" s="99"/>
      <c r="Q3105" s="99"/>
      <c r="R3105" s="99"/>
      <c r="S3105" s="99"/>
      <c r="T3105" s="99"/>
      <c r="U3105" s="99"/>
      <c r="V3105" s="99"/>
    </row>
    <row r="3106" spans="1:22">
      <c r="A3106" s="297"/>
      <c r="B3106" s="217"/>
      <c r="C3106" s="217"/>
      <c r="D3106" s="101"/>
      <c r="E3106" s="101"/>
      <c r="F3106" s="294"/>
      <c r="G3106" s="295"/>
      <c r="H3106" s="98"/>
      <c r="I3106" s="99"/>
      <c r="J3106" s="99"/>
      <c r="K3106" s="99"/>
      <c r="L3106" s="99"/>
      <c r="M3106" s="99"/>
      <c r="N3106" s="99"/>
      <c r="O3106" s="99"/>
      <c r="P3106" s="99"/>
      <c r="Q3106" s="99"/>
      <c r="R3106" s="99"/>
      <c r="S3106" s="99"/>
      <c r="T3106" s="99"/>
      <c r="U3106" s="99"/>
      <c r="V3106" s="99"/>
    </row>
    <row r="3107" spans="1:22">
      <c r="A3107" s="297"/>
      <c r="B3107" s="217"/>
      <c r="C3107" s="217"/>
      <c r="D3107" s="101"/>
      <c r="E3107" s="101"/>
      <c r="F3107" s="294"/>
      <c r="G3107" s="295"/>
      <c r="H3107" s="98"/>
      <c r="I3107" s="99"/>
      <c r="J3107" s="99"/>
      <c r="K3107" s="99"/>
      <c r="L3107" s="99"/>
      <c r="M3107" s="99"/>
      <c r="N3107" s="99"/>
      <c r="O3107" s="99"/>
      <c r="P3107" s="99"/>
      <c r="Q3107" s="99"/>
      <c r="R3107" s="99"/>
      <c r="S3107" s="99"/>
      <c r="T3107" s="99"/>
      <c r="U3107" s="99"/>
      <c r="V3107" s="99"/>
    </row>
    <row r="3108" spans="1:22">
      <c r="A3108" s="297"/>
      <c r="B3108" s="217"/>
      <c r="C3108" s="217"/>
      <c r="D3108" s="101"/>
      <c r="E3108" s="101"/>
      <c r="F3108" s="294"/>
      <c r="G3108" s="295"/>
      <c r="H3108" s="98"/>
      <c r="I3108" s="99"/>
      <c r="J3108" s="99"/>
      <c r="K3108" s="99"/>
      <c r="L3108" s="99"/>
      <c r="M3108" s="99"/>
      <c r="N3108" s="99"/>
      <c r="O3108" s="99"/>
      <c r="P3108" s="99"/>
      <c r="Q3108" s="99"/>
      <c r="R3108" s="99"/>
      <c r="S3108" s="99"/>
      <c r="T3108" s="99"/>
      <c r="U3108" s="99"/>
      <c r="V3108" s="99"/>
    </row>
    <row r="3109" spans="1:22">
      <c r="A3109" s="297"/>
      <c r="B3109" s="217"/>
      <c r="C3109" s="217"/>
      <c r="D3109" s="101"/>
      <c r="E3109" s="101"/>
      <c r="F3109" s="294"/>
      <c r="G3109" s="295"/>
      <c r="H3109" s="98"/>
      <c r="I3109" s="99"/>
      <c r="J3109" s="99"/>
      <c r="K3109" s="99"/>
      <c r="L3109" s="99"/>
      <c r="M3109" s="99"/>
      <c r="N3109" s="99"/>
      <c r="O3109" s="99"/>
      <c r="P3109" s="99"/>
      <c r="Q3109" s="99"/>
      <c r="R3109" s="99"/>
      <c r="S3109" s="99"/>
      <c r="T3109" s="99"/>
      <c r="U3109" s="99"/>
      <c r="V3109" s="99"/>
    </row>
    <row r="3110" spans="1:22">
      <c r="A3110" s="297"/>
      <c r="B3110" s="217"/>
      <c r="C3110" s="217"/>
      <c r="D3110" s="101"/>
      <c r="E3110" s="101"/>
      <c r="F3110" s="294"/>
      <c r="G3110" s="295"/>
      <c r="H3110" s="98"/>
      <c r="I3110" s="99"/>
      <c r="J3110" s="99"/>
      <c r="K3110" s="99"/>
      <c r="L3110" s="99"/>
      <c r="M3110" s="99"/>
      <c r="N3110" s="99"/>
      <c r="O3110" s="99"/>
      <c r="P3110" s="99"/>
      <c r="Q3110" s="99"/>
      <c r="R3110" s="99"/>
      <c r="S3110" s="99"/>
      <c r="T3110" s="99"/>
      <c r="U3110" s="99"/>
      <c r="V3110" s="99"/>
    </row>
    <row r="3111" spans="1:22">
      <c r="A3111" s="297"/>
      <c r="B3111" s="217"/>
      <c r="C3111" s="217"/>
      <c r="D3111" s="101"/>
      <c r="E3111" s="101"/>
      <c r="F3111" s="294"/>
      <c r="G3111" s="295"/>
      <c r="H3111" s="98"/>
      <c r="I3111" s="99"/>
      <c r="J3111" s="99"/>
      <c r="K3111" s="99"/>
      <c r="L3111" s="99"/>
      <c r="M3111" s="99"/>
      <c r="N3111" s="99"/>
      <c r="O3111" s="99"/>
      <c r="P3111" s="99"/>
      <c r="Q3111" s="99"/>
      <c r="R3111" s="99"/>
      <c r="S3111" s="99"/>
      <c r="T3111" s="99"/>
      <c r="U3111" s="99"/>
      <c r="V3111" s="99"/>
    </row>
    <row r="3112" spans="1:22">
      <c r="A3112" s="297"/>
      <c r="B3112" s="217"/>
      <c r="C3112" s="217"/>
      <c r="D3112" s="101"/>
      <c r="E3112" s="101"/>
      <c r="F3112" s="294"/>
      <c r="G3112" s="295"/>
      <c r="H3112" s="98"/>
      <c r="I3112" s="99"/>
      <c r="J3112" s="99"/>
      <c r="K3112" s="99"/>
      <c r="L3112" s="99"/>
      <c r="M3112" s="99"/>
      <c r="N3112" s="99"/>
      <c r="O3112" s="99"/>
      <c r="P3112" s="99"/>
      <c r="Q3112" s="99"/>
      <c r="R3112" s="99"/>
      <c r="S3112" s="99"/>
      <c r="T3112" s="99"/>
      <c r="U3112" s="99"/>
      <c r="V3112" s="99"/>
    </row>
    <row r="3113" spans="1:22">
      <c r="A3113" s="297"/>
      <c r="B3113" s="217"/>
      <c r="C3113" s="217"/>
      <c r="D3113" s="101"/>
      <c r="E3113" s="101"/>
      <c r="F3113" s="294"/>
      <c r="G3113" s="295"/>
      <c r="H3113" s="98"/>
      <c r="I3113" s="99"/>
      <c r="J3113" s="99"/>
      <c r="K3113" s="99"/>
      <c r="L3113" s="99"/>
      <c r="M3113" s="99"/>
      <c r="N3113" s="99"/>
      <c r="O3113" s="99"/>
      <c r="P3113" s="99"/>
      <c r="Q3113" s="99"/>
      <c r="R3113" s="99"/>
      <c r="S3113" s="99"/>
      <c r="T3113" s="99"/>
      <c r="U3113" s="99"/>
      <c r="V3113" s="99"/>
    </row>
    <row r="3114" spans="1:22">
      <c r="A3114" s="297"/>
      <c r="B3114" s="217"/>
      <c r="C3114" s="217"/>
      <c r="D3114" s="101"/>
      <c r="E3114" s="101"/>
      <c r="F3114" s="294"/>
      <c r="G3114" s="295"/>
      <c r="H3114" s="98"/>
      <c r="I3114" s="99"/>
      <c r="J3114" s="99"/>
      <c r="K3114" s="99"/>
      <c r="L3114" s="99"/>
      <c r="M3114" s="99"/>
      <c r="N3114" s="99"/>
      <c r="O3114" s="99"/>
      <c r="P3114" s="99"/>
      <c r="Q3114" s="99"/>
      <c r="R3114" s="99"/>
      <c r="S3114" s="99"/>
      <c r="T3114" s="99"/>
      <c r="U3114" s="99"/>
      <c r="V3114" s="99"/>
    </row>
    <row r="3115" spans="1:22">
      <c r="A3115" s="297"/>
      <c r="B3115" s="217"/>
      <c r="C3115" s="217"/>
      <c r="D3115" s="101"/>
      <c r="E3115" s="101"/>
      <c r="F3115" s="294"/>
      <c r="G3115" s="295"/>
      <c r="H3115" s="98"/>
      <c r="I3115" s="99"/>
      <c r="J3115" s="99"/>
      <c r="K3115" s="99"/>
      <c r="L3115" s="99"/>
      <c r="M3115" s="99"/>
      <c r="N3115" s="99"/>
      <c r="O3115" s="99"/>
      <c r="P3115" s="99"/>
      <c r="Q3115" s="99"/>
      <c r="R3115" s="99"/>
      <c r="S3115" s="99"/>
      <c r="T3115" s="99"/>
      <c r="U3115" s="99"/>
      <c r="V3115" s="99"/>
    </row>
    <row r="3116" spans="1:22">
      <c r="A3116" s="297"/>
      <c r="B3116" s="217"/>
      <c r="C3116" s="217"/>
      <c r="D3116" s="101"/>
      <c r="E3116" s="101"/>
      <c r="F3116" s="294"/>
      <c r="G3116" s="295"/>
      <c r="H3116" s="98"/>
      <c r="I3116" s="99"/>
      <c r="J3116" s="99"/>
      <c r="K3116" s="99"/>
      <c r="L3116" s="99"/>
      <c r="M3116" s="99"/>
      <c r="N3116" s="99"/>
      <c r="O3116" s="99"/>
      <c r="P3116" s="99"/>
      <c r="Q3116" s="99"/>
      <c r="R3116" s="99"/>
      <c r="S3116" s="99"/>
      <c r="T3116" s="99"/>
      <c r="U3116" s="99"/>
      <c r="V3116" s="99"/>
    </row>
    <row r="3117" spans="1:22">
      <c r="A3117" s="297"/>
      <c r="B3117" s="217"/>
      <c r="C3117" s="217"/>
      <c r="D3117" s="101"/>
      <c r="E3117" s="101"/>
      <c r="F3117" s="294"/>
      <c r="G3117" s="295"/>
      <c r="H3117" s="98"/>
      <c r="I3117" s="99"/>
      <c r="J3117" s="99"/>
      <c r="K3117" s="99"/>
      <c r="L3117" s="99"/>
      <c r="M3117" s="99"/>
      <c r="N3117" s="99"/>
      <c r="O3117" s="99"/>
      <c r="P3117" s="99"/>
      <c r="Q3117" s="99"/>
      <c r="R3117" s="99"/>
      <c r="S3117" s="99"/>
      <c r="T3117" s="99"/>
      <c r="U3117" s="99"/>
      <c r="V3117" s="99"/>
    </row>
    <row r="3118" spans="1:22">
      <c r="A3118" s="297"/>
      <c r="B3118" s="217"/>
      <c r="C3118" s="217"/>
      <c r="D3118" s="101"/>
      <c r="E3118" s="101"/>
      <c r="F3118" s="294"/>
      <c r="G3118" s="295"/>
      <c r="H3118" s="98"/>
      <c r="I3118" s="99"/>
      <c r="J3118" s="99"/>
      <c r="K3118" s="99"/>
      <c r="L3118" s="99"/>
      <c r="M3118" s="99"/>
      <c r="N3118" s="99"/>
      <c r="O3118" s="99"/>
      <c r="P3118" s="99"/>
      <c r="Q3118" s="99"/>
      <c r="R3118" s="99"/>
      <c r="S3118" s="99"/>
      <c r="T3118" s="99"/>
      <c r="U3118" s="99"/>
      <c r="V3118" s="99"/>
    </row>
    <row r="3119" spans="1:22">
      <c r="A3119" s="297"/>
      <c r="B3119" s="217"/>
      <c r="C3119" s="217"/>
      <c r="D3119" s="101"/>
      <c r="E3119" s="101"/>
      <c r="F3119" s="294"/>
      <c r="G3119" s="295"/>
      <c r="H3119" s="98"/>
      <c r="I3119" s="99"/>
      <c r="J3119" s="99"/>
      <c r="K3119" s="99"/>
      <c r="L3119" s="99"/>
      <c r="M3119" s="99"/>
      <c r="N3119" s="99"/>
      <c r="O3119" s="99"/>
      <c r="P3119" s="99"/>
      <c r="Q3119" s="99"/>
      <c r="R3119" s="99"/>
      <c r="S3119" s="99"/>
      <c r="T3119" s="99"/>
      <c r="U3119" s="99"/>
      <c r="V3119" s="99"/>
    </row>
    <row r="3120" spans="1:22">
      <c r="A3120" s="297"/>
      <c r="B3120" s="217"/>
      <c r="C3120" s="217"/>
      <c r="D3120" s="101"/>
      <c r="E3120" s="101"/>
      <c r="F3120" s="294"/>
      <c r="G3120" s="295"/>
      <c r="H3120" s="98"/>
      <c r="I3120" s="99"/>
      <c r="J3120" s="99"/>
      <c r="K3120" s="99"/>
      <c r="L3120" s="99"/>
      <c r="M3120" s="99"/>
      <c r="N3120" s="99"/>
      <c r="O3120" s="99"/>
      <c r="P3120" s="99"/>
      <c r="Q3120" s="99"/>
      <c r="R3120" s="99"/>
      <c r="S3120" s="99"/>
      <c r="T3120" s="99"/>
      <c r="U3120" s="99"/>
      <c r="V3120" s="99"/>
    </row>
    <row r="3121" spans="1:22">
      <c r="A3121" s="297"/>
      <c r="B3121" s="217"/>
      <c r="C3121" s="217"/>
      <c r="D3121" s="101"/>
      <c r="E3121" s="101"/>
      <c r="F3121" s="294"/>
      <c r="G3121" s="295"/>
      <c r="H3121" s="107"/>
      <c r="I3121" s="108"/>
      <c r="J3121" s="108"/>
      <c r="K3121" s="108"/>
      <c r="L3121" s="108"/>
      <c r="M3121" s="108"/>
      <c r="N3121" s="108"/>
      <c r="O3121" s="108"/>
      <c r="P3121" s="108"/>
      <c r="Q3121" s="108"/>
      <c r="R3121" s="108"/>
      <c r="S3121" s="108"/>
      <c r="T3121" s="108"/>
      <c r="U3121" s="233"/>
      <c r="V3121" s="233"/>
    </row>
    <row r="3122" spans="1:22">
      <c r="A3122" s="297"/>
      <c r="B3122" s="217"/>
      <c r="C3122" s="217"/>
      <c r="D3122" s="101"/>
      <c r="E3122" s="101"/>
      <c r="F3122" s="294"/>
      <c r="G3122" s="295"/>
      <c r="H3122" s="98"/>
      <c r="I3122" s="99"/>
      <c r="J3122" s="99"/>
      <c r="K3122" s="99"/>
      <c r="L3122" s="99"/>
      <c r="M3122" s="99"/>
      <c r="N3122" s="99"/>
      <c r="O3122" s="99"/>
      <c r="P3122" s="99"/>
      <c r="Q3122" s="99"/>
      <c r="R3122" s="99"/>
      <c r="S3122" s="99"/>
      <c r="T3122" s="100"/>
      <c r="U3122" s="100"/>
      <c r="V3122" s="100"/>
    </row>
    <row r="3123" spans="1:22">
      <c r="A3123" s="297"/>
      <c r="B3123" s="217"/>
      <c r="C3123" s="217"/>
      <c r="D3123" s="101"/>
      <c r="E3123" s="101"/>
      <c r="F3123" s="294"/>
      <c r="G3123" s="295"/>
      <c r="H3123" s="98"/>
      <c r="I3123" s="99"/>
      <c r="J3123" s="99"/>
      <c r="K3123" s="99"/>
      <c r="L3123" s="99"/>
      <c r="M3123" s="99"/>
      <c r="N3123" s="99"/>
      <c r="O3123" s="99"/>
      <c r="P3123" s="99"/>
      <c r="Q3123" s="99"/>
      <c r="R3123" s="99"/>
      <c r="S3123" s="99"/>
      <c r="T3123" s="99"/>
      <c r="U3123" s="99"/>
      <c r="V3123" s="99"/>
    </row>
    <row r="3124" spans="1:22">
      <c r="A3124" s="297"/>
      <c r="B3124" s="217"/>
      <c r="C3124" s="217"/>
      <c r="D3124" s="101"/>
      <c r="E3124" s="101"/>
      <c r="F3124" s="294"/>
      <c r="G3124" s="295"/>
      <c r="H3124" s="98"/>
      <c r="I3124" s="99"/>
      <c r="J3124" s="99"/>
      <c r="K3124" s="99"/>
      <c r="L3124" s="99"/>
      <c r="M3124" s="99"/>
      <c r="N3124" s="99"/>
      <c r="O3124" s="99"/>
      <c r="P3124" s="99"/>
      <c r="Q3124" s="99"/>
      <c r="R3124" s="99"/>
      <c r="S3124" s="99"/>
      <c r="T3124" s="99"/>
      <c r="U3124" s="99"/>
      <c r="V3124" s="99"/>
    </row>
    <row r="3125" spans="1:22">
      <c r="A3125" s="297"/>
      <c r="B3125" s="217"/>
      <c r="C3125" s="217"/>
      <c r="D3125" s="101"/>
      <c r="E3125" s="101"/>
      <c r="F3125" s="294"/>
      <c r="G3125" s="295"/>
      <c r="H3125" s="98"/>
      <c r="I3125" s="99"/>
      <c r="J3125" s="99"/>
      <c r="K3125" s="99"/>
      <c r="L3125" s="99"/>
      <c r="M3125" s="99"/>
      <c r="N3125" s="99"/>
      <c r="O3125" s="99"/>
      <c r="P3125" s="99"/>
      <c r="Q3125" s="99"/>
      <c r="R3125" s="99"/>
      <c r="S3125" s="99"/>
      <c r="T3125" s="99"/>
      <c r="U3125" s="99"/>
      <c r="V3125" s="99"/>
    </row>
    <row r="3126" spans="1:22">
      <c r="A3126" s="297"/>
      <c r="B3126" s="217"/>
      <c r="C3126" s="217"/>
      <c r="D3126" s="101"/>
      <c r="E3126" s="101"/>
      <c r="F3126" s="294"/>
      <c r="G3126" s="295"/>
      <c r="H3126" s="98"/>
      <c r="I3126" s="99"/>
      <c r="J3126" s="99"/>
      <c r="K3126" s="99"/>
      <c r="L3126" s="99"/>
      <c r="M3126" s="99"/>
      <c r="N3126" s="99"/>
      <c r="O3126" s="99"/>
      <c r="P3126" s="99"/>
      <c r="Q3126" s="99"/>
      <c r="R3126" s="99"/>
      <c r="S3126" s="99"/>
      <c r="T3126" s="99"/>
      <c r="U3126" s="99"/>
      <c r="V3126" s="99"/>
    </row>
    <row r="3127" spans="1:22">
      <c r="A3127" s="297"/>
      <c r="B3127" s="217"/>
      <c r="C3127" s="217"/>
      <c r="D3127" s="101"/>
      <c r="E3127" s="101"/>
      <c r="F3127" s="294"/>
      <c r="G3127" s="295"/>
      <c r="H3127" s="98"/>
      <c r="I3127" s="99"/>
      <c r="J3127" s="99"/>
      <c r="K3127" s="99"/>
      <c r="L3127" s="99"/>
      <c r="M3127" s="99"/>
      <c r="N3127" s="99"/>
      <c r="O3127" s="99"/>
      <c r="P3127" s="99"/>
      <c r="Q3127" s="99"/>
      <c r="R3127" s="99"/>
      <c r="S3127" s="99"/>
      <c r="T3127" s="99"/>
      <c r="U3127" s="99"/>
      <c r="V3127" s="99"/>
    </row>
    <row r="3128" spans="1:22">
      <c r="A3128" s="297"/>
      <c r="B3128" s="217"/>
      <c r="C3128" s="217"/>
      <c r="D3128" s="101"/>
      <c r="E3128" s="101"/>
      <c r="F3128" s="294"/>
      <c r="G3128" s="295"/>
      <c r="H3128" s="98"/>
      <c r="I3128" s="99"/>
      <c r="J3128" s="99"/>
      <c r="K3128" s="99"/>
      <c r="L3128" s="99"/>
      <c r="M3128" s="99"/>
      <c r="N3128" s="99"/>
      <c r="O3128" s="99"/>
      <c r="P3128" s="99"/>
      <c r="Q3128" s="99"/>
      <c r="R3128" s="99"/>
      <c r="S3128" s="99"/>
      <c r="T3128" s="99"/>
      <c r="U3128" s="99"/>
      <c r="V3128" s="99"/>
    </row>
    <row r="3129" spans="1:22">
      <c r="A3129" s="297"/>
      <c r="B3129" s="217"/>
      <c r="C3129" s="217"/>
      <c r="D3129" s="101"/>
      <c r="E3129" s="101"/>
      <c r="F3129" s="294"/>
      <c r="G3129" s="295"/>
      <c r="H3129" s="98"/>
      <c r="I3129" s="99"/>
      <c r="J3129" s="99"/>
      <c r="K3129" s="99"/>
      <c r="L3129" s="99"/>
      <c r="M3129" s="99"/>
      <c r="N3129" s="99"/>
      <c r="O3129" s="99"/>
      <c r="P3129" s="99"/>
      <c r="Q3129" s="99"/>
      <c r="R3129" s="99"/>
      <c r="S3129" s="99"/>
      <c r="T3129" s="99"/>
      <c r="U3129" s="99"/>
      <c r="V3129" s="99"/>
    </row>
    <row r="3130" spans="1:22">
      <c r="A3130" s="297"/>
      <c r="B3130" s="217"/>
      <c r="C3130" s="217"/>
      <c r="D3130" s="101"/>
      <c r="E3130" s="101"/>
      <c r="F3130" s="294"/>
      <c r="G3130" s="295"/>
      <c r="H3130" s="98"/>
      <c r="I3130" s="99"/>
      <c r="J3130" s="99"/>
      <c r="K3130" s="99"/>
      <c r="L3130" s="99"/>
      <c r="M3130" s="99"/>
      <c r="N3130" s="99"/>
      <c r="O3130" s="99"/>
      <c r="P3130" s="99"/>
      <c r="Q3130" s="99"/>
      <c r="R3130" s="99"/>
      <c r="S3130" s="99"/>
      <c r="T3130" s="99"/>
      <c r="U3130" s="99"/>
      <c r="V3130" s="99"/>
    </row>
    <row r="3131" spans="1:22">
      <c r="A3131" s="297"/>
      <c r="B3131" s="217"/>
      <c r="C3131" s="217"/>
      <c r="D3131" s="101"/>
      <c r="E3131" s="101"/>
      <c r="F3131" s="294"/>
      <c r="G3131" s="295"/>
      <c r="H3131" s="98"/>
      <c r="I3131" s="99"/>
      <c r="J3131" s="99"/>
      <c r="K3131" s="99"/>
      <c r="L3131" s="99"/>
      <c r="M3131" s="99"/>
      <c r="N3131" s="99"/>
      <c r="O3131" s="99"/>
      <c r="P3131" s="99"/>
      <c r="Q3131" s="99"/>
      <c r="R3131" s="99"/>
      <c r="S3131" s="99"/>
      <c r="T3131" s="99"/>
      <c r="U3131" s="99"/>
      <c r="V3131" s="99"/>
    </row>
    <row r="3132" spans="1:22">
      <c r="A3132" s="297"/>
      <c r="B3132" s="217"/>
      <c r="C3132" s="217"/>
      <c r="D3132" s="101"/>
      <c r="E3132" s="101"/>
      <c r="F3132" s="294"/>
      <c r="G3132" s="295"/>
      <c r="H3132" s="98"/>
      <c r="I3132" s="99"/>
      <c r="J3132" s="99"/>
      <c r="K3132" s="99"/>
      <c r="L3132" s="99"/>
      <c r="M3132" s="99"/>
      <c r="N3132" s="99"/>
      <c r="O3132" s="99"/>
      <c r="P3132" s="99"/>
      <c r="Q3132" s="99"/>
      <c r="R3132" s="99"/>
      <c r="S3132" s="99"/>
      <c r="T3132" s="99"/>
      <c r="U3132" s="99"/>
      <c r="V3132" s="99"/>
    </row>
    <row r="3133" spans="1:22">
      <c r="A3133" s="297"/>
      <c r="B3133" s="217"/>
      <c r="C3133" s="217"/>
      <c r="D3133" s="101"/>
      <c r="E3133" s="101"/>
      <c r="F3133" s="294"/>
      <c r="G3133" s="295"/>
      <c r="H3133" s="98"/>
      <c r="I3133" s="99"/>
      <c r="J3133" s="99"/>
      <c r="K3133" s="99"/>
      <c r="L3133" s="99"/>
      <c r="M3133" s="99"/>
      <c r="N3133" s="99"/>
      <c r="O3133" s="99"/>
      <c r="P3133" s="99"/>
      <c r="Q3133" s="99"/>
      <c r="R3133" s="99"/>
      <c r="S3133" s="99"/>
      <c r="T3133" s="99"/>
      <c r="U3133" s="99"/>
      <c r="V3133" s="99"/>
    </row>
    <row r="3134" spans="1:22">
      <c r="A3134" s="297"/>
      <c r="B3134" s="217"/>
      <c r="C3134" s="217"/>
      <c r="D3134" s="101"/>
      <c r="E3134" s="101"/>
      <c r="F3134" s="294"/>
      <c r="G3134" s="295"/>
      <c r="H3134" s="98"/>
      <c r="I3134" s="99"/>
      <c r="J3134" s="99"/>
      <c r="K3134" s="99"/>
      <c r="L3134" s="99"/>
      <c r="M3134" s="99"/>
      <c r="N3134" s="99"/>
      <c r="O3134" s="99"/>
      <c r="P3134" s="99"/>
      <c r="Q3134" s="99"/>
      <c r="R3134" s="99"/>
      <c r="S3134" s="99"/>
      <c r="T3134" s="99"/>
      <c r="U3134" s="99"/>
      <c r="V3134" s="99"/>
    </row>
    <row r="3135" spans="1:22">
      <c r="A3135" s="297"/>
      <c r="B3135" s="217"/>
      <c r="C3135" s="217"/>
      <c r="D3135" s="101"/>
      <c r="E3135" s="101"/>
      <c r="F3135" s="294"/>
      <c r="G3135" s="295"/>
      <c r="H3135" s="98"/>
      <c r="I3135" s="99"/>
      <c r="J3135" s="99"/>
      <c r="K3135" s="99"/>
      <c r="L3135" s="99"/>
      <c r="M3135" s="99"/>
      <c r="N3135" s="99"/>
      <c r="O3135" s="99"/>
      <c r="P3135" s="99"/>
      <c r="Q3135" s="99"/>
      <c r="R3135" s="99"/>
      <c r="S3135" s="99"/>
      <c r="T3135" s="99"/>
      <c r="U3135" s="99"/>
      <c r="V3135" s="99"/>
    </row>
    <row r="3136" spans="1:22">
      <c r="A3136" s="297"/>
      <c r="B3136" s="217"/>
      <c r="C3136" s="217"/>
      <c r="D3136" s="101"/>
      <c r="E3136" s="101"/>
      <c r="F3136" s="294"/>
      <c r="G3136" s="295"/>
      <c r="H3136" s="98"/>
      <c r="I3136" s="99"/>
      <c r="J3136" s="99"/>
      <c r="K3136" s="99"/>
      <c r="L3136" s="99"/>
      <c r="M3136" s="99"/>
      <c r="N3136" s="99"/>
      <c r="O3136" s="99"/>
      <c r="P3136" s="99"/>
      <c r="Q3136" s="99"/>
      <c r="R3136" s="99"/>
      <c r="S3136" s="99"/>
      <c r="T3136" s="99"/>
      <c r="U3136" s="99"/>
      <c r="V3136" s="99"/>
    </row>
    <row r="3137" spans="1:22">
      <c r="A3137" s="297"/>
      <c r="B3137" s="217"/>
      <c r="C3137" s="217"/>
      <c r="D3137" s="101"/>
      <c r="E3137" s="101"/>
      <c r="F3137" s="294"/>
      <c r="G3137" s="295"/>
      <c r="H3137" s="98"/>
      <c r="I3137" s="99"/>
      <c r="J3137" s="99"/>
      <c r="K3137" s="99"/>
      <c r="L3137" s="99"/>
      <c r="M3137" s="99"/>
      <c r="N3137" s="99"/>
      <c r="O3137" s="99"/>
      <c r="P3137" s="99"/>
      <c r="Q3137" s="99"/>
      <c r="R3137" s="99"/>
      <c r="S3137" s="99"/>
      <c r="T3137" s="99"/>
      <c r="U3137" s="99"/>
      <c r="V3137" s="99"/>
    </row>
    <row r="3138" spans="1:22">
      <c r="A3138" s="297"/>
      <c r="B3138" s="217"/>
      <c r="C3138" s="217"/>
      <c r="D3138" s="101"/>
      <c r="E3138" s="101"/>
      <c r="F3138" s="294"/>
      <c r="G3138" s="295"/>
      <c r="H3138" s="98"/>
      <c r="I3138" s="99"/>
      <c r="J3138" s="99"/>
      <c r="K3138" s="99"/>
      <c r="L3138" s="99"/>
      <c r="M3138" s="99"/>
      <c r="N3138" s="99"/>
      <c r="O3138" s="99"/>
      <c r="P3138" s="99"/>
      <c r="Q3138" s="99"/>
      <c r="R3138" s="99"/>
      <c r="S3138" s="99"/>
      <c r="T3138" s="99"/>
      <c r="U3138" s="99"/>
      <c r="V3138" s="99"/>
    </row>
    <row r="3139" spans="1:22">
      <c r="A3139" s="297"/>
      <c r="B3139" s="217"/>
      <c r="C3139" s="217"/>
      <c r="D3139" s="101"/>
      <c r="E3139" s="101"/>
      <c r="F3139" s="294"/>
      <c r="G3139" s="295"/>
      <c r="H3139" s="98"/>
      <c r="I3139" s="99"/>
      <c r="J3139" s="99"/>
      <c r="K3139" s="99"/>
      <c r="L3139" s="99"/>
      <c r="M3139" s="99"/>
      <c r="N3139" s="99"/>
      <c r="O3139" s="99"/>
      <c r="P3139" s="99"/>
      <c r="Q3139" s="99"/>
      <c r="R3139" s="99"/>
      <c r="S3139" s="99"/>
      <c r="T3139" s="99"/>
      <c r="U3139" s="99"/>
      <c r="V3139" s="99"/>
    </row>
    <row r="3140" spans="1:22">
      <c r="A3140" s="297"/>
      <c r="B3140" s="217"/>
      <c r="C3140" s="217"/>
      <c r="D3140" s="101"/>
      <c r="E3140" s="101"/>
      <c r="F3140" s="294"/>
      <c r="G3140" s="295"/>
      <c r="H3140" s="98"/>
      <c r="I3140" s="99"/>
      <c r="J3140" s="99"/>
      <c r="K3140" s="99"/>
      <c r="L3140" s="99"/>
      <c r="M3140" s="99"/>
      <c r="N3140" s="99"/>
      <c r="O3140" s="99"/>
      <c r="P3140" s="99"/>
      <c r="Q3140" s="99"/>
      <c r="R3140" s="99"/>
      <c r="S3140" s="99"/>
      <c r="T3140" s="99"/>
      <c r="U3140" s="99"/>
      <c r="V3140" s="99"/>
    </row>
    <row r="3141" spans="1:22">
      <c r="A3141" s="297"/>
      <c r="B3141" s="217"/>
      <c r="C3141" s="217"/>
      <c r="D3141" s="101"/>
      <c r="E3141" s="101"/>
      <c r="F3141" s="294"/>
      <c r="G3141" s="295"/>
      <c r="H3141" s="98"/>
      <c r="I3141" s="99"/>
      <c r="J3141" s="99"/>
      <c r="K3141" s="99"/>
      <c r="L3141" s="99"/>
      <c r="M3141" s="99"/>
      <c r="N3141" s="99"/>
      <c r="O3141" s="99"/>
      <c r="P3141" s="99"/>
      <c r="Q3141" s="99"/>
      <c r="R3141" s="99"/>
      <c r="S3141" s="99"/>
      <c r="T3141" s="99"/>
      <c r="U3141" s="99"/>
      <c r="V3141" s="99"/>
    </row>
    <row r="3142" spans="1:22">
      <c r="A3142" s="297"/>
      <c r="B3142" s="217"/>
      <c r="C3142" s="217"/>
      <c r="D3142" s="101"/>
      <c r="E3142" s="101"/>
      <c r="F3142" s="294"/>
      <c r="G3142" s="295"/>
      <c r="H3142" s="98"/>
      <c r="I3142" s="99"/>
      <c r="J3142" s="99"/>
      <c r="K3142" s="99"/>
      <c r="L3142" s="99"/>
      <c r="M3142" s="99"/>
      <c r="N3142" s="99"/>
      <c r="O3142" s="99"/>
      <c r="P3142" s="99"/>
      <c r="Q3142" s="99"/>
      <c r="R3142" s="99"/>
      <c r="S3142" s="99"/>
      <c r="T3142" s="99"/>
      <c r="U3142" s="99"/>
      <c r="V3142" s="99"/>
    </row>
    <row r="3143" spans="1:22">
      <c r="A3143" s="297"/>
      <c r="B3143" s="217"/>
      <c r="C3143" s="217"/>
      <c r="D3143" s="101"/>
      <c r="E3143" s="101"/>
      <c r="F3143" s="294"/>
      <c r="G3143" s="295"/>
      <c r="H3143" s="98"/>
      <c r="I3143" s="99"/>
      <c r="J3143" s="99"/>
      <c r="K3143" s="99"/>
      <c r="L3143" s="99"/>
      <c r="M3143" s="99"/>
      <c r="N3143" s="99"/>
      <c r="O3143" s="99"/>
      <c r="P3143" s="99"/>
      <c r="Q3143" s="99"/>
      <c r="R3143" s="99"/>
      <c r="S3143" s="99"/>
      <c r="T3143" s="99"/>
      <c r="U3143" s="99"/>
      <c r="V3143" s="99"/>
    </row>
    <row r="3144" spans="1:22">
      <c r="A3144" s="297"/>
      <c r="B3144" s="217"/>
      <c r="C3144" s="217"/>
      <c r="D3144" s="101"/>
      <c r="E3144" s="101"/>
      <c r="F3144" s="294"/>
      <c r="G3144" s="295"/>
      <c r="H3144" s="107"/>
      <c r="I3144" s="108"/>
      <c r="J3144" s="108"/>
      <c r="K3144" s="108"/>
      <c r="L3144" s="108"/>
      <c r="M3144" s="108"/>
      <c r="N3144" s="108"/>
      <c r="O3144" s="108"/>
      <c r="P3144" s="108"/>
      <c r="Q3144" s="108"/>
      <c r="R3144" s="108"/>
      <c r="S3144" s="108"/>
      <c r="T3144" s="108"/>
      <c r="U3144" s="233"/>
      <c r="V3144" s="233"/>
    </row>
    <row r="3145" spans="1:22">
      <c r="A3145" s="297"/>
      <c r="B3145" s="217"/>
      <c r="C3145" s="217"/>
      <c r="D3145" s="101"/>
      <c r="E3145" s="101"/>
      <c r="F3145" s="294"/>
      <c r="G3145" s="295"/>
      <c r="H3145" s="98"/>
      <c r="I3145" s="218"/>
      <c r="J3145" s="218"/>
      <c r="K3145" s="218"/>
      <c r="L3145" s="218"/>
      <c r="M3145" s="218"/>
      <c r="N3145" s="226"/>
      <c r="O3145" s="226"/>
      <c r="P3145" s="226"/>
      <c r="Q3145" s="111"/>
      <c r="R3145" s="111"/>
      <c r="S3145" s="111"/>
      <c r="T3145" s="111"/>
      <c r="U3145" s="111"/>
      <c r="V3145" s="111"/>
    </row>
    <row r="3146" spans="1:22">
      <c r="A3146" s="297"/>
      <c r="B3146" s="217"/>
      <c r="C3146" s="217"/>
      <c r="D3146" s="101"/>
      <c r="E3146" s="101"/>
      <c r="F3146" s="294"/>
      <c r="G3146" s="295"/>
      <c r="H3146" s="98"/>
      <c r="I3146" s="99"/>
      <c r="J3146" s="99"/>
      <c r="K3146" s="99"/>
      <c r="L3146" s="99"/>
      <c r="M3146" s="99"/>
      <c r="N3146" s="99"/>
      <c r="O3146" s="99"/>
      <c r="P3146" s="99"/>
      <c r="Q3146" s="99"/>
      <c r="R3146" s="99"/>
      <c r="S3146" s="99"/>
      <c r="T3146" s="99"/>
      <c r="U3146" s="99"/>
      <c r="V3146" s="99"/>
    </row>
    <row r="3147" spans="1:22">
      <c r="A3147" s="297"/>
      <c r="B3147" s="217"/>
      <c r="C3147" s="217"/>
      <c r="D3147" s="101"/>
      <c r="E3147" s="101"/>
      <c r="F3147" s="294"/>
      <c r="G3147" s="295"/>
      <c r="H3147" s="98"/>
      <c r="I3147" s="99"/>
      <c r="J3147" s="99"/>
      <c r="K3147" s="99"/>
      <c r="L3147" s="99"/>
      <c r="M3147" s="99"/>
      <c r="N3147" s="99"/>
      <c r="O3147" s="99"/>
      <c r="P3147" s="99"/>
      <c r="Q3147" s="99"/>
      <c r="R3147" s="99"/>
      <c r="S3147" s="99"/>
      <c r="T3147" s="99"/>
      <c r="U3147" s="99"/>
      <c r="V3147" s="99"/>
    </row>
    <row r="3148" spans="1:22">
      <c r="A3148" s="297"/>
      <c r="B3148" s="217"/>
      <c r="C3148" s="217"/>
      <c r="D3148" s="101"/>
      <c r="E3148" s="101"/>
      <c r="F3148" s="294"/>
      <c r="G3148" s="295"/>
      <c r="H3148" s="98"/>
      <c r="I3148" s="99"/>
      <c r="J3148" s="99"/>
      <c r="K3148" s="99"/>
      <c r="L3148" s="99"/>
      <c r="M3148" s="99"/>
      <c r="N3148" s="99"/>
      <c r="O3148" s="99"/>
      <c r="P3148" s="99"/>
      <c r="Q3148" s="99"/>
      <c r="R3148" s="99"/>
      <c r="S3148" s="99"/>
      <c r="T3148" s="99"/>
      <c r="U3148" s="99"/>
      <c r="V3148" s="99"/>
    </row>
    <row r="3149" spans="1:22">
      <c r="A3149" s="297"/>
      <c r="B3149" s="217"/>
      <c r="C3149" s="217"/>
      <c r="D3149" s="101"/>
      <c r="E3149" s="101"/>
      <c r="F3149" s="294"/>
      <c r="G3149" s="295"/>
      <c r="H3149" s="98"/>
      <c r="I3149" s="99"/>
      <c r="J3149" s="99"/>
      <c r="K3149" s="99"/>
      <c r="L3149" s="99"/>
      <c r="M3149" s="99"/>
      <c r="N3149" s="99"/>
      <c r="O3149" s="99"/>
      <c r="P3149" s="99"/>
      <c r="Q3149" s="99"/>
      <c r="R3149" s="99"/>
      <c r="S3149" s="99"/>
      <c r="T3149" s="99"/>
      <c r="U3149" s="99"/>
      <c r="V3149" s="99"/>
    </row>
    <row r="3150" spans="1:22">
      <c r="A3150" s="297"/>
      <c r="B3150" s="217"/>
      <c r="C3150" s="217"/>
      <c r="D3150" s="101"/>
      <c r="E3150" s="101"/>
      <c r="F3150" s="294"/>
      <c r="G3150" s="295"/>
      <c r="H3150" s="98"/>
      <c r="I3150" s="99"/>
      <c r="J3150" s="99"/>
      <c r="K3150" s="99"/>
      <c r="L3150" s="99"/>
      <c r="M3150" s="99"/>
      <c r="N3150" s="99"/>
      <c r="O3150" s="99"/>
      <c r="P3150" s="99"/>
      <c r="Q3150" s="99"/>
      <c r="R3150" s="99"/>
      <c r="S3150" s="99"/>
      <c r="T3150" s="99"/>
      <c r="U3150" s="99"/>
      <c r="V3150" s="99"/>
    </row>
    <row r="3151" spans="1:22">
      <c r="A3151" s="297"/>
      <c r="B3151" s="217"/>
      <c r="C3151" s="217"/>
      <c r="D3151" s="101"/>
      <c r="E3151" s="101"/>
      <c r="F3151" s="294"/>
      <c r="G3151" s="295"/>
      <c r="H3151" s="98"/>
      <c r="I3151" s="99"/>
      <c r="J3151" s="99"/>
      <c r="K3151" s="99"/>
      <c r="L3151" s="99"/>
      <c r="M3151" s="99"/>
      <c r="N3151" s="99"/>
      <c r="O3151" s="99"/>
      <c r="P3151" s="99"/>
      <c r="Q3151" s="99"/>
      <c r="R3151" s="99"/>
      <c r="S3151" s="99"/>
      <c r="T3151" s="99"/>
      <c r="U3151" s="99"/>
      <c r="V3151" s="99"/>
    </row>
    <row r="3152" spans="1:22">
      <c r="A3152" s="297"/>
      <c r="B3152" s="217"/>
      <c r="C3152" s="217"/>
      <c r="D3152" s="101"/>
      <c r="E3152" s="101"/>
      <c r="F3152" s="294"/>
      <c r="G3152" s="295"/>
      <c r="H3152" s="107"/>
      <c r="I3152" s="108"/>
      <c r="J3152" s="108"/>
      <c r="K3152" s="108"/>
      <c r="L3152" s="108"/>
      <c r="M3152" s="108"/>
      <c r="N3152" s="108"/>
      <c r="O3152" s="108"/>
      <c r="P3152" s="108"/>
      <c r="Q3152" s="108"/>
      <c r="R3152" s="108"/>
      <c r="S3152" s="108"/>
      <c r="T3152" s="108"/>
      <c r="U3152" s="233"/>
      <c r="V3152" s="233"/>
    </row>
    <row r="3153" spans="1:22">
      <c r="A3153" s="297"/>
      <c r="B3153" s="217"/>
      <c r="C3153" s="217"/>
      <c r="D3153" s="101"/>
      <c r="E3153" s="101"/>
      <c r="F3153" s="294"/>
      <c r="G3153" s="295"/>
      <c r="H3153" s="98"/>
      <c r="I3153" s="218"/>
      <c r="J3153" s="218"/>
      <c r="K3153" s="218"/>
      <c r="L3153" s="218"/>
      <c r="M3153" s="218"/>
      <c r="N3153" s="226"/>
      <c r="O3153" s="226"/>
      <c r="P3153" s="226"/>
      <c r="Q3153" s="111"/>
      <c r="R3153" s="111"/>
      <c r="S3153" s="111"/>
      <c r="T3153" s="111"/>
      <c r="U3153" s="111"/>
      <c r="V3153" s="111"/>
    </row>
    <row r="3154" spans="1:22">
      <c r="A3154" s="297"/>
      <c r="B3154" s="217"/>
      <c r="C3154" s="217"/>
      <c r="D3154" s="101"/>
      <c r="E3154" s="101"/>
      <c r="F3154" s="294"/>
      <c r="G3154" s="295"/>
      <c r="H3154" s="114"/>
      <c r="I3154" s="108"/>
      <c r="J3154" s="108"/>
      <c r="K3154" s="108"/>
      <c r="L3154" s="108"/>
      <c r="M3154" s="108"/>
      <c r="N3154" s="108"/>
      <c r="O3154" s="108"/>
      <c r="P3154" s="108"/>
      <c r="Q3154" s="108"/>
      <c r="R3154" s="108"/>
      <c r="S3154" s="108"/>
      <c r="T3154" s="108"/>
      <c r="U3154" s="233"/>
      <c r="V3154" s="233"/>
    </row>
    <row r="3155" spans="1:22">
      <c r="A3155" s="297"/>
      <c r="B3155" s="217"/>
      <c r="C3155" s="217"/>
      <c r="D3155" s="101"/>
      <c r="E3155" s="101"/>
      <c r="F3155" s="294"/>
      <c r="G3155" s="295"/>
      <c r="H3155" s="227"/>
      <c r="I3155" s="218"/>
      <c r="J3155" s="218"/>
      <c r="K3155" s="218"/>
      <c r="L3155" s="218"/>
      <c r="M3155" s="218"/>
      <c r="N3155" s="219"/>
      <c r="O3155" s="219"/>
      <c r="P3155" s="219"/>
      <c r="Q3155" s="100"/>
      <c r="R3155" s="100"/>
      <c r="S3155" s="100"/>
      <c r="T3155" s="100"/>
      <c r="U3155" s="100"/>
      <c r="V3155" s="100"/>
    </row>
    <row r="3156" spans="1:22" ht="14.4" thickBot="1">
      <c r="A3156" s="297"/>
      <c r="B3156" s="217"/>
      <c r="C3156" s="217"/>
      <c r="D3156" s="101"/>
      <c r="E3156" s="101"/>
      <c r="F3156" s="294"/>
      <c r="G3156" s="295"/>
      <c r="H3156" s="98"/>
      <c r="I3156" s="218"/>
      <c r="J3156" s="218"/>
      <c r="K3156" s="218"/>
      <c r="L3156" s="218"/>
      <c r="M3156" s="218"/>
      <c r="N3156" s="219"/>
      <c r="O3156" s="219"/>
      <c r="P3156" s="219"/>
      <c r="Q3156" s="100"/>
      <c r="R3156" s="100"/>
      <c r="S3156" s="100"/>
      <c r="T3156" s="100"/>
      <c r="U3156" s="100"/>
      <c r="V3156" s="100"/>
    </row>
    <row r="3157" spans="1:22" ht="23.4" thickBot="1">
      <c r="A3157" s="297"/>
      <c r="B3157" s="217"/>
      <c r="C3157" s="217"/>
      <c r="D3157" s="101"/>
      <c r="E3157" s="101"/>
      <c r="F3157" s="294"/>
      <c r="G3157" s="295"/>
      <c r="H3157" s="686"/>
      <c r="I3157" s="687"/>
      <c r="J3157" s="687"/>
      <c r="K3157" s="687"/>
      <c r="L3157" s="687"/>
      <c r="M3157" s="687"/>
      <c r="N3157" s="687"/>
      <c r="O3157" s="687"/>
      <c r="P3157" s="687"/>
      <c r="Q3157" s="687"/>
      <c r="R3157" s="687"/>
      <c r="S3157" s="715"/>
      <c r="T3157" s="688"/>
      <c r="U3157" s="254"/>
      <c r="V3157" s="254"/>
    </row>
    <row r="3158" spans="1:22" ht="22.8">
      <c r="A3158" s="297"/>
      <c r="B3158" s="217"/>
      <c r="C3158" s="217"/>
      <c r="D3158" s="101"/>
      <c r="E3158" s="101"/>
      <c r="F3158" s="294"/>
      <c r="G3158" s="295"/>
      <c r="H3158" s="225"/>
      <c r="I3158" s="225"/>
      <c r="J3158" s="225"/>
      <c r="K3158" s="225"/>
      <c r="L3158" s="225"/>
      <c r="M3158" s="225"/>
      <c r="N3158" s="225"/>
      <c r="O3158" s="225"/>
      <c r="P3158" s="225"/>
      <c r="Q3158" s="225"/>
      <c r="R3158" s="225"/>
      <c r="S3158" s="225"/>
      <c r="T3158" s="225"/>
      <c r="U3158" s="225"/>
      <c r="V3158" s="225"/>
    </row>
    <row r="3159" spans="1:22">
      <c r="A3159" s="297"/>
      <c r="B3159" s="217"/>
      <c r="C3159" s="217"/>
      <c r="D3159" s="101"/>
      <c r="E3159" s="101"/>
      <c r="F3159" s="294"/>
      <c r="G3159" s="295"/>
      <c r="H3159" s="98"/>
      <c r="I3159" s="99"/>
      <c r="J3159" s="99"/>
      <c r="K3159" s="99"/>
      <c r="L3159" s="99"/>
      <c r="M3159" s="99"/>
      <c r="N3159" s="99"/>
      <c r="O3159" s="99"/>
      <c r="P3159" s="99"/>
      <c r="Q3159" s="99"/>
      <c r="R3159" s="99"/>
      <c r="S3159" s="99"/>
      <c r="T3159" s="99"/>
      <c r="U3159" s="99"/>
      <c r="V3159" s="99"/>
    </row>
    <row r="3160" spans="1:22">
      <c r="A3160" s="297"/>
      <c r="B3160" s="217"/>
      <c r="C3160" s="217"/>
      <c r="D3160" s="101"/>
      <c r="E3160" s="101"/>
      <c r="F3160" s="294"/>
      <c r="G3160" s="295"/>
      <c r="H3160" s="98"/>
      <c r="I3160" s="99"/>
      <c r="J3160" s="99"/>
      <c r="K3160" s="99"/>
      <c r="L3160" s="99"/>
      <c r="M3160" s="99"/>
      <c r="N3160" s="99"/>
      <c r="O3160" s="99"/>
      <c r="P3160" s="99"/>
      <c r="Q3160" s="99"/>
      <c r="R3160" s="99"/>
      <c r="S3160" s="99"/>
      <c r="T3160" s="99"/>
      <c r="U3160" s="99"/>
      <c r="V3160" s="99"/>
    </row>
    <row r="3161" spans="1:22">
      <c r="A3161" s="297"/>
      <c r="B3161" s="217"/>
      <c r="C3161" s="217"/>
      <c r="D3161" s="101"/>
      <c r="E3161" s="101"/>
      <c r="F3161" s="294"/>
      <c r="G3161" s="295"/>
      <c r="H3161" s="98"/>
      <c r="I3161" s="99"/>
      <c r="J3161" s="99"/>
      <c r="K3161" s="99"/>
      <c r="L3161" s="99"/>
      <c r="M3161" s="99"/>
      <c r="N3161" s="99"/>
      <c r="O3161" s="99"/>
      <c r="P3161" s="99"/>
      <c r="Q3161" s="99"/>
      <c r="R3161" s="99"/>
      <c r="S3161" s="99"/>
      <c r="T3161" s="99"/>
      <c r="U3161" s="99"/>
      <c r="V3161" s="99"/>
    </row>
    <row r="3162" spans="1:22">
      <c r="A3162" s="297"/>
      <c r="B3162" s="217"/>
      <c r="C3162" s="217"/>
      <c r="D3162" s="101"/>
      <c r="E3162" s="101"/>
      <c r="F3162" s="294"/>
      <c r="G3162" s="295"/>
      <c r="H3162" s="98"/>
      <c r="I3162" s="99"/>
      <c r="J3162" s="99"/>
      <c r="K3162" s="99"/>
      <c r="L3162" s="99"/>
      <c r="M3162" s="99"/>
      <c r="N3162" s="99"/>
      <c r="O3162" s="99"/>
      <c r="P3162" s="99"/>
      <c r="Q3162" s="99"/>
      <c r="R3162" s="99"/>
      <c r="S3162" s="99"/>
      <c r="T3162" s="99"/>
      <c r="U3162" s="99"/>
      <c r="V3162" s="99"/>
    </row>
    <row r="3163" spans="1:22">
      <c r="A3163" s="297"/>
      <c r="B3163" s="217"/>
      <c r="C3163" s="217"/>
      <c r="D3163" s="101"/>
      <c r="E3163" s="101"/>
      <c r="F3163" s="294"/>
      <c r="G3163" s="295"/>
      <c r="H3163" s="98"/>
      <c r="I3163" s="99"/>
      <c r="J3163" s="99"/>
      <c r="K3163" s="99"/>
      <c r="L3163" s="99"/>
      <c r="M3163" s="99"/>
      <c r="N3163" s="99"/>
      <c r="O3163" s="99"/>
      <c r="P3163" s="99"/>
      <c r="Q3163" s="99"/>
      <c r="R3163" s="99"/>
      <c r="S3163" s="99"/>
      <c r="T3163" s="99"/>
      <c r="U3163" s="99"/>
      <c r="V3163" s="99"/>
    </row>
    <row r="3164" spans="1:22">
      <c r="A3164" s="297"/>
      <c r="B3164" s="217"/>
      <c r="C3164" s="217"/>
      <c r="D3164" s="101"/>
      <c r="E3164" s="101"/>
      <c r="F3164" s="294"/>
      <c r="G3164" s="295"/>
      <c r="H3164" s="98"/>
      <c r="I3164" s="99"/>
      <c r="J3164" s="99"/>
      <c r="K3164" s="99"/>
      <c r="L3164" s="99"/>
      <c r="M3164" s="99"/>
      <c r="N3164" s="99"/>
      <c r="O3164" s="99"/>
      <c r="P3164" s="99"/>
      <c r="Q3164" s="99"/>
      <c r="R3164" s="99"/>
      <c r="S3164" s="99"/>
      <c r="T3164" s="99"/>
      <c r="U3164" s="99"/>
      <c r="V3164" s="99"/>
    </row>
    <row r="3165" spans="1:22">
      <c r="A3165" s="297"/>
      <c r="B3165" s="217"/>
      <c r="C3165" s="217"/>
      <c r="D3165" s="101"/>
      <c r="E3165" s="101"/>
      <c r="F3165" s="294"/>
      <c r="G3165" s="295"/>
      <c r="H3165" s="98"/>
      <c r="I3165" s="99"/>
      <c r="J3165" s="99"/>
      <c r="K3165" s="99"/>
      <c r="L3165" s="99"/>
      <c r="M3165" s="99"/>
      <c r="N3165" s="99"/>
      <c r="O3165" s="99"/>
      <c r="P3165" s="99"/>
      <c r="Q3165" s="99"/>
      <c r="R3165" s="99"/>
      <c r="S3165" s="99"/>
      <c r="T3165" s="99"/>
      <c r="U3165" s="99"/>
      <c r="V3165" s="99"/>
    </row>
    <row r="3166" spans="1:22">
      <c r="A3166" s="297"/>
      <c r="B3166" s="217"/>
      <c r="C3166" s="217"/>
      <c r="D3166" s="101"/>
      <c r="E3166" s="101"/>
      <c r="F3166" s="294"/>
      <c r="G3166" s="295"/>
      <c r="H3166" s="98"/>
      <c r="I3166" s="99"/>
      <c r="J3166" s="99"/>
      <c r="K3166" s="99"/>
      <c r="L3166" s="99"/>
      <c r="M3166" s="99"/>
      <c r="N3166" s="99"/>
      <c r="O3166" s="99"/>
      <c r="P3166" s="99"/>
      <c r="Q3166" s="99"/>
      <c r="R3166" s="99"/>
      <c r="S3166" s="99"/>
      <c r="T3166" s="99"/>
      <c r="U3166" s="99"/>
      <c r="V3166" s="99"/>
    </row>
    <row r="3167" spans="1:22">
      <c r="A3167" s="297"/>
      <c r="B3167" s="217"/>
      <c r="C3167" s="217"/>
      <c r="D3167" s="101"/>
      <c r="E3167" s="101"/>
      <c r="F3167" s="294"/>
      <c r="G3167" s="295"/>
      <c r="H3167" s="98"/>
      <c r="I3167" s="99"/>
      <c r="J3167" s="99"/>
      <c r="K3167" s="99"/>
      <c r="L3167" s="99"/>
      <c r="M3167" s="99"/>
      <c r="N3167" s="99"/>
      <c r="O3167" s="99"/>
      <c r="P3167" s="99"/>
      <c r="Q3167" s="99"/>
      <c r="R3167" s="99"/>
      <c r="S3167" s="99"/>
      <c r="T3167" s="99"/>
      <c r="U3167" s="99"/>
      <c r="V3167" s="99"/>
    </row>
    <row r="3168" spans="1:22">
      <c r="A3168" s="297"/>
      <c r="B3168" s="217"/>
      <c r="C3168" s="217"/>
      <c r="D3168" s="101"/>
      <c r="E3168" s="101"/>
      <c r="F3168" s="294"/>
      <c r="G3168" s="295"/>
      <c r="H3168" s="98"/>
      <c r="I3168" s="99"/>
      <c r="J3168" s="99"/>
      <c r="K3168" s="99"/>
      <c r="L3168" s="99"/>
      <c r="M3168" s="99"/>
      <c r="N3168" s="99"/>
      <c r="O3168" s="99"/>
      <c r="P3168" s="99"/>
      <c r="Q3168" s="99"/>
      <c r="R3168" s="99"/>
      <c r="S3168" s="99"/>
      <c r="T3168" s="99"/>
      <c r="U3168" s="99"/>
      <c r="V3168" s="99"/>
    </row>
    <row r="3169" spans="1:22">
      <c r="A3169" s="297"/>
      <c r="B3169" s="217"/>
      <c r="C3169" s="217"/>
      <c r="D3169" s="101"/>
      <c r="E3169" s="101"/>
      <c r="F3169" s="294"/>
      <c r="G3169" s="295"/>
      <c r="H3169" s="98"/>
      <c r="I3169" s="99"/>
      <c r="J3169" s="99"/>
      <c r="K3169" s="99"/>
      <c r="L3169" s="99"/>
      <c r="M3169" s="99"/>
      <c r="N3169" s="99"/>
      <c r="O3169" s="99"/>
      <c r="P3169" s="99"/>
      <c r="Q3169" s="99"/>
      <c r="R3169" s="99"/>
      <c r="S3169" s="99"/>
      <c r="T3169" s="99"/>
      <c r="U3169" s="99"/>
      <c r="V3169" s="99"/>
    </row>
    <row r="3170" spans="1:22">
      <c r="A3170" s="297"/>
      <c r="B3170" s="217"/>
      <c r="C3170" s="217"/>
      <c r="D3170" s="101"/>
      <c r="E3170" s="101"/>
      <c r="F3170" s="294"/>
      <c r="G3170" s="295"/>
      <c r="H3170" s="98"/>
      <c r="I3170" s="99"/>
      <c r="J3170" s="99"/>
      <c r="K3170" s="99"/>
      <c r="L3170" s="99"/>
      <c r="M3170" s="99"/>
      <c r="N3170" s="99"/>
      <c r="O3170" s="99"/>
      <c r="P3170" s="99"/>
      <c r="Q3170" s="99"/>
      <c r="R3170" s="99"/>
      <c r="S3170" s="99"/>
      <c r="T3170" s="99"/>
      <c r="U3170" s="99"/>
      <c r="V3170" s="99"/>
    </row>
    <row r="3171" spans="1:22">
      <c r="A3171" s="297"/>
      <c r="B3171" s="217"/>
      <c r="C3171" s="217"/>
      <c r="D3171" s="101"/>
      <c r="E3171" s="101"/>
      <c r="F3171" s="294"/>
      <c r="G3171" s="295"/>
      <c r="H3171" s="107"/>
      <c r="I3171" s="108"/>
      <c r="J3171" s="108"/>
      <c r="K3171" s="108"/>
      <c r="L3171" s="108"/>
      <c r="M3171" s="108"/>
      <c r="N3171" s="108"/>
      <c r="O3171" s="108"/>
      <c r="P3171" s="108"/>
      <c r="Q3171" s="108"/>
      <c r="R3171" s="108"/>
      <c r="S3171" s="108"/>
      <c r="T3171" s="108"/>
      <c r="U3171" s="233"/>
      <c r="V3171" s="233"/>
    </row>
    <row r="3172" spans="1:22">
      <c r="A3172" s="297"/>
      <c r="B3172" s="217"/>
      <c r="C3172" s="217"/>
      <c r="D3172" s="101"/>
      <c r="E3172" s="101"/>
      <c r="F3172" s="294"/>
      <c r="G3172" s="295"/>
      <c r="H3172" s="98"/>
      <c r="I3172" s="228"/>
      <c r="J3172" s="228"/>
      <c r="K3172" s="228"/>
      <c r="L3172" s="228"/>
      <c r="M3172" s="228"/>
      <c r="N3172" s="229"/>
      <c r="O3172" s="229"/>
      <c r="P3172" s="229"/>
      <c r="Q3172" s="230"/>
      <c r="R3172" s="231"/>
      <c r="S3172" s="231"/>
      <c r="T3172" s="230"/>
      <c r="U3172" s="230"/>
      <c r="V3172" s="230"/>
    </row>
    <row r="3173" spans="1:22">
      <c r="A3173" s="297"/>
      <c r="B3173" s="217"/>
      <c r="C3173" s="217"/>
      <c r="D3173" s="101"/>
      <c r="E3173" s="101"/>
      <c r="F3173" s="294"/>
      <c r="G3173" s="295"/>
      <c r="H3173" s="98"/>
      <c r="I3173" s="99"/>
      <c r="J3173" s="99"/>
      <c r="K3173" s="99"/>
      <c r="L3173" s="99"/>
      <c r="M3173" s="99"/>
      <c r="N3173" s="99"/>
      <c r="O3173" s="99"/>
      <c r="P3173" s="99"/>
      <c r="Q3173" s="99"/>
      <c r="R3173" s="99"/>
      <c r="S3173" s="99"/>
      <c r="T3173" s="99"/>
      <c r="U3173" s="99"/>
      <c r="V3173" s="99"/>
    </row>
    <row r="3174" spans="1:22">
      <c r="A3174" s="297"/>
      <c r="B3174" s="217"/>
      <c r="C3174" s="217"/>
      <c r="D3174" s="101"/>
      <c r="E3174" s="101"/>
      <c r="F3174" s="294"/>
      <c r="G3174" s="295"/>
      <c r="H3174" s="98"/>
      <c r="I3174" s="99"/>
      <c r="J3174" s="99"/>
      <c r="K3174" s="99"/>
      <c r="L3174" s="99"/>
      <c r="M3174" s="99"/>
      <c r="N3174" s="99"/>
      <c r="O3174" s="99"/>
      <c r="P3174" s="99"/>
      <c r="Q3174" s="99"/>
      <c r="R3174" s="99"/>
      <c r="S3174" s="99"/>
      <c r="T3174" s="99"/>
      <c r="U3174" s="99"/>
      <c r="V3174" s="99"/>
    </row>
    <row r="3175" spans="1:22">
      <c r="A3175" s="297"/>
      <c r="B3175" s="217"/>
      <c r="C3175" s="217"/>
      <c r="D3175" s="101"/>
      <c r="E3175" s="101"/>
      <c r="F3175" s="294"/>
      <c r="G3175" s="295"/>
      <c r="H3175" s="98"/>
      <c r="I3175" s="99"/>
      <c r="J3175" s="99"/>
      <c r="K3175" s="99"/>
      <c r="L3175" s="99"/>
      <c r="M3175" s="99"/>
      <c r="N3175" s="99"/>
      <c r="O3175" s="99"/>
      <c r="P3175" s="99"/>
      <c r="Q3175" s="99"/>
      <c r="R3175" s="99"/>
      <c r="S3175" s="99"/>
      <c r="T3175" s="99"/>
      <c r="U3175" s="99"/>
      <c r="V3175" s="99"/>
    </row>
    <row r="3176" spans="1:22">
      <c r="A3176" s="297"/>
      <c r="B3176" s="217"/>
      <c r="C3176" s="217"/>
      <c r="D3176" s="101"/>
      <c r="E3176" s="101"/>
      <c r="F3176" s="294"/>
      <c r="G3176" s="295"/>
      <c r="H3176" s="98"/>
      <c r="I3176" s="99"/>
      <c r="J3176" s="99"/>
      <c r="K3176" s="99"/>
      <c r="L3176" s="99"/>
      <c r="M3176" s="99"/>
      <c r="N3176" s="99"/>
      <c r="O3176" s="99"/>
      <c r="P3176" s="99"/>
      <c r="Q3176" s="99"/>
      <c r="R3176" s="99"/>
      <c r="S3176" s="99"/>
      <c r="T3176" s="99"/>
      <c r="U3176" s="99"/>
      <c r="V3176" s="99"/>
    </row>
    <row r="3177" spans="1:22">
      <c r="A3177" s="297"/>
      <c r="B3177" s="217"/>
      <c r="C3177" s="217"/>
      <c r="D3177" s="101"/>
      <c r="E3177" s="101"/>
      <c r="F3177" s="294"/>
      <c r="G3177" s="295"/>
      <c r="H3177" s="98"/>
      <c r="I3177" s="99"/>
      <c r="J3177" s="99"/>
      <c r="K3177" s="99"/>
      <c r="L3177" s="99"/>
      <c r="M3177" s="99"/>
      <c r="N3177" s="99"/>
      <c r="O3177" s="99"/>
      <c r="P3177" s="99"/>
      <c r="Q3177" s="99"/>
      <c r="R3177" s="99"/>
      <c r="S3177" s="99"/>
      <c r="T3177" s="99"/>
      <c r="U3177" s="99"/>
      <c r="V3177" s="99"/>
    </row>
    <row r="3178" spans="1:22">
      <c r="A3178" s="297"/>
      <c r="B3178" s="217"/>
      <c r="C3178" s="217"/>
      <c r="D3178" s="101"/>
      <c r="E3178" s="101"/>
      <c r="F3178" s="294"/>
      <c r="G3178" s="295"/>
      <c r="H3178" s="98"/>
      <c r="I3178" s="99"/>
      <c r="J3178" s="99"/>
      <c r="K3178" s="99"/>
      <c r="L3178" s="99"/>
      <c r="M3178" s="99"/>
      <c r="N3178" s="99"/>
      <c r="O3178" s="99"/>
      <c r="P3178" s="99"/>
      <c r="Q3178" s="99"/>
      <c r="R3178" s="99"/>
      <c r="S3178" s="99"/>
      <c r="T3178" s="99"/>
      <c r="U3178" s="99"/>
      <c r="V3178" s="99"/>
    </row>
    <row r="3179" spans="1:22">
      <c r="A3179" s="297"/>
      <c r="B3179" s="217"/>
      <c r="C3179" s="217"/>
      <c r="D3179" s="101"/>
      <c r="E3179" s="101"/>
      <c r="F3179" s="294"/>
      <c r="G3179" s="295"/>
      <c r="H3179" s="98"/>
      <c r="I3179" s="99"/>
      <c r="J3179" s="99"/>
      <c r="K3179" s="99"/>
      <c r="L3179" s="99"/>
      <c r="M3179" s="99"/>
      <c r="N3179" s="99"/>
      <c r="O3179" s="99"/>
      <c r="P3179" s="99"/>
      <c r="Q3179" s="99"/>
      <c r="R3179" s="99"/>
      <c r="S3179" s="99"/>
      <c r="T3179" s="99"/>
      <c r="U3179" s="99"/>
      <c r="V3179" s="99"/>
    </row>
    <row r="3180" spans="1:22">
      <c r="A3180" s="297"/>
      <c r="B3180" s="217"/>
      <c r="C3180" s="217"/>
      <c r="D3180" s="101"/>
      <c r="E3180" s="101"/>
      <c r="F3180" s="294"/>
      <c r="G3180" s="295"/>
      <c r="H3180" s="98"/>
      <c r="I3180" s="99"/>
      <c r="J3180" s="99"/>
      <c r="K3180" s="99"/>
      <c r="L3180" s="99"/>
      <c r="M3180" s="99"/>
      <c r="N3180" s="99"/>
      <c r="O3180" s="99"/>
      <c r="P3180" s="99"/>
      <c r="Q3180" s="99"/>
      <c r="R3180" s="99"/>
      <c r="S3180" s="99"/>
      <c r="T3180" s="99"/>
      <c r="U3180" s="99"/>
      <c r="V3180" s="99"/>
    </row>
    <row r="3181" spans="1:22">
      <c r="A3181" s="297"/>
      <c r="B3181" s="217"/>
      <c r="C3181" s="217"/>
      <c r="D3181" s="101"/>
      <c r="E3181" s="101"/>
      <c r="F3181" s="294"/>
      <c r="G3181" s="295"/>
      <c r="H3181" s="98"/>
      <c r="I3181" s="99"/>
      <c r="J3181" s="99"/>
      <c r="K3181" s="99"/>
      <c r="L3181" s="99"/>
      <c r="M3181" s="99"/>
      <c r="N3181" s="99"/>
      <c r="O3181" s="99"/>
      <c r="P3181" s="99"/>
      <c r="Q3181" s="99"/>
      <c r="R3181" s="99"/>
      <c r="S3181" s="99"/>
      <c r="T3181" s="99"/>
      <c r="U3181" s="99"/>
      <c r="V3181" s="99"/>
    </row>
    <row r="3182" spans="1:22">
      <c r="A3182" s="297"/>
      <c r="B3182" s="217"/>
      <c r="C3182" s="217"/>
      <c r="D3182" s="101"/>
      <c r="E3182" s="101"/>
      <c r="F3182" s="294"/>
      <c r="G3182" s="295"/>
      <c r="H3182" s="98"/>
      <c r="I3182" s="99"/>
      <c r="J3182" s="99"/>
      <c r="K3182" s="99"/>
      <c r="L3182" s="99"/>
      <c r="M3182" s="99"/>
      <c r="N3182" s="99"/>
      <c r="O3182" s="99"/>
      <c r="P3182" s="99"/>
      <c r="Q3182" s="99"/>
      <c r="R3182" s="99"/>
      <c r="S3182" s="99"/>
      <c r="T3182" s="99"/>
      <c r="U3182" s="99"/>
      <c r="V3182" s="99"/>
    </row>
    <row r="3183" spans="1:22">
      <c r="A3183" s="297"/>
      <c r="B3183" s="217"/>
      <c r="C3183" s="217"/>
      <c r="D3183" s="101"/>
      <c r="E3183" s="101"/>
      <c r="F3183" s="294"/>
      <c r="G3183" s="295"/>
      <c r="H3183" s="98"/>
      <c r="I3183" s="99"/>
      <c r="J3183" s="99"/>
      <c r="K3183" s="99"/>
      <c r="L3183" s="99"/>
      <c r="M3183" s="99"/>
      <c r="N3183" s="99"/>
      <c r="O3183" s="99"/>
      <c r="P3183" s="99"/>
      <c r="Q3183" s="99"/>
      <c r="R3183" s="99"/>
      <c r="S3183" s="99"/>
      <c r="T3183" s="99"/>
      <c r="U3183" s="99"/>
      <c r="V3183" s="99"/>
    </row>
    <row r="3184" spans="1:22">
      <c r="A3184" s="297"/>
      <c r="B3184" s="217"/>
      <c r="C3184" s="217"/>
      <c r="D3184" s="101"/>
      <c r="E3184" s="101"/>
      <c r="F3184" s="294"/>
      <c r="G3184" s="295"/>
      <c r="H3184" s="98"/>
      <c r="I3184" s="99"/>
      <c r="J3184" s="99"/>
      <c r="K3184" s="99"/>
      <c r="L3184" s="99"/>
      <c r="M3184" s="99"/>
      <c r="N3184" s="99"/>
      <c r="O3184" s="99"/>
      <c r="P3184" s="99"/>
      <c r="Q3184" s="99"/>
      <c r="R3184" s="99"/>
      <c r="S3184" s="99"/>
      <c r="T3184" s="99"/>
      <c r="U3184" s="99"/>
      <c r="V3184" s="99"/>
    </row>
    <row r="3185" spans="1:22">
      <c r="A3185" s="297"/>
      <c r="B3185" s="217"/>
      <c r="C3185" s="217"/>
      <c r="D3185" s="101"/>
      <c r="E3185" s="101"/>
      <c r="F3185" s="294"/>
      <c r="G3185" s="295"/>
      <c r="H3185" s="98"/>
      <c r="I3185" s="99"/>
      <c r="J3185" s="99"/>
      <c r="K3185" s="99"/>
      <c r="L3185" s="99"/>
      <c r="M3185" s="99"/>
      <c r="N3185" s="99"/>
      <c r="O3185" s="99"/>
      <c r="P3185" s="99"/>
      <c r="Q3185" s="99"/>
      <c r="R3185" s="99"/>
      <c r="S3185" s="99"/>
      <c r="T3185" s="99"/>
      <c r="U3185" s="99"/>
      <c r="V3185" s="99"/>
    </row>
    <row r="3186" spans="1:22">
      <c r="A3186" s="297"/>
      <c r="B3186" s="217"/>
      <c r="C3186" s="217"/>
      <c r="D3186" s="101"/>
      <c r="E3186" s="101"/>
      <c r="F3186" s="294"/>
      <c r="G3186" s="295"/>
      <c r="H3186" s="98"/>
      <c r="I3186" s="99"/>
      <c r="J3186" s="99"/>
      <c r="K3186" s="99"/>
      <c r="L3186" s="99"/>
      <c r="M3186" s="99"/>
      <c r="N3186" s="99"/>
      <c r="O3186" s="99"/>
      <c r="P3186" s="99"/>
      <c r="Q3186" s="99"/>
      <c r="R3186" s="99"/>
      <c r="S3186" s="99"/>
      <c r="T3186" s="99"/>
      <c r="U3186" s="99"/>
      <c r="V3186" s="99"/>
    </row>
    <row r="3187" spans="1:22">
      <c r="A3187" s="297"/>
      <c r="B3187" s="217"/>
      <c r="C3187" s="217"/>
      <c r="D3187" s="101"/>
      <c r="E3187" s="101"/>
      <c r="F3187" s="294"/>
      <c r="G3187" s="295"/>
      <c r="H3187" s="107"/>
      <c r="I3187" s="108"/>
      <c r="J3187" s="108"/>
      <c r="K3187" s="108"/>
      <c r="L3187" s="108"/>
      <c r="M3187" s="108"/>
      <c r="N3187" s="108"/>
      <c r="O3187" s="108"/>
      <c r="P3187" s="108"/>
      <c r="Q3187" s="108"/>
      <c r="R3187" s="108"/>
      <c r="S3187" s="108"/>
      <c r="T3187" s="108"/>
      <c r="U3187" s="233"/>
      <c r="V3187" s="233"/>
    </row>
    <row r="3188" spans="1:22">
      <c r="A3188" s="297"/>
      <c r="B3188" s="217"/>
      <c r="C3188" s="217"/>
      <c r="D3188" s="101"/>
      <c r="E3188" s="101"/>
      <c r="F3188" s="294"/>
      <c r="G3188" s="295"/>
      <c r="H3188" s="98"/>
      <c r="I3188" s="228"/>
      <c r="J3188" s="228"/>
      <c r="K3188" s="228"/>
      <c r="L3188" s="228"/>
      <c r="M3188" s="228"/>
      <c r="N3188" s="229"/>
      <c r="O3188" s="229"/>
      <c r="P3188" s="229"/>
      <c r="Q3188" s="230"/>
      <c r="R3188" s="231"/>
      <c r="S3188" s="231"/>
      <c r="T3188" s="230"/>
      <c r="U3188" s="230"/>
      <c r="V3188" s="230"/>
    </row>
    <row r="3189" spans="1:22">
      <c r="A3189" s="297"/>
      <c r="B3189" s="217"/>
      <c r="C3189" s="217"/>
      <c r="D3189" s="101"/>
      <c r="E3189" s="101"/>
      <c r="F3189" s="294"/>
      <c r="G3189" s="295"/>
      <c r="H3189" s="98"/>
      <c r="I3189" s="99"/>
      <c r="J3189" s="99"/>
      <c r="K3189" s="99"/>
      <c r="L3189" s="99"/>
      <c r="M3189" s="99"/>
      <c r="N3189" s="99"/>
      <c r="O3189" s="99"/>
      <c r="P3189" s="99"/>
      <c r="Q3189" s="99"/>
      <c r="R3189" s="99"/>
      <c r="S3189" s="99"/>
      <c r="T3189" s="99"/>
      <c r="U3189" s="99"/>
      <c r="V3189" s="99"/>
    </row>
    <row r="3190" spans="1:22">
      <c r="A3190" s="297"/>
      <c r="B3190" s="217"/>
      <c r="C3190" s="217"/>
      <c r="D3190" s="101"/>
      <c r="E3190" s="101"/>
      <c r="F3190" s="294"/>
      <c r="G3190" s="295"/>
      <c r="H3190" s="98"/>
      <c r="I3190" s="99"/>
      <c r="J3190" s="99"/>
      <c r="K3190" s="99"/>
      <c r="L3190" s="99"/>
      <c r="M3190" s="99"/>
      <c r="N3190" s="99"/>
      <c r="O3190" s="99"/>
      <c r="P3190" s="99"/>
      <c r="Q3190" s="99"/>
      <c r="R3190" s="99"/>
      <c r="S3190" s="99"/>
      <c r="T3190" s="99"/>
      <c r="U3190" s="99"/>
      <c r="V3190" s="99"/>
    </row>
    <row r="3191" spans="1:22">
      <c r="A3191" s="297"/>
      <c r="B3191" s="217"/>
      <c r="C3191" s="217"/>
      <c r="D3191" s="101"/>
      <c r="E3191" s="101"/>
      <c r="F3191" s="294"/>
      <c r="G3191" s="295"/>
      <c r="H3191" s="98"/>
      <c r="I3191" s="99"/>
      <c r="J3191" s="99"/>
      <c r="K3191" s="99"/>
      <c r="L3191" s="99"/>
      <c r="M3191" s="99"/>
      <c r="N3191" s="99"/>
      <c r="O3191" s="99"/>
      <c r="P3191" s="99"/>
      <c r="Q3191" s="99"/>
      <c r="R3191" s="99"/>
      <c r="S3191" s="99"/>
      <c r="T3191" s="99"/>
      <c r="U3191" s="99"/>
      <c r="V3191" s="99"/>
    </row>
    <row r="3192" spans="1:22">
      <c r="A3192" s="297"/>
      <c r="B3192" s="217"/>
      <c r="C3192" s="217"/>
      <c r="D3192" s="101"/>
      <c r="E3192" s="101"/>
      <c r="F3192" s="294"/>
      <c r="G3192" s="295"/>
      <c r="H3192" s="98"/>
      <c r="I3192" s="99"/>
      <c r="J3192" s="99"/>
      <c r="K3192" s="99"/>
      <c r="L3192" s="99"/>
      <c r="M3192" s="99"/>
      <c r="N3192" s="99"/>
      <c r="O3192" s="99"/>
      <c r="P3192" s="99"/>
      <c r="Q3192" s="99"/>
      <c r="R3192" s="99"/>
      <c r="S3192" s="99"/>
      <c r="T3192" s="99"/>
      <c r="U3192" s="99"/>
      <c r="V3192" s="99"/>
    </row>
    <row r="3193" spans="1:22">
      <c r="A3193" s="297"/>
      <c r="B3193" s="217"/>
      <c r="C3193" s="217"/>
      <c r="D3193" s="101"/>
      <c r="E3193" s="101"/>
      <c r="F3193" s="294"/>
      <c r="G3193" s="295"/>
      <c r="H3193" s="98"/>
      <c r="I3193" s="99"/>
      <c r="J3193" s="99"/>
      <c r="K3193" s="99"/>
      <c r="L3193" s="99"/>
      <c r="M3193" s="99"/>
      <c r="N3193" s="99"/>
      <c r="O3193" s="99"/>
      <c r="P3193" s="99"/>
      <c r="Q3193" s="99"/>
      <c r="R3193" s="99"/>
      <c r="S3193" s="99"/>
      <c r="T3193" s="99"/>
      <c r="U3193" s="99"/>
      <c r="V3193" s="99"/>
    </row>
    <row r="3194" spans="1:22">
      <c r="A3194" s="297"/>
      <c r="B3194" s="217"/>
      <c r="C3194" s="217"/>
      <c r="D3194" s="101"/>
      <c r="E3194" s="101"/>
      <c r="F3194" s="294"/>
      <c r="G3194" s="295"/>
      <c r="H3194" s="98"/>
      <c r="I3194" s="99"/>
      <c r="J3194" s="99"/>
      <c r="K3194" s="99"/>
      <c r="L3194" s="99"/>
      <c r="M3194" s="99"/>
      <c r="N3194" s="99"/>
      <c r="O3194" s="99"/>
      <c r="P3194" s="99"/>
      <c r="Q3194" s="99"/>
      <c r="R3194" s="99"/>
      <c r="S3194" s="99"/>
      <c r="T3194" s="99"/>
      <c r="U3194" s="99"/>
      <c r="V3194" s="99"/>
    </row>
    <row r="3195" spans="1:22">
      <c r="A3195" s="297"/>
      <c r="B3195" s="217"/>
      <c r="C3195" s="217"/>
      <c r="D3195" s="101"/>
      <c r="E3195" s="101"/>
      <c r="F3195" s="294"/>
      <c r="G3195" s="295"/>
      <c r="H3195" s="98"/>
      <c r="I3195" s="99"/>
      <c r="J3195" s="99"/>
      <c r="K3195" s="99"/>
      <c r="L3195" s="99"/>
      <c r="M3195" s="99"/>
      <c r="N3195" s="99"/>
      <c r="O3195" s="99"/>
      <c r="P3195" s="99"/>
      <c r="Q3195" s="99"/>
      <c r="R3195" s="99"/>
      <c r="S3195" s="99"/>
      <c r="T3195" s="99"/>
      <c r="U3195" s="99"/>
      <c r="V3195" s="99"/>
    </row>
    <row r="3196" spans="1:22">
      <c r="A3196" s="297"/>
      <c r="B3196" s="217"/>
      <c r="C3196" s="217"/>
      <c r="D3196" s="101"/>
      <c r="E3196" s="101"/>
      <c r="F3196" s="294"/>
      <c r="G3196" s="295"/>
      <c r="H3196" s="98"/>
      <c r="I3196" s="99"/>
      <c r="J3196" s="99"/>
      <c r="K3196" s="99"/>
      <c r="L3196" s="99"/>
      <c r="M3196" s="99"/>
      <c r="N3196" s="99"/>
      <c r="O3196" s="99"/>
      <c r="P3196" s="99"/>
      <c r="Q3196" s="99"/>
      <c r="R3196" s="99"/>
      <c r="S3196" s="99"/>
      <c r="T3196" s="99"/>
      <c r="U3196" s="99"/>
      <c r="V3196" s="99"/>
    </row>
    <row r="3197" spans="1:22">
      <c r="A3197" s="297"/>
      <c r="B3197" s="217"/>
      <c r="C3197" s="217"/>
      <c r="D3197" s="101"/>
      <c r="E3197" s="101"/>
      <c r="F3197" s="294"/>
      <c r="G3197" s="295"/>
      <c r="H3197" s="98"/>
      <c r="I3197" s="99"/>
      <c r="J3197" s="99"/>
      <c r="K3197" s="99"/>
      <c r="L3197" s="99"/>
      <c r="M3197" s="99"/>
      <c r="N3197" s="99"/>
      <c r="O3197" s="99"/>
      <c r="P3197" s="99"/>
      <c r="Q3197" s="99"/>
      <c r="R3197" s="99"/>
      <c r="S3197" s="99"/>
      <c r="T3197" s="99"/>
      <c r="U3197" s="99"/>
      <c r="V3197" s="99"/>
    </row>
    <row r="3198" spans="1:22">
      <c r="A3198" s="297"/>
      <c r="B3198" s="217"/>
      <c r="C3198" s="217"/>
      <c r="D3198" s="101"/>
      <c r="E3198" s="101"/>
      <c r="F3198" s="294"/>
      <c r="G3198" s="295"/>
      <c r="H3198" s="98"/>
      <c r="I3198" s="99"/>
      <c r="J3198" s="99"/>
      <c r="K3198" s="99"/>
      <c r="L3198" s="99"/>
      <c r="M3198" s="99"/>
      <c r="N3198" s="99"/>
      <c r="O3198" s="99"/>
      <c r="P3198" s="99"/>
      <c r="Q3198" s="99"/>
      <c r="R3198" s="99"/>
      <c r="S3198" s="99"/>
      <c r="T3198" s="99"/>
      <c r="U3198" s="99"/>
      <c r="V3198" s="99"/>
    </row>
    <row r="3199" spans="1:22">
      <c r="A3199" s="297"/>
      <c r="B3199" s="217"/>
      <c r="C3199" s="217"/>
      <c r="D3199" s="101"/>
      <c r="E3199" s="101"/>
      <c r="F3199" s="294"/>
      <c r="G3199" s="295"/>
      <c r="H3199" s="98"/>
      <c r="I3199" s="99"/>
      <c r="J3199" s="99"/>
      <c r="K3199" s="99"/>
      <c r="L3199" s="99"/>
      <c r="M3199" s="99"/>
      <c r="N3199" s="99"/>
      <c r="O3199" s="99"/>
      <c r="P3199" s="99"/>
      <c r="Q3199" s="99"/>
      <c r="R3199" s="99"/>
      <c r="S3199" s="99"/>
      <c r="T3199" s="99"/>
      <c r="U3199" s="99"/>
      <c r="V3199" s="99"/>
    </row>
    <row r="3200" spans="1:22">
      <c r="A3200" s="297"/>
      <c r="B3200" s="217"/>
      <c r="C3200" s="217"/>
      <c r="D3200" s="101"/>
      <c r="E3200" s="101"/>
      <c r="F3200" s="294"/>
      <c r="G3200" s="295"/>
      <c r="H3200" s="98"/>
      <c r="I3200" s="99"/>
      <c r="J3200" s="99"/>
      <c r="K3200" s="99"/>
      <c r="L3200" s="99"/>
      <c r="M3200" s="99"/>
      <c r="N3200" s="99"/>
      <c r="O3200" s="99"/>
      <c r="P3200" s="99"/>
      <c r="Q3200" s="99"/>
      <c r="R3200" s="99"/>
      <c r="S3200" s="99"/>
      <c r="T3200" s="99"/>
      <c r="U3200" s="99"/>
      <c r="V3200" s="99"/>
    </row>
    <row r="3201" spans="1:22">
      <c r="A3201" s="297"/>
      <c r="B3201" s="217"/>
      <c r="C3201" s="217"/>
      <c r="D3201" s="101"/>
      <c r="E3201" s="101"/>
      <c r="F3201" s="294"/>
      <c r="G3201" s="295"/>
      <c r="H3201" s="98"/>
      <c r="I3201" s="99"/>
      <c r="J3201" s="99"/>
      <c r="K3201" s="99"/>
      <c r="L3201" s="99"/>
      <c r="M3201" s="99"/>
      <c r="N3201" s="99"/>
      <c r="O3201" s="99"/>
      <c r="P3201" s="99"/>
      <c r="Q3201" s="99"/>
      <c r="R3201" s="99"/>
      <c r="S3201" s="99"/>
      <c r="T3201" s="99"/>
      <c r="U3201" s="99"/>
      <c r="V3201" s="99"/>
    </row>
    <row r="3202" spans="1:22">
      <c r="A3202" s="297"/>
      <c r="B3202" s="217"/>
      <c r="C3202" s="217"/>
      <c r="D3202" s="101"/>
      <c r="E3202" s="101"/>
      <c r="F3202" s="294"/>
      <c r="G3202" s="295"/>
      <c r="H3202" s="98"/>
      <c r="I3202" s="99"/>
      <c r="J3202" s="99"/>
      <c r="K3202" s="99"/>
      <c r="L3202" s="99"/>
      <c r="M3202" s="99"/>
      <c r="N3202" s="99"/>
      <c r="O3202" s="99"/>
      <c r="P3202" s="99"/>
      <c r="Q3202" s="99"/>
      <c r="R3202" s="99"/>
      <c r="S3202" s="99"/>
      <c r="T3202" s="99"/>
      <c r="U3202" s="99"/>
      <c r="V3202" s="99"/>
    </row>
    <row r="3203" spans="1:22">
      <c r="A3203" s="297"/>
      <c r="B3203" s="217"/>
      <c r="C3203" s="217"/>
      <c r="D3203" s="101"/>
      <c r="E3203" s="101"/>
      <c r="F3203" s="294"/>
      <c r="G3203" s="295"/>
      <c r="H3203" s="98"/>
      <c r="I3203" s="99"/>
      <c r="J3203" s="99"/>
      <c r="K3203" s="99"/>
      <c r="L3203" s="99"/>
      <c r="M3203" s="99"/>
      <c r="N3203" s="99"/>
      <c r="O3203" s="99"/>
      <c r="P3203" s="99"/>
      <c r="Q3203" s="99"/>
      <c r="R3203" s="99"/>
      <c r="S3203" s="99"/>
      <c r="T3203" s="99"/>
      <c r="U3203" s="99"/>
      <c r="V3203" s="99"/>
    </row>
    <row r="3204" spans="1:22">
      <c r="A3204" s="297"/>
      <c r="B3204" s="217"/>
      <c r="C3204" s="217"/>
      <c r="D3204" s="101"/>
      <c r="E3204" s="101"/>
      <c r="F3204" s="294"/>
      <c r="G3204" s="295"/>
      <c r="H3204" s="98"/>
      <c r="I3204" s="99"/>
      <c r="J3204" s="99"/>
      <c r="K3204" s="99"/>
      <c r="L3204" s="99"/>
      <c r="M3204" s="99"/>
      <c r="N3204" s="99"/>
      <c r="O3204" s="99"/>
      <c r="P3204" s="99"/>
      <c r="Q3204" s="99"/>
      <c r="R3204" s="99"/>
      <c r="S3204" s="99"/>
      <c r="T3204" s="99"/>
      <c r="U3204" s="99"/>
      <c r="V3204" s="99"/>
    </row>
    <row r="3205" spans="1:22">
      <c r="A3205" s="297"/>
      <c r="B3205" s="217"/>
      <c r="C3205" s="217"/>
      <c r="D3205" s="101"/>
      <c r="E3205" s="101"/>
      <c r="F3205" s="294"/>
      <c r="G3205" s="295"/>
      <c r="H3205" s="98"/>
      <c r="I3205" s="99"/>
      <c r="J3205" s="99"/>
      <c r="K3205" s="99"/>
      <c r="L3205" s="99"/>
      <c r="M3205" s="99"/>
      <c r="N3205" s="99"/>
      <c r="O3205" s="99"/>
      <c r="P3205" s="99"/>
      <c r="Q3205" s="99"/>
      <c r="R3205" s="99"/>
      <c r="S3205" s="99"/>
      <c r="T3205" s="99"/>
      <c r="U3205" s="99"/>
      <c r="V3205" s="99"/>
    </row>
    <row r="3206" spans="1:22">
      <c r="A3206" s="297"/>
      <c r="B3206" s="217"/>
      <c r="C3206" s="217"/>
      <c r="D3206" s="101"/>
      <c r="E3206" s="101"/>
      <c r="F3206" s="294"/>
      <c r="G3206" s="295"/>
      <c r="H3206" s="98"/>
      <c r="I3206" s="99"/>
      <c r="J3206" s="99"/>
      <c r="K3206" s="99"/>
      <c r="L3206" s="99"/>
      <c r="M3206" s="99"/>
      <c r="N3206" s="99"/>
      <c r="O3206" s="99"/>
      <c r="P3206" s="99"/>
      <c r="Q3206" s="99"/>
      <c r="R3206" s="99"/>
      <c r="S3206" s="99"/>
      <c r="T3206" s="99"/>
      <c r="U3206" s="99"/>
      <c r="V3206" s="99"/>
    </row>
    <row r="3207" spans="1:22">
      <c r="A3207" s="297"/>
      <c r="B3207" s="217"/>
      <c r="C3207" s="217"/>
      <c r="D3207" s="101"/>
      <c r="E3207" s="101"/>
      <c r="F3207" s="294"/>
      <c r="G3207" s="295"/>
      <c r="H3207" s="98"/>
      <c r="I3207" s="99"/>
      <c r="J3207" s="99"/>
      <c r="K3207" s="99"/>
      <c r="L3207" s="99"/>
      <c r="M3207" s="99"/>
      <c r="N3207" s="99"/>
      <c r="O3207" s="99"/>
      <c r="P3207" s="99"/>
      <c r="Q3207" s="99"/>
      <c r="R3207" s="99"/>
      <c r="S3207" s="99"/>
      <c r="T3207" s="99"/>
      <c r="U3207" s="99"/>
      <c r="V3207" s="99"/>
    </row>
    <row r="3208" spans="1:22">
      <c r="A3208" s="297"/>
      <c r="B3208" s="217"/>
      <c r="C3208" s="217"/>
      <c r="D3208" s="101"/>
      <c r="E3208" s="101"/>
      <c r="F3208" s="294"/>
      <c r="G3208" s="295"/>
      <c r="H3208" s="98"/>
      <c r="I3208" s="99"/>
      <c r="J3208" s="99"/>
      <c r="K3208" s="99"/>
      <c r="L3208" s="99"/>
      <c r="M3208" s="99"/>
      <c r="N3208" s="99"/>
      <c r="O3208" s="99"/>
      <c r="P3208" s="99"/>
      <c r="Q3208" s="99"/>
      <c r="R3208" s="99"/>
      <c r="S3208" s="99"/>
      <c r="T3208" s="99"/>
      <c r="U3208" s="99"/>
      <c r="V3208" s="99"/>
    </row>
    <row r="3209" spans="1:22">
      <c r="A3209" s="297"/>
      <c r="B3209" s="217"/>
      <c r="C3209" s="217"/>
      <c r="D3209" s="101"/>
      <c r="E3209" s="101"/>
      <c r="F3209" s="294"/>
      <c r="G3209" s="295"/>
      <c r="H3209" s="98"/>
      <c r="I3209" s="99"/>
      <c r="J3209" s="99"/>
      <c r="K3209" s="99"/>
      <c r="L3209" s="99"/>
      <c r="M3209" s="99"/>
      <c r="N3209" s="99"/>
      <c r="O3209" s="99"/>
      <c r="P3209" s="99"/>
      <c r="Q3209" s="99"/>
      <c r="R3209" s="99"/>
      <c r="S3209" s="99"/>
      <c r="T3209" s="99"/>
      <c r="U3209" s="99"/>
      <c r="V3209" s="99"/>
    </row>
    <row r="3210" spans="1:22">
      <c r="A3210" s="297"/>
      <c r="B3210" s="217"/>
      <c r="C3210" s="217"/>
      <c r="D3210" s="101"/>
      <c r="E3210" s="101"/>
      <c r="F3210" s="294"/>
      <c r="G3210" s="295"/>
      <c r="H3210" s="98"/>
      <c r="I3210" s="99"/>
      <c r="J3210" s="99"/>
      <c r="K3210" s="99"/>
      <c r="L3210" s="99"/>
      <c r="M3210" s="99"/>
      <c r="N3210" s="99"/>
      <c r="O3210" s="99"/>
      <c r="P3210" s="99"/>
      <c r="Q3210" s="99"/>
      <c r="R3210" s="99"/>
      <c r="S3210" s="99"/>
      <c r="T3210" s="99"/>
      <c r="U3210" s="99"/>
      <c r="V3210" s="99"/>
    </row>
    <row r="3211" spans="1:22">
      <c r="A3211" s="297"/>
      <c r="B3211" s="217"/>
      <c r="C3211" s="217"/>
      <c r="D3211" s="101"/>
      <c r="E3211" s="101"/>
      <c r="F3211" s="294"/>
      <c r="G3211" s="295"/>
      <c r="H3211" s="107"/>
      <c r="I3211" s="108"/>
      <c r="J3211" s="108"/>
      <c r="K3211" s="108"/>
      <c r="L3211" s="108"/>
      <c r="M3211" s="108"/>
      <c r="N3211" s="108"/>
      <c r="O3211" s="108"/>
      <c r="P3211" s="108"/>
      <c r="Q3211" s="108"/>
      <c r="R3211" s="108"/>
      <c r="S3211" s="108"/>
      <c r="T3211" s="108"/>
      <c r="U3211" s="233"/>
      <c r="V3211" s="233"/>
    </row>
    <row r="3212" spans="1:22">
      <c r="A3212" s="297"/>
      <c r="B3212" s="217"/>
      <c r="C3212" s="217"/>
      <c r="D3212" s="101"/>
      <c r="E3212" s="101"/>
      <c r="F3212" s="294"/>
      <c r="G3212" s="295"/>
      <c r="H3212" s="98"/>
      <c r="I3212" s="218"/>
      <c r="J3212" s="218"/>
      <c r="K3212" s="218"/>
      <c r="L3212" s="218"/>
      <c r="M3212" s="218"/>
      <c r="N3212" s="226"/>
      <c r="O3212" s="226"/>
      <c r="P3212" s="226"/>
      <c r="Q3212" s="111"/>
      <c r="R3212" s="111"/>
      <c r="S3212" s="111"/>
      <c r="T3212" s="230"/>
      <c r="U3212" s="230"/>
      <c r="V3212" s="230"/>
    </row>
    <row r="3213" spans="1:22">
      <c r="A3213" s="297"/>
      <c r="B3213" s="217"/>
      <c r="C3213" s="217"/>
      <c r="D3213" s="101"/>
      <c r="E3213" s="101"/>
      <c r="F3213" s="294"/>
      <c r="G3213" s="295"/>
      <c r="H3213" s="98"/>
      <c r="I3213" s="218"/>
      <c r="J3213" s="218"/>
      <c r="K3213" s="218"/>
      <c r="L3213" s="218"/>
      <c r="M3213" s="218"/>
      <c r="N3213" s="226"/>
      <c r="O3213" s="226"/>
      <c r="P3213" s="226"/>
      <c r="Q3213" s="111"/>
      <c r="R3213" s="111"/>
      <c r="S3213" s="111"/>
      <c r="T3213" s="230"/>
      <c r="U3213" s="230"/>
      <c r="V3213" s="230"/>
    </row>
    <row r="3214" spans="1:22">
      <c r="A3214" s="297"/>
      <c r="B3214" s="217"/>
      <c r="C3214" s="217"/>
      <c r="D3214" s="101"/>
      <c r="E3214" s="101"/>
      <c r="F3214" s="294"/>
      <c r="G3214" s="295"/>
      <c r="H3214" s="98"/>
      <c r="I3214" s="218"/>
      <c r="J3214" s="218"/>
      <c r="K3214" s="218"/>
      <c r="L3214" s="218"/>
      <c r="M3214" s="218"/>
      <c r="N3214" s="226"/>
      <c r="O3214" s="226"/>
      <c r="P3214" s="226"/>
      <c r="Q3214" s="111"/>
      <c r="R3214" s="111"/>
      <c r="S3214" s="111"/>
      <c r="T3214" s="230"/>
      <c r="U3214" s="230"/>
      <c r="V3214" s="230"/>
    </row>
    <row r="3215" spans="1:22">
      <c r="A3215" s="297"/>
      <c r="B3215" s="217"/>
      <c r="C3215" s="217"/>
      <c r="D3215" s="101"/>
      <c r="E3215" s="101"/>
      <c r="F3215" s="294"/>
      <c r="G3215" s="295"/>
      <c r="H3215" s="98"/>
      <c r="I3215" s="218"/>
      <c r="J3215" s="218"/>
      <c r="K3215" s="218"/>
      <c r="L3215" s="218"/>
      <c r="M3215" s="218"/>
      <c r="N3215" s="226"/>
      <c r="O3215" s="226"/>
      <c r="P3215" s="226"/>
      <c r="Q3215" s="111"/>
      <c r="R3215" s="111"/>
      <c r="S3215" s="111"/>
      <c r="T3215" s="230"/>
      <c r="U3215" s="230"/>
      <c r="V3215" s="230"/>
    </row>
    <row r="3216" spans="1:22">
      <c r="A3216" s="297"/>
      <c r="B3216" s="217"/>
      <c r="C3216" s="217"/>
      <c r="D3216" s="101"/>
      <c r="E3216" s="101"/>
      <c r="F3216" s="294"/>
      <c r="G3216" s="295"/>
      <c r="H3216" s="98"/>
      <c r="I3216" s="99"/>
      <c r="J3216" s="99"/>
      <c r="K3216" s="99"/>
      <c r="L3216" s="99"/>
      <c r="M3216" s="99"/>
      <c r="N3216" s="99"/>
      <c r="O3216" s="99"/>
      <c r="P3216" s="99"/>
      <c r="Q3216" s="99"/>
      <c r="R3216" s="99"/>
      <c r="S3216" s="99"/>
      <c r="T3216" s="99"/>
      <c r="U3216" s="99"/>
      <c r="V3216" s="99"/>
    </row>
    <row r="3217" spans="1:22">
      <c r="A3217" s="297"/>
      <c r="B3217" s="217"/>
      <c r="C3217" s="217"/>
      <c r="D3217" s="101"/>
      <c r="E3217" s="101"/>
      <c r="F3217" s="294"/>
      <c r="G3217" s="295"/>
      <c r="H3217" s="107"/>
      <c r="I3217" s="108"/>
      <c r="J3217" s="108"/>
      <c r="K3217" s="108"/>
      <c r="L3217" s="108"/>
      <c r="M3217" s="108"/>
      <c r="N3217" s="108"/>
      <c r="O3217" s="108"/>
      <c r="P3217" s="108"/>
      <c r="Q3217" s="108"/>
      <c r="R3217" s="108"/>
      <c r="S3217" s="108"/>
      <c r="T3217" s="108"/>
      <c r="U3217" s="233"/>
      <c r="V3217" s="233"/>
    </row>
    <row r="3218" spans="1:22">
      <c r="A3218" s="297"/>
      <c r="B3218" s="217"/>
      <c r="C3218" s="217"/>
      <c r="D3218" s="101"/>
      <c r="E3218" s="101"/>
      <c r="F3218" s="294"/>
      <c r="G3218" s="295"/>
      <c r="H3218" s="98"/>
      <c r="I3218" s="218"/>
      <c r="J3218" s="218"/>
      <c r="K3218" s="218"/>
      <c r="L3218" s="218"/>
      <c r="M3218" s="218"/>
      <c r="N3218" s="226"/>
      <c r="O3218" s="226"/>
      <c r="P3218" s="226"/>
      <c r="Q3218" s="111"/>
      <c r="R3218" s="111"/>
      <c r="S3218" s="111"/>
      <c r="T3218" s="230"/>
      <c r="U3218" s="230"/>
      <c r="V3218" s="230"/>
    </row>
    <row r="3219" spans="1:22">
      <c r="A3219" s="297"/>
      <c r="B3219" s="217"/>
      <c r="C3219" s="217"/>
      <c r="D3219" s="101"/>
      <c r="E3219" s="101"/>
      <c r="F3219" s="294"/>
      <c r="G3219" s="295"/>
      <c r="H3219" s="114"/>
      <c r="I3219" s="221"/>
      <c r="J3219" s="221"/>
      <c r="K3219" s="221"/>
      <c r="L3219" s="221"/>
      <c r="M3219" s="221"/>
      <c r="N3219" s="221"/>
      <c r="O3219" s="221"/>
      <c r="P3219" s="221"/>
      <c r="Q3219" s="221"/>
      <c r="R3219" s="221"/>
      <c r="S3219" s="221"/>
      <c r="T3219" s="221"/>
      <c r="U3219" s="223"/>
      <c r="V3219" s="223"/>
    </row>
    <row r="3220" spans="1:22" ht="14.4" thickBot="1">
      <c r="A3220" s="297"/>
      <c r="B3220" s="217"/>
      <c r="C3220" s="217"/>
      <c r="D3220" s="101"/>
      <c r="E3220" s="101"/>
      <c r="F3220" s="294"/>
      <c r="G3220" s="295"/>
      <c r="H3220" s="98"/>
      <c r="I3220" s="218"/>
      <c r="J3220" s="218"/>
      <c r="K3220" s="218"/>
      <c r="L3220" s="218"/>
      <c r="M3220" s="218"/>
      <c r="U3220" s="212"/>
      <c r="V3220" s="212"/>
    </row>
    <row r="3221" spans="1:22" ht="23.4" thickBot="1">
      <c r="A3221" s="297"/>
      <c r="B3221" s="217"/>
      <c r="C3221" s="217"/>
      <c r="D3221" s="101"/>
      <c r="E3221" s="101"/>
      <c r="F3221" s="294"/>
      <c r="G3221" s="295"/>
      <c r="H3221" s="686"/>
      <c r="I3221" s="687"/>
      <c r="J3221" s="687"/>
      <c r="K3221" s="687"/>
      <c r="L3221" s="687"/>
      <c r="M3221" s="687"/>
      <c r="N3221" s="687"/>
      <c r="O3221" s="687"/>
      <c r="P3221" s="687"/>
      <c r="Q3221" s="687"/>
      <c r="R3221" s="687"/>
      <c r="S3221" s="715"/>
      <c r="T3221" s="688"/>
      <c r="U3221" s="254"/>
      <c r="V3221" s="254"/>
    </row>
    <row r="3222" spans="1:22" ht="22.8">
      <c r="A3222" s="297"/>
      <c r="B3222" s="217"/>
      <c r="C3222" s="217"/>
      <c r="D3222" s="101"/>
      <c r="E3222" s="101"/>
      <c r="F3222" s="294"/>
      <c r="G3222" s="295"/>
      <c r="H3222" s="225"/>
      <c r="I3222" s="225"/>
      <c r="J3222" s="225"/>
      <c r="K3222" s="225"/>
      <c r="L3222" s="225"/>
      <c r="M3222" s="225"/>
      <c r="N3222" s="225"/>
      <c r="O3222" s="225"/>
      <c r="P3222" s="225"/>
      <c r="Q3222" s="225"/>
      <c r="R3222" s="225"/>
      <c r="S3222" s="225"/>
      <c r="T3222" s="225"/>
      <c r="U3222" s="225"/>
      <c r="V3222" s="225"/>
    </row>
    <row r="3223" spans="1:22">
      <c r="A3223" s="297"/>
      <c r="B3223" s="217"/>
      <c r="C3223" s="217"/>
      <c r="D3223" s="101"/>
      <c r="E3223" s="101"/>
      <c r="F3223" s="294"/>
      <c r="G3223" s="295"/>
      <c r="H3223" s="98"/>
      <c r="I3223" s="99"/>
      <c r="J3223" s="99"/>
      <c r="K3223" s="99"/>
      <c r="L3223" s="99"/>
      <c r="M3223" s="99"/>
      <c r="N3223" s="99"/>
      <c r="O3223" s="99"/>
      <c r="P3223" s="99"/>
      <c r="Q3223" s="99"/>
      <c r="R3223" s="99"/>
      <c r="S3223" s="99"/>
      <c r="T3223" s="99"/>
      <c r="U3223" s="99"/>
      <c r="V3223" s="99"/>
    </row>
    <row r="3224" spans="1:22">
      <c r="A3224" s="297"/>
      <c r="B3224" s="217"/>
      <c r="C3224" s="217"/>
      <c r="D3224" s="101"/>
      <c r="E3224" s="101"/>
      <c r="F3224" s="294"/>
      <c r="G3224" s="295"/>
      <c r="H3224" s="98"/>
      <c r="I3224" s="99"/>
      <c r="J3224" s="99"/>
      <c r="K3224" s="99"/>
      <c r="L3224" s="99"/>
      <c r="M3224" s="99"/>
      <c r="N3224" s="99"/>
      <c r="O3224" s="99"/>
      <c r="P3224" s="99"/>
      <c r="Q3224" s="99"/>
      <c r="R3224" s="99"/>
      <c r="S3224" s="99"/>
      <c r="T3224" s="99"/>
      <c r="U3224" s="99"/>
      <c r="V3224" s="99"/>
    </row>
    <row r="3225" spans="1:22">
      <c r="A3225" s="297"/>
      <c r="B3225" s="217"/>
      <c r="C3225" s="217"/>
      <c r="D3225" s="101"/>
      <c r="E3225" s="101"/>
      <c r="F3225" s="294"/>
      <c r="G3225" s="295"/>
      <c r="H3225" s="98"/>
      <c r="I3225" s="99"/>
      <c r="J3225" s="99"/>
      <c r="K3225" s="99"/>
      <c r="L3225" s="99"/>
      <c r="M3225" s="99"/>
      <c r="N3225" s="99"/>
      <c r="O3225" s="99"/>
      <c r="P3225" s="99"/>
      <c r="Q3225" s="99"/>
      <c r="R3225" s="99"/>
      <c r="S3225" s="99"/>
      <c r="T3225" s="99"/>
      <c r="U3225" s="99"/>
      <c r="V3225" s="99"/>
    </row>
    <row r="3226" spans="1:22">
      <c r="A3226" s="297"/>
      <c r="B3226" s="217"/>
      <c r="C3226" s="217"/>
      <c r="D3226" s="101"/>
      <c r="E3226" s="101"/>
      <c r="F3226" s="294"/>
      <c r="G3226" s="295"/>
      <c r="H3226" s="98"/>
      <c r="I3226" s="99"/>
      <c r="J3226" s="99"/>
      <c r="K3226" s="99"/>
      <c r="L3226" s="99"/>
      <c r="M3226" s="99"/>
      <c r="N3226" s="99"/>
      <c r="O3226" s="99"/>
      <c r="P3226" s="99"/>
      <c r="Q3226" s="99"/>
      <c r="R3226" s="99"/>
      <c r="S3226" s="99"/>
      <c r="T3226" s="99"/>
      <c r="U3226" s="99"/>
      <c r="V3226" s="99"/>
    </row>
    <row r="3227" spans="1:22">
      <c r="A3227" s="297"/>
      <c r="B3227" s="217"/>
      <c r="C3227" s="217"/>
      <c r="D3227" s="101"/>
      <c r="E3227" s="101"/>
      <c r="F3227" s="294"/>
      <c r="G3227" s="295"/>
      <c r="H3227" s="98"/>
      <c r="I3227" s="99"/>
      <c r="J3227" s="99"/>
      <c r="K3227" s="99"/>
      <c r="L3227" s="99"/>
      <c r="M3227" s="99"/>
      <c r="N3227" s="99"/>
      <c r="O3227" s="99"/>
      <c r="P3227" s="99"/>
      <c r="Q3227" s="99"/>
      <c r="R3227" s="99"/>
      <c r="S3227" s="99"/>
      <c r="T3227" s="99"/>
      <c r="U3227" s="99"/>
      <c r="V3227" s="99"/>
    </row>
    <row r="3228" spans="1:22">
      <c r="A3228" s="297"/>
      <c r="B3228" s="217"/>
      <c r="C3228" s="217"/>
      <c r="D3228" s="101"/>
      <c r="E3228" s="101"/>
      <c r="F3228" s="294"/>
      <c r="G3228" s="295"/>
      <c r="H3228" s="98"/>
      <c r="I3228" s="99"/>
      <c r="J3228" s="99"/>
      <c r="K3228" s="99"/>
      <c r="L3228" s="99"/>
      <c r="M3228" s="99"/>
      <c r="N3228" s="99"/>
      <c r="O3228" s="99"/>
      <c r="P3228" s="99"/>
      <c r="Q3228" s="99"/>
      <c r="R3228" s="99"/>
      <c r="S3228" s="99"/>
      <c r="T3228" s="99"/>
      <c r="U3228" s="99"/>
      <c r="V3228" s="99"/>
    </row>
    <row r="3229" spans="1:22">
      <c r="A3229" s="297"/>
      <c r="B3229" s="217"/>
      <c r="C3229" s="217"/>
      <c r="D3229" s="101"/>
      <c r="E3229" s="101"/>
      <c r="F3229" s="294"/>
      <c r="G3229" s="295"/>
      <c r="H3229" s="98"/>
      <c r="I3229" s="99"/>
      <c r="J3229" s="99"/>
      <c r="K3229" s="99"/>
      <c r="L3229" s="99"/>
      <c r="M3229" s="99"/>
      <c r="N3229" s="99"/>
      <c r="O3229" s="99"/>
      <c r="P3229" s="99"/>
      <c r="Q3229" s="99"/>
      <c r="R3229" s="99"/>
      <c r="S3229" s="99"/>
      <c r="T3229" s="99"/>
      <c r="U3229" s="99"/>
      <c r="V3229" s="99"/>
    </row>
    <row r="3230" spans="1:22">
      <c r="A3230" s="297"/>
      <c r="B3230" s="217"/>
      <c r="C3230" s="217"/>
      <c r="D3230" s="101"/>
      <c r="E3230" s="101"/>
      <c r="F3230" s="294"/>
      <c r="G3230" s="295"/>
      <c r="H3230" s="98"/>
      <c r="I3230" s="99"/>
      <c r="J3230" s="99"/>
      <c r="K3230" s="99"/>
      <c r="L3230" s="99"/>
      <c r="M3230" s="99"/>
      <c r="N3230" s="99"/>
      <c r="O3230" s="99"/>
      <c r="P3230" s="99"/>
      <c r="Q3230" s="99"/>
      <c r="R3230" s="99"/>
      <c r="S3230" s="99"/>
      <c r="T3230" s="99"/>
      <c r="U3230" s="99"/>
      <c r="V3230" s="99"/>
    </row>
    <row r="3231" spans="1:22">
      <c r="A3231" s="297"/>
      <c r="B3231" s="217"/>
      <c r="C3231" s="217"/>
      <c r="D3231" s="101"/>
      <c r="E3231" s="101"/>
      <c r="F3231" s="294"/>
      <c r="G3231" s="295"/>
      <c r="H3231" s="98"/>
      <c r="I3231" s="99"/>
      <c r="J3231" s="99"/>
      <c r="K3231" s="99"/>
      <c r="L3231" s="99"/>
      <c r="M3231" s="99"/>
      <c r="N3231" s="99"/>
      <c r="O3231" s="99"/>
      <c r="P3231" s="99"/>
      <c r="Q3231" s="99"/>
      <c r="R3231" s="99"/>
      <c r="S3231" s="99"/>
      <c r="T3231" s="99"/>
      <c r="U3231" s="99"/>
      <c r="V3231" s="99"/>
    </row>
    <row r="3232" spans="1:22">
      <c r="A3232" s="297"/>
      <c r="B3232" s="217"/>
      <c r="C3232" s="217"/>
      <c r="D3232" s="101"/>
      <c r="E3232" s="101"/>
      <c r="F3232" s="294"/>
      <c r="G3232" s="295"/>
      <c r="H3232" s="107"/>
      <c r="I3232" s="108"/>
      <c r="J3232" s="108"/>
      <c r="K3232" s="108"/>
      <c r="L3232" s="108"/>
      <c r="M3232" s="108"/>
      <c r="N3232" s="108"/>
      <c r="O3232" s="108"/>
      <c r="P3232" s="108"/>
      <c r="Q3232" s="108"/>
      <c r="R3232" s="108"/>
      <c r="S3232" s="108"/>
      <c r="T3232" s="108"/>
      <c r="U3232" s="233"/>
      <c r="V3232" s="233"/>
    </row>
    <row r="3233" spans="1:22">
      <c r="A3233" s="297"/>
      <c r="B3233" s="217"/>
      <c r="C3233" s="217"/>
      <c r="D3233" s="101"/>
      <c r="E3233" s="101"/>
      <c r="F3233" s="294"/>
      <c r="G3233" s="295"/>
      <c r="H3233" s="232"/>
      <c r="I3233" s="233"/>
      <c r="J3233" s="233"/>
      <c r="K3233" s="233"/>
      <c r="L3233" s="233"/>
      <c r="M3233" s="233"/>
      <c r="N3233" s="233"/>
      <c r="O3233" s="233"/>
      <c r="P3233" s="233"/>
      <c r="Q3233" s="233"/>
      <c r="R3233" s="233"/>
      <c r="S3233" s="233"/>
      <c r="T3233" s="233"/>
      <c r="U3233" s="233"/>
      <c r="V3233" s="233"/>
    </row>
    <row r="3234" spans="1:22">
      <c r="A3234" s="297"/>
      <c r="B3234" s="217"/>
      <c r="C3234" s="217"/>
      <c r="D3234" s="101"/>
      <c r="E3234" s="101"/>
      <c r="F3234" s="294"/>
      <c r="G3234" s="295"/>
      <c r="H3234" s="98"/>
      <c r="I3234" s="99"/>
      <c r="J3234" s="99"/>
      <c r="K3234" s="99"/>
      <c r="L3234" s="99"/>
      <c r="M3234" s="99"/>
      <c r="N3234" s="99"/>
      <c r="O3234" s="99"/>
      <c r="P3234" s="99"/>
      <c r="Q3234" s="99"/>
      <c r="R3234" s="99"/>
      <c r="S3234" s="99"/>
      <c r="T3234" s="99"/>
      <c r="U3234" s="99"/>
      <c r="V3234" s="99"/>
    </row>
    <row r="3235" spans="1:22">
      <c r="A3235" s="297"/>
      <c r="B3235" s="217"/>
      <c r="C3235" s="217"/>
      <c r="D3235" s="101"/>
      <c r="E3235" s="101"/>
      <c r="F3235" s="294"/>
      <c r="G3235" s="295"/>
      <c r="H3235" s="98"/>
      <c r="I3235" s="99"/>
      <c r="J3235" s="99"/>
      <c r="K3235" s="99"/>
      <c r="L3235" s="99"/>
      <c r="M3235" s="99"/>
      <c r="N3235" s="99"/>
      <c r="O3235" s="99"/>
      <c r="P3235" s="99"/>
      <c r="Q3235" s="99"/>
      <c r="R3235" s="99"/>
      <c r="S3235" s="99"/>
      <c r="T3235" s="99"/>
      <c r="U3235" s="99"/>
      <c r="V3235" s="99"/>
    </row>
    <row r="3236" spans="1:22">
      <c r="A3236" s="297"/>
      <c r="B3236" s="217"/>
      <c r="C3236" s="217"/>
      <c r="D3236" s="101"/>
      <c r="E3236" s="101"/>
      <c r="F3236" s="294"/>
      <c r="G3236" s="295"/>
      <c r="H3236" s="98"/>
      <c r="I3236" s="99"/>
      <c r="J3236" s="99"/>
      <c r="K3236" s="99"/>
      <c r="L3236" s="99"/>
      <c r="M3236" s="99"/>
      <c r="N3236" s="99"/>
      <c r="O3236" s="99"/>
      <c r="P3236" s="99"/>
      <c r="Q3236" s="99"/>
      <c r="R3236" s="99"/>
      <c r="S3236" s="99"/>
      <c r="T3236" s="99"/>
      <c r="U3236" s="99"/>
      <c r="V3236" s="99"/>
    </row>
    <row r="3237" spans="1:22">
      <c r="A3237" s="297"/>
      <c r="B3237" s="217"/>
      <c r="C3237" s="217"/>
      <c r="D3237" s="101"/>
      <c r="E3237" s="101"/>
      <c r="F3237" s="294"/>
      <c r="G3237" s="295"/>
      <c r="H3237" s="98"/>
      <c r="I3237" s="99"/>
      <c r="J3237" s="99"/>
      <c r="K3237" s="99"/>
      <c r="L3237" s="99"/>
      <c r="M3237" s="99"/>
      <c r="N3237" s="99"/>
      <c r="O3237" s="99"/>
      <c r="P3237" s="99"/>
      <c r="Q3237" s="99"/>
      <c r="R3237" s="99"/>
      <c r="S3237" s="99"/>
      <c r="T3237" s="99"/>
      <c r="U3237" s="99"/>
      <c r="V3237" s="99"/>
    </row>
    <row r="3238" spans="1:22">
      <c r="A3238" s="297"/>
      <c r="B3238" s="217"/>
      <c r="C3238" s="217"/>
      <c r="D3238" s="101"/>
      <c r="E3238" s="101"/>
      <c r="F3238" s="294"/>
      <c r="G3238" s="295"/>
      <c r="H3238" s="98"/>
      <c r="I3238" s="99"/>
      <c r="J3238" s="99"/>
      <c r="K3238" s="99"/>
      <c r="L3238" s="99"/>
      <c r="M3238" s="99"/>
      <c r="N3238" s="99"/>
      <c r="O3238" s="99"/>
      <c r="P3238" s="99"/>
      <c r="Q3238" s="99"/>
      <c r="R3238" s="99"/>
      <c r="S3238" s="99"/>
      <c r="T3238" s="99"/>
      <c r="U3238" s="99"/>
      <c r="V3238" s="99"/>
    </row>
    <row r="3239" spans="1:22">
      <c r="A3239" s="297"/>
      <c r="B3239" s="217"/>
      <c r="C3239" s="217"/>
      <c r="D3239" s="101"/>
      <c r="E3239" s="101"/>
      <c r="F3239" s="294"/>
      <c r="G3239" s="295"/>
      <c r="H3239" s="98"/>
      <c r="I3239" s="99"/>
      <c r="J3239" s="99"/>
      <c r="K3239" s="99"/>
      <c r="L3239" s="99"/>
      <c r="M3239" s="99"/>
      <c r="N3239" s="99"/>
      <c r="O3239" s="99"/>
      <c r="P3239" s="99"/>
      <c r="Q3239" s="99"/>
      <c r="R3239" s="99"/>
      <c r="S3239" s="99"/>
      <c r="T3239" s="99"/>
      <c r="U3239" s="99"/>
      <c r="V3239" s="99"/>
    </row>
    <row r="3240" spans="1:22">
      <c r="A3240" s="297"/>
      <c r="B3240" s="217"/>
      <c r="C3240" s="217"/>
      <c r="D3240" s="101"/>
      <c r="E3240" s="101"/>
      <c r="F3240" s="294"/>
      <c r="G3240" s="295"/>
      <c r="H3240" s="98"/>
      <c r="I3240" s="99"/>
      <c r="J3240" s="99"/>
      <c r="K3240" s="99"/>
      <c r="L3240" s="99"/>
      <c r="M3240" s="99"/>
      <c r="N3240" s="99"/>
      <c r="O3240" s="99"/>
      <c r="P3240" s="99"/>
      <c r="Q3240" s="99"/>
      <c r="R3240" s="99"/>
      <c r="S3240" s="99"/>
      <c r="T3240" s="99"/>
      <c r="U3240" s="99"/>
      <c r="V3240" s="99"/>
    </row>
    <row r="3241" spans="1:22">
      <c r="A3241" s="297"/>
      <c r="B3241" s="217"/>
      <c r="C3241" s="217"/>
      <c r="D3241" s="101"/>
      <c r="E3241" s="101"/>
      <c r="F3241" s="294"/>
      <c r="G3241" s="295"/>
      <c r="H3241" s="98"/>
      <c r="I3241" s="99"/>
      <c r="J3241" s="99"/>
      <c r="K3241" s="99"/>
      <c r="L3241" s="99"/>
      <c r="M3241" s="99"/>
      <c r="N3241" s="99"/>
      <c r="O3241" s="99"/>
      <c r="P3241" s="99"/>
      <c r="Q3241" s="99"/>
      <c r="R3241" s="99"/>
      <c r="S3241" s="99"/>
      <c r="T3241" s="99"/>
      <c r="U3241" s="99"/>
      <c r="V3241" s="99"/>
    </row>
    <row r="3242" spans="1:22">
      <c r="A3242" s="297"/>
      <c r="B3242" s="217"/>
      <c r="C3242" s="217"/>
      <c r="D3242" s="101"/>
      <c r="E3242" s="101"/>
      <c r="F3242" s="294"/>
      <c r="G3242" s="295"/>
      <c r="H3242" s="98"/>
      <c r="I3242" s="99"/>
      <c r="J3242" s="99"/>
      <c r="K3242" s="99"/>
      <c r="L3242" s="99"/>
      <c r="M3242" s="99"/>
      <c r="N3242" s="99"/>
      <c r="O3242" s="99"/>
      <c r="P3242" s="99"/>
      <c r="Q3242" s="99"/>
      <c r="R3242" s="99"/>
      <c r="S3242" s="99"/>
      <c r="T3242" s="99"/>
      <c r="U3242" s="99"/>
      <c r="V3242" s="99"/>
    </row>
    <row r="3243" spans="1:22">
      <c r="A3243" s="297"/>
      <c r="B3243" s="217"/>
      <c r="C3243" s="217"/>
      <c r="D3243" s="101"/>
      <c r="E3243" s="101"/>
      <c r="F3243" s="294"/>
      <c r="G3243" s="295"/>
      <c r="H3243" s="107"/>
      <c r="I3243" s="108"/>
      <c r="J3243" s="108"/>
      <c r="K3243" s="108"/>
      <c r="L3243" s="108"/>
      <c r="M3243" s="108"/>
      <c r="N3243" s="108"/>
      <c r="O3243" s="108"/>
      <c r="P3243" s="108"/>
      <c r="Q3243" s="108"/>
      <c r="R3243" s="108"/>
      <c r="S3243" s="108"/>
      <c r="T3243" s="108"/>
      <c r="U3243" s="233"/>
      <c r="V3243" s="233"/>
    </row>
    <row r="3244" spans="1:22">
      <c r="A3244" s="297"/>
      <c r="B3244" s="217"/>
      <c r="C3244" s="217"/>
      <c r="D3244" s="101"/>
      <c r="E3244" s="101"/>
      <c r="F3244" s="294"/>
      <c r="G3244" s="295"/>
      <c r="H3244" s="232"/>
      <c r="I3244" s="233"/>
      <c r="J3244" s="233"/>
      <c r="K3244" s="233"/>
      <c r="L3244" s="233"/>
      <c r="M3244" s="233"/>
      <c r="N3244" s="233"/>
      <c r="O3244" s="233"/>
      <c r="P3244" s="233"/>
      <c r="Q3244" s="233"/>
      <c r="R3244" s="233"/>
      <c r="S3244" s="233"/>
      <c r="T3244" s="233"/>
      <c r="U3244" s="233"/>
      <c r="V3244" s="233"/>
    </row>
    <row r="3245" spans="1:22">
      <c r="A3245" s="297"/>
      <c r="B3245" s="217"/>
      <c r="C3245" s="217"/>
      <c r="D3245" s="101"/>
      <c r="E3245" s="101"/>
      <c r="F3245" s="294"/>
      <c r="G3245" s="295"/>
      <c r="H3245" s="98"/>
      <c r="I3245" s="99"/>
      <c r="J3245" s="99"/>
      <c r="K3245" s="99"/>
      <c r="L3245" s="99"/>
      <c r="M3245" s="99"/>
      <c r="N3245" s="99"/>
      <c r="O3245" s="99"/>
      <c r="P3245" s="99"/>
      <c r="Q3245" s="99"/>
      <c r="R3245" s="99"/>
      <c r="S3245" s="99"/>
      <c r="T3245" s="99"/>
      <c r="U3245" s="99"/>
      <c r="V3245" s="99"/>
    </row>
    <row r="3246" spans="1:22">
      <c r="A3246" s="297"/>
      <c r="B3246" s="217"/>
      <c r="C3246" s="217"/>
      <c r="D3246" s="101"/>
      <c r="E3246" s="101"/>
      <c r="F3246" s="294"/>
      <c r="G3246" s="295"/>
      <c r="H3246" s="98"/>
      <c r="I3246" s="99"/>
      <c r="J3246" s="99"/>
      <c r="K3246" s="99"/>
      <c r="L3246" s="99"/>
      <c r="M3246" s="99"/>
      <c r="N3246" s="99"/>
      <c r="O3246" s="99"/>
      <c r="P3246" s="99"/>
      <c r="Q3246" s="99"/>
      <c r="R3246" s="99"/>
      <c r="S3246" s="99"/>
      <c r="T3246" s="99"/>
      <c r="U3246" s="99"/>
      <c r="V3246" s="99"/>
    </row>
    <row r="3247" spans="1:22">
      <c r="A3247" s="297"/>
      <c r="B3247" s="217"/>
      <c r="C3247" s="217"/>
      <c r="D3247" s="101"/>
      <c r="E3247" s="101"/>
      <c r="F3247" s="294"/>
      <c r="G3247" s="295"/>
      <c r="H3247" s="98"/>
      <c r="I3247" s="99"/>
      <c r="J3247" s="99"/>
      <c r="K3247" s="99"/>
      <c r="L3247" s="99"/>
      <c r="M3247" s="99"/>
      <c r="N3247" s="99"/>
      <c r="O3247" s="99"/>
      <c r="P3247" s="99"/>
      <c r="Q3247" s="99"/>
      <c r="R3247" s="99"/>
      <c r="S3247" s="99"/>
      <c r="T3247" s="99"/>
      <c r="U3247" s="99"/>
      <c r="V3247" s="99"/>
    </row>
    <row r="3248" spans="1:22">
      <c r="A3248" s="297"/>
      <c r="B3248" s="217"/>
      <c r="C3248" s="217"/>
      <c r="D3248" s="101"/>
      <c r="E3248" s="101"/>
      <c r="F3248" s="294"/>
      <c r="G3248" s="295"/>
      <c r="H3248" s="98"/>
      <c r="I3248" s="99"/>
      <c r="J3248" s="99"/>
      <c r="K3248" s="99"/>
      <c r="L3248" s="99"/>
      <c r="M3248" s="99"/>
      <c r="N3248" s="99"/>
      <c r="O3248" s="99"/>
      <c r="P3248" s="99"/>
      <c r="Q3248" s="99"/>
      <c r="R3248" s="99"/>
      <c r="S3248" s="99"/>
      <c r="T3248" s="99"/>
      <c r="U3248" s="99"/>
      <c r="V3248" s="99"/>
    </row>
    <row r="3249" spans="1:22">
      <c r="A3249" s="297"/>
      <c r="B3249" s="217"/>
      <c r="C3249" s="217"/>
      <c r="D3249" s="101"/>
      <c r="E3249" s="101"/>
      <c r="F3249" s="294"/>
      <c r="G3249" s="295"/>
      <c r="H3249" s="98"/>
      <c r="I3249" s="99"/>
      <c r="J3249" s="99"/>
      <c r="K3249" s="99"/>
      <c r="L3249" s="99"/>
      <c r="M3249" s="99"/>
      <c r="N3249" s="99"/>
      <c r="O3249" s="99"/>
      <c r="P3249" s="99"/>
      <c r="Q3249" s="99"/>
      <c r="R3249" s="99"/>
      <c r="S3249" s="99"/>
      <c r="T3249" s="99"/>
      <c r="U3249" s="99"/>
      <c r="V3249" s="99"/>
    </row>
    <row r="3250" spans="1:22">
      <c r="A3250" s="297"/>
      <c r="B3250" s="217"/>
      <c r="C3250" s="217"/>
      <c r="D3250" s="101"/>
      <c r="E3250" s="101"/>
      <c r="F3250" s="294"/>
      <c r="G3250" s="295"/>
      <c r="H3250" s="98"/>
      <c r="I3250" s="99"/>
      <c r="J3250" s="99"/>
      <c r="K3250" s="99"/>
      <c r="L3250" s="99"/>
      <c r="M3250" s="99"/>
      <c r="N3250" s="99"/>
      <c r="O3250" s="99"/>
      <c r="P3250" s="99"/>
      <c r="Q3250" s="99"/>
      <c r="R3250" s="99"/>
      <c r="S3250" s="99"/>
      <c r="T3250" s="99"/>
      <c r="U3250" s="99"/>
      <c r="V3250" s="99"/>
    </row>
    <row r="3251" spans="1:22">
      <c r="A3251" s="297"/>
      <c r="B3251" s="217"/>
      <c r="C3251" s="217"/>
      <c r="D3251" s="101"/>
      <c r="E3251" s="101"/>
      <c r="F3251" s="294"/>
      <c r="G3251" s="295"/>
      <c r="H3251" s="98"/>
      <c r="I3251" s="99"/>
      <c r="J3251" s="99"/>
      <c r="K3251" s="99"/>
      <c r="L3251" s="99"/>
      <c r="M3251" s="99"/>
      <c r="N3251" s="99"/>
      <c r="O3251" s="99"/>
      <c r="P3251" s="99"/>
      <c r="Q3251" s="99"/>
      <c r="R3251" s="99"/>
      <c r="S3251" s="99"/>
      <c r="T3251" s="99"/>
      <c r="U3251" s="99"/>
      <c r="V3251" s="99"/>
    </row>
    <row r="3252" spans="1:22">
      <c r="A3252" s="297"/>
      <c r="B3252" s="217"/>
      <c r="C3252" s="217"/>
      <c r="D3252" s="101"/>
      <c r="E3252" s="101"/>
      <c r="F3252" s="294"/>
      <c r="G3252" s="295"/>
      <c r="H3252" s="98"/>
      <c r="I3252" s="99"/>
      <c r="J3252" s="99"/>
      <c r="K3252" s="99"/>
      <c r="L3252" s="99"/>
      <c r="M3252" s="99"/>
      <c r="N3252" s="99"/>
      <c r="O3252" s="99"/>
      <c r="P3252" s="99"/>
      <c r="Q3252" s="99"/>
      <c r="R3252" s="99"/>
      <c r="S3252" s="99"/>
      <c r="T3252" s="99"/>
      <c r="U3252" s="99"/>
      <c r="V3252" s="99"/>
    </row>
    <row r="3253" spans="1:22">
      <c r="A3253" s="297"/>
      <c r="B3253" s="217"/>
      <c r="C3253" s="217"/>
      <c r="D3253" s="101"/>
      <c r="E3253" s="101"/>
      <c r="F3253" s="294"/>
      <c r="G3253" s="295"/>
      <c r="H3253" s="98"/>
      <c r="I3253" s="99"/>
      <c r="J3253" s="99"/>
      <c r="K3253" s="99"/>
      <c r="L3253" s="99"/>
      <c r="M3253" s="99"/>
      <c r="N3253" s="99"/>
      <c r="O3253" s="99"/>
      <c r="P3253" s="99"/>
      <c r="Q3253" s="99"/>
      <c r="R3253" s="99"/>
      <c r="S3253" s="99"/>
      <c r="T3253" s="99"/>
      <c r="U3253" s="99"/>
      <c r="V3253" s="99"/>
    </row>
    <row r="3254" spans="1:22">
      <c r="A3254" s="297"/>
      <c r="B3254" s="217"/>
      <c r="C3254" s="217"/>
      <c r="D3254" s="101"/>
      <c r="E3254" s="101"/>
      <c r="F3254" s="294"/>
      <c r="G3254" s="295"/>
      <c r="H3254" s="98"/>
      <c r="I3254" s="99"/>
      <c r="J3254" s="99"/>
      <c r="K3254" s="99"/>
      <c r="L3254" s="99"/>
      <c r="M3254" s="99"/>
      <c r="N3254" s="99"/>
      <c r="O3254" s="99"/>
      <c r="P3254" s="99"/>
      <c r="Q3254" s="99"/>
      <c r="R3254" s="99"/>
      <c r="S3254" s="99"/>
      <c r="T3254" s="99"/>
      <c r="U3254" s="99"/>
      <c r="V3254" s="99"/>
    </row>
    <row r="3255" spans="1:22">
      <c r="A3255" s="297"/>
      <c r="B3255" s="217"/>
      <c r="C3255" s="217"/>
      <c r="D3255" s="101"/>
      <c r="E3255" s="101"/>
      <c r="F3255" s="294"/>
      <c r="G3255" s="295"/>
      <c r="H3255" s="98"/>
      <c r="I3255" s="99"/>
      <c r="J3255" s="99"/>
      <c r="K3255" s="99"/>
      <c r="L3255" s="99"/>
      <c r="M3255" s="99"/>
      <c r="N3255" s="99"/>
      <c r="O3255" s="99"/>
      <c r="P3255" s="99"/>
      <c r="Q3255" s="99"/>
      <c r="R3255" s="99"/>
      <c r="S3255" s="99"/>
      <c r="T3255" s="99"/>
      <c r="U3255" s="99"/>
      <c r="V3255" s="99"/>
    </row>
    <row r="3256" spans="1:22">
      <c r="A3256" s="297"/>
      <c r="B3256" s="217"/>
      <c r="C3256" s="217"/>
      <c r="D3256" s="101"/>
      <c r="E3256" s="101"/>
      <c r="F3256" s="294"/>
      <c r="G3256" s="295"/>
      <c r="H3256" s="107"/>
      <c r="I3256" s="108"/>
      <c r="J3256" s="108"/>
      <c r="K3256" s="108"/>
      <c r="L3256" s="108"/>
      <c r="M3256" s="108"/>
      <c r="N3256" s="108"/>
      <c r="O3256" s="108"/>
      <c r="P3256" s="108"/>
      <c r="Q3256" s="108"/>
      <c r="R3256" s="108"/>
      <c r="S3256" s="108"/>
      <c r="T3256" s="108"/>
      <c r="U3256" s="233"/>
      <c r="V3256" s="233"/>
    </row>
    <row r="3257" spans="1:22">
      <c r="A3257" s="297"/>
      <c r="B3257" s="217"/>
      <c r="C3257" s="217"/>
      <c r="D3257" s="101"/>
      <c r="E3257" s="101"/>
      <c r="F3257" s="294"/>
      <c r="G3257" s="295"/>
      <c r="H3257" s="98"/>
      <c r="I3257" s="218"/>
      <c r="J3257" s="218"/>
      <c r="K3257" s="218"/>
      <c r="L3257" s="218"/>
      <c r="M3257" s="218"/>
      <c r="N3257" s="226"/>
      <c r="O3257" s="226"/>
      <c r="P3257" s="226"/>
      <c r="Q3257" s="111"/>
      <c r="R3257" s="111"/>
      <c r="S3257" s="111"/>
      <c r="T3257" s="111"/>
      <c r="U3257" s="111"/>
      <c r="V3257" s="111"/>
    </row>
    <row r="3258" spans="1:22">
      <c r="A3258" s="297"/>
      <c r="B3258" s="217"/>
      <c r="C3258" s="217"/>
      <c r="D3258" s="101"/>
      <c r="E3258" s="101"/>
      <c r="F3258" s="294"/>
      <c r="G3258" s="295"/>
      <c r="H3258" s="98"/>
      <c r="I3258" s="99"/>
      <c r="J3258" s="99"/>
      <c r="K3258" s="99"/>
      <c r="L3258" s="99"/>
      <c r="M3258" s="99"/>
      <c r="N3258" s="99"/>
      <c r="O3258" s="99"/>
      <c r="P3258" s="99"/>
      <c r="Q3258" s="99"/>
      <c r="R3258" s="99"/>
      <c r="S3258" s="99"/>
      <c r="T3258" s="99"/>
      <c r="U3258" s="99"/>
      <c r="V3258" s="99"/>
    </row>
    <row r="3259" spans="1:22">
      <c r="A3259" s="297"/>
      <c r="B3259" s="217"/>
      <c r="C3259" s="217"/>
      <c r="D3259" s="101"/>
      <c r="E3259" s="101"/>
      <c r="F3259" s="294"/>
      <c r="G3259" s="295"/>
      <c r="H3259" s="98"/>
      <c r="I3259" s="99"/>
      <c r="J3259" s="99"/>
      <c r="K3259" s="99"/>
      <c r="L3259" s="99"/>
      <c r="M3259" s="99"/>
      <c r="N3259" s="99"/>
      <c r="O3259" s="99"/>
      <c r="P3259" s="99"/>
      <c r="Q3259" s="99"/>
      <c r="R3259" s="99"/>
      <c r="S3259" s="99"/>
      <c r="T3259" s="99"/>
      <c r="U3259" s="99"/>
      <c r="V3259" s="99"/>
    </row>
    <row r="3260" spans="1:22">
      <c r="A3260" s="297"/>
      <c r="B3260" s="217"/>
      <c r="C3260" s="217"/>
      <c r="D3260" s="101"/>
      <c r="E3260" s="101"/>
      <c r="F3260" s="294"/>
      <c r="G3260" s="295"/>
      <c r="H3260" s="107"/>
      <c r="I3260" s="108"/>
      <c r="J3260" s="108"/>
      <c r="K3260" s="108"/>
      <c r="L3260" s="108"/>
      <c r="M3260" s="108"/>
      <c r="N3260" s="108"/>
      <c r="O3260" s="108"/>
      <c r="P3260" s="108"/>
      <c r="Q3260" s="108"/>
      <c r="R3260" s="108"/>
      <c r="S3260" s="108"/>
      <c r="T3260" s="108"/>
      <c r="U3260" s="233"/>
      <c r="V3260" s="233"/>
    </row>
    <row r="3261" spans="1:22">
      <c r="A3261" s="297"/>
      <c r="B3261" s="217"/>
      <c r="C3261" s="217"/>
      <c r="D3261" s="101"/>
      <c r="E3261" s="101"/>
      <c r="F3261" s="294"/>
      <c r="G3261" s="295"/>
      <c r="H3261" s="98"/>
      <c r="I3261" s="218"/>
      <c r="J3261" s="218"/>
      <c r="K3261" s="218"/>
      <c r="L3261" s="218"/>
      <c r="M3261" s="218"/>
      <c r="N3261" s="226"/>
      <c r="O3261" s="226"/>
      <c r="P3261" s="226"/>
      <c r="Q3261" s="111"/>
      <c r="R3261" s="111"/>
      <c r="S3261" s="111"/>
      <c r="T3261" s="111"/>
      <c r="U3261" s="111"/>
      <c r="V3261" s="111"/>
    </row>
    <row r="3262" spans="1:22">
      <c r="A3262" s="297"/>
      <c r="B3262" s="217"/>
      <c r="C3262" s="217"/>
      <c r="D3262" s="101"/>
      <c r="E3262" s="101"/>
      <c r="F3262" s="294"/>
      <c r="G3262" s="295"/>
      <c r="H3262" s="114"/>
      <c r="I3262" s="221"/>
      <c r="J3262" s="221"/>
      <c r="K3262" s="221"/>
      <c r="L3262" s="221"/>
      <c r="M3262" s="221"/>
      <c r="N3262" s="221"/>
      <c r="O3262" s="221"/>
      <c r="P3262" s="221"/>
      <c r="Q3262" s="221"/>
      <c r="R3262" s="221"/>
      <c r="S3262" s="221"/>
      <c r="T3262" s="221"/>
      <c r="U3262" s="223"/>
      <c r="V3262" s="223"/>
    </row>
    <row r="3263" spans="1:22" ht="14.4" thickBot="1">
      <c r="A3263" s="297"/>
      <c r="B3263" s="217"/>
      <c r="C3263" s="217"/>
      <c r="D3263" s="101"/>
      <c r="E3263" s="101"/>
      <c r="F3263" s="294"/>
      <c r="G3263" s="295"/>
      <c r="H3263" s="89"/>
      <c r="I3263" s="223"/>
      <c r="J3263" s="223"/>
      <c r="K3263" s="223"/>
      <c r="L3263" s="223"/>
      <c r="M3263" s="223"/>
      <c r="N3263" s="234"/>
      <c r="O3263" s="234"/>
      <c r="P3263" s="234"/>
      <c r="Q3263" s="223"/>
      <c r="R3263" s="223"/>
      <c r="S3263" s="223"/>
      <c r="T3263" s="223"/>
      <c r="U3263" s="223"/>
      <c r="V3263" s="223"/>
    </row>
    <row r="3264" spans="1:22" ht="23.4" thickBot="1">
      <c r="A3264" s="297"/>
      <c r="B3264" s="217"/>
      <c r="C3264" s="217"/>
      <c r="D3264" s="101"/>
      <c r="E3264" s="101"/>
      <c r="F3264" s="294"/>
      <c r="G3264" s="295"/>
      <c r="H3264" s="686"/>
      <c r="I3264" s="687"/>
      <c r="J3264" s="687"/>
      <c r="K3264" s="687"/>
      <c r="L3264" s="687"/>
      <c r="M3264" s="687"/>
      <c r="N3264" s="687"/>
      <c r="O3264" s="687"/>
      <c r="P3264" s="687"/>
      <c r="Q3264" s="687"/>
      <c r="R3264" s="687"/>
      <c r="S3264" s="715"/>
      <c r="T3264" s="688"/>
      <c r="U3264" s="254"/>
      <c r="V3264" s="254"/>
    </row>
    <row r="3265" spans="1:22" ht="22.8">
      <c r="A3265" s="297"/>
      <c r="B3265" s="217"/>
      <c r="C3265" s="217"/>
      <c r="D3265" s="101"/>
      <c r="E3265" s="101"/>
      <c r="F3265" s="294"/>
      <c r="G3265" s="295"/>
      <c r="H3265" s="225"/>
      <c r="I3265" s="225"/>
      <c r="J3265" s="225"/>
      <c r="K3265" s="225"/>
      <c r="L3265" s="225"/>
      <c r="M3265" s="225"/>
      <c r="N3265" s="225"/>
      <c r="O3265" s="225"/>
      <c r="P3265" s="225"/>
      <c r="Q3265" s="225"/>
      <c r="R3265" s="225"/>
      <c r="S3265" s="225"/>
      <c r="T3265" s="225"/>
      <c r="U3265" s="225"/>
      <c r="V3265" s="225"/>
    </row>
    <row r="3266" spans="1:22">
      <c r="A3266" s="297"/>
      <c r="B3266" s="217"/>
      <c r="C3266" s="217"/>
      <c r="D3266" s="101"/>
      <c r="E3266" s="101"/>
      <c r="F3266" s="294"/>
      <c r="G3266" s="295"/>
      <c r="H3266" s="98"/>
      <c r="I3266" s="99"/>
      <c r="J3266" s="99"/>
      <c r="K3266" s="99"/>
      <c r="L3266" s="99"/>
      <c r="M3266" s="99"/>
      <c r="N3266" s="99"/>
      <c r="O3266" s="99"/>
      <c r="P3266" s="99"/>
      <c r="Q3266" s="99"/>
      <c r="R3266" s="99"/>
      <c r="S3266" s="99"/>
      <c r="T3266" s="99"/>
      <c r="U3266" s="99"/>
      <c r="V3266" s="99"/>
    </row>
    <row r="3267" spans="1:22">
      <c r="A3267" s="297"/>
      <c r="B3267" s="217"/>
      <c r="C3267" s="217"/>
      <c r="D3267" s="101"/>
      <c r="E3267" s="101"/>
      <c r="F3267" s="294"/>
      <c r="G3267" s="295"/>
      <c r="H3267" s="98"/>
      <c r="I3267" s="99"/>
      <c r="J3267" s="99"/>
      <c r="K3267" s="99"/>
      <c r="L3267" s="99"/>
      <c r="M3267" s="99"/>
      <c r="N3267" s="99"/>
      <c r="O3267" s="99"/>
      <c r="P3267" s="99"/>
      <c r="Q3267" s="99"/>
      <c r="R3267" s="99"/>
      <c r="S3267" s="99"/>
      <c r="T3267" s="99"/>
      <c r="U3267" s="99"/>
      <c r="V3267" s="99"/>
    </row>
    <row r="3268" spans="1:22">
      <c r="A3268" s="297"/>
      <c r="B3268" s="217"/>
      <c r="C3268" s="217"/>
      <c r="D3268" s="101"/>
      <c r="E3268" s="101"/>
      <c r="F3268" s="294"/>
      <c r="G3268" s="295"/>
      <c r="H3268" s="98"/>
      <c r="I3268" s="99"/>
      <c r="J3268" s="99"/>
      <c r="K3268" s="99"/>
      <c r="L3268" s="99"/>
      <c r="M3268" s="99"/>
      <c r="N3268" s="99"/>
      <c r="O3268" s="99"/>
      <c r="P3268" s="99"/>
      <c r="Q3268" s="99"/>
      <c r="R3268" s="99"/>
      <c r="S3268" s="99"/>
      <c r="T3268" s="99"/>
      <c r="U3268" s="99"/>
      <c r="V3268" s="99"/>
    </row>
    <row r="3269" spans="1:22">
      <c r="A3269" s="297"/>
      <c r="B3269" s="217"/>
      <c r="C3269" s="217"/>
      <c r="D3269" s="101"/>
      <c r="E3269" s="101"/>
      <c r="F3269" s="294"/>
      <c r="G3269" s="295"/>
      <c r="H3269" s="98"/>
      <c r="I3269" s="99"/>
      <c r="J3269" s="99"/>
      <c r="K3269" s="99"/>
      <c r="L3269" s="99"/>
      <c r="M3269" s="99"/>
      <c r="N3269" s="99"/>
      <c r="O3269" s="99"/>
      <c r="P3269" s="99"/>
      <c r="Q3269" s="99"/>
      <c r="R3269" s="99"/>
      <c r="S3269" s="99"/>
      <c r="T3269" s="99"/>
      <c r="U3269" s="99"/>
      <c r="V3269" s="99"/>
    </row>
    <row r="3270" spans="1:22">
      <c r="A3270" s="297"/>
      <c r="B3270" s="217"/>
      <c r="C3270" s="217"/>
      <c r="D3270" s="101"/>
      <c r="E3270" s="101"/>
      <c r="F3270" s="294"/>
      <c r="G3270" s="295"/>
      <c r="H3270" s="98"/>
      <c r="I3270" s="99"/>
      <c r="J3270" s="99"/>
      <c r="K3270" s="99"/>
      <c r="L3270" s="99"/>
      <c r="M3270" s="99"/>
      <c r="N3270" s="99"/>
      <c r="O3270" s="99"/>
      <c r="P3270" s="99"/>
      <c r="Q3270" s="99"/>
      <c r="R3270" s="99"/>
      <c r="S3270" s="99"/>
      <c r="T3270" s="99"/>
      <c r="U3270" s="99"/>
      <c r="V3270" s="99"/>
    </row>
    <row r="3271" spans="1:22">
      <c r="A3271" s="297"/>
      <c r="B3271" s="217"/>
      <c r="C3271" s="217"/>
      <c r="D3271" s="101"/>
      <c r="E3271" s="101"/>
      <c r="F3271" s="294"/>
      <c r="G3271" s="295"/>
      <c r="H3271" s="98"/>
      <c r="I3271" s="99"/>
      <c r="J3271" s="99"/>
      <c r="K3271" s="99"/>
      <c r="L3271" s="99"/>
      <c r="M3271" s="99"/>
      <c r="N3271" s="99"/>
      <c r="O3271" s="99"/>
      <c r="P3271" s="99"/>
      <c r="Q3271" s="99"/>
      <c r="R3271" s="99"/>
      <c r="S3271" s="99"/>
      <c r="T3271" s="99"/>
      <c r="U3271" s="99"/>
      <c r="V3271" s="99"/>
    </row>
    <row r="3272" spans="1:22">
      <c r="A3272" s="297"/>
      <c r="B3272" s="217"/>
      <c r="C3272" s="217"/>
      <c r="D3272" s="101"/>
      <c r="E3272" s="101"/>
      <c r="F3272" s="294"/>
      <c r="G3272" s="295"/>
      <c r="H3272" s="98"/>
      <c r="I3272" s="99"/>
      <c r="J3272" s="99"/>
      <c r="K3272" s="99"/>
      <c r="L3272" s="99"/>
      <c r="M3272" s="99"/>
      <c r="N3272" s="99"/>
      <c r="O3272" s="99"/>
      <c r="P3272" s="99"/>
      <c r="Q3272" s="99"/>
      <c r="R3272" s="99"/>
      <c r="S3272" s="99"/>
      <c r="T3272" s="99"/>
      <c r="U3272" s="99"/>
      <c r="V3272" s="99"/>
    </row>
    <row r="3273" spans="1:22">
      <c r="A3273" s="297"/>
      <c r="B3273" s="217"/>
      <c r="C3273" s="217"/>
      <c r="D3273" s="101"/>
      <c r="E3273" s="101"/>
      <c r="F3273" s="294"/>
      <c r="G3273" s="295"/>
      <c r="H3273" s="98"/>
      <c r="I3273" s="99"/>
      <c r="J3273" s="99"/>
      <c r="K3273" s="99"/>
      <c r="L3273" s="99"/>
      <c r="M3273" s="99"/>
      <c r="N3273" s="99"/>
      <c r="O3273" s="99"/>
      <c r="P3273" s="99"/>
      <c r="Q3273" s="99"/>
      <c r="R3273" s="99"/>
      <c r="S3273" s="99"/>
      <c r="T3273" s="99"/>
      <c r="U3273" s="99"/>
      <c r="V3273" s="99"/>
    </row>
    <row r="3274" spans="1:22">
      <c r="A3274" s="297"/>
      <c r="B3274" s="217"/>
      <c r="C3274" s="217"/>
      <c r="D3274" s="101"/>
      <c r="E3274" s="101"/>
      <c r="F3274" s="294"/>
      <c r="G3274" s="295"/>
      <c r="H3274" s="98"/>
      <c r="I3274" s="99"/>
      <c r="J3274" s="99"/>
      <c r="K3274" s="99"/>
      <c r="L3274" s="99"/>
      <c r="M3274" s="99"/>
      <c r="N3274" s="99"/>
      <c r="O3274" s="99"/>
      <c r="P3274" s="99"/>
      <c r="Q3274" s="99"/>
      <c r="R3274" s="99"/>
      <c r="S3274" s="99"/>
      <c r="T3274" s="99"/>
      <c r="U3274" s="99"/>
      <c r="V3274" s="99"/>
    </row>
    <row r="3275" spans="1:22">
      <c r="A3275" s="297"/>
      <c r="B3275" s="217"/>
      <c r="C3275" s="217"/>
      <c r="D3275" s="101"/>
      <c r="E3275" s="101"/>
      <c r="F3275" s="294"/>
      <c r="G3275" s="295"/>
      <c r="H3275" s="107"/>
      <c r="I3275" s="108"/>
      <c r="J3275" s="108"/>
      <c r="K3275" s="108"/>
      <c r="L3275" s="108"/>
      <c r="M3275" s="108"/>
      <c r="N3275" s="108"/>
      <c r="O3275" s="108"/>
      <c r="P3275" s="108"/>
      <c r="Q3275" s="108"/>
      <c r="R3275" s="108"/>
      <c r="S3275" s="108"/>
      <c r="T3275" s="108"/>
      <c r="U3275" s="233"/>
      <c r="V3275" s="233"/>
    </row>
    <row r="3276" spans="1:22">
      <c r="A3276" s="297"/>
      <c r="B3276" s="217"/>
      <c r="C3276" s="217"/>
      <c r="D3276" s="101"/>
      <c r="E3276" s="101"/>
      <c r="F3276" s="294"/>
      <c r="G3276" s="295"/>
      <c r="H3276" s="232"/>
      <c r="I3276" s="233"/>
      <c r="J3276" s="233"/>
      <c r="K3276" s="233"/>
      <c r="L3276" s="233"/>
      <c r="M3276" s="233"/>
      <c r="N3276" s="233"/>
      <c r="O3276" s="233"/>
      <c r="P3276" s="233"/>
      <c r="Q3276" s="233"/>
      <c r="R3276" s="233"/>
      <c r="S3276" s="233"/>
      <c r="T3276" s="233"/>
      <c r="U3276" s="233"/>
      <c r="V3276" s="233"/>
    </row>
    <row r="3277" spans="1:22">
      <c r="A3277" s="297"/>
      <c r="B3277" s="217"/>
      <c r="C3277" s="217"/>
      <c r="D3277" s="101"/>
      <c r="E3277" s="101"/>
      <c r="F3277" s="294"/>
      <c r="G3277" s="295"/>
      <c r="H3277" s="98"/>
      <c r="I3277" s="99"/>
      <c r="J3277" s="99"/>
      <c r="K3277" s="99"/>
      <c r="L3277" s="99"/>
      <c r="M3277" s="99"/>
      <c r="N3277" s="99"/>
      <c r="O3277" s="99"/>
      <c r="P3277" s="99"/>
      <c r="Q3277" s="99"/>
      <c r="R3277" s="99"/>
      <c r="S3277" s="99"/>
      <c r="T3277" s="99"/>
      <c r="U3277" s="99"/>
      <c r="V3277" s="99"/>
    </row>
    <row r="3278" spans="1:22">
      <c r="A3278" s="297"/>
      <c r="B3278" s="217"/>
      <c r="C3278" s="217"/>
      <c r="D3278" s="101"/>
      <c r="E3278" s="101"/>
      <c r="F3278" s="294"/>
      <c r="G3278" s="295"/>
      <c r="H3278" s="98"/>
      <c r="I3278" s="99"/>
      <c r="J3278" s="99"/>
      <c r="K3278" s="99"/>
      <c r="L3278" s="99"/>
      <c r="M3278" s="99"/>
      <c r="N3278" s="99"/>
      <c r="O3278" s="99"/>
      <c r="P3278" s="99"/>
      <c r="Q3278" s="99"/>
      <c r="R3278" s="99"/>
      <c r="S3278" s="99"/>
      <c r="T3278" s="99"/>
      <c r="U3278" s="99"/>
      <c r="V3278" s="99"/>
    </row>
    <row r="3279" spans="1:22">
      <c r="A3279" s="297"/>
      <c r="B3279" s="217"/>
      <c r="C3279" s="217"/>
      <c r="D3279" s="101"/>
      <c r="E3279" s="101"/>
      <c r="F3279" s="294"/>
      <c r="G3279" s="295"/>
      <c r="H3279" s="98"/>
      <c r="I3279" s="99"/>
      <c r="J3279" s="99"/>
      <c r="K3279" s="99"/>
      <c r="L3279" s="99"/>
      <c r="M3279" s="99"/>
      <c r="N3279" s="99"/>
      <c r="O3279" s="99"/>
      <c r="P3279" s="99"/>
      <c r="Q3279" s="99"/>
      <c r="R3279" s="99"/>
      <c r="S3279" s="99"/>
      <c r="T3279" s="99"/>
      <c r="U3279" s="99"/>
      <c r="V3279" s="99"/>
    </row>
    <row r="3280" spans="1:22">
      <c r="A3280" s="297"/>
      <c r="B3280" s="217"/>
      <c r="C3280" s="217"/>
      <c r="D3280" s="101"/>
      <c r="E3280" s="101"/>
      <c r="F3280" s="294"/>
      <c r="G3280" s="295"/>
      <c r="H3280" s="98"/>
      <c r="I3280" s="99"/>
      <c r="J3280" s="99"/>
      <c r="K3280" s="99"/>
      <c r="L3280" s="99"/>
      <c r="M3280" s="99"/>
      <c r="N3280" s="99"/>
      <c r="O3280" s="99"/>
      <c r="P3280" s="99"/>
      <c r="Q3280" s="99"/>
      <c r="R3280" s="99"/>
      <c r="S3280" s="99"/>
      <c r="T3280" s="99"/>
      <c r="U3280" s="99"/>
      <c r="V3280" s="99"/>
    </row>
    <row r="3281" spans="1:22">
      <c r="A3281" s="297"/>
      <c r="B3281" s="217"/>
      <c r="C3281" s="217"/>
      <c r="D3281" s="101"/>
      <c r="E3281" s="101"/>
      <c r="F3281" s="294"/>
      <c r="G3281" s="295"/>
      <c r="H3281" s="98"/>
      <c r="I3281" s="99"/>
      <c r="J3281" s="99"/>
      <c r="K3281" s="99"/>
      <c r="L3281" s="99"/>
      <c r="M3281" s="99"/>
      <c r="N3281" s="99"/>
      <c r="O3281" s="99"/>
      <c r="P3281" s="99"/>
      <c r="Q3281" s="99"/>
      <c r="R3281" s="99"/>
      <c r="S3281" s="99"/>
      <c r="T3281" s="99"/>
      <c r="U3281" s="99"/>
      <c r="V3281" s="99"/>
    </row>
    <row r="3282" spans="1:22">
      <c r="A3282" s="297"/>
      <c r="B3282" s="217"/>
      <c r="C3282" s="217"/>
      <c r="D3282" s="101"/>
      <c r="E3282" s="101"/>
      <c r="F3282" s="294"/>
      <c r="G3282" s="295"/>
      <c r="H3282" s="98"/>
      <c r="I3282" s="99"/>
      <c r="J3282" s="99"/>
      <c r="K3282" s="99"/>
      <c r="L3282" s="99"/>
      <c r="M3282" s="99"/>
      <c r="N3282" s="99"/>
      <c r="O3282" s="99"/>
      <c r="P3282" s="99"/>
      <c r="Q3282" s="99"/>
      <c r="R3282" s="99"/>
      <c r="S3282" s="99"/>
      <c r="T3282" s="99"/>
      <c r="U3282" s="99"/>
      <c r="V3282" s="99"/>
    </row>
    <row r="3283" spans="1:22">
      <c r="A3283" s="297"/>
      <c r="B3283" s="217"/>
      <c r="C3283" s="217"/>
      <c r="D3283" s="101"/>
      <c r="E3283" s="101"/>
      <c r="F3283" s="294"/>
      <c r="G3283" s="295"/>
      <c r="H3283" s="98"/>
      <c r="I3283" s="99"/>
      <c r="J3283" s="99"/>
      <c r="K3283" s="99"/>
      <c r="L3283" s="99"/>
      <c r="M3283" s="99"/>
      <c r="N3283" s="99"/>
      <c r="O3283" s="99"/>
      <c r="P3283" s="99"/>
      <c r="Q3283" s="99"/>
      <c r="R3283" s="99"/>
      <c r="S3283" s="99"/>
      <c r="T3283" s="99"/>
      <c r="U3283" s="99"/>
      <c r="V3283" s="99"/>
    </row>
    <row r="3284" spans="1:22">
      <c r="A3284" s="297"/>
      <c r="B3284" s="217"/>
      <c r="C3284" s="217"/>
      <c r="D3284" s="101"/>
      <c r="E3284" s="101"/>
      <c r="F3284" s="294"/>
      <c r="G3284" s="295"/>
      <c r="H3284" s="98"/>
      <c r="I3284" s="99"/>
      <c r="J3284" s="99"/>
      <c r="K3284" s="99"/>
      <c r="L3284" s="99"/>
      <c r="M3284" s="99"/>
      <c r="N3284" s="99"/>
      <c r="O3284" s="99"/>
      <c r="P3284" s="99"/>
      <c r="Q3284" s="99"/>
      <c r="R3284" s="99"/>
      <c r="S3284" s="99"/>
      <c r="T3284" s="99"/>
      <c r="U3284" s="99"/>
      <c r="V3284" s="99"/>
    </row>
    <row r="3285" spans="1:22">
      <c r="A3285" s="297"/>
      <c r="B3285" s="217"/>
      <c r="C3285" s="217"/>
      <c r="D3285" s="101"/>
      <c r="E3285" s="101"/>
      <c r="F3285" s="294"/>
      <c r="G3285" s="295"/>
      <c r="H3285" s="98"/>
      <c r="I3285" s="99"/>
      <c r="J3285" s="99"/>
      <c r="K3285" s="99"/>
      <c r="L3285" s="99"/>
      <c r="M3285" s="99"/>
      <c r="N3285" s="99"/>
      <c r="O3285" s="99"/>
      <c r="P3285" s="99"/>
      <c r="Q3285" s="99"/>
      <c r="R3285" s="99"/>
      <c r="S3285" s="99"/>
      <c r="T3285" s="99"/>
      <c r="U3285" s="99"/>
      <c r="V3285" s="99"/>
    </row>
    <row r="3286" spans="1:22">
      <c r="A3286" s="297"/>
      <c r="B3286" s="217"/>
      <c r="C3286" s="217"/>
      <c r="D3286" s="101"/>
      <c r="E3286" s="101"/>
      <c r="F3286" s="294"/>
      <c r="G3286" s="295"/>
      <c r="H3286" s="98"/>
      <c r="I3286" s="99"/>
      <c r="J3286" s="99"/>
      <c r="K3286" s="99"/>
      <c r="L3286" s="99"/>
      <c r="M3286" s="99"/>
      <c r="N3286" s="99"/>
      <c r="O3286" s="99"/>
      <c r="P3286" s="99"/>
      <c r="Q3286" s="99"/>
      <c r="R3286" s="99"/>
      <c r="S3286" s="99"/>
      <c r="T3286" s="99"/>
      <c r="U3286" s="99"/>
      <c r="V3286" s="99"/>
    </row>
    <row r="3287" spans="1:22">
      <c r="A3287" s="297"/>
      <c r="B3287" s="217"/>
      <c r="C3287" s="217"/>
      <c r="D3287" s="101"/>
      <c r="E3287" s="101"/>
      <c r="F3287" s="294"/>
      <c r="G3287" s="295"/>
      <c r="H3287" s="98"/>
      <c r="I3287" s="99"/>
      <c r="J3287" s="99"/>
      <c r="K3287" s="99"/>
      <c r="L3287" s="99"/>
      <c r="M3287" s="99"/>
      <c r="N3287" s="99"/>
      <c r="O3287" s="99"/>
      <c r="P3287" s="99"/>
      <c r="Q3287" s="99"/>
      <c r="R3287" s="99"/>
      <c r="S3287" s="99"/>
      <c r="T3287" s="99"/>
      <c r="U3287" s="99"/>
      <c r="V3287" s="99"/>
    </row>
    <row r="3288" spans="1:22">
      <c r="A3288" s="297"/>
      <c r="B3288" s="217"/>
      <c r="C3288" s="217"/>
      <c r="D3288" s="101"/>
      <c r="E3288" s="101"/>
      <c r="F3288" s="294"/>
      <c r="G3288" s="295"/>
      <c r="H3288" s="98"/>
      <c r="I3288" s="99"/>
      <c r="J3288" s="99"/>
      <c r="K3288" s="99"/>
      <c r="L3288" s="99"/>
      <c r="M3288" s="99"/>
      <c r="N3288" s="99"/>
      <c r="O3288" s="99"/>
      <c r="P3288" s="99"/>
      <c r="Q3288" s="99"/>
      <c r="R3288" s="99"/>
      <c r="S3288" s="99"/>
      <c r="T3288" s="99"/>
      <c r="U3288" s="99"/>
      <c r="V3288" s="99"/>
    </row>
    <row r="3289" spans="1:22">
      <c r="A3289" s="297"/>
      <c r="B3289" s="217"/>
      <c r="C3289" s="217"/>
      <c r="D3289" s="101"/>
      <c r="E3289" s="101"/>
      <c r="F3289" s="294"/>
      <c r="G3289" s="295"/>
      <c r="H3289" s="98"/>
      <c r="I3289" s="99"/>
      <c r="J3289" s="99"/>
      <c r="K3289" s="99"/>
      <c r="L3289" s="99"/>
      <c r="M3289" s="99"/>
      <c r="N3289" s="99"/>
      <c r="O3289" s="99"/>
      <c r="P3289" s="99"/>
      <c r="Q3289" s="99"/>
      <c r="R3289" s="99"/>
      <c r="S3289" s="99"/>
      <c r="T3289" s="99"/>
      <c r="U3289" s="99"/>
      <c r="V3289" s="99"/>
    </row>
    <row r="3290" spans="1:22">
      <c r="A3290" s="297"/>
      <c r="B3290" s="217"/>
      <c r="C3290" s="217"/>
      <c r="D3290" s="101"/>
      <c r="E3290" s="101"/>
      <c r="F3290" s="294"/>
      <c r="G3290" s="295"/>
      <c r="H3290" s="98"/>
      <c r="I3290" s="99"/>
      <c r="J3290" s="99"/>
      <c r="K3290" s="99"/>
      <c r="L3290" s="99"/>
      <c r="M3290" s="99"/>
      <c r="N3290" s="99"/>
      <c r="O3290" s="99"/>
      <c r="P3290" s="99"/>
      <c r="Q3290" s="99"/>
      <c r="R3290" s="99"/>
      <c r="S3290" s="99"/>
      <c r="T3290" s="99"/>
      <c r="U3290" s="99"/>
      <c r="V3290" s="99"/>
    </row>
    <row r="3291" spans="1:22">
      <c r="A3291" s="297"/>
      <c r="B3291" s="217"/>
      <c r="C3291" s="217"/>
      <c r="D3291" s="101"/>
      <c r="E3291" s="101"/>
      <c r="F3291" s="294"/>
      <c r="G3291" s="295"/>
      <c r="H3291" s="107"/>
      <c r="I3291" s="108"/>
      <c r="J3291" s="108"/>
      <c r="K3291" s="108"/>
      <c r="L3291" s="108"/>
      <c r="M3291" s="108"/>
      <c r="N3291" s="108"/>
      <c r="O3291" s="108"/>
      <c r="P3291" s="108"/>
      <c r="Q3291" s="108"/>
      <c r="R3291" s="108"/>
      <c r="S3291" s="108"/>
      <c r="T3291" s="108"/>
      <c r="U3291" s="233"/>
      <c r="V3291" s="233"/>
    </row>
    <row r="3292" spans="1:22">
      <c r="A3292" s="297"/>
      <c r="B3292" s="217"/>
      <c r="C3292" s="217"/>
      <c r="D3292" s="101"/>
      <c r="E3292" s="101"/>
      <c r="F3292" s="294"/>
      <c r="G3292" s="295"/>
      <c r="H3292" s="232"/>
      <c r="I3292" s="233"/>
      <c r="J3292" s="233"/>
      <c r="K3292" s="233"/>
      <c r="L3292" s="233"/>
      <c r="M3292" s="233"/>
      <c r="N3292" s="233"/>
      <c r="O3292" s="233"/>
      <c r="P3292" s="233"/>
      <c r="Q3292" s="233"/>
      <c r="R3292" s="233"/>
      <c r="S3292" s="233"/>
      <c r="T3292" s="233"/>
      <c r="U3292" s="233"/>
      <c r="V3292" s="233"/>
    </row>
    <row r="3293" spans="1:22">
      <c r="A3293" s="297"/>
      <c r="B3293" s="217"/>
      <c r="C3293" s="217"/>
      <c r="D3293" s="101"/>
      <c r="E3293" s="101"/>
      <c r="F3293" s="294"/>
      <c r="G3293" s="295"/>
      <c r="H3293" s="98"/>
      <c r="I3293" s="99"/>
      <c r="J3293" s="99"/>
      <c r="K3293" s="99"/>
      <c r="L3293" s="99"/>
      <c r="M3293" s="99"/>
      <c r="N3293" s="99"/>
      <c r="O3293" s="99"/>
      <c r="P3293" s="99"/>
      <c r="Q3293" s="99"/>
      <c r="R3293" s="99"/>
      <c r="S3293" s="99"/>
      <c r="T3293" s="99"/>
      <c r="U3293" s="99"/>
      <c r="V3293" s="99"/>
    </row>
    <row r="3294" spans="1:22">
      <c r="A3294" s="297"/>
      <c r="B3294" s="217"/>
      <c r="C3294" s="217"/>
      <c r="D3294" s="101"/>
      <c r="E3294" s="101"/>
      <c r="F3294" s="294"/>
      <c r="G3294" s="295"/>
      <c r="H3294" s="98"/>
      <c r="I3294" s="99"/>
      <c r="J3294" s="99"/>
      <c r="K3294" s="99"/>
      <c r="L3294" s="99"/>
      <c r="M3294" s="99"/>
      <c r="N3294" s="99"/>
      <c r="O3294" s="99"/>
      <c r="P3294" s="99"/>
      <c r="Q3294" s="99"/>
      <c r="R3294" s="99"/>
      <c r="S3294" s="99"/>
      <c r="T3294" s="99"/>
      <c r="U3294" s="99"/>
      <c r="V3294" s="99"/>
    </row>
    <row r="3295" spans="1:22">
      <c r="A3295" s="297"/>
      <c r="B3295" s="217"/>
      <c r="C3295" s="217"/>
      <c r="D3295" s="101"/>
      <c r="E3295" s="101"/>
      <c r="F3295" s="294"/>
      <c r="G3295" s="295"/>
      <c r="H3295" s="98"/>
      <c r="I3295" s="99"/>
      <c r="J3295" s="99"/>
      <c r="K3295" s="99"/>
      <c r="L3295" s="99"/>
      <c r="M3295" s="99"/>
      <c r="N3295" s="99"/>
      <c r="O3295" s="99"/>
      <c r="P3295" s="99"/>
      <c r="Q3295" s="99"/>
      <c r="R3295" s="99"/>
      <c r="S3295" s="99"/>
      <c r="T3295" s="99"/>
      <c r="U3295" s="99"/>
      <c r="V3295" s="99"/>
    </row>
    <row r="3296" spans="1:22">
      <c r="A3296" s="297"/>
      <c r="B3296" s="217"/>
      <c r="C3296" s="217"/>
      <c r="D3296" s="101"/>
      <c r="E3296" s="101"/>
      <c r="F3296" s="294"/>
      <c r="G3296" s="295"/>
      <c r="H3296" s="98"/>
      <c r="I3296" s="99"/>
      <c r="J3296" s="99"/>
      <c r="K3296" s="99"/>
      <c r="L3296" s="99"/>
      <c r="M3296" s="99"/>
      <c r="N3296" s="99"/>
      <c r="O3296" s="99"/>
      <c r="P3296" s="99"/>
      <c r="Q3296" s="99"/>
      <c r="R3296" s="99"/>
      <c r="S3296" s="99"/>
      <c r="T3296" s="99"/>
      <c r="U3296" s="99"/>
      <c r="V3296" s="99"/>
    </row>
    <row r="3297" spans="1:22">
      <c r="A3297" s="297"/>
      <c r="B3297" s="217"/>
      <c r="C3297" s="217"/>
      <c r="D3297" s="101"/>
      <c r="E3297" s="101"/>
      <c r="F3297" s="294"/>
      <c r="G3297" s="295"/>
      <c r="H3297" s="98"/>
      <c r="I3297" s="99"/>
      <c r="J3297" s="99"/>
      <c r="K3297" s="99"/>
      <c r="L3297" s="99"/>
      <c r="M3297" s="99"/>
      <c r="N3297" s="99"/>
      <c r="O3297" s="99"/>
      <c r="P3297" s="99"/>
      <c r="Q3297" s="99"/>
      <c r="R3297" s="99"/>
      <c r="S3297" s="99"/>
      <c r="T3297" s="99"/>
      <c r="U3297" s="99"/>
      <c r="V3297" s="99"/>
    </row>
    <row r="3298" spans="1:22">
      <c r="A3298" s="297"/>
      <c r="B3298" s="217"/>
      <c r="C3298" s="217"/>
      <c r="D3298" s="101"/>
      <c r="E3298" s="101"/>
      <c r="F3298" s="294"/>
      <c r="G3298" s="295"/>
      <c r="H3298" s="98"/>
      <c r="I3298" s="99"/>
      <c r="J3298" s="99"/>
      <c r="K3298" s="99"/>
      <c r="L3298" s="99"/>
      <c r="M3298" s="99"/>
      <c r="N3298" s="99"/>
      <c r="O3298" s="99"/>
      <c r="P3298" s="99"/>
      <c r="Q3298" s="99"/>
      <c r="R3298" s="99"/>
      <c r="S3298" s="99"/>
      <c r="T3298" s="99"/>
      <c r="U3298" s="99"/>
      <c r="V3298" s="99"/>
    </row>
    <row r="3299" spans="1:22">
      <c r="A3299" s="297"/>
      <c r="B3299" s="217"/>
      <c r="C3299" s="217"/>
      <c r="D3299" s="101"/>
      <c r="E3299" s="101"/>
      <c r="F3299" s="294"/>
      <c r="G3299" s="295"/>
      <c r="H3299" s="98"/>
      <c r="I3299" s="99"/>
      <c r="J3299" s="99"/>
      <c r="K3299" s="99"/>
      <c r="L3299" s="99"/>
      <c r="M3299" s="99"/>
      <c r="N3299" s="99"/>
      <c r="O3299" s="99"/>
      <c r="P3299" s="99"/>
      <c r="Q3299" s="99"/>
      <c r="R3299" s="99"/>
      <c r="S3299" s="99"/>
      <c r="T3299" s="99"/>
      <c r="U3299" s="99"/>
      <c r="V3299" s="99"/>
    </row>
    <row r="3300" spans="1:22">
      <c r="A3300" s="297"/>
      <c r="B3300" s="217"/>
      <c r="C3300" s="217"/>
      <c r="D3300" s="101"/>
      <c r="E3300" s="101"/>
      <c r="F3300" s="294"/>
      <c r="G3300" s="295"/>
      <c r="H3300" s="98"/>
      <c r="I3300" s="99"/>
      <c r="J3300" s="99"/>
      <c r="K3300" s="99"/>
      <c r="L3300" s="99"/>
      <c r="M3300" s="99"/>
      <c r="N3300" s="99"/>
      <c r="O3300" s="99"/>
      <c r="P3300" s="99"/>
      <c r="Q3300" s="99"/>
      <c r="R3300" s="99"/>
      <c r="S3300" s="99"/>
      <c r="T3300" s="99"/>
      <c r="U3300" s="99"/>
      <c r="V3300" s="99"/>
    </row>
    <row r="3301" spans="1:22">
      <c r="A3301" s="297"/>
      <c r="B3301" s="217"/>
      <c r="C3301" s="217"/>
      <c r="D3301" s="101"/>
      <c r="E3301" s="101"/>
      <c r="F3301" s="294"/>
      <c r="G3301" s="295"/>
      <c r="H3301" s="98"/>
      <c r="I3301" s="99"/>
      <c r="J3301" s="99"/>
      <c r="K3301" s="99"/>
      <c r="L3301" s="99"/>
      <c r="M3301" s="99"/>
      <c r="N3301" s="99"/>
      <c r="O3301" s="99"/>
      <c r="P3301" s="99"/>
      <c r="Q3301" s="99"/>
      <c r="R3301" s="99"/>
      <c r="S3301" s="99"/>
      <c r="T3301" s="99"/>
      <c r="U3301" s="99"/>
      <c r="V3301" s="99"/>
    </row>
    <row r="3302" spans="1:22">
      <c r="A3302" s="297"/>
      <c r="B3302" s="217"/>
      <c r="C3302" s="217"/>
      <c r="D3302" s="101"/>
      <c r="E3302" s="101"/>
      <c r="F3302" s="294"/>
      <c r="G3302" s="295"/>
      <c r="H3302" s="98"/>
      <c r="I3302" s="99"/>
      <c r="J3302" s="99"/>
      <c r="K3302" s="99"/>
      <c r="L3302" s="99"/>
      <c r="M3302" s="99"/>
      <c r="N3302" s="99"/>
      <c r="O3302" s="99"/>
      <c r="P3302" s="99"/>
      <c r="Q3302" s="99"/>
      <c r="R3302" s="99"/>
      <c r="S3302" s="99"/>
      <c r="T3302" s="99"/>
      <c r="U3302" s="99"/>
      <c r="V3302" s="99"/>
    </row>
    <row r="3303" spans="1:22">
      <c r="A3303" s="297"/>
      <c r="B3303" s="217"/>
      <c r="C3303" s="217"/>
      <c r="D3303" s="101"/>
      <c r="E3303" s="101"/>
      <c r="F3303" s="294"/>
      <c r="G3303" s="295"/>
      <c r="H3303" s="98"/>
      <c r="I3303" s="99"/>
      <c r="J3303" s="99"/>
      <c r="K3303" s="99"/>
      <c r="L3303" s="99"/>
      <c r="M3303" s="99"/>
      <c r="N3303" s="99"/>
      <c r="O3303" s="99"/>
      <c r="P3303" s="99"/>
      <c r="Q3303" s="99"/>
      <c r="R3303" s="99"/>
      <c r="S3303" s="99"/>
      <c r="T3303" s="99"/>
      <c r="U3303" s="99"/>
      <c r="V3303" s="99"/>
    </row>
    <row r="3304" spans="1:22">
      <c r="A3304" s="297"/>
      <c r="B3304" s="217"/>
      <c r="C3304" s="217"/>
      <c r="D3304" s="101"/>
      <c r="E3304" s="101"/>
      <c r="F3304" s="294"/>
      <c r="G3304" s="295"/>
      <c r="H3304" s="98"/>
      <c r="I3304" s="99"/>
      <c r="J3304" s="99"/>
      <c r="K3304" s="99"/>
      <c r="L3304" s="99"/>
      <c r="M3304" s="99"/>
      <c r="N3304" s="99"/>
      <c r="O3304" s="99"/>
      <c r="P3304" s="99"/>
      <c r="Q3304" s="99"/>
      <c r="R3304" s="99"/>
      <c r="S3304" s="99"/>
      <c r="T3304" s="99"/>
      <c r="U3304" s="99"/>
      <c r="V3304" s="99"/>
    </row>
    <row r="3305" spans="1:22">
      <c r="A3305" s="297"/>
      <c r="B3305" s="217"/>
      <c r="C3305" s="217"/>
      <c r="D3305" s="101"/>
      <c r="E3305" s="101"/>
      <c r="F3305" s="294"/>
      <c r="G3305" s="295"/>
      <c r="H3305" s="98"/>
      <c r="I3305" s="99"/>
      <c r="J3305" s="99"/>
      <c r="K3305" s="99"/>
      <c r="L3305" s="99"/>
      <c r="M3305" s="99"/>
      <c r="N3305" s="99"/>
      <c r="O3305" s="99"/>
      <c r="P3305" s="99"/>
      <c r="Q3305" s="99"/>
      <c r="R3305" s="99"/>
      <c r="S3305" s="99"/>
      <c r="T3305" s="99"/>
      <c r="U3305" s="99"/>
      <c r="V3305" s="99"/>
    </row>
    <row r="3306" spans="1:22">
      <c r="A3306" s="297"/>
      <c r="B3306" s="217"/>
      <c r="C3306" s="217"/>
      <c r="D3306" s="101"/>
      <c r="E3306" s="101"/>
      <c r="F3306" s="294"/>
      <c r="G3306" s="295"/>
      <c r="H3306" s="98"/>
      <c r="I3306" s="99"/>
      <c r="J3306" s="99"/>
      <c r="K3306" s="99"/>
      <c r="L3306" s="99"/>
      <c r="M3306" s="99"/>
      <c r="N3306" s="99"/>
      <c r="O3306" s="99"/>
      <c r="P3306" s="99"/>
      <c r="Q3306" s="99"/>
      <c r="R3306" s="99"/>
      <c r="S3306" s="99"/>
      <c r="T3306" s="99"/>
      <c r="U3306" s="99"/>
      <c r="V3306" s="99"/>
    </row>
    <row r="3307" spans="1:22">
      <c r="A3307" s="297"/>
      <c r="B3307" s="217"/>
      <c r="C3307" s="217"/>
      <c r="D3307" s="101"/>
      <c r="E3307" s="101"/>
      <c r="F3307" s="294"/>
      <c r="G3307" s="295"/>
      <c r="H3307" s="107"/>
      <c r="I3307" s="108"/>
      <c r="J3307" s="108"/>
      <c r="K3307" s="108"/>
      <c r="L3307" s="108"/>
      <c r="M3307" s="108"/>
      <c r="N3307" s="108"/>
      <c r="O3307" s="108"/>
      <c r="P3307" s="108"/>
      <c r="Q3307" s="108"/>
      <c r="R3307" s="108"/>
      <c r="S3307" s="108"/>
      <c r="T3307" s="108"/>
      <c r="U3307" s="233"/>
      <c r="V3307" s="233"/>
    </row>
    <row r="3308" spans="1:22">
      <c r="A3308" s="297"/>
      <c r="B3308" s="217"/>
      <c r="C3308" s="217"/>
      <c r="D3308" s="101"/>
      <c r="E3308" s="101"/>
      <c r="F3308" s="294"/>
      <c r="G3308" s="295"/>
      <c r="H3308" s="232"/>
      <c r="I3308" s="233"/>
      <c r="J3308" s="233"/>
      <c r="K3308" s="233"/>
      <c r="L3308" s="233"/>
      <c r="M3308" s="233"/>
      <c r="N3308" s="233"/>
      <c r="O3308" s="233"/>
      <c r="P3308" s="233"/>
      <c r="Q3308" s="233"/>
      <c r="R3308" s="233"/>
      <c r="S3308" s="233"/>
      <c r="T3308" s="233"/>
      <c r="U3308" s="233"/>
      <c r="V3308" s="233"/>
    </row>
    <row r="3309" spans="1:22">
      <c r="A3309" s="297"/>
      <c r="B3309" s="217"/>
      <c r="C3309" s="217"/>
      <c r="D3309" s="101"/>
      <c r="E3309" s="101"/>
      <c r="F3309" s="294"/>
      <c r="G3309" s="295"/>
      <c r="H3309" s="98"/>
      <c r="I3309" s="99"/>
      <c r="J3309" s="99"/>
      <c r="K3309" s="99"/>
      <c r="L3309" s="99"/>
      <c r="M3309" s="99"/>
      <c r="N3309" s="99"/>
      <c r="O3309" s="99"/>
      <c r="P3309" s="99"/>
      <c r="Q3309" s="99"/>
      <c r="R3309" s="99"/>
      <c r="S3309" s="99"/>
      <c r="T3309" s="99"/>
      <c r="U3309" s="99"/>
      <c r="V3309" s="99"/>
    </row>
    <row r="3310" spans="1:22" ht="24" customHeight="1">
      <c r="A3310" s="297"/>
      <c r="B3310" s="217"/>
      <c r="C3310" s="217"/>
      <c r="D3310" s="101"/>
      <c r="E3310" s="101"/>
      <c r="F3310" s="294"/>
      <c r="G3310" s="295"/>
      <c r="H3310" s="107"/>
      <c r="I3310" s="108"/>
      <c r="J3310" s="108"/>
      <c r="K3310" s="108"/>
      <c r="L3310" s="108"/>
      <c r="M3310" s="108"/>
      <c r="N3310" s="108"/>
      <c r="O3310" s="108"/>
      <c r="P3310" s="108"/>
      <c r="Q3310" s="108"/>
      <c r="R3310" s="108"/>
      <c r="S3310" s="108"/>
      <c r="T3310" s="108"/>
      <c r="U3310" s="233"/>
      <c r="V3310" s="233"/>
    </row>
    <row r="3311" spans="1:22">
      <c r="A3311" s="297"/>
      <c r="B3311" s="217"/>
      <c r="C3311" s="217"/>
      <c r="D3311" s="101"/>
      <c r="E3311" s="101"/>
      <c r="F3311" s="294"/>
      <c r="G3311" s="295"/>
      <c r="H3311" s="98"/>
      <c r="I3311" s="218"/>
      <c r="J3311" s="218"/>
      <c r="K3311" s="218"/>
      <c r="L3311" s="218"/>
      <c r="M3311" s="218"/>
      <c r="N3311" s="226"/>
      <c r="O3311" s="226"/>
      <c r="P3311" s="226"/>
      <c r="Q3311" s="111"/>
      <c r="R3311" s="111"/>
      <c r="S3311" s="111"/>
      <c r="T3311" s="111"/>
      <c r="U3311" s="111"/>
      <c r="V3311" s="111"/>
    </row>
    <row r="3312" spans="1:22">
      <c r="A3312" s="297"/>
      <c r="B3312" s="217"/>
      <c r="C3312" s="217"/>
      <c r="D3312" s="101"/>
      <c r="E3312" s="101"/>
      <c r="F3312" s="294"/>
      <c r="G3312" s="295"/>
      <c r="H3312" s="98"/>
      <c r="I3312" s="99"/>
      <c r="J3312" s="99"/>
      <c r="K3312" s="99"/>
      <c r="L3312" s="99"/>
      <c r="M3312" s="99"/>
      <c r="N3312" s="99"/>
      <c r="O3312" s="99"/>
      <c r="P3312" s="99"/>
      <c r="Q3312" s="99"/>
      <c r="R3312" s="99"/>
      <c r="S3312" s="99"/>
      <c r="T3312" s="99"/>
      <c r="U3312" s="99"/>
      <c r="V3312" s="99"/>
    </row>
    <row r="3313" spans="1:22">
      <c r="A3313" s="297"/>
      <c r="B3313" s="217"/>
      <c r="C3313" s="217"/>
      <c r="D3313" s="101"/>
      <c r="E3313" s="101"/>
      <c r="F3313" s="294"/>
      <c r="G3313" s="295"/>
      <c r="H3313" s="98"/>
      <c r="I3313" s="99"/>
      <c r="J3313" s="99"/>
      <c r="K3313" s="99"/>
      <c r="L3313" s="99"/>
      <c r="M3313" s="99"/>
      <c r="N3313" s="99"/>
      <c r="O3313" s="99"/>
      <c r="P3313" s="99"/>
      <c r="Q3313" s="99"/>
      <c r="R3313" s="99"/>
      <c r="S3313" s="99"/>
      <c r="T3313" s="99"/>
      <c r="U3313" s="99"/>
      <c r="V3313" s="99"/>
    </row>
    <row r="3314" spans="1:22">
      <c r="A3314" s="297"/>
      <c r="B3314" s="217"/>
      <c r="C3314" s="217"/>
      <c r="D3314" s="101"/>
      <c r="E3314" s="101"/>
      <c r="F3314" s="294"/>
      <c r="G3314" s="295"/>
      <c r="H3314" s="107"/>
      <c r="I3314" s="108"/>
      <c r="J3314" s="108"/>
      <c r="K3314" s="108"/>
      <c r="L3314" s="108"/>
      <c r="M3314" s="108"/>
      <c r="N3314" s="108"/>
      <c r="O3314" s="108"/>
      <c r="P3314" s="108"/>
      <c r="Q3314" s="108"/>
      <c r="R3314" s="108"/>
      <c r="S3314" s="108"/>
      <c r="T3314" s="108"/>
      <c r="U3314" s="233"/>
      <c r="V3314" s="233"/>
    </row>
    <row r="3315" spans="1:22">
      <c r="A3315" s="297"/>
      <c r="B3315" s="217"/>
      <c r="C3315" s="217"/>
      <c r="D3315" s="101"/>
      <c r="E3315" s="101"/>
      <c r="F3315" s="294"/>
      <c r="G3315" s="295"/>
      <c r="H3315" s="98"/>
      <c r="I3315" s="218"/>
      <c r="J3315" s="218"/>
      <c r="K3315" s="218"/>
      <c r="L3315" s="218"/>
      <c r="M3315" s="218"/>
      <c r="N3315" s="226"/>
      <c r="O3315" s="226"/>
      <c r="P3315" s="226"/>
      <c r="Q3315" s="111"/>
      <c r="R3315" s="111"/>
      <c r="S3315" s="111"/>
      <c r="T3315" s="111"/>
      <c r="U3315" s="111"/>
      <c r="V3315" s="111"/>
    </row>
    <row r="3316" spans="1:22">
      <c r="A3316" s="297"/>
      <c r="B3316" s="217"/>
      <c r="C3316" s="217"/>
      <c r="D3316" s="101"/>
      <c r="E3316" s="101"/>
      <c r="F3316" s="294"/>
      <c r="G3316" s="295"/>
      <c r="H3316" s="114"/>
      <c r="I3316" s="108"/>
      <c r="J3316" s="108"/>
      <c r="K3316" s="108"/>
      <c r="L3316" s="108"/>
      <c r="M3316" s="108"/>
      <c r="N3316" s="108"/>
      <c r="O3316" s="108"/>
      <c r="P3316" s="108"/>
      <c r="Q3316" s="108"/>
      <c r="R3316" s="108"/>
      <c r="S3316" s="108"/>
      <c r="T3316" s="108"/>
      <c r="U3316" s="233"/>
      <c r="V3316" s="233"/>
    </row>
    <row r="3317" spans="1:22" ht="14.4" thickBot="1">
      <c r="A3317" s="297"/>
      <c r="B3317" s="217"/>
      <c r="C3317" s="217"/>
      <c r="D3317" s="101"/>
      <c r="E3317" s="101"/>
      <c r="F3317" s="294"/>
      <c r="G3317" s="295"/>
      <c r="H3317" s="98"/>
      <c r="I3317" s="218"/>
      <c r="J3317" s="218"/>
      <c r="K3317" s="218"/>
      <c r="L3317" s="218"/>
      <c r="M3317" s="218"/>
      <c r="U3317" s="212"/>
      <c r="V3317" s="212"/>
    </row>
    <row r="3318" spans="1:22" ht="23.4" thickBot="1">
      <c r="A3318" s="297"/>
      <c r="B3318" s="217"/>
      <c r="C3318" s="217"/>
      <c r="D3318" s="101"/>
      <c r="E3318" s="101"/>
      <c r="F3318" s="294"/>
      <c r="G3318" s="295"/>
      <c r="H3318" s="686"/>
      <c r="I3318" s="687"/>
      <c r="J3318" s="687"/>
      <c r="K3318" s="687"/>
      <c r="L3318" s="687"/>
      <c r="M3318" s="687"/>
      <c r="N3318" s="687"/>
      <c r="O3318" s="687"/>
      <c r="P3318" s="687"/>
      <c r="Q3318" s="687"/>
      <c r="R3318" s="687"/>
      <c r="S3318" s="715"/>
      <c r="T3318" s="688"/>
      <c r="U3318" s="254"/>
      <c r="V3318" s="254"/>
    </row>
    <row r="3319" spans="1:22" ht="22.8">
      <c r="A3319" s="297"/>
      <c r="B3319" s="217"/>
      <c r="C3319" s="217"/>
      <c r="D3319" s="101"/>
      <c r="E3319" s="101"/>
      <c r="F3319" s="294"/>
      <c r="G3319" s="295"/>
      <c r="H3319" s="225"/>
      <c r="I3319" s="225"/>
      <c r="J3319" s="225"/>
      <c r="K3319" s="225"/>
      <c r="L3319" s="225"/>
      <c r="M3319" s="225"/>
      <c r="N3319" s="225"/>
      <c r="O3319" s="225"/>
      <c r="P3319" s="225"/>
      <c r="Q3319" s="225"/>
      <c r="R3319" s="225"/>
      <c r="S3319" s="225"/>
      <c r="T3319" s="225"/>
      <c r="U3319" s="225"/>
      <c r="V3319" s="225"/>
    </row>
    <row r="3320" spans="1:22">
      <c r="A3320" s="297"/>
      <c r="B3320" s="217"/>
      <c r="C3320" s="217"/>
      <c r="D3320" s="101"/>
      <c r="E3320" s="101"/>
      <c r="F3320" s="294"/>
      <c r="G3320" s="295"/>
      <c r="H3320" s="98"/>
      <c r="I3320" s="99"/>
      <c r="J3320" s="99"/>
      <c r="K3320" s="99"/>
      <c r="L3320" s="99"/>
      <c r="M3320" s="99"/>
      <c r="N3320" s="99"/>
      <c r="O3320" s="99"/>
      <c r="P3320" s="99"/>
      <c r="Q3320" s="99"/>
      <c r="R3320" s="99"/>
      <c r="S3320" s="99"/>
      <c r="T3320" s="99"/>
      <c r="U3320" s="99"/>
      <c r="V3320" s="99"/>
    </row>
    <row r="3321" spans="1:22">
      <c r="A3321" s="297"/>
      <c r="B3321" s="217"/>
      <c r="C3321" s="217"/>
      <c r="D3321" s="101"/>
      <c r="E3321" s="101"/>
      <c r="F3321" s="294"/>
      <c r="G3321" s="295"/>
      <c r="H3321" s="98"/>
      <c r="I3321" s="99"/>
      <c r="J3321" s="99"/>
      <c r="K3321" s="99"/>
      <c r="L3321" s="99"/>
      <c r="M3321" s="99"/>
      <c r="N3321" s="99"/>
      <c r="O3321" s="99"/>
      <c r="P3321" s="99"/>
      <c r="Q3321" s="99"/>
      <c r="R3321" s="99"/>
      <c r="S3321" s="99"/>
      <c r="T3321" s="99"/>
      <c r="U3321" s="99"/>
      <c r="V3321" s="99"/>
    </row>
    <row r="3322" spans="1:22">
      <c r="A3322" s="297"/>
      <c r="B3322" s="217"/>
      <c r="C3322" s="217"/>
      <c r="D3322" s="101"/>
      <c r="E3322" s="101"/>
      <c r="F3322" s="294"/>
      <c r="G3322" s="295"/>
      <c r="H3322" s="98"/>
      <c r="I3322" s="99"/>
      <c r="J3322" s="99"/>
      <c r="K3322" s="99"/>
      <c r="L3322" s="99"/>
      <c r="M3322" s="99"/>
      <c r="N3322" s="99"/>
      <c r="O3322" s="99"/>
      <c r="P3322" s="99"/>
      <c r="Q3322" s="99"/>
      <c r="R3322" s="99"/>
      <c r="S3322" s="99"/>
      <c r="T3322" s="99"/>
      <c r="U3322" s="99"/>
      <c r="V3322" s="99"/>
    </row>
    <row r="3323" spans="1:22">
      <c r="A3323" s="297"/>
      <c r="B3323" s="217"/>
      <c r="C3323" s="217"/>
      <c r="D3323" s="101"/>
      <c r="E3323" s="101"/>
      <c r="F3323" s="294"/>
      <c r="G3323" s="295"/>
      <c r="H3323" s="98"/>
      <c r="I3323" s="99"/>
      <c r="J3323" s="99"/>
      <c r="K3323" s="99"/>
      <c r="L3323" s="99"/>
      <c r="M3323" s="99"/>
      <c r="N3323" s="99"/>
      <c r="O3323" s="99"/>
      <c r="P3323" s="99"/>
      <c r="Q3323" s="99"/>
      <c r="R3323" s="99"/>
      <c r="S3323" s="99"/>
      <c r="T3323" s="99"/>
      <c r="U3323" s="99"/>
      <c r="V3323" s="99"/>
    </row>
    <row r="3324" spans="1:22">
      <c r="A3324" s="297"/>
      <c r="B3324" s="217"/>
      <c r="C3324" s="217"/>
      <c r="D3324" s="101"/>
      <c r="E3324" s="101"/>
      <c r="F3324" s="294"/>
      <c r="G3324" s="295"/>
      <c r="H3324" s="98"/>
      <c r="I3324" s="99"/>
      <c r="J3324" s="99"/>
      <c r="K3324" s="99"/>
      <c r="L3324" s="99"/>
      <c r="M3324" s="99"/>
      <c r="N3324" s="99"/>
      <c r="O3324" s="99"/>
      <c r="P3324" s="99"/>
      <c r="Q3324" s="99"/>
      <c r="R3324" s="99"/>
      <c r="S3324" s="99"/>
      <c r="T3324" s="99"/>
      <c r="U3324" s="99"/>
      <c r="V3324" s="99"/>
    </row>
    <row r="3325" spans="1:22">
      <c r="A3325" s="297"/>
      <c r="B3325" s="217"/>
      <c r="C3325" s="217"/>
      <c r="D3325" s="101"/>
      <c r="E3325" s="101"/>
      <c r="F3325" s="294"/>
      <c r="G3325" s="295"/>
      <c r="H3325" s="98"/>
      <c r="I3325" s="99"/>
      <c r="J3325" s="99"/>
      <c r="K3325" s="99"/>
      <c r="L3325" s="99"/>
      <c r="M3325" s="99"/>
      <c r="N3325" s="99"/>
      <c r="O3325" s="99"/>
      <c r="P3325" s="99"/>
      <c r="Q3325" s="99"/>
      <c r="R3325" s="99"/>
      <c r="S3325" s="99"/>
      <c r="T3325" s="99"/>
      <c r="U3325" s="99"/>
      <c r="V3325" s="99"/>
    </row>
    <row r="3326" spans="1:22">
      <c r="A3326" s="297"/>
      <c r="B3326" s="217"/>
      <c r="C3326" s="217"/>
      <c r="D3326" s="101"/>
      <c r="E3326" s="101"/>
      <c r="F3326" s="294"/>
      <c r="G3326" s="295"/>
      <c r="H3326" s="98"/>
      <c r="I3326" s="99"/>
      <c r="J3326" s="99"/>
      <c r="K3326" s="99"/>
      <c r="L3326" s="99"/>
      <c r="M3326" s="99"/>
      <c r="N3326" s="99"/>
      <c r="O3326" s="99"/>
      <c r="P3326" s="99"/>
      <c r="Q3326" s="99"/>
      <c r="R3326" s="99"/>
      <c r="S3326" s="99"/>
      <c r="T3326" s="99"/>
      <c r="U3326" s="99"/>
      <c r="V3326" s="99"/>
    </row>
    <row r="3327" spans="1:22">
      <c r="A3327" s="297"/>
      <c r="B3327" s="217"/>
      <c r="C3327" s="217"/>
      <c r="D3327" s="101"/>
      <c r="E3327" s="101"/>
      <c r="F3327" s="294"/>
      <c r="G3327" s="295"/>
      <c r="H3327" s="98"/>
      <c r="I3327" s="99"/>
      <c r="J3327" s="99"/>
      <c r="K3327" s="99"/>
      <c r="L3327" s="99"/>
      <c r="M3327" s="99"/>
      <c r="N3327" s="99"/>
      <c r="O3327" s="99"/>
      <c r="P3327" s="99"/>
      <c r="Q3327" s="99"/>
      <c r="R3327" s="99"/>
      <c r="S3327" s="99"/>
      <c r="T3327" s="99"/>
      <c r="U3327" s="99"/>
      <c r="V3327" s="99"/>
    </row>
    <row r="3328" spans="1:22">
      <c r="A3328" s="297"/>
      <c r="B3328" s="217"/>
      <c r="C3328" s="217"/>
      <c r="D3328" s="101"/>
      <c r="E3328" s="101"/>
      <c r="F3328" s="294"/>
      <c r="G3328" s="295"/>
      <c r="H3328" s="98"/>
      <c r="I3328" s="99"/>
      <c r="J3328" s="99"/>
      <c r="K3328" s="99"/>
      <c r="L3328" s="99"/>
      <c r="M3328" s="99"/>
      <c r="N3328" s="99"/>
      <c r="O3328" s="99"/>
      <c r="P3328" s="99"/>
      <c r="Q3328" s="99"/>
      <c r="R3328" s="99"/>
      <c r="S3328" s="99"/>
      <c r="T3328" s="99"/>
      <c r="U3328" s="99"/>
      <c r="V3328" s="99"/>
    </row>
    <row r="3329" spans="1:22">
      <c r="A3329" s="297"/>
      <c r="B3329" s="217"/>
      <c r="C3329" s="217"/>
      <c r="D3329" s="101"/>
      <c r="E3329" s="101"/>
      <c r="F3329" s="294"/>
      <c r="G3329" s="295"/>
      <c r="H3329" s="98"/>
      <c r="I3329" s="99"/>
      <c r="J3329" s="99"/>
      <c r="K3329" s="99"/>
      <c r="L3329" s="99"/>
      <c r="M3329" s="99"/>
      <c r="N3329" s="99"/>
      <c r="O3329" s="99"/>
      <c r="P3329" s="99"/>
      <c r="Q3329" s="99"/>
      <c r="R3329" s="99"/>
      <c r="S3329" s="99"/>
      <c r="T3329" s="99"/>
      <c r="U3329" s="99"/>
      <c r="V3329" s="99"/>
    </row>
    <row r="3330" spans="1:22">
      <c r="A3330" s="297"/>
      <c r="B3330" s="217"/>
      <c r="C3330" s="217"/>
      <c r="D3330" s="101"/>
      <c r="E3330" s="101"/>
      <c r="F3330" s="294"/>
      <c r="G3330" s="295"/>
      <c r="H3330" s="98"/>
      <c r="I3330" s="99"/>
      <c r="J3330" s="99"/>
      <c r="K3330" s="99"/>
      <c r="L3330" s="99"/>
      <c r="M3330" s="99"/>
      <c r="N3330" s="99"/>
      <c r="O3330" s="99"/>
      <c r="P3330" s="99"/>
      <c r="Q3330" s="99"/>
      <c r="R3330" s="99"/>
      <c r="S3330" s="99"/>
      <c r="T3330" s="99"/>
      <c r="U3330" s="99"/>
      <c r="V3330" s="99"/>
    </row>
    <row r="3331" spans="1:22">
      <c r="A3331" s="297"/>
      <c r="B3331" s="217"/>
      <c r="C3331" s="217"/>
      <c r="D3331" s="101"/>
      <c r="E3331" s="101"/>
      <c r="F3331" s="294"/>
      <c r="G3331" s="295"/>
      <c r="H3331" s="98"/>
      <c r="I3331" s="99"/>
      <c r="J3331" s="99"/>
      <c r="K3331" s="99"/>
      <c r="L3331" s="99"/>
      <c r="M3331" s="99"/>
      <c r="N3331" s="99"/>
      <c r="O3331" s="99"/>
      <c r="P3331" s="99"/>
      <c r="Q3331" s="99"/>
      <c r="R3331" s="99"/>
      <c r="S3331" s="99"/>
      <c r="T3331" s="99"/>
      <c r="U3331" s="99"/>
      <c r="V3331" s="99"/>
    </row>
    <row r="3332" spans="1:22">
      <c r="A3332" s="297"/>
      <c r="B3332" s="217"/>
      <c r="C3332" s="217"/>
      <c r="D3332" s="101"/>
      <c r="E3332" s="101"/>
      <c r="F3332" s="294"/>
      <c r="G3332" s="295"/>
      <c r="H3332" s="98"/>
      <c r="I3332" s="99"/>
      <c r="J3332" s="99"/>
      <c r="K3332" s="99"/>
      <c r="L3332" s="99"/>
      <c r="M3332" s="99"/>
      <c r="N3332" s="99"/>
      <c r="O3332" s="99"/>
      <c r="P3332" s="99"/>
      <c r="Q3332" s="99"/>
      <c r="R3332" s="99"/>
      <c r="S3332" s="99"/>
      <c r="T3332" s="99"/>
      <c r="U3332" s="99"/>
      <c r="V3332" s="99"/>
    </row>
    <row r="3333" spans="1:22">
      <c r="A3333" s="297"/>
      <c r="B3333" s="217"/>
      <c r="C3333" s="217"/>
      <c r="D3333" s="101"/>
      <c r="E3333" s="101"/>
      <c r="F3333" s="294"/>
      <c r="G3333" s="295"/>
      <c r="H3333" s="107"/>
      <c r="I3333" s="108"/>
      <c r="J3333" s="108"/>
      <c r="K3333" s="108"/>
      <c r="L3333" s="108"/>
      <c r="M3333" s="108"/>
      <c r="N3333" s="109"/>
      <c r="O3333" s="109"/>
      <c r="P3333" s="109"/>
      <c r="Q3333" s="109"/>
      <c r="R3333" s="109"/>
      <c r="S3333" s="109"/>
      <c r="T3333" s="109"/>
      <c r="U3333" s="202"/>
      <c r="V3333" s="202"/>
    </row>
    <row r="3334" spans="1:22">
      <c r="A3334" s="297"/>
      <c r="B3334" s="217"/>
      <c r="C3334" s="217"/>
      <c r="D3334" s="101"/>
      <c r="E3334" s="101"/>
      <c r="F3334" s="294"/>
      <c r="G3334" s="295"/>
      <c r="H3334" s="98"/>
      <c r="I3334" s="106"/>
      <c r="J3334" s="106"/>
      <c r="K3334" s="106"/>
      <c r="L3334" s="106"/>
      <c r="M3334" s="106"/>
      <c r="N3334" s="110"/>
      <c r="O3334" s="110"/>
      <c r="P3334" s="110"/>
      <c r="Q3334" s="111"/>
      <c r="R3334" s="111"/>
      <c r="S3334" s="111"/>
      <c r="T3334" s="111"/>
      <c r="U3334" s="111"/>
      <c r="V3334" s="111"/>
    </row>
    <row r="3335" spans="1:22">
      <c r="A3335" s="297"/>
      <c r="B3335" s="217"/>
      <c r="C3335" s="217"/>
      <c r="D3335" s="101"/>
      <c r="E3335" s="101"/>
      <c r="F3335" s="294"/>
      <c r="G3335" s="295"/>
      <c r="H3335" s="98"/>
      <c r="I3335" s="99"/>
      <c r="J3335" s="99"/>
      <c r="K3335" s="99"/>
      <c r="L3335" s="99"/>
      <c r="M3335" s="99"/>
      <c r="N3335" s="99"/>
      <c r="O3335" s="99"/>
      <c r="P3335" s="99"/>
      <c r="Q3335" s="99"/>
      <c r="R3335" s="99"/>
      <c r="S3335" s="99"/>
      <c r="T3335" s="99"/>
      <c r="U3335" s="99"/>
      <c r="V3335" s="99"/>
    </row>
    <row r="3336" spans="1:22">
      <c r="A3336" s="297"/>
      <c r="B3336" s="217"/>
      <c r="C3336" s="217"/>
      <c r="D3336" s="101"/>
      <c r="E3336" s="101"/>
      <c r="F3336" s="294"/>
      <c r="G3336" s="295"/>
      <c r="H3336" s="98"/>
      <c r="I3336" s="99"/>
      <c r="J3336" s="99"/>
      <c r="K3336" s="99"/>
      <c r="L3336" s="99"/>
      <c r="M3336" s="99"/>
      <c r="N3336" s="99"/>
      <c r="O3336" s="99"/>
      <c r="P3336" s="99"/>
      <c r="Q3336" s="99"/>
      <c r="R3336" s="99"/>
      <c r="S3336" s="99"/>
      <c r="T3336" s="99"/>
      <c r="U3336" s="99"/>
      <c r="V3336" s="99"/>
    </row>
    <row r="3337" spans="1:22">
      <c r="A3337" s="297"/>
      <c r="B3337" s="217"/>
      <c r="C3337" s="217"/>
      <c r="D3337" s="101"/>
      <c r="E3337" s="101"/>
      <c r="F3337" s="294"/>
      <c r="G3337" s="295"/>
      <c r="H3337" s="98"/>
      <c r="I3337" s="99"/>
      <c r="J3337" s="99"/>
      <c r="K3337" s="99"/>
      <c r="L3337" s="99"/>
      <c r="M3337" s="99"/>
      <c r="N3337" s="99"/>
      <c r="O3337" s="99"/>
      <c r="P3337" s="99"/>
      <c r="Q3337" s="99"/>
      <c r="R3337" s="99"/>
      <c r="S3337" s="99"/>
      <c r="T3337" s="99"/>
      <c r="U3337" s="99"/>
      <c r="V3337" s="99"/>
    </row>
    <row r="3338" spans="1:22">
      <c r="A3338" s="297"/>
      <c r="B3338" s="217"/>
      <c r="C3338" s="217"/>
      <c r="D3338" s="101"/>
      <c r="E3338" s="101"/>
      <c r="F3338" s="294"/>
      <c r="G3338" s="295"/>
      <c r="H3338" s="98"/>
      <c r="I3338" s="99"/>
      <c r="J3338" s="99"/>
      <c r="K3338" s="99"/>
      <c r="L3338" s="99"/>
      <c r="M3338" s="99"/>
      <c r="N3338" s="99"/>
      <c r="O3338" s="99"/>
      <c r="P3338" s="99"/>
      <c r="Q3338" s="99"/>
      <c r="R3338" s="99"/>
      <c r="S3338" s="99"/>
      <c r="T3338" s="99"/>
      <c r="U3338" s="99"/>
      <c r="V3338" s="99"/>
    </row>
    <row r="3339" spans="1:22">
      <c r="A3339" s="297"/>
      <c r="B3339" s="217"/>
      <c r="C3339" s="217"/>
      <c r="D3339" s="101"/>
      <c r="E3339" s="101"/>
      <c r="F3339" s="294"/>
      <c r="G3339" s="295"/>
      <c r="H3339" s="98"/>
      <c r="I3339" s="99"/>
      <c r="J3339" s="99"/>
      <c r="K3339" s="99"/>
      <c r="L3339" s="99"/>
      <c r="M3339" s="99"/>
      <c r="N3339" s="99"/>
      <c r="O3339" s="99"/>
      <c r="P3339" s="99"/>
      <c r="Q3339" s="99"/>
      <c r="R3339" s="99"/>
      <c r="S3339" s="99"/>
      <c r="T3339" s="99"/>
      <c r="U3339" s="99"/>
      <c r="V3339" s="99"/>
    </row>
    <row r="3340" spans="1:22">
      <c r="A3340" s="297"/>
      <c r="B3340" s="217"/>
      <c r="C3340" s="217"/>
      <c r="D3340" s="101"/>
      <c r="E3340" s="101"/>
      <c r="F3340" s="294"/>
      <c r="G3340" s="295"/>
      <c r="H3340" s="98"/>
      <c r="I3340" s="99"/>
      <c r="J3340" s="99"/>
      <c r="K3340" s="99"/>
      <c r="L3340" s="99"/>
      <c r="M3340" s="99"/>
      <c r="N3340" s="99"/>
      <c r="O3340" s="99"/>
      <c r="P3340" s="99"/>
      <c r="Q3340" s="99"/>
      <c r="R3340" s="99"/>
      <c r="S3340" s="99"/>
      <c r="T3340" s="99"/>
      <c r="U3340" s="99"/>
      <c r="V3340" s="99"/>
    </row>
    <row r="3341" spans="1:22">
      <c r="A3341" s="297"/>
      <c r="B3341" s="217"/>
      <c r="C3341" s="217"/>
      <c r="D3341" s="101"/>
      <c r="E3341" s="101"/>
      <c r="F3341" s="294"/>
      <c r="G3341" s="295"/>
      <c r="H3341" s="98"/>
      <c r="I3341" s="99"/>
      <c r="J3341" s="99"/>
      <c r="K3341" s="99"/>
      <c r="L3341" s="99"/>
      <c r="M3341" s="99"/>
      <c r="N3341" s="99"/>
      <c r="O3341" s="99"/>
      <c r="P3341" s="99"/>
      <c r="Q3341" s="99"/>
      <c r="R3341" s="99"/>
      <c r="S3341" s="99"/>
      <c r="T3341" s="99"/>
      <c r="U3341" s="99"/>
      <c r="V3341" s="99"/>
    </row>
    <row r="3342" spans="1:22">
      <c r="A3342" s="297"/>
      <c r="B3342" s="217"/>
      <c r="C3342" s="217"/>
      <c r="D3342" s="101"/>
      <c r="E3342" s="101"/>
      <c r="F3342" s="294"/>
      <c r="G3342" s="295"/>
      <c r="H3342" s="98"/>
      <c r="I3342" s="99"/>
      <c r="J3342" s="99"/>
      <c r="K3342" s="99"/>
      <c r="L3342" s="99"/>
      <c r="M3342" s="99"/>
      <c r="N3342" s="99"/>
      <c r="O3342" s="99"/>
      <c r="P3342" s="99"/>
      <c r="Q3342" s="99"/>
      <c r="R3342" s="99"/>
      <c r="S3342" s="99"/>
      <c r="T3342" s="99"/>
      <c r="U3342" s="99"/>
      <c r="V3342" s="99"/>
    </row>
    <row r="3343" spans="1:22">
      <c r="A3343" s="297"/>
      <c r="B3343" s="217"/>
      <c r="C3343" s="217"/>
      <c r="D3343" s="101"/>
      <c r="E3343" s="101"/>
      <c r="F3343" s="294"/>
      <c r="G3343" s="295"/>
      <c r="H3343" s="98"/>
      <c r="I3343" s="99"/>
      <c r="J3343" s="99"/>
      <c r="K3343" s="99"/>
      <c r="L3343" s="99"/>
      <c r="M3343" s="99"/>
      <c r="N3343" s="99"/>
      <c r="O3343" s="99"/>
      <c r="P3343" s="99"/>
      <c r="Q3343" s="99"/>
      <c r="R3343" s="99"/>
      <c r="S3343" s="99"/>
      <c r="T3343" s="99"/>
      <c r="U3343" s="99"/>
      <c r="V3343" s="99"/>
    </row>
    <row r="3344" spans="1:22">
      <c r="A3344" s="297"/>
      <c r="B3344" s="217"/>
      <c r="C3344" s="217"/>
      <c r="D3344" s="101"/>
      <c r="E3344" s="101"/>
      <c r="F3344" s="294"/>
      <c r="G3344" s="295"/>
      <c r="H3344" s="98"/>
      <c r="I3344" s="99"/>
      <c r="J3344" s="99"/>
      <c r="K3344" s="99"/>
      <c r="L3344" s="99"/>
      <c r="M3344" s="99"/>
      <c r="N3344" s="99"/>
      <c r="O3344" s="99"/>
      <c r="P3344" s="99"/>
      <c r="Q3344" s="99"/>
      <c r="R3344" s="99"/>
      <c r="S3344" s="99"/>
      <c r="T3344" s="99"/>
      <c r="U3344" s="99"/>
      <c r="V3344" s="99"/>
    </row>
    <row r="3345" spans="1:22">
      <c r="A3345" s="297"/>
      <c r="B3345" s="217"/>
      <c r="C3345" s="217"/>
      <c r="D3345" s="101"/>
      <c r="E3345" s="101"/>
      <c r="F3345" s="294"/>
      <c r="G3345" s="295"/>
      <c r="H3345" s="98"/>
      <c r="I3345" s="99"/>
      <c r="J3345" s="99"/>
      <c r="K3345" s="99"/>
      <c r="L3345" s="99"/>
      <c r="M3345" s="99"/>
      <c r="N3345" s="99"/>
      <c r="O3345" s="99"/>
      <c r="P3345" s="99"/>
      <c r="Q3345" s="99"/>
      <c r="R3345" s="99"/>
      <c r="S3345" s="99"/>
      <c r="T3345" s="99"/>
      <c r="U3345" s="99"/>
      <c r="V3345" s="99"/>
    </row>
    <row r="3346" spans="1:22">
      <c r="A3346" s="297"/>
      <c r="B3346" s="217"/>
      <c r="C3346" s="217"/>
      <c r="D3346" s="101"/>
      <c r="E3346" s="101"/>
      <c r="F3346" s="294"/>
      <c r="G3346" s="295"/>
      <c r="H3346" s="98"/>
      <c r="I3346" s="99"/>
      <c r="J3346" s="99"/>
      <c r="K3346" s="99"/>
      <c r="L3346" s="99"/>
      <c r="M3346" s="99"/>
      <c r="N3346" s="99"/>
      <c r="O3346" s="99"/>
      <c r="P3346" s="99"/>
      <c r="Q3346" s="99"/>
      <c r="R3346" s="99"/>
      <c r="S3346" s="99"/>
      <c r="T3346" s="99"/>
      <c r="U3346" s="99"/>
      <c r="V3346" s="99"/>
    </row>
    <row r="3347" spans="1:22">
      <c r="A3347" s="297"/>
      <c r="B3347" s="217"/>
      <c r="C3347" s="217"/>
      <c r="D3347" s="101"/>
      <c r="E3347" s="101"/>
      <c r="F3347" s="294"/>
      <c r="G3347" s="295"/>
      <c r="H3347" s="98"/>
      <c r="I3347" s="99"/>
      <c r="J3347" s="99"/>
      <c r="K3347" s="99"/>
      <c r="L3347" s="99"/>
      <c r="M3347" s="99"/>
      <c r="N3347" s="99"/>
      <c r="O3347" s="99"/>
      <c r="P3347" s="99"/>
      <c r="Q3347" s="99"/>
      <c r="R3347" s="99"/>
      <c r="S3347" s="99"/>
      <c r="T3347" s="99"/>
      <c r="U3347" s="99"/>
      <c r="V3347" s="99"/>
    </row>
    <row r="3348" spans="1:22">
      <c r="A3348" s="297"/>
      <c r="B3348" s="217"/>
      <c r="C3348" s="217"/>
      <c r="D3348" s="101"/>
      <c r="E3348" s="101"/>
      <c r="F3348" s="294"/>
      <c r="G3348" s="295"/>
      <c r="H3348" s="98"/>
      <c r="I3348" s="99"/>
      <c r="J3348" s="99"/>
      <c r="K3348" s="99"/>
      <c r="L3348" s="99"/>
      <c r="M3348" s="99"/>
      <c r="N3348" s="99"/>
      <c r="O3348" s="99"/>
      <c r="P3348" s="99"/>
      <c r="Q3348" s="99"/>
      <c r="R3348" s="99"/>
      <c r="S3348" s="99"/>
      <c r="T3348" s="99"/>
      <c r="U3348" s="99"/>
      <c r="V3348" s="99"/>
    </row>
    <row r="3349" spans="1:22">
      <c r="A3349" s="297"/>
      <c r="B3349" s="217"/>
      <c r="C3349" s="217"/>
      <c r="D3349" s="101"/>
      <c r="E3349" s="101"/>
      <c r="F3349" s="294"/>
      <c r="G3349" s="295"/>
      <c r="H3349" s="98"/>
      <c r="I3349" s="99"/>
      <c r="J3349" s="99"/>
      <c r="K3349" s="99"/>
      <c r="L3349" s="99"/>
      <c r="M3349" s="99"/>
      <c r="N3349" s="99"/>
      <c r="O3349" s="99"/>
      <c r="P3349" s="99"/>
      <c r="Q3349" s="99"/>
      <c r="R3349" s="99"/>
      <c r="S3349" s="99"/>
      <c r="T3349" s="99"/>
      <c r="U3349" s="99"/>
      <c r="V3349" s="99"/>
    </row>
    <row r="3350" spans="1:22">
      <c r="A3350" s="297"/>
      <c r="B3350" s="217"/>
      <c r="C3350" s="217"/>
      <c r="D3350" s="101"/>
      <c r="E3350" s="101"/>
      <c r="F3350" s="294"/>
      <c r="G3350" s="295"/>
      <c r="H3350" s="98"/>
      <c r="I3350" s="99"/>
      <c r="J3350" s="99"/>
      <c r="K3350" s="99"/>
      <c r="L3350" s="99"/>
      <c r="M3350" s="99"/>
      <c r="N3350" s="99"/>
      <c r="O3350" s="99"/>
      <c r="P3350" s="99"/>
      <c r="Q3350" s="99"/>
      <c r="R3350" s="99"/>
      <c r="S3350" s="99"/>
      <c r="T3350" s="99"/>
      <c r="U3350" s="99"/>
      <c r="V3350" s="99"/>
    </row>
    <row r="3351" spans="1:22">
      <c r="A3351" s="297"/>
      <c r="B3351" s="217"/>
      <c r="C3351" s="217"/>
      <c r="D3351" s="101"/>
      <c r="E3351" s="101"/>
      <c r="F3351" s="294"/>
      <c r="G3351" s="295"/>
      <c r="H3351" s="98"/>
      <c r="I3351" s="99"/>
      <c r="J3351" s="99"/>
      <c r="K3351" s="99"/>
      <c r="L3351" s="99"/>
      <c r="M3351" s="99"/>
      <c r="N3351" s="99"/>
      <c r="O3351" s="99"/>
      <c r="P3351" s="99"/>
      <c r="Q3351" s="99"/>
      <c r="R3351" s="99"/>
      <c r="S3351" s="99"/>
      <c r="T3351" s="99"/>
      <c r="U3351" s="99"/>
      <c r="V3351" s="99"/>
    </row>
    <row r="3352" spans="1:22">
      <c r="A3352" s="297"/>
      <c r="B3352" s="217"/>
      <c r="C3352" s="217"/>
      <c r="D3352" s="101"/>
      <c r="E3352" s="101"/>
      <c r="F3352" s="294"/>
      <c r="G3352" s="295"/>
      <c r="H3352" s="98"/>
      <c r="I3352" s="99"/>
      <c r="J3352" s="99"/>
      <c r="K3352" s="99"/>
      <c r="L3352" s="99"/>
      <c r="M3352" s="99"/>
      <c r="N3352" s="99"/>
      <c r="O3352" s="99"/>
      <c r="P3352" s="99"/>
      <c r="Q3352" s="99"/>
      <c r="R3352" s="99"/>
      <c r="S3352" s="99"/>
      <c r="T3352" s="99"/>
      <c r="U3352" s="99"/>
      <c r="V3352" s="99"/>
    </row>
    <row r="3353" spans="1:22">
      <c r="A3353" s="297"/>
      <c r="B3353" s="217"/>
      <c r="C3353" s="217"/>
      <c r="D3353" s="101"/>
      <c r="E3353" s="101"/>
      <c r="F3353" s="294"/>
      <c r="G3353" s="295"/>
      <c r="H3353" s="98"/>
      <c r="I3353" s="99"/>
      <c r="J3353" s="99"/>
      <c r="K3353" s="99"/>
      <c r="L3353" s="99"/>
      <c r="M3353" s="99"/>
      <c r="N3353" s="99"/>
      <c r="O3353" s="99"/>
      <c r="P3353" s="99"/>
      <c r="Q3353" s="99"/>
      <c r="R3353" s="99"/>
      <c r="S3353" s="99"/>
      <c r="T3353" s="99"/>
      <c r="U3353" s="99"/>
      <c r="V3353" s="99"/>
    </row>
    <row r="3354" spans="1:22">
      <c r="A3354" s="297"/>
      <c r="B3354" s="217"/>
      <c r="C3354" s="217"/>
      <c r="D3354" s="101"/>
      <c r="E3354" s="101"/>
      <c r="F3354" s="294"/>
      <c r="G3354" s="295"/>
      <c r="H3354" s="98"/>
      <c r="I3354" s="99"/>
      <c r="J3354" s="99"/>
      <c r="K3354" s="99"/>
      <c r="L3354" s="99"/>
      <c r="M3354" s="99"/>
      <c r="N3354" s="99"/>
      <c r="O3354" s="99"/>
      <c r="P3354" s="99"/>
      <c r="Q3354" s="99"/>
      <c r="R3354" s="99"/>
      <c r="S3354" s="99"/>
      <c r="T3354" s="99"/>
      <c r="U3354" s="99"/>
      <c r="V3354" s="99"/>
    </row>
    <row r="3355" spans="1:22">
      <c r="A3355" s="297"/>
      <c r="B3355" s="217"/>
      <c r="C3355" s="217"/>
      <c r="D3355" s="101"/>
      <c r="E3355" s="101"/>
      <c r="F3355" s="294"/>
      <c r="G3355" s="295"/>
      <c r="H3355" s="98"/>
      <c r="I3355" s="99"/>
      <c r="J3355" s="99"/>
      <c r="K3355" s="99"/>
      <c r="L3355" s="99"/>
      <c r="M3355" s="99"/>
      <c r="N3355" s="99"/>
      <c r="O3355" s="99"/>
      <c r="P3355" s="99"/>
      <c r="Q3355" s="99"/>
      <c r="R3355" s="99"/>
      <c r="S3355" s="99"/>
      <c r="T3355" s="99"/>
      <c r="U3355" s="99"/>
      <c r="V3355" s="99"/>
    </row>
    <row r="3356" spans="1:22">
      <c r="A3356" s="297"/>
      <c r="B3356" s="217"/>
      <c r="C3356" s="217"/>
      <c r="D3356" s="101"/>
      <c r="E3356" s="101"/>
      <c r="F3356" s="294"/>
      <c r="G3356" s="295"/>
      <c r="H3356" s="98"/>
      <c r="I3356" s="99"/>
      <c r="J3356" s="99"/>
      <c r="K3356" s="99"/>
      <c r="L3356" s="99"/>
      <c r="M3356" s="99"/>
      <c r="N3356" s="99"/>
      <c r="O3356" s="99"/>
      <c r="P3356" s="99"/>
      <c r="Q3356" s="99"/>
      <c r="R3356" s="99"/>
      <c r="S3356" s="99"/>
      <c r="T3356" s="99"/>
      <c r="U3356" s="99"/>
      <c r="V3356" s="99"/>
    </row>
    <row r="3357" spans="1:22">
      <c r="A3357" s="297"/>
      <c r="B3357" s="217"/>
      <c r="C3357" s="217"/>
      <c r="D3357" s="101"/>
      <c r="E3357" s="101"/>
      <c r="F3357" s="294"/>
      <c r="G3357" s="295"/>
      <c r="H3357" s="98"/>
      <c r="I3357" s="99"/>
      <c r="J3357" s="99"/>
      <c r="K3357" s="99"/>
      <c r="L3357" s="99"/>
      <c r="M3357" s="99"/>
      <c r="N3357" s="99"/>
      <c r="O3357" s="99"/>
      <c r="P3357" s="99"/>
      <c r="Q3357" s="99"/>
      <c r="R3357" s="99"/>
      <c r="S3357" s="99"/>
      <c r="T3357" s="99"/>
      <c r="U3357" s="99"/>
      <c r="V3357" s="99"/>
    </row>
    <row r="3358" spans="1:22">
      <c r="A3358" s="297"/>
      <c r="B3358" s="217"/>
      <c r="C3358" s="217"/>
      <c r="D3358" s="101"/>
      <c r="E3358" s="101"/>
      <c r="F3358" s="294"/>
      <c r="G3358" s="295"/>
      <c r="H3358" s="98"/>
      <c r="I3358" s="99"/>
      <c r="J3358" s="99"/>
      <c r="K3358" s="99"/>
      <c r="L3358" s="99"/>
      <c r="M3358" s="99"/>
      <c r="N3358" s="99"/>
      <c r="O3358" s="99"/>
      <c r="P3358" s="99"/>
      <c r="Q3358" s="99"/>
      <c r="R3358" s="99"/>
      <c r="S3358" s="99"/>
      <c r="T3358" s="99"/>
      <c r="U3358" s="99"/>
      <c r="V3358" s="99"/>
    </row>
    <row r="3359" spans="1:22">
      <c r="A3359" s="297"/>
      <c r="B3359" s="217"/>
      <c r="C3359" s="217"/>
      <c r="D3359" s="101"/>
      <c r="E3359" s="101"/>
      <c r="F3359" s="294"/>
      <c r="G3359" s="295"/>
      <c r="H3359" s="98"/>
      <c r="I3359" s="99"/>
      <c r="J3359" s="99"/>
      <c r="K3359" s="99"/>
      <c r="L3359" s="99"/>
      <c r="M3359" s="99"/>
      <c r="N3359" s="99"/>
      <c r="O3359" s="99"/>
      <c r="P3359" s="99"/>
      <c r="Q3359" s="99"/>
      <c r="R3359" s="99"/>
      <c r="S3359" s="99"/>
      <c r="T3359" s="99"/>
      <c r="U3359" s="99"/>
      <c r="V3359" s="99"/>
    </row>
    <row r="3360" spans="1:22">
      <c r="A3360" s="297"/>
      <c r="B3360" s="217"/>
      <c r="C3360" s="217"/>
      <c r="D3360" s="101"/>
      <c r="E3360" s="101"/>
      <c r="F3360" s="294"/>
      <c r="G3360" s="295"/>
      <c r="H3360" s="98"/>
      <c r="I3360" s="99"/>
      <c r="J3360" s="99"/>
      <c r="K3360" s="99"/>
      <c r="L3360" s="99"/>
      <c r="M3360" s="99"/>
      <c r="N3360" s="99"/>
      <c r="O3360" s="99"/>
      <c r="P3360" s="99"/>
      <c r="Q3360" s="99"/>
      <c r="R3360" s="99"/>
      <c r="S3360" s="99"/>
      <c r="T3360" s="99"/>
      <c r="U3360" s="99"/>
      <c r="V3360" s="99"/>
    </row>
    <row r="3361" spans="1:22">
      <c r="A3361" s="297"/>
      <c r="B3361" s="217"/>
      <c r="C3361" s="217"/>
      <c r="D3361" s="101"/>
      <c r="E3361" s="101"/>
      <c r="F3361" s="294"/>
      <c r="G3361" s="295"/>
      <c r="H3361" s="98"/>
      <c r="I3361" s="99"/>
      <c r="J3361" s="99"/>
      <c r="K3361" s="99"/>
      <c r="L3361" s="99"/>
      <c r="M3361" s="99"/>
      <c r="N3361" s="99"/>
      <c r="O3361" s="99"/>
      <c r="P3361" s="99"/>
      <c r="Q3361" s="99"/>
      <c r="R3361" s="99"/>
      <c r="S3361" s="99"/>
      <c r="T3361" s="99"/>
      <c r="U3361" s="99"/>
      <c r="V3361" s="99"/>
    </row>
    <row r="3362" spans="1:22">
      <c r="A3362" s="297"/>
      <c r="B3362" s="217"/>
      <c r="C3362" s="217"/>
      <c r="D3362" s="101"/>
      <c r="E3362" s="101"/>
      <c r="F3362" s="294"/>
      <c r="G3362" s="295"/>
      <c r="H3362" s="107"/>
      <c r="I3362" s="108"/>
      <c r="J3362" s="108"/>
      <c r="K3362" s="108"/>
      <c r="L3362" s="108"/>
      <c r="M3362" s="108"/>
      <c r="N3362" s="108"/>
      <c r="O3362" s="108"/>
      <c r="P3362" s="108"/>
      <c r="Q3362" s="108"/>
      <c r="R3362" s="108"/>
      <c r="S3362" s="108"/>
      <c r="T3362" s="108"/>
      <c r="U3362" s="233"/>
      <c r="V3362" s="233"/>
    </row>
    <row r="3363" spans="1:22">
      <c r="A3363" s="297"/>
      <c r="B3363" s="217"/>
      <c r="C3363" s="217"/>
      <c r="D3363" s="101"/>
      <c r="E3363" s="101"/>
      <c r="F3363" s="294"/>
      <c r="G3363" s="295"/>
      <c r="H3363" s="98"/>
      <c r="I3363" s="106"/>
      <c r="J3363" s="106"/>
      <c r="K3363" s="106"/>
      <c r="L3363" s="106"/>
      <c r="M3363" s="106"/>
      <c r="N3363" s="110"/>
      <c r="O3363" s="110"/>
      <c r="P3363" s="110"/>
      <c r="Q3363" s="111"/>
      <c r="R3363" s="111"/>
      <c r="S3363" s="111"/>
      <c r="T3363" s="111"/>
      <c r="U3363" s="111"/>
      <c r="V3363" s="111"/>
    </row>
    <row r="3364" spans="1:22">
      <c r="A3364" s="297"/>
      <c r="B3364" s="217"/>
      <c r="C3364" s="217"/>
      <c r="D3364" s="101"/>
      <c r="E3364" s="101"/>
      <c r="F3364" s="294"/>
      <c r="G3364" s="295"/>
      <c r="H3364" s="98"/>
      <c r="I3364" s="99"/>
      <c r="J3364" s="99"/>
      <c r="K3364" s="99"/>
      <c r="L3364" s="99"/>
      <c r="M3364" s="99"/>
      <c r="N3364" s="99"/>
      <c r="O3364" s="99"/>
      <c r="P3364" s="99"/>
      <c r="Q3364" s="99"/>
      <c r="R3364" s="99"/>
      <c r="S3364" s="99"/>
      <c r="T3364" s="99"/>
      <c r="U3364" s="99"/>
      <c r="V3364" s="99"/>
    </row>
    <row r="3365" spans="1:22">
      <c r="A3365" s="297"/>
      <c r="B3365" s="217"/>
      <c r="C3365" s="217"/>
      <c r="D3365" s="101"/>
      <c r="E3365" s="101"/>
      <c r="F3365" s="294"/>
      <c r="G3365" s="295"/>
      <c r="H3365" s="98"/>
      <c r="I3365" s="99"/>
      <c r="J3365" s="99"/>
      <c r="K3365" s="99"/>
      <c r="L3365" s="99"/>
      <c r="M3365" s="99"/>
      <c r="N3365" s="99"/>
      <c r="O3365" s="99"/>
      <c r="P3365" s="99"/>
      <c r="Q3365" s="99"/>
      <c r="R3365" s="99"/>
      <c r="S3365" s="99"/>
      <c r="T3365" s="99"/>
      <c r="U3365" s="99"/>
      <c r="V3365" s="99"/>
    </row>
    <row r="3366" spans="1:22">
      <c r="A3366" s="297"/>
      <c r="B3366" s="217"/>
      <c r="C3366" s="217"/>
      <c r="D3366" s="101"/>
      <c r="E3366" s="101"/>
      <c r="F3366" s="294"/>
      <c r="G3366" s="295"/>
      <c r="H3366" s="98"/>
      <c r="I3366" s="99"/>
      <c r="J3366" s="99"/>
      <c r="K3366" s="99"/>
      <c r="L3366" s="99"/>
      <c r="M3366" s="99"/>
      <c r="N3366" s="99"/>
      <c r="O3366" s="99"/>
      <c r="P3366" s="99"/>
      <c r="Q3366" s="99"/>
      <c r="R3366" s="99"/>
      <c r="S3366" s="99"/>
      <c r="T3366" s="99"/>
      <c r="U3366" s="99"/>
      <c r="V3366" s="99"/>
    </row>
    <row r="3367" spans="1:22">
      <c r="A3367" s="297"/>
      <c r="B3367" s="217"/>
      <c r="C3367" s="217"/>
      <c r="D3367" s="101"/>
      <c r="E3367" s="101"/>
      <c r="F3367" s="294"/>
      <c r="G3367" s="295"/>
      <c r="H3367" s="98"/>
      <c r="I3367" s="99"/>
      <c r="J3367" s="99"/>
      <c r="K3367" s="99"/>
      <c r="L3367" s="99"/>
      <c r="M3367" s="99"/>
      <c r="N3367" s="99"/>
      <c r="O3367" s="99"/>
      <c r="P3367" s="99"/>
      <c r="Q3367" s="99"/>
      <c r="R3367" s="99"/>
      <c r="S3367" s="99"/>
      <c r="T3367" s="99"/>
      <c r="U3367" s="99"/>
      <c r="V3367" s="99"/>
    </row>
    <row r="3368" spans="1:22">
      <c r="A3368" s="297"/>
      <c r="B3368" s="217"/>
      <c r="C3368" s="217"/>
      <c r="D3368" s="101"/>
      <c r="E3368" s="101"/>
      <c r="F3368" s="294"/>
      <c r="G3368" s="295"/>
      <c r="H3368" s="98"/>
      <c r="I3368" s="99"/>
      <c r="J3368" s="99"/>
      <c r="K3368" s="99"/>
      <c r="L3368" s="99"/>
      <c r="M3368" s="99"/>
      <c r="N3368" s="99"/>
      <c r="O3368" s="99"/>
      <c r="P3368" s="99"/>
      <c r="Q3368" s="99"/>
      <c r="R3368" s="99"/>
      <c r="S3368" s="99"/>
      <c r="T3368" s="99"/>
      <c r="U3368" s="99"/>
      <c r="V3368" s="99"/>
    </row>
    <row r="3369" spans="1:22">
      <c r="A3369" s="297"/>
      <c r="B3369" s="217"/>
      <c r="C3369" s="217"/>
      <c r="D3369" s="101"/>
      <c r="E3369" s="101"/>
      <c r="F3369" s="294"/>
      <c r="G3369" s="295"/>
      <c r="H3369" s="98"/>
      <c r="I3369" s="99"/>
      <c r="J3369" s="99"/>
      <c r="K3369" s="99"/>
      <c r="L3369" s="99"/>
      <c r="M3369" s="99"/>
      <c r="N3369" s="99"/>
      <c r="O3369" s="99"/>
      <c r="P3369" s="99"/>
      <c r="Q3369" s="99"/>
      <c r="R3369" s="99"/>
      <c r="S3369" s="99"/>
      <c r="T3369" s="99"/>
      <c r="U3369" s="99"/>
      <c r="V3369" s="99"/>
    </row>
    <row r="3370" spans="1:22">
      <c r="A3370" s="297"/>
      <c r="B3370" s="217"/>
      <c r="C3370" s="217"/>
      <c r="D3370" s="101"/>
      <c r="E3370" s="101"/>
      <c r="F3370" s="294"/>
      <c r="G3370" s="295"/>
      <c r="H3370" s="98"/>
      <c r="I3370" s="99"/>
      <c r="J3370" s="99"/>
      <c r="K3370" s="99"/>
      <c r="L3370" s="99"/>
      <c r="M3370" s="99"/>
      <c r="N3370" s="99"/>
      <c r="O3370" s="99"/>
      <c r="P3370" s="99"/>
      <c r="Q3370" s="99"/>
      <c r="R3370" s="99"/>
      <c r="S3370" s="99"/>
      <c r="T3370" s="99"/>
      <c r="U3370" s="99"/>
      <c r="V3370" s="99"/>
    </row>
    <row r="3371" spans="1:22">
      <c r="A3371" s="297"/>
      <c r="B3371" s="217"/>
      <c r="C3371" s="217"/>
      <c r="D3371" s="101"/>
      <c r="E3371" s="101"/>
      <c r="F3371" s="294"/>
      <c r="G3371" s="295"/>
      <c r="H3371" s="98"/>
      <c r="I3371" s="99"/>
      <c r="J3371" s="99"/>
      <c r="K3371" s="99"/>
      <c r="L3371" s="99"/>
      <c r="M3371" s="99"/>
      <c r="N3371" s="99"/>
      <c r="O3371" s="99"/>
      <c r="P3371" s="99"/>
      <c r="Q3371" s="99"/>
      <c r="R3371" s="99"/>
      <c r="S3371" s="99"/>
      <c r="T3371" s="99"/>
      <c r="U3371" s="99"/>
      <c r="V3371" s="99"/>
    </row>
    <row r="3372" spans="1:22">
      <c r="A3372" s="297"/>
      <c r="B3372" s="217"/>
      <c r="C3372" s="217"/>
      <c r="D3372" s="101"/>
      <c r="E3372" s="101"/>
      <c r="F3372" s="294"/>
      <c r="G3372" s="295"/>
      <c r="H3372" s="98"/>
      <c r="I3372" s="99"/>
      <c r="J3372" s="99"/>
      <c r="K3372" s="99"/>
      <c r="L3372" s="99"/>
      <c r="M3372" s="99"/>
      <c r="N3372" s="99"/>
      <c r="O3372" s="99"/>
      <c r="P3372" s="99"/>
      <c r="Q3372" s="99"/>
      <c r="R3372" s="99"/>
      <c r="S3372" s="99"/>
      <c r="T3372" s="99"/>
      <c r="U3372" s="99"/>
      <c r="V3372" s="99"/>
    </row>
    <row r="3373" spans="1:22">
      <c r="A3373" s="297"/>
      <c r="B3373" s="217"/>
      <c r="C3373" s="217"/>
      <c r="D3373" s="101"/>
      <c r="E3373" s="101"/>
      <c r="F3373" s="294"/>
      <c r="G3373" s="295"/>
      <c r="H3373" s="98"/>
      <c r="I3373" s="99"/>
      <c r="J3373" s="99"/>
      <c r="K3373" s="99"/>
      <c r="L3373" s="99"/>
      <c r="M3373" s="99"/>
      <c r="N3373" s="99"/>
      <c r="O3373" s="99"/>
      <c r="P3373" s="99"/>
      <c r="Q3373" s="99"/>
      <c r="R3373" s="99"/>
      <c r="S3373" s="99"/>
      <c r="T3373" s="99"/>
      <c r="U3373" s="99"/>
      <c r="V3373" s="99"/>
    </row>
    <row r="3374" spans="1:22">
      <c r="A3374" s="297"/>
      <c r="B3374" s="217"/>
      <c r="C3374" s="217"/>
      <c r="D3374" s="101"/>
      <c r="E3374" s="101"/>
      <c r="F3374" s="294"/>
      <c r="G3374" s="295"/>
      <c r="H3374" s="98"/>
      <c r="I3374" s="99"/>
      <c r="J3374" s="99"/>
      <c r="K3374" s="99"/>
      <c r="L3374" s="99"/>
      <c r="M3374" s="99"/>
      <c r="N3374" s="99"/>
      <c r="O3374" s="99"/>
      <c r="P3374" s="99"/>
      <c r="Q3374" s="99"/>
      <c r="R3374" s="99"/>
      <c r="S3374" s="99"/>
      <c r="T3374" s="99"/>
      <c r="U3374" s="99"/>
      <c r="V3374" s="99"/>
    </row>
    <row r="3375" spans="1:22">
      <c r="A3375" s="297"/>
      <c r="B3375" s="217"/>
      <c r="C3375" s="217"/>
      <c r="D3375" s="101"/>
      <c r="E3375" s="101"/>
      <c r="F3375" s="294"/>
      <c r="G3375" s="295"/>
      <c r="H3375" s="98"/>
      <c r="I3375" s="99"/>
      <c r="J3375" s="99"/>
      <c r="K3375" s="99"/>
      <c r="L3375" s="99"/>
      <c r="M3375" s="99"/>
      <c r="N3375" s="99"/>
      <c r="O3375" s="99"/>
      <c r="P3375" s="99"/>
      <c r="Q3375" s="99"/>
      <c r="R3375" s="99"/>
      <c r="S3375" s="99"/>
      <c r="T3375" s="99"/>
      <c r="U3375" s="99"/>
      <c r="V3375" s="99"/>
    </row>
    <row r="3376" spans="1:22">
      <c r="A3376" s="297"/>
      <c r="B3376" s="217"/>
      <c r="C3376" s="217"/>
      <c r="D3376" s="101"/>
      <c r="E3376" s="101"/>
      <c r="F3376" s="294"/>
      <c r="G3376" s="295"/>
      <c r="H3376" s="98"/>
      <c r="I3376" s="99"/>
      <c r="J3376" s="99"/>
      <c r="K3376" s="99"/>
      <c r="L3376" s="99"/>
      <c r="M3376" s="99"/>
      <c r="N3376" s="99"/>
      <c r="O3376" s="99"/>
      <c r="P3376" s="99"/>
      <c r="Q3376" s="99"/>
      <c r="R3376" s="99"/>
      <c r="S3376" s="99"/>
      <c r="T3376" s="99"/>
      <c r="U3376" s="99"/>
      <c r="V3376" s="99"/>
    </row>
    <row r="3377" spans="1:22">
      <c r="A3377" s="297"/>
      <c r="B3377" s="217"/>
      <c r="C3377" s="217"/>
      <c r="D3377" s="101"/>
      <c r="E3377" s="101"/>
      <c r="F3377" s="294"/>
      <c r="G3377" s="295"/>
      <c r="H3377" s="98"/>
      <c r="I3377" s="99"/>
      <c r="J3377" s="99"/>
      <c r="K3377" s="99"/>
      <c r="L3377" s="99"/>
      <c r="M3377" s="99"/>
      <c r="N3377" s="99"/>
      <c r="O3377" s="99"/>
      <c r="P3377" s="99"/>
      <c r="Q3377" s="99"/>
      <c r="R3377" s="99"/>
      <c r="S3377" s="99"/>
      <c r="T3377" s="99"/>
      <c r="U3377" s="99"/>
      <c r="V3377" s="99"/>
    </row>
    <row r="3378" spans="1:22">
      <c r="A3378" s="297"/>
      <c r="B3378" s="217"/>
      <c r="C3378" s="217"/>
      <c r="D3378" s="101"/>
      <c r="E3378" s="101"/>
      <c r="F3378" s="294"/>
      <c r="G3378" s="295"/>
      <c r="H3378" s="98"/>
      <c r="I3378" s="99"/>
      <c r="J3378" s="99"/>
      <c r="K3378" s="99"/>
      <c r="L3378" s="99"/>
      <c r="M3378" s="99"/>
      <c r="N3378" s="99"/>
      <c r="O3378" s="99"/>
      <c r="P3378" s="99"/>
      <c r="Q3378" s="99"/>
      <c r="R3378" s="99"/>
      <c r="S3378" s="99"/>
      <c r="T3378" s="99"/>
      <c r="U3378" s="99"/>
      <c r="V3378" s="99"/>
    </row>
    <row r="3379" spans="1:22">
      <c r="A3379" s="297"/>
      <c r="B3379" s="217"/>
      <c r="C3379" s="217"/>
      <c r="D3379" s="101"/>
      <c r="E3379" s="101"/>
      <c r="F3379" s="294"/>
      <c r="G3379" s="295"/>
      <c r="H3379" s="98"/>
      <c r="I3379" s="99"/>
      <c r="J3379" s="99"/>
      <c r="K3379" s="99"/>
      <c r="L3379" s="99"/>
      <c r="M3379" s="99"/>
      <c r="N3379" s="99"/>
      <c r="O3379" s="99"/>
      <c r="P3379" s="99"/>
      <c r="Q3379" s="99"/>
      <c r="R3379" s="99"/>
      <c r="S3379" s="99"/>
      <c r="T3379" s="99"/>
      <c r="U3379" s="99"/>
      <c r="V3379" s="99"/>
    </row>
    <row r="3380" spans="1:22">
      <c r="A3380" s="297"/>
      <c r="B3380" s="217"/>
      <c r="C3380" s="217"/>
      <c r="D3380" s="101"/>
      <c r="E3380" s="101"/>
      <c r="F3380" s="294"/>
      <c r="G3380" s="295"/>
      <c r="H3380" s="98"/>
      <c r="I3380" s="99"/>
      <c r="J3380" s="99"/>
      <c r="K3380" s="99"/>
      <c r="L3380" s="99"/>
      <c r="M3380" s="99"/>
      <c r="N3380" s="99"/>
      <c r="O3380" s="99"/>
      <c r="P3380" s="99"/>
      <c r="Q3380" s="99"/>
      <c r="R3380" s="99"/>
      <c r="S3380" s="99"/>
      <c r="T3380" s="99"/>
      <c r="U3380" s="99"/>
      <c r="V3380" s="99"/>
    </row>
    <row r="3381" spans="1:22">
      <c r="A3381" s="297"/>
      <c r="B3381" s="217"/>
      <c r="C3381" s="217"/>
      <c r="D3381" s="101"/>
      <c r="E3381" s="101"/>
      <c r="F3381" s="294"/>
      <c r="G3381" s="295"/>
      <c r="H3381" s="98"/>
      <c r="I3381" s="99"/>
      <c r="J3381" s="99"/>
      <c r="K3381" s="99"/>
      <c r="L3381" s="99"/>
      <c r="M3381" s="99"/>
      <c r="N3381" s="99"/>
      <c r="O3381" s="99"/>
      <c r="P3381" s="99"/>
      <c r="Q3381" s="99"/>
      <c r="R3381" s="99"/>
      <c r="S3381" s="99"/>
      <c r="T3381" s="99"/>
      <c r="U3381" s="99"/>
      <c r="V3381" s="99"/>
    </row>
    <row r="3382" spans="1:22">
      <c r="A3382" s="297"/>
      <c r="B3382" s="217"/>
      <c r="C3382" s="217"/>
      <c r="D3382" s="101"/>
      <c r="E3382" s="101"/>
      <c r="F3382" s="294"/>
      <c r="G3382" s="295"/>
      <c r="H3382" s="98"/>
      <c r="I3382" s="99"/>
      <c r="J3382" s="99"/>
      <c r="K3382" s="99"/>
      <c r="L3382" s="99"/>
      <c r="M3382" s="99"/>
      <c r="N3382" s="99"/>
      <c r="O3382" s="99"/>
      <c r="P3382" s="99"/>
      <c r="Q3382" s="99"/>
      <c r="R3382" s="99"/>
      <c r="S3382" s="99"/>
      <c r="T3382" s="99"/>
      <c r="U3382" s="99"/>
      <c r="V3382" s="99"/>
    </row>
    <row r="3383" spans="1:22">
      <c r="A3383" s="297"/>
      <c r="B3383" s="217"/>
      <c r="C3383" s="217"/>
      <c r="D3383" s="101"/>
      <c r="E3383" s="101"/>
      <c r="F3383" s="294"/>
      <c r="G3383" s="295"/>
      <c r="H3383" s="98"/>
      <c r="I3383" s="99"/>
      <c r="J3383" s="99"/>
      <c r="K3383" s="99"/>
      <c r="L3383" s="99"/>
      <c r="M3383" s="99"/>
      <c r="N3383" s="99"/>
      <c r="O3383" s="99"/>
      <c r="P3383" s="99"/>
      <c r="Q3383" s="99"/>
      <c r="R3383" s="99"/>
      <c r="S3383" s="99"/>
      <c r="T3383" s="99"/>
      <c r="U3383" s="99"/>
      <c r="V3383" s="99"/>
    </row>
    <row r="3384" spans="1:22">
      <c r="A3384" s="297"/>
      <c r="B3384" s="217"/>
      <c r="C3384" s="217"/>
      <c r="D3384" s="101"/>
      <c r="E3384" s="101"/>
      <c r="F3384" s="294"/>
      <c r="G3384" s="295"/>
      <c r="H3384" s="98"/>
      <c r="I3384" s="99"/>
      <c r="J3384" s="99"/>
      <c r="K3384" s="99"/>
      <c r="L3384" s="99"/>
      <c r="M3384" s="99"/>
      <c r="N3384" s="99"/>
      <c r="O3384" s="99"/>
      <c r="P3384" s="99"/>
      <c r="Q3384" s="99"/>
      <c r="R3384" s="99"/>
      <c r="S3384" s="99"/>
      <c r="T3384" s="99"/>
      <c r="U3384" s="99"/>
      <c r="V3384" s="99"/>
    </row>
    <row r="3385" spans="1:22">
      <c r="A3385" s="297"/>
      <c r="B3385" s="217"/>
      <c r="C3385" s="217"/>
      <c r="D3385" s="101"/>
      <c r="E3385" s="101"/>
      <c r="F3385" s="294"/>
      <c r="G3385" s="295"/>
      <c r="H3385" s="98"/>
      <c r="I3385" s="99"/>
      <c r="J3385" s="99"/>
      <c r="K3385" s="99"/>
      <c r="L3385" s="99"/>
      <c r="M3385" s="99"/>
      <c r="N3385" s="99"/>
      <c r="O3385" s="99"/>
      <c r="P3385" s="99"/>
      <c r="Q3385" s="99"/>
      <c r="R3385" s="99"/>
      <c r="S3385" s="99"/>
      <c r="T3385" s="99"/>
      <c r="U3385" s="99"/>
      <c r="V3385" s="99"/>
    </row>
    <row r="3386" spans="1:22">
      <c r="A3386" s="297"/>
      <c r="B3386" s="217"/>
      <c r="C3386" s="217"/>
      <c r="D3386" s="101"/>
      <c r="E3386" s="101"/>
      <c r="F3386" s="294"/>
      <c r="G3386" s="295"/>
      <c r="H3386" s="98"/>
      <c r="I3386" s="99"/>
      <c r="J3386" s="99"/>
      <c r="K3386" s="99"/>
      <c r="L3386" s="99"/>
      <c r="M3386" s="99"/>
      <c r="N3386" s="99"/>
      <c r="O3386" s="99"/>
      <c r="P3386" s="99"/>
      <c r="Q3386" s="99"/>
      <c r="R3386" s="99"/>
      <c r="S3386" s="99"/>
      <c r="T3386" s="99"/>
      <c r="U3386" s="99"/>
      <c r="V3386" s="99"/>
    </row>
    <row r="3387" spans="1:22">
      <c r="A3387" s="297"/>
      <c r="B3387" s="217"/>
      <c r="C3387" s="217"/>
      <c r="D3387" s="101"/>
      <c r="E3387" s="101"/>
      <c r="F3387" s="294"/>
      <c r="G3387" s="295"/>
      <c r="H3387" s="107"/>
      <c r="I3387" s="108"/>
      <c r="J3387" s="108"/>
      <c r="K3387" s="108"/>
      <c r="L3387" s="108"/>
      <c r="M3387" s="108"/>
      <c r="N3387" s="109"/>
      <c r="O3387" s="109"/>
      <c r="P3387" s="109"/>
      <c r="Q3387" s="109"/>
      <c r="R3387" s="109"/>
      <c r="S3387" s="109"/>
      <c r="T3387" s="109"/>
      <c r="U3387" s="202"/>
      <c r="V3387" s="202"/>
    </row>
    <row r="3388" spans="1:22">
      <c r="A3388" s="297"/>
      <c r="B3388" s="217"/>
      <c r="C3388" s="217"/>
      <c r="D3388" s="101"/>
      <c r="E3388" s="101"/>
      <c r="F3388" s="294"/>
      <c r="G3388" s="295"/>
      <c r="H3388" s="98"/>
      <c r="I3388" s="106"/>
      <c r="J3388" s="106"/>
      <c r="K3388" s="106"/>
      <c r="L3388" s="106"/>
      <c r="M3388" s="106"/>
      <c r="N3388" s="110"/>
      <c r="O3388" s="110"/>
      <c r="P3388" s="110"/>
      <c r="Q3388" s="111"/>
      <c r="R3388" s="111"/>
      <c r="S3388" s="111"/>
      <c r="T3388" s="111"/>
      <c r="U3388" s="111"/>
      <c r="V3388" s="111"/>
    </row>
    <row r="3389" spans="1:22">
      <c r="A3389" s="297"/>
      <c r="B3389" s="217"/>
      <c r="C3389" s="217"/>
      <c r="D3389" s="101"/>
      <c r="E3389" s="101"/>
      <c r="F3389" s="294"/>
      <c r="G3389" s="295"/>
      <c r="H3389" s="98"/>
      <c r="I3389" s="99"/>
      <c r="J3389" s="99"/>
      <c r="K3389" s="99"/>
      <c r="L3389" s="99"/>
      <c r="M3389" s="99"/>
      <c r="N3389" s="99"/>
      <c r="O3389" s="99"/>
      <c r="P3389" s="99"/>
      <c r="Q3389" s="99"/>
      <c r="R3389" s="99"/>
      <c r="S3389" s="99"/>
      <c r="T3389" s="99"/>
      <c r="U3389" s="99"/>
      <c r="V3389" s="99"/>
    </row>
    <row r="3390" spans="1:22">
      <c r="A3390" s="297"/>
      <c r="B3390" s="217"/>
      <c r="C3390" s="217"/>
      <c r="D3390" s="101"/>
      <c r="E3390" s="101"/>
      <c r="F3390" s="294"/>
      <c r="G3390" s="295"/>
      <c r="H3390" s="107"/>
      <c r="I3390" s="108"/>
      <c r="J3390" s="108"/>
      <c r="K3390" s="108"/>
      <c r="L3390" s="108"/>
      <c r="M3390" s="108"/>
      <c r="N3390" s="109"/>
      <c r="O3390" s="109"/>
      <c r="P3390" s="109"/>
      <c r="Q3390" s="109"/>
      <c r="R3390" s="109"/>
      <c r="S3390" s="109"/>
      <c r="T3390" s="109"/>
      <c r="U3390" s="202"/>
      <c r="V3390" s="202"/>
    </row>
    <row r="3391" spans="1:22">
      <c r="A3391" s="297"/>
      <c r="B3391" s="217"/>
      <c r="C3391" s="217"/>
      <c r="D3391" s="101"/>
      <c r="E3391" s="101"/>
      <c r="F3391" s="294"/>
      <c r="G3391" s="295"/>
      <c r="H3391" s="98"/>
      <c r="I3391" s="99"/>
      <c r="J3391" s="99"/>
      <c r="K3391" s="99"/>
      <c r="L3391" s="99"/>
      <c r="M3391" s="99"/>
      <c r="N3391" s="99"/>
      <c r="O3391" s="99"/>
      <c r="P3391" s="99"/>
      <c r="Q3391" s="99"/>
      <c r="R3391" s="99"/>
      <c r="S3391" s="99"/>
      <c r="T3391" s="99"/>
      <c r="U3391" s="99"/>
      <c r="V3391" s="99"/>
    </row>
    <row r="3392" spans="1:22">
      <c r="A3392" s="297"/>
      <c r="B3392" s="217"/>
      <c r="C3392" s="217"/>
      <c r="D3392" s="101"/>
      <c r="E3392" s="101"/>
      <c r="F3392" s="294"/>
      <c r="G3392" s="295"/>
      <c r="H3392" s="98"/>
      <c r="I3392" s="99"/>
      <c r="J3392" s="99"/>
      <c r="K3392" s="99"/>
      <c r="L3392" s="99"/>
      <c r="M3392" s="99"/>
      <c r="N3392" s="99"/>
      <c r="O3392" s="99"/>
      <c r="P3392" s="99"/>
      <c r="Q3392" s="99"/>
      <c r="R3392" s="99"/>
      <c r="S3392" s="99"/>
      <c r="T3392" s="99"/>
      <c r="U3392" s="99"/>
      <c r="V3392" s="99"/>
    </row>
    <row r="3393" spans="1:22">
      <c r="A3393" s="297"/>
      <c r="B3393" s="217"/>
      <c r="C3393" s="217"/>
      <c r="D3393" s="101"/>
      <c r="E3393" s="101"/>
      <c r="F3393" s="294"/>
      <c r="G3393" s="295"/>
      <c r="H3393" s="98"/>
      <c r="I3393" s="99"/>
      <c r="J3393" s="99"/>
      <c r="K3393" s="99"/>
      <c r="L3393" s="99"/>
      <c r="M3393" s="99"/>
      <c r="N3393" s="99"/>
      <c r="O3393" s="99"/>
      <c r="P3393" s="99"/>
      <c r="Q3393" s="99"/>
      <c r="R3393" s="99"/>
      <c r="S3393" s="99"/>
      <c r="T3393" s="99"/>
      <c r="U3393" s="99"/>
      <c r="V3393" s="99"/>
    </row>
    <row r="3394" spans="1:22">
      <c r="A3394" s="297"/>
      <c r="B3394" s="217"/>
      <c r="C3394" s="217"/>
      <c r="D3394" s="101"/>
      <c r="E3394" s="101"/>
      <c r="F3394" s="294"/>
      <c r="G3394" s="295"/>
      <c r="H3394" s="107"/>
      <c r="I3394" s="108"/>
      <c r="J3394" s="108"/>
      <c r="K3394" s="108"/>
      <c r="L3394" s="108"/>
      <c r="M3394" s="108"/>
      <c r="N3394" s="109"/>
      <c r="O3394" s="109"/>
      <c r="P3394" s="109"/>
      <c r="Q3394" s="109"/>
      <c r="R3394" s="109"/>
      <c r="S3394" s="109"/>
      <c r="T3394" s="109"/>
      <c r="U3394" s="202"/>
      <c r="V3394" s="202"/>
    </row>
    <row r="3395" spans="1:22">
      <c r="A3395" s="297"/>
      <c r="B3395" s="217"/>
      <c r="C3395" s="217"/>
      <c r="D3395" s="101"/>
      <c r="E3395" s="101"/>
      <c r="F3395" s="294"/>
      <c r="G3395" s="295"/>
      <c r="H3395" s="98"/>
      <c r="I3395" s="106"/>
      <c r="J3395" s="106"/>
      <c r="K3395" s="106"/>
      <c r="L3395" s="106"/>
      <c r="M3395" s="106"/>
      <c r="N3395" s="110"/>
      <c r="O3395" s="110"/>
      <c r="P3395" s="110"/>
      <c r="Q3395" s="111"/>
      <c r="R3395" s="111"/>
      <c r="S3395" s="111"/>
      <c r="T3395" s="111"/>
      <c r="U3395" s="111"/>
      <c r="V3395" s="111"/>
    </row>
    <row r="3396" spans="1:22">
      <c r="A3396" s="297"/>
      <c r="B3396" s="217"/>
      <c r="C3396" s="217"/>
      <c r="D3396" s="101"/>
      <c r="E3396" s="101"/>
      <c r="F3396" s="294"/>
      <c r="G3396" s="295"/>
      <c r="H3396" s="98"/>
      <c r="I3396" s="106"/>
      <c r="J3396" s="106"/>
      <c r="K3396" s="106"/>
      <c r="L3396" s="106"/>
      <c r="M3396" s="106"/>
      <c r="N3396" s="110"/>
      <c r="O3396" s="110"/>
      <c r="P3396" s="110"/>
      <c r="Q3396" s="111"/>
      <c r="R3396" s="111"/>
      <c r="S3396" s="111"/>
      <c r="T3396" s="111"/>
      <c r="U3396" s="111"/>
      <c r="V3396" s="111"/>
    </row>
    <row r="3397" spans="1:22">
      <c r="A3397" s="297"/>
      <c r="B3397" s="217"/>
      <c r="C3397" s="217"/>
      <c r="D3397" s="101"/>
      <c r="E3397" s="101"/>
      <c r="F3397" s="294"/>
      <c r="G3397" s="295"/>
      <c r="H3397" s="98"/>
      <c r="I3397" s="99"/>
      <c r="J3397" s="99"/>
      <c r="K3397" s="99"/>
      <c r="L3397" s="99"/>
      <c r="M3397" s="99"/>
      <c r="N3397" s="99"/>
      <c r="O3397" s="99"/>
      <c r="P3397" s="99"/>
      <c r="Q3397" s="99"/>
      <c r="R3397" s="99"/>
      <c r="S3397" s="99"/>
      <c r="T3397" s="99"/>
      <c r="U3397" s="99"/>
      <c r="V3397" s="99"/>
    </row>
    <row r="3398" spans="1:22">
      <c r="A3398" s="297"/>
      <c r="B3398" s="217"/>
      <c r="C3398" s="217"/>
      <c r="D3398" s="101"/>
      <c r="E3398" s="101"/>
      <c r="F3398" s="294"/>
      <c r="G3398" s="295"/>
      <c r="H3398" s="98"/>
      <c r="I3398" s="99"/>
      <c r="J3398" s="99"/>
      <c r="K3398" s="99"/>
      <c r="L3398" s="99"/>
      <c r="M3398" s="99"/>
      <c r="N3398" s="99"/>
      <c r="O3398" s="99"/>
      <c r="P3398" s="99"/>
      <c r="Q3398" s="99"/>
      <c r="R3398" s="99"/>
      <c r="S3398" s="99"/>
      <c r="T3398" s="99"/>
      <c r="U3398" s="99"/>
      <c r="V3398" s="99"/>
    </row>
    <row r="3399" spans="1:22">
      <c r="A3399" s="297"/>
      <c r="B3399" s="217"/>
      <c r="C3399" s="217"/>
      <c r="D3399" s="101"/>
      <c r="E3399" s="101"/>
      <c r="F3399" s="294"/>
      <c r="G3399" s="295"/>
      <c r="H3399" s="98"/>
      <c r="I3399" s="99"/>
      <c r="J3399" s="99"/>
      <c r="K3399" s="99"/>
      <c r="L3399" s="99"/>
      <c r="M3399" s="99"/>
      <c r="N3399" s="99"/>
      <c r="O3399" s="99"/>
      <c r="P3399" s="99"/>
      <c r="Q3399" s="99"/>
      <c r="R3399" s="99"/>
      <c r="S3399" s="99"/>
      <c r="T3399" s="99"/>
      <c r="U3399" s="99"/>
      <c r="V3399" s="99"/>
    </row>
    <row r="3400" spans="1:22">
      <c r="A3400" s="297"/>
      <c r="B3400" s="217"/>
      <c r="C3400" s="217"/>
      <c r="D3400" s="101"/>
      <c r="E3400" s="101"/>
      <c r="F3400" s="294"/>
      <c r="G3400" s="295"/>
      <c r="H3400" s="107"/>
      <c r="I3400" s="108"/>
      <c r="J3400" s="108"/>
      <c r="K3400" s="108"/>
      <c r="L3400" s="108"/>
      <c r="M3400" s="108"/>
      <c r="N3400" s="109"/>
      <c r="O3400" s="109"/>
      <c r="P3400" s="109"/>
      <c r="Q3400" s="109"/>
      <c r="R3400" s="109"/>
      <c r="S3400" s="109"/>
      <c r="T3400" s="109"/>
      <c r="U3400" s="202"/>
      <c r="V3400" s="202"/>
    </row>
    <row r="3401" spans="1:22">
      <c r="A3401" s="297"/>
      <c r="B3401" s="217"/>
      <c r="C3401" s="217"/>
      <c r="D3401" s="101"/>
      <c r="E3401" s="101"/>
      <c r="F3401" s="294"/>
      <c r="G3401" s="295"/>
      <c r="H3401" s="98"/>
      <c r="I3401" s="106"/>
      <c r="J3401" s="106"/>
      <c r="K3401" s="106"/>
      <c r="L3401" s="106"/>
      <c r="M3401" s="106"/>
      <c r="N3401" s="110"/>
      <c r="O3401" s="110"/>
      <c r="P3401" s="110"/>
      <c r="Q3401" s="111"/>
      <c r="R3401" s="111"/>
      <c r="S3401" s="111"/>
      <c r="T3401" s="111"/>
      <c r="U3401" s="111"/>
      <c r="V3401" s="111"/>
    </row>
    <row r="3402" spans="1:22">
      <c r="A3402" s="297"/>
      <c r="B3402" s="217"/>
      <c r="C3402" s="217"/>
      <c r="D3402" s="101"/>
      <c r="E3402" s="101"/>
      <c r="F3402" s="294"/>
      <c r="G3402" s="295"/>
      <c r="H3402" s="114"/>
      <c r="I3402" s="108"/>
      <c r="J3402" s="108"/>
      <c r="K3402" s="108"/>
      <c r="L3402" s="108"/>
      <c r="M3402" s="108"/>
      <c r="N3402" s="108"/>
      <c r="O3402" s="108"/>
      <c r="P3402" s="108"/>
      <c r="Q3402" s="108"/>
      <c r="R3402" s="108"/>
      <c r="S3402" s="108"/>
      <c r="T3402" s="108"/>
      <c r="U3402" s="233"/>
      <c r="V3402" s="233"/>
    </row>
    <row r="3403" spans="1:22" ht="14.4" thickBot="1">
      <c r="A3403" s="297"/>
      <c r="B3403" s="217"/>
      <c r="C3403" s="217"/>
      <c r="D3403" s="101"/>
      <c r="E3403" s="101"/>
      <c r="F3403" s="294"/>
      <c r="G3403" s="295"/>
      <c r="H3403" s="98"/>
      <c r="I3403" s="218"/>
      <c r="J3403" s="218"/>
      <c r="K3403" s="218"/>
      <c r="L3403" s="218"/>
      <c r="M3403" s="218"/>
      <c r="U3403" s="212"/>
      <c r="V3403" s="212"/>
    </row>
    <row r="3404" spans="1:22" ht="23.4" thickBot="1">
      <c r="A3404" s="297"/>
      <c r="B3404" s="217"/>
      <c r="C3404" s="217"/>
      <c r="D3404" s="101"/>
      <c r="E3404" s="101"/>
      <c r="F3404" s="294"/>
      <c r="G3404" s="295"/>
      <c r="H3404" s="686"/>
      <c r="I3404" s="687"/>
      <c r="J3404" s="687"/>
      <c r="K3404" s="687"/>
      <c r="L3404" s="687"/>
      <c r="M3404" s="687"/>
      <c r="N3404" s="687"/>
      <c r="O3404" s="687"/>
      <c r="P3404" s="687"/>
      <c r="Q3404" s="687"/>
      <c r="R3404" s="687"/>
      <c r="S3404" s="715"/>
      <c r="T3404" s="688"/>
      <c r="U3404" s="254"/>
      <c r="V3404" s="254"/>
    </row>
    <row r="3405" spans="1:22" ht="22.8">
      <c r="A3405" s="297"/>
      <c r="B3405" s="217"/>
      <c r="C3405" s="217"/>
      <c r="D3405" s="101"/>
      <c r="E3405" s="101"/>
      <c r="F3405" s="294"/>
      <c r="G3405" s="295"/>
      <c r="H3405" s="225"/>
      <c r="I3405" s="225"/>
      <c r="J3405" s="225"/>
      <c r="K3405" s="225"/>
      <c r="L3405" s="225"/>
      <c r="M3405" s="225"/>
      <c r="N3405" s="225"/>
      <c r="O3405" s="225"/>
      <c r="P3405" s="225"/>
      <c r="Q3405" s="225"/>
      <c r="R3405" s="225"/>
      <c r="S3405" s="225"/>
      <c r="T3405" s="225"/>
      <c r="U3405" s="225"/>
      <c r="V3405" s="225"/>
    </row>
    <row r="3406" spans="1:22">
      <c r="A3406" s="297"/>
      <c r="B3406" s="217"/>
      <c r="C3406" s="217"/>
      <c r="D3406" s="101"/>
      <c r="E3406" s="101"/>
      <c r="F3406" s="294"/>
      <c r="G3406" s="295"/>
      <c r="H3406" s="98"/>
      <c r="I3406" s="99"/>
      <c r="J3406" s="99"/>
      <c r="K3406" s="99"/>
      <c r="L3406" s="99"/>
      <c r="M3406" s="99"/>
      <c r="N3406" s="99"/>
      <c r="O3406" s="99"/>
      <c r="P3406" s="99"/>
      <c r="Q3406" s="99"/>
      <c r="R3406" s="99"/>
      <c r="S3406" s="99"/>
      <c r="T3406" s="99"/>
      <c r="U3406" s="99"/>
      <c r="V3406" s="99"/>
    </row>
    <row r="3407" spans="1:22">
      <c r="A3407" s="297"/>
      <c r="B3407" s="217"/>
      <c r="C3407" s="217"/>
      <c r="D3407" s="101"/>
      <c r="E3407" s="101"/>
      <c r="F3407" s="294"/>
      <c r="G3407" s="295"/>
      <c r="H3407" s="107"/>
      <c r="I3407" s="108"/>
      <c r="J3407" s="108"/>
      <c r="K3407" s="108"/>
      <c r="L3407" s="108"/>
      <c r="M3407" s="108"/>
      <c r="N3407" s="109"/>
      <c r="O3407" s="109"/>
      <c r="P3407" s="109"/>
      <c r="Q3407" s="109"/>
      <c r="R3407" s="109"/>
      <c r="S3407" s="109"/>
      <c r="T3407" s="109"/>
      <c r="U3407" s="202"/>
      <c r="V3407" s="202"/>
    </row>
    <row r="3408" spans="1:22" ht="24" customHeight="1">
      <c r="A3408" s="297"/>
      <c r="B3408" s="217"/>
      <c r="C3408" s="217"/>
      <c r="D3408" s="101"/>
      <c r="E3408" s="101"/>
      <c r="F3408" s="294"/>
      <c r="G3408" s="295"/>
      <c r="H3408" s="98"/>
      <c r="I3408" s="106"/>
      <c r="J3408" s="106"/>
      <c r="K3408" s="106"/>
      <c r="L3408" s="106"/>
      <c r="M3408" s="106"/>
      <c r="N3408" s="110"/>
      <c r="O3408" s="110"/>
      <c r="P3408" s="110"/>
      <c r="Q3408" s="111"/>
      <c r="R3408" s="99"/>
      <c r="S3408" s="99"/>
      <c r="T3408" s="111"/>
      <c r="U3408" s="111"/>
      <c r="V3408" s="111"/>
    </row>
    <row r="3409" spans="1:22">
      <c r="A3409" s="297"/>
      <c r="B3409" s="217"/>
      <c r="C3409" s="217"/>
      <c r="D3409" s="101"/>
      <c r="E3409" s="101"/>
      <c r="F3409" s="294"/>
      <c r="G3409" s="295"/>
      <c r="H3409" s="98"/>
      <c r="I3409" s="99"/>
      <c r="J3409" s="99"/>
      <c r="K3409" s="99"/>
      <c r="L3409" s="99"/>
      <c r="M3409" s="99"/>
      <c r="N3409" s="99"/>
      <c r="O3409" s="99"/>
      <c r="P3409" s="99"/>
      <c r="Q3409" s="99"/>
      <c r="R3409" s="99"/>
      <c r="S3409" s="99"/>
      <c r="T3409" s="99"/>
      <c r="U3409" s="99"/>
      <c r="V3409" s="99"/>
    </row>
    <row r="3410" spans="1:22">
      <c r="A3410" s="297"/>
      <c r="B3410" s="217"/>
      <c r="C3410" s="217"/>
      <c r="D3410" s="101"/>
      <c r="E3410" s="101"/>
      <c r="F3410" s="294"/>
      <c r="G3410" s="295"/>
      <c r="H3410" s="98"/>
      <c r="I3410" s="99"/>
      <c r="J3410" s="99"/>
      <c r="K3410" s="99"/>
      <c r="L3410" s="99"/>
      <c r="M3410" s="99"/>
      <c r="N3410" s="99"/>
      <c r="O3410" s="99"/>
      <c r="P3410" s="99"/>
      <c r="Q3410" s="99"/>
      <c r="R3410" s="99"/>
      <c r="S3410" s="99"/>
      <c r="T3410" s="99"/>
      <c r="U3410" s="99"/>
      <c r="V3410" s="99"/>
    </row>
    <row r="3411" spans="1:22">
      <c r="A3411" s="297"/>
      <c r="B3411" s="217"/>
      <c r="C3411" s="217"/>
      <c r="D3411" s="101"/>
      <c r="E3411" s="101"/>
      <c r="F3411" s="294"/>
      <c r="G3411" s="295"/>
      <c r="H3411" s="98"/>
      <c r="I3411" s="99"/>
      <c r="J3411" s="99"/>
      <c r="K3411" s="99"/>
      <c r="L3411" s="99"/>
      <c r="M3411" s="99"/>
      <c r="N3411" s="99"/>
      <c r="O3411" s="99"/>
      <c r="P3411" s="99"/>
      <c r="Q3411" s="99"/>
      <c r="R3411" s="99"/>
      <c r="S3411" s="99"/>
      <c r="T3411" s="99"/>
      <c r="U3411" s="99"/>
      <c r="V3411" s="99"/>
    </row>
    <row r="3412" spans="1:22">
      <c r="A3412" s="297"/>
      <c r="B3412" s="217"/>
      <c r="C3412" s="217"/>
      <c r="D3412" s="101"/>
      <c r="E3412" s="101"/>
      <c r="F3412" s="294"/>
      <c r="G3412" s="295"/>
      <c r="H3412" s="98"/>
      <c r="I3412" s="99"/>
      <c r="J3412" s="99"/>
      <c r="K3412" s="99"/>
      <c r="L3412" s="99"/>
      <c r="M3412" s="99"/>
      <c r="N3412" s="99"/>
      <c r="O3412" s="99"/>
      <c r="P3412" s="99"/>
      <c r="Q3412" s="99"/>
      <c r="R3412" s="99"/>
      <c r="S3412" s="99"/>
      <c r="T3412" s="99"/>
      <c r="U3412" s="99"/>
      <c r="V3412" s="99"/>
    </row>
    <row r="3413" spans="1:22">
      <c r="A3413" s="297"/>
      <c r="B3413" s="217"/>
      <c r="C3413" s="217"/>
      <c r="D3413" s="101"/>
      <c r="E3413" s="101"/>
      <c r="F3413" s="294"/>
      <c r="G3413" s="295"/>
      <c r="H3413" s="98"/>
      <c r="I3413" s="99"/>
      <c r="J3413" s="99"/>
      <c r="K3413" s="99"/>
      <c r="L3413" s="99"/>
      <c r="M3413" s="99"/>
      <c r="N3413" s="99"/>
      <c r="O3413" s="99"/>
      <c r="P3413" s="99"/>
      <c r="Q3413" s="99"/>
      <c r="R3413" s="99"/>
      <c r="S3413" s="99"/>
      <c r="T3413" s="99"/>
      <c r="U3413" s="99"/>
      <c r="V3413" s="99"/>
    </row>
    <row r="3414" spans="1:22">
      <c r="A3414" s="297"/>
      <c r="B3414" s="217"/>
      <c r="C3414" s="217"/>
      <c r="D3414" s="101"/>
      <c r="E3414" s="101"/>
      <c r="F3414" s="294"/>
      <c r="G3414" s="295"/>
      <c r="H3414" s="107"/>
      <c r="I3414" s="108"/>
      <c r="J3414" s="108"/>
      <c r="K3414" s="108"/>
      <c r="L3414" s="108"/>
      <c r="M3414" s="108"/>
      <c r="N3414" s="108"/>
      <c r="O3414" s="108"/>
      <c r="P3414" s="108"/>
      <c r="Q3414" s="108"/>
      <c r="R3414" s="108"/>
      <c r="S3414" s="108"/>
      <c r="T3414" s="108"/>
      <c r="U3414" s="233"/>
      <c r="V3414" s="233"/>
    </row>
    <row r="3415" spans="1:22">
      <c r="A3415" s="297"/>
      <c r="B3415" s="217"/>
      <c r="C3415" s="217"/>
      <c r="D3415" s="101"/>
      <c r="E3415" s="101"/>
      <c r="F3415" s="294"/>
      <c r="G3415" s="295"/>
      <c r="H3415" s="98"/>
      <c r="I3415" s="106"/>
      <c r="J3415" s="106"/>
      <c r="K3415" s="106"/>
      <c r="L3415" s="106"/>
      <c r="M3415" s="106"/>
      <c r="N3415" s="110"/>
      <c r="O3415" s="110"/>
      <c r="P3415" s="110"/>
      <c r="Q3415" s="111"/>
      <c r="R3415" s="99"/>
      <c r="S3415" s="99"/>
      <c r="T3415" s="111"/>
      <c r="U3415" s="111"/>
      <c r="V3415" s="111"/>
    </row>
    <row r="3416" spans="1:22">
      <c r="A3416" s="297"/>
      <c r="B3416" s="217"/>
      <c r="C3416" s="217"/>
      <c r="D3416" s="101"/>
      <c r="E3416" s="101"/>
      <c r="F3416" s="294"/>
      <c r="G3416" s="295"/>
      <c r="H3416" s="98"/>
      <c r="I3416" s="99"/>
      <c r="J3416" s="99"/>
      <c r="K3416" s="99"/>
      <c r="L3416" s="99"/>
      <c r="M3416" s="99"/>
      <c r="N3416" s="99"/>
      <c r="O3416" s="99"/>
      <c r="P3416" s="99"/>
      <c r="Q3416" s="99"/>
      <c r="R3416" s="99"/>
      <c r="S3416" s="99"/>
      <c r="T3416" s="99"/>
      <c r="U3416" s="99"/>
      <c r="V3416" s="99"/>
    </row>
    <row r="3417" spans="1:22">
      <c r="A3417" s="297"/>
      <c r="B3417" s="217"/>
      <c r="C3417" s="217"/>
      <c r="D3417" s="101"/>
      <c r="E3417" s="101"/>
      <c r="F3417" s="294"/>
      <c r="G3417" s="295"/>
      <c r="H3417" s="107"/>
      <c r="I3417" s="108"/>
      <c r="J3417" s="108"/>
      <c r="K3417" s="108"/>
      <c r="L3417" s="108"/>
      <c r="M3417" s="108"/>
      <c r="N3417" s="109"/>
      <c r="O3417" s="109"/>
      <c r="P3417" s="109"/>
      <c r="Q3417" s="109"/>
      <c r="R3417" s="109"/>
      <c r="S3417" s="109"/>
      <c r="T3417" s="109"/>
      <c r="U3417" s="202"/>
      <c r="V3417" s="202"/>
    </row>
    <row r="3418" spans="1:22">
      <c r="A3418" s="297"/>
      <c r="B3418" s="217"/>
      <c r="C3418" s="217"/>
      <c r="D3418" s="101"/>
      <c r="E3418" s="101"/>
      <c r="F3418" s="294"/>
      <c r="G3418" s="295"/>
      <c r="H3418" s="98"/>
      <c r="I3418" s="106"/>
      <c r="J3418" s="106"/>
      <c r="K3418" s="106"/>
      <c r="L3418" s="106"/>
      <c r="M3418" s="106"/>
      <c r="N3418" s="110"/>
      <c r="O3418" s="110"/>
      <c r="P3418" s="110"/>
      <c r="Q3418" s="111"/>
      <c r="R3418" s="99"/>
      <c r="S3418" s="99"/>
      <c r="T3418" s="111"/>
      <c r="U3418" s="111"/>
      <c r="V3418" s="111"/>
    </row>
    <row r="3419" spans="1:22">
      <c r="A3419" s="297"/>
      <c r="B3419" s="217"/>
      <c r="C3419" s="217"/>
      <c r="D3419" s="101"/>
      <c r="E3419" s="101"/>
      <c r="F3419" s="294"/>
      <c r="G3419" s="295"/>
      <c r="H3419" s="98"/>
      <c r="I3419" s="99"/>
      <c r="J3419" s="99"/>
      <c r="K3419" s="99"/>
      <c r="L3419" s="99"/>
      <c r="M3419" s="99"/>
      <c r="N3419" s="99"/>
      <c r="O3419" s="99"/>
      <c r="P3419" s="99"/>
      <c r="Q3419" s="99"/>
      <c r="R3419" s="99"/>
      <c r="S3419" s="99"/>
      <c r="T3419" s="99"/>
      <c r="U3419" s="99"/>
      <c r="V3419" s="99"/>
    </row>
    <row r="3420" spans="1:22">
      <c r="A3420" s="297"/>
      <c r="B3420" s="217"/>
      <c r="C3420" s="217"/>
      <c r="D3420" s="101"/>
      <c r="E3420" s="101"/>
      <c r="F3420" s="294"/>
      <c r="G3420" s="295"/>
      <c r="H3420" s="107"/>
      <c r="I3420" s="108"/>
      <c r="J3420" s="108"/>
      <c r="K3420" s="108"/>
      <c r="L3420" s="108"/>
      <c r="M3420" s="108"/>
      <c r="N3420" s="109"/>
      <c r="O3420" s="109"/>
      <c r="P3420" s="109"/>
      <c r="Q3420" s="109"/>
      <c r="R3420" s="109"/>
      <c r="S3420" s="109"/>
      <c r="T3420" s="109"/>
      <c r="U3420" s="202"/>
      <c r="V3420" s="202"/>
    </row>
    <row r="3421" spans="1:22">
      <c r="A3421" s="297"/>
      <c r="B3421" s="217"/>
      <c r="C3421" s="217"/>
      <c r="D3421" s="101"/>
      <c r="E3421" s="101"/>
      <c r="F3421" s="294"/>
      <c r="G3421" s="295"/>
      <c r="H3421" s="98"/>
      <c r="I3421" s="106"/>
      <c r="J3421" s="106"/>
      <c r="K3421" s="106"/>
      <c r="L3421" s="106"/>
      <c r="M3421" s="106"/>
      <c r="N3421" s="110"/>
      <c r="O3421" s="110"/>
      <c r="P3421" s="110"/>
      <c r="Q3421" s="111"/>
      <c r="R3421" s="99"/>
      <c r="S3421" s="99"/>
      <c r="T3421" s="111"/>
      <c r="U3421" s="111"/>
      <c r="V3421" s="111"/>
    </row>
    <row r="3422" spans="1:22">
      <c r="A3422" s="297"/>
      <c r="B3422" s="217"/>
      <c r="C3422" s="217"/>
      <c r="D3422" s="101"/>
      <c r="E3422" s="101"/>
      <c r="F3422" s="294"/>
      <c r="G3422" s="295"/>
      <c r="H3422" s="114"/>
      <c r="I3422" s="108"/>
      <c r="J3422" s="108"/>
      <c r="K3422" s="108"/>
      <c r="L3422" s="108"/>
      <c r="M3422" s="108"/>
      <c r="N3422" s="108"/>
      <c r="O3422" s="108"/>
      <c r="P3422" s="108"/>
      <c r="Q3422" s="108"/>
      <c r="R3422" s="108"/>
      <c r="S3422" s="108"/>
      <c r="T3422" s="108"/>
      <c r="U3422" s="233"/>
      <c r="V3422" s="233"/>
    </row>
    <row r="3423" spans="1:22" ht="14.4" thickBot="1">
      <c r="A3423" s="297"/>
      <c r="B3423" s="217"/>
      <c r="C3423" s="217"/>
      <c r="D3423" s="101"/>
      <c r="E3423" s="101"/>
      <c r="F3423" s="294"/>
      <c r="G3423" s="295"/>
      <c r="H3423" s="98"/>
      <c r="I3423" s="218"/>
      <c r="J3423" s="218"/>
      <c r="K3423" s="218"/>
      <c r="L3423" s="218"/>
      <c r="M3423" s="218"/>
      <c r="U3423" s="212"/>
      <c r="V3423" s="212"/>
    </row>
    <row r="3424" spans="1:22" ht="23.4" thickBot="1">
      <c r="A3424" s="297"/>
      <c r="B3424" s="217"/>
      <c r="C3424" s="217"/>
      <c r="D3424" s="101"/>
      <c r="E3424" s="101"/>
      <c r="F3424" s="294"/>
      <c r="G3424" s="295"/>
      <c r="H3424" s="686"/>
      <c r="I3424" s="687"/>
      <c r="J3424" s="687"/>
      <c r="K3424" s="687"/>
      <c r="L3424" s="687"/>
      <c r="M3424" s="687"/>
      <c r="N3424" s="687"/>
      <c r="O3424" s="687"/>
      <c r="P3424" s="687"/>
      <c r="Q3424" s="687"/>
      <c r="R3424" s="687"/>
      <c r="S3424" s="715"/>
      <c r="T3424" s="688"/>
      <c r="U3424" s="254"/>
      <c r="V3424" s="254"/>
    </row>
    <row r="3425" spans="1:22" ht="22.8">
      <c r="A3425" s="297"/>
      <c r="B3425" s="217"/>
      <c r="C3425" s="217"/>
      <c r="D3425" s="101"/>
      <c r="E3425" s="101"/>
      <c r="F3425" s="294"/>
      <c r="G3425" s="295"/>
      <c r="H3425" s="225"/>
      <c r="I3425" s="225"/>
      <c r="J3425" s="225"/>
      <c r="K3425" s="225"/>
      <c r="L3425" s="225"/>
      <c r="M3425" s="225"/>
      <c r="N3425" s="225"/>
      <c r="O3425" s="225"/>
      <c r="P3425" s="225"/>
      <c r="Q3425" s="225"/>
      <c r="R3425" s="225"/>
      <c r="S3425" s="225"/>
      <c r="T3425" s="225"/>
      <c r="U3425" s="225"/>
      <c r="V3425" s="225"/>
    </row>
    <row r="3426" spans="1:22">
      <c r="A3426" s="297"/>
      <c r="B3426" s="217"/>
      <c r="C3426" s="217"/>
      <c r="D3426" s="101"/>
      <c r="E3426" s="101"/>
      <c r="F3426" s="294"/>
      <c r="G3426" s="295"/>
      <c r="H3426" s="98"/>
      <c r="I3426" s="99"/>
      <c r="J3426" s="99"/>
      <c r="K3426" s="99"/>
      <c r="L3426" s="99"/>
      <c r="M3426" s="99"/>
      <c r="N3426" s="99"/>
      <c r="O3426" s="99"/>
      <c r="P3426" s="99"/>
      <c r="Q3426" s="99"/>
      <c r="R3426" s="99"/>
      <c r="S3426" s="99"/>
      <c r="T3426" s="99"/>
      <c r="U3426" s="99"/>
      <c r="V3426" s="99"/>
    </row>
    <row r="3427" spans="1:22">
      <c r="A3427" s="297"/>
      <c r="B3427" s="217"/>
      <c r="C3427" s="217"/>
      <c r="D3427" s="101"/>
      <c r="E3427" s="101"/>
      <c r="F3427" s="294"/>
      <c r="G3427" s="295"/>
      <c r="H3427" s="98"/>
      <c r="I3427" s="99"/>
      <c r="J3427" s="99"/>
      <c r="K3427" s="99"/>
      <c r="L3427" s="99"/>
      <c r="M3427" s="99"/>
      <c r="N3427" s="99"/>
      <c r="O3427" s="99"/>
      <c r="P3427" s="99"/>
      <c r="Q3427" s="99"/>
      <c r="R3427" s="99"/>
      <c r="S3427" s="99"/>
      <c r="T3427" s="99"/>
      <c r="U3427" s="99"/>
      <c r="V3427" s="99"/>
    </row>
    <row r="3428" spans="1:22">
      <c r="A3428" s="297"/>
      <c r="B3428" s="217"/>
      <c r="C3428" s="217"/>
      <c r="D3428" s="101"/>
      <c r="E3428" s="101"/>
      <c r="F3428" s="294"/>
      <c r="G3428" s="295"/>
      <c r="H3428" s="98"/>
      <c r="I3428" s="99"/>
      <c r="J3428" s="99"/>
      <c r="K3428" s="99"/>
      <c r="L3428" s="99"/>
      <c r="M3428" s="99"/>
      <c r="N3428" s="99"/>
      <c r="O3428" s="99"/>
      <c r="P3428" s="99"/>
      <c r="Q3428" s="99"/>
      <c r="R3428" s="99"/>
      <c r="S3428" s="99"/>
      <c r="T3428" s="99"/>
      <c r="U3428" s="99"/>
      <c r="V3428" s="99"/>
    </row>
    <row r="3429" spans="1:22">
      <c r="A3429" s="297"/>
      <c r="B3429" s="217"/>
      <c r="C3429" s="217"/>
      <c r="D3429" s="101"/>
      <c r="E3429" s="101"/>
      <c r="F3429" s="294"/>
      <c r="G3429" s="295"/>
      <c r="H3429" s="98"/>
      <c r="I3429" s="99"/>
      <c r="J3429" s="99"/>
      <c r="K3429" s="99"/>
      <c r="L3429" s="99"/>
      <c r="M3429" s="99"/>
      <c r="N3429" s="99"/>
      <c r="O3429" s="99"/>
      <c r="P3429" s="99"/>
      <c r="Q3429" s="99"/>
      <c r="R3429" s="99"/>
      <c r="S3429" s="99"/>
      <c r="T3429" s="99"/>
      <c r="U3429" s="99"/>
      <c r="V3429" s="99"/>
    </row>
    <row r="3430" spans="1:22">
      <c r="A3430" s="297"/>
      <c r="B3430" s="217"/>
      <c r="C3430" s="217"/>
      <c r="D3430" s="101"/>
      <c r="E3430" s="101"/>
      <c r="F3430" s="294"/>
      <c r="G3430" s="295"/>
      <c r="H3430" s="98"/>
      <c r="I3430" s="99"/>
      <c r="J3430" s="99"/>
      <c r="K3430" s="99"/>
      <c r="L3430" s="99"/>
      <c r="M3430" s="99"/>
      <c r="N3430" s="99"/>
      <c r="O3430" s="99"/>
      <c r="P3430" s="99"/>
      <c r="Q3430" s="99"/>
      <c r="R3430" s="99"/>
      <c r="S3430" s="99"/>
      <c r="T3430" s="99"/>
      <c r="U3430" s="99"/>
      <c r="V3430" s="99"/>
    </row>
    <row r="3431" spans="1:22">
      <c r="A3431" s="297"/>
      <c r="B3431" s="217"/>
      <c r="C3431" s="217"/>
      <c r="D3431" s="101"/>
      <c r="E3431" s="101"/>
      <c r="F3431" s="294"/>
      <c r="G3431" s="295"/>
      <c r="H3431" s="98"/>
      <c r="I3431" s="99"/>
      <c r="J3431" s="99"/>
      <c r="K3431" s="99"/>
      <c r="L3431" s="99"/>
      <c r="M3431" s="99"/>
      <c r="N3431" s="99"/>
      <c r="O3431" s="99"/>
      <c r="P3431" s="99"/>
      <c r="Q3431" s="99"/>
      <c r="R3431" s="99"/>
      <c r="S3431" s="99"/>
      <c r="T3431" s="99"/>
      <c r="U3431" s="99"/>
      <c r="V3431" s="99"/>
    </row>
    <row r="3432" spans="1:22">
      <c r="A3432" s="297"/>
      <c r="B3432" s="217"/>
      <c r="C3432" s="217"/>
      <c r="D3432" s="101"/>
      <c r="E3432" s="101"/>
      <c r="F3432" s="294"/>
      <c r="G3432" s="295"/>
      <c r="H3432" s="98"/>
      <c r="I3432" s="99"/>
      <c r="J3432" s="99"/>
      <c r="K3432" s="99"/>
      <c r="L3432" s="99"/>
      <c r="M3432" s="99"/>
      <c r="N3432" s="99"/>
      <c r="O3432" s="99"/>
      <c r="P3432" s="99"/>
      <c r="Q3432" s="99"/>
      <c r="R3432" s="99"/>
      <c r="S3432" s="99"/>
      <c r="T3432" s="99"/>
      <c r="U3432" s="99"/>
      <c r="V3432" s="99"/>
    </row>
    <row r="3433" spans="1:22">
      <c r="A3433" s="297"/>
      <c r="B3433" s="217"/>
      <c r="C3433" s="217"/>
      <c r="D3433" s="101"/>
      <c r="E3433" s="101"/>
      <c r="F3433" s="294"/>
      <c r="G3433" s="295"/>
      <c r="H3433" s="98"/>
      <c r="I3433" s="99"/>
      <c r="J3433" s="99"/>
      <c r="K3433" s="99"/>
      <c r="L3433" s="99"/>
      <c r="M3433" s="99"/>
      <c r="N3433" s="99"/>
      <c r="O3433" s="99"/>
      <c r="P3433" s="99"/>
      <c r="Q3433" s="99"/>
      <c r="R3433" s="99"/>
      <c r="S3433" s="99"/>
      <c r="T3433" s="99"/>
      <c r="U3433" s="99"/>
      <c r="V3433" s="99"/>
    </row>
    <row r="3434" spans="1:22" ht="24.75" customHeight="1">
      <c r="A3434" s="297"/>
      <c r="B3434" s="217"/>
      <c r="C3434" s="217"/>
      <c r="D3434" s="101"/>
      <c r="E3434" s="101"/>
      <c r="F3434" s="294"/>
      <c r="G3434" s="295"/>
      <c r="H3434" s="98"/>
      <c r="I3434" s="99"/>
      <c r="J3434" s="99"/>
      <c r="K3434" s="99"/>
      <c r="L3434" s="99"/>
      <c r="M3434" s="99"/>
      <c r="N3434" s="99"/>
      <c r="O3434" s="99"/>
      <c r="P3434" s="99"/>
      <c r="Q3434" s="99"/>
      <c r="R3434" s="99"/>
      <c r="S3434" s="99"/>
      <c r="T3434" s="99"/>
      <c r="U3434" s="99"/>
      <c r="V3434" s="99"/>
    </row>
    <row r="3435" spans="1:22">
      <c r="A3435" s="297"/>
      <c r="B3435" s="217"/>
      <c r="C3435" s="217"/>
      <c r="D3435" s="101"/>
      <c r="E3435" s="101"/>
      <c r="F3435" s="294"/>
      <c r="G3435" s="295"/>
      <c r="H3435" s="98"/>
      <c r="I3435" s="99"/>
      <c r="J3435" s="99"/>
      <c r="K3435" s="99"/>
      <c r="L3435" s="99"/>
      <c r="M3435" s="99"/>
      <c r="N3435" s="99"/>
      <c r="O3435" s="99"/>
      <c r="P3435" s="99"/>
      <c r="Q3435" s="99"/>
      <c r="R3435" s="99"/>
      <c r="S3435" s="99"/>
      <c r="T3435" s="99"/>
      <c r="U3435" s="99"/>
      <c r="V3435" s="99"/>
    </row>
    <row r="3436" spans="1:22">
      <c r="A3436" s="297"/>
      <c r="B3436" s="217"/>
      <c r="C3436" s="217"/>
      <c r="D3436" s="101"/>
      <c r="E3436" s="101"/>
      <c r="F3436" s="294"/>
      <c r="G3436" s="295"/>
      <c r="H3436" s="107"/>
      <c r="I3436" s="108"/>
      <c r="J3436" s="108"/>
      <c r="K3436" s="108"/>
      <c r="L3436" s="108"/>
      <c r="M3436" s="108"/>
      <c r="N3436" s="109"/>
      <c r="O3436" s="109"/>
      <c r="P3436" s="109"/>
      <c r="Q3436" s="109"/>
      <c r="R3436" s="109"/>
      <c r="S3436" s="109"/>
      <c r="T3436" s="109"/>
      <c r="U3436" s="202"/>
      <c r="V3436" s="202"/>
    </row>
    <row r="3437" spans="1:22">
      <c r="A3437" s="297"/>
      <c r="B3437" s="217"/>
      <c r="C3437" s="217"/>
      <c r="D3437" s="101"/>
      <c r="E3437" s="101"/>
      <c r="F3437" s="294"/>
      <c r="G3437" s="295"/>
      <c r="H3437" s="98"/>
      <c r="I3437" s="106"/>
      <c r="J3437" s="106"/>
      <c r="K3437" s="106"/>
      <c r="L3437" s="106"/>
      <c r="M3437" s="106"/>
      <c r="N3437" s="110"/>
      <c r="O3437" s="110"/>
      <c r="P3437" s="110"/>
      <c r="Q3437" s="111"/>
      <c r="R3437" s="99"/>
      <c r="S3437" s="99"/>
      <c r="T3437" s="111"/>
      <c r="U3437" s="111"/>
      <c r="V3437" s="111"/>
    </row>
    <row r="3438" spans="1:22">
      <c r="A3438" s="297"/>
      <c r="B3438" s="217"/>
      <c r="C3438" s="217"/>
      <c r="D3438" s="101"/>
      <c r="E3438" s="101"/>
      <c r="F3438" s="294"/>
      <c r="G3438" s="295"/>
      <c r="H3438" s="98"/>
      <c r="I3438" s="99"/>
      <c r="J3438" s="99"/>
      <c r="K3438" s="99"/>
      <c r="L3438" s="99"/>
      <c r="M3438" s="99"/>
      <c r="N3438" s="99"/>
      <c r="O3438" s="99"/>
      <c r="P3438" s="99"/>
      <c r="Q3438" s="99"/>
      <c r="R3438" s="99"/>
      <c r="S3438" s="99"/>
      <c r="T3438" s="99"/>
      <c r="U3438" s="99"/>
      <c r="V3438" s="99"/>
    </row>
    <row r="3439" spans="1:22">
      <c r="A3439" s="297"/>
      <c r="B3439" s="217"/>
      <c r="C3439" s="217"/>
      <c r="D3439" s="101"/>
      <c r="E3439" s="101"/>
      <c r="F3439" s="294"/>
      <c r="G3439" s="295"/>
      <c r="H3439" s="98"/>
      <c r="I3439" s="99"/>
      <c r="J3439" s="99"/>
      <c r="K3439" s="99"/>
      <c r="L3439" s="99"/>
      <c r="M3439" s="99"/>
      <c r="N3439" s="99"/>
      <c r="O3439" s="99"/>
      <c r="P3439" s="99"/>
      <c r="Q3439" s="99"/>
      <c r="R3439" s="99"/>
      <c r="S3439" s="99"/>
      <c r="T3439" s="99"/>
      <c r="U3439" s="99"/>
      <c r="V3439" s="99"/>
    </row>
    <row r="3440" spans="1:22">
      <c r="A3440" s="297"/>
      <c r="B3440" s="217"/>
      <c r="C3440" s="217"/>
      <c r="D3440" s="101"/>
      <c r="E3440" s="101"/>
      <c r="F3440" s="294"/>
      <c r="G3440" s="295"/>
      <c r="H3440" s="98"/>
      <c r="I3440" s="99"/>
      <c r="J3440" s="99"/>
      <c r="K3440" s="99"/>
      <c r="L3440" s="99"/>
      <c r="M3440" s="99"/>
      <c r="N3440" s="99"/>
      <c r="O3440" s="99"/>
      <c r="P3440" s="99"/>
      <c r="Q3440" s="99"/>
      <c r="R3440" s="99"/>
      <c r="S3440" s="99"/>
      <c r="T3440" s="99"/>
      <c r="U3440" s="99"/>
      <c r="V3440" s="99"/>
    </row>
    <row r="3441" spans="1:22">
      <c r="A3441" s="297"/>
      <c r="B3441" s="217"/>
      <c r="C3441" s="217"/>
      <c r="D3441" s="101"/>
      <c r="E3441" s="101"/>
      <c r="F3441" s="294"/>
      <c r="G3441" s="295"/>
      <c r="H3441" s="98"/>
      <c r="I3441" s="99"/>
      <c r="J3441" s="99"/>
      <c r="K3441" s="99"/>
      <c r="L3441" s="99"/>
      <c r="M3441" s="99"/>
      <c r="N3441" s="99"/>
      <c r="O3441" s="99"/>
      <c r="P3441" s="99"/>
      <c r="Q3441" s="99"/>
      <c r="R3441" s="99"/>
      <c r="S3441" s="99"/>
      <c r="T3441" s="99"/>
      <c r="U3441" s="99"/>
      <c r="V3441" s="99"/>
    </row>
    <row r="3442" spans="1:22">
      <c r="A3442" s="297"/>
      <c r="B3442" s="217"/>
      <c r="C3442" s="217"/>
      <c r="D3442" s="101"/>
      <c r="E3442" s="101"/>
      <c r="F3442" s="294"/>
      <c r="G3442" s="295"/>
      <c r="H3442" s="98"/>
      <c r="I3442" s="99"/>
      <c r="J3442" s="99"/>
      <c r="K3442" s="99"/>
      <c r="L3442" s="99"/>
      <c r="M3442" s="99"/>
      <c r="N3442" s="99"/>
      <c r="O3442" s="99"/>
      <c r="P3442" s="99"/>
      <c r="Q3442" s="99"/>
      <c r="R3442" s="99"/>
      <c r="S3442" s="99"/>
      <c r="T3442" s="99"/>
      <c r="U3442" s="99"/>
      <c r="V3442" s="99"/>
    </row>
    <row r="3443" spans="1:22">
      <c r="A3443" s="297"/>
      <c r="B3443" s="217"/>
      <c r="C3443" s="217"/>
      <c r="D3443" s="101"/>
      <c r="E3443" s="101"/>
      <c r="F3443" s="294"/>
      <c r="G3443" s="295"/>
      <c r="H3443" s="98"/>
      <c r="I3443" s="99"/>
      <c r="J3443" s="99"/>
      <c r="K3443" s="99"/>
      <c r="L3443" s="99"/>
      <c r="M3443" s="99"/>
      <c r="N3443" s="99"/>
      <c r="O3443" s="99"/>
      <c r="P3443" s="99"/>
      <c r="Q3443" s="99"/>
      <c r="R3443" s="99"/>
      <c r="S3443" s="99"/>
      <c r="T3443" s="99"/>
      <c r="U3443" s="99"/>
      <c r="V3443" s="99"/>
    </row>
    <row r="3444" spans="1:22">
      <c r="A3444" s="297"/>
      <c r="B3444" s="217"/>
      <c r="C3444" s="217"/>
      <c r="D3444" s="101"/>
      <c r="E3444" s="101"/>
      <c r="F3444" s="294"/>
      <c r="G3444" s="295"/>
      <c r="H3444" s="98"/>
      <c r="I3444" s="99"/>
      <c r="J3444" s="99"/>
      <c r="K3444" s="99"/>
      <c r="L3444" s="99"/>
      <c r="M3444" s="99"/>
      <c r="N3444" s="99"/>
      <c r="O3444" s="99"/>
      <c r="P3444" s="99"/>
      <c r="Q3444" s="99"/>
      <c r="R3444" s="99"/>
      <c r="S3444" s="99"/>
      <c r="T3444" s="99"/>
      <c r="U3444" s="99"/>
      <c r="V3444" s="99"/>
    </row>
    <row r="3445" spans="1:22">
      <c r="A3445" s="297"/>
      <c r="B3445" s="217"/>
      <c r="C3445" s="217"/>
      <c r="D3445" s="101"/>
      <c r="E3445" s="101"/>
      <c r="F3445" s="294"/>
      <c r="G3445" s="295"/>
      <c r="H3445" s="98"/>
      <c r="I3445" s="99"/>
      <c r="J3445" s="99"/>
      <c r="K3445" s="99"/>
      <c r="L3445" s="99"/>
      <c r="M3445" s="99"/>
      <c r="N3445" s="99"/>
      <c r="O3445" s="99"/>
      <c r="P3445" s="99"/>
      <c r="Q3445" s="99"/>
      <c r="R3445" s="99"/>
      <c r="S3445" s="99"/>
      <c r="T3445" s="99"/>
      <c r="U3445" s="99"/>
      <c r="V3445" s="99"/>
    </row>
    <row r="3446" spans="1:22">
      <c r="A3446" s="297"/>
      <c r="B3446" s="217"/>
      <c r="C3446" s="217"/>
      <c r="D3446" s="101"/>
      <c r="E3446" s="101"/>
      <c r="F3446" s="294"/>
      <c r="G3446" s="295"/>
      <c r="H3446" s="98"/>
      <c r="I3446" s="99"/>
      <c r="J3446" s="99"/>
      <c r="K3446" s="99"/>
      <c r="L3446" s="99"/>
      <c r="M3446" s="99"/>
      <c r="N3446" s="99"/>
      <c r="O3446" s="99"/>
      <c r="P3446" s="99"/>
      <c r="Q3446" s="99"/>
      <c r="R3446" s="99"/>
      <c r="S3446" s="99"/>
      <c r="T3446" s="99"/>
      <c r="U3446" s="99"/>
      <c r="V3446" s="99"/>
    </row>
    <row r="3447" spans="1:22">
      <c r="A3447" s="297"/>
      <c r="B3447" s="217"/>
      <c r="C3447" s="217"/>
      <c r="D3447" s="101"/>
      <c r="E3447" s="101"/>
      <c r="F3447" s="294"/>
      <c r="G3447" s="295"/>
      <c r="H3447" s="98"/>
      <c r="I3447" s="99"/>
      <c r="J3447" s="99"/>
      <c r="K3447" s="99"/>
      <c r="L3447" s="99"/>
      <c r="M3447" s="99"/>
      <c r="N3447" s="99"/>
      <c r="O3447" s="99"/>
      <c r="P3447" s="99"/>
      <c r="Q3447" s="99"/>
      <c r="R3447" s="99"/>
      <c r="S3447" s="99"/>
      <c r="T3447" s="99"/>
      <c r="U3447" s="99"/>
      <c r="V3447" s="99"/>
    </row>
    <row r="3448" spans="1:22">
      <c r="A3448" s="297"/>
      <c r="B3448" s="217"/>
      <c r="C3448" s="217"/>
      <c r="D3448" s="101"/>
      <c r="E3448" s="101"/>
      <c r="F3448" s="294"/>
      <c r="G3448" s="295"/>
      <c r="H3448" s="98"/>
      <c r="I3448" s="99"/>
      <c r="J3448" s="99"/>
      <c r="K3448" s="99"/>
      <c r="L3448" s="99"/>
      <c r="M3448" s="99"/>
      <c r="N3448" s="99"/>
      <c r="O3448" s="99"/>
      <c r="P3448" s="99"/>
      <c r="Q3448" s="99"/>
      <c r="R3448" s="99"/>
      <c r="S3448" s="99"/>
      <c r="T3448" s="99"/>
      <c r="U3448" s="99"/>
      <c r="V3448" s="99"/>
    </row>
    <row r="3449" spans="1:22">
      <c r="A3449" s="297"/>
      <c r="B3449" s="217"/>
      <c r="C3449" s="217"/>
      <c r="D3449" s="101"/>
      <c r="E3449" s="101"/>
      <c r="F3449" s="294"/>
      <c r="G3449" s="295"/>
      <c r="H3449" s="98"/>
      <c r="I3449" s="99"/>
      <c r="J3449" s="99"/>
      <c r="K3449" s="99"/>
      <c r="L3449" s="99"/>
      <c r="M3449" s="99"/>
      <c r="N3449" s="99"/>
      <c r="O3449" s="99"/>
      <c r="P3449" s="99"/>
      <c r="Q3449" s="99"/>
      <c r="R3449" s="99"/>
      <c r="S3449" s="99"/>
      <c r="T3449" s="99"/>
      <c r="U3449" s="99"/>
      <c r="V3449" s="99"/>
    </row>
    <row r="3450" spans="1:22">
      <c r="A3450" s="297"/>
      <c r="B3450" s="217"/>
      <c r="C3450" s="217"/>
      <c r="D3450" s="101"/>
      <c r="E3450" s="101"/>
      <c r="F3450" s="294"/>
      <c r="G3450" s="295"/>
      <c r="H3450" s="98"/>
      <c r="I3450" s="99"/>
      <c r="J3450" s="99"/>
      <c r="K3450" s="99"/>
      <c r="L3450" s="99"/>
      <c r="M3450" s="99"/>
      <c r="N3450" s="99"/>
      <c r="O3450" s="99"/>
      <c r="P3450" s="99"/>
      <c r="Q3450" s="99"/>
      <c r="R3450" s="99"/>
      <c r="S3450" s="99"/>
      <c r="T3450" s="99"/>
      <c r="U3450" s="99"/>
      <c r="V3450" s="99"/>
    </row>
    <row r="3451" spans="1:22">
      <c r="A3451" s="297"/>
      <c r="B3451" s="217"/>
      <c r="C3451" s="217"/>
      <c r="D3451" s="101"/>
      <c r="E3451" s="101"/>
      <c r="F3451" s="294"/>
      <c r="G3451" s="295"/>
      <c r="H3451" s="98"/>
      <c r="I3451" s="99"/>
      <c r="J3451" s="99"/>
      <c r="K3451" s="99"/>
      <c r="L3451" s="99"/>
      <c r="M3451" s="99"/>
      <c r="N3451" s="99"/>
      <c r="O3451" s="99"/>
      <c r="P3451" s="99"/>
      <c r="Q3451" s="99"/>
      <c r="R3451" s="99"/>
      <c r="S3451" s="99"/>
      <c r="T3451" s="99"/>
      <c r="U3451" s="99"/>
      <c r="V3451" s="99"/>
    </row>
    <row r="3452" spans="1:22">
      <c r="A3452" s="297"/>
      <c r="B3452" s="217"/>
      <c r="C3452" s="217"/>
      <c r="D3452" s="101"/>
      <c r="E3452" s="101"/>
      <c r="F3452" s="294"/>
      <c r="G3452" s="295"/>
      <c r="H3452" s="98"/>
      <c r="I3452" s="99"/>
      <c r="J3452" s="99"/>
      <c r="K3452" s="99"/>
      <c r="L3452" s="99"/>
      <c r="M3452" s="99"/>
      <c r="N3452" s="99"/>
      <c r="O3452" s="99"/>
      <c r="P3452" s="99"/>
      <c r="Q3452" s="99"/>
      <c r="R3452" s="99"/>
      <c r="S3452" s="99"/>
      <c r="T3452" s="99"/>
      <c r="U3452" s="99"/>
      <c r="V3452" s="99"/>
    </row>
    <row r="3453" spans="1:22">
      <c r="A3453" s="297"/>
      <c r="B3453" s="217"/>
      <c r="C3453" s="217"/>
      <c r="D3453" s="101"/>
      <c r="E3453" s="101"/>
      <c r="F3453" s="294"/>
      <c r="G3453" s="295"/>
      <c r="H3453" s="107"/>
      <c r="I3453" s="108"/>
      <c r="J3453" s="108"/>
      <c r="K3453" s="108"/>
      <c r="L3453" s="108"/>
      <c r="M3453" s="108"/>
      <c r="N3453" s="109"/>
      <c r="O3453" s="109"/>
      <c r="P3453" s="109"/>
      <c r="Q3453" s="109"/>
      <c r="R3453" s="109"/>
      <c r="S3453" s="109"/>
      <c r="T3453" s="108"/>
      <c r="U3453" s="233"/>
      <c r="V3453" s="233"/>
    </row>
    <row r="3454" spans="1:22">
      <c r="A3454" s="297"/>
      <c r="B3454" s="217"/>
      <c r="C3454" s="217"/>
      <c r="D3454" s="101"/>
      <c r="E3454" s="101"/>
      <c r="F3454" s="294"/>
      <c r="G3454" s="295"/>
      <c r="H3454" s="98"/>
      <c r="I3454" s="106"/>
      <c r="J3454" s="106"/>
      <c r="K3454" s="106"/>
      <c r="L3454" s="106"/>
      <c r="M3454" s="106"/>
      <c r="N3454" s="110"/>
      <c r="O3454" s="110"/>
      <c r="P3454" s="110"/>
      <c r="Q3454" s="111"/>
      <c r="R3454" s="99"/>
      <c r="S3454" s="99"/>
      <c r="T3454" s="111"/>
      <c r="U3454" s="111"/>
      <c r="V3454" s="111"/>
    </row>
    <row r="3455" spans="1:22">
      <c r="A3455" s="297"/>
      <c r="B3455" s="217"/>
      <c r="C3455" s="217"/>
      <c r="D3455" s="101"/>
      <c r="E3455" s="101"/>
      <c r="F3455" s="294"/>
      <c r="G3455" s="295"/>
      <c r="H3455" s="98"/>
      <c r="I3455" s="99"/>
      <c r="J3455" s="99"/>
      <c r="K3455" s="99"/>
      <c r="L3455" s="99"/>
      <c r="M3455" s="99"/>
      <c r="N3455" s="99"/>
      <c r="O3455" s="99"/>
      <c r="P3455" s="99"/>
      <c r="Q3455" s="99"/>
      <c r="R3455" s="99"/>
      <c r="S3455" s="99"/>
      <c r="T3455" s="99"/>
      <c r="U3455" s="99"/>
      <c r="V3455" s="99"/>
    </row>
    <row r="3456" spans="1:22">
      <c r="A3456" s="297"/>
      <c r="B3456" s="217"/>
      <c r="C3456" s="217"/>
      <c r="D3456" s="101"/>
      <c r="E3456" s="101"/>
      <c r="F3456" s="294"/>
      <c r="G3456" s="295"/>
      <c r="H3456" s="98"/>
      <c r="I3456" s="99"/>
      <c r="J3456" s="99"/>
      <c r="K3456" s="99"/>
      <c r="L3456" s="99"/>
      <c r="M3456" s="99"/>
      <c r="N3456" s="99"/>
      <c r="O3456" s="99"/>
      <c r="P3456" s="99"/>
      <c r="Q3456" s="99"/>
      <c r="R3456" s="99"/>
      <c r="S3456" s="99"/>
      <c r="T3456" s="99"/>
      <c r="U3456" s="99"/>
      <c r="V3456" s="99"/>
    </row>
    <row r="3457" spans="1:22">
      <c r="A3457" s="297"/>
      <c r="B3457" s="217"/>
      <c r="C3457" s="217"/>
      <c r="D3457" s="101"/>
      <c r="E3457" s="101"/>
      <c r="F3457" s="294"/>
      <c r="G3457" s="295"/>
      <c r="H3457" s="98"/>
      <c r="I3457" s="99"/>
      <c r="J3457" s="99"/>
      <c r="K3457" s="99"/>
      <c r="L3457" s="99"/>
      <c r="M3457" s="99"/>
      <c r="N3457" s="99"/>
      <c r="O3457" s="99"/>
      <c r="P3457" s="99"/>
      <c r="Q3457" s="99"/>
      <c r="R3457" s="99"/>
      <c r="S3457" s="99"/>
      <c r="T3457" s="99"/>
      <c r="U3457" s="99"/>
      <c r="V3457" s="99"/>
    </row>
    <row r="3458" spans="1:22">
      <c r="A3458" s="297"/>
      <c r="B3458" s="217"/>
      <c r="C3458" s="217"/>
      <c r="D3458" s="101"/>
      <c r="E3458" s="101"/>
      <c r="F3458" s="294"/>
      <c r="G3458" s="295"/>
      <c r="H3458" s="98"/>
      <c r="I3458" s="99"/>
      <c r="J3458" s="99"/>
      <c r="K3458" s="99"/>
      <c r="L3458" s="99"/>
      <c r="M3458" s="99"/>
      <c r="N3458" s="99"/>
      <c r="O3458" s="99"/>
      <c r="P3458" s="99"/>
      <c r="Q3458" s="99"/>
      <c r="R3458" s="99"/>
      <c r="S3458" s="99"/>
      <c r="T3458" s="99"/>
      <c r="U3458" s="99"/>
      <c r="V3458" s="99"/>
    </row>
    <row r="3459" spans="1:22">
      <c r="A3459" s="297"/>
      <c r="B3459" s="217"/>
      <c r="C3459" s="217"/>
      <c r="D3459" s="101"/>
      <c r="E3459" s="101"/>
      <c r="F3459" s="294"/>
      <c r="G3459" s="295"/>
      <c r="H3459" s="98"/>
      <c r="I3459" s="99"/>
      <c r="J3459" s="99"/>
      <c r="K3459" s="99"/>
      <c r="L3459" s="99"/>
      <c r="M3459" s="99"/>
      <c r="N3459" s="99"/>
      <c r="O3459" s="99"/>
      <c r="P3459" s="99"/>
      <c r="Q3459" s="99"/>
      <c r="R3459" s="99"/>
      <c r="S3459" s="99"/>
      <c r="T3459" s="99"/>
      <c r="U3459" s="99"/>
      <c r="V3459" s="99"/>
    </row>
    <row r="3460" spans="1:22">
      <c r="A3460" s="297"/>
      <c r="B3460" s="217"/>
      <c r="C3460" s="217"/>
      <c r="D3460" s="101"/>
      <c r="E3460" s="101"/>
      <c r="F3460" s="294"/>
      <c r="G3460" s="295"/>
      <c r="H3460" s="98"/>
      <c r="I3460" s="99"/>
      <c r="J3460" s="99"/>
      <c r="K3460" s="99"/>
      <c r="L3460" s="99"/>
      <c r="M3460" s="99"/>
      <c r="N3460" s="99"/>
      <c r="O3460" s="99"/>
      <c r="P3460" s="99"/>
      <c r="Q3460" s="99"/>
      <c r="R3460" s="99"/>
      <c r="S3460" s="99"/>
      <c r="T3460" s="99"/>
      <c r="U3460" s="99"/>
      <c r="V3460" s="99"/>
    </row>
    <row r="3461" spans="1:22">
      <c r="A3461" s="297"/>
      <c r="B3461" s="217"/>
      <c r="C3461" s="217"/>
      <c r="D3461" s="101"/>
      <c r="E3461" s="101"/>
      <c r="F3461" s="294"/>
      <c r="G3461" s="295"/>
      <c r="H3461" s="98"/>
      <c r="I3461" s="99"/>
      <c r="J3461" s="99"/>
      <c r="K3461" s="99"/>
      <c r="L3461" s="99"/>
      <c r="M3461" s="99"/>
      <c r="N3461" s="99"/>
      <c r="O3461" s="99"/>
      <c r="P3461" s="99"/>
      <c r="Q3461" s="99"/>
      <c r="R3461" s="99"/>
      <c r="S3461" s="99"/>
      <c r="T3461" s="99"/>
      <c r="U3461" s="99"/>
      <c r="V3461" s="99"/>
    </row>
    <row r="3462" spans="1:22">
      <c r="A3462" s="297"/>
      <c r="B3462" s="217"/>
      <c r="C3462" s="217"/>
      <c r="D3462" s="101"/>
      <c r="E3462" s="101"/>
      <c r="F3462" s="294"/>
      <c r="G3462" s="295"/>
      <c r="H3462" s="98"/>
      <c r="I3462" s="99"/>
      <c r="J3462" s="99"/>
      <c r="K3462" s="99"/>
      <c r="L3462" s="99"/>
      <c r="M3462" s="99"/>
      <c r="N3462" s="99"/>
      <c r="O3462" s="99"/>
      <c r="P3462" s="99"/>
      <c r="Q3462" s="99"/>
      <c r="R3462" s="99"/>
      <c r="S3462" s="99"/>
      <c r="T3462" s="99"/>
      <c r="U3462" s="99"/>
      <c r="V3462" s="99"/>
    </row>
    <row r="3463" spans="1:22">
      <c r="A3463" s="297"/>
      <c r="B3463" s="217"/>
      <c r="C3463" s="217"/>
      <c r="D3463" s="101"/>
      <c r="E3463" s="101"/>
      <c r="F3463" s="294"/>
      <c r="G3463" s="295"/>
      <c r="H3463" s="98"/>
      <c r="I3463" s="99"/>
      <c r="J3463" s="99"/>
      <c r="K3463" s="99"/>
      <c r="L3463" s="99"/>
      <c r="M3463" s="99"/>
      <c r="N3463" s="99"/>
      <c r="O3463" s="99"/>
      <c r="P3463" s="99"/>
      <c r="Q3463" s="99"/>
      <c r="R3463" s="99"/>
      <c r="S3463" s="99"/>
      <c r="T3463" s="99"/>
      <c r="U3463" s="99"/>
      <c r="V3463" s="99"/>
    </row>
    <row r="3464" spans="1:22">
      <c r="A3464" s="297"/>
      <c r="B3464" s="217"/>
      <c r="C3464" s="217"/>
      <c r="D3464" s="101"/>
      <c r="E3464" s="101"/>
      <c r="F3464" s="294"/>
      <c r="G3464" s="295"/>
      <c r="H3464" s="98"/>
      <c r="I3464" s="99"/>
      <c r="J3464" s="99"/>
      <c r="K3464" s="99"/>
      <c r="L3464" s="99"/>
      <c r="M3464" s="99"/>
      <c r="N3464" s="99"/>
      <c r="O3464" s="99"/>
      <c r="P3464" s="99"/>
      <c r="Q3464" s="99"/>
      <c r="R3464" s="99"/>
      <c r="S3464" s="99"/>
      <c r="T3464" s="99"/>
      <c r="U3464" s="99"/>
      <c r="V3464" s="99"/>
    </row>
    <row r="3465" spans="1:22">
      <c r="A3465" s="297"/>
      <c r="B3465" s="217"/>
      <c r="C3465" s="217"/>
      <c r="D3465" s="101"/>
      <c r="E3465" s="101"/>
      <c r="F3465" s="294"/>
      <c r="G3465" s="295"/>
      <c r="H3465" s="98"/>
      <c r="I3465" s="99"/>
      <c r="J3465" s="99"/>
      <c r="K3465" s="99"/>
      <c r="L3465" s="99"/>
      <c r="M3465" s="99"/>
      <c r="N3465" s="99"/>
      <c r="O3465" s="99"/>
      <c r="P3465" s="99"/>
      <c r="Q3465" s="99"/>
      <c r="R3465" s="99"/>
      <c r="S3465" s="99"/>
      <c r="T3465" s="99"/>
      <c r="U3465" s="99"/>
      <c r="V3465" s="99"/>
    </row>
    <row r="3466" spans="1:22">
      <c r="A3466" s="297"/>
      <c r="B3466" s="217"/>
      <c r="C3466" s="217"/>
      <c r="D3466" s="101"/>
      <c r="E3466" s="101"/>
      <c r="F3466" s="294"/>
      <c r="G3466" s="295"/>
      <c r="H3466" s="98"/>
      <c r="I3466" s="99"/>
      <c r="J3466" s="99"/>
      <c r="K3466" s="99"/>
      <c r="L3466" s="99"/>
      <c r="M3466" s="99"/>
      <c r="N3466" s="99"/>
      <c r="O3466" s="99"/>
      <c r="P3466" s="99"/>
      <c r="Q3466" s="99"/>
      <c r="R3466" s="99"/>
      <c r="S3466" s="99"/>
      <c r="T3466" s="99"/>
      <c r="U3466" s="99"/>
      <c r="V3466" s="99"/>
    </row>
    <row r="3467" spans="1:22">
      <c r="A3467" s="297"/>
      <c r="B3467" s="217"/>
      <c r="C3467" s="217"/>
      <c r="D3467" s="101"/>
      <c r="E3467" s="101"/>
      <c r="F3467" s="294"/>
      <c r="G3467" s="295"/>
      <c r="H3467" s="98"/>
      <c r="I3467" s="99"/>
      <c r="J3467" s="99"/>
      <c r="K3467" s="99"/>
      <c r="L3467" s="99"/>
      <c r="M3467" s="99"/>
      <c r="N3467" s="99"/>
      <c r="O3467" s="99"/>
      <c r="P3467" s="99"/>
      <c r="Q3467" s="99"/>
      <c r="R3467" s="99"/>
      <c r="S3467" s="99"/>
      <c r="T3467" s="99"/>
      <c r="U3467" s="99"/>
      <c r="V3467" s="99"/>
    </row>
    <row r="3468" spans="1:22">
      <c r="A3468" s="297"/>
      <c r="B3468" s="217"/>
      <c r="C3468" s="217"/>
      <c r="D3468" s="101"/>
      <c r="E3468" s="101"/>
      <c r="F3468" s="294"/>
      <c r="G3468" s="295"/>
      <c r="H3468" s="107"/>
      <c r="I3468" s="108"/>
      <c r="J3468" s="108"/>
      <c r="K3468" s="108"/>
      <c r="L3468" s="108"/>
      <c r="M3468" s="108"/>
      <c r="N3468" s="109"/>
      <c r="O3468" s="109"/>
      <c r="P3468" s="109"/>
      <c r="Q3468" s="109"/>
      <c r="R3468" s="109"/>
      <c r="S3468" s="109"/>
      <c r="T3468" s="108"/>
      <c r="U3468" s="233"/>
      <c r="V3468" s="233"/>
    </row>
    <row r="3469" spans="1:22">
      <c r="A3469" s="297"/>
      <c r="B3469" s="217"/>
      <c r="C3469" s="217"/>
      <c r="D3469" s="101"/>
      <c r="E3469" s="101"/>
      <c r="F3469" s="294"/>
      <c r="G3469" s="295"/>
      <c r="H3469" s="98"/>
      <c r="I3469" s="106"/>
      <c r="J3469" s="106"/>
      <c r="K3469" s="106"/>
      <c r="L3469" s="106"/>
      <c r="M3469" s="106"/>
      <c r="N3469" s="110"/>
      <c r="O3469" s="110"/>
      <c r="P3469" s="110"/>
      <c r="Q3469" s="111"/>
      <c r="R3469" s="99"/>
      <c r="S3469" s="99"/>
      <c r="T3469" s="111"/>
      <c r="U3469" s="111"/>
      <c r="V3469" s="111"/>
    </row>
    <row r="3470" spans="1:22">
      <c r="A3470" s="297"/>
      <c r="B3470" s="217"/>
      <c r="C3470" s="217"/>
      <c r="D3470" s="101"/>
      <c r="E3470" s="101"/>
      <c r="F3470" s="294"/>
      <c r="G3470" s="295"/>
      <c r="H3470" s="98"/>
      <c r="I3470" s="99"/>
      <c r="J3470" s="99"/>
      <c r="K3470" s="99"/>
      <c r="L3470" s="99"/>
      <c r="M3470" s="99"/>
      <c r="N3470" s="99"/>
      <c r="O3470" s="99"/>
      <c r="P3470" s="99"/>
      <c r="Q3470" s="99"/>
      <c r="R3470" s="99"/>
      <c r="S3470" s="99"/>
      <c r="T3470" s="99"/>
      <c r="U3470" s="99"/>
      <c r="V3470" s="99"/>
    </row>
    <row r="3471" spans="1:22">
      <c r="A3471" s="297"/>
      <c r="B3471" s="217"/>
      <c r="C3471" s="217"/>
      <c r="D3471" s="101"/>
      <c r="E3471" s="101"/>
      <c r="F3471" s="294"/>
      <c r="G3471" s="295"/>
      <c r="H3471" s="98"/>
      <c r="I3471" s="99"/>
      <c r="J3471" s="99"/>
      <c r="K3471" s="99"/>
      <c r="L3471" s="99"/>
      <c r="M3471" s="99"/>
      <c r="N3471" s="99"/>
      <c r="O3471" s="99"/>
      <c r="P3471" s="99"/>
      <c r="Q3471" s="99"/>
      <c r="R3471" s="99"/>
      <c r="S3471" s="99"/>
      <c r="T3471" s="99"/>
      <c r="U3471" s="99"/>
      <c r="V3471" s="99"/>
    </row>
    <row r="3472" spans="1:22">
      <c r="A3472" s="297"/>
      <c r="B3472" s="217"/>
      <c r="C3472" s="217"/>
      <c r="D3472" s="101"/>
      <c r="E3472" s="101"/>
      <c r="F3472" s="294"/>
      <c r="G3472" s="295"/>
      <c r="H3472" s="98"/>
      <c r="I3472" s="99"/>
      <c r="J3472" s="99"/>
      <c r="K3472" s="99"/>
      <c r="L3472" s="99"/>
      <c r="M3472" s="99"/>
      <c r="N3472" s="99"/>
      <c r="O3472" s="99"/>
      <c r="P3472" s="99"/>
      <c r="Q3472" s="99"/>
      <c r="R3472" s="99"/>
      <c r="S3472" s="99"/>
      <c r="T3472" s="99"/>
      <c r="U3472" s="99"/>
      <c r="V3472" s="99"/>
    </row>
    <row r="3473" spans="1:22">
      <c r="A3473" s="297"/>
      <c r="B3473" s="217"/>
      <c r="C3473" s="217"/>
      <c r="D3473" s="101"/>
      <c r="E3473" s="101"/>
      <c r="F3473" s="294"/>
      <c r="G3473" s="295"/>
      <c r="H3473" s="107"/>
      <c r="I3473" s="108"/>
      <c r="J3473" s="108"/>
      <c r="K3473" s="108"/>
      <c r="L3473" s="108"/>
      <c r="M3473" s="108"/>
      <c r="N3473" s="109"/>
      <c r="O3473" s="109"/>
      <c r="P3473" s="109"/>
      <c r="Q3473" s="109"/>
      <c r="R3473" s="109"/>
      <c r="S3473" s="109"/>
      <c r="T3473" s="109"/>
      <c r="U3473" s="202"/>
      <c r="V3473" s="202"/>
    </row>
    <row r="3474" spans="1:22">
      <c r="A3474" s="297"/>
      <c r="B3474" s="217"/>
      <c r="C3474" s="217"/>
      <c r="D3474" s="101"/>
      <c r="E3474" s="101"/>
      <c r="F3474" s="294"/>
      <c r="G3474" s="295"/>
      <c r="H3474" s="98"/>
      <c r="I3474" s="106"/>
      <c r="J3474" s="106"/>
      <c r="K3474" s="106"/>
      <c r="L3474" s="106"/>
      <c r="M3474" s="106"/>
      <c r="N3474" s="110"/>
      <c r="O3474" s="110"/>
      <c r="P3474" s="110"/>
      <c r="Q3474" s="111"/>
      <c r="R3474" s="99"/>
      <c r="S3474" s="99"/>
      <c r="T3474" s="111"/>
      <c r="U3474" s="111"/>
      <c r="V3474" s="111"/>
    </row>
    <row r="3475" spans="1:22">
      <c r="A3475" s="297"/>
      <c r="B3475" s="217"/>
      <c r="C3475" s="217"/>
      <c r="D3475" s="101"/>
      <c r="E3475" s="101"/>
      <c r="F3475" s="294"/>
      <c r="G3475" s="295"/>
      <c r="H3475" s="114"/>
      <c r="I3475" s="108"/>
      <c r="J3475" s="108"/>
      <c r="K3475" s="108"/>
      <c r="L3475" s="108"/>
      <c r="M3475" s="108"/>
      <c r="N3475" s="108"/>
      <c r="O3475" s="108"/>
      <c r="P3475" s="108"/>
      <c r="Q3475" s="108"/>
      <c r="R3475" s="108"/>
      <c r="S3475" s="108"/>
      <c r="T3475" s="108"/>
      <c r="U3475" s="233"/>
      <c r="V3475" s="233"/>
    </row>
    <row r="3476" spans="1:22" ht="14.4" thickBot="1">
      <c r="A3476" s="297"/>
      <c r="B3476" s="217"/>
      <c r="C3476" s="217"/>
      <c r="D3476" s="101"/>
      <c r="E3476" s="101"/>
      <c r="F3476" s="294"/>
      <c r="G3476" s="295"/>
      <c r="H3476" s="98"/>
      <c r="I3476" s="218"/>
      <c r="J3476" s="218"/>
      <c r="K3476" s="218"/>
      <c r="L3476" s="218"/>
      <c r="M3476" s="218"/>
      <c r="U3476" s="212"/>
      <c r="V3476" s="212"/>
    </row>
    <row r="3477" spans="1:22" ht="23.4" thickBot="1">
      <c r="A3477" s="297"/>
      <c r="B3477" s="217"/>
      <c r="C3477" s="217"/>
      <c r="D3477" s="101"/>
      <c r="E3477" s="101"/>
      <c r="F3477" s="294"/>
      <c r="G3477" s="295"/>
      <c r="H3477" s="686"/>
      <c r="I3477" s="687"/>
      <c r="J3477" s="687"/>
      <c r="K3477" s="687"/>
      <c r="L3477" s="687"/>
      <c r="M3477" s="687"/>
      <c r="N3477" s="687"/>
      <c r="O3477" s="687"/>
      <c r="P3477" s="687"/>
      <c r="Q3477" s="687"/>
      <c r="R3477" s="687"/>
      <c r="S3477" s="715"/>
      <c r="T3477" s="688"/>
      <c r="U3477" s="254"/>
      <c r="V3477" s="254"/>
    </row>
    <row r="3478" spans="1:22" ht="22.8">
      <c r="A3478" s="297"/>
      <c r="B3478" s="217"/>
      <c r="C3478" s="217"/>
      <c r="D3478" s="101"/>
      <c r="E3478" s="101"/>
      <c r="F3478" s="294"/>
      <c r="G3478" s="295"/>
      <c r="H3478" s="225"/>
      <c r="I3478" s="225"/>
      <c r="J3478" s="225"/>
      <c r="K3478" s="225"/>
      <c r="L3478" s="225"/>
      <c r="M3478" s="225"/>
      <c r="N3478" s="225"/>
      <c r="O3478" s="225"/>
      <c r="P3478" s="225"/>
      <c r="Q3478" s="225"/>
      <c r="R3478" s="225"/>
      <c r="S3478" s="225"/>
      <c r="T3478" s="225"/>
      <c r="U3478" s="225"/>
      <c r="V3478" s="225"/>
    </row>
    <row r="3479" spans="1:22">
      <c r="A3479" s="297"/>
      <c r="B3479" s="217"/>
      <c r="C3479" s="217"/>
      <c r="D3479" s="101"/>
      <c r="E3479" s="101"/>
      <c r="F3479" s="294"/>
      <c r="G3479" s="295"/>
      <c r="H3479" s="98"/>
      <c r="I3479" s="99"/>
      <c r="J3479" s="99"/>
      <c r="K3479" s="99"/>
      <c r="L3479" s="99"/>
      <c r="M3479" s="99"/>
      <c r="N3479" s="99"/>
      <c r="O3479" s="99"/>
      <c r="P3479" s="99"/>
      <c r="Q3479" s="99"/>
      <c r="R3479" s="99"/>
      <c r="S3479" s="99"/>
      <c r="T3479" s="99"/>
      <c r="U3479" s="99"/>
      <c r="V3479" s="99"/>
    </row>
    <row r="3480" spans="1:22">
      <c r="A3480" s="297"/>
      <c r="B3480" s="217"/>
      <c r="C3480" s="217"/>
      <c r="D3480" s="101"/>
      <c r="E3480" s="101"/>
      <c r="F3480" s="294"/>
      <c r="G3480" s="295"/>
      <c r="H3480" s="98"/>
      <c r="I3480" s="99"/>
      <c r="J3480" s="99"/>
      <c r="K3480" s="99"/>
      <c r="L3480" s="99"/>
      <c r="M3480" s="99"/>
      <c r="N3480" s="99"/>
      <c r="O3480" s="99"/>
      <c r="P3480" s="99"/>
      <c r="Q3480" s="99"/>
      <c r="R3480" s="99"/>
      <c r="S3480" s="99"/>
      <c r="T3480" s="99"/>
      <c r="U3480" s="99"/>
      <c r="V3480" s="99"/>
    </row>
    <row r="3481" spans="1:22">
      <c r="A3481" s="297"/>
      <c r="B3481" s="217"/>
      <c r="C3481" s="217"/>
      <c r="D3481" s="101"/>
      <c r="E3481" s="101"/>
      <c r="F3481" s="294"/>
      <c r="G3481" s="295"/>
      <c r="H3481" s="98"/>
      <c r="I3481" s="99"/>
      <c r="J3481" s="99"/>
      <c r="K3481" s="99"/>
      <c r="L3481" s="99"/>
      <c r="M3481" s="99"/>
      <c r="N3481" s="99"/>
      <c r="O3481" s="99"/>
      <c r="P3481" s="99"/>
      <c r="Q3481" s="99"/>
      <c r="R3481" s="99"/>
      <c r="S3481" s="99"/>
      <c r="T3481" s="99"/>
      <c r="U3481" s="99"/>
      <c r="V3481" s="99"/>
    </row>
    <row r="3482" spans="1:22">
      <c r="A3482" s="297"/>
      <c r="B3482" s="217"/>
      <c r="C3482" s="217"/>
      <c r="D3482" s="101"/>
      <c r="E3482" s="101"/>
      <c r="F3482" s="294"/>
      <c r="G3482" s="295"/>
      <c r="H3482" s="98"/>
      <c r="I3482" s="99"/>
      <c r="J3482" s="99"/>
      <c r="K3482" s="99"/>
      <c r="L3482" s="99"/>
      <c r="M3482" s="99"/>
      <c r="N3482" s="99"/>
      <c r="O3482" s="99"/>
      <c r="P3482" s="99"/>
      <c r="Q3482" s="99"/>
      <c r="R3482" s="99"/>
      <c r="S3482" s="99"/>
      <c r="T3482" s="99"/>
      <c r="U3482" s="99"/>
      <c r="V3482" s="99"/>
    </row>
    <row r="3483" spans="1:22">
      <c r="A3483" s="297"/>
      <c r="B3483" s="217"/>
      <c r="C3483" s="217"/>
      <c r="D3483" s="101"/>
      <c r="E3483" s="101"/>
      <c r="F3483" s="294"/>
      <c r="G3483" s="295"/>
      <c r="H3483" s="98"/>
      <c r="I3483" s="99"/>
      <c r="J3483" s="99"/>
      <c r="K3483" s="99"/>
      <c r="L3483" s="99"/>
      <c r="M3483" s="99"/>
      <c r="N3483" s="99"/>
      <c r="O3483" s="99"/>
      <c r="P3483" s="99"/>
      <c r="Q3483" s="99"/>
      <c r="R3483" s="99"/>
      <c r="S3483" s="99"/>
      <c r="T3483" s="99"/>
      <c r="U3483" s="99"/>
      <c r="V3483" s="99"/>
    </row>
    <row r="3484" spans="1:22">
      <c r="A3484" s="297"/>
      <c r="B3484" s="217"/>
      <c r="C3484" s="217"/>
      <c r="D3484" s="101"/>
      <c r="E3484" s="101"/>
      <c r="F3484" s="294"/>
      <c r="G3484" s="295"/>
      <c r="H3484" s="98"/>
      <c r="I3484" s="99"/>
      <c r="J3484" s="99"/>
      <c r="K3484" s="99"/>
      <c r="L3484" s="99"/>
      <c r="M3484" s="99"/>
      <c r="N3484" s="99"/>
      <c r="O3484" s="99"/>
      <c r="P3484" s="99"/>
      <c r="Q3484" s="99"/>
      <c r="R3484" s="99"/>
      <c r="S3484" s="99"/>
      <c r="T3484" s="99"/>
      <c r="U3484" s="99"/>
      <c r="V3484" s="99"/>
    </row>
    <row r="3485" spans="1:22">
      <c r="A3485" s="297"/>
      <c r="B3485" s="217"/>
      <c r="C3485" s="217"/>
      <c r="D3485" s="101"/>
      <c r="E3485" s="101"/>
      <c r="F3485" s="294"/>
      <c r="G3485" s="295"/>
      <c r="H3485" s="107"/>
      <c r="I3485" s="108"/>
      <c r="J3485" s="108"/>
      <c r="K3485" s="108"/>
      <c r="L3485" s="108"/>
      <c r="M3485" s="108"/>
      <c r="N3485" s="109"/>
      <c r="O3485" s="109"/>
      <c r="P3485" s="109"/>
      <c r="Q3485" s="109"/>
      <c r="R3485" s="109"/>
      <c r="S3485" s="109"/>
      <c r="T3485" s="109"/>
      <c r="U3485" s="202"/>
      <c r="V3485" s="202"/>
    </row>
    <row r="3486" spans="1:22">
      <c r="A3486" s="297"/>
      <c r="B3486" s="217"/>
      <c r="C3486" s="217"/>
      <c r="D3486" s="101"/>
      <c r="E3486" s="101"/>
      <c r="F3486" s="294"/>
      <c r="G3486" s="295"/>
      <c r="H3486" s="98"/>
      <c r="I3486" s="106"/>
      <c r="J3486" s="106"/>
      <c r="K3486" s="106"/>
      <c r="L3486" s="106"/>
      <c r="M3486" s="106"/>
      <c r="N3486" s="112"/>
      <c r="O3486" s="112"/>
      <c r="P3486" s="112"/>
      <c r="Q3486" s="113"/>
      <c r="R3486" s="113"/>
      <c r="S3486" s="113"/>
      <c r="T3486" s="113"/>
      <c r="U3486" s="113"/>
      <c r="V3486" s="113"/>
    </row>
    <row r="3487" spans="1:22">
      <c r="A3487" s="297"/>
      <c r="B3487" s="217"/>
      <c r="C3487" s="217"/>
      <c r="D3487" s="101"/>
      <c r="E3487" s="101"/>
      <c r="F3487" s="294"/>
      <c r="G3487" s="295"/>
      <c r="H3487" s="98"/>
      <c r="I3487" s="99"/>
      <c r="J3487" s="99"/>
      <c r="K3487" s="99"/>
      <c r="L3487" s="99"/>
      <c r="M3487" s="99"/>
      <c r="N3487" s="99"/>
      <c r="O3487" s="99"/>
      <c r="P3487" s="99"/>
      <c r="Q3487" s="99"/>
      <c r="R3487" s="99"/>
      <c r="S3487" s="99"/>
      <c r="T3487" s="99"/>
      <c r="U3487" s="99"/>
      <c r="V3487" s="99"/>
    </row>
    <row r="3488" spans="1:22">
      <c r="A3488" s="297"/>
      <c r="B3488" s="217"/>
      <c r="C3488" s="217"/>
      <c r="D3488" s="101"/>
      <c r="E3488" s="101"/>
      <c r="F3488" s="294"/>
      <c r="G3488" s="295"/>
      <c r="H3488" s="98"/>
      <c r="I3488" s="99"/>
      <c r="J3488" s="99"/>
      <c r="K3488" s="99"/>
      <c r="L3488" s="99"/>
      <c r="M3488" s="99"/>
      <c r="N3488" s="99"/>
      <c r="O3488" s="99"/>
      <c r="P3488" s="99"/>
      <c r="Q3488" s="99"/>
      <c r="R3488" s="99"/>
      <c r="S3488" s="99"/>
      <c r="T3488" s="99"/>
      <c r="U3488" s="99"/>
      <c r="V3488" s="99"/>
    </row>
    <row r="3489" spans="1:22">
      <c r="A3489" s="297"/>
      <c r="B3489" s="217"/>
      <c r="C3489" s="217"/>
      <c r="D3489" s="101"/>
      <c r="E3489" s="101"/>
      <c r="F3489" s="294"/>
      <c r="G3489" s="295"/>
      <c r="H3489" s="98"/>
      <c r="I3489" s="99"/>
      <c r="J3489" s="99"/>
      <c r="K3489" s="99"/>
      <c r="L3489" s="99"/>
      <c r="M3489" s="99"/>
      <c r="N3489" s="99"/>
      <c r="O3489" s="99"/>
      <c r="P3489" s="99"/>
      <c r="Q3489" s="99"/>
      <c r="R3489" s="99"/>
      <c r="S3489" s="99"/>
      <c r="T3489" s="99"/>
      <c r="U3489" s="99"/>
      <c r="V3489" s="99"/>
    </row>
    <row r="3490" spans="1:22">
      <c r="A3490" s="297"/>
      <c r="B3490" s="217"/>
      <c r="C3490" s="217"/>
      <c r="D3490" s="101"/>
      <c r="E3490" s="101"/>
      <c r="F3490" s="294"/>
      <c r="G3490" s="295"/>
      <c r="H3490" s="98"/>
      <c r="I3490" s="99"/>
      <c r="J3490" s="99"/>
      <c r="K3490" s="99"/>
      <c r="L3490" s="99"/>
      <c r="M3490" s="99"/>
      <c r="N3490" s="99"/>
      <c r="O3490" s="99"/>
      <c r="P3490" s="99"/>
      <c r="Q3490" s="99"/>
      <c r="R3490" s="99"/>
      <c r="S3490" s="99"/>
      <c r="T3490" s="99"/>
      <c r="U3490" s="99"/>
      <c r="V3490" s="99"/>
    </row>
    <row r="3491" spans="1:22">
      <c r="A3491" s="297"/>
      <c r="B3491" s="217"/>
      <c r="C3491" s="217"/>
      <c r="D3491" s="101"/>
      <c r="E3491" s="101"/>
      <c r="F3491" s="294"/>
      <c r="G3491" s="295"/>
      <c r="H3491" s="98"/>
      <c r="I3491" s="99"/>
      <c r="J3491" s="99"/>
      <c r="K3491" s="99"/>
      <c r="L3491" s="99"/>
      <c r="M3491" s="99"/>
      <c r="N3491" s="99"/>
      <c r="O3491" s="99"/>
      <c r="P3491" s="99"/>
      <c r="Q3491" s="99"/>
      <c r="R3491" s="99"/>
      <c r="S3491" s="99"/>
      <c r="T3491" s="99"/>
      <c r="U3491" s="99"/>
      <c r="V3491" s="99"/>
    </row>
    <row r="3492" spans="1:22">
      <c r="A3492" s="297"/>
      <c r="B3492" s="217"/>
      <c r="C3492" s="217"/>
      <c r="D3492" s="101"/>
      <c r="E3492" s="101"/>
      <c r="F3492" s="294"/>
      <c r="G3492" s="295"/>
      <c r="H3492" s="98"/>
      <c r="I3492" s="99"/>
      <c r="J3492" s="99"/>
      <c r="K3492" s="99"/>
      <c r="L3492" s="99"/>
      <c r="M3492" s="99"/>
      <c r="N3492" s="99"/>
      <c r="O3492" s="99"/>
      <c r="P3492" s="99"/>
      <c r="Q3492" s="99"/>
      <c r="R3492" s="99"/>
      <c r="S3492" s="99"/>
      <c r="T3492" s="99"/>
      <c r="U3492" s="99"/>
      <c r="V3492" s="99"/>
    </row>
    <row r="3493" spans="1:22">
      <c r="A3493" s="297"/>
      <c r="B3493" s="217"/>
      <c r="C3493" s="217"/>
      <c r="D3493" s="101"/>
      <c r="E3493" s="101"/>
      <c r="F3493" s="294"/>
      <c r="G3493" s="295"/>
      <c r="H3493" s="98"/>
      <c r="I3493" s="99"/>
      <c r="J3493" s="99"/>
      <c r="K3493" s="99"/>
      <c r="L3493" s="99"/>
      <c r="M3493" s="99"/>
      <c r="N3493" s="99"/>
      <c r="O3493" s="99"/>
      <c r="P3493" s="99"/>
      <c r="Q3493" s="99"/>
      <c r="R3493" s="99"/>
      <c r="S3493" s="99"/>
      <c r="T3493" s="99"/>
      <c r="U3493" s="99"/>
      <c r="V3493" s="99"/>
    </row>
    <row r="3494" spans="1:22">
      <c r="A3494" s="297"/>
      <c r="B3494" s="217"/>
      <c r="C3494" s="217"/>
      <c r="D3494" s="101"/>
      <c r="E3494" s="101"/>
      <c r="F3494" s="294"/>
      <c r="G3494" s="295"/>
      <c r="H3494" s="98"/>
      <c r="I3494" s="99"/>
      <c r="J3494" s="99"/>
      <c r="K3494" s="99"/>
      <c r="L3494" s="99"/>
      <c r="M3494" s="99"/>
      <c r="N3494" s="99"/>
      <c r="O3494" s="99"/>
      <c r="P3494" s="99"/>
      <c r="Q3494" s="99"/>
      <c r="R3494" s="99"/>
      <c r="S3494" s="99"/>
      <c r="T3494" s="99"/>
      <c r="U3494" s="99"/>
      <c r="V3494" s="99"/>
    </row>
    <row r="3495" spans="1:22">
      <c r="A3495" s="297"/>
      <c r="B3495" s="217"/>
      <c r="C3495" s="217"/>
      <c r="D3495" s="101"/>
      <c r="E3495" s="101"/>
      <c r="F3495" s="294"/>
      <c r="G3495" s="295"/>
      <c r="H3495" s="98"/>
      <c r="I3495" s="99"/>
      <c r="J3495" s="99"/>
      <c r="K3495" s="99"/>
      <c r="L3495" s="99"/>
      <c r="M3495" s="99"/>
      <c r="N3495" s="99"/>
      <c r="O3495" s="99"/>
      <c r="P3495" s="99"/>
      <c r="Q3495" s="99"/>
      <c r="R3495" s="99"/>
      <c r="S3495" s="99"/>
      <c r="T3495" s="99"/>
      <c r="U3495" s="99"/>
      <c r="V3495" s="99"/>
    </row>
    <row r="3496" spans="1:22">
      <c r="A3496" s="297"/>
      <c r="B3496" s="217"/>
      <c r="C3496" s="217"/>
      <c r="D3496" s="101"/>
      <c r="E3496" s="101"/>
      <c r="F3496" s="294"/>
      <c r="G3496" s="295"/>
      <c r="H3496" s="107"/>
      <c r="I3496" s="109"/>
      <c r="J3496" s="109"/>
      <c r="K3496" s="109"/>
      <c r="L3496" s="109"/>
      <c r="M3496" s="109"/>
      <c r="N3496" s="109"/>
      <c r="O3496" s="109"/>
      <c r="P3496" s="109"/>
      <c r="Q3496" s="109"/>
      <c r="R3496" s="109"/>
      <c r="S3496" s="109"/>
      <c r="T3496" s="109"/>
      <c r="U3496" s="202"/>
      <c r="V3496" s="202"/>
    </row>
    <row r="3497" spans="1:22">
      <c r="A3497" s="297"/>
      <c r="B3497" s="217"/>
      <c r="C3497" s="217"/>
      <c r="D3497" s="101"/>
      <c r="E3497" s="101"/>
      <c r="F3497" s="294"/>
      <c r="G3497" s="295"/>
      <c r="H3497" s="98"/>
      <c r="I3497" s="106"/>
      <c r="J3497" s="106"/>
      <c r="K3497" s="106"/>
      <c r="L3497" s="106"/>
      <c r="M3497" s="106"/>
      <c r="N3497" s="112"/>
      <c r="O3497" s="112"/>
      <c r="P3497" s="112"/>
      <c r="Q3497" s="113"/>
      <c r="R3497" s="113"/>
      <c r="S3497" s="113"/>
      <c r="T3497" s="113"/>
      <c r="U3497" s="113"/>
      <c r="V3497" s="113"/>
    </row>
    <row r="3498" spans="1:22">
      <c r="A3498" s="297"/>
      <c r="B3498" s="217"/>
      <c r="C3498" s="217"/>
      <c r="D3498" s="101"/>
      <c r="E3498" s="101"/>
      <c r="F3498" s="294"/>
      <c r="G3498" s="295"/>
      <c r="H3498" s="98"/>
      <c r="I3498" s="99"/>
      <c r="J3498" s="99"/>
      <c r="K3498" s="99"/>
      <c r="L3498" s="99"/>
      <c r="M3498" s="99"/>
      <c r="N3498" s="99"/>
      <c r="O3498" s="99"/>
      <c r="P3498" s="99"/>
      <c r="Q3498" s="99"/>
      <c r="R3498" s="99"/>
      <c r="S3498" s="99"/>
      <c r="T3498" s="99"/>
      <c r="U3498" s="99"/>
      <c r="V3498" s="99"/>
    </row>
    <row r="3499" spans="1:22">
      <c r="A3499" s="297"/>
      <c r="B3499" s="217"/>
      <c r="C3499" s="217"/>
      <c r="D3499" s="101"/>
      <c r="E3499" s="101"/>
      <c r="F3499" s="294"/>
      <c r="G3499" s="295"/>
      <c r="H3499" s="107"/>
      <c r="I3499" s="108"/>
      <c r="J3499" s="108"/>
      <c r="K3499" s="108"/>
      <c r="L3499" s="108"/>
      <c r="M3499" s="108"/>
      <c r="N3499" s="109"/>
      <c r="O3499" s="109"/>
      <c r="P3499" s="109"/>
      <c r="Q3499" s="109"/>
      <c r="R3499" s="109"/>
      <c r="S3499" s="109"/>
      <c r="T3499" s="109"/>
      <c r="U3499" s="202"/>
      <c r="V3499" s="202"/>
    </row>
    <row r="3500" spans="1:22">
      <c r="A3500" s="297"/>
      <c r="B3500" s="217"/>
      <c r="C3500" s="217"/>
      <c r="D3500" s="101"/>
      <c r="E3500" s="101"/>
      <c r="F3500" s="294"/>
      <c r="G3500" s="295"/>
      <c r="H3500" s="98"/>
      <c r="I3500" s="106"/>
      <c r="J3500" s="106"/>
      <c r="K3500" s="106"/>
      <c r="L3500" s="106"/>
      <c r="M3500" s="106"/>
      <c r="N3500" s="112"/>
      <c r="O3500" s="112"/>
      <c r="P3500" s="112"/>
      <c r="Q3500" s="113"/>
      <c r="R3500" s="113"/>
      <c r="S3500" s="113"/>
      <c r="T3500" s="113"/>
      <c r="U3500" s="113"/>
      <c r="V3500" s="113"/>
    </row>
    <row r="3501" spans="1:22">
      <c r="A3501" s="297"/>
      <c r="B3501" s="217"/>
      <c r="C3501" s="217"/>
      <c r="D3501" s="101"/>
      <c r="E3501" s="101"/>
      <c r="F3501" s="294"/>
      <c r="G3501" s="295"/>
      <c r="H3501" s="114"/>
      <c r="I3501" s="108"/>
      <c r="J3501" s="108"/>
      <c r="K3501" s="108"/>
      <c r="L3501" s="108"/>
      <c r="M3501" s="108"/>
      <c r="N3501" s="108"/>
      <c r="O3501" s="108"/>
      <c r="P3501" s="108"/>
      <c r="Q3501" s="108"/>
      <c r="R3501" s="108"/>
      <c r="S3501" s="108"/>
      <c r="T3501" s="108"/>
      <c r="U3501" s="233"/>
      <c r="V3501" s="233"/>
    </row>
    <row r="3502" spans="1:22" ht="14.4" thickBot="1">
      <c r="A3502" s="297"/>
      <c r="B3502" s="217"/>
      <c r="C3502" s="217"/>
      <c r="D3502" s="101"/>
      <c r="E3502" s="101"/>
      <c r="F3502" s="294"/>
      <c r="G3502" s="295"/>
      <c r="H3502" s="98"/>
      <c r="I3502" s="106"/>
      <c r="J3502" s="106"/>
      <c r="K3502" s="106"/>
      <c r="L3502" s="106"/>
      <c r="M3502" s="106"/>
      <c r="N3502" s="112"/>
      <c r="O3502" s="112"/>
      <c r="P3502" s="112"/>
      <c r="Q3502" s="113"/>
      <c r="R3502" s="113"/>
      <c r="S3502" s="113"/>
      <c r="T3502" s="113"/>
      <c r="U3502" s="113"/>
      <c r="V3502" s="113"/>
    </row>
    <row r="3503" spans="1:22" ht="24.75" customHeight="1" thickBot="1">
      <c r="A3503" s="297"/>
      <c r="B3503" s="217"/>
      <c r="C3503" s="217"/>
      <c r="D3503" s="101"/>
      <c r="E3503" s="101"/>
      <c r="F3503" s="294"/>
      <c r="G3503" s="295"/>
      <c r="H3503" s="686"/>
      <c r="I3503" s="687"/>
      <c r="J3503" s="687"/>
      <c r="K3503" s="687"/>
      <c r="L3503" s="687"/>
      <c r="M3503" s="687"/>
      <c r="N3503" s="687"/>
      <c r="O3503" s="687"/>
      <c r="P3503" s="687"/>
      <c r="Q3503" s="687"/>
      <c r="R3503" s="687"/>
      <c r="S3503" s="715"/>
      <c r="T3503" s="688"/>
      <c r="U3503" s="254"/>
      <c r="V3503" s="254"/>
    </row>
    <row r="3504" spans="1:22" ht="22.8">
      <c r="A3504" s="297"/>
      <c r="B3504" s="217"/>
      <c r="C3504" s="217"/>
      <c r="D3504" s="101"/>
      <c r="E3504" s="101"/>
      <c r="F3504" s="294"/>
      <c r="G3504" s="295"/>
      <c r="H3504" s="225"/>
      <c r="I3504" s="225"/>
      <c r="J3504" s="225"/>
      <c r="K3504" s="225"/>
      <c r="L3504" s="225"/>
      <c r="M3504" s="225"/>
      <c r="N3504" s="225"/>
      <c r="O3504" s="225"/>
      <c r="P3504" s="225"/>
      <c r="Q3504" s="225"/>
      <c r="R3504" s="225"/>
      <c r="S3504" s="225"/>
      <c r="T3504" s="225"/>
      <c r="U3504" s="225"/>
      <c r="V3504" s="225"/>
    </row>
    <row r="3505" spans="1:22">
      <c r="A3505" s="297"/>
      <c r="B3505" s="217"/>
      <c r="C3505" s="217"/>
      <c r="D3505" s="101"/>
      <c r="E3505" s="101"/>
      <c r="F3505" s="294"/>
      <c r="G3505" s="295"/>
      <c r="H3505" s="98"/>
      <c r="I3505" s="99"/>
      <c r="J3505" s="99"/>
      <c r="K3505" s="99"/>
      <c r="L3505" s="99"/>
      <c r="M3505" s="99"/>
      <c r="N3505" s="99"/>
      <c r="O3505" s="99"/>
      <c r="P3505" s="99"/>
      <c r="Q3505" s="99"/>
      <c r="R3505" s="99"/>
      <c r="S3505" s="99"/>
      <c r="T3505" s="99"/>
      <c r="U3505" s="99"/>
      <c r="V3505" s="99"/>
    </row>
    <row r="3506" spans="1:22">
      <c r="A3506" s="297"/>
      <c r="B3506" s="217"/>
      <c r="C3506" s="217"/>
      <c r="D3506" s="101"/>
      <c r="E3506" s="101"/>
      <c r="F3506" s="294"/>
      <c r="G3506" s="295"/>
      <c r="H3506" s="98"/>
      <c r="I3506" s="99"/>
      <c r="J3506" s="99"/>
      <c r="K3506" s="99"/>
      <c r="L3506" s="99"/>
      <c r="M3506" s="99"/>
      <c r="N3506" s="99"/>
      <c r="O3506" s="99"/>
      <c r="P3506" s="99"/>
      <c r="Q3506" s="99"/>
      <c r="R3506" s="99"/>
      <c r="S3506" s="99"/>
      <c r="T3506" s="99"/>
      <c r="U3506" s="99"/>
      <c r="V3506" s="99"/>
    </row>
    <row r="3507" spans="1:22">
      <c r="A3507" s="297"/>
      <c r="B3507" s="217"/>
      <c r="C3507" s="217"/>
      <c r="D3507" s="101"/>
      <c r="E3507" s="101"/>
      <c r="F3507" s="294"/>
      <c r="G3507" s="295"/>
      <c r="H3507" s="98"/>
      <c r="I3507" s="99"/>
      <c r="J3507" s="99"/>
      <c r="K3507" s="99"/>
      <c r="L3507" s="99"/>
      <c r="M3507" s="99"/>
      <c r="N3507" s="99"/>
      <c r="O3507" s="99"/>
      <c r="P3507" s="99"/>
      <c r="Q3507" s="99"/>
      <c r="R3507" s="99"/>
      <c r="S3507" s="99"/>
      <c r="T3507" s="99"/>
      <c r="U3507" s="99"/>
      <c r="V3507" s="99"/>
    </row>
    <row r="3508" spans="1:22">
      <c r="A3508" s="297"/>
      <c r="B3508" s="217"/>
      <c r="C3508" s="217"/>
      <c r="D3508" s="101"/>
      <c r="E3508" s="101"/>
      <c r="F3508" s="294"/>
      <c r="G3508" s="295"/>
      <c r="H3508" s="98"/>
      <c r="I3508" s="99"/>
      <c r="J3508" s="99"/>
      <c r="K3508" s="99"/>
      <c r="L3508" s="99"/>
      <c r="M3508" s="99"/>
      <c r="N3508" s="99"/>
      <c r="O3508" s="99"/>
      <c r="P3508" s="99"/>
      <c r="Q3508" s="99"/>
      <c r="R3508" s="99"/>
      <c r="S3508" s="99"/>
      <c r="T3508" s="99"/>
      <c r="U3508" s="99"/>
      <c r="V3508" s="99"/>
    </row>
    <row r="3509" spans="1:22">
      <c r="A3509" s="297"/>
      <c r="B3509" s="217"/>
      <c r="C3509" s="217"/>
      <c r="D3509" s="101"/>
      <c r="E3509" s="101"/>
      <c r="F3509" s="294"/>
      <c r="G3509" s="295"/>
      <c r="H3509" s="98"/>
      <c r="I3509" s="99"/>
      <c r="J3509" s="99"/>
      <c r="K3509" s="99"/>
      <c r="L3509" s="99"/>
      <c r="M3509" s="99"/>
      <c r="N3509" s="99"/>
      <c r="O3509" s="99"/>
      <c r="P3509" s="99"/>
      <c r="Q3509" s="99"/>
      <c r="R3509" s="99"/>
      <c r="S3509" s="99"/>
      <c r="T3509" s="99"/>
      <c r="U3509" s="99"/>
      <c r="V3509" s="99"/>
    </row>
    <row r="3510" spans="1:22">
      <c r="A3510" s="297"/>
      <c r="B3510" s="217"/>
      <c r="C3510" s="217"/>
      <c r="D3510" s="101"/>
      <c r="E3510" s="101"/>
      <c r="F3510" s="294"/>
      <c r="G3510" s="295"/>
      <c r="H3510" s="98"/>
      <c r="I3510" s="99"/>
      <c r="J3510" s="99"/>
      <c r="K3510" s="99"/>
      <c r="L3510" s="99"/>
      <c r="M3510" s="99"/>
      <c r="N3510" s="99"/>
      <c r="O3510" s="99"/>
      <c r="P3510" s="99"/>
      <c r="Q3510" s="99"/>
      <c r="R3510" s="99"/>
      <c r="S3510" s="99"/>
      <c r="T3510" s="99"/>
      <c r="U3510" s="99"/>
      <c r="V3510" s="99"/>
    </row>
    <row r="3511" spans="1:22">
      <c r="A3511" s="297"/>
      <c r="B3511" s="217"/>
      <c r="C3511" s="217"/>
      <c r="D3511" s="101"/>
      <c r="E3511" s="101"/>
      <c r="F3511" s="294"/>
      <c r="G3511" s="295"/>
      <c r="H3511" s="98"/>
      <c r="I3511" s="99"/>
      <c r="J3511" s="99"/>
      <c r="K3511" s="99"/>
      <c r="L3511" s="99"/>
      <c r="M3511" s="99"/>
      <c r="N3511" s="99"/>
      <c r="O3511" s="99"/>
      <c r="P3511" s="99"/>
      <c r="Q3511" s="99"/>
      <c r="R3511" s="99"/>
      <c r="S3511" s="99"/>
      <c r="T3511" s="99"/>
      <c r="U3511" s="99"/>
      <c r="V3511" s="99"/>
    </row>
    <row r="3512" spans="1:22">
      <c r="A3512" s="297"/>
      <c r="B3512" s="217"/>
      <c r="C3512" s="217"/>
      <c r="D3512" s="101"/>
      <c r="E3512" s="101"/>
      <c r="F3512" s="294"/>
      <c r="G3512" s="295"/>
      <c r="H3512" s="98"/>
      <c r="I3512" s="99"/>
      <c r="J3512" s="99"/>
      <c r="K3512" s="99"/>
      <c r="L3512" s="99"/>
      <c r="M3512" s="99"/>
      <c r="N3512" s="99"/>
      <c r="O3512" s="99"/>
      <c r="P3512" s="99"/>
      <c r="Q3512" s="99"/>
      <c r="R3512" s="99"/>
      <c r="S3512" s="99"/>
      <c r="T3512" s="99"/>
      <c r="U3512" s="99"/>
      <c r="V3512" s="99"/>
    </row>
    <row r="3513" spans="1:22">
      <c r="A3513" s="297"/>
      <c r="B3513" s="217"/>
      <c r="C3513" s="217"/>
      <c r="D3513" s="101"/>
      <c r="E3513" s="101"/>
      <c r="F3513" s="294"/>
      <c r="G3513" s="295"/>
      <c r="H3513" s="98"/>
      <c r="I3513" s="99"/>
      <c r="J3513" s="99"/>
      <c r="K3513" s="99"/>
      <c r="L3513" s="99"/>
      <c r="M3513" s="99"/>
      <c r="N3513" s="99"/>
      <c r="O3513" s="99"/>
      <c r="P3513" s="99"/>
      <c r="Q3513" s="99"/>
      <c r="R3513" s="99"/>
      <c r="S3513" s="99"/>
      <c r="T3513" s="99"/>
      <c r="U3513" s="99"/>
      <c r="V3513" s="99"/>
    </row>
    <row r="3514" spans="1:22">
      <c r="A3514" s="297"/>
      <c r="B3514" s="217"/>
      <c r="C3514" s="217"/>
      <c r="D3514" s="101"/>
      <c r="E3514" s="101"/>
      <c r="F3514" s="294"/>
      <c r="G3514" s="295"/>
      <c r="H3514" s="98"/>
      <c r="I3514" s="99"/>
      <c r="J3514" s="99"/>
      <c r="K3514" s="99"/>
      <c r="L3514" s="99"/>
      <c r="M3514" s="99"/>
      <c r="N3514" s="99"/>
      <c r="O3514" s="99"/>
      <c r="P3514" s="99"/>
      <c r="Q3514" s="99"/>
      <c r="R3514" s="99"/>
      <c r="S3514" s="99"/>
      <c r="T3514" s="99"/>
      <c r="U3514" s="99"/>
      <c r="V3514" s="99"/>
    </row>
    <row r="3515" spans="1:22">
      <c r="A3515" s="297"/>
      <c r="B3515" s="217"/>
      <c r="C3515" s="217"/>
      <c r="D3515" s="101"/>
      <c r="E3515" s="101"/>
      <c r="F3515" s="294"/>
      <c r="G3515" s="295"/>
      <c r="H3515" s="98"/>
      <c r="I3515" s="99"/>
      <c r="J3515" s="99"/>
      <c r="K3515" s="99"/>
      <c r="L3515" s="99"/>
      <c r="M3515" s="99"/>
      <c r="N3515" s="99"/>
      <c r="O3515" s="99"/>
      <c r="P3515" s="99"/>
      <c r="Q3515" s="99"/>
      <c r="R3515" s="99"/>
      <c r="S3515" s="99"/>
      <c r="T3515" s="99"/>
      <c r="U3515" s="99"/>
      <c r="V3515" s="99"/>
    </row>
    <row r="3516" spans="1:22">
      <c r="A3516" s="297"/>
      <c r="B3516" s="217"/>
      <c r="C3516" s="217"/>
      <c r="D3516" s="101"/>
      <c r="E3516" s="101"/>
      <c r="F3516" s="294"/>
      <c r="G3516" s="295"/>
      <c r="H3516" s="98"/>
      <c r="I3516" s="99"/>
      <c r="J3516" s="99"/>
      <c r="K3516" s="99"/>
      <c r="L3516" s="99"/>
      <c r="M3516" s="99"/>
      <c r="N3516" s="99"/>
      <c r="O3516" s="99"/>
      <c r="P3516" s="99"/>
      <c r="Q3516" s="99"/>
      <c r="R3516" s="99"/>
      <c r="S3516" s="99"/>
      <c r="T3516" s="99"/>
      <c r="U3516" s="99"/>
      <c r="V3516" s="99"/>
    </row>
    <row r="3517" spans="1:22">
      <c r="A3517" s="297"/>
      <c r="B3517" s="217"/>
      <c r="C3517" s="217"/>
      <c r="D3517" s="101"/>
      <c r="E3517" s="101"/>
      <c r="F3517" s="294"/>
      <c r="G3517" s="295"/>
      <c r="H3517" s="98"/>
      <c r="I3517" s="99"/>
      <c r="J3517" s="99"/>
      <c r="K3517" s="99"/>
      <c r="L3517" s="99"/>
      <c r="M3517" s="99"/>
      <c r="N3517" s="99"/>
      <c r="O3517" s="99"/>
      <c r="P3517" s="99"/>
      <c r="Q3517" s="99"/>
      <c r="R3517" s="99"/>
      <c r="S3517" s="99"/>
      <c r="T3517" s="99"/>
      <c r="U3517" s="99"/>
      <c r="V3517" s="99"/>
    </row>
    <row r="3518" spans="1:22">
      <c r="A3518" s="297"/>
      <c r="B3518" s="217"/>
      <c r="C3518" s="217"/>
      <c r="D3518" s="101"/>
      <c r="E3518" s="101"/>
      <c r="F3518" s="294"/>
      <c r="G3518" s="295"/>
      <c r="H3518" s="98"/>
      <c r="I3518" s="99"/>
      <c r="J3518" s="99"/>
      <c r="K3518" s="99"/>
      <c r="L3518" s="99"/>
      <c r="M3518" s="99"/>
      <c r="N3518" s="99"/>
      <c r="O3518" s="99"/>
      <c r="P3518" s="99"/>
      <c r="Q3518" s="99"/>
      <c r="R3518" s="99"/>
      <c r="S3518" s="99"/>
      <c r="T3518" s="99"/>
      <c r="U3518" s="99"/>
      <c r="V3518" s="99"/>
    </row>
    <row r="3519" spans="1:22">
      <c r="A3519" s="297"/>
      <c r="B3519" s="217"/>
      <c r="C3519" s="217"/>
      <c r="D3519" s="101"/>
      <c r="E3519" s="101"/>
      <c r="F3519" s="294"/>
      <c r="G3519" s="295"/>
      <c r="H3519" s="98"/>
      <c r="I3519" s="99"/>
      <c r="J3519" s="99"/>
      <c r="K3519" s="99"/>
      <c r="L3519" s="99"/>
      <c r="M3519" s="99"/>
      <c r="N3519" s="99"/>
      <c r="O3519" s="99"/>
      <c r="P3519" s="99"/>
      <c r="Q3519" s="99"/>
      <c r="R3519" s="99"/>
      <c r="S3519" s="99"/>
      <c r="T3519" s="99"/>
      <c r="U3519" s="99"/>
      <c r="V3519" s="99"/>
    </row>
    <row r="3520" spans="1:22">
      <c r="A3520" s="297"/>
      <c r="B3520" s="217"/>
      <c r="C3520" s="217"/>
      <c r="D3520" s="101"/>
      <c r="E3520" s="101"/>
      <c r="F3520" s="294"/>
      <c r="G3520" s="295"/>
      <c r="H3520" s="107"/>
      <c r="I3520" s="108"/>
      <c r="J3520" s="108"/>
      <c r="K3520" s="108"/>
      <c r="L3520" s="108"/>
      <c r="M3520" s="108"/>
      <c r="N3520" s="109"/>
      <c r="O3520" s="109"/>
      <c r="P3520" s="109"/>
      <c r="Q3520" s="109"/>
      <c r="R3520" s="109"/>
      <c r="S3520" s="109"/>
      <c r="T3520" s="109"/>
      <c r="U3520" s="202"/>
      <c r="V3520" s="202"/>
    </row>
    <row r="3521" spans="1:22">
      <c r="A3521" s="297"/>
      <c r="B3521" s="217"/>
      <c r="C3521" s="217"/>
      <c r="D3521" s="101"/>
      <c r="E3521" s="101"/>
      <c r="F3521" s="294"/>
      <c r="G3521" s="295"/>
      <c r="H3521" s="98"/>
      <c r="I3521" s="106"/>
      <c r="J3521" s="106"/>
      <c r="K3521" s="106"/>
      <c r="L3521" s="106"/>
      <c r="M3521" s="106"/>
      <c r="N3521" s="112"/>
      <c r="O3521" s="112"/>
      <c r="P3521" s="112"/>
      <c r="Q3521" s="113"/>
      <c r="R3521" s="113"/>
      <c r="S3521" s="113"/>
      <c r="T3521" s="113"/>
      <c r="U3521" s="113"/>
      <c r="V3521" s="113"/>
    </row>
    <row r="3522" spans="1:22">
      <c r="A3522" s="297"/>
      <c r="B3522" s="217"/>
      <c r="C3522" s="217"/>
      <c r="D3522" s="101"/>
      <c r="E3522" s="101"/>
      <c r="F3522" s="294"/>
      <c r="G3522" s="295"/>
      <c r="H3522" s="98"/>
      <c r="I3522" s="99"/>
      <c r="J3522" s="99"/>
      <c r="K3522" s="99"/>
      <c r="L3522" s="99"/>
      <c r="M3522" s="99"/>
      <c r="N3522" s="99"/>
      <c r="O3522" s="99"/>
      <c r="P3522" s="99"/>
      <c r="Q3522" s="99"/>
      <c r="R3522" s="99"/>
      <c r="S3522" s="99"/>
      <c r="T3522" s="99"/>
      <c r="U3522" s="99"/>
      <c r="V3522" s="99"/>
    </row>
    <row r="3523" spans="1:22">
      <c r="A3523" s="297"/>
      <c r="B3523" s="217"/>
      <c r="C3523" s="217"/>
      <c r="D3523" s="101"/>
      <c r="E3523" s="101"/>
      <c r="F3523" s="294"/>
      <c r="G3523" s="295"/>
      <c r="H3523" s="98"/>
      <c r="I3523" s="99"/>
      <c r="J3523" s="99"/>
      <c r="K3523" s="99"/>
      <c r="L3523" s="99"/>
      <c r="M3523" s="99"/>
      <c r="N3523" s="99"/>
      <c r="O3523" s="99"/>
      <c r="P3523" s="99"/>
      <c r="Q3523" s="99"/>
      <c r="R3523" s="99"/>
      <c r="S3523" s="99"/>
      <c r="T3523" s="99"/>
      <c r="U3523" s="99"/>
      <c r="V3523" s="99"/>
    </row>
    <row r="3524" spans="1:22">
      <c r="A3524" s="297"/>
      <c r="B3524" s="217"/>
      <c r="C3524" s="217"/>
      <c r="D3524" s="101"/>
      <c r="E3524" s="101"/>
      <c r="F3524" s="294"/>
      <c r="G3524" s="295"/>
      <c r="H3524" s="98"/>
      <c r="I3524" s="99"/>
      <c r="J3524" s="99"/>
      <c r="K3524" s="99"/>
      <c r="L3524" s="99"/>
      <c r="M3524" s="99"/>
      <c r="N3524" s="99"/>
      <c r="O3524" s="99"/>
      <c r="P3524" s="99"/>
      <c r="Q3524" s="99"/>
      <c r="R3524" s="99"/>
      <c r="S3524" s="99"/>
      <c r="T3524" s="99"/>
      <c r="U3524" s="99"/>
      <c r="V3524" s="99"/>
    </row>
    <row r="3525" spans="1:22">
      <c r="A3525" s="297"/>
      <c r="B3525" s="217"/>
      <c r="C3525" s="217"/>
      <c r="D3525" s="101"/>
      <c r="E3525" s="101"/>
      <c r="F3525" s="294"/>
      <c r="G3525" s="295"/>
      <c r="H3525" s="98"/>
      <c r="I3525" s="99"/>
      <c r="J3525" s="99"/>
      <c r="K3525" s="99"/>
      <c r="L3525" s="99"/>
      <c r="M3525" s="99"/>
      <c r="N3525" s="99"/>
      <c r="O3525" s="99"/>
      <c r="P3525" s="99"/>
      <c r="Q3525" s="99"/>
      <c r="R3525" s="99"/>
      <c r="S3525" s="99"/>
      <c r="T3525" s="99"/>
      <c r="U3525" s="99"/>
      <c r="V3525" s="99"/>
    </row>
    <row r="3526" spans="1:22" ht="24" customHeight="1">
      <c r="A3526" s="297"/>
      <c r="B3526" s="217"/>
      <c r="C3526" s="217"/>
      <c r="D3526" s="101"/>
      <c r="E3526" s="101"/>
      <c r="F3526" s="294"/>
      <c r="G3526" s="295"/>
      <c r="H3526" s="98"/>
      <c r="I3526" s="99"/>
      <c r="J3526" s="99"/>
      <c r="K3526" s="99"/>
      <c r="L3526" s="99"/>
      <c r="M3526" s="99"/>
      <c r="N3526" s="99"/>
      <c r="O3526" s="99"/>
      <c r="P3526" s="99"/>
      <c r="Q3526" s="99"/>
      <c r="R3526" s="99"/>
      <c r="S3526" s="99"/>
      <c r="T3526" s="99"/>
      <c r="U3526" s="99"/>
      <c r="V3526" s="99"/>
    </row>
    <row r="3527" spans="1:22">
      <c r="A3527" s="297"/>
      <c r="B3527" s="217"/>
      <c r="C3527" s="217"/>
      <c r="D3527" s="101"/>
      <c r="E3527" s="101"/>
      <c r="F3527" s="294"/>
      <c r="G3527" s="295"/>
      <c r="H3527" s="98"/>
      <c r="I3527" s="99"/>
      <c r="J3527" s="99"/>
      <c r="K3527" s="99"/>
      <c r="L3527" s="99"/>
      <c r="M3527" s="99"/>
      <c r="N3527" s="99"/>
      <c r="O3527" s="99"/>
      <c r="P3527" s="99"/>
      <c r="Q3527" s="99"/>
      <c r="R3527" s="99"/>
      <c r="S3527" s="99"/>
      <c r="T3527" s="99"/>
      <c r="U3527" s="99"/>
      <c r="V3527" s="99"/>
    </row>
    <row r="3528" spans="1:22">
      <c r="A3528" s="297"/>
      <c r="B3528" s="217"/>
      <c r="C3528" s="217"/>
      <c r="D3528" s="101"/>
      <c r="E3528" s="101"/>
      <c r="F3528" s="294"/>
      <c r="G3528" s="295"/>
      <c r="H3528" s="98"/>
      <c r="I3528" s="99"/>
      <c r="J3528" s="99"/>
      <c r="K3528" s="99"/>
      <c r="L3528" s="99"/>
      <c r="M3528" s="99"/>
      <c r="N3528" s="99"/>
      <c r="O3528" s="99"/>
      <c r="P3528" s="99"/>
      <c r="Q3528" s="99"/>
      <c r="R3528" s="99"/>
      <c r="S3528" s="99"/>
      <c r="T3528" s="99"/>
      <c r="U3528" s="99"/>
      <c r="V3528" s="99"/>
    </row>
    <row r="3529" spans="1:22">
      <c r="A3529" s="297"/>
      <c r="B3529" s="217"/>
      <c r="C3529" s="217"/>
      <c r="D3529" s="101"/>
      <c r="E3529" s="101"/>
      <c r="F3529" s="294"/>
      <c r="G3529" s="295"/>
      <c r="H3529" s="98"/>
      <c r="I3529" s="99"/>
      <c r="J3529" s="99"/>
      <c r="K3529" s="99"/>
      <c r="L3529" s="99"/>
      <c r="M3529" s="99"/>
      <c r="N3529" s="99"/>
      <c r="O3529" s="99"/>
      <c r="P3529" s="99"/>
      <c r="Q3529" s="99"/>
      <c r="R3529" s="99"/>
      <c r="S3529" s="99"/>
      <c r="T3529" s="99"/>
      <c r="U3529" s="99"/>
      <c r="V3529" s="99"/>
    </row>
    <row r="3530" spans="1:22">
      <c r="A3530" s="297"/>
      <c r="B3530" s="217"/>
      <c r="C3530" s="217"/>
      <c r="D3530" s="101"/>
      <c r="E3530" s="101"/>
      <c r="F3530" s="294"/>
      <c r="G3530" s="295"/>
      <c r="H3530" s="98"/>
      <c r="I3530" s="99"/>
      <c r="J3530" s="99"/>
      <c r="K3530" s="99"/>
      <c r="L3530" s="99"/>
      <c r="M3530" s="99"/>
      <c r="N3530" s="99"/>
      <c r="O3530" s="99"/>
      <c r="P3530" s="99"/>
      <c r="Q3530" s="99"/>
      <c r="R3530" s="99"/>
      <c r="S3530" s="99"/>
      <c r="T3530" s="99"/>
      <c r="U3530" s="99"/>
      <c r="V3530" s="99"/>
    </row>
    <row r="3531" spans="1:22">
      <c r="A3531" s="297"/>
      <c r="B3531" s="217"/>
      <c r="C3531" s="217"/>
      <c r="D3531" s="101"/>
      <c r="E3531" s="101"/>
      <c r="F3531" s="294"/>
      <c r="G3531" s="295"/>
      <c r="H3531" s="98"/>
      <c r="I3531" s="99"/>
      <c r="J3531" s="99"/>
      <c r="K3531" s="99"/>
      <c r="L3531" s="99"/>
      <c r="M3531" s="99"/>
      <c r="N3531" s="99"/>
      <c r="O3531" s="99"/>
      <c r="P3531" s="99"/>
      <c r="Q3531" s="99"/>
      <c r="R3531" s="99"/>
      <c r="S3531" s="99"/>
      <c r="T3531" s="99"/>
      <c r="U3531" s="99"/>
      <c r="V3531" s="99"/>
    </row>
    <row r="3532" spans="1:22">
      <c r="A3532" s="297"/>
      <c r="B3532" s="217"/>
      <c r="C3532" s="217"/>
      <c r="D3532" s="101"/>
      <c r="E3532" s="101"/>
      <c r="F3532" s="294"/>
      <c r="G3532" s="295"/>
      <c r="H3532" s="98"/>
      <c r="I3532" s="99"/>
      <c r="J3532" s="99"/>
      <c r="K3532" s="99"/>
      <c r="L3532" s="99"/>
      <c r="M3532" s="99"/>
      <c r="N3532" s="99"/>
      <c r="O3532" s="99"/>
      <c r="P3532" s="99"/>
      <c r="Q3532" s="99"/>
      <c r="R3532" s="99"/>
      <c r="S3532" s="99"/>
      <c r="T3532" s="99"/>
      <c r="U3532" s="99"/>
      <c r="V3532" s="99"/>
    </row>
    <row r="3533" spans="1:22">
      <c r="A3533" s="297"/>
      <c r="B3533" s="217"/>
      <c r="C3533" s="217"/>
      <c r="D3533" s="101"/>
      <c r="E3533" s="101"/>
      <c r="F3533" s="294"/>
      <c r="G3533" s="295"/>
      <c r="H3533" s="98"/>
      <c r="I3533" s="99"/>
      <c r="J3533" s="99"/>
      <c r="K3533" s="99"/>
      <c r="L3533" s="99"/>
      <c r="M3533" s="99"/>
      <c r="N3533" s="99"/>
      <c r="O3533" s="99"/>
      <c r="P3533" s="99"/>
      <c r="Q3533" s="99"/>
      <c r="R3533" s="99"/>
      <c r="S3533" s="99"/>
      <c r="T3533" s="99"/>
      <c r="U3533" s="99"/>
      <c r="V3533" s="99"/>
    </row>
    <row r="3534" spans="1:22">
      <c r="A3534" s="297"/>
      <c r="B3534" s="217"/>
      <c r="C3534" s="217"/>
      <c r="D3534" s="101"/>
      <c r="E3534" s="101"/>
      <c r="F3534" s="294"/>
      <c r="G3534" s="295"/>
      <c r="H3534" s="98"/>
      <c r="I3534" s="99"/>
      <c r="J3534" s="99"/>
      <c r="K3534" s="99"/>
      <c r="L3534" s="99"/>
      <c r="M3534" s="99"/>
      <c r="N3534" s="99"/>
      <c r="O3534" s="99"/>
      <c r="P3534" s="99"/>
      <c r="Q3534" s="99"/>
      <c r="R3534" s="99"/>
      <c r="S3534" s="99"/>
      <c r="T3534" s="99"/>
      <c r="U3534" s="99"/>
      <c r="V3534" s="99"/>
    </row>
    <row r="3535" spans="1:22">
      <c r="A3535" s="297"/>
      <c r="B3535" s="217"/>
      <c r="C3535" s="217"/>
      <c r="D3535" s="101"/>
      <c r="E3535" s="101"/>
      <c r="F3535" s="294"/>
      <c r="G3535" s="295"/>
      <c r="H3535" s="98"/>
      <c r="I3535" s="99"/>
      <c r="J3535" s="99"/>
      <c r="K3535" s="99"/>
      <c r="L3535" s="99"/>
      <c r="M3535" s="99"/>
      <c r="N3535" s="99"/>
      <c r="O3535" s="99"/>
      <c r="P3535" s="99"/>
      <c r="Q3535" s="99"/>
      <c r="R3535" s="99"/>
      <c r="S3535" s="99"/>
      <c r="T3535" s="99"/>
      <c r="U3535" s="99"/>
      <c r="V3535" s="99"/>
    </row>
    <row r="3536" spans="1:22">
      <c r="A3536" s="297"/>
      <c r="B3536" s="217"/>
      <c r="C3536" s="217"/>
      <c r="D3536" s="101"/>
      <c r="E3536" s="101"/>
      <c r="F3536" s="294"/>
      <c r="G3536" s="295"/>
      <c r="H3536" s="98"/>
      <c r="I3536" s="99"/>
      <c r="J3536" s="99"/>
      <c r="K3536" s="99"/>
      <c r="L3536" s="99"/>
      <c r="M3536" s="99"/>
      <c r="N3536" s="99"/>
      <c r="O3536" s="99"/>
      <c r="P3536" s="99"/>
      <c r="Q3536" s="99"/>
      <c r="R3536" s="99"/>
      <c r="S3536" s="99"/>
      <c r="T3536" s="99"/>
      <c r="U3536" s="99"/>
      <c r="V3536" s="99"/>
    </row>
    <row r="3537" spans="1:22">
      <c r="A3537" s="297"/>
      <c r="B3537" s="217"/>
      <c r="C3537" s="217"/>
      <c r="D3537" s="101"/>
      <c r="E3537" s="101"/>
      <c r="F3537" s="294"/>
      <c r="G3537" s="295"/>
      <c r="H3537" s="107"/>
      <c r="I3537" s="108"/>
      <c r="J3537" s="108"/>
      <c r="K3537" s="108"/>
      <c r="L3537" s="108"/>
      <c r="M3537" s="108"/>
      <c r="N3537" s="108"/>
      <c r="O3537" s="108"/>
      <c r="P3537" s="108"/>
      <c r="Q3537" s="108"/>
      <c r="R3537" s="108"/>
      <c r="S3537" s="108"/>
      <c r="T3537" s="108"/>
      <c r="U3537" s="233"/>
      <c r="V3537" s="233"/>
    </row>
    <row r="3538" spans="1:22">
      <c r="A3538" s="297"/>
      <c r="B3538" s="217"/>
      <c r="C3538" s="217"/>
      <c r="D3538" s="101"/>
      <c r="E3538" s="101"/>
      <c r="F3538" s="294"/>
      <c r="G3538" s="295"/>
      <c r="H3538" s="98"/>
      <c r="I3538" s="106"/>
      <c r="J3538" s="106"/>
      <c r="K3538" s="106"/>
      <c r="L3538" s="106"/>
      <c r="M3538" s="106"/>
      <c r="N3538" s="112"/>
      <c r="O3538" s="112"/>
      <c r="P3538" s="112"/>
      <c r="Q3538" s="113"/>
      <c r="R3538" s="113"/>
      <c r="S3538" s="113"/>
      <c r="T3538" s="113"/>
      <c r="U3538" s="113"/>
      <c r="V3538" s="113"/>
    </row>
    <row r="3539" spans="1:22">
      <c r="A3539" s="297"/>
      <c r="B3539" s="217"/>
      <c r="C3539" s="217"/>
      <c r="D3539" s="101"/>
      <c r="E3539" s="101"/>
      <c r="F3539" s="294"/>
      <c r="G3539" s="295"/>
      <c r="H3539" s="98"/>
      <c r="I3539" s="99"/>
      <c r="J3539" s="99"/>
      <c r="K3539" s="99"/>
      <c r="L3539" s="99"/>
      <c r="M3539" s="99"/>
      <c r="N3539" s="99"/>
      <c r="O3539" s="99"/>
      <c r="P3539" s="99"/>
      <c r="Q3539" s="99"/>
      <c r="R3539" s="99"/>
      <c r="S3539" s="99"/>
      <c r="T3539" s="99"/>
      <c r="U3539" s="99"/>
      <c r="V3539" s="99"/>
    </row>
    <row r="3540" spans="1:22">
      <c r="A3540" s="297"/>
      <c r="B3540" s="217"/>
      <c r="C3540" s="217"/>
      <c r="D3540" s="101"/>
      <c r="E3540" s="101"/>
      <c r="F3540" s="294"/>
      <c r="G3540" s="295"/>
      <c r="H3540" s="98"/>
      <c r="I3540" s="99"/>
      <c r="J3540" s="99"/>
      <c r="K3540" s="99"/>
      <c r="L3540" s="99"/>
      <c r="M3540" s="99"/>
      <c r="N3540" s="99"/>
      <c r="O3540" s="99"/>
      <c r="P3540" s="99"/>
      <c r="Q3540" s="99"/>
      <c r="R3540" s="99"/>
      <c r="S3540" s="99"/>
      <c r="T3540" s="99"/>
      <c r="U3540" s="99"/>
      <c r="V3540" s="99"/>
    </row>
    <row r="3541" spans="1:22">
      <c r="A3541" s="297"/>
      <c r="B3541" s="217"/>
      <c r="C3541" s="217"/>
      <c r="D3541" s="101"/>
      <c r="E3541" s="101"/>
      <c r="F3541" s="294"/>
      <c r="G3541" s="295"/>
      <c r="H3541" s="98"/>
      <c r="I3541" s="99"/>
      <c r="J3541" s="99"/>
      <c r="K3541" s="99"/>
      <c r="L3541" s="99"/>
      <c r="M3541" s="99"/>
      <c r="N3541" s="99"/>
      <c r="O3541" s="99"/>
      <c r="P3541" s="99"/>
      <c r="Q3541" s="99"/>
      <c r="R3541" s="99"/>
      <c r="S3541" s="99"/>
      <c r="T3541" s="99"/>
      <c r="U3541" s="99"/>
      <c r="V3541" s="99"/>
    </row>
    <row r="3542" spans="1:22">
      <c r="A3542" s="297"/>
      <c r="B3542" s="217"/>
      <c r="C3542" s="217"/>
      <c r="D3542" s="101"/>
      <c r="E3542" s="101"/>
      <c r="F3542" s="294"/>
      <c r="G3542" s="295"/>
      <c r="H3542" s="98"/>
      <c r="I3542" s="99"/>
      <c r="J3542" s="99"/>
      <c r="K3542" s="99"/>
      <c r="L3542" s="99"/>
      <c r="M3542" s="99"/>
      <c r="N3542" s="99"/>
      <c r="O3542" s="99"/>
      <c r="P3542" s="99"/>
      <c r="Q3542" s="99"/>
      <c r="R3542" s="99"/>
      <c r="S3542" s="99"/>
      <c r="T3542" s="99"/>
      <c r="U3542" s="99"/>
      <c r="V3542" s="99"/>
    </row>
    <row r="3543" spans="1:22">
      <c r="A3543" s="297"/>
      <c r="B3543" s="217"/>
      <c r="C3543" s="217"/>
      <c r="D3543" s="101"/>
      <c r="E3543" s="101"/>
      <c r="F3543" s="294"/>
      <c r="G3543" s="295"/>
      <c r="H3543" s="98"/>
      <c r="I3543" s="99"/>
      <c r="J3543" s="99"/>
      <c r="K3543" s="99"/>
      <c r="L3543" s="99"/>
      <c r="M3543" s="99"/>
      <c r="N3543" s="99"/>
      <c r="O3543" s="99"/>
      <c r="P3543" s="99"/>
      <c r="Q3543" s="99"/>
      <c r="R3543" s="99"/>
      <c r="S3543" s="99"/>
      <c r="T3543" s="99"/>
      <c r="U3543" s="99"/>
      <c r="V3543" s="99"/>
    </row>
    <row r="3544" spans="1:22">
      <c r="A3544" s="297"/>
      <c r="B3544" s="217"/>
      <c r="C3544" s="217"/>
      <c r="D3544" s="101"/>
      <c r="E3544" s="101"/>
      <c r="F3544" s="294"/>
      <c r="G3544" s="295"/>
      <c r="H3544" s="98"/>
      <c r="I3544" s="99"/>
      <c r="J3544" s="99"/>
      <c r="K3544" s="99"/>
      <c r="L3544" s="99"/>
      <c r="M3544" s="99"/>
      <c r="N3544" s="99"/>
      <c r="O3544" s="99"/>
      <c r="P3544" s="99"/>
      <c r="Q3544" s="99"/>
      <c r="R3544" s="99"/>
      <c r="S3544" s="99"/>
      <c r="T3544" s="99"/>
      <c r="U3544" s="99"/>
      <c r="V3544" s="99"/>
    </row>
    <row r="3545" spans="1:22">
      <c r="A3545" s="297"/>
      <c r="B3545" s="217"/>
      <c r="C3545" s="217"/>
      <c r="D3545" s="101"/>
      <c r="E3545" s="101"/>
      <c r="F3545" s="294"/>
      <c r="G3545" s="295"/>
      <c r="H3545" s="98"/>
      <c r="I3545" s="99"/>
      <c r="J3545" s="99"/>
      <c r="K3545" s="99"/>
      <c r="L3545" s="99"/>
      <c r="M3545" s="99"/>
      <c r="N3545" s="99"/>
      <c r="O3545" s="99"/>
      <c r="P3545" s="99"/>
      <c r="Q3545" s="99"/>
      <c r="R3545" s="99"/>
      <c r="S3545" s="99"/>
      <c r="T3545" s="99"/>
      <c r="U3545" s="99"/>
      <c r="V3545" s="99"/>
    </row>
    <row r="3546" spans="1:22">
      <c r="A3546" s="297"/>
      <c r="B3546" s="217"/>
      <c r="C3546" s="217"/>
      <c r="D3546" s="101"/>
      <c r="E3546" s="101"/>
      <c r="F3546" s="294"/>
      <c r="G3546" s="295"/>
      <c r="H3546" s="98"/>
      <c r="I3546" s="99"/>
      <c r="J3546" s="99"/>
      <c r="K3546" s="99"/>
      <c r="L3546" s="99"/>
      <c r="M3546" s="99"/>
      <c r="N3546" s="99"/>
      <c r="O3546" s="99"/>
      <c r="P3546" s="99"/>
      <c r="Q3546" s="99"/>
      <c r="R3546" s="99"/>
      <c r="S3546" s="99"/>
      <c r="T3546" s="99"/>
      <c r="U3546" s="99"/>
      <c r="V3546" s="99"/>
    </row>
    <row r="3547" spans="1:22">
      <c r="A3547" s="297"/>
      <c r="B3547" s="217"/>
      <c r="C3547" s="217"/>
      <c r="D3547" s="101"/>
      <c r="E3547" s="101"/>
      <c r="F3547" s="294"/>
      <c r="G3547" s="295"/>
      <c r="H3547" s="98"/>
      <c r="I3547" s="99"/>
      <c r="J3547" s="99"/>
      <c r="K3547" s="99"/>
      <c r="L3547" s="99"/>
      <c r="M3547" s="99"/>
      <c r="N3547" s="99"/>
      <c r="O3547" s="99"/>
      <c r="P3547" s="99"/>
      <c r="Q3547" s="99"/>
      <c r="R3547" s="99"/>
      <c r="S3547" s="99"/>
      <c r="T3547" s="99"/>
      <c r="U3547" s="99"/>
      <c r="V3547" s="99"/>
    </row>
    <row r="3548" spans="1:22">
      <c r="A3548" s="297"/>
      <c r="B3548" s="217"/>
      <c r="C3548" s="217"/>
      <c r="D3548" s="101"/>
      <c r="E3548" s="101"/>
      <c r="F3548" s="294"/>
      <c r="G3548" s="295"/>
      <c r="H3548" s="98"/>
      <c r="I3548" s="99"/>
      <c r="J3548" s="99"/>
      <c r="K3548" s="99"/>
      <c r="L3548" s="99"/>
      <c r="M3548" s="99"/>
      <c r="N3548" s="99"/>
      <c r="O3548" s="99"/>
      <c r="P3548" s="99"/>
      <c r="Q3548" s="99"/>
      <c r="R3548" s="99"/>
      <c r="S3548" s="99"/>
      <c r="T3548" s="99"/>
      <c r="U3548" s="99"/>
      <c r="V3548" s="99"/>
    </row>
    <row r="3549" spans="1:22">
      <c r="A3549" s="297"/>
      <c r="B3549" s="217"/>
      <c r="C3549" s="217"/>
      <c r="D3549" s="101"/>
      <c r="E3549" s="101"/>
      <c r="F3549" s="294"/>
      <c r="G3549" s="295"/>
      <c r="H3549" s="98"/>
      <c r="I3549" s="99"/>
      <c r="J3549" s="99"/>
      <c r="K3549" s="99"/>
      <c r="L3549" s="99"/>
      <c r="M3549" s="99"/>
      <c r="N3549" s="99"/>
      <c r="O3549" s="99"/>
      <c r="P3549" s="99"/>
      <c r="Q3549" s="99"/>
      <c r="R3549" s="99"/>
      <c r="S3549" s="99"/>
      <c r="T3549" s="99"/>
      <c r="U3549" s="99"/>
      <c r="V3549" s="99"/>
    </row>
    <row r="3550" spans="1:22">
      <c r="A3550" s="297"/>
      <c r="B3550" s="217"/>
      <c r="C3550" s="217"/>
      <c r="D3550" s="101"/>
      <c r="E3550" s="101"/>
      <c r="F3550" s="294"/>
      <c r="G3550" s="295"/>
      <c r="H3550" s="98"/>
      <c r="I3550" s="99"/>
      <c r="J3550" s="99"/>
      <c r="K3550" s="99"/>
      <c r="L3550" s="99"/>
      <c r="M3550" s="99"/>
      <c r="N3550" s="99"/>
      <c r="O3550" s="99"/>
      <c r="P3550" s="99"/>
      <c r="Q3550" s="99"/>
      <c r="R3550" s="99"/>
      <c r="S3550" s="99"/>
      <c r="T3550" s="99"/>
      <c r="U3550" s="99"/>
      <c r="V3550" s="99"/>
    </row>
    <row r="3551" spans="1:22">
      <c r="A3551" s="297"/>
      <c r="B3551" s="217"/>
      <c r="C3551" s="217"/>
      <c r="D3551" s="101"/>
      <c r="E3551" s="101"/>
      <c r="F3551" s="294"/>
      <c r="G3551" s="295"/>
      <c r="H3551" s="98"/>
      <c r="I3551" s="99"/>
      <c r="J3551" s="99"/>
      <c r="K3551" s="99"/>
      <c r="L3551" s="99"/>
      <c r="M3551" s="99"/>
      <c r="N3551" s="99"/>
      <c r="O3551" s="99"/>
      <c r="P3551" s="99"/>
      <c r="Q3551" s="99"/>
      <c r="R3551" s="99"/>
      <c r="S3551" s="99"/>
      <c r="T3551" s="99"/>
      <c r="U3551" s="99"/>
      <c r="V3551" s="99"/>
    </row>
    <row r="3552" spans="1:22">
      <c r="A3552" s="297"/>
      <c r="B3552" s="217"/>
      <c r="C3552" s="217"/>
      <c r="D3552" s="101"/>
      <c r="E3552" s="101"/>
      <c r="F3552" s="294"/>
      <c r="G3552" s="295"/>
      <c r="H3552" s="98"/>
      <c r="I3552" s="99"/>
      <c r="J3552" s="99"/>
      <c r="K3552" s="99"/>
      <c r="L3552" s="99"/>
      <c r="M3552" s="99"/>
      <c r="N3552" s="99"/>
      <c r="O3552" s="99"/>
      <c r="P3552" s="99"/>
      <c r="Q3552" s="99"/>
      <c r="R3552" s="99"/>
      <c r="S3552" s="99"/>
      <c r="T3552" s="99"/>
      <c r="U3552" s="99"/>
      <c r="V3552" s="99"/>
    </row>
    <row r="3553" spans="1:22">
      <c r="A3553" s="297"/>
      <c r="B3553" s="217"/>
      <c r="C3553" s="217"/>
      <c r="D3553" s="101"/>
      <c r="E3553" s="101"/>
      <c r="F3553" s="294"/>
      <c r="G3553" s="295"/>
      <c r="H3553" s="98"/>
      <c r="I3553" s="99"/>
      <c r="J3553" s="99"/>
      <c r="K3553" s="99"/>
      <c r="L3553" s="99"/>
      <c r="M3553" s="99"/>
      <c r="N3553" s="99"/>
      <c r="O3553" s="99"/>
      <c r="P3553" s="99"/>
      <c r="Q3553" s="99"/>
      <c r="R3553" s="99"/>
      <c r="S3553" s="99"/>
      <c r="T3553" s="99"/>
      <c r="U3553" s="99"/>
      <c r="V3553" s="99"/>
    </row>
    <row r="3554" spans="1:22">
      <c r="A3554" s="297"/>
      <c r="B3554" s="217"/>
      <c r="C3554" s="217"/>
      <c r="D3554" s="101"/>
      <c r="E3554" s="101"/>
      <c r="F3554" s="294"/>
      <c r="G3554" s="295"/>
      <c r="H3554" s="98"/>
      <c r="I3554" s="99"/>
      <c r="J3554" s="99"/>
      <c r="K3554" s="99"/>
      <c r="L3554" s="99"/>
      <c r="M3554" s="99"/>
      <c r="N3554" s="99"/>
      <c r="O3554" s="99"/>
      <c r="P3554" s="99"/>
      <c r="Q3554" s="99"/>
      <c r="R3554" s="99"/>
      <c r="S3554" s="99"/>
      <c r="T3554" s="99"/>
      <c r="U3554" s="99"/>
      <c r="V3554" s="99"/>
    </row>
    <row r="3555" spans="1:22">
      <c r="A3555" s="297"/>
      <c r="B3555" s="217"/>
      <c r="C3555" s="217"/>
      <c r="D3555" s="101"/>
      <c r="E3555" s="101"/>
      <c r="F3555" s="294"/>
      <c r="G3555" s="295"/>
      <c r="H3555" s="98"/>
      <c r="I3555" s="99"/>
      <c r="J3555" s="99"/>
      <c r="K3555" s="99"/>
      <c r="L3555" s="99"/>
      <c r="M3555" s="99"/>
      <c r="N3555" s="99"/>
      <c r="O3555" s="99"/>
      <c r="P3555" s="99"/>
      <c r="Q3555" s="99"/>
      <c r="R3555" s="99"/>
      <c r="S3555" s="99"/>
      <c r="T3555" s="99"/>
      <c r="U3555" s="99"/>
      <c r="V3555" s="99"/>
    </row>
    <row r="3556" spans="1:22">
      <c r="A3556" s="297"/>
      <c r="B3556" s="217"/>
      <c r="C3556" s="217"/>
      <c r="D3556" s="101"/>
      <c r="E3556" s="101"/>
      <c r="F3556" s="294"/>
      <c r="G3556" s="295"/>
      <c r="H3556" s="98"/>
      <c r="I3556" s="99"/>
      <c r="J3556" s="99"/>
      <c r="K3556" s="99"/>
      <c r="L3556" s="99"/>
      <c r="M3556" s="99"/>
      <c r="N3556" s="99"/>
      <c r="O3556" s="99"/>
      <c r="P3556" s="99"/>
      <c r="Q3556" s="99"/>
      <c r="R3556" s="99"/>
      <c r="S3556" s="99"/>
      <c r="T3556" s="99"/>
      <c r="U3556" s="99"/>
      <c r="V3556" s="99"/>
    </row>
    <row r="3557" spans="1:22">
      <c r="A3557" s="297"/>
      <c r="B3557" s="217"/>
      <c r="C3557" s="217"/>
      <c r="D3557" s="101"/>
      <c r="E3557" s="101"/>
      <c r="F3557" s="294"/>
      <c r="G3557" s="295"/>
      <c r="H3557" s="98"/>
      <c r="I3557" s="99"/>
      <c r="J3557" s="99"/>
      <c r="K3557" s="99"/>
      <c r="L3557" s="99"/>
      <c r="M3557" s="99"/>
      <c r="N3557" s="99"/>
      <c r="O3557" s="99"/>
      <c r="P3557" s="99"/>
      <c r="Q3557" s="99"/>
      <c r="R3557" s="99"/>
      <c r="S3557" s="99"/>
      <c r="T3557" s="99"/>
      <c r="U3557" s="99"/>
      <c r="V3557" s="99"/>
    </row>
    <row r="3558" spans="1:22">
      <c r="A3558" s="297"/>
      <c r="B3558" s="217"/>
      <c r="C3558" s="217"/>
      <c r="D3558" s="101"/>
      <c r="E3558" s="101"/>
      <c r="F3558" s="294"/>
      <c r="G3558" s="295"/>
      <c r="H3558" s="98"/>
      <c r="I3558" s="99"/>
      <c r="J3558" s="99"/>
      <c r="K3558" s="99"/>
      <c r="L3558" s="99"/>
      <c r="M3558" s="99"/>
      <c r="N3558" s="99"/>
      <c r="O3558" s="99"/>
      <c r="P3558" s="99"/>
      <c r="Q3558" s="99"/>
      <c r="R3558" s="99"/>
      <c r="S3558" s="99"/>
      <c r="T3558" s="99"/>
      <c r="U3558" s="99"/>
      <c r="V3558" s="99"/>
    </row>
    <row r="3559" spans="1:22">
      <c r="A3559" s="297"/>
      <c r="B3559" s="217"/>
      <c r="C3559" s="217"/>
      <c r="D3559" s="101"/>
      <c r="E3559" s="101"/>
      <c r="F3559" s="294"/>
      <c r="G3559" s="295"/>
      <c r="H3559" s="98"/>
      <c r="I3559" s="99"/>
      <c r="J3559" s="99"/>
      <c r="K3559" s="99"/>
      <c r="L3559" s="99"/>
      <c r="M3559" s="99"/>
      <c r="N3559" s="99"/>
      <c r="O3559" s="99"/>
      <c r="P3559" s="99"/>
      <c r="Q3559" s="99"/>
      <c r="R3559" s="99"/>
      <c r="S3559" s="99"/>
      <c r="T3559" s="99"/>
      <c r="U3559" s="99"/>
      <c r="V3559" s="99"/>
    </row>
    <row r="3560" spans="1:22">
      <c r="A3560" s="297"/>
      <c r="B3560" s="217"/>
      <c r="C3560" s="217"/>
      <c r="D3560" s="101"/>
      <c r="E3560" s="101"/>
      <c r="F3560" s="294"/>
      <c r="G3560" s="295"/>
      <c r="H3560" s="98"/>
      <c r="I3560" s="99"/>
      <c r="J3560" s="99"/>
      <c r="K3560" s="99"/>
      <c r="L3560" s="99"/>
      <c r="M3560" s="99"/>
      <c r="N3560" s="99"/>
      <c r="O3560" s="99"/>
      <c r="P3560" s="99"/>
      <c r="Q3560" s="99"/>
      <c r="R3560" s="99"/>
      <c r="S3560" s="99"/>
      <c r="T3560" s="99"/>
      <c r="U3560" s="99"/>
      <c r="V3560" s="99"/>
    </row>
    <row r="3561" spans="1:22">
      <c r="A3561" s="297"/>
      <c r="B3561" s="217"/>
      <c r="C3561" s="217"/>
      <c r="D3561" s="101"/>
      <c r="E3561" s="101"/>
      <c r="F3561" s="294"/>
      <c r="G3561" s="295"/>
      <c r="H3561" s="98"/>
      <c r="I3561" s="99"/>
      <c r="J3561" s="99"/>
      <c r="K3561" s="99"/>
      <c r="L3561" s="99"/>
      <c r="M3561" s="99"/>
      <c r="N3561" s="99"/>
      <c r="O3561" s="99"/>
      <c r="P3561" s="99"/>
      <c r="Q3561" s="99"/>
      <c r="R3561" s="99"/>
      <c r="S3561" s="99"/>
      <c r="T3561" s="99"/>
      <c r="U3561" s="99"/>
      <c r="V3561" s="99"/>
    </row>
    <row r="3562" spans="1:22">
      <c r="A3562" s="297"/>
      <c r="B3562" s="217"/>
      <c r="C3562" s="217"/>
      <c r="D3562" s="101"/>
      <c r="E3562" s="101"/>
      <c r="F3562" s="294"/>
      <c r="G3562" s="295"/>
      <c r="H3562" s="98"/>
      <c r="I3562" s="99"/>
      <c r="J3562" s="99"/>
      <c r="K3562" s="99"/>
      <c r="L3562" s="99"/>
      <c r="M3562" s="99"/>
      <c r="N3562" s="99"/>
      <c r="O3562" s="99"/>
      <c r="P3562" s="99"/>
      <c r="Q3562" s="99"/>
      <c r="R3562" s="99"/>
      <c r="S3562" s="99"/>
      <c r="T3562" s="99"/>
      <c r="U3562" s="99"/>
      <c r="V3562" s="99"/>
    </row>
    <row r="3563" spans="1:22">
      <c r="A3563" s="297"/>
      <c r="B3563" s="217"/>
      <c r="C3563" s="217"/>
      <c r="D3563" s="101"/>
      <c r="E3563" s="101"/>
      <c r="F3563" s="294"/>
      <c r="G3563" s="295"/>
      <c r="H3563" s="98"/>
      <c r="I3563" s="99"/>
      <c r="J3563" s="99"/>
      <c r="K3563" s="99"/>
      <c r="L3563" s="99"/>
      <c r="M3563" s="99"/>
      <c r="N3563" s="99"/>
      <c r="O3563" s="99"/>
      <c r="P3563" s="99"/>
      <c r="Q3563" s="99"/>
      <c r="R3563" s="99"/>
      <c r="S3563" s="99"/>
      <c r="T3563" s="99"/>
      <c r="U3563" s="99"/>
      <c r="V3563" s="99"/>
    </row>
    <row r="3564" spans="1:22">
      <c r="A3564" s="297"/>
      <c r="B3564" s="217"/>
      <c r="C3564" s="217"/>
      <c r="D3564" s="101"/>
      <c r="E3564" s="101"/>
      <c r="F3564" s="294"/>
      <c r="G3564" s="295"/>
      <c r="H3564" s="107"/>
      <c r="I3564" s="108"/>
      <c r="J3564" s="108"/>
      <c r="K3564" s="108"/>
      <c r="L3564" s="108"/>
      <c r="M3564" s="108"/>
      <c r="N3564" s="108"/>
      <c r="O3564" s="108"/>
      <c r="P3564" s="108"/>
      <c r="Q3564" s="108"/>
      <c r="R3564" s="108"/>
      <c r="S3564" s="108"/>
      <c r="T3564" s="108"/>
      <c r="U3564" s="233"/>
      <c r="V3564" s="233"/>
    </row>
    <row r="3565" spans="1:22">
      <c r="A3565" s="297"/>
      <c r="B3565" s="217"/>
      <c r="C3565" s="217"/>
      <c r="D3565" s="101"/>
      <c r="E3565" s="101"/>
      <c r="F3565" s="294"/>
      <c r="G3565" s="295"/>
      <c r="H3565" s="98"/>
      <c r="I3565" s="106"/>
      <c r="J3565" s="106"/>
      <c r="K3565" s="106"/>
      <c r="L3565" s="106"/>
      <c r="M3565" s="106"/>
      <c r="N3565" s="112"/>
      <c r="O3565" s="112"/>
      <c r="P3565" s="112"/>
      <c r="Q3565" s="113"/>
      <c r="R3565" s="113"/>
      <c r="S3565" s="113"/>
      <c r="T3565" s="113"/>
      <c r="U3565" s="113"/>
      <c r="V3565" s="113"/>
    </row>
    <row r="3566" spans="1:22">
      <c r="A3566" s="297"/>
      <c r="B3566" s="217"/>
      <c r="C3566" s="217"/>
      <c r="D3566" s="101"/>
      <c r="E3566" s="101"/>
      <c r="F3566" s="294"/>
      <c r="G3566" s="295"/>
      <c r="H3566" s="98"/>
      <c r="I3566" s="99"/>
      <c r="J3566" s="99"/>
      <c r="K3566" s="99"/>
      <c r="L3566" s="99"/>
      <c r="M3566" s="99"/>
      <c r="N3566" s="99"/>
      <c r="O3566" s="99"/>
      <c r="P3566" s="99"/>
      <c r="Q3566" s="99"/>
      <c r="R3566" s="99"/>
      <c r="S3566" s="99"/>
      <c r="T3566" s="99"/>
      <c r="U3566" s="99"/>
      <c r="V3566" s="99"/>
    </row>
    <row r="3567" spans="1:22">
      <c r="A3567" s="297"/>
      <c r="B3567" s="217"/>
      <c r="C3567" s="217"/>
      <c r="D3567" s="101"/>
      <c r="E3567" s="101"/>
      <c r="F3567" s="294"/>
      <c r="G3567" s="295"/>
      <c r="H3567" s="98"/>
      <c r="I3567" s="99"/>
      <c r="J3567" s="99"/>
      <c r="K3567" s="99"/>
      <c r="L3567" s="99"/>
      <c r="M3567" s="99"/>
      <c r="N3567" s="99"/>
      <c r="O3567" s="99"/>
      <c r="P3567" s="99"/>
      <c r="Q3567" s="99"/>
      <c r="R3567" s="99"/>
      <c r="S3567" s="99"/>
      <c r="T3567" s="99"/>
      <c r="U3567" s="99"/>
      <c r="V3567" s="99"/>
    </row>
    <row r="3568" spans="1:22">
      <c r="A3568" s="297"/>
      <c r="B3568" s="217"/>
      <c r="C3568" s="217"/>
      <c r="D3568" s="101"/>
      <c r="E3568" s="101"/>
      <c r="F3568" s="294"/>
      <c r="G3568" s="295"/>
      <c r="H3568" s="107"/>
      <c r="I3568" s="108"/>
      <c r="J3568" s="108"/>
      <c r="K3568" s="108"/>
      <c r="L3568" s="108"/>
      <c r="M3568" s="108"/>
      <c r="N3568" s="108"/>
      <c r="O3568" s="108"/>
      <c r="P3568" s="108"/>
      <c r="Q3568" s="108"/>
      <c r="R3568" s="108"/>
      <c r="S3568" s="108"/>
      <c r="T3568" s="108"/>
      <c r="U3568" s="233"/>
      <c r="V3568" s="233"/>
    </row>
    <row r="3569" spans="1:22">
      <c r="A3569" s="297"/>
      <c r="B3569" s="217"/>
      <c r="C3569" s="217"/>
      <c r="D3569" s="101"/>
      <c r="E3569" s="101"/>
      <c r="F3569" s="294"/>
      <c r="G3569" s="295"/>
      <c r="H3569" s="98"/>
      <c r="I3569" s="106"/>
      <c r="J3569" s="106"/>
      <c r="K3569" s="106"/>
      <c r="L3569" s="106"/>
      <c r="M3569" s="106"/>
      <c r="N3569" s="112"/>
      <c r="O3569" s="112"/>
      <c r="P3569" s="112"/>
      <c r="Q3569" s="113"/>
      <c r="R3569" s="113"/>
      <c r="S3569" s="113"/>
      <c r="T3569" s="113"/>
      <c r="U3569" s="113"/>
      <c r="V3569" s="113"/>
    </row>
    <row r="3570" spans="1:22">
      <c r="A3570" s="297"/>
      <c r="B3570" s="217"/>
      <c r="C3570" s="217"/>
      <c r="D3570" s="101"/>
      <c r="E3570" s="101"/>
      <c r="F3570" s="294"/>
      <c r="G3570" s="295"/>
      <c r="H3570" s="114"/>
      <c r="I3570" s="108"/>
      <c r="J3570" s="108"/>
      <c r="K3570" s="108"/>
      <c r="L3570" s="108"/>
      <c r="M3570" s="108"/>
      <c r="N3570" s="108"/>
      <c r="O3570" s="108"/>
      <c r="P3570" s="108"/>
      <c r="Q3570" s="108"/>
      <c r="R3570" s="108"/>
      <c r="S3570" s="108"/>
      <c r="T3570" s="108"/>
      <c r="U3570" s="233"/>
      <c r="V3570" s="233"/>
    </row>
    <row r="3571" spans="1:22" ht="14.4" thickBot="1">
      <c r="A3571" s="297"/>
      <c r="B3571" s="217"/>
      <c r="C3571" s="217"/>
      <c r="D3571" s="101"/>
      <c r="E3571" s="101"/>
      <c r="F3571" s="294"/>
      <c r="G3571" s="295"/>
      <c r="H3571" s="98"/>
      <c r="I3571" s="106"/>
      <c r="J3571" s="106"/>
      <c r="K3571" s="106"/>
      <c r="L3571" s="106"/>
      <c r="M3571" s="106"/>
      <c r="N3571" s="112"/>
      <c r="O3571" s="112"/>
      <c r="P3571" s="112"/>
      <c r="Q3571" s="113"/>
      <c r="R3571" s="113"/>
      <c r="S3571" s="113"/>
      <c r="T3571" s="113"/>
      <c r="U3571" s="113"/>
      <c r="V3571" s="113"/>
    </row>
    <row r="3572" spans="1:22" ht="23.4" thickBot="1">
      <c r="A3572" s="297"/>
      <c r="B3572" s="217"/>
      <c r="C3572" s="217"/>
      <c r="D3572" s="101"/>
      <c r="E3572" s="101"/>
      <c r="F3572" s="294"/>
      <c r="G3572" s="295"/>
      <c r="H3572" s="686"/>
      <c r="I3572" s="687"/>
      <c r="J3572" s="687"/>
      <c r="K3572" s="687"/>
      <c r="L3572" s="687"/>
      <c r="M3572" s="687"/>
      <c r="N3572" s="687"/>
      <c r="O3572" s="687"/>
      <c r="P3572" s="687"/>
      <c r="Q3572" s="687"/>
      <c r="R3572" s="687"/>
      <c r="S3572" s="715"/>
      <c r="T3572" s="688"/>
      <c r="U3572" s="254"/>
      <c r="V3572" s="254"/>
    </row>
    <row r="3573" spans="1:22" ht="22.8">
      <c r="A3573" s="297"/>
      <c r="B3573" s="217"/>
      <c r="C3573" s="217"/>
      <c r="D3573" s="101"/>
      <c r="E3573" s="101"/>
      <c r="F3573" s="294"/>
      <c r="G3573" s="295"/>
      <c r="H3573" s="225"/>
      <c r="I3573" s="225"/>
      <c r="J3573" s="225"/>
      <c r="K3573" s="225"/>
      <c r="L3573" s="225"/>
      <c r="M3573" s="225"/>
      <c r="N3573" s="225"/>
      <c r="O3573" s="225"/>
      <c r="P3573" s="225"/>
      <c r="Q3573" s="225"/>
      <c r="R3573" s="225"/>
      <c r="S3573" s="225"/>
      <c r="T3573" s="225"/>
      <c r="U3573" s="225"/>
      <c r="V3573" s="225"/>
    </row>
    <row r="3574" spans="1:22">
      <c r="A3574" s="297"/>
      <c r="B3574" s="217"/>
      <c r="C3574" s="217"/>
      <c r="D3574" s="101"/>
      <c r="E3574" s="101"/>
      <c r="F3574" s="294"/>
      <c r="G3574" s="295"/>
      <c r="H3574" s="98"/>
      <c r="I3574" s="99"/>
      <c r="J3574" s="99"/>
      <c r="K3574" s="99"/>
      <c r="L3574" s="99"/>
      <c r="M3574" s="99"/>
      <c r="N3574" s="99"/>
      <c r="O3574" s="99"/>
      <c r="P3574" s="99"/>
      <c r="Q3574" s="99"/>
      <c r="R3574" s="99"/>
      <c r="S3574" s="99"/>
      <c r="T3574" s="99"/>
      <c r="U3574" s="99"/>
      <c r="V3574" s="99"/>
    </row>
    <row r="3575" spans="1:22">
      <c r="A3575" s="297"/>
      <c r="B3575" s="217"/>
      <c r="C3575" s="217"/>
      <c r="D3575" s="101"/>
      <c r="E3575" s="101"/>
      <c r="F3575" s="294"/>
      <c r="G3575" s="295"/>
      <c r="H3575" s="98"/>
      <c r="I3575" s="99"/>
      <c r="J3575" s="99"/>
      <c r="K3575" s="99"/>
      <c r="L3575" s="99"/>
      <c r="M3575" s="99"/>
      <c r="N3575" s="99"/>
      <c r="O3575" s="99"/>
      <c r="P3575" s="99"/>
      <c r="Q3575" s="99"/>
      <c r="R3575" s="99"/>
      <c r="S3575" s="99"/>
      <c r="T3575" s="99"/>
      <c r="U3575" s="99"/>
      <c r="V3575" s="99"/>
    </row>
    <row r="3576" spans="1:22">
      <c r="A3576" s="297"/>
      <c r="B3576" s="217"/>
      <c r="C3576" s="217"/>
      <c r="D3576" s="101"/>
      <c r="E3576" s="101"/>
      <c r="F3576" s="294"/>
      <c r="G3576" s="295"/>
      <c r="H3576" s="98"/>
      <c r="I3576" s="99"/>
      <c r="J3576" s="99"/>
      <c r="K3576" s="99"/>
      <c r="L3576" s="99"/>
      <c r="M3576" s="99"/>
      <c r="N3576" s="99"/>
      <c r="O3576" s="99"/>
      <c r="P3576" s="99"/>
      <c r="Q3576" s="99"/>
      <c r="R3576" s="99"/>
      <c r="S3576" s="99"/>
      <c r="T3576" s="99"/>
      <c r="U3576" s="99"/>
      <c r="V3576" s="99"/>
    </row>
    <row r="3577" spans="1:22">
      <c r="A3577" s="297"/>
      <c r="B3577" s="217"/>
      <c r="C3577" s="217"/>
      <c r="D3577" s="101"/>
      <c r="E3577" s="101"/>
      <c r="F3577" s="294"/>
      <c r="G3577" s="295"/>
      <c r="H3577" s="98"/>
      <c r="I3577" s="99"/>
      <c r="J3577" s="99"/>
      <c r="K3577" s="99"/>
      <c r="L3577" s="99"/>
      <c r="M3577" s="99"/>
      <c r="N3577" s="99"/>
      <c r="O3577" s="99"/>
      <c r="P3577" s="99"/>
      <c r="Q3577" s="99"/>
      <c r="R3577" s="99"/>
      <c r="S3577" s="99"/>
      <c r="T3577" s="99"/>
      <c r="U3577" s="99"/>
      <c r="V3577" s="99"/>
    </row>
    <row r="3578" spans="1:22">
      <c r="A3578" s="297"/>
      <c r="B3578" s="217"/>
      <c r="C3578" s="217"/>
      <c r="D3578" s="101"/>
      <c r="E3578" s="101"/>
      <c r="F3578" s="294"/>
      <c r="G3578" s="295"/>
      <c r="H3578" s="98"/>
      <c r="I3578" s="99"/>
      <c r="J3578" s="99"/>
      <c r="K3578" s="99"/>
      <c r="L3578" s="99"/>
      <c r="M3578" s="99"/>
      <c r="N3578" s="99"/>
      <c r="O3578" s="99"/>
      <c r="P3578" s="99"/>
      <c r="Q3578" s="99"/>
      <c r="R3578" s="99"/>
      <c r="S3578" s="99"/>
      <c r="T3578" s="99"/>
      <c r="U3578" s="99"/>
      <c r="V3578" s="99"/>
    </row>
    <row r="3579" spans="1:22">
      <c r="A3579" s="297"/>
      <c r="B3579" s="217"/>
      <c r="C3579" s="217"/>
      <c r="D3579" s="101"/>
      <c r="E3579" s="101"/>
      <c r="F3579" s="294"/>
      <c r="G3579" s="295"/>
      <c r="H3579" s="98"/>
      <c r="I3579" s="99"/>
      <c r="J3579" s="99"/>
      <c r="K3579" s="99"/>
      <c r="L3579" s="99"/>
      <c r="M3579" s="99"/>
      <c r="N3579" s="99"/>
      <c r="O3579" s="99"/>
      <c r="P3579" s="99"/>
      <c r="Q3579" s="99"/>
      <c r="R3579" s="99"/>
      <c r="S3579" s="99"/>
      <c r="T3579" s="99"/>
      <c r="U3579" s="99"/>
      <c r="V3579" s="99"/>
    </row>
    <row r="3580" spans="1:22">
      <c r="A3580" s="297"/>
      <c r="B3580" s="217"/>
      <c r="C3580" s="217"/>
      <c r="D3580" s="101"/>
      <c r="E3580" s="101"/>
      <c r="F3580" s="294"/>
      <c r="G3580" s="295"/>
      <c r="H3580" s="98"/>
      <c r="I3580" s="99"/>
      <c r="J3580" s="99"/>
      <c r="K3580" s="99"/>
      <c r="L3580" s="99"/>
      <c r="M3580" s="99"/>
      <c r="N3580" s="99"/>
      <c r="O3580" s="99"/>
      <c r="P3580" s="99"/>
      <c r="Q3580" s="99"/>
      <c r="R3580" s="99"/>
      <c r="S3580" s="99"/>
      <c r="T3580" s="99"/>
      <c r="U3580" s="99"/>
      <c r="V3580" s="99"/>
    </row>
    <row r="3581" spans="1:22">
      <c r="A3581" s="297"/>
      <c r="B3581" s="217"/>
      <c r="C3581" s="217"/>
      <c r="D3581" s="101"/>
      <c r="E3581" s="101"/>
      <c r="F3581" s="294"/>
      <c r="G3581" s="295"/>
      <c r="H3581" s="107"/>
      <c r="I3581" s="108"/>
      <c r="J3581" s="108"/>
      <c r="K3581" s="108"/>
      <c r="L3581" s="108"/>
      <c r="M3581" s="108"/>
      <c r="N3581" s="109"/>
      <c r="O3581" s="109"/>
      <c r="P3581" s="109"/>
      <c r="Q3581" s="109"/>
      <c r="R3581" s="109"/>
      <c r="S3581" s="109"/>
      <c r="T3581" s="109"/>
      <c r="U3581" s="202"/>
      <c r="V3581" s="202"/>
    </row>
    <row r="3582" spans="1:22">
      <c r="A3582" s="297"/>
      <c r="B3582" s="217"/>
      <c r="C3582" s="217"/>
      <c r="D3582" s="101"/>
      <c r="E3582" s="101"/>
      <c r="F3582" s="294"/>
      <c r="G3582" s="295"/>
      <c r="H3582" s="98"/>
      <c r="I3582" s="106"/>
      <c r="J3582" s="106"/>
      <c r="K3582" s="106"/>
      <c r="L3582" s="106"/>
      <c r="M3582" s="106"/>
      <c r="N3582" s="112"/>
      <c r="O3582" s="112"/>
      <c r="P3582" s="112"/>
      <c r="Q3582" s="113"/>
      <c r="T3582" s="113"/>
      <c r="U3582" s="113"/>
      <c r="V3582" s="113"/>
    </row>
    <row r="3583" spans="1:22">
      <c r="A3583" s="297"/>
      <c r="B3583" s="217"/>
      <c r="C3583" s="217"/>
      <c r="D3583" s="101"/>
      <c r="E3583" s="101"/>
      <c r="F3583" s="294"/>
      <c r="G3583" s="295"/>
      <c r="H3583" s="98"/>
      <c r="I3583" s="99"/>
      <c r="J3583" s="99"/>
      <c r="K3583" s="99"/>
      <c r="L3583" s="99"/>
      <c r="M3583" s="99"/>
      <c r="N3583" s="99"/>
      <c r="O3583" s="99"/>
      <c r="P3583" s="99"/>
      <c r="Q3583" s="99"/>
      <c r="R3583" s="99"/>
      <c r="S3583" s="99"/>
      <c r="T3583" s="99"/>
      <c r="U3583" s="99"/>
      <c r="V3583" s="99"/>
    </row>
    <row r="3584" spans="1:22">
      <c r="A3584" s="297"/>
      <c r="B3584" s="217"/>
      <c r="C3584" s="217"/>
      <c r="D3584" s="101"/>
      <c r="E3584" s="101"/>
      <c r="F3584" s="294"/>
      <c r="G3584" s="295"/>
      <c r="H3584" s="98"/>
      <c r="I3584" s="99"/>
      <c r="J3584" s="99"/>
      <c r="K3584" s="99"/>
      <c r="L3584" s="99"/>
      <c r="M3584" s="99"/>
      <c r="N3584" s="99"/>
      <c r="O3584" s="99"/>
      <c r="P3584" s="99"/>
      <c r="Q3584" s="99"/>
      <c r="R3584" s="99"/>
      <c r="S3584" s="99"/>
      <c r="T3584" s="99"/>
      <c r="U3584" s="99"/>
      <c r="V3584" s="99"/>
    </row>
    <row r="3585" spans="1:22">
      <c r="A3585" s="297"/>
      <c r="B3585" s="217"/>
      <c r="C3585" s="217"/>
      <c r="D3585" s="101"/>
      <c r="E3585" s="101"/>
      <c r="F3585" s="294"/>
      <c r="G3585" s="295"/>
      <c r="H3585" s="98"/>
      <c r="I3585" s="99"/>
      <c r="J3585" s="99"/>
      <c r="K3585" s="99"/>
      <c r="L3585" s="99"/>
      <c r="M3585" s="99"/>
      <c r="N3585" s="99"/>
      <c r="O3585" s="99"/>
      <c r="P3585" s="99"/>
      <c r="Q3585" s="99"/>
      <c r="R3585" s="99"/>
      <c r="S3585" s="99"/>
      <c r="T3585" s="99"/>
      <c r="U3585" s="99"/>
      <c r="V3585" s="99"/>
    </row>
    <row r="3586" spans="1:22">
      <c r="A3586" s="297"/>
      <c r="B3586" s="217"/>
      <c r="C3586" s="217"/>
      <c r="D3586" s="101"/>
      <c r="E3586" s="101"/>
      <c r="F3586" s="294"/>
      <c r="G3586" s="295"/>
      <c r="H3586" s="98"/>
      <c r="I3586" s="99"/>
      <c r="J3586" s="99"/>
      <c r="K3586" s="99"/>
      <c r="L3586" s="99"/>
      <c r="M3586" s="99"/>
      <c r="N3586" s="99"/>
      <c r="O3586" s="99"/>
      <c r="P3586" s="99"/>
      <c r="Q3586" s="99"/>
      <c r="R3586" s="99"/>
      <c r="S3586" s="99"/>
      <c r="T3586" s="99"/>
      <c r="U3586" s="99"/>
      <c r="V3586" s="99"/>
    </row>
    <row r="3587" spans="1:22">
      <c r="A3587" s="297"/>
      <c r="B3587" s="217"/>
      <c r="C3587" s="217"/>
      <c r="D3587" s="101"/>
      <c r="E3587" s="101"/>
      <c r="F3587" s="294"/>
      <c r="G3587" s="295"/>
      <c r="H3587" s="98"/>
      <c r="I3587" s="99"/>
      <c r="J3587" s="99"/>
      <c r="K3587" s="99"/>
      <c r="L3587" s="99"/>
      <c r="M3587" s="99"/>
      <c r="N3587" s="99"/>
      <c r="O3587" s="99"/>
      <c r="P3587" s="99"/>
      <c r="Q3587" s="99"/>
      <c r="R3587" s="99"/>
      <c r="S3587" s="99"/>
      <c r="T3587" s="99"/>
      <c r="U3587" s="99"/>
      <c r="V3587" s="99"/>
    </row>
    <row r="3588" spans="1:22">
      <c r="A3588" s="297"/>
      <c r="B3588" s="217"/>
      <c r="C3588" s="217"/>
      <c r="D3588" s="101"/>
      <c r="E3588" s="101"/>
      <c r="F3588" s="294"/>
      <c r="G3588" s="295"/>
      <c r="H3588" s="98"/>
      <c r="I3588" s="99"/>
      <c r="J3588" s="99"/>
      <c r="K3588" s="99"/>
      <c r="L3588" s="99"/>
      <c r="M3588" s="99"/>
      <c r="N3588" s="99"/>
      <c r="O3588" s="99"/>
      <c r="P3588" s="99"/>
      <c r="Q3588" s="99"/>
      <c r="R3588" s="99"/>
      <c r="S3588" s="99"/>
      <c r="T3588" s="99"/>
      <c r="U3588" s="99"/>
      <c r="V3588" s="99"/>
    </row>
    <row r="3589" spans="1:22">
      <c r="A3589" s="297"/>
      <c r="B3589" s="217"/>
      <c r="C3589" s="217"/>
      <c r="D3589" s="101"/>
      <c r="E3589" s="101"/>
      <c r="F3589" s="294"/>
      <c r="G3589" s="295"/>
      <c r="H3589" s="98"/>
      <c r="I3589" s="99"/>
      <c r="J3589" s="99"/>
      <c r="K3589" s="99"/>
      <c r="L3589" s="99"/>
      <c r="M3589" s="99"/>
      <c r="N3589" s="99"/>
      <c r="O3589" s="99"/>
      <c r="P3589" s="99"/>
      <c r="Q3589" s="99"/>
      <c r="R3589" s="99"/>
      <c r="S3589" s="99"/>
      <c r="T3589" s="99"/>
      <c r="U3589" s="99"/>
      <c r="V3589" s="99"/>
    </row>
    <row r="3590" spans="1:22">
      <c r="A3590" s="297"/>
      <c r="B3590" s="217"/>
      <c r="C3590" s="217"/>
      <c r="D3590" s="101"/>
      <c r="E3590" s="101"/>
      <c r="F3590" s="294"/>
      <c r="G3590" s="295"/>
      <c r="H3590" s="98"/>
      <c r="I3590" s="99"/>
      <c r="J3590" s="99"/>
      <c r="K3590" s="99"/>
      <c r="L3590" s="99"/>
      <c r="M3590" s="99"/>
      <c r="N3590" s="99"/>
      <c r="O3590" s="99"/>
      <c r="P3590" s="99"/>
      <c r="Q3590" s="99"/>
      <c r="R3590" s="99"/>
      <c r="S3590" s="99"/>
      <c r="T3590" s="99"/>
      <c r="U3590" s="99"/>
      <c r="V3590" s="99"/>
    </row>
    <row r="3591" spans="1:22">
      <c r="A3591" s="297"/>
      <c r="B3591" s="217"/>
      <c r="C3591" s="217"/>
      <c r="D3591" s="101"/>
      <c r="E3591" s="101"/>
      <c r="F3591" s="294"/>
      <c r="G3591" s="295"/>
      <c r="H3591" s="107"/>
      <c r="I3591" s="108"/>
      <c r="J3591" s="108"/>
      <c r="K3591" s="108"/>
      <c r="L3591" s="108"/>
      <c r="M3591" s="108"/>
      <c r="N3591" s="109"/>
      <c r="O3591" s="109"/>
      <c r="P3591" s="109"/>
      <c r="Q3591" s="109"/>
      <c r="R3591" s="109"/>
      <c r="S3591" s="109"/>
      <c r="T3591" s="109"/>
      <c r="U3591" s="202"/>
      <c r="V3591" s="202"/>
    </row>
    <row r="3592" spans="1:22">
      <c r="A3592" s="297"/>
      <c r="B3592" s="217"/>
      <c r="C3592" s="217"/>
      <c r="D3592" s="101"/>
      <c r="E3592" s="101"/>
      <c r="F3592" s="294"/>
      <c r="G3592" s="295"/>
      <c r="H3592" s="98"/>
      <c r="I3592" s="106"/>
      <c r="J3592" s="106"/>
      <c r="K3592" s="106"/>
      <c r="L3592" s="106"/>
      <c r="M3592" s="106"/>
      <c r="N3592" s="112"/>
      <c r="O3592" s="112"/>
      <c r="P3592" s="112"/>
      <c r="Q3592" s="113"/>
      <c r="R3592" s="113"/>
      <c r="S3592" s="113"/>
      <c r="T3592" s="113"/>
      <c r="U3592" s="113"/>
      <c r="V3592" s="113"/>
    </row>
    <row r="3593" spans="1:22">
      <c r="A3593" s="297"/>
      <c r="B3593" s="217"/>
      <c r="C3593" s="217"/>
      <c r="D3593" s="101"/>
      <c r="E3593" s="101"/>
      <c r="F3593" s="294"/>
      <c r="G3593" s="295"/>
      <c r="H3593" s="114"/>
      <c r="I3593" s="108"/>
      <c r="J3593" s="108"/>
      <c r="K3593" s="108"/>
      <c r="L3593" s="108"/>
      <c r="M3593" s="108"/>
      <c r="N3593" s="108"/>
      <c r="O3593" s="108"/>
      <c r="P3593" s="108"/>
      <c r="Q3593" s="108"/>
      <c r="R3593" s="108"/>
      <c r="S3593" s="108"/>
      <c r="T3593" s="108"/>
      <c r="U3593" s="233"/>
      <c r="V3593" s="233"/>
    </row>
    <row r="3594" spans="1:22" ht="14.4" thickBot="1">
      <c r="A3594" s="297"/>
      <c r="B3594" s="217"/>
      <c r="C3594" s="217"/>
      <c r="D3594" s="101"/>
      <c r="E3594" s="101"/>
      <c r="F3594" s="294"/>
      <c r="G3594" s="295"/>
      <c r="H3594" s="98"/>
      <c r="I3594" s="218"/>
      <c r="J3594" s="218"/>
      <c r="K3594" s="218"/>
      <c r="L3594" s="218"/>
      <c r="M3594" s="218"/>
      <c r="U3594" s="212"/>
      <c r="V3594" s="212"/>
    </row>
    <row r="3595" spans="1:22" ht="23.4" thickBot="1">
      <c r="A3595" s="297"/>
      <c r="B3595" s="217"/>
      <c r="C3595" s="217"/>
      <c r="D3595" s="101"/>
      <c r="E3595" s="101"/>
      <c r="F3595" s="294"/>
      <c r="G3595" s="295"/>
      <c r="H3595" s="686"/>
      <c r="I3595" s="687"/>
      <c r="J3595" s="687"/>
      <c r="K3595" s="687"/>
      <c r="L3595" s="687"/>
      <c r="M3595" s="687"/>
      <c r="N3595" s="687"/>
      <c r="O3595" s="687"/>
      <c r="P3595" s="687"/>
      <c r="Q3595" s="687"/>
      <c r="R3595" s="687"/>
      <c r="S3595" s="715"/>
      <c r="T3595" s="688"/>
      <c r="U3595" s="254"/>
      <c r="V3595" s="254"/>
    </row>
    <row r="3596" spans="1:22" ht="22.8">
      <c r="A3596" s="297"/>
      <c r="B3596" s="217"/>
      <c r="C3596" s="217"/>
      <c r="D3596" s="101"/>
      <c r="E3596" s="101"/>
      <c r="F3596" s="294"/>
      <c r="G3596" s="295"/>
      <c r="H3596" s="225"/>
      <c r="I3596" s="225"/>
      <c r="J3596" s="225"/>
      <c r="K3596" s="225"/>
      <c r="L3596" s="225"/>
      <c r="M3596" s="225"/>
      <c r="N3596" s="225"/>
      <c r="O3596" s="225"/>
      <c r="P3596" s="225"/>
      <c r="Q3596" s="225"/>
      <c r="R3596" s="225"/>
      <c r="S3596" s="225"/>
      <c r="T3596" s="225"/>
      <c r="U3596" s="225"/>
      <c r="V3596" s="225"/>
    </row>
    <row r="3597" spans="1:22">
      <c r="A3597" s="297"/>
      <c r="B3597" s="217"/>
      <c r="C3597" s="217"/>
      <c r="D3597" s="101"/>
      <c r="E3597" s="101"/>
      <c r="F3597" s="294"/>
      <c r="G3597" s="295"/>
      <c r="H3597" s="98"/>
      <c r="I3597" s="99"/>
      <c r="J3597" s="99"/>
      <c r="K3597" s="99"/>
      <c r="L3597" s="99"/>
      <c r="M3597" s="99"/>
      <c r="N3597" s="99"/>
      <c r="O3597" s="99"/>
      <c r="P3597" s="99"/>
      <c r="Q3597" s="99"/>
      <c r="R3597" s="99"/>
      <c r="S3597" s="99"/>
      <c r="T3597" s="99"/>
      <c r="U3597" s="99"/>
      <c r="V3597" s="99"/>
    </row>
    <row r="3598" spans="1:22">
      <c r="A3598" s="297"/>
      <c r="B3598" s="217"/>
      <c r="C3598" s="217"/>
      <c r="D3598" s="101"/>
      <c r="E3598" s="101"/>
      <c r="F3598" s="294"/>
      <c r="G3598" s="295"/>
      <c r="H3598" s="98"/>
      <c r="I3598" s="99"/>
      <c r="J3598" s="99"/>
      <c r="K3598" s="99"/>
      <c r="L3598" s="99"/>
      <c r="M3598" s="99"/>
      <c r="N3598" s="99"/>
      <c r="O3598" s="99"/>
      <c r="P3598" s="99"/>
      <c r="Q3598" s="99"/>
      <c r="R3598" s="99"/>
      <c r="S3598" s="99"/>
      <c r="T3598" s="99"/>
      <c r="U3598" s="99"/>
      <c r="V3598" s="99"/>
    </row>
    <row r="3599" spans="1:22">
      <c r="A3599" s="297"/>
      <c r="B3599" s="217"/>
      <c r="C3599" s="217"/>
      <c r="D3599" s="101"/>
      <c r="E3599" s="101"/>
      <c r="F3599" s="294"/>
      <c r="G3599" s="295"/>
      <c r="H3599" s="98"/>
      <c r="I3599" s="99"/>
      <c r="J3599" s="99"/>
      <c r="K3599" s="99"/>
      <c r="L3599" s="99"/>
      <c r="M3599" s="99"/>
      <c r="N3599" s="99"/>
      <c r="O3599" s="99"/>
      <c r="P3599" s="99"/>
      <c r="Q3599" s="99"/>
      <c r="R3599" s="99"/>
      <c r="S3599" s="99"/>
      <c r="T3599" s="99"/>
      <c r="U3599" s="99"/>
      <c r="V3599" s="99"/>
    </row>
    <row r="3600" spans="1:22">
      <c r="A3600" s="297"/>
      <c r="B3600" s="217"/>
      <c r="C3600" s="217"/>
      <c r="D3600" s="101"/>
      <c r="E3600" s="101"/>
      <c r="F3600" s="294"/>
      <c r="G3600" s="295"/>
      <c r="H3600" s="98"/>
      <c r="I3600" s="99"/>
      <c r="J3600" s="99"/>
      <c r="K3600" s="99"/>
      <c r="L3600" s="99"/>
      <c r="M3600" s="99"/>
      <c r="N3600" s="99"/>
      <c r="O3600" s="99"/>
      <c r="P3600" s="99"/>
      <c r="Q3600" s="99"/>
      <c r="R3600" s="99"/>
      <c r="S3600" s="99"/>
      <c r="T3600" s="99"/>
      <c r="U3600" s="99"/>
      <c r="V3600" s="99"/>
    </row>
    <row r="3601" spans="1:22">
      <c r="A3601" s="297"/>
      <c r="B3601" s="217"/>
      <c r="C3601" s="217"/>
      <c r="D3601" s="101"/>
      <c r="E3601" s="101"/>
      <c r="F3601" s="294"/>
      <c r="G3601" s="295"/>
      <c r="H3601" s="98"/>
      <c r="I3601" s="99"/>
      <c r="J3601" s="99"/>
      <c r="K3601" s="99"/>
      <c r="L3601" s="99"/>
      <c r="M3601" s="99"/>
      <c r="N3601" s="99"/>
      <c r="O3601" s="99"/>
      <c r="P3601" s="99"/>
      <c r="Q3601" s="99"/>
      <c r="R3601" s="99"/>
      <c r="S3601" s="99"/>
      <c r="T3601" s="99"/>
      <c r="U3601" s="99"/>
      <c r="V3601" s="99"/>
    </row>
    <row r="3602" spans="1:22">
      <c r="A3602" s="297"/>
      <c r="B3602" s="217"/>
      <c r="C3602" s="217"/>
      <c r="D3602" s="101"/>
      <c r="E3602" s="101"/>
      <c r="F3602" s="294"/>
      <c r="G3602" s="295"/>
      <c r="H3602" s="98"/>
      <c r="I3602" s="99"/>
      <c r="J3602" s="99"/>
      <c r="K3602" s="99"/>
      <c r="L3602" s="99"/>
      <c r="M3602" s="99"/>
      <c r="N3602" s="99"/>
      <c r="O3602" s="99"/>
      <c r="P3602" s="99"/>
      <c r="Q3602" s="99"/>
      <c r="R3602" s="99"/>
      <c r="S3602" s="99"/>
      <c r="T3602" s="99"/>
      <c r="U3602" s="99"/>
      <c r="V3602" s="99"/>
    </row>
    <row r="3603" spans="1:22">
      <c r="A3603" s="297"/>
      <c r="B3603" s="217"/>
      <c r="C3603" s="217"/>
      <c r="D3603" s="101"/>
      <c r="E3603" s="101"/>
      <c r="F3603" s="294"/>
      <c r="G3603" s="295"/>
      <c r="H3603" s="98"/>
      <c r="I3603" s="99"/>
      <c r="J3603" s="99"/>
      <c r="K3603" s="99"/>
      <c r="L3603" s="99"/>
      <c r="M3603" s="99"/>
      <c r="N3603" s="99"/>
      <c r="O3603" s="99"/>
      <c r="P3603" s="99"/>
      <c r="Q3603" s="99"/>
      <c r="R3603" s="99"/>
      <c r="S3603" s="99"/>
      <c r="T3603" s="99"/>
      <c r="U3603" s="99"/>
      <c r="V3603" s="99"/>
    </row>
    <row r="3604" spans="1:22">
      <c r="A3604" s="297"/>
      <c r="B3604" s="217"/>
      <c r="C3604" s="217"/>
      <c r="D3604" s="101"/>
      <c r="E3604" s="101"/>
      <c r="F3604" s="294"/>
      <c r="G3604" s="295"/>
      <c r="H3604" s="98"/>
      <c r="I3604" s="99"/>
      <c r="J3604" s="99"/>
      <c r="K3604" s="99"/>
      <c r="L3604" s="99"/>
      <c r="M3604" s="99"/>
      <c r="N3604" s="99"/>
      <c r="O3604" s="99"/>
      <c r="P3604" s="99"/>
      <c r="Q3604" s="99"/>
      <c r="R3604" s="99"/>
      <c r="S3604" s="99"/>
      <c r="T3604" s="99"/>
      <c r="U3604" s="99"/>
      <c r="V3604" s="99"/>
    </row>
    <row r="3605" spans="1:22">
      <c r="A3605" s="297"/>
      <c r="B3605" s="217"/>
      <c r="C3605" s="217"/>
      <c r="D3605" s="101"/>
      <c r="E3605" s="101"/>
      <c r="F3605" s="294"/>
      <c r="G3605" s="295"/>
      <c r="H3605" s="98"/>
      <c r="I3605" s="99"/>
      <c r="J3605" s="99"/>
      <c r="K3605" s="99"/>
      <c r="L3605" s="99"/>
      <c r="M3605" s="99"/>
      <c r="N3605" s="99"/>
      <c r="O3605" s="99"/>
      <c r="P3605" s="99"/>
      <c r="Q3605" s="99"/>
      <c r="R3605" s="99"/>
      <c r="S3605" s="99"/>
      <c r="T3605" s="99"/>
      <c r="U3605" s="99"/>
      <c r="V3605" s="99"/>
    </row>
    <row r="3606" spans="1:22" ht="24.75" customHeight="1">
      <c r="A3606" s="297"/>
      <c r="B3606" s="217"/>
      <c r="C3606" s="217"/>
      <c r="D3606" s="101"/>
      <c r="E3606" s="101"/>
      <c r="F3606" s="294"/>
      <c r="G3606" s="295"/>
      <c r="H3606" s="98"/>
      <c r="I3606" s="99"/>
      <c r="J3606" s="99"/>
      <c r="K3606" s="99"/>
      <c r="L3606" s="99"/>
      <c r="M3606" s="99"/>
      <c r="N3606" s="99"/>
      <c r="O3606" s="99"/>
      <c r="P3606" s="99"/>
      <c r="Q3606" s="99"/>
      <c r="R3606" s="99"/>
      <c r="S3606" s="99"/>
      <c r="T3606" s="99"/>
      <c r="U3606" s="99"/>
      <c r="V3606" s="99"/>
    </row>
    <row r="3607" spans="1:22">
      <c r="A3607" s="297"/>
      <c r="B3607" s="217"/>
      <c r="C3607" s="217"/>
      <c r="D3607" s="101"/>
      <c r="E3607" s="101"/>
      <c r="F3607" s="294"/>
      <c r="G3607" s="295"/>
      <c r="H3607" s="98"/>
      <c r="I3607" s="99"/>
      <c r="J3607" s="99"/>
      <c r="K3607" s="99"/>
      <c r="L3607" s="99"/>
      <c r="M3607" s="99"/>
      <c r="N3607" s="99"/>
      <c r="O3607" s="99"/>
      <c r="P3607" s="99"/>
      <c r="Q3607" s="99"/>
      <c r="R3607" s="99"/>
      <c r="S3607" s="99"/>
      <c r="T3607" s="99"/>
      <c r="U3607" s="99"/>
      <c r="V3607" s="99"/>
    </row>
    <row r="3608" spans="1:22">
      <c r="A3608" s="297"/>
      <c r="B3608" s="217"/>
      <c r="C3608" s="217"/>
      <c r="D3608" s="101"/>
      <c r="E3608" s="101"/>
      <c r="F3608" s="294"/>
      <c r="G3608" s="295"/>
      <c r="H3608" s="98"/>
      <c r="I3608" s="99"/>
      <c r="J3608" s="99"/>
      <c r="K3608" s="99"/>
      <c r="L3608" s="99"/>
      <c r="M3608" s="99"/>
      <c r="N3608" s="99"/>
      <c r="O3608" s="99"/>
      <c r="P3608" s="99"/>
      <c r="Q3608" s="99"/>
      <c r="R3608" s="99"/>
      <c r="S3608" s="99"/>
      <c r="T3608" s="99"/>
      <c r="U3608" s="99"/>
      <c r="V3608" s="99"/>
    </row>
    <row r="3609" spans="1:22">
      <c r="A3609" s="297"/>
      <c r="B3609" s="217"/>
      <c r="C3609" s="217"/>
      <c r="D3609" s="101"/>
      <c r="E3609" s="101"/>
      <c r="F3609" s="294"/>
      <c r="G3609" s="295"/>
      <c r="H3609" s="98"/>
      <c r="I3609" s="99"/>
      <c r="J3609" s="99"/>
      <c r="K3609" s="99"/>
      <c r="L3609" s="99"/>
      <c r="M3609" s="99"/>
      <c r="N3609" s="99"/>
      <c r="O3609" s="99"/>
      <c r="P3609" s="99"/>
      <c r="Q3609" s="99"/>
      <c r="R3609" s="99"/>
      <c r="S3609" s="99"/>
      <c r="T3609" s="99"/>
      <c r="U3609" s="99"/>
      <c r="V3609" s="99"/>
    </row>
    <row r="3610" spans="1:22">
      <c r="A3610" s="297"/>
      <c r="B3610" s="217"/>
      <c r="C3610" s="217"/>
      <c r="D3610" s="101"/>
      <c r="E3610" s="101"/>
      <c r="F3610" s="294"/>
      <c r="G3610" s="295"/>
      <c r="H3610" s="98"/>
      <c r="I3610" s="99"/>
      <c r="J3610" s="99"/>
      <c r="K3610" s="99"/>
      <c r="L3610" s="99"/>
      <c r="M3610" s="99"/>
      <c r="N3610" s="99"/>
      <c r="O3610" s="99"/>
      <c r="P3610" s="99"/>
      <c r="Q3610" s="99"/>
      <c r="R3610" s="99"/>
      <c r="S3610" s="99"/>
      <c r="T3610" s="99"/>
      <c r="U3610" s="99"/>
      <c r="V3610" s="99"/>
    </row>
    <row r="3611" spans="1:22">
      <c r="A3611" s="297"/>
      <c r="B3611" s="217"/>
      <c r="C3611" s="217"/>
      <c r="D3611" s="101"/>
      <c r="E3611" s="101"/>
      <c r="F3611" s="294"/>
      <c r="G3611" s="295"/>
      <c r="H3611" s="107"/>
      <c r="I3611" s="108"/>
      <c r="J3611" s="108"/>
      <c r="K3611" s="108"/>
      <c r="L3611" s="108"/>
      <c r="M3611" s="108"/>
      <c r="N3611" s="109"/>
      <c r="O3611" s="109"/>
      <c r="P3611" s="109"/>
      <c r="Q3611" s="109"/>
      <c r="R3611" s="109"/>
      <c r="S3611" s="109"/>
      <c r="T3611" s="109"/>
      <c r="U3611" s="202"/>
      <c r="V3611" s="202"/>
    </row>
    <row r="3612" spans="1:22">
      <c r="A3612" s="297"/>
      <c r="B3612" s="217"/>
      <c r="C3612" s="217"/>
      <c r="D3612" s="101"/>
      <c r="E3612" s="101"/>
      <c r="F3612" s="294"/>
      <c r="G3612" s="295"/>
      <c r="H3612" s="98"/>
      <c r="I3612" s="106"/>
      <c r="J3612" s="106"/>
      <c r="K3612" s="106"/>
      <c r="L3612" s="106"/>
      <c r="M3612" s="106"/>
      <c r="N3612" s="112"/>
      <c r="O3612" s="112"/>
      <c r="P3612" s="112"/>
      <c r="Q3612" s="113"/>
      <c r="T3612" s="113"/>
      <c r="U3612" s="113"/>
      <c r="V3612" s="113"/>
    </row>
    <row r="3613" spans="1:22">
      <c r="A3613" s="297"/>
      <c r="B3613" s="217"/>
      <c r="C3613" s="217"/>
      <c r="D3613" s="101"/>
      <c r="E3613" s="101"/>
      <c r="F3613" s="294"/>
      <c r="G3613" s="295"/>
      <c r="H3613" s="98"/>
      <c r="I3613" s="99"/>
      <c r="J3613" s="99"/>
      <c r="K3613" s="99"/>
      <c r="L3613" s="99"/>
      <c r="M3613" s="99"/>
      <c r="N3613" s="99"/>
      <c r="O3613" s="99"/>
      <c r="P3613" s="99"/>
      <c r="Q3613" s="99"/>
      <c r="R3613" s="99"/>
      <c r="S3613" s="99"/>
      <c r="T3613" s="99"/>
      <c r="U3613" s="99"/>
      <c r="V3613" s="99"/>
    </row>
    <row r="3614" spans="1:22">
      <c r="A3614" s="297"/>
      <c r="B3614" s="217"/>
      <c r="C3614" s="217"/>
      <c r="D3614" s="101"/>
      <c r="E3614" s="101"/>
      <c r="F3614" s="294"/>
      <c r="G3614" s="295"/>
      <c r="H3614" s="98"/>
      <c r="I3614" s="99"/>
      <c r="J3614" s="99"/>
      <c r="K3614" s="99"/>
      <c r="L3614" s="99"/>
      <c r="M3614" s="99"/>
      <c r="N3614" s="99"/>
      <c r="O3614" s="99"/>
      <c r="P3614" s="99"/>
      <c r="Q3614" s="99"/>
      <c r="R3614" s="99"/>
      <c r="S3614" s="99"/>
      <c r="T3614" s="99"/>
      <c r="U3614" s="99"/>
      <c r="V3614" s="99"/>
    </row>
    <row r="3615" spans="1:22">
      <c r="A3615" s="297"/>
      <c r="B3615" s="217"/>
      <c r="C3615" s="217"/>
      <c r="D3615" s="101"/>
      <c r="E3615" s="101"/>
      <c r="F3615" s="294"/>
      <c r="G3615" s="295"/>
      <c r="H3615" s="98"/>
      <c r="I3615" s="99"/>
      <c r="J3615" s="99"/>
      <c r="K3615" s="99"/>
      <c r="L3615" s="99"/>
      <c r="M3615" s="99"/>
      <c r="N3615" s="99"/>
      <c r="O3615" s="99"/>
      <c r="P3615" s="99"/>
      <c r="Q3615" s="99"/>
      <c r="R3615" s="99"/>
      <c r="S3615" s="99"/>
      <c r="T3615" s="99"/>
      <c r="U3615" s="99"/>
      <c r="V3615" s="99"/>
    </row>
    <row r="3616" spans="1:22">
      <c r="A3616" s="297"/>
      <c r="B3616" s="217"/>
      <c r="C3616" s="217"/>
      <c r="D3616" s="101"/>
      <c r="E3616" s="101"/>
      <c r="F3616" s="294"/>
      <c r="G3616" s="295"/>
      <c r="H3616" s="98"/>
      <c r="I3616" s="99"/>
      <c r="J3616" s="99"/>
      <c r="K3616" s="99"/>
      <c r="L3616" s="99"/>
      <c r="M3616" s="99"/>
      <c r="N3616" s="99"/>
      <c r="O3616" s="99"/>
      <c r="P3616" s="99"/>
      <c r="Q3616" s="99"/>
      <c r="R3616" s="99"/>
      <c r="S3616" s="99"/>
      <c r="T3616" s="99"/>
      <c r="U3616" s="99"/>
      <c r="V3616" s="99"/>
    </row>
    <row r="3617" spans="1:22">
      <c r="A3617" s="297"/>
      <c r="B3617" s="217"/>
      <c r="C3617" s="217"/>
      <c r="D3617" s="101"/>
      <c r="E3617" s="101"/>
      <c r="F3617" s="294"/>
      <c r="G3617" s="295"/>
      <c r="H3617" s="98"/>
      <c r="I3617" s="99"/>
      <c r="J3617" s="99"/>
      <c r="K3617" s="99"/>
      <c r="L3617" s="99"/>
      <c r="M3617" s="99"/>
      <c r="N3617" s="99"/>
      <c r="O3617" s="99"/>
      <c r="P3617" s="99"/>
      <c r="Q3617" s="99"/>
      <c r="R3617" s="99"/>
      <c r="S3617" s="99"/>
      <c r="T3617" s="99"/>
      <c r="U3617" s="99"/>
      <c r="V3617" s="99"/>
    </row>
    <row r="3618" spans="1:22">
      <c r="A3618" s="297"/>
      <c r="B3618" s="217"/>
      <c r="C3618" s="217"/>
      <c r="D3618" s="101"/>
      <c r="E3618" s="101"/>
      <c r="F3618" s="294"/>
      <c r="G3618" s="295"/>
      <c r="H3618" s="98"/>
      <c r="I3618" s="99"/>
      <c r="J3618" s="99"/>
      <c r="K3618" s="99"/>
      <c r="L3618" s="99"/>
      <c r="M3618" s="99"/>
      <c r="N3618" s="99"/>
      <c r="O3618" s="99"/>
      <c r="P3618" s="99"/>
      <c r="Q3618" s="99"/>
      <c r="R3618" s="99"/>
      <c r="S3618" s="99"/>
      <c r="T3618" s="99"/>
      <c r="U3618" s="99"/>
      <c r="V3618" s="99"/>
    </row>
    <row r="3619" spans="1:22">
      <c r="A3619" s="297"/>
      <c r="B3619" s="217"/>
      <c r="C3619" s="217"/>
      <c r="D3619" s="101"/>
      <c r="E3619" s="101"/>
      <c r="F3619" s="294"/>
      <c r="G3619" s="295"/>
      <c r="H3619" s="98"/>
      <c r="I3619" s="99"/>
      <c r="J3619" s="99"/>
      <c r="K3619" s="99"/>
      <c r="L3619" s="99"/>
      <c r="M3619" s="99"/>
      <c r="N3619" s="99"/>
      <c r="O3619" s="99"/>
      <c r="P3619" s="99"/>
      <c r="Q3619" s="99"/>
      <c r="R3619" s="99"/>
      <c r="S3619" s="99"/>
      <c r="T3619" s="99"/>
      <c r="U3619" s="99"/>
      <c r="V3619" s="99"/>
    </row>
    <row r="3620" spans="1:22">
      <c r="A3620" s="297"/>
      <c r="B3620" s="217"/>
      <c r="C3620" s="217"/>
      <c r="D3620" s="101"/>
      <c r="E3620" s="101"/>
      <c r="F3620" s="294"/>
      <c r="G3620" s="295"/>
      <c r="H3620" s="98"/>
      <c r="I3620" s="99"/>
      <c r="J3620" s="99"/>
      <c r="K3620" s="99"/>
      <c r="L3620" s="99"/>
      <c r="M3620" s="99"/>
      <c r="N3620" s="99"/>
      <c r="O3620" s="99"/>
      <c r="P3620" s="99"/>
      <c r="Q3620" s="99"/>
      <c r="R3620" s="99"/>
      <c r="S3620" s="99"/>
      <c r="T3620" s="99"/>
      <c r="U3620" s="99"/>
      <c r="V3620" s="99"/>
    </row>
    <row r="3621" spans="1:22">
      <c r="A3621" s="297"/>
      <c r="B3621" s="217"/>
      <c r="C3621" s="217"/>
      <c r="D3621" s="101"/>
      <c r="E3621" s="101"/>
      <c r="F3621" s="294"/>
      <c r="G3621" s="295"/>
      <c r="H3621" s="98"/>
      <c r="I3621" s="99"/>
      <c r="J3621" s="99"/>
      <c r="K3621" s="99"/>
      <c r="L3621" s="99"/>
      <c r="M3621" s="99"/>
      <c r="N3621" s="99"/>
      <c r="O3621" s="99"/>
      <c r="P3621" s="99"/>
      <c r="Q3621" s="99"/>
      <c r="R3621" s="99"/>
      <c r="S3621" s="99"/>
      <c r="T3621" s="99"/>
      <c r="U3621" s="99"/>
      <c r="V3621" s="99"/>
    </row>
    <row r="3622" spans="1:22">
      <c r="A3622" s="297"/>
      <c r="B3622" s="217"/>
      <c r="C3622" s="217"/>
      <c r="D3622" s="101"/>
      <c r="E3622" s="101"/>
      <c r="F3622" s="294"/>
      <c r="G3622" s="295"/>
      <c r="H3622" s="98"/>
      <c r="I3622" s="99"/>
      <c r="J3622" s="99"/>
      <c r="K3622" s="99"/>
      <c r="L3622" s="99"/>
      <c r="M3622" s="99"/>
      <c r="N3622" s="99"/>
      <c r="O3622" s="99"/>
      <c r="P3622" s="99"/>
      <c r="Q3622" s="99"/>
      <c r="R3622" s="99"/>
      <c r="S3622" s="99"/>
      <c r="T3622" s="99"/>
      <c r="U3622" s="99"/>
      <c r="V3622" s="99"/>
    </row>
    <row r="3623" spans="1:22">
      <c r="A3623" s="297"/>
      <c r="B3623" s="217"/>
      <c r="C3623" s="217"/>
      <c r="D3623" s="101"/>
      <c r="E3623" s="101"/>
      <c r="F3623" s="294"/>
      <c r="G3623" s="295"/>
      <c r="H3623" s="98"/>
      <c r="I3623" s="99"/>
      <c r="J3623" s="99"/>
      <c r="K3623" s="99"/>
      <c r="L3623" s="99"/>
      <c r="M3623" s="99"/>
      <c r="N3623" s="99"/>
      <c r="O3623" s="99"/>
      <c r="P3623" s="99"/>
      <c r="Q3623" s="99"/>
      <c r="R3623" s="99"/>
      <c r="S3623" s="99"/>
      <c r="T3623" s="99"/>
      <c r="U3623" s="99"/>
      <c r="V3623" s="99"/>
    </row>
    <row r="3624" spans="1:22">
      <c r="A3624" s="297"/>
      <c r="B3624" s="217"/>
      <c r="C3624" s="217"/>
      <c r="D3624" s="101"/>
      <c r="E3624" s="101"/>
      <c r="F3624" s="294"/>
      <c r="G3624" s="295"/>
      <c r="H3624" s="98"/>
      <c r="I3624" s="99"/>
      <c r="J3624" s="99"/>
      <c r="K3624" s="99"/>
      <c r="L3624" s="99"/>
      <c r="M3624" s="99"/>
      <c r="N3624" s="99"/>
      <c r="O3624" s="99"/>
      <c r="P3624" s="99"/>
      <c r="Q3624" s="99"/>
      <c r="R3624" s="99"/>
      <c r="S3624" s="99"/>
      <c r="T3624" s="99"/>
      <c r="U3624" s="99"/>
      <c r="V3624" s="99"/>
    </row>
    <row r="3625" spans="1:22">
      <c r="A3625" s="297"/>
      <c r="B3625" s="217"/>
      <c r="C3625" s="217"/>
      <c r="D3625" s="101"/>
      <c r="E3625" s="101"/>
      <c r="F3625" s="294"/>
      <c r="G3625" s="295"/>
      <c r="H3625" s="98"/>
      <c r="I3625" s="99"/>
      <c r="J3625" s="99"/>
      <c r="K3625" s="99"/>
      <c r="L3625" s="99"/>
      <c r="M3625" s="99"/>
      <c r="N3625" s="99"/>
      <c r="O3625" s="99"/>
      <c r="P3625" s="99"/>
      <c r="Q3625" s="99"/>
      <c r="R3625" s="99"/>
      <c r="S3625" s="99"/>
      <c r="T3625" s="99"/>
      <c r="U3625" s="99"/>
      <c r="V3625" s="99"/>
    </row>
    <row r="3626" spans="1:22">
      <c r="A3626" s="297"/>
      <c r="B3626" s="217"/>
      <c r="C3626" s="217"/>
      <c r="D3626" s="101"/>
      <c r="E3626" s="101"/>
      <c r="F3626" s="294"/>
      <c r="G3626" s="295"/>
      <c r="H3626" s="98"/>
      <c r="I3626" s="99"/>
      <c r="J3626" s="99"/>
      <c r="K3626" s="99"/>
      <c r="L3626" s="99"/>
      <c r="M3626" s="99"/>
      <c r="N3626" s="99"/>
      <c r="O3626" s="99"/>
      <c r="P3626" s="99"/>
      <c r="Q3626" s="99"/>
      <c r="R3626" s="99"/>
      <c r="S3626" s="99"/>
      <c r="T3626" s="99"/>
      <c r="U3626" s="99"/>
      <c r="V3626" s="99"/>
    </row>
    <row r="3627" spans="1:22">
      <c r="A3627" s="297"/>
      <c r="B3627" s="217"/>
      <c r="C3627" s="217"/>
      <c r="D3627" s="101"/>
      <c r="E3627" s="101"/>
      <c r="F3627" s="294"/>
      <c r="G3627" s="295"/>
      <c r="H3627" s="98"/>
      <c r="I3627" s="99"/>
      <c r="J3627" s="99"/>
      <c r="K3627" s="99"/>
      <c r="L3627" s="99"/>
      <c r="M3627" s="99"/>
      <c r="N3627" s="99"/>
      <c r="O3627" s="99"/>
      <c r="P3627" s="99"/>
      <c r="Q3627" s="99"/>
      <c r="R3627" s="99"/>
      <c r="S3627" s="99"/>
      <c r="T3627" s="99"/>
      <c r="U3627" s="99"/>
      <c r="V3627" s="99"/>
    </row>
    <row r="3628" spans="1:22">
      <c r="A3628" s="297"/>
      <c r="B3628" s="217"/>
      <c r="C3628" s="217"/>
      <c r="D3628" s="101"/>
      <c r="E3628" s="101"/>
      <c r="F3628" s="294"/>
      <c r="G3628" s="295"/>
      <c r="H3628" s="98"/>
      <c r="I3628" s="99"/>
      <c r="J3628" s="99"/>
      <c r="K3628" s="99"/>
      <c r="L3628" s="99"/>
      <c r="M3628" s="99"/>
      <c r="N3628" s="99"/>
      <c r="O3628" s="99"/>
      <c r="P3628" s="99"/>
      <c r="Q3628" s="99"/>
      <c r="R3628" s="99"/>
      <c r="S3628" s="99"/>
      <c r="T3628" s="99"/>
      <c r="U3628" s="99"/>
      <c r="V3628" s="99"/>
    </row>
    <row r="3629" spans="1:22">
      <c r="A3629" s="297"/>
      <c r="B3629" s="217"/>
      <c r="C3629" s="217"/>
      <c r="D3629" s="101"/>
      <c r="E3629" s="101"/>
      <c r="F3629" s="294"/>
      <c r="G3629" s="295"/>
      <c r="H3629" s="98"/>
      <c r="I3629" s="99"/>
      <c r="J3629" s="99"/>
      <c r="K3629" s="99"/>
      <c r="L3629" s="99"/>
      <c r="M3629" s="99"/>
      <c r="N3629" s="99"/>
      <c r="O3629" s="99"/>
      <c r="P3629" s="99"/>
      <c r="Q3629" s="99"/>
      <c r="R3629" s="99"/>
      <c r="S3629" s="99"/>
      <c r="T3629" s="99"/>
      <c r="U3629" s="99"/>
      <c r="V3629" s="99"/>
    </row>
    <row r="3630" spans="1:22">
      <c r="A3630" s="297"/>
      <c r="B3630" s="217"/>
      <c r="C3630" s="217"/>
      <c r="D3630" s="101"/>
      <c r="E3630" s="101"/>
      <c r="F3630" s="294"/>
      <c r="G3630" s="295"/>
      <c r="H3630" s="98"/>
      <c r="I3630" s="99"/>
      <c r="J3630" s="99"/>
      <c r="K3630" s="99"/>
      <c r="L3630" s="99"/>
      <c r="M3630" s="99"/>
      <c r="N3630" s="99"/>
      <c r="O3630" s="99"/>
      <c r="P3630" s="99"/>
      <c r="Q3630" s="99"/>
      <c r="R3630" s="99"/>
      <c r="S3630" s="99"/>
      <c r="T3630" s="99"/>
      <c r="U3630" s="99"/>
      <c r="V3630" s="99"/>
    </row>
    <row r="3631" spans="1:22">
      <c r="A3631" s="297"/>
      <c r="B3631" s="217"/>
      <c r="C3631" s="217"/>
      <c r="D3631" s="101"/>
      <c r="E3631" s="101"/>
      <c r="F3631" s="294"/>
      <c r="G3631" s="295"/>
      <c r="H3631" s="98"/>
      <c r="I3631" s="99"/>
      <c r="J3631" s="99"/>
      <c r="K3631" s="99"/>
      <c r="L3631" s="99"/>
      <c r="M3631" s="99"/>
      <c r="N3631" s="99"/>
      <c r="O3631" s="99"/>
      <c r="P3631" s="99"/>
      <c r="Q3631" s="99"/>
      <c r="R3631" s="99"/>
      <c r="S3631" s="99"/>
      <c r="T3631" s="99"/>
      <c r="U3631" s="99"/>
      <c r="V3631" s="99"/>
    </row>
    <row r="3632" spans="1:22">
      <c r="A3632" s="297"/>
      <c r="B3632" s="217"/>
      <c r="C3632" s="217"/>
      <c r="D3632" s="101"/>
      <c r="E3632" s="101"/>
      <c r="F3632" s="294"/>
      <c r="G3632" s="295"/>
      <c r="H3632" s="107"/>
      <c r="I3632" s="108"/>
      <c r="J3632" s="108"/>
      <c r="K3632" s="108"/>
      <c r="L3632" s="108"/>
      <c r="M3632" s="108"/>
      <c r="N3632" s="108"/>
      <c r="O3632" s="108"/>
      <c r="P3632" s="108"/>
      <c r="Q3632" s="108"/>
      <c r="R3632" s="108"/>
      <c r="S3632" s="108"/>
      <c r="T3632" s="108"/>
      <c r="U3632" s="233"/>
      <c r="V3632" s="233"/>
    </row>
    <row r="3633" spans="1:22">
      <c r="A3633" s="297"/>
      <c r="B3633" s="217"/>
      <c r="C3633" s="217"/>
      <c r="D3633" s="101"/>
      <c r="E3633" s="101"/>
      <c r="F3633" s="294"/>
      <c r="G3633" s="295"/>
      <c r="H3633" s="98"/>
      <c r="I3633" s="106"/>
      <c r="J3633" s="106"/>
      <c r="K3633" s="106"/>
      <c r="L3633" s="106"/>
      <c r="M3633" s="106"/>
      <c r="N3633" s="112"/>
      <c r="O3633" s="112"/>
      <c r="P3633" s="112"/>
      <c r="Q3633" s="113"/>
      <c r="T3633" s="113"/>
      <c r="U3633" s="113"/>
      <c r="V3633" s="113"/>
    </row>
    <row r="3634" spans="1:22">
      <c r="A3634" s="297"/>
      <c r="B3634" s="217"/>
      <c r="C3634" s="217"/>
      <c r="D3634" s="101"/>
      <c r="E3634" s="101"/>
      <c r="F3634" s="294"/>
      <c r="G3634" s="295"/>
      <c r="H3634" s="98"/>
      <c r="I3634" s="99"/>
      <c r="J3634" s="99"/>
      <c r="K3634" s="99"/>
      <c r="L3634" s="99"/>
      <c r="M3634" s="99"/>
      <c r="N3634" s="99"/>
      <c r="O3634" s="99"/>
      <c r="P3634" s="99"/>
      <c r="Q3634" s="99"/>
      <c r="R3634" s="99"/>
      <c r="S3634" s="99"/>
      <c r="T3634" s="99"/>
      <c r="U3634" s="99"/>
      <c r="V3634" s="99"/>
    </row>
    <row r="3635" spans="1:22">
      <c r="A3635" s="297"/>
      <c r="B3635" s="217"/>
      <c r="C3635" s="217"/>
      <c r="D3635" s="101"/>
      <c r="E3635" s="101"/>
      <c r="F3635" s="294"/>
      <c r="G3635" s="295"/>
      <c r="H3635" s="98"/>
      <c r="I3635" s="99"/>
      <c r="J3635" s="99"/>
      <c r="K3635" s="99"/>
      <c r="L3635" s="99"/>
      <c r="M3635" s="99"/>
      <c r="N3635" s="99"/>
      <c r="O3635" s="99"/>
      <c r="P3635" s="99"/>
      <c r="Q3635" s="99"/>
      <c r="R3635" s="99"/>
      <c r="S3635" s="99"/>
      <c r="T3635" s="99"/>
      <c r="U3635" s="99"/>
      <c r="V3635" s="99"/>
    </row>
    <row r="3636" spans="1:22">
      <c r="A3636" s="297"/>
      <c r="B3636" s="217"/>
      <c r="C3636" s="217"/>
      <c r="D3636" s="101"/>
      <c r="E3636" s="101"/>
      <c r="F3636" s="294"/>
      <c r="G3636" s="295"/>
      <c r="H3636" s="98"/>
      <c r="I3636" s="99"/>
      <c r="J3636" s="99"/>
      <c r="K3636" s="99"/>
      <c r="L3636" s="99"/>
      <c r="M3636" s="99"/>
      <c r="N3636" s="99"/>
      <c r="O3636" s="99"/>
      <c r="P3636" s="99"/>
      <c r="Q3636" s="99"/>
      <c r="R3636" s="99"/>
      <c r="S3636" s="99"/>
      <c r="T3636" s="99"/>
      <c r="U3636" s="99"/>
      <c r="V3636" s="99"/>
    </row>
    <row r="3637" spans="1:22">
      <c r="A3637" s="297"/>
      <c r="B3637" s="217"/>
      <c r="C3637" s="217"/>
      <c r="D3637" s="101"/>
      <c r="E3637" s="101"/>
      <c r="F3637" s="294"/>
      <c r="G3637" s="295"/>
      <c r="H3637" s="98"/>
      <c r="I3637" s="99"/>
      <c r="J3637" s="99"/>
      <c r="K3637" s="99"/>
      <c r="L3637" s="99"/>
      <c r="M3637" s="99"/>
      <c r="N3637" s="99"/>
      <c r="O3637" s="99"/>
      <c r="P3637" s="99"/>
      <c r="Q3637" s="99"/>
      <c r="R3637" s="99"/>
      <c r="S3637" s="99"/>
      <c r="T3637" s="99"/>
      <c r="U3637" s="99"/>
      <c r="V3637" s="99"/>
    </row>
    <row r="3638" spans="1:22">
      <c r="A3638" s="297"/>
      <c r="B3638" s="217"/>
      <c r="C3638" s="217"/>
      <c r="D3638" s="101"/>
      <c r="E3638" s="101"/>
      <c r="F3638" s="294"/>
      <c r="G3638" s="295"/>
      <c r="H3638" s="98"/>
      <c r="I3638" s="99"/>
      <c r="J3638" s="99"/>
      <c r="K3638" s="99"/>
      <c r="L3638" s="99"/>
      <c r="M3638" s="99"/>
      <c r="N3638" s="99"/>
      <c r="O3638" s="99"/>
      <c r="P3638" s="99"/>
      <c r="Q3638" s="99"/>
      <c r="R3638" s="99"/>
      <c r="S3638" s="99"/>
      <c r="T3638" s="99"/>
      <c r="U3638" s="99"/>
      <c r="V3638" s="99"/>
    </row>
    <row r="3639" spans="1:22">
      <c r="A3639" s="297"/>
      <c r="B3639" s="217"/>
      <c r="C3639" s="217"/>
      <c r="D3639" s="101"/>
      <c r="E3639" s="101"/>
      <c r="F3639" s="294"/>
      <c r="G3639" s="295"/>
      <c r="H3639" s="98"/>
      <c r="I3639" s="99"/>
      <c r="J3639" s="99"/>
      <c r="K3639" s="99"/>
      <c r="L3639" s="99"/>
      <c r="M3639" s="99"/>
      <c r="N3639" s="99"/>
      <c r="O3639" s="99"/>
      <c r="P3639" s="99"/>
      <c r="Q3639" s="99"/>
      <c r="R3639" s="99"/>
      <c r="S3639" s="99"/>
      <c r="T3639" s="99"/>
      <c r="U3639" s="99"/>
      <c r="V3639" s="99"/>
    </row>
    <row r="3640" spans="1:22">
      <c r="A3640" s="297"/>
      <c r="B3640" s="217"/>
      <c r="C3640" s="217"/>
      <c r="D3640" s="101"/>
      <c r="E3640" s="101"/>
      <c r="F3640" s="294"/>
      <c r="G3640" s="295"/>
      <c r="H3640" s="98"/>
      <c r="I3640" s="99"/>
      <c r="J3640" s="99"/>
      <c r="K3640" s="99"/>
      <c r="L3640" s="99"/>
      <c r="M3640" s="99"/>
      <c r="N3640" s="99"/>
      <c r="O3640" s="99"/>
      <c r="P3640" s="99"/>
      <c r="Q3640" s="99"/>
      <c r="R3640" s="99"/>
      <c r="S3640" s="99"/>
      <c r="T3640" s="99"/>
      <c r="U3640" s="99"/>
      <c r="V3640" s="99"/>
    </row>
    <row r="3641" spans="1:22">
      <c r="A3641" s="297"/>
      <c r="B3641" s="217"/>
      <c r="C3641" s="217"/>
      <c r="D3641" s="101"/>
      <c r="E3641" s="101"/>
      <c r="F3641" s="294"/>
      <c r="G3641" s="295"/>
      <c r="H3641" s="98"/>
      <c r="I3641" s="99"/>
      <c r="J3641" s="99"/>
      <c r="K3641" s="99"/>
      <c r="L3641" s="99"/>
      <c r="M3641" s="99"/>
      <c r="N3641" s="99"/>
      <c r="O3641" s="99"/>
      <c r="P3641" s="99"/>
      <c r="Q3641" s="99"/>
      <c r="R3641" s="99"/>
      <c r="S3641" s="99"/>
      <c r="T3641" s="99"/>
      <c r="U3641" s="99"/>
      <c r="V3641" s="99"/>
    </row>
    <row r="3642" spans="1:22">
      <c r="A3642" s="297"/>
      <c r="B3642" s="217"/>
      <c r="C3642" s="217"/>
      <c r="D3642" s="101"/>
      <c r="E3642" s="101"/>
      <c r="F3642" s="294"/>
      <c r="G3642" s="295"/>
      <c r="H3642" s="98"/>
      <c r="I3642" s="99"/>
      <c r="J3642" s="99"/>
      <c r="K3642" s="99"/>
      <c r="L3642" s="99"/>
      <c r="M3642" s="99"/>
      <c r="N3642" s="99"/>
      <c r="O3642" s="99"/>
      <c r="P3642" s="99"/>
      <c r="Q3642" s="99"/>
      <c r="R3642" s="99"/>
      <c r="S3642" s="99"/>
      <c r="T3642" s="99"/>
      <c r="U3642" s="99"/>
      <c r="V3642" s="99"/>
    </row>
    <row r="3643" spans="1:22">
      <c r="A3643" s="297"/>
      <c r="B3643" s="217"/>
      <c r="C3643" s="217"/>
      <c r="D3643" s="101"/>
      <c r="E3643" s="101"/>
      <c r="F3643" s="294"/>
      <c r="G3643" s="295"/>
      <c r="H3643" s="98"/>
      <c r="I3643" s="99"/>
      <c r="J3643" s="99"/>
      <c r="K3643" s="99"/>
      <c r="L3643" s="99"/>
      <c r="M3643" s="99"/>
      <c r="N3643" s="99"/>
      <c r="O3643" s="99"/>
      <c r="P3643" s="99"/>
      <c r="Q3643" s="99"/>
      <c r="R3643" s="99"/>
      <c r="S3643" s="99"/>
      <c r="T3643" s="99"/>
      <c r="U3643" s="99"/>
      <c r="V3643" s="99"/>
    </row>
    <row r="3644" spans="1:22">
      <c r="A3644" s="297"/>
      <c r="B3644" s="217"/>
      <c r="C3644" s="217"/>
      <c r="D3644" s="101"/>
      <c r="E3644" s="101"/>
      <c r="F3644" s="294"/>
      <c r="G3644" s="295"/>
      <c r="H3644" s="98"/>
      <c r="I3644" s="99"/>
      <c r="J3644" s="99"/>
      <c r="K3644" s="99"/>
      <c r="L3644" s="99"/>
      <c r="M3644" s="99"/>
      <c r="N3644" s="99"/>
      <c r="O3644" s="99"/>
      <c r="P3644" s="99"/>
      <c r="Q3644" s="99"/>
      <c r="R3644" s="99"/>
      <c r="S3644" s="99"/>
      <c r="T3644" s="99"/>
      <c r="U3644" s="99"/>
      <c r="V3644" s="99"/>
    </row>
    <row r="3645" spans="1:22">
      <c r="A3645" s="297"/>
      <c r="B3645" s="217"/>
      <c r="C3645" s="217"/>
      <c r="D3645" s="101"/>
      <c r="E3645" s="101"/>
      <c r="F3645" s="294"/>
      <c r="G3645" s="295"/>
      <c r="H3645" s="98"/>
      <c r="I3645" s="99"/>
      <c r="J3645" s="99"/>
      <c r="K3645" s="99"/>
      <c r="L3645" s="99"/>
      <c r="M3645" s="99"/>
      <c r="N3645" s="99"/>
      <c r="O3645" s="99"/>
      <c r="P3645" s="99"/>
      <c r="Q3645" s="99"/>
      <c r="R3645" s="99"/>
      <c r="S3645" s="99"/>
      <c r="T3645" s="99"/>
      <c r="U3645" s="99"/>
      <c r="V3645" s="99"/>
    </row>
    <row r="3646" spans="1:22">
      <c r="A3646" s="297"/>
      <c r="B3646" s="217"/>
      <c r="C3646" s="217"/>
      <c r="D3646" s="101"/>
      <c r="E3646" s="101"/>
      <c r="F3646" s="294"/>
      <c r="G3646" s="295"/>
      <c r="H3646" s="98"/>
      <c r="I3646" s="99"/>
      <c r="J3646" s="99"/>
      <c r="K3646" s="99"/>
      <c r="L3646" s="99"/>
      <c r="M3646" s="99"/>
      <c r="N3646" s="99"/>
      <c r="O3646" s="99"/>
      <c r="P3646" s="99"/>
      <c r="Q3646" s="99"/>
      <c r="R3646" s="99"/>
      <c r="S3646" s="99"/>
      <c r="T3646" s="99"/>
      <c r="U3646" s="99"/>
      <c r="V3646" s="99"/>
    </row>
    <row r="3647" spans="1:22">
      <c r="A3647" s="297"/>
      <c r="B3647" s="217"/>
      <c r="C3647" s="217"/>
      <c r="D3647" s="101"/>
      <c r="E3647" s="101"/>
      <c r="F3647" s="294"/>
      <c r="G3647" s="295"/>
      <c r="H3647" s="98"/>
      <c r="I3647" s="99"/>
      <c r="J3647" s="99"/>
      <c r="K3647" s="99"/>
      <c r="L3647" s="99"/>
      <c r="M3647" s="99"/>
      <c r="N3647" s="99"/>
      <c r="O3647" s="99"/>
      <c r="P3647" s="99"/>
      <c r="Q3647" s="99"/>
      <c r="R3647" s="99"/>
      <c r="S3647" s="99"/>
      <c r="T3647" s="99"/>
      <c r="U3647" s="99"/>
      <c r="V3647" s="99"/>
    </row>
    <row r="3648" spans="1:22">
      <c r="A3648" s="297"/>
      <c r="B3648" s="217"/>
      <c r="C3648" s="217"/>
      <c r="D3648" s="101"/>
      <c r="E3648" s="101"/>
      <c r="F3648" s="294"/>
      <c r="G3648" s="295"/>
      <c r="H3648" s="98"/>
      <c r="I3648" s="99"/>
      <c r="J3648" s="99"/>
      <c r="K3648" s="99"/>
      <c r="L3648" s="99"/>
      <c r="M3648" s="99"/>
      <c r="N3648" s="99"/>
      <c r="O3648" s="99"/>
      <c r="P3648" s="99"/>
      <c r="Q3648" s="99"/>
      <c r="R3648" s="99"/>
      <c r="S3648" s="99"/>
      <c r="T3648" s="99"/>
      <c r="U3648" s="99"/>
      <c r="V3648" s="99"/>
    </row>
    <row r="3649" spans="1:22">
      <c r="A3649" s="297"/>
      <c r="B3649" s="217"/>
      <c r="C3649" s="217"/>
      <c r="D3649" s="101"/>
      <c r="E3649" s="101"/>
      <c r="F3649" s="294"/>
      <c r="G3649" s="295"/>
      <c r="H3649" s="98"/>
      <c r="I3649" s="99"/>
      <c r="J3649" s="99"/>
      <c r="K3649" s="99"/>
      <c r="L3649" s="99"/>
      <c r="M3649" s="99"/>
      <c r="N3649" s="99"/>
      <c r="O3649" s="99"/>
      <c r="P3649" s="99"/>
      <c r="Q3649" s="99"/>
      <c r="R3649" s="99"/>
      <c r="S3649" s="99"/>
      <c r="T3649" s="99"/>
      <c r="U3649" s="99"/>
      <c r="V3649" s="99"/>
    </row>
    <row r="3650" spans="1:22">
      <c r="A3650" s="297"/>
      <c r="B3650" s="217"/>
      <c r="C3650" s="217"/>
      <c r="D3650" s="101"/>
      <c r="E3650" s="101"/>
      <c r="F3650" s="294"/>
      <c r="G3650" s="295"/>
      <c r="H3650" s="98"/>
      <c r="I3650" s="99"/>
      <c r="J3650" s="99"/>
      <c r="K3650" s="99"/>
      <c r="L3650" s="99"/>
      <c r="M3650" s="99"/>
      <c r="N3650" s="99"/>
      <c r="O3650" s="99"/>
      <c r="P3650" s="99"/>
      <c r="Q3650" s="99"/>
      <c r="R3650" s="99"/>
      <c r="S3650" s="99"/>
      <c r="T3650" s="99"/>
      <c r="U3650" s="99"/>
      <c r="V3650" s="99"/>
    </row>
    <row r="3651" spans="1:22">
      <c r="A3651" s="297"/>
      <c r="B3651" s="217"/>
      <c r="C3651" s="217"/>
      <c r="D3651" s="101"/>
      <c r="E3651" s="101"/>
      <c r="F3651" s="294"/>
      <c r="G3651" s="295"/>
      <c r="H3651" s="98"/>
      <c r="I3651" s="99"/>
      <c r="J3651" s="99"/>
      <c r="K3651" s="99"/>
      <c r="L3651" s="99"/>
      <c r="M3651" s="99"/>
      <c r="N3651" s="99"/>
      <c r="O3651" s="99"/>
      <c r="P3651" s="99"/>
      <c r="Q3651" s="99"/>
      <c r="R3651" s="99"/>
      <c r="S3651" s="99"/>
      <c r="T3651" s="99"/>
      <c r="U3651" s="99"/>
      <c r="V3651" s="99"/>
    </row>
    <row r="3652" spans="1:22">
      <c r="A3652" s="297"/>
      <c r="B3652" s="217"/>
      <c r="C3652" s="217"/>
      <c r="D3652" s="101"/>
      <c r="E3652" s="101"/>
      <c r="F3652" s="294"/>
      <c r="G3652" s="295"/>
      <c r="H3652" s="98"/>
      <c r="I3652" s="99"/>
      <c r="J3652" s="99"/>
      <c r="K3652" s="99"/>
      <c r="L3652" s="99"/>
      <c r="M3652" s="99"/>
      <c r="N3652" s="99"/>
      <c r="O3652" s="99"/>
      <c r="P3652" s="99"/>
      <c r="Q3652" s="99"/>
      <c r="R3652" s="99"/>
      <c r="S3652" s="99"/>
      <c r="T3652" s="99"/>
      <c r="U3652" s="99"/>
      <c r="V3652" s="99"/>
    </row>
    <row r="3653" spans="1:22">
      <c r="A3653" s="297"/>
      <c r="B3653" s="217"/>
      <c r="C3653" s="217"/>
      <c r="D3653" s="101"/>
      <c r="E3653" s="101"/>
      <c r="F3653" s="294"/>
      <c r="G3653" s="295"/>
      <c r="H3653" s="98"/>
      <c r="I3653" s="99"/>
      <c r="J3653" s="99"/>
      <c r="K3653" s="99"/>
      <c r="L3653" s="99"/>
      <c r="M3653" s="99"/>
      <c r="N3653" s="99"/>
      <c r="O3653" s="99"/>
      <c r="P3653" s="99"/>
      <c r="Q3653" s="99"/>
      <c r="R3653" s="99"/>
      <c r="S3653" s="99"/>
      <c r="T3653" s="99"/>
      <c r="U3653" s="99"/>
      <c r="V3653" s="99"/>
    </row>
    <row r="3654" spans="1:22">
      <c r="A3654" s="297"/>
      <c r="B3654" s="217"/>
      <c r="C3654" s="217"/>
      <c r="D3654" s="101"/>
      <c r="E3654" s="101"/>
      <c r="F3654" s="294"/>
      <c r="G3654" s="295"/>
      <c r="H3654" s="98"/>
      <c r="I3654" s="99"/>
      <c r="J3654" s="99"/>
      <c r="K3654" s="99"/>
      <c r="L3654" s="99"/>
      <c r="M3654" s="99"/>
      <c r="N3654" s="99"/>
      <c r="O3654" s="99"/>
      <c r="P3654" s="99"/>
      <c r="Q3654" s="99"/>
      <c r="R3654" s="99"/>
      <c r="S3654" s="99"/>
      <c r="T3654" s="99"/>
      <c r="U3654" s="99"/>
      <c r="V3654" s="99"/>
    </row>
    <row r="3655" spans="1:22">
      <c r="A3655" s="297"/>
      <c r="B3655" s="217"/>
      <c r="C3655" s="217"/>
      <c r="D3655" s="101"/>
      <c r="E3655" s="101"/>
      <c r="F3655" s="294"/>
      <c r="G3655" s="295"/>
      <c r="H3655" s="98"/>
      <c r="I3655" s="99"/>
      <c r="J3655" s="99"/>
      <c r="K3655" s="99"/>
      <c r="L3655" s="99"/>
      <c r="M3655" s="99"/>
      <c r="N3655" s="99"/>
      <c r="O3655" s="99"/>
      <c r="P3655" s="99"/>
      <c r="Q3655" s="99"/>
      <c r="R3655" s="99"/>
      <c r="S3655" s="99"/>
      <c r="T3655" s="99"/>
      <c r="U3655" s="99"/>
      <c r="V3655" s="99"/>
    </row>
    <row r="3656" spans="1:22">
      <c r="A3656" s="297"/>
      <c r="B3656" s="217"/>
      <c r="C3656" s="217"/>
      <c r="D3656" s="101"/>
      <c r="E3656" s="101"/>
      <c r="F3656" s="294"/>
      <c r="G3656" s="295"/>
      <c r="H3656" s="98"/>
      <c r="I3656" s="99"/>
      <c r="J3656" s="99"/>
      <c r="K3656" s="99"/>
      <c r="L3656" s="99"/>
      <c r="M3656" s="99"/>
      <c r="N3656" s="99"/>
      <c r="O3656" s="99"/>
      <c r="P3656" s="99"/>
      <c r="Q3656" s="99"/>
      <c r="R3656" s="99"/>
      <c r="S3656" s="99"/>
      <c r="T3656" s="99"/>
      <c r="U3656" s="99"/>
      <c r="V3656" s="99"/>
    </row>
    <row r="3657" spans="1:22">
      <c r="A3657" s="297"/>
      <c r="B3657" s="217"/>
      <c r="C3657" s="217"/>
      <c r="D3657" s="101"/>
      <c r="E3657" s="101"/>
      <c r="F3657" s="294"/>
      <c r="G3657" s="295"/>
      <c r="H3657" s="98"/>
      <c r="I3657" s="99"/>
      <c r="J3657" s="99"/>
      <c r="K3657" s="99"/>
      <c r="L3657" s="99"/>
      <c r="M3657" s="99"/>
      <c r="N3657" s="99"/>
      <c r="O3657" s="99"/>
      <c r="P3657" s="99"/>
      <c r="Q3657" s="99"/>
      <c r="R3657" s="99"/>
      <c r="S3657" s="99"/>
      <c r="T3657" s="99"/>
      <c r="U3657" s="99"/>
      <c r="V3657" s="99"/>
    </row>
    <row r="3658" spans="1:22">
      <c r="A3658" s="297"/>
      <c r="B3658" s="217"/>
      <c r="C3658" s="217"/>
      <c r="D3658" s="101"/>
      <c r="E3658" s="101"/>
      <c r="F3658" s="294"/>
      <c r="G3658" s="295"/>
      <c r="H3658" s="98"/>
      <c r="I3658" s="99"/>
      <c r="J3658" s="99"/>
      <c r="K3658" s="99"/>
      <c r="L3658" s="99"/>
      <c r="M3658" s="99"/>
      <c r="N3658" s="99"/>
      <c r="O3658" s="99"/>
      <c r="P3658" s="99"/>
      <c r="Q3658" s="99"/>
      <c r="R3658" s="99"/>
      <c r="S3658" s="99"/>
      <c r="T3658" s="99"/>
      <c r="U3658" s="99"/>
      <c r="V3658" s="99"/>
    </row>
    <row r="3659" spans="1:22">
      <c r="A3659" s="297"/>
      <c r="B3659" s="217"/>
      <c r="C3659" s="217"/>
      <c r="D3659" s="101"/>
      <c r="E3659" s="101"/>
      <c r="F3659" s="294"/>
      <c r="G3659" s="295"/>
      <c r="H3659" s="98"/>
      <c r="I3659" s="99"/>
      <c r="J3659" s="99"/>
      <c r="K3659" s="99"/>
      <c r="L3659" s="99"/>
      <c r="M3659" s="99"/>
      <c r="N3659" s="99"/>
      <c r="O3659" s="99"/>
      <c r="P3659" s="99"/>
      <c r="Q3659" s="99"/>
      <c r="R3659" s="99"/>
      <c r="S3659" s="99"/>
      <c r="T3659" s="99"/>
      <c r="U3659" s="99"/>
      <c r="V3659" s="99"/>
    </row>
    <row r="3660" spans="1:22">
      <c r="A3660" s="297"/>
      <c r="B3660" s="217"/>
      <c r="C3660" s="217"/>
      <c r="D3660" s="101"/>
      <c r="E3660" s="101"/>
      <c r="F3660" s="294"/>
      <c r="G3660" s="295"/>
      <c r="H3660" s="98"/>
      <c r="I3660" s="99"/>
      <c r="J3660" s="99"/>
      <c r="K3660" s="99"/>
      <c r="L3660" s="99"/>
      <c r="M3660" s="99"/>
      <c r="N3660" s="99"/>
      <c r="O3660" s="99"/>
      <c r="P3660" s="99"/>
      <c r="Q3660" s="99"/>
      <c r="R3660" s="99"/>
      <c r="S3660" s="99"/>
      <c r="T3660" s="99"/>
      <c r="U3660" s="99"/>
      <c r="V3660" s="99"/>
    </row>
    <row r="3661" spans="1:22">
      <c r="A3661" s="297"/>
      <c r="B3661" s="217"/>
      <c r="C3661" s="217"/>
      <c r="D3661" s="101"/>
      <c r="E3661" s="101"/>
      <c r="F3661" s="294"/>
      <c r="G3661" s="295"/>
      <c r="H3661" s="107"/>
      <c r="I3661" s="108"/>
      <c r="J3661" s="108"/>
      <c r="K3661" s="108"/>
      <c r="L3661" s="108"/>
      <c r="M3661" s="108"/>
      <c r="N3661" s="108"/>
      <c r="O3661" s="108"/>
      <c r="P3661" s="108"/>
      <c r="Q3661" s="108"/>
      <c r="R3661" s="108"/>
      <c r="S3661" s="108"/>
      <c r="T3661" s="108"/>
      <c r="U3661" s="233"/>
      <c r="V3661" s="233"/>
    </row>
    <row r="3662" spans="1:22">
      <c r="A3662" s="297"/>
      <c r="B3662" s="217"/>
      <c r="C3662" s="217"/>
      <c r="D3662" s="101"/>
      <c r="E3662" s="101"/>
      <c r="F3662" s="294"/>
      <c r="G3662" s="295"/>
      <c r="H3662" s="98"/>
      <c r="I3662" s="106"/>
      <c r="J3662" s="106"/>
      <c r="K3662" s="106"/>
      <c r="L3662" s="106"/>
      <c r="M3662" s="106"/>
      <c r="N3662" s="112"/>
      <c r="O3662" s="112"/>
      <c r="P3662" s="112"/>
      <c r="Q3662" s="113"/>
      <c r="T3662" s="113"/>
      <c r="U3662" s="113"/>
      <c r="V3662" s="113"/>
    </row>
    <row r="3663" spans="1:22">
      <c r="A3663" s="297"/>
      <c r="B3663" s="217"/>
      <c r="C3663" s="217"/>
      <c r="D3663" s="101"/>
      <c r="E3663" s="101"/>
      <c r="F3663" s="294"/>
      <c r="G3663" s="295"/>
      <c r="H3663" s="98"/>
      <c r="I3663" s="99"/>
      <c r="J3663" s="99"/>
      <c r="K3663" s="99"/>
      <c r="L3663" s="99"/>
      <c r="M3663" s="99"/>
      <c r="N3663" s="99"/>
      <c r="O3663" s="99"/>
      <c r="P3663" s="99"/>
      <c r="Q3663" s="99"/>
      <c r="R3663" s="99"/>
      <c r="S3663" s="99"/>
      <c r="T3663" s="99"/>
      <c r="U3663" s="99"/>
      <c r="V3663" s="99"/>
    </row>
    <row r="3664" spans="1:22">
      <c r="A3664" s="297"/>
      <c r="B3664" s="217"/>
      <c r="C3664" s="217"/>
      <c r="D3664" s="101"/>
      <c r="E3664" s="101"/>
      <c r="F3664" s="294"/>
      <c r="G3664" s="295"/>
      <c r="H3664" s="98"/>
      <c r="I3664" s="99"/>
      <c r="J3664" s="99"/>
      <c r="K3664" s="99"/>
      <c r="L3664" s="99"/>
      <c r="M3664" s="99"/>
      <c r="N3664" s="99"/>
      <c r="O3664" s="99"/>
      <c r="P3664" s="99"/>
      <c r="Q3664" s="99"/>
      <c r="R3664" s="99"/>
      <c r="S3664" s="99"/>
      <c r="T3664" s="99"/>
      <c r="U3664" s="99"/>
      <c r="V3664" s="99"/>
    </row>
    <row r="3665" spans="1:22">
      <c r="A3665" s="297"/>
      <c r="B3665" s="217"/>
      <c r="C3665" s="217"/>
      <c r="D3665" s="101"/>
      <c r="E3665" s="101"/>
      <c r="F3665" s="294"/>
      <c r="G3665" s="295"/>
      <c r="H3665" s="98"/>
      <c r="I3665" s="99"/>
      <c r="J3665" s="99"/>
      <c r="K3665" s="99"/>
      <c r="L3665" s="99"/>
      <c r="M3665" s="99"/>
      <c r="N3665" s="99"/>
      <c r="O3665" s="99"/>
      <c r="P3665" s="99"/>
      <c r="Q3665" s="99"/>
      <c r="R3665" s="99"/>
      <c r="S3665" s="99"/>
      <c r="T3665" s="99"/>
      <c r="U3665" s="99"/>
      <c r="V3665" s="99"/>
    </row>
    <row r="3666" spans="1:22">
      <c r="A3666" s="297"/>
      <c r="B3666" s="217"/>
      <c r="C3666" s="217"/>
      <c r="D3666" s="101"/>
      <c r="E3666" s="101"/>
      <c r="F3666" s="294"/>
      <c r="G3666" s="295"/>
      <c r="H3666" s="98"/>
      <c r="I3666" s="99"/>
      <c r="J3666" s="99"/>
      <c r="K3666" s="99"/>
      <c r="L3666" s="99"/>
      <c r="M3666" s="99"/>
      <c r="N3666" s="99"/>
      <c r="O3666" s="99"/>
      <c r="P3666" s="99"/>
      <c r="Q3666" s="99"/>
      <c r="R3666" s="99"/>
      <c r="S3666" s="99"/>
      <c r="T3666" s="99"/>
      <c r="U3666" s="99"/>
      <c r="V3666" s="99"/>
    </row>
    <row r="3667" spans="1:22" ht="24" customHeight="1">
      <c r="A3667" s="297"/>
      <c r="B3667" s="217"/>
      <c r="C3667" s="217"/>
      <c r="D3667" s="101"/>
      <c r="E3667" s="101"/>
      <c r="F3667" s="294"/>
      <c r="G3667" s="295"/>
      <c r="H3667" s="98"/>
      <c r="I3667" s="99"/>
      <c r="J3667" s="99"/>
      <c r="K3667" s="99"/>
      <c r="L3667" s="99"/>
      <c r="M3667" s="99"/>
      <c r="N3667" s="99"/>
      <c r="O3667" s="99"/>
      <c r="P3667" s="99"/>
      <c r="Q3667" s="99"/>
      <c r="R3667" s="99"/>
      <c r="S3667" s="99"/>
      <c r="T3667" s="99"/>
      <c r="U3667" s="99"/>
      <c r="V3667" s="99"/>
    </row>
    <row r="3668" spans="1:22">
      <c r="A3668" s="297"/>
      <c r="B3668" s="217"/>
      <c r="C3668" s="217"/>
      <c r="D3668" s="101"/>
      <c r="E3668" s="101"/>
      <c r="F3668" s="294"/>
      <c r="G3668" s="295"/>
      <c r="H3668" s="98"/>
      <c r="I3668" s="99"/>
      <c r="J3668" s="99"/>
      <c r="K3668" s="99"/>
      <c r="L3668" s="99"/>
      <c r="M3668" s="99"/>
      <c r="N3668" s="99"/>
      <c r="O3668" s="99"/>
      <c r="P3668" s="99"/>
      <c r="Q3668" s="99"/>
      <c r="R3668" s="99"/>
      <c r="S3668" s="99"/>
      <c r="T3668" s="99"/>
      <c r="U3668" s="99"/>
      <c r="V3668" s="99"/>
    </row>
    <row r="3669" spans="1:22">
      <c r="A3669" s="297"/>
      <c r="B3669" s="217"/>
      <c r="C3669" s="217"/>
      <c r="D3669" s="101"/>
      <c r="E3669" s="101"/>
      <c r="F3669" s="294"/>
      <c r="G3669" s="295"/>
      <c r="H3669" s="98"/>
      <c r="I3669" s="99"/>
      <c r="J3669" s="99"/>
      <c r="K3669" s="99"/>
      <c r="L3669" s="99"/>
      <c r="M3669" s="99"/>
      <c r="N3669" s="99"/>
      <c r="O3669" s="99"/>
      <c r="P3669" s="99"/>
      <c r="Q3669" s="99"/>
      <c r="R3669" s="99"/>
      <c r="S3669" s="99"/>
      <c r="T3669" s="99"/>
      <c r="U3669" s="99"/>
      <c r="V3669" s="99"/>
    </row>
    <row r="3670" spans="1:22">
      <c r="A3670" s="297"/>
      <c r="B3670" s="217"/>
      <c r="C3670" s="217"/>
      <c r="D3670" s="101"/>
      <c r="E3670" s="101"/>
      <c r="F3670" s="294"/>
      <c r="G3670" s="295"/>
      <c r="H3670" s="107"/>
      <c r="I3670" s="108"/>
      <c r="J3670" s="108"/>
      <c r="K3670" s="108"/>
      <c r="L3670" s="108"/>
      <c r="M3670" s="108"/>
      <c r="N3670" s="109"/>
      <c r="O3670" s="109"/>
      <c r="P3670" s="109"/>
      <c r="Q3670" s="109"/>
      <c r="R3670" s="109"/>
      <c r="S3670" s="109"/>
      <c r="T3670" s="109"/>
      <c r="U3670" s="202"/>
      <c r="V3670" s="202"/>
    </row>
    <row r="3671" spans="1:22">
      <c r="A3671" s="297"/>
      <c r="B3671" s="217"/>
      <c r="C3671" s="217"/>
      <c r="D3671" s="101"/>
      <c r="E3671" s="101"/>
      <c r="F3671" s="294"/>
      <c r="G3671" s="295"/>
      <c r="H3671" s="98"/>
      <c r="I3671" s="106"/>
      <c r="J3671" s="106"/>
      <c r="K3671" s="106"/>
      <c r="L3671" s="106"/>
      <c r="M3671" s="106"/>
      <c r="N3671" s="112"/>
      <c r="O3671" s="112"/>
      <c r="P3671" s="112"/>
      <c r="Q3671" s="113"/>
      <c r="R3671" s="113"/>
      <c r="S3671" s="113"/>
      <c r="T3671" s="113"/>
      <c r="U3671" s="113"/>
      <c r="V3671" s="113"/>
    </row>
    <row r="3672" spans="1:22">
      <c r="A3672" s="297"/>
      <c r="B3672" s="217"/>
      <c r="C3672" s="217"/>
      <c r="D3672" s="101"/>
      <c r="E3672" s="101"/>
      <c r="F3672" s="294"/>
      <c r="G3672" s="295"/>
      <c r="H3672" s="114"/>
      <c r="I3672" s="108"/>
      <c r="J3672" s="108"/>
      <c r="K3672" s="108"/>
      <c r="L3672" s="108"/>
      <c r="M3672" s="108"/>
      <c r="N3672" s="108"/>
      <c r="O3672" s="108"/>
      <c r="P3672" s="108"/>
      <c r="Q3672" s="108"/>
      <c r="R3672" s="108"/>
      <c r="S3672" s="108"/>
      <c r="T3672" s="108"/>
      <c r="U3672" s="233"/>
      <c r="V3672" s="233"/>
    </row>
    <row r="3673" spans="1:22">
      <c r="A3673" s="297"/>
      <c r="B3673" s="217"/>
      <c r="C3673" s="217"/>
      <c r="D3673" s="101"/>
      <c r="E3673" s="101"/>
      <c r="F3673" s="294"/>
      <c r="G3673" s="295"/>
      <c r="H3673" s="98"/>
      <c r="I3673" s="218"/>
      <c r="J3673" s="218"/>
      <c r="K3673" s="218"/>
      <c r="L3673" s="218"/>
      <c r="M3673" s="218"/>
      <c r="U3673" s="212"/>
      <c r="V3673" s="212"/>
    </row>
    <row r="3674" spans="1:22" ht="14.4" thickBot="1">
      <c r="A3674" s="297"/>
      <c r="B3674" s="217"/>
      <c r="C3674" s="217"/>
      <c r="D3674" s="101"/>
      <c r="E3674" s="101"/>
      <c r="F3674" s="294"/>
      <c r="G3674" s="295"/>
      <c r="H3674" s="98"/>
      <c r="I3674" s="218"/>
      <c r="J3674" s="218"/>
      <c r="K3674" s="218"/>
      <c r="L3674" s="218"/>
      <c r="M3674" s="218"/>
      <c r="U3674" s="212"/>
      <c r="V3674" s="212"/>
    </row>
    <row r="3675" spans="1:22" ht="23.4" thickBot="1">
      <c r="A3675" s="297"/>
      <c r="B3675" s="217"/>
      <c r="C3675" s="217"/>
      <c r="D3675" s="101"/>
      <c r="E3675" s="101"/>
      <c r="F3675" s="294"/>
      <c r="G3675" s="295"/>
      <c r="H3675" s="686"/>
      <c r="I3675" s="687"/>
      <c r="J3675" s="687"/>
      <c r="K3675" s="687"/>
      <c r="L3675" s="687"/>
      <c r="M3675" s="687"/>
      <c r="N3675" s="687"/>
      <c r="O3675" s="687"/>
      <c r="P3675" s="687"/>
      <c r="Q3675" s="687"/>
      <c r="R3675" s="687"/>
      <c r="S3675" s="715"/>
      <c r="T3675" s="688"/>
      <c r="U3675" s="254"/>
      <c r="V3675" s="254"/>
    </row>
    <row r="3676" spans="1:22" ht="22.8">
      <c r="A3676" s="297"/>
      <c r="B3676" s="217"/>
      <c r="C3676" s="217"/>
      <c r="D3676" s="101"/>
      <c r="E3676" s="101"/>
      <c r="F3676" s="294"/>
      <c r="G3676" s="295"/>
      <c r="H3676" s="225"/>
      <c r="I3676" s="225"/>
      <c r="J3676" s="225"/>
      <c r="K3676" s="225"/>
      <c r="L3676" s="225"/>
      <c r="M3676" s="225"/>
      <c r="N3676" s="225"/>
      <c r="O3676" s="225"/>
      <c r="P3676" s="225"/>
      <c r="Q3676" s="225"/>
      <c r="R3676" s="225"/>
      <c r="S3676" s="225"/>
      <c r="T3676" s="225"/>
      <c r="U3676" s="225"/>
      <c r="V3676" s="225"/>
    </row>
    <row r="3677" spans="1:22">
      <c r="A3677" s="297"/>
      <c r="B3677" s="217"/>
      <c r="C3677" s="217"/>
      <c r="D3677" s="101"/>
      <c r="E3677" s="101"/>
      <c r="F3677" s="294"/>
      <c r="G3677" s="295"/>
      <c r="H3677" s="98"/>
      <c r="I3677" s="99"/>
      <c r="J3677" s="99"/>
      <c r="K3677" s="99"/>
      <c r="L3677" s="99"/>
      <c r="M3677" s="99"/>
      <c r="N3677" s="99"/>
      <c r="O3677" s="99"/>
      <c r="P3677" s="99"/>
      <c r="Q3677" s="99"/>
      <c r="R3677" s="99"/>
      <c r="S3677" s="99"/>
      <c r="T3677" s="99"/>
      <c r="U3677" s="99"/>
      <c r="V3677" s="99"/>
    </row>
    <row r="3678" spans="1:22">
      <c r="A3678" s="297"/>
      <c r="B3678" s="217"/>
      <c r="C3678" s="217"/>
      <c r="D3678" s="101"/>
      <c r="E3678" s="101"/>
      <c r="F3678" s="294"/>
      <c r="G3678" s="295"/>
      <c r="H3678" s="98"/>
      <c r="I3678" s="99"/>
      <c r="J3678" s="99"/>
      <c r="K3678" s="99"/>
      <c r="L3678" s="99"/>
      <c r="M3678" s="99"/>
      <c r="N3678" s="99"/>
      <c r="O3678" s="99"/>
      <c r="P3678" s="99"/>
      <c r="Q3678" s="99"/>
      <c r="R3678" s="99"/>
      <c r="S3678" s="99"/>
      <c r="T3678" s="99"/>
      <c r="U3678" s="99"/>
      <c r="V3678" s="99"/>
    </row>
    <row r="3679" spans="1:22">
      <c r="A3679" s="297"/>
      <c r="B3679" s="217"/>
      <c r="C3679" s="217"/>
      <c r="D3679" s="101"/>
      <c r="E3679" s="101"/>
      <c r="F3679" s="294"/>
      <c r="G3679" s="295"/>
      <c r="H3679" s="98"/>
      <c r="I3679" s="99"/>
      <c r="J3679" s="99"/>
      <c r="K3679" s="99"/>
      <c r="L3679" s="99"/>
      <c r="M3679" s="99"/>
      <c r="N3679" s="99"/>
      <c r="O3679" s="99"/>
      <c r="P3679" s="99"/>
      <c r="Q3679" s="99"/>
      <c r="R3679" s="99"/>
      <c r="S3679" s="99"/>
      <c r="T3679" s="99"/>
      <c r="U3679" s="99"/>
      <c r="V3679" s="99"/>
    </row>
    <row r="3680" spans="1:22">
      <c r="A3680" s="297"/>
      <c r="B3680" s="217"/>
      <c r="C3680" s="217"/>
      <c r="D3680" s="101"/>
      <c r="E3680" s="101"/>
      <c r="F3680" s="294"/>
      <c r="G3680" s="295"/>
      <c r="H3680" s="98"/>
      <c r="I3680" s="99"/>
      <c r="J3680" s="99"/>
      <c r="K3680" s="99"/>
      <c r="L3680" s="99"/>
      <c r="M3680" s="99"/>
      <c r="N3680" s="99"/>
      <c r="O3680" s="99"/>
      <c r="P3680" s="99"/>
      <c r="Q3680" s="99"/>
      <c r="R3680" s="99"/>
      <c r="S3680" s="99"/>
      <c r="T3680" s="99"/>
      <c r="U3680" s="99"/>
      <c r="V3680" s="99"/>
    </row>
    <row r="3681" spans="1:22">
      <c r="A3681" s="297"/>
      <c r="B3681" s="217"/>
      <c r="C3681" s="217"/>
      <c r="D3681" s="101"/>
      <c r="E3681" s="101"/>
      <c r="F3681" s="294"/>
      <c r="G3681" s="295"/>
      <c r="H3681" s="98"/>
      <c r="I3681" s="99"/>
      <c r="J3681" s="99"/>
      <c r="K3681" s="99"/>
      <c r="L3681" s="99"/>
      <c r="M3681" s="99"/>
      <c r="N3681" s="99"/>
      <c r="O3681" s="99"/>
      <c r="P3681" s="99"/>
      <c r="Q3681" s="99"/>
      <c r="R3681" s="99"/>
      <c r="S3681" s="99"/>
      <c r="T3681" s="99"/>
      <c r="U3681" s="99"/>
      <c r="V3681" s="99"/>
    </row>
    <row r="3682" spans="1:22">
      <c r="A3682" s="297"/>
      <c r="B3682" s="217"/>
      <c r="C3682" s="217"/>
      <c r="D3682" s="101"/>
      <c r="E3682" s="101"/>
      <c r="F3682" s="294"/>
      <c r="G3682" s="295"/>
      <c r="H3682" s="98"/>
      <c r="I3682" s="99"/>
      <c r="J3682" s="99"/>
      <c r="K3682" s="99"/>
      <c r="L3682" s="99"/>
      <c r="M3682" s="99"/>
      <c r="N3682" s="99"/>
      <c r="O3682" s="99"/>
      <c r="P3682" s="99"/>
      <c r="Q3682" s="99"/>
      <c r="R3682" s="99"/>
      <c r="S3682" s="99"/>
      <c r="T3682" s="99"/>
      <c r="U3682" s="99"/>
      <c r="V3682" s="99"/>
    </row>
    <row r="3683" spans="1:22">
      <c r="A3683" s="297"/>
      <c r="B3683" s="217"/>
      <c r="C3683" s="217"/>
      <c r="D3683" s="101"/>
      <c r="E3683" s="101"/>
      <c r="F3683" s="294"/>
      <c r="G3683" s="295"/>
      <c r="H3683" s="98"/>
      <c r="I3683" s="99"/>
      <c r="J3683" s="99"/>
      <c r="K3683" s="99"/>
      <c r="L3683" s="99"/>
      <c r="M3683" s="99"/>
      <c r="N3683" s="99"/>
      <c r="O3683" s="99"/>
      <c r="P3683" s="99"/>
      <c r="Q3683" s="99"/>
      <c r="R3683" s="99"/>
      <c r="S3683" s="99"/>
      <c r="T3683" s="99"/>
      <c r="U3683" s="99"/>
      <c r="V3683" s="99"/>
    </row>
    <row r="3684" spans="1:22">
      <c r="A3684" s="297"/>
      <c r="B3684" s="217"/>
      <c r="C3684" s="217"/>
      <c r="D3684" s="101"/>
      <c r="E3684" s="101"/>
      <c r="F3684" s="294"/>
      <c r="G3684" s="295"/>
      <c r="H3684" s="98"/>
      <c r="I3684" s="99"/>
      <c r="J3684" s="99"/>
      <c r="K3684" s="99"/>
      <c r="L3684" s="99"/>
      <c r="M3684" s="99"/>
      <c r="N3684" s="99"/>
      <c r="O3684" s="99"/>
      <c r="P3684" s="99"/>
      <c r="Q3684" s="99"/>
      <c r="R3684" s="99"/>
      <c r="S3684" s="99"/>
      <c r="T3684" s="99"/>
      <c r="U3684" s="99"/>
      <c r="V3684" s="99"/>
    </row>
    <row r="3685" spans="1:22">
      <c r="A3685" s="297"/>
      <c r="B3685" s="217"/>
      <c r="C3685" s="217"/>
      <c r="D3685" s="101"/>
      <c r="E3685" s="101"/>
      <c r="F3685" s="294"/>
      <c r="G3685" s="295"/>
      <c r="H3685" s="98"/>
      <c r="I3685" s="99"/>
      <c r="J3685" s="99"/>
      <c r="K3685" s="99"/>
      <c r="L3685" s="99"/>
      <c r="M3685" s="99"/>
      <c r="N3685" s="99"/>
      <c r="O3685" s="99"/>
      <c r="P3685" s="99"/>
      <c r="Q3685" s="99"/>
      <c r="R3685" s="99"/>
      <c r="S3685" s="99"/>
      <c r="T3685" s="99"/>
      <c r="U3685" s="99"/>
      <c r="V3685" s="99"/>
    </row>
    <row r="3686" spans="1:22">
      <c r="A3686" s="297"/>
      <c r="B3686" s="217"/>
      <c r="C3686" s="217"/>
      <c r="D3686" s="101"/>
      <c r="E3686" s="101"/>
      <c r="F3686" s="294"/>
      <c r="G3686" s="295"/>
      <c r="H3686" s="98"/>
      <c r="I3686" s="99"/>
      <c r="J3686" s="99"/>
      <c r="K3686" s="99"/>
      <c r="L3686" s="99"/>
      <c r="M3686" s="99"/>
      <c r="N3686" s="99"/>
      <c r="O3686" s="99"/>
      <c r="P3686" s="99"/>
      <c r="Q3686" s="99"/>
      <c r="R3686" s="99"/>
      <c r="S3686" s="99"/>
      <c r="T3686" s="99"/>
      <c r="U3686" s="99"/>
      <c r="V3686" s="99"/>
    </row>
    <row r="3687" spans="1:22">
      <c r="A3687" s="297"/>
      <c r="B3687" s="217"/>
      <c r="C3687" s="217"/>
      <c r="D3687" s="101"/>
      <c r="E3687" s="101"/>
      <c r="F3687" s="294"/>
      <c r="G3687" s="295"/>
      <c r="H3687" s="98"/>
      <c r="I3687" s="99"/>
      <c r="J3687" s="99"/>
      <c r="K3687" s="99"/>
      <c r="L3687" s="99"/>
      <c r="M3687" s="99"/>
      <c r="N3687" s="99"/>
      <c r="O3687" s="99"/>
      <c r="P3687" s="99"/>
      <c r="Q3687" s="99"/>
      <c r="R3687" s="99"/>
      <c r="S3687" s="99"/>
      <c r="T3687" s="99"/>
      <c r="U3687" s="99"/>
      <c r="V3687" s="99"/>
    </row>
    <row r="3688" spans="1:22">
      <c r="A3688" s="297"/>
      <c r="B3688" s="217"/>
      <c r="C3688" s="217"/>
      <c r="D3688" s="101"/>
      <c r="E3688" s="101"/>
      <c r="F3688" s="294"/>
      <c r="G3688" s="295"/>
      <c r="H3688" s="98"/>
      <c r="I3688" s="99"/>
      <c r="J3688" s="99"/>
      <c r="K3688" s="99"/>
      <c r="L3688" s="99"/>
      <c r="M3688" s="99"/>
      <c r="N3688" s="99"/>
      <c r="O3688" s="99"/>
      <c r="P3688" s="99"/>
      <c r="Q3688" s="99"/>
      <c r="R3688" s="99"/>
      <c r="S3688" s="99"/>
      <c r="T3688" s="99"/>
      <c r="U3688" s="99"/>
      <c r="V3688" s="99"/>
    </row>
    <row r="3689" spans="1:22">
      <c r="A3689" s="297"/>
      <c r="B3689" s="217"/>
      <c r="C3689" s="217"/>
      <c r="D3689" s="101"/>
      <c r="E3689" s="101"/>
      <c r="F3689" s="294"/>
      <c r="G3689" s="295"/>
      <c r="H3689" s="98"/>
      <c r="I3689" s="99"/>
      <c r="J3689" s="99"/>
      <c r="K3689" s="99"/>
      <c r="L3689" s="99"/>
      <c r="M3689" s="99"/>
      <c r="N3689" s="99"/>
      <c r="O3689" s="99"/>
      <c r="P3689" s="99"/>
      <c r="Q3689" s="99"/>
      <c r="R3689" s="99"/>
      <c r="S3689" s="99"/>
      <c r="T3689" s="99"/>
      <c r="U3689" s="99"/>
      <c r="V3689" s="99"/>
    </row>
    <row r="3690" spans="1:22">
      <c r="A3690" s="297"/>
      <c r="B3690" s="217"/>
      <c r="C3690" s="217"/>
      <c r="D3690" s="101"/>
      <c r="E3690" s="101"/>
      <c r="F3690" s="294"/>
      <c r="G3690" s="295"/>
      <c r="H3690" s="98"/>
      <c r="I3690" s="99"/>
      <c r="J3690" s="99"/>
      <c r="K3690" s="99"/>
      <c r="L3690" s="99"/>
      <c r="M3690" s="99"/>
      <c r="N3690" s="99"/>
      <c r="O3690" s="99"/>
      <c r="P3690" s="99"/>
      <c r="Q3690" s="99"/>
      <c r="R3690" s="99"/>
      <c r="S3690" s="99"/>
      <c r="T3690" s="99"/>
      <c r="U3690" s="99"/>
      <c r="V3690" s="99"/>
    </row>
    <row r="3691" spans="1:22">
      <c r="A3691" s="297"/>
      <c r="B3691" s="217"/>
      <c r="C3691" s="217"/>
      <c r="D3691" s="101"/>
      <c r="E3691" s="101"/>
      <c r="F3691" s="294"/>
      <c r="G3691" s="295"/>
      <c r="H3691" s="107"/>
      <c r="I3691" s="108"/>
      <c r="J3691" s="108"/>
      <c r="K3691" s="108"/>
      <c r="L3691" s="108"/>
      <c r="M3691" s="108"/>
      <c r="N3691" s="109"/>
      <c r="O3691" s="109"/>
      <c r="P3691" s="109"/>
      <c r="Q3691" s="109"/>
      <c r="R3691" s="109"/>
      <c r="S3691" s="109"/>
      <c r="T3691" s="109"/>
      <c r="U3691" s="202"/>
      <c r="V3691" s="202"/>
    </row>
    <row r="3692" spans="1:22">
      <c r="A3692" s="297"/>
      <c r="B3692" s="217"/>
      <c r="C3692" s="217"/>
      <c r="D3692" s="101"/>
      <c r="E3692" s="101"/>
      <c r="F3692" s="294"/>
      <c r="G3692" s="295"/>
      <c r="H3692" s="98"/>
      <c r="I3692" s="106"/>
      <c r="J3692" s="106"/>
      <c r="K3692" s="106"/>
      <c r="L3692" s="106"/>
      <c r="M3692" s="106"/>
      <c r="N3692" s="112"/>
      <c r="O3692" s="112"/>
      <c r="P3692" s="112"/>
      <c r="Q3692" s="113"/>
      <c r="T3692" s="113"/>
      <c r="U3692" s="113"/>
      <c r="V3692" s="113"/>
    </row>
    <row r="3693" spans="1:22">
      <c r="A3693" s="297"/>
      <c r="B3693" s="217"/>
      <c r="C3693" s="217"/>
      <c r="D3693" s="101"/>
      <c r="E3693" s="101"/>
      <c r="F3693" s="294"/>
      <c r="G3693" s="295"/>
      <c r="H3693" s="98"/>
      <c r="I3693" s="99"/>
      <c r="J3693" s="99"/>
      <c r="K3693" s="99"/>
      <c r="L3693" s="99"/>
      <c r="M3693" s="99"/>
      <c r="N3693" s="99"/>
      <c r="O3693" s="99"/>
      <c r="P3693" s="99"/>
      <c r="Q3693" s="99"/>
      <c r="R3693" s="99"/>
      <c r="S3693" s="99"/>
      <c r="T3693" s="99"/>
      <c r="U3693" s="99"/>
      <c r="V3693" s="99"/>
    </row>
    <row r="3694" spans="1:22">
      <c r="A3694" s="297"/>
      <c r="B3694" s="217"/>
      <c r="C3694" s="217"/>
      <c r="D3694" s="101"/>
      <c r="E3694" s="101"/>
      <c r="F3694" s="294"/>
      <c r="G3694" s="295"/>
      <c r="H3694" s="98"/>
      <c r="I3694" s="99"/>
      <c r="J3694" s="99"/>
      <c r="K3694" s="99"/>
      <c r="L3694" s="99"/>
      <c r="M3694" s="99"/>
      <c r="N3694" s="99"/>
      <c r="O3694" s="99"/>
      <c r="P3694" s="99"/>
      <c r="Q3694" s="99"/>
      <c r="R3694" s="99"/>
      <c r="S3694" s="99"/>
      <c r="T3694" s="99"/>
      <c r="U3694" s="99"/>
      <c r="V3694" s="99"/>
    </row>
    <row r="3695" spans="1:22">
      <c r="A3695" s="297"/>
      <c r="B3695" s="217"/>
      <c r="C3695" s="217"/>
      <c r="D3695" s="101"/>
      <c r="E3695" s="101"/>
      <c r="F3695" s="294"/>
      <c r="G3695" s="295"/>
      <c r="H3695" s="98"/>
      <c r="I3695" s="99"/>
      <c r="J3695" s="99"/>
      <c r="K3695" s="99"/>
      <c r="L3695" s="99"/>
      <c r="M3695" s="99"/>
      <c r="N3695" s="99"/>
      <c r="O3695" s="99"/>
      <c r="P3695" s="99"/>
      <c r="Q3695" s="99"/>
      <c r="R3695" s="99"/>
      <c r="S3695" s="99"/>
      <c r="T3695" s="99"/>
      <c r="U3695" s="99"/>
      <c r="V3695" s="99"/>
    </row>
    <row r="3696" spans="1:22">
      <c r="A3696" s="297"/>
      <c r="B3696" s="217"/>
      <c r="C3696" s="217"/>
      <c r="D3696" s="101"/>
      <c r="E3696" s="101"/>
      <c r="F3696" s="294"/>
      <c r="G3696" s="295"/>
      <c r="H3696" s="98"/>
      <c r="I3696" s="99"/>
      <c r="J3696" s="99"/>
      <c r="K3696" s="99"/>
      <c r="L3696" s="99"/>
      <c r="M3696" s="99"/>
      <c r="N3696" s="99"/>
      <c r="O3696" s="99"/>
      <c r="P3696" s="99"/>
      <c r="Q3696" s="99"/>
      <c r="R3696" s="99"/>
      <c r="S3696" s="99"/>
      <c r="T3696" s="99"/>
      <c r="U3696" s="99"/>
      <c r="V3696" s="99"/>
    </row>
    <row r="3697" spans="1:22">
      <c r="A3697" s="297"/>
      <c r="B3697" s="217"/>
      <c r="C3697" s="217"/>
      <c r="D3697" s="101"/>
      <c r="E3697" s="101"/>
      <c r="F3697" s="294"/>
      <c r="G3697" s="295"/>
      <c r="H3697" s="98"/>
      <c r="I3697" s="99"/>
      <c r="J3697" s="99"/>
      <c r="K3697" s="99"/>
      <c r="L3697" s="99"/>
      <c r="M3697" s="99"/>
      <c r="N3697" s="99"/>
      <c r="O3697" s="99"/>
      <c r="P3697" s="99"/>
      <c r="Q3697" s="99"/>
      <c r="R3697" s="99"/>
      <c r="S3697" s="99"/>
      <c r="T3697" s="99"/>
      <c r="U3697" s="99"/>
      <c r="V3697" s="99"/>
    </row>
    <row r="3698" spans="1:22" ht="24" customHeight="1">
      <c r="A3698" s="297"/>
      <c r="B3698" s="217"/>
      <c r="C3698" s="217"/>
      <c r="D3698" s="101"/>
      <c r="E3698" s="101"/>
      <c r="F3698" s="294"/>
      <c r="G3698" s="295"/>
      <c r="H3698" s="98"/>
      <c r="I3698" s="99"/>
      <c r="J3698" s="99"/>
      <c r="K3698" s="99"/>
      <c r="L3698" s="99"/>
      <c r="M3698" s="99"/>
      <c r="N3698" s="99"/>
      <c r="O3698" s="99"/>
      <c r="P3698" s="99"/>
      <c r="Q3698" s="99"/>
      <c r="R3698" s="99"/>
      <c r="S3698" s="99"/>
      <c r="T3698" s="99"/>
      <c r="U3698" s="99"/>
      <c r="V3698" s="99"/>
    </row>
    <row r="3699" spans="1:22">
      <c r="A3699" s="297"/>
      <c r="B3699" s="217"/>
      <c r="C3699" s="217"/>
      <c r="D3699" s="101"/>
      <c r="E3699" s="101"/>
      <c r="F3699" s="294"/>
      <c r="G3699" s="295"/>
      <c r="H3699" s="98"/>
      <c r="I3699" s="99"/>
      <c r="J3699" s="99"/>
      <c r="K3699" s="99"/>
      <c r="L3699" s="99"/>
      <c r="M3699" s="99"/>
      <c r="N3699" s="99"/>
      <c r="O3699" s="99"/>
      <c r="P3699" s="99"/>
      <c r="Q3699" s="99"/>
      <c r="R3699" s="99"/>
      <c r="S3699" s="99"/>
      <c r="T3699" s="99"/>
      <c r="U3699" s="99"/>
      <c r="V3699" s="99"/>
    </row>
    <row r="3700" spans="1:22">
      <c r="A3700" s="297"/>
      <c r="B3700" s="217"/>
      <c r="C3700" s="217"/>
      <c r="D3700" s="101"/>
      <c r="E3700" s="101"/>
      <c r="F3700" s="294"/>
      <c r="G3700" s="295"/>
      <c r="H3700" s="98"/>
      <c r="I3700" s="99"/>
      <c r="J3700" s="99"/>
      <c r="K3700" s="99"/>
      <c r="L3700" s="99"/>
      <c r="M3700" s="99"/>
      <c r="N3700" s="99"/>
      <c r="O3700" s="99"/>
      <c r="P3700" s="99"/>
      <c r="Q3700" s="99"/>
      <c r="R3700" s="99"/>
      <c r="S3700" s="99"/>
      <c r="T3700" s="99"/>
      <c r="U3700" s="99"/>
      <c r="V3700" s="99"/>
    </row>
    <row r="3701" spans="1:22">
      <c r="A3701" s="297"/>
      <c r="B3701" s="217"/>
      <c r="C3701" s="217"/>
      <c r="D3701" s="101"/>
      <c r="E3701" s="101"/>
      <c r="F3701" s="294"/>
      <c r="G3701" s="295"/>
      <c r="H3701" s="98"/>
      <c r="I3701" s="99"/>
      <c r="J3701" s="99"/>
      <c r="K3701" s="99"/>
      <c r="L3701" s="99"/>
      <c r="M3701" s="99"/>
      <c r="N3701" s="99"/>
      <c r="O3701" s="99"/>
      <c r="P3701" s="99"/>
      <c r="Q3701" s="99"/>
      <c r="R3701" s="99"/>
      <c r="S3701" s="99"/>
      <c r="T3701" s="99"/>
      <c r="U3701" s="99"/>
      <c r="V3701" s="99"/>
    </row>
    <row r="3702" spans="1:22">
      <c r="A3702" s="297"/>
      <c r="B3702" s="217"/>
      <c r="C3702" s="217"/>
      <c r="D3702" s="101"/>
      <c r="E3702" s="101"/>
      <c r="F3702" s="294"/>
      <c r="G3702" s="295"/>
      <c r="H3702" s="98"/>
      <c r="I3702" s="99"/>
      <c r="J3702" s="99"/>
      <c r="K3702" s="99"/>
      <c r="L3702" s="99"/>
      <c r="M3702" s="99"/>
      <c r="N3702" s="99"/>
      <c r="O3702" s="99"/>
      <c r="P3702" s="99"/>
      <c r="Q3702" s="99"/>
      <c r="R3702" s="99"/>
      <c r="S3702" s="99"/>
      <c r="T3702" s="99"/>
      <c r="U3702" s="99"/>
      <c r="V3702" s="99"/>
    </row>
    <row r="3703" spans="1:22">
      <c r="A3703" s="297"/>
      <c r="B3703" s="217"/>
      <c r="C3703" s="217"/>
      <c r="D3703" s="101"/>
      <c r="E3703" s="101"/>
      <c r="F3703" s="294"/>
      <c r="G3703" s="295"/>
      <c r="H3703" s="98"/>
      <c r="I3703" s="99"/>
      <c r="J3703" s="99"/>
      <c r="K3703" s="99"/>
      <c r="L3703" s="99"/>
      <c r="M3703" s="99"/>
      <c r="N3703" s="99"/>
      <c r="O3703" s="99"/>
      <c r="P3703" s="99"/>
      <c r="Q3703" s="99"/>
      <c r="R3703" s="99"/>
      <c r="S3703" s="99"/>
      <c r="T3703" s="99"/>
      <c r="U3703" s="99"/>
      <c r="V3703" s="99"/>
    </row>
    <row r="3704" spans="1:22">
      <c r="A3704" s="297"/>
      <c r="B3704" s="217"/>
      <c r="C3704" s="217"/>
      <c r="D3704" s="101"/>
      <c r="E3704" s="101"/>
      <c r="F3704" s="294"/>
      <c r="G3704" s="295"/>
      <c r="H3704" s="98"/>
      <c r="I3704" s="99"/>
      <c r="J3704" s="99"/>
      <c r="K3704" s="99"/>
      <c r="L3704" s="99"/>
      <c r="M3704" s="99"/>
      <c r="N3704" s="99"/>
      <c r="O3704" s="99"/>
      <c r="P3704" s="99"/>
      <c r="Q3704" s="99"/>
      <c r="R3704" s="99"/>
      <c r="S3704" s="99"/>
      <c r="T3704" s="99"/>
      <c r="U3704" s="99"/>
      <c r="V3704" s="99"/>
    </row>
    <row r="3705" spans="1:22">
      <c r="A3705" s="297"/>
      <c r="B3705" s="217"/>
      <c r="C3705" s="217"/>
      <c r="D3705" s="101"/>
      <c r="E3705" s="101"/>
      <c r="F3705" s="294"/>
      <c r="G3705" s="295"/>
      <c r="H3705" s="107"/>
      <c r="I3705" s="108"/>
      <c r="J3705" s="108"/>
      <c r="K3705" s="108"/>
      <c r="L3705" s="108"/>
      <c r="M3705" s="108"/>
      <c r="N3705" s="108"/>
      <c r="O3705" s="108"/>
      <c r="P3705" s="108"/>
      <c r="Q3705" s="108"/>
      <c r="R3705" s="108"/>
      <c r="S3705" s="108"/>
      <c r="T3705" s="108"/>
      <c r="U3705" s="233"/>
      <c r="V3705" s="233"/>
    </row>
    <row r="3706" spans="1:22">
      <c r="A3706" s="297"/>
      <c r="B3706" s="217"/>
      <c r="C3706" s="217"/>
      <c r="D3706" s="101"/>
      <c r="E3706" s="101"/>
      <c r="F3706" s="294"/>
      <c r="G3706" s="295"/>
      <c r="H3706" s="98"/>
      <c r="I3706" s="106"/>
      <c r="J3706" s="106"/>
      <c r="K3706" s="106"/>
      <c r="L3706" s="106"/>
      <c r="M3706" s="106"/>
      <c r="N3706" s="112"/>
      <c r="O3706" s="112"/>
      <c r="P3706" s="112"/>
      <c r="Q3706" s="113"/>
      <c r="T3706" s="113"/>
      <c r="U3706" s="113"/>
      <c r="V3706" s="113"/>
    </row>
    <row r="3707" spans="1:22">
      <c r="A3707" s="297"/>
      <c r="B3707" s="217"/>
      <c r="C3707" s="217"/>
      <c r="D3707" s="101"/>
      <c r="E3707" s="101"/>
      <c r="F3707" s="294"/>
      <c r="G3707" s="295"/>
      <c r="H3707" s="98"/>
      <c r="I3707" s="99"/>
      <c r="J3707" s="99"/>
      <c r="K3707" s="99"/>
      <c r="L3707" s="99"/>
      <c r="M3707" s="99"/>
      <c r="N3707" s="99"/>
      <c r="O3707" s="99"/>
      <c r="P3707" s="99"/>
      <c r="Q3707" s="99"/>
      <c r="R3707" s="99"/>
      <c r="S3707" s="99"/>
      <c r="T3707" s="99"/>
      <c r="U3707" s="99"/>
      <c r="V3707" s="99"/>
    </row>
    <row r="3708" spans="1:22">
      <c r="A3708" s="297"/>
      <c r="B3708" s="217"/>
      <c r="C3708" s="217"/>
      <c r="D3708" s="101"/>
      <c r="E3708" s="101"/>
      <c r="F3708" s="294"/>
      <c r="G3708" s="295"/>
      <c r="H3708" s="98"/>
      <c r="I3708" s="99"/>
      <c r="J3708" s="99"/>
      <c r="K3708" s="99"/>
      <c r="L3708" s="99"/>
      <c r="M3708" s="99"/>
      <c r="N3708" s="99"/>
      <c r="O3708" s="99"/>
      <c r="P3708" s="99"/>
      <c r="Q3708" s="99"/>
      <c r="R3708" s="99"/>
      <c r="S3708" s="99"/>
      <c r="T3708" s="99"/>
      <c r="U3708" s="99"/>
      <c r="V3708" s="99"/>
    </row>
    <row r="3709" spans="1:22">
      <c r="A3709" s="297"/>
      <c r="B3709" s="217"/>
      <c r="C3709" s="217"/>
      <c r="D3709" s="101"/>
      <c r="E3709" s="101"/>
      <c r="F3709" s="294"/>
      <c r="G3709" s="295"/>
      <c r="H3709" s="98"/>
      <c r="I3709" s="99"/>
      <c r="J3709" s="99"/>
      <c r="K3709" s="99"/>
      <c r="L3709" s="99"/>
      <c r="M3709" s="99"/>
      <c r="N3709" s="99"/>
      <c r="O3709" s="99"/>
      <c r="P3709" s="99"/>
      <c r="Q3709" s="99"/>
      <c r="R3709" s="99"/>
      <c r="S3709" s="99"/>
      <c r="T3709" s="99"/>
      <c r="U3709" s="99"/>
      <c r="V3709" s="99"/>
    </row>
    <row r="3710" spans="1:22">
      <c r="A3710" s="297"/>
      <c r="B3710" s="217"/>
      <c r="C3710" s="217"/>
      <c r="D3710" s="101"/>
      <c r="E3710" s="101"/>
      <c r="F3710" s="294"/>
      <c r="G3710" s="295"/>
      <c r="H3710" s="98"/>
      <c r="I3710" s="99"/>
      <c r="J3710" s="99"/>
      <c r="K3710" s="99"/>
      <c r="L3710" s="99"/>
      <c r="M3710" s="99"/>
      <c r="N3710" s="99"/>
      <c r="O3710" s="99"/>
      <c r="P3710" s="99"/>
      <c r="Q3710" s="99"/>
      <c r="R3710" s="99"/>
      <c r="S3710" s="99"/>
      <c r="T3710" s="99"/>
      <c r="U3710" s="99"/>
      <c r="V3710" s="99"/>
    </row>
    <row r="3711" spans="1:22">
      <c r="A3711" s="297"/>
      <c r="B3711" s="217"/>
      <c r="C3711" s="217"/>
      <c r="D3711" s="101"/>
      <c r="E3711" s="101"/>
      <c r="F3711" s="294"/>
      <c r="G3711" s="295"/>
      <c r="H3711" s="98"/>
      <c r="I3711" s="99"/>
      <c r="J3711" s="99"/>
      <c r="K3711" s="99"/>
      <c r="L3711" s="99"/>
      <c r="M3711" s="99"/>
      <c r="N3711" s="99"/>
      <c r="O3711" s="99"/>
      <c r="P3711" s="99"/>
      <c r="Q3711" s="99"/>
      <c r="R3711" s="99"/>
      <c r="S3711" s="99"/>
      <c r="T3711" s="99"/>
      <c r="U3711" s="99"/>
      <c r="V3711" s="99"/>
    </row>
    <row r="3712" spans="1:22">
      <c r="A3712" s="297"/>
      <c r="B3712" s="217"/>
      <c r="C3712" s="217"/>
      <c r="D3712" s="101"/>
      <c r="E3712" s="101"/>
      <c r="F3712" s="294"/>
      <c r="G3712" s="295"/>
      <c r="H3712" s="98"/>
      <c r="I3712" s="99"/>
      <c r="J3712" s="99"/>
      <c r="K3712" s="99"/>
      <c r="L3712" s="99"/>
      <c r="M3712" s="99"/>
      <c r="N3712" s="99"/>
      <c r="O3712" s="99"/>
      <c r="P3712" s="99"/>
      <c r="Q3712" s="99"/>
      <c r="R3712" s="99"/>
      <c r="S3712" s="99"/>
      <c r="T3712" s="99"/>
      <c r="U3712" s="99"/>
      <c r="V3712" s="99"/>
    </row>
    <row r="3713" spans="1:22">
      <c r="A3713" s="297"/>
      <c r="B3713" s="217"/>
      <c r="C3713" s="217"/>
      <c r="D3713" s="101"/>
      <c r="E3713" s="101"/>
      <c r="F3713" s="294"/>
      <c r="G3713" s="295"/>
      <c r="H3713" s="98"/>
      <c r="I3713" s="99"/>
      <c r="J3713" s="99"/>
      <c r="K3713" s="99"/>
      <c r="L3713" s="99"/>
      <c r="M3713" s="99"/>
      <c r="N3713" s="99"/>
      <c r="O3713" s="99"/>
      <c r="P3713" s="99"/>
      <c r="Q3713" s="99"/>
      <c r="R3713" s="99"/>
      <c r="S3713" s="99"/>
      <c r="T3713" s="99"/>
      <c r="U3713" s="99"/>
      <c r="V3713" s="99"/>
    </row>
    <row r="3714" spans="1:22">
      <c r="A3714" s="297"/>
      <c r="B3714" s="217"/>
      <c r="C3714" s="217"/>
      <c r="D3714" s="101"/>
      <c r="E3714" s="101"/>
      <c r="F3714" s="294"/>
      <c r="G3714" s="295"/>
      <c r="H3714" s="98"/>
      <c r="I3714" s="99"/>
      <c r="J3714" s="99"/>
      <c r="K3714" s="99"/>
      <c r="L3714" s="99"/>
      <c r="M3714" s="99"/>
      <c r="N3714" s="99"/>
      <c r="O3714" s="99"/>
      <c r="P3714" s="99"/>
      <c r="Q3714" s="99"/>
      <c r="R3714" s="99"/>
      <c r="S3714" s="99"/>
      <c r="T3714" s="99"/>
      <c r="U3714" s="99"/>
      <c r="V3714" s="99"/>
    </row>
    <row r="3715" spans="1:22">
      <c r="A3715" s="297"/>
      <c r="B3715" s="217"/>
      <c r="C3715" s="217"/>
      <c r="D3715" s="101"/>
      <c r="E3715" s="101"/>
      <c r="F3715" s="294"/>
      <c r="G3715" s="295"/>
      <c r="H3715" s="98"/>
      <c r="I3715" s="99"/>
      <c r="J3715" s="99"/>
      <c r="K3715" s="99"/>
      <c r="L3715" s="99"/>
      <c r="M3715" s="99"/>
      <c r="N3715" s="99"/>
      <c r="O3715" s="99"/>
      <c r="P3715" s="99"/>
      <c r="Q3715" s="99"/>
      <c r="R3715" s="99"/>
      <c r="S3715" s="99"/>
      <c r="T3715" s="99"/>
      <c r="U3715" s="99"/>
      <c r="V3715" s="99"/>
    </row>
    <row r="3716" spans="1:22">
      <c r="A3716" s="297"/>
      <c r="B3716" s="217"/>
      <c r="C3716" s="217"/>
      <c r="D3716" s="101"/>
      <c r="E3716" s="101"/>
      <c r="F3716" s="294"/>
      <c r="G3716" s="295"/>
      <c r="H3716" s="98"/>
      <c r="I3716" s="99"/>
      <c r="J3716" s="99"/>
      <c r="K3716" s="99"/>
      <c r="L3716" s="99"/>
      <c r="M3716" s="99"/>
      <c r="N3716" s="99"/>
      <c r="O3716" s="99"/>
      <c r="P3716" s="99"/>
      <c r="Q3716" s="99"/>
      <c r="R3716" s="99"/>
      <c r="S3716" s="99"/>
      <c r="T3716" s="99"/>
      <c r="U3716" s="99"/>
      <c r="V3716" s="99"/>
    </row>
    <row r="3717" spans="1:22">
      <c r="A3717" s="297"/>
      <c r="B3717" s="217"/>
      <c r="C3717" s="217"/>
      <c r="D3717" s="101"/>
      <c r="E3717" s="101"/>
      <c r="F3717" s="294"/>
      <c r="G3717" s="295"/>
      <c r="H3717" s="98"/>
      <c r="I3717" s="99"/>
      <c r="J3717" s="99"/>
      <c r="K3717" s="99"/>
      <c r="L3717" s="99"/>
      <c r="M3717" s="99"/>
      <c r="N3717" s="99"/>
      <c r="O3717" s="99"/>
      <c r="P3717" s="99"/>
      <c r="Q3717" s="99"/>
      <c r="R3717" s="99"/>
      <c r="S3717" s="99"/>
      <c r="T3717" s="99"/>
      <c r="U3717" s="99"/>
      <c r="V3717" s="99"/>
    </row>
    <row r="3718" spans="1:22">
      <c r="A3718" s="297"/>
      <c r="B3718" s="217"/>
      <c r="C3718" s="217"/>
      <c r="D3718" s="101"/>
      <c r="E3718" s="101"/>
      <c r="F3718" s="294"/>
      <c r="G3718" s="295"/>
      <c r="H3718" s="98"/>
      <c r="I3718" s="99"/>
      <c r="J3718" s="99"/>
      <c r="K3718" s="99"/>
      <c r="L3718" s="99"/>
      <c r="M3718" s="99"/>
      <c r="N3718" s="99"/>
      <c r="O3718" s="99"/>
      <c r="P3718" s="99"/>
      <c r="Q3718" s="99"/>
      <c r="R3718" s="99"/>
      <c r="S3718" s="99"/>
      <c r="T3718" s="99"/>
      <c r="U3718" s="99"/>
      <c r="V3718" s="99"/>
    </row>
    <row r="3719" spans="1:22">
      <c r="A3719" s="297"/>
      <c r="B3719" s="217"/>
      <c r="C3719" s="217"/>
      <c r="D3719" s="101"/>
      <c r="E3719" s="101"/>
      <c r="F3719" s="294"/>
      <c r="G3719" s="295"/>
      <c r="H3719" s="98"/>
      <c r="I3719" s="99"/>
      <c r="J3719" s="99"/>
      <c r="K3719" s="99"/>
      <c r="L3719" s="99"/>
      <c r="M3719" s="99"/>
      <c r="N3719" s="99"/>
      <c r="O3719" s="99"/>
      <c r="P3719" s="99"/>
      <c r="Q3719" s="99"/>
      <c r="R3719" s="99"/>
      <c r="S3719" s="99"/>
      <c r="T3719" s="99"/>
      <c r="U3719" s="99"/>
      <c r="V3719" s="99"/>
    </row>
    <row r="3720" spans="1:22">
      <c r="A3720" s="297"/>
      <c r="B3720" s="217"/>
      <c r="C3720" s="217"/>
      <c r="D3720" s="101"/>
      <c r="E3720" s="101"/>
      <c r="F3720" s="294"/>
      <c r="G3720" s="295"/>
      <c r="H3720" s="98"/>
      <c r="I3720" s="99"/>
      <c r="J3720" s="99"/>
      <c r="K3720" s="99"/>
      <c r="L3720" s="99"/>
      <c r="M3720" s="99"/>
      <c r="N3720" s="99"/>
      <c r="O3720" s="99"/>
      <c r="P3720" s="99"/>
      <c r="Q3720" s="99"/>
      <c r="R3720" s="99"/>
      <c r="S3720" s="99"/>
      <c r="T3720" s="99"/>
      <c r="U3720" s="99"/>
      <c r="V3720" s="99"/>
    </row>
    <row r="3721" spans="1:22">
      <c r="A3721" s="297"/>
      <c r="B3721" s="217"/>
      <c r="C3721" s="217"/>
      <c r="D3721" s="101"/>
      <c r="E3721" s="101"/>
      <c r="F3721" s="294"/>
      <c r="G3721" s="295"/>
      <c r="H3721" s="98"/>
      <c r="I3721" s="99"/>
      <c r="J3721" s="99"/>
      <c r="K3721" s="99"/>
      <c r="L3721" s="99"/>
      <c r="M3721" s="99"/>
      <c r="N3721" s="99"/>
      <c r="O3721" s="99"/>
      <c r="P3721" s="99"/>
      <c r="Q3721" s="99"/>
      <c r="R3721" s="99"/>
      <c r="S3721" s="99"/>
      <c r="T3721" s="99"/>
      <c r="U3721" s="99"/>
      <c r="V3721" s="99"/>
    </row>
    <row r="3722" spans="1:22">
      <c r="A3722" s="297"/>
      <c r="B3722" s="217"/>
      <c r="C3722" s="217"/>
      <c r="D3722" s="101"/>
      <c r="E3722" s="101"/>
      <c r="F3722" s="294"/>
      <c r="G3722" s="295"/>
      <c r="H3722" s="98"/>
      <c r="I3722" s="99"/>
      <c r="J3722" s="99"/>
      <c r="K3722" s="99"/>
      <c r="L3722" s="99"/>
      <c r="M3722" s="99"/>
      <c r="N3722" s="99"/>
      <c r="O3722" s="99"/>
      <c r="P3722" s="99"/>
      <c r="Q3722" s="99"/>
      <c r="R3722" s="99"/>
      <c r="S3722" s="99"/>
      <c r="T3722" s="99"/>
      <c r="U3722" s="99"/>
      <c r="V3722" s="99"/>
    </row>
    <row r="3723" spans="1:22">
      <c r="A3723" s="297"/>
      <c r="B3723" s="217"/>
      <c r="C3723" s="217"/>
      <c r="D3723" s="101"/>
      <c r="E3723" s="101"/>
      <c r="F3723" s="294"/>
      <c r="G3723" s="295"/>
      <c r="H3723" s="98"/>
      <c r="I3723" s="99"/>
      <c r="J3723" s="99"/>
      <c r="K3723" s="99"/>
      <c r="L3723" s="99"/>
      <c r="M3723" s="99"/>
      <c r="N3723" s="99"/>
      <c r="O3723" s="99"/>
      <c r="P3723" s="99"/>
      <c r="Q3723" s="99"/>
      <c r="R3723" s="99"/>
      <c r="S3723" s="99"/>
      <c r="T3723" s="99"/>
      <c r="U3723" s="99"/>
      <c r="V3723" s="99"/>
    </row>
    <row r="3724" spans="1:22">
      <c r="A3724" s="297"/>
      <c r="B3724" s="217"/>
      <c r="C3724" s="217"/>
      <c r="D3724" s="101"/>
      <c r="E3724" s="101"/>
      <c r="F3724" s="294"/>
      <c r="G3724" s="295"/>
      <c r="H3724" s="98"/>
      <c r="I3724" s="99"/>
      <c r="J3724" s="99"/>
      <c r="K3724" s="99"/>
      <c r="L3724" s="99"/>
      <c r="M3724" s="99"/>
      <c r="N3724" s="99"/>
      <c r="O3724" s="99"/>
      <c r="P3724" s="99"/>
      <c r="Q3724" s="99"/>
      <c r="R3724" s="99"/>
      <c r="S3724" s="99"/>
      <c r="T3724" s="99"/>
      <c r="U3724" s="99"/>
      <c r="V3724" s="99"/>
    </row>
    <row r="3725" spans="1:22">
      <c r="A3725" s="297"/>
      <c r="B3725" s="217"/>
      <c r="C3725" s="217"/>
      <c r="D3725" s="101"/>
      <c r="E3725" s="101"/>
      <c r="F3725" s="294"/>
      <c r="G3725" s="295"/>
      <c r="H3725" s="98"/>
      <c r="I3725" s="99"/>
      <c r="J3725" s="99"/>
      <c r="K3725" s="99"/>
      <c r="L3725" s="99"/>
      <c r="M3725" s="99"/>
      <c r="N3725" s="99"/>
      <c r="O3725" s="99"/>
      <c r="P3725" s="99"/>
      <c r="Q3725" s="99"/>
      <c r="R3725" s="99"/>
      <c r="S3725" s="99"/>
      <c r="T3725" s="99"/>
      <c r="U3725" s="99"/>
      <c r="V3725" s="99"/>
    </row>
    <row r="3726" spans="1:22">
      <c r="A3726" s="297"/>
      <c r="B3726" s="217"/>
      <c r="C3726" s="217"/>
      <c r="D3726" s="101"/>
      <c r="E3726" s="101"/>
      <c r="F3726" s="294"/>
      <c r="G3726" s="295"/>
      <c r="H3726" s="107"/>
      <c r="I3726" s="108"/>
      <c r="J3726" s="108"/>
      <c r="K3726" s="108"/>
      <c r="L3726" s="108"/>
      <c r="M3726" s="108"/>
      <c r="N3726" s="108"/>
      <c r="O3726" s="108"/>
      <c r="P3726" s="108"/>
      <c r="Q3726" s="108"/>
      <c r="R3726" s="108"/>
      <c r="S3726" s="108"/>
      <c r="T3726" s="108"/>
      <c r="U3726" s="233"/>
      <c r="V3726" s="233"/>
    </row>
    <row r="3727" spans="1:22">
      <c r="A3727" s="297"/>
      <c r="B3727" s="217"/>
      <c r="C3727" s="217"/>
      <c r="D3727" s="101"/>
      <c r="E3727" s="101"/>
      <c r="F3727" s="294"/>
      <c r="G3727" s="295"/>
      <c r="H3727" s="98"/>
      <c r="I3727" s="106"/>
      <c r="J3727" s="106"/>
      <c r="K3727" s="106"/>
      <c r="L3727" s="106"/>
      <c r="M3727" s="106"/>
      <c r="N3727" s="112"/>
      <c r="O3727" s="112"/>
      <c r="P3727" s="112"/>
      <c r="Q3727" s="113"/>
      <c r="T3727" s="113"/>
      <c r="U3727" s="113"/>
      <c r="V3727" s="113"/>
    </row>
    <row r="3728" spans="1:22">
      <c r="A3728" s="297"/>
      <c r="B3728" s="217"/>
      <c r="C3728" s="217"/>
      <c r="D3728" s="101"/>
      <c r="E3728" s="101"/>
      <c r="F3728" s="294"/>
      <c r="G3728" s="295"/>
      <c r="H3728" s="98"/>
      <c r="I3728" s="99"/>
      <c r="J3728" s="99"/>
      <c r="K3728" s="99"/>
      <c r="L3728" s="99"/>
      <c r="M3728" s="99"/>
      <c r="N3728" s="99"/>
      <c r="O3728" s="99"/>
      <c r="P3728" s="99"/>
      <c r="Q3728" s="99"/>
      <c r="R3728" s="99"/>
      <c r="S3728" s="99"/>
      <c r="T3728" s="99"/>
      <c r="U3728" s="99"/>
      <c r="V3728" s="99"/>
    </row>
    <row r="3729" spans="1:22">
      <c r="A3729" s="297"/>
      <c r="B3729" s="217"/>
      <c r="C3729" s="217"/>
      <c r="D3729" s="101"/>
      <c r="E3729" s="101"/>
      <c r="F3729" s="294"/>
      <c r="G3729" s="295"/>
      <c r="H3729" s="98"/>
      <c r="I3729" s="99"/>
      <c r="J3729" s="99"/>
      <c r="K3729" s="99"/>
      <c r="L3729" s="99"/>
      <c r="M3729" s="99"/>
      <c r="N3729" s="99"/>
      <c r="O3729" s="99"/>
      <c r="P3729" s="99"/>
      <c r="Q3729" s="99"/>
      <c r="R3729" s="99"/>
      <c r="S3729" s="99"/>
      <c r="T3729" s="99"/>
      <c r="U3729" s="99"/>
      <c r="V3729" s="99"/>
    </row>
    <row r="3730" spans="1:22">
      <c r="A3730" s="297"/>
      <c r="B3730" s="217"/>
      <c r="C3730" s="217"/>
      <c r="D3730" s="101"/>
      <c r="E3730" s="101"/>
      <c r="F3730" s="294"/>
      <c r="G3730" s="295"/>
      <c r="H3730" s="98"/>
      <c r="I3730" s="99"/>
      <c r="J3730" s="99"/>
      <c r="K3730" s="99"/>
      <c r="L3730" s="99"/>
      <c r="M3730" s="99"/>
      <c r="N3730" s="99"/>
      <c r="O3730" s="99"/>
      <c r="P3730" s="99"/>
      <c r="Q3730" s="99"/>
      <c r="R3730" s="99"/>
      <c r="S3730" s="99"/>
      <c r="T3730" s="99"/>
      <c r="U3730" s="99"/>
      <c r="V3730" s="99"/>
    </row>
    <row r="3731" spans="1:22">
      <c r="A3731" s="297"/>
      <c r="B3731" s="217"/>
      <c r="C3731" s="217"/>
      <c r="D3731" s="101"/>
      <c r="E3731" s="101"/>
      <c r="F3731" s="294"/>
      <c r="G3731" s="295"/>
      <c r="H3731" s="107"/>
      <c r="I3731" s="108"/>
      <c r="J3731" s="108"/>
      <c r="K3731" s="108"/>
      <c r="L3731" s="108"/>
      <c r="M3731" s="108"/>
      <c r="N3731" s="109"/>
      <c r="O3731" s="109"/>
      <c r="P3731" s="109"/>
      <c r="Q3731" s="109"/>
      <c r="R3731" s="109"/>
      <c r="S3731" s="109"/>
      <c r="T3731" s="109"/>
      <c r="U3731" s="202"/>
      <c r="V3731" s="202"/>
    </row>
    <row r="3732" spans="1:22">
      <c r="A3732" s="297"/>
      <c r="B3732" s="217"/>
      <c r="C3732" s="217"/>
      <c r="D3732" s="101"/>
      <c r="E3732" s="101"/>
      <c r="F3732" s="294"/>
      <c r="G3732" s="295"/>
      <c r="H3732" s="98"/>
      <c r="I3732" s="106"/>
      <c r="J3732" s="106"/>
      <c r="K3732" s="106"/>
      <c r="L3732" s="106"/>
      <c r="M3732" s="106"/>
      <c r="N3732" s="112"/>
      <c r="O3732" s="112"/>
      <c r="P3732" s="112"/>
      <c r="Q3732" s="113"/>
      <c r="R3732" s="113"/>
      <c r="S3732" s="113"/>
      <c r="T3732" s="113"/>
      <c r="U3732" s="113"/>
      <c r="V3732" s="113"/>
    </row>
    <row r="3733" spans="1:22" ht="24" customHeight="1">
      <c r="A3733" s="297"/>
      <c r="B3733" s="217"/>
      <c r="C3733" s="217"/>
      <c r="D3733" s="101"/>
      <c r="E3733" s="101"/>
      <c r="F3733" s="294"/>
      <c r="G3733" s="295"/>
      <c r="H3733" s="114"/>
      <c r="I3733" s="108"/>
      <c r="J3733" s="108"/>
      <c r="K3733" s="108"/>
      <c r="L3733" s="108"/>
      <c r="M3733" s="108"/>
      <c r="N3733" s="108"/>
      <c r="O3733" s="108"/>
      <c r="P3733" s="108"/>
      <c r="Q3733" s="108"/>
      <c r="R3733" s="108"/>
      <c r="S3733" s="108"/>
      <c r="T3733" s="108"/>
      <c r="U3733" s="233"/>
      <c r="V3733" s="233"/>
    </row>
    <row r="3734" spans="1:22">
      <c r="A3734" s="297"/>
      <c r="B3734" s="217"/>
      <c r="C3734" s="217"/>
      <c r="D3734" s="101"/>
      <c r="E3734" s="101"/>
      <c r="F3734" s="294"/>
      <c r="G3734" s="295"/>
      <c r="H3734" s="98"/>
      <c r="I3734" s="218"/>
      <c r="J3734" s="218"/>
      <c r="K3734" s="218"/>
      <c r="L3734" s="218"/>
      <c r="M3734" s="218"/>
      <c r="U3734" s="212"/>
      <c r="V3734" s="212"/>
    </row>
    <row r="3735" spans="1:22" ht="14.4" thickBot="1">
      <c r="A3735" s="297"/>
      <c r="B3735" s="217"/>
      <c r="C3735" s="217"/>
      <c r="D3735" s="101"/>
      <c r="E3735" s="101"/>
      <c r="F3735" s="294"/>
      <c r="G3735" s="295"/>
      <c r="H3735" s="98"/>
      <c r="I3735" s="218"/>
      <c r="J3735" s="218"/>
      <c r="K3735" s="218"/>
      <c r="L3735" s="218"/>
      <c r="M3735" s="218"/>
      <c r="U3735" s="212"/>
      <c r="V3735" s="212"/>
    </row>
    <row r="3736" spans="1:22" ht="23.4" thickBot="1">
      <c r="A3736" s="297"/>
      <c r="B3736" s="217"/>
      <c r="C3736" s="217"/>
      <c r="D3736" s="101"/>
      <c r="E3736" s="101"/>
      <c r="F3736" s="294"/>
      <c r="G3736" s="295"/>
      <c r="H3736" s="686"/>
      <c r="I3736" s="687"/>
      <c r="J3736" s="687"/>
      <c r="K3736" s="687"/>
      <c r="L3736" s="687"/>
      <c r="M3736" s="687"/>
      <c r="N3736" s="687"/>
      <c r="O3736" s="687"/>
      <c r="P3736" s="687"/>
      <c r="Q3736" s="687"/>
      <c r="R3736" s="687"/>
      <c r="S3736" s="715"/>
      <c r="T3736" s="688"/>
      <c r="U3736" s="254"/>
      <c r="V3736" s="254"/>
    </row>
    <row r="3737" spans="1:22" ht="22.8">
      <c r="A3737" s="297"/>
      <c r="B3737" s="217"/>
      <c r="C3737" s="217"/>
      <c r="D3737" s="101"/>
      <c r="E3737" s="101"/>
      <c r="F3737" s="294"/>
      <c r="G3737" s="295"/>
      <c r="H3737" s="225"/>
      <c r="I3737" s="225"/>
      <c r="J3737" s="225"/>
      <c r="K3737" s="225"/>
      <c r="L3737" s="225"/>
      <c r="M3737" s="225"/>
      <c r="N3737" s="225"/>
      <c r="O3737" s="225"/>
      <c r="P3737" s="225"/>
      <c r="Q3737" s="225"/>
      <c r="R3737" s="225"/>
      <c r="S3737" s="225"/>
      <c r="T3737" s="225"/>
      <c r="U3737" s="225"/>
      <c r="V3737" s="225"/>
    </row>
    <row r="3738" spans="1:22">
      <c r="A3738" s="297"/>
      <c r="B3738" s="217"/>
      <c r="C3738" s="217"/>
      <c r="D3738" s="101"/>
      <c r="E3738" s="101"/>
      <c r="F3738" s="294"/>
      <c r="G3738" s="295"/>
      <c r="H3738" s="98"/>
      <c r="I3738" s="99"/>
      <c r="J3738" s="99"/>
      <c r="K3738" s="99"/>
      <c r="L3738" s="99"/>
      <c r="M3738" s="99"/>
      <c r="N3738" s="99"/>
      <c r="O3738" s="99"/>
      <c r="P3738" s="99"/>
      <c r="Q3738" s="99"/>
      <c r="R3738" s="99"/>
      <c r="S3738" s="99"/>
      <c r="T3738" s="99"/>
      <c r="U3738" s="99"/>
      <c r="V3738" s="99"/>
    </row>
    <row r="3739" spans="1:22">
      <c r="A3739" s="297"/>
      <c r="B3739" s="217"/>
      <c r="C3739" s="217"/>
      <c r="D3739" s="101"/>
      <c r="E3739" s="101"/>
      <c r="F3739" s="294"/>
      <c r="G3739" s="295"/>
      <c r="H3739" s="98"/>
      <c r="I3739" s="99"/>
      <c r="J3739" s="99"/>
      <c r="K3739" s="99"/>
      <c r="L3739" s="99"/>
      <c r="M3739" s="99"/>
      <c r="N3739" s="99"/>
      <c r="O3739" s="99"/>
      <c r="P3739" s="99"/>
      <c r="Q3739" s="99"/>
      <c r="R3739" s="99"/>
      <c r="S3739" s="99"/>
      <c r="T3739" s="99"/>
      <c r="U3739" s="99"/>
      <c r="V3739" s="99"/>
    </row>
    <row r="3740" spans="1:22">
      <c r="A3740" s="297"/>
      <c r="B3740" s="217"/>
      <c r="C3740" s="217"/>
      <c r="D3740" s="101"/>
      <c r="E3740" s="101"/>
      <c r="F3740" s="294"/>
      <c r="G3740" s="295"/>
      <c r="H3740" s="98"/>
      <c r="I3740" s="99"/>
      <c r="J3740" s="99"/>
      <c r="K3740" s="99"/>
      <c r="L3740" s="99"/>
      <c r="M3740" s="99"/>
      <c r="N3740" s="99"/>
      <c r="O3740" s="99"/>
      <c r="P3740" s="99"/>
      <c r="Q3740" s="99"/>
      <c r="R3740" s="99"/>
      <c r="S3740" s="99"/>
      <c r="T3740" s="99"/>
      <c r="U3740" s="99"/>
      <c r="V3740" s="99"/>
    </row>
    <row r="3741" spans="1:22">
      <c r="A3741" s="297"/>
      <c r="B3741" s="217"/>
      <c r="C3741" s="217"/>
      <c r="D3741" s="101"/>
      <c r="E3741" s="101"/>
      <c r="F3741" s="294"/>
      <c r="G3741" s="295"/>
      <c r="H3741" s="98"/>
      <c r="I3741" s="99"/>
      <c r="J3741" s="99"/>
      <c r="K3741" s="99"/>
      <c r="L3741" s="99"/>
      <c r="M3741" s="99"/>
      <c r="N3741" s="99"/>
      <c r="O3741" s="99"/>
      <c r="P3741" s="99"/>
      <c r="Q3741" s="99"/>
      <c r="R3741" s="99"/>
      <c r="S3741" s="99"/>
      <c r="T3741" s="99"/>
      <c r="U3741" s="99"/>
      <c r="V3741" s="99"/>
    </row>
    <row r="3742" spans="1:22">
      <c r="A3742" s="297"/>
      <c r="B3742" s="217"/>
      <c r="C3742" s="217"/>
      <c r="D3742" s="101"/>
      <c r="E3742" s="101"/>
      <c r="F3742" s="294"/>
      <c r="G3742" s="295"/>
      <c r="H3742" s="98"/>
      <c r="I3742" s="99"/>
      <c r="J3742" s="99"/>
      <c r="K3742" s="99"/>
      <c r="L3742" s="99"/>
      <c r="M3742" s="99"/>
      <c r="N3742" s="99"/>
      <c r="O3742" s="99"/>
      <c r="P3742" s="99"/>
      <c r="Q3742" s="99"/>
      <c r="R3742" s="99"/>
      <c r="S3742" s="99"/>
      <c r="T3742" s="99"/>
      <c r="U3742" s="99"/>
      <c r="V3742" s="99"/>
    </row>
    <row r="3743" spans="1:22">
      <c r="A3743" s="297"/>
      <c r="B3743" s="217"/>
      <c r="C3743" s="217"/>
      <c r="D3743" s="101"/>
      <c r="E3743" s="101"/>
      <c r="F3743" s="294"/>
      <c r="G3743" s="295"/>
      <c r="H3743" s="107"/>
      <c r="I3743" s="108"/>
      <c r="J3743" s="108"/>
      <c r="K3743" s="108"/>
      <c r="L3743" s="108"/>
      <c r="M3743" s="108"/>
      <c r="N3743" s="109"/>
      <c r="O3743" s="109"/>
      <c r="P3743" s="109"/>
      <c r="Q3743" s="109"/>
      <c r="R3743" s="109"/>
      <c r="S3743" s="109"/>
      <c r="T3743" s="109"/>
      <c r="U3743" s="202"/>
      <c r="V3743" s="202"/>
    </row>
    <row r="3744" spans="1:22">
      <c r="A3744" s="297"/>
      <c r="B3744" s="217"/>
      <c r="C3744" s="217"/>
      <c r="D3744" s="101"/>
      <c r="E3744" s="101"/>
      <c r="F3744" s="294"/>
      <c r="G3744" s="295"/>
      <c r="H3744" s="98"/>
      <c r="I3744" s="106"/>
      <c r="J3744" s="106"/>
      <c r="K3744" s="106"/>
      <c r="L3744" s="106"/>
      <c r="M3744" s="106"/>
      <c r="N3744" s="112"/>
      <c r="O3744" s="112"/>
      <c r="P3744" s="112"/>
      <c r="Q3744" s="113"/>
      <c r="T3744" s="113"/>
      <c r="U3744" s="113"/>
      <c r="V3744" s="113"/>
    </row>
    <row r="3745" spans="1:22">
      <c r="A3745" s="297"/>
      <c r="B3745" s="217"/>
      <c r="C3745" s="217"/>
      <c r="D3745" s="101"/>
      <c r="E3745" s="101"/>
      <c r="F3745" s="294"/>
      <c r="G3745" s="295"/>
      <c r="H3745" s="98"/>
      <c r="I3745" s="99"/>
      <c r="J3745" s="99"/>
      <c r="K3745" s="99"/>
      <c r="L3745" s="99"/>
      <c r="M3745" s="99"/>
      <c r="N3745" s="99"/>
      <c r="O3745" s="99"/>
      <c r="P3745" s="99"/>
      <c r="Q3745" s="99"/>
      <c r="R3745" s="99"/>
      <c r="S3745" s="99"/>
      <c r="T3745" s="99"/>
      <c r="U3745" s="99"/>
      <c r="V3745" s="99"/>
    </row>
    <row r="3746" spans="1:22">
      <c r="A3746" s="297"/>
      <c r="B3746" s="217"/>
      <c r="C3746" s="217"/>
      <c r="D3746" s="101"/>
      <c r="E3746" s="101"/>
      <c r="F3746" s="294"/>
      <c r="G3746" s="295"/>
      <c r="H3746" s="98"/>
      <c r="I3746" s="99"/>
      <c r="J3746" s="99"/>
      <c r="K3746" s="99"/>
      <c r="L3746" s="99"/>
      <c r="M3746" s="99"/>
      <c r="N3746" s="99"/>
      <c r="O3746" s="99"/>
      <c r="P3746" s="99"/>
      <c r="Q3746" s="99"/>
      <c r="R3746" s="99"/>
      <c r="S3746" s="99"/>
      <c r="T3746" s="99"/>
      <c r="U3746" s="99"/>
      <c r="V3746" s="99"/>
    </row>
    <row r="3747" spans="1:22">
      <c r="A3747" s="297"/>
      <c r="B3747" s="217"/>
      <c r="C3747" s="217"/>
      <c r="D3747" s="101"/>
      <c r="E3747" s="101"/>
      <c r="F3747" s="294"/>
      <c r="G3747" s="295"/>
      <c r="H3747" s="98"/>
      <c r="I3747" s="99"/>
      <c r="J3747" s="99"/>
      <c r="K3747" s="99"/>
      <c r="L3747" s="99"/>
      <c r="M3747" s="99"/>
      <c r="N3747" s="99"/>
      <c r="O3747" s="99"/>
      <c r="P3747" s="99"/>
      <c r="Q3747" s="99"/>
      <c r="R3747" s="99"/>
      <c r="S3747" s="99"/>
      <c r="T3747" s="99"/>
      <c r="U3747" s="99"/>
      <c r="V3747" s="99"/>
    </row>
    <row r="3748" spans="1:22">
      <c r="A3748" s="297"/>
      <c r="B3748" s="217"/>
      <c r="C3748" s="217"/>
      <c r="D3748" s="101"/>
      <c r="E3748" s="101"/>
      <c r="F3748" s="294"/>
      <c r="G3748" s="295"/>
      <c r="H3748" s="98"/>
      <c r="I3748" s="99"/>
      <c r="J3748" s="99"/>
      <c r="K3748" s="99"/>
      <c r="L3748" s="99"/>
      <c r="M3748" s="99"/>
      <c r="N3748" s="99"/>
      <c r="O3748" s="99"/>
      <c r="P3748" s="99"/>
      <c r="Q3748" s="99"/>
      <c r="R3748" s="99"/>
      <c r="S3748" s="99"/>
      <c r="T3748" s="99"/>
      <c r="U3748" s="99"/>
      <c r="V3748" s="99"/>
    </row>
    <row r="3749" spans="1:22">
      <c r="A3749" s="297"/>
      <c r="B3749" s="217"/>
      <c r="C3749" s="217"/>
      <c r="D3749" s="101"/>
      <c r="E3749" s="101"/>
      <c r="F3749" s="294"/>
      <c r="G3749" s="295"/>
      <c r="H3749" s="107"/>
      <c r="I3749" s="108"/>
      <c r="J3749" s="108"/>
      <c r="K3749" s="108"/>
      <c r="L3749" s="108"/>
      <c r="M3749" s="108"/>
      <c r="N3749" s="109"/>
      <c r="O3749" s="109"/>
      <c r="P3749" s="109"/>
      <c r="Q3749" s="109"/>
      <c r="R3749" s="109"/>
      <c r="S3749" s="109"/>
      <c r="T3749" s="109"/>
      <c r="U3749" s="202"/>
      <c r="V3749" s="202"/>
    </row>
    <row r="3750" spans="1:22">
      <c r="A3750" s="297"/>
      <c r="B3750" s="217"/>
      <c r="C3750" s="217"/>
      <c r="D3750" s="101"/>
      <c r="E3750" s="101"/>
      <c r="F3750" s="294"/>
      <c r="G3750" s="295"/>
      <c r="H3750" s="98"/>
      <c r="I3750" s="106"/>
      <c r="J3750" s="106"/>
      <c r="K3750" s="106"/>
      <c r="L3750" s="106"/>
      <c r="M3750" s="106"/>
      <c r="N3750" s="112"/>
      <c r="O3750" s="112"/>
      <c r="P3750" s="112"/>
      <c r="Q3750" s="113"/>
      <c r="R3750" s="99"/>
      <c r="S3750" s="99"/>
      <c r="T3750" s="113"/>
      <c r="U3750" s="113"/>
      <c r="V3750" s="113"/>
    </row>
    <row r="3751" spans="1:22">
      <c r="A3751" s="297"/>
      <c r="B3751" s="217"/>
      <c r="C3751" s="217"/>
      <c r="D3751" s="101"/>
      <c r="E3751" s="101"/>
      <c r="F3751" s="294"/>
      <c r="G3751" s="295"/>
      <c r="H3751" s="98"/>
      <c r="I3751" s="99"/>
      <c r="J3751" s="99"/>
      <c r="K3751" s="99"/>
      <c r="L3751" s="99"/>
      <c r="M3751" s="99"/>
      <c r="N3751" s="99"/>
      <c r="O3751" s="99"/>
      <c r="P3751" s="99"/>
      <c r="Q3751" s="99"/>
      <c r="R3751" s="99"/>
      <c r="S3751" s="99"/>
      <c r="T3751" s="99"/>
      <c r="U3751" s="99"/>
      <c r="V3751" s="99"/>
    </row>
    <row r="3752" spans="1:22">
      <c r="A3752" s="297"/>
      <c r="B3752" s="217"/>
      <c r="C3752" s="217"/>
      <c r="D3752" s="101"/>
      <c r="E3752" s="101"/>
      <c r="F3752" s="294"/>
      <c r="G3752" s="295"/>
      <c r="H3752" s="98"/>
      <c r="I3752" s="99"/>
      <c r="J3752" s="99"/>
      <c r="K3752" s="99"/>
      <c r="L3752" s="99"/>
      <c r="M3752" s="99"/>
      <c r="N3752" s="99"/>
      <c r="O3752" s="99"/>
      <c r="P3752" s="99"/>
      <c r="Q3752" s="99"/>
      <c r="R3752" s="99"/>
      <c r="S3752" s="99"/>
      <c r="T3752" s="99"/>
      <c r="U3752" s="99"/>
      <c r="V3752" s="99"/>
    </row>
    <row r="3753" spans="1:22">
      <c r="A3753" s="297"/>
      <c r="B3753" s="217"/>
      <c r="C3753" s="217"/>
      <c r="D3753" s="101"/>
      <c r="E3753" s="101"/>
      <c r="F3753" s="294"/>
      <c r="G3753" s="295"/>
      <c r="H3753" s="98"/>
      <c r="I3753" s="99"/>
      <c r="J3753" s="99"/>
      <c r="K3753" s="99"/>
      <c r="L3753" s="99"/>
      <c r="M3753" s="99"/>
      <c r="N3753" s="99"/>
      <c r="O3753" s="99"/>
      <c r="P3753" s="99"/>
      <c r="Q3753" s="99"/>
      <c r="R3753" s="99"/>
      <c r="S3753" s="99"/>
      <c r="T3753" s="99"/>
      <c r="U3753" s="99"/>
      <c r="V3753" s="99"/>
    </row>
    <row r="3754" spans="1:22">
      <c r="A3754" s="297"/>
      <c r="B3754" s="217"/>
      <c r="C3754" s="217"/>
      <c r="D3754" s="101"/>
      <c r="E3754" s="101"/>
      <c r="F3754" s="294"/>
      <c r="G3754" s="295"/>
      <c r="H3754" s="98"/>
      <c r="I3754" s="99"/>
      <c r="J3754" s="99"/>
      <c r="K3754" s="99"/>
      <c r="L3754" s="99"/>
      <c r="M3754" s="99"/>
      <c r="N3754" s="99"/>
      <c r="O3754" s="99"/>
      <c r="P3754" s="99"/>
      <c r="Q3754" s="99"/>
      <c r="R3754" s="99"/>
      <c r="S3754" s="99"/>
      <c r="T3754" s="99"/>
      <c r="U3754" s="99"/>
      <c r="V3754" s="99"/>
    </row>
    <row r="3755" spans="1:22">
      <c r="A3755" s="297"/>
      <c r="B3755" s="217"/>
      <c r="C3755" s="217"/>
      <c r="D3755" s="101"/>
      <c r="E3755" s="101"/>
      <c r="F3755" s="294"/>
      <c r="G3755" s="295"/>
      <c r="H3755" s="98"/>
      <c r="I3755" s="99"/>
      <c r="J3755" s="99"/>
      <c r="K3755" s="99"/>
      <c r="L3755" s="99"/>
      <c r="M3755" s="99"/>
      <c r="N3755" s="99"/>
      <c r="O3755" s="99"/>
      <c r="P3755" s="99"/>
      <c r="Q3755" s="99"/>
      <c r="R3755" s="99"/>
      <c r="S3755" s="99"/>
      <c r="T3755" s="99"/>
      <c r="U3755" s="99"/>
      <c r="V3755" s="99"/>
    </row>
    <row r="3756" spans="1:22">
      <c r="A3756" s="297"/>
      <c r="B3756" s="217"/>
      <c r="C3756" s="217"/>
      <c r="D3756" s="101"/>
      <c r="E3756" s="101"/>
      <c r="F3756" s="294"/>
      <c r="G3756" s="295"/>
      <c r="H3756" s="98"/>
      <c r="I3756" s="99"/>
      <c r="J3756" s="99"/>
      <c r="K3756" s="99"/>
      <c r="L3756" s="99"/>
      <c r="M3756" s="99"/>
      <c r="N3756" s="99"/>
      <c r="O3756" s="99"/>
      <c r="P3756" s="99"/>
      <c r="Q3756" s="99"/>
      <c r="R3756" s="99"/>
      <c r="S3756" s="99"/>
      <c r="T3756" s="99"/>
      <c r="U3756" s="99"/>
      <c r="V3756" s="99"/>
    </row>
    <row r="3757" spans="1:22">
      <c r="A3757" s="297"/>
      <c r="B3757" s="217"/>
      <c r="C3757" s="217"/>
      <c r="D3757" s="101"/>
      <c r="E3757" s="101"/>
      <c r="F3757" s="294"/>
      <c r="G3757" s="295"/>
      <c r="H3757" s="98"/>
      <c r="I3757" s="99"/>
      <c r="J3757" s="99"/>
      <c r="K3757" s="99"/>
      <c r="L3757" s="99"/>
      <c r="M3757" s="99"/>
      <c r="N3757" s="99"/>
      <c r="O3757" s="99"/>
      <c r="P3757" s="99"/>
      <c r="Q3757" s="99"/>
      <c r="R3757" s="99"/>
      <c r="S3757" s="99"/>
      <c r="T3757" s="99"/>
      <c r="U3757" s="99"/>
      <c r="V3757" s="99"/>
    </row>
    <row r="3758" spans="1:22">
      <c r="A3758" s="297"/>
      <c r="B3758" s="217"/>
      <c r="C3758" s="217"/>
      <c r="D3758" s="101"/>
      <c r="E3758" s="101"/>
      <c r="F3758" s="294"/>
      <c r="G3758" s="295"/>
      <c r="H3758" s="98"/>
      <c r="I3758" s="99"/>
      <c r="J3758" s="99"/>
      <c r="K3758" s="99"/>
      <c r="L3758" s="99"/>
      <c r="M3758" s="99"/>
      <c r="N3758" s="99"/>
      <c r="O3758" s="99"/>
      <c r="P3758" s="99"/>
      <c r="Q3758" s="99"/>
      <c r="R3758" s="99"/>
      <c r="S3758" s="99"/>
      <c r="T3758" s="99"/>
      <c r="U3758" s="99"/>
      <c r="V3758" s="99"/>
    </row>
    <row r="3759" spans="1:22">
      <c r="A3759" s="297"/>
      <c r="B3759" s="217"/>
      <c r="C3759" s="217"/>
      <c r="D3759" s="101"/>
      <c r="E3759" s="101"/>
      <c r="F3759" s="294"/>
      <c r="G3759" s="295"/>
      <c r="H3759" s="98"/>
      <c r="I3759" s="99"/>
      <c r="J3759" s="99"/>
      <c r="K3759" s="99"/>
      <c r="L3759" s="99"/>
      <c r="M3759" s="99"/>
      <c r="N3759" s="99"/>
      <c r="O3759" s="99"/>
      <c r="P3759" s="99"/>
      <c r="Q3759" s="99"/>
      <c r="R3759" s="99"/>
      <c r="S3759" s="99"/>
      <c r="T3759" s="99"/>
      <c r="U3759" s="99"/>
      <c r="V3759" s="99"/>
    </row>
    <row r="3760" spans="1:22">
      <c r="A3760" s="297"/>
      <c r="B3760" s="217"/>
      <c r="C3760" s="217"/>
      <c r="D3760" s="101"/>
      <c r="E3760" s="101"/>
      <c r="F3760" s="294"/>
      <c r="G3760" s="295"/>
      <c r="H3760" s="98"/>
      <c r="I3760" s="99"/>
      <c r="J3760" s="99"/>
      <c r="K3760" s="99"/>
      <c r="L3760" s="99"/>
      <c r="M3760" s="99"/>
      <c r="N3760" s="99"/>
      <c r="O3760" s="99"/>
      <c r="P3760" s="99"/>
      <c r="Q3760" s="99"/>
      <c r="R3760" s="99"/>
      <c r="S3760" s="99"/>
      <c r="T3760" s="99"/>
      <c r="U3760" s="99"/>
      <c r="V3760" s="99"/>
    </row>
    <row r="3761" spans="1:22">
      <c r="A3761" s="297"/>
      <c r="B3761" s="217"/>
      <c r="C3761" s="217"/>
      <c r="D3761" s="101"/>
      <c r="E3761" s="101"/>
      <c r="F3761" s="294"/>
      <c r="G3761" s="295"/>
      <c r="H3761" s="98"/>
      <c r="I3761" s="99"/>
      <c r="J3761" s="99"/>
      <c r="K3761" s="99"/>
      <c r="L3761" s="99"/>
      <c r="M3761" s="99"/>
      <c r="N3761" s="99"/>
      <c r="O3761" s="99"/>
      <c r="P3761" s="99"/>
      <c r="Q3761" s="99"/>
      <c r="R3761" s="99"/>
      <c r="S3761" s="99"/>
      <c r="T3761" s="99"/>
      <c r="U3761" s="99"/>
      <c r="V3761" s="99"/>
    </row>
    <row r="3762" spans="1:22">
      <c r="A3762" s="297"/>
      <c r="B3762" s="217"/>
      <c r="C3762" s="217"/>
      <c r="D3762" s="101"/>
      <c r="E3762" s="101"/>
      <c r="F3762" s="294"/>
      <c r="G3762" s="295"/>
      <c r="H3762" s="98"/>
      <c r="I3762" s="99"/>
      <c r="J3762" s="99"/>
      <c r="K3762" s="99"/>
      <c r="L3762" s="99"/>
      <c r="M3762" s="99"/>
      <c r="N3762" s="99"/>
      <c r="O3762" s="99"/>
      <c r="P3762" s="99"/>
      <c r="Q3762" s="99"/>
      <c r="R3762" s="99"/>
      <c r="S3762" s="99"/>
      <c r="T3762" s="99"/>
      <c r="U3762" s="99"/>
      <c r="V3762" s="99"/>
    </row>
    <row r="3763" spans="1:22">
      <c r="A3763" s="297"/>
      <c r="B3763" s="217"/>
      <c r="C3763" s="217"/>
      <c r="D3763" s="101"/>
      <c r="E3763" s="101"/>
      <c r="F3763" s="294"/>
      <c r="G3763" s="295"/>
      <c r="H3763" s="107"/>
      <c r="I3763" s="108"/>
      <c r="J3763" s="108"/>
      <c r="K3763" s="108"/>
      <c r="L3763" s="108"/>
      <c r="M3763" s="108"/>
      <c r="N3763" s="108"/>
      <c r="O3763" s="108"/>
      <c r="P3763" s="108"/>
      <c r="Q3763" s="108"/>
      <c r="R3763" s="108"/>
      <c r="S3763" s="108"/>
      <c r="T3763" s="108"/>
      <c r="U3763" s="233"/>
      <c r="V3763" s="233"/>
    </row>
    <row r="3764" spans="1:22">
      <c r="A3764" s="297"/>
      <c r="B3764" s="217"/>
      <c r="C3764" s="217"/>
      <c r="D3764" s="101"/>
      <c r="E3764" s="101"/>
      <c r="F3764" s="294"/>
      <c r="G3764" s="295"/>
      <c r="H3764" s="98"/>
      <c r="I3764" s="106"/>
      <c r="J3764" s="106"/>
      <c r="K3764" s="106"/>
      <c r="L3764" s="106"/>
      <c r="M3764" s="106"/>
      <c r="N3764" s="112"/>
      <c r="O3764" s="112"/>
      <c r="P3764" s="112"/>
      <c r="Q3764" s="113"/>
      <c r="T3764" s="113"/>
      <c r="U3764" s="113"/>
      <c r="V3764" s="113"/>
    </row>
    <row r="3765" spans="1:22">
      <c r="A3765" s="297"/>
      <c r="B3765" s="217"/>
      <c r="C3765" s="217"/>
      <c r="D3765" s="101"/>
      <c r="E3765" s="101"/>
      <c r="F3765" s="294"/>
      <c r="G3765" s="295"/>
      <c r="H3765" s="114"/>
      <c r="I3765" s="108"/>
      <c r="J3765" s="108"/>
      <c r="K3765" s="108"/>
      <c r="L3765" s="108"/>
      <c r="M3765" s="108"/>
      <c r="N3765" s="108"/>
      <c r="O3765" s="108"/>
      <c r="P3765" s="108"/>
      <c r="Q3765" s="108"/>
      <c r="R3765" s="108"/>
      <c r="S3765" s="108"/>
      <c r="T3765" s="108"/>
      <c r="U3765" s="233"/>
      <c r="V3765" s="233"/>
    </row>
    <row r="3766" spans="1:22" ht="14.4" thickBot="1">
      <c r="A3766" s="297"/>
      <c r="B3766" s="217"/>
      <c r="C3766" s="217"/>
      <c r="D3766" s="101"/>
      <c r="E3766" s="101"/>
      <c r="F3766" s="294"/>
      <c r="G3766" s="295"/>
      <c r="H3766" s="98"/>
      <c r="I3766" s="218"/>
      <c r="J3766" s="218"/>
      <c r="K3766" s="218"/>
      <c r="L3766" s="218"/>
      <c r="M3766" s="218"/>
      <c r="U3766" s="212"/>
      <c r="V3766" s="212"/>
    </row>
    <row r="3767" spans="1:22" ht="23.4" thickBot="1">
      <c r="A3767" s="297"/>
      <c r="B3767" s="217"/>
      <c r="C3767" s="217"/>
      <c r="D3767" s="101"/>
      <c r="E3767" s="101"/>
      <c r="F3767" s="294"/>
      <c r="G3767" s="295"/>
      <c r="H3767" s="686"/>
      <c r="I3767" s="687"/>
      <c r="J3767" s="687"/>
      <c r="K3767" s="687"/>
      <c r="L3767" s="687"/>
      <c r="M3767" s="687"/>
      <c r="N3767" s="687"/>
      <c r="O3767" s="687"/>
      <c r="P3767" s="687"/>
      <c r="Q3767" s="687"/>
      <c r="R3767" s="687"/>
      <c r="S3767" s="715"/>
      <c r="T3767" s="688"/>
      <c r="U3767" s="254"/>
      <c r="V3767" s="254"/>
    </row>
    <row r="3768" spans="1:22" ht="22.8">
      <c r="A3768" s="297"/>
      <c r="B3768" s="217"/>
      <c r="C3768" s="217"/>
      <c r="D3768" s="101"/>
      <c r="E3768" s="101"/>
      <c r="F3768" s="294"/>
      <c r="G3768" s="295"/>
      <c r="H3768" s="225"/>
      <c r="I3768" s="225"/>
      <c r="J3768" s="225"/>
      <c r="K3768" s="225"/>
      <c r="L3768" s="225"/>
      <c r="M3768" s="225"/>
      <c r="N3768" s="225"/>
      <c r="O3768" s="225"/>
      <c r="P3768" s="225"/>
      <c r="Q3768" s="225"/>
      <c r="R3768" s="225"/>
      <c r="S3768" s="225"/>
      <c r="T3768" s="225"/>
      <c r="U3768" s="225"/>
      <c r="V3768" s="225"/>
    </row>
    <row r="3769" spans="1:22" ht="24" customHeight="1">
      <c r="A3769" s="297"/>
      <c r="B3769" s="217"/>
      <c r="C3769" s="217"/>
      <c r="D3769" s="101"/>
      <c r="E3769" s="101"/>
      <c r="F3769" s="294"/>
      <c r="G3769" s="295"/>
      <c r="H3769" s="98"/>
      <c r="I3769" s="99"/>
      <c r="J3769" s="99"/>
      <c r="K3769" s="99"/>
      <c r="L3769" s="99"/>
      <c r="M3769" s="99"/>
      <c r="N3769" s="99"/>
      <c r="O3769" s="99"/>
      <c r="P3769" s="99"/>
      <c r="Q3769" s="99"/>
      <c r="R3769" s="99"/>
      <c r="S3769" s="99"/>
      <c r="T3769" s="99"/>
      <c r="U3769" s="99"/>
      <c r="V3769" s="99"/>
    </row>
    <row r="3770" spans="1:22">
      <c r="A3770" s="297"/>
      <c r="B3770" s="217"/>
      <c r="C3770" s="217"/>
      <c r="D3770" s="101"/>
      <c r="E3770" s="101"/>
      <c r="F3770" s="294"/>
      <c r="G3770" s="295"/>
      <c r="H3770" s="98"/>
      <c r="I3770" s="99"/>
      <c r="J3770" s="99"/>
      <c r="K3770" s="99"/>
      <c r="L3770" s="99"/>
      <c r="M3770" s="99"/>
      <c r="N3770" s="99"/>
      <c r="O3770" s="99"/>
      <c r="P3770" s="99"/>
      <c r="Q3770" s="99"/>
      <c r="R3770" s="99"/>
      <c r="S3770" s="99"/>
      <c r="T3770" s="99"/>
      <c r="U3770" s="99"/>
      <c r="V3770" s="99"/>
    </row>
    <row r="3771" spans="1:22">
      <c r="A3771" s="297"/>
      <c r="B3771" s="217"/>
      <c r="C3771" s="217"/>
      <c r="D3771" s="101"/>
      <c r="E3771" s="101"/>
      <c r="F3771" s="294"/>
      <c r="G3771" s="295"/>
      <c r="H3771" s="98"/>
      <c r="I3771" s="99"/>
      <c r="J3771" s="99"/>
      <c r="K3771" s="99"/>
      <c r="L3771" s="99"/>
      <c r="M3771" s="99"/>
      <c r="N3771" s="99"/>
      <c r="O3771" s="99"/>
      <c r="P3771" s="99"/>
      <c r="Q3771" s="99"/>
      <c r="R3771" s="99"/>
      <c r="S3771" s="99"/>
      <c r="T3771" s="99"/>
      <c r="U3771" s="99"/>
      <c r="V3771" s="99"/>
    </row>
    <row r="3772" spans="1:22">
      <c r="A3772" s="297"/>
      <c r="B3772" s="217"/>
      <c r="C3772" s="217"/>
      <c r="D3772" s="101"/>
      <c r="E3772" s="101"/>
      <c r="F3772" s="294"/>
      <c r="G3772" s="295"/>
      <c r="H3772" s="98"/>
      <c r="I3772" s="99"/>
      <c r="J3772" s="99"/>
      <c r="K3772" s="99"/>
      <c r="L3772" s="99"/>
      <c r="M3772" s="99"/>
      <c r="N3772" s="99"/>
      <c r="O3772" s="99"/>
      <c r="P3772" s="99"/>
      <c r="Q3772" s="99"/>
      <c r="R3772" s="99"/>
      <c r="S3772" s="99"/>
      <c r="T3772" s="99"/>
      <c r="U3772" s="99"/>
      <c r="V3772" s="99"/>
    </row>
    <row r="3773" spans="1:22">
      <c r="A3773" s="297"/>
      <c r="B3773" s="217"/>
      <c r="C3773" s="217"/>
      <c r="D3773" s="101"/>
      <c r="E3773" s="101"/>
      <c r="F3773" s="294"/>
      <c r="G3773" s="295"/>
      <c r="H3773" s="98"/>
      <c r="I3773" s="99"/>
      <c r="J3773" s="99"/>
      <c r="K3773" s="99"/>
      <c r="L3773" s="99"/>
      <c r="M3773" s="99"/>
      <c r="N3773" s="99"/>
      <c r="O3773" s="99"/>
      <c r="P3773" s="99"/>
      <c r="Q3773" s="99"/>
      <c r="R3773" s="99"/>
      <c r="S3773" s="99"/>
      <c r="T3773" s="99"/>
      <c r="U3773" s="99"/>
      <c r="V3773" s="99"/>
    </row>
    <row r="3774" spans="1:22">
      <c r="A3774" s="297"/>
      <c r="B3774" s="217"/>
      <c r="C3774" s="217"/>
      <c r="D3774" s="101"/>
      <c r="E3774" s="101"/>
      <c r="F3774" s="294"/>
      <c r="G3774" s="295"/>
      <c r="H3774" s="98"/>
      <c r="I3774" s="99"/>
      <c r="J3774" s="99"/>
      <c r="K3774" s="99"/>
      <c r="L3774" s="99"/>
      <c r="M3774" s="99"/>
      <c r="N3774" s="99"/>
      <c r="O3774" s="99"/>
      <c r="P3774" s="99"/>
      <c r="Q3774" s="99"/>
      <c r="R3774" s="99"/>
      <c r="S3774" s="99"/>
      <c r="T3774" s="99"/>
      <c r="U3774" s="99"/>
      <c r="V3774" s="99"/>
    </row>
    <row r="3775" spans="1:22">
      <c r="A3775" s="297"/>
      <c r="B3775" s="217"/>
      <c r="C3775" s="217"/>
      <c r="D3775" s="101"/>
      <c r="E3775" s="101"/>
      <c r="F3775" s="294"/>
      <c r="G3775" s="295"/>
      <c r="H3775" s="98"/>
      <c r="I3775" s="99"/>
      <c r="J3775" s="99"/>
      <c r="K3775" s="99"/>
      <c r="L3775" s="99"/>
      <c r="M3775" s="99"/>
      <c r="N3775" s="99"/>
      <c r="O3775" s="99"/>
      <c r="P3775" s="99"/>
      <c r="Q3775" s="99"/>
      <c r="R3775" s="99"/>
      <c r="S3775" s="99"/>
      <c r="T3775" s="99"/>
      <c r="U3775" s="99"/>
      <c r="V3775" s="99"/>
    </row>
    <row r="3776" spans="1:22">
      <c r="A3776" s="297"/>
      <c r="B3776" s="217"/>
      <c r="C3776" s="217"/>
      <c r="D3776" s="101"/>
      <c r="E3776" s="101"/>
      <c r="F3776" s="294"/>
      <c r="G3776" s="295"/>
      <c r="H3776" s="107"/>
      <c r="I3776" s="108"/>
      <c r="J3776" s="108"/>
      <c r="K3776" s="108"/>
      <c r="L3776" s="108"/>
      <c r="M3776" s="108"/>
      <c r="N3776" s="109"/>
      <c r="O3776" s="109"/>
      <c r="P3776" s="109"/>
      <c r="Q3776" s="109"/>
      <c r="R3776" s="109"/>
      <c r="S3776" s="109"/>
      <c r="T3776" s="109"/>
      <c r="U3776" s="202"/>
      <c r="V3776" s="202"/>
    </row>
    <row r="3777" spans="1:22">
      <c r="A3777" s="297"/>
      <c r="B3777" s="217"/>
      <c r="C3777" s="217"/>
      <c r="D3777" s="101"/>
      <c r="E3777" s="101"/>
      <c r="F3777" s="294"/>
      <c r="G3777" s="295"/>
      <c r="H3777" s="98"/>
      <c r="I3777" s="106"/>
      <c r="J3777" s="106"/>
      <c r="K3777" s="106"/>
      <c r="L3777" s="106"/>
      <c r="M3777" s="106"/>
      <c r="N3777" s="112"/>
      <c r="O3777" s="112"/>
      <c r="P3777" s="112"/>
      <c r="Q3777" s="113"/>
      <c r="R3777" s="113"/>
      <c r="S3777" s="113"/>
      <c r="T3777" s="113"/>
      <c r="U3777" s="113"/>
      <c r="V3777" s="113"/>
    </row>
    <row r="3778" spans="1:22">
      <c r="A3778" s="297"/>
      <c r="B3778" s="217"/>
      <c r="C3778" s="217"/>
      <c r="D3778" s="101"/>
      <c r="E3778" s="101"/>
      <c r="F3778" s="294"/>
      <c r="G3778" s="295"/>
      <c r="H3778" s="98"/>
      <c r="I3778" s="99"/>
      <c r="J3778" s="99"/>
      <c r="K3778" s="99"/>
      <c r="L3778" s="99"/>
      <c r="M3778" s="99"/>
      <c r="N3778" s="99"/>
      <c r="O3778" s="99"/>
      <c r="P3778" s="99"/>
      <c r="Q3778" s="99"/>
      <c r="R3778" s="99"/>
      <c r="S3778" s="99"/>
      <c r="T3778" s="99"/>
      <c r="U3778" s="99"/>
      <c r="V3778" s="99"/>
    </row>
    <row r="3779" spans="1:22">
      <c r="A3779" s="297"/>
      <c r="B3779" s="217"/>
      <c r="C3779" s="217"/>
      <c r="D3779" s="101"/>
      <c r="E3779" s="101"/>
      <c r="F3779" s="294"/>
      <c r="G3779" s="295"/>
      <c r="H3779" s="98"/>
      <c r="I3779" s="99"/>
      <c r="J3779" s="99"/>
      <c r="K3779" s="99"/>
      <c r="L3779" s="99"/>
      <c r="M3779" s="99"/>
      <c r="N3779" s="99"/>
      <c r="O3779" s="99"/>
      <c r="P3779" s="99"/>
      <c r="Q3779" s="99"/>
      <c r="R3779" s="99"/>
      <c r="S3779" s="99"/>
      <c r="T3779" s="99"/>
      <c r="U3779" s="99"/>
      <c r="V3779" s="99"/>
    </row>
    <row r="3780" spans="1:22">
      <c r="A3780" s="297"/>
      <c r="B3780" s="217"/>
      <c r="C3780" s="217"/>
      <c r="D3780" s="101"/>
      <c r="E3780" s="101"/>
      <c r="F3780" s="294"/>
      <c r="G3780" s="295"/>
      <c r="H3780" s="98"/>
      <c r="I3780" s="99"/>
      <c r="J3780" s="99"/>
      <c r="K3780" s="99"/>
      <c r="L3780" s="99"/>
      <c r="M3780" s="99"/>
      <c r="N3780" s="99"/>
      <c r="O3780" s="99"/>
      <c r="P3780" s="99"/>
      <c r="Q3780" s="99"/>
      <c r="R3780" s="99"/>
      <c r="S3780" s="99"/>
      <c r="T3780" s="99"/>
      <c r="U3780" s="99"/>
      <c r="V3780" s="99"/>
    </row>
    <row r="3781" spans="1:22">
      <c r="A3781" s="297"/>
      <c r="B3781" s="217"/>
      <c r="C3781" s="217"/>
      <c r="D3781" s="101"/>
      <c r="E3781" s="101"/>
      <c r="F3781" s="294"/>
      <c r="G3781" s="295"/>
      <c r="H3781" s="98"/>
      <c r="I3781" s="99"/>
      <c r="J3781" s="99"/>
      <c r="K3781" s="99"/>
      <c r="L3781" s="99"/>
      <c r="M3781" s="99"/>
      <c r="N3781" s="99"/>
      <c r="O3781" s="99"/>
      <c r="P3781" s="99"/>
      <c r="Q3781" s="99"/>
      <c r="R3781" s="99"/>
      <c r="S3781" s="99"/>
      <c r="T3781" s="99"/>
      <c r="U3781" s="99"/>
      <c r="V3781" s="99"/>
    </row>
    <row r="3782" spans="1:22">
      <c r="A3782" s="297"/>
      <c r="B3782" s="217"/>
      <c r="C3782" s="217"/>
      <c r="D3782" s="101"/>
      <c r="E3782" s="101"/>
      <c r="F3782" s="294"/>
      <c r="G3782" s="295"/>
      <c r="H3782" s="98"/>
      <c r="I3782" s="99"/>
      <c r="J3782" s="99"/>
      <c r="K3782" s="99"/>
      <c r="L3782" s="99"/>
      <c r="M3782" s="99"/>
      <c r="N3782" s="99"/>
      <c r="O3782" s="99"/>
      <c r="P3782" s="99"/>
      <c r="Q3782" s="99"/>
      <c r="R3782" s="99"/>
      <c r="S3782" s="99"/>
      <c r="T3782" s="99"/>
      <c r="U3782" s="99"/>
      <c r="V3782" s="99"/>
    </row>
    <row r="3783" spans="1:22">
      <c r="A3783" s="297"/>
      <c r="B3783" s="217"/>
      <c r="C3783" s="217"/>
      <c r="D3783" s="101"/>
      <c r="E3783" s="101"/>
      <c r="F3783" s="294"/>
      <c r="G3783" s="295"/>
      <c r="H3783" s="98"/>
      <c r="I3783" s="99"/>
      <c r="J3783" s="99"/>
      <c r="K3783" s="99"/>
      <c r="L3783" s="99"/>
      <c r="M3783" s="99"/>
      <c r="N3783" s="99"/>
      <c r="O3783" s="99"/>
      <c r="P3783" s="99"/>
      <c r="Q3783" s="99"/>
      <c r="R3783" s="99"/>
      <c r="S3783" s="99"/>
      <c r="T3783" s="99"/>
      <c r="U3783" s="99"/>
      <c r="V3783" s="99"/>
    </row>
    <row r="3784" spans="1:22">
      <c r="A3784" s="297"/>
      <c r="B3784" s="217"/>
      <c r="C3784" s="217"/>
      <c r="D3784" s="101"/>
      <c r="E3784" s="101"/>
      <c r="F3784" s="294"/>
      <c r="G3784" s="295"/>
      <c r="H3784" s="98"/>
      <c r="I3784" s="99"/>
      <c r="J3784" s="99"/>
      <c r="K3784" s="99"/>
      <c r="L3784" s="99"/>
      <c r="M3784" s="99"/>
      <c r="N3784" s="99"/>
      <c r="O3784" s="99"/>
      <c r="P3784" s="99"/>
      <c r="Q3784" s="99"/>
      <c r="R3784" s="99"/>
      <c r="S3784" s="99"/>
      <c r="T3784" s="99"/>
      <c r="U3784" s="99"/>
      <c r="V3784" s="99"/>
    </row>
    <row r="3785" spans="1:22">
      <c r="A3785" s="297"/>
      <c r="B3785" s="217"/>
      <c r="C3785" s="217"/>
      <c r="D3785" s="101"/>
      <c r="E3785" s="101"/>
      <c r="F3785" s="294"/>
      <c r="G3785" s="295"/>
      <c r="H3785" s="98"/>
      <c r="I3785" s="99"/>
      <c r="J3785" s="99"/>
      <c r="K3785" s="99"/>
      <c r="L3785" s="99"/>
      <c r="M3785" s="99"/>
      <c r="N3785" s="99"/>
      <c r="O3785" s="99"/>
      <c r="P3785" s="99"/>
      <c r="Q3785" s="99"/>
      <c r="R3785" s="99"/>
      <c r="S3785" s="99"/>
      <c r="T3785" s="99"/>
      <c r="U3785" s="99"/>
      <c r="V3785" s="99"/>
    </row>
    <row r="3786" spans="1:22">
      <c r="A3786" s="297"/>
      <c r="B3786" s="217"/>
      <c r="C3786" s="217"/>
      <c r="D3786" s="101"/>
      <c r="E3786" s="101"/>
      <c r="F3786" s="294"/>
      <c r="G3786" s="295"/>
      <c r="H3786" s="98"/>
      <c r="I3786" s="99"/>
      <c r="J3786" s="99"/>
      <c r="K3786" s="99"/>
      <c r="L3786" s="99"/>
      <c r="M3786" s="99"/>
      <c r="N3786" s="99"/>
      <c r="O3786" s="99"/>
      <c r="P3786" s="99"/>
      <c r="Q3786" s="99"/>
      <c r="R3786" s="99"/>
      <c r="S3786" s="99"/>
      <c r="T3786" s="99"/>
      <c r="U3786" s="99"/>
      <c r="V3786" s="99"/>
    </row>
    <row r="3787" spans="1:22">
      <c r="A3787" s="297"/>
      <c r="B3787" s="217"/>
      <c r="C3787" s="217"/>
      <c r="D3787" s="101"/>
      <c r="E3787" s="101"/>
      <c r="F3787" s="294"/>
      <c r="G3787" s="295"/>
      <c r="H3787" s="107"/>
      <c r="I3787" s="108"/>
      <c r="J3787" s="108"/>
      <c r="K3787" s="108"/>
      <c r="L3787" s="108"/>
      <c r="M3787" s="108"/>
      <c r="N3787" s="108"/>
      <c r="O3787" s="108"/>
      <c r="P3787" s="108"/>
      <c r="Q3787" s="108"/>
      <c r="R3787" s="108"/>
      <c r="S3787" s="108"/>
      <c r="T3787" s="108"/>
      <c r="U3787" s="233"/>
      <c r="V3787" s="233"/>
    </row>
    <row r="3788" spans="1:22">
      <c r="A3788" s="297"/>
      <c r="B3788" s="217"/>
      <c r="C3788" s="217"/>
      <c r="D3788" s="101"/>
      <c r="E3788" s="101"/>
      <c r="F3788" s="294"/>
      <c r="G3788" s="295"/>
      <c r="H3788" s="98"/>
      <c r="I3788" s="106"/>
      <c r="J3788" s="106"/>
      <c r="K3788" s="106"/>
      <c r="L3788" s="106"/>
      <c r="M3788" s="106"/>
      <c r="N3788" s="112"/>
      <c r="O3788" s="112"/>
      <c r="P3788" s="112"/>
      <c r="Q3788" s="113"/>
      <c r="R3788" s="113"/>
      <c r="S3788" s="113"/>
      <c r="T3788" s="113"/>
      <c r="U3788" s="113"/>
      <c r="V3788" s="113"/>
    </row>
    <row r="3789" spans="1:22">
      <c r="A3789" s="297"/>
      <c r="B3789" s="217"/>
      <c r="C3789" s="217"/>
      <c r="D3789" s="101"/>
      <c r="E3789" s="101"/>
      <c r="F3789" s="294"/>
      <c r="G3789" s="295"/>
      <c r="H3789" s="98"/>
      <c r="I3789" s="99"/>
      <c r="J3789" s="99"/>
      <c r="K3789" s="99"/>
      <c r="L3789" s="99"/>
      <c r="M3789" s="99"/>
      <c r="N3789" s="99"/>
      <c r="O3789" s="99"/>
      <c r="P3789" s="99"/>
      <c r="Q3789" s="99"/>
      <c r="R3789" s="99"/>
      <c r="S3789" s="99"/>
      <c r="T3789" s="99"/>
      <c r="U3789" s="99"/>
      <c r="V3789" s="99"/>
    </row>
    <row r="3790" spans="1:22">
      <c r="A3790" s="297"/>
      <c r="B3790" s="217"/>
      <c r="C3790" s="217"/>
      <c r="D3790" s="101"/>
      <c r="E3790" s="101"/>
      <c r="F3790" s="294"/>
      <c r="G3790" s="295"/>
      <c r="H3790" s="98"/>
      <c r="I3790" s="99"/>
      <c r="J3790" s="99"/>
      <c r="K3790" s="99"/>
      <c r="L3790" s="99"/>
      <c r="M3790" s="99"/>
      <c r="N3790" s="99"/>
      <c r="O3790" s="99"/>
      <c r="P3790" s="99"/>
      <c r="Q3790" s="99"/>
      <c r="R3790" s="99"/>
      <c r="S3790" s="99"/>
      <c r="T3790" s="99"/>
      <c r="U3790" s="99"/>
      <c r="V3790" s="99"/>
    </row>
    <row r="3791" spans="1:22">
      <c r="A3791" s="297"/>
      <c r="B3791" s="217"/>
      <c r="C3791" s="217"/>
      <c r="D3791" s="101"/>
      <c r="E3791" s="101"/>
      <c r="F3791" s="294"/>
      <c r="G3791" s="295"/>
      <c r="H3791" s="98"/>
      <c r="I3791" s="99"/>
      <c r="J3791" s="99"/>
      <c r="K3791" s="99"/>
      <c r="L3791" s="99"/>
      <c r="M3791" s="99"/>
      <c r="N3791" s="99"/>
      <c r="O3791" s="99"/>
      <c r="P3791" s="99"/>
      <c r="Q3791" s="99"/>
      <c r="R3791" s="99"/>
      <c r="S3791" s="99"/>
      <c r="T3791" s="99"/>
      <c r="U3791" s="99"/>
      <c r="V3791" s="99"/>
    </row>
    <row r="3792" spans="1:22">
      <c r="A3792" s="297"/>
      <c r="B3792" s="217"/>
      <c r="C3792" s="217"/>
      <c r="D3792" s="101"/>
      <c r="E3792" s="101"/>
      <c r="F3792" s="294"/>
      <c r="G3792" s="295"/>
      <c r="H3792" s="98"/>
      <c r="I3792" s="99"/>
      <c r="J3792" s="99"/>
      <c r="K3792" s="99"/>
      <c r="L3792" s="99"/>
      <c r="M3792" s="99"/>
      <c r="N3792" s="99"/>
      <c r="O3792" s="99"/>
      <c r="P3792" s="99"/>
      <c r="Q3792" s="99"/>
      <c r="R3792" s="99"/>
      <c r="S3792" s="99"/>
      <c r="T3792" s="99"/>
      <c r="U3792" s="99"/>
      <c r="V3792" s="99"/>
    </row>
    <row r="3793" spans="1:22">
      <c r="A3793" s="297"/>
      <c r="B3793" s="217"/>
      <c r="C3793" s="217"/>
      <c r="D3793" s="101"/>
      <c r="E3793" s="101"/>
      <c r="F3793" s="294"/>
      <c r="G3793" s="295"/>
      <c r="H3793" s="98"/>
      <c r="I3793" s="99"/>
      <c r="J3793" s="99"/>
      <c r="K3793" s="99"/>
      <c r="L3793" s="99"/>
      <c r="M3793" s="99"/>
      <c r="N3793" s="99"/>
      <c r="O3793" s="99"/>
      <c r="P3793" s="99"/>
      <c r="Q3793" s="99"/>
      <c r="R3793" s="99"/>
      <c r="S3793" s="99"/>
      <c r="T3793" s="99"/>
      <c r="U3793" s="99"/>
      <c r="V3793" s="99"/>
    </row>
    <row r="3794" spans="1:22">
      <c r="A3794" s="297"/>
      <c r="B3794" s="217"/>
      <c r="C3794" s="217"/>
      <c r="D3794" s="101"/>
      <c r="E3794" s="101"/>
      <c r="F3794" s="294"/>
      <c r="G3794" s="295"/>
      <c r="H3794" s="98"/>
      <c r="I3794" s="99"/>
      <c r="J3794" s="99"/>
      <c r="K3794" s="99"/>
      <c r="L3794" s="99"/>
      <c r="M3794" s="99"/>
      <c r="N3794" s="99"/>
      <c r="O3794" s="99"/>
      <c r="P3794" s="99"/>
      <c r="Q3794" s="99"/>
      <c r="R3794" s="99"/>
      <c r="S3794" s="99"/>
      <c r="T3794" s="99"/>
      <c r="U3794" s="99"/>
      <c r="V3794" s="99"/>
    </row>
    <row r="3795" spans="1:22">
      <c r="A3795" s="297"/>
      <c r="B3795" s="217"/>
      <c r="C3795" s="217"/>
      <c r="D3795" s="101"/>
      <c r="E3795" s="101"/>
      <c r="F3795" s="294"/>
      <c r="G3795" s="295"/>
      <c r="H3795" s="98"/>
      <c r="I3795" s="99"/>
      <c r="J3795" s="99"/>
      <c r="K3795" s="99"/>
      <c r="L3795" s="99"/>
      <c r="M3795" s="99"/>
      <c r="N3795" s="99"/>
      <c r="O3795" s="99"/>
      <c r="P3795" s="99"/>
      <c r="Q3795" s="99"/>
      <c r="R3795" s="99"/>
      <c r="S3795" s="99"/>
      <c r="T3795" s="99"/>
      <c r="U3795" s="99"/>
      <c r="V3795" s="99"/>
    </row>
    <row r="3796" spans="1:22">
      <c r="A3796" s="297"/>
      <c r="B3796" s="217"/>
      <c r="C3796" s="217"/>
      <c r="D3796" s="101"/>
      <c r="E3796" s="101"/>
      <c r="F3796" s="294"/>
      <c r="G3796" s="295"/>
      <c r="H3796" s="98"/>
      <c r="I3796" s="99"/>
      <c r="J3796" s="99"/>
      <c r="K3796" s="99"/>
      <c r="L3796" s="99"/>
      <c r="M3796" s="99"/>
      <c r="N3796" s="99"/>
      <c r="O3796" s="99"/>
      <c r="P3796" s="99"/>
      <c r="Q3796" s="99"/>
      <c r="R3796" s="99"/>
      <c r="S3796" s="99"/>
      <c r="T3796" s="99"/>
      <c r="U3796" s="99"/>
      <c r="V3796" s="99"/>
    </row>
    <row r="3797" spans="1:22">
      <c r="A3797" s="297"/>
      <c r="B3797" s="217"/>
      <c r="C3797" s="217"/>
      <c r="D3797" s="101"/>
      <c r="E3797" s="101"/>
      <c r="F3797" s="294"/>
      <c r="G3797" s="295"/>
      <c r="H3797" s="98"/>
      <c r="I3797" s="99"/>
      <c r="J3797" s="99"/>
      <c r="K3797" s="99"/>
      <c r="L3797" s="99"/>
      <c r="M3797" s="99"/>
      <c r="N3797" s="99"/>
      <c r="O3797" s="99"/>
      <c r="P3797" s="99"/>
      <c r="Q3797" s="99"/>
      <c r="R3797" s="99"/>
      <c r="S3797" s="99"/>
      <c r="T3797" s="99"/>
      <c r="U3797" s="99"/>
      <c r="V3797" s="99"/>
    </row>
    <row r="3798" spans="1:22">
      <c r="A3798" s="297"/>
      <c r="B3798" s="217"/>
      <c r="C3798" s="217"/>
      <c r="D3798" s="101"/>
      <c r="E3798" s="101"/>
      <c r="F3798" s="294"/>
      <c r="G3798" s="295"/>
      <c r="H3798" s="107"/>
      <c r="I3798" s="108"/>
      <c r="J3798" s="108"/>
      <c r="K3798" s="108"/>
      <c r="L3798" s="108"/>
      <c r="M3798" s="108"/>
      <c r="N3798" s="108"/>
      <c r="O3798" s="108"/>
      <c r="P3798" s="108"/>
      <c r="Q3798" s="108"/>
      <c r="R3798" s="108"/>
      <c r="S3798" s="108"/>
      <c r="T3798" s="108"/>
      <c r="U3798" s="233"/>
      <c r="V3798" s="233"/>
    </row>
    <row r="3799" spans="1:22">
      <c r="A3799" s="297"/>
      <c r="B3799" s="217"/>
      <c r="C3799" s="217"/>
      <c r="D3799" s="101"/>
      <c r="E3799" s="101"/>
      <c r="F3799" s="294"/>
      <c r="G3799" s="295"/>
      <c r="H3799" s="98"/>
      <c r="I3799" s="106"/>
      <c r="J3799" s="106"/>
      <c r="K3799" s="106"/>
      <c r="L3799" s="106"/>
      <c r="M3799" s="106"/>
      <c r="N3799" s="112"/>
      <c r="O3799" s="112"/>
      <c r="P3799" s="112"/>
      <c r="Q3799" s="235"/>
      <c r="R3799" s="235"/>
      <c r="S3799" s="235"/>
      <c r="T3799" s="113"/>
      <c r="U3799" s="113"/>
      <c r="V3799" s="113"/>
    </row>
    <row r="3800" spans="1:22">
      <c r="A3800" s="297"/>
      <c r="B3800" s="217"/>
      <c r="C3800" s="217"/>
      <c r="D3800" s="101"/>
      <c r="E3800" s="101"/>
      <c r="F3800" s="294"/>
      <c r="G3800" s="295"/>
      <c r="H3800" s="114"/>
      <c r="I3800" s="108"/>
      <c r="J3800" s="108"/>
      <c r="K3800" s="108"/>
      <c r="L3800" s="108"/>
      <c r="M3800" s="108"/>
      <c r="N3800" s="108"/>
      <c r="O3800" s="108"/>
      <c r="P3800" s="233"/>
      <c r="Q3800" s="108"/>
      <c r="R3800" s="108"/>
      <c r="S3800" s="108"/>
      <c r="T3800" s="108"/>
      <c r="U3800" s="233"/>
      <c r="V3800" s="233"/>
    </row>
    <row r="3801" spans="1:22" ht="14.4" thickBot="1">
      <c r="A3801" s="297"/>
      <c r="B3801" s="217"/>
      <c r="C3801" s="217"/>
      <c r="D3801" s="101"/>
      <c r="E3801" s="101"/>
      <c r="F3801" s="294"/>
      <c r="G3801" s="295"/>
      <c r="H3801" s="98"/>
      <c r="I3801" s="218"/>
      <c r="J3801" s="218"/>
      <c r="K3801" s="218"/>
      <c r="L3801" s="218"/>
      <c r="M3801" s="218"/>
      <c r="U3801" s="212"/>
      <c r="V3801" s="212"/>
    </row>
    <row r="3802" spans="1:22" ht="23.4" thickBot="1">
      <c r="A3802" s="297"/>
      <c r="B3802" s="217"/>
      <c r="C3802" s="217"/>
      <c r="D3802" s="101"/>
      <c r="E3802" s="101"/>
      <c r="F3802" s="294"/>
      <c r="G3802" s="295"/>
      <c r="H3802" s="686"/>
      <c r="I3802" s="687"/>
      <c r="J3802" s="687"/>
      <c r="K3802" s="687"/>
      <c r="L3802" s="687"/>
      <c r="M3802" s="687"/>
      <c r="N3802" s="687"/>
      <c r="O3802" s="687"/>
      <c r="P3802" s="687"/>
      <c r="Q3802" s="687"/>
      <c r="R3802" s="687"/>
      <c r="S3802" s="715"/>
      <c r="T3802" s="688"/>
      <c r="U3802" s="254"/>
      <c r="V3802" s="254"/>
    </row>
    <row r="3803" spans="1:22" ht="22.8">
      <c r="A3803" s="297"/>
      <c r="B3803" s="217"/>
      <c r="C3803" s="217"/>
      <c r="D3803" s="101"/>
      <c r="E3803" s="101"/>
      <c r="F3803" s="294"/>
      <c r="G3803" s="295"/>
      <c r="H3803" s="225"/>
      <c r="I3803" s="225"/>
      <c r="J3803" s="225"/>
      <c r="K3803" s="225"/>
      <c r="L3803" s="225"/>
      <c r="M3803" s="225"/>
      <c r="N3803" s="225"/>
      <c r="O3803" s="225"/>
      <c r="P3803" s="225"/>
      <c r="Q3803" s="225"/>
      <c r="R3803" s="225"/>
      <c r="S3803" s="225"/>
      <c r="T3803" s="225"/>
      <c r="U3803" s="225"/>
      <c r="V3803" s="225"/>
    </row>
    <row r="3804" spans="1:22">
      <c r="A3804" s="297"/>
      <c r="B3804" s="217"/>
      <c r="C3804" s="217"/>
      <c r="D3804" s="101"/>
      <c r="E3804" s="101"/>
      <c r="F3804" s="294"/>
      <c r="G3804" s="295"/>
      <c r="H3804" s="98"/>
      <c r="I3804" s="99"/>
      <c r="J3804" s="99"/>
      <c r="K3804" s="99"/>
      <c r="L3804" s="99"/>
      <c r="M3804" s="99"/>
      <c r="N3804" s="99"/>
      <c r="O3804" s="99"/>
      <c r="P3804" s="99"/>
      <c r="Q3804" s="99"/>
      <c r="R3804" s="99"/>
      <c r="S3804" s="99"/>
      <c r="T3804" s="99"/>
      <c r="U3804" s="99"/>
      <c r="V3804" s="99"/>
    </row>
    <row r="3805" spans="1:22">
      <c r="A3805" s="297"/>
      <c r="B3805" s="217"/>
      <c r="C3805" s="217"/>
      <c r="D3805" s="101"/>
      <c r="E3805" s="101"/>
      <c r="F3805" s="294"/>
      <c r="G3805" s="295"/>
      <c r="H3805" s="98"/>
      <c r="I3805" s="99"/>
      <c r="J3805" s="99"/>
      <c r="K3805" s="99"/>
      <c r="L3805" s="99"/>
      <c r="M3805" s="99"/>
      <c r="N3805" s="99"/>
      <c r="O3805" s="99"/>
      <c r="P3805" s="99"/>
      <c r="Q3805" s="99"/>
      <c r="R3805" s="99"/>
      <c r="S3805" s="99"/>
      <c r="T3805" s="99"/>
      <c r="U3805" s="99"/>
      <c r="V3805" s="99"/>
    </row>
    <row r="3806" spans="1:22">
      <c r="A3806" s="297"/>
      <c r="B3806" s="217"/>
      <c r="C3806" s="217"/>
      <c r="D3806" s="101"/>
      <c r="E3806" s="101"/>
      <c r="F3806" s="294"/>
      <c r="G3806" s="295"/>
      <c r="H3806" s="98"/>
      <c r="I3806" s="99"/>
      <c r="J3806" s="99"/>
      <c r="K3806" s="99"/>
      <c r="L3806" s="99"/>
      <c r="M3806" s="99"/>
      <c r="N3806" s="99"/>
      <c r="O3806" s="99"/>
      <c r="P3806" s="99"/>
      <c r="Q3806" s="99"/>
      <c r="R3806" s="99"/>
      <c r="S3806" s="99"/>
      <c r="T3806" s="99"/>
      <c r="U3806" s="99"/>
      <c r="V3806" s="99"/>
    </row>
    <row r="3807" spans="1:22">
      <c r="A3807" s="297"/>
      <c r="B3807" s="217"/>
      <c r="C3807" s="217"/>
      <c r="D3807" s="101"/>
      <c r="E3807" s="101"/>
      <c r="F3807" s="294"/>
      <c r="G3807" s="295"/>
      <c r="H3807" s="98"/>
      <c r="I3807" s="99"/>
      <c r="J3807" s="99"/>
      <c r="K3807" s="99"/>
      <c r="L3807" s="99"/>
      <c r="M3807" s="99"/>
      <c r="N3807" s="99"/>
      <c r="O3807" s="99"/>
      <c r="P3807" s="99"/>
      <c r="Q3807" s="99"/>
      <c r="R3807" s="99"/>
      <c r="S3807" s="99"/>
      <c r="T3807" s="99"/>
      <c r="U3807" s="99"/>
      <c r="V3807" s="99"/>
    </row>
    <row r="3808" spans="1:22">
      <c r="A3808" s="297"/>
      <c r="B3808" s="217"/>
      <c r="C3808" s="217"/>
      <c r="D3808" s="101"/>
      <c r="E3808" s="101"/>
      <c r="F3808" s="294"/>
      <c r="G3808" s="295"/>
      <c r="H3808" s="98"/>
      <c r="I3808" s="99"/>
      <c r="J3808" s="99"/>
      <c r="K3808" s="99"/>
      <c r="L3808" s="99"/>
      <c r="M3808" s="99"/>
      <c r="N3808" s="99"/>
      <c r="O3808" s="99"/>
      <c r="P3808" s="99"/>
      <c r="Q3808" s="99"/>
      <c r="R3808" s="99"/>
      <c r="S3808" s="99"/>
      <c r="T3808" s="99"/>
      <c r="U3808" s="99"/>
      <c r="V3808" s="99"/>
    </row>
    <row r="3809" spans="1:22">
      <c r="A3809" s="297"/>
      <c r="B3809" s="217"/>
      <c r="C3809" s="217"/>
      <c r="D3809" s="101"/>
      <c r="E3809" s="101"/>
      <c r="F3809" s="294"/>
      <c r="G3809" s="295"/>
      <c r="H3809" s="98"/>
      <c r="I3809" s="99"/>
      <c r="J3809" s="99"/>
      <c r="K3809" s="99"/>
      <c r="L3809" s="99"/>
      <c r="M3809" s="99"/>
      <c r="N3809" s="99"/>
      <c r="O3809" s="99"/>
      <c r="P3809" s="99"/>
      <c r="Q3809" s="99"/>
      <c r="R3809" s="99"/>
      <c r="S3809" s="99"/>
      <c r="T3809" s="99"/>
      <c r="U3809" s="99"/>
      <c r="V3809" s="99"/>
    </row>
    <row r="3810" spans="1:22">
      <c r="A3810" s="297"/>
      <c r="B3810" s="217"/>
      <c r="C3810" s="217"/>
      <c r="D3810" s="101"/>
      <c r="E3810" s="101"/>
      <c r="F3810" s="294"/>
      <c r="G3810" s="295"/>
      <c r="H3810" s="107"/>
      <c r="I3810" s="108"/>
      <c r="J3810" s="108"/>
      <c r="K3810" s="108"/>
      <c r="L3810" s="108"/>
      <c r="M3810" s="108"/>
      <c r="N3810" s="109"/>
      <c r="O3810" s="109"/>
      <c r="P3810" s="109"/>
      <c r="Q3810" s="109"/>
      <c r="R3810" s="109"/>
      <c r="S3810" s="109"/>
      <c r="T3810" s="109"/>
      <c r="U3810" s="202"/>
      <c r="V3810" s="202"/>
    </row>
    <row r="3811" spans="1:22">
      <c r="A3811" s="297"/>
      <c r="B3811" s="217"/>
      <c r="C3811" s="217"/>
      <c r="D3811" s="101"/>
      <c r="E3811" s="101"/>
      <c r="F3811" s="294"/>
      <c r="G3811" s="295"/>
      <c r="H3811" s="98"/>
      <c r="I3811" s="106"/>
      <c r="J3811" s="106"/>
      <c r="K3811" s="106"/>
      <c r="L3811" s="106"/>
      <c r="M3811" s="106"/>
      <c r="N3811" s="112"/>
      <c r="O3811" s="112"/>
      <c r="P3811" s="112"/>
      <c r="Q3811" s="113"/>
      <c r="R3811" s="113"/>
      <c r="S3811" s="113"/>
      <c r="T3811" s="113"/>
      <c r="U3811" s="113"/>
      <c r="V3811" s="113"/>
    </row>
    <row r="3812" spans="1:22">
      <c r="A3812" s="297"/>
      <c r="B3812" s="217"/>
      <c r="C3812" s="217"/>
      <c r="D3812" s="101"/>
      <c r="E3812" s="101"/>
      <c r="F3812" s="294"/>
      <c r="G3812" s="295"/>
      <c r="H3812" s="98"/>
      <c r="I3812" s="99"/>
      <c r="J3812" s="99"/>
      <c r="K3812" s="99"/>
      <c r="L3812" s="99"/>
      <c r="M3812" s="99"/>
      <c r="N3812" s="99"/>
      <c r="O3812" s="99"/>
      <c r="P3812" s="99"/>
      <c r="Q3812" s="99"/>
      <c r="R3812" s="99"/>
      <c r="S3812" s="99"/>
      <c r="T3812" s="99"/>
      <c r="U3812" s="99"/>
      <c r="V3812" s="99"/>
    </row>
    <row r="3813" spans="1:22">
      <c r="A3813" s="297"/>
      <c r="B3813" s="217"/>
      <c r="C3813" s="217"/>
      <c r="D3813" s="101"/>
      <c r="E3813" s="101"/>
      <c r="F3813" s="294"/>
      <c r="G3813" s="295"/>
      <c r="H3813" s="98"/>
      <c r="I3813" s="99"/>
      <c r="J3813" s="99"/>
      <c r="K3813" s="99"/>
      <c r="L3813" s="99"/>
      <c r="M3813" s="99"/>
      <c r="N3813" s="99"/>
      <c r="O3813" s="99"/>
      <c r="P3813" s="99"/>
      <c r="Q3813" s="99"/>
      <c r="R3813" s="99"/>
      <c r="S3813" s="99"/>
      <c r="T3813" s="99"/>
      <c r="U3813" s="99"/>
      <c r="V3813" s="99"/>
    </row>
    <row r="3814" spans="1:22">
      <c r="A3814" s="297"/>
      <c r="B3814" s="217"/>
      <c r="C3814" s="217"/>
      <c r="D3814" s="101"/>
      <c r="E3814" s="101"/>
      <c r="F3814" s="294"/>
      <c r="G3814" s="295"/>
      <c r="H3814" s="98"/>
      <c r="I3814" s="99"/>
      <c r="J3814" s="99"/>
      <c r="K3814" s="99"/>
      <c r="L3814" s="99"/>
      <c r="M3814" s="99"/>
      <c r="N3814" s="99"/>
      <c r="O3814" s="99"/>
      <c r="P3814" s="99"/>
      <c r="Q3814" s="99"/>
      <c r="R3814" s="99"/>
      <c r="S3814" s="99"/>
      <c r="T3814" s="99"/>
      <c r="U3814" s="99"/>
      <c r="V3814" s="99"/>
    </row>
    <row r="3815" spans="1:22">
      <c r="A3815" s="297"/>
      <c r="B3815" s="217"/>
      <c r="C3815" s="217"/>
      <c r="D3815" s="101"/>
      <c r="E3815" s="101"/>
      <c r="F3815" s="294"/>
      <c r="G3815" s="295"/>
      <c r="H3815" s="98"/>
      <c r="I3815" s="99"/>
      <c r="J3815" s="99"/>
      <c r="K3815" s="99"/>
      <c r="L3815" s="99"/>
      <c r="M3815" s="99"/>
      <c r="N3815" s="99"/>
      <c r="O3815" s="99"/>
      <c r="P3815" s="99"/>
      <c r="Q3815" s="99"/>
      <c r="R3815" s="99"/>
      <c r="S3815" s="99"/>
      <c r="T3815" s="99"/>
      <c r="U3815" s="99"/>
      <c r="V3815" s="99"/>
    </row>
    <row r="3816" spans="1:22">
      <c r="A3816" s="297"/>
      <c r="B3816" s="217"/>
      <c r="C3816" s="217"/>
      <c r="D3816" s="101"/>
      <c r="E3816" s="101"/>
      <c r="F3816" s="294"/>
      <c r="G3816" s="295"/>
      <c r="H3816" s="98"/>
      <c r="I3816" s="99"/>
      <c r="J3816" s="99"/>
      <c r="K3816" s="99"/>
      <c r="L3816" s="99"/>
      <c r="M3816" s="99"/>
      <c r="N3816" s="99"/>
      <c r="O3816" s="99"/>
      <c r="P3816" s="99"/>
      <c r="Q3816" s="99"/>
      <c r="R3816" s="99"/>
      <c r="S3816" s="99"/>
      <c r="T3816" s="99"/>
      <c r="U3816" s="99"/>
      <c r="V3816" s="99"/>
    </row>
    <row r="3817" spans="1:22">
      <c r="A3817" s="297"/>
      <c r="B3817" s="217"/>
      <c r="C3817" s="217"/>
      <c r="D3817" s="101"/>
      <c r="E3817" s="101"/>
      <c r="F3817" s="294"/>
      <c r="G3817" s="295"/>
      <c r="H3817" s="98"/>
      <c r="I3817" s="99"/>
      <c r="J3817" s="99"/>
      <c r="K3817" s="99"/>
      <c r="L3817" s="99"/>
      <c r="M3817" s="99"/>
      <c r="N3817" s="99"/>
      <c r="O3817" s="99"/>
      <c r="P3817" s="99"/>
      <c r="Q3817" s="99"/>
      <c r="R3817" s="99"/>
      <c r="S3817" s="99"/>
      <c r="T3817" s="99"/>
      <c r="U3817" s="99"/>
      <c r="V3817" s="99"/>
    </row>
    <row r="3818" spans="1:22">
      <c r="A3818" s="297"/>
      <c r="B3818" s="217"/>
      <c r="C3818" s="217"/>
      <c r="D3818" s="101"/>
      <c r="E3818" s="101"/>
      <c r="F3818" s="294"/>
      <c r="G3818" s="295"/>
      <c r="H3818" s="98"/>
      <c r="I3818" s="99"/>
      <c r="J3818" s="99"/>
      <c r="K3818" s="99"/>
      <c r="L3818" s="99"/>
      <c r="M3818" s="99"/>
      <c r="N3818" s="99"/>
      <c r="O3818" s="99"/>
      <c r="P3818" s="99"/>
      <c r="Q3818" s="99"/>
      <c r="R3818" s="99"/>
      <c r="S3818" s="99"/>
      <c r="T3818" s="99"/>
      <c r="U3818" s="99"/>
      <c r="V3818" s="99"/>
    </row>
    <row r="3819" spans="1:22">
      <c r="A3819" s="297"/>
      <c r="B3819" s="217"/>
      <c r="C3819" s="217"/>
      <c r="D3819" s="101"/>
      <c r="E3819" s="101"/>
      <c r="F3819" s="294"/>
      <c r="G3819" s="295"/>
      <c r="H3819" s="107"/>
      <c r="I3819" s="108"/>
      <c r="J3819" s="108"/>
      <c r="K3819" s="108"/>
      <c r="L3819" s="108"/>
      <c r="M3819" s="108"/>
      <c r="N3819" s="108"/>
      <c r="O3819" s="108"/>
      <c r="P3819" s="108"/>
      <c r="Q3819" s="108"/>
      <c r="R3819" s="108"/>
      <c r="S3819" s="108"/>
      <c r="T3819" s="108"/>
      <c r="U3819" s="233"/>
      <c r="V3819" s="233"/>
    </row>
    <row r="3820" spans="1:22">
      <c r="A3820" s="297"/>
      <c r="B3820" s="217"/>
      <c r="C3820" s="217"/>
      <c r="D3820" s="101"/>
      <c r="E3820" s="101"/>
      <c r="F3820" s="294"/>
      <c r="G3820" s="295"/>
      <c r="H3820" s="98"/>
      <c r="I3820" s="106"/>
      <c r="J3820" s="106"/>
      <c r="K3820" s="106"/>
      <c r="L3820" s="106"/>
      <c r="M3820" s="106"/>
      <c r="N3820" s="112"/>
      <c r="O3820" s="112"/>
      <c r="P3820" s="112"/>
      <c r="Q3820" s="113"/>
      <c r="R3820" s="113"/>
      <c r="S3820" s="113"/>
      <c r="T3820" s="113"/>
      <c r="U3820" s="113"/>
      <c r="V3820" s="113"/>
    </row>
    <row r="3821" spans="1:22">
      <c r="A3821" s="297"/>
      <c r="B3821" s="217"/>
      <c r="C3821" s="217"/>
      <c r="D3821" s="101"/>
      <c r="E3821" s="101"/>
      <c r="F3821" s="294"/>
      <c r="G3821" s="295"/>
      <c r="H3821" s="98"/>
      <c r="I3821" s="99"/>
      <c r="J3821" s="99"/>
      <c r="K3821" s="99"/>
      <c r="L3821" s="99"/>
      <c r="M3821" s="99"/>
      <c r="N3821" s="99"/>
      <c r="O3821" s="99"/>
      <c r="P3821" s="99"/>
      <c r="Q3821" s="99"/>
      <c r="R3821" s="99"/>
      <c r="S3821" s="99"/>
      <c r="T3821" s="99"/>
      <c r="U3821" s="99"/>
      <c r="V3821" s="99"/>
    </row>
    <row r="3822" spans="1:22">
      <c r="A3822" s="297"/>
      <c r="B3822" s="217"/>
      <c r="C3822" s="217"/>
      <c r="D3822" s="101"/>
      <c r="E3822" s="101"/>
      <c r="F3822" s="294"/>
      <c r="G3822" s="295"/>
      <c r="H3822" s="98"/>
      <c r="I3822" s="99"/>
      <c r="J3822" s="99"/>
      <c r="K3822" s="99"/>
      <c r="L3822" s="99"/>
      <c r="M3822" s="99"/>
      <c r="N3822" s="99"/>
      <c r="O3822" s="99"/>
      <c r="P3822" s="99"/>
      <c r="Q3822" s="99"/>
      <c r="R3822" s="99"/>
      <c r="S3822" s="99"/>
      <c r="T3822" s="99"/>
      <c r="U3822" s="99"/>
      <c r="V3822" s="99"/>
    </row>
    <row r="3823" spans="1:22">
      <c r="A3823" s="297"/>
      <c r="B3823" s="217"/>
      <c r="C3823" s="217"/>
      <c r="D3823" s="101"/>
      <c r="E3823" s="101"/>
      <c r="F3823" s="294"/>
      <c r="G3823" s="295"/>
      <c r="H3823" s="98"/>
      <c r="I3823" s="99"/>
      <c r="J3823" s="99"/>
      <c r="K3823" s="99"/>
      <c r="L3823" s="99"/>
      <c r="M3823" s="99"/>
      <c r="N3823" s="99"/>
      <c r="O3823" s="99"/>
      <c r="P3823" s="99"/>
      <c r="Q3823" s="99"/>
      <c r="R3823" s="99"/>
      <c r="S3823" s="99"/>
      <c r="T3823" s="99"/>
      <c r="U3823" s="99"/>
      <c r="V3823" s="99"/>
    </row>
    <row r="3824" spans="1:22">
      <c r="A3824" s="297"/>
      <c r="B3824" s="217"/>
      <c r="C3824" s="217"/>
      <c r="D3824" s="101"/>
      <c r="E3824" s="101"/>
      <c r="F3824" s="294"/>
      <c r="G3824" s="295"/>
      <c r="H3824" s="98"/>
      <c r="I3824" s="99"/>
      <c r="J3824" s="99"/>
      <c r="K3824" s="99"/>
      <c r="L3824" s="99"/>
      <c r="M3824" s="99"/>
      <c r="N3824" s="99"/>
      <c r="O3824" s="99"/>
      <c r="P3824" s="99"/>
      <c r="Q3824" s="99"/>
      <c r="R3824" s="99"/>
      <c r="S3824" s="99"/>
      <c r="T3824" s="99"/>
      <c r="U3824" s="99"/>
      <c r="V3824" s="99"/>
    </row>
    <row r="3825" spans="1:22">
      <c r="A3825" s="297"/>
      <c r="B3825" s="217"/>
      <c r="C3825" s="217"/>
      <c r="D3825" s="101"/>
      <c r="E3825" s="101"/>
      <c r="F3825" s="294"/>
      <c r="G3825" s="295"/>
      <c r="H3825" s="98"/>
      <c r="I3825" s="99"/>
      <c r="J3825" s="99"/>
      <c r="K3825" s="99"/>
      <c r="L3825" s="99"/>
      <c r="M3825" s="99"/>
      <c r="N3825" s="99"/>
      <c r="O3825" s="99"/>
      <c r="P3825" s="99"/>
      <c r="Q3825" s="99"/>
      <c r="R3825" s="99"/>
      <c r="S3825" s="99"/>
      <c r="T3825" s="99"/>
      <c r="U3825" s="99"/>
      <c r="V3825" s="99"/>
    </row>
    <row r="3826" spans="1:22">
      <c r="A3826" s="297"/>
      <c r="B3826" s="217"/>
      <c r="C3826" s="217"/>
      <c r="D3826" s="101"/>
      <c r="E3826" s="101"/>
      <c r="F3826" s="294"/>
      <c r="G3826" s="295"/>
      <c r="H3826" s="98"/>
      <c r="I3826" s="99"/>
      <c r="J3826" s="99"/>
      <c r="K3826" s="99"/>
      <c r="L3826" s="99"/>
      <c r="M3826" s="99"/>
      <c r="N3826" s="99"/>
      <c r="O3826" s="99"/>
      <c r="P3826" s="99"/>
      <c r="Q3826" s="99"/>
      <c r="R3826" s="99"/>
      <c r="S3826" s="99"/>
      <c r="T3826" s="99"/>
      <c r="U3826" s="99"/>
      <c r="V3826" s="99"/>
    </row>
    <row r="3827" spans="1:22">
      <c r="A3827" s="297"/>
      <c r="B3827" s="217"/>
      <c r="C3827" s="217"/>
      <c r="D3827" s="101"/>
      <c r="E3827" s="101"/>
      <c r="F3827" s="294"/>
      <c r="G3827" s="295"/>
      <c r="H3827" s="98"/>
      <c r="I3827" s="99"/>
      <c r="J3827" s="99"/>
      <c r="K3827" s="99"/>
      <c r="L3827" s="99"/>
      <c r="M3827" s="99"/>
      <c r="N3827" s="99"/>
      <c r="O3827" s="99"/>
      <c r="P3827" s="99"/>
      <c r="Q3827" s="99"/>
      <c r="R3827" s="99"/>
      <c r="S3827" s="99"/>
      <c r="T3827" s="99"/>
      <c r="U3827" s="99"/>
      <c r="V3827" s="99"/>
    </row>
    <row r="3828" spans="1:22">
      <c r="A3828" s="297"/>
      <c r="B3828" s="217"/>
      <c r="C3828" s="217"/>
      <c r="D3828" s="101"/>
      <c r="E3828" s="101"/>
      <c r="F3828" s="294"/>
      <c r="G3828" s="295"/>
      <c r="H3828" s="98"/>
      <c r="I3828" s="99"/>
      <c r="J3828" s="99"/>
      <c r="K3828" s="99"/>
      <c r="L3828" s="99"/>
      <c r="M3828" s="99"/>
      <c r="N3828" s="99"/>
      <c r="O3828" s="99"/>
      <c r="P3828" s="99"/>
      <c r="Q3828" s="99"/>
      <c r="R3828" s="99"/>
      <c r="S3828" s="99"/>
      <c r="T3828" s="99"/>
      <c r="U3828" s="99"/>
      <c r="V3828" s="99"/>
    </row>
    <row r="3829" spans="1:22">
      <c r="A3829" s="297"/>
      <c r="B3829" s="217"/>
      <c r="C3829" s="217"/>
      <c r="D3829" s="101"/>
      <c r="E3829" s="101"/>
      <c r="F3829" s="294"/>
      <c r="G3829" s="295"/>
      <c r="H3829" s="107"/>
      <c r="I3829" s="108"/>
      <c r="J3829" s="108"/>
      <c r="K3829" s="108"/>
      <c r="L3829" s="108"/>
      <c r="M3829" s="108"/>
      <c r="N3829" s="108"/>
      <c r="O3829" s="108"/>
      <c r="P3829" s="108"/>
      <c r="Q3829" s="108"/>
      <c r="R3829" s="108"/>
      <c r="S3829" s="108"/>
      <c r="T3829" s="108"/>
      <c r="U3829" s="233"/>
      <c r="V3829" s="233"/>
    </row>
    <row r="3830" spans="1:22">
      <c r="A3830" s="297"/>
      <c r="B3830" s="217"/>
      <c r="C3830" s="217"/>
      <c r="D3830" s="101"/>
      <c r="E3830" s="101"/>
      <c r="F3830" s="294"/>
      <c r="G3830" s="295"/>
      <c r="H3830" s="98"/>
      <c r="I3830" s="106"/>
      <c r="J3830" s="106"/>
      <c r="K3830" s="106"/>
      <c r="L3830" s="106"/>
      <c r="M3830" s="106"/>
      <c r="N3830" s="112"/>
      <c r="O3830" s="112"/>
      <c r="P3830" s="112"/>
      <c r="Q3830" s="113"/>
      <c r="R3830" s="113"/>
      <c r="S3830" s="113"/>
      <c r="T3830" s="113"/>
      <c r="U3830" s="113"/>
      <c r="V3830" s="113"/>
    </row>
    <row r="3831" spans="1:22">
      <c r="A3831" s="297"/>
      <c r="B3831" s="217"/>
      <c r="C3831" s="217"/>
      <c r="D3831" s="101"/>
      <c r="E3831" s="101"/>
      <c r="F3831" s="294"/>
      <c r="G3831" s="295"/>
      <c r="H3831" s="98"/>
      <c r="I3831" s="99"/>
      <c r="J3831" s="99"/>
      <c r="K3831" s="99"/>
      <c r="L3831" s="99"/>
      <c r="M3831" s="99"/>
      <c r="N3831" s="99"/>
      <c r="O3831" s="99"/>
      <c r="P3831" s="99"/>
      <c r="Q3831" s="99"/>
      <c r="R3831" s="99"/>
      <c r="S3831" s="99"/>
      <c r="T3831" s="99"/>
      <c r="U3831" s="99"/>
      <c r="V3831" s="99"/>
    </row>
    <row r="3832" spans="1:22">
      <c r="A3832" s="297"/>
      <c r="B3832" s="217"/>
      <c r="C3832" s="217"/>
      <c r="D3832" s="101"/>
      <c r="E3832" s="101"/>
      <c r="F3832" s="294"/>
      <c r="G3832" s="295"/>
      <c r="H3832" s="98"/>
      <c r="I3832" s="99"/>
      <c r="J3832" s="99"/>
      <c r="K3832" s="99"/>
      <c r="L3832" s="99"/>
      <c r="M3832" s="99"/>
      <c r="N3832" s="99"/>
      <c r="O3832" s="99"/>
      <c r="P3832" s="99"/>
      <c r="Q3832" s="99"/>
      <c r="R3832" s="99"/>
      <c r="S3832" s="99"/>
      <c r="T3832" s="99"/>
      <c r="U3832" s="99"/>
      <c r="V3832" s="99"/>
    </row>
    <row r="3833" spans="1:22">
      <c r="A3833" s="297"/>
      <c r="B3833" s="217"/>
      <c r="C3833" s="217"/>
      <c r="D3833" s="101"/>
      <c r="E3833" s="101"/>
      <c r="F3833" s="294"/>
      <c r="G3833" s="295"/>
      <c r="H3833" s="107"/>
      <c r="I3833" s="108"/>
      <c r="J3833" s="108"/>
      <c r="K3833" s="108"/>
      <c r="L3833" s="108"/>
      <c r="M3833" s="108"/>
      <c r="N3833" s="108"/>
      <c r="O3833" s="108"/>
      <c r="P3833" s="108"/>
      <c r="Q3833" s="108"/>
      <c r="R3833" s="108"/>
      <c r="S3833" s="108"/>
      <c r="T3833" s="108"/>
      <c r="U3833" s="233"/>
      <c r="V3833" s="233"/>
    </row>
    <row r="3834" spans="1:22">
      <c r="A3834" s="297"/>
      <c r="B3834" s="217"/>
      <c r="C3834" s="217"/>
      <c r="D3834" s="101"/>
      <c r="E3834" s="101"/>
      <c r="F3834" s="294"/>
      <c r="G3834" s="295"/>
      <c r="H3834" s="98"/>
      <c r="I3834" s="106"/>
      <c r="J3834" s="106"/>
      <c r="K3834" s="106"/>
      <c r="L3834" s="106"/>
      <c r="M3834" s="106"/>
      <c r="N3834" s="112"/>
      <c r="O3834" s="112"/>
      <c r="P3834" s="112"/>
      <c r="Q3834" s="113"/>
      <c r="R3834" s="113"/>
      <c r="S3834" s="113"/>
      <c r="T3834" s="113"/>
      <c r="U3834" s="113"/>
      <c r="V3834" s="113"/>
    </row>
    <row r="3835" spans="1:22">
      <c r="A3835" s="297"/>
      <c r="B3835" s="217"/>
      <c r="C3835" s="217"/>
      <c r="D3835" s="101"/>
      <c r="E3835" s="101"/>
      <c r="F3835" s="294"/>
      <c r="G3835" s="295"/>
      <c r="H3835" s="114"/>
      <c r="I3835" s="108"/>
      <c r="J3835" s="108"/>
      <c r="K3835" s="108"/>
      <c r="L3835" s="108"/>
      <c r="M3835" s="108"/>
      <c r="N3835" s="108"/>
      <c r="O3835" s="108"/>
      <c r="P3835" s="108"/>
      <c r="Q3835" s="108"/>
      <c r="R3835" s="108"/>
      <c r="S3835" s="108"/>
      <c r="T3835" s="108"/>
      <c r="U3835" s="233"/>
      <c r="V3835" s="233"/>
    </row>
    <row r="3836" spans="1:22">
      <c r="A3836" s="297"/>
      <c r="B3836" s="217"/>
      <c r="C3836" s="217"/>
      <c r="D3836" s="101"/>
      <c r="E3836" s="101"/>
      <c r="F3836" s="294"/>
      <c r="G3836" s="295"/>
      <c r="H3836" s="98"/>
      <c r="I3836" s="218"/>
      <c r="J3836" s="218"/>
      <c r="K3836" s="218"/>
      <c r="L3836" s="218"/>
      <c r="M3836" s="218"/>
      <c r="U3836" s="212"/>
      <c r="V3836" s="212"/>
    </row>
    <row r="3837" spans="1:22" ht="14.4" thickBot="1">
      <c r="A3837" s="297"/>
      <c r="B3837" s="217"/>
      <c r="C3837" s="217"/>
      <c r="D3837" s="101"/>
      <c r="E3837" s="101"/>
      <c r="F3837" s="294"/>
      <c r="G3837" s="295"/>
      <c r="H3837" s="98"/>
      <c r="I3837" s="218"/>
      <c r="J3837" s="218"/>
      <c r="K3837" s="218"/>
      <c r="L3837" s="218"/>
      <c r="M3837" s="218"/>
      <c r="U3837" s="212"/>
      <c r="V3837" s="212"/>
    </row>
    <row r="3838" spans="1:22" ht="23.4" thickBot="1">
      <c r="A3838" s="297"/>
      <c r="B3838" s="217"/>
      <c r="C3838" s="217"/>
      <c r="D3838" s="101"/>
      <c r="E3838" s="101"/>
      <c r="F3838" s="294"/>
      <c r="G3838" s="295"/>
      <c r="H3838" s="686"/>
      <c r="I3838" s="687"/>
      <c r="J3838" s="687"/>
      <c r="K3838" s="687"/>
      <c r="L3838" s="687"/>
      <c r="M3838" s="687"/>
      <c r="N3838" s="687"/>
      <c r="O3838" s="687"/>
      <c r="P3838" s="687"/>
      <c r="Q3838" s="687"/>
      <c r="R3838" s="687"/>
      <c r="S3838" s="715"/>
      <c r="T3838" s="688"/>
      <c r="U3838" s="254"/>
      <c r="V3838" s="254"/>
    </row>
    <row r="3839" spans="1:22" ht="22.8">
      <c r="A3839" s="297"/>
      <c r="B3839" s="217"/>
      <c r="C3839" s="217"/>
      <c r="D3839" s="101"/>
      <c r="E3839" s="101"/>
      <c r="F3839" s="294"/>
      <c r="G3839" s="295"/>
      <c r="H3839" s="225"/>
      <c r="I3839" s="225"/>
      <c r="J3839" s="225"/>
      <c r="K3839" s="225"/>
      <c r="L3839" s="225"/>
      <c r="M3839" s="225"/>
      <c r="N3839" s="225"/>
      <c r="O3839" s="225"/>
      <c r="P3839" s="225"/>
      <c r="Q3839" s="225"/>
      <c r="R3839" s="225"/>
      <c r="S3839" s="225"/>
      <c r="T3839" s="225"/>
      <c r="U3839" s="225"/>
      <c r="V3839" s="225"/>
    </row>
    <row r="3840" spans="1:22">
      <c r="A3840" s="297"/>
      <c r="B3840" s="217"/>
      <c r="C3840" s="217"/>
      <c r="D3840" s="101"/>
      <c r="E3840" s="101"/>
      <c r="F3840" s="294"/>
      <c r="G3840" s="295"/>
      <c r="H3840" s="98"/>
      <c r="I3840" s="99"/>
      <c r="J3840" s="99"/>
      <c r="K3840" s="99"/>
      <c r="L3840" s="99"/>
      <c r="M3840" s="99"/>
      <c r="N3840" s="99"/>
      <c r="O3840" s="99"/>
      <c r="P3840" s="99"/>
      <c r="Q3840" s="99"/>
      <c r="R3840" s="99"/>
      <c r="S3840" s="99"/>
      <c r="T3840" s="99"/>
      <c r="U3840" s="99"/>
      <c r="V3840" s="99"/>
    </row>
    <row r="3841" spans="1:22">
      <c r="A3841" s="297"/>
      <c r="B3841" s="217"/>
      <c r="C3841" s="217"/>
      <c r="D3841" s="101"/>
      <c r="E3841" s="101"/>
      <c r="F3841" s="294"/>
      <c r="G3841" s="295"/>
      <c r="H3841" s="98"/>
      <c r="I3841" s="99"/>
      <c r="J3841" s="99"/>
      <c r="K3841" s="99"/>
      <c r="L3841" s="99"/>
      <c r="M3841" s="99"/>
      <c r="N3841" s="99"/>
      <c r="O3841" s="99"/>
      <c r="P3841" s="99"/>
      <c r="Q3841" s="99"/>
      <c r="R3841" s="99"/>
      <c r="S3841" s="99"/>
      <c r="T3841" s="99"/>
      <c r="U3841" s="99"/>
      <c r="V3841" s="99"/>
    </row>
    <row r="3842" spans="1:22">
      <c r="A3842" s="297"/>
      <c r="B3842" s="217"/>
      <c r="C3842" s="217"/>
      <c r="D3842" s="101"/>
      <c r="E3842" s="101"/>
      <c r="F3842" s="294"/>
      <c r="G3842" s="295"/>
      <c r="H3842" s="98"/>
      <c r="I3842" s="99"/>
      <c r="J3842" s="99"/>
      <c r="K3842" s="99"/>
      <c r="L3842" s="99"/>
      <c r="M3842" s="99"/>
      <c r="N3842" s="99"/>
      <c r="O3842" s="99"/>
      <c r="P3842" s="99"/>
      <c r="Q3842" s="99"/>
      <c r="R3842" s="99"/>
      <c r="S3842" s="99"/>
      <c r="T3842" s="99"/>
      <c r="U3842" s="99"/>
      <c r="V3842" s="99"/>
    </row>
    <row r="3843" spans="1:22">
      <c r="A3843" s="297"/>
      <c r="B3843" s="217"/>
      <c r="C3843" s="217"/>
      <c r="D3843" s="101"/>
      <c r="E3843" s="101"/>
      <c r="F3843" s="294"/>
      <c r="G3843" s="295"/>
      <c r="H3843" s="98"/>
      <c r="I3843" s="99"/>
      <c r="J3843" s="99"/>
      <c r="K3843" s="99"/>
      <c r="L3843" s="99"/>
      <c r="M3843" s="99"/>
      <c r="N3843" s="99"/>
      <c r="O3843" s="99"/>
      <c r="P3843" s="99"/>
      <c r="Q3843" s="99"/>
      <c r="R3843" s="99"/>
      <c r="S3843" s="99"/>
      <c r="T3843" s="99"/>
      <c r="U3843" s="99"/>
      <c r="V3843" s="99"/>
    </row>
    <row r="3844" spans="1:22">
      <c r="A3844" s="297"/>
      <c r="B3844" s="217"/>
      <c r="C3844" s="217"/>
      <c r="D3844" s="101"/>
      <c r="E3844" s="101"/>
      <c r="F3844" s="294"/>
      <c r="G3844" s="295"/>
      <c r="H3844" s="98"/>
      <c r="I3844" s="99"/>
      <c r="J3844" s="99"/>
      <c r="K3844" s="99"/>
      <c r="L3844" s="99"/>
      <c r="M3844" s="99"/>
      <c r="N3844" s="99"/>
      <c r="O3844" s="99"/>
      <c r="P3844" s="99"/>
      <c r="Q3844" s="99"/>
      <c r="R3844" s="99"/>
      <c r="S3844" s="99"/>
      <c r="T3844" s="99"/>
      <c r="U3844" s="99"/>
      <c r="V3844" s="99"/>
    </row>
    <row r="3845" spans="1:22">
      <c r="A3845" s="297"/>
      <c r="B3845" s="217"/>
      <c r="C3845" s="217"/>
      <c r="D3845" s="101"/>
      <c r="E3845" s="101"/>
      <c r="F3845" s="294"/>
      <c r="G3845" s="295"/>
      <c r="H3845" s="98"/>
      <c r="I3845" s="99"/>
      <c r="J3845" s="99"/>
      <c r="K3845" s="99"/>
      <c r="L3845" s="99"/>
      <c r="M3845" s="99"/>
      <c r="N3845" s="99"/>
      <c r="O3845" s="99"/>
      <c r="P3845" s="99"/>
      <c r="Q3845" s="99"/>
      <c r="R3845" s="99"/>
      <c r="S3845" s="99"/>
      <c r="T3845" s="99"/>
      <c r="U3845" s="99"/>
      <c r="V3845" s="99"/>
    </row>
    <row r="3846" spans="1:22">
      <c r="A3846" s="297"/>
      <c r="B3846" s="217"/>
      <c r="C3846" s="217"/>
      <c r="D3846" s="101"/>
      <c r="E3846" s="101"/>
      <c r="F3846" s="294"/>
      <c r="G3846" s="295"/>
      <c r="H3846" s="98"/>
      <c r="I3846" s="99"/>
      <c r="J3846" s="99"/>
      <c r="K3846" s="99"/>
      <c r="L3846" s="99"/>
      <c r="M3846" s="99"/>
      <c r="N3846" s="99"/>
      <c r="O3846" s="99"/>
      <c r="P3846" s="99"/>
      <c r="Q3846" s="99"/>
      <c r="R3846" s="99"/>
      <c r="S3846" s="99"/>
      <c r="T3846" s="99"/>
      <c r="U3846" s="99"/>
      <c r="V3846" s="99"/>
    </row>
    <row r="3847" spans="1:22">
      <c r="A3847" s="297"/>
      <c r="B3847" s="217"/>
      <c r="C3847" s="217"/>
      <c r="D3847" s="101"/>
      <c r="E3847" s="101"/>
      <c r="F3847" s="294"/>
      <c r="G3847" s="295"/>
      <c r="H3847" s="98"/>
      <c r="I3847" s="99"/>
      <c r="J3847" s="99"/>
      <c r="K3847" s="99"/>
      <c r="L3847" s="99"/>
      <c r="M3847" s="99"/>
      <c r="N3847" s="99"/>
      <c r="O3847" s="99"/>
      <c r="P3847" s="99"/>
      <c r="Q3847" s="99"/>
      <c r="R3847" s="99"/>
      <c r="S3847" s="99"/>
      <c r="T3847" s="99"/>
      <c r="U3847" s="99"/>
      <c r="V3847" s="99"/>
    </row>
    <row r="3848" spans="1:22">
      <c r="A3848" s="297"/>
      <c r="B3848" s="217"/>
      <c r="C3848" s="217"/>
      <c r="D3848" s="101"/>
      <c r="E3848" s="101"/>
      <c r="F3848" s="294"/>
      <c r="G3848" s="295"/>
      <c r="H3848" s="98"/>
      <c r="I3848" s="99"/>
      <c r="J3848" s="99"/>
      <c r="K3848" s="99"/>
      <c r="L3848" s="99"/>
      <c r="M3848" s="99"/>
      <c r="N3848" s="99"/>
      <c r="O3848" s="99"/>
      <c r="P3848" s="99"/>
      <c r="Q3848" s="99"/>
      <c r="R3848" s="99"/>
      <c r="S3848" s="99"/>
      <c r="T3848" s="99"/>
      <c r="U3848" s="99"/>
      <c r="V3848" s="99"/>
    </row>
    <row r="3849" spans="1:22">
      <c r="A3849" s="297"/>
      <c r="B3849" s="217"/>
      <c r="C3849" s="217"/>
      <c r="D3849" s="101"/>
      <c r="E3849" s="101"/>
      <c r="F3849" s="294"/>
      <c r="G3849" s="295"/>
      <c r="H3849" s="98"/>
      <c r="I3849" s="99"/>
      <c r="J3849" s="99"/>
      <c r="K3849" s="99"/>
      <c r="L3849" s="99"/>
      <c r="M3849" s="99"/>
      <c r="N3849" s="99"/>
      <c r="O3849" s="99"/>
      <c r="P3849" s="99"/>
      <c r="Q3849" s="99"/>
      <c r="R3849" s="99"/>
      <c r="S3849" s="99"/>
      <c r="T3849" s="99"/>
      <c r="U3849" s="99"/>
      <c r="V3849" s="99"/>
    </row>
    <row r="3850" spans="1:22">
      <c r="A3850" s="297"/>
      <c r="B3850" s="217"/>
      <c r="C3850" s="217"/>
      <c r="D3850" s="101"/>
      <c r="E3850" s="101"/>
      <c r="F3850" s="294"/>
      <c r="G3850" s="295"/>
      <c r="H3850" s="98"/>
      <c r="I3850" s="99"/>
      <c r="J3850" s="99"/>
      <c r="K3850" s="99"/>
      <c r="L3850" s="99"/>
      <c r="M3850" s="99"/>
      <c r="N3850" s="99"/>
      <c r="O3850" s="99"/>
      <c r="P3850" s="99"/>
      <c r="Q3850" s="99"/>
      <c r="R3850" s="99"/>
      <c r="S3850" s="99"/>
      <c r="T3850" s="99"/>
      <c r="U3850" s="99"/>
      <c r="V3850" s="99"/>
    </row>
    <row r="3851" spans="1:22">
      <c r="A3851" s="297"/>
      <c r="B3851" s="217"/>
      <c r="C3851" s="217"/>
      <c r="D3851" s="101"/>
      <c r="E3851" s="101"/>
      <c r="F3851" s="294"/>
      <c r="G3851" s="295"/>
      <c r="H3851" s="98"/>
      <c r="I3851" s="99"/>
      <c r="J3851" s="99"/>
      <c r="K3851" s="99"/>
      <c r="L3851" s="99"/>
      <c r="M3851" s="99"/>
      <c r="N3851" s="99"/>
      <c r="O3851" s="99"/>
      <c r="P3851" s="99"/>
      <c r="Q3851" s="99"/>
      <c r="R3851" s="99"/>
      <c r="S3851" s="99"/>
      <c r="T3851" s="99"/>
      <c r="U3851" s="99"/>
      <c r="V3851" s="99"/>
    </row>
    <row r="3852" spans="1:22">
      <c r="A3852" s="297"/>
      <c r="B3852" s="217"/>
      <c r="C3852" s="217"/>
      <c r="D3852" s="101"/>
      <c r="E3852" s="101"/>
      <c r="F3852" s="294"/>
      <c r="G3852" s="295"/>
      <c r="H3852" s="98"/>
      <c r="I3852" s="99"/>
      <c r="J3852" s="99"/>
      <c r="K3852" s="99"/>
      <c r="L3852" s="99"/>
      <c r="M3852" s="99"/>
      <c r="N3852" s="99"/>
      <c r="O3852" s="99"/>
      <c r="P3852" s="99"/>
      <c r="Q3852" s="99"/>
      <c r="R3852" s="99"/>
      <c r="S3852" s="99"/>
      <c r="T3852" s="99"/>
      <c r="U3852" s="99"/>
      <c r="V3852" s="99"/>
    </row>
    <row r="3853" spans="1:22">
      <c r="A3853" s="297"/>
      <c r="B3853" s="217"/>
      <c r="C3853" s="217"/>
      <c r="D3853" s="101"/>
      <c r="E3853" s="101"/>
      <c r="F3853" s="294"/>
      <c r="G3853" s="295"/>
      <c r="H3853" s="98"/>
      <c r="I3853" s="99"/>
      <c r="J3853" s="99"/>
      <c r="K3853" s="99"/>
      <c r="L3853" s="99"/>
      <c r="M3853" s="99"/>
      <c r="N3853" s="99"/>
      <c r="O3853" s="99"/>
      <c r="P3853" s="99"/>
      <c r="Q3853" s="99"/>
      <c r="R3853" s="99"/>
      <c r="S3853" s="99"/>
      <c r="T3853" s="99"/>
      <c r="U3853" s="99"/>
      <c r="V3853" s="99"/>
    </row>
    <row r="3854" spans="1:22">
      <c r="A3854" s="297"/>
      <c r="B3854" s="217"/>
      <c r="C3854" s="217"/>
      <c r="D3854" s="101"/>
      <c r="E3854" s="101"/>
      <c r="F3854" s="294"/>
      <c r="G3854" s="295"/>
      <c r="H3854" s="107"/>
      <c r="I3854" s="108"/>
      <c r="J3854" s="108"/>
      <c r="K3854" s="108"/>
      <c r="L3854" s="108"/>
      <c r="M3854" s="108"/>
      <c r="N3854" s="109"/>
      <c r="O3854" s="109"/>
      <c r="P3854" s="109"/>
      <c r="Q3854" s="109"/>
      <c r="R3854" s="109"/>
      <c r="S3854" s="109"/>
      <c r="T3854" s="109"/>
      <c r="U3854" s="202"/>
      <c r="V3854" s="202"/>
    </row>
    <row r="3855" spans="1:22">
      <c r="A3855" s="297"/>
      <c r="B3855" s="217"/>
      <c r="C3855" s="217"/>
      <c r="D3855" s="101"/>
      <c r="E3855" s="101"/>
      <c r="F3855" s="294"/>
      <c r="G3855" s="295"/>
      <c r="H3855" s="98"/>
      <c r="I3855" s="106"/>
      <c r="J3855" s="106"/>
      <c r="K3855" s="106"/>
      <c r="L3855" s="106"/>
      <c r="M3855" s="106"/>
      <c r="N3855" s="112"/>
      <c r="O3855" s="112"/>
      <c r="P3855" s="112"/>
      <c r="Q3855" s="113"/>
      <c r="R3855" s="99"/>
      <c r="S3855" s="99"/>
      <c r="T3855" s="113"/>
      <c r="U3855" s="113"/>
      <c r="V3855" s="113"/>
    </row>
    <row r="3856" spans="1:22">
      <c r="A3856" s="297"/>
      <c r="B3856" s="217"/>
      <c r="C3856" s="217"/>
      <c r="D3856" s="101"/>
      <c r="E3856" s="101"/>
      <c r="F3856" s="294"/>
      <c r="G3856" s="295"/>
      <c r="H3856" s="98"/>
      <c r="I3856" s="99"/>
      <c r="J3856" s="99"/>
      <c r="K3856" s="99"/>
      <c r="L3856" s="99"/>
      <c r="M3856" s="99"/>
      <c r="N3856" s="99"/>
      <c r="O3856" s="99"/>
      <c r="P3856" s="99"/>
      <c r="Q3856" s="99"/>
      <c r="R3856" s="99"/>
      <c r="S3856" s="99"/>
      <c r="T3856" s="99"/>
      <c r="U3856" s="99"/>
      <c r="V3856" s="99"/>
    </row>
    <row r="3857" spans="1:22">
      <c r="A3857" s="297"/>
      <c r="B3857" s="217"/>
      <c r="C3857" s="217"/>
      <c r="D3857" s="101"/>
      <c r="E3857" s="101"/>
      <c r="F3857" s="294"/>
      <c r="G3857" s="295"/>
      <c r="H3857" s="98"/>
      <c r="I3857" s="99"/>
      <c r="J3857" s="99"/>
      <c r="K3857" s="99"/>
      <c r="L3857" s="99"/>
      <c r="M3857" s="99"/>
      <c r="N3857" s="99"/>
      <c r="O3857" s="99"/>
      <c r="P3857" s="99"/>
      <c r="Q3857" s="99"/>
      <c r="R3857" s="99"/>
      <c r="S3857" s="99"/>
      <c r="T3857" s="99"/>
      <c r="U3857" s="99"/>
      <c r="V3857" s="99"/>
    </row>
    <row r="3858" spans="1:22">
      <c r="A3858" s="297"/>
      <c r="B3858" s="217"/>
      <c r="C3858" s="217"/>
      <c r="D3858" s="101"/>
      <c r="E3858" s="101"/>
      <c r="F3858" s="294"/>
      <c r="G3858" s="295"/>
      <c r="H3858" s="98"/>
      <c r="I3858" s="99"/>
      <c r="J3858" s="99"/>
      <c r="K3858" s="99"/>
      <c r="L3858" s="99"/>
      <c r="M3858" s="99"/>
      <c r="N3858" s="99"/>
      <c r="O3858" s="99"/>
      <c r="P3858" s="99"/>
      <c r="Q3858" s="99"/>
      <c r="R3858" s="99"/>
      <c r="S3858" s="99"/>
      <c r="T3858" s="99"/>
      <c r="U3858" s="99"/>
      <c r="V3858" s="99"/>
    </row>
    <row r="3859" spans="1:22">
      <c r="A3859" s="297"/>
      <c r="B3859" s="217"/>
      <c r="C3859" s="217"/>
      <c r="D3859" s="101"/>
      <c r="E3859" s="101"/>
      <c r="F3859" s="294"/>
      <c r="G3859" s="295"/>
      <c r="H3859" s="98"/>
      <c r="I3859" s="99"/>
      <c r="J3859" s="99"/>
      <c r="K3859" s="99"/>
      <c r="L3859" s="99"/>
      <c r="M3859" s="99"/>
      <c r="N3859" s="99"/>
      <c r="O3859" s="99"/>
      <c r="P3859" s="99"/>
      <c r="Q3859" s="99"/>
      <c r="R3859" s="99"/>
      <c r="S3859" s="99"/>
      <c r="T3859" s="99"/>
      <c r="U3859" s="99"/>
      <c r="V3859" s="99"/>
    </row>
    <row r="3860" spans="1:22">
      <c r="A3860" s="297"/>
      <c r="B3860" s="217"/>
      <c r="C3860" s="217"/>
      <c r="D3860" s="101"/>
      <c r="E3860" s="101"/>
      <c r="F3860" s="294"/>
      <c r="G3860" s="295"/>
      <c r="H3860" s="98"/>
      <c r="I3860" s="99"/>
      <c r="J3860" s="99"/>
      <c r="K3860" s="99"/>
      <c r="L3860" s="99"/>
      <c r="M3860" s="99"/>
      <c r="N3860" s="99"/>
      <c r="O3860" s="99"/>
      <c r="P3860" s="99"/>
      <c r="Q3860" s="99"/>
      <c r="R3860" s="99"/>
      <c r="S3860" s="99"/>
      <c r="T3860" s="99"/>
      <c r="U3860" s="99"/>
      <c r="V3860" s="99"/>
    </row>
    <row r="3861" spans="1:22">
      <c r="A3861" s="297"/>
      <c r="B3861" s="217"/>
      <c r="C3861" s="217"/>
      <c r="D3861" s="101"/>
      <c r="E3861" s="101"/>
      <c r="F3861" s="294"/>
      <c r="G3861" s="295"/>
      <c r="H3861" s="98"/>
      <c r="I3861" s="99"/>
      <c r="J3861" s="99"/>
      <c r="K3861" s="99"/>
      <c r="L3861" s="99"/>
      <c r="M3861" s="99"/>
      <c r="N3861" s="99"/>
      <c r="O3861" s="99"/>
      <c r="P3861" s="99"/>
      <c r="Q3861" s="99"/>
      <c r="R3861" s="99"/>
      <c r="S3861" s="99"/>
      <c r="T3861" s="99"/>
      <c r="U3861" s="99"/>
      <c r="V3861" s="99"/>
    </row>
    <row r="3862" spans="1:22">
      <c r="A3862" s="297"/>
      <c r="B3862" s="217"/>
      <c r="C3862" s="217"/>
      <c r="D3862" s="101"/>
      <c r="E3862" s="101"/>
      <c r="F3862" s="294"/>
      <c r="G3862" s="295"/>
      <c r="H3862" s="98"/>
      <c r="I3862" s="99"/>
      <c r="J3862" s="99"/>
      <c r="K3862" s="99"/>
      <c r="L3862" s="99"/>
      <c r="M3862" s="99"/>
      <c r="N3862" s="99"/>
      <c r="O3862" s="99"/>
      <c r="P3862" s="99"/>
      <c r="Q3862" s="99"/>
      <c r="R3862" s="99"/>
      <c r="S3862" s="99"/>
      <c r="T3862" s="99"/>
      <c r="U3862" s="99"/>
      <c r="V3862" s="99"/>
    </row>
    <row r="3863" spans="1:22">
      <c r="A3863" s="297"/>
      <c r="B3863" s="217"/>
      <c r="C3863" s="217"/>
      <c r="D3863" s="101"/>
      <c r="E3863" s="101"/>
      <c r="F3863" s="294"/>
      <c r="G3863" s="295"/>
      <c r="H3863" s="98"/>
      <c r="I3863" s="99"/>
      <c r="J3863" s="99"/>
      <c r="K3863" s="99"/>
      <c r="L3863" s="99"/>
      <c r="M3863" s="99"/>
      <c r="N3863" s="99"/>
      <c r="O3863" s="99"/>
      <c r="P3863" s="99"/>
      <c r="Q3863" s="99"/>
      <c r="R3863" s="99"/>
      <c r="S3863" s="99"/>
      <c r="T3863" s="99"/>
      <c r="U3863" s="99"/>
      <c r="V3863" s="99"/>
    </row>
    <row r="3864" spans="1:22">
      <c r="A3864" s="297"/>
      <c r="B3864" s="217"/>
      <c r="C3864" s="217"/>
      <c r="D3864" s="101"/>
      <c r="E3864" s="101"/>
      <c r="F3864" s="294"/>
      <c r="G3864" s="295"/>
      <c r="H3864" s="98"/>
      <c r="I3864" s="99"/>
      <c r="J3864" s="99"/>
      <c r="K3864" s="99"/>
      <c r="L3864" s="99"/>
      <c r="M3864" s="99"/>
      <c r="N3864" s="99"/>
      <c r="O3864" s="99"/>
      <c r="P3864" s="99"/>
      <c r="Q3864" s="99"/>
      <c r="R3864" s="99"/>
      <c r="S3864" s="99"/>
      <c r="T3864" s="99"/>
      <c r="U3864" s="99"/>
      <c r="V3864" s="99"/>
    </row>
    <row r="3865" spans="1:22">
      <c r="A3865" s="297"/>
      <c r="B3865" s="217"/>
      <c r="C3865" s="217"/>
      <c r="D3865" s="101"/>
      <c r="E3865" s="101"/>
      <c r="F3865" s="294"/>
      <c r="G3865" s="295"/>
      <c r="H3865" s="98"/>
      <c r="I3865" s="99"/>
      <c r="J3865" s="99"/>
      <c r="K3865" s="99"/>
      <c r="L3865" s="99"/>
      <c r="M3865" s="99"/>
      <c r="N3865" s="99"/>
      <c r="O3865" s="99"/>
      <c r="P3865" s="99"/>
      <c r="Q3865" s="99"/>
      <c r="R3865" s="99"/>
      <c r="S3865" s="99"/>
      <c r="T3865" s="99"/>
      <c r="U3865" s="99"/>
      <c r="V3865" s="99"/>
    </row>
    <row r="3866" spans="1:22">
      <c r="A3866" s="297"/>
      <c r="B3866" s="217"/>
      <c r="C3866" s="217"/>
      <c r="D3866" s="101"/>
      <c r="E3866" s="101"/>
      <c r="F3866" s="294"/>
      <c r="G3866" s="295"/>
      <c r="H3866" s="98"/>
      <c r="I3866" s="99"/>
      <c r="J3866" s="99"/>
      <c r="K3866" s="99"/>
      <c r="L3866" s="99"/>
      <c r="M3866" s="99"/>
      <c r="N3866" s="99"/>
      <c r="O3866" s="99"/>
      <c r="P3866" s="99"/>
      <c r="Q3866" s="99"/>
      <c r="R3866" s="99"/>
      <c r="S3866" s="99"/>
      <c r="T3866" s="99"/>
      <c r="U3866" s="99"/>
      <c r="V3866" s="99"/>
    </row>
    <row r="3867" spans="1:22">
      <c r="A3867" s="297"/>
      <c r="B3867" s="217"/>
      <c r="C3867" s="217"/>
      <c r="D3867" s="101"/>
      <c r="E3867" s="101"/>
      <c r="F3867" s="294"/>
      <c r="G3867" s="295"/>
      <c r="H3867" s="107"/>
      <c r="I3867" s="108"/>
      <c r="J3867" s="108"/>
      <c r="K3867" s="108"/>
      <c r="L3867" s="108"/>
      <c r="M3867" s="108"/>
      <c r="N3867" s="108"/>
      <c r="O3867" s="108"/>
      <c r="P3867" s="108"/>
      <c r="Q3867" s="108"/>
      <c r="R3867" s="108"/>
      <c r="S3867" s="108"/>
      <c r="T3867" s="108"/>
      <c r="U3867" s="233"/>
      <c r="V3867" s="233"/>
    </row>
    <row r="3868" spans="1:22">
      <c r="A3868" s="297"/>
      <c r="B3868" s="217"/>
      <c r="C3868" s="217"/>
      <c r="D3868" s="101"/>
      <c r="E3868" s="101"/>
      <c r="F3868" s="294"/>
      <c r="G3868" s="295"/>
      <c r="H3868" s="98"/>
      <c r="I3868" s="106"/>
      <c r="J3868" s="106"/>
      <c r="K3868" s="106"/>
      <c r="L3868" s="106"/>
      <c r="M3868" s="106"/>
      <c r="N3868" s="112"/>
      <c r="O3868" s="112"/>
      <c r="P3868" s="112"/>
      <c r="Q3868" s="113"/>
      <c r="R3868" s="99"/>
      <c r="S3868" s="99"/>
      <c r="T3868" s="113"/>
      <c r="U3868" s="113"/>
      <c r="V3868" s="113"/>
    </row>
    <row r="3869" spans="1:22">
      <c r="A3869" s="297"/>
      <c r="B3869" s="217"/>
      <c r="C3869" s="217"/>
      <c r="D3869" s="101"/>
      <c r="E3869" s="101"/>
      <c r="F3869" s="294"/>
      <c r="G3869" s="295"/>
      <c r="H3869" s="98"/>
      <c r="I3869" s="99"/>
      <c r="J3869" s="99"/>
      <c r="K3869" s="99"/>
      <c r="L3869" s="99"/>
      <c r="M3869" s="99"/>
      <c r="N3869" s="99"/>
      <c r="O3869" s="99"/>
      <c r="P3869" s="99"/>
      <c r="Q3869" s="99"/>
      <c r="R3869" s="99"/>
      <c r="S3869" s="99"/>
      <c r="T3869" s="99"/>
      <c r="U3869" s="99"/>
      <c r="V3869" s="99"/>
    </row>
    <row r="3870" spans="1:22">
      <c r="A3870" s="297"/>
      <c r="B3870" s="217"/>
      <c r="C3870" s="217"/>
      <c r="D3870" s="101"/>
      <c r="E3870" s="101"/>
      <c r="F3870" s="294"/>
      <c r="G3870" s="295"/>
      <c r="H3870" s="98"/>
      <c r="I3870" s="99"/>
      <c r="J3870" s="99"/>
      <c r="K3870" s="99"/>
      <c r="L3870" s="99"/>
      <c r="M3870" s="99"/>
      <c r="N3870" s="99"/>
      <c r="O3870" s="99"/>
      <c r="P3870" s="99"/>
      <c r="Q3870" s="99"/>
      <c r="R3870" s="99"/>
      <c r="S3870" s="99"/>
      <c r="T3870" s="99"/>
      <c r="U3870" s="99"/>
      <c r="V3870" s="99"/>
    </row>
    <row r="3871" spans="1:22">
      <c r="A3871" s="297"/>
      <c r="B3871" s="217"/>
      <c r="C3871" s="217"/>
      <c r="D3871" s="101"/>
      <c r="E3871" s="101"/>
      <c r="F3871" s="294"/>
      <c r="G3871" s="295"/>
      <c r="H3871" s="98"/>
      <c r="I3871" s="99"/>
      <c r="J3871" s="99"/>
      <c r="K3871" s="99"/>
      <c r="L3871" s="99"/>
      <c r="M3871" s="99"/>
      <c r="N3871" s="99"/>
      <c r="O3871" s="99"/>
      <c r="P3871" s="99"/>
      <c r="Q3871" s="99"/>
      <c r="R3871" s="99"/>
      <c r="S3871" s="99"/>
      <c r="T3871" s="99"/>
      <c r="U3871" s="99"/>
      <c r="V3871" s="99"/>
    </row>
    <row r="3872" spans="1:22">
      <c r="A3872" s="297"/>
      <c r="B3872" s="217"/>
      <c r="C3872" s="217"/>
      <c r="D3872" s="101"/>
      <c r="E3872" s="101"/>
      <c r="F3872" s="294"/>
      <c r="G3872" s="295"/>
      <c r="H3872" s="98"/>
      <c r="I3872" s="99"/>
      <c r="J3872" s="99"/>
      <c r="K3872" s="99"/>
      <c r="L3872" s="99"/>
      <c r="M3872" s="99"/>
      <c r="N3872" s="99"/>
      <c r="O3872" s="99"/>
      <c r="P3872" s="99"/>
      <c r="Q3872" s="99"/>
      <c r="R3872" s="99"/>
      <c r="S3872" s="99"/>
      <c r="T3872" s="99"/>
      <c r="U3872" s="99"/>
      <c r="V3872" s="99"/>
    </row>
    <row r="3873" spans="1:22" ht="24" customHeight="1">
      <c r="A3873" s="297"/>
      <c r="B3873" s="217"/>
      <c r="C3873" s="217"/>
      <c r="D3873" s="101"/>
      <c r="E3873" s="101"/>
      <c r="F3873" s="294"/>
      <c r="G3873" s="295"/>
      <c r="H3873" s="98"/>
      <c r="I3873" s="99"/>
      <c r="J3873" s="99"/>
      <c r="K3873" s="99"/>
      <c r="L3873" s="99"/>
      <c r="M3873" s="99"/>
      <c r="N3873" s="99"/>
      <c r="O3873" s="99"/>
      <c r="P3873" s="99"/>
      <c r="Q3873" s="99"/>
      <c r="R3873" s="99"/>
      <c r="S3873" s="99"/>
      <c r="T3873" s="99"/>
      <c r="U3873" s="99"/>
      <c r="V3873" s="99"/>
    </row>
    <row r="3874" spans="1:22">
      <c r="A3874" s="297"/>
      <c r="B3874" s="217"/>
      <c r="C3874" s="217"/>
      <c r="D3874" s="101"/>
      <c r="E3874" s="101"/>
      <c r="F3874" s="294"/>
      <c r="G3874" s="295"/>
      <c r="H3874" s="98"/>
      <c r="I3874" s="99"/>
      <c r="J3874" s="99"/>
      <c r="K3874" s="99"/>
      <c r="L3874" s="99"/>
      <c r="M3874" s="99"/>
      <c r="N3874" s="99"/>
      <c r="O3874" s="99"/>
      <c r="P3874" s="99"/>
      <c r="Q3874" s="99"/>
      <c r="R3874" s="99"/>
      <c r="S3874" s="99"/>
      <c r="T3874" s="99"/>
      <c r="U3874" s="99"/>
      <c r="V3874" s="99"/>
    </row>
    <row r="3875" spans="1:22">
      <c r="A3875" s="297"/>
      <c r="B3875" s="217"/>
      <c r="C3875" s="217"/>
      <c r="D3875" s="101"/>
      <c r="E3875" s="101"/>
      <c r="F3875" s="294"/>
      <c r="G3875" s="295"/>
      <c r="H3875" s="98"/>
      <c r="I3875" s="99"/>
      <c r="J3875" s="99"/>
      <c r="K3875" s="99"/>
      <c r="L3875" s="99"/>
      <c r="M3875" s="99"/>
      <c r="N3875" s="99"/>
      <c r="O3875" s="99"/>
      <c r="P3875" s="99"/>
      <c r="Q3875" s="99"/>
      <c r="R3875" s="99"/>
      <c r="S3875" s="99"/>
      <c r="T3875" s="99"/>
      <c r="U3875" s="99"/>
      <c r="V3875" s="99"/>
    </row>
    <row r="3876" spans="1:22">
      <c r="A3876" s="297"/>
      <c r="B3876" s="217"/>
      <c r="C3876" s="217"/>
      <c r="D3876" s="101"/>
      <c r="E3876" s="101"/>
      <c r="F3876" s="294"/>
      <c r="G3876" s="295"/>
      <c r="H3876" s="98"/>
      <c r="I3876" s="99"/>
      <c r="J3876" s="99"/>
      <c r="K3876" s="99"/>
      <c r="L3876" s="99"/>
      <c r="M3876" s="99"/>
      <c r="N3876" s="99"/>
      <c r="O3876" s="99"/>
      <c r="P3876" s="99"/>
      <c r="Q3876" s="99"/>
      <c r="R3876" s="99"/>
      <c r="S3876" s="99"/>
      <c r="T3876" s="99"/>
      <c r="U3876" s="99"/>
      <c r="V3876" s="99"/>
    </row>
    <row r="3877" spans="1:22">
      <c r="A3877" s="297"/>
      <c r="B3877" s="217"/>
      <c r="C3877" s="217"/>
      <c r="D3877" s="101"/>
      <c r="E3877" s="101"/>
      <c r="F3877" s="294"/>
      <c r="G3877" s="295"/>
      <c r="H3877" s="98"/>
      <c r="I3877" s="99"/>
      <c r="J3877" s="99"/>
      <c r="K3877" s="99"/>
      <c r="L3877" s="99"/>
      <c r="M3877" s="99"/>
      <c r="N3877" s="99"/>
      <c r="O3877" s="99"/>
      <c r="P3877" s="99"/>
      <c r="Q3877" s="99"/>
      <c r="R3877" s="99"/>
      <c r="S3877" s="99"/>
      <c r="T3877" s="99"/>
      <c r="U3877" s="99"/>
      <c r="V3877" s="99"/>
    </row>
    <row r="3878" spans="1:22">
      <c r="A3878" s="297"/>
      <c r="B3878" s="217"/>
      <c r="C3878" s="217"/>
      <c r="D3878" s="101"/>
      <c r="E3878" s="101"/>
      <c r="F3878" s="294"/>
      <c r="G3878" s="295"/>
      <c r="H3878" s="98"/>
      <c r="I3878" s="99"/>
      <c r="J3878" s="99"/>
      <c r="K3878" s="99"/>
      <c r="L3878" s="99"/>
      <c r="M3878" s="99"/>
      <c r="N3878" s="99"/>
      <c r="O3878" s="99"/>
      <c r="P3878" s="99"/>
      <c r="Q3878" s="99"/>
      <c r="R3878" s="99"/>
      <c r="S3878" s="99"/>
      <c r="T3878" s="99"/>
      <c r="U3878" s="99"/>
      <c r="V3878" s="99"/>
    </row>
    <row r="3879" spans="1:22">
      <c r="A3879" s="297"/>
      <c r="B3879" s="217"/>
      <c r="C3879" s="217"/>
      <c r="D3879" s="101"/>
      <c r="E3879" s="101"/>
      <c r="F3879" s="294"/>
      <c r="G3879" s="295"/>
      <c r="H3879" s="98"/>
      <c r="I3879" s="99"/>
      <c r="J3879" s="99"/>
      <c r="K3879" s="99"/>
      <c r="L3879" s="99"/>
      <c r="M3879" s="99"/>
      <c r="N3879" s="99"/>
      <c r="O3879" s="99"/>
      <c r="P3879" s="99"/>
      <c r="Q3879" s="99"/>
      <c r="R3879" s="99"/>
      <c r="S3879" s="99"/>
      <c r="T3879" s="99"/>
      <c r="U3879" s="99"/>
      <c r="V3879" s="99"/>
    </row>
    <row r="3880" spans="1:22">
      <c r="A3880" s="297"/>
      <c r="B3880" s="217"/>
      <c r="C3880" s="217"/>
      <c r="D3880" s="101"/>
      <c r="E3880" s="101"/>
      <c r="F3880" s="294"/>
      <c r="G3880" s="295"/>
      <c r="H3880" s="98"/>
      <c r="I3880" s="99"/>
      <c r="J3880" s="99"/>
      <c r="K3880" s="99"/>
      <c r="L3880" s="99"/>
      <c r="M3880" s="99"/>
      <c r="N3880" s="99"/>
      <c r="O3880" s="99"/>
      <c r="P3880" s="99"/>
      <c r="Q3880" s="99"/>
      <c r="R3880" s="99"/>
      <c r="S3880" s="99"/>
      <c r="T3880" s="99"/>
      <c r="U3880" s="99"/>
      <c r="V3880" s="99"/>
    </row>
    <row r="3881" spans="1:22">
      <c r="A3881" s="297"/>
      <c r="B3881" s="217"/>
      <c r="C3881" s="217"/>
      <c r="D3881" s="101"/>
      <c r="E3881" s="101"/>
      <c r="F3881" s="294"/>
      <c r="G3881" s="295"/>
      <c r="H3881" s="98"/>
      <c r="I3881" s="99"/>
      <c r="J3881" s="99"/>
      <c r="K3881" s="99"/>
      <c r="L3881" s="99"/>
      <c r="M3881" s="99"/>
      <c r="N3881" s="99"/>
      <c r="O3881" s="99"/>
      <c r="P3881" s="99"/>
      <c r="Q3881" s="99"/>
      <c r="R3881" s="99"/>
      <c r="S3881" s="99"/>
      <c r="T3881" s="99"/>
      <c r="U3881" s="99"/>
      <c r="V3881" s="99"/>
    </row>
    <row r="3882" spans="1:22">
      <c r="A3882" s="297"/>
      <c r="B3882" s="217"/>
      <c r="C3882" s="217"/>
      <c r="D3882" s="101"/>
      <c r="E3882" s="101"/>
      <c r="F3882" s="294"/>
      <c r="G3882" s="295"/>
      <c r="H3882" s="98"/>
      <c r="I3882" s="99"/>
      <c r="J3882" s="99"/>
      <c r="K3882" s="99"/>
      <c r="L3882" s="99"/>
      <c r="M3882" s="99"/>
      <c r="N3882" s="99"/>
      <c r="O3882" s="99"/>
      <c r="P3882" s="99"/>
      <c r="Q3882" s="99"/>
      <c r="R3882" s="99"/>
      <c r="S3882" s="99"/>
      <c r="T3882" s="99"/>
      <c r="U3882" s="99"/>
      <c r="V3882" s="99"/>
    </row>
    <row r="3883" spans="1:22">
      <c r="A3883" s="297"/>
      <c r="B3883" s="217"/>
      <c r="C3883" s="217"/>
      <c r="D3883" s="101"/>
      <c r="E3883" s="101"/>
      <c r="F3883" s="294"/>
      <c r="G3883" s="295"/>
      <c r="H3883" s="98"/>
      <c r="I3883" s="99"/>
      <c r="J3883" s="99"/>
      <c r="K3883" s="99"/>
      <c r="L3883" s="99"/>
      <c r="M3883" s="99"/>
      <c r="N3883" s="99"/>
      <c r="O3883" s="99"/>
      <c r="P3883" s="99"/>
      <c r="Q3883" s="99"/>
      <c r="R3883" s="99"/>
      <c r="S3883" s="99"/>
      <c r="T3883" s="99"/>
      <c r="U3883" s="99"/>
      <c r="V3883" s="99"/>
    </row>
    <row r="3884" spans="1:22">
      <c r="A3884" s="297"/>
      <c r="B3884" s="217"/>
      <c r="C3884" s="217"/>
      <c r="D3884" s="101"/>
      <c r="E3884" s="101"/>
      <c r="F3884" s="294"/>
      <c r="G3884" s="295"/>
      <c r="H3884" s="98"/>
      <c r="I3884" s="99"/>
      <c r="J3884" s="99"/>
      <c r="K3884" s="99"/>
      <c r="L3884" s="99"/>
      <c r="M3884" s="99"/>
      <c r="N3884" s="99"/>
      <c r="O3884" s="99"/>
      <c r="P3884" s="99"/>
      <c r="Q3884" s="99"/>
      <c r="R3884" s="99"/>
      <c r="S3884" s="99"/>
      <c r="T3884" s="99"/>
      <c r="U3884" s="99"/>
      <c r="V3884" s="99"/>
    </row>
    <row r="3885" spans="1:22">
      <c r="A3885" s="297"/>
      <c r="B3885" s="217"/>
      <c r="C3885" s="217"/>
      <c r="D3885" s="101"/>
      <c r="E3885" s="101"/>
      <c r="F3885" s="294"/>
      <c r="G3885" s="295"/>
      <c r="H3885" s="107"/>
      <c r="I3885" s="108"/>
      <c r="J3885" s="108"/>
      <c r="K3885" s="108"/>
      <c r="L3885" s="108"/>
      <c r="M3885" s="108"/>
      <c r="N3885" s="108"/>
      <c r="O3885" s="108"/>
      <c r="P3885" s="108"/>
      <c r="Q3885" s="108"/>
      <c r="R3885" s="108"/>
      <c r="S3885" s="108"/>
      <c r="T3885" s="108"/>
      <c r="U3885" s="233"/>
      <c r="V3885" s="233"/>
    </row>
    <row r="3886" spans="1:22">
      <c r="A3886" s="297"/>
      <c r="B3886" s="217"/>
      <c r="C3886" s="217"/>
      <c r="D3886" s="101"/>
      <c r="E3886" s="101"/>
      <c r="F3886" s="294"/>
      <c r="G3886" s="295"/>
      <c r="H3886" s="98"/>
      <c r="I3886" s="106"/>
      <c r="J3886" s="106"/>
      <c r="K3886" s="106"/>
      <c r="L3886" s="106"/>
      <c r="M3886" s="106"/>
      <c r="N3886" s="112"/>
      <c r="O3886" s="112"/>
      <c r="P3886" s="112"/>
      <c r="Q3886" s="113"/>
      <c r="R3886" s="99"/>
      <c r="S3886" s="99"/>
      <c r="T3886" s="113"/>
      <c r="U3886" s="113"/>
      <c r="V3886" s="113"/>
    </row>
    <row r="3887" spans="1:22">
      <c r="A3887" s="297"/>
      <c r="B3887" s="217"/>
      <c r="C3887" s="217"/>
      <c r="D3887" s="101"/>
      <c r="E3887" s="101"/>
      <c r="F3887" s="294"/>
      <c r="G3887" s="295"/>
      <c r="H3887" s="98"/>
      <c r="I3887" s="99"/>
      <c r="J3887" s="99"/>
      <c r="K3887" s="99"/>
      <c r="L3887" s="99"/>
      <c r="M3887" s="99"/>
      <c r="N3887" s="99"/>
      <c r="O3887" s="99"/>
      <c r="P3887" s="99"/>
      <c r="Q3887" s="99"/>
      <c r="R3887" s="99"/>
      <c r="S3887" s="99"/>
      <c r="T3887" s="99"/>
      <c r="U3887" s="99"/>
      <c r="V3887" s="99"/>
    </row>
    <row r="3888" spans="1:22">
      <c r="A3888" s="297"/>
      <c r="B3888" s="217"/>
      <c r="C3888" s="217"/>
      <c r="D3888" s="101"/>
      <c r="E3888" s="101"/>
      <c r="F3888" s="294"/>
      <c r="G3888" s="295"/>
      <c r="H3888" s="98"/>
      <c r="I3888" s="99"/>
      <c r="J3888" s="99"/>
      <c r="K3888" s="99"/>
      <c r="L3888" s="99"/>
      <c r="M3888" s="99"/>
      <c r="N3888" s="99"/>
      <c r="O3888" s="99"/>
      <c r="P3888" s="99"/>
      <c r="Q3888" s="99"/>
      <c r="R3888" s="99"/>
      <c r="S3888" s="99"/>
      <c r="T3888" s="99"/>
      <c r="U3888" s="99"/>
      <c r="V3888" s="99"/>
    </row>
    <row r="3889" spans="1:22">
      <c r="A3889" s="297"/>
      <c r="B3889" s="217"/>
      <c r="C3889" s="217"/>
      <c r="D3889" s="101"/>
      <c r="E3889" s="101"/>
      <c r="F3889" s="294"/>
      <c r="G3889" s="295"/>
      <c r="H3889" s="107"/>
      <c r="I3889" s="108"/>
      <c r="J3889" s="108"/>
      <c r="K3889" s="108"/>
      <c r="L3889" s="108"/>
      <c r="M3889" s="108"/>
      <c r="N3889" s="109"/>
      <c r="O3889" s="109"/>
      <c r="P3889" s="109"/>
      <c r="Q3889" s="109"/>
      <c r="R3889" s="109"/>
      <c r="S3889" s="109"/>
      <c r="T3889" s="109"/>
      <c r="U3889" s="202"/>
      <c r="V3889" s="202"/>
    </row>
    <row r="3890" spans="1:22">
      <c r="A3890" s="297"/>
      <c r="B3890" s="217"/>
      <c r="C3890" s="217"/>
      <c r="D3890" s="101"/>
      <c r="E3890" s="101"/>
      <c r="F3890" s="294"/>
      <c r="G3890" s="295"/>
      <c r="H3890" s="98"/>
      <c r="I3890" s="106"/>
      <c r="J3890" s="106"/>
      <c r="K3890" s="106"/>
      <c r="L3890" s="106"/>
      <c r="M3890" s="106"/>
      <c r="N3890" s="112"/>
      <c r="O3890" s="112"/>
      <c r="P3890" s="112"/>
      <c r="Q3890" s="113"/>
      <c r="R3890" s="99"/>
      <c r="S3890" s="99"/>
      <c r="T3890" s="113"/>
      <c r="U3890" s="113"/>
      <c r="V3890" s="113"/>
    </row>
    <row r="3891" spans="1:22">
      <c r="A3891" s="297"/>
      <c r="B3891" s="217"/>
      <c r="C3891" s="217"/>
      <c r="D3891" s="101"/>
      <c r="E3891" s="101"/>
      <c r="F3891" s="294"/>
      <c r="G3891" s="295"/>
      <c r="H3891" s="114"/>
      <c r="I3891" s="108"/>
      <c r="J3891" s="108"/>
      <c r="K3891" s="108"/>
      <c r="L3891" s="108"/>
      <c r="M3891" s="108"/>
      <c r="N3891" s="108"/>
      <c r="O3891" s="108"/>
      <c r="P3891" s="108"/>
      <c r="Q3891" s="108"/>
      <c r="R3891" s="108"/>
      <c r="S3891" s="108"/>
      <c r="T3891" s="108"/>
      <c r="U3891" s="233"/>
      <c r="V3891" s="233"/>
    </row>
    <row r="3892" spans="1:22" ht="14.4" thickBot="1">
      <c r="A3892" s="297"/>
      <c r="B3892" s="217"/>
      <c r="C3892" s="217"/>
      <c r="D3892" s="101"/>
      <c r="E3892" s="101"/>
      <c r="F3892" s="294"/>
      <c r="G3892" s="295"/>
      <c r="H3892" s="98"/>
      <c r="I3892" s="218"/>
      <c r="J3892" s="218"/>
      <c r="K3892" s="218"/>
      <c r="L3892" s="218"/>
      <c r="M3892" s="218"/>
      <c r="U3892" s="212"/>
      <c r="V3892" s="212"/>
    </row>
    <row r="3893" spans="1:22" ht="23.4" thickBot="1">
      <c r="A3893" s="297"/>
      <c r="B3893" s="217"/>
      <c r="C3893" s="217"/>
      <c r="D3893" s="101"/>
      <c r="E3893" s="101"/>
      <c r="F3893" s="294"/>
      <c r="G3893" s="295"/>
      <c r="H3893" s="686"/>
      <c r="I3893" s="687"/>
      <c r="J3893" s="687"/>
      <c r="K3893" s="687"/>
      <c r="L3893" s="687"/>
      <c r="M3893" s="687"/>
      <c r="N3893" s="687"/>
      <c r="O3893" s="687"/>
      <c r="P3893" s="687"/>
      <c r="Q3893" s="687"/>
      <c r="R3893" s="687"/>
      <c r="S3893" s="715"/>
      <c r="T3893" s="688"/>
      <c r="U3893" s="254"/>
      <c r="V3893" s="254"/>
    </row>
    <row r="3894" spans="1:22" ht="22.8">
      <c r="A3894" s="297"/>
      <c r="B3894" s="217"/>
      <c r="C3894" s="217"/>
      <c r="D3894" s="101"/>
      <c r="E3894" s="101"/>
      <c r="F3894" s="294"/>
      <c r="G3894" s="295"/>
      <c r="H3894" s="225"/>
      <c r="I3894" s="225"/>
      <c r="J3894" s="225"/>
      <c r="K3894" s="225"/>
      <c r="L3894" s="225"/>
      <c r="M3894" s="225"/>
      <c r="N3894" s="225"/>
      <c r="O3894" s="225"/>
      <c r="P3894" s="225"/>
      <c r="Q3894" s="225"/>
      <c r="R3894" s="225"/>
      <c r="S3894" s="225"/>
      <c r="T3894" s="225"/>
      <c r="U3894" s="225"/>
      <c r="V3894" s="225"/>
    </row>
    <row r="3895" spans="1:22">
      <c r="A3895" s="297"/>
      <c r="B3895" s="217"/>
      <c r="C3895" s="217"/>
      <c r="D3895" s="101"/>
      <c r="E3895" s="101"/>
      <c r="F3895" s="294"/>
      <c r="G3895" s="295"/>
      <c r="H3895" s="98"/>
      <c r="I3895" s="99"/>
      <c r="J3895" s="99"/>
      <c r="K3895" s="99"/>
      <c r="L3895" s="99"/>
      <c r="M3895" s="99"/>
      <c r="N3895" s="99"/>
      <c r="O3895" s="99"/>
      <c r="P3895" s="99"/>
      <c r="Q3895" s="99"/>
      <c r="R3895" s="99"/>
      <c r="S3895" s="99"/>
      <c r="T3895" s="99"/>
      <c r="U3895" s="99"/>
      <c r="V3895" s="99"/>
    </row>
    <row r="3896" spans="1:22">
      <c r="A3896" s="297"/>
      <c r="B3896" s="217"/>
      <c r="C3896" s="217"/>
      <c r="D3896" s="101"/>
      <c r="E3896" s="101"/>
      <c r="F3896" s="294"/>
      <c r="G3896" s="295"/>
      <c r="H3896" s="98"/>
      <c r="I3896" s="99"/>
      <c r="J3896" s="99"/>
      <c r="K3896" s="99"/>
      <c r="L3896" s="99"/>
      <c r="M3896" s="99"/>
      <c r="N3896" s="99"/>
      <c r="O3896" s="99"/>
      <c r="P3896" s="99"/>
      <c r="Q3896" s="99"/>
      <c r="R3896" s="99"/>
      <c r="S3896" s="99"/>
      <c r="T3896" s="99"/>
      <c r="U3896" s="99"/>
      <c r="V3896" s="99"/>
    </row>
    <row r="3897" spans="1:22">
      <c r="A3897" s="297"/>
      <c r="B3897" s="217"/>
      <c r="C3897" s="217"/>
      <c r="D3897" s="101"/>
      <c r="E3897" s="101"/>
      <c r="F3897" s="294"/>
      <c r="G3897" s="295"/>
      <c r="H3897" s="98"/>
      <c r="I3897" s="99"/>
      <c r="J3897" s="99"/>
      <c r="K3897" s="99"/>
      <c r="L3897" s="99"/>
      <c r="M3897" s="99"/>
      <c r="N3897" s="99"/>
      <c r="O3897" s="99"/>
      <c r="P3897" s="99"/>
      <c r="Q3897" s="99"/>
      <c r="R3897" s="99"/>
      <c r="S3897" s="99"/>
      <c r="T3897" s="99"/>
      <c r="U3897" s="99"/>
      <c r="V3897" s="99"/>
    </row>
    <row r="3898" spans="1:22">
      <c r="A3898" s="297"/>
      <c r="B3898" s="217"/>
      <c r="C3898" s="217"/>
      <c r="D3898" s="101"/>
      <c r="E3898" s="101"/>
      <c r="F3898" s="294"/>
      <c r="G3898" s="295"/>
      <c r="H3898" s="98"/>
      <c r="I3898" s="99"/>
      <c r="J3898" s="99"/>
      <c r="K3898" s="99"/>
      <c r="L3898" s="99"/>
      <c r="M3898" s="99"/>
      <c r="N3898" s="99"/>
      <c r="O3898" s="99"/>
      <c r="P3898" s="99"/>
      <c r="Q3898" s="99"/>
      <c r="R3898" s="99"/>
      <c r="S3898" s="99"/>
      <c r="T3898" s="99"/>
      <c r="U3898" s="99"/>
      <c r="V3898" s="99"/>
    </row>
    <row r="3899" spans="1:22">
      <c r="A3899" s="297"/>
      <c r="B3899" s="217"/>
      <c r="C3899" s="217"/>
      <c r="D3899" s="101"/>
      <c r="E3899" s="101"/>
      <c r="F3899" s="294"/>
      <c r="G3899" s="295"/>
      <c r="H3899" s="98"/>
      <c r="I3899" s="99"/>
      <c r="J3899" s="99"/>
      <c r="K3899" s="99"/>
      <c r="L3899" s="99"/>
      <c r="M3899" s="99"/>
      <c r="N3899" s="99"/>
      <c r="O3899" s="99"/>
      <c r="P3899" s="99"/>
      <c r="Q3899" s="99"/>
      <c r="R3899" s="99"/>
      <c r="S3899" s="99"/>
      <c r="T3899" s="99"/>
      <c r="U3899" s="99"/>
      <c r="V3899" s="99"/>
    </row>
    <row r="3900" spans="1:22">
      <c r="A3900" s="297"/>
      <c r="B3900" s="217"/>
      <c r="C3900" s="217"/>
      <c r="D3900" s="101"/>
      <c r="E3900" s="101"/>
      <c r="F3900" s="294"/>
      <c r="G3900" s="295"/>
      <c r="H3900" s="98"/>
      <c r="I3900" s="99"/>
      <c r="J3900" s="99"/>
      <c r="K3900" s="99"/>
      <c r="L3900" s="99"/>
      <c r="M3900" s="99"/>
      <c r="N3900" s="99"/>
      <c r="O3900" s="99"/>
      <c r="P3900" s="99"/>
      <c r="Q3900" s="99"/>
      <c r="R3900" s="99"/>
      <c r="S3900" s="99"/>
      <c r="T3900" s="99"/>
      <c r="U3900" s="99"/>
      <c r="V3900" s="99"/>
    </row>
    <row r="3901" spans="1:22">
      <c r="A3901" s="297"/>
      <c r="B3901" s="217"/>
      <c r="C3901" s="217"/>
      <c r="D3901" s="101"/>
      <c r="E3901" s="101"/>
      <c r="F3901" s="294"/>
      <c r="G3901" s="295"/>
      <c r="H3901" s="107"/>
      <c r="I3901" s="108"/>
      <c r="J3901" s="108"/>
      <c r="K3901" s="108"/>
      <c r="L3901" s="108"/>
      <c r="M3901" s="108"/>
      <c r="N3901" s="109"/>
      <c r="O3901" s="109"/>
      <c r="P3901" s="109"/>
      <c r="Q3901" s="109"/>
      <c r="R3901" s="109"/>
      <c r="S3901" s="109"/>
      <c r="T3901" s="109"/>
      <c r="U3901" s="202"/>
      <c r="V3901" s="202"/>
    </row>
    <row r="3902" spans="1:22">
      <c r="A3902" s="297"/>
      <c r="B3902" s="217"/>
      <c r="C3902" s="217"/>
      <c r="D3902" s="101"/>
      <c r="E3902" s="101"/>
      <c r="F3902" s="294"/>
      <c r="G3902" s="295"/>
      <c r="H3902" s="98"/>
      <c r="I3902" s="106"/>
      <c r="J3902" s="106"/>
      <c r="K3902" s="106"/>
      <c r="L3902" s="106"/>
      <c r="M3902" s="106"/>
      <c r="N3902" s="112"/>
      <c r="O3902" s="112"/>
      <c r="P3902" s="112"/>
      <c r="Q3902" s="113"/>
      <c r="R3902" s="113"/>
      <c r="S3902" s="113"/>
      <c r="T3902" s="113"/>
      <c r="U3902" s="113"/>
      <c r="V3902" s="113"/>
    </row>
    <row r="3903" spans="1:22">
      <c r="A3903" s="297"/>
      <c r="B3903" s="217"/>
      <c r="C3903" s="217"/>
      <c r="D3903" s="101"/>
      <c r="E3903" s="101"/>
      <c r="F3903" s="294"/>
      <c r="G3903" s="295"/>
      <c r="H3903" s="98"/>
      <c r="I3903" s="99"/>
      <c r="J3903" s="99"/>
      <c r="K3903" s="99"/>
      <c r="L3903" s="99"/>
      <c r="M3903" s="99"/>
      <c r="N3903" s="99"/>
      <c r="O3903" s="99"/>
      <c r="P3903" s="99"/>
      <c r="Q3903" s="99"/>
      <c r="R3903" s="99"/>
      <c r="S3903" s="99"/>
      <c r="T3903" s="99"/>
      <c r="U3903" s="99"/>
      <c r="V3903" s="99"/>
    </row>
    <row r="3904" spans="1:22">
      <c r="A3904" s="297"/>
      <c r="B3904" s="217"/>
      <c r="C3904" s="217"/>
      <c r="D3904" s="101"/>
      <c r="E3904" s="101"/>
      <c r="F3904" s="294"/>
      <c r="G3904" s="295"/>
      <c r="H3904" s="98"/>
      <c r="I3904" s="99"/>
      <c r="J3904" s="99"/>
      <c r="K3904" s="99"/>
      <c r="L3904" s="99"/>
      <c r="M3904" s="99"/>
      <c r="N3904" s="99"/>
      <c r="O3904" s="99"/>
      <c r="P3904" s="99"/>
      <c r="Q3904" s="99"/>
      <c r="R3904" s="99"/>
      <c r="S3904" s="99"/>
      <c r="T3904" s="99"/>
      <c r="U3904" s="99"/>
      <c r="V3904" s="99"/>
    </row>
    <row r="3905" spans="1:22">
      <c r="A3905" s="297"/>
      <c r="B3905" s="217"/>
      <c r="C3905" s="217"/>
      <c r="D3905" s="101"/>
      <c r="E3905" s="101"/>
      <c r="F3905" s="294"/>
      <c r="G3905" s="295"/>
      <c r="H3905" s="98"/>
      <c r="I3905" s="99"/>
      <c r="J3905" s="99"/>
      <c r="K3905" s="99"/>
      <c r="L3905" s="99"/>
      <c r="M3905" s="99"/>
      <c r="N3905" s="99"/>
      <c r="O3905" s="99"/>
      <c r="P3905" s="99"/>
      <c r="Q3905" s="99"/>
      <c r="R3905" s="99"/>
      <c r="S3905" s="99"/>
      <c r="T3905" s="99"/>
      <c r="U3905" s="99"/>
      <c r="V3905" s="99"/>
    </row>
    <row r="3906" spans="1:22">
      <c r="A3906" s="297"/>
      <c r="B3906" s="217"/>
      <c r="C3906" s="217"/>
      <c r="D3906" s="101"/>
      <c r="E3906" s="101"/>
      <c r="F3906" s="294"/>
      <c r="G3906" s="295"/>
      <c r="H3906" s="98"/>
      <c r="I3906" s="99"/>
      <c r="J3906" s="99"/>
      <c r="K3906" s="99"/>
      <c r="L3906" s="99"/>
      <c r="M3906" s="99"/>
      <c r="N3906" s="99"/>
      <c r="O3906" s="99"/>
      <c r="P3906" s="99"/>
      <c r="Q3906" s="99"/>
      <c r="R3906" s="99"/>
      <c r="S3906" s="99"/>
      <c r="T3906" s="99"/>
      <c r="U3906" s="99"/>
      <c r="V3906" s="99"/>
    </row>
    <row r="3907" spans="1:22">
      <c r="A3907" s="297"/>
      <c r="B3907" s="217"/>
      <c r="C3907" s="217"/>
      <c r="D3907" s="101"/>
      <c r="E3907" s="101"/>
      <c r="F3907" s="294"/>
      <c r="G3907" s="295"/>
      <c r="H3907" s="98"/>
      <c r="I3907" s="99"/>
      <c r="J3907" s="99"/>
      <c r="K3907" s="99"/>
      <c r="L3907" s="99"/>
      <c r="M3907" s="99"/>
      <c r="N3907" s="99"/>
      <c r="O3907" s="99"/>
      <c r="P3907" s="99"/>
      <c r="Q3907" s="99"/>
      <c r="R3907" s="99"/>
      <c r="S3907" s="99"/>
      <c r="T3907" s="99"/>
      <c r="U3907" s="99"/>
      <c r="V3907" s="99"/>
    </row>
    <row r="3908" spans="1:22">
      <c r="A3908" s="297"/>
      <c r="B3908" s="217"/>
      <c r="C3908" s="217"/>
      <c r="D3908" s="101"/>
      <c r="E3908" s="101"/>
      <c r="F3908" s="294"/>
      <c r="G3908" s="295"/>
      <c r="H3908" s="107"/>
      <c r="I3908" s="108"/>
      <c r="J3908" s="108"/>
      <c r="K3908" s="108"/>
      <c r="L3908" s="108"/>
      <c r="M3908" s="108"/>
      <c r="N3908" s="108"/>
      <c r="O3908" s="108"/>
      <c r="P3908" s="108"/>
      <c r="Q3908" s="108"/>
      <c r="R3908" s="108"/>
      <c r="S3908" s="108"/>
      <c r="T3908" s="108"/>
      <c r="U3908" s="233"/>
      <c r="V3908" s="233"/>
    </row>
    <row r="3909" spans="1:22">
      <c r="A3909" s="297"/>
      <c r="B3909" s="217"/>
      <c r="C3909" s="217"/>
      <c r="D3909" s="101"/>
      <c r="E3909" s="101"/>
      <c r="F3909" s="294"/>
      <c r="G3909" s="295"/>
      <c r="H3909" s="98"/>
      <c r="I3909" s="106"/>
      <c r="J3909" s="106"/>
      <c r="K3909" s="106"/>
      <c r="L3909" s="106"/>
      <c r="M3909" s="106"/>
      <c r="N3909" s="112"/>
      <c r="O3909" s="112"/>
      <c r="P3909" s="112"/>
      <c r="Q3909" s="113"/>
      <c r="R3909" s="113"/>
      <c r="S3909" s="113"/>
      <c r="T3909" s="113"/>
      <c r="U3909" s="113"/>
      <c r="V3909" s="113"/>
    </row>
    <row r="3910" spans="1:22">
      <c r="A3910" s="297"/>
      <c r="B3910" s="217"/>
      <c r="C3910" s="217"/>
      <c r="D3910" s="101"/>
      <c r="E3910" s="101"/>
      <c r="F3910" s="294"/>
      <c r="G3910" s="295"/>
      <c r="H3910" s="98"/>
      <c r="I3910" s="99"/>
      <c r="J3910" s="99"/>
      <c r="K3910" s="99"/>
      <c r="L3910" s="99"/>
      <c r="M3910" s="99"/>
      <c r="N3910" s="99"/>
      <c r="O3910" s="99"/>
      <c r="P3910" s="99"/>
      <c r="Q3910" s="99"/>
      <c r="R3910" s="99"/>
      <c r="S3910" s="99"/>
      <c r="T3910" s="99"/>
      <c r="U3910" s="99"/>
      <c r="V3910" s="99"/>
    </row>
    <row r="3911" spans="1:22">
      <c r="A3911" s="297"/>
      <c r="B3911" s="217"/>
      <c r="C3911" s="217"/>
      <c r="D3911" s="101"/>
      <c r="E3911" s="101"/>
      <c r="F3911" s="294"/>
      <c r="G3911" s="295"/>
      <c r="H3911" s="98"/>
      <c r="I3911" s="99"/>
      <c r="J3911" s="99"/>
      <c r="K3911" s="99"/>
      <c r="L3911" s="99"/>
      <c r="M3911" s="99"/>
      <c r="N3911" s="99"/>
      <c r="O3911" s="99"/>
      <c r="P3911" s="99"/>
      <c r="Q3911" s="99"/>
      <c r="R3911" s="99"/>
      <c r="S3911" s="99"/>
      <c r="T3911" s="99"/>
      <c r="U3911" s="99"/>
      <c r="V3911" s="99"/>
    </row>
    <row r="3912" spans="1:22">
      <c r="A3912" s="297"/>
      <c r="B3912" s="217"/>
      <c r="C3912" s="217"/>
      <c r="D3912" s="101"/>
      <c r="E3912" s="101"/>
      <c r="F3912" s="294"/>
      <c r="G3912" s="295"/>
      <c r="H3912" s="98"/>
      <c r="I3912" s="99"/>
      <c r="J3912" s="99"/>
      <c r="K3912" s="99"/>
      <c r="L3912" s="99"/>
      <c r="M3912" s="99"/>
      <c r="N3912" s="99"/>
      <c r="O3912" s="99"/>
      <c r="P3912" s="99"/>
      <c r="Q3912" s="99"/>
      <c r="R3912" s="99"/>
      <c r="S3912" s="99"/>
      <c r="T3912" s="99"/>
      <c r="U3912" s="99"/>
      <c r="V3912" s="99"/>
    </row>
    <row r="3913" spans="1:22">
      <c r="A3913" s="297"/>
      <c r="B3913" s="217"/>
      <c r="C3913" s="217"/>
      <c r="D3913" s="101"/>
      <c r="E3913" s="101"/>
      <c r="F3913" s="294"/>
      <c r="G3913" s="295"/>
      <c r="H3913" s="98"/>
      <c r="I3913" s="99"/>
      <c r="J3913" s="99"/>
      <c r="K3913" s="99"/>
      <c r="L3913" s="99"/>
      <c r="M3913" s="99"/>
      <c r="N3913" s="99"/>
      <c r="O3913" s="99"/>
      <c r="P3913" s="99"/>
      <c r="Q3913" s="99"/>
      <c r="R3913" s="99"/>
      <c r="S3913" s="99"/>
      <c r="T3913" s="99"/>
      <c r="U3913" s="99"/>
      <c r="V3913" s="99"/>
    </row>
    <row r="3914" spans="1:22">
      <c r="A3914" s="297"/>
      <c r="B3914" s="217"/>
      <c r="C3914" s="217"/>
      <c r="D3914" s="101"/>
      <c r="E3914" s="101"/>
      <c r="F3914" s="294"/>
      <c r="G3914" s="295"/>
      <c r="H3914" s="98"/>
      <c r="I3914" s="99"/>
      <c r="J3914" s="99"/>
      <c r="K3914" s="99"/>
      <c r="L3914" s="99"/>
      <c r="M3914" s="99"/>
      <c r="N3914" s="99"/>
      <c r="O3914" s="99"/>
      <c r="P3914" s="99"/>
      <c r="Q3914" s="99"/>
      <c r="R3914" s="99"/>
      <c r="S3914" s="99"/>
      <c r="T3914" s="99"/>
      <c r="U3914" s="99"/>
      <c r="V3914" s="99"/>
    </row>
    <row r="3915" spans="1:22">
      <c r="A3915" s="297"/>
      <c r="B3915" s="217"/>
      <c r="C3915" s="217"/>
      <c r="D3915" s="101"/>
      <c r="E3915" s="101"/>
      <c r="F3915" s="294"/>
      <c r="G3915" s="295"/>
      <c r="H3915" s="98"/>
      <c r="I3915" s="99"/>
      <c r="J3915" s="99"/>
      <c r="K3915" s="99"/>
      <c r="L3915" s="99"/>
      <c r="M3915" s="99"/>
      <c r="N3915" s="99"/>
      <c r="O3915" s="99"/>
      <c r="P3915" s="99"/>
      <c r="Q3915" s="99"/>
      <c r="R3915" s="99"/>
      <c r="S3915" s="99"/>
      <c r="T3915" s="99"/>
      <c r="U3915" s="99"/>
      <c r="V3915" s="99"/>
    </row>
    <row r="3916" spans="1:22">
      <c r="A3916" s="297"/>
      <c r="B3916" s="217"/>
      <c r="C3916" s="217"/>
      <c r="D3916" s="101"/>
      <c r="E3916" s="101"/>
      <c r="F3916" s="294"/>
      <c r="G3916" s="295"/>
      <c r="H3916" s="98"/>
      <c r="I3916" s="99"/>
      <c r="J3916" s="99"/>
      <c r="K3916" s="99"/>
      <c r="L3916" s="99"/>
      <c r="M3916" s="99"/>
      <c r="N3916" s="99"/>
      <c r="O3916" s="99"/>
      <c r="P3916" s="99"/>
      <c r="Q3916" s="99"/>
      <c r="R3916" s="99"/>
      <c r="S3916" s="99"/>
      <c r="T3916" s="99"/>
      <c r="U3916" s="99"/>
      <c r="V3916" s="99"/>
    </row>
    <row r="3917" spans="1:22">
      <c r="A3917" s="297"/>
      <c r="B3917" s="217"/>
      <c r="C3917" s="217"/>
      <c r="D3917" s="101"/>
      <c r="E3917" s="101"/>
      <c r="F3917" s="294"/>
      <c r="G3917" s="295"/>
      <c r="H3917" s="98"/>
      <c r="I3917" s="99"/>
      <c r="J3917" s="99"/>
      <c r="K3917" s="99"/>
      <c r="L3917" s="99"/>
      <c r="M3917" s="99"/>
      <c r="N3917" s="99"/>
      <c r="O3917" s="99"/>
      <c r="P3917" s="99"/>
      <c r="Q3917" s="99"/>
      <c r="R3917" s="99"/>
      <c r="S3917" s="99"/>
      <c r="T3917" s="99"/>
      <c r="U3917" s="99"/>
      <c r="V3917" s="99"/>
    </row>
    <row r="3918" spans="1:22">
      <c r="A3918" s="297"/>
      <c r="B3918" s="217"/>
      <c r="C3918" s="217"/>
      <c r="D3918" s="101"/>
      <c r="E3918" s="101"/>
      <c r="F3918" s="294"/>
      <c r="G3918" s="295"/>
      <c r="H3918" s="107"/>
      <c r="I3918" s="109"/>
      <c r="J3918" s="109"/>
      <c r="K3918" s="109"/>
      <c r="L3918" s="109"/>
      <c r="M3918" s="109"/>
      <c r="N3918" s="109"/>
      <c r="O3918" s="109"/>
      <c r="P3918" s="109"/>
      <c r="Q3918" s="109"/>
      <c r="R3918" s="109"/>
      <c r="S3918" s="109"/>
      <c r="T3918" s="109"/>
      <c r="U3918" s="202"/>
      <c r="V3918" s="202"/>
    </row>
    <row r="3919" spans="1:22">
      <c r="A3919" s="297"/>
      <c r="B3919" s="217"/>
      <c r="C3919" s="217"/>
      <c r="D3919" s="101"/>
      <c r="E3919" s="101"/>
      <c r="F3919" s="294"/>
      <c r="G3919" s="295"/>
      <c r="H3919" s="98"/>
      <c r="I3919" s="106"/>
      <c r="J3919" s="106"/>
      <c r="K3919" s="106"/>
      <c r="L3919" s="106"/>
      <c r="M3919" s="106"/>
      <c r="N3919" s="112"/>
      <c r="O3919" s="112"/>
      <c r="P3919" s="112"/>
      <c r="Q3919" s="113"/>
      <c r="R3919" s="113"/>
      <c r="S3919" s="113"/>
      <c r="T3919" s="113"/>
      <c r="U3919" s="113"/>
      <c r="V3919" s="113"/>
    </row>
    <row r="3920" spans="1:22">
      <c r="A3920" s="297"/>
      <c r="B3920" s="217"/>
      <c r="C3920" s="217"/>
      <c r="D3920" s="101"/>
      <c r="E3920" s="101"/>
      <c r="F3920" s="294"/>
      <c r="G3920" s="295"/>
      <c r="H3920" s="98"/>
      <c r="I3920" s="99"/>
      <c r="J3920" s="99"/>
      <c r="K3920" s="99"/>
      <c r="L3920" s="99"/>
      <c r="M3920" s="99"/>
      <c r="N3920" s="99"/>
      <c r="O3920" s="99"/>
      <c r="P3920" s="99"/>
      <c r="Q3920" s="99"/>
      <c r="R3920" s="99"/>
      <c r="S3920" s="99"/>
      <c r="T3920" s="99"/>
      <c r="U3920" s="99"/>
      <c r="V3920" s="99"/>
    </row>
    <row r="3921" spans="1:22">
      <c r="A3921" s="297"/>
      <c r="B3921" s="217"/>
      <c r="C3921" s="217"/>
      <c r="D3921" s="101"/>
      <c r="E3921" s="101"/>
      <c r="F3921" s="294"/>
      <c r="G3921" s="295"/>
      <c r="H3921" s="98"/>
      <c r="I3921" s="99"/>
      <c r="J3921" s="99"/>
      <c r="K3921" s="99"/>
      <c r="L3921" s="99"/>
      <c r="M3921" s="99"/>
      <c r="N3921" s="99"/>
      <c r="O3921" s="99"/>
      <c r="P3921" s="99"/>
      <c r="Q3921" s="99"/>
      <c r="R3921" s="99"/>
      <c r="S3921" s="99"/>
      <c r="T3921" s="99"/>
      <c r="U3921" s="99"/>
      <c r="V3921" s="99"/>
    </row>
    <row r="3922" spans="1:22">
      <c r="A3922" s="297"/>
      <c r="B3922" s="217"/>
      <c r="C3922" s="217"/>
      <c r="D3922" s="101"/>
      <c r="E3922" s="101"/>
      <c r="F3922" s="294"/>
      <c r="G3922" s="295"/>
      <c r="H3922" s="107"/>
      <c r="I3922" s="108"/>
      <c r="J3922" s="108"/>
      <c r="K3922" s="108"/>
      <c r="L3922" s="108"/>
      <c r="M3922" s="108"/>
      <c r="N3922" s="109"/>
      <c r="O3922" s="109"/>
      <c r="P3922" s="109"/>
      <c r="Q3922" s="109"/>
      <c r="R3922" s="109"/>
      <c r="S3922" s="109"/>
      <c r="T3922" s="109"/>
      <c r="U3922" s="202"/>
      <c r="V3922" s="202"/>
    </row>
    <row r="3923" spans="1:22">
      <c r="A3923" s="297"/>
      <c r="B3923" s="217"/>
      <c r="C3923" s="217"/>
      <c r="D3923" s="101"/>
      <c r="E3923" s="101"/>
      <c r="F3923" s="294"/>
      <c r="G3923" s="295"/>
      <c r="H3923" s="98"/>
      <c r="I3923" s="106"/>
      <c r="J3923" s="106"/>
      <c r="K3923" s="106"/>
      <c r="L3923" s="106"/>
      <c r="M3923" s="106"/>
      <c r="N3923" s="112"/>
      <c r="O3923" s="112"/>
      <c r="P3923" s="112"/>
      <c r="Q3923" s="113"/>
      <c r="R3923" s="113"/>
      <c r="S3923" s="113"/>
      <c r="T3923" s="113"/>
      <c r="U3923" s="113"/>
      <c r="V3923" s="113"/>
    </row>
    <row r="3924" spans="1:22">
      <c r="A3924" s="297"/>
      <c r="B3924" s="217"/>
      <c r="C3924" s="217"/>
      <c r="D3924" s="101"/>
      <c r="E3924" s="101"/>
      <c r="F3924" s="294"/>
      <c r="G3924" s="295"/>
      <c r="H3924" s="98"/>
      <c r="I3924" s="99"/>
      <c r="J3924" s="99"/>
      <c r="K3924" s="99"/>
      <c r="L3924" s="99"/>
      <c r="M3924" s="99"/>
      <c r="N3924" s="99"/>
      <c r="O3924" s="99"/>
      <c r="P3924" s="99"/>
      <c r="Q3924" s="99"/>
      <c r="R3924" s="99"/>
      <c r="S3924" s="99"/>
      <c r="T3924" s="99"/>
      <c r="U3924" s="99"/>
      <c r="V3924" s="99"/>
    </row>
    <row r="3925" spans="1:22">
      <c r="A3925" s="297"/>
      <c r="B3925" s="217"/>
      <c r="C3925" s="217"/>
      <c r="D3925" s="101"/>
      <c r="E3925" s="101"/>
      <c r="F3925" s="294"/>
      <c r="G3925" s="295"/>
      <c r="H3925" s="107"/>
      <c r="I3925" s="108"/>
      <c r="J3925" s="108"/>
      <c r="K3925" s="108"/>
      <c r="L3925" s="108"/>
      <c r="M3925" s="108"/>
      <c r="N3925" s="109"/>
      <c r="O3925" s="109"/>
      <c r="P3925" s="109"/>
      <c r="Q3925" s="109"/>
      <c r="R3925" s="109"/>
      <c r="S3925" s="109"/>
      <c r="T3925" s="109"/>
      <c r="U3925" s="202"/>
      <c r="V3925" s="202"/>
    </row>
    <row r="3926" spans="1:22">
      <c r="A3926" s="297"/>
      <c r="B3926" s="217"/>
      <c r="C3926" s="217"/>
      <c r="D3926" s="101"/>
      <c r="E3926" s="101"/>
      <c r="F3926" s="294"/>
      <c r="G3926" s="295"/>
      <c r="H3926" s="98"/>
      <c r="I3926" s="106"/>
      <c r="J3926" s="106"/>
      <c r="K3926" s="106"/>
      <c r="L3926" s="106"/>
      <c r="M3926" s="106"/>
      <c r="N3926" s="112"/>
      <c r="O3926" s="112"/>
      <c r="P3926" s="112"/>
      <c r="Q3926" s="113"/>
      <c r="R3926" s="113"/>
      <c r="S3926" s="113"/>
      <c r="T3926" s="113"/>
      <c r="U3926" s="113"/>
      <c r="V3926" s="113"/>
    </row>
    <row r="3927" spans="1:22">
      <c r="A3927" s="297"/>
      <c r="B3927" s="217"/>
      <c r="C3927" s="217"/>
      <c r="D3927" s="101"/>
      <c r="E3927" s="101"/>
      <c r="F3927" s="294"/>
      <c r="G3927" s="295"/>
      <c r="H3927" s="114"/>
      <c r="I3927" s="108"/>
      <c r="J3927" s="108"/>
      <c r="K3927" s="108"/>
      <c r="L3927" s="108"/>
      <c r="M3927" s="108"/>
      <c r="N3927" s="108"/>
      <c r="O3927" s="108"/>
      <c r="P3927" s="108"/>
      <c r="Q3927" s="108"/>
      <c r="R3927" s="108"/>
      <c r="S3927" s="108"/>
      <c r="T3927" s="108"/>
      <c r="U3927" s="233"/>
      <c r="V3927" s="233"/>
    </row>
    <row r="3928" spans="1:22" ht="14.4" thickBot="1">
      <c r="A3928" s="297"/>
      <c r="B3928" s="217"/>
      <c r="C3928" s="217"/>
      <c r="D3928" s="101"/>
      <c r="E3928" s="101"/>
      <c r="F3928" s="294"/>
      <c r="G3928" s="295"/>
      <c r="H3928" s="98"/>
      <c r="I3928" s="218"/>
      <c r="J3928" s="218"/>
      <c r="K3928" s="218"/>
      <c r="L3928" s="218"/>
      <c r="M3928" s="218"/>
      <c r="U3928" s="212"/>
      <c r="V3928" s="212"/>
    </row>
    <row r="3929" spans="1:22" ht="23.4" thickBot="1">
      <c r="A3929" s="297"/>
      <c r="B3929" s="217"/>
      <c r="C3929" s="217"/>
      <c r="D3929" s="101"/>
      <c r="E3929" s="101"/>
      <c r="F3929" s="294"/>
      <c r="G3929" s="295"/>
      <c r="H3929" s="686"/>
      <c r="I3929" s="687"/>
      <c r="J3929" s="687"/>
      <c r="K3929" s="687"/>
      <c r="L3929" s="687"/>
      <c r="M3929" s="687"/>
      <c r="N3929" s="687"/>
      <c r="O3929" s="687"/>
      <c r="P3929" s="687"/>
      <c r="Q3929" s="687"/>
      <c r="R3929" s="687"/>
      <c r="S3929" s="715"/>
      <c r="T3929" s="688"/>
      <c r="U3929" s="254"/>
      <c r="V3929" s="254"/>
    </row>
    <row r="3930" spans="1:22" ht="22.8">
      <c r="A3930" s="297"/>
      <c r="B3930" s="217"/>
      <c r="C3930" s="217"/>
      <c r="D3930" s="101"/>
      <c r="E3930" s="101"/>
      <c r="F3930" s="294"/>
      <c r="G3930" s="295"/>
      <c r="H3930" s="225"/>
      <c r="I3930" s="225"/>
      <c r="J3930" s="225"/>
      <c r="K3930" s="225"/>
      <c r="L3930" s="225"/>
      <c r="M3930" s="225"/>
      <c r="N3930" s="225"/>
      <c r="O3930" s="225"/>
      <c r="P3930" s="225"/>
      <c r="Q3930" s="225"/>
      <c r="R3930" s="225"/>
      <c r="S3930" s="225"/>
      <c r="T3930" s="225"/>
      <c r="U3930" s="225"/>
      <c r="V3930" s="225"/>
    </row>
    <row r="3931" spans="1:22">
      <c r="A3931" s="297"/>
      <c r="B3931" s="217"/>
      <c r="C3931" s="217"/>
      <c r="D3931" s="101"/>
      <c r="E3931" s="101"/>
      <c r="F3931" s="294"/>
      <c r="G3931" s="295"/>
      <c r="H3931" s="98"/>
      <c r="I3931" s="99"/>
      <c r="J3931" s="99"/>
      <c r="K3931" s="99"/>
      <c r="L3931" s="99"/>
      <c r="M3931" s="99"/>
      <c r="N3931" s="99"/>
      <c r="O3931" s="99"/>
      <c r="P3931" s="99"/>
      <c r="Q3931" s="99"/>
      <c r="R3931" s="99"/>
      <c r="S3931" s="99"/>
      <c r="T3931" s="99"/>
      <c r="U3931" s="99"/>
      <c r="V3931" s="99"/>
    </row>
    <row r="3932" spans="1:22" ht="24" customHeight="1">
      <c r="A3932" s="297"/>
      <c r="B3932" s="217"/>
      <c r="C3932" s="217"/>
      <c r="D3932" s="101"/>
      <c r="E3932" s="101"/>
      <c r="F3932" s="294"/>
      <c r="G3932" s="295"/>
      <c r="H3932" s="107"/>
      <c r="I3932" s="108"/>
      <c r="J3932" s="108"/>
      <c r="K3932" s="108"/>
      <c r="L3932" s="108"/>
      <c r="M3932" s="108"/>
      <c r="N3932" s="109"/>
      <c r="O3932" s="109"/>
      <c r="P3932" s="109"/>
      <c r="Q3932" s="109"/>
      <c r="R3932" s="109"/>
      <c r="S3932" s="109"/>
      <c r="T3932" s="109"/>
      <c r="U3932" s="202"/>
      <c r="V3932" s="202"/>
    </row>
    <row r="3933" spans="1:22">
      <c r="A3933" s="297"/>
      <c r="B3933" s="217"/>
      <c r="C3933" s="217"/>
      <c r="D3933" s="101"/>
      <c r="E3933" s="101"/>
      <c r="F3933" s="294"/>
      <c r="G3933" s="295"/>
      <c r="H3933" s="98"/>
      <c r="I3933" s="111"/>
      <c r="J3933" s="111"/>
      <c r="K3933" s="111"/>
      <c r="L3933" s="111"/>
      <c r="M3933" s="111"/>
      <c r="N3933" s="112"/>
      <c r="O3933" s="112"/>
      <c r="P3933" s="112"/>
      <c r="Q3933" s="113"/>
      <c r="R3933" s="113"/>
      <c r="S3933" s="113"/>
      <c r="T3933" s="113"/>
      <c r="U3933" s="113"/>
      <c r="V3933" s="113"/>
    </row>
    <row r="3934" spans="1:22">
      <c r="A3934" s="297"/>
      <c r="B3934" s="217"/>
      <c r="C3934" s="217"/>
      <c r="D3934" s="101"/>
      <c r="E3934" s="101"/>
      <c r="F3934" s="294"/>
      <c r="G3934" s="295"/>
      <c r="H3934" s="98"/>
      <c r="I3934" s="99"/>
      <c r="J3934" s="99"/>
      <c r="K3934" s="99"/>
      <c r="L3934" s="99"/>
      <c r="M3934" s="99"/>
      <c r="N3934" s="99"/>
      <c r="O3934" s="99"/>
      <c r="P3934" s="99"/>
      <c r="Q3934" s="99"/>
      <c r="R3934" s="99"/>
      <c r="S3934" s="99"/>
      <c r="T3934" s="99"/>
      <c r="U3934" s="99"/>
      <c r="V3934" s="99"/>
    </row>
    <row r="3935" spans="1:22">
      <c r="A3935" s="297"/>
      <c r="B3935" s="217"/>
      <c r="C3935" s="217"/>
      <c r="D3935" s="101"/>
      <c r="E3935" s="101"/>
      <c r="F3935" s="294"/>
      <c r="G3935" s="295"/>
      <c r="H3935" s="98"/>
      <c r="I3935" s="99"/>
      <c r="J3935" s="99"/>
      <c r="K3935" s="99"/>
      <c r="L3935" s="99"/>
      <c r="M3935" s="99"/>
      <c r="N3935" s="99"/>
      <c r="O3935" s="99"/>
      <c r="P3935" s="99"/>
      <c r="Q3935" s="99"/>
      <c r="R3935" s="99"/>
      <c r="S3935" s="99"/>
      <c r="T3935" s="99"/>
      <c r="U3935" s="99"/>
      <c r="V3935" s="99"/>
    </row>
    <row r="3936" spans="1:22">
      <c r="A3936" s="297"/>
      <c r="B3936" s="217"/>
      <c r="C3936" s="217"/>
      <c r="D3936" s="101"/>
      <c r="E3936" s="101"/>
      <c r="F3936" s="294"/>
      <c r="G3936" s="295"/>
      <c r="H3936" s="98"/>
      <c r="I3936" s="99"/>
      <c r="J3936" s="99"/>
      <c r="K3936" s="99"/>
      <c r="L3936" s="99"/>
      <c r="M3936" s="99"/>
      <c r="N3936" s="99"/>
      <c r="O3936" s="99"/>
      <c r="P3936" s="99"/>
      <c r="Q3936" s="99"/>
      <c r="R3936" s="99"/>
      <c r="S3936" s="99"/>
      <c r="T3936" s="99"/>
      <c r="U3936" s="99"/>
      <c r="V3936" s="99"/>
    </row>
    <row r="3937" spans="1:22">
      <c r="A3937" s="297"/>
      <c r="B3937" s="217"/>
      <c r="C3937" s="217"/>
      <c r="D3937" s="101"/>
      <c r="E3937" s="101"/>
      <c r="F3937" s="294"/>
      <c r="G3937" s="295"/>
      <c r="H3937" s="107"/>
      <c r="I3937" s="108"/>
      <c r="J3937" s="108"/>
      <c r="K3937" s="108"/>
      <c r="L3937" s="108"/>
      <c r="M3937" s="108"/>
      <c r="N3937" s="108"/>
      <c r="O3937" s="108"/>
      <c r="P3937" s="108"/>
      <c r="Q3937" s="108"/>
      <c r="R3937" s="108"/>
      <c r="S3937" s="108"/>
      <c r="T3937" s="108"/>
      <c r="U3937" s="233"/>
      <c r="V3937" s="233"/>
    </row>
    <row r="3938" spans="1:22">
      <c r="A3938" s="297"/>
      <c r="B3938" s="217"/>
      <c r="C3938" s="217"/>
      <c r="D3938" s="101"/>
      <c r="E3938" s="101"/>
      <c r="F3938" s="294"/>
      <c r="G3938" s="295"/>
      <c r="H3938" s="98"/>
      <c r="I3938" s="111"/>
      <c r="J3938" s="111"/>
      <c r="K3938" s="111"/>
      <c r="L3938" s="111"/>
      <c r="M3938" s="111"/>
      <c r="N3938" s="112"/>
      <c r="O3938" s="112"/>
      <c r="P3938" s="112"/>
      <c r="Q3938" s="113"/>
      <c r="R3938" s="113"/>
      <c r="S3938" s="113"/>
      <c r="T3938" s="113"/>
      <c r="U3938" s="113"/>
      <c r="V3938" s="113"/>
    </row>
    <row r="3939" spans="1:22">
      <c r="A3939" s="297"/>
      <c r="B3939" s="217"/>
      <c r="C3939" s="217"/>
      <c r="D3939" s="101"/>
      <c r="E3939" s="101"/>
      <c r="F3939" s="294"/>
      <c r="G3939" s="295"/>
      <c r="H3939" s="114"/>
      <c r="I3939" s="108"/>
      <c r="J3939" s="108"/>
      <c r="K3939" s="108"/>
      <c r="L3939" s="108"/>
      <c r="M3939" s="108"/>
      <c r="N3939" s="108"/>
      <c r="O3939" s="108"/>
      <c r="P3939" s="108"/>
      <c r="Q3939" s="108"/>
      <c r="R3939" s="108"/>
      <c r="S3939" s="108"/>
      <c r="T3939" s="108"/>
      <c r="U3939" s="233"/>
      <c r="V3939" s="233"/>
    </row>
    <row r="3940" spans="1:22">
      <c r="A3940" s="297"/>
      <c r="B3940" s="217"/>
      <c r="C3940" s="217"/>
      <c r="D3940" s="101"/>
      <c r="E3940" s="101"/>
      <c r="F3940" s="294"/>
      <c r="G3940" s="295"/>
      <c r="H3940" s="98"/>
      <c r="I3940" s="218"/>
      <c r="J3940" s="218"/>
      <c r="K3940" s="218"/>
      <c r="L3940" s="218"/>
      <c r="M3940" s="218"/>
      <c r="U3940" s="212"/>
      <c r="V3940" s="212"/>
    </row>
    <row r="3941" spans="1:22" ht="14.4" thickBot="1">
      <c r="A3941" s="297"/>
      <c r="B3941" s="217"/>
      <c r="C3941" s="217"/>
      <c r="D3941" s="101"/>
      <c r="E3941" s="101"/>
      <c r="F3941" s="294"/>
      <c r="G3941" s="295"/>
      <c r="H3941" s="98"/>
      <c r="I3941" s="218"/>
      <c r="J3941" s="218"/>
      <c r="K3941" s="218"/>
      <c r="L3941" s="218"/>
      <c r="M3941" s="218"/>
      <c r="U3941" s="212"/>
      <c r="V3941" s="212"/>
    </row>
    <row r="3942" spans="1:22" ht="23.4" thickBot="1">
      <c r="A3942" s="297"/>
      <c r="B3942" s="217"/>
      <c r="C3942" s="217"/>
      <c r="D3942" s="101"/>
      <c r="E3942" s="101"/>
      <c r="F3942" s="294"/>
      <c r="G3942" s="295"/>
      <c r="H3942" s="686"/>
      <c r="I3942" s="687"/>
      <c r="J3942" s="687"/>
      <c r="K3942" s="687"/>
      <c r="L3942" s="687"/>
      <c r="M3942" s="687"/>
      <c r="N3942" s="687"/>
      <c r="O3942" s="687"/>
      <c r="P3942" s="687"/>
      <c r="Q3942" s="687"/>
      <c r="R3942" s="687"/>
      <c r="S3942" s="715"/>
      <c r="T3942" s="688"/>
      <c r="U3942" s="254"/>
      <c r="V3942" s="254"/>
    </row>
    <row r="3943" spans="1:22" ht="22.8">
      <c r="A3943" s="297"/>
      <c r="B3943" s="217"/>
      <c r="C3943" s="217"/>
      <c r="D3943" s="101"/>
      <c r="E3943" s="101"/>
      <c r="F3943" s="294"/>
      <c r="G3943" s="295"/>
      <c r="H3943" s="225"/>
      <c r="I3943" s="225"/>
      <c r="J3943" s="225"/>
      <c r="K3943" s="225"/>
      <c r="L3943" s="225"/>
      <c r="M3943" s="225"/>
      <c r="N3943" s="225"/>
      <c r="O3943" s="225"/>
      <c r="P3943" s="225"/>
      <c r="Q3943" s="225"/>
      <c r="R3943" s="225"/>
      <c r="S3943" s="225"/>
      <c r="T3943" s="225"/>
      <c r="U3943" s="225"/>
      <c r="V3943" s="225"/>
    </row>
    <row r="3944" spans="1:22">
      <c r="A3944" s="297"/>
      <c r="B3944" s="217"/>
      <c r="C3944" s="217"/>
      <c r="D3944" s="101"/>
      <c r="E3944" s="101"/>
      <c r="F3944" s="294"/>
      <c r="G3944" s="295"/>
      <c r="H3944" s="98"/>
      <c r="I3944" s="99"/>
      <c r="J3944" s="99"/>
      <c r="K3944" s="99"/>
      <c r="L3944" s="99"/>
      <c r="M3944" s="99"/>
      <c r="N3944" s="99"/>
      <c r="O3944" s="99"/>
      <c r="P3944" s="99"/>
      <c r="Q3944" s="99"/>
      <c r="R3944" s="99"/>
      <c r="S3944" s="99"/>
      <c r="T3944" s="99"/>
      <c r="U3944" s="99"/>
      <c r="V3944" s="99"/>
    </row>
    <row r="3945" spans="1:22">
      <c r="A3945" s="297"/>
      <c r="B3945" s="217"/>
      <c r="C3945" s="217"/>
      <c r="D3945" s="101"/>
      <c r="E3945" s="101"/>
      <c r="F3945" s="294"/>
      <c r="G3945" s="295"/>
      <c r="H3945" s="98"/>
      <c r="I3945" s="99"/>
      <c r="J3945" s="99"/>
      <c r="K3945" s="99"/>
      <c r="L3945" s="99"/>
      <c r="M3945" s="99"/>
      <c r="N3945" s="99"/>
      <c r="O3945" s="99"/>
      <c r="P3945" s="99"/>
      <c r="Q3945" s="99"/>
      <c r="R3945" s="99"/>
      <c r="S3945" s="99"/>
      <c r="T3945" s="99"/>
      <c r="U3945" s="99"/>
      <c r="V3945" s="99"/>
    </row>
    <row r="3946" spans="1:22">
      <c r="A3946" s="297"/>
      <c r="B3946" s="217"/>
      <c r="C3946" s="217"/>
      <c r="D3946" s="101"/>
      <c r="E3946" s="101"/>
      <c r="F3946" s="294"/>
      <c r="G3946" s="295"/>
      <c r="H3946" s="98"/>
      <c r="I3946" s="99"/>
      <c r="J3946" s="99"/>
      <c r="K3946" s="99"/>
      <c r="L3946" s="99"/>
      <c r="M3946" s="99"/>
      <c r="N3946" s="99"/>
      <c r="O3946" s="99"/>
      <c r="P3946" s="99"/>
      <c r="Q3946" s="99"/>
      <c r="R3946" s="99"/>
      <c r="S3946" s="99"/>
      <c r="T3946" s="99"/>
      <c r="U3946" s="99"/>
      <c r="V3946" s="99"/>
    </row>
    <row r="3947" spans="1:22">
      <c r="A3947" s="297"/>
      <c r="B3947" s="217"/>
      <c r="C3947" s="217"/>
      <c r="D3947" s="101"/>
      <c r="E3947" s="101"/>
      <c r="F3947" s="294"/>
      <c r="G3947" s="295"/>
      <c r="H3947" s="98"/>
      <c r="I3947" s="99"/>
      <c r="J3947" s="99"/>
      <c r="K3947" s="99"/>
      <c r="L3947" s="99"/>
      <c r="M3947" s="99"/>
      <c r="N3947" s="99"/>
      <c r="O3947" s="99"/>
      <c r="P3947" s="99"/>
      <c r="Q3947" s="99"/>
      <c r="R3947" s="99"/>
      <c r="S3947" s="99"/>
      <c r="T3947" s="99"/>
      <c r="U3947" s="99"/>
      <c r="V3947" s="99"/>
    </row>
    <row r="3948" spans="1:22">
      <c r="A3948" s="297"/>
      <c r="B3948" s="217"/>
      <c r="C3948" s="217"/>
      <c r="D3948" s="101"/>
      <c r="E3948" s="101"/>
      <c r="F3948" s="294"/>
      <c r="G3948" s="295"/>
      <c r="H3948" s="98"/>
      <c r="I3948" s="99"/>
      <c r="J3948" s="99"/>
      <c r="K3948" s="99"/>
      <c r="L3948" s="99"/>
      <c r="M3948" s="99"/>
      <c r="N3948" s="99"/>
      <c r="O3948" s="99"/>
      <c r="P3948" s="99"/>
      <c r="Q3948" s="99"/>
      <c r="R3948" s="99"/>
      <c r="S3948" s="99"/>
      <c r="T3948" s="99"/>
      <c r="U3948" s="99"/>
      <c r="V3948" s="99"/>
    </row>
    <row r="3949" spans="1:22">
      <c r="A3949" s="297"/>
      <c r="B3949" s="217"/>
      <c r="C3949" s="217"/>
      <c r="D3949" s="101"/>
      <c r="E3949" s="101"/>
      <c r="F3949" s="294"/>
      <c r="G3949" s="295"/>
      <c r="H3949" s="98"/>
      <c r="I3949" s="99"/>
      <c r="J3949" s="99"/>
      <c r="K3949" s="99"/>
      <c r="L3949" s="99"/>
      <c r="M3949" s="99"/>
      <c r="N3949" s="99"/>
      <c r="O3949" s="99"/>
      <c r="P3949" s="99"/>
      <c r="Q3949" s="99"/>
      <c r="R3949" s="99"/>
      <c r="S3949" s="99"/>
      <c r="T3949" s="99"/>
      <c r="U3949" s="99"/>
      <c r="V3949" s="99"/>
    </row>
    <row r="3950" spans="1:22">
      <c r="A3950" s="297"/>
      <c r="B3950" s="217"/>
      <c r="C3950" s="217"/>
      <c r="D3950" s="101"/>
      <c r="E3950" s="101"/>
      <c r="F3950" s="294"/>
      <c r="G3950" s="295"/>
      <c r="H3950" s="98"/>
      <c r="I3950" s="99"/>
      <c r="J3950" s="99"/>
      <c r="K3950" s="99"/>
      <c r="L3950" s="99"/>
      <c r="M3950" s="99"/>
      <c r="N3950" s="99"/>
      <c r="O3950" s="99"/>
      <c r="P3950" s="99"/>
      <c r="Q3950" s="99"/>
      <c r="R3950" s="99"/>
      <c r="S3950" s="99"/>
      <c r="T3950" s="99"/>
      <c r="U3950" s="99"/>
      <c r="V3950" s="99"/>
    </row>
    <row r="3951" spans="1:22">
      <c r="A3951" s="297"/>
      <c r="B3951" s="217"/>
      <c r="C3951" s="217"/>
      <c r="D3951" s="101"/>
      <c r="E3951" s="101"/>
      <c r="F3951" s="294"/>
      <c r="G3951" s="295"/>
      <c r="H3951" s="98"/>
      <c r="I3951" s="99"/>
      <c r="J3951" s="99"/>
      <c r="K3951" s="99"/>
      <c r="L3951" s="99"/>
      <c r="M3951" s="99"/>
      <c r="N3951" s="99"/>
      <c r="O3951" s="99"/>
      <c r="P3951" s="99"/>
      <c r="Q3951" s="99"/>
      <c r="R3951" s="99"/>
      <c r="S3951" s="99"/>
      <c r="T3951" s="99"/>
      <c r="U3951" s="99"/>
      <c r="V3951" s="99"/>
    </row>
    <row r="3952" spans="1:22">
      <c r="A3952" s="297"/>
      <c r="B3952" s="217"/>
      <c r="C3952" s="217"/>
      <c r="D3952" s="101"/>
      <c r="E3952" s="101"/>
      <c r="F3952" s="294"/>
      <c r="G3952" s="295"/>
      <c r="H3952" s="98"/>
      <c r="I3952" s="99"/>
      <c r="J3952" s="99"/>
      <c r="K3952" s="99"/>
      <c r="L3952" s="99"/>
      <c r="M3952" s="99"/>
      <c r="N3952" s="99"/>
      <c r="O3952" s="99"/>
      <c r="P3952" s="99"/>
      <c r="Q3952" s="99"/>
      <c r="R3952" s="99"/>
      <c r="S3952" s="99"/>
      <c r="T3952" s="99"/>
      <c r="U3952" s="99"/>
      <c r="V3952" s="99"/>
    </row>
    <row r="3953" spans="1:22">
      <c r="A3953" s="297"/>
      <c r="B3953" s="217"/>
      <c r="C3953" s="217"/>
      <c r="D3953" s="101"/>
      <c r="E3953" s="101"/>
      <c r="F3953" s="294"/>
      <c r="G3953" s="295"/>
      <c r="H3953" s="98"/>
      <c r="I3953" s="99"/>
      <c r="J3953" s="99"/>
      <c r="K3953" s="99"/>
      <c r="L3953" s="99"/>
      <c r="M3953" s="99"/>
      <c r="N3953" s="99"/>
      <c r="O3953" s="99"/>
      <c r="P3953" s="99"/>
      <c r="Q3953" s="99"/>
      <c r="R3953" s="99"/>
      <c r="S3953" s="99"/>
      <c r="T3953" s="99"/>
      <c r="U3953" s="99"/>
      <c r="V3953" s="99"/>
    </row>
    <row r="3954" spans="1:22">
      <c r="A3954" s="297"/>
      <c r="B3954" s="217"/>
      <c r="C3954" s="217"/>
      <c r="D3954" s="101"/>
      <c r="E3954" s="101"/>
      <c r="F3954" s="294"/>
      <c r="G3954" s="295"/>
      <c r="H3954" s="98"/>
      <c r="I3954" s="99"/>
      <c r="J3954" s="99"/>
      <c r="K3954" s="99"/>
      <c r="L3954" s="99"/>
      <c r="M3954" s="99"/>
      <c r="N3954" s="99"/>
      <c r="O3954" s="99"/>
      <c r="P3954" s="99"/>
      <c r="Q3954" s="99"/>
      <c r="R3954" s="99"/>
      <c r="S3954" s="99"/>
      <c r="T3954" s="99"/>
      <c r="U3954" s="99"/>
      <c r="V3954" s="99"/>
    </row>
    <row r="3955" spans="1:22">
      <c r="A3955" s="297"/>
      <c r="B3955" s="217"/>
      <c r="C3955" s="217"/>
      <c r="D3955" s="101"/>
      <c r="E3955" s="101"/>
      <c r="F3955" s="294"/>
      <c r="G3955" s="295"/>
      <c r="H3955" s="98"/>
      <c r="I3955" s="99"/>
      <c r="J3955" s="99"/>
      <c r="K3955" s="99"/>
      <c r="L3955" s="99"/>
      <c r="M3955" s="99"/>
      <c r="N3955" s="99"/>
      <c r="O3955" s="99"/>
      <c r="P3955" s="99"/>
      <c r="Q3955" s="99"/>
      <c r="R3955" s="99"/>
      <c r="S3955" s="99"/>
      <c r="T3955" s="99"/>
      <c r="U3955" s="99"/>
      <c r="V3955" s="99"/>
    </row>
    <row r="3956" spans="1:22">
      <c r="A3956" s="297"/>
      <c r="B3956" s="217"/>
      <c r="C3956" s="217"/>
      <c r="D3956" s="101"/>
      <c r="E3956" s="101"/>
      <c r="F3956" s="294"/>
      <c r="G3956" s="295"/>
      <c r="H3956" s="98"/>
      <c r="I3956" s="99"/>
      <c r="J3956" s="99"/>
      <c r="K3956" s="99"/>
      <c r="L3956" s="99"/>
      <c r="M3956" s="99"/>
      <c r="N3956" s="99"/>
      <c r="O3956" s="99"/>
      <c r="P3956" s="99"/>
      <c r="Q3956" s="99"/>
      <c r="R3956" s="99"/>
      <c r="S3956" s="99"/>
      <c r="T3956" s="99"/>
      <c r="U3956" s="99"/>
      <c r="V3956" s="99"/>
    </row>
    <row r="3957" spans="1:22">
      <c r="A3957" s="297"/>
      <c r="B3957" s="217"/>
      <c r="C3957" s="217"/>
      <c r="D3957" s="101"/>
      <c r="E3957" s="101"/>
      <c r="F3957" s="294"/>
      <c r="G3957" s="295"/>
      <c r="H3957" s="98"/>
      <c r="I3957" s="99"/>
      <c r="J3957" s="99"/>
      <c r="K3957" s="99"/>
      <c r="L3957" s="99"/>
      <c r="M3957" s="99"/>
      <c r="N3957" s="99"/>
      <c r="O3957" s="99"/>
      <c r="P3957" s="99"/>
      <c r="Q3957" s="99"/>
      <c r="R3957" s="99"/>
      <c r="S3957" s="99"/>
      <c r="T3957" s="99"/>
      <c r="U3957" s="99"/>
      <c r="V3957" s="99"/>
    </row>
    <row r="3958" spans="1:22">
      <c r="A3958" s="297"/>
      <c r="B3958" s="217"/>
      <c r="C3958" s="217"/>
      <c r="D3958" s="101"/>
      <c r="E3958" s="101"/>
      <c r="F3958" s="294"/>
      <c r="G3958" s="295"/>
      <c r="H3958" s="98"/>
      <c r="I3958" s="99"/>
      <c r="J3958" s="99"/>
      <c r="K3958" s="99"/>
      <c r="L3958" s="99"/>
      <c r="M3958" s="99"/>
      <c r="N3958" s="99"/>
      <c r="O3958" s="99"/>
      <c r="P3958" s="99"/>
      <c r="Q3958" s="99"/>
      <c r="R3958" s="99"/>
      <c r="S3958" s="99"/>
      <c r="T3958" s="99"/>
      <c r="U3958" s="99"/>
      <c r="V3958" s="99"/>
    </row>
    <row r="3959" spans="1:22">
      <c r="A3959" s="297"/>
      <c r="B3959" s="217"/>
      <c r="C3959" s="217"/>
      <c r="D3959" s="101"/>
      <c r="E3959" s="101"/>
      <c r="F3959" s="294"/>
      <c r="G3959" s="295"/>
      <c r="H3959" s="107"/>
      <c r="I3959" s="108"/>
      <c r="J3959" s="108"/>
      <c r="K3959" s="108"/>
      <c r="L3959" s="108"/>
      <c r="M3959" s="108"/>
      <c r="N3959" s="109"/>
      <c r="O3959" s="109"/>
      <c r="P3959" s="109"/>
      <c r="Q3959" s="109"/>
      <c r="R3959" s="109"/>
      <c r="S3959" s="109"/>
      <c r="T3959" s="109"/>
      <c r="U3959" s="202"/>
      <c r="V3959" s="202"/>
    </row>
    <row r="3960" spans="1:22">
      <c r="A3960" s="297"/>
      <c r="B3960" s="217"/>
      <c r="C3960" s="217"/>
      <c r="D3960" s="101"/>
      <c r="E3960" s="101"/>
      <c r="F3960" s="294"/>
      <c r="G3960" s="295"/>
      <c r="H3960" s="98"/>
      <c r="I3960" s="106"/>
      <c r="J3960" s="106"/>
      <c r="K3960" s="106"/>
      <c r="L3960" s="106"/>
      <c r="M3960" s="106"/>
      <c r="N3960" s="112"/>
      <c r="O3960" s="112"/>
      <c r="P3960" s="112"/>
      <c r="Q3960" s="113"/>
      <c r="R3960" s="113"/>
      <c r="S3960" s="113"/>
      <c r="T3960" s="113"/>
      <c r="U3960" s="113"/>
      <c r="V3960" s="113"/>
    </row>
    <row r="3961" spans="1:22">
      <c r="A3961" s="297"/>
      <c r="B3961" s="217"/>
      <c r="C3961" s="217"/>
      <c r="D3961" s="101"/>
      <c r="E3961" s="101"/>
      <c r="F3961" s="294"/>
      <c r="G3961" s="295"/>
      <c r="H3961" s="98"/>
      <c r="I3961" s="99"/>
      <c r="J3961" s="99"/>
      <c r="K3961" s="99"/>
      <c r="L3961" s="99"/>
      <c r="M3961" s="99"/>
      <c r="N3961" s="99"/>
      <c r="O3961" s="99"/>
      <c r="P3961" s="99"/>
      <c r="Q3961" s="99"/>
      <c r="R3961" s="99"/>
      <c r="S3961" s="99"/>
      <c r="T3961" s="99"/>
      <c r="U3961" s="99"/>
      <c r="V3961" s="99"/>
    </row>
    <row r="3962" spans="1:22">
      <c r="A3962" s="297"/>
      <c r="B3962" s="217"/>
      <c r="C3962" s="217"/>
      <c r="D3962" s="101"/>
      <c r="E3962" s="101"/>
      <c r="F3962" s="294"/>
      <c r="G3962" s="295"/>
      <c r="H3962" s="98"/>
      <c r="I3962" s="99"/>
      <c r="J3962" s="99"/>
      <c r="K3962" s="99"/>
      <c r="L3962" s="99"/>
      <c r="M3962" s="99"/>
      <c r="N3962" s="99"/>
      <c r="O3962" s="99"/>
      <c r="P3962" s="99"/>
      <c r="Q3962" s="99"/>
      <c r="R3962" s="99"/>
      <c r="S3962" s="99"/>
      <c r="T3962" s="99"/>
      <c r="U3962" s="99"/>
      <c r="V3962" s="99"/>
    </row>
    <row r="3963" spans="1:22">
      <c r="A3963" s="297"/>
      <c r="B3963" s="217"/>
      <c r="C3963" s="217"/>
      <c r="D3963" s="101"/>
      <c r="E3963" s="101"/>
      <c r="F3963" s="294"/>
      <c r="G3963" s="295"/>
      <c r="H3963" s="98"/>
      <c r="I3963" s="99"/>
      <c r="J3963" s="99"/>
      <c r="K3963" s="99"/>
      <c r="L3963" s="99"/>
      <c r="M3963" s="99"/>
      <c r="N3963" s="99"/>
      <c r="O3963" s="99"/>
      <c r="P3963" s="99"/>
      <c r="Q3963" s="99"/>
      <c r="R3963" s="99"/>
      <c r="S3963" s="99"/>
      <c r="T3963" s="99"/>
      <c r="U3963" s="99"/>
      <c r="V3963" s="99"/>
    </row>
    <row r="3964" spans="1:22">
      <c r="A3964" s="297"/>
      <c r="B3964" s="217"/>
      <c r="C3964" s="217"/>
      <c r="D3964" s="101"/>
      <c r="E3964" s="101"/>
      <c r="F3964" s="294"/>
      <c r="G3964" s="295"/>
      <c r="H3964" s="98"/>
      <c r="I3964" s="99"/>
      <c r="J3964" s="99"/>
      <c r="K3964" s="99"/>
      <c r="L3964" s="99"/>
      <c r="M3964" s="99"/>
      <c r="N3964" s="99"/>
      <c r="O3964" s="99"/>
      <c r="P3964" s="99"/>
      <c r="Q3964" s="99"/>
      <c r="R3964" s="99"/>
      <c r="S3964" s="99"/>
      <c r="T3964" s="99"/>
      <c r="U3964" s="99"/>
      <c r="V3964" s="99"/>
    </row>
    <row r="3965" spans="1:22">
      <c r="A3965" s="297"/>
      <c r="B3965" s="217"/>
      <c r="C3965" s="217"/>
      <c r="D3965" s="101"/>
      <c r="E3965" s="101"/>
      <c r="F3965" s="294"/>
      <c r="G3965" s="295"/>
      <c r="H3965" s="98"/>
      <c r="I3965" s="99"/>
      <c r="J3965" s="99"/>
      <c r="K3965" s="99"/>
      <c r="L3965" s="99"/>
      <c r="M3965" s="99"/>
      <c r="N3965" s="99"/>
      <c r="O3965" s="99"/>
      <c r="P3965" s="99"/>
      <c r="Q3965" s="99"/>
      <c r="R3965" s="99"/>
      <c r="S3965" s="99"/>
      <c r="T3965" s="99"/>
      <c r="U3965" s="99"/>
      <c r="V3965" s="99"/>
    </row>
    <row r="3966" spans="1:22">
      <c r="A3966" s="297"/>
      <c r="B3966" s="217"/>
      <c r="C3966" s="217"/>
      <c r="D3966" s="101"/>
      <c r="E3966" s="101"/>
      <c r="F3966" s="294"/>
      <c r="G3966" s="295"/>
      <c r="H3966" s="98"/>
      <c r="I3966" s="99"/>
      <c r="J3966" s="99"/>
      <c r="K3966" s="99"/>
      <c r="L3966" s="99"/>
      <c r="M3966" s="99"/>
      <c r="N3966" s="99"/>
      <c r="O3966" s="99"/>
      <c r="P3966" s="99"/>
      <c r="Q3966" s="99"/>
      <c r="R3966" s="99"/>
      <c r="S3966" s="99"/>
      <c r="T3966" s="99"/>
      <c r="U3966" s="99"/>
      <c r="V3966" s="99"/>
    </row>
    <row r="3967" spans="1:22">
      <c r="A3967" s="297"/>
      <c r="B3967" s="217"/>
      <c r="C3967" s="217"/>
      <c r="D3967" s="101"/>
      <c r="E3967" s="101"/>
      <c r="F3967" s="294"/>
      <c r="G3967" s="295"/>
      <c r="H3967" s="98"/>
      <c r="I3967" s="99"/>
      <c r="J3967" s="99"/>
      <c r="K3967" s="99"/>
      <c r="L3967" s="99"/>
      <c r="M3967" s="99"/>
      <c r="N3967" s="99"/>
      <c r="O3967" s="99"/>
      <c r="P3967" s="99"/>
      <c r="Q3967" s="99"/>
      <c r="R3967" s="99"/>
      <c r="S3967" s="99"/>
      <c r="T3967" s="99"/>
      <c r="U3967" s="99"/>
      <c r="V3967" s="99"/>
    </row>
    <row r="3968" spans="1:22">
      <c r="A3968" s="297"/>
      <c r="B3968" s="217"/>
      <c r="C3968" s="217"/>
      <c r="D3968" s="101"/>
      <c r="E3968" s="101"/>
      <c r="F3968" s="294"/>
      <c r="G3968" s="295"/>
      <c r="H3968" s="98"/>
      <c r="I3968" s="99"/>
      <c r="J3968" s="99"/>
      <c r="K3968" s="99"/>
      <c r="L3968" s="99"/>
      <c r="M3968" s="99"/>
      <c r="N3968" s="99"/>
      <c r="O3968" s="99"/>
      <c r="P3968" s="99"/>
      <c r="Q3968" s="99"/>
      <c r="R3968" s="99"/>
      <c r="S3968" s="99"/>
      <c r="T3968" s="99"/>
      <c r="U3968" s="99"/>
      <c r="V3968" s="99"/>
    </row>
    <row r="3969" spans="1:22">
      <c r="A3969" s="297"/>
      <c r="B3969" s="217"/>
      <c r="C3969" s="217"/>
      <c r="D3969" s="101"/>
      <c r="E3969" s="101"/>
      <c r="F3969" s="294"/>
      <c r="G3969" s="295"/>
      <c r="H3969" s="98"/>
      <c r="I3969" s="99"/>
      <c r="J3969" s="99"/>
      <c r="K3969" s="99"/>
      <c r="L3969" s="99"/>
      <c r="M3969" s="99"/>
      <c r="N3969" s="99"/>
      <c r="O3969" s="99"/>
      <c r="P3969" s="99"/>
      <c r="Q3969" s="99"/>
      <c r="R3969" s="99"/>
      <c r="S3969" s="99"/>
      <c r="T3969" s="99"/>
      <c r="U3969" s="99"/>
      <c r="V3969" s="99"/>
    </row>
    <row r="3970" spans="1:22">
      <c r="A3970" s="297"/>
      <c r="B3970" s="217"/>
      <c r="C3970" s="217"/>
      <c r="D3970" s="101"/>
      <c r="E3970" s="101"/>
      <c r="F3970" s="294"/>
      <c r="G3970" s="295"/>
      <c r="H3970" s="98"/>
      <c r="I3970" s="99"/>
      <c r="J3970" s="99"/>
      <c r="K3970" s="99"/>
      <c r="L3970" s="99"/>
      <c r="M3970" s="99"/>
      <c r="N3970" s="99"/>
      <c r="O3970" s="99"/>
      <c r="P3970" s="99"/>
      <c r="Q3970" s="99"/>
      <c r="R3970" s="99"/>
      <c r="S3970" s="99"/>
      <c r="T3970" s="99"/>
      <c r="U3970" s="99"/>
      <c r="V3970" s="99"/>
    </row>
    <row r="3971" spans="1:22">
      <c r="A3971" s="297"/>
      <c r="B3971" s="217"/>
      <c r="C3971" s="217"/>
      <c r="D3971" s="101"/>
      <c r="E3971" s="101"/>
      <c r="F3971" s="294"/>
      <c r="G3971" s="295"/>
      <c r="H3971" s="98"/>
      <c r="I3971" s="99"/>
      <c r="J3971" s="99"/>
      <c r="K3971" s="99"/>
      <c r="L3971" s="99"/>
      <c r="M3971" s="99"/>
      <c r="N3971" s="99"/>
      <c r="O3971" s="99"/>
      <c r="P3971" s="99"/>
      <c r="Q3971" s="99"/>
      <c r="R3971" s="99"/>
      <c r="S3971" s="99"/>
      <c r="T3971" s="99"/>
      <c r="U3971" s="99"/>
      <c r="V3971" s="99"/>
    </row>
    <row r="3972" spans="1:22">
      <c r="A3972" s="297"/>
      <c r="B3972" s="217"/>
      <c r="C3972" s="217"/>
      <c r="D3972" s="101"/>
      <c r="E3972" s="101"/>
      <c r="F3972" s="294"/>
      <c r="G3972" s="295"/>
      <c r="H3972" s="98"/>
      <c r="I3972" s="99"/>
      <c r="J3972" s="99"/>
      <c r="K3972" s="99"/>
      <c r="L3972" s="99"/>
      <c r="M3972" s="99"/>
      <c r="N3972" s="99"/>
      <c r="O3972" s="99"/>
      <c r="P3972" s="99"/>
      <c r="Q3972" s="99"/>
      <c r="R3972" s="99"/>
      <c r="S3972" s="99"/>
      <c r="T3972" s="99"/>
      <c r="U3972" s="99"/>
      <c r="V3972" s="99"/>
    </row>
    <row r="3973" spans="1:22">
      <c r="A3973" s="297"/>
      <c r="B3973" s="217"/>
      <c r="C3973" s="217"/>
      <c r="D3973" s="101"/>
      <c r="E3973" s="101"/>
      <c r="F3973" s="294"/>
      <c r="G3973" s="295"/>
      <c r="H3973" s="107"/>
      <c r="I3973" s="109"/>
      <c r="J3973" s="109"/>
      <c r="K3973" s="109"/>
      <c r="L3973" s="109"/>
      <c r="M3973" s="109"/>
      <c r="N3973" s="109"/>
      <c r="O3973" s="109"/>
      <c r="P3973" s="109"/>
      <c r="Q3973" s="109"/>
      <c r="R3973" s="109"/>
      <c r="S3973" s="109"/>
      <c r="T3973" s="109"/>
      <c r="U3973" s="202"/>
      <c r="V3973" s="202"/>
    </row>
    <row r="3974" spans="1:22">
      <c r="A3974" s="297"/>
      <c r="B3974" s="217"/>
      <c r="C3974" s="217"/>
      <c r="D3974" s="101"/>
      <c r="E3974" s="101"/>
      <c r="F3974" s="294"/>
      <c r="G3974" s="295"/>
      <c r="H3974" s="98"/>
      <c r="I3974" s="106"/>
      <c r="J3974" s="106"/>
      <c r="K3974" s="106"/>
      <c r="L3974" s="106"/>
      <c r="M3974" s="106"/>
      <c r="N3974" s="112"/>
      <c r="O3974" s="112"/>
      <c r="P3974" s="112"/>
      <c r="Q3974" s="113"/>
      <c r="R3974" s="113"/>
      <c r="S3974" s="113"/>
      <c r="T3974" s="113"/>
      <c r="U3974" s="113"/>
      <c r="V3974" s="113"/>
    </row>
    <row r="3975" spans="1:22">
      <c r="A3975" s="297"/>
      <c r="B3975" s="217"/>
      <c r="C3975" s="217"/>
      <c r="D3975" s="101"/>
      <c r="E3975" s="101"/>
      <c r="F3975" s="294"/>
      <c r="G3975" s="295"/>
      <c r="H3975" s="98"/>
      <c r="I3975" s="99"/>
      <c r="J3975" s="99"/>
      <c r="K3975" s="99"/>
      <c r="L3975" s="99"/>
      <c r="M3975" s="99"/>
      <c r="N3975" s="99"/>
      <c r="O3975" s="99"/>
      <c r="P3975" s="99"/>
      <c r="Q3975" s="99"/>
      <c r="R3975" s="99"/>
      <c r="S3975" s="99"/>
      <c r="T3975" s="99"/>
      <c r="U3975" s="99"/>
      <c r="V3975" s="99"/>
    </row>
    <row r="3976" spans="1:22">
      <c r="A3976" s="297"/>
      <c r="B3976" s="217"/>
      <c r="C3976" s="217"/>
      <c r="D3976" s="101"/>
      <c r="E3976" s="101"/>
      <c r="F3976" s="294"/>
      <c r="G3976" s="295"/>
      <c r="H3976" s="98"/>
      <c r="I3976" s="99"/>
      <c r="J3976" s="99"/>
      <c r="K3976" s="99"/>
      <c r="L3976" s="99"/>
      <c r="M3976" s="99"/>
      <c r="N3976" s="99"/>
      <c r="O3976" s="99"/>
      <c r="P3976" s="99"/>
      <c r="Q3976" s="99"/>
      <c r="R3976" s="99"/>
      <c r="S3976" s="99"/>
      <c r="T3976" s="99"/>
      <c r="U3976" s="99"/>
      <c r="V3976" s="99"/>
    </row>
    <row r="3977" spans="1:22">
      <c r="A3977" s="297"/>
      <c r="B3977" s="217"/>
      <c r="C3977" s="217"/>
      <c r="D3977" s="101"/>
      <c r="E3977" s="101"/>
      <c r="F3977" s="294"/>
      <c r="G3977" s="295"/>
      <c r="H3977" s="98"/>
      <c r="I3977" s="99"/>
      <c r="J3977" s="99"/>
      <c r="K3977" s="99"/>
      <c r="L3977" s="99"/>
      <c r="M3977" s="99"/>
      <c r="N3977" s="99"/>
      <c r="O3977" s="99"/>
      <c r="P3977" s="99"/>
      <c r="Q3977" s="99"/>
      <c r="R3977" s="99"/>
      <c r="S3977" s="99"/>
      <c r="T3977" s="99"/>
      <c r="U3977" s="99"/>
      <c r="V3977" s="99"/>
    </row>
    <row r="3978" spans="1:22">
      <c r="A3978" s="297"/>
      <c r="B3978" s="217"/>
      <c r="C3978" s="217"/>
      <c r="D3978" s="101"/>
      <c r="E3978" s="101"/>
      <c r="F3978" s="294"/>
      <c r="G3978" s="295"/>
      <c r="H3978" s="98"/>
      <c r="I3978" s="99"/>
      <c r="J3978" s="99"/>
      <c r="K3978" s="99"/>
      <c r="L3978" s="99"/>
      <c r="M3978" s="99"/>
      <c r="N3978" s="99"/>
      <c r="O3978" s="99"/>
      <c r="P3978" s="99"/>
      <c r="Q3978" s="99"/>
      <c r="R3978" s="99"/>
      <c r="S3978" s="99"/>
      <c r="T3978" s="99"/>
      <c r="U3978" s="99"/>
      <c r="V3978" s="99"/>
    </row>
    <row r="3979" spans="1:22">
      <c r="A3979" s="297"/>
      <c r="B3979" s="217"/>
      <c r="C3979" s="217"/>
      <c r="D3979" s="101"/>
      <c r="E3979" s="101"/>
      <c r="F3979" s="294"/>
      <c r="G3979" s="295"/>
      <c r="H3979" s="98"/>
      <c r="I3979" s="99"/>
      <c r="J3979" s="99"/>
      <c r="K3979" s="99"/>
      <c r="L3979" s="99"/>
      <c r="M3979" s="99"/>
      <c r="N3979" s="99"/>
      <c r="O3979" s="99"/>
      <c r="P3979" s="99"/>
      <c r="Q3979" s="99"/>
      <c r="R3979" s="99"/>
      <c r="S3979" s="99"/>
      <c r="T3979" s="99"/>
      <c r="U3979" s="99"/>
      <c r="V3979" s="99"/>
    </row>
    <row r="3980" spans="1:22">
      <c r="A3980" s="297"/>
      <c r="B3980" s="217"/>
      <c r="C3980" s="217"/>
      <c r="D3980" s="101"/>
      <c r="E3980" s="101"/>
      <c r="F3980" s="294"/>
      <c r="G3980" s="295"/>
      <c r="H3980" s="98"/>
      <c r="I3980" s="99"/>
      <c r="J3980" s="99"/>
      <c r="K3980" s="99"/>
      <c r="L3980" s="99"/>
      <c r="M3980" s="99"/>
      <c r="N3980" s="99"/>
      <c r="O3980" s="99"/>
      <c r="P3980" s="99"/>
      <c r="Q3980" s="99"/>
      <c r="R3980" s="99"/>
      <c r="S3980" s="99"/>
      <c r="T3980" s="99"/>
      <c r="U3980" s="99"/>
      <c r="V3980" s="99"/>
    </row>
    <row r="3981" spans="1:22">
      <c r="A3981" s="297"/>
      <c r="B3981" s="217"/>
      <c r="C3981" s="217"/>
      <c r="D3981" s="101"/>
      <c r="E3981" s="101"/>
      <c r="F3981" s="294"/>
      <c r="G3981" s="295"/>
      <c r="H3981" s="98"/>
      <c r="I3981" s="99"/>
      <c r="J3981" s="99"/>
      <c r="K3981" s="99"/>
      <c r="L3981" s="99"/>
      <c r="M3981" s="99"/>
      <c r="N3981" s="99"/>
      <c r="O3981" s="99"/>
      <c r="P3981" s="99"/>
      <c r="Q3981" s="99"/>
      <c r="R3981" s="99"/>
      <c r="S3981" s="99"/>
      <c r="T3981" s="99"/>
      <c r="U3981" s="99"/>
      <c r="V3981" s="99"/>
    </row>
    <row r="3982" spans="1:22">
      <c r="A3982" s="297"/>
      <c r="B3982" s="217"/>
      <c r="C3982" s="217"/>
      <c r="D3982" s="101"/>
      <c r="E3982" s="101"/>
      <c r="F3982" s="294"/>
      <c r="G3982" s="295"/>
      <c r="H3982" s="98"/>
      <c r="I3982" s="99"/>
      <c r="J3982" s="99"/>
      <c r="K3982" s="99"/>
      <c r="L3982" s="99"/>
      <c r="M3982" s="99"/>
      <c r="N3982" s="99"/>
      <c r="O3982" s="99"/>
      <c r="P3982" s="99"/>
      <c r="Q3982" s="99"/>
      <c r="R3982" s="99"/>
      <c r="S3982" s="99"/>
      <c r="T3982" s="99"/>
      <c r="U3982" s="99"/>
      <c r="V3982" s="99"/>
    </row>
    <row r="3983" spans="1:22">
      <c r="A3983" s="297"/>
      <c r="B3983" s="217"/>
      <c r="C3983" s="217"/>
      <c r="D3983" s="101"/>
      <c r="E3983" s="101"/>
      <c r="F3983" s="294"/>
      <c r="G3983" s="295"/>
      <c r="H3983" s="98"/>
      <c r="I3983" s="99"/>
      <c r="J3983" s="99"/>
      <c r="K3983" s="99"/>
      <c r="L3983" s="99"/>
      <c r="M3983" s="99"/>
      <c r="N3983" s="99"/>
      <c r="O3983" s="99"/>
      <c r="P3983" s="99"/>
      <c r="Q3983" s="99"/>
      <c r="R3983" s="99"/>
      <c r="S3983" s="99"/>
      <c r="T3983" s="99"/>
      <c r="U3983" s="99"/>
      <c r="V3983" s="99"/>
    </row>
    <row r="3984" spans="1:22">
      <c r="A3984" s="297"/>
      <c r="B3984" s="217"/>
      <c r="C3984" s="217"/>
      <c r="D3984" s="101"/>
      <c r="E3984" s="101"/>
      <c r="F3984" s="294"/>
      <c r="G3984" s="295"/>
      <c r="H3984" s="98"/>
      <c r="I3984" s="99"/>
      <c r="J3984" s="99"/>
      <c r="K3984" s="99"/>
      <c r="L3984" s="99"/>
      <c r="M3984" s="99"/>
      <c r="N3984" s="99"/>
      <c r="O3984" s="99"/>
      <c r="P3984" s="99"/>
      <c r="Q3984" s="99"/>
      <c r="R3984" s="99"/>
      <c r="S3984" s="99"/>
      <c r="T3984" s="99"/>
      <c r="U3984" s="99"/>
      <c r="V3984" s="99"/>
    </row>
    <row r="3985" spans="1:22">
      <c r="A3985" s="297"/>
      <c r="B3985" s="217"/>
      <c r="C3985" s="217"/>
      <c r="D3985" s="101"/>
      <c r="E3985" s="101"/>
      <c r="F3985" s="294"/>
      <c r="G3985" s="295"/>
      <c r="H3985" s="98"/>
      <c r="I3985" s="99"/>
      <c r="J3985" s="99"/>
      <c r="K3985" s="99"/>
      <c r="L3985" s="99"/>
      <c r="M3985" s="99"/>
      <c r="N3985" s="99"/>
      <c r="O3985" s="99"/>
      <c r="P3985" s="99"/>
      <c r="Q3985" s="99"/>
      <c r="R3985" s="99"/>
      <c r="S3985" s="99"/>
      <c r="T3985" s="99"/>
      <c r="U3985" s="99"/>
      <c r="V3985" s="99"/>
    </row>
    <row r="3986" spans="1:22">
      <c r="A3986" s="297"/>
      <c r="B3986" s="217"/>
      <c r="C3986" s="217"/>
      <c r="D3986" s="101"/>
      <c r="E3986" s="101"/>
      <c r="F3986" s="294"/>
      <c r="G3986" s="295"/>
      <c r="H3986" s="98"/>
      <c r="I3986" s="99"/>
      <c r="J3986" s="99"/>
      <c r="K3986" s="99"/>
      <c r="L3986" s="99"/>
      <c r="M3986" s="99"/>
      <c r="N3986" s="99"/>
      <c r="O3986" s="99"/>
      <c r="P3986" s="99"/>
      <c r="Q3986" s="99"/>
      <c r="R3986" s="99"/>
      <c r="S3986" s="99"/>
      <c r="T3986" s="99"/>
      <c r="U3986" s="99"/>
      <c r="V3986" s="99"/>
    </row>
    <row r="3987" spans="1:22">
      <c r="A3987" s="297"/>
      <c r="B3987" s="217"/>
      <c r="C3987" s="217"/>
      <c r="D3987" s="101"/>
      <c r="E3987" s="101"/>
      <c r="F3987" s="294"/>
      <c r="G3987" s="295"/>
      <c r="H3987" s="98"/>
      <c r="I3987" s="99"/>
      <c r="J3987" s="99"/>
      <c r="K3987" s="99"/>
      <c r="L3987" s="99"/>
      <c r="M3987" s="99"/>
      <c r="N3987" s="99"/>
      <c r="O3987" s="99"/>
      <c r="P3987" s="99"/>
      <c r="Q3987" s="99"/>
      <c r="R3987" s="99"/>
      <c r="S3987" s="99"/>
      <c r="T3987" s="99"/>
      <c r="U3987" s="99"/>
      <c r="V3987" s="99"/>
    </row>
    <row r="3988" spans="1:22">
      <c r="A3988" s="297"/>
      <c r="B3988" s="217"/>
      <c r="C3988" s="217"/>
      <c r="D3988" s="101"/>
      <c r="E3988" s="101"/>
      <c r="F3988" s="294"/>
      <c r="G3988" s="295"/>
      <c r="H3988" s="98"/>
      <c r="I3988" s="99"/>
      <c r="J3988" s="99"/>
      <c r="K3988" s="99"/>
      <c r="L3988" s="99"/>
      <c r="M3988" s="99"/>
      <c r="N3988" s="99"/>
      <c r="O3988" s="99"/>
      <c r="P3988" s="99"/>
      <c r="Q3988" s="99"/>
      <c r="R3988" s="99"/>
      <c r="S3988" s="99"/>
      <c r="T3988" s="99"/>
      <c r="U3988" s="99"/>
      <c r="V3988" s="99"/>
    </row>
    <row r="3989" spans="1:22">
      <c r="A3989" s="297"/>
      <c r="B3989" s="217"/>
      <c r="C3989" s="217"/>
      <c r="D3989" s="101"/>
      <c r="E3989" s="101"/>
      <c r="F3989" s="294"/>
      <c r="G3989" s="295"/>
      <c r="H3989" s="98"/>
      <c r="I3989" s="99"/>
      <c r="J3989" s="99"/>
      <c r="K3989" s="99"/>
      <c r="L3989" s="99"/>
      <c r="M3989" s="99"/>
      <c r="N3989" s="99"/>
      <c r="O3989" s="99"/>
      <c r="P3989" s="99"/>
      <c r="Q3989" s="99"/>
      <c r="R3989" s="99"/>
      <c r="S3989" s="99"/>
      <c r="T3989" s="99"/>
      <c r="U3989" s="99"/>
      <c r="V3989" s="99"/>
    </row>
    <row r="3990" spans="1:22">
      <c r="A3990" s="297"/>
      <c r="B3990" s="217"/>
      <c r="C3990" s="217"/>
      <c r="D3990" s="101"/>
      <c r="E3990" s="101"/>
      <c r="F3990" s="294"/>
      <c r="G3990" s="295"/>
      <c r="H3990" s="98"/>
      <c r="I3990" s="99"/>
      <c r="J3990" s="99"/>
      <c r="K3990" s="99"/>
      <c r="L3990" s="99"/>
      <c r="M3990" s="99"/>
      <c r="N3990" s="99"/>
      <c r="O3990" s="99"/>
      <c r="P3990" s="99"/>
      <c r="Q3990" s="99"/>
      <c r="R3990" s="99"/>
      <c r="S3990" s="99"/>
      <c r="T3990" s="99"/>
      <c r="U3990" s="99"/>
      <c r="V3990" s="99"/>
    </row>
    <row r="3991" spans="1:22">
      <c r="A3991" s="297"/>
      <c r="B3991" s="217"/>
      <c r="C3991" s="217"/>
      <c r="D3991" s="101"/>
      <c r="E3991" s="101"/>
      <c r="F3991" s="294"/>
      <c r="G3991" s="295"/>
      <c r="H3991" s="98"/>
      <c r="I3991" s="99"/>
      <c r="J3991" s="99"/>
      <c r="K3991" s="99"/>
      <c r="L3991" s="99"/>
      <c r="M3991" s="99"/>
      <c r="N3991" s="99"/>
      <c r="O3991" s="99"/>
      <c r="P3991" s="99"/>
      <c r="Q3991" s="99"/>
      <c r="R3991" s="99"/>
      <c r="S3991" s="99"/>
      <c r="T3991" s="99"/>
      <c r="U3991" s="99"/>
      <c r="V3991" s="99"/>
    </row>
    <row r="3992" spans="1:22">
      <c r="A3992" s="297"/>
      <c r="B3992" s="217"/>
      <c r="C3992" s="217"/>
      <c r="D3992" s="101"/>
      <c r="E3992" s="101"/>
      <c r="F3992" s="294"/>
      <c r="G3992" s="295"/>
      <c r="H3992" s="98"/>
      <c r="I3992" s="99"/>
      <c r="J3992" s="99"/>
      <c r="K3992" s="99"/>
      <c r="L3992" s="99"/>
      <c r="M3992" s="99"/>
      <c r="N3992" s="99"/>
      <c r="O3992" s="99"/>
      <c r="P3992" s="99"/>
      <c r="Q3992" s="99"/>
      <c r="R3992" s="99"/>
      <c r="S3992" s="99"/>
      <c r="T3992" s="99"/>
      <c r="U3992" s="99"/>
      <c r="V3992" s="99"/>
    </row>
    <row r="3993" spans="1:22">
      <c r="A3993" s="297"/>
      <c r="B3993" s="217"/>
      <c r="C3993" s="217"/>
      <c r="D3993" s="101"/>
      <c r="E3993" s="101"/>
      <c r="F3993" s="294"/>
      <c r="G3993" s="295"/>
      <c r="H3993" s="107"/>
      <c r="I3993" s="109"/>
      <c r="J3993" s="109"/>
      <c r="K3993" s="109"/>
      <c r="L3993" s="109"/>
      <c r="M3993" s="109"/>
      <c r="N3993" s="109"/>
      <c r="O3993" s="109"/>
      <c r="P3993" s="109"/>
      <c r="Q3993" s="109"/>
      <c r="R3993" s="109"/>
      <c r="S3993" s="109"/>
      <c r="T3993" s="109"/>
      <c r="U3993" s="202"/>
      <c r="V3993" s="202"/>
    </row>
    <row r="3994" spans="1:22">
      <c r="A3994" s="297"/>
      <c r="B3994" s="217"/>
      <c r="C3994" s="217"/>
      <c r="D3994" s="101"/>
      <c r="E3994" s="101"/>
      <c r="F3994" s="294"/>
      <c r="G3994" s="295"/>
      <c r="H3994" s="98"/>
      <c r="I3994" s="106"/>
      <c r="J3994" s="106"/>
      <c r="K3994" s="106"/>
      <c r="L3994" s="106"/>
      <c r="M3994" s="106"/>
      <c r="N3994" s="112"/>
      <c r="O3994" s="112"/>
      <c r="P3994" s="112"/>
      <c r="Q3994" s="113"/>
      <c r="R3994" s="99"/>
      <c r="S3994" s="99"/>
      <c r="T3994" s="113"/>
      <c r="U3994" s="113"/>
      <c r="V3994" s="113"/>
    </row>
    <row r="3995" spans="1:22">
      <c r="A3995" s="297"/>
      <c r="B3995" s="217"/>
      <c r="C3995" s="217"/>
      <c r="D3995" s="101"/>
      <c r="E3995" s="101"/>
      <c r="F3995" s="294"/>
      <c r="G3995" s="295"/>
      <c r="H3995" s="98"/>
      <c r="I3995" s="99"/>
      <c r="J3995" s="99"/>
      <c r="K3995" s="99"/>
      <c r="L3995" s="99"/>
      <c r="M3995" s="99"/>
      <c r="N3995" s="99"/>
      <c r="O3995" s="99"/>
      <c r="P3995" s="99"/>
      <c r="Q3995" s="99"/>
      <c r="R3995" s="99"/>
      <c r="S3995" s="99"/>
      <c r="T3995" s="99"/>
      <c r="U3995" s="99"/>
      <c r="V3995" s="99"/>
    </row>
    <row r="3996" spans="1:22">
      <c r="A3996" s="297"/>
      <c r="B3996" s="217"/>
      <c r="C3996" s="217"/>
      <c r="D3996" s="101"/>
      <c r="E3996" s="101"/>
      <c r="F3996" s="294"/>
      <c r="G3996" s="295"/>
      <c r="H3996" s="98"/>
      <c r="I3996" s="99"/>
      <c r="J3996" s="99"/>
      <c r="K3996" s="99"/>
      <c r="L3996" s="99"/>
      <c r="M3996" s="99"/>
      <c r="N3996" s="99"/>
      <c r="O3996" s="99"/>
      <c r="P3996" s="99"/>
      <c r="Q3996" s="99"/>
      <c r="R3996" s="99"/>
      <c r="S3996" s="99"/>
      <c r="T3996" s="99"/>
      <c r="U3996" s="99"/>
      <c r="V3996" s="99"/>
    </row>
    <row r="3997" spans="1:22">
      <c r="A3997" s="297"/>
      <c r="B3997" s="217"/>
      <c r="C3997" s="217"/>
      <c r="D3997" s="101"/>
      <c r="E3997" s="101"/>
      <c r="F3997" s="294"/>
      <c r="G3997" s="295"/>
      <c r="H3997" s="107"/>
      <c r="I3997" s="108"/>
      <c r="J3997" s="108"/>
      <c r="K3997" s="108"/>
      <c r="L3997" s="108"/>
      <c r="M3997" s="108"/>
      <c r="N3997" s="109"/>
      <c r="O3997" s="109"/>
      <c r="P3997" s="109"/>
      <c r="Q3997" s="109"/>
      <c r="R3997" s="109"/>
      <c r="S3997" s="109"/>
      <c r="T3997" s="109"/>
      <c r="U3997" s="202"/>
      <c r="V3997" s="202"/>
    </row>
    <row r="3998" spans="1:22">
      <c r="H3998" s="98"/>
      <c r="I3998" s="106"/>
      <c r="J3998" s="106"/>
      <c r="K3998" s="106"/>
      <c r="L3998" s="106"/>
      <c r="M3998" s="106"/>
      <c r="N3998" s="112"/>
      <c r="O3998" s="112"/>
      <c r="P3998" s="112"/>
      <c r="Q3998" s="113"/>
      <c r="R3998" s="113"/>
      <c r="S3998" s="113"/>
      <c r="T3998" s="113"/>
      <c r="U3998" s="113"/>
      <c r="V3998" s="113"/>
    </row>
    <row r="3999" spans="1:22" ht="13.2">
      <c r="H3999" s="114"/>
      <c r="I3999" s="108"/>
      <c r="J3999" s="108"/>
      <c r="K3999" s="108"/>
      <c r="L3999" s="108"/>
      <c r="M3999" s="108"/>
      <c r="N3999" s="108"/>
      <c r="O3999" s="108"/>
      <c r="P3999" s="108"/>
      <c r="Q3999" s="108"/>
      <c r="R3999" s="108"/>
      <c r="S3999" s="108"/>
      <c r="T3999" s="108"/>
      <c r="U3999" s="233"/>
      <c r="V3999" s="233"/>
    </row>
    <row r="4000" spans="1:22" thickBot="1">
      <c r="H4000" s="89"/>
      <c r="I4000" s="233"/>
      <c r="J4000" s="233"/>
      <c r="K4000" s="233"/>
      <c r="L4000" s="233"/>
      <c r="M4000" s="233"/>
      <c r="N4000" s="233"/>
      <c r="O4000" s="233"/>
      <c r="P4000" s="233"/>
      <c r="Q4000" s="233"/>
      <c r="R4000" s="233"/>
      <c r="S4000" s="233"/>
      <c r="T4000" s="233"/>
      <c r="U4000" s="233"/>
      <c r="V4000" s="233"/>
    </row>
    <row r="4001" spans="1:22" ht="24" customHeight="1" thickBot="1">
      <c r="H4001" s="686"/>
      <c r="I4001" s="687"/>
      <c r="J4001" s="687"/>
      <c r="K4001" s="687"/>
      <c r="L4001" s="687"/>
      <c r="M4001" s="687"/>
      <c r="N4001" s="687"/>
      <c r="O4001" s="687"/>
      <c r="P4001" s="687"/>
      <c r="Q4001" s="687"/>
      <c r="R4001" s="687"/>
      <c r="S4001" s="715"/>
      <c r="T4001" s="688"/>
      <c r="U4001" s="254"/>
      <c r="V4001" s="254"/>
    </row>
    <row r="4002" spans="1:22" ht="22.8">
      <c r="H4002" s="225"/>
      <c r="I4002" s="225"/>
      <c r="J4002" s="225"/>
      <c r="K4002" s="225"/>
      <c r="L4002" s="225"/>
      <c r="M4002" s="225"/>
      <c r="N4002" s="225"/>
      <c r="O4002" s="225"/>
      <c r="P4002" s="225"/>
      <c r="Q4002" s="225"/>
      <c r="R4002" s="225"/>
      <c r="S4002" s="225"/>
      <c r="T4002" s="225"/>
      <c r="U4002" s="225"/>
      <c r="V4002" s="225"/>
    </row>
    <row r="4003" spans="1:22">
      <c r="A4003" s="297"/>
      <c r="B4003" s="217"/>
      <c r="C4003" s="217"/>
      <c r="D4003" s="101"/>
      <c r="E4003" s="101"/>
      <c r="F4003" s="294"/>
      <c r="G4003" s="295"/>
      <c r="H4003" s="98"/>
      <c r="I4003" s="99"/>
      <c r="J4003" s="99"/>
      <c r="K4003" s="99"/>
      <c r="L4003" s="99"/>
      <c r="M4003" s="99"/>
      <c r="N4003" s="99"/>
      <c r="O4003" s="99"/>
      <c r="P4003" s="99"/>
      <c r="Q4003" s="99"/>
      <c r="R4003" s="99"/>
      <c r="S4003" s="99"/>
      <c r="T4003" s="99"/>
      <c r="U4003" s="99"/>
      <c r="V4003" s="99"/>
    </row>
    <row r="4004" spans="1:22">
      <c r="A4004" s="297"/>
      <c r="B4004" s="217"/>
      <c r="C4004" s="217"/>
      <c r="D4004" s="101"/>
      <c r="E4004" s="101"/>
      <c r="F4004" s="294"/>
      <c r="G4004" s="295"/>
      <c r="H4004" s="98"/>
      <c r="I4004" s="99"/>
      <c r="J4004" s="99"/>
      <c r="K4004" s="99"/>
      <c r="L4004" s="99"/>
      <c r="M4004" s="99"/>
      <c r="N4004" s="99"/>
      <c r="O4004" s="99"/>
      <c r="P4004" s="99"/>
      <c r="Q4004" s="99"/>
      <c r="R4004" s="99"/>
      <c r="S4004" s="99"/>
      <c r="T4004" s="99"/>
      <c r="U4004" s="99"/>
      <c r="V4004" s="99"/>
    </row>
    <row r="4005" spans="1:22">
      <c r="A4005" s="297"/>
      <c r="B4005" s="217"/>
      <c r="C4005" s="217"/>
      <c r="D4005" s="101"/>
      <c r="E4005" s="101"/>
      <c r="F4005" s="294"/>
      <c r="G4005" s="295"/>
      <c r="H4005" s="98"/>
      <c r="I4005" s="99"/>
      <c r="J4005" s="99"/>
      <c r="K4005" s="99"/>
      <c r="L4005" s="99"/>
      <c r="M4005" s="99"/>
      <c r="N4005" s="99"/>
      <c r="O4005" s="99"/>
      <c r="P4005" s="99"/>
      <c r="Q4005" s="99"/>
      <c r="R4005" s="99"/>
      <c r="S4005" s="99"/>
      <c r="T4005" s="99"/>
      <c r="U4005" s="99"/>
      <c r="V4005" s="99"/>
    </row>
    <row r="4006" spans="1:22">
      <c r="A4006" s="297"/>
      <c r="B4006" s="217"/>
      <c r="C4006" s="217"/>
      <c r="D4006" s="101"/>
      <c r="E4006" s="101"/>
      <c r="F4006" s="294"/>
      <c r="G4006" s="295"/>
      <c r="H4006" s="98"/>
      <c r="I4006" s="99"/>
      <c r="J4006" s="99"/>
      <c r="K4006" s="99"/>
      <c r="L4006" s="99"/>
      <c r="M4006" s="99"/>
      <c r="N4006" s="99"/>
      <c r="O4006" s="99"/>
      <c r="P4006" s="99"/>
      <c r="Q4006" s="99"/>
      <c r="R4006" s="99"/>
      <c r="S4006" s="99"/>
      <c r="T4006" s="99"/>
      <c r="U4006" s="99"/>
      <c r="V4006" s="99"/>
    </row>
    <row r="4007" spans="1:22">
      <c r="A4007" s="297"/>
      <c r="B4007" s="217"/>
      <c r="C4007" s="217"/>
      <c r="D4007" s="101"/>
      <c r="E4007" s="101"/>
      <c r="F4007" s="294"/>
      <c r="G4007" s="295"/>
      <c r="H4007" s="98"/>
      <c r="I4007" s="99"/>
      <c r="J4007" s="99"/>
      <c r="K4007" s="99"/>
      <c r="L4007" s="99"/>
      <c r="M4007" s="99"/>
      <c r="N4007" s="99"/>
      <c r="O4007" s="99"/>
      <c r="P4007" s="99"/>
      <c r="Q4007" s="99"/>
      <c r="R4007" s="99"/>
      <c r="S4007" s="99"/>
      <c r="T4007" s="99"/>
      <c r="U4007" s="99"/>
      <c r="V4007" s="99"/>
    </row>
    <row r="4008" spans="1:22">
      <c r="A4008" s="297"/>
      <c r="B4008" s="217"/>
      <c r="C4008" s="217"/>
      <c r="D4008" s="101"/>
      <c r="E4008" s="101"/>
      <c r="F4008" s="294"/>
      <c r="G4008" s="295"/>
      <c r="H4008" s="98"/>
      <c r="I4008" s="99"/>
      <c r="J4008" s="99"/>
      <c r="K4008" s="99"/>
      <c r="L4008" s="99"/>
      <c r="M4008" s="99"/>
      <c r="N4008" s="99"/>
      <c r="O4008" s="99"/>
      <c r="P4008" s="99"/>
      <c r="Q4008" s="99"/>
      <c r="R4008" s="99"/>
      <c r="S4008" s="99"/>
      <c r="T4008" s="99"/>
      <c r="U4008" s="99"/>
      <c r="V4008" s="99"/>
    </row>
    <row r="4009" spans="1:22">
      <c r="A4009" s="297"/>
      <c r="B4009" s="217"/>
      <c r="C4009" s="217"/>
      <c r="D4009" s="101"/>
      <c r="E4009" s="101"/>
      <c r="F4009" s="294"/>
      <c r="G4009" s="295"/>
      <c r="H4009" s="98"/>
      <c r="I4009" s="99"/>
      <c r="J4009" s="99"/>
      <c r="K4009" s="99"/>
      <c r="L4009" s="99"/>
      <c r="M4009" s="99"/>
      <c r="N4009" s="99"/>
      <c r="O4009" s="99"/>
      <c r="P4009" s="99"/>
      <c r="Q4009" s="99"/>
      <c r="R4009" s="99"/>
      <c r="S4009" s="99"/>
      <c r="T4009" s="99"/>
      <c r="U4009" s="99"/>
      <c r="V4009" s="99"/>
    </row>
    <row r="4010" spans="1:22">
      <c r="A4010" s="297"/>
      <c r="B4010" s="217"/>
      <c r="C4010" s="217"/>
      <c r="D4010" s="101"/>
      <c r="E4010" s="101"/>
      <c r="F4010" s="294"/>
      <c r="G4010" s="295"/>
      <c r="H4010" s="98"/>
      <c r="I4010" s="99"/>
      <c r="J4010" s="99"/>
      <c r="K4010" s="99"/>
      <c r="L4010" s="99"/>
      <c r="M4010" s="99"/>
      <c r="N4010" s="99"/>
      <c r="O4010" s="99"/>
      <c r="P4010" s="99"/>
      <c r="Q4010" s="99"/>
      <c r="R4010" s="99"/>
      <c r="S4010" s="99"/>
      <c r="T4010" s="99"/>
      <c r="U4010" s="99"/>
      <c r="V4010" s="99"/>
    </row>
    <row r="4011" spans="1:22">
      <c r="A4011" s="297"/>
      <c r="B4011" s="217"/>
      <c r="C4011" s="217"/>
      <c r="D4011" s="101"/>
      <c r="E4011" s="101"/>
      <c r="F4011" s="294"/>
      <c r="G4011" s="295"/>
      <c r="H4011" s="98"/>
      <c r="I4011" s="99"/>
      <c r="J4011" s="99"/>
      <c r="K4011" s="99"/>
      <c r="L4011" s="99"/>
      <c r="M4011" s="99"/>
      <c r="N4011" s="99"/>
      <c r="O4011" s="99"/>
      <c r="P4011" s="99"/>
      <c r="Q4011" s="99"/>
      <c r="R4011" s="99"/>
      <c r="S4011" s="99"/>
      <c r="T4011" s="99"/>
      <c r="U4011" s="99"/>
      <c r="V4011" s="99"/>
    </row>
    <row r="4012" spans="1:22">
      <c r="A4012" s="297"/>
      <c r="B4012" s="217"/>
      <c r="C4012" s="217"/>
      <c r="D4012" s="101"/>
      <c r="E4012" s="101"/>
      <c r="F4012" s="294"/>
      <c r="G4012" s="295"/>
      <c r="H4012" s="98"/>
      <c r="I4012" s="99"/>
      <c r="J4012" s="99"/>
      <c r="K4012" s="99"/>
      <c r="L4012" s="99"/>
      <c r="M4012" s="99"/>
      <c r="N4012" s="99"/>
      <c r="O4012" s="99"/>
      <c r="P4012" s="99"/>
      <c r="Q4012" s="99"/>
      <c r="R4012" s="99"/>
      <c r="S4012" s="99"/>
      <c r="T4012" s="99"/>
      <c r="U4012" s="99"/>
      <c r="V4012" s="99"/>
    </row>
    <row r="4013" spans="1:22">
      <c r="A4013" s="297"/>
      <c r="B4013" s="217"/>
      <c r="C4013" s="217"/>
      <c r="D4013" s="101"/>
      <c r="E4013" s="101"/>
      <c r="F4013" s="294"/>
      <c r="G4013" s="295"/>
      <c r="H4013" s="98"/>
      <c r="I4013" s="99"/>
      <c r="J4013" s="99"/>
      <c r="K4013" s="99"/>
      <c r="L4013" s="99"/>
      <c r="M4013" s="99"/>
      <c r="N4013" s="99"/>
      <c r="O4013" s="99"/>
      <c r="P4013" s="99"/>
      <c r="Q4013" s="99"/>
      <c r="R4013" s="99"/>
      <c r="S4013" s="99"/>
      <c r="T4013" s="99"/>
      <c r="U4013" s="99"/>
      <c r="V4013" s="99"/>
    </row>
    <row r="4014" spans="1:22">
      <c r="A4014" s="297"/>
      <c r="B4014" s="217"/>
      <c r="C4014" s="217"/>
      <c r="D4014" s="101"/>
      <c r="E4014" s="101"/>
      <c r="F4014" s="294"/>
      <c r="G4014" s="295"/>
      <c r="H4014" s="98"/>
      <c r="I4014" s="99"/>
      <c r="J4014" s="99"/>
      <c r="K4014" s="99"/>
      <c r="L4014" s="99"/>
      <c r="M4014" s="99"/>
      <c r="N4014" s="99"/>
      <c r="O4014" s="99"/>
      <c r="P4014" s="99"/>
      <c r="Q4014" s="99"/>
      <c r="R4014" s="99"/>
      <c r="S4014" s="99"/>
      <c r="T4014" s="99"/>
      <c r="U4014" s="99"/>
      <c r="V4014" s="99"/>
    </row>
    <row r="4015" spans="1:22">
      <c r="A4015" s="297"/>
      <c r="B4015" s="217"/>
      <c r="C4015" s="217"/>
      <c r="D4015" s="101"/>
      <c r="E4015" s="101"/>
      <c r="F4015" s="294"/>
      <c r="G4015" s="295"/>
      <c r="H4015" s="98"/>
      <c r="I4015" s="99"/>
      <c r="J4015" s="99"/>
      <c r="K4015" s="99"/>
      <c r="L4015" s="99"/>
      <c r="M4015" s="99"/>
      <c r="N4015" s="99"/>
      <c r="O4015" s="99"/>
      <c r="P4015" s="99"/>
      <c r="Q4015" s="99"/>
      <c r="R4015" s="99"/>
      <c r="S4015" s="99"/>
      <c r="T4015" s="99"/>
      <c r="U4015" s="99"/>
      <c r="V4015" s="99"/>
    </row>
    <row r="4016" spans="1:22">
      <c r="A4016" s="297"/>
      <c r="B4016" s="217"/>
      <c r="C4016" s="217"/>
      <c r="D4016" s="101"/>
      <c r="E4016" s="101"/>
      <c r="F4016" s="294"/>
      <c r="G4016" s="295"/>
      <c r="H4016" s="98"/>
      <c r="I4016" s="99"/>
      <c r="J4016" s="99"/>
      <c r="K4016" s="99"/>
      <c r="L4016" s="99"/>
      <c r="M4016" s="99"/>
      <c r="N4016" s="99"/>
      <c r="O4016" s="99"/>
      <c r="P4016" s="99"/>
      <c r="Q4016" s="99"/>
      <c r="R4016" s="99"/>
      <c r="S4016" s="99"/>
      <c r="T4016" s="99"/>
      <c r="U4016" s="99"/>
      <c r="V4016" s="99"/>
    </row>
    <row r="4017" spans="1:22">
      <c r="A4017" s="297"/>
      <c r="B4017" s="217"/>
      <c r="C4017" s="217"/>
      <c r="D4017" s="101"/>
      <c r="E4017" s="101"/>
      <c r="F4017" s="294"/>
      <c r="G4017" s="295"/>
      <c r="H4017" s="107"/>
      <c r="I4017" s="108"/>
      <c r="J4017" s="108"/>
      <c r="K4017" s="108"/>
      <c r="L4017" s="108"/>
      <c r="M4017" s="108"/>
      <c r="N4017" s="109"/>
      <c r="O4017" s="109"/>
      <c r="P4017" s="109"/>
      <c r="Q4017" s="109"/>
      <c r="R4017" s="109"/>
      <c r="S4017" s="109"/>
      <c r="T4017" s="109"/>
      <c r="U4017" s="202"/>
      <c r="V4017" s="202"/>
    </row>
    <row r="4018" spans="1:22">
      <c r="A4018" s="297"/>
      <c r="B4018" s="217"/>
      <c r="C4018" s="217"/>
      <c r="D4018" s="101"/>
      <c r="E4018" s="101"/>
      <c r="F4018" s="294"/>
      <c r="G4018" s="295"/>
      <c r="H4018" s="98"/>
      <c r="I4018" s="106"/>
      <c r="J4018" s="106"/>
      <c r="K4018" s="106"/>
      <c r="L4018" s="106"/>
      <c r="M4018" s="106"/>
      <c r="N4018" s="112"/>
      <c r="O4018" s="112"/>
      <c r="P4018" s="112"/>
      <c r="Q4018" s="113"/>
      <c r="R4018" s="113"/>
      <c r="S4018" s="113"/>
      <c r="T4018" s="113"/>
      <c r="U4018" s="113"/>
      <c r="V4018" s="113"/>
    </row>
    <row r="4019" spans="1:22">
      <c r="A4019" s="297"/>
      <c r="B4019" s="217"/>
      <c r="C4019" s="217"/>
      <c r="D4019" s="101"/>
      <c r="E4019" s="101"/>
      <c r="F4019" s="294"/>
      <c r="G4019" s="295"/>
      <c r="H4019" s="98"/>
      <c r="I4019" s="99"/>
      <c r="J4019" s="99"/>
      <c r="K4019" s="99"/>
      <c r="L4019" s="99"/>
      <c r="M4019" s="99"/>
      <c r="N4019" s="99"/>
      <c r="O4019" s="99"/>
      <c r="P4019" s="99"/>
      <c r="Q4019" s="99"/>
      <c r="R4019" s="99"/>
      <c r="S4019" s="99"/>
      <c r="T4019" s="99"/>
      <c r="U4019" s="99"/>
      <c r="V4019" s="99"/>
    </row>
    <row r="4020" spans="1:22">
      <c r="A4020" s="297"/>
      <c r="B4020" s="217"/>
      <c r="C4020" s="217"/>
      <c r="D4020" s="101"/>
      <c r="E4020" s="101"/>
      <c r="F4020" s="294"/>
      <c r="G4020" s="295"/>
      <c r="H4020" s="98"/>
      <c r="I4020" s="99"/>
      <c r="J4020" s="99"/>
      <c r="K4020" s="99"/>
      <c r="L4020" s="99"/>
      <c r="M4020" s="99"/>
      <c r="N4020" s="99"/>
      <c r="O4020" s="99"/>
      <c r="P4020" s="99"/>
      <c r="Q4020" s="99"/>
      <c r="R4020" s="99"/>
      <c r="S4020" s="99"/>
      <c r="T4020" s="99"/>
      <c r="U4020" s="99"/>
      <c r="V4020" s="99"/>
    </row>
    <row r="4021" spans="1:22">
      <c r="A4021" s="297"/>
      <c r="B4021" s="217"/>
      <c r="C4021" s="217"/>
      <c r="D4021" s="101"/>
      <c r="E4021" s="101"/>
      <c r="F4021" s="294"/>
      <c r="G4021" s="295"/>
      <c r="H4021" s="98"/>
      <c r="I4021" s="99"/>
      <c r="J4021" s="99"/>
      <c r="K4021" s="99"/>
      <c r="L4021" s="99"/>
      <c r="M4021" s="99"/>
      <c r="N4021" s="99"/>
      <c r="O4021" s="99"/>
      <c r="P4021" s="99"/>
      <c r="Q4021" s="99"/>
      <c r="R4021" s="99"/>
      <c r="S4021" s="99"/>
      <c r="T4021" s="99"/>
      <c r="U4021" s="99"/>
      <c r="V4021" s="99"/>
    </row>
    <row r="4022" spans="1:22">
      <c r="A4022" s="297"/>
      <c r="B4022" s="217"/>
      <c r="C4022" s="217"/>
      <c r="D4022" s="101"/>
      <c r="E4022" s="101"/>
      <c r="F4022" s="294"/>
      <c r="G4022" s="295"/>
      <c r="H4022" s="98"/>
      <c r="I4022" s="99"/>
      <c r="J4022" s="99"/>
      <c r="K4022" s="99"/>
      <c r="L4022" s="99"/>
      <c r="M4022" s="99"/>
      <c r="N4022" s="99"/>
      <c r="O4022" s="99"/>
      <c r="P4022" s="99"/>
      <c r="Q4022" s="99"/>
      <c r="R4022" s="99"/>
      <c r="S4022" s="99"/>
      <c r="T4022" s="99"/>
      <c r="U4022" s="99"/>
      <c r="V4022" s="99"/>
    </row>
    <row r="4023" spans="1:22">
      <c r="A4023" s="297"/>
      <c r="B4023" s="217"/>
      <c r="C4023" s="217"/>
      <c r="D4023" s="101"/>
      <c r="E4023" s="101"/>
      <c r="F4023" s="294"/>
      <c r="G4023" s="295"/>
      <c r="H4023" s="98"/>
      <c r="I4023" s="99"/>
      <c r="J4023" s="99"/>
      <c r="K4023" s="99"/>
      <c r="L4023" s="99"/>
      <c r="M4023" s="99"/>
      <c r="N4023" s="99"/>
      <c r="O4023" s="99"/>
      <c r="P4023" s="99"/>
      <c r="Q4023" s="99"/>
      <c r="R4023" s="99"/>
      <c r="S4023" s="99"/>
      <c r="T4023" s="99"/>
      <c r="U4023" s="99"/>
      <c r="V4023" s="99"/>
    </row>
    <row r="4024" spans="1:22">
      <c r="A4024" s="297"/>
      <c r="B4024" s="217"/>
      <c r="C4024" s="217"/>
      <c r="D4024" s="101"/>
      <c r="E4024" s="101"/>
      <c r="F4024" s="294"/>
      <c r="G4024" s="295"/>
      <c r="H4024" s="98"/>
      <c r="I4024" s="99"/>
      <c r="J4024" s="99"/>
      <c r="K4024" s="99"/>
      <c r="L4024" s="99"/>
      <c r="M4024" s="99"/>
      <c r="N4024" s="99"/>
      <c r="O4024" s="99"/>
      <c r="P4024" s="99"/>
      <c r="Q4024" s="99"/>
      <c r="R4024" s="99"/>
      <c r="S4024" s="99"/>
      <c r="T4024" s="99"/>
      <c r="U4024" s="99"/>
      <c r="V4024" s="99"/>
    </row>
    <row r="4025" spans="1:22">
      <c r="A4025" s="297"/>
      <c r="B4025" s="217"/>
      <c r="C4025" s="217"/>
      <c r="D4025" s="101"/>
      <c r="E4025" s="101"/>
      <c r="F4025" s="294"/>
      <c r="G4025" s="295"/>
      <c r="H4025" s="98"/>
      <c r="I4025" s="99"/>
      <c r="J4025" s="99"/>
      <c r="K4025" s="99"/>
      <c r="L4025" s="99"/>
      <c r="M4025" s="99"/>
      <c r="N4025" s="99"/>
      <c r="O4025" s="99"/>
      <c r="P4025" s="99"/>
      <c r="Q4025" s="99"/>
      <c r="R4025" s="99"/>
      <c r="S4025" s="99"/>
      <c r="T4025" s="99"/>
      <c r="U4025" s="99"/>
      <c r="V4025" s="99"/>
    </row>
    <row r="4026" spans="1:22">
      <c r="A4026" s="297"/>
      <c r="B4026" s="217"/>
      <c r="C4026" s="217"/>
      <c r="D4026" s="101"/>
      <c r="E4026" s="101"/>
      <c r="F4026" s="294"/>
      <c r="G4026" s="295"/>
      <c r="H4026" s="98"/>
      <c r="I4026" s="99"/>
      <c r="J4026" s="99"/>
      <c r="K4026" s="99"/>
      <c r="L4026" s="99"/>
      <c r="M4026" s="99"/>
      <c r="N4026" s="99"/>
      <c r="O4026" s="99"/>
      <c r="P4026" s="99"/>
      <c r="Q4026" s="99"/>
      <c r="R4026" s="99"/>
      <c r="S4026" s="99"/>
      <c r="T4026" s="99"/>
      <c r="U4026" s="99"/>
      <c r="V4026" s="99"/>
    </row>
    <row r="4027" spans="1:22">
      <c r="A4027" s="297"/>
      <c r="B4027" s="217"/>
      <c r="C4027" s="217"/>
      <c r="D4027" s="101"/>
      <c r="E4027" s="101"/>
      <c r="F4027" s="294"/>
      <c r="G4027" s="295"/>
      <c r="H4027" s="98"/>
      <c r="I4027" s="99"/>
      <c r="J4027" s="99"/>
      <c r="K4027" s="99"/>
      <c r="L4027" s="99"/>
      <c r="M4027" s="99"/>
      <c r="N4027" s="99"/>
      <c r="O4027" s="99"/>
      <c r="P4027" s="99"/>
      <c r="Q4027" s="99"/>
      <c r="R4027" s="99"/>
      <c r="S4027" s="99"/>
      <c r="T4027" s="99"/>
      <c r="U4027" s="99"/>
      <c r="V4027" s="99"/>
    </row>
    <row r="4028" spans="1:22">
      <c r="A4028" s="297"/>
      <c r="B4028" s="217"/>
      <c r="C4028" s="217"/>
      <c r="D4028" s="101"/>
      <c r="E4028" s="101"/>
      <c r="F4028" s="294"/>
      <c r="G4028" s="295"/>
      <c r="H4028" s="98"/>
      <c r="I4028" s="99"/>
      <c r="J4028" s="99"/>
      <c r="K4028" s="99"/>
      <c r="L4028" s="99"/>
      <c r="M4028" s="99"/>
      <c r="N4028" s="99"/>
      <c r="O4028" s="99"/>
      <c r="P4028" s="99"/>
      <c r="Q4028" s="99"/>
      <c r="R4028" s="99"/>
      <c r="S4028" s="99"/>
      <c r="T4028" s="99"/>
      <c r="U4028" s="99"/>
      <c r="V4028" s="99"/>
    </row>
    <row r="4029" spans="1:22">
      <c r="A4029" s="297"/>
      <c r="B4029" s="217"/>
      <c r="C4029" s="217"/>
      <c r="D4029" s="101"/>
      <c r="E4029" s="101"/>
      <c r="F4029" s="294"/>
      <c r="G4029" s="295"/>
      <c r="H4029" s="98"/>
      <c r="I4029" s="99"/>
      <c r="J4029" s="99"/>
      <c r="K4029" s="99"/>
      <c r="L4029" s="99"/>
      <c r="M4029" s="99"/>
      <c r="N4029" s="99"/>
      <c r="O4029" s="99"/>
      <c r="P4029" s="99"/>
      <c r="Q4029" s="99"/>
      <c r="R4029" s="99"/>
      <c r="S4029" s="99"/>
      <c r="T4029" s="99"/>
      <c r="U4029" s="99"/>
      <c r="V4029" s="99"/>
    </row>
    <row r="4030" spans="1:22">
      <c r="A4030" s="297"/>
      <c r="B4030" s="217"/>
      <c r="C4030" s="217"/>
      <c r="D4030" s="101"/>
      <c r="E4030" s="101"/>
      <c r="F4030" s="294"/>
      <c r="G4030" s="295"/>
      <c r="H4030" s="98"/>
      <c r="I4030" s="99"/>
      <c r="J4030" s="99"/>
      <c r="K4030" s="99"/>
      <c r="L4030" s="99"/>
      <c r="M4030" s="99"/>
      <c r="N4030" s="99"/>
      <c r="O4030" s="99"/>
      <c r="P4030" s="99"/>
      <c r="Q4030" s="99"/>
      <c r="R4030" s="99"/>
      <c r="S4030" s="99"/>
      <c r="T4030" s="99"/>
      <c r="U4030" s="99"/>
      <c r="V4030" s="99"/>
    </row>
    <row r="4031" spans="1:22">
      <c r="A4031" s="297"/>
      <c r="B4031" s="217"/>
      <c r="C4031" s="217"/>
      <c r="D4031" s="101"/>
      <c r="E4031" s="101"/>
      <c r="F4031" s="294"/>
      <c r="G4031" s="295"/>
      <c r="H4031" s="98"/>
      <c r="I4031" s="99"/>
      <c r="J4031" s="99"/>
      <c r="K4031" s="99"/>
      <c r="L4031" s="99"/>
      <c r="M4031" s="99"/>
      <c r="N4031" s="99"/>
      <c r="O4031" s="99"/>
      <c r="P4031" s="99"/>
      <c r="Q4031" s="99"/>
      <c r="R4031" s="99"/>
      <c r="S4031" s="99"/>
      <c r="T4031" s="99"/>
      <c r="U4031" s="99"/>
      <c r="V4031" s="99"/>
    </row>
    <row r="4032" spans="1:22">
      <c r="A4032" s="297"/>
      <c r="B4032" s="217"/>
      <c r="C4032" s="217"/>
      <c r="D4032" s="101"/>
      <c r="E4032" s="101"/>
      <c r="F4032" s="294"/>
      <c r="G4032" s="295"/>
      <c r="H4032" s="98"/>
      <c r="I4032" s="99"/>
      <c r="J4032" s="99"/>
      <c r="K4032" s="99"/>
      <c r="L4032" s="99"/>
      <c r="M4032" s="99"/>
      <c r="N4032" s="99"/>
      <c r="O4032" s="99"/>
      <c r="P4032" s="99"/>
      <c r="Q4032" s="99"/>
      <c r="R4032" s="99"/>
      <c r="S4032" s="99"/>
      <c r="T4032" s="99"/>
      <c r="U4032" s="99"/>
      <c r="V4032" s="99"/>
    </row>
    <row r="4033" spans="1:22">
      <c r="A4033" s="297"/>
      <c r="B4033" s="217"/>
      <c r="C4033" s="217"/>
      <c r="D4033" s="101"/>
      <c r="E4033" s="101"/>
      <c r="F4033" s="294"/>
      <c r="G4033" s="295"/>
      <c r="H4033" s="98"/>
      <c r="I4033" s="99"/>
      <c r="J4033" s="99"/>
      <c r="K4033" s="99"/>
      <c r="L4033" s="99"/>
      <c r="M4033" s="99"/>
      <c r="N4033" s="99"/>
      <c r="O4033" s="99"/>
      <c r="P4033" s="99"/>
      <c r="Q4033" s="99"/>
      <c r="R4033" s="99"/>
      <c r="S4033" s="99"/>
      <c r="T4033" s="99"/>
      <c r="U4033" s="99"/>
      <c r="V4033" s="99"/>
    </row>
    <row r="4034" spans="1:22">
      <c r="A4034" s="297"/>
      <c r="B4034" s="217"/>
      <c r="C4034" s="217"/>
      <c r="D4034" s="101"/>
      <c r="E4034" s="101"/>
      <c r="F4034" s="294"/>
      <c r="G4034" s="295"/>
      <c r="H4034" s="98"/>
      <c r="I4034" s="99"/>
      <c r="J4034" s="99"/>
      <c r="K4034" s="99"/>
      <c r="L4034" s="99"/>
      <c r="M4034" s="99"/>
      <c r="N4034" s="99"/>
      <c r="O4034" s="99"/>
      <c r="P4034" s="99"/>
      <c r="Q4034" s="99"/>
      <c r="R4034" s="99"/>
      <c r="S4034" s="99"/>
      <c r="T4034" s="99"/>
      <c r="U4034" s="99"/>
      <c r="V4034" s="99"/>
    </row>
    <row r="4035" spans="1:22">
      <c r="A4035" s="297"/>
      <c r="B4035" s="217"/>
      <c r="C4035" s="217"/>
      <c r="D4035" s="101"/>
      <c r="E4035" s="101"/>
      <c r="F4035" s="294"/>
      <c r="G4035" s="295"/>
      <c r="H4035" s="98"/>
      <c r="I4035" s="99"/>
      <c r="J4035" s="99"/>
      <c r="K4035" s="99"/>
      <c r="L4035" s="99"/>
      <c r="M4035" s="99"/>
      <c r="N4035" s="99"/>
      <c r="O4035" s="99"/>
      <c r="P4035" s="99"/>
      <c r="Q4035" s="99"/>
      <c r="R4035" s="99"/>
      <c r="S4035" s="99"/>
      <c r="T4035" s="99"/>
      <c r="U4035" s="99"/>
      <c r="V4035" s="99"/>
    </row>
    <row r="4036" spans="1:22">
      <c r="A4036" s="297"/>
      <c r="B4036" s="217"/>
      <c r="C4036" s="217"/>
      <c r="D4036" s="101"/>
      <c r="E4036" s="101"/>
      <c r="F4036" s="294"/>
      <c r="G4036" s="295"/>
      <c r="H4036" s="98"/>
      <c r="I4036" s="99"/>
      <c r="J4036" s="99"/>
      <c r="K4036" s="99"/>
      <c r="L4036" s="99"/>
      <c r="M4036" s="99"/>
      <c r="N4036" s="99"/>
      <c r="O4036" s="99"/>
      <c r="P4036" s="99"/>
      <c r="Q4036" s="99"/>
      <c r="R4036" s="99"/>
      <c r="S4036" s="99"/>
      <c r="T4036" s="99"/>
      <c r="U4036" s="99"/>
      <c r="V4036" s="99"/>
    </row>
    <row r="4037" spans="1:22">
      <c r="A4037" s="297"/>
      <c r="B4037" s="217"/>
      <c r="C4037" s="217"/>
      <c r="D4037" s="101"/>
      <c r="E4037" s="101"/>
      <c r="F4037" s="294"/>
      <c r="G4037" s="295"/>
      <c r="H4037" s="98"/>
      <c r="I4037" s="99"/>
      <c r="J4037" s="99"/>
      <c r="K4037" s="99"/>
      <c r="L4037" s="99"/>
      <c r="M4037" s="99"/>
      <c r="N4037" s="99"/>
      <c r="O4037" s="99"/>
      <c r="P4037" s="99"/>
      <c r="Q4037" s="99"/>
      <c r="R4037" s="99"/>
      <c r="S4037" s="99"/>
      <c r="T4037" s="99"/>
      <c r="U4037" s="99"/>
      <c r="V4037" s="99"/>
    </row>
    <row r="4038" spans="1:22">
      <c r="A4038" s="297"/>
      <c r="B4038" s="217"/>
      <c r="C4038" s="217"/>
      <c r="D4038" s="101"/>
      <c r="E4038" s="101"/>
      <c r="F4038" s="294"/>
      <c r="G4038" s="295"/>
      <c r="H4038" s="107"/>
      <c r="I4038" s="109"/>
      <c r="J4038" s="109"/>
      <c r="K4038" s="109"/>
      <c r="L4038" s="109"/>
      <c r="M4038" s="109"/>
      <c r="N4038" s="109"/>
      <c r="O4038" s="109"/>
      <c r="P4038" s="109"/>
      <c r="Q4038" s="109"/>
      <c r="R4038" s="109"/>
      <c r="S4038" s="109"/>
      <c r="T4038" s="109"/>
      <c r="U4038" s="202"/>
      <c r="V4038" s="202"/>
    </row>
    <row r="4039" spans="1:22">
      <c r="A4039" s="297"/>
      <c r="B4039" s="217"/>
      <c r="C4039" s="217"/>
      <c r="D4039" s="101"/>
      <c r="E4039" s="101"/>
      <c r="F4039" s="294"/>
      <c r="G4039" s="295"/>
      <c r="H4039" s="98"/>
      <c r="I4039" s="106"/>
      <c r="J4039" s="106"/>
      <c r="K4039" s="106"/>
      <c r="L4039" s="106"/>
      <c r="M4039" s="106"/>
      <c r="N4039" s="112"/>
      <c r="O4039" s="112"/>
      <c r="P4039" s="112"/>
      <c r="Q4039" s="113"/>
      <c r="R4039" s="113"/>
      <c r="S4039" s="113"/>
      <c r="T4039" s="113"/>
      <c r="U4039" s="113"/>
      <c r="V4039" s="113"/>
    </row>
    <row r="4040" spans="1:22">
      <c r="A4040" s="297"/>
      <c r="B4040" s="217"/>
      <c r="C4040" s="217"/>
      <c r="D4040" s="101"/>
      <c r="E4040" s="101"/>
      <c r="F4040" s="294"/>
      <c r="G4040" s="295"/>
      <c r="H4040" s="98"/>
      <c r="I4040" s="99"/>
      <c r="J4040" s="99"/>
      <c r="K4040" s="99"/>
      <c r="L4040" s="99"/>
      <c r="M4040" s="99"/>
      <c r="N4040" s="99"/>
      <c r="O4040" s="99"/>
      <c r="P4040" s="99"/>
      <c r="Q4040" s="99"/>
      <c r="R4040" s="99"/>
      <c r="S4040" s="99"/>
      <c r="T4040" s="99"/>
      <c r="U4040" s="99"/>
      <c r="V4040" s="99"/>
    </row>
    <row r="4041" spans="1:22">
      <c r="A4041" s="297"/>
      <c r="B4041" s="217"/>
      <c r="C4041" s="217"/>
      <c r="D4041" s="101"/>
      <c r="E4041" s="101"/>
      <c r="F4041" s="294"/>
      <c r="G4041" s="295"/>
      <c r="H4041" s="98"/>
      <c r="I4041" s="99"/>
      <c r="J4041" s="99"/>
      <c r="K4041" s="99"/>
      <c r="L4041" s="99"/>
      <c r="M4041" s="99"/>
      <c r="N4041" s="99"/>
      <c r="O4041" s="99"/>
      <c r="P4041" s="99"/>
      <c r="Q4041" s="99"/>
      <c r="R4041" s="99"/>
      <c r="S4041" s="99"/>
      <c r="T4041" s="99"/>
      <c r="U4041" s="99"/>
      <c r="V4041" s="99"/>
    </row>
    <row r="4042" spans="1:22">
      <c r="A4042" s="297"/>
      <c r="B4042" s="217"/>
      <c r="C4042" s="217"/>
      <c r="D4042" s="101"/>
      <c r="E4042" s="101"/>
      <c r="F4042" s="294"/>
      <c r="G4042" s="295"/>
      <c r="H4042" s="98"/>
      <c r="I4042" s="99"/>
      <c r="J4042" s="99"/>
      <c r="K4042" s="99"/>
      <c r="L4042" s="99"/>
      <c r="M4042" s="99"/>
      <c r="N4042" s="99"/>
      <c r="O4042" s="99"/>
      <c r="P4042" s="99"/>
      <c r="Q4042" s="99"/>
      <c r="R4042" s="99"/>
      <c r="S4042" s="99"/>
      <c r="T4042" s="99"/>
      <c r="U4042" s="99"/>
      <c r="V4042" s="99"/>
    </row>
    <row r="4043" spans="1:22">
      <c r="A4043" s="297"/>
      <c r="B4043" s="217"/>
      <c r="C4043" s="217"/>
      <c r="D4043" s="101"/>
      <c r="E4043" s="101"/>
      <c r="F4043" s="294"/>
      <c r="G4043" s="295"/>
      <c r="H4043" s="98"/>
      <c r="I4043" s="99"/>
      <c r="J4043" s="99"/>
      <c r="K4043" s="99"/>
      <c r="L4043" s="99"/>
      <c r="M4043" s="99"/>
      <c r="N4043" s="99"/>
      <c r="O4043" s="99"/>
      <c r="P4043" s="99"/>
      <c r="Q4043" s="99"/>
      <c r="R4043" s="99"/>
      <c r="S4043" s="99"/>
      <c r="T4043" s="99"/>
      <c r="U4043" s="99"/>
      <c r="V4043" s="99"/>
    </row>
    <row r="4044" spans="1:22">
      <c r="A4044" s="297"/>
      <c r="B4044" s="217"/>
      <c r="C4044" s="217"/>
      <c r="D4044" s="101"/>
      <c r="E4044" s="101"/>
      <c r="F4044" s="294"/>
      <c r="G4044" s="295"/>
      <c r="H4044" s="98"/>
      <c r="I4044" s="99"/>
      <c r="J4044" s="99"/>
      <c r="K4044" s="99"/>
      <c r="L4044" s="99"/>
      <c r="M4044" s="99"/>
      <c r="N4044" s="99"/>
      <c r="O4044" s="99"/>
      <c r="P4044" s="99"/>
      <c r="Q4044" s="99"/>
      <c r="R4044" s="99"/>
      <c r="S4044" s="99"/>
      <c r="T4044" s="99"/>
      <c r="U4044" s="99"/>
      <c r="V4044" s="99"/>
    </row>
    <row r="4045" spans="1:22">
      <c r="A4045" s="297"/>
      <c r="B4045" s="217"/>
      <c r="C4045" s="217"/>
      <c r="D4045" s="101"/>
      <c r="E4045" s="101"/>
      <c r="F4045" s="294"/>
      <c r="G4045" s="295"/>
      <c r="H4045" s="98"/>
      <c r="I4045" s="99"/>
      <c r="J4045" s="99"/>
      <c r="K4045" s="99"/>
      <c r="L4045" s="99"/>
      <c r="M4045" s="99"/>
      <c r="N4045" s="99"/>
      <c r="O4045" s="99"/>
      <c r="P4045" s="99"/>
      <c r="Q4045" s="99"/>
      <c r="R4045" s="99"/>
      <c r="S4045" s="99"/>
      <c r="T4045" s="99"/>
      <c r="U4045" s="99"/>
      <c r="V4045" s="99"/>
    </row>
    <row r="4046" spans="1:22">
      <c r="A4046" s="297"/>
      <c r="B4046" s="217"/>
      <c r="C4046" s="217"/>
      <c r="D4046" s="101"/>
      <c r="E4046" s="101"/>
      <c r="F4046" s="294"/>
      <c r="G4046" s="295"/>
      <c r="H4046" s="98"/>
      <c r="I4046" s="99"/>
      <c r="J4046" s="99"/>
      <c r="K4046" s="99"/>
      <c r="L4046" s="99"/>
      <c r="M4046" s="99"/>
      <c r="N4046" s="99"/>
      <c r="O4046" s="99"/>
      <c r="P4046" s="99"/>
      <c r="Q4046" s="99"/>
      <c r="R4046" s="99"/>
      <c r="S4046" s="99"/>
      <c r="T4046" s="99"/>
      <c r="U4046" s="99"/>
      <c r="V4046" s="99"/>
    </row>
    <row r="4047" spans="1:22">
      <c r="A4047" s="297"/>
      <c r="B4047" s="217"/>
      <c r="C4047" s="217"/>
      <c r="D4047" s="101"/>
      <c r="E4047" s="101"/>
      <c r="F4047" s="294"/>
      <c r="G4047" s="295"/>
      <c r="H4047" s="98"/>
      <c r="I4047" s="99"/>
      <c r="J4047" s="99"/>
      <c r="K4047" s="99"/>
      <c r="L4047" s="99"/>
      <c r="M4047" s="99"/>
      <c r="N4047" s="99"/>
      <c r="O4047" s="99"/>
      <c r="P4047" s="99"/>
      <c r="Q4047" s="99"/>
      <c r="R4047" s="99"/>
      <c r="S4047" s="99"/>
      <c r="T4047" s="99"/>
      <c r="U4047" s="99"/>
      <c r="V4047" s="99"/>
    </row>
    <row r="4048" spans="1:22">
      <c r="A4048" s="297"/>
      <c r="B4048" s="217"/>
      <c r="C4048" s="217"/>
      <c r="D4048" s="101"/>
      <c r="E4048" s="101"/>
      <c r="F4048" s="294"/>
      <c r="G4048" s="295"/>
      <c r="H4048" s="98"/>
      <c r="I4048" s="99"/>
      <c r="J4048" s="99"/>
      <c r="K4048" s="99"/>
      <c r="L4048" s="99"/>
      <c r="M4048" s="99"/>
      <c r="N4048" s="99"/>
      <c r="O4048" s="99"/>
      <c r="P4048" s="99"/>
      <c r="Q4048" s="99"/>
      <c r="R4048" s="99"/>
      <c r="S4048" s="99"/>
      <c r="T4048" s="99"/>
      <c r="U4048" s="99"/>
      <c r="V4048" s="99"/>
    </row>
    <row r="4049" spans="1:22">
      <c r="A4049" s="297"/>
      <c r="B4049" s="217"/>
      <c r="C4049" s="217"/>
      <c r="D4049" s="101"/>
      <c r="E4049" s="101"/>
      <c r="F4049" s="294"/>
      <c r="G4049" s="295"/>
      <c r="H4049" s="98"/>
      <c r="I4049" s="99"/>
      <c r="J4049" s="99"/>
      <c r="K4049" s="99"/>
      <c r="L4049" s="99"/>
      <c r="M4049" s="99"/>
      <c r="N4049" s="99"/>
      <c r="O4049" s="99"/>
      <c r="P4049" s="99"/>
      <c r="Q4049" s="99"/>
      <c r="R4049" s="99"/>
      <c r="S4049" s="99"/>
      <c r="T4049" s="99"/>
      <c r="U4049" s="99"/>
      <c r="V4049" s="99"/>
    </row>
    <row r="4050" spans="1:22">
      <c r="A4050" s="297"/>
      <c r="B4050" s="217"/>
      <c r="C4050" s="217"/>
      <c r="D4050" s="101"/>
      <c r="E4050" s="101"/>
      <c r="F4050" s="294"/>
      <c r="G4050" s="295"/>
      <c r="H4050" s="98"/>
      <c r="I4050" s="99"/>
      <c r="J4050" s="99"/>
      <c r="K4050" s="99"/>
      <c r="L4050" s="99"/>
      <c r="M4050" s="99"/>
      <c r="N4050" s="99"/>
      <c r="O4050" s="99"/>
      <c r="P4050" s="99"/>
      <c r="Q4050" s="99"/>
      <c r="R4050" s="99"/>
      <c r="S4050" s="99"/>
      <c r="T4050" s="99"/>
      <c r="U4050" s="99"/>
      <c r="V4050" s="99"/>
    </row>
    <row r="4051" spans="1:22">
      <c r="A4051" s="297"/>
      <c r="B4051" s="217"/>
      <c r="C4051" s="217"/>
      <c r="D4051" s="101"/>
      <c r="E4051" s="101"/>
      <c r="F4051" s="294"/>
      <c r="G4051" s="295"/>
      <c r="H4051" s="98"/>
      <c r="I4051" s="99"/>
      <c r="J4051" s="99"/>
      <c r="K4051" s="99"/>
      <c r="L4051" s="99"/>
      <c r="M4051" s="99"/>
      <c r="N4051" s="99"/>
      <c r="O4051" s="99"/>
      <c r="P4051" s="99"/>
      <c r="Q4051" s="99"/>
      <c r="R4051" s="99"/>
      <c r="S4051" s="99"/>
      <c r="T4051" s="99"/>
      <c r="U4051" s="99"/>
      <c r="V4051" s="99"/>
    </row>
    <row r="4052" spans="1:22">
      <c r="A4052" s="297"/>
      <c r="B4052" s="217"/>
      <c r="C4052" s="217"/>
      <c r="D4052" s="101"/>
      <c r="E4052" s="101"/>
      <c r="F4052" s="294"/>
      <c r="G4052" s="295"/>
      <c r="H4052" s="98"/>
      <c r="I4052" s="99"/>
      <c r="J4052" s="99"/>
      <c r="K4052" s="99"/>
      <c r="L4052" s="99"/>
      <c r="M4052" s="99"/>
      <c r="N4052" s="99"/>
      <c r="O4052" s="99"/>
      <c r="P4052" s="99"/>
      <c r="Q4052" s="99"/>
      <c r="R4052" s="99"/>
      <c r="S4052" s="99"/>
      <c r="T4052" s="99"/>
      <c r="U4052" s="99"/>
      <c r="V4052" s="99"/>
    </row>
    <row r="4053" spans="1:22">
      <c r="A4053" s="297"/>
      <c r="B4053" s="217"/>
      <c r="C4053" s="217"/>
      <c r="D4053" s="101"/>
      <c r="E4053" s="101"/>
      <c r="F4053" s="294"/>
      <c r="G4053" s="295"/>
      <c r="H4053" s="98"/>
      <c r="I4053" s="99"/>
      <c r="J4053" s="99"/>
      <c r="K4053" s="99"/>
      <c r="L4053" s="99"/>
      <c r="M4053" s="99"/>
      <c r="N4053" s="99"/>
      <c r="O4053" s="99"/>
      <c r="P4053" s="99"/>
      <c r="Q4053" s="99"/>
      <c r="R4053" s="99"/>
      <c r="S4053" s="99"/>
      <c r="T4053" s="99"/>
      <c r="U4053" s="99"/>
      <c r="V4053" s="99"/>
    </row>
    <row r="4054" spans="1:22">
      <c r="A4054" s="297"/>
      <c r="B4054" s="217"/>
      <c r="C4054" s="217"/>
      <c r="D4054" s="101"/>
      <c r="E4054" s="101"/>
      <c r="F4054" s="294"/>
      <c r="G4054" s="295"/>
      <c r="H4054" s="98"/>
      <c r="I4054" s="99"/>
      <c r="J4054" s="99"/>
      <c r="K4054" s="99"/>
      <c r="L4054" s="99"/>
      <c r="M4054" s="99"/>
      <c r="N4054" s="99"/>
      <c r="O4054" s="99"/>
      <c r="P4054" s="99"/>
      <c r="Q4054" s="99"/>
      <c r="R4054" s="99"/>
      <c r="S4054" s="99"/>
      <c r="T4054" s="99"/>
      <c r="U4054" s="99"/>
      <c r="V4054" s="99"/>
    </row>
    <row r="4055" spans="1:22">
      <c r="A4055" s="297"/>
      <c r="B4055" s="217"/>
      <c r="C4055" s="217"/>
      <c r="D4055" s="101"/>
      <c r="E4055" s="101"/>
      <c r="F4055" s="294"/>
      <c r="G4055" s="295"/>
      <c r="H4055" s="98"/>
      <c r="I4055" s="99"/>
      <c r="J4055" s="99"/>
      <c r="K4055" s="99"/>
      <c r="L4055" s="99"/>
      <c r="M4055" s="99"/>
      <c r="N4055" s="99"/>
      <c r="O4055" s="99"/>
      <c r="P4055" s="99"/>
      <c r="Q4055" s="99"/>
      <c r="R4055" s="99"/>
      <c r="S4055" s="99"/>
      <c r="T4055" s="99"/>
      <c r="U4055" s="99"/>
      <c r="V4055" s="99"/>
    </row>
    <row r="4056" spans="1:22">
      <c r="A4056" s="297"/>
      <c r="B4056" s="217"/>
      <c r="C4056" s="217"/>
      <c r="D4056" s="101"/>
      <c r="E4056" s="101"/>
      <c r="F4056" s="294"/>
      <c r="G4056" s="295"/>
      <c r="H4056" s="98"/>
      <c r="I4056" s="99"/>
      <c r="J4056" s="99"/>
      <c r="K4056" s="99"/>
      <c r="L4056" s="99"/>
      <c r="M4056" s="99"/>
      <c r="N4056" s="99"/>
      <c r="O4056" s="99"/>
      <c r="P4056" s="99"/>
      <c r="Q4056" s="99"/>
      <c r="R4056" s="99"/>
      <c r="S4056" s="99"/>
      <c r="T4056" s="99"/>
      <c r="U4056" s="99"/>
      <c r="V4056" s="99"/>
    </row>
    <row r="4057" spans="1:22">
      <c r="A4057" s="297"/>
      <c r="B4057" s="217"/>
      <c r="C4057" s="217"/>
      <c r="D4057" s="101"/>
      <c r="E4057" s="101"/>
      <c r="F4057" s="294"/>
      <c r="G4057" s="295"/>
      <c r="H4057" s="98"/>
      <c r="I4057" s="99"/>
      <c r="J4057" s="99"/>
      <c r="K4057" s="99"/>
      <c r="L4057" s="99"/>
      <c r="M4057" s="99"/>
      <c r="N4057" s="99"/>
      <c r="O4057" s="99"/>
      <c r="P4057" s="99"/>
      <c r="Q4057" s="99"/>
      <c r="R4057" s="99"/>
      <c r="S4057" s="99"/>
      <c r="T4057" s="99"/>
      <c r="U4057" s="99"/>
      <c r="V4057" s="99"/>
    </row>
    <row r="4058" spans="1:22">
      <c r="A4058" s="297"/>
      <c r="B4058" s="217"/>
      <c r="C4058" s="217"/>
      <c r="D4058" s="101"/>
      <c r="E4058" s="101"/>
      <c r="F4058" s="294"/>
      <c r="G4058" s="295"/>
      <c r="H4058" s="98"/>
      <c r="I4058" s="99"/>
      <c r="J4058" s="99"/>
      <c r="K4058" s="99"/>
      <c r="L4058" s="99"/>
      <c r="M4058" s="99"/>
      <c r="N4058" s="99"/>
      <c r="O4058" s="99"/>
      <c r="P4058" s="99"/>
      <c r="Q4058" s="99"/>
      <c r="R4058" s="99"/>
      <c r="S4058" s="99"/>
      <c r="T4058" s="99"/>
      <c r="U4058" s="99"/>
      <c r="V4058" s="99"/>
    </row>
    <row r="4059" spans="1:22">
      <c r="A4059" s="297"/>
      <c r="B4059" s="217"/>
      <c r="C4059" s="217"/>
      <c r="D4059" s="101"/>
      <c r="E4059" s="101"/>
      <c r="F4059" s="294"/>
      <c r="G4059" s="295"/>
      <c r="H4059" s="98"/>
      <c r="I4059" s="99"/>
      <c r="J4059" s="99"/>
      <c r="K4059" s="99"/>
      <c r="L4059" s="99"/>
      <c r="M4059" s="99"/>
      <c r="N4059" s="99"/>
      <c r="O4059" s="99"/>
      <c r="P4059" s="99"/>
      <c r="Q4059" s="99"/>
      <c r="R4059" s="99"/>
      <c r="S4059" s="99"/>
      <c r="T4059" s="99"/>
      <c r="U4059" s="99"/>
      <c r="V4059" s="99"/>
    </row>
    <row r="4060" spans="1:22">
      <c r="A4060" s="297"/>
      <c r="B4060" s="217"/>
      <c r="C4060" s="217"/>
      <c r="D4060" s="101"/>
      <c r="E4060" s="101"/>
      <c r="F4060" s="294"/>
      <c r="G4060" s="295"/>
      <c r="H4060" s="107"/>
      <c r="I4060" s="109"/>
      <c r="J4060" s="109"/>
      <c r="K4060" s="109"/>
      <c r="L4060" s="109"/>
      <c r="M4060" s="109"/>
      <c r="N4060" s="109"/>
      <c r="O4060" s="109"/>
      <c r="P4060" s="109"/>
      <c r="Q4060" s="109"/>
      <c r="R4060" s="109"/>
      <c r="S4060" s="109"/>
      <c r="T4060" s="109"/>
      <c r="U4060" s="202"/>
      <c r="V4060" s="202"/>
    </row>
    <row r="4061" spans="1:22">
      <c r="A4061" s="297"/>
      <c r="B4061" s="217"/>
      <c r="C4061" s="217"/>
      <c r="D4061" s="101"/>
      <c r="E4061" s="101"/>
      <c r="F4061" s="294"/>
      <c r="G4061" s="295"/>
      <c r="H4061" s="232"/>
      <c r="I4061" s="233"/>
      <c r="J4061" s="233"/>
      <c r="K4061" s="233"/>
      <c r="L4061" s="233"/>
      <c r="M4061" s="233"/>
      <c r="N4061" s="202"/>
      <c r="O4061" s="202"/>
      <c r="P4061" s="202"/>
      <c r="Q4061" s="202"/>
      <c r="R4061" s="202"/>
      <c r="S4061" s="202"/>
      <c r="T4061" s="202"/>
      <c r="U4061" s="202"/>
      <c r="V4061" s="202"/>
    </row>
    <row r="4062" spans="1:22">
      <c r="A4062" s="297"/>
      <c r="B4062" s="217"/>
      <c r="C4062" s="217"/>
      <c r="D4062" s="101"/>
      <c r="E4062" s="101"/>
      <c r="F4062" s="294"/>
      <c r="G4062" s="295"/>
      <c r="H4062" s="98"/>
      <c r="I4062" s="99"/>
      <c r="J4062" s="99"/>
      <c r="K4062" s="99"/>
      <c r="L4062" s="99"/>
      <c r="M4062" s="99"/>
      <c r="N4062" s="99"/>
      <c r="O4062" s="99"/>
      <c r="P4062" s="99"/>
      <c r="Q4062" s="99"/>
      <c r="R4062" s="99"/>
      <c r="S4062" s="99"/>
      <c r="T4062" s="99"/>
      <c r="U4062" s="99"/>
      <c r="V4062" s="99"/>
    </row>
    <row r="4063" spans="1:22">
      <c r="A4063" s="297"/>
      <c r="B4063" s="217"/>
      <c r="C4063" s="217"/>
      <c r="D4063" s="101"/>
      <c r="E4063" s="101"/>
      <c r="F4063" s="294"/>
      <c r="G4063" s="295"/>
      <c r="H4063" s="98"/>
      <c r="I4063" s="99"/>
      <c r="J4063" s="99"/>
      <c r="K4063" s="99"/>
      <c r="L4063" s="99"/>
      <c r="M4063" s="99"/>
      <c r="N4063" s="99"/>
      <c r="O4063" s="99"/>
      <c r="P4063" s="99"/>
      <c r="Q4063" s="99"/>
      <c r="R4063" s="99"/>
      <c r="S4063" s="99"/>
      <c r="T4063" s="99"/>
      <c r="U4063" s="99"/>
      <c r="V4063" s="99"/>
    </row>
    <row r="4064" spans="1:22">
      <c r="A4064" s="297"/>
      <c r="B4064" s="217"/>
      <c r="C4064" s="217"/>
      <c r="D4064" s="101"/>
      <c r="E4064" s="101"/>
      <c r="F4064" s="294"/>
      <c r="G4064" s="295"/>
      <c r="H4064" s="98"/>
      <c r="I4064" s="99"/>
      <c r="J4064" s="99"/>
      <c r="K4064" s="99"/>
      <c r="L4064" s="99"/>
      <c r="M4064" s="99"/>
      <c r="N4064" s="99"/>
      <c r="O4064" s="99"/>
      <c r="P4064" s="99"/>
      <c r="Q4064" s="99"/>
      <c r="R4064" s="99"/>
      <c r="S4064" s="99"/>
      <c r="T4064" s="99"/>
      <c r="U4064" s="99"/>
      <c r="V4064" s="99"/>
    </row>
    <row r="4065" spans="1:22">
      <c r="A4065" s="297"/>
      <c r="B4065" s="217"/>
      <c r="C4065" s="217"/>
      <c r="D4065" s="101"/>
      <c r="E4065" s="101"/>
      <c r="F4065" s="294"/>
      <c r="G4065" s="295"/>
      <c r="H4065" s="98"/>
      <c r="I4065" s="99"/>
      <c r="J4065" s="99"/>
      <c r="K4065" s="99"/>
      <c r="L4065" s="99"/>
      <c r="M4065" s="99"/>
      <c r="N4065" s="99"/>
      <c r="O4065" s="99"/>
      <c r="P4065" s="99"/>
      <c r="Q4065" s="99"/>
      <c r="R4065" s="99"/>
      <c r="S4065" s="99"/>
      <c r="T4065" s="99"/>
      <c r="U4065" s="99"/>
      <c r="V4065" s="99"/>
    </row>
    <row r="4066" spans="1:22">
      <c r="A4066" s="297"/>
      <c r="B4066" s="217"/>
      <c r="C4066" s="217"/>
      <c r="D4066" s="101"/>
      <c r="E4066" s="101"/>
      <c r="F4066" s="294"/>
      <c r="G4066" s="295"/>
      <c r="H4066" s="107"/>
      <c r="I4066" s="109"/>
      <c r="J4066" s="109"/>
      <c r="K4066" s="109"/>
      <c r="L4066" s="109"/>
      <c r="M4066" s="109"/>
      <c r="N4066" s="109"/>
      <c r="O4066" s="109"/>
      <c r="P4066" s="109"/>
      <c r="Q4066" s="109"/>
      <c r="R4066" s="109"/>
      <c r="S4066" s="109"/>
      <c r="T4066" s="109"/>
      <c r="U4066" s="202"/>
      <c r="V4066" s="202"/>
    </row>
    <row r="4067" spans="1:22">
      <c r="A4067" s="297"/>
      <c r="B4067" s="217"/>
      <c r="C4067" s="217"/>
      <c r="D4067" s="101"/>
      <c r="E4067" s="101"/>
      <c r="F4067" s="294"/>
      <c r="G4067" s="295"/>
      <c r="H4067" s="98"/>
      <c r="I4067" s="106"/>
      <c r="J4067" s="106"/>
      <c r="K4067" s="106"/>
      <c r="L4067" s="106"/>
      <c r="M4067" s="106"/>
      <c r="N4067" s="112"/>
      <c r="O4067" s="112"/>
      <c r="P4067" s="112"/>
      <c r="Q4067" s="113"/>
      <c r="R4067" s="113"/>
      <c r="S4067" s="113"/>
      <c r="T4067" s="113"/>
      <c r="U4067" s="113"/>
      <c r="V4067" s="113"/>
    </row>
    <row r="4068" spans="1:22">
      <c r="A4068" s="297"/>
      <c r="B4068" s="217"/>
      <c r="C4068" s="217"/>
      <c r="D4068" s="101"/>
      <c r="E4068" s="101"/>
      <c r="F4068" s="294"/>
      <c r="G4068" s="295"/>
      <c r="H4068" s="114"/>
      <c r="I4068" s="108"/>
      <c r="J4068" s="108"/>
      <c r="K4068" s="108"/>
      <c r="L4068" s="108"/>
      <c r="M4068" s="108"/>
      <c r="N4068" s="108"/>
      <c r="O4068" s="108"/>
      <c r="P4068" s="108"/>
      <c r="Q4068" s="108"/>
      <c r="R4068" s="108"/>
      <c r="S4068" s="108"/>
      <c r="T4068" s="108"/>
      <c r="U4068" s="233"/>
      <c r="V4068" s="233"/>
    </row>
    <row r="4069" spans="1:22" ht="14.4" thickBot="1">
      <c r="A4069" s="297"/>
      <c r="B4069" s="217"/>
      <c r="C4069" s="217"/>
      <c r="D4069" s="101"/>
      <c r="E4069" s="101"/>
      <c r="F4069" s="294"/>
      <c r="G4069" s="295"/>
      <c r="H4069" s="98"/>
      <c r="I4069" s="218"/>
      <c r="J4069" s="218"/>
      <c r="K4069" s="218"/>
      <c r="L4069" s="218"/>
      <c r="M4069" s="218"/>
      <c r="U4069" s="212"/>
      <c r="V4069" s="212"/>
    </row>
    <row r="4070" spans="1:22" ht="23.4" thickBot="1">
      <c r="A4070" s="297"/>
      <c r="B4070" s="217"/>
      <c r="C4070" s="217"/>
      <c r="D4070" s="101"/>
      <c r="E4070" s="101"/>
      <c r="F4070" s="294"/>
      <c r="G4070" s="295"/>
      <c r="H4070" s="686"/>
      <c r="I4070" s="687"/>
      <c r="J4070" s="687"/>
      <c r="K4070" s="687"/>
      <c r="L4070" s="687"/>
      <c r="M4070" s="687"/>
      <c r="N4070" s="687"/>
      <c r="O4070" s="687"/>
      <c r="P4070" s="687"/>
      <c r="Q4070" s="687"/>
      <c r="R4070" s="687"/>
      <c r="S4070" s="715"/>
      <c r="T4070" s="688"/>
      <c r="U4070" s="254"/>
      <c r="V4070" s="254"/>
    </row>
    <row r="4071" spans="1:22" ht="22.8">
      <c r="A4071" s="297"/>
      <c r="B4071" s="217"/>
      <c r="C4071" s="217"/>
      <c r="D4071" s="101"/>
      <c r="E4071" s="101"/>
      <c r="F4071" s="294"/>
      <c r="G4071" s="295"/>
      <c r="H4071" s="225"/>
      <c r="I4071" s="225"/>
      <c r="J4071" s="225"/>
      <c r="K4071" s="225"/>
      <c r="L4071" s="225"/>
      <c r="M4071" s="225"/>
      <c r="N4071" s="225"/>
      <c r="O4071" s="225"/>
      <c r="P4071" s="225"/>
      <c r="Q4071" s="225"/>
      <c r="R4071" s="225"/>
      <c r="S4071" s="225"/>
      <c r="T4071" s="225"/>
      <c r="U4071" s="225"/>
      <c r="V4071" s="225"/>
    </row>
    <row r="4072" spans="1:22">
      <c r="A4072" s="297"/>
      <c r="B4072" s="217"/>
      <c r="C4072" s="217"/>
      <c r="D4072" s="101"/>
      <c r="E4072" s="101"/>
      <c r="F4072" s="294"/>
      <c r="G4072" s="295"/>
      <c r="H4072" s="98"/>
      <c r="I4072" s="99"/>
      <c r="J4072" s="99"/>
      <c r="K4072" s="99"/>
      <c r="L4072" s="99"/>
      <c r="M4072" s="99"/>
      <c r="N4072" s="99"/>
      <c r="O4072" s="99"/>
      <c r="P4072" s="99"/>
      <c r="Q4072" s="99"/>
      <c r="R4072" s="99"/>
      <c r="S4072" s="99"/>
      <c r="T4072" s="99"/>
      <c r="U4072" s="99"/>
      <c r="V4072" s="99"/>
    </row>
    <row r="4073" spans="1:22">
      <c r="A4073" s="297"/>
      <c r="B4073" s="217"/>
      <c r="C4073" s="217"/>
      <c r="D4073" s="101"/>
      <c r="E4073" s="101"/>
      <c r="F4073" s="294"/>
      <c r="G4073" s="295"/>
      <c r="H4073" s="98"/>
      <c r="I4073" s="99"/>
      <c r="J4073" s="99"/>
      <c r="K4073" s="99"/>
      <c r="L4073" s="99"/>
      <c r="M4073" s="99"/>
      <c r="N4073" s="99"/>
      <c r="O4073" s="99"/>
      <c r="P4073" s="99"/>
      <c r="Q4073" s="99"/>
      <c r="R4073" s="99"/>
      <c r="S4073" s="99"/>
      <c r="T4073" s="99"/>
      <c r="U4073" s="99"/>
      <c r="V4073" s="99"/>
    </row>
    <row r="4074" spans="1:22">
      <c r="A4074" s="297"/>
      <c r="B4074" s="217"/>
      <c r="C4074" s="217"/>
      <c r="D4074" s="101"/>
      <c r="E4074" s="101"/>
      <c r="F4074" s="294"/>
      <c r="G4074" s="295"/>
      <c r="H4074" s="98"/>
      <c r="I4074" s="99"/>
      <c r="J4074" s="99"/>
      <c r="K4074" s="99"/>
      <c r="L4074" s="99"/>
      <c r="M4074" s="99"/>
      <c r="N4074" s="99"/>
      <c r="O4074" s="99"/>
      <c r="P4074" s="99"/>
      <c r="Q4074" s="99"/>
      <c r="R4074" s="99"/>
      <c r="S4074" s="99"/>
      <c r="T4074" s="99"/>
      <c r="U4074" s="99"/>
      <c r="V4074" s="99"/>
    </row>
    <row r="4075" spans="1:22">
      <c r="A4075" s="297"/>
      <c r="B4075" s="217"/>
      <c r="C4075" s="217"/>
      <c r="D4075" s="101"/>
      <c r="E4075" s="101"/>
      <c r="F4075" s="294"/>
      <c r="G4075" s="295"/>
      <c r="H4075" s="98"/>
      <c r="I4075" s="99"/>
      <c r="J4075" s="99"/>
      <c r="K4075" s="99"/>
      <c r="L4075" s="99"/>
      <c r="M4075" s="99"/>
      <c r="N4075" s="99"/>
      <c r="O4075" s="99"/>
      <c r="P4075" s="99"/>
      <c r="Q4075" s="99"/>
      <c r="R4075" s="99"/>
      <c r="S4075" s="99"/>
      <c r="T4075" s="99"/>
      <c r="U4075" s="99"/>
      <c r="V4075" s="99"/>
    </row>
    <row r="4076" spans="1:22">
      <c r="A4076" s="297"/>
      <c r="B4076" s="217"/>
      <c r="C4076" s="217"/>
      <c r="D4076" s="101"/>
      <c r="E4076" s="101"/>
      <c r="F4076" s="294"/>
      <c r="G4076" s="295"/>
      <c r="H4076" s="98"/>
      <c r="I4076" s="99"/>
      <c r="J4076" s="99"/>
      <c r="K4076" s="99"/>
      <c r="L4076" s="99"/>
      <c r="M4076" s="99"/>
      <c r="N4076" s="99"/>
      <c r="O4076" s="99"/>
      <c r="P4076" s="99"/>
      <c r="Q4076" s="99"/>
      <c r="R4076" s="99"/>
      <c r="S4076" s="99"/>
      <c r="T4076" s="99"/>
      <c r="U4076" s="99"/>
      <c r="V4076" s="99"/>
    </row>
    <row r="4077" spans="1:22">
      <c r="A4077" s="297"/>
      <c r="B4077" s="217"/>
      <c r="C4077" s="217"/>
      <c r="D4077" s="101"/>
      <c r="E4077" s="101"/>
      <c r="F4077" s="294"/>
      <c r="G4077" s="295"/>
      <c r="H4077" s="98"/>
      <c r="I4077" s="99"/>
      <c r="J4077" s="99"/>
      <c r="K4077" s="99"/>
      <c r="L4077" s="99"/>
      <c r="M4077" s="99"/>
      <c r="N4077" s="99"/>
      <c r="O4077" s="99"/>
      <c r="P4077" s="99"/>
      <c r="Q4077" s="99"/>
      <c r="R4077" s="99"/>
      <c r="S4077" s="99"/>
      <c r="T4077" s="99"/>
      <c r="U4077" s="99"/>
      <c r="V4077" s="99"/>
    </row>
    <row r="4078" spans="1:22" ht="24" customHeight="1">
      <c r="A4078" s="297"/>
      <c r="B4078" s="217"/>
      <c r="C4078" s="217"/>
      <c r="D4078" s="101"/>
      <c r="E4078" s="101"/>
      <c r="F4078" s="294"/>
      <c r="G4078" s="295"/>
      <c r="H4078" s="98"/>
      <c r="I4078" s="99"/>
      <c r="J4078" s="99"/>
      <c r="K4078" s="99"/>
      <c r="L4078" s="99"/>
      <c r="M4078" s="99"/>
      <c r="N4078" s="99"/>
      <c r="O4078" s="99"/>
      <c r="P4078" s="99"/>
      <c r="Q4078" s="99"/>
      <c r="R4078" s="99"/>
      <c r="S4078" s="99"/>
      <c r="T4078" s="99"/>
      <c r="U4078" s="99"/>
      <c r="V4078" s="99"/>
    </row>
    <row r="4079" spans="1:22">
      <c r="A4079" s="297"/>
      <c r="B4079" s="217"/>
      <c r="C4079" s="217"/>
      <c r="D4079" s="101"/>
      <c r="E4079" s="101"/>
      <c r="F4079" s="294"/>
      <c r="G4079" s="295"/>
      <c r="H4079" s="98"/>
      <c r="I4079" s="99"/>
      <c r="J4079" s="99"/>
      <c r="K4079" s="99"/>
      <c r="L4079" s="99"/>
      <c r="M4079" s="99"/>
      <c r="N4079" s="99"/>
      <c r="O4079" s="99"/>
      <c r="P4079" s="99"/>
      <c r="Q4079" s="99"/>
      <c r="R4079" s="99"/>
      <c r="S4079" s="99"/>
      <c r="T4079" s="99"/>
      <c r="U4079" s="99"/>
      <c r="V4079" s="99"/>
    </row>
    <row r="4080" spans="1:22">
      <c r="A4080" s="297"/>
      <c r="B4080" s="217"/>
      <c r="C4080" s="217"/>
      <c r="D4080" s="101"/>
      <c r="E4080" s="101"/>
      <c r="F4080" s="294"/>
      <c r="G4080" s="295"/>
      <c r="H4080" s="98"/>
      <c r="I4080" s="99"/>
      <c r="J4080" s="99"/>
      <c r="K4080" s="99"/>
      <c r="L4080" s="99"/>
      <c r="M4080" s="99"/>
      <c r="N4080" s="99"/>
      <c r="O4080" s="99"/>
      <c r="P4080" s="99"/>
      <c r="Q4080" s="99"/>
      <c r="R4080" s="99"/>
      <c r="S4080" s="99"/>
      <c r="T4080" s="99"/>
      <c r="U4080" s="99"/>
      <c r="V4080" s="99"/>
    </row>
    <row r="4081" spans="1:22">
      <c r="A4081" s="297"/>
      <c r="B4081" s="217"/>
      <c r="C4081" s="217"/>
      <c r="D4081" s="101"/>
      <c r="E4081" s="101"/>
      <c r="F4081" s="294"/>
      <c r="G4081" s="295"/>
      <c r="H4081" s="98"/>
      <c r="I4081" s="99"/>
      <c r="J4081" s="99"/>
      <c r="K4081" s="99"/>
      <c r="L4081" s="99"/>
      <c r="M4081" s="99"/>
      <c r="N4081" s="99"/>
      <c r="O4081" s="99"/>
      <c r="P4081" s="99"/>
      <c r="Q4081" s="99"/>
      <c r="R4081" s="99"/>
      <c r="S4081" s="99"/>
      <c r="T4081" s="99"/>
      <c r="U4081" s="99"/>
      <c r="V4081" s="99"/>
    </row>
    <row r="4082" spans="1:22">
      <c r="A4082" s="297"/>
      <c r="B4082" s="217"/>
      <c r="C4082" s="217"/>
      <c r="D4082" s="101"/>
      <c r="E4082" s="101"/>
      <c r="F4082" s="294"/>
      <c r="G4082" s="295"/>
      <c r="H4082" s="98"/>
      <c r="I4082" s="99"/>
      <c r="J4082" s="99"/>
      <c r="K4082" s="99"/>
      <c r="L4082" s="99"/>
      <c r="M4082" s="99"/>
      <c r="N4082" s="99"/>
      <c r="O4082" s="99"/>
      <c r="P4082" s="99"/>
      <c r="Q4082" s="99"/>
      <c r="R4082" s="99"/>
      <c r="S4082" s="99"/>
      <c r="T4082" s="99"/>
      <c r="U4082" s="99"/>
      <c r="V4082" s="99"/>
    </row>
    <row r="4083" spans="1:22">
      <c r="A4083" s="297"/>
      <c r="B4083" s="217"/>
      <c r="C4083" s="217"/>
      <c r="D4083" s="101"/>
      <c r="E4083" s="101"/>
      <c r="F4083" s="294"/>
      <c r="G4083" s="295"/>
      <c r="H4083" s="98"/>
      <c r="I4083" s="99"/>
      <c r="J4083" s="99"/>
      <c r="K4083" s="99"/>
      <c r="L4083" s="99"/>
      <c r="M4083" s="99"/>
      <c r="N4083" s="99"/>
      <c r="O4083" s="99"/>
      <c r="P4083" s="99"/>
      <c r="Q4083" s="99"/>
      <c r="R4083" s="99"/>
      <c r="S4083" s="99"/>
      <c r="T4083" s="99"/>
      <c r="U4083" s="99"/>
      <c r="V4083" s="99"/>
    </row>
    <row r="4084" spans="1:22">
      <c r="A4084" s="297"/>
      <c r="B4084" s="217"/>
      <c r="C4084" s="217"/>
      <c r="D4084" s="101"/>
      <c r="E4084" s="101"/>
      <c r="F4084" s="294"/>
      <c r="G4084" s="295"/>
      <c r="H4084" s="107"/>
      <c r="I4084" s="108"/>
      <c r="J4084" s="108"/>
      <c r="K4084" s="108"/>
      <c r="L4084" s="108"/>
      <c r="M4084" s="108"/>
      <c r="N4084" s="109"/>
      <c r="O4084" s="109"/>
      <c r="P4084" s="109"/>
      <c r="Q4084" s="109"/>
      <c r="R4084" s="109"/>
      <c r="S4084" s="109"/>
      <c r="T4084" s="109"/>
      <c r="U4084" s="202"/>
      <c r="V4084" s="202"/>
    </row>
    <row r="4085" spans="1:22">
      <c r="A4085" s="297"/>
      <c r="B4085" s="217"/>
      <c r="C4085" s="217"/>
      <c r="D4085" s="101"/>
      <c r="E4085" s="101"/>
      <c r="F4085" s="294"/>
      <c r="G4085" s="295"/>
      <c r="H4085" s="98"/>
      <c r="I4085" s="106"/>
      <c r="J4085" s="106"/>
      <c r="K4085" s="106"/>
      <c r="L4085" s="106"/>
      <c r="M4085" s="106"/>
      <c r="N4085" s="112"/>
      <c r="O4085" s="112"/>
      <c r="P4085" s="112"/>
      <c r="Q4085" s="113"/>
      <c r="R4085" s="113"/>
      <c r="S4085" s="113"/>
      <c r="T4085" s="113"/>
      <c r="U4085" s="113"/>
      <c r="V4085" s="113"/>
    </row>
    <row r="4086" spans="1:22">
      <c r="A4086" s="297"/>
      <c r="B4086" s="217"/>
      <c r="C4086" s="217"/>
      <c r="D4086" s="101"/>
      <c r="E4086" s="101"/>
      <c r="F4086" s="294"/>
      <c r="G4086" s="295"/>
      <c r="H4086" s="98"/>
      <c r="I4086" s="99"/>
      <c r="J4086" s="99"/>
      <c r="K4086" s="99"/>
      <c r="L4086" s="99"/>
      <c r="M4086" s="99"/>
      <c r="N4086" s="99"/>
      <c r="O4086" s="99"/>
      <c r="P4086" s="99"/>
      <c r="Q4086" s="99"/>
      <c r="R4086" s="99"/>
      <c r="S4086" s="99"/>
      <c r="T4086" s="99"/>
      <c r="U4086" s="99"/>
      <c r="V4086" s="99"/>
    </row>
    <row r="4087" spans="1:22">
      <c r="A4087" s="297"/>
      <c r="B4087" s="217"/>
      <c r="C4087" s="217"/>
      <c r="D4087" s="101"/>
      <c r="E4087" s="101"/>
      <c r="F4087" s="294"/>
      <c r="G4087" s="295"/>
      <c r="H4087" s="98"/>
      <c r="I4087" s="99"/>
      <c r="J4087" s="99"/>
      <c r="K4087" s="99"/>
      <c r="L4087" s="99"/>
      <c r="M4087" s="99"/>
      <c r="N4087" s="99"/>
      <c r="O4087" s="99"/>
      <c r="P4087" s="99"/>
      <c r="Q4087" s="99"/>
      <c r="R4087" s="99"/>
      <c r="S4087" s="99"/>
      <c r="T4087" s="99"/>
      <c r="U4087" s="99"/>
      <c r="V4087" s="99"/>
    </row>
    <row r="4088" spans="1:22">
      <c r="A4088" s="297"/>
      <c r="B4088" s="217"/>
      <c r="C4088" s="217"/>
      <c r="D4088" s="101"/>
      <c r="E4088" s="101"/>
      <c r="F4088" s="294"/>
      <c r="G4088" s="295"/>
      <c r="H4088" s="98"/>
      <c r="I4088" s="99"/>
      <c r="J4088" s="99"/>
      <c r="K4088" s="99"/>
      <c r="L4088" s="99"/>
      <c r="M4088" s="99"/>
      <c r="N4088" s="99"/>
      <c r="O4088" s="99"/>
      <c r="P4088" s="99"/>
      <c r="Q4088" s="99"/>
      <c r="R4088" s="99"/>
      <c r="S4088" s="99"/>
      <c r="T4088" s="99"/>
      <c r="U4088" s="99"/>
      <c r="V4088" s="99"/>
    </row>
    <row r="4089" spans="1:22">
      <c r="A4089" s="297"/>
      <c r="B4089" s="217"/>
      <c r="C4089" s="217"/>
      <c r="D4089" s="101"/>
      <c r="E4089" s="101"/>
      <c r="F4089" s="294"/>
      <c r="G4089" s="295"/>
      <c r="H4089" s="98"/>
      <c r="I4089" s="99"/>
      <c r="J4089" s="99"/>
      <c r="K4089" s="99"/>
      <c r="L4089" s="99"/>
      <c r="M4089" s="99"/>
      <c r="N4089" s="99"/>
      <c r="O4089" s="99"/>
      <c r="P4089" s="99"/>
      <c r="Q4089" s="99"/>
      <c r="R4089" s="99"/>
      <c r="S4089" s="99"/>
      <c r="T4089" s="99"/>
      <c r="U4089" s="99"/>
      <c r="V4089" s="99"/>
    </row>
    <row r="4090" spans="1:22">
      <c r="A4090" s="297"/>
      <c r="B4090" s="217"/>
      <c r="C4090" s="217"/>
      <c r="D4090" s="101"/>
      <c r="E4090" s="101"/>
      <c r="F4090" s="294"/>
      <c r="G4090" s="295"/>
      <c r="H4090" s="98"/>
      <c r="I4090" s="99"/>
      <c r="J4090" s="99"/>
      <c r="K4090" s="99"/>
      <c r="L4090" s="99"/>
      <c r="M4090" s="99"/>
      <c r="N4090" s="99"/>
      <c r="O4090" s="99"/>
      <c r="P4090" s="99"/>
      <c r="Q4090" s="99"/>
      <c r="R4090" s="99"/>
      <c r="S4090" s="99"/>
      <c r="T4090" s="99"/>
      <c r="U4090" s="99"/>
      <c r="V4090" s="99"/>
    </row>
    <row r="4091" spans="1:22">
      <c r="A4091" s="297"/>
      <c r="B4091" s="217"/>
      <c r="C4091" s="217"/>
      <c r="D4091" s="101"/>
      <c r="E4091" s="101"/>
      <c r="F4091" s="294"/>
      <c r="G4091" s="295"/>
      <c r="H4091" s="98"/>
      <c r="I4091" s="99"/>
      <c r="J4091" s="99"/>
      <c r="K4091" s="99"/>
      <c r="L4091" s="99"/>
      <c r="M4091" s="99"/>
      <c r="N4091" s="99"/>
      <c r="O4091" s="99"/>
      <c r="P4091" s="99"/>
      <c r="Q4091" s="99"/>
      <c r="R4091" s="99"/>
      <c r="S4091" s="99"/>
      <c r="T4091" s="99"/>
      <c r="U4091" s="99"/>
      <c r="V4091" s="99"/>
    </row>
    <row r="4092" spans="1:22">
      <c r="A4092" s="297"/>
      <c r="B4092" s="217"/>
      <c r="C4092" s="217"/>
      <c r="D4092" s="101"/>
      <c r="E4092" s="101"/>
      <c r="F4092" s="294"/>
      <c r="G4092" s="295"/>
      <c r="H4092" s="98"/>
      <c r="I4092" s="99"/>
      <c r="J4092" s="99"/>
      <c r="K4092" s="99"/>
      <c r="L4092" s="99"/>
      <c r="M4092" s="99"/>
      <c r="N4092" s="99"/>
      <c r="O4092" s="99"/>
      <c r="P4092" s="99"/>
      <c r="Q4092" s="99"/>
      <c r="R4092" s="99"/>
      <c r="S4092" s="99"/>
      <c r="T4092" s="99"/>
      <c r="U4092" s="99"/>
      <c r="V4092" s="99"/>
    </row>
    <row r="4093" spans="1:22">
      <c r="A4093" s="297"/>
      <c r="B4093" s="217"/>
      <c r="C4093" s="217"/>
      <c r="D4093" s="101"/>
      <c r="E4093" s="101"/>
      <c r="F4093" s="294"/>
      <c r="G4093" s="295"/>
      <c r="H4093" s="98"/>
      <c r="I4093" s="99"/>
      <c r="J4093" s="99"/>
      <c r="K4093" s="99"/>
      <c r="L4093" s="99"/>
      <c r="M4093" s="99"/>
      <c r="N4093" s="99"/>
      <c r="O4093" s="99"/>
      <c r="P4093" s="99"/>
      <c r="Q4093" s="99"/>
      <c r="R4093" s="99"/>
      <c r="S4093" s="99"/>
      <c r="T4093" s="99"/>
      <c r="U4093" s="99"/>
      <c r="V4093" s="99"/>
    </row>
    <row r="4094" spans="1:22">
      <c r="A4094" s="297"/>
      <c r="B4094" s="217"/>
      <c r="C4094" s="217"/>
      <c r="D4094" s="101"/>
      <c r="E4094" s="101"/>
      <c r="F4094" s="294"/>
      <c r="G4094" s="295"/>
      <c r="H4094" s="98"/>
      <c r="I4094" s="99"/>
      <c r="J4094" s="99"/>
      <c r="K4094" s="99"/>
      <c r="L4094" s="99"/>
      <c r="M4094" s="99"/>
      <c r="N4094" s="99"/>
      <c r="O4094" s="99"/>
      <c r="P4094" s="99"/>
      <c r="Q4094" s="99"/>
      <c r="R4094" s="99"/>
      <c r="S4094" s="99"/>
      <c r="T4094" s="99"/>
      <c r="U4094" s="99"/>
      <c r="V4094" s="99"/>
    </row>
    <row r="4095" spans="1:22">
      <c r="A4095" s="297"/>
      <c r="B4095" s="217"/>
      <c r="C4095" s="217"/>
      <c r="D4095" s="101"/>
      <c r="E4095" s="101"/>
      <c r="F4095" s="294"/>
      <c r="G4095" s="295"/>
      <c r="H4095" s="98"/>
      <c r="I4095" s="99"/>
      <c r="J4095" s="99"/>
      <c r="K4095" s="99"/>
      <c r="L4095" s="99"/>
      <c r="M4095" s="99"/>
      <c r="N4095" s="99"/>
      <c r="O4095" s="99"/>
      <c r="P4095" s="99"/>
      <c r="Q4095" s="99"/>
      <c r="R4095" s="99"/>
      <c r="S4095" s="99"/>
      <c r="T4095" s="99"/>
      <c r="U4095" s="99"/>
      <c r="V4095" s="99"/>
    </row>
    <row r="4096" spans="1:22">
      <c r="A4096" s="297"/>
      <c r="B4096" s="217"/>
      <c r="C4096" s="217"/>
      <c r="D4096" s="101"/>
      <c r="E4096" s="101"/>
      <c r="F4096" s="294"/>
      <c r="G4096" s="295"/>
      <c r="H4096" s="98"/>
      <c r="I4096" s="99"/>
      <c r="J4096" s="99"/>
      <c r="K4096" s="99"/>
      <c r="L4096" s="99"/>
      <c r="M4096" s="99"/>
      <c r="N4096" s="99"/>
      <c r="O4096" s="99"/>
      <c r="P4096" s="99"/>
      <c r="Q4096" s="99"/>
      <c r="R4096" s="99"/>
      <c r="S4096" s="99"/>
      <c r="T4096" s="99"/>
      <c r="U4096" s="99"/>
      <c r="V4096" s="99"/>
    </row>
    <row r="4097" spans="1:22">
      <c r="A4097" s="297"/>
      <c r="B4097" s="217"/>
      <c r="C4097" s="217"/>
      <c r="D4097" s="101"/>
      <c r="E4097" s="101"/>
      <c r="F4097" s="294"/>
      <c r="G4097" s="295"/>
      <c r="H4097" s="98"/>
      <c r="I4097" s="99"/>
      <c r="J4097" s="99"/>
      <c r="K4097" s="99"/>
      <c r="L4097" s="99"/>
      <c r="M4097" s="99"/>
      <c r="N4097" s="99"/>
      <c r="O4097" s="99"/>
      <c r="P4097" s="99"/>
      <c r="Q4097" s="99"/>
      <c r="R4097" s="99"/>
      <c r="S4097" s="99"/>
      <c r="T4097" s="99"/>
      <c r="U4097" s="99"/>
      <c r="V4097" s="99"/>
    </row>
    <row r="4098" spans="1:22">
      <c r="A4098" s="297"/>
      <c r="B4098" s="217"/>
      <c r="C4098" s="217"/>
      <c r="D4098" s="101"/>
      <c r="E4098" s="101"/>
      <c r="F4098" s="294"/>
      <c r="G4098" s="295"/>
      <c r="H4098" s="98"/>
      <c r="I4098" s="99"/>
      <c r="J4098" s="99"/>
      <c r="K4098" s="99"/>
      <c r="L4098" s="99"/>
      <c r="M4098" s="99"/>
      <c r="N4098" s="99"/>
      <c r="O4098" s="99"/>
      <c r="P4098" s="99"/>
      <c r="Q4098" s="99"/>
      <c r="R4098" s="99"/>
      <c r="S4098" s="99"/>
      <c r="T4098" s="99"/>
      <c r="U4098" s="99"/>
      <c r="V4098" s="99"/>
    </row>
    <row r="4099" spans="1:22">
      <c r="A4099" s="297"/>
      <c r="B4099" s="217"/>
      <c r="C4099" s="217"/>
      <c r="D4099" s="101"/>
      <c r="E4099" s="101"/>
      <c r="F4099" s="294"/>
      <c r="G4099" s="295"/>
      <c r="H4099" s="98"/>
      <c r="I4099" s="99"/>
      <c r="J4099" s="99"/>
      <c r="K4099" s="99"/>
      <c r="L4099" s="99"/>
      <c r="M4099" s="99"/>
      <c r="N4099" s="99"/>
      <c r="O4099" s="99"/>
      <c r="P4099" s="99"/>
      <c r="Q4099" s="99"/>
      <c r="R4099" s="99"/>
      <c r="S4099" s="99"/>
      <c r="T4099" s="99"/>
      <c r="U4099" s="99"/>
      <c r="V4099" s="99"/>
    </row>
    <row r="4100" spans="1:22">
      <c r="A4100" s="297"/>
      <c r="B4100" s="217"/>
      <c r="C4100" s="217"/>
      <c r="D4100" s="101"/>
      <c r="E4100" s="101"/>
      <c r="F4100" s="294"/>
      <c r="G4100" s="295"/>
      <c r="H4100" s="98"/>
      <c r="I4100" s="99"/>
      <c r="J4100" s="99"/>
      <c r="K4100" s="99"/>
      <c r="L4100" s="99"/>
      <c r="M4100" s="99"/>
      <c r="N4100" s="99"/>
      <c r="O4100" s="99"/>
      <c r="P4100" s="99"/>
      <c r="Q4100" s="99"/>
      <c r="R4100" s="99"/>
      <c r="S4100" s="99"/>
      <c r="T4100" s="99"/>
      <c r="U4100" s="99"/>
      <c r="V4100" s="99"/>
    </row>
    <row r="4101" spans="1:22">
      <c r="A4101" s="297"/>
      <c r="B4101" s="217"/>
      <c r="C4101" s="217"/>
      <c r="D4101" s="101"/>
      <c r="E4101" s="101"/>
      <c r="F4101" s="294"/>
      <c r="G4101" s="295"/>
      <c r="H4101" s="98"/>
      <c r="I4101" s="99"/>
      <c r="J4101" s="99"/>
      <c r="K4101" s="99"/>
      <c r="L4101" s="99"/>
      <c r="M4101" s="99"/>
      <c r="N4101" s="99"/>
      <c r="O4101" s="99"/>
      <c r="P4101" s="99"/>
      <c r="Q4101" s="99"/>
      <c r="R4101" s="99"/>
      <c r="S4101" s="99"/>
      <c r="T4101" s="99"/>
      <c r="U4101" s="99"/>
      <c r="V4101" s="99"/>
    </row>
    <row r="4102" spans="1:22">
      <c r="A4102" s="297"/>
      <c r="B4102" s="217"/>
      <c r="C4102" s="217"/>
      <c r="D4102" s="101"/>
      <c r="E4102" s="101"/>
      <c r="F4102" s="294"/>
      <c r="G4102" s="295"/>
      <c r="H4102" s="98"/>
      <c r="I4102" s="99"/>
      <c r="J4102" s="99"/>
      <c r="K4102" s="99"/>
      <c r="L4102" s="99"/>
      <c r="M4102" s="99"/>
      <c r="N4102" s="99"/>
      <c r="O4102" s="99"/>
      <c r="P4102" s="99"/>
      <c r="Q4102" s="99"/>
      <c r="R4102" s="99"/>
      <c r="S4102" s="99"/>
      <c r="T4102" s="99"/>
      <c r="U4102" s="99"/>
      <c r="V4102" s="99"/>
    </row>
    <row r="4103" spans="1:22">
      <c r="A4103" s="297"/>
      <c r="B4103" s="217"/>
      <c r="C4103" s="217"/>
      <c r="D4103" s="101"/>
      <c r="E4103" s="101"/>
      <c r="F4103" s="294"/>
      <c r="G4103" s="295"/>
      <c r="H4103" s="98"/>
      <c r="I4103" s="99"/>
      <c r="J4103" s="99"/>
      <c r="K4103" s="99"/>
      <c r="L4103" s="99"/>
      <c r="M4103" s="99"/>
      <c r="N4103" s="99"/>
      <c r="O4103" s="99"/>
      <c r="P4103" s="99"/>
      <c r="Q4103" s="99"/>
      <c r="R4103" s="99"/>
      <c r="S4103" s="99"/>
      <c r="T4103" s="99"/>
      <c r="U4103" s="99"/>
      <c r="V4103" s="99"/>
    </row>
    <row r="4104" spans="1:22">
      <c r="A4104" s="297"/>
      <c r="B4104" s="217"/>
      <c r="C4104" s="217"/>
      <c r="D4104" s="101"/>
      <c r="E4104" s="101"/>
      <c r="F4104" s="294"/>
      <c r="G4104" s="295"/>
      <c r="H4104" s="98"/>
      <c r="I4104" s="99"/>
      <c r="J4104" s="99"/>
      <c r="K4104" s="99"/>
      <c r="L4104" s="99"/>
      <c r="M4104" s="99"/>
      <c r="N4104" s="99"/>
      <c r="O4104" s="99"/>
      <c r="P4104" s="99"/>
      <c r="Q4104" s="99"/>
      <c r="R4104" s="99"/>
      <c r="S4104" s="99"/>
      <c r="T4104" s="99"/>
      <c r="U4104" s="99"/>
      <c r="V4104" s="99"/>
    </row>
    <row r="4105" spans="1:22">
      <c r="A4105" s="297"/>
      <c r="B4105" s="217"/>
      <c r="C4105" s="217"/>
      <c r="D4105" s="101"/>
      <c r="E4105" s="101"/>
      <c r="F4105" s="294"/>
      <c r="G4105" s="295"/>
      <c r="H4105" s="98"/>
      <c r="I4105" s="99"/>
      <c r="J4105" s="99"/>
      <c r="K4105" s="99"/>
      <c r="L4105" s="99"/>
      <c r="M4105" s="99"/>
      <c r="N4105" s="99"/>
      <c r="O4105" s="99"/>
      <c r="P4105" s="99"/>
      <c r="Q4105" s="99"/>
      <c r="R4105" s="99"/>
      <c r="S4105" s="99"/>
      <c r="T4105" s="99"/>
      <c r="U4105" s="99"/>
      <c r="V4105" s="99"/>
    </row>
    <row r="4106" spans="1:22">
      <c r="A4106" s="297"/>
      <c r="B4106" s="217"/>
      <c r="C4106" s="217"/>
      <c r="D4106" s="101"/>
      <c r="E4106" s="101"/>
      <c r="F4106" s="294"/>
      <c r="G4106" s="295"/>
      <c r="H4106" s="98"/>
      <c r="I4106" s="99"/>
      <c r="J4106" s="99"/>
      <c r="K4106" s="99"/>
      <c r="L4106" s="99"/>
      <c r="M4106" s="99"/>
      <c r="N4106" s="99"/>
      <c r="O4106" s="99"/>
      <c r="P4106" s="99"/>
      <c r="Q4106" s="99"/>
      <c r="R4106" s="99"/>
      <c r="S4106" s="99"/>
      <c r="T4106" s="99"/>
      <c r="U4106" s="99"/>
      <c r="V4106" s="99"/>
    </row>
    <row r="4107" spans="1:22">
      <c r="A4107" s="297"/>
      <c r="B4107" s="217"/>
      <c r="C4107" s="217"/>
      <c r="D4107" s="101"/>
      <c r="E4107" s="101"/>
      <c r="F4107" s="294"/>
      <c r="G4107" s="295"/>
      <c r="H4107" s="107"/>
      <c r="I4107" s="109"/>
      <c r="J4107" s="109"/>
      <c r="K4107" s="109"/>
      <c r="L4107" s="109"/>
      <c r="M4107" s="109"/>
      <c r="N4107" s="109"/>
      <c r="O4107" s="109"/>
      <c r="P4107" s="109"/>
      <c r="Q4107" s="109"/>
      <c r="R4107" s="109"/>
      <c r="S4107" s="109"/>
      <c r="T4107" s="109"/>
      <c r="U4107" s="202"/>
      <c r="V4107" s="202"/>
    </row>
    <row r="4108" spans="1:22">
      <c r="A4108" s="297"/>
      <c r="B4108" s="217"/>
      <c r="C4108" s="217"/>
      <c r="D4108" s="101"/>
      <c r="E4108" s="101"/>
      <c r="F4108" s="294"/>
      <c r="G4108" s="295"/>
      <c r="H4108" s="98"/>
      <c r="I4108" s="106"/>
      <c r="J4108" s="106"/>
      <c r="K4108" s="106"/>
      <c r="L4108" s="106"/>
      <c r="M4108" s="106"/>
      <c r="N4108" s="112"/>
      <c r="O4108" s="112"/>
      <c r="P4108" s="112"/>
      <c r="Q4108" s="113"/>
      <c r="R4108" s="113"/>
      <c r="S4108" s="113"/>
      <c r="T4108" s="113"/>
      <c r="U4108" s="113"/>
      <c r="V4108" s="113"/>
    </row>
    <row r="4109" spans="1:22">
      <c r="A4109" s="297"/>
      <c r="B4109" s="217"/>
      <c r="C4109" s="217"/>
      <c r="D4109" s="101"/>
      <c r="E4109" s="101"/>
      <c r="F4109" s="294"/>
      <c r="G4109" s="295"/>
      <c r="H4109" s="98"/>
      <c r="I4109" s="99"/>
      <c r="J4109" s="99"/>
      <c r="K4109" s="99"/>
      <c r="L4109" s="99"/>
      <c r="M4109" s="99"/>
      <c r="N4109" s="99"/>
      <c r="O4109" s="99"/>
      <c r="P4109" s="99"/>
      <c r="Q4109" s="99"/>
      <c r="R4109" s="99"/>
      <c r="S4109" s="99"/>
      <c r="T4109" s="99"/>
      <c r="U4109" s="99"/>
      <c r="V4109" s="99"/>
    </row>
    <row r="4110" spans="1:22">
      <c r="A4110" s="297"/>
      <c r="B4110" s="217"/>
      <c r="C4110" s="217"/>
      <c r="D4110" s="101"/>
      <c r="E4110" s="101"/>
      <c r="F4110" s="294"/>
      <c r="G4110" s="295"/>
      <c r="H4110" s="98"/>
      <c r="I4110" s="99"/>
      <c r="J4110" s="99"/>
      <c r="K4110" s="99"/>
      <c r="L4110" s="99"/>
      <c r="M4110" s="99"/>
      <c r="N4110" s="99"/>
      <c r="O4110" s="99"/>
      <c r="P4110" s="99"/>
      <c r="Q4110" s="99"/>
      <c r="R4110" s="99"/>
      <c r="S4110" s="99"/>
      <c r="T4110" s="99"/>
      <c r="U4110" s="99"/>
      <c r="V4110" s="99"/>
    </row>
    <row r="4111" spans="1:22">
      <c r="A4111" s="297"/>
      <c r="B4111" s="217"/>
      <c r="C4111" s="217"/>
      <c r="D4111" s="101"/>
      <c r="E4111" s="101"/>
      <c r="F4111" s="294"/>
      <c r="G4111" s="295"/>
      <c r="H4111" s="98"/>
      <c r="I4111" s="99"/>
      <c r="J4111" s="99"/>
      <c r="K4111" s="99"/>
      <c r="L4111" s="99"/>
      <c r="M4111" s="99"/>
      <c r="N4111" s="99"/>
      <c r="O4111" s="99"/>
      <c r="P4111" s="99"/>
      <c r="Q4111" s="99"/>
      <c r="R4111" s="99"/>
      <c r="S4111" s="99"/>
      <c r="T4111" s="99"/>
      <c r="U4111" s="99"/>
      <c r="V4111" s="99"/>
    </row>
    <row r="4112" spans="1:22">
      <c r="A4112" s="297"/>
      <c r="B4112" s="217"/>
      <c r="C4112" s="217"/>
      <c r="D4112" s="101"/>
      <c r="E4112" s="101"/>
      <c r="F4112" s="294"/>
      <c r="G4112" s="295"/>
      <c r="H4112" s="98"/>
      <c r="I4112" s="99"/>
      <c r="J4112" s="99"/>
      <c r="K4112" s="99"/>
      <c r="L4112" s="99"/>
      <c r="M4112" s="99"/>
      <c r="N4112" s="99"/>
      <c r="O4112" s="99"/>
      <c r="P4112" s="99"/>
      <c r="Q4112" s="99"/>
      <c r="R4112" s="99"/>
      <c r="S4112" s="99"/>
      <c r="T4112" s="99"/>
      <c r="U4112" s="99"/>
      <c r="V4112" s="99"/>
    </row>
    <row r="4113" spans="1:22">
      <c r="A4113" s="297"/>
      <c r="B4113" s="217"/>
      <c r="C4113" s="217"/>
      <c r="D4113" s="101"/>
      <c r="E4113" s="101"/>
      <c r="F4113" s="294"/>
      <c r="G4113" s="295"/>
      <c r="H4113" s="98"/>
      <c r="I4113" s="99"/>
      <c r="J4113" s="99"/>
      <c r="K4113" s="99"/>
      <c r="L4113" s="99"/>
      <c r="M4113" s="99"/>
      <c r="N4113" s="99"/>
      <c r="O4113" s="99"/>
      <c r="P4113" s="99"/>
      <c r="Q4113" s="99"/>
      <c r="R4113" s="99"/>
      <c r="S4113" s="99"/>
      <c r="T4113" s="99"/>
      <c r="U4113" s="99"/>
      <c r="V4113" s="99"/>
    </row>
    <row r="4114" spans="1:22">
      <c r="A4114" s="297"/>
      <c r="B4114" s="217"/>
      <c r="C4114" s="217"/>
      <c r="D4114" s="101"/>
      <c r="E4114" s="101"/>
      <c r="F4114" s="294"/>
      <c r="G4114" s="295"/>
      <c r="H4114" s="98"/>
      <c r="I4114" s="99"/>
      <c r="J4114" s="99"/>
      <c r="K4114" s="99"/>
      <c r="L4114" s="99"/>
      <c r="M4114" s="99"/>
      <c r="N4114" s="99"/>
      <c r="O4114" s="99"/>
      <c r="P4114" s="99"/>
      <c r="Q4114" s="99"/>
      <c r="R4114" s="99"/>
      <c r="S4114" s="99"/>
      <c r="T4114" s="99"/>
      <c r="U4114" s="99"/>
      <c r="V4114" s="99"/>
    </row>
    <row r="4115" spans="1:22">
      <c r="A4115" s="297"/>
      <c r="B4115" s="217"/>
      <c r="C4115" s="217"/>
      <c r="D4115" s="101"/>
      <c r="E4115" s="101"/>
      <c r="F4115" s="294"/>
      <c r="G4115" s="295"/>
      <c r="H4115" s="98"/>
      <c r="I4115" s="99"/>
      <c r="J4115" s="99"/>
      <c r="K4115" s="99"/>
      <c r="L4115" s="99"/>
      <c r="M4115" s="99"/>
      <c r="N4115" s="99"/>
      <c r="O4115" s="99"/>
      <c r="P4115" s="99"/>
      <c r="Q4115" s="99"/>
      <c r="R4115" s="99"/>
      <c r="S4115" s="99"/>
      <c r="T4115" s="99"/>
      <c r="U4115" s="99"/>
      <c r="V4115" s="99"/>
    </row>
    <row r="4116" spans="1:22">
      <c r="A4116" s="297"/>
      <c r="B4116" s="217"/>
      <c r="C4116" s="217"/>
      <c r="D4116" s="101"/>
      <c r="E4116" s="101"/>
      <c r="F4116" s="294"/>
      <c r="G4116" s="295"/>
      <c r="H4116" s="98"/>
      <c r="I4116" s="99"/>
      <c r="J4116" s="99"/>
      <c r="K4116" s="99"/>
      <c r="L4116" s="99"/>
      <c r="M4116" s="99"/>
      <c r="N4116" s="99"/>
      <c r="O4116" s="99"/>
      <c r="P4116" s="99"/>
      <c r="Q4116" s="99"/>
      <c r="R4116" s="99"/>
      <c r="S4116" s="99"/>
      <c r="T4116" s="99"/>
      <c r="U4116" s="99"/>
      <c r="V4116" s="99"/>
    </row>
    <row r="4117" spans="1:22">
      <c r="A4117" s="297"/>
      <c r="B4117" s="217"/>
      <c r="C4117" s="217"/>
      <c r="D4117" s="101"/>
      <c r="E4117" s="101"/>
      <c r="F4117" s="294"/>
      <c r="G4117" s="295"/>
      <c r="H4117" s="98"/>
      <c r="I4117" s="99"/>
      <c r="J4117" s="99"/>
      <c r="K4117" s="99"/>
      <c r="L4117" s="99"/>
      <c r="M4117" s="99"/>
      <c r="N4117" s="99"/>
      <c r="O4117" s="99"/>
      <c r="P4117" s="99"/>
      <c r="Q4117" s="99"/>
      <c r="R4117" s="99"/>
      <c r="S4117" s="99"/>
      <c r="T4117" s="99"/>
      <c r="U4117" s="99"/>
      <c r="V4117" s="99"/>
    </row>
    <row r="4118" spans="1:22">
      <c r="A4118" s="297"/>
      <c r="B4118" s="217"/>
      <c r="C4118" s="217"/>
      <c r="D4118" s="101"/>
      <c r="E4118" s="101"/>
      <c r="F4118" s="294"/>
      <c r="G4118" s="295"/>
      <c r="H4118" s="98"/>
      <c r="I4118" s="99"/>
      <c r="J4118" s="99"/>
      <c r="K4118" s="99"/>
      <c r="L4118" s="99"/>
      <c r="M4118" s="99"/>
      <c r="N4118" s="99"/>
      <c r="O4118" s="99"/>
      <c r="P4118" s="99"/>
      <c r="Q4118" s="99"/>
      <c r="R4118" s="99"/>
      <c r="S4118" s="99"/>
      <c r="T4118" s="99"/>
      <c r="U4118" s="99"/>
      <c r="V4118" s="99"/>
    </row>
    <row r="4119" spans="1:22">
      <c r="A4119" s="297"/>
      <c r="B4119" s="217"/>
      <c r="C4119" s="217"/>
      <c r="D4119" s="101"/>
      <c r="E4119" s="101"/>
      <c r="F4119" s="294"/>
      <c r="G4119" s="295"/>
      <c r="H4119" s="98"/>
      <c r="I4119" s="99"/>
      <c r="J4119" s="99"/>
      <c r="K4119" s="99"/>
      <c r="L4119" s="99"/>
      <c r="M4119" s="99"/>
      <c r="N4119" s="99"/>
      <c r="O4119" s="99"/>
      <c r="P4119" s="99"/>
      <c r="Q4119" s="99"/>
      <c r="R4119" s="99"/>
      <c r="S4119" s="99"/>
      <c r="T4119" s="99"/>
      <c r="U4119" s="99"/>
      <c r="V4119" s="99"/>
    </row>
    <row r="4120" spans="1:22">
      <c r="A4120" s="297"/>
      <c r="B4120" s="217"/>
      <c r="C4120" s="217"/>
      <c r="D4120" s="101"/>
      <c r="E4120" s="101"/>
      <c r="F4120" s="294"/>
      <c r="G4120" s="295"/>
      <c r="H4120" s="98"/>
      <c r="I4120" s="99"/>
      <c r="J4120" s="99"/>
      <c r="K4120" s="99"/>
      <c r="L4120" s="99"/>
      <c r="M4120" s="99"/>
      <c r="N4120" s="99"/>
      <c r="O4120" s="99"/>
      <c r="P4120" s="99"/>
      <c r="Q4120" s="99"/>
      <c r="R4120" s="99"/>
      <c r="S4120" s="99"/>
      <c r="T4120" s="99"/>
      <c r="U4120" s="99"/>
      <c r="V4120" s="99"/>
    </row>
    <row r="4121" spans="1:22">
      <c r="A4121" s="297"/>
      <c r="B4121" s="217"/>
      <c r="C4121" s="217"/>
      <c r="D4121" s="101"/>
      <c r="E4121" s="101"/>
      <c r="F4121" s="294"/>
      <c r="G4121" s="295"/>
      <c r="H4121" s="98"/>
      <c r="I4121" s="99"/>
      <c r="J4121" s="99"/>
      <c r="K4121" s="99"/>
      <c r="L4121" s="99"/>
      <c r="M4121" s="99"/>
      <c r="N4121" s="99"/>
      <c r="O4121" s="99"/>
      <c r="P4121" s="99"/>
      <c r="Q4121" s="99"/>
      <c r="R4121" s="99"/>
      <c r="S4121" s="99"/>
      <c r="T4121" s="99"/>
      <c r="U4121" s="99"/>
      <c r="V4121" s="99"/>
    </row>
    <row r="4122" spans="1:22">
      <c r="A4122" s="297"/>
      <c r="B4122" s="217"/>
      <c r="C4122" s="217"/>
      <c r="D4122" s="101"/>
      <c r="E4122" s="101"/>
      <c r="F4122" s="294"/>
      <c r="G4122" s="295"/>
      <c r="H4122" s="98"/>
      <c r="I4122" s="99"/>
      <c r="J4122" s="99"/>
      <c r="K4122" s="99"/>
      <c r="L4122" s="99"/>
      <c r="M4122" s="99"/>
      <c r="N4122" s="99"/>
      <c r="O4122" s="99"/>
      <c r="P4122" s="99"/>
      <c r="Q4122" s="99"/>
      <c r="R4122" s="99"/>
      <c r="S4122" s="99"/>
      <c r="T4122" s="99"/>
      <c r="U4122" s="99"/>
      <c r="V4122" s="99"/>
    </row>
    <row r="4123" spans="1:22">
      <c r="A4123" s="297"/>
      <c r="B4123" s="217"/>
      <c r="C4123" s="217"/>
      <c r="D4123" s="101"/>
      <c r="E4123" s="101"/>
      <c r="F4123" s="294"/>
      <c r="G4123" s="295"/>
      <c r="H4123" s="98"/>
      <c r="I4123" s="99"/>
      <c r="J4123" s="99"/>
      <c r="K4123" s="99"/>
      <c r="L4123" s="99"/>
      <c r="M4123" s="99"/>
      <c r="N4123" s="99"/>
      <c r="O4123" s="99"/>
      <c r="P4123" s="99"/>
      <c r="Q4123" s="99"/>
      <c r="R4123" s="99"/>
      <c r="S4123" s="99"/>
      <c r="T4123" s="99"/>
      <c r="U4123" s="99"/>
      <c r="V4123" s="99"/>
    </row>
    <row r="4124" spans="1:22">
      <c r="A4124" s="297"/>
      <c r="B4124" s="217"/>
      <c r="C4124" s="217"/>
      <c r="D4124" s="101"/>
      <c r="E4124" s="101"/>
      <c r="F4124" s="294"/>
      <c r="G4124" s="295"/>
      <c r="H4124" s="98"/>
      <c r="I4124" s="99"/>
      <c r="J4124" s="99"/>
      <c r="K4124" s="99"/>
      <c r="L4124" s="99"/>
      <c r="M4124" s="99"/>
      <c r="N4124" s="99"/>
      <c r="O4124" s="99"/>
      <c r="P4124" s="99"/>
      <c r="Q4124" s="99"/>
      <c r="R4124" s="99"/>
      <c r="S4124" s="99"/>
      <c r="T4124" s="99"/>
      <c r="U4124" s="99"/>
      <c r="V4124" s="99"/>
    </row>
    <row r="4125" spans="1:22">
      <c r="A4125" s="297"/>
      <c r="B4125" s="217"/>
      <c r="C4125" s="217"/>
      <c r="D4125" s="101"/>
      <c r="E4125" s="101"/>
      <c r="F4125" s="294"/>
      <c r="G4125" s="295"/>
      <c r="H4125" s="98"/>
      <c r="I4125" s="99"/>
      <c r="J4125" s="99"/>
      <c r="K4125" s="99"/>
      <c r="L4125" s="99"/>
      <c r="M4125" s="99"/>
      <c r="N4125" s="99"/>
      <c r="O4125" s="99"/>
      <c r="P4125" s="99"/>
      <c r="Q4125" s="99"/>
      <c r="R4125" s="99"/>
      <c r="S4125" s="99"/>
      <c r="T4125" s="99"/>
      <c r="U4125" s="99"/>
      <c r="V4125" s="99"/>
    </row>
    <row r="4126" spans="1:22">
      <c r="A4126" s="297"/>
      <c r="B4126" s="217"/>
      <c r="C4126" s="217"/>
      <c r="D4126" s="101"/>
      <c r="E4126" s="101"/>
      <c r="F4126" s="294"/>
      <c r="G4126" s="295"/>
      <c r="H4126" s="98"/>
      <c r="I4126" s="99"/>
      <c r="J4126" s="99"/>
      <c r="K4126" s="99"/>
      <c r="L4126" s="99"/>
      <c r="M4126" s="99"/>
      <c r="N4126" s="99"/>
      <c r="O4126" s="99"/>
      <c r="P4126" s="99"/>
      <c r="Q4126" s="99"/>
      <c r="R4126" s="99"/>
      <c r="S4126" s="99"/>
      <c r="T4126" s="99"/>
      <c r="U4126" s="99"/>
      <c r="V4126" s="99"/>
    </row>
    <row r="4127" spans="1:22">
      <c r="A4127" s="297"/>
      <c r="B4127" s="217"/>
      <c r="C4127" s="217"/>
      <c r="D4127" s="101"/>
      <c r="E4127" s="101"/>
      <c r="F4127" s="294"/>
      <c r="G4127" s="295"/>
      <c r="H4127" s="98"/>
      <c r="I4127" s="99"/>
      <c r="J4127" s="99"/>
      <c r="K4127" s="99"/>
      <c r="L4127" s="99"/>
      <c r="M4127" s="99"/>
      <c r="N4127" s="99"/>
      <c r="O4127" s="99"/>
      <c r="P4127" s="99"/>
      <c r="Q4127" s="99"/>
      <c r="R4127" s="99"/>
      <c r="S4127" s="99"/>
      <c r="T4127" s="99"/>
      <c r="U4127" s="99"/>
      <c r="V4127" s="99"/>
    </row>
    <row r="4128" spans="1:22">
      <c r="A4128" s="297"/>
      <c r="B4128" s="217"/>
      <c r="C4128" s="217"/>
      <c r="D4128" s="101"/>
      <c r="E4128" s="101"/>
      <c r="F4128" s="294"/>
      <c r="G4128" s="295"/>
      <c r="H4128" s="98"/>
      <c r="I4128" s="99"/>
      <c r="J4128" s="99"/>
      <c r="K4128" s="99"/>
      <c r="L4128" s="99"/>
      <c r="M4128" s="99"/>
      <c r="N4128" s="99"/>
      <c r="O4128" s="99"/>
      <c r="P4128" s="99"/>
      <c r="Q4128" s="99"/>
      <c r="R4128" s="99"/>
      <c r="S4128" s="99"/>
      <c r="T4128" s="99"/>
      <c r="U4128" s="99"/>
      <c r="V4128" s="99"/>
    </row>
    <row r="4129" spans="1:22">
      <c r="A4129" s="297"/>
      <c r="B4129" s="217"/>
      <c r="C4129" s="217"/>
      <c r="D4129" s="101"/>
      <c r="E4129" s="101"/>
      <c r="F4129" s="294"/>
      <c r="G4129" s="295"/>
      <c r="H4129" s="98"/>
      <c r="I4129" s="99"/>
      <c r="J4129" s="99"/>
      <c r="K4129" s="99"/>
      <c r="L4129" s="99"/>
      <c r="M4129" s="99"/>
      <c r="N4129" s="99"/>
      <c r="O4129" s="99"/>
      <c r="P4129" s="99"/>
      <c r="Q4129" s="99"/>
      <c r="R4129" s="99"/>
      <c r="S4129" s="99"/>
      <c r="T4129" s="99"/>
      <c r="U4129" s="99"/>
      <c r="V4129" s="99"/>
    </row>
    <row r="4130" spans="1:22">
      <c r="A4130" s="297"/>
      <c r="B4130" s="217"/>
      <c r="C4130" s="217"/>
      <c r="D4130" s="101"/>
      <c r="E4130" s="101"/>
      <c r="F4130" s="294"/>
      <c r="G4130" s="295"/>
      <c r="H4130" s="98"/>
      <c r="I4130" s="99"/>
      <c r="J4130" s="99"/>
      <c r="K4130" s="99"/>
      <c r="L4130" s="99"/>
      <c r="M4130" s="99"/>
      <c r="N4130" s="99"/>
      <c r="O4130" s="99"/>
      <c r="P4130" s="99"/>
      <c r="Q4130" s="99"/>
      <c r="R4130" s="99"/>
      <c r="S4130" s="99"/>
      <c r="T4130" s="99"/>
      <c r="U4130" s="99"/>
      <c r="V4130" s="99"/>
    </row>
    <row r="4131" spans="1:22">
      <c r="A4131" s="297"/>
      <c r="B4131" s="217"/>
      <c r="C4131" s="217"/>
      <c r="D4131" s="101"/>
      <c r="E4131" s="101"/>
      <c r="F4131" s="294"/>
      <c r="G4131" s="295"/>
      <c r="H4131" s="98"/>
      <c r="I4131" s="99"/>
      <c r="J4131" s="99"/>
      <c r="K4131" s="99"/>
      <c r="L4131" s="99"/>
      <c r="M4131" s="99"/>
      <c r="N4131" s="99"/>
      <c r="O4131" s="99"/>
      <c r="P4131" s="99"/>
      <c r="Q4131" s="99"/>
      <c r="R4131" s="99"/>
      <c r="S4131" s="99"/>
      <c r="T4131" s="99"/>
      <c r="U4131" s="99"/>
      <c r="V4131" s="99"/>
    </row>
    <row r="4132" spans="1:22">
      <c r="A4132" s="297"/>
      <c r="B4132" s="217"/>
      <c r="C4132" s="217"/>
      <c r="D4132" s="101"/>
      <c r="E4132" s="101"/>
      <c r="F4132" s="294"/>
      <c r="G4132" s="295"/>
      <c r="H4132" s="98"/>
      <c r="I4132" s="99"/>
      <c r="J4132" s="99"/>
      <c r="K4132" s="99"/>
      <c r="L4132" s="99"/>
      <c r="M4132" s="99"/>
      <c r="N4132" s="99"/>
      <c r="O4132" s="99"/>
      <c r="P4132" s="99"/>
      <c r="Q4132" s="99"/>
      <c r="R4132" s="99"/>
      <c r="S4132" s="99"/>
      <c r="T4132" s="99"/>
      <c r="U4132" s="99"/>
      <c r="V4132" s="99"/>
    </row>
    <row r="4133" spans="1:22">
      <c r="A4133" s="297"/>
      <c r="B4133" s="217"/>
      <c r="C4133" s="217"/>
      <c r="D4133" s="101"/>
      <c r="E4133" s="101"/>
      <c r="F4133" s="294"/>
      <c r="G4133" s="295"/>
      <c r="H4133" s="98"/>
      <c r="I4133" s="99"/>
      <c r="J4133" s="99"/>
      <c r="K4133" s="99"/>
      <c r="L4133" s="99"/>
      <c r="M4133" s="99"/>
      <c r="N4133" s="99"/>
      <c r="O4133" s="99"/>
      <c r="P4133" s="99"/>
      <c r="Q4133" s="99"/>
      <c r="R4133" s="99"/>
      <c r="S4133" s="99"/>
      <c r="T4133" s="99"/>
      <c r="U4133" s="99"/>
      <c r="V4133" s="99"/>
    </row>
    <row r="4134" spans="1:22">
      <c r="A4134" s="297"/>
      <c r="B4134" s="217"/>
      <c r="C4134" s="217"/>
      <c r="D4134" s="101"/>
      <c r="E4134" s="101"/>
      <c r="F4134" s="294"/>
      <c r="G4134" s="295"/>
      <c r="H4134" s="107"/>
      <c r="I4134" s="109"/>
      <c r="J4134" s="109"/>
      <c r="K4134" s="109"/>
      <c r="L4134" s="109"/>
      <c r="M4134" s="109"/>
      <c r="N4134" s="109"/>
      <c r="O4134" s="109"/>
      <c r="P4134" s="109"/>
      <c r="Q4134" s="109"/>
      <c r="R4134" s="109"/>
      <c r="S4134" s="109"/>
      <c r="T4134" s="109"/>
      <c r="U4134" s="202"/>
      <c r="V4134" s="202"/>
    </row>
    <row r="4135" spans="1:22">
      <c r="A4135" s="297"/>
      <c r="B4135" s="217"/>
      <c r="C4135" s="217"/>
      <c r="D4135" s="101"/>
      <c r="E4135" s="101"/>
      <c r="F4135" s="294"/>
      <c r="G4135" s="295"/>
      <c r="H4135" s="98"/>
      <c r="I4135" s="106"/>
      <c r="J4135" s="106"/>
      <c r="K4135" s="106"/>
      <c r="L4135" s="106"/>
      <c r="M4135" s="106"/>
      <c r="N4135" s="112"/>
      <c r="O4135" s="112"/>
      <c r="P4135" s="112"/>
      <c r="Q4135" s="113"/>
      <c r="R4135" s="113"/>
      <c r="S4135" s="113"/>
      <c r="T4135" s="113"/>
      <c r="U4135" s="113"/>
      <c r="V4135" s="113"/>
    </row>
    <row r="4136" spans="1:22">
      <c r="A4136" s="297"/>
      <c r="B4136" s="217"/>
      <c r="C4136" s="217"/>
      <c r="D4136" s="101"/>
      <c r="E4136" s="101"/>
      <c r="F4136" s="294"/>
      <c r="G4136" s="295"/>
      <c r="H4136" s="98"/>
      <c r="I4136" s="99"/>
      <c r="J4136" s="99"/>
      <c r="K4136" s="99"/>
      <c r="L4136" s="99"/>
      <c r="M4136" s="99"/>
      <c r="N4136" s="99"/>
      <c r="O4136" s="99"/>
      <c r="P4136" s="99"/>
      <c r="Q4136" s="99"/>
      <c r="R4136" s="99"/>
      <c r="S4136" s="99"/>
      <c r="T4136" s="99"/>
      <c r="U4136" s="99"/>
      <c r="V4136" s="99"/>
    </row>
    <row r="4137" spans="1:22">
      <c r="A4137" s="297"/>
      <c r="B4137" s="217"/>
      <c r="C4137" s="217"/>
      <c r="D4137" s="101"/>
      <c r="E4137" s="101"/>
      <c r="F4137" s="294"/>
      <c r="G4137" s="295"/>
      <c r="H4137" s="98"/>
      <c r="I4137" s="99"/>
      <c r="J4137" s="99"/>
      <c r="K4137" s="99"/>
      <c r="L4137" s="99"/>
      <c r="M4137" s="99"/>
      <c r="N4137" s="99"/>
      <c r="O4137" s="99"/>
      <c r="P4137" s="99"/>
      <c r="Q4137" s="99"/>
      <c r="R4137" s="99"/>
      <c r="S4137" s="99"/>
      <c r="T4137" s="99"/>
      <c r="U4137" s="99"/>
      <c r="V4137" s="99"/>
    </row>
    <row r="4138" spans="1:22">
      <c r="A4138" s="297"/>
      <c r="B4138" s="217"/>
      <c r="C4138" s="217"/>
      <c r="D4138" s="101"/>
      <c r="E4138" s="101"/>
      <c r="F4138" s="294"/>
      <c r="G4138" s="295"/>
      <c r="H4138" s="98"/>
      <c r="I4138" s="99"/>
      <c r="J4138" s="99"/>
      <c r="K4138" s="99"/>
      <c r="L4138" s="99"/>
      <c r="M4138" s="99"/>
      <c r="N4138" s="99"/>
      <c r="O4138" s="99"/>
      <c r="P4138" s="99"/>
      <c r="Q4138" s="99"/>
      <c r="R4138" s="99"/>
      <c r="S4138" s="99"/>
      <c r="T4138" s="99"/>
      <c r="U4138" s="99"/>
      <c r="V4138" s="99"/>
    </row>
    <row r="4139" spans="1:22">
      <c r="A4139" s="297"/>
      <c r="B4139" s="217"/>
      <c r="C4139" s="217"/>
      <c r="D4139" s="101"/>
      <c r="E4139" s="101"/>
      <c r="F4139" s="294"/>
      <c r="G4139" s="295"/>
      <c r="H4139" s="98"/>
      <c r="I4139" s="99"/>
      <c r="J4139" s="99"/>
      <c r="K4139" s="99"/>
      <c r="L4139" s="99"/>
      <c r="M4139" s="99"/>
      <c r="N4139" s="99"/>
      <c r="O4139" s="99"/>
      <c r="P4139" s="99"/>
      <c r="Q4139" s="99"/>
      <c r="R4139" s="99"/>
      <c r="S4139" s="99"/>
      <c r="T4139" s="99"/>
      <c r="U4139" s="99"/>
      <c r="V4139" s="99"/>
    </row>
    <row r="4140" spans="1:22">
      <c r="A4140" s="297"/>
      <c r="B4140" s="217"/>
      <c r="C4140" s="217"/>
      <c r="D4140" s="101"/>
      <c r="E4140" s="101"/>
      <c r="F4140" s="294"/>
      <c r="G4140" s="295"/>
      <c r="H4140" s="98"/>
      <c r="I4140" s="99"/>
      <c r="J4140" s="99"/>
      <c r="K4140" s="99"/>
      <c r="L4140" s="99"/>
      <c r="M4140" s="99"/>
      <c r="N4140" s="99"/>
      <c r="O4140" s="99"/>
      <c r="P4140" s="99"/>
      <c r="Q4140" s="99"/>
      <c r="R4140" s="99"/>
      <c r="S4140" s="99"/>
      <c r="T4140" s="99"/>
      <c r="U4140" s="99"/>
      <c r="V4140" s="99"/>
    </row>
    <row r="4141" spans="1:22">
      <c r="A4141" s="297"/>
      <c r="B4141" s="217"/>
      <c r="C4141" s="217"/>
      <c r="D4141" s="101"/>
      <c r="E4141" s="101"/>
      <c r="F4141" s="294"/>
      <c r="G4141" s="295"/>
      <c r="H4141" s="98"/>
      <c r="I4141" s="99"/>
      <c r="J4141" s="99"/>
      <c r="K4141" s="99"/>
      <c r="L4141" s="99"/>
      <c r="M4141" s="99"/>
      <c r="N4141" s="99"/>
      <c r="O4141" s="99"/>
      <c r="P4141" s="99"/>
      <c r="Q4141" s="99"/>
      <c r="R4141" s="99"/>
      <c r="S4141" s="99"/>
      <c r="T4141" s="99"/>
      <c r="U4141" s="99"/>
      <c r="V4141" s="99"/>
    </row>
    <row r="4142" spans="1:22">
      <c r="A4142" s="297"/>
      <c r="B4142" s="217"/>
      <c r="C4142" s="217"/>
      <c r="D4142" s="101"/>
      <c r="E4142" s="101"/>
      <c r="F4142" s="294"/>
      <c r="G4142" s="295"/>
      <c r="H4142" s="98"/>
      <c r="I4142" s="99"/>
      <c r="J4142" s="99"/>
      <c r="K4142" s="99"/>
      <c r="L4142" s="99"/>
      <c r="M4142" s="99"/>
      <c r="N4142" s="99"/>
      <c r="O4142" s="99"/>
      <c r="P4142" s="99"/>
      <c r="Q4142" s="99"/>
      <c r="R4142" s="99"/>
      <c r="S4142" s="99"/>
      <c r="T4142" s="99"/>
      <c r="U4142" s="99"/>
      <c r="V4142" s="99"/>
    </row>
    <row r="4143" spans="1:22">
      <c r="A4143" s="297"/>
      <c r="B4143" s="217"/>
      <c r="C4143" s="217"/>
      <c r="D4143" s="101"/>
      <c r="E4143" s="101"/>
      <c r="F4143" s="294"/>
      <c r="G4143" s="295"/>
      <c r="H4143" s="107"/>
      <c r="I4143" s="108"/>
      <c r="J4143" s="108"/>
      <c r="K4143" s="108"/>
      <c r="L4143" s="108"/>
      <c r="M4143" s="108"/>
      <c r="N4143" s="109"/>
      <c r="O4143" s="109"/>
      <c r="P4143" s="109"/>
      <c r="Q4143" s="109"/>
      <c r="R4143" s="109"/>
      <c r="S4143" s="109"/>
      <c r="T4143" s="109"/>
      <c r="U4143" s="202"/>
      <c r="V4143" s="202"/>
    </row>
    <row r="4144" spans="1:22">
      <c r="A4144" s="297"/>
      <c r="B4144" s="217"/>
      <c r="C4144" s="217"/>
      <c r="D4144" s="101"/>
      <c r="E4144" s="101"/>
      <c r="F4144" s="294"/>
      <c r="G4144" s="295"/>
      <c r="H4144" s="98"/>
      <c r="I4144" s="106"/>
      <c r="J4144" s="106"/>
      <c r="K4144" s="106"/>
      <c r="L4144" s="106"/>
      <c r="M4144" s="106"/>
      <c r="N4144" s="112"/>
      <c r="O4144" s="112"/>
      <c r="P4144" s="112"/>
      <c r="Q4144" s="113"/>
      <c r="R4144" s="113"/>
      <c r="S4144" s="113"/>
      <c r="T4144" s="113"/>
      <c r="U4144" s="113"/>
      <c r="V4144" s="113"/>
    </row>
    <row r="4145" spans="1:22">
      <c r="A4145" s="297"/>
      <c r="B4145" s="217"/>
      <c r="C4145" s="217"/>
      <c r="D4145" s="101"/>
      <c r="E4145" s="101"/>
      <c r="F4145" s="294"/>
      <c r="G4145" s="295"/>
      <c r="H4145" s="114"/>
      <c r="I4145" s="108"/>
      <c r="J4145" s="108"/>
      <c r="K4145" s="108"/>
      <c r="L4145" s="108"/>
      <c r="M4145" s="108"/>
      <c r="N4145" s="108"/>
      <c r="O4145" s="108"/>
      <c r="P4145" s="108"/>
      <c r="Q4145" s="108"/>
      <c r="R4145" s="108"/>
      <c r="S4145" s="108"/>
      <c r="T4145" s="108"/>
      <c r="U4145" s="233"/>
      <c r="V4145" s="233"/>
    </row>
    <row r="4146" spans="1:22" ht="14.4" thickBot="1">
      <c r="A4146" s="297"/>
      <c r="B4146" s="217"/>
      <c r="C4146" s="217"/>
      <c r="D4146" s="101"/>
      <c r="E4146" s="101"/>
      <c r="F4146" s="294"/>
      <c r="G4146" s="295"/>
      <c r="H4146" s="98"/>
      <c r="I4146" s="218"/>
      <c r="J4146" s="218"/>
      <c r="K4146" s="218"/>
      <c r="L4146" s="218"/>
      <c r="M4146" s="218"/>
      <c r="U4146" s="212"/>
      <c r="V4146" s="212"/>
    </row>
    <row r="4147" spans="1:22" ht="23.4" thickBot="1">
      <c r="A4147" s="297"/>
      <c r="B4147" s="217"/>
      <c r="C4147" s="217"/>
      <c r="D4147" s="101"/>
      <c r="E4147" s="101"/>
      <c r="F4147" s="294"/>
      <c r="G4147" s="295"/>
      <c r="H4147" s="686"/>
      <c r="I4147" s="687"/>
      <c r="J4147" s="687"/>
      <c r="K4147" s="687"/>
      <c r="L4147" s="687"/>
      <c r="M4147" s="687"/>
      <c r="N4147" s="687"/>
      <c r="O4147" s="687"/>
      <c r="P4147" s="687"/>
      <c r="Q4147" s="687"/>
      <c r="R4147" s="687"/>
      <c r="S4147" s="715"/>
      <c r="T4147" s="688"/>
      <c r="U4147" s="254"/>
      <c r="V4147" s="254"/>
    </row>
    <row r="4148" spans="1:22" ht="22.8">
      <c r="A4148" s="297"/>
      <c r="B4148" s="217"/>
      <c r="C4148" s="217"/>
      <c r="D4148" s="101"/>
      <c r="E4148" s="101"/>
      <c r="F4148" s="294"/>
      <c r="G4148" s="295"/>
      <c r="H4148" s="225"/>
      <c r="I4148" s="225"/>
      <c r="J4148" s="225"/>
      <c r="K4148" s="225"/>
      <c r="L4148" s="225"/>
      <c r="M4148" s="225"/>
      <c r="N4148" s="225"/>
      <c r="O4148" s="225"/>
      <c r="P4148" s="225"/>
      <c r="Q4148" s="225"/>
      <c r="R4148" s="225"/>
      <c r="S4148" s="225"/>
      <c r="T4148" s="225"/>
      <c r="U4148" s="225"/>
      <c r="V4148" s="225"/>
    </row>
    <row r="4149" spans="1:22">
      <c r="A4149" s="297"/>
      <c r="B4149" s="217"/>
      <c r="C4149" s="217"/>
      <c r="D4149" s="101"/>
      <c r="E4149" s="101"/>
      <c r="F4149" s="294"/>
      <c r="G4149" s="295"/>
      <c r="H4149" s="98"/>
      <c r="I4149" s="99"/>
      <c r="J4149" s="99"/>
      <c r="K4149" s="99"/>
      <c r="L4149" s="99"/>
      <c r="M4149" s="99"/>
      <c r="N4149" s="99"/>
      <c r="O4149" s="99"/>
      <c r="P4149" s="99"/>
      <c r="Q4149" s="99"/>
      <c r="R4149" s="99"/>
      <c r="S4149" s="99"/>
      <c r="T4149" s="99"/>
      <c r="U4149" s="99"/>
      <c r="V4149" s="99"/>
    </row>
    <row r="4150" spans="1:22">
      <c r="A4150" s="297"/>
      <c r="B4150" s="217"/>
      <c r="C4150" s="217"/>
      <c r="D4150" s="101"/>
      <c r="E4150" s="101"/>
      <c r="F4150" s="294"/>
      <c r="G4150" s="295"/>
      <c r="H4150" s="98"/>
      <c r="I4150" s="99"/>
      <c r="J4150" s="99"/>
      <c r="K4150" s="99"/>
      <c r="L4150" s="99"/>
      <c r="M4150" s="99"/>
      <c r="N4150" s="99"/>
      <c r="O4150" s="99"/>
      <c r="P4150" s="99"/>
      <c r="Q4150" s="99"/>
      <c r="R4150" s="99"/>
      <c r="S4150" s="99"/>
      <c r="T4150" s="99"/>
      <c r="U4150" s="99"/>
      <c r="V4150" s="99"/>
    </row>
    <row r="4151" spans="1:22">
      <c r="A4151" s="297"/>
      <c r="B4151" s="217"/>
      <c r="C4151" s="217"/>
      <c r="D4151" s="101"/>
      <c r="E4151" s="101"/>
      <c r="F4151" s="294"/>
      <c r="G4151" s="295"/>
      <c r="H4151" s="98"/>
      <c r="I4151" s="99"/>
      <c r="J4151" s="99"/>
      <c r="K4151" s="99"/>
      <c r="L4151" s="99"/>
      <c r="M4151" s="99"/>
      <c r="N4151" s="99"/>
      <c r="O4151" s="99"/>
      <c r="P4151" s="99"/>
      <c r="Q4151" s="99"/>
      <c r="R4151" s="99"/>
      <c r="S4151" s="99"/>
      <c r="T4151" s="99"/>
      <c r="U4151" s="99"/>
      <c r="V4151" s="99"/>
    </row>
    <row r="4152" spans="1:22">
      <c r="A4152" s="297"/>
      <c r="B4152" s="217"/>
      <c r="C4152" s="217"/>
      <c r="D4152" s="101"/>
      <c r="E4152" s="101"/>
      <c r="F4152" s="294"/>
      <c r="G4152" s="295"/>
      <c r="H4152" s="98"/>
      <c r="I4152" s="99"/>
      <c r="J4152" s="99"/>
      <c r="K4152" s="99"/>
      <c r="L4152" s="99"/>
      <c r="M4152" s="99"/>
      <c r="N4152" s="99"/>
      <c r="O4152" s="99"/>
      <c r="P4152" s="99"/>
      <c r="Q4152" s="99"/>
      <c r="R4152" s="99"/>
      <c r="S4152" s="99"/>
      <c r="T4152" s="99"/>
      <c r="U4152" s="99"/>
      <c r="V4152" s="99"/>
    </row>
    <row r="4153" spans="1:22">
      <c r="A4153" s="297"/>
      <c r="B4153" s="217"/>
      <c r="C4153" s="217"/>
      <c r="D4153" s="101"/>
      <c r="E4153" s="101"/>
      <c r="F4153" s="294"/>
      <c r="G4153" s="295"/>
      <c r="H4153" s="98"/>
      <c r="I4153" s="99"/>
      <c r="J4153" s="99"/>
      <c r="K4153" s="99"/>
      <c r="L4153" s="99"/>
      <c r="M4153" s="99"/>
      <c r="N4153" s="99"/>
      <c r="O4153" s="99"/>
      <c r="P4153" s="99"/>
      <c r="Q4153" s="99"/>
      <c r="R4153" s="99"/>
      <c r="S4153" s="99"/>
      <c r="T4153" s="99"/>
      <c r="U4153" s="99"/>
      <c r="V4153" s="99"/>
    </row>
    <row r="4154" spans="1:22">
      <c r="A4154" s="297"/>
      <c r="B4154" s="217"/>
      <c r="C4154" s="217"/>
      <c r="D4154" s="101"/>
      <c r="E4154" s="101"/>
      <c r="F4154" s="294"/>
      <c r="G4154" s="295"/>
      <c r="H4154" s="98"/>
      <c r="I4154" s="99"/>
      <c r="J4154" s="99"/>
      <c r="K4154" s="99"/>
      <c r="L4154" s="99"/>
      <c r="M4154" s="99"/>
      <c r="N4154" s="99"/>
      <c r="O4154" s="99"/>
      <c r="P4154" s="99"/>
      <c r="Q4154" s="99"/>
      <c r="R4154" s="99"/>
      <c r="S4154" s="99"/>
      <c r="T4154" s="99"/>
      <c r="U4154" s="99"/>
      <c r="V4154" s="99"/>
    </row>
    <row r="4155" spans="1:22" ht="24.75" customHeight="1">
      <c r="A4155" s="297"/>
      <c r="B4155" s="217"/>
      <c r="C4155" s="217"/>
      <c r="D4155" s="101"/>
      <c r="E4155" s="101"/>
      <c r="F4155" s="294"/>
      <c r="G4155" s="295"/>
      <c r="H4155" s="98"/>
      <c r="I4155" s="99"/>
      <c r="J4155" s="99"/>
      <c r="K4155" s="99"/>
      <c r="L4155" s="99"/>
      <c r="M4155" s="99"/>
      <c r="N4155" s="99"/>
      <c r="O4155" s="99"/>
      <c r="P4155" s="99"/>
      <c r="Q4155" s="99"/>
      <c r="R4155" s="99"/>
      <c r="S4155" s="99"/>
      <c r="T4155" s="99"/>
      <c r="U4155" s="99"/>
      <c r="V4155" s="99"/>
    </row>
    <row r="4156" spans="1:22">
      <c r="A4156" s="297"/>
      <c r="B4156" s="217"/>
      <c r="C4156" s="217"/>
      <c r="D4156" s="101"/>
      <c r="E4156" s="101"/>
      <c r="F4156" s="294"/>
      <c r="G4156" s="295"/>
      <c r="H4156" s="98"/>
      <c r="I4156" s="99"/>
      <c r="J4156" s="99"/>
      <c r="K4156" s="99"/>
      <c r="L4156" s="99"/>
      <c r="M4156" s="99"/>
      <c r="N4156" s="99"/>
      <c r="O4156" s="99"/>
      <c r="P4156" s="99"/>
      <c r="Q4156" s="99"/>
      <c r="R4156" s="99"/>
      <c r="S4156" s="99"/>
      <c r="T4156" s="99"/>
      <c r="U4156" s="99"/>
      <c r="V4156" s="99"/>
    </row>
    <row r="4157" spans="1:22">
      <c r="A4157" s="297"/>
      <c r="B4157" s="217"/>
      <c r="C4157" s="217"/>
      <c r="D4157" s="101"/>
      <c r="E4157" s="101"/>
      <c r="F4157" s="294"/>
      <c r="G4157" s="295"/>
      <c r="H4157" s="98"/>
      <c r="I4157" s="99"/>
      <c r="J4157" s="99"/>
      <c r="K4157" s="99"/>
      <c r="L4157" s="99"/>
      <c r="M4157" s="99"/>
      <c r="N4157" s="99"/>
      <c r="O4157" s="99"/>
      <c r="P4157" s="99"/>
      <c r="Q4157" s="99"/>
      <c r="R4157" s="99"/>
      <c r="S4157" s="99"/>
      <c r="T4157" s="99"/>
      <c r="U4157" s="99"/>
      <c r="V4157" s="99"/>
    </row>
    <row r="4158" spans="1:22">
      <c r="A4158" s="297"/>
      <c r="B4158" s="217"/>
      <c r="C4158" s="217"/>
      <c r="D4158" s="101"/>
      <c r="E4158" s="101"/>
      <c r="F4158" s="294"/>
      <c r="G4158" s="295"/>
      <c r="H4158" s="98"/>
      <c r="I4158" s="99"/>
      <c r="J4158" s="99"/>
      <c r="K4158" s="99"/>
      <c r="L4158" s="99"/>
      <c r="M4158" s="99"/>
      <c r="N4158" s="99"/>
      <c r="O4158" s="99"/>
      <c r="P4158" s="99"/>
      <c r="Q4158" s="99"/>
      <c r="R4158" s="99"/>
      <c r="S4158" s="99"/>
      <c r="T4158" s="99"/>
      <c r="U4158" s="99"/>
      <c r="V4158" s="99"/>
    </row>
    <row r="4159" spans="1:22">
      <c r="A4159" s="297"/>
      <c r="B4159" s="217"/>
      <c r="C4159" s="217"/>
      <c r="D4159" s="101"/>
      <c r="E4159" s="101"/>
      <c r="F4159" s="294"/>
      <c r="G4159" s="295"/>
      <c r="H4159" s="98"/>
      <c r="I4159" s="99"/>
      <c r="J4159" s="99"/>
      <c r="K4159" s="99"/>
      <c r="L4159" s="99"/>
      <c r="M4159" s="99"/>
      <c r="N4159" s="99"/>
      <c r="O4159" s="99"/>
      <c r="P4159" s="99"/>
      <c r="Q4159" s="99"/>
      <c r="R4159" s="99"/>
      <c r="S4159" s="99"/>
      <c r="T4159" s="99"/>
      <c r="U4159" s="99"/>
      <c r="V4159" s="99"/>
    </row>
    <row r="4160" spans="1:22">
      <c r="A4160" s="297"/>
      <c r="B4160" s="217"/>
      <c r="C4160" s="217"/>
      <c r="D4160" s="101"/>
      <c r="E4160" s="101"/>
      <c r="F4160" s="294"/>
      <c r="G4160" s="295"/>
      <c r="H4160" s="98"/>
      <c r="I4160" s="99"/>
      <c r="J4160" s="99"/>
      <c r="K4160" s="99"/>
      <c r="L4160" s="99"/>
      <c r="M4160" s="99"/>
      <c r="N4160" s="99"/>
      <c r="O4160" s="99"/>
      <c r="P4160" s="99"/>
      <c r="Q4160" s="99"/>
      <c r="R4160" s="99"/>
      <c r="S4160" s="99"/>
      <c r="T4160" s="99"/>
      <c r="U4160" s="99"/>
      <c r="V4160" s="99"/>
    </row>
    <row r="4161" spans="1:22">
      <c r="A4161" s="297"/>
      <c r="B4161" s="217"/>
      <c r="C4161" s="217"/>
      <c r="D4161" s="101"/>
      <c r="E4161" s="101"/>
      <c r="F4161" s="294"/>
      <c r="G4161" s="295"/>
      <c r="H4161" s="98"/>
      <c r="I4161" s="99"/>
      <c r="J4161" s="99"/>
      <c r="K4161" s="99"/>
      <c r="L4161" s="99"/>
      <c r="M4161" s="99"/>
      <c r="N4161" s="99"/>
      <c r="O4161" s="99"/>
      <c r="P4161" s="99"/>
      <c r="Q4161" s="99"/>
      <c r="R4161" s="99"/>
      <c r="S4161" s="99"/>
      <c r="T4161" s="99"/>
      <c r="U4161" s="99"/>
      <c r="V4161" s="99"/>
    </row>
    <row r="4162" spans="1:22">
      <c r="A4162" s="297"/>
      <c r="B4162" s="217"/>
      <c r="C4162" s="217"/>
      <c r="D4162" s="101"/>
      <c r="E4162" s="101"/>
      <c r="F4162" s="294"/>
      <c r="G4162" s="295"/>
      <c r="H4162" s="98"/>
      <c r="I4162" s="99"/>
      <c r="J4162" s="99"/>
      <c r="K4162" s="99"/>
      <c r="L4162" s="99"/>
      <c r="M4162" s="99"/>
      <c r="N4162" s="99"/>
      <c r="O4162" s="99"/>
      <c r="P4162" s="99"/>
      <c r="Q4162" s="99"/>
      <c r="R4162" s="99"/>
      <c r="S4162" s="99"/>
      <c r="T4162" s="99"/>
      <c r="U4162" s="99"/>
      <c r="V4162" s="99"/>
    </row>
    <row r="4163" spans="1:22">
      <c r="A4163" s="297"/>
      <c r="B4163" s="217"/>
      <c r="C4163" s="217"/>
      <c r="D4163" s="101"/>
      <c r="E4163" s="101"/>
      <c r="F4163" s="294"/>
      <c r="G4163" s="295"/>
      <c r="H4163" s="98"/>
      <c r="I4163" s="99"/>
      <c r="J4163" s="99"/>
      <c r="K4163" s="99"/>
      <c r="L4163" s="99"/>
      <c r="M4163" s="99"/>
      <c r="N4163" s="99"/>
      <c r="O4163" s="99"/>
      <c r="P4163" s="99"/>
      <c r="Q4163" s="99"/>
      <c r="R4163" s="99"/>
      <c r="S4163" s="99"/>
      <c r="T4163" s="99"/>
      <c r="U4163" s="99"/>
      <c r="V4163" s="99"/>
    </row>
    <row r="4164" spans="1:22">
      <c r="A4164" s="297"/>
      <c r="B4164" s="217"/>
      <c r="C4164" s="217"/>
      <c r="D4164" s="101"/>
      <c r="E4164" s="101"/>
      <c r="F4164" s="294"/>
      <c r="G4164" s="295"/>
      <c r="H4164" s="107"/>
      <c r="I4164" s="108"/>
      <c r="J4164" s="108"/>
      <c r="K4164" s="108"/>
      <c r="L4164" s="108"/>
      <c r="M4164" s="108"/>
      <c r="N4164" s="109"/>
      <c r="O4164" s="109"/>
      <c r="P4164" s="109"/>
      <c r="Q4164" s="109"/>
      <c r="R4164" s="109"/>
      <c r="S4164" s="109"/>
      <c r="T4164" s="109"/>
      <c r="U4164" s="202"/>
      <c r="V4164" s="202"/>
    </row>
    <row r="4165" spans="1:22">
      <c r="A4165" s="297"/>
      <c r="B4165" s="217"/>
      <c r="C4165" s="217"/>
      <c r="D4165" s="101"/>
      <c r="E4165" s="101"/>
      <c r="F4165" s="294"/>
      <c r="G4165" s="295"/>
      <c r="H4165" s="98"/>
      <c r="I4165" s="106"/>
      <c r="J4165" s="106"/>
      <c r="K4165" s="106"/>
      <c r="L4165" s="106"/>
      <c r="M4165" s="106"/>
      <c r="N4165" s="112"/>
      <c r="O4165" s="112"/>
      <c r="P4165" s="112"/>
      <c r="Q4165" s="113"/>
      <c r="R4165" s="113"/>
      <c r="S4165" s="113"/>
      <c r="T4165" s="113"/>
      <c r="U4165" s="113"/>
      <c r="V4165" s="113"/>
    </row>
    <row r="4166" spans="1:22">
      <c r="A4166" s="297"/>
      <c r="B4166" s="217"/>
      <c r="C4166" s="217"/>
      <c r="D4166" s="101"/>
      <c r="E4166" s="101"/>
      <c r="F4166" s="294"/>
      <c r="G4166" s="295"/>
      <c r="H4166" s="98"/>
      <c r="I4166" s="99"/>
      <c r="J4166" s="99"/>
      <c r="K4166" s="99"/>
      <c r="L4166" s="99"/>
      <c r="M4166" s="99"/>
      <c r="N4166" s="99"/>
      <c r="O4166" s="99"/>
      <c r="P4166" s="99"/>
      <c r="Q4166" s="99"/>
      <c r="R4166" s="99"/>
      <c r="S4166" s="99"/>
      <c r="T4166" s="99"/>
      <c r="U4166" s="99"/>
      <c r="V4166" s="99"/>
    </row>
    <row r="4167" spans="1:22">
      <c r="A4167" s="297"/>
      <c r="B4167" s="217"/>
      <c r="C4167" s="217"/>
      <c r="D4167" s="101"/>
      <c r="E4167" s="101"/>
      <c r="F4167" s="294"/>
      <c r="G4167" s="295"/>
      <c r="H4167" s="98"/>
      <c r="I4167" s="99"/>
      <c r="J4167" s="99"/>
      <c r="K4167" s="99"/>
      <c r="L4167" s="99"/>
      <c r="M4167" s="99"/>
      <c r="N4167" s="99"/>
      <c r="O4167" s="99"/>
      <c r="P4167" s="99"/>
      <c r="Q4167" s="99"/>
      <c r="R4167" s="99"/>
      <c r="S4167" s="99"/>
      <c r="T4167" s="99"/>
      <c r="U4167" s="99"/>
      <c r="V4167" s="99"/>
    </row>
    <row r="4168" spans="1:22">
      <c r="A4168" s="297"/>
      <c r="B4168" s="217"/>
      <c r="C4168" s="217"/>
      <c r="D4168" s="101"/>
      <c r="E4168" s="101"/>
      <c r="F4168" s="294"/>
      <c r="G4168" s="295"/>
      <c r="H4168" s="98"/>
      <c r="I4168" s="99"/>
      <c r="J4168" s="99"/>
      <c r="K4168" s="99"/>
      <c r="L4168" s="99"/>
      <c r="M4168" s="99"/>
      <c r="N4168" s="99"/>
      <c r="O4168" s="99"/>
      <c r="P4168" s="99"/>
      <c r="Q4168" s="99"/>
      <c r="R4168" s="99"/>
      <c r="S4168" s="99"/>
      <c r="T4168" s="99"/>
      <c r="U4168" s="99"/>
      <c r="V4168" s="99"/>
    </row>
    <row r="4169" spans="1:22">
      <c r="A4169" s="297"/>
      <c r="B4169" s="217"/>
      <c r="C4169" s="217"/>
      <c r="D4169" s="101"/>
      <c r="E4169" s="101"/>
      <c r="F4169" s="294"/>
      <c r="G4169" s="295"/>
      <c r="H4169" s="98"/>
      <c r="I4169" s="99"/>
      <c r="J4169" s="99"/>
      <c r="K4169" s="99"/>
      <c r="L4169" s="99"/>
      <c r="M4169" s="99"/>
      <c r="N4169" s="99"/>
      <c r="O4169" s="99"/>
      <c r="P4169" s="99"/>
      <c r="Q4169" s="99"/>
      <c r="R4169" s="99"/>
      <c r="S4169" s="99"/>
      <c r="T4169" s="99"/>
      <c r="U4169" s="99"/>
      <c r="V4169" s="99"/>
    </row>
    <row r="4170" spans="1:22">
      <c r="A4170" s="297"/>
      <c r="B4170" s="217"/>
      <c r="C4170" s="217"/>
      <c r="D4170" s="101"/>
      <c r="E4170" s="101"/>
      <c r="F4170" s="294"/>
      <c r="G4170" s="295"/>
      <c r="H4170" s="98"/>
      <c r="I4170" s="99"/>
      <c r="J4170" s="99"/>
      <c r="K4170" s="99"/>
      <c r="L4170" s="99"/>
      <c r="M4170" s="99"/>
      <c r="N4170" s="99"/>
      <c r="O4170" s="99"/>
      <c r="P4170" s="99"/>
      <c r="Q4170" s="99"/>
      <c r="R4170" s="99"/>
      <c r="S4170" s="99"/>
      <c r="T4170" s="99"/>
      <c r="U4170" s="99"/>
      <c r="V4170" s="99"/>
    </row>
    <row r="4171" spans="1:22">
      <c r="A4171" s="297"/>
      <c r="B4171" s="217"/>
      <c r="C4171" s="217"/>
      <c r="D4171" s="101"/>
      <c r="E4171" s="101"/>
      <c r="F4171" s="294"/>
      <c r="G4171" s="295"/>
      <c r="H4171" s="98"/>
      <c r="I4171" s="99"/>
      <c r="J4171" s="99"/>
      <c r="K4171" s="99"/>
      <c r="L4171" s="99"/>
      <c r="M4171" s="99"/>
      <c r="N4171" s="99"/>
      <c r="O4171" s="99"/>
      <c r="P4171" s="99"/>
      <c r="Q4171" s="99"/>
      <c r="R4171" s="99"/>
      <c r="S4171" s="99"/>
      <c r="T4171" s="99"/>
      <c r="U4171" s="99"/>
      <c r="V4171" s="99"/>
    </row>
    <row r="4172" spans="1:22">
      <c r="A4172" s="297"/>
      <c r="B4172" s="217"/>
      <c r="C4172" s="217"/>
      <c r="D4172" s="101"/>
      <c r="E4172" s="101"/>
      <c r="F4172" s="294"/>
      <c r="G4172" s="295"/>
      <c r="H4172" s="98"/>
      <c r="I4172" s="99"/>
      <c r="J4172" s="99"/>
      <c r="K4172" s="99"/>
      <c r="L4172" s="99"/>
      <c r="M4172" s="99"/>
      <c r="N4172" s="99"/>
      <c r="O4172" s="99"/>
      <c r="P4172" s="99"/>
      <c r="Q4172" s="99"/>
      <c r="R4172" s="99"/>
      <c r="S4172" s="99"/>
      <c r="T4172" s="99"/>
      <c r="U4172" s="99"/>
      <c r="V4172" s="99"/>
    </row>
    <row r="4173" spans="1:22">
      <c r="A4173" s="297"/>
      <c r="B4173" s="217"/>
      <c r="C4173" s="217"/>
      <c r="D4173" s="101"/>
      <c r="E4173" s="101"/>
      <c r="F4173" s="294"/>
      <c r="G4173" s="295"/>
      <c r="H4173" s="98"/>
      <c r="I4173" s="99"/>
      <c r="J4173" s="99"/>
      <c r="K4173" s="99"/>
      <c r="L4173" s="99"/>
      <c r="M4173" s="99"/>
      <c r="N4173" s="99"/>
      <c r="O4173" s="99"/>
      <c r="P4173" s="99"/>
      <c r="Q4173" s="99"/>
      <c r="R4173" s="99"/>
      <c r="S4173" s="99"/>
      <c r="T4173" s="99"/>
      <c r="U4173" s="99"/>
      <c r="V4173" s="99"/>
    </row>
    <row r="4174" spans="1:22">
      <c r="A4174" s="297"/>
      <c r="B4174" s="217"/>
      <c r="C4174" s="217"/>
      <c r="D4174" s="101"/>
      <c r="E4174" s="101"/>
      <c r="F4174" s="294"/>
      <c r="G4174" s="295"/>
      <c r="H4174" s="98"/>
      <c r="I4174" s="99"/>
      <c r="J4174" s="99"/>
      <c r="K4174" s="99"/>
      <c r="L4174" s="99"/>
      <c r="M4174" s="99"/>
      <c r="N4174" s="99"/>
      <c r="O4174" s="99"/>
      <c r="P4174" s="99"/>
      <c r="Q4174" s="99"/>
      <c r="R4174" s="99"/>
      <c r="S4174" s="99"/>
      <c r="T4174" s="99"/>
      <c r="U4174" s="99"/>
      <c r="V4174" s="99"/>
    </row>
    <row r="4175" spans="1:22">
      <c r="A4175" s="297"/>
      <c r="B4175" s="217"/>
      <c r="C4175" s="217"/>
      <c r="D4175" s="101"/>
      <c r="E4175" s="101"/>
      <c r="F4175" s="294"/>
      <c r="G4175" s="295"/>
      <c r="H4175" s="98"/>
      <c r="I4175" s="99"/>
      <c r="J4175" s="99"/>
      <c r="K4175" s="99"/>
      <c r="L4175" s="99"/>
      <c r="M4175" s="99"/>
      <c r="N4175" s="99"/>
      <c r="O4175" s="99"/>
      <c r="P4175" s="99"/>
      <c r="Q4175" s="99"/>
      <c r="R4175" s="99"/>
      <c r="S4175" s="99"/>
      <c r="T4175" s="99"/>
      <c r="U4175" s="99"/>
      <c r="V4175" s="99"/>
    </row>
    <row r="4176" spans="1:22">
      <c r="A4176" s="297"/>
      <c r="B4176" s="217"/>
      <c r="C4176" s="217"/>
      <c r="D4176" s="101"/>
      <c r="E4176" s="101"/>
      <c r="F4176" s="294"/>
      <c r="G4176" s="295"/>
      <c r="H4176" s="98"/>
      <c r="I4176" s="99"/>
      <c r="J4176" s="99"/>
      <c r="K4176" s="99"/>
      <c r="L4176" s="99"/>
      <c r="M4176" s="99"/>
      <c r="N4176" s="99"/>
      <c r="O4176" s="99"/>
      <c r="P4176" s="99"/>
      <c r="Q4176" s="99"/>
      <c r="R4176" s="99"/>
      <c r="S4176" s="99"/>
      <c r="T4176" s="99"/>
      <c r="U4176" s="99"/>
      <c r="V4176" s="99"/>
    </row>
    <row r="4177" spans="1:22">
      <c r="A4177" s="297"/>
      <c r="B4177" s="217"/>
      <c r="C4177" s="217"/>
      <c r="D4177" s="101"/>
      <c r="E4177" s="101"/>
      <c r="F4177" s="294"/>
      <c r="G4177" s="295"/>
      <c r="H4177" s="98"/>
      <c r="I4177" s="99"/>
      <c r="J4177" s="99"/>
      <c r="K4177" s="99"/>
      <c r="L4177" s="99"/>
      <c r="M4177" s="99"/>
      <c r="N4177" s="99"/>
      <c r="O4177" s="99"/>
      <c r="P4177" s="99"/>
      <c r="Q4177" s="99"/>
      <c r="R4177" s="99"/>
      <c r="S4177" s="99"/>
      <c r="T4177" s="99"/>
      <c r="U4177" s="99"/>
      <c r="V4177" s="99"/>
    </row>
    <row r="4178" spans="1:22">
      <c r="A4178" s="297"/>
      <c r="B4178" s="217"/>
      <c r="C4178" s="217"/>
      <c r="D4178" s="101"/>
      <c r="E4178" s="101"/>
      <c r="F4178" s="294"/>
      <c r="G4178" s="295"/>
      <c r="H4178" s="98"/>
      <c r="I4178" s="99"/>
      <c r="J4178" s="99"/>
      <c r="K4178" s="99"/>
      <c r="L4178" s="99"/>
      <c r="M4178" s="99"/>
      <c r="N4178" s="99"/>
      <c r="O4178" s="99"/>
      <c r="P4178" s="99"/>
      <c r="Q4178" s="99"/>
      <c r="R4178" s="99"/>
      <c r="S4178" s="99"/>
      <c r="T4178" s="99"/>
      <c r="U4178" s="99"/>
      <c r="V4178" s="99"/>
    </row>
    <row r="4179" spans="1:22">
      <c r="A4179" s="297"/>
      <c r="B4179" s="217"/>
      <c r="C4179" s="217"/>
      <c r="D4179" s="101"/>
      <c r="E4179" s="101"/>
      <c r="F4179" s="294"/>
      <c r="G4179" s="295"/>
      <c r="H4179" s="98"/>
      <c r="I4179" s="99"/>
      <c r="J4179" s="99"/>
      <c r="K4179" s="99"/>
      <c r="L4179" s="99"/>
      <c r="M4179" s="99"/>
      <c r="N4179" s="99"/>
      <c r="O4179" s="99"/>
      <c r="P4179" s="99"/>
      <c r="Q4179" s="99"/>
      <c r="R4179" s="99"/>
      <c r="S4179" s="99"/>
      <c r="T4179" s="99"/>
      <c r="U4179" s="99"/>
      <c r="V4179" s="99"/>
    </row>
    <row r="4180" spans="1:22">
      <c r="A4180" s="297"/>
      <c r="B4180" s="217"/>
      <c r="C4180" s="217"/>
      <c r="D4180" s="101"/>
      <c r="E4180" s="101"/>
      <c r="F4180" s="294"/>
      <c r="G4180" s="295"/>
      <c r="H4180" s="98"/>
      <c r="I4180" s="99"/>
      <c r="J4180" s="99"/>
      <c r="K4180" s="99"/>
      <c r="L4180" s="99"/>
      <c r="M4180" s="99"/>
      <c r="N4180" s="99"/>
      <c r="O4180" s="99"/>
      <c r="P4180" s="99"/>
      <c r="Q4180" s="99"/>
      <c r="R4180" s="99"/>
      <c r="S4180" s="99"/>
      <c r="T4180" s="99"/>
      <c r="U4180" s="99"/>
      <c r="V4180" s="99"/>
    </row>
    <row r="4181" spans="1:22">
      <c r="A4181" s="297"/>
      <c r="B4181" s="217"/>
      <c r="C4181" s="217"/>
      <c r="D4181" s="101"/>
      <c r="E4181" s="101"/>
      <c r="F4181" s="294"/>
      <c r="G4181" s="295"/>
      <c r="H4181" s="98"/>
      <c r="I4181" s="99"/>
      <c r="J4181" s="99"/>
      <c r="K4181" s="99"/>
      <c r="L4181" s="99"/>
      <c r="M4181" s="99"/>
      <c r="N4181" s="99"/>
      <c r="O4181" s="99"/>
      <c r="P4181" s="99"/>
      <c r="Q4181" s="99"/>
      <c r="R4181" s="99"/>
      <c r="S4181" s="99"/>
      <c r="T4181" s="99"/>
      <c r="U4181" s="99"/>
      <c r="V4181" s="99"/>
    </row>
    <row r="4182" spans="1:22">
      <c r="A4182" s="297"/>
      <c r="B4182" s="217"/>
      <c r="C4182" s="217"/>
      <c r="D4182" s="101"/>
      <c r="E4182" s="101"/>
      <c r="F4182" s="294"/>
      <c r="G4182" s="295"/>
      <c r="H4182" s="98"/>
      <c r="I4182" s="99"/>
      <c r="J4182" s="99"/>
      <c r="K4182" s="99"/>
      <c r="L4182" s="99"/>
      <c r="M4182" s="99"/>
      <c r="N4182" s="99"/>
      <c r="O4182" s="99"/>
      <c r="P4182" s="99"/>
      <c r="Q4182" s="99"/>
      <c r="R4182" s="99"/>
      <c r="S4182" s="99"/>
      <c r="T4182" s="99"/>
      <c r="U4182" s="99"/>
      <c r="V4182" s="99"/>
    </row>
    <row r="4183" spans="1:22">
      <c r="A4183" s="297"/>
      <c r="B4183" s="217"/>
      <c r="C4183" s="217"/>
      <c r="D4183" s="101"/>
      <c r="E4183" s="101"/>
      <c r="F4183" s="294"/>
      <c r="G4183" s="295"/>
      <c r="H4183" s="98"/>
      <c r="I4183" s="99"/>
      <c r="J4183" s="99"/>
      <c r="K4183" s="99"/>
      <c r="L4183" s="99"/>
      <c r="M4183" s="99"/>
      <c r="N4183" s="99"/>
      <c r="O4183" s="99"/>
      <c r="P4183" s="99"/>
      <c r="Q4183" s="99"/>
      <c r="R4183" s="99"/>
      <c r="S4183" s="99"/>
      <c r="T4183" s="99"/>
      <c r="U4183" s="99"/>
      <c r="V4183" s="99"/>
    </row>
    <row r="4184" spans="1:22">
      <c r="A4184" s="297"/>
      <c r="B4184" s="217"/>
      <c r="C4184" s="217"/>
      <c r="D4184" s="101"/>
      <c r="E4184" s="101"/>
      <c r="F4184" s="294"/>
      <c r="G4184" s="295"/>
      <c r="H4184" s="98"/>
      <c r="I4184" s="99"/>
      <c r="J4184" s="99"/>
      <c r="K4184" s="99"/>
      <c r="L4184" s="99"/>
      <c r="M4184" s="99"/>
      <c r="N4184" s="99"/>
      <c r="O4184" s="99"/>
      <c r="P4184" s="99"/>
      <c r="Q4184" s="99"/>
      <c r="R4184" s="99"/>
      <c r="S4184" s="99"/>
      <c r="T4184" s="99"/>
      <c r="U4184" s="99"/>
      <c r="V4184" s="99"/>
    </row>
    <row r="4185" spans="1:22">
      <c r="A4185" s="297"/>
      <c r="B4185" s="217"/>
      <c r="C4185" s="217"/>
      <c r="D4185" s="101"/>
      <c r="E4185" s="101"/>
      <c r="F4185" s="294"/>
      <c r="G4185" s="295"/>
      <c r="H4185" s="98"/>
      <c r="I4185" s="99"/>
      <c r="J4185" s="99"/>
      <c r="K4185" s="99"/>
      <c r="L4185" s="99"/>
      <c r="M4185" s="99"/>
      <c r="N4185" s="99"/>
      <c r="O4185" s="99"/>
      <c r="P4185" s="99"/>
      <c r="Q4185" s="99"/>
      <c r="R4185" s="99"/>
      <c r="S4185" s="99"/>
      <c r="T4185" s="99"/>
      <c r="U4185" s="99"/>
      <c r="V4185" s="99"/>
    </row>
    <row r="4186" spans="1:22">
      <c r="A4186" s="297"/>
      <c r="B4186" s="217"/>
      <c r="C4186" s="217"/>
      <c r="D4186" s="101"/>
      <c r="E4186" s="101"/>
      <c r="F4186" s="294"/>
      <c r="G4186" s="295"/>
      <c r="H4186" s="107"/>
      <c r="I4186" s="109"/>
      <c r="J4186" s="109"/>
      <c r="K4186" s="109"/>
      <c r="L4186" s="109"/>
      <c r="M4186" s="109"/>
      <c r="N4186" s="109"/>
      <c r="O4186" s="109"/>
      <c r="P4186" s="109"/>
      <c r="Q4186" s="109"/>
      <c r="R4186" s="109"/>
      <c r="S4186" s="109"/>
      <c r="T4186" s="109"/>
      <c r="U4186" s="202"/>
      <c r="V4186" s="202"/>
    </row>
    <row r="4187" spans="1:22">
      <c r="A4187" s="297"/>
      <c r="B4187" s="217"/>
      <c r="C4187" s="217"/>
      <c r="D4187" s="101"/>
      <c r="E4187" s="101"/>
      <c r="F4187" s="294"/>
      <c r="G4187" s="295"/>
      <c r="H4187" s="98"/>
      <c r="I4187" s="106"/>
      <c r="J4187" s="106"/>
      <c r="K4187" s="106"/>
      <c r="L4187" s="106"/>
      <c r="M4187" s="106"/>
      <c r="N4187" s="112"/>
      <c r="O4187" s="112"/>
      <c r="P4187" s="112"/>
      <c r="Q4187" s="113"/>
      <c r="R4187" s="113"/>
      <c r="S4187" s="113"/>
      <c r="T4187" s="113"/>
      <c r="U4187" s="113"/>
      <c r="V4187" s="113"/>
    </row>
    <row r="4188" spans="1:22">
      <c r="A4188" s="297"/>
      <c r="B4188" s="217"/>
      <c r="C4188" s="217"/>
      <c r="D4188" s="101"/>
      <c r="E4188" s="101"/>
      <c r="F4188" s="294"/>
      <c r="G4188" s="295"/>
      <c r="H4188" s="98"/>
      <c r="I4188" s="99"/>
      <c r="J4188" s="99"/>
      <c r="K4188" s="99"/>
      <c r="L4188" s="99"/>
      <c r="M4188" s="99"/>
      <c r="N4188" s="99"/>
      <c r="O4188" s="99"/>
      <c r="P4188" s="99"/>
      <c r="Q4188" s="99"/>
      <c r="R4188" s="99"/>
      <c r="S4188" s="99"/>
      <c r="T4188" s="99"/>
      <c r="U4188" s="99"/>
      <c r="V4188" s="99"/>
    </row>
    <row r="4189" spans="1:22">
      <c r="A4189" s="297"/>
      <c r="B4189" s="217"/>
      <c r="C4189" s="217"/>
      <c r="D4189" s="101"/>
      <c r="E4189" s="101"/>
      <c r="F4189" s="294"/>
      <c r="G4189" s="295"/>
      <c r="H4189" s="98"/>
      <c r="I4189" s="99"/>
      <c r="J4189" s="99"/>
      <c r="K4189" s="99"/>
      <c r="L4189" s="99"/>
      <c r="M4189" s="99"/>
      <c r="N4189" s="99"/>
      <c r="O4189" s="99"/>
      <c r="P4189" s="99"/>
      <c r="Q4189" s="99"/>
      <c r="R4189" s="99"/>
      <c r="S4189" s="99"/>
      <c r="T4189" s="99"/>
      <c r="U4189" s="99"/>
      <c r="V4189" s="99"/>
    </row>
    <row r="4190" spans="1:22">
      <c r="A4190" s="297"/>
      <c r="B4190" s="217"/>
      <c r="C4190" s="217"/>
      <c r="D4190" s="101"/>
      <c r="E4190" s="101"/>
      <c r="F4190" s="294"/>
      <c r="G4190" s="295"/>
      <c r="H4190" s="98"/>
      <c r="I4190" s="99"/>
      <c r="J4190" s="99"/>
      <c r="K4190" s="99"/>
      <c r="L4190" s="99"/>
      <c r="M4190" s="99"/>
      <c r="N4190" s="99"/>
      <c r="O4190" s="99"/>
      <c r="P4190" s="99"/>
      <c r="Q4190" s="99"/>
      <c r="R4190" s="99"/>
      <c r="S4190" s="99"/>
      <c r="T4190" s="99"/>
      <c r="U4190" s="99"/>
      <c r="V4190" s="99"/>
    </row>
    <row r="4191" spans="1:22">
      <c r="A4191" s="297"/>
      <c r="B4191" s="217"/>
      <c r="C4191" s="217"/>
      <c r="D4191" s="101"/>
      <c r="E4191" s="101"/>
      <c r="F4191" s="294"/>
      <c r="G4191" s="295"/>
      <c r="H4191" s="98"/>
      <c r="I4191" s="99"/>
      <c r="J4191" s="99"/>
      <c r="K4191" s="99"/>
      <c r="L4191" s="99"/>
      <c r="M4191" s="99"/>
      <c r="N4191" s="99"/>
      <c r="O4191" s="99"/>
      <c r="P4191" s="99"/>
      <c r="Q4191" s="99"/>
      <c r="R4191" s="99"/>
      <c r="S4191" s="99"/>
      <c r="T4191" s="99"/>
      <c r="U4191" s="99"/>
      <c r="V4191" s="99"/>
    </row>
    <row r="4192" spans="1:22">
      <c r="A4192" s="297"/>
      <c r="B4192" s="217"/>
      <c r="C4192" s="217"/>
      <c r="D4192" s="101"/>
      <c r="E4192" s="101"/>
      <c r="F4192" s="294"/>
      <c r="G4192" s="295"/>
      <c r="H4192" s="98"/>
      <c r="I4192" s="99"/>
      <c r="J4192" s="99"/>
      <c r="K4192" s="99"/>
      <c r="L4192" s="99"/>
      <c r="M4192" s="99"/>
      <c r="N4192" s="99"/>
      <c r="O4192" s="99"/>
      <c r="P4192" s="99"/>
      <c r="Q4192" s="99"/>
      <c r="R4192" s="99"/>
      <c r="S4192" s="99"/>
      <c r="T4192" s="99"/>
      <c r="U4192" s="99"/>
      <c r="V4192" s="99"/>
    </row>
    <row r="4193" spans="1:22">
      <c r="A4193" s="297"/>
      <c r="B4193" s="217"/>
      <c r="C4193" s="217"/>
      <c r="D4193" s="101"/>
      <c r="E4193" s="101"/>
      <c r="F4193" s="294"/>
      <c r="G4193" s="295"/>
      <c r="H4193" s="98"/>
      <c r="I4193" s="99"/>
      <c r="J4193" s="99"/>
      <c r="K4193" s="99"/>
      <c r="L4193" s="99"/>
      <c r="M4193" s="99"/>
      <c r="N4193" s="99"/>
      <c r="O4193" s="99"/>
      <c r="P4193" s="99"/>
      <c r="Q4193" s="99"/>
      <c r="R4193" s="99"/>
      <c r="S4193" s="99"/>
      <c r="T4193" s="99"/>
      <c r="U4193" s="99"/>
      <c r="V4193" s="99"/>
    </row>
    <row r="4194" spans="1:22">
      <c r="A4194" s="297"/>
      <c r="B4194" s="217"/>
      <c r="C4194" s="217"/>
      <c r="D4194" s="101"/>
      <c r="E4194" s="101"/>
      <c r="F4194" s="294"/>
      <c r="G4194" s="295"/>
      <c r="H4194" s="98"/>
      <c r="I4194" s="99"/>
      <c r="J4194" s="99"/>
      <c r="K4194" s="99"/>
      <c r="L4194" s="99"/>
      <c r="M4194" s="99"/>
      <c r="N4194" s="99"/>
      <c r="O4194" s="99"/>
      <c r="P4194" s="99"/>
      <c r="Q4194" s="99"/>
      <c r="R4194" s="99"/>
      <c r="S4194" s="99"/>
      <c r="T4194" s="99"/>
      <c r="U4194" s="99"/>
      <c r="V4194" s="99"/>
    </row>
    <row r="4195" spans="1:22">
      <c r="A4195" s="297"/>
      <c r="B4195" s="217"/>
      <c r="C4195" s="217"/>
      <c r="D4195" s="101"/>
      <c r="E4195" s="101"/>
      <c r="F4195" s="294"/>
      <c r="G4195" s="295"/>
      <c r="H4195" s="98"/>
      <c r="I4195" s="99"/>
      <c r="J4195" s="99"/>
      <c r="K4195" s="99"/>
      <c r="L4195" s="99"/>
      <c r="M4195" s="99"/>
      <c r="N4195" s="99"/>
      <c r="O4195" s="99"/>
      <c r="P4195" s="99"/>
      <c r="Q4195" s="99"/>
      <c r="R4195" s="99"/>
      <c r="S4195" s="99"/>
      <c r="T4195" s="99"/>
      <c r="U4195" s="99"/>
      <c r="V4195" s="99"/>
    </row>
    <row r="4196" spans="1:22">
      <c r="A4196" s="297"/>
      <c r="B4196" s="217"/>
      <c r="C4196" s="217"/>
      <c r="D4196" s="101"/>
      <c r="E4196" s="101"/>
      <c r="F4196" s="294"/>
      <c r="G4196" s="295"/>
      <c r="H4196" s="98"/>
      <c r="I4196" s="99"/>
      <c r="J4196" s="99"/>
      <c r="K4196" s="99"/>
      <c r="L4196" s="99"/>
      <c r="M4196" s="99"/>
      <c r="N4196" s="99"/>
      <c r="O4196" s="99"/>
      <c r="P4196" s="99"/>
      <c r="Q4196" s="99"/>
      <c r="R4196" s="99"/>
      <c r="S4196" s="99"/>
      <c r="T4196" s="99"/>
      <c r="U4196" s="99"/>
      <c r="V4196" s="99"/>
    </row>
    <row r="4197" spans="1:22">
      <c r="A4197" s="297"/>
      <c r="B4197" s="217"/>
      <c r="C4197" s="217"/>
      <c r="D4197" s="101"/>
      <c r="E4197" s="101"/>
      <c r="F4197" s="294"/>
      <c r="G4197" s="295"/>
      <c r="H4197" s="98"/>
      <c r="I4197" s="99"/>
      <c r="J4197" s="99"/>
      <c r="K4197" s="99"/>
      <c r="L4197" s="99"/>
      <c r="M4197" s="99"/>
      <c r="N4197" s="99"/>
      <c r="O4197" s="99"/>
      <c r="P4197" s="99"/>
      <c r="Q4197" s="99"/>
      <c r="R4197" s="99"/>
      <c r="S4197" s="99"/>
      <c r="T4197" s="99"/>
      <c r="U4197" s="99"/>
      <c r="V4197" s="99"/>
    </row>
    <row r="4198" spans="1:22">
      <c r="A4198" s="297"/>
      <c r="B4198" s="217"/>
      <c r="C4198" s="217"/>
      <c r="D4198" s="101"/>
      <c r="E4198" s="101"/>
      <c r="F4198" s="294"/>
      <c r="G4198" s="295"/>
      <c r="H4198" s="98"/>
      <c r="I4198" s="99"/>
      <c r="J4198" s="99"/>
      <c r="K4198" s="99"/>
      <c r="L4198" s="99"/>
      <c r="M4198" s="99"/>
      <c r="N4198" s="99"/>
      <c r="O4198" s="99"/>
      <c r="P4198" s="99"/>
      <c r="Q4198" s="99"/>
      <c r="R4198" s="99"/>
      <c r="S4198" s="99"/>
      <c r="T4198" s="99"/>
      <c r="U4198" s="99"/>
      <c r="V4198" s="99"/>
    </row>
    <row r="4199" spans="1:22">
      <c r="A4199" s="297"/>
      <c r="B4199" s="217"/>
      <c r="C4199" s="217"/>
      <c r="D4199" s="101"/>
      <c r="E4199" s="101"/>
      <c r="F4199" s="294"/>
      <c r="G4199" s="295"/>
      <c r="H4199" s="98"/>
      <c r="I4199" s="99"/>
      <c r="J4199" s="99"/>
      <c r="K4199" s="99"/>
      <c r="L4199" s="99"/>
      <c r="M4199" s="99"/>
      <c r="N4199" s="99"/>
      <c r="O4199" s="99"/>
      <c r="P4199" s="99"/>
      <c r="Q4199" s="99"/>
      <c r="R4199" s="99"/>
      <c r="S4199" s="99"/>
      <c r="T4199" s="99"/>
      <c r="U4199" s="99"/>
      <c r="V4199" s="99"/>
    </row>
    <row r="4200" spans="1:22">
      <c r="A4200" s="297"/>
      <c r="B4200" s="217"/>
      <c r="C4200" s="217"/>
      <c r="D4200" s="101"/>
      <c r="E4200" s="101"/>
      <c r="F4200" s="294"/>
      <c r="G4200" s="295"/>
      <c r="H4200" s="98"/>
      <c r="I4200" s="99"/>
      <c r="J4200" s="99"/>
      <c r="K4200" s="99"/>
      <c r="L4200" s="99"/>
      <c r="M4200" s="99"/>
      <c r="N4200" s="99"/>
      <c r="O4200" s="99"/>
      <c r="P4200" s="99"/>
      <c r="Q4200" s="99"/>
      <c r="R4200" s="99"/>
      <c r="S4200" s="99"/>
      <c r="T4200" s="99"/>
      <c r="U4200" s="99"/>
      <c r="V4200" s="99"/>
    </row>
    <row r="4201" spans="1:22">
      <c r="A4201" s="297"/>
      <c r="B4201" s="217"/>
      <c r="C4201" s="217"/>
      <c r="D4201" s="101"/>
      <c r="E4201" s="101"/>
      <c r="F4201" s="294"/>
      <c r="G4201" s="295"/>
      <c r="H4201" s="98"/>
      <c r="I4201" s="99"/>
      <c r="J4201" s="99"/>
      <c r="K4201" s="99"/>
      <c r="L4201" s="99"/>
      <c r="M4201" s="99"/>
      <c r="N4201" s="99"/>
      <c r="O4201" s="99"/>
      <c r="P4201" s="99"/>
      <c r="Q4201" s="99"/>
      <c r="R4201" s="99"/>
      <c r="S4201" s="99"/>
      <c r="T4201" s="99"/>
      <c r="U4201" s="99"/>
      <c r="V4201" s="99"/>
    </row>
    <row r="4202" spans="1:22">
      <c r="A4202" s="297"/>
      <c r="B4202" s="217"/>
      <c r="C4202" s="217"/>
      <c r="D4202" s="101"/>
      <c r="E4202" s="101"/>
      <c r="F4202" s="294"/>
      <c r="G4202" s="295"/>
      <c r="H4202" s="98"/>
      <c r="I4202" s="99"/>
      <c r="J4202" s="99"/>
      <c r="K4202" s="99"/>
      <c r="L4202" s="99"/>
      <c r="M4202" s="99"/>
      <c r="N4202" s="99"/>
      <c r="O4202" s="99"/>
      <c r="P4202" s="99"/>
      <c r="Q4202" s="99"/>
      <c r="R4202" s="99"/>
      <c r="S4202" s="99"/>
      <c r="T4202" s="99"/>
      <c r="U4202" s="99"/>
      <c r="V4202" s="99"/>
    </row>
    <row r="4203" spans="1:22">
      <c r="A4203" s="297"/>
      <c r="B4203" s="217"/>
      <c r="C4203" s="217"/>
      <c r="D4203" s="101"/>
      <c r="E4203" s="101"/>
      <c r="F4203" s="294"/>
      <c r="G4203" s="295"/>
      <c r="H4203" s="98"/>
      <c r="I4203" s="99"/>
      <c r="J4203" s="99"/>
      <c r="K4203" s="99"/>
      <c r="L4203" s="99"/>
      <c r="M4203" s="99"/>
      <c r="N4203" s="99"/>
      <c r="O4203" s="99"/>
      <c r="P4203" s="99"/>
      <c r="Q4203" s="99"/>
      <c r="R4203" s="99"/>
      <c r="S4203" s="99"/>
      <c r="T4203" s="99"/>
      <c r="U4203" s="99"/>
      <c r="V4203" s="99"/>
    </row>
    <row r="4204" spans="1:22">
      <c r="A4204" s="297"/>
      <c r="B4204" s="217"/>
      <c r="C4204" s="217"/>
      <c r="D4204" s="101"/>
      <c r="E4204" s="101"/>
      <c r="F4204" s="294"/>
      <c r="G4204" s="295"/>
      <c r="H4204" s="98"/>
      <c r="I4204" s="99"/>
      <c r="J4204" s="99"/>
      <c r="K4204" s="99"/>
      <c r="L4204" s="99"/>
      <c r="M4204" s="99"/>
      <c r="N4204" s="99"/>
      <c r="O4204" s="99"/>
      <c r="P4204" s="99"/>
      <c r="Q4204" s="99"/>
      <c r="R4204" s="99"/>
      <c r="S4204" s="99"/>
      <c r="T4204" s="99"/>
      <c r="U4204" s="99"/>
      <c r="V4204" s="99"/>
    </row>
    <row r="4205" spans="1:22">
      <c r="A4205" s="297"/>
      <c r="B4205" s="217"/>
      <c r="C4205" s="217"/>
      <c r="D4205" s="101"/>
      <c r="E4205" s="101"/>
      <c r="F4205" s="294"/>
      <c r="G4205" s="295"/>
      <c r="H4205" s="98"/>
      <c r="I4205" s="99"/>
      <c r="J4205" s="99"/>
      <c r="K4205" s="99"/>
      <c r="L4205" s="99"/>
      <c r="M4205" s="99"/>
      <c r="N4205" s="99"/>
      <c r="O4205" s="99"/>
      <c r="P4205" s="99"/>
      <c r="Q4205" s="99"/>
      <c r="R4205" s="99"/>
      <c r="S4205" s="99"/>
      <c r="T4205" s="99"/>
      <c r="U4205" s="99"/>
      <c r="V4205" s="99"/>
    </row>
    <row r="4206" spans="1:22">
      <c r="A4206" s="297"/>
      <c r="B4206" s="217"/>
      <c r="C4206" s="217"/>
      <c r="D4206" s="101"/>
      <c r="E4206" s="101"/>
      <c r="F4206" s="294"/>
      <c r="G4206" s="295"/>
      <c r="H4206" s="98"/>
      <c r="I4206" s="99"/>
      <c r="J4206" s="99"/>
      <c r="K4206" s="99"/>
      <c r="L4206" s="99"/>
      <c r="M4206" s="99"/>
      <c r="N4206" s="99"/>
      <c r="O4206" s="99"/>
      <c r="P4206" s="99"/>
      <c r="Q4206" s="99"/>
      <c r="R4206" s="99"/>
      <c r="S4206" s="99"/>
      <c r="T4206" s="99"/>
      <c r="U4206" s="99"/>
      <c r="V4206" s="99"/>
    </row>
    <row r="4207" spans="1:22">
      <c r="A4207" s="297"/>
      <c r="B4207" s="217"/>
      <c r="C4207" s="217"/>
      <c r="D4207" s="101"/>
      <c r="E4207" s="101"/>
      <c r="F4207" s="294"/>
      <c r="G4207" s="295"/>
      <c r="H4207" s="98"/>
      <c r="I4207" s="99"/>
      <c r="J4207" s="99"/>
      <c r="K4207" s="99"/>
      <c r="L4207" s="99"/>
      <c r="M4207" s="99"/>
      <c r="N4207" s="99"/>
      <c r="O4207" s="99"/>
      <c r="P4207" s="99"/>
      <c r="Q4207" s="99"/>
      <c r="R4207" s="99"/>
      <c r="S4207" s="99"/>
      <c r="T4207" s="99"/>
      <c r="U4207" s="99"/>
      <c r="V4207" s="99"/>
    </row>
    <row r="4208" spans="1:22">
      <c r="A4208" s="297"/>
      <c r="B4208" s="217"/>
      <c r="C4208" s="217"/>
      <c r="D4208" s="101"/>
      <c r="E4208" s="101"/>
      <c r="F4208" s="294"/>
      <c r="G4208" s="295"/>
      <c r="H4208" s="98"/>
      <c r="I4208" s="99"/>
      <c r="J4208" s="99"/>
      <c r="K4208" s="99"/>
      <c r="L4208" s="99"/>
      <c r="M4208" s="99"/>
      <c r="N4208" s="99"/>
      <c r="O4208" s="99"/>
      <c r="P4208" s="99"/>
      <c r="Q4208" s="99"/>
      <c r="R4208" s="99"/>
      <c r="S4208" s="99"/>
      <c r="T4208" s="99"/>
      <c r="U4208" s="99"/>
      <c r="V4208" s="99"/>
    </row>
    <row r="4209" spans="1:22">
      <c r="A4209" s="297"/>
      <c r="B4209" s="217"/>
      <c r="C4209" s="217"/>
      <c r="D4209" s="101"/>
      <c r="E4209" s="101"/>
      <c r="F4209" s="294"/>
      <c r="G4209" s="295"/>
      <c r="H4209" s="98"/>
      <c r="I4209" s="99"/>
      <c r="J4209" s="99"/>
      <c r="K4209" s="99"/>
      <c r="L4209" s="99"/>
      <c r="M4209" s="99"/>
      <c r="N4209" s="99"/>
      <c r="O4209" s="99"/>
      <c r="P4209" s="99"/>
      <c r="Q4209" s="99"/>
      <c r="R4209" s="99"/>
      <c r="S4209" s="99"/>
      <c r="T4209" s="99"/>
      <c r="U4209" s="99"/>
      <c r="V4209" s="99"/>
    </row>
    <row r="4210" spans="1:22">
      <c r="A4210" s="297"/>
      <c r="B4210" s="217"/>
      <c r="C4210" s="217"/>
      <c r="D4210" s="101"/>
      <c r="E4210" s="101"/>
      <c r="F4210" s="294"/>
      <c r="G4210" s="295"/>
      <c r="H4210" s="98"/>
      <c r="I4210" s="99"/>
      <c r="J4210" s="99"/>
      <c r="K4210" s="99"/>
      <c r="L4210" s="99"/>
      <c r="M4210" s="99"/>
      <c r="N4210" s="99"/>
      <c r="O4210" s="99"/>
      <c r="P4210" s="99"/>
      <c r="Q4210" s="99"/>
      <c r="R4210" s="99"/>
      <c r="S4210" s="99"/>
      <c r="T4210" s="99"/>
      <c r="U4210" s="99"/>
      <c r="V4210" s="99"/>
    </row>
    <row r="4211" spans="1:22" ht="24" customHeight="1">
      <c r="A4211" s="297"/>
      <c r="B4211" s="217"/>
      <c r="C4211" s="217"/>
      <c r="D4211" s="101"/>
      <c r="E4211" s="101"/>
      <c r="F4211" s="294"/>
      <c r="G4211" s="295"/>
      <c r="H4211" s="107"/>
      <c r="I4211" s="109"/>
      <c r="J4211" s="109"/>
      <c r="K4211" s="109"/>
      <c r="L4211" s="109"/>
      <c r="M4211" s="109"/>
      <c r="N4211" s="109"/>
      <c r="O4211" s="109"/>
      <c r="P4211" s="109"/>
      <c r="Q4211" s="109"/>
      <c r="R4211" s="109"/>
      <c r="S4211" s="109"/>
      <c r="T4211" s="109"/>
      <c r="U4211" s="202"/>
      <c r="V4211" s="202"/>
    </row>
    <row r="4212" spans="1:22">
      <c r="A4212" s="297"/>
      <c r="B4212" s="217"/>
      <c r="C4212" s="217"/>
      <c r="D4212" s="101"/>
      <c r="E4212" s="101"/>
      <c r="F4212" s="294"/>
      <c r="G4212" s="295"/>
      <c r="H4212" s="98"/>
      <c r="I4212" s="106"/>
      <c r="J4212" s="106"/>
      <c r="K4212" s="106"/>
      <c r="L4212" s="106"/>
      <c r="M4212" s="106"/>
      <c r="N4212" s="112"/>
      <c r="O4212" s="112"/>
      <c r="P4212" s="112"/>
      <c r="Q4212" s="113"/>
      <c r="R4212" s="113"/>
      <c r="S4212" s="113"/>
      <c r="T4212" s="113"/>
      <c r="U4212" s="113"/>
      <c r="V4212" s="113"/>
    </row>
    <row r="4213" spans="1:22">
      <c r="A4213" s="297"/>
      <c r="B4213" s="217"/>
      <c r="C4213" s="217"/>
      <c r="D4213" s="101"/>
      <c r="E4213" s="101"/>
      <c r="F4213" s="294"/>
      <c r="G4213" s="295"/>
      <c r="H4213" s="98"/>
      <c r="I4213" s="99"/>
      <c r="J4213" s="99"/>
      <c r="K4213" s="99"/>
      <c r="L4213" s="99"/>
      <c r="M4213" s="99"/>
      <c r="N4213" s="99"/>
      <c r="O4213" s="99"/>
      <c r="P4213" s="99"/>
      <c r="Q4213" s="99"/>
      <c r="R4213" s="99"/>
      <c r="S4213" s="99"/>
      <c r="T4213" s="99"/>
      <c r="U4213" s="99"/>
      <c r="V4213" s="99"/>
    </row>
    <row r="4214" spans="1:22">
      <c r="A4214" s="297"/>
      <c r="B4214" s="217"/>
      <c r="C4214" s="217"/>
      <c r="D4214" s="101"/>
      <c r="E4214" s="101"/>
      <c r="F4214" s="294"/>
      <c r="G4214" s="295"/>
      <c r="H4214" s="98"/>
      <c r="I4214" s="99"/>
      <c r="J4214" s="99"/>
      <c r="K4214" s="99"/>
      <c r="L4214" s="99"/>
      <c r="M4214" s="99"/>
      <c r="N4214" s="99"/>
      <c r="O4214" s="99"/>
      <c r="P4214" s="99"/>
      <c r="Q4214" s="99"/>
      <c r="R4214" s="99"/>
      <c r="S4214" s="99"/>
      <c r="T4214" s="99"/>
      <c r="U4214" s="99"/>
      <c r="V4214" s="99"/>
    </row>
    <row r="4215" spans="1:22">
      <c r="A4215" s="297"/>
      <c r="B4215" s="217"/>
      <c r="C4215" s="217"/>
      <c r="D4215" s="101"/>
      <c r="E4215" s="101"/>
      <c r="F4215" s="294"/>
      <c r="G4215" s="295"/>
      <c r="H4215" s="98"/>
      <c r="I4215" s="99"/>
      <c r="J4215" s="99"/>
      <c r="K4215" s="99"/>
      <c r="L4215" s="99"/>
      <c r="M4215" s="99"/>
      <c r="N4215" s="99"/>
      <c r="O4215" s="99"/>
      <c r="P4215" s="99"/>
      <c r="Q4215" s="99"/>
      <c r="R4215" s="99"/>
      <c r="S4215" s="99"/>
      <c r="T4215" s="99"/>
      <c r="U4215" s="99"/>
      <c r="V4215" s="99"/>
    </row>
    <row r="4216" spans="1:22">
      <c r="A4216" s="297"/>
      <c r="B4216" s="217"/>
      <c r="C4216" s="217"/>
      <c r="D4216" s="101"/>
      <c r="E4216" s="101"/>
      <c r="F4216" s="294"/>
      <c r="G4216" s="295"/>
      <c r="H4216" s="98"/>
      <c r="I4216" s="99"/>
      <c r="J4216" s="99"/>
      <c r="K4216" s="99"/>
      <c r="L4216" s="99"/>
      <c r="M4216" s="99"/>
      <c r="N4216" s="99"/>
      <c r="O4216" s="99"/>
      <c r="P4216" s="99"/>
      <c r="Q4216" s="99"/>
      <c r="R4216" s="99"/>
      <c r="S4216" s="99"/>
      <c r="T4216" s="99"/>
      <c r="U4216" s="99"/>
      <c r="V4216" s="99"/>
    </row>
    <row r="4217" spans="1:22">
      <c r="A4217" s="297"/>
      <c r="B4217" s="217"/>
      <c r="C4217" s="217"/>
      <c r="D4217" s="101"/>
      <c r="E4217" s="101"/>
      <c r="F4217" s="294"/>
      <c r="G4217" s="295"/>
      <c r="H4217" s="98"/>
      <c r="I4217" s="99"/>
      <c r="J4217" s="99"/>
      <c r="K4217" s="99"/>
      <c r="L4217" s="99"/>
      <c r="M4217" s="99"/>
      <c r="N4217" s="99"/>
      <c r="O4217" s="99"/>
      <c r="P4217" s="99"/>
      <c r="Q4217" s="99"/>
      <c r="R4217" s="99"/>
      <c r="S4217" s="99"/>
      <c r="T4217" s="99"/>
      <c r="U4217" s="99"/>
      <c r="V4217" s="99"/>
    </row>
    <row r="4218" spans="1:22">
      <c r="A4218" s="297"/>
      <c r="B4218" s="217"/>
      <c r="C4218" s="217"/>
      <c r="D4218" s="101"/>
      <c r="E4218" s="101"/>
      <c r="F4218" s="294"/>
      <c r="G4218" s="295"/>
      <c r="H4218" s="98"/>
      <c r="I4218" s="99"/>
      <c r="J4218" s="99"/>
      <c r="K4218" s="99"/>
      <c r="L4218" s="99"/>
      <c r="M4218" s="99"/>
      <c r="N4218" s="99"/>
      <c r="O4218" s="99"/>
      <c r="P4218" s="99"/>
      <c r="Q4218" s="99"/>
      <c r="R4218" s="99"/>
      <c r="S4218" s="99"/>
      <c r="T4218" s="99"/>
      <c r="U4218" s="99"/>
      <c r="V4218" s="99"/>
    </row>
    <row r="4219" spans="1:22">
      <c r="A4219" s="297"/>
      <c r="B4219" s="217"/>
      <c r="C4219" s="217"/>
      <c r="D4219" s="101"/>
      <c r="E4219" s="101"/>
      <c r="F4219" s="294"/>
      <c r="G4219" s="295"/>
      <c r="H4219" s="98"/>
      <c r="I4219" s="99"/>
      <c r="J4219" s="99"/>
      <c r="K4219" s="99"/>
      <c r="L4219" s="99"/>
      <c r="M4219" s="99"/>
      <c r="N4219" s="99"/>
      <c r="O4219" s="99"/>
      <c r="P4219" s="99"/>
      <c r="Q4219" s="99"/>
      <c r="R4219" s="99"/>
      <c r="S4219" s="99"/>
      <c r="T4219" s="99"/>
      <c r="U4219" s="99"/>
      <c r="V4219" s="99"/>
    </row>
    <row r="4220" spans="1:22">
      <c r="A4220" s="297"/>
      <c r="B4220" s="217"/>
      <c r="C4220" s="217"/>
      <c r="D4220" s="101"/>
      <c r="E4220" s="101"/>
      <c r="F4220" s="294"/>
      <c r="G4220" s="295"/>
      <c r="H4220" s="107"/>
      <c r="I4220" s="108"/>
      <c r="J4220" s="108"/>
      <c r="K4220" s="108"/>
      <c r="L4220" s="108"/>
      <c r="M4220" s="108"/>
      <c r="N4220" s="109"/>
      <c r="O4220" s="109"/>
      <c r="P4220" s="109"/>
      <c r="Q4220" s="109"/>
      <c r="R4220" s="109"/>
      <c r="S4220" s="109"/>
      <c r="T4220" s="109"/>
      <c r="U4220" s="202"/>
      <c r="V4220" s="202"/>
    </row>
    <row r="4221" spans="1:22">
      <c r="A4221" s="297"/>
      <c r="B4221" s="217"/>
      <c r="C4221" s="217"/>
      <c r="D4221" s="101"/>
      <c r="E4221" s="101"/>
      <c r="F4221" s="294"/>
      <c r="G4221" s="295"/>
      <c r="H4221" s="98"/>
      <c r="I4221" s="106"/>
      <c r="J4221" s="106"/>
      <c r="K4221" s="106"/>
      <c r="L4221" s="106"/>
      <c r="M4221" s="106"/>
      <c r="N4221" s="112"/>
      <c r="O4221" s="112"/>
      <c r="P4221" s="112"/>
      <c r="Q4221" s="113"/>
      <c r="R4221" s="113"/>
      <c r="S4221" s="113"/>
      <c r="T4221" s="113"/>
      <c r="U4221" s="113"/>
      <c r="V4221" s="113"/>
    </row>
    <row r="4222" spans="1:22">
      <c r="A4222" s="297"/>
      <c r="B4222" s="217"/>
      <c r="C4222" s="217"/>
      <c r="D4222" s="101"/>
      <c r="E4222" s="101"/>
      <c r="F4222" s="294"/>
      <c r="G4222" s="295"/>
      <c r="H4222" s="114"/>
      <c r="I4222" s="108"/>
      <c r="J4222" s="108"/>
      <c r="K4222" s="108"/>
      <c r="L4222" s="108"/>
      <c r="M4222" s="108"/>
      <c r="N4222" s="108"/>
      <c r="O4222" s="108"/>
      <c r="P4222" s="108"/>
      <c r="Q4222" s="108"/>
      <c r="R4222" s="108"/>
      <c r="S4222" s="108"/>
      <c r="T4222" s="108"/>
      <c r="U4222" s="233"/>
      <c r="V4222" s="233"/>
    </row>
    <row r="4223" spans="1:22" ht="14.4" thickBot="1">
      <c r="A4223" s="297"/>
      <c r="B4223" s="217"/>
      <c r="C4223" s="217"/>
      <c r="D4223" s="101"/>
      <c r="E4223" s="101"/>
      <c r="F4223" s="294"/>
      <c r="G4223" s="295"/>
      <c r="H4223" s="89"/>
      <c r="I4223" s="233"/>
      <c r="J4223" s="233"/>
      <c r="K4223" s="233"/>
      <c r="L4223" s="233"/>
      <c r="M4223" s="233"/>
      <c r="N4223" s="233"/>
      <c r="O4223" s="233"/>
      <c r="P4223" s="233"/>
      <c r="Q4223" s="233"/>
      <c r="R4223" s="233"/>
      <c r="S4223" s="233"/>
      <c r="T4223" s="233"/>
      <c r="U4223" s="233"/>
      <c r="V4223" s="233"/>
    </row>
    <row r="4224" spans="1:22" ht="23.4" thickBot="1">
      <c r="A4224" s="297"/>
      <c r="B4224" s="217"/>
      <c r="C4224" s="217"/>
      <c r="D4224" s="101"/>
      <c r="E4224" s="101"/>
      <c r="F4224" s="294"/>
      <c r="G4224" s="295"/>
      <c r="H4224" s="686"/>
      <c r="I4224" s="687"/>
      <c r="J4224" s="687"/>
      <c r="K4224" s="687"/>
      <c r="L4224" s="687"/>
      <c r="M4224" s="687"/>
      <c r="N4224" s="687"/>
      <c r="O4224" s="687"/>
      <c r="P4224" s="687"/>
      <c r="Q4224" s="687"/>
      <c r="R4224" s="687"/>
      <c r="S4224" s="715"/>
      <c r="T4224" s="688"/>
      <c r="U4224" s="254"/>
      <c r="V4224" s="254"/>
    </row>
    <row r="4225" spans="1:22" ht="22.8">
      <c r="A4225" s="297"/>
      <c r="B4225" s="217"/>
      <c r="C4225" s="217"/>
      <c r="D4225" s="101"/>
      <c r="E4225" s="101"/>
      <c r="F4225" s="294"/>
      <c r="G4225" s="295"/>
      <c r="H4225" s="225"/>
      <c r="I4225" s="225"/>
      <c r="J4225" s="225"/>
      <c r="K4225" s="225"/>
      <c r="L4225" s="225"/>
      <c r="M4225" s="225"/>
      <c r="N4225" s="225"/>
      <c r="O4225" s="225"/>
      <c r="P4225" s="225"/>
      <c r="Q4225" s="225"/>
      <c r="R4225" s="225"/>
      <c r="S4225" s="225"/>
      <c r="T4225" s="225"/>
      <c r="U4225" s="225"/>
      <c r="V4225" s="225"/>
    </row>
    <row r="4226" spans="1:22">
      <c r="A4226" s="297"/>
      <c r="B4226" s="217"/>
      <c r="C4226" s="217"/>
      <c r="D4226" s="101"/>
      <c r="E4226" s="101"/>
      <c r="F4226" s="294"/>
      <c r="G4226" s="295"/>
      <c r="H4226" s="98"/>
      <c r="I4226" s="99"/>
      <c r="J4226" s="99"/>
      <c r="K4226" s="99"/>
      <c r="L4226" s="99"/>
      <c r="M4226" s="99"/>
      <c r="N4226" s="99"/>
      <c r="O4226" s="99"/>
      <c r="P4226" s="99"/>
      <c r="Q4226" s="99"/>
      <c r="R4226" s="99"/>
      <c r="S4226" s="99"/>
      <c r="T4226" s="99"/>
      <c r="U4226" s="99"/>
      <c r="V4226" s="99"/>
    </row>
    <row r="4227" spans="1:22">
      <c r="A4227" s="297"/>
      <c r="B4227" s="217"/>
      <c r="C4227" s="217"/>
      <c r="D4227" s="101"/>
      <c r="E4227" s="101"/>
      <c r="F4227" s="294"/>
      <c r="G4227" s="295"/>
      <c r="H4227" s="98"/>
      <c r="I4227" s="99"/>
      <c r="J4227" s="99"/>
      <c r="K4227" s="99"/>
      <c r="L4227" s="99"/>
      <c r="M4227" s="99"/>
      <c r="N4227" s="99"/>
      <c r="O4227" s="99"/>
      <c r="P4227" s="99"/>
      <c r="Q4227" s="99"/>
      <c r="R4227" s="99"/>
      <c r="S4227" s="99"/>
      <c r="T4227" s="99"/>
      <c r="U4227" s="99"/>
      <c r="V4227" s="99"/>
    </row>
    <row r="4228" spans="1:22">
      <c r="A4228" s="297"/>
      <c r="B4228" s="217"/>
      <c r="C4228" s="217"/>
      <c r="D4228" s="101"/>
      <c r="E4228" s="101"/>
      <c r="F4228" s="294"/>
      <c r="G4228" s="295"/>
      <c r="H4228" s="98"/>
      <c r="I4228" s="99"/>
      <c r="J4228" s="99"/>
      <c r="K4228" s="99"/>
      <c r="L4228" s="99"/>
      <c r="M4228" s="99"/>
      <c r="N4228" s="99"/>
      <c r="O4228" s="99"/>
      <c r="P4228" s="99"/>
      <c r="Q4228" s="99"/>
      <c r="R4228" s="99"/>
      <c r="S4228" s="99"/>
      <c r="T4228" s="99"/>
      <c r="U4228" s="99"/>
      <c r="V4228" s="99"/>
    </row>
    <row r="4229" spans="1:22">
      <c r="A4229" s="297"/>
      <c r="B4229" s="217"/>
      <c r="C4229" s="217"/>
      <c r="D4229" s="101"/>
      <c r="E4229" s="101"/>
      <c r="F4229" s="294"/>
      <c r="G4229" s="295"/>
      <c r="H4229" s="98"/>
      <c r="I4229" s="99"/>
      <c r="J4229" s="99"/>
      <c r="K4229" s="99"/>
      <c r="L4229" s="99"/>
      <c r="M4229" s="99"/>
      <c r="N4229" s="99"/>
      <c r="O4229" s="99"/>
      <c r="P4229" s="99"/>
      <c r="Q4229" s="99"/>
      <c r="R4229" s="99"/>
      <c r="S4229" s="99"/>
      <c r="T4229" s="99"/>
      <c r="U4229" s="99"/>
      <c r="V4229" s="99"/>
    </row>
    <row r="4230" spans="1:22">
      <c r="A4230" s="297"/>
      <c r="B4230" s="217"/>
      <c r="C4230" s="217"/>
      <c r="D4230" s="101"/>
      <c r="E4230" s="101"/>
      <c r="F4230" s="294"/>
      <c r="G4230" s="295"/>
      <c r="H4230" s="98"/>
      <c r="I4230" s="99"/>
      <c r="J4230" s="99"/>
      <c r="K4230" s="99"/>
      <c r="L4230" s="99"/>
      <c r="M4230" s="99"/>
      <c r="N4230" s="99"/>
      <c r="O4230" s="99"/>
      <c r="P4230" s="99"/>
      <c r="Q4230" s="99"/>
      <c r="R4230" s="99"/>
      <c r="S4230" s="99"/>
      <c r="T4230" s="99"/>
      <c r="U4230" s="99"/>
      <c r="V4230" s="99"/>
    </row>
    <row r="4231" spans="1:22">
      <c r="A4231" s="297"/>
      <c r="B4231" s="217"/>
      <c r="C4231" s="217"/>
      <c r="D4231" s="101"/>
      <c r="E4231" s="101"/>
      <c r="F4231" s="294"/>
      <c r="G4231" s="295"/>
      <c r="H4231" s="98"/>
      <c r="I4231" s="99"/>
      <c r="J4231" s="99"/>
      <c r="K4231" s="99"/>
      <c r="L4231" s="99"/>
      <c r="M4231" s="99"/>
      <c r="N4231" s="99"/>
      <c r="O4231" s="99"/>
      <c r="P4231" s="99"/>
      <c r="Q4231" s="99"/>
      <c r="R4231" s="99"/>
      <c r="S4231" s="99"/>
      <c r="T4231" s="99"/>
      <c r="U4231" s="99"/>
      <c r="V4231" s="99"/>
    </row>
    <row r="4232" spans="1:22">
      <c r="A4232" s="297"/>
      <c r="B4232" s="217"/>
      <c r="C4232" s="217"/>
      <c r="D4232" s="101"/>
      <c r="E4232" s="101"/>
      <c r="F4232" s="294"/>
      <c r="G4232" s="295"/>
      <c r="H4232" s="98"/>
      <c r="I4232" s="99"/>
      <c r="J4232" s="99"/>
      <c r="K4232" s="99"/>
      <c r="L4232" s="99"/>
      <c r="M4232" s="99"/>
      <c r="N4232" s="99"/>
      <c r="O4232" s="99"/>
      <c r="P4232" s="99"/>
      <c r="Q4232" s="99"/>
      <c r="R4232" s="99"/>
      <c r="S4232" s="99"/>
      <c r="T4232" s="99"/>
      <c r="U4232" s="99"/>
      <c r="V4232" s="99"/>
    </row>
    <row r="4233" spans="1:22">
      <c r="A4233" s="297"/>
      <c r="B4233" s="217"/>
      <c r="C4233" s="217"/>
      <c r="D4233" s="101"/>
      <c r="E4233" s="101"/>
      <c r="F4233" s="294"/>
      <c r="G4233" s="295"/>
      <c r="H4233" s="98"/>
      <c r="I4233" s="99"/>
      <c r="J4233" s="99"/>
      <c r="K4233" s="99"/>
      <c r="L4233" s="99"/>
      <c r="M4233" s="99"/>
      <c r="N4233" s="99"/>
      <c r="O4233" s="99"/>
      <c r="P4233" s="99"/>
      <c r="Q4233" s="99"/>
      <c r="R4233" s="99"/>
      <c r="S4233" s="99"/>
      <c r="T4233" s="99"/>
      <c r="U4233" s="99"/>
      <c r="V4233" s="99"/>
    </row>
    <row r="4234" spans="1:22">
      <c r="A4234" s="297"/>
      <c r="B4234" s="217"/>
      <c r="C4234" s="217"/>
      <c r="D4234" s="101"/>
      <c r="E4234" s="101"/>
      <c r="F4234" s="294"/>
      <c r="G4234" s="295"/>
      <c r="H4234" s="98"/>
      <c r="I4234" s="99"/>
      <c r="J4234" s="99"/>
      <c r="K4234" s="99"/>
      <c r="L4234" s="99"/>
      <c r="M4234" s="99"/>
      <c r="N4234" s="99"/>
      <c r="O4234" s="99"/>
      <c r="P4234" s="99"/>
      <c r="Q4234" s="99"/>
      <c r="R4234" s="99"/>
      <c r="S4234" s="99"/>
      <c r="T4234" s="99"/>
      <c r="U4234" s="99"/>
      <c r="V4234" s="99"/>
    </row>
    <row r="4235" spans="1:22">
      <c r="A4235" s="297"/>
      <c r="B4235" s="217"/>
      <c r="C4235" s="217"/>
      <c r="D4235" s="101"/>
      <c r="E4235" s="101"/>
      <c r="F4235" s="294"/>
      <c r="G4235" s="295"/>
      <c r="H4235" s="98"/>
      <c r="I4235" s="99"/>
      <c r="J4235" s="99"/>
      <c r="K4235" s="99"/>
      <c r="L4235" s="99"/>
      <c r="M4235" s="99"/>
      <c r="N4235" s="99"/>
      <c r="O4235" s="99"/>
      <c r="P4235" s="99"/>
      <c r="Q4235" s="99"/>
      <c r="R4235" s="99"/>
      <c r="S4235" s="99"/>
      <c r="T4235" s="99"/>
      <c r="U4235" s="99"/>
      <c r="V4235" s="99"/>
    </row>
    <row r="4236" spans="1:22">
      <c r="A4236" s="297"/>
      <c r="B4236" s="217"/>
      <c r="C4236" s="217"/>
      <c r="D4236" s="101"/>
      <c r="E4236" s="101"/>
      <c r="F4236" s="294"/>
      <c r="G4236" s="295"/>
      <c r="H4236" s="98"/>
      <c r="I4236" s="99"/>
      <c r="J4236" s="99"/>
      <c r="K4236" s="99"/>
      <c r="L4236" s="99"/>
      <c r="M4236" s="99"/>
      <c r="N4236" s="99"/>
      <c r="O4236" s="99"/>
      <c r="P4236" s="99"/>
      <c r="Q4236" s="99"/>
      <c r="R4236" s="99"/>
      <c r="S4236" s="99"/>
      <c r="T4236" s="99"/>
      <c r="U4236" s="99"/>
      <c r="V4236" s="99"/>
    </row>
    <row r="4237" spans="1:22">
      <c r="A4237" s="297"/>
      <c r="B4237" s="217"/>
      <c r="C4237" s="217"/>
      <c r="D4237" s="101"/>
      <c r="E4237" s="101"/>
      <c r="F4237" s="294"/>
      <c r="G4237" s="295"/>
      <c r="H4237" s="98"/>
      <c r="I4237" s="99"/>
      <c r="J4237" s="99"/>
      <c r="K4237" s="99"/>
      <c r="L4237" s="99"/>
      <c r="M4237" s="99"/>
      <c r="N4237" s="99"/>
      <c r="O4237" s="99"/>
      <c r="P4237" s="99"/>
      <c r="Q4237" s="99"/>
      <c r="R4237" s="99"/>
      <c r="S4237" s="99"/>
      <c r="T4237" s="99"/>
      <c r="U4237" s="99"/>
      <c r="V4237" s="99"/>
    </row>
    <row r="4238" spans="1:22">
      <c r="A4238" s="297"/>
      <c r="B4238" s="217"/>
      <c r="C4238" s="217"/>
      <c r="D4238" s="101"/>
      <c r="E4238" s="101"/>
      <c r="F4238" s="294"/>
      <c r="G4238" s="295"/>
      <c r="H4238" s="107"/>
      <c r="I4238" s="108"/>
      <c r="J4238" s="108"/>
      <c r="K4238" s="108"/>
      <c r="L4238" s="108"/>
      <c r="M4238" s="108"/>
      <c r="N4238" s="109"/>
      <c r="O4238" s="109"/>
      <c r="P4238" s="109"/>
      <c r="Q4238" s="109"/>
      <c r="R4238" s="109"/>
      <c r="S4238" s="109"/>
      <c r="T4238" s="109"/>
      <c r="U4238" s="202"/>
      <c r="V4238" s="202"/>
    </row>
    <row r="4239" spans="1:22">
      <c r="A4239" s="297"/>
      <c r="B4239" s="217"/>
      <c r="C4239" s="217"/>
      <c r="D4239" s="101"/>
      <c r="E4239" s="101"/>
      <c r="F4239" s="294"/>
      <c r="G4239" s="295"/>
      <c r="H4239" s="98"/>
      <c r="I4239" s="106"/>
      <c r="J4239" s="106"/>
      <c r="K4239" s="106"/>
      <c r="L4239" s="106"/>
      <c r="M4239" s="106"/>
      <c r="N4239" s="112"/>
      <c r="O4239" s="112"/>
      <c r="P4239" s="112"/>
      <c r="Q4239" s="113"/>
      <c r="R4239" s="113"/>
      <c r="S4239" s="113"/>
      <c r="T4239" s="113"/>
      <c r="U4239" s="113"/>
      <c r="V4239" s="113"/>
    </row>
    <row r="4240" spans="1:22">
      <c r="A4240" s="297"/>
      <c r="B4240" s="217"/>
      <c r="C4240" s="217"/>
      <c r="D4240" s="101"/>
      <c r="E4240" s="101"/>
      <c r="F4240" s="294"/>
      <c r="G4240" s="295"/>
      <c r="H4240" s="98"/>
      <c r="I4240" s="99"/>
      <c r="J4240" s="99"/>
      <c r="K4240" s="99"/>
      <c r="L4240" s="99"/>
      <c r="M4240" s="99"/>
      <c r="N4240" s="99"/>
      <c r="O4240" s="99"/>
      <c r="P4240" s="99"/>
      <c r="Q4240" s="99"/>
      <c r="R4240" s="99"/>
      <c r="S4240" s="99"/>
      <c r="T4240" s="99"/>
      <c r="U4240" s="99"/>
      <c r="V4240" s="99"/>
    </row>
    <row r="4241" spans="1:22" ht="24" customHeight="1">
      <c r="A4241" s="297"/>
      <c r="B4241" s="217"/>
      <c r="C4241" s="217"/>
      <c r="D4241" s="101"/>
      <c r="E4241" s="101"/>
      <c r="F4241" s="294"/>
      <c r="G4241" s="295"/>
      <c r="H4241" s="98"/>
      <c r="I4241" s="99"/>
      <c r="J4241" s="99"/>
      <c r="K4241" s="99"/>
      <c r="L4241" s="99"/>
      <c r="M4241" s="99"/>
      <c r="N4241" s="99"/>
      <c r="O4241" s="99"/>
      <c r="P4241" s="99"/>
      <c r="Q4241" s="99"/>
      <c r="R4241" s="99"/>
      <c r="S4241" s="99"/>
      <c r="T4241" s="99"/>
      <c r="U4241" s="99"/>
      <c r="V4241" s="99"/>
    </row>
    <row r="4242" spans="1:22">
      <c r="A4242" s="297"/>
      <c r="B4242" s="217"/>
      <c r="C4242" s="217"/>
      <c r="D4242" s="101"/>
      <c r="E4242" s="101"/>
      <c r="F4242" s="294"/>
      <c r="G4242" s="295"/>
      <c r="H4242" s="98"/>
      <c r="I4242" s="99"/>
      <c r="J4242" s="99"/>
      <c r="K4242" s="99"/>
      <c r="L4242" s="99"/>
      <c r="M4242" s="99"/>
      <c r="N4242" s="99"/>
      <c r="O4242" s="99"/>
      <c r="P4242" s="99"/>
      <c r="Q4242" s="99"/>
      <c r="R4242" s="99"/>
      <c r="S4242" s="99"/>
      <c r="T4242" s="99"/>
      <c r="U4242" s="99"/>
      <c r="V4242" s="99"/>
    </row>
    <row r="4243" spans="1:22">
      <c r="A4243" s="297"/>
      <c r="B4243" s="217"/>
      <c r="C4243" s="217"/>
      <c r="D4243" s="101"/>
      <c r="E4243" s="101"/>
      <c r="F4243" s="294"/>
      <c r="G4243" s="295"/>
      <c r="H4243" s="98"/>
      <c r="I4243" s="99"/>
      <c r="J4243" s="99"/>
      <c r="K4243" s="99"/>
      <c r="L4243" s="99"/>
      <c r="M4243" s="99"/>
      <c r="N4243" s="99"/>
      <c r="O4243" s="99"/>
      <c r="P4243" s="99"/>
      <c r="Q4243" s="99"/>
      <c r="R4243" s="99"/>
      <c r="S4243" s="99"/>
      <c r="T4243" s="99"/>
      <c r="U4243" s="99"/>
      <c r="V4243" s="99"/>
    </row>
    <row r="4244" spans="1:22">
      <c r="A4244" s="297"/>
      <c r="B4244" s="217"/>
      <c r="C4244" s="217"/>
      <c r="D4244" s="101"/>
      <c r="E4244" s="101"/>
      <c r="F4244" s="294"/>
      <c r="G4244" s="295"/>
      <c r="H4244" s="98"/>
      <c r="I4244" s="99"/>
      <c r="J4244" s="99"/>
      <c r="K4244" s="99"/>
      <c r="L4244" s="99"/>
      <c r="M4244" s="99"/>
      <c r="N4244" s="99"/>
      <c r="O4244" s="99"/>
      <c r="P4244" s="99"/>
      <c r="Q4244" s="99"/>
      <c r="R4244" s="99"/>
      <c r="S4244" s="99"/>
      <c r="T4244" s="99"/>
      <c r="U4244" s="99"/>
      <c r="V4244" s="99"/>
    </row>
    <row r="4245" spans="1:22">
      <c r="A4245" s="297"/>
      <c r="B4245" s="217"/>
      <c r="C4245" s="217"/>
      <c r="D4245" s="101"/>
      <c r="E4245" s="101"/>
      <c r="F4245" s="294"/>
      <c r="G4245" s="295"/>
      <c r="H4245" s="98"/>
      <c r="I4245" s="99"/>
      <c r="J4245" s="99"/>
      <c r="K4245" s="99"/>
      <c r="L4245" s="99"/>
      <c r="M4245" s="99"/>
      <c r="N4245" s="99"/>
      <c r="O4245" s="99"/>
      <c r="P4245" s="99"/>
      <c r="Q4245" s="99"/>
      <c r="R4245" s="99"/>
      <c r="S4245" s="99"/>
      <c r="T4245" s="99"/>
      <c r="U4245" s="99"/>
      <c r="V4245" s="99"/>
    </row>
    <row r="4246" spans="1:22">
      <c r="A4246" s="297"/>
      <c r="B4246" s="217"/>
      <c r="C4246" s="217"/>
      <c r="D4246" s="101"/>
      <c r="E4246" s="101"/>
      <c r="F4246" s="294"/>
      <c r="G4246" s="295"/>
      <c r="H4246" s="98"/>
      <c r="I4246" s="99"/>
      <c r="J4246" s="99"/>
      <c r="K4246" s="99"/>
      <c r="L4246" s="99"/>
      <c r="M4246" s="99"/>
      <c r="N4246" s="99"/>
      <c r="O4246" s="99"/>
      <c r="P4246" s="99"/>
      <c r="Q4246" s="99"/>
      <c r="R4246" s="99"/>
      <c r="S4246" s="99"/>
      <c r="T4246" s="99"/>
      <c r="U4246" s="99"/>
      <c r="V4246" s="99"/>
    </row>
    <row r="4247" spans="1:22">
      <c r="A4247" s="297"/>
      <c r="B4247" s="217"/>
      <c r="C4247" s="217"/>
      <c r="D4247" s="101"/>
      <c r="E4247" s="101"/>
      <c r="F4247" s="294"/>
      <c r="G4247" s="295"/>
      <c r="H4247" s="98"/>
      <c r="I4247" s="99"/>
      <c r="J4247" s="99"/>
      <c r="K4247" s="99"/>
      <c r="L4247" s="99"/>
      <c r="M4247" s="99"/>
      <c r="N4247" s="99"/>
      <c r="O4247" s="99"/>
      <c r="P4247" s="99"/>
      <c r="Q4247" s="99"/>
      <c r="R4247" s="99"/>
      <c r="S4247" s="99"/>
      <c r="T4247" s="99"/>
      <c r="U4247" s="99"/>
      <c r="V4247" s="99"/>
    </row>
    <row r="4248" spans="1:22">
      <c r="A4248" s="297"/>
      <c r="B4248" s="217"/>
      <c r="C4248" s="217"/>
      <c r="D4248" s="101"/>
      <c r="E4248" s="101"/>
      <c r="F4248" s="294"/>
      <c r="G4248" s="295"/>
      <c r="H4248" s="98"/>
      <c r="I4248" s="99"/>
      <c r="J4248" s="99"/>
      <c r="K4248" s="99"/>
      <c r="L4248" s="99"/>
      <c r="M4248" s="99"/>
      <c r="N4248" s="99"/>
      <c r="O4248" s="99"/>
      <c r="P4248" s="99"/>
      <c r="Q4248" s="99"/>
      <c r="R4248" s="99"/>
      <c r="S4248" s="99"/>
      <c r="T4248" s="99"/>
      <c r="U4248" s="99"/>
      <c r="V4248" s="99"/>
    </row>
    <row r="4249" spans="1:22">
      <c r="A4249" s="297"/>
      <c r="B4249" s="217"/>
      <c r="C4249" s="217"/>
      <c r="D4249" s="101"/>
      <c r="E4249" s="101"/>
      <c r="F4249" s="294"/>
      <c r="G4249" s="295"/>
      <c r="H4249" s="98"/>
      <c r="I4249" s="99"/>
      <c r="J4249" s="99"/>
      <c r="K4249" s="99"/>
      <c r="L4249" s="99"/>
      <c r="M4249" s="99"/>
      <c r="N4249" s="99"/>
      <c r="O4249" s="99"/>
      <c r="P4249" s="99"/>
      <c r="Q4249" s="99"/>
      <c r="R4249" s="99"/>
      <c r="S4249" s="99"/>
      <c r="T4249" s="99"/>
      <c r="U4249" s="99"/>
      <c r="V4249" s="99"/>
    </row>
    <row r="4250" spans="1:22">
      <c r="A4250" s="297"/>
      <c r="B4250" s="217"/>
      <c r="C4250" s="217"/>
      <c r="D4250" s="101"/>
      <c r="E4250" s="101"/>
      <c r="F4250" s="294"/>
      <c r="G4250" s="295"/>
      <c r="H4250" s="98"/>
      <c r="I4250" s="99"/>
      <c r="J4250" s="99"/>
      <c r="K4250" s="99"/>
      <c r="L4250" s="99"/>
      <c r="M4250" s="99"/>
      <c r="N4250" s="99"/>
      <c r="O4250" s="99"/>
      <c r="P4250" s="99"/>
      <c r="Q4250" s="99"/>
      <c r="R4250" s="99"/>
      <c r="S4250" s="99"/>
      <c r="T4250" s="99"/>
      <c r="U4250" s="99"/>
      <c r="V4250" s="99"/>
    </row>
    <row r="4251" spans="1:22">
      <c r="A4251" s="297"/>
      <c r="B4251" s="217"/>
      <c r="C4251" s="217"/>
      <c r="D4251" s="101"/>
      <c r="E4251" s="101"/>
      <c r="F4251" s="294"/>
      <c r="G4251" s="295"/>
      <c r="H4251" s="98"/>
      <c r="I4251" s="99"/>
      <c r="J4251" s="99"/>
      <c r="K4251" s="99"/>
      <c r="L4251" s="99"/>
      <c r="M4251" s="99"/>
      <c r="N4251" s="99"/>
      <c r="O4251" s="99"/>
      <c r="P4251" s="99"/>
      <c r="Q4251" s="99"/>
      <c r="R4251" s="99"/>
      <c r="S4251" s="99"/>
      <c r="T4251" s="99"/>
      <c r="U4251" s="99"/>
      <c r="V4251" s="99"/>
    </row>
    <row r="4252" spans="1:22">
      <c r="A4252" s="297"/>
      <c r="B4252" s="217"/>
      <c r="C4252" s="217"/>
      <c r="D4252" s="101"/>
      <c r="E4252" s="101"/>
      <c r="F4252" s="294"/>
      <c r="G4252" s="295"/>
      <c r="H4252" s="98"/>
      <c r="I4252" s="99"/>
      <c r="J4252" s="99"/>
      <c r="K4252" s="99"/>
      <c r="L4252" s="99"/>
      <c r="M4252" s="99"/>
      <c r="N4252" s="99"/>
      <c r="O4252" s="99"/>
      <c r="P4252" s="99"/>
      <c r="Q4252" s="99"/>
      <c r="R4252" s="99"/>
      <c r="S4252" s="99"/>
      <c r="T4252" s="99"/>
      <c r="U4252" s="99"/>
      <c r="V4252" s="99"/>
    </row>
    <row r="4253" spans="1:22">
      <c r="A4253" s="297"/>
      <c r="B4253" s="217"/>
      <c r="C4253" s="217"/>
      <c r="D4253" s="101"/>
      <c r="E4253" s="101"/>
      <c r="F4253" s="294"/>
      <c r="G4253" s="295"/>
      <c r="H4253" s="107"/>
      <c r="I4253" s="109"/>
      <c r="J4253" s="109"/>
      <c r="K4253" s="109"/>
      <c r="L4253" s="109"/>
      <c r="M4253" s="109"/>
      <c r="N4253" s="109"/>
      <c r="O4253" s="109"/>
      <c r="P4253" s="109"/>
      <c r="Q4253" s="109"/>
      <c r="R4253" s="109"/>
      <c r="S4253" s="109"/>
      <c r="T4253" s="109"/>
      <c r="U4253" s="202"/>
      <c r="V4253" s="202"/>
    </row>
    <row r="4254" spans="1:22">
      <c r="A4254" s="297"/>
      <c r="B4254" s="217"/>
      <c r="C4254" s="217"/>
      <c r="D4254" s="101"/>
      <c r="E4254" s="101"/>
      <c r="F4254" s="294"/>
      <c r="G4254" s="295"/>
      <c r="H4254" s="98"/>
      <c r="I4254" s="106"/>
      <c r="J4254" s="106"/>
      <c r="K4254" s="106"/>
      <c r="L4254" s="106"/>
      <c r="M4254" s="106"/>
      <c r="N4254" s="112"/>
      <c r="O4254" s="112"/>
      <c r="P4254" s="112"/>
      <c r="Q4254" s="113"/>
      <c r="R4254" s="113"/>
      <c r="S4254" s="113"/>
      <c r="T4254" s="113"/>
      <c r="U4254" s="113"/>
      <c r="V4254" s="113"/>
    </row>
    <row r="4255" spans="1:22">
      <c r="A4255" s="297"/>
      <c r="B4255" s="217"/>
      <c r="C4255" s="217"/>
      <c r="D4255" s="101"/>
      <c r="E4255" s="101"/>
      <c r="F4255" s="294"/>
      <c r="G4255" s="295"/>
      <c r="H4255" s="98"/>
      <c r="I4255" s="99"/>
      <c r="J4255" s="99"/>
      <c r="K4255" s="99"/>
      <c r="L4255" s="99"/>
      <c r="M4255" s="99"/>
      <c r="N4255" s="99"/>
      <c r="O4255" s="99"/>
      <c r="P4255" s="99"/>
      <c r="Q4255" s="99"/>
      <c r="R4255" s="99"/>
      <c r="S4255" s="99"/>
      <c r="T4255" s="99"/>
      <c r="U4255" s="99"/>
      <c r="V4255" s="99"/>
    </row>
    <row r="4256" spans="1:22">
      <c r="A4256" s="297"/>
      <c r="B4256" s="217"/>
      <c r="C4256" s="217"/>
      <c r="D4256" s="101"/>
      <c r="E4256" s="101"/>
      <c r="F4256" s="294"/>
      <c r="G4256" s="295"/>
      <c r="H4256" s="98"/>
      <c r="I4256" s="99"/>
      <c r="J4256" s="99"/>
      <c r="K4256" s="99"/>
      <c r="L4256" s="99"/>
      <c r="M4256" s="99"/>
      <c r="N4256" s="99"/>
      <c r="O4256" s="99"/>
      <c r="P4256" s="99"/>
      <c r="Q4256" s="99"/>
      <c r="R4256" s="99"/>
      <c r="S4256" s="99"/>
      <c r="T4256" s="99"/>
      <c r="U4256" s="99"/>
      <c r="V4256" s="99"/>
    </row>
    <row r="4257" spans="1:22">
      <c r="A4257" s="297"/>
      <c r="B4257" s="217"/>
      <c r="C4257" s="217"/>
      <c r="D4257" s="101"/>
      <c r="E4257" s="101"/>
      <c r="F4257" s="294"/>
      <c r="G4257" s="295"/>
      <c r="H4257" s="98"/>
      <c r="I4257" s="99"/>
      <c r="J4257" s="99"/>
      <c r="K4257" s="99"/>
      <c r="L4257" s="99"/>
      <c r="M4257" s="99"/>
      <c r="N4257" s="99"/>
      <c r="O4257" s="99"/>
      <c r="P4257" s="99"/>
      <c r="Q4257" s="99"/>
      <c r="R4257" s="99"/>
      <c r="S4257" s="99"/>
      <c r="T4257" s="99"/>
      <c r="U4257" s="99"/>
      <c r="V4257" s="99"/>
    </row>
    <row r="4258" spans="1:22">
      <c r="A4258" s="297"/>
      <c r="B4258" s="217"/>
      <c r="C4258" s="217"/>
      <c r="D4258" s="101"/>
      <c r="E4258" s="101"/>
      <c r="F4258" s="294"/>
      <c r="G4258" s="295"/>
      <c r="H4258" s="98"/>
      <c r="I4258" s="99"/>
      <c r="J4258" s="99"/>
      <c r="K4258" s="99"/>
      <c r="L4258" s="99"/>
      <c r="M4258" s="99"/>
      <c r="N4258" s="99"/>
      <c r="O4258" s="99"/>
      <c r="P4258" s="99"/>
      <c r="Q4258" s="99"/>
      <c r="R4258" s="99"/>
      <c r="S4258" s="99"/>
      <c r="T4258" s="99"/>
      <c r="U4258" s="99"/>
      <c r="V4258" s="99"/>
    </row>
    <row r="4259" spans="1:22">
      <c r="A4259" s="297"/>
      <c r="B4259" s="217"/>
      <c r="C4259" s="217"/>
      <c r="D4259" s="101"/>
      <c r="E4259" s="101"/>
      <c r="F4259" s="294"/>
      <c r="G4259" s="295"/>
      <c r="H4259" s="98"/>
      <c r="I4259" s="99"/>
      <c r="J4259" s="99"/>
      <c r="K4259" s="99"/>
      <c r="L4259" s="99"/>
      <c r="M4259" s="99"/>
      <c r="N4259" s="99"/>
      <c r="O4259" s="99"/>
      <c r="P4259" s="99"/>
      <c r="Q4259" s="99"/>
      <c r="R4259" s="99"/>
      <c r="S4259" s="99"/>
      <c r="T4259" s="99"/>
      <c r="U4259" s="99"/>
      <c r="V4259" s="99"/>
    </row>
    <row r="4260" spans="1:22">
      <c r="A4260" s="297"/>
      <c r="B4260" s="217"/>
      <c r="C4260" s="217"/>
      <c r="D4260" s="101"/>
      <c r="E4260" s="101"/>
      <c r="F4260" s="294"/>
      <c r="G4260" s="295"/>
      <c r="H4260" s="98"/>
      <c r="I4260" s="99"/>
      <c r="J4260" s="99"/>
      <c r="K4260" s="99"/>
      <c r="L4260" s="99"/>
      <c r="M4260" s="99"/>
      <c r="N4260" s="99"/>
      <c r="O4260" s="99"/>
      <c r="P4260" s="99"/>
      <c r="Q4260" s="99"/>
      <c r="R4260" s="99"/>
      <c r="S4260" s="99"/>
      <c r="T4260" s="99"/>
      <c r="U4260" s="99"/>
      <c r="V4260" s="99"/>
    </row>
    <row r="4261" spans="1:22">
      <c r="A4261" s="297"/>
      <c r="B4261" s="217"/>
      <c r="C4261" s="217"/>
      <c r="D4261" s="101"/>
      <c r="E4261" s="101"/>
      <c r="F4261" s="294"/>
      <c r="G4261" s="295"/>
      <c r="H4261" s="98"/>
      <c r="I4261" s="99"/>
      <c r="J4261" s="99"/>
      <c r="K4261" s="99"/>
      <c r="L4261" s="99"/>
      <c r="M4261" s="99"/>
      <c r="N4261" s="99"/>
      <c r="O4261" s="99"/>
      <c r="P4261" s="99"/>
      <c r="Q4261" s="99"/>
      <c r="R4261" s="99"/>
      <c r="S4261" s="99"/>
      <c r="T4261" s="99"/>
      <c r="U4261" s="99"/>
      <c r="V4261" s="99"/>
    </row>
    <row r="4262" spans="1:22">
      <c r="A4262" s="297"/>
      <c r="B4262" s="217"/>
      <c r="C4262" s="217"/>
      <c r="D4262" s="101"/>
      <c r="E4262" s="101"/>
      <c r="F4262" s="294"/>
      <c r="G4262" s="295"/>
      <c r="H4262" s="98"/>
      <c r="I4262" s="99"/>
      <c r="J4262" s="99"/>
      <c r="K4262" s="99"/>
      <c r="L4262" s="99"/>
      <c r="M4262" s="99"/>
      <c r="N4262" s="99"/>
      <c r="O4262" s="99"/>
      <c r="P4262" s="99"/>
      <c r="Q4262" s="99"/>
      <c r="R4262" s="99"/>
      <c r="S4262" s="99"/>
      <c r="T4262" s="99"/>
      <c r="U4262" s="99"/>
      <c r="V4262" s="99"/>
    </row>
    <row r="4263" spans="1:22">
      <c r="A4263" s="297"/>
      <c r="B4263" s="217"/>
      <c r="C4263" s="217"/>
      <c r="D4263" s="101"/>
      <c r="E4263" s="101"/>
      <c r="F4263" s="294"/>
      <c r="G4263" s="295"/>
      <c r="H4263" s="98"/>
      <c r="I4263" s="99"/>
      <c r="J4263" s="99"/>
      <c r="K4263" s="99"/>
      <c r="L4263" s="99"/>
      <c r="M4263" s="99"/>
      <c r="N4263" s="99"/>
      <c r="O4263" s="99"/>
      <c r="P4263" s="99"/>
      <c r="Q4263" s="99"/>
      <c r="R4263" s="99"/>
      <c r="S4263" s="99"/>
      <c r="T4263" s="99"/>
      <c r="U4263" s="99"/>
      <c r="V4263" s="99"/>
    </row>
    <row r="4264" spans="1:22">
      <c r="A4264" s="297"/>
      <c r="B4264" s="217"/>
      <c r="C4264" s="217"/>
      <c r="D4264" s="101"/>
      <c r="E4264" s="101"/>
      <c r="F4264" s="294"/>
      <c r="G4264" s="295"/>
      <c r="H4264" s="98"/>
      <c r="I4264" s="99"/>
      <c r="J4264" s="99"/>
      <c r="K4264" s="99"/>
      <c r="L4264" s="99"/>
      <c r="M4264" s="99"/>
      <c r="N4264" s="99"/>
      <c r="O4264" s="99"/>
      <c r="P4264" s="99"/>
      <c r="Q4264" s="99"/>
      <c r="R4264" s="99"/>
      <c r="S4264" s="99"/>
      <c r="T4264" s="99"/>
      <c r="U4264" s="99"/>
      <c r="V4264" s="99"/>
    </row>
    <row r="4265" spans="1:22">
      <c r="A4265" s="297"/>
      <c r="B4265" s="217"/>
      <c r="C4265" s="217"/>
      <c r="D4265" s="101"/>
      <c r="E4265" s="101"/>
      <c r="F4265" s="294"/>
      <c r="G4265" s="295"/>
      <c r="H4265" s="98"/>
      <c r="I4265" s="99"/>
      <c r="J4265" s="99"/>
      <c r="K4265" s="99"/>
      <c r="L4265" s="99"/>
      <c r="M4265" s="99"/>
      <c r="N4265" s="99"/>
      <c r="O4265" s="99"/>
      <c r="P4265" s="99"/>
      <c r="Q4265" s="99"/>
      <c r="R4265" s="99"/>
      <c r="S4265" s="99"/>
      <c r="T4265" s="99"/>
      <c r="U4265" s="99"/>
      <c r="V4265" s="99"/>
    </row>
    <row r="4266" spans="1:22">
      <c r="A4266" s="297"/>
      <c r="B4266" s="217"/>
      <c r="C4266" s="217"/>
      <c r="D4266" s="101"/>
      <c r="E4266" s="101"/>
      <c r="F4266" s="294"/>
      <c r="G4266" s="295"/>
      <c r="H4266" s="98"/>
      <c r="I4266" s="99"/>
      <c r="J4266" s="99"/>
      <c r="K4266" s="99"/>
      <c r="L4266" s="99"/>
      <c r="M4266" s="99"/>
      <c r="N4266" s="99"/>
      <c r="O4266" s="99"/>
      <c r="P4266" s="99"/>
      <c r="Q4266" s="99"/>
      <c r="R4266" s="99"/>
      <c r="S4266" s="99"/>
      <c r="T4266" s="99"/>
      <c r="U4266" s="99"/>
      <c r="V4266" s="99"/>
    </row>
    <row r="4267" spans="1:22">
      <c r="A4267" s="297"/>
      <c r="B4267" s="217"/>
      <c r="C4267" s="217"/>
      <c r="D4267" s="101"/>
      <c r="E4267" s="101"/>
      <c r="F4267" s="294"/>
      <c r="G4267" s="295"/>
      <c r="H4267" s="98"/>
      <c r="I4267" s="99"/>
      <c r="J4267" s="99"/>
      <c r="K4267" s="99"/>
      <c r="L4267" s="99"/>
      <c r="M4267" s="99"/>
      <c r="N4267" s="99"/>
      <c r="O4267" s="99"/>
      <c r="P4267" s="99"/>
      <c r="Q4267" s="99"/>
      <c r="R4267" s="99"/>
      <c r="S4267" s="99"/>
      <c r="T4267" s="99"/>
      <c r="U4267" s="99"/>
      <c r="V4267" s="99"/>
    </row>
    <row r="4268" spans="1:22">
      <c r="A4268" s="297"/>
      <c r="B4268" s="217"/>
      <c r="C4268" s="217"/>
      <c r="D4268" s="101"/>
      <c r="E4268" s="101"/>
      <c r="F4268" s="294"/>
      <c r="G4268" s="295"/>
      <c r="H4268" s="98"/>
      <c r="I4268" s="99"/>
      <c r="J4268" s="99"/>
      <c r="K4268" s="99"/>
      <c r="L4268" s="99"/>
      <c r="M4268" s="99"/>
      <c r="N4268" s="99"/>
      <c r="O4268" s="99"/>
      <c r="P4268" s="99"/>
      <c r="Q4268" s="99"/>
      <c r="R4268" s="99"/>
      <c r="S4268" s="99"/>
      <c r="T4268" s="99"/>
      <c r="U4268" s="99"/>
      <c r="V4268" s="99"/>
    </row>
    <row r="4269" spans="1:22">
      <c r="A4269" s="297"/>
      <c r="B4269" s="217"/>
      <c r="C4269" s="217"/>
      <c r="D4269" s="101"/>
      <c r="E4269" s="101"/>
      <c r="F4269" s="294"/>
      <c r="G4269" s="295"/>
      <c r="H4269" s="98"/>
      <c r="I4269" s="99"/>
      <c r="J4269" s="99"/>
      <c r="K4269" s="99"/>
      <c r="L4269" s="99"/>
      <c r="M4269" s="99"/>
      <c r="N4269" s="99"/>
      <c r="O4269" s="99"/>
      <c r="P4269" s="99"/>
      <c r="Q4269" s="99"/>
      <c r="R4269" s="99"/>
      <c r="S4269" s="99"/>
      <c r="T4269" s="99"/>
      <c r="U4269" s="99"/>
      <c r="V4269" s="99"/>
    </row>
    <row r="4270" spans="1:22">
      <c r="A4270" s="297"/>
      <c r="B4270" s="217"/>
      <c r="C4270" s="217"/>
      <c r="D4270" s="101"/>
      <c r="E4270" s="101"/>
      <c r="F4270" s="294"/>
      <c r="G4270" s="295"/>
      <c r="H4270" s="98"/>
      <c r="I4270" s="99"/>
      <c r="J4270" s="99"/>
      <c r="K4270" s="99"/>
      <c r="L4270" s="99"/>
      <c r="M4270" s="99"/>
      <c r="N4270" s="99"/>
      <c r="O4270" s="99"/>
      <c r="P4270" s="99"/>
      <c r="Q4270" s="99"/>
      <c r="R4270" s="99"/>
      <c r="S4270" s="99"/>
      <c r="T4270" s="99"/>
      <c r="U4270" s="99"/>
      <c r="V4270" s="99"/>
    </row>
    <row r="4271" spans="1:22">
      <c r="A4271" s="297"/>
      <c r="B4271" s="217"/>
      <c r="C4271" s="217"/>
      <c r="D4271" s="101"/>
      <c r="E4271" s="101"/>
      <c r="F4271" s="294"/>
      <c r="G4271" s="295"/>
      <c r="H4271" s="107"/>
      <c r="I4271" s="109"/>
      <c r="J4271" s="109"/>
      <c r="K4271" s="109"/>
      <c r="L4271" s="109"/>
      <c r="M4271" s="109"/>
      <c r="N4271" s="109"/>
      <c r="O4271" s="109"/>
      <c r="P4271" s="109"/>
      <c r="Q4271" s="109"/>
      <c r="R4271" s="109"/>
      <c r="S4271" s="109"/>
      <c r="T4271" s="109"/>
      <c r="U4271" s="202"/>
      <c r="V4271" s="202"/>
    </row>
    <row r="4272" spans="1:22">
      <c r="A4272" s="297"/>
      <c r="B4272" s="217"/>
      <c r="C4272" s="217"/>
      <c r="D4272" s="101"/>
      <c r="E4272" s="101"/>
      <c r="F4272" s="294"/>
      <c r="G4272" s="295"/>
      <c r="H4272" s="98"/>
      <c r="I4272" s="106"/>
      <c r="J4272" s="106"/>
      <c r="K4272" s="106"/>
      <c r="L4272" s="106"/>
      <c r="M4272" s="106"/>
      <c r="N4272" s="112"/>
      <c r="O4272" s="112"/>
      <c r="P4272" s="112"/>
      <c r="Q4272" s="113"/>
      <c r="R4272" s="113"/>
      <c r="S4272" s="113"/>
      <c r="T4272" s="113"/>
      <c r="U4272" s="113"/>
      <c r="V4272" s="113"/>
    </row>
    <row r="4273" spans="1:22">
      <c r="A4273" s="297"/>
      <c r="B4273" s="217"/>
      <c r="C4273" s="217"/>
      <c r="D4273" s="101"/>
      <c r="E4273" s="101"/>
      <c r="F4273" s="294"/>
      <c r="G4273" s="295"/>
      <c r="H4273" s="98"/>
      <c r="I4273" s="99"/>
      <c r="J4273" s="99"/>
      <c r="K4273" s="99"/>
      <c r="L4273" s="99"/>
      <c r="M4273" s="99"/>
      <c r="N4273" s="99"/>
      <c r="O4273" s="99"/>
      <c r="P4273" s="99"/>
      <c r="Q4273" s="99"/>
      <c r="R4273" s="99"/>
      <c r="S4273" s="99"/>
      <c r="T4273" s="99"/>
      <c r="U4273" s="99"/>
      <c r="V4273" s="99"/>
    </row>
    <row r="4274" spans="1:22">
      <c r="A4274" s="297"/>
      <c r="B4274" s="217"/>
      <c r="C4274" s="217"/>
      <c r="D4274" s="101"/>
      <c r="E4274" s="101"/>
      <c r="F4274" s="294"/>
      <c r="G4274" s="295"/>
      <c r="H4274" s="98"/>
      <c r="I4274" s="99"/>
      <c r="J4274" s="99"/>
      <c r="K4274" s="99"/>
      <c r="L4274" s="99"/>
      <c r="M4274" s="99"/>
      <c r="N4274" s="99"/>
      <c r="O4274" s="99"/>
      <c r="P4274" s="99"/>
      <c r="Q4274" s="99"/>
      <c r="R4274" s="99"/>
      <c r="S4274" s="99"/>
      <c r="T4274" s="99"/>
      <c r="U4274" s="99"/>
      <c r="V4274" s="99"/>
    </row>
    <row r="4275" spans="1:22">
      <c r="A4275" s="297"/>
      <c r="B4275" s="217"/>
      <c r="C4275" s="217"/>
      <c r="D4275" s="101"/>
      <c r="E4275" s="101"/>
      <c r="F4275" s="294"/>
      <c r="G4275" s="295"/>
      <c r="H4275" s="98"/>
      <c r="I4275" s="99"/>
      <c r="J4275" s="99"/>
      <c r="K4275" s="99"/>
      <c r="L4275" s="99"/>
      <c r="M4275" s="99"/>
      <c r="N4275" s="99"/>
      <c r="O4275" s="99"/>
      <c r="P4275" s="99"/>
      <c r="Q4275" s="99"/>
      <c r="R4275" s="99"/>
      <c r="S4275" s="99"/>
      <c r="T4275" s="99"/>
      <c r="U4275" s="99"/>
      <c r="V4275" s="99"/>
    </row>
    <row r="4276" spans="1:22">
      <c r="A4276" s="297"/>
      <c r="B4276" s="217"/>
      <c r="C4276" s="217"/>
      <c r="D4276" s="101"/>
      <c r="E4276" s="101"/>
      <c r="F4276" s="294"/>
      <c r="G4276" s="295"/>
      <c r="H4276" s="107"/>
      <c r="I4276" s="108"/>
      <c r="J4276" s="108"/>
      <c r="K4276" s="108"/>
      <c r="L4276" s="108"/>
      <c r="M4276" s="108"/>
      <c r="N4276" s="109"/>
      <c r="O4276" s="109"/>
      <c r="P4276" s="109"/>
      <c r="Q4276" s="109"/>
      <c r="R4276" s="109"/>
      <c r="S4276" s="109"/>
      <c r="T4276" s="109"/>
      <c r="U4276" s="202"/>
      <c r="V4276" s="202"/>
    </row>
    <row r="4277" spans="1:22">
      <c r="A4277" s="297"/>
      <c r="B4277" s="217"/>
      <c r="C4277" s="217"/>
      <c r="D4277" s="101"/>
      <c r="E4277" s="101"/>
      <c r="F4277" s="294"/>
      <c r="G4277" s="295"/>
      <c r="H4277" s="98"/>
      <c r="I4277" s="106"/>
      <c r="J4277" s="106"/>
      <c r="K4277" s="106"/>
      <c r="L4277" s="106"/>
      <c r="M4277" s="106"/>
      <c r="N4277" s="112"/>
      <c r="O4277" s="112"/>
      <c r="P4277" s="112"/>
      <c r="Q4277" s="113"/>
      <c r="R4277" s="113"/>
      <c r="S4277" s="113"/>
      <c r="T4277" s="113"/>
      <c r="U4277" s="113"/>
      <c r="V4277" s="113"/>
    </row>
    <row r="4278" spans="1:22">
      <c r="A4278" s="297"/>
      <c r="B4278" s="217"/>
      <c r="C4278" s="217"/>
      <c r="D4278" s="101"/>
      <c r="E4278" s="101"/>
      <c r="F4278" s="294"/>
      <c r="G4278" s="295"/>
      <c r="H4278" s="114"/>
      <c r="I4278" s="108"/>
      <c r="J4278" s="108"/>
      <c r="K4278" s="108"/>
      <c r="L4278" s="108"/>
      <c r="M4278" s="108"/>
      <c r="N4278" s="108"/>
      <c r="O4278" s="108"/>
      <c r="P4278" s="108"/>
      <c r="Q4278" s="108"/>
      <c r="R4278" s="108"/>
      <c r="S4278" s="108"/>
      <c r="T4278" s="108"/>
      <c r="U4278" s="233"/>
      <c r="V4278" s="233"/>
    </row>
    <row r="4279" spans="1:22" ht="14.4" thickBot="1">
      <c r="A4279" s="297"/>
      <c r="B4279" s="217"/>
      <c r="C4279" s="217"/>
      <c r="D4279" s="101"/>
      <c r="E4279" s="101"/>
      <c r="F4279" s="294"/>
      <c r="G4279" s="295"/>
      <c r="H4279" s="98"/>
      <c r="I4279" s="218"/>
      <c r="J4279" s="218"/>
      <c r="K4279" s="218"/>
      <c r="L4279" s="218"/>
      <c r="M4279" s="218"/>
      <c r="U4279" s="212"/>
      <c r="V4279" s="212"/>
    </row>
    <row r="4280" spans="1:22" ht="23.4" thickBot="1">
      <c r="A4280" s="297"/>
      <c r="B4280" s="217"/>
      <c r="C4280" s="217"/>
      <c r="D4280" s="101"/>
      <c r="E4280" s="101"/>
      <c r="F4280" s="294"/>
      <c r="G4280" s="295"/>
      <c r="H4280" s="686"/>
      <c r="I4280" s="687"/>
      <c r="J4280" s="687"/>
      <c r="K4280" s="687"/>
      <c r="L4280" s="687"/>
      <c r="M4280" s="687"/>
      <c r="N4280" s="687"/>
      <c r="O4280" s="687"/>
      <c r="P4280" s="687"/>
      <c r="Q4280" s="687"/>
      <c r="R4280" s="687"/>
      <c r="S4280" s="715"/>
      <c r="T4280" s="688"/>
      <c r="U4280" s="254"/>
      <c r="V4280" s="254"/>
    </row>
    <row r="4281" spans="1:22" ht="22.8">
      <c r="A4281" s="297"/>
      <c r="B4281" s="217"/>
      <c r="C4281" s="217"/>
      <c r="D4281" s="101"/>
      <c r="E4281" s="101"/>
      <c r="F4281" s="294"/>
      <c r="G4281" s="295"/>
      <c r="H4281" s="225"/>
      <c r="I4281" s="225"/>
      <c r="J4281" s="225"/>
      <c r="K4281" s="225"/>
      <c r="L4281" s="225"/>
      <c r="M4281" s="225"/>
      <c r="N4281" s="225"/>
      <c r="O4281" s="225"/>
      <c r="P4281" s="225"/>
      <c r="Q4281" s="225"/>
      <c r="R4281" s="225"/>
      <c r="S4281" s="225"/>
      <c r="T4281" s="225"/>
      <c r="U4281" s="225"/>
      <c r="V4281" s="225"/>
    </row>
    <row r="4282" spans="1:22">
      <c r="A4282" s="297"/>
      <c r="B4282" s="217"/>
      <c r="C4282" s="217"/>
      <c r="D4282" s="101"/>
      <c r="E4282" s="101"/>
      <c r="F4282" s="294"/>
      <c r="G4282" s="295"/>
      <c r="H4282" s="98"/>
      <c r="I4282" s="99"/>
      <c r="J4282" s="99"/>
      <c r="K4282" s="99"/>
      <c r="L4282" s="99"/>
      <c r="M4282" s="99"/>
      <c r="N4282" s="99"/>
      <c r="O4282" s="99"/>
      <c r="P4282" s="99"/>
      <c r="Q4282" s="99"/>
      <c r="R4282" s="99"/>
      <c r="S4282" s="99"/>
      <c r="T4282" s="99"/>
      <c r="U4282" s="99"/>
      <c r="V4282" s="99"/>
    </row>
    <row r="4283" spans="1:22">
      <c r="A4283" s="297"/>
      <c r="B4283" s="217"/>
      <c r="C4283" s="217"/>
      <c r="D4283" s="101"/>
      <c r="E4283" s="101"/>
      <c r="F4283" s="294"/>
      <c r="G4283" s="295"/>
      <c r="H4283" s="98"/>
      <c r="I4283" s="99"/>
      <c r="J4283" s="99"/>
      <c r="K4283" s="99"/>
      <c r="L4283" s="99"/>
      <c r="M4283" s="99"/>
      <c r="N4283" s="99"/>
      <c r="O4283" s="99"/>
      <c r="P4283" s="99"/>
      <c r="Q4283" s="99"/>
      <c r="R4283" s="99"/>
      <c r="S4283" s="99"/>
      <c r="T4283" s="99"/>
      <c r="U4283" s="99"/>
      <c r="V4283" s="99"/>
    </row>
    <row r="4284" spans="1:22">
      <c r="A4284" s="297"/>
      <c r="B4284" s="217"/>
      <c r="C4284" s="217"/>
      <c r="D4284" s="101"/>
      <c r="E4284" s="101"/>
      <c r="F4284" s="294"/>
      <c r="G4284" s="295"/>
      <c r="H4284" s="98"/>
      <c r="I4284" s="99"/>
      <c r="J4284" s="99"/>
      <c r="K4284" s="99"/>
      <c r="L4284" s="99"/>
      <c r="M4284" s="99"/>
      <c r="N4284" s="99"/>
      <c r="O4284" s="99"/>
      <c r="P4284" s="99"/>
      <c r="Q4284" s="99"/>
      <c r="R4284" s="99"/>
      <c r="S4284" s="99"/>
      <c r="T4284" s="99"/>
      <c r="U4284" s="99"/>
      <c r="V4284" s="99"/>
    </row>
    <row r="4285" spans="1:22">
      <c r="A4285" s="297"/>
      <c r="B4285" s="217"/>
      <c r="C4285" s="217"/>
      <c r="D4285" s="101"/>
      <c r="E4285" s="101"/>
      <c r="F4285" s="294"/>
      <c r="G4285" s="295"/>
      <c r="H4285" s="98"/>
      <c r="I4285" s="99"/>
      <c r="J4285" s="99"/>
      <c r="K4285" s="99"/>
      <c r="L4285" s="99"/>
      <c r="M4285" s="99"/>
      <c r="N4285" s="99"/>
      <c r="O4285" s="99"/>
      <c r="P4285" s="99"/>
      <c r="Q4285" s="99"/>
      <c r="R4285" s="99"/>
      <c r="S4285" s="99"/>
      <c r="T4285" s="99"/>
      <c r="U4285" s="99"/>
      <c r="V4285" s="99"/>
    </row>
    <row r="4286" spans="1:22">
      <c r="A4286" s="297"/>
      <c r="B4286" s="217"/>
      <c r="C4286" s="217"/>
      <c r="D4286" s="101"/>
      <c r="E4286" s="101"/>
      <c r="F4286" s="294"/>
      <c r="G4286" s="295"/>
      <c r="H4286" s="98"/>
      <c r="I4286" s="99"/>
      <c r="J4286" s="99"/>
      <c r="K4286" s="99"/>
      <c r="L4286" s="99"/>
      <c r="M4286" s="99"/>
      <c r="N4286" s="99"/>
      <c r="O4286" s="99"/>
      <c r="P4286" s="99"/>
      <c r="Q4286" s="99"/>
      <c r="R4286" s="99"/>
      <c r="S4286" s="99"/>
      <c r="T4286" s="99"/>
      <c r="U4286" s="99"/>
      <c r="V4286" s="99"/>
    </row>
    <row r="4287" spans="1:22">
      <c r="A4287" s="297"/>
      <c r="B4287" s="217"/>
      <c r="C4287" s="217"/>
      <c r="D4287" s="101"/>
      <c r="E4287" s="101"/>
      <c r="F4287" s="294"/>
      <c r="G4287" s="295"/>
      <c r="H4287" s="98"/>
      <c r="I4287" s="99"/>
      <c r="J4287" s="99"/>
      <c r="K4287" s="99"/>
      <c r="L4287" s="99"/>
      <c r="M4287" s="99"/>
      <c r="N4287" s="99"/>
      <c r="O4287" s="99"/>
      <c r="P4287" s="99"/>
      <c r="Q4287" s="99"/>
      <c r="R4287" s="99"/>
      <c r="S4287" s="99"/>
      <c r="T4287" s="99"/>
      <c r="U4287" s="99"/>
      <c r="V4287" s="99"/>
    </row>
    <row r="4288" spans="1:22">
      <c r="A4288" s="297"/>
      <c r="B4288" s="217"/>
      <c r="C4288" s="217"/>
      <c r="D4288" s="101"/>
      <c r="E4288" s="101"/>
      <c r="F4288" s="294"/>
      <c r="G4288" s="295"/>
      <c r="H4288" s="98"/>
      <c r="I4288" s="99"/>
      <c r="J4288" s="99"/>
      <c r="K4288" s="99"/>
      <c r="L4288" s="99"/>
      <c r="M4288" s="99"/>
      <c r="N4288" s="99"/>
      <c r="O4288" s="99"/>
      <c r="P4288" s="99"/>
      <c r="Q4288" s="99"/>
      <c r="R4288" s="99"/>
      <c r="S4288" s="99"/>
      <c r="T4288" s="99"/>
      <c r="U4288" s="99"/>
      <c r="V4288" s="99"/>
    </row>
    <row r="4289" spans="1:22">
      <c r="A4289" s="297"/>
      <c r="B4289" s="217"/>
      <c r="C4289" s="217"/>
      <c r="D4289" s="101"/>
      <c r="E4289" s="101"/>
      <c r="F4289" s="294"/>
      <c r="G4289" s="295"/>
      <c r="H4289" s="107"/>
      <c r="I4289" s="108"/>
      <c r="J4289" s="108"/>
      <c r="K4289" s="108"/>
      <c r="L4289" s="108"/>
      <c r="M4289" s="108"/>
      <c r="N4289" s="109"/>
      <c r="O4289" s="109"/>
      <c r="P4289" s="109"/>
      <c r="Q4289" s="109"/>
      <c r="R4289" s="109"/>
      <c r="S4289" s="109"/>
      <c r="T4289" s="109"/>
      <c r="U4289" s="202"/>
      <c r="V4289" s="202"/>
    </row>
    <row r="4290" spans="1:22">
      <c r="A4290" s="297"/>
      <c r="B4290" s="217"/>
      <c r="C4290" s="217"/>
      <c r="D4290" s="101"/>
      <c r="E4290" s="101"/>
      <c r="F4290" s="294"/>
      <c r="G4290" s="295"/>
      <c r="H4290" s="98"/>
      <c r="I4290" s="106"/>
      <c r="J4290" s="106"/>
      <c r="K4290" s="106"/>
      <c r="L4290" s="106"/>
      <c r="M4290" s="106"/>
      <c r="N4290" s="112"/>
      <c r="O4290" s="112"/>
      <c r="P4290" s="112"/>
      <c r="Q4290" s="113"/>
      <c r="R4290" s="113"/>
      <c r="S4290" s="113"/>
      <c r="T4290" s="113"/>
      <c r="U4290" s="113"/>
      <c r="V4290" s="113"/>
    </row>
    <row r="4291" spans="1:22">
      <c r="A4291" s="297"/>
      <c r="B4291" s="217"/>
      <c r="C4291" s="217"/>
      <c r="D4291" s="101"/>
      <c r="E4291" s="101"/>
      <c r="F4291" s="294"/>
      <c r="G4291" s="295"/>
      <c r="H4291" s="98"/>
      <c r="I4291" s="99"/>
      <c r="J4291" s="99"/>
      <c r="K4291" s="99"/>
      <c r="L4291" s="99"/>
      <c r="M4291" s="99"/>
      <c r="N4291" s="99"/>
      <c r="O4291" s="99"/>
      <c r="P4291" s="99"/>
      <c r="Q4291" s="99"/>
      <c r="R4291" s="99"/>
      <c r="S4291" s="99"/>
      <c r="T4291" s="99"/>
      <c r="U4291" s="99"/>
      <c r="V4291" s="99"/>
    </row>
    <row r="4292" spans="1:22">
      <c r="A4292" s="297"/>
      <c r="B4292" s="217"/>
      <c r="C4292" s="217"/>
      <c r="D4292" s="101"/>
      <c r="E4292" s="101"/>
      <c r="F4292" s="294"/>
      <c r="G4292" s="295"/>
      <c r="H4292" s="98"/>
      <c r="I4292" s="99"/>
      <c r="J4292" s="99"/>
      <c r="K4292" s="99"/>
      <c r="L4292" s="99"/>
      <c r="M4292" s="99"/>
      <c r="N4292" s="99"/>
      <c r="O4292" s="99"/>
      <c r="P4292" s="99"/>
      <c r="Q4292" s="99"/>
      <c r="R4292" s="99"/>
      <c r="S4292" s="99"/>
      <c r="T4292" s="99"/>
      <c r="U4292" s="99"/>
      <c r="V4292" s="99"/>
    </row>
    <row r="4293" spans="1:22">
      <c r="A4293" s="297"/>
      <c r="B4293" s="217"/>
      <c r="C4293" s="217"/>
      <c r="D4293" s="101"/>
      <c r="E4293" s="101"/>
      <c r="F4293" s="294"/>
      <c r="G4293" s="295"/>
      <c r="H4293" s="98"/>
      <c r="I4293" s="99"/>
      <c r="J4293" s="99"/>
      <c r="K4293" s="99"/>
      <c r="L4293" s="99"/>
      <c r="M4293" s="99"/>
      <c r="N4293" s="99"/>
      <c r="O4293" s="99"/>
      <c r="P4293" s="99"/>
      <c r="Q4293" s="99"/>
      <c r="R4293" s="99"/>
      <c r="S4293" s="99"/>
      <c r="T4293" s="99"/>
      <c r="U4293" s="99"/>
      <c r="V4293" s="99"/>
    </row>
    <row r="4294" spans="1:22">
      <c r="A4294" s="297"/>
      <c r="B4294" s="217"/>
      <c r="C4294" s="217"/>
      <c r="D4294" s="101"/>
      <c r="E4294" s="101"/>
      <c r="F4294" s="294"/>
      <c r="G4294" s="295"/>
      <c r="H4294" s="98"/>
      <c r="I4294" s="99"/>
      <c r="J4294" s="99"/>
      <c r="K4294" s="99"/>
      <c r="L4294" s="99"/>
      <c r="M4294" s="99"/>
      <c r="N4294" s="99"/>
      <c r="O4294" s="99"/>
      <c r="P4294" s="99"/>
      <c r="Q4294" s="99"/>
      <c r="R4294" s="99"/>
      <c r="S4294" s="99"/>
      <c r="T4294" s="99"/>
      <c r="U4294" s="99"/>
      <c r="V4294" s="99"/>
    </row>
    <row r="4295" spans="1:22">
      <c r="A4295" s="297"/>
      <c r="B4295" s="217"/>
      <c r="C4295" s="217"/>
      <c r="D4295" s="101"/>
      <c r="E4295" s="101"/>
      <c r="F4295" s="294"/>
      <c r="G4295" s="295"/>
      <c r="H4295" s="98"/>
      <c r="I4295" s="99"/>
      <c r="J4295" s="99"/>
      <c r="K4295" s="99"/>
      <c r="L4295" s="99"/>
      <c r="M4295" s="99"/>
      <c r="N4295" s="99"/>
      <c r="O4295" s="99"/>
      <c r="P4295" s="99"/>
      <c r="Q4295" s="99"/>
      <c r="R4295" s="99"/>
      <c r="S4295" s="99"/>
      <c r="T4295" s="99"/>
      <c r="U4295" s="99"/>
      <c r="V4295" s="99"/>
    </row>
    <row r="4296" spans="1:22">
      <c r="A4296" s="297"/>
      <c r="B4296" s="217"/>
      <c r="C4296" s="217"/>
      <c r="D4296" s="101"/>
      <c r="E4296" s="101"/>
      <c r="F4296" s="294"/>
      <c r="G4296" s="295"/>
      <c r="H4296" s="98"/>
      <c r="I4296" s="99"/>
      <c r="J4296" s="99"/>
      <c r="K4296" s="99"/>
      <c r="L4296" s="99"/>
      <c r="M4296" s="99"/>
      <c r="N4296" s="99"/>
      <c r="O4296" s="99"/>
      <c r="P4296" s="99"/>
      <c r="Q4296" s="99"/>
      <c r="R4296" s="99"/>
      <c r="S4296" s="99"/>
      <c r="T4296" s="99"/>
      <c r="U4296" s="99"/>
      <c r="V4296" s="99"/>
    </row>
    <row r="4297" spans="1:22">
      <c r="A4297" s="297"/>
      <c r="B4297" s="217"/>
      <c r="C4297" s="217"/>
      <c r="D4297" s="101"/>
      <c r="E4297" s="101"/>
      <c r="F4297" s="294"/>
      <c r="G4297" s="295"/>
      <c r="H4297" s="107"/>
      <c r="I4297" s="108"/>
      <c r="J4297" s="108"/>
      <c r="K4297" s="108"/>
      <c r="L4297" s="108"/>
      <c r="M4297" s="108"/>
      <c r="N4297" s="109"/>
      <c r="O4297" s="109"/>
      <c r="P4297" s="109"/>
      <c r="Q4297" s="109"/>
      <c r="R4297" s="109"/>
      <c r="S4297" s="109"/>
      <c r="T4297" s="109"/>
      <c r="U4297" s="202"/>
      <c r="V4297" s="202"/>
    </row>
    <row r="4298" spans="1:22">
      <c r="A4298" s="297"/>
      <c r="B4298" s="217"/>
      <c r="C4298" s="217"/>
      <c r="D4298" s="101"/>
      <c r="E4298" s="101"/>
      <c r="F4298" s="294"/>
      <c r="G4298" s="295"/>
      <c r="H4298" s="98"/>
      <c r="I4298" s="106"/>
      <c r="J4298" s="106"/>
      <c r="K4298" s="106"/>
      <c r="L4298" s="106"/>
      <c r="M4298" s="106"/>
      <c r="N4298" s="112"/>
      <c r="O4298" s="112"/>
      <c r="P4298" s="112"/>
      <c r="Q4298" s="113"/>
      <c r="R4298" s="113"/>
      <c r="S4298" s="113"/>
      <c r="T4298" s="113"/>
      <c r="U4298" s="113"/>
      <c r="V4298" s="113"/>
    </row>
    <row r="4299" spans="1:22" ht="24" customHeight="1">
      <c r="A4299" s="297"/>
      <c r="B4299" s="217"/>
      <c r="C4299" s="217"/>
      <c r="D4299" s="101"/>
      <c r="E4299" s="101"/>
      <c r="F4299" s="294"/>
      <c r="G4299" s="295"/>
      <c r="H4299" s="98"/>
      <c r="I4299" s="99"/>
      <c r="J4299" s="99"/>
      <c r="K4299" s="99"/>
      <c r="L4299" s="99"/>
      <c r="M4299" s="99"/>
      <c r="N4299" s="99"/>
      <c r="O4299" s="99"/>
      <c r="P4299" s="99"/>
      <c r="Q4299" s="99"/>
      <c r="R4299" s="99"/>
      <c r="S4299" s="99"/>
      <c r="T4299" s="99"/>
      <c r="U4299" s="99"/>
      <c r="V4299" s="99"/>
    </row>
    <row r="4300" spans="1:22">
      <c r="A4300" s="297"/>
      <c r="B4300" s="217"/>
      <c r="C4300" s="217"/>
      <c r="D4300" s="101"/>
      <c r="E4300" s="101"/>
      <c r="F4300" s="294"/>
      <c r="G4300" s="295"/>
      <c r="H4300" s="98"/>
      <c r="I4300" s="99"/>
      <c r="J4300" s="99"/>
      <c r="K4300" s="99"/>
      <c r="L4300" s="99"/>
      <c r="M4300" s="99"/>
      <c r="N4300" s="99"/>
      <c r="O4300" s="99"/>
      <c r="P4300" s="99"/>
      <c r="Q4300" s="99"/>
      <c r="R4300" s="99"/>
      <c r="S4300" s="99"/>
      <c r="T4300" s="99"/>
      <c r="U4300" s="99"/>
      <c r="V4300" s="99"/>
    </row>
    <row r="4301" spans="1:22">
      <c r="A4301" s="297"/>
      <c r="B4301" s="217"/>
      <c r="C4301" s="217"/>
      <c r="D4301" s="101"/>
      <c r="E4301" s="101"/>
      <c r="F4301" s="294"/>
      <c r="G4301" s="295"/>
      <c r="H4301" s="98"/>
      <c r="I4301" s="99"/>
      <c r="J4301" s="99"/>
      <c r="K4301" s="99"/>
      <c r="L4301" s="99"/>
      <c r="M4301" s="99"/>
      <c r="N4301" s="99"/>
      <c r="O4301" s="99"/>
      <c r="P4301" s="99"/>
      <c r="Q4301" s="99"/>
      <c r="R4301" s="99"/>
      <c r="S4301" s="99"/>
      <c r="T4301" s="99"/>
      <c r="U4301" s="99"/>
      <c r="V4301" s="99"/>
    </row>
    <row r="4302" spans="1:22">
      <c r="A4302" s="297"/>
      <c r="B4302" s="217"/>
      <c r="C4302" s="217"/>
      <c r="D4302" s="101"/>
      <c r="E4302" s="101"/>
      <c r="F4302" s="294"/>
      <c r="G4302" s="295"/>
      <c r="H4302" s="98"/>
      <c r="I4302" s="99"/>
      <c r="J4302" s="99"/>
      <c r="K4302" s="99"/>
      <c r="L4302" s="99"/>
      <c r="M4302" s="99"/>
      <c r="N4302" s="99"/>
      <c r="O4302" s="99"/>
      <c r="P4302" s="99"/>
      <c r="Q4302" s="99"/>
      <c r="R4302" s="99"/>
      <c r="S4302" s="99"/>
      <c r="T4302" s="99"/>
      <c r="U4302" s="99"/>
      <c r="V4302" s="99"/>
    </row>
    <row r="4303" spans="1:22">
      <c r="A4303" s="297"/>
      <c r="B4303" s="217"/>
      <c r="C4303" s="217"/>
      <c r="D4303" s="101"/>
      <c r="E4303" s="101"/>
      <c r="F4303" s="294"/>
      <c r="G4303" s="295"/>
      <c r="H4303" s="98"/>
      <c r="I4303" s="99"/>
      <c r="J4303" s="99"/>
      <c r="K4303" s="99"/>
      <c r="L4303" s="99"/>
      <c r="M4303" s="99"/>
      <c r="N4303" s="99"/>
      <c r="O4303" s="99"/>
      <c r="P4303" s="99"/>
      <c r="Q4303" s="99"/>
      <c r="R4303" s="99"/>
      <c r="S4303" s="99"/>
      <c r="T4303" s="99"/>
      <c r="U4303" s="99"/>
      <c r="V4303" s="99"/>
    </row>
    <row r="4304" spans="1:22">
      <c r="A4304" s="297"/>
      <c r="B4304" s="217"/>
      <c r="C4304" s="217"/>
      <c r="D4304" s="101"/>
      <c r="E4304" s="101"/>
      <c r="F4304" s="294"/>
      <c r="G4304" s="295"/>
      <c r="H4304" s="98"/>
      <c r="I4304" s="99"/>
      <c r="J4304" s="99"/>
      <c r="K4304" s="99"/>
      <c r="L4304" s="99"/>
      <c r="M4304" s="99"/>
      <c r="N4304" s="99"/>
      <c r="O4304" s="99"/>
      <c r="P4304" s="99"/>
      <c r="Q4304" s="99"/>
      <c r="R4304" s="99"/>
      <c r="S4304" s="99"/>
      <c r="T4304" s="99"/>
      <c r="U4304" s="99"/>
      <c r="V4304" s="99"/>
    </row>
    <row r="4305" spans="1:22">
      <c r="A4305" s="297"/>
      <c r="B4305" s="217"/>
      <c r="C4305" s="217"/>
      <c r="D4305" s="101"/>
      <c r="E4305" s="101"/>
      <c r="F4305" s="294"/>
      <c r="G4305" s="295"/>
      <c r="H4305" s="98"/>
      <c r="I4305" s="99"/>
      <c r="J4305" s="99"/>
      <c r="K4305" s="99"/>
      <c r="L4305" s="99"/>
      <c r="M4305" s="99"/>
      <c r="N4305" s="99"/>
      <c r="O4305" s="99"/>
      <c r="P4305" s="99"/>
      <c r="Q4305" s="99"/>
      <c r="R4305" s="99"/>
      <c r="S4305" s="99"/>
      <c r="T4305" s="99"/>
      <c r="U4305" s="99"/>
      <c r="V4305" s="99"/>
    </row>
    <row r="4306" spans="1:22">
      <c r="A4306" s="297"/>
      <c r="B4306" s="217"/>
      <c r="C4306" s="217"/>
      <c r="D4306" s="101"/>
      <c r="E4306" s="101"/>
      <c r="F4306" s="294"/>
      <c r="G4306" s="295"/>
      <c r="H4306" s="107"/>
      <c r="I4306" s="109"/>
      <c r="J4306" s="109"/>
      <c r="K4306" s="109"/>
      <c r="L4306" s="109"/>
      <c r="M4306" s="109"/>
      <c r="N4306" s="109"/>
      <c r="O4306" s="109"/>
      <c r="P4306" s="109"/>
      <c r="Q4306" s="109"/>
      <c r="R4306" s="109"/>
      <c r="S4306" s="109"/>
      <c r="T4306" s="109"/>
      <c r="U4306" s="202"/>
      <c r="V4306" s="202"/>
    </row>
    <row r="4307" spans="1:22">
      <c r="A4307" s="297"/>
      <c r="B4307" s="217"/>
      <c r="C4307" s="217"/>
      <c r="D4307" s="101"/>
      <c r="E4307" s="101"/>
      <c r="F4307" s="294"/>
      <c r="G4307" s="295"/>
      <c r="H4307" s="98"/>
      <c r="I4307" s="106"/>
      <c r="J4307" s="106"/>
      <c r="K4307" s="106"/>
      <c r="L4307" s="106"/>
      <c r="M4307" s="106"/>
      <c r="N4307" s="112"/>
      <c r="O4307" s="112"/>
      <c r="P4307" s="112"/>
      <c r="Q4307" s="113"/>
      <c r="R4307" s="113"/>
      <c r="S4307" s="113"/>
      <c r="T4307" s="113"/>
      <c r="U4307" s="113"/>
      <c r="V4307" s="113"/>
    </row>
    <row r="4308" spans="1:22">
      <c r="A4308" s="297"/>
      <c r="B4308" s="217"/>
      <c r="C4308" s="217"/>
      <c r="D4308" s="101"/>
      <c r="E4308" s="101"/>
      <c r="F4308" s="294"/>
      <c r="G4308" s="295"/>
      <c r="H4308" s="114"/>
      <c r="I4308" s="108"/>
      <c r="J4308" s="108"/>
      <c r="K4308" s="108"/>
      <c r="L4308" s="108"/>
      <c r="M4308" s="108"/>
      <c r="N4308" s="108"/>
      <c r="O4308" s="108"/>
      <c r="P4308" s="108"/>
      <c r="Q4308" s="108"/>
      <c r="R4308" s="108"/>
      <c r="S4308" s="108"/>
      <c r="T4308" s="108"/>
      <c r="U4308" s="233"/>
      <c r="V4308" s="233"/>
    </row>
    <row r="4309" spans="1:22" ht="14.4" thickBot="1">
      <c r="A4309" s="297"/>
      <c r="B4309" s="217"/>
      <c r="C4309" s="217"/>
      <c r="D4309" s="101"/>
      <c r="E4309" s="101"/>
      <c r="F4309" s="294"/>
      <c r="G4309" s="295"/>
      <c r="H4309" s="98"/>
      <c r="I4309" s="218"/>
      <c r="J4309" s="218"/>
      <c r="K4309" s="218"/>
      <c r="L4309" s="218"/>
      <c r="M4309" s="218"/>
      <c r="U4309" s="212"/>
      <c r="V4309" s="212"/>
    </row>
    <row r="4310" spans="1:22" ht="23.4" thickBot="1">
      <c r="A4310" s="297"/>
      <c r="B4310" s="217"/>
      <c r="C4310" s="217"/>
      <c r="D4310" s="101"/>
      <c r="E4310" s="101"/>
      <c r="F4310" s="294"/>
      <c r="G4310" s="295"/>
      <c r="H4310" s="686"/>
      <c r="I4310" s="687"/>
      <c r="J4310" s="687"/>
      <c r="K4310" s="687"/>
      <c r="L4310" s="687"/>
      <c r="M4310" s="687"/>
      <c r="N4310" s="687"/>
      <c r="O4310" s="687"/>
      <c r="P4310" s="687"/>
      <c r="Q4310" s="687"/>
      <c r="R4310" s="687"/>
      <c r="S4310" s="715"/>
      <c r="T4310" s="688"/>
      <c r="U4310" s="254"/>
      <c r="V4310" s="254"/>
    </row>
    <row r="4311" spans="1:22" ht="22.8">
      <c r="A4311" s="297"/>
      <c r="B4311" s="217"/>
      <c r="C4311" s="217"/>
      <c r="D4311" s="101"/>
      <c r="E4311" s="101"/>
      <c r="F4311" s="294"/>
      <c r="G4311" s="295"/>
      <c r="H4311" s="225"/>
      <c r="I4311" s="225"/>
      <c r="J4311" s="225"/>
      <c r="K4311" s="225"/>
      <c r="L4311" s="225"/>
      <c r="M4311" s="225"/>
      <c r="N4311" s="225"/>
      <c r="O4311" s="225"/>
      <c r="P4311" s="225"/>
      <c r="Q4311" s="225"/>
      <c r="R4311" s="225"/>
      <c r="S4311" s="225"/>
      <c r="T4311" s="225"/>
      <c r="U4311" s="225"/>
      <c r="V4311" s="225"/>
    </row>
    <row r="4312" spans="1:22">
      <c r="A4312" s="297"/>
      <c r="B4312" s="217"/>
      <c r="C4312" s="217"/>
      <c r="D4312" s="101"/>
      <c r="E4312" s="101"/>
      <c r="F4312" s="294"/>
      <c r="G4312" s="295"/>
      <c r="H4312" s="98"/>
      <c r="I4312" s="99"/>
      <c r="J4312" s="99"/>
      <c r="K4312" s="99"/>
      <c r="L4312" s="99"/>
      <c r="M4312" s="99"/>
      <c r="N4312" s="99"/>
      <c r="O4312" s="99"/>
      <c r="P4312" s="99"/>
      <c r="Q4312" s="99"/>
      <c r="R4312" s="99"/>
      <c r="S4312" s="99"/>
      <c r="T4312" s="99"/>
      <c r="U4312" s="99"/>
      <c r="V4312" s="99"/>
    </row>
    <row r="4313" spans="1:22">
      <c r="A4313" s="297"/>
      <c r="B4313" s="217"/>
      <c r="C4313" s="217"/>
      <c r="D4313" s="101"/>
      <c r="E4313" s="101"/>
      <c r="F4313" s="294"/>
      <c r="G4313" s="295"/>
      <c r="H4313" s="98"/>
      <c r="I4313" s="99"/>
      <c r="J4313" s="99"/>
      <c r="K4313" s="99"/>
      <c r="L4313" s="99"/>
      <c r="M4313" s="99"/>
      <c r="N4313" s="99"/>
      <c r="O4313" s="99"/>
      <c r="P4313" s="99"/>
      <c r="Q4313" s="99"/>
      <c r="R4313" s="99"/>
      <c r="S4313" s="99"/>
      <c r="T4313" s="99"/>
      <c r="U4313" s="99"/>
      <c r="V4313" s="99"/>
    </row>
    <row r="4314" spans="1:22">
      <c r="A4314" s="297"/>
      <c r="B4314" s="217"/>
      <c r="C4314" s="217"/>
      <c r="D4314" s="101"/>
      <c r="E4314" s="101"/>
      <c r="F4314" s="294"/>
      <c r="G4314" s="295"/>
      <c r="H4314" s="98"/>
      <c r="I4314" s="99"/>
      <c r="J4314" s="99"/>
      <c r="K4314" s="99"/>
      <c r="L4314" s="99"/>
      <c r="M4314" s="99"/>
      <c r="N4314" s="99"/>
      <c r="O4314" s="99"/>
      <c r="P4314" s="99"/>
      <c r="Q4314" s="99"/>
      <c r="R4314" s="99"/>
      <c r="S4314" s="99"/>
      <c r="T4314" s="99"/>
      <c r="U4314" s="99"/>
      <c r="V4314" s="99"/>
    </row>
    <row r="4315" spans="1:22">
      <c r="A4315" s="297"/>
      <c r="B4315" s="217"/>
      <c r="C4315" s="217"/>
      <c r="D4315" s="101"/>
      <c r="E4315" s="101"/>
      <c r="F4315" s="294"/>
      <c r="G4315" s="295"/>
      <c r="H4315" s="98"/>
      <c r="I4315" s="99"/>
      <c r="J4315" s="99"/>
      <c r="K4315" s="99"/>
      <c r="L4315" s="99"/>
      <c r="M4315" s="99"/>
      <c r="N4315" s="99"/>
      <c r="O4315" s="99"/>
      <c r="P4315" s="99"/>
      <c r="Q4315" s="99"/>
      <c r="R4315" s="99"/>
      <c r="S4315" s="99"/>
      <c r="T4315" s="99"/>
      <c r="U4315" s="99"/>
      <c r="V4315" s="99"/>
    </row>
    <row r="4316" spans="1:22">
      <c r="A4316" s="297"/>
      <c r="B4316" s="217"/>
      <c r="C4316" s="217"/>
      <c r="D4316" s="101"/>
      <c r="E4316" s="101"/>
      <c r="F4316" s="294"/>
      <c r="G4316" s="295"/>
      <c r="H4316" s="98"/>
      <c r="I4316" s="99"/>
      <c r="J4316" s="99"/>
      <c r="K4316" s="99"/>
      <c r="L4316" s="99"/>
      <c r="M4316" s="99"/>
      <c r="N4316" s="99"/>
      <c r="O4316" s="99"/>
      <c r="P4316" s="99"/>
      <c r="Q4316" s="99"/>
      <c r="R4316" s="99"/>
      <c r="S4316" s="99"/>
      <c r="T4316" s="99"/>
      <c r="U4316" s="99"/>
      <c r="V4316" s="99"/>
    </row>
    <row r="4317" spans="1:22">
      <c r="A4317" s="297"/>
      <c r="B4317" s="217"/>
      <c r="C4317" s="217"/>
      <c r="D4317" s="101"/>
      <c r="E4317" s="101"/>
      <c r="F4317" s="294"/>
      <c r="G4317" s="295"/>
      <c r="H4317" s="98"/>
      <c r="I4317" s="99"/>
      <c r="J4317" s="99"/>
      <c r="K4317" s="99"/>
      <c r="L4317" s="99"/>
      <c r="M4317" s="99"/>
      <c r="N4317" s="99"/>
      <c r="O4317" s="99"/>
      <c r="P4317" s="99"/>
      <c r="Q4317" s="99"/>
      <c r="R4317" s="99"/>
      <c r="S4317" s="99"/>
      <c r="T4317" s="99"/>
      <c r="U4317" s="99"/>
      <c r="V4317" s="99"/>
    </row>
    <row r="4318" spans="1:22">
      <c r="A4318" s="297"/>
      <c r="B4318" s="217"/>
      <c r="C4318" s="217"/>
      <c r="D4318" s="101"/>
      <c r="E4318" s="101"/>
      <c r="F4318" s="294"/>
      <c r="G4318" s="295"/>
      <c r="H4318" s="98"/>
      <c r="I4318" s="99"/>
      <c r="J4318" s="99"/>
      <c r="K4318" s="99"/>
      <c r="L4318" s="99"/>
      <c r="M4318" s="99"/>
      <c r="N4318" s="99"/>
      <c r="O4318" s="99"/>
      <c r="P4318" s="99"/>
      <c r="Q4318" s="99"/>
      <c r="R4318" s="99"/>
      <c r="S4318" s="99"/>
      <c r="T4318" s="99"/>
      <c r="U4318" s="99"/>
      <c r="V4318" s="99"/>
    </row>
    <row r="4319" spans="1:22">
      <c r="A4319" s="297"/>
      <c r="B4319" s="217"/>
      <c r="C4319" s="217"/>
      <c r="D4319" s="101"/>
      <c r="E4319" s="101"/>
      <c r="F4319" s="294"/>
      <c r="G4319" s="295"/>
      <c r="H4319" s="98"/>
      <c r="I4319" s="99"/>
      <c r="J4319" s="99"/>
      <c r="K4319" s="99"/>
      <c r="L4319" s="99"/>
      <c r="M4319" s="99"/>
      <c r="N4319" s="99"/>
      <c r="O4319" s="99"/>
      <c r="P4319" s="99"/>
      <c r="Q4319" s="99"/>
      <c r="R4319" s="99"/>
      <c r="S4319" s="99"/>
      <c r="T4319" s="99"/>
      <c r="U4319" s="99"/>
      <c r="V4319" s="99"/>
    </row>
    <row r="4320" spans="1:22">
      <c r="A4320" s="297"/>
      <c r="B4320" s="217"/>
      <c r="C4320" s="217"/>
      <c r="D4320" s="101"/>
      <c r="E4320" s="101"/>
      <c r="F4320" s="294"/>
      <c r="G4320" s="295"/>
      <c r="H4320" s="98"/>
      <c r="I4320" s="99"/>
      <c r="J4320" s="99"/>
      <c r="K4320" s="99"/>
      <c r="L4320" s="99"/>
      <c r="M4320" s="99"/>
      <c r="N4320" s="99"/>
      <c r="O4320" s="99"/>
      <c r="P4320" s="99"/>
      <c r="Q4320" s="99"/>
      <c r="R4320" s="99"/>
      <c r="S4320" s="99"/>
      <c r="T4320" s="99"/>
      <c r="U4320" s="99"/>
      <c r="V4320" s="99"/>
    </row>
    <row r="4321" spans="1:22">
      <c r="A4321" s="297"/>
      <c r="B4321" s="217"/>
      <c r="C4321" s="217"/>
      <c r="D4321" s="101"/>
      <c r="E4321" s="101"/>
      <c r="F4321" s="294"/>
      <c r="G4321" s="295"/>
      <c r="H4321" s="98"/>
      <c r="I4321" s="99"/>
      <c r="J4321" s="99"/>
      <c r="K4321" s="99"/>
      <c r="L4321" s="99"/>
      <c r="M4321" s="99"/>
      <c r="N4321" s="99"/>
      <c r="O4321" s="99"/>
      <c r="P4321" s="99"/>
      <c r="Q4321" s="99"/>
      <c r="R4321" s="99"/>
      <c r="S4321" s="99"/>
      <c r="T4321" s="99"/>
      <c r="U4321" s="99"/>
      <c r="V4321" s="99"/>
    </row>
    <row r="4322" spans="1:22">
      <c r="A4322" s="297"/>
      <c r="B4322" s="217"/>
      <c r="C4322" s="217"/>
      <c r="D4322" s="101"/>
      <c r="E4322" s="101"/>
      <c r="F4322" s="294"/>
      <c r="G4322" s="295"/>
      <c r="H4322" s="98"/>
      <c r="I4322" s="99"/>
      <c r="J4322" s="99"/>
      <c r="K4322" s="99"/>
      <c r="L4322" s="99"/>
      <c r="M4322" s="99"/>
      <c r="N4322" s="99"/>
      <c r="O4322" s="99"/>
      <c r="P4322" s="99"/>
      <c r="Q4322" s="99"/>
      <c r="R4322" s="99"/>
      <c r="S4322" s="99"/>
      <c r="T4322" s="99"/>
      <c r="U4322" s="99"/>
      <c r="V4322" s="99"/>
    </row>
    <row r="4323" spans="1:22">
      <c r="A4323" s="297"/>
      <c r="B4323" s="217"/>
      <c r="C4323" s="217"/>
      <c r="D4323" s="101"/>
      <c r="E4323" s="101"/>
      <c r="F4323" s="294"/>
      <c r="G4323" s="295"/>
      <c r="H4323" s="107"/>
      <c r="I4323" s="108"/>
      <c r="J4323" s="108"/>
      <c r="K4323" s="108"/>
      <c r="L4323" s="108"/>
      <c r="M4323" s="108"/>
      <c r="N4323" s="108"/>
      <c r="O4323" s="108"/>
      <c r="P4323" s="108"/>
      <c r="Q4323" s="108"/>
      <c r="R4323" s="108"/>
      <c r="S4323" s="108"/>
      <c r="T4323" s="108"/>
      <c r="U4323" s="233"/>
      <c r="V4323" s="233"/>
    </row>
    <row r="4324" spans="1:22">
      <c r="A4324" s="297"/>
      <c r="B4324" s="217"/>
      <c r="C4324" s="217"/>
      <c r="D4324" s="101"/>
      <c r="E4324" s="101"/>
      <c r="F4324" s="294"/>
      <c r="G4324" s="295"/>
      <c r="H4324" s="98"/>
      <c r="I4324" s="106"/>
      <c r="J4324" s="106"/>
      <c r="K4324" s="106"/>
      <c r="L4324" s="106"/>
      <c r="M4324" s="106"/>
      <c r="N4324" s="112"/>
      <c r="O4324" s="112"/>
      <c r="P4324" s="112"/>
      <c r="Q4324" s="113"/>
      <c r="R4324" s="113"/>
      <c r="S4324" s="113"/>
      <c r="T4324" s="113"/>
      <c r="U4324" s="113"/>
      <c r="V4324" s="113"/>
    </row>
    <row r="4325" spans="1:22">
      <c r="A4325" s="297"/>
      <c r="B4325" s="217"/>
      <c r="C4325" s="217"/>
      <c r="D4325" s="101"/>
      <c r="E4325" s="101"/>
      <c r="F4325" s="294"/>
      <c r="G4325" s="295"/>
      <c r="H4325" s="98"/>
      <c r="I4325" s="99"/>
      <c r="J4325" s="99"/>
      <c r="K4325" s="99"/>
      <c r="L4325" s="99"/>
      <c r="M4325" s="99"/>
      <c r="N4325" s="99"/>
      <c r="O4325" s="99"/>
      <c r="P4325" s="99"/>
      <c r="Q4325" s="99"/>
      <c r="R4325" s="99"/>
      <c r="S4325" s="99"/>
      <c r="T4325" s="99"/>
      <c r="U4325" s="99"/>
      <c r="V4325" s="99"/>
    </row>
    <row r="4326" spans="1:22">
      <c r="A4326" s="297"/>
      <c r="B4326" s="217"/>
      <c r="C4326" s="217"/>
      <c r="D4326" s="101"/>
      <c r="E4326" s="101"/>
      <c r="F4326" s="294"/>
      <c r="G4326" s="295"/>
      <c r="H4326" s="98"/>
      <c r="I4326" s="99"/>
      <c r="J4326" s="99"/>
      <c r="K4326" s="99"/>
      <c r="L4326" s="99"/>
      <c r="M4326" s="99"/>
      <c r="N4326" s="99"/>
      <c r="O4326" s="99"/>
      <c r="P4326" s="99"/>
      <c r="Q4326" s="99"/>
      <c r="R4326" s="99"/>
      <c r="S4326" s="99"/>
      <c r="T4326" s="99"/>
      <c r="U4326" s="99"/>
      <c r="V4326" s="99"/>
    </row>
    <row r="4327" spans="1:22">
      <c r="A4327" s="297"/>
      <c r="B4327" s="217"/>
      <c r="C4327" s="217"/>
      <c r="D4327" s="101"/>
      <c r="E4327" s="101"/>
      <c r="F4327" s="294"/>
      <c r="G4327" s="295"/>
      <c r="H4327" s="98"/>
      <c r="I4327" s="99"/>
      <c r="J4327" s="99"/>
      <c r="K4327" s="99"/>
      <c r="L4327" s="99"/>
      <c r="M4327" s="99"/>
      <c r="N4327" s="99"/>
      <c r="O4327" s="99"/>
      <c r="P4327" s="99"/>
      <c r="Q4327" s="99"/>
      <c r="R4327" s="99"/>
      <c r="S4327" s="99"/>
      <c r="T4327" s="99"/>
      <c r="U4327" s="99"/>
      <c r="V4327" s="99"/>
    </row>
    <row r="4328" spans="1:22">
      <c r="A4328" s="297"/>
      <c r="B4328" s="217"/>
      <c r="C4328" s="217"/>
      <c r="D4328" s="101"/>
      <c r="E4328" s="101"/>
      <c r="F4328" s="294"/>
      <c r="G4328" s="295"/>
      <c r="H4328" s="98"/>
      <c r="I4328" s="99"/>
      <c r="J4328" s="99"/>
      <c r="K4328" s="99"/>
      <c r="L4328" s="99"/>
      <c r="M4328" s="99"/>
      <c r="N4328" s="99"/>
      <c r="O4328" s="99"/>
      <c r="P4328" s="99"/>
      <c r="Q4328" s="99"/>
      <c r="R4328" s="99"/>
      <c r="S4328" s="99"/>
      <c r="T4328" s="99"/>
      <c r="U4328" s="99"/>
      <c r="V4328" s="99"/>
    </row>
    <row r="4329" spans="1:22">
      <c r="A4329" s="297"/>
      <c r="B4329" s="217"/>
      <c r="C4329" s="217"/>
      <c r="D4329" s="101"/>
      <c r="E4329" s="101"/>
      <c r="F4329" s="294"/>
      <c r="G4329" s="295"/>
      <c r="H4329" s="98"/>
      <c r="I4329" s="99"/>
      <c r="J4329" s="99"/>
      <c r="K4329" s="99"/>
      <c r="L4329" s="99"/>
      <c r="M4329" s="99"/>
      <c r="N4329" s="99"/>
      <c r="O4329" s="99"/>
      <c r="P4329" s="99"/>
      <c r="Q4329" s="99"/>
      <c r="R4329" s="99"/>
      <c r="S4329" s="99"/>
      <c r="T4329" s="99"/>
      <c r="U4329" s="99"/>
      <c r="V4329" s="99"/>
    </row>
    <row r="4330" spans="1:22">
      <c r="A4330" s="297"/>
      <c r="B4330" s="217"/>
      <c r="C4330" s="217"/>
      <c r="D4330" s="101"/>
      <c r="E4330" s="101"/>
      <c r="F4330" s="294"/>
      <c r="G4330" s="295"/>
      <c r="H4330" s="98"/>
      <c r="I4330" s="99"/>
      <c r="J4330" s="99"/>
      <c r="K4330" s="99"/>
      <c r="L4330" s="99"/>
      <c r="M4330" s="99"/>
      <c r="N4330" s="99"/>
      <c r="O4330" s="99"/>
      <c r="P4330" s="99"/>
      <c r="Q4330" s="99"/>
      <c r="R4330" s="99"/>
      <c r="S4330" s="99"/>
      <c r="T4330" s="99"/>
      <c r="U4330" s="99"/>
      <c r="V4330" s="99"/>
    </row>
    <row r="4331" spans="1:22">
      <c r="A4331" s="297"/>
      <c r="B4331" s="217"/>
      <c r="C4331" s="217"/>
      <c r="D4331" s="101"/>
      <c r="E4331" s="101"/>
      <c r="F4331" s="294"/>
      <c r="G4331" s="295"/>
      <c r="H4331" s="98"/>
      <c r="I4331" s="99"/>
      <c r="J4331" s="99"/>
      <c r="K4331" s="99"/>
      <c r="L4331" s="99"/>
      <c r="M4331" s="99"/>
      <c r="N4331" s="99"/>
      <c r="O4331" s="99"/>
      <c r="P4331" s="99"/>
      <c r="Q4331" s="99"/>
      <c r="R4331" s="99"/>
      <c r="S4331" s="99"/>
      <c r="T4331" s="99"/>
      <c r="U4331" s="99"/>
      <c r="V4331" s="99"/>
    </row>
    <row r="4332" spans="1:22">
      <c r="A4332" s="297"/>
      <c r="B4332" s="217"/>
      <c r="C4332" s="217"/>
      <c r="D4332" s="101"/>
      <c r="E4332" s="101"/>
      <c r="F4332" s="294"/>
      <c r="G4332" s="295"/>
      <c r="H4332" s="98"/>
      <c r="I4332" s="99"/>
      <c r="J4332" s="99"/>
      <c r="K4332" s="99"/>
      <c r="L4332" s="99"/>
      <c r="M4332" s="99"/>
      <c r="N4332" s="99"/>
      <c r="O4332" s="99"/>
      <c r="P4332" s="99"/>
      <c r="Q4332" s="99"/>
      <c r="R4332" s="99"/>
      <c r="S4332" s="99"/>
      <c r="T4332" s="99"/>
      <c r="U4332" s="99"/>
      <c r="V4332" s="99"/>
    </row>
    <row r="4333" spans="1:22">
      <c r="A4333" s="297"/>
      <c r="B4333" s="217"/>
      <c r="C4333" s="217"/>
      <c r="D4333" s="101"/>
      <c r="E4333" s="101"/>
      <c r="F4333" s="294"/>
      <c r="G4333" s="295"/>
      <c r="H4333" s="98"/>
      <c r="I4333" s="99"/>
      <c r="J4333" s="99"/>
      <c r="K4333" s="99"/>
      <c r="L4333" s="99"/>
      <c r="M4333" s="99"/>
      <c r="N4333" s="99"/>
      <c r="O4333" s="99"/>
      <c r="P4333" s="99"/>
      <c r="Q4333" s="99"/>
      <c r="R4333" s="99"/>
      <c r="S4333" s="99"/>
      <c r="T4333" s="99"/>
      <c r="U4333" s="99"/>
      <c r="V4333" s="99"/>
    </row>
    <row r="4334" spans="1:22">
      <c r="A4334" s="297"/>
      <c r="B4334" s="217"/>
      <c r="C4334" s="217"/>
      <c r="D4334" s="101"/>
      <c r="E4334" s="101"/>
      <c r="F4334" s="294"/>
      <c r="G4334" s="295"/>
      <c r="H4334" s="98"/>
      <c r="I4334" s="99"/>
      <c r="J4334" s="99"/>
      <c r="K4334" s="99"/>
      <c r="L4334" s="99"/>
      <c r="M4334" s="99"/>
      <c r="N4334" s="99"/>
      <c r="O4334" s="99"/>
      <c r="P4334" s="99"/>
      <c r="Q4334" s="99"/>
      <c r="R4334" s="99"/>
      <c r="S4334" s="99"/>
      <c r="T4334" s="99"/>
      <c r="U4334" s="99"/>
      <c r="V4334" s="99"/>
    </row>
    <row r="4335" spans="1:22">
      <c r="A4335" s="297"/>
      <c r="B4335" s="217"/>
      <c r="C4335" s="217"/>
      <c r="D4335" s="101"/>
      <c r="E4335" s="101"/>
      <c r="F4335" s="294"/>
      <c r="G4335" s="295"/>
      <c r="H4335" s="98"/>
      <c r="I4335" s="99"/>
      <c r="J4335" s="99"/>
      <c r="K4335" s="99"/>
      <c r="L4335" s="99"/>
      <c r="M4335" s="99"/>
      <c r="N4335" s="99"/>
      <c r="O4335" s="99"/>
      <c r="P4335" s="99"/>
      <c r="Q4335" s="99"/>
      <c r="R4335" s="99"/>
      <c r="S4335" s="99"/>
      <c r="T4335" s="99"/>
      <c r="U4335" s="99"/>
      <c r="V4335" s="99"/>
    </row>
    <row r="4336" spans="1:22">
      <c r="A4336" s="297"/>
      <c r="B4336" s="217"/>
      <c r="C4336" s="217"/>
      <c r="D4336" s="101"/>
      <c r="E4336" s="101"/>
      <c r="F4336" s="294"/>
      <c r="G4336" s="295"/>
      <c r="H4336" s="98"/>
      <c r="I4336" s="99"/>
      <c r="J4336" s="99"/>
      <c r="K4336" s="99"/>
      <c r="L4336" s="99"/>
      <c r="M4336" s="99"/>
      <c r="N4336" s="99"/>
      <c r="O4336" s="99"/>
      <c r="P4336" s="99"/>
      <c r="Q4336" s="99"/>
      <c r="R4336" s="99"/>
      <c r="S4336" s="99"/>
      <c r="T4336" s="99"/>
      <c r="U4336" s="99"/>
      <c r="V4336" s="99"/>
    </row>
    <row r="4337" spans="1:22">
      <c r="A4337" s="297"/>
      <c r="B4337" s="217"/>
      <c r="C4337" s="217"/>
      <c r="D4337" s="101"/>
      <c r="E4337" s="101"/>
      <c r="F4337" s="294"/>
      <c r="G4337" s="295"/>
      <c r="H4337" s="98"/>
      <c r="I4337" s="99"/>
      <c r="J4337" s="99"/>
      <c r="K4337" s="99"/>
      <c r="L4337" s="99"/>
      <c r="M4337" s="99"/>
      <c r="N4337" s="99"/>
      <c r="O4337" s="99"/>
      <c r="P4337" s="99"/>
      <c r="Q4337" s="99"/>
      <c r="R4337" s="99"/>
      <c r="S4337" s="99"/>
      <c r="T4337" s="99"/>
      <c r="U4337" s="99"/>
      <c r="V4337" s="99"/>
    </row>
    <row r="4338" spans="1:22">
      <c r="A4338" s="297"/>
      <c r="B4338" s="217"/>
      <c r="C4338" s="217"/>
      <c r="D4338" s="101"/>
      <c r="E4338" s="101"/>
      <c r="F4338" s="294"/>
      <c r="G4338" s="295"/>
      <c r="H4338" s="98"/>
      <c r="I4338" s="99"/>
      <c r="J4338" s="99"/>
      <c r="K4338" s="99"/>
      <c r="L4338" s="99"/>
      <c r="M4338" s="99"/>
      <c r="N4338" s="99"/>
      <c r="O4338" s="99"/>
      <c r="P4338" s="99"/>
      <c r="Q4338" s="99"/>
      <c r="R4338" s="99"/>
      <c r="S4338" s="99"/>
      <c r="T4338" s="99"/>
      <c r="U4338" s="99"/>
      <c r="V4338" s="99"/>
    </row>
    <row r="4339" spans="1:22">
      <c r="A4339" s="297"/>
      <c r="B4339" s="217"/>
      <c r="C4339" s="217"/>
      <c r="D4339" s="101"/>
      <c r="E4339" s="101"/>
      <c r="F4339" s="294"/>
      <c r="G4339" s="295"/>
      <c r="H4339" s="98"/>
      <c r="I4339" s="99"/>
      <c r="J4339" s="99"/>
      <c r="K4339" s="99"/>
      <c r="L4339" s="99"/>
      <c r="M4339" s="99"/>
      <c r="N4339" s="99"/>
      <c r="O4339" s="99"/>
      <c r="P4339" s="99"/>
      <c r="Q4339" s="99"/>
      <c r="R4339" s="99"/>
      <c r="S4339" s="99"/>
      <c r="T4339" s="99"/>
      <c r="U4339" s="99"/>
      <c r="V4339" s="99"/>
    </row>
    <row r="4340" spans="1:22">
      <c r="A4340" s="297"/>
      <c r="B4340" s="217"/>
      <c r="C4340" s="217"/>
      <c r="D4340" s="101"/>
      <c r="E4340" s="101"/>
      <c r="F4340" s="294"/>
      <c r="G4340" s="295"/>
      <c r="H4340" s="107"/>
      <c r="I4340" s="109"/>
      <c r="J4340" s="109"/>
      <c r="K4340" s="109"/>
      <c r="L4340" s="109"/>
      <c r="M4340" s="109"/>
      <c r="N4340" s="109"/>
      <c r="O4340" s="109"/>
      <c r="P4340" s="109"/>
      <c r="Q4340" s="109"/>
      <c r="R4340" s="109"/>
      <c r="S4340" s="109"/>
      <c r="T4340" s="109"/>
      <c r="U4340" s="202"/>
      <c r="V4340" s="202"/>
    </row>
    <row r="4341" spans="1:22">
      <c r="A4341" s="297"/>
      <c r="B4341" s="217"/>
      <c r="C4341" s="217"/>
      <c r="D4341" s="101"/>
      <c r="E4341" s="101"/>
      <c r="F4341" s="294"/>
      <c r="G4341" s="295"/>
      <c r="H4341" s="98"/>
      <c r="I4341" s="106"/>
      <c r="J4341" s="106"/>
      <c r="K4341" s="106"/>
      <c r="L4341" s="106"/>
      <c r="M4341" s="106"/>
      <c r="N4341" s="112"/>
      <c r="O4341" s="112"/>
      <c r="P4341" s="112"/>
      <c r="Q4341" s="113"/>
      <c r="R4341" s="113"/>
      <c r="S4341" s="113"/>
      <c r="T4341" s="113"/>
      <c r="U4341" s="113"/>
      <c r="V4341" s="113"/>
    </row>
    <row r="4342" spans="1:22">
      <c r="A4342" s="297"/>
      <c r="B4342" s="217"/>
      <c r="C4342" s="217"/>
      <c r="D4342" s="101"/>
      <c r="E4342" s="101"/>
      <c r="F4342" s="294"/>
      <c r="G4342" s="295"/>
      <c r="H4342" s="98"/>
      <c r="I4342" s="99"/>
      <c r="J4342" s="99"/>
      <c r="K4342" s="99"/>
      <c r="L4342" s="99"/>
      <c r="M4342" s="99"/>
      <c r="N4342" s="99"/>
      <c r="O4342" s="99"/>
      <c r="P4342" s="99"/>
      <c r="Q4342" s="99"/>
      <c r="R4342" s="99"/>
      <c r="S4342" s="99"/>
      <c r="T4342" s="99"/>
      <c r="U4342" s="99"/>
      <c r="V4342" s="99"/>
    </row>
    <row r="4343" spans="1:22">
      <c r="A4343" s="297"/>
      <c r="B4343" s="217"/>
      <c r="C4343" s="217"/>
      <c r="D4343" s="101"/>
      <c r="E4343" s="101"/>
      <c r="F4343" s="294"/>
      <c r="G4343" s="295"/>
      <c r="H4343" s="98"/>
      <c r="I4343" s="99"/>
      <c r="J4343" s="99"/>
      <c r="K4343" s="99"/>
      <c r="L4343" s="99"/>
      <c r="M4343" s="99"/>
      <c r="N4343" s="99"/>
      <c r="O4343" s="99"/>
      <c r="P4343" s="99"/>
      <c r="Q4343" s="99"/>
      <c r="R4343" s="99"/>
      <c r="S4343" s="99"/>
      <c r="T4343" s="99"/>
      <c r="U4343" s="99"/>
      <c r="V4343" s="99"/>
    </row>
    <row r="4344" spans="1:22">
      <c r="A4344" s="297"/>
      <c r="B4344" s="217"/>
      <c r="C4344" s="217"/>
      <c r="D4344" s="101"/>
      <c r="E4344" s="101"/>
      <c r="F4344" s="294"/>
      <c r="G4344" s="295"/>
      <c r="H4344" s="98"/>
      <c r="I4344" s="99"/>
      <c r="J4344" s="99"/>
      <c r="K4344" s="99"/>
      <c r="L4344" s="99"/>
      <c r="M4344" s="99"/>
      <c r="N4344" s="99"/>
      <c r="O4344" s="99"/>
      <c r="P4344" s="99"/>
      <c r="Q4344" s="99"/>
      <c r="R4344" s="99"/>
      <c r="S4344" s="99"/>
      <c r="T4344" s="99"/>
      <c r="U4344" s="99"/>
      <c r="V4344" s="99"/>
    </row>
    <row r="4345" spans="1:22" ht="24" customHeight="1">
      <c r="A4345" s="297"/>
      <c r="B4345" s="217"/>
      <c r="C4345" s="217"/>
      <c r="D4345" s="101"/>
      <c r="E4345" s="101"/>
      <c r="F4345" s="294"/>
      <c r="G4345" s="295"/>
      <c r="H4345" s="98"/>
      <c r="I4345" s="99"/>
      <c r="J4345" s="99"/>
      <c r="K4345" s="99"/>
      <c r="L4345" s="99"/>
      <c r="M4345" s="99"/>
      <c r="N4345" s="99"/>
      <c r="O4345" s="99"/>
      <c r="P4345" s="99"/>
      <c r="Q4345" s="99"/>
      <c r="R4345" s="99"/>
      <c r="S4345" s="99"/>
      <c r="T4345" s="99"/>
      <c r="U4345" s="99"/>
      <c r="V4345" s="99"/>
    </row>
    <row r="4346" spans="1:22">
      <c r="A4346" s="297"/>
      <c r="B4346" s="217"/>
      <c r="C4346" s="217"/>
      <c r="D4346" s="101"/>
      <c r="E4346" s="101"/>
      <c r="F4346" s="294"/>
      <c r="G4346" s="295"/>
      <c r="H4346" s="98"/>
      <c r="I4346" s="99"/>
      <c r="J4346" s="99"/>
      <c r="K4346" s="99"/>
      <c r="L4346" s="99"/>
      <c r="M4346" s="99"/>
      <c r="N4346" s="99"/>
      <c r="O4346" s="99"/>
      <c r="P4346" s="99"/>
      <c r="Q4346" s="99"/>
      <c r="R4346" s="99"/>
      <c r="S4346" s="99"/>
      <c r="T4346" s="99"/>
      <c r="U4346" s="99"/>
      <c r="V4346" s="99"/>
    </row>
    <row r="4347" spans="1:22">
      <c r="A4347" s="297"/>
      <c r="B4347" s="217"/>
      <c r="C4347" s="217"/>
      <c r="D4347" s="101"/>
      <c r="E4347" s="101"/>
      <c r="F4347" s="294"/>
      <c r="G4347" s="295"/>
      <c r="H4347" s="98"/>
      <c r="I4347" s="99"/>
      <c r="J4347" s="99"/>
      <c r="K4347" s="99"/>
      <c r="L4347" s="99"/>
      <c r="M4347" s="99"/>
      <c r="N4347" s="99"/>
      <c r="O4347" s="99"/>
      <c r="P4347" s="99"/>
      <c r="Q4347" s="99"/>
      <c r="R4347" s="99"/>
      <c r="S4347" s="99"/>
      <c r="T4347" s="99"/>
      <c r="U4347" s="99"/>
      <c r="V4347" s="99"/>
    </row>
    <row r="4348" spans="1:22">
      <c r="A4348" s="297"/>
      <c r="B4348" s="217"/>
      <c r="C4348" s="217"/>
      <c r="D4348" s="101"/>
      <c r="E4348" s="101"/>
      <c r="F4348" s="294"/>
      <c r="G4348" s="295"/>
      <c r="H4348" s="98"/>
      <c r="I4348" s="99"/>
      <c r="J4348" s="99"/>
      <c r="K4348" s="99"/>
      <c r="L4348" s="99"/>
      <c r="M4348" s="99"/>
      <c r="N4348" s="99"/>
      <c r="O4348" s="99"/>
      <c r="P4348" s="99"/>
      <c r="Q4348" s="99"/>
      <c r="R4348" s="99"/>
      <c r="S4348" s="99"/>
      <c r="T4348" s="99"/>
      <c r="U4348" s="99"/>
      <c r="V4348" s="99"/>
    </row>
    <row r="4349" spans="1:22">
      <c r="A4349" s="297"/>
      <c r="B4349" s="217"/>
      <c r="C4349" s="217"/>
      <c r="D4349" s="101"/>
      <c r="E4349" s="101"/>
      <c r="F4349" s="294"/>
      <c r="G4349" s="295"/>
      <c r="H4349" s="98"/>
      <c r="I4349" s="99"/>
      <c r="J4349" s="99"/>
      <c r="K4349" s="99"/>
      <c r="L4349" s="99"/>
      <c r="M4349" s="99"/>
      <c r="N4349" s="99"/>
      <c r="O4349" s="99"/>
      <c r="P4349" s="99"/>
      <c r="Q4349" s="99"/>
      <c r="R4349" s="99"/>
      <c r="S4349" s="99"/>
      <c r="T4349" s="99"/>
      <c r="U4349" s="99"/>
      <c r="V4349" s="99"/>
    </row>
    <row r="4350" spans="1:22">
      <c r="A4350" s="297"/>
      <c r="B4350" s="217"/>
      <c r="C4350" s="217"/>
      <c r="D4350" s="101"/>
      <c r="E4350" s="101"/>
      <c r="F4350" s="294"/>
      <c r="G4350" s="295"/>
      <c r="H4350" s="98"/>
      <c r="I4350" s="99"/>
      <c r="J4350" s="99"/>
      <c r="K4350" s="99"/>
      <c r="L4350" s="99"/>
      <c r="M4350" s="99"/>
      <c r="N4350" s="99"/>
      <c r="O4350" s="99"/>
      <c r="P4350" s="99"/>
      <c r="Q4350" s="99"/>
      <c r="R4350" s="99"/>
      <c r="S4350" s="99"/>
      <c r="T4350" s="99"/>
      <c r="U4350" s="99"/>
      <c r="V4350" s="99"/>
    </row>
    <row r="4351" spans="1:22">
      <c r="A4351" s="297"/>
      <c r="B4351" s="217"/>
      <c r="C4351" s="217"/>
      <c r="D4351" s="101"/>
      <c r="E4351" s="101"/>
      <c r="F4351" s="294"/>
      <c r="G4351" s="295"/>
      <c r="H4351" s="98"/>
      <c r="I4351" s="99"/>
      <c r="J4351" s="99"/>
      <c r="K4351" s="99"/>
      <c r="L4351" s="99"/>
      <c r="M4351" s="99"/>
      <c r="N4351" s="99"/>
      <c r="O4351" s="99"/>
      <c r="P4351" s="99"/>
      <c r="Q4351" s="99"/>
      <c r="R4351" s="99"/>
      <c r="S4351" s="99"/>
      <c r="T4351" s="99"/>
      <c r="U4351" s="99"/>
      <c r="V4351" s="99"/>
    </row>
    <row r="4352" spans="1:22">
      <c r="A4352" s="297"/>
      <c r="B4352" s="217"/>
      <c r="C4352" s="217"/>
      <c r="D4352" s="101"/>
      <c r="E4352" s="101"/>
      <c r="F4352" s="294"/>
      <c r="G4352" s="295"/>
      <c r="H4352" s="98"/>
      <c r="I4352" s="99"/>
      <c r="J4352" s="99"/>
      <c r="K4352" s="99"/>
      <c r="L4352" s="99"/>
      <c r="M4352" s="99"/>
      <c r="N4352" s="99"/>
      <c r="O4352" s="99"/>
      <c r="P4352" s="99"/>
      <c r="Q4352" s="99"/>
      <c r="R4352" s="99"/>
      <c r="S4352" s="99"/>
      <c r="T4352" s="99"/>
      <c r="U4352" s="99"/>
      <c r="V4352" s="99"/>
    </row>
    <row r="4353" spans="1:22">
      <c r="A4353" s="297"/>
      <c r="B4353" s="217"/>
      <c r="C4353" s="217"/>
      <c r="D4353" s="101"/>
      <c r="E4353" s="101"/>
      <c r="F4353" s="294"/>
      <c r="G4353" s="295"/>
      <c r="H4353" s="98"/>
      <c r="I4353" s="99"/>
      <c r="J4353" s="99"/>
      <c r="K4353" s="99"/>
      <c r="L4353" s="99"/>
      <c r="M4353" s="99"/>
      <c r="N4353" s="99"/>
      <c r="O4353" s="99"/>
      <c r="P4353" s="99"/>
      <c r="Q4353" s="99"/>
      <c r="R4353" s="99"/>
      <c r="S4353" s="99"/>
      <c r="T4353" s="99"/>
      <c r="U4353" s="99"/>
      <c r="V4353" s="99"/>
    </row>
    <row r="4354" spans="1:22">
      <c r="A4354" s="297"/>
      <c r="B4354" s="217"/>
      <c r="C4354" s="217"/>
      <c r="D4354" s="101"/>
      <c r="E4354" s="101"/>
      <c r="F4354" s="294"/>
      <c r="G4354" s="295"/>
      <c r="H4354" s="98"/>
      <c r="I4354" s="99"/>
      <c r="J4354" s="99"/>
      <c r="K4354" s="99"/>
      <c r="L4354" s="99"/>
      <c r="M4354" s="99"/>
      <c r="N4354" s="99"/>
      <c r="O4354" s="99"/>
      <c r="P4354" s="99"/>
      <c r="Q4354" s="99"/>
      <c r="R4354" s="99"/>
      <c r="S4354" s="99"/>
      <c r="T4354" s="99"/>
      <c r="U4354" s="99"/>
      <c r="V4354" s="99"/>
    </row>
    <row r="4355" spans="1:22">
      <c r="A4355" s="297"/>
      <c r="B4355" s="217"/>
      <c r="C4355" s="217"/>
      <c r="D4355" s="101"/>
      <c r="E4355" s="101"/>
      <c r="F4355" s="294"/>
      <c r="G4355" s="295"/>
      <c r="H4355" s="98"/>
      <c r="I4355" s="99"/>
      <c r="J4355" s="99"/>
      <c r="K4355" s="99"/>
      <c r="L4355" s="99"/>
      <c r="M4355" s="99"/>
      <c r="N4355" s="99"/>
      <c r="O4355" s="99"/>
      <c r="P4355" s="99"/>
      <c r="Q4355" s="99"/>
      <c r="R4355" s="99"/>
      <c r="S4355" s="99"/>
      <c r="T4355" s="99"/>
      <c r="U4355" s="99"/>
      <c r="V4355" s="99"/>
    </row>
    <row r="4356" spans="1:22">
      <c r="A4356" s="297"/>
      <c r="B4356" s="217"/>
      <c r="C4356" s="217"/>
      <c r="D4356" s="101"/>
      <c r="E4356" s="101"/>
      <c r="F4356" s="294"/>
      <c r="G4356" s="295"/>
      <c r="H4356" s="98"/>
      <c r="I4356" s="99"/>
      <c r="J4356" s="99"/>
      <c r="K4356" s="99"/>
      <c r="L4356" s="99"/>
      <c r="M4356" s="99"/>
      <c r="N4356" s="99"/>
      <c r="O4356" s="99"/>
      <c r="P4356" s="99"/>
      <c r="Q4356" s="99"/>
      <c r="R4356" s="99"/>
      <c r="S4356" s="99"/>
      <c r="T4356" s="99"/>
      <c r="U4356" s="99"/>
      <c r="V4356" s="99"/>
    </row>
    <row r="4357" spans="1:22">
      <c r="A4357" s="297"/>
      <c r="B4357" s="217"/>
      <c r="C4357" s="217"/>
      <c r="D4357" s="101"/>
      <c r="E4357" s="101"/>
      <c r="F4357" s="294"/>
      <c r="G4357" s="295"/>
      <c r="H4357" s="98"/>
      <c r="I4357" s="99"/>
      <c r="J4357" s="99"/>
      <c r="K4357" s="99"/>
      <c r="L4357" s="99"/>
      <c r="M4357" s="99"/>
      <c r="N4357" s="99"/>
      <c r="O4357" s="99"/>
      <c r="P4357" s="99"/>
      <c r="Q4357" s="99"/>
      <c r="R4357" s="99"/>
      <c r="S4357" s="99"/>
      <c r="T4357" s="99"/>
      <c r="U4357" s="99"/>
      <c r="V4357" s="99"/>
    </row>
    <row r="4358" spans="1:22">
      <c r="A4358" s="297"/>
      <c r="B4358" s="217"/>
      <c r="C4358" s="217"/>
      <c r="D4358" s="101"/>
      <c r="E4358" s="101"/>
      <c r="F4358" s="294"/>
      <c r="G4358" s="295"/>
      <c r="H4358" s="107"/>
      <c r="I4358" s="109"/>
      <c r="J4358" s="109"/>
      <c r="K4358" s="109"/>
      <c r="L4358" s="109"/>
      <c r="M4358" s="109"/>
      <c r="N4358" s="109"/>
      <c r="O4358" s="109"/>
      <c r="P4358" s="109"/>
      <c r="Q4358" s="109"/>
      <c r="R4358" s="109"/>
      <c r="S4358" s="109"/>
      <c r="T4358" s="109"/>
      <c r="U4358" s="202"/>
      <c r="V4358" s="202"/>
    </row>
    <row r="4359" spans="1:22">
      <c r="A4359" s="297"/>
      <c r="B4359" s="217"/>
      <c r="C4359" s="217"/>
      <c r="D4359" s="101"/>
      <c r="E4359" s="101"/>
      <c r="F4359" s="294"/>
      <c r="G4359" s="295"/>
      <c r="H4359" s="98"/>
      <c r="I4359" s="106"/>
      <c r="J4359" s="106"/>
      <c r="K4359" s="106"/>
      <c r="L4359" s="106"/>
      <c r="M4359" s="106"/>
      <c r="N4359" s="112"/>
      <c r="O4359" s="112"/>
      <c r="P4359" s="112"/>
      <c r="Q4359" s="113"/>
      <c r="R4359" s="113"/>
      <c r="S4359" s="113"/>
      <c r="T4359" s="113"/>
      <c r="U4359" s="113"/>
      <c r="V4359" s="113"/>
    </row>
    <row r="4360" spans="1:22">
      <c r="A4360" s="297"/>
      <c r="B4360" s="217"/>
      <c r="C4360" s="217"/>
      <c r="D4360" s="101"/>
      <c r="E4360" s="101"/>
      <c r="F4360" s="294"/>
      <c r="G4360" s="295"/>
      <c r="H4360" s="98"/>
      <c r="I4360" s="99"/>
      <c r="J4360" s="99"/>
      <c r="K4360" s="99"/>
      <c r="L4360" s="99"/>
      <c r="M4360" s="99"/>
      <c r="N4360" s="99"/>
      <c r="O4360" s="99"/>
      <c r="P4360" s="99"/>
      <c r="Q4360" s="99"/>
      <c r="R4360" s="99"/>
      <c r="S4360" s="99"/>
      <c r="T4360" s="99"/>
      <c r="U4360" s="99"/>
      <c r="V4360" s="99"/>
    </row>
    <row r="4361" spans="1:22">
      <c r="A4361" s="297"/>
      <c r="B4361" s="217"/>
      <c r="C4361" s="217"/>
      <c r="D4361" s="101"/>
      <c r="E4361" s="101"/>
      <c r="F4361" s="294"/>
      <c r="G4361" s="295"/>
      <c r="H4361" s="98"/>
      <c r="I4361" s="99"/>
      <c r="J4361" s="99"/>
      <c r="K4361" s="99"/>
      <c r="L4361" s="99"/>
      <c r="M4361" s="99"/>
      <c r="N4361" s="99"/>
      <c r="O4361" s="99"/>
      <c r="P4361" s="99"/>
      <c r="Q4361" s="99"/>
      <c r="R4361" s="99"/>
      <c r="S4361" s="99"/>
      <c r="T4361" s="99"/>
      <c r="U4361" s="99"/>
      <c r="V4361" s="99"/>
    </row>
    <row r="4362" spans="1:22">
      <c r="A4362" s="297"/>
      <c r="B4362" s="217"/>
      <c r="C4362" s="217"/>
      <c r="D4362" s="101"/>
      <c r="E4362" s="101"/>
      <c r="F4362" s="294"/>
      <c r="G4362" s="295"/>
      <c r="H4362" s="98"/>
      <c r="I4362" s="99"/>
      <c r="J4362" s="99"/>
      <c r="K4362" s="99"/>
      <c r="L4362" s="99"/>
      <c r="M4362" s="99"/>
      <c r="N4362" s="99"/>
      <c r="O4362" s="99"/>
      <c r="P4362" s="99"/>
      <c r="Q4362" s="99"/>
      <c r="R4362" s="99"/>
      <c r="S4362" s="99"/>
      <c r="T4362" s="99"/>
      <c r="U4362" s="99"/>
      <c r="V4362" s="99"/>
    </row>
    <row r="4363" spans="1:22">
      <c r="A4363" s="297"/>
      <c r="B4363" s="217"/>
      <c r="C4363" s="217"/>
      <c r="D4363" s="101"/>
      <c r="E4363" s="101"/>
      <c r="F4363" s="294"/>
      <c r="G4363" s="295"/>
      <c r="H4363" s="107"/>
      <c r="I4363" s="108"/>
      <c r="J4363" s="108"/>
      <c r="K4363" s="108"/>
      <c r="L4363" s="108"/>
      <c r="M4363" s="108"/>
      <c r="N4363" s="108"/>
      <c r="O4363" s="108"/>
      <c r="P4363" s="108"/>
      <c r="Q4363" s="108"/>
      <c r="R4363" s="108"/>
      <c r="S4363" s="108"/>
      <c r="T4363" s="108"/>
      <c r="U4363" s="233"/>
      <c r="V4363" s="233"/>
    </row>
    <row r="4364" spans="1:22">
      <c r="A4364" s="297"/>
      <c r="B4364" s="217"/>
      <c r="C4364" s="217"/>
      <c r="D4364" s="101"/>
      <c r="E4364" s="101"/>
      <c r="F4364" s="294"/>
      <c r="G4364" s="295"/>
      <c r="H4364" s="98"/>
      <c r="I4364" s="106"/>
      <c r="J4364" s="106"/>
      <c r="K4364" s="106"/>
      <c r="L4364" s="106"/>
      <c r="M4364" s="106"/>
      <c r="N4364" s="112"/>
      <c r="O4364" s="112"/>
      <c r="P4364" s="112"/>
      <c r="Q4364" s="113"/>
      <c r="R4364" s="113"/>
      <c r="S4364" s="113"/>
      <c r="T4364" s="113"/>
      <c r="U4364" s="113"/>
      <c r="V4364" s="113"/>
    </row>
    <row r="4365" spans="1:22">
      <c r="A4365" s="297"/>
      <c r="B4365" s="217"/>
      <c r="C4365" s="217"/>
      <c r="D4365" s="101"/>
      <c r="E4365" s="101"/>
      <c r="F4365" s="294"/>
      <c r="G4365" s="295"/>
      <c r="H4365" s="114"/>
      <c r="I4365" s="108"/>
      <c r="J4365" s="108"/>
      <c r="K4365" s="108"/>
      <c r="L4365" s="108"/>
      <c r="M4365" s="108"/>
      <c r="N4365" s="108"/>
      <c r="O4365" s="108"/>
      <c r="P4365" s="108"/>
      <c r="Q4365" s="108"/>
      <c r="R4365" s="108"/>
      <c r="S4365" s="108"/>
      <c r="T4365" s="108"/>
      <c r="U4365" s="233"/>
      <c r="V4365" s="233"/>
    </row>
    <row r="4366" spans="1:22">
      <c r="A4366" s="297"/>
      <c r="B4366" s="217"/>
      <c r="C4366" s="217"/>
      <c r="D4366" s="101"/>
      <c r="E4366" s="101"/>
      <c r="F4366" s="294"/>
      <c r="G4366" s="295"/>
      <c r="H4366" s="89"/>
      <c r="I4366" s="233"/>
      <c r="J4366" s="233"/>
      <c r="K4366" s="233"/>
      <c r="L4366" s="233"/>
      <c r="M4366" s="233"/>
      <c r="N4366" s="233"/>
      <c r="O4366" s="233"/>
      <c r="P4366" s="233"/>
      <c r="Q4366" s="233"/>
      <c r="R4366" s="233"/>
      <c r="S4366" s="233"/>
      <c r="T4366" s="233"/>
      <c r="U4366" s="233"/>
      <c r="V4366" s="233"/>
    </row>
    <row r="4367" spans="1:22" ht="14.4" thickBot="1">
      <c r="A4367" s="297"/>
      <c r="B4367" s="217"/>
      <c r="C4367" s="217"/>
      <c r="D4367" s="101"/>
      <c r="E4367" s="101"/>
      <c r="F4367" s="294"/>
      <c r="G4367" s="295"/>
      <c r="H4367" s="98"/>
      <c r="I4367" s="218"/>
      <c r="J4367" s="218"/>
      <c r="K4367" s="218"/>
      <c r="L4367" s="218"/>
      <c r="M4367" s="218"/>
      <c r="U4367" s="212"/>
      <c r="V4367" s="212"/>
    </row>
    <row r="4368" spans="1:22" ht="23.4" thickBot="1">
      <c r="A4368" s="297"/>
      <c r="B4368" s="217"/>
      <c r="C4368" s="217"/>
      <c r="D4368" s="101"/>
      <c r="E4368" s="101"/>
      <c r="F4368" s="294"/>
      <c r="G4368" s="295"/>
      <c r="H4368" s="686"/>
      <c r="I4368" s="687"/>
      <c r="J4368" s="687"/>
      <c r="K4368" s="687"/>
      <c r="L4368" s="687"/>
      <c r="M4368" s="687"/>
      <c r="N4368" s="687"/>
      <c r="O4368" s="687"/>
      <c r="P4368" s="687"/>
      <c r="Q4368" s="687"/>
      <c r="R4368" s="687"/>
      <c r="S4368" s="715"/>
      <c r="T4368" s="688"/>
      <c r="U4368" s="254"/>
      <c r="V4368" s="254"/>
    </row>
    <row r="4369" spans="1:22" ht="22.8">
      <c r="A4369" s="297"/>
      <c r="B4369" s="217"/>
      <c r="C4369" s="217"/>
      <c r="D4369" s="101"/>
      <c r="E4369" s="101"/>
      <c r="F4369" s="294"/>
      <c r="G4369" s="295"/>
      <c r="H4369" s="225"/>
      <c r="I4369" s="225"/>
      <c r="J4369" s="225"/>
      <c r="K4369" s="225"/>
      <c r="L4369" s="225"/>
      <c r="M4369" s="225"/>
      <c r="N4369" s="225"/>
      <c r="O4369" s="225"/>
      <c r="P4369" s="225"/>
      <c r="Q4369" s="225"/>
      <c r="R4369" s="225"/>
      <c r="S4369" s="225"/>
      <c r="T4369" s="225"/>
      <c r="U4369" s="225"/>
      <c r="V4369" s="225"/>
    </row>
    <row r="4370" spans="1:22">
      <c r="A4370" s="297"/>
      <c r="B4370" s="217"/>
      <c r="C4370" s="217"/>
      <c r="D4370" s="101"/>
      <c r="E4370" s="101"/>
      <c r="F4370" s="294"/>
      <c r="G4370" s="295"/>
      <c r="H4370" s="98"/>
      <c r="I4370" s="99"/>
      <c r="J4370" s="99"/>
      <c r="K4370" s="99"/>
      <c r="L4370" s="99"/>
      <c r="M4370" s="99"/>
      <c r="N4370" s="99"/>
      <c r="O4370" s="99"/>
      <c r="P4370" s="99"/>
      <c r="Q4370" s="99"/>
      <c r="R4370" s="99"/>
      <c r="S4370" s="99"/>
      <c r="T4370" s="99"/>
      <c r="U4370" s="99"/>
      <c r="V4370" s="99"/>
    </row>
    <row r="4371" spans="1:22">
      <c r="A4371" s="297"/>
      <c r="B4371" s="217"/>
      <c r="C4371" s="217"/>
      <c r="D4371" s="101"/>
      <c r="E4371" s="101"/>
      <c r="F4371" s="294"/>
      <c r="G4371" s="295"/>
      <c r="H4371" s="98"/>
      <c r="I4371" s="99"/>
      <c r="J4371" s="99"/>
      <c r="K4371" s="99"/>
      <c r="L4371" s="99"/>
      <c r="M4371" s="99"/>
      <c r="N4371" s="99"/>
      <c r="O4371" s="99"/>
      <c r="P4371" s="99"/>
      <c r="Q4371" s="99"/>
      <c r="R4371" s="99"/>
      <c r="S4371" s="99"/>
      <c r="T4371" s="99"/>
      <c r="U4371" s="99"/>
      <c r="V4371" s="99"/>
    </row>
    <row r="4372" spans="1:22">
      <c r="A4372" s="297"/>
      <c r="B4372" s="217"/>
      <c r="C4372" s="217"/>
      <c r="D4372" s="101"/>
      <c r="E4372" s="101"/>
      <c r="F4372" s="294"/>
      <c r="G4372" s="295"/>
      <c r="H4372" s="98"/>
      <c r="I4372" s="99"/>
      <c r="J4372" s="99"/>
      <c r="K4372" s="99"/>
      <c r="L4372" s="99"/>
      <c r="M4372" s="99"/>
      <c r="N4372" s="99"/>
      <c r="O4372" s="99"/>
      <c r="P4372" s="99"/>
      <c r="Q4372" s="99"/>
      <c r="R4372" s="99"/>
      <c r="S4372" s="99"/>
      <c r="T4372" s="99"/>
      <c r="U4372" s="99"/>
      <c r="V4372" s="99"/>
    </row>
    <row r="4373" spans="1:22">
      <c r="A4373" s="297"/>
      <c r="B4373" s="217"/>
      <c r="C4373" s="217"/>
      <c r="D4373" s="101"/>
      <c r="E4373" s="101"/>
      <c r="F4373" s="294"/>
      <c r="G4373" s="295"/>
      <c r="H4373" s="98"/>
      <c r="I4373" s="99"/>
      <c r="J4373" s="99"/>
      <c r="K4373" s="99"/>
      <c r="L4373" s="99"/>
      <c r="M4373" s="99"/>
      <c r="N4373" s="99"/>
      <c r="O4373" s="99"/>
      <c r="P4373" s="99"/>
      <c r="Q4373" s="99"/>
      <c r="R4373" s="99"/>
      <c r="S4373" s="99"/>
      <c r="T4373" s="99"/>
      <c r="U4373" s="99"/>
      <c r="V4373" s="99"/>
    </row>
    <row r="4374" spans="1:22">
      <c r="A4374" s="297"/>
      <c r="B4374" s="217"/>
      <c r="C4374" s="217"/>
      <c r="D4374" s="101"/>
      <c r="E4374" s="101"/>
      <c r="F4374" s="294"/>
      <c r="G4374" s="295"/>
      <c r="H4374" s="98"/>
      <c r="I4374" s="99"/>
      <c r="J4374" s="99"/>
      <c r="K4374" s="99"/>
      <c r="L4374" s="99"/>
      <c r="M4374" s="99"/>
      <c r="N4374" s="99"/>
      <c r="O4374" s="99"/>
      <c r="P4374" s="99"/>
      <c r="Q4374" s="99"/>
      <c r="R4374" s="99"/>
      <c r="S4374" s="99"/>
      <c r="T4374" s="99"/>
      <c r="U4374" s="99"/>
      <c r="V4374" s="99"/>
    </row>
    <row r="4375" spans="1:22">
      <c r="A4375" s="297"/>
      <c r="B4375" s="217"/>
      <c r="C4375" s="217"/>
      <c r="D4375" s="101"/>
      <c r="E4375" s="101"/>
      <c r="F4375" s="294"/>
      <c r="G4375" s="295"/>
      <c r="H4375" s="98"/>
      <c r="I4375" s="99"/>
      <c r="J4375" s="99"/>
      <c r="K4375" s="99"/>
      <c r="L4375" s="99"/>
      <c r="M4375" s="99"/>
      <c r="N4375" s="99"/>
      <c r="O4375" s="99"/>
      <c r="P4375" s="99"/>
      <c r="Q4375" s="99"/>
      <c r="R4375" s="99"/>
      <c r="S4375" s="99"/>
      <c r="T4375" s="99"/>
      <c r="U4375" s="99"/>
      <c r="V4375" s="99"/>
    </row>
    <row r="4376" spans="1:22">
      <c r="A4376" s="297"/>
      <c r="B4376" s="217"/>
      <c r="C4376" s="217"/>
      <c r="D4376" s="101"/>
      <c r="E4376" s="101"/>
      <c r="F4376" s="294"/>
      <c r="G4376" s="295"/>
      <c r="H4376" s="98"/>
      <c r="I4376" s="99"/>
      <c r="J4376" s="99"/>
      <c r="K4376" s="99"/>
      <c r="L4376" s="99"/>
      <c r="M4376" s="99"/>
      <c r="N4376" s="99"/>
      <c r="O4376" s="99"/>
      <c r="P4376" s="99"/>
      <c r="Q4376" s="99"/>
      <c r="R4376" s="99"/>
      <c r="S4376" s="99"/>
      <c r="T4376" s="99"/>
      <c r="U4376" s="99"/>
      <c r="V4376" s="99"/>
    </row>
    <row r="4377" spans="1:22">
      <c r="A4377" s="297"/>
      <c r="B4377" s="217"/>
      <c r="C4377" s="217"/>
      <c r="D4377" s="101"/>
      <c r="E4377" s="101"/>
      <c r="F4377" s="294"/>
      <c r="G4377" s="295"/>
      <c r="H4377" s="98"/>
      <c r="I4377" s="99"/>
      <c r="J4377" s="99"/>
      <c r="K4377" s="99"/>
      <c r="L4377" s="99"/>
      <c r="M4377" s="99"/>
      <c r="N4377" s="99"/>
      <c r="O4377" s="99"/>
      <c r="P4377" s="99"/>
      <c r="Q4377" s="99"/>
      <c r="R4377" s="99"/>
      <c r="S4377" s="99"/>
      <c r="T4377" s="99"/>
      <c r="U4377" s="99"/>
      <c r="V4377" s="99"/>
    </row>
    <row r="4378" spans="1:22">
      <c r="A4378" s="297"/>
      <c r="B4378" s="217"/>
      <c r="C4378" s="217"/>
      <c r="D4378" s="101"/>
      <c r="E4378" s="101"/>
      <c r="F4378" s="294"/>
      <c r="G4378" s="295"/>
      <c r="H4378" s="98"/>
      <c r="I4378" s="99"/>
      <c r="J4378" s="99"/>
      <c r="K4378" s="99"/>
      <c r="L4378" s="99"/>
      <c r="M4378" s="99"/>
      <c r="N4378" s="99"/>
      <c r="O4378" s="99"/>
      <c r="P4378" s="99"/>
      <c r="Q4378" s="99"/>
      <c r="R4378" s="99"/>
      <c r="S4378" s="99"/>
      <c r="T4378" s="99"/>
      <c r="U4378" s="99"/>
      <c r="V4378" s="99"/>
    </row>
    <row r="4379" spans="1:22">
      <c r="A4379" s="297"/>
      <c r="B4379" s="217"/>
      <c r="C4379" s="217"/>
      <c r="D4379" s="101"/>
      <c r="E4379" s="101"/>
      <c r="F4379" s="294"/>
      <c r="G4379" s="295"/>
      <c r="H4379" s="98"/>
      <c r="I4379" s="99"/>
      <c r="J4379" s="99"/>
      <c r="K4379" s="99"/>
      <c r="L4379" s="99"/>
      <c r="M4379" s="99"/>
      <c r="N4379" s="99"/>
      <c r="O4379" s="99"/>
      <c r="P4379" s="99"/>
      <c r="Q4379" s="99"/>
      <c r="R4379" s="99"/>
      <c r="S4379" s="99"/>
      <c r="T4379" s="99"/>
      <c r="U4379" s="99"/>
      <c r="V4379" s="99"/>
    </row>
    <row r="4380" spans="1:22">
      <c r="A4380" s="297"/>
      <c r="B4380" s="217"/>
      <c r="C4380" s="217"/>
      <c r="D4380" s="101"/>
      <c r="E4380" s="101"/>
      <c r="F4380" s="294"/>
      <c r="G4380" s="295"/>
      <c r="H4380" s="107"/>
      <c r="I4380" s="108"/>
      <c r="J4380" s="108"/>
      <c r="K4380" s="108"/>
      <c r="L4380" s="108"/>
      <c r="M4380" s="108"/>
      <c r="N4380" s="109"/>
      <c r="O4380" s="109"/>
      <c r="P4380" s="109"/>
      <c r="Q4380" s="109"/>
      <c r="R4380" s="109"/>
      <c r="S4380" s="109"/>
      <c r="T4380" s="109"/>
      <c r="U4380" s="202"/>
      <c r="V4380" s="202"/>
    </row>
    <row r="4381" spans="1:22">
      <c r="A4381" s="297"/>
      <c r="B4381" s="217"/>
      <c r="C4381" s="217"/>
      <c r="D4381" s="101"/>
      <c r="E4381" s="101"/>
      <c r="F4381" s="294"/>
      <c r="G4381" s="295"/>
      <c r="H4381" s="98"/>
      <c r="I4381" s="106"/>
      <c r="J4381" s="106"/>
      <c r="K4381" s="106"/>
      <c r="L4381" s="106"/>
      <c r="M4381" s="106"/>
      <c r="N4381" s="112"/>
      <c r="O4381" s="112"/>
      <c r="P4381" s="112"/>
      <c r="Q4381" s="113"/>
      <c r="R4381" s="113"/>
      <c r="S4381" s="113"/>
      <c r="T4381" s="113"/>
      <c r="U4381" s="113"/>
      <c r="V4381" s="113"/>
    </row>
    <row r="4382" spans="1:22">
      <c r="A4382" s="297"/>
      <c r="B4382" s="217"/>
      <c r="C4382" s="217"/>
      <c r="D4382" s="101"/>
      <c r="E4382" s="101"/>
      <c r="F4382" s="294"/>
      <c r="G4382" s="295"/>
      <c r="H4382" s="98"/>
      <c r="I4382" s="99"/>
      <c r="J4382" s="99"/>
      <c r="K4382" s="99"/>
      <c r="L4382" s="99"/>
      <c r="M4382" s="99"/>
      <c r="N4382" s="99"/>
      <c r="O4382" s="99"/>
      <c r="P4382" s="99"/>
      <c r="Q4382" s="99"/>
      <c r="R4382" s="99"/>
      <c r="S4382" s="99"/>
      <c r="T4382" s="99"/>
      <c r="U4382" s="99"/>
      <c r="V4382" s="99"/>
    </row>
    <row r="4383" spans="1:22">
      <c r="A4383" s="297"/>
      <c r="B4383" s="217"/>
      <c r="C4383" s="217"/>
      <c r="D4383" s="101"/>
      <c r="E4383" s="101"/>
      <c r="F4383" s="294"/>
      <c r="G4383" s="295"/>
      <c r="H4383" s="98"/>
      <c r="I4383" s="99"/>
      <c r="J4383" s="99"/>
      <c r="K4383" s="99"/>
      <c r="L4383" s="99"/>
      <c r="M4383" s="99"/>
      <c r="N4383" s="99"/>
      <c r="O4383" s="99"/>
      <c r="P4383" s="99"/>
      <c r="Q4383" s="99"/>
      <c r="R4383" s="99"/>
      <c r="S4383" s="99"/>
      <c r="T4383" s="99"/>
      <c r="U4383" s="99"/>
      <c r="V4383" s="99"/>
    </row>
    <row r="4384" spans="1:22">
      <c r="A4384" s="297"/>
      <c r="B4384" s="217"/>
      <c r="C4384" s="217"/>
      <c r="D4384" s="101"/>
      <c r="E4384" s="101"/>
      <c r="F4384" s="294"/>
      <c r="G4384" s="295"/>
      <c r="H4384" s="98"/>
      <c r="I4384" s="99"/>
      <c r="J4384" s="99"/>
      <c r="K4384" s="99"/>
      <c r="L4384" s="99"/>
      <c r="M4384" s="99"/>
      <c r="N4384" s="99"/>
      <c r="O4384" s="99"/>
      <c r="P4384" s="99"/>
      <c r="Q4384" s="99"/>
      <c r="R4384" s="99"/>
      <c r="S4384" s="99"/>
      <c r="T4384" s="99"/>
      <c r="U4384" s="99"/>
      <c r="V4384" s="99"/>
    </row>
    <row r="4385" spans="1:22">
      <c r="A4385" s="297"/>
      <c r="B4385" s="217"/>
      <c r="C4385" s="217"/>
      <c r="D4385" s="101"/>
      <c r="E4385" s="101"/>
      <c r="F4385" s="294"/>
      <c r="G4385" s="295"/>
      <c r="H4385" s="98"/>
      <c r="I4385" s="99"/>
      <c r="J4385" s="99"/>
      <c r="K4385" s="99"/>
      <c r="L4385" s="99"/>
      <c r="M4385" s="99"/>
      <c r="N4385" s="99"/>
      <c r="O4385" s="99"/>
      <c r="P4385" s="99"/>
      <c r="Q4385" s="99"/>
      <c r="R4385" s="99"/>
      <c r="S4385" s="99"/>
      <c r="T4385" s="99"/>
      <c r="U4385" s="99"/>
      <c r="V4385" s="99"/>
    </row>
    <row r="4386" spans="1:22">
      <c r="A4386" s="297"/>
      <c r="B4386" s="217"/>
      <c r="C4386" s="217"/>
      <c r="D4386" s="101"/>
      <c r="E4386" s="101"/>
      <c r="F4386" s="294"/>
      <c r="G4386" s="295"/>
      <c r="H4386" s="98"/>
      <c r="I4386" s="99"/>
      <c r="J4386" s="99"/>
      <c r="K4386" s="99"/>
      <c r="L4386" s="99"/>
      <c r="M4386" s="99"/>
      <c r="N4386" s="99"/>
      <c r="O4386" s="99"/>
      <c r="P4386" s="99"/>
      <c r="Q4386" s="99"/>
      <c r="R4386" s="99"/>
      <c r="S4386" s="99"/>
      <c r="T4386" s="99"/>
      <c r="U4386" s="99"/>
      <c r="V4386" s="99"/>
    </row>
    <row r="4387" spans="1:22">
      <c r="A4387" s="297"/>
      <c r="B4387" s="217"/>
      <c r="C4387" s="217"/>
      <c r="D4387" s="101"/>
      <c r="E4387" s="101"/>
      <c r="F4387" s="294"/>
      <c r="G4387" s="295"/>
      <c r="H4387" s="98"/>
      <c r="I4387" s="99"/>
      <c r="J4387" s="99"/>
      <c r="K4387" s="99"/>
      <c r="L4387" s="99"/>
      <c r="M4387" s="99"/>
      <c r="N4387" s="99"/>
      <c r="O4387" s="99"/>
      <c r="P4387" s="99"/>
      <c r="Q4387" s="99"/>
      <c r="R4387" s="99"/>
      <c r="S4387" s="99"/>
      <c r="T4387" s="99"/>
      <c r="U4387" s="99"/>
      <c r="V4387" s="99"/>
    </row>
    <row r="4388" spans="1:22">
      <c r="A4388" s="297"/>
      <c r="B4388" s="217"/>
      <c r="C4388" s="217"/>
      <c r="D4388" s="101"/>
      <c r="E4388" s="101"/>
      <c r="F4388" s="294"/>
      <c r="G4388" s="295"/>
      <c r="H4388" s="98"/>
      <c r="I4388" s="99"/>
      <c r="J4388" s="99"/>
      <c r="K4388" s="99"/>
      <c r="L4388" s="99"/>
      <c r="M4388" s="99"/>
      <c r="N4388" s="99"/>
      <c r="O4388" s="99"/>
      <c r="P4388" s="99"/>
      <c r="Q4388" s="99"/>
      <c r="R4388" s="99"/>
      <c r="S4388" s="99"/>
      <c r="T4388" s="99"/>
      <c r="U4388" s="99"/>
      <c r="V4388" s="99"/>
    </row>
    <row r="4389" spans="1:22">
      <c r="A4389" s="297"/>
      <c r="B4389" s="217"/>
      <c r="C4389" s="217"/>
      <c r="D4389" s="101"/>
      <c r="E4389" s="101"/>
      <c r="F4389" s="294"/>
      <c r="G4389" s="295"/>
      <c r="H4389" s="98"/>
      <c r="I4389" s="99"/>
      <c r="J4389" s="99"/>
      <c r="K4389" s="99"/>
      <c r="L4389" s="99"/>
      <c r="M4389" s="99"/>
      <c r="N4389" s="99"/>
      <c r="O4389" s="99"/>
      <c r="P4389" s="99"/>
      <c r="Q4389" s="99"/>
      <c r="R4389" s="99"/>
      <c r="S4389" s="99"/>
      <c r="T4389" s="99"/>
      <c r="U4389" s="99"/>
      <c r="V4389" s="99"/>
    </row>
    <row r="4390" spans="1:22">
      <c r="A4390" s="297"/>
      <c r="B4390" s="217"/>
      <c r="C4390" s="217"/>
      <c r="D4390" s="101"/>
      <c r="E4390" s="101"/>
      <c r="F4390" s="294"/>
      <c r="G4390" s="295"/>
      <c r="H4390" s="98"/>
      <c r="I4390" s="99"/>
      <c r="J4390" s="99"/>
      <c r="K4390" s="99"/>
      <c r="L4390" s="99"/>
      <c r="M4390" s="99"/>
      <c r="N4390" s="99"/>
      <c r="O4390" s="99"/>
      <c r="P4390" s="99"/>
      <c r="Q4390" s="99"/>
      <c r="R4390" s="99"/>
      <c r="S4390" s="99"/>
      <c r="T4390" s="99"/>
      <c r="U4390" s="99"/>
      <c r="V4390" s="99"/>
    </row>
    <row r="4391" spans="1:22">
      <c r="A4391" s="297"/>
      <c r="B4391" s="217"/>
      <c r="C4391" s="217"/>
      <c r="D4391" s="101"/>
      <c r="E4391" s="101"/>
      <c r="F4391" s="294"/>
      <c r="G4391" s="295"/>
      <c r="H4391" s="98"/>
      <c r="I4391" s="99"/>
      <c r="J4391" s="99"/>
      <c r="K4391" s="99"/>
      <c r="L4391" s="99"/>
      <c r="M4391" s="99"/>
      <c r="N4391" s="99"/>
      <c r="O4391" s="99"/>
      <c r="P4391" s="99"/>
      <c r="Q4391" s="99"/>
      <c r="R4391" s="99"/>
      <c r="S4391" s="99"/>
      <c r="T4391" s="99"/>
      <c r="U4391" s="99"/>
      <c r="V4391" s="99"/>
    </row>
    <row r="4392" spans="1:22">
      <c r="A4392" s="297"/>
      <c r="B4392" s="217"/>
      <c r="C4392" s="217"/>
      <c r="D4392" s="101"/>
      <c r="E4392" s="101"/>
      <c r="F4392" s="294"/>
      <c r="G4392" s="295"/>
      <c r="H4392" s="98"/>
      <c r="I4392" s="99"/>
      <c r="J4392" s="99"/>
      <c r="K4392" s="99"/>
      <c r="L4392" s="99"/>
      <c r="M4392" s="99"/>
      <c r="N4392" s="99"/>
      <c r="O4392" s="99"/>
      <c r="P4392" s="99"/>
      <c r="Q4392" s="99"/>
      <c r="R4392" s="99"/>
      <c r="S4392" s="99"/>
      <c r="T4392" s="99"/>
      <c r="U4392" s="99"/>
      <c r="V4392" s="99"/>
    </row>
    <row r="4393" spans="1:22">
      <c r="A4393" s="297"/>
      <c r="B4393" s="217"/>
      <c r="C4393" s="217"/>
      <c r="D4393" s="101"/>
      <c r="E4393" s="101"/>
      <c r="F4393" s="294"/>
      <c r="G4393" s="295"/>
      <c r="H4393" s="107"/>
      <c r="I4393" s="108"/>
      <c r="J4393" s="108"/>
      <c r="K4393" s="108"/>
      <c r="L4393" s="108"/>
      <c r="M4393" s="108"/>
      <c r="N4393" s="109"/>
      <c r="O4393" s="109"/>
      <c r="P4393" s="109"/>
      <c r="Q4393" s="109"/>
      <c r="R4393" s="109"/>
      <c r="S4393" s="109"/>
      <c r="T4393" s="109"/>
      <c r="U4393" s="202"/>
      <c r="V4393" s="202"/>
    </row>
    <row r="4394" spans="1:22">
      <c r="A4394" s="297"/>
      <c r="B4394" s="217"/>
      <c r="C4394" s="217"/>
      <c r="D4394" s="101"/>
      <c r="E4394" s="101"/>
      <c r="F4394" s="294"/>
      <c r="G4394" s="295"/>
      <c r="H4394" s="98"/>
      <c r="I4394" s="106"/>
      <c r="J4394" s="106"/>
      <c r="K4394" s="106"/>
      <c r="L4394" s="106"/>
      <c r="M4394" s="106"/>
      <c r="N4394" s="112"/>
      <c r="O4394" s="112"/>
      <c r="P4394" s="112"/>
      <c r="Q4394" s="113"/>
      <c r="R4394" s="113"/>
      <c r="S4394" s="113"/>
      <c r="T4394" s="113"/>
      <c r="U4394" s="113"/>
      <c r="V4394" s="113"/>
    </row>
    <row r="4395" spans="1:22">
      <c r="A4395" s="297"/>
      <c r="B4395" s="217"/>
      <c r="C4395" s="217"/>
      <c r="D4395" s="101"/>
      <c r="E4395" s="101"/>
      <c r="F4395" s="294"/>
      <c r="G4395" s="295"/>
      <c r="H4395" s="98"/>
      <c r="I4395" s="99"/>
      <c r="J4395" s="99"/>
      <c r="K4395" s="99"/>
      <c r="L4395" s="99"/>
      <c r="M4395" s="99"/>
      <c r="N4395" s="99"/>
      <c r="O4395" s="99"/>
      <c r="P4395" s="99"/>
      <c r="Q4395" s="99"/>
      <c r="R4395" s="99"/>
      <c r="S4395" s="99"/>
      <c r="T4395" s="99"/>
      <c r="U4395" s="99"/>
      <c r="V4395" s="99"/>
    </row>
    <row r="4396" spans="1:22">
      <c r="A4396" s="297"/>
      <c r="B4396" s="217"/>
      <c r="C4396" s="217"/>
      <c r="D4396" s="101"/>
      <c r="E4396" s="101"/>
      <c r="F4396" s="294"/>
      <c r="G4396" s="295"/>
      <c r="H4396" s="98"/>
      <c r="I4396" s="99"/>
      <c r="J4396" s="99"/>
      <c r="K4396" s="99"/>
      <c r="L4396" s="99"/>
      <c r="M4396" s="99"/>
      <c r="N4396" s="99"/>
      <c r="O4396" s="99"/>
      <c r="P4396" s="99"/>
      <c r="Q4396" s="99"/>
      <c r="R4396" s="99"/>
      <c r="S4396" s="99"/>
      <c r="T4396" s="99"/>
      <c r="U4396" s="99"/>
      <c r="V4396" s="99"/>
    </row>
    <row r="4397" spans="1:22">
      <c r="A4397" s="297"/>
      <c r="B4397" s="217"/>
      <c r="C4397" s="217"/>
      <c r="D4397" s="101"/>
      <c r="E4397" s="101"/>
      <c r="F4397" s="294"/>
      <c r="G4397" s="295"/>
      <c r="H4397" s="98"/>
      <c r="I4397" s="99"/>
      <c r="J4397" s="99"/>
      <c r="K4397" s="99"/>
      <c r="L4397" s="99"/>
      <c r="M4397" s="99"/>
      <c r="N4397" s="99"/>
      <c r="O4397" s="99"/>
      <c r="P4397" s="99"/>
      <c r="Q4397" s="99"/>
      <c r="R4397" s="99"/>
      <c r="S4397" s="99"/>
      <c r="T4397" s="99"/>
      <c r="U4397" s="99"/>
      <c r="V4397" s="99"/>
    </row>
    <row r="4398" spans="1:22">
      <c r="A4398" s="297"/>
      <c r="B4398" s="217"/>
      <c r="C4398" s="217"/>
      <c r="D4398" s="101"/>
      <c r="E4398" s="101"/>
      <c r="F4398" s="294"/>
      <c r="G4398" s="295"/>
      <c r="H4398" s="98"/>
      <c r="I4398" s="99"/>
      <c r="J4398" s="99"/>
      <c r="K4398" s="99"/>
      <c r="L4398" s="99"/>
      <c r="M4398" s="99"/>
      <c r="N4398" s="99"/>
      <c r="O4398" s="99"/>
      <c r="P4398" s="99"/>
      <c r="Q4398" s="99"/>
      <c r="R4398" s="99"/>
      <c r="S4398" s="99"/>
      <c r="T4398" s="99"/>
      <c r="U4398" s="99"/>
      <c r="V4398" s="99"/>
    </row>
    <row r="4399" spans="1:22">
      <c r="A4399" s="297"/>
      <c r="B4399" s="217"/>
      <c r="C4399" s="217"/>
      <c r="D4399" s="101"/>
      <c r="E4399" s="101"/>
      <c r="F4399" s="294"/>
      <c r="G4399" s="295"/>
      <c r="H4399" s="98"/>
      <c r="I4399" s="99"/>
      <c r="J4399" s="99"/>
      <c r="K4399" s="99"/>
      <c r="L4399" s="99"/>
      <c r="M4399" s="99"/>
      <c r="N4399" s="99"/>
      <c r="O4399" s="99"/>
      <c r="P4399" s="99"/>
      <c r="Q4399" s="99"/>
      <c r="R4399" s="99"/>
      <c r="S4399" s="99"/>
      <c r="T4399" s="99"/>
      <c r="U4399" s="99"/>
      <c r="V4399" s="99"/>
    </row>
    <row r="4400" spans="1:22">
      <c r="A4400" s="297"/>
      <c r="B4400" s="217"/>
      <c r="C4400" s="217"/>
      <c r="D4400" s="101"/>
      <c r="E4400" s="101"/>
      <c r="F4400" s="294"/>
      <c r="G4400" s="295"/>
      <c r="H4400" s="98"/>
      <c r="I4400" s="99"/>
      <c r="J4400" s="99"/>
      <c r="K4400" s="99"/>
      <c r="L4400" s="99"/>
      <c r="M4400" s="99"/>
      <c r="N4400" s="99"/>
      <c r="O4400" s="99"/>
      <c r="P4400" s="99"/>
      <c r="Q4400" s="99"/>
      <c r="R4400" s="99"/>
      <c r="S4400" s="99"/>
      <c r="T4400" s="99"/>
      <c r="U4400" s="99"/>
      <c r="V4400" s="99"/>
    </row>
    <row r="4401" spans="1:22">
      <c r="A4401" s="297"/>
      <c r="B4401" s="217"/>
      <c r="C4401" s="217"/>
      <c r="D4401" s="101"/>
      <c r="E4401" s="101"/>
      <c r="F4401" s="294"/>
      <c r="G4401" s="295"/>
      <c r="H4401" s="98"/>
      <c r="I4401" s="99"/>
      <c r="J4401" s="99"/>
      <c r="K4401" s="99"/>
      <c r="L4401" s="99"/>
      <c r="M4401" s="99"/>
      <c r="N4401" s="99"/>
      <c r="O4401" s="99"/>
      <c r="P4401" s="99"/>
      <c r="Q4401" s="99"/>
      <c r="R4401" s="99"/>
      <c r="S4401" s="99"/>
      <c r="T4401" s="99"/>
      <c r="U4401" s="99"/>
      <c r="V4401" s="99"/>
    </row>
    <row r="4402" spans="1:22">
      <c r="A4402" s="297"/>
      <c r="B4402" s="217"/>
      <c r="C4402" s="217"/>
      <c r="D4402" s="101"/>
      <c r="E4402" s="101"/>
      <c r="F4402" s="294"/>
      <c r="G4402" s="295"/>
      <c r="H4402" s="98"/>
      <c r="I4402" s="99"/>
      <c r="J4402" s="99"/>
      <c r="K4402" s="99"/>
      <c r="L4402" s="99"/>
      <c r="M4402" s="99"/>
      <c r="N4402" s="99"/>
      <c r="O4402" s="99"/>
      <c r="P4402" s="99"/>
      <c r="Q4402" s="99"/>
      <c r="R4402" s="99"/>
      <c r="S4402" s="99"/>
      <c r="T4402" s="99"/>
      <c r="U4402" s="99"/>
      <c r="V4402" s="99"/>
    </row>
    <row r="4403" spans="1:22">
      <c r="A4403" s="297"/>
      <c r="B4403" s="217"/>
      <c r="C4403" s="217"/>
      <c r="D4403" s="101"/>
      <c r="E4403" s="101"/>
      <c r="F4403" s="294"/>
      <c r="G4403" s="295"/>
      <c r="H4403" s="98"/>
      <c r="I4403" s="99"/>
      <c r="J4403" s="99"/>
      <c r="K4403" s="99"/>
      <c r="L4403" s="99"/>
      <c r="M4403" s="99"/>
      <c r="N4403" s="99"/>
      <c r="O4403" s="99"/>
      <c r="P4403" s="99"/>
      <c r="Q4403" s="99"/>
      <c r="R4403" s="99"/>
      <c r="S4403" s="99"/>
      <c r="T4403" s="99"/>
      <c r="U4403" s="99"/>
      <c r="V4403" s="99"/>
    </row>
    <row r="4404" spans="1:22">
      <c r="A4404" s="297"/>
      <c r="B4404" s="217"/>
      <c r="C4404" s="217"/>
      <c r="D4404" s="101"/>
      <c r="E4404" s="101"/>
      <c r="F4404" s="294"/>
      <c r="G4404" s="295"/>
      <c r="H4404" s="98"/>
      <c r="I4404" s="99"/>
      <c r="J4404" s="99"/>
      <c r="K4404" s="99"/>
      <c r="L4404" s="99"/>
      <c r="M4404" s="99"/>
      <c r="N4404" s="99"/>
      <c r="O4404" s="99"/>
      <c r="P4404" s="99"/>
      <c r="Q4404" s="99"/>
      <c r="R4404" s="99"/>
      <c r="S4404" s="99"/>
      <c r="T4404" s="99"/>
      <c r="U4404" s="99"/>
      <c r="V4404" s="99"/>
    </row>
    <row r="4405" spans="1:22">
      <c r="A4405" s="297"/>
      <c r="B4405" s="217"/>
      <c r="C4405" s="217"/>
      <c r="D4405" s="101"/>
      <c r="E4405" s="101"/>
      <c r="F4405" s="294"/>
      <c r="G4405" s="295"/>
      <c r="H4405" s="98"/>
      <c r="I4405" s="99"/>
      <c r="J4405" s="99"/>
      <c r="K4405" s="99"/>
      <c r="L4405" s="99"/>
      <c r="M4405" s="99"/>
      <c r="N4405" s="99"/>
      <c r="O4405" s="99"/>
      <c r="P4405" s="99"/>
      <c r="Q4405" s="99"/>
      <c r="R4405" s="99"/>
      <c r="S4405" s="99"/>
      <c r="T4405" s="99"/>
      <c r="U4405" s="99"/>
      <c r="V4405" s="99"/>
    </row>
    <row r="4406" spans="1:22">
      <c r="A4406" s="297"/>
      <c r="B4406" s="217"/>
      <c r="C4406" s="217"/>
      <c r="D4406" s="101"/>
      <c r="E4406" s="101"/>
      <c r="F4406" s="294"/>
      <c r="G4406" s="295"/>
      <c r="H4406" s="98"/>
      <c r="I4406" s="99"/>
      <c r="J4406" s="99"/>
      <c r="K4406" s="99"/>
      <c r="L4406" s="99"/>
      <c r="M4406" s="99"/>
      <c r="N4406" s="99"/>
      <c r="O4406" s="99"/>
      <c r="P4406" s="99"/>
      <c r="Q4406" s="99"/>
      <c r="R4406" s="99"/>
      <c r="S4406" s="99"/>
      <c r="T4406" s="99"/>
      <c r="U4406" s="99"/>
      <c r="V4406" s="99"/>
    </row>
    <row r="4407" spans="1:22">
      <c r="A4407" s="297"/>
      <c r="B4407" s="217"/>
      <c r="C4407" s="217"/>
      <c r="D4407" s="101"/>
      <c r="E4407" s="101"/>
      <c r="F4407" s="294"/>
      <c r="G4407" s="295"/>
      <c r="H4407" s="98"/>
      <c r="I4407" s="99"/>
      <c r="J4407" s="99"/>
      <c r="K4407" s="99"/>
      <c r="L4407" s="99"/>
      <c r="M4407" s="99"/>
      <c r="N4407" s="99"/>
      <c r="O4407" s="99"/>
      <c r="P4407" s="99"/>
      <c r="Q4407" s="99"/>
      <c r="R4407" s="99"/>
      <c r="S4407" s="99"/>
      <c r="T4407" s="99"/>
      <c r="U4407" s="99"/>
      <c r="V4407" s="99"/>
    </row>
    <row r="4408" spans="1:22">
      <c r="A4408" s="297"/>
      <c r="B4408" s="217"/>
      <c r="C4408" s="217"/>
      <c r="D4408" s="101"/>
      <c r="E4408" s="101"/>
      <c r="F4408" s="294"/>
      <c r="G4408" s="295"/>
      <c r="H4408" s="98"/>
      <c r="I4408" s="99"/>
      <c r="J4408" s="99"/>
      <c r="K4408" s="99"/>
      <c r="L4408" s="99"/>
      <c r="M4408" s="99"/>
      <c r="N4408" s="99"/>
      <c r="O4408" s="99"/>
      <c r="P4408" s="99"/>
      <c r="Q4408" s="99"/>
      <c r="R4408" s="99"/>
      <c r="S4408" s="99"/>
      <c r="T4408" s="99"/>
      <c r="U4408" s="99"/>
      <c r="V4408" s="99"/>
    </row>
    <row r="4409" spans="1:22">
      <c r="A4409" s="297"/>
      <c r="B4409" s="217"/>
      <c r="C4409" s="217"/>
      <c r="D4409" s="101"/>
      <c r="E4409" s="101"/>
      <c r="F4409" s="294"/>
      <c r="G4409" s="295"/>
      <c r="H4409" s="98"/>
      <c r="I4409" s="99"/>
      <c r="J4409" s="99"/>
      <c r="K4409" s="99"/>
      <c r="L4409" s="99"/>
      <c r="M4409" s="99"/>
      <c r="N4409" s="99"/>
      <c r="O4409" s="99"/>
      <c r="P4409" s="99"/>
      <c r="Q4409" s="99"/>
      <c r="R4409" s="99"/>
      <c r="S4409" s="99"/>
      <c r="T4409" s="99"/>
      <c r="U4409" s="99"/>
      <c r="V4409" s="99"/>
    </row>
    <row r="4410" spans="1:22">
      <c r="A4410" s="297"/>
      <c r="B4410" s="217"/>
      <c r="C4410" s="217"/>
      <c r="D4410" s="101"/>
      <c r="E4410" s="101"/>
      <c r="F4410" s="294"/>
      <c r="G4410" s="295"/>
      <c r="H4410" s="107"/>
      <c r="I4410" s="109"/>
      <c r="J4410" s="109"/>
      <c r="K4410" s="109"/>
      <c r="L4410" s="109"/>
      <c r="M4410" s="109"/>
      <c r="N4410" s="109"/>
      <c r="O4410" s="109"/>
      <c r="P4410" s="109"/>
      <c r="Q4410" s="109"/>
      <c r="R4410" s="109"/>
      <c r="S4410" s="109"/>
      <c r="T4410" s="109"/>
      <c r="U4410" s="202"/>
      <c r="V4410" s="202"/>
    </row>
    <row r="4411" spans="1:22">
      <c r="A4411" s="297"/>
      <c r="B4411" s="217"/>
      <c r="C4411" s="217"/>
      <c r="D4411" s="101"/>
      <c r="E4411" s="101"/>
      <c r="F4411" s="294"/>
      <c r="G4411" s="295"/>
      <c r="H4411" s="98"/>
      <c r="I4411" s="106"/>
      <c r="J4411" s="106"/>
      <c r="K4411" s="106"/>
      <c r="L4411" s="106"/>
      <c r="M4411" s="106"/>
      <c r="N4411" s="112"/>
      <c r="O4411" s="112"/>
      <c r="P4411" s="112"/>
      <c r="Q4411" s="113"/>
      <c r="R4411" s="113"/>
      <c r="S4411" s="113"/>
      <c r="T4411" s="113"/>
      <c r="U4411" s="113"/>
      <c r="V4411" s="113"/>
    </row>
    <row r="4412" spans="1:22">
      <c r="A4412" s="297"/>
      <c r="B4412" s="217"/>
      <c r="C4412" s="217"/>
      <c r="D4412" s="101"/>
      <c r="E4412" s="101"/>
      <c r="F4412" s="294"/>
      <c r="G4412" s="295"/>
      <c r="H4412" s="114"/>
      <c r="I4412" s="108"/>
      <c r="J4412" s="108"/>
      <c r="K4412" s="108"/>
      <c r="L4412" s="108"/>
      <c r="M4412" s="108"/>
      <c r="N4412" s="108"/>
      <c r="O4412" s="108"/>
      <c r="P4412" s="108"/>
      <c r="Q4412" s="108"/>
      <c r="R4412" s="108"/>
      <c r="S4412" s="108"/>
      <c r="T4412" s="108"/>
      <c r="U4412" s="233"/>
      <c r="V4412" s="233"/>
    </row>
    <row r="4413" spans="1:22" ht="14.4" thickBot="1">
      <c r="A4413" s="297"/>
      <c r="B4413" s="217"/>
      <c r="C4413" s="217"/>
      <c r="D4413" s="101"/>
      <c r="E4413" s="101"/>
      <c r="F4413" s="294"/>
      <c r="G4413" s="295"/>
      <c r="H4413" s="98"/>
      <c r="I4413" s="218"/>
      <c r="J4413" s="218"/>
      <c r="K4413" s="218"/>
      <c r="L4413" s="218"/>
      <c r="M4413" s="218"/>
      <c r="U4413" s="212"/>
      <c r="V4413" s="212"/>
    </row>
    <row r="4414" spans="1:22" ht="23.4" thickBot="1">
      <c r="A4414" s="297"/>
      <c r="B4414" s="217"/>
      <c r="C4414" s="217"/>
      <c r="D4414" s="101"/>
      <c r="E4414" s="101"/>
      <c r="F4414" s="294"/>
      <c r="G4414" s="295"/>
      <c r="H4414" s="686"/>
      <c r="I4414" s="687"/>
      <c r="J4414" s="687"/>
      <c r="K4414" s="687"/>
      <c r="L4414" s="687"/>
      <c r="M4414" s="687"/>
      <c r="N4414" s="687"/>
      <c r="O4414" s="687"/>
      <c r="P4414" s="687"/>
      <c r="Q4414" s="687"/>
      <c r="R4414" s="687"/>
      <c r="S4414" s="715"/>
      <c r="T4414" s="688"/>
      <c r="U4414" s="254"/>
      <c r="V4414" s="254"/>
    </row>
    <row r="4415" spans="1:22" ht="22.8">
      <c r="A4415" s="297"/>
      <c r="B4415" s="217"/>
      <c r="C4415" s="217"/>
      <c r="D4415" s="101"/>
      <c r="E4415" s="101"/>
      <c r="F4415" s="294"/>
      <c r="G4415" s="295"/>
      <c r="H4415" s="225"/>
      <c r="I4415" s="225"/>
      <c r="J4415" s="225"/>
      <c r="K4415" s="225"/>
      <c r="L4415" s="225"/>
      <c r="M4415" s="225"/>
      <c r="N4415" s="225"/>
      <c r="O4415" s="225"/>
      <c r="P4415" s="225"/>
      <c r="Q4415" s="225"/>
      <c r="R4415" s="225"/>
      <c r="S4415" s="225"/>
      <c r="T4415" s="225"/>
      <c r="U4415" s="225"/>
      <c r="V4415" s="225"/>
    </row>
    <row r="4416" spans="1:22">
      <c r="A4416" s="297"/>
      <c r="B4416" s="217"/>
      <c r="C4416" s="217"/>
      <c r="D4416" s="101"/>
      <c r="E4416" s="101"/>
      <c r="F4416" s="294"/>
      <c r="G4416" s="295"/>
      <c r="H4416" s="98"/>
      <c r="I4416" s="99"/>
      <c r="J4416" s="99"/>
      <c r="K4416" s="99"/>
      <c r="L4416" s="99"/>
      <c r="M4416" s="99"/>
      <c r="N4416" s="99"/>
      <c r="O4416" s="99"/>
      <c r="P4416" s="99"/>
      <c r="Q4416" s="99"/>
      <c r="R4416" s="99"/>
      <c r="S4416" s="99"/>
      <c r="T4416" s="99"/>
      <c r="U4416" s="99"/>
      <c r="V4416" s="99"/>
    </row>
    <row r="4417" spans="1:22">
      <c r="A4417" s="297"/>
      <c r="B4417" s="217"/>
      <c r="C4417" s="217"/>
      <c r="D4417" s="101"/>
      <c r="E4417" s="101"/>
      <c r="F4417" s="294"/>
      <c r="G4417" s="295"/>
      <c r="H4417" s="98"/>
      <c r="I4417" s="99"/>
      <c r="J4417" s="99"/>
      <c r="K4417" s="99"/>
      <c r="L4417" s="99"/>
      <c r="M4417" s="99"/>
      <c r="N4417" s="99"/>
      <c r="O4417" s="99"/>
      <c r="P4417" s="99"/>
      <c r="Q4417" s="99"/>
      <c r="R4417" s="99"/>
      <c r="S4417" s="99"/>
      <c r="T4417" s="99"/>
      <c r="U4417" s="99"/>
      <c r="V4417" s="99"/>
    </row>
    <row r="4418" spans="1:22" ht="24" customHeight="1">
      <c r="A4418" s="297"/>
      <c r="B4418" s="217"/>
      <c r="C4418" s="217"/>
      <c r="D4418" s="101"/>
      <c r="E4418" s="101"/>
      <c r="F4418" s="294"/>
      <c r="G4418" s="295"/>
      <c r="H4418" s="98"/>
      <c r="I4418" s="99"/>
      <c r="J4418" s="99"/>
      <c r="K4418" s="99"/>
      <c r="L4418" s="99"/>
      <c r="M4418" s="99"/>
      <c r="N4418" s="99"/>
      <c r="O4418" s="99"/>
      <c r="P4418" s="99"/>
      <c r="Q4418" s="99"/>
      <c r="R4418" s="99"/>
      <c r="S4418" s="99"/>
      <c r="T4418" s="99"/>
      <c r="U4418" s="99"/>
      <c r="V4418" s="99"/>
    </row>
    <row r="4419" spans="1:22">
      <c r="A4419" s="297"/>
      <c r="B4419" s="217"/>
      <c r="C4419" s="217"/>
      <c r="D4419" s="101"/>
      <c r="E4419" s="101"/>
      <c r="F4419" s="294"/>
      <c r="G4419" s="295"/>
      <c r="H4419" s="98"/>
      <c r="I4419" s="99"/>
      <c r="J4419" s="99"/>
      <c r="K4419" s="99"/>
      <c r="L4419" s="99"/>
      <c r="M4419" s="99"/>
      <c r="N4419" s="99"/>
      <c r="O4419" s="99"/>
      <c r="P4419" s="99"/>
      <c r="Q4419" s="99"/>
      <c r="R4419" s="99"/>
      <c r="S4419" s="99"/>
      <c r="T4419" s="99"/>
      <c r="U4419" s="99"/>
      <c r="V4419" s="99"/>
    </row>
    <row r="4420" spans="1:22">
      <c r="A4420" s="297"/>
      <c r="B4420" s="217"/>
      <c r="C4420" s="217"/>
      <c r="D4420" s="101"/>
      <c r="E4420" s="101"/>
      <c r="F4420" s="294"/>
      <c r="G4420" s="295"/>
      <c r="H4420" s="98"/>
      <c r="I4420" s="99"/>
      <c r="J4420" s="99"/>
      <c r="K4420" s="99"/>
      <c r="L4420" s="99"/>
      <c r="M4420" s="99"/>
      <c r="N4420" s="99"/>
      <c r="O4420" s="99"/>
      <c r="P4420" s="99"/>
      <c r="Q4420" s="99"/>
      <c r="R4420" s="99"/>
      <c r="S4420" s="99"/>
      <c r="T4420" s="99"/>
      <c r="U4420" s="99"/>
      <c r="V4420" s="99"/>
    </row>
    <row r="4421" spans="1:22">
      <c r="A4421" s="297"/>
      <c r="B4421" s="217"/>
      <c r="C4421" s="217"/>
      <c r="D4421" s="101"/>
      <c r="E4421" s="101"/>
      <c r="F4421" s="294"/>
      <c r="G4421" s="295"/>
      <c r="H4421" s="98"/>
      <c r="I4421" s="99"/>
      <c r="J4421" s="99"/>
      <c r="K4421" s="99"/>
      <c r="L4421" s="99"/>
      <c r="M4421" s="99"/>
      <c r="N4421" s="99"/>
      <c r="O4421" s="99"/>
      <c r="P4421" s="99"/>
      <c r="Q4421" s="99"/>
      <c r="R4421" s="99"/>
      <c r="S4421" s="99"/>
      <c r="T4421" s="99"/>
      <c r="U4421" s="99"/>
      <c r="V4421" s="99"/>
    </row>
    <row r="4422" spans="1:22">
      <c r="A4422" s="297"/>
      <c r="B4422" s="217"/>
      <c r="C4422" s="217"/>
      <c r="D4422" s="101"/>
      <c r="E4422" s="101"/>
      <c r="F4422" s="294"/>
      <c r="G4422" s="295"/>
      <c r="H4422" s="98"/>
      <c r="I4422" s="99"/>
      <c r="J4422" s="99"/>
      <c r="K4422" s="99"/>
      <c r="L4422" s="99"/>
      <c r="M4422" s="99"/>
      <c r="N4422" s="99"/>
      <c r="O4422" s="99"/>
      <c r="P4422" s="99"/>
      <c r="Q4422" s="99"/>
      <c r="R4422" s="99"/>
      <c r="S4422" s="99"/>
      <c r="T4422" s="99"/>
      <c r="U4422" s="99"/>
      <c r="V4422" s="99"/>
    </row>
    <row r="4423" spans="1:22">
      <c r="A4423" s="297"/>
      <c r="B4423" s="217"/>
      <c r="C4423" s="217"/>
      <c r="D4423" s="101"/>
      <c r="E4423" s="101"/>
      <c r="F4423" s="294"/>
      <c r="G4423" s="295"/>
      <c r="H4423" s="98"/>
      <c r="I4423" s="99"/>
      <c r="J4423" s="99"/>
      <c r="K4423" s="99"/>
      <c r="L4423" s="99"/>
      <c r="M4423" s="99"/>
      <c r="N4423" s="99"/>
      <c r="O4423" s="99"/>
      <c r="P4423" s="99"/>
      <c r="Q4423" s="99"/>
      <c r="R4423" s="99"/>
      <c r="S4423" s="99"/>
      <c r="T4423" s="99"/>
      <c r="U4423" s="99"/>
      <c r="V4423" s="99"/>
    </row>
    <row r="4424" spans="1:22">
      <c r="A4424" s="297"/>
      <c r="B4424" s="217"/>
      <c r="C4424" s="217"/>
      <c r="D4424" s="101"/>
      <c r="E4424" s="101"/>
      <c r="F4424" s="294"/>
      <c r="G4424" s="295"/>
      <c r="H4424" s="98"/>
      <c r="I4424" s="99"/>
      <c r="J4424" s="99"/>
      <c r="K4424" s="99"/>
      <c r="L4424" s="99"/>
      <c r="M4424" s="99"/>
      <c r="N4424" s="99"/>
      <c r="O4424" s="99"/>
      <c r="P4424" s="99"/>
      <c r="Q4424" s="99"/>
      <c r="R4424" s="99"/>
      <c r="S4424" s="99"/>
      <c r="T4424" s="99"/>
      <c r="U4424" s="99"/>
      <c r="V4424" s="99"/>
    </row>
    <row r="4425" spans="1:22">
      <c r="A4425" s="297"/>
      <c r="B4425" s="217"/>
      <c r="C4425" s="217"/>
      <c r="D4425" s="101"/>
      <c r="E4425" s="101"/>
      <c r="F4425" s="294"/>
      <c r="G4425" s="295"/>
      <c r="H4425" s="98"/>
      <c r="I4425" s="99"/>
      <c r="J4425" s="99"/>
      <c r="K4425" s="99"/>
      <c r="L4425" s="99"/>
      <c r="M4425" s="99"/>
      <c r="N4425" s="99"/>
      <c r="O4425" s="99"/>
      <c r="P4425" s="99"/>
      <c r="Q4425" s="99"/>
      <c r="R4425" s="99"/>
      <c r="S4425" s="99"/>
      <c r="T4425" s="99"/>
      <c r="U4425" s="99"/>
      <c r="V4425" s="99"/>
    </row>
    <row r="4426" spans="1:22">
      <c r="A4426" s="297"/>
      <c r="B4426" s="217"/>
      <c r="C4426" s="217"/>
      <c r="D4426" s="101"/>
      <c r="E4426" s="101"/>
      <c r="F4426" s="294"/>
      <c r="G4426" s="295"/>
      <c r="H4426" s="98"/>
      <c r="I4426" s="99"/>
      <c r="J4426" s="99"/>
      <c r="K4426" s="99"/>
      <c r="L4426" s="99"/>
      <c r="M4426" s="99"/>
      <c r="N4426" s="99"/>
      <c r="O4426" s="99"/>
      <c r="P4426" s="99"/>
      <c r="Q4426" s="99"/>
      <c r="R4426" s="99"/>
      <c r="S4426" s="99"/>
      <c r="T4426" s="99"/>
      <c r="U4426" s="99"/>
      <c r="V4426" s="99"/>
    </row>
    <row r="4427" spans="1:22">
      <c r="A4427" s="297"/>
      <c r="B4427" s="217"/>
      <c r="C4427" s="217"/>
      <c r="D4427" s="101"/>
      <c r="E4427" s="101"/>
      <c r="F4427" s="294"/>
      <c r="G4427" s="295"/>
      <c r="H4427" s="98"/>
      <c r="I4427" s="99"/>
      <c r="J4427" s="99"/>
      <c r="K4427" s="99"/>
      <c r="L4427" s="99"/>
      <c r="M4427" s="99"/>
      <c r="N4427" s="99"/>
      <c r="O4427" s="99"/>
      <c r="P4427" s="99"/>
      <c r="Q4427" s="99"/>
      <c r="R4427" s="99"/>
      <c r="S4427" s="99"/>
      <c r="T4427" s="99"/>
      <c r="U4427" s="99"/>
      <c r="V4427" s="99"/>
    </row>
    <row r="4428" spans="1:22">
      <c r="A4428" s="297"/>
      <c r="B4428" s="217"/>
      <c r="C4428" s="217"/>
      <c r="D4428" s="101"/>
      <c r="E4428" s="101"/>
      <c r="F4428" s="294"/>
      <c r="G4428" s="295"/>
      <c r="H4428" s="98"/>
      <c r="I4428" s="99"/>
      <c r="J4428" s="99"/>
      <c r="K4428" s="99"/>
      <c r="L4428" s="99"/>
      <c r="M4428" s="99"/>
      <c r="N4428" s="99"/>
      <c r="O4428" s="99"/>
      <c r="P4428" s="99"/>
      <c r="Q4428" s="99"/>
      <c r="R4428" s="99"/>
      <c r="S4428" s="99"/>
      <c r="T4428" s="99"/>
      <c r="U4428" s="99"/>
      <c r="V4428" s="99"/>
    </row>
    <row r="4429" spans="1:22">
      <c r="A4429" s="297"/>
      <c r="B4429" s="217"/>
      <c r="C4429" s="217"/>
      <c r="D4429" s="101"/>
      <c r="E4429" s="101"/>
      <c r="F4429" s="294"/>
      <c r="G4429" s="295"/>
      <c r="H4429" s="107"/>
      <c r="I4429" s="108"/>
      <c r="J4429" s="108"/>
      <c r="K4429" s="108"/>
      <c r="L4429" s="108"/>
      <c r="M4429" s="108"/>
      <c r="N4429" s="109"/>
      <c r="O4429" s="109"/>
      <c r="P4429" s="109"/>
      <c r="Q4429" s="109"/>
      <c r="R4429" s="109"/>
      <c r="S4429" s="109"/>
      <c r="T4429" s="109"/>
      <c r="U4429" s="202"/>
      <c r="V4429" s="202"/>
    </row>
    <row r="4430" spans="1:22">
      <c r="A4430" s="297"/>
      <c r="B4430" s="217"/>
      <c r="C4430" s="217"/>
      <c r="D4430" s="101"/>
      <c r="E4430" s="101"/>
      <c r="F4430" s="294"/>
      <c r="G4430" s="295"/>
      <c r="H4430" s="98"/>
      <c r="I4430" s="106"/>
      <c r="J4430" s="106"/>
      <c r="K4430" s="106"/>
      <c r="L4430" s="106"/>
      <c r="M4430" s="106"/>
      <c r="N4430" s="112"/>
      <c r="O4430" s="112"/>
      <c r="P4430" s="112"/>
      <c r="Q4430" s="113"/>
      <c r="R4430" s="113"/>
      <c r="S4430" s="113"/>
      <c r="T4430" s="113"/>
      <c r="U4430" s="113"/>
      <c r="V4430" s="113"/>
    </row>
    <row r="4431" spans="1:22">
      <c r="A4431" s="297"/>
      <c r="B4431" s="217"/>
      <c r="C4431" s="217"/>
      <c r="D4431" s="101"/>
      <c r="E4431" s="101"/>
      <c r="F4431" s="294"/>
      <c r="G4431" s="295"/>
      <c r="H4431" s="98"/>
      <c r="I4431" s="99"/>
      <c r="J4431" s="99"/>
      <c r="K4431" s="99"/>
      <c r="L4431" s="99"/>
      <c r="M4431" s="99"/>
      <c r="N4431" s="99"/>
      <c r="O4431" s="99"/>
      <c r="P4431" s="99"/>
      <c r="Q4431" s="99"/>
      <c r="R4431" s="99"/>
      <c r="S4431" s="99"/>
      <c r="T4431" s="99"/>
      <c r="U4431" s="99"/>
      <c r="V4431" s="99"/>
    </row>
    <row r="4432" spans="1:22">
      <c r="A4432" s="297"/>
      <c r="B4432" s="217"/>
      <c r="C4432" s="217"/>
      <c r="D4432" s="101"/>
      <c r="E4432" s="101"/>
      <c r="F4432" s="294"/>
      <c r="G4432" s="295"/>
      <c r="H4432" s="98"/>
      <c r="I4432" s="99"/>
      <c r="J4432" s="99"/>
      <c r="K4432" s="99"/>
      <c r="L4432" s="99"/>
      <c r="M4432" s="99"/>
      <c r="N4432" s="99"/>
      <c r="O4432" s="99"/>
      <c r="P4432" s="99"/>
      <c r="Q4432" s="99"/>
      <c r="R4432" s="99"/>
      <c r="S4432" s="99"/>
      <c r="T4432" s="99"/>
      <c r="U4432" s="99"/>
      <c r="V4432" s="99"/>
    </row>
    <row r="4433" spans="1:22">
      <c r="A4433" s="297"/>
      <c r="B4433" s="217"/>
      <c r="C4433" s="217"/>
      <c r="D4433" s="101"/>
      <c r="E4433" s="101"/>
      <c r="F4433" s="294"/>
      <c r="G4433" s="295"/>
      <c r="H4433" s="98"/>
      <c r="I4433" s="99"/>
      <c r="J4433" s="99"/>
      <c r="K4433" s="99"/>
      <c r="L4433" s="99"/>
      <c r="M4433" s="99"/>
      <c r="N4433" s="99"/>
      <c r="O4433" s="99"/>
      <c r="P4433" s="99"/>
      <c r="Q4433" s="99"/>
      <c r="R4433" s="99"/>
      <c r="S4433" s="99"/>
      <c r="T4433" s="99"/>
      <c r="U4433" s="99"/>
      <c r="V4433" s="99"/>
    </row>
    <row r="4434" spans="1:22">
      <c r="A4434" s="297"/>
      <c r="B4434" s="217"/>
      <c r="C4434" s="217"/>
      <c r="D4434" s="101"/>
      <c r="E4434" s="101"/>
      <c r="F4434" s="294"/>
      <c r="G4434" s="295"/>
      <c r="H4434" s="98"/>
      <c r="I4434" s="99"/>
      <c r="J4434" s="99"/>
      <c r="K4434" s="99"/>
      <c r="L4434" s="99"/>
      <c r="M4434" s="99"/>
      <c r="N4434" s="99"/>
      <c r="O4434" s="99"/>
      <c r="P4434" s="99"/>
      <c r="Q4434" s="99"/>
      <c r="R4434" s="99"/>
      <c r="S4434" s="99"/>
      <c r="T4434" s="99"/>
      <c r="U4434" s="99"/>
      <c r="V4434" s="99"/>
    </row>
    <row r="4435" spans="1:22">
      <c r="A4435" s="297"/>
      <c r="B4435" s="217"/>
      <c r="C4435" s="217"/>
      <c r="D4435" s="101"/>
      <c r="E4435" s="101"/>
      <c r="F4435" s="294"/>
      <c r="G4435" s="295"/>
      <c r="H4435" s="98"/>
      <c r="I4435" s="99"/>
      <c r="J4435" s="99"/>
      <c r="K4435" s="99"/>
      <c r="L4435" s="99"/>
      <c r="M4435" s="99"/>
      <c r="N4435" s="99"/>
      <c r="O4435" s="99"/>
      <c r="P4435" s="99"/>
      <c r="Q4435" s="99"/>
      <c r="R4435" s="99"/>
      <c r="S4435" s="99"/>
      <c r="T4435" s="99"/>
      <c r="U4435" s="99"/>
      <c r="V4435" s="99"/>
    </row>
    <row r="4436" spans="1:22">
      <c r="A4436" s="297"/>
      <c r="B4436" s="217"/>
      <c r="C4436" s="217"/>
      <c r="D4436" s="101"/>
      <c r="E4436" s="101"/>
      <c r="F4436" s="294"/>
      <c r="G4436" s="295"/>
      <c r="H4436" s="98"/>
      <c r="I4436" s="99"/>
      <c r="J4436" s="99"/>
      <c r="K4436" s="99"/>
      <c r="L4436" s="99"/>
      <c r="M4436" s="99"/>
      <c r="N4436" s="99"/>
      <c r="O4436" s="99"/>
      <c r="P4436" s="99"/>
      <c r="Q4436" s="99"/>
      <c r="R4436" s="99"/>
      <c r="S4436" s="99"/>
      <c r="T4436" s="99"/>
      <c r="U4436" s="99"/>
      <c r="V4436" s="99"/>
    </row>
    <row r="4437" spans="1:22">
      <c r="A4437" s="297"/>
      <c r="B4437" s="217"/>
      <c r="C4437" s="217"/>
      <c r="D4437" s="101"/>
      <c r="E4437" s="101"/>
      <c r="F4437" s="294"/>
      <c r="G4437" s="295"/>
      <c r="H4437" s="98"/>
      <c r="I4437" s="99"/>
      <c r="J4437" s="99"/>
      <c r="K4437" s="99"/>
      <c r="L4437" s="99"/>
      <c r="M4437" s="99"/>
      <c r="N4437" s="99"/>
      <c r="O4437" s="99"/>
      <c r="P4437" s="99"/>
      <c r="Q4437" s="99"/>
      <c r="R4437" s="99"/>
      <c r="S4437" s="99"/>
      <c r="T4437" s="99"/>
      <c r="U4437" s="99"/>
      <c r="V4437" s="99"/>
    </row>
    <row r="4438" spans="1:22">
      <c r="A4438" s="297"/>
      <c r="B4438" s="217"/>
      <c r="C4438" s="217"/>
      <c r="D4438" s="101"/>
      <c r="E4438" s="101"/>
      <c r="F4438" s="294"/>
      <c r="G4438" s="295"/>
      <c r="H4438" s="98"/>
      <c r="I4438" s="99"/>
      <c r="J4438" s="99"/>
      <c r="K4438" s="99"/>
      <c r="L4438" s="99"/>
      <c r="M4438" s="99"/>
      <c r="N4438" s="99"/>
      <c r="O4438" s="99"/>
      <c r="P4438" s="99"/>
      <c r="Q4438" s="99"/>
      <c r="R4438" s="99"/>
      <c r="S4438" s="99"/>
      <c r="T4438" s="99"/>
      <c r="U4438" s="99"/>
      <c r="V4438" s="99"/>
    </row>
    <row r="4439" spans="1:22">
      <c r="A4439" s="297"/>
      <c r="B4439" s="217"/>
      <c r="C4439" s="217"/>
      <c r="D4439" s="101"/>
      <c r="E4439" s="101"/>
      <c r="F4439" s="294"/>
      <c r="G4439" s="295"/>
      <c r="H4439" s="98"/>
      <c r="I4439" s="99"/>
      <c r="J4439" s="99"/>
      <c r="K4439" s="99"/>
      <c r="L4439" s="99"/>
      <c r="M4439" s="99"/>
      <c r="N4439" s="99"/>
      <c r="O4439" s="99"/>
      <c r="P4439" s="99"/>
      <c r="Q4439" s="99"/>
      <c r="R4439" s="99"/>
      <c r="S4439" s="99"/>
      <c r="T4439" s="99"/>
      <c r="U4439" s="99"/>
      <c r="V4439" s="99"/>
    </row>
    <row r="4440" spans="1:22">
      <c r="A4440" s="297"/>
      <c r="B4440" s="217"/>
      <c r="C4440" s="217"/>
      <c r="D4440" s="101"/>
      <c r="E4440" s="101"/>
      <c r="F4440" s="294"/>
      <c r="G4440" s="295"/>
      <c r="H4440" s="98"/>
      <c r="I4440" s="99"/>
      <c r="J4440" s="99"/>
      <c r="K4440" s="99"/>
      <c r="L4440" s="99"/>
      <c r="M4440" s="99"/>
      <c r="N4440" s="99"/>
      <c r="O4440" s="99"/>
      <c r="P4440" s="99"/>
      <c r="Q4440" s="99"/>
      <c r="R4440" s="99"/>
      <c r="S4440" s="99"/>
      <c r="T4440" s="99"/>
      <c r="U4440" s="99"/>
      <c r="V4440" s="99"/>
    </row>
    <row r="4441" spans="1:22">
      <c r="A4441" s="297"/>
      <c r="B4441" s="217"/>
      <c r="C4441" s="217"/>
      <c r="D4441" s="101"/>
      <c r="E4441" s="101"/>
      <c r="F4441" s="294"/>
      <c r="G4441" s="295"/>
      <c r="H4441" s="98"/>
      <c r="I4441" s="99"/>
      <c r="J4441" s="99"/>
      <c r="K4441" s="99"/>
      <c r="L4441" s="99"/>
      <c r="M4441" s="99"/>
      <c r="N4441" s="99"/>
      <c r="O4441" s="99"/>
      <c r="P4441" s="99"/>
      <c r="Q4441" s="99"/>
      <c r="R4441" s="99"/>
      <c r="S4441" s="99"/>
      <c r="T4441" s="99"/>
      <c r="U4441" s="99"/>
      <c r="V4441" s="99"/>
    </row>
    <row r="4442" spans="1:22">
      <c r="A4442" s="297"/>
      <c r="B4442" s="217"/>
      <c r="C4442" s="217"/>
      <c r="D4442" s="101"/>
      <c r="E4442" s="101"/>
      <c r="F4442" s="294"/>
      <c r="G4442" s="295"/>
      <c r="H4442" s="98"/>
      <c r="I4442" s="99"/>
      <c r="J4442" s="99"/>
      <c r="K4442" s="99"/>
      <c r="L4442" s="99"/>
      <c r="M4442" s="99"/>
      <c r="N4442" s="99"/>
      <c r="O4442" s="99"/>
      <c r="P4442" s="99"/>
      <c r="Q4442" s="99"/>
      <c r="R4442" s="99"/>
      <c r="S4442" s="99"/>
      <c r="T4442" s="99"/>
      <c r="U4442" s="99"/>
      <c r="V4442" s="99"/>
    </row>
    <row r="4443" spans="1:22">
      <c r="A4443" s="297"/>
      <c r="B4443" s="217"/>
      <c r="C4443" s="217"/>
      <c r="D4443" s="101"/>
      <c r="E4443" s="101"/>
      <c r="F4443" s="294"/>
      <c r="G4443" s="295"/>
      <c r="H4443" s="98"/>
      <c r="I4443" s="99"/>
      <c r="J4443" s="99"/>
      <c r="K4443" s="99"/>
      <c r="L4443" s="99"/>
      <c r="M4443" s="99"/>
      <c r="N4443" s="99"/>
      <c r="O4443" s="99"/>
      <c r="P4443" s="99"/>
      <c r="Q4443" s="99"/>
      <c r="R4443" s="99"/>
      <c r="S4443" s="99"/>
      <c r="T4443" s="99"/>
      <c r="U4443" s="99"/>
      <c r="V4443" s="99"/>
    </row>
    <row r="4444" spans="1:22">
      <c r="A4444" s="297"/>
      <c r="B4444" s="217"/>
      <c r="C4444" s="217"/>
      <c r="D4444" s="101"/>
      <c r="E4444" s="101"/>
      <c r="F4444" s="294"/>
      <c r="G4444" s="295"/>
      <c r="H4444" s="98"/>
      <c r="I4444" s="99"/>
      <c r="J4444" s="99"/>
      <c r="K4444" s="99"/>
      <c r="L4444" s="99"/>
      <c r="M4444" s="99"/>
      <c r="N4444" s="99"/>
      <c r="O4444" s="99"/>
      <c r="P4444" s="99"/>
      <c r="Q4444" s="99"/>
      <c r="R4444" s="99"/>
      <c r="S4444" s="99"/>
      <c r="T4444" s="99"/>
      <c r="U4444" s="99"/>
      <c r="V4444" s="99"/>
    </row>
    <row r="4445" spans="1:22">
      <c r="A4445" s="297"/>
      <c r="B4445" s="217"/>
      <c r="C4445" s="217"/>
      <c r="D4445" s="101"/>
      <c r="E4445" s="101"/>
      <c r="F4445" s="294"/>
      <c r="G4445" s="295"/>
      <c r="H4445" s="98"/>
      <c r="I4445" s="99"/>
      <c r="J4445" s="99"/>
      <c r="K4445" s="99"/>
      <c r="L4445" s="99"/>
      <c r="M4445" s="99"/>
      <c r="N4445" s="99"/>
      <c r="O4445" s="99"/>
      <c r="P4445" s="99"/>
      <c r="Q4445" s="99"/>
      <c r="R4445" s="99"/>
      <c r="S4445" s="99"/>
      <c r="T4445" s="99"/>
      <c r="U4445" s="99"/>
      <c r="V4445" s="99"/>
    </row>
    <row r="4446" spans="1:22">
      <c r="A4446" s="297"/>
      <c r="B4446" s="217"/>
      <c r="C4446" s="217"/>
      <c r="D4446" s="101"/>
      <c r="E4446" s="101"/>
      <c r="F4446" s="294"/>
      <c r="G4446" s="295"/>
      <c r="H4446" s="98"/>
      <c r="I4446" s="99"/>
      <c r="J4446" s="99"/>
      <c r="K4446" s="99"/>
      <c r="L4446" s="99"/>
      <c r="M4446" s="99"/>
      <c r="N4446" s="99"/>
      <c r="O4446" s="99"/>
      <c r="P4446" s="99"/>
      <c r="Q4446" s="99"/>
      <c r="R4446" s="99"/>
      <c r="S4446" s="99"/>
      <c r="T4446" s="99"/>
      <c r="U4446" s="99"/>
      <c r="V4446" s="99"/>
    </row>
    <row r="4447" spans="1:22">
      <c r="A4447" s="297"/>
      <c r="B4447" s="217"/>
      <c r="C4447" s="217"/>
      <c r="D4447" s="101"/>
      <c r="E4447" s="101"/>
      <c r="F4447" s="294"/>
      <c r="G4447" s="295"/>
      <c r="H4447" s="98"/>
      <c r="I4447" s="99"/>
      <c r="J4447" s="99"/>
      <c r="K4447" s="99"/>
      <c r="L4447" s="99"/>
      <c r="M4447" s="99"/>
      <c r="N4447" s="99"/>
      <c r="O4447" s="99"/>
      <c r="P4447" s="99"/>
      <c r="Q4447" s="99"/>
      <c r="R4447" s="99"/>
      <c r="S4447" s="99"/>
      <c r="T4447" s="99"/>
      <c r="U4447" s="99"/>
      <c r="V4447" s="99"/>
    </row>
    <row r="4448" spans="1:22">
      <c r="A4448" s="297"/>
      <c r="B4448" s="217"/>
      <c r="C4448" s="217"/>
      <c r="D4448" s="101"/>
      <c r="E4448" s="101"/>
      <c r="F4448" s="294"/>
      <c r="G4448" s="295"/>
      <c r="H4448" s="98"/>
      <c r="I4448" s="99"/>
      <c r="J4448" s="99"/>
      <c r="K4448" s="99"/>
      <c r="L4448" s="99"/>
      <c r="M4448" s="99"/>
      <c r="N4448" s="99"/>
      <c r="O4448" s="99"/>
      <c r="P4448" s="99"/>
      <c r="Q4448" s="99"/>
      <c r="R4448" s="99"/>
      <c r="S4448" s="99"/>
      <c r="T4448" s="99"/>
      <c r="U4448" s="99"/>
      <c r="V4448" s="99"/>
    </row>
    <row r="4449" spans="1:22">
      <c r="A4449" s="297"/>
      <c r="B4449" s="217"/>
      <c r="C4449" s="217"/>
      <c r="D4449" s="101"/>
      <c r="E4449" s="101"/>
      <c r="F4449" s="294"/>
      <c r="G4449" s="295"/>
      <c r="H4449" s="98"/>
      <c r="I4449" s="99"/>
      <c r="J4449" s="99"/>
      <c r="K4449" s="99"/>
      <c r="L4449" s="99"/>
      <c r="M4449" s="99"/>
      <c r="N4449" s="99"/>
      <c r="O4449" s="99"/>
      <c r="P4449" s="99"/>
      <c r="Q4449" s="99"/>
      <c r="R4449" s="99"/>
      <c r="S4449" s="99"/>
      <c r="T4449" s="99"/>
      <c r="U4449" s="99"/>
      <c r="V4449" s="99"/>
    </row>
    <row r="4450" spans="1:22">
      <c r="A4450" s="297"/>
      <c r="B4450" s="217"/>
      <c r="C4450" s="217"/>
      <c r="D4450" s="101"/>
      <c r="E4450" s="101"/>
      <c r="F4450" s="294"/>
      <c r="G4450" s="295"/>
      <c r="H4450" s="98"/>
      <c r="I4450" s="99"/>
      <c r="J4450" s="99"/>
      <c r="K4450" s="99"/>
      <c r="L4450" s="99"/>
      <c r="M4450" s="99"/>
      <c r="N4450" s="99"/>
      <c r="O4450" s="99"/>
      <c r="P4450" s="99"/>
      <c r="Q4450" s="99"/>
      <c r="R4450" s="99"/>
      <c r="S4450" s="99"/>
      <c r="T4450" s="99"/>
      <c r="U4450" s="99"/>
      <c r="V4450" s="99"/>
    </row>
    <row r="4451" spans="1:22">
      <c r="A4451" s="297"/>
      <c r="B4451" s="217"/>
      <c r="C4451" s="217"/>
      <c r="D4451" s="101"/>
      <c r="E4451" s="101"/>
      <c r="F4451" s="294"/>
      <c r="G4451" s="295"/>
      <c r="H4451" s="98"/>
      <c r="I4451" s="99"/>
      <c r="J4451" s="99"/>
      <c r="K4451" s="99"/>
      <c r="L4451" s="99"/>
      <c r="M4451" s="99"/>
      <c r="N4451" s="99"/>
      <c r="O4451" s="99"/>
      <c r="P4451" s="99"/>
      <c r="Q4451" s="99"/>
      <c r="R4451" s="99"/>
      <c r="S4451" s="99"/>
      <c r="T4451" s="99"/>
      <c r="U4451" s="99"/>
      <c r="V4451" s="99"/>
    </row>
    <row r="4452" spans="1:22">
      <c r="A4452" s="297"/>
      <c r="B4452" s="217"/>
      <c r="C4452" s="217"/>
      <c r="D4452" s="101"/>
      <c r="E4452" s="101"/>
      <c r="F4452" s="294"/>
      <c r="G4452" s="295"/>
      <c r="H4452" s="107"/>
      <c r="I4452" s="109"/>
      <c r="J4452" s="109"/>
      <c r="K4452" s="109"/>
      <c r="L4452" s="109"/>
      <c r="M4452" s="109"/>
      <c r="N4452" s="109"/>
      <c r="O4452" s="109"/>
      <c r="P4452" s="109"/>
      <c r="Q4452" s="109"/>
      <c r="R4452" s="109"/>
      <c r="S4452" s="109"/>
      <c r="T4452" s="109"/>
      <c r="U4452" s="202"/>
      <c r="V4452" s="202"/>
    </row>
    <row r="4453" spans="1:22">
      <c r="A4453" s="297"/>
      <c r="B4453" s="217"/>
      <c r="C4453" s="217"/>
      <c r="D4453" s="101"/>
      <c r="E4453" s="101"/>
      <c r="F4453" s="294"/>
      <c r="G4453" s="295"/>
      <c r="H4453" s="98"/>
      <c r="I4453" s="106"/>
      <c r="J4453" s="106"/>
      <c r="K4453" s="106"/>
      <c r="L4453" s="106"/>
      <c r="M4453" s="106"/>
      <c r="N4453" s="112"/>
      <c r="O4453" s="112"/>
      <c r="P4453" s="112"/>
      <c r="Q4453" s="113"/>
      <c r="R4453" s="113"/>
      <c r="S4453" s="113"/>
      <c r="T4453" s="113"/>
      <c r="U4453" s="113"/>
      <c r="V4453" s="113"/>
    </row>
    <row r="4454" spans="1:22">
      <c r="A4454" s="297"/>
      <c r="B4454" s="217"/>
      <c r="C4454" s="217"/>
      <c r="D4454" s="101"/>
      <c r="E4454" s="101"/>
      <c r="F4454" s="294"/>
      <c r="G4454" s="295"/>
      <c r="H4454" s="98"/>
      <c r="I4454" s="99"/>
      <c r="J4454" s="99"/>
      <c r="K4454" s="99"/>
      <c r="L4454" s="99"/>
      <c r="M4454" s="99"/>
      <c r="N4454" s="99"/>
      <c r="O4454" s="99"/>
      <c r="P4454" s="99"/>
      <c r="Q4454" s="99"/>
      <c r="R4454" s="99"/>
      <c r="S4454" s="99"/>
      <c r="T4454" s="99"/>
      <c r="U4454" s="99"/>
      <c r="V4454" s="99"/>
    </row>
    <row r="4455" spans="1:22">
      <c r="A4455" s="297"/>
      <c r="B4455" s="217"/>
      <c r="C4455" s="217"/>
      <c r="D4455" s="101"/>
      <c r="E4455" s="101"/>
      <c r="F4455" s="294"/>
      <c r="G4455" s="295"/>
      <c r="H4455" s="98"/>
      <c r="I4455" s="99"/>
      <c r="J4455" s="99"/>
      <c r="K4455" s="99"/>
      <c r="L4455" s="99"/>
      <c r="M4455" s="99"/>
      <c r="N4455" s="99"/>
      <c r="O4455" s="99"/>
      <c r="P4455" s="99"/>
      <c r="Q4455" s="99"/>
      <c r="R4455" s="99"/>
      <c r="S4455" s="99"/>
      <c r="T4455" s="99"/>
      <c r="U4455" s="99"/>
      <c r="V4455" s="99"/>
    </row>
    <row r="4456" spans="1:22">
      <c r="A4456" s="297"/>
      <c r="B4456" s="217"/>
      <c r="C4456" s="217"/>
      <c r="D4456" s="101"/>
      <c r="E4456" s="101"/>
      <c r="F4456" s="294"/>
      <c r="G4456" s="295"/>
      <c r="H4456" s="98"/>
      <c r="I4456" s="99"/>
      <c r="J4456" s="99"/>
      <c r="K4456" s="99"/>
      <c r="L4456" s="99"/>
      <c r="M4456" s="99"/>
      <c r="N4456" s="99"/>
      <c r="O4456" s="99"/>
      <c r="P4456" s="99"/>
      <c r="Q4456" s="99"/>
      <c r="R4456" s="99"/>
      <c r="S4456" s="99"/>
      <c r="T4456" s="99"/>
      <c r="U4456" s="99"/>
      <c r="V4456" s="99"/>
    </row>
    <row r="4457" spans="1:22">
      <c r="A4457" s="297"/>
      <c r="B4457" s="217"/>
      <c r="C4457" s="217"/>
      <c r="D4457" s="101"/>
      <c r="E4457" s="101"/>
      <c r="F4457" s="294"/>
      <c r="G4457" s="295"/>
      <c r="H4457" s="98"/>
      <c r="I4457" s="99"/>
      <c r="J4457" s="99"/>
      <c r="K4457" s="99"/>
      <c r="L4457" s="99"/>
      <c r="M4457" s="99"/>
      <c r="N4457" s="99"/>
      <c r="O4457" s="99"/>
      <c r="P4457" s="99"/>
      <c r="Q4457" s="99"/>
      <c r="R4457" s="99"/>
      <c r="S4457" s="99"/>
      <c r="T4457" s="99"/>
      <c r="U4457" s="99"/>
      <c r="V4457" s="99"/>
    </row>
    <row r="4458" spans="1:22">
      <c r="A4458" s="297"/>
      <c r="B4458" s="217"/>
      <c r="C4458" s="217"/>
      <c r="D4458" s="101"/>
      <c r="E4458" s="101"/>
      <c r="F4458" s="294"/>
      <c r="G4458" s="295"/>
      <c r="H4458" s="98"/>
      <c r="I4458" s="99"/>
      <c r="J4458" s="99"/>
      <c r="K4458" s="99"/>
      <c r="L4458" s="99"/>
      <c r="M4458" s="99"/>
      <c r="N4458" s="99"/>
      <c r="O4458" s="99"/>
      <c r="P4458" s="99"/>
      <c r="Q4458" s="99"/>
      <c r="R4458" s="99"/>
      <c r="S4458" s="99"/>
      <c r="T4458" s="99"/>
      <c r="U4458" s="99"/>
      <c r="V4458" s="99"/>
    </row>
    <row r="4459" spans="1:22">
      <c r="A4459" s="297"/>
      <c r="B4459" s="217"/>
      <c r="C4459" s="217"/>
      <c r="D4459" s="101"/>
      <c r="E4459" s="101"/>
      <c r="F4459" s="294"/>
      <c r="G4459" s="295"/>
      <c r="H4459" s="98"/>
      <c r="I4459" s="99"/>
      <c r="J4459" s="99"/>
      <c r="K4459" s="99"/>
      <c r="L4459" s="99"/>
      <c r="M4459" s="99"/>
      <c r="N4459" s="99"/>
      <c r="O4459" s="99"/>
      <c r="P4459" s="99"/>
      <c r="Q4459" s="99"/>
      <c r="R4459" s="99"/>
      <c r="S4459" s="99"/>
      <c r="T4459" s="99"/>
      <c r="U4459" s="99"/>
      <c r="V4459" s="99"/>
    </row>
    <row r="4460" spans="1:22">
      <c r="A4460" s="297"/>
      <c r="B4460" s="217"/>
      <c r="C4460" s="217"/>
      <c r="D4460" s="101"/>
      <c r="E4460" s="101"/>
      <c r="F4460" s="294"/>
      <c r="G4460" s="295"/>
      <c r="H4460" s="98"/>
      <c r="I4460" s="99"/>
      <c r="J4460" s="99"/>
      <c r="K4460" s="99"/>
      <c r="L4460" s="99"/>
      <c r="M4460" s="99"/>
      <c r="N4460" s="99"/>
      <c r="O4460" s="99"/>
      <c r="P4460" s="99"/>
      <c r="Q4460" s="99"/>
      <c r="R4460" s="99"/>
      <c r="S4460" s="99"/>
      <c r="T4460" s="99"/>
      <c r="U4460" s="99"/>
      <c r="V4460" s="99"/>
    </row>
    <row r="4461" spans="1:22">
      <c r="A4461" s="297"/>
      <c r="B4461" s="217"/>
      <c r="C4461" s="217"/>
      <c r="D4461" s="101"/>
      <c r="E4461" s="101"/>
      <c r="F4461" s="294"/>
      <c r="G4461" s="295"/>
      <c r="H4461" s="98"/>
      <c r="I4461" s="99"/>
      <c r="J4461" s="99"/>
      <c r="K4461" s="99"/>
      <c r="L4461" s="99"/>
      <c r="M4461" s="99"/>
      <c r="N4461" s="99"/>
      <c r="O4461" s="99"/>
      <c r="P4461" s="99"/>
      <c r="Q4461" s="99"/>
      <c r="R4461" s="99"/>
      <c r="S4461" s="99"/>
      <c r="T4461" s="99"/>
      <c r="U4461" s="99"/>
      <c r="V4461" s="99"/>
    </row>
    <row r="4462" spans="1:22">
      <c r="A4462" s="297"/>
      <c r="B4462" s="217"/>
      <c r="C4462" s="217"/>
      <c r="D4462" s="101"/>
      <c r="E4462" s="101"/>
      <c r="F4462" s="294"/>
      <c r="G4462" s="295"/>
      <c r="H4462" s="98"/>
      <c r="I4462" s="99"/>
      <c r="J4462" s="99"/>
      <c r="K4462" s="99"/>
      <c r="L4462" s="99"/>
      <c r="M4462" s="99"/>
      <c r="N4462" s="99"/>
      <c r="O4462" s="99"/>
      <c r="P4462" s="99"/>
      <c r="Q4462" s="99"/>
      <c r="R4462" s="99"/>
      <c r="S4462" s="99"/>
      <c r="T4462" s="99"/>
      <c r="U4462" s="99"/>
      <c r="V4462" s="99"/>
    </row>
    <row r="4463" spans="1:22">
      <c r="A4463" s="297"/>
      <c r="B4463" s="217"/>
      <c r="C4463" s="217"/>
      <c r="D4463" s="101"/>
      <c r="E4463" s="101"/>
      <c r="F4463" s="294"/>
      <c r="G4463" s="295"/>
      <c r="H4463" s="98"/>
      <c r="I4463" s="99"/>
      <c r="J4463" s="99"/>
      <c r="K4463" s="99"/>
      <c r="L4463" s="99"/>
      <c r="M4463" s="99"/>
      <c r="N4463" s="99"/>
      <c r="O4463" s="99"/>
      <c r="P4463" s="99"/>
      <c r="Q4463" s="99"/>
      <c r="R4463" s="99"/>
      <c r="S4463" s="99"/>
      <c r="T4463" s="99"/>
      <c r="U4463" s="99"/>
      <c r="V4463" s="99"/>
    </row>
    <row r="4464" spans="1:22">
      <c r="A4464" s="297"/>
      <c r="B4464" s="217"/>
      <c r="C4464" s="217"/>
      <c r="D4464" s="101"/>
      <c r="E4464" s="101"/>
      <c r="F4464" s="294"/>
      <c r="G4464" s="295"/>
      <c r="H4464" s="98"/>
      <c r="I4464" s="99"/>
      <c r="J4464" s="99"/>
      <c r="K4464" s="99"/>
      <c r="L4464" s="99"/>
      <c r="M4464" s="99"/>
      <c r="N4464" s="99"/>
      <c r="O4464" s="99"/>
      <c r="P4464" s="99"/>
      <c r="Q4464" s="99"/>
      <c r="R4464" s="99"/>
      <c r="S4464" s="99"/>
      <c r="T4464" s="99"/>
      <c r="U4464" s="99"/>
      <c r="V4464" s="99"/>
    </row>
    <row r="4465" spans="1:22">
      <c r="A4465" s="297"/>
      <c r="B4465" s="217"/>
      <c r="C4465" s="217"/>
      <c r="D4465" s="101"/>
      <c r="E4465" s="101"/>
      <c r="F4465" s="294"/>
      <c r="G4465" s="295"/>
      <c r="H4465" s="98"/>
      <c r="I4465" s="99"/>
      <c r="J4465" s="99"/>
      <c r="K4465" s="99"/>
      <c r="L4465" s="99"/>
      <c r="M4465" s="99"/>
      <c r="N4465" s="99"/>
      <c r="O4465" s="99"/>
      <c r="P4465" s="99"/>
      <c r="Q4465" s="99"/>
      <c r="R4465" s="99"/>
      <c r="S4465" s="99"/>
      <c r="T4465" s="99"/>
      <c r="U4465" s="99"/>
      <c r="V4465" s="99"/>
    </row>
    <row r="4466" spans="1:22">
      <c r="A4466" s="297"/>
      <c r="B4466" s="217"/>
      <c r="C4466" s="217"/>
      <c r="D4466" s="101"/>
      <c r="E4466" s="101"/>
      <c r="F4466" s="294"/>
      <c r="G4466" s="295"/>
      <c r="H4466" s="98"/>
      <c r="I4466" s="99"/>
      <c r="J4466" s="99"/>
      <c r="K4466" s="99"/>
      <c r="L4466" s="99"/>
      <c r="M4466" s="99"/>
      <c r="N4466" s="99"/>
      <c r="O4466" s="99"/>
      <c r="P4466" s="99"/>
      <c r="Q4466" s="99"/>
      <c r="R4466" s="99"/>
      <c r="S4466" s="99"/>
      <c r="T4466" s="99"/>
      <c r="U4466" s="99"/>
      <c r="V4466" s="99"/>
    </row>
    <row r="4467" spans="1:22">
      <c r="A4467" s="297"/>
      <c r="B4467" s="217"/>
      <c r="C4467" s="217"/>
      <c r="D4467" s="101"/>
      <c r="E4467" s="101"/>
      <c r="F4467" s="294"/>
      <c r="G4467" s="295"/>
      <c r="H4467" s="98"/>
      <c r="I4467" s="99"/>
      <c r="J4467" s="99"/>
      <c r="K4467" s="99"/>
      <c r="L4467" s="99"/>
      <c r="M4467" s="99"/>
      <c r="N4467" s="99"/>
      <c r="O4467" s="99"/>
      <c r="P4467" s="99"/>
      <c r="Q4467" s="99"/>
      <c r="R4467" s="99"/>
      <c r="S4467" s="99"/>
      <c r="T4467" s="99"/>
      <c r="U4467" s="99"/>
      <c r="V4467" s="99"/>
    </row>
    <row r="4468" spans="1:22">
      <c r="A4468" s="297"/>
      <c r="B4468" s="217"/>
      <c r="C4468" s="217"/>
      <c r="D4468" s="101"/>
      <c r="E4468" s="101"/>
      <c r="F4468" s="294"/>
      <c r="G4468" s="295"/>
      <c r="H4468" s="98"/>
      <c r="I4468" s="99"/>
      <c r="J4468" s="99"/>
      <c r="K4468" s="99"/>
      <c r="L4468" s="99"/>
      <c r="M4468" s="99"/>
      <c r="N4468" s="99"/>
      <c r="O4468" s="99"/>
      <c r="P4468" s="99"/>
      <c r="Q4468" s="99"/>
      <c r="R4468" s="99"/>
      <c r="S4468" s="99"/>
      <c r="T4468" s="99"/>
      <c r="U4468" s="99"/>
      <c r="V4468" s="99"/>
    </row>
    <row r="4469" spans="1:22">
      <c r="A4469" s="297"/>
      <c r="B4469" s="217"/>
      <c r="C4469" s="217"/>
      <c r="D4469" s="101"/>
      <c r="E4469" s="101"/>
      <c r="F4469" s="294"/>
      <c r="G4469" s="295"/>
      <c r="H4469" s="98"/>
      <c r="I4469" s="99"/>
      <c r="J4469" s="99"/>
      <c r="K4469" s="99"/>
      <c r="L4469" s="99"/>
      <c r="M4469" s="99"/>
      <c r="N4469" s="99"/>
      <c r="O4469" s="99"/>
      <c r="P4469" s="99"/>
      <c r="Q4469" s="99"/>
      <c r="R4469" s="99"/>
      <c r="S4469" s="99"/>
      <c r="T4469" s="99"/>
      <c r="U4469" s="99"/>
      <c r="V4469" s="99"/>
    </row>
    <row r="4470" spans="1:22">
      <c r="A4470" s="297"/>
      <c r="B4470" s="217"/>
      <c r="C4470" s="217"/>
      <c r="D4470" s="101"/>
      <c r="E4470" s="101"/>
      <c r="F4470" s="294"/>
      <c r="G4470" s="295"/>
      <c r="H4470" s="98"/>
      <c r="I4470" s="99"/>
      <c r="J4470" s="99"/>
      <c r="K4470" s="99"/>
      <c r="L4470" s="99"/>
      <c r="M4470" s="99"/>
      <c r="N4470" s="99"/>
      <c r="O4470" s="99"/>
      <c r="P4470" s="99"/>
      <c r="Q4470" s="99"/>
      <c r="R4470" s="99"/>
      <c r="S4470" s="99"/>
      <c r="T4470" s="99"/>
      <c r="U4470" s="99"/>
      <c r="V4470" s="99"/>
    </row>
    <row r="4471" spans="1:22">
      <c r="A4471" s="297"/>
      <c r="B4471" s="217"/>
      <c r="C4471" s="217"/>
      <c r="D4471" s="101"/>
      <c r="E4471" s="101"/>
      <c r="F4471" s="294"/>
      <c r="G4471" s="295"/>
      <c r="H4471" s="98"/>
      <c r="I4471" s="99"/>
      <c r="J4471" s="99"/>
      <c r="K4471" s="99"/>
      <c r="L4471" s="99"/>
      <c r="M4471" s="99"/>
      <c r="N4471" s="99"/>
      <c r="O4471" s="99"/>
      <c r="P4471" s="99"/>
      <c r="Q4471" s="99"/>
      <c r="R4471" s="99"/>
      <c r="S4471" s="99"/>
      <c r="T4471" s="99"/>
      <c r="U4471" s="99"/>
      <c r="V4471" s="99"/>
    </row>
    <row r="4472" spans="1:22">
      <c r="A4472" s="297"/>
      <c r="B4472" s="217"/>
      <c r="C4472" s="217"/>
      <c r="D4472" s="101"/>
      <c r="E4472" s="101"/>
      <c r="F4472" s="294"/>
      <c r="G4472" s="295"/>
      <c r="H4472" s="98"/>
      <c r="I4472" s="99"/>
      <c r="J4472" s="99"/>
      <c r="K4472" s="99"/>
      <c r="L4472" s="99"/>
      <c r="M4472" s="99"/>
      <c r="N4472" s="99"/>
      <c r="O4472" s="99"/>
      <c r="P4472" s="99"/>
      <c r="Q4472" s="99"/>
      <c r="R4472" s="99"/>
      <c r="S4472" s="99"/>
      <c r="T4472" s="99"/>
      <c r="U4472" s="99"/>
      <c r="V4472" s="99"/>
    </row>
    <row r="4473" spans="1:22">
      <c r="A4473" s="297"/>
      <c r="B4473" s="217"/>
      <c r="C4473" s="217"/>
      <c r="D4473" s="101"/>
      <c r="E4473" s="101"/>
      <c r="F4473" s="294"/>
      <c r="G4473" s="295"/>
      <c r="H4473" s="98"/>
      <c r="I4473" s="99"/>
      <c r="J4473" s="99"/>
      <c r="K4473" s="99"/>
      <c r="L4473" s="99"/>
      <c r="M4473" s="99"/>
      <c r="N4473" s="99"/>
      <c r="O4473" s="99"/>
      <c r="P4473" s="99"/>
      <c r="Q4473" s="99"/>
      <c r="R4473" s="99"/>
      <c r="S4473" s="99"/>
      <c r="T4473" s="99"/>
      <c r="U4473" s="99"/>
      <c r="V4473" s="99"/>
    </row>
    <row r="4474" spans="1:22">
      <c r="A4474" s="297"/>
      <c r="B4474" s="217"/>
      <c r="C4474" s="217"/>
      <c r="D4474" s="101"/>
      <c r="E4474" s="101"/>
      <c r="F4474" s="294"/>
      <c r="G4474" s="295"/>
      <c r="H4474" s="98"/>
      <c r="I4474" s="99"/>
      <c r="J4474" s="99"/>
      <c r="K4474" s="99"/>
      <c r="L4474" s="99"/>
      <c r="M4474" s="99"/>
      <c r="N4474" s="99"/>
      <c r="O4474" s="99"/>
      <c r="P4474" s="99"/>
      <c r="Q4474" s="99"/>
      <c r="R4474" s="99"/>
      <c r="S4474" s="99"/>
      <c r="T4474" s="99"/>
      <c r="U4474" s="99"/>
      <c r="V4474" s="99"/>
    </row>
    <row r="4475" spans="1:22">
      <c r="A4475" s="297"/>
      <c r="B4475" s="217"/>
      <c r="C4475" s="217"/>
      <c r="D4475" s="101"/>
      <c r="E4475" s="101"/>
      <c r="F4475" s="294"/>
      <c r="G4475" s="295"/>
      <c r="H4475" s="98"/>
      <c r="I4475" s="99"/>
      <c r="J4475" s="99"/>
      <c r="K4475" s="99"/>
      <c r="L4475" s="99"/>
      <c r="M4475" s="99"/>
      <c r="N4475" s="99"/>
      <c r="O4475" s="99"/>
      <c r="P4475" s="99"/>
      <c r="Q4475" s="99"/>
      <c r="R4475" s="99"/>
      <c r="S4475" s="99"/>
      <c r="T4475" s="99"/>
      <c r="U4475" s="99"/>
      <c r="V4475" s="99"/>
    </row>
    <row r="4476" spans="1:22">
      <c r="A4476" s="297"/>
      <c r="B4476" s="217"/>
      <c r="C4476" s="217"/>
      <c r="D4476" s="101"/>
      <c r="E4476" s="101"/>
      <c r="F4476" s="294"/>
      <c r="G4476" s="295"/>
      <c r="H4476" s="107"/>
      <c r="I4476" s="109"/>
      <c r="J4476" s="109"/>
      <c r="K4476" s="109"/>
      <c r="L4476" s="109"/>
      <c r="M4476" s="109"/>
      <c r="N4476" s="109"/>
      <c r="O4476" s="109"/>
      <c r="P4476" s="109"/>
      <c r="Q4476" s="109"/>
      <c r="R4476" s="109"/>
      <c r="S4476" s="109"/>
      <c r="T4476" s="109"/>
      <c r="U4476" s="202"/>
      <c r="V4476" s="202"/>
    </row>
    <row r="4477" spans="1:22">
      <c r="A4477" s="297"/>
      <c r="B4477" s="217"/>
      <c r="C4477" s="217"/>
      <c r="D4477" s="101"/>
      <c r="E4477" s="101"/>
      <c r="F4477" s="294"/>
      <c r="G4477" s="295"/>
      <c r="H4477" s="98"/>
      <c r="I4477" s="106"/>
      <c r="J4477" s="106"/>
      <c r="K4477" s="106"/>
      <c r="L4477" s="106"/>
      <c r="M4477" s="106"/>
      <c r="N4477" s="112"/>
      <c r="O4477" s="112"/>
      <c r="P4477" s="112"/>
      <c r="Q4477" s="113"/>
      <c r="R4477" s="113"/>
      <c r="S4477" s="113"/>
      <c r="T4477" s="113"/>
      <c r="U4477" s="113"/>
      <c r="V4477" s="113"/>
    </row>
    <row r="4478" spans="1:22">
      <c r="A4478" s="297"/>
      <c r="B4478" s="217"/>
      <c r="C4478" s="217"/>
      <c r="D4478" s="101"/>
      <c r="E4478" s="101"/>
      <c r="F4478" s="294"/>
      <c r="G4478" s="295"/>
      <c r="H4478" s="98"/>
      <c r="I4478" s="99"/>
      <c r="J4478" s="99"/>
      <c r="K4478" s="99"/>
      <c r="L4478" s="99"/>
      <c r="M4478" s="99"/>
      <c r="N4478" s="99"/>
      <c r="O4478" s="99"/>
      <c r="P4478" s="99"/>
      <c r="Q4478" s="99"/>
      <c r="R4478" s="99"/>
      <c r="S4478" s="99"/>
      <c r="T4478" s="99"/>
      <c r="U4478" s="99"/>
      <c r="V4478" s="99"/>
    </row>
    <row r="4479" spans="1:22">
      <c r="A4479" s="297"/>
      <c r="B4479" s="217"/>
      <c r="C4479" s="217"/>
      <c r="D4479" s="101"/>
      <c r="E4479" s="101"/>
      <c r="F4479" s="294"/>
      <c r="G4479" s="295"/>
      <c r="H4479" s="98"/>
      <c r="I4479" s="99"/>
      <c r="J4479" s="99"/>
      <c r="K4479" s="99"/>
      <c r="L4479" s="99"/>
      <c r="M4479" s="99"/>
      <c r="N4479" s="99"/>
      <c r="O4479" s="99"/>
      <c r="P4479" s="99"/>
      <c r="Q4479" s="99"/>
      <c r="R4479" s="99"/>
      <c r="S4479" s="99"/>
      <c r="T4479" s="99"/>
      <c r="U4479" s="99"/>
      <c r="V4479" s="99"/>
    </row>
    <row r="4480" spans="1:22">
      <c r="A4480" s="297"/>
      <c r="B4480" s="217"/>
      <c r="C4480" s="217"/>
      <c r="D4480" s="101"/>
      <c r="E4480" s="101"/>
      <c r="F4480" s="294"/>
      <c r="G4480" s="295"/>
      <c r="H4480" s="98"/>
      <c r="I4480" s="99"/>
      <c r="J4480" s="99"/>
      <c r="K4480" s="99"/>
      <c r="L4480" s="99"/>
      <c r="M4480" s="99"/>
      <c r="N4480" s="99"/>
      <c r="O4480" s="99"/>
      <c r="P4480" s="99"/>
      <c r="Q4480" s="99"/>
      <c r="R4480" s="99"/>
      <c r="S4480" s="99"/>
      <c r="T4480" s="99"/>
      <c r="U4480" s="99"/>
      <c r="V4480" s="99"/>
    </row>
    <row r="4481" spans="1:22">
      <c r="A4481" s="297"/>
      <c r="B4481" s="217"/>
      <c r="C4481" s="217"/>
      <c r="D4481" s="101"/>
      <c r="E4481" s="101"/>
      <c r="F4481" s="294"/>
      <c r="G4481" s="295"/>
      <c r="H4481" s="98"/>
      <c r="I4481" s="99"/>
      <c r="J4481" s="99"/>
      <c r="K4481" s="99"/>
      <c r="L4481" s="99"/>
      <c r="M4481" s="99"/>
      <c r="N4481" s="99"/>
      <c r="O4481" s="99"/>
      <c r="P4481" s="99"/>
      <c r="Q4481" s="99"/>
      <c r="R4481" s="99"/>
      <c r="S4481" s="99"/>
      <c r="T4481" s="99"/>
      <c r="U4481" s="99"/>
      <c r="V4481" s="99"/>
    </row>
    <row r="4482" spans="1:22">
      <c r="A4482" s="297"/>
      <c r="B4482" s="217"/>
      <c r="C4482" s="217"/>
      <c r="D4482" s="101"/>
      <c r="E4482" s="101"/>
      <c r="F4482" s="294"/>
      <c r="G4482" s="295"/>
      <c r="H4482" s="98"/>
      <c r="I4482" s="99"/>
      <c r="J4482" s="99"/>
      <c r="K4482" s="99"/>
      <c r="L4482" s="99"/>
      <c r="M4482" s="99"/>
      <c r="N4482" s="99"/>
      <c r="O4482" s="99"/>
      <c r="P4482" s="99"/>
      <c r="Q4482" s="99"/>
      <c r="R4482" s="99"/>
      <c r="S4482" s="99"/>
      <c r="T4482" s="99"/>
      <c r="U4482" s="99"/>
      <c r="V4482" s="99"/>
    </row>
    <row r="4483" spans="1:22">
      <c r="A4483" s="297"/>
      <c r="B4483" s="217"/>
      <c r="C4483" s="217"/>
      <c r="D4483" s="101"/>
      <c r="E4483" s="101"/>
      <c r="F4483" s="294"/>
      <c r="G4483" s="295"/>
      <c r="H4483" s="107"/>
      <c r="I4483" s="109"/>
      <c r="J4483" s="109"/>
      <c r="K4483" s="109"/>
      <c r="L4483" s="109"/>
      <c r="M4483" s="109"/>
      <c r="N4483" s="109"/>
      <c r="O4483" s="109"/>
      <c r="P4483" s="109"/>
      <c r="Q4483" s="109"/>
      <c r="R4483" s="109"/>
      <c r="S4483" s="109"/>
      <c r="T4483" s="109"/>
      <c r="U4483" s="202"/>
      <c r="V4483" s="202"/>
    </row>
    <row r="4484" spans="1:22">
      <c r="A4484" s="297"/>
      <c r="B4484" s="217"/>
      <c r="C4484" s="217"/>
      <c r="D4484" s="101"/>
      <c r="E4484" s="101"/>
      <c r="F4484" s="294"/>
      <c r="G4484" s="295"/>
      <c r="H4484" s="98"/>
      <c r="I4484" s="106"/>
      <c r="J4484" s="106"/>
      <c r="K4484" s="106"/>
      <c r="L4484" s="106"/>
      <c r="M4484" s="106"/>
      <c r="N4484" s="112"/>
      <c r="O4484" s="112"/>
      <c r="P4484" s="112"/>
      <c r="Q4484" s="113"/>
      <c r="R4484" s="113"/>
      <c r="S4484" s="113"/>
      <c r="T4484" s="113"/>
      <c r="U4484" s="113"/>
      <c r="V4484" s="113"/>
    </row>
    <row r="4485" spans="1:22">
      <c r="A4485" s="297"/>
      <c r="B4485" s="217"/>
      <c r="C4485" s="217"/>
      <c r="D4485" s="101"/>
      <c r="E4485" s="101"/>
      <c r="F4485" s="294"/>
      <c r="G4485" s="295"/>
      <c r="H4485" s="114"/>
      <c r="I4485" s="108"/>
      <c r="J4485" s="108"/>
      <c r="K4485" s="108"/>
      <c r="L4485" s="108"/>
      <c r="M4485" s="108"/>
      <c r="N4485" s="108"/>
      <c r="O4485" s="108"/>
      <c r="P4485" s="108"/>
      <c r="Q4485" s="108"/>
      <c r="R4485" s="108"/>
      <c r="S4485" s="108"/>
      <c r="T4485" s="108"/>
      <c r="U4485" s="233"/>
      <c r="V4485" s="233"/>
    </row>
    <row r="4486" spans="1:22" ht="14.4" thickBot="1">
      <c r="A4486" s="297"/>
      <c r="B4486" s="217"/>
      <c r="C4486" s="217"/>
      <c r="D4486" s="101"/>
      <c r="E4486" s="101"/>
      <c r="F4486" s="294"/>
      <c r="G4486" s="295"/>
      <c r="H4486" s="98"/>
      <c r="I4486" s="218"/>
      <c r="J4486" s="218"/>
      <c r="K4486" s="218"/>
      <c r="L4486" s="218"/>
      <c r="M4486" s="218"/>
      <c r="U4486" s="212"/>
      <c r="V4486" s="212"/>
    </row>
    <row r="4487" spans="1:22" ht="23.4" thickBot="1">
      <c r="A4487" s="297"/>
      <c r="B4487" s="217"/>
      <c r="C4487" s="217"/>
      <c r="D4487" s="101"/>
      <c r="E4487" s="101"/>
      <c r="F4487" s="294"/>
      <c r="G4487" s="295"/>
      <c r="H4487" s="686"/>
      <c r="I4487" s="687"/>
      <c r="J4487" s="687"/>
      <c r="K4487" s="687"/>
      <c r="L4487" s="687"/>
      <c r="M4487" s="687"/>
      <c r="N4487" s="687"/>
      <c r="O4487" s="687"/>
      <c r="P4487" s="687"/>
      <c r="Q4487" s="687"/>
      <c r="R4487" s="687"/>
      <c r="S4487" s="715"/>
      <c r="T4487" s="688"/>
      <c r="U4487" s="254"/>
      <c r="V4487" s="254"/>
    </row>
    <row r="4488" spans="1:22" ht="22.8">
      <c r="A4488" s="297"/>
      <c r="B4488" s="217"/>
      <c r="C4488" s="217"/>
      <c r="D4488" s="101"/>
      <c r="E4488" s="101"/>
      <c r="F4488" s="294"/>
      <c r="G4488" s="295"/>
      <c r="H4488" s="225"/>
      <c r="I4488" s="225"/>
      <c r="J4488" s="225"/>
      <c r="K4488" s="225"/>
      <c r="L4488" s="225"/>
      <c r="M4488" s="225"/>
      <c r="N4488" s="225"/>
      <c r="O4488" s="225"/>
      <c r="P4488" s="225"/>
      <c r="Q4488" s="225"/>
      <c r="R4488" s="225"/>
      <c r="S4488" s="225"/>
      <c r="T4488" s="225"/>
      <c r="U4488" s="225"/>
      <c r="V4488" s="225"/>
    </row>
    <row r="4489" spans="1:22">
      <c r="A4489" s="297"/>
      <c r="B4489" s="217"/>
      <c r="C4489" s="217"/>
      <c r="D4489" s="101"/>
      <c r="E4489" s="101"/>
      <c r="F4489" s="294"/>
      <c r="G4489" s="295"/>
      <c r="H4489" s="98"/>
      <c r="I4489" s="99"/>
      <c r="J4489" s="99"/>
      <c r="K4489" s="99"/>
      <c r="L4489" s="99"/>
      <c r="M4489" s="99"/>
      <c r="N4489" s="99"/>
      <c r="O4489" s="99"/>
      <c r="P4489" s="99"/>
      <c r="Q4489" s="99"/>
      <c r="R4489" s="99"/>
      <c r="S4489" s="99"/>
      <c r="T4489" s="99"/>
      <c r="U4489" s="99"/>
      <c r="V4489" s="99"/>
    </row>
    <row r="4490" spans="1:22">
      <c r="A4490" s="297"/>
      <c r="B4490" s="217"/>
      <c r="C4490" s="217"/>
      <c r="D4490" s="101"/>
      <c r="E4490" s="101"/>
      <c r="F4490" s="294"/>
      <c r="G4490" s="295"/>
      <c r="H4490" s="98"/>
      <c r="I4490" s="99"/>
      <c r="J4490" s="99"/>
      <c r="K4490" s="99"/>
      <c r="L4490" s="99"/>
      <c r="M4490" s="99"/>
      <c r="N4490" s="99"/>
      <c r="O4490" s="99"/>
      <c r="P4490" s="99"/>
      <c r="Q4490" s="99"/>
      <c r="R4490" s="99"/>
      <c r="S4490" s="99"/>
      <c r="T4490" s="99"/>
      <c r="U4490" s="99"/>
      <c r="V4490" s="99"/>
    </row>
    <row r="4491" spans="1:22">
      <c r="A4491" s="297"/>
      <c r="B4491" s="217"/>
      <c r="C4491" s="217"/>
      <c r="D4491" s="101"/>
      <c r="E4491" s="101"/>
      <c r="F4491" s="294"/>
      <c r="G4491" s="295"/>
      <c r="H4491" s="98"/>
      <c r="I4491" s="99"/>
      <c r="J4491" s="99"/>
      <c r="K4491" s="99"/>
      <c r="L4491" s="99"/>
      <c r="M4491" s="99"/>
      <c r="N4491" s="99"/>
      <c r="O4491" s="99"/>
      <c r="P4491" s="99"/>
      <c r="Q4491" s="99"/>
      <c r="R4491" s="99"/>
      <c r="S4491" s="99"/>
      <c r="T4491" s="99"/>
      <c r="U4491" s="99"/>
      <c r="V4491" s="99"/>
    </row>
    <row r="4492" spans="1:22">
      <c r="A4492" s="297"/>
      <c r="B4492" s="217"/>
      <c r="C4492" s="217"/>
      <c r="D4492" s="101"/>
      <c r="E4492" s="101"/>
      <c r="F4492" s="294"/>
      <c r="G4492" s="295"/>
      <c r="H4492" s="98"/>
      <c r="I4492" s="99"/>
      <c r="J4492" s="99"/>
      <c r="K4492" s="99"/>
      <c r="L4492" s="99"/>
      <c r="M4492" s="99"/>
      <c r="N4492" s="99"/>
      <c r="O4492" s="99"/>
      <c r="P4492" s="99"/>
      <c r="Q4492" s="99"/>
      <c r="R4492" s="99"/>
      <c r="S4492" s="99"/>
      <c r="T4492" s="99"/>
      <c r="U4492" s="99"/>
      <c r="V4492" s="99"/>
    </row>
    <row r="4493" spans="1:22">
      <c r="A4493" s="297"/>
      <c r="B4493" s="217"/>
      <c r="C4493" s="217"/>
      <c r="D4493" s="101"/>
      <c r="E4493" s="101"/>
      <c r="F4493" s="294"/>
      <c r="G4493" s="295"/>
      <c r="H4493" s="98"/>
      <c r="I4493" s="99"/>
      <c r="J4493" s="99"/>
      <c r="K4493" s="99"/>
      <c r="L4493" s="99"/>
      <c r="M4493" s="99"/>
      <c r="N4493" s="99"/>
      <c r="O4493" s="99"/>
      <c r="P4493" s="99"/>
      <c r="Q4493" s="99"/>
      <c r="R4493" s="99"/>
      <c r="S4493" s="99"/>
      <c r="T4493" s="99"/>
      <c r="U4493" s="99"/>
      <c r="V4493" s="99"/>
    </row>
    <row r="4494" spans="1:22">
      <c r="A4494" s="297"/>
      <c r="B4494" s="217"/>
      <c r="C4494" s="217"/>
      <c r="D4494" s="101"/>
      <c r="E4494" s="101"/>
      <c r="F4494" s="294"/>
      <c r="G4494" s="295"/>
      <c r="H4494" s="98"/>
      <c r="I4494" s="99"/>
      <c r="J4494" s="99"/>
      <c r="K4494" s="99"/>
      <c r="L4494" s="99"/>
      <c r="M4494" s="99"/>
      <c r="N4494" s="99"/>
      <c r="O4494" s="99"/>
      <c r="P4494" s="99"/>
      <c r="Q4494" s="99"/>
      <c r="R4494" s="99"/>
      <c r="S4494" s="99"/>
      <c r="T4494" s="99"/>
      <c r="U4494" s="99"/>
      <c r="V4494" s="99"/>
    </row>
    <row r="4495" spans="1:22">
      <c r="A4495" s="297"/>
      <c r="B4495" s="217"/>
      <c r="C4495" s="217"/>
      <c r="D4495" s="101"/>
      <c r="E4495" s="101"/>
      <c r="F4495" s="294"/>
      <c r="G4495" s="295"/>
      <c r="H4495" s="98"/>
      <c r="I4495" s="99"/>
      <c r="J4495" s="99"/>
      <c r="K4495" s="99"/>
      <c r="L4495" s="99"/>
      <c r="M4495" s="99"/>
      <c r="N4495" s="99"/>
      <c r="O4495" s="99"/>
      <c r="P4495" s="99"/>
      <c r="Q4495" s="99"/>
      <c r="R4495" s="99"/>
      <c r="S4495" s="99"/>
      <c r="T4495" s="99"/>
      <c r="U4495" s="99"/>
      <c r="V4495" s="99"/>
    </row>
    <row r="4496" spans="1:22">
      <c r="A4496" s="297"/>
      <c r="B4496" s="217"/>
      <c r="C4496" s="217"/>
      <c r="D4496" s="101"/>
      <c r="E4496" s="101"/>
      <c r="F4496" s="294"/>
      <c r="G4496" s="295"/>
      <c r="H4496" s="98"/>
      <c r="I4496" s="99"/>
      <c r="J4496" s="99"/>
      <c r="K4496" s="99"/>
      <c r="L4496" s="99"/>
      <c r="M4496" s="99"/>
      <c r="N4496" s="99"/>
      <c r="O4496" s="99"/>
      <c r="P4496" s="99"/>
      <c r="Q4496" s="99"/>
      <c r="R4496" s="99"/>
      <c r="S4496" s="99"/>
      <c r="T4496" s="99"/>
      <c r="U4496" s="99"/>
      <c r="V4496" s="99"/>
    </row>
    <row r="4497" spans="1:22" ht="24" customHeight="1">
      <c r="A4497" s="297"/>
      <c r="B4497" s="217"/>
      <c r="C4497" s="217"/>
      <c r="D4497" s="101"/>
      <c r="E4497" s="101"/>
      <c r="F4497" s="294"/>
      <c r="G4497" s="295"/>
      <c r="H4497" s="98"/>
      <c r="I4497" s="99"/>
      <c r="J4497" s="99"/>
      <c r="K4497" s="99"/>
      <c r="L4497" s="99"/>
      <c r="M4497" s="99"/>
      <c r="N4497" s="99"/>
      <c r="O4497" s="99"/>
      <c r="P4497" s="99"/>
      <c r="Q4497" s="99"/>
      <c r="R4497" s="99"/>
      <c r="S4497" s="99"/>
      <c r="T4497" s="99"/>
      <c r="U4497" s="99"/>
      <c r="V4497" s="99"/>
    </row>
    <row r="4498" spans="1:22">
      <c r="A4498" s="297"/>
      <c r="B4498" s="217"/>
      <c r="C4498" s="217"/>
      <c r="D4498" s="101"/>
      <c r="E4498" s="101"/>
      <c r="F4498" s="294"/>
      <c r="G4498" s="295"/>
      <c r="H4498" s="98"/>
      <c r="I4498" s="99"/>
      <c r="J4498" s="99"/>
      <c r="K4498" s="99"/>
      <c r="L4498" s="99"/>
      <c r="M4498" s="99"/>
      <c r="N4498" s="99"/>
      <c r="O4498" s="99"/>
      <c r="P4498" s="99"/>
      <c r="Q4498" s="99"/>
      <c r="R4498" s="99"/>
      <c r="S4498" s="99"/>
      <c r="T4498" s="99"/>
      <c r="U4498" s="99"/>
      <c r="V4498" s="99"/>
    </row>
    <row r="4499" spans="1:22">
      <c r="A4499" s="297"/>
      <c r="B4499" s="217"/>
      <c r="C4499" s="217"/>
      <c r="D4499" s="101"/>
      <c r="E4499" s="101"/>
      <c r="F4499" s="294"/>
      <c r="G4499" s="295"/>
      <c r="H4499" s="98"/>
      <c r="I4499" s="99"/>
      <c r="J4499" s="99"/>
      <c r="K4499" s="99"/>
      <c r="L4499" s="99"/>
      <c r="M4499" s="99"/>
      <c r="N4499" s="99"/>
      <c r="O4499" s="99"/>
      <c r="P4499" s="99"/>
      <c r="Q4499" s="99"/>
      <c r="R4499" s="99"/>
      <c r="S4499" s="99"/>
      <c r="T4499" s="99"/>
      <c r="U4499" s="99"/>
      <c r="V4499" s="99"/>
    </row>
    <row r="4500" spans="1:22">
      <c r="A4500" s="297"/>
      <c r="B4500" s="217"/>
      <c r="C4500" s="217"/>
      <c r="D4500" s="101"/>
      <c r="E4500" s="101"/>
      <c r="F4500" s="294"/>
      <c r="G4500" s="295"/>
      <c r="H4500" s="98"/>
      <c r="I4500" s="99"/>
      <c r="J4500" s="99"/>
      <c r="K4500" s="99"/>
      <c r="L4500" s="99"/>
      <c r="M4500" s="99"/>
      <c r="N4500" s="99"/>
      <c r="O4500" s="99"/>
      <c r="P4500" s="99"/>
      <c r="Q4500" s="99"/>
      <c r="R4500" s="99"/>
      <c r="S4500" s="99"/>
      <c r="T4500" s="99"/>
      <c r="U4500" s="99"/>
      <c r="V4500" s="99"/>
    </row>
    <row r="4501" spans="1:22">
      <c r="A4501" s="297"/>
      <c r="B4501" s="217"/>
      <c r="C4501" s="217"/>
      <c r="D4501" s="101"/>
      <c r="E4501" s="101"/>
      <c r="F4501" s="294"/>
      <c r="G4501" s="295"/>
      <c r="H4501" s="98"/>
      <c r="I4501" s="99"/>
      <c r="J4501" s="99"/>
      <c r="K4501" s="99"/>
      <c r="L4501" s="99"/>
      <c r="M4501" s="99"/>
      <c r="N4501" s="99"/>
      <c r="O4501" s="99"/>
      <c r="P4501" s="99"/>
      <c r="Q4501" s="99"/>
      <c r="R4501" s="99"/>
      <c r="S4501" s="99"/>
      <c r="T4501" s="99"/>
      <c r="U4501" s="99"/>
      <c r="V4501" s="99"/>
    </row>
    <row r="4502" spans="1:22">
      <c r="A4502" s="297"/>
      <c r="B4502" s="217"/>
      <c r="C4502" s="217"/>
      <c r="D4502" s="101"/>
      <c r="E4502" s="101"/>
      <c r="F4502" s="294"/>
      <c r="G4502" s="295"/>
      <c r="H4502" s="107"/>
      <c r="I4502" s="108"/>
      <c r="J4502" s="108"/>
      <c r="K4502" s="108"/>
      <c r="L4502" s="108"/>
      <c r="M4502" s="108"/>
      <c r="N4502" s="109"/>
      <c r="O4502" s="109"/>
      <c r="P4502" s="109"/>
      <c r="Q4502" s="109"/>
      <c r="R4502" s="109"/>
      <c r="S4502" s="109"/>
      <c r="T4502" s="109"/>
      <c r="U4502" s="202"/>
      <c r="V4502" s="202"/>
    </row>
    <row r="4503" spans="1:22">
      <c r="A4503" s="297"/>
      <c r="B4503" s="217"/>
      <c r="C4503" s="217"/>
      <c r="D4503" s="101"/>
      <c r="E4503" s="101"/>
      <c r="F4503" s="294"/>
      <c r="G4503" s="295"/>
      <c r="H4503" s="98"/>
      <c r="I4503" s="106"/>
      <c r="J4503" s="106"/>
      <c r="K4503" s="106"/>
      <c r="L4503" s="106"/>
      <c r="M4503" s="106"/>
      <c r="N4503" s="112"/>
      <c r="O4503" s="112"/>
      <c r="P4503" s="112"/>
      <c r="Q4503" s="113"/>
      <c r="R4503" s="113"/>
      <c r="S4503" s="113"/>
      <c r="T4503" s="113"/>
      <c r="U4503" s="113"/>
      <c r="V4503" s="113"/>
    </row>
    <row r="4504" spans="1:22">
      <c r="A4504" s="297"/>
      <c r="B4504" s="217"/>
      <c r="C4504" s="217"/>
      <c r="D4504" s="101"/>
      <c r="E4504" s="101"/>
      <c r="F4504" s="294"/>
      <c r="G4504" s="295"/>
      <c r="H4504" s="98"/>
      <c r="I4504" s="99"/>
      <c r="J4504" s="99"/>
      <c r="K4504" s="99"/>
      <c r="L4504" s="99"/>
      <c r="M4504" s="99"/>
      <c r="N4504" s="99"/>
      <c r="O4504" s="99"/>
      <c r="P4504" s="99"/>
      <c r="Q4504" s="99"/>
      <c r="R4504" s="99"/>
      <c r="S4504" s="99"/>
      <c r="T4504" s="99"/>
      <c r="U4504" s="99"/>
      <c r="V4504" s="99"/>
    </row>
    <row r="4505" spans="1:22">
      <c r="A4505" s="297"/>
      <c r="B4505" s="217"/>
      <c r="C4505" s="217"/>
      <c r="D4505" s="101"/>
      <c r="E4505" s="101"/>
      <c r="F4505" s="294"/>
      <c r="G4505" s="295"/>
      <c r="H4505" s="98"/>
      <c r="I4505" s="99"/>
      <c r="J4505" s="99"/>
      <c r="K4505" s="99"/>
      <c r="L4505" s="99"/>
      <c r="M4505" s="99"/>
      <c r="N4505" s="99"/>
      <c r="O4505" s="99"/>
      <c r="P4505" s="99"/>
      <c r="Q4505" s="99"/>
      <c r="R4505" s="99"/>
      <c r="S4505" s="99"/>
      <c r="T4505" s="99"/>
      <c r="U4505" s="99"/>
      <c r="V4505" s="99"/>
    </row>
    <row r="4506" spans="1:22">
      <c r="A4506" s="297"/>
      <c r="B4506" s="217"/>
      <c r="C4506" s="217"/>
      <c r="D4506" s="101"/>
      <c r="E4506" s="101"/>
      <c r="F4506" s="294"/>
      <c r="G4506" s="295"/>
      <c r="H4506" s="98"/>
      <c r="I4506" s="99"/>
      <c r="J4506" s="99"/>
      <c r="K4506" s="99"/>
      <c r="L4506" s="99"/>
      <c r="M4506" s="99"/>
      <c r="N4506" s="99"/>
      <c r="O4506" s="99"/>
      <c r="P4506" s="99"/>
      <c r="Q4506" s="99"/>
      <c r="R4506" s="99"/>
      <c r="S4506" s="99"/>
      <c r="T4506" s="99"/>
      <c r="U4506" s="99"/>
      <c r="V4506" s="99"/>
    </row>
    <row r="4507" spans="1:22">
      <c r="A4507" s="297"/>
      <c r="B4507" s="217"/>
      <c r="C4507" s="217"/>
      <c r="D4507" s="101"/>
      <c r="E4507" s="101"/>
      <c r="F4507" s="294"/>
      <c r="G4507" s="295"/>
      <c r="H4507" s="98"/>
      <c r="I4507" s="99"/>
      <c r="J4507" s="99"/>
      <c r="K4507" s="99"/>
      <c r="L4507" s="99"/>
      <c r="M4507" s="99"/>
      <c r="N4507" s="99"/>
      <c r="O4507" s="99"/>
      <c r="P4507" s="99"/>
      <c r="Q4507" s="99"/>
      <c r="R4507" s="99"/>
      <c r="S4507" s="99"/>
      <c r="T4507" s="99"/>
      <c r="U4507" s="99"/>
      <c r="V4507" s="99"/>
    </row>
    <row r="4508" spans="1:22">
      <c r="A4508" s="297"/>
      <c r="B4508" s="217"/>
      <c r="C4508" s="217"/>
      <c r="D4508" s="101"/>
      <c r="E4508" s="101"/>
      <c r="F4508" s="294"/>
      <c r="G4508" s="295"/>
      <c r="H4508" s="98"/>
      <c r="I4508" s="99"/>
      <c r="J4508" s="99"/>
      <c r="K4508" s="99"/>
      <c r="L4508" s="99"/>
      <c r="M4508" s="99"/>
      <c r="N4508" s="99"/>
      <c r="O4508" s="99"/>
      <c r="P4508" s="99"/>
      <c r="Q4508" s="99"/>
      <c r="R4508" s="99"/>
      <c r="S4508" s="99"/>
      <c r="T4508" s="99"/>
      <c r="U4508" s="99"/>
      <c r="V4508" s="99"/>
    </row>
    <row r="4509" spans="1:22">
      <c r="A4509" s="297"/>
      <c r="B4509" s="217"/>
      <c r="C4509" s="217"/>
      <c r="D4509" s="101"/>
      <c r="E4509" s="101"/>
      <c r="F4509" s="294"/>
      <c r="G4509" s="295"/>
      <c r="H4509" s="98"/>
      <c r="I4509" s="99"/>
      <c r="J4509" s="99"/>
      <c r="K4509" s="99"/>
      <c r="L4509" s="99"/>
      <c r="M4509" s="99"/>
      <c r="N4509" s="99"/>
      <c r="O4509" s="99"/>
      <c r="P4509" s="99"/>
      <c r="Q4509" s="99"/>
      <c r="R4509" s="99"/>
      <c r="S4509" s="99"/>
      <c r="T4509" s="99"/>
      <c r="U4509" s="99"/>
      <c r="V4509" s="99"/>
    </row>
    <row r="4510" spans="1:22">
      <c r="A4510" s="297"/>
      <c r="B4510" s="217"/>
      <c r="C4510" s="217"/>
      <c r="D4510" s="101"/>
      <c r="E4510" s="101"/>
      <c r="F4510" s="294"/>
      <c r="G4510" s="295"/>
      <c r="H4510" s="98"/>
      <c r="I4510" s="99"/>
      <c r="J4510" s="99"/>
      <c r="K4510" s="99"/>
      <c r="L4510" s="99"/>
      <c r="M4510" s="99"/>
      <c r="N4510" s="99"/>
      <c r="O4510" s="99"/>
      <c r="P4510" s="99"/>
      <c r="Q4510" s="99"/>
      <c r="R4510" s="99"/>
      <c r="S4510" s="99"/>
      <c r="T4510" s="99"/>
      <c r="U4510" s="99"/>
      <c r="V4510" s="99"/>
    </row>
    <row r="4511" spans="1:22">
      <c r="A4511" s="297"/>
      <c r="B4511" s="217"/>
      <c r="C4511" s="217"/>
      <c r="D4511" s="101"/>
      <c r="E4511" s="101"/>
      <c r="F4511" s="294"/>
      <c r="G4511" s="295"/>
      <c r="H4511" s="98"/>
      <c r="I4511" s="99"/>
      <c r="J4511" s="99"/>
      <c r="K4511" s="99"/>
      <c r="L4511" s="99"/>
      <c r="M4511" s="99"/>
      <c r="N4511" s="99"/>
      <c r="O4511" s="99"/>
      <c r="P4511" s="99"/>
      <c r="Q4511" s="99"/>
      <c r="R4511" s="99"/>
      <c r="S4511" s="99"/>
      <c r="T4511" s="99"/>
      <c r="U4511" s="99"/>
      <c r="V4511" s="99"/>
    </row>
    <row r="4512" spans="1:22">
      <c r="A4512" s="297"/>
      <c r="B4512" s="217"/>
      <c r="C4512" s="217"/>
      <c r="D4512" s="101"/>
      <c r="E4512" s="101"/>
      <c r="F4512" s="294"/>
      <c r="G4512" s="295"/>
      <c r="H4512" s="98"/>
      <c r="I4512" s="99"/>
      <c r="J4512" s="99"/>
      <c r="K4512" s="99"/>
      <c r="L4512" s="99"/>
      <c r="M4512" s="99"/>
      <c r="N4512" s="99"/>
      <c r="O4512" s="99"/>
      <c r="P4512" s="99"/>
      <c r="Q4512" s="99"/>
      <c r="R4512" s="99"/>
      <c r="S4512" s="99"/>
      <c r="T4512" s="99"/>
      <c r="U4512" s="99"/>
      <c r="V4512" s="99"/>
    </row>
    <row r="4513" spans="1:22">
      <c r="A4513" s="297"/>
      <c r="B4513" s="217"/>
      <c r="C4513" s="217"/>
      <c r="D4513" s="101"/>
      <c r="E4513" s="101"/>
      <c r="F4513" s="294"/>
      <c r="G4513" s="295"/>
      <c r="H4513" s="98"/>
      <c r="I4513" s="99"/>
      <c r="J4513" s="99"/>
      <c r="K4513" s="99"/>
      <c r="L4513" s="99"/>
      <c r="M4513" s="99"/>
      <c r="N4513" s="99"/>
      <c r="O4513" s="99"/>
      <c r="P4513" s="99"/>
      <c r="Q4513" s="99"/>
      <c r="R4513" s="99"/>
      <c r="S4513" s="99"/>
      <c r="T4513" s="99"/>
      <c r="U4513" s="99"/>
      <c r="V4513" s="99"/>
    </row>
    <row r="4514" spans="1:22">
      <c r="A4514" s="297"/>
      <c r="B4514" s="217"/>
      <c r="C4514" s="217"/>
      <c r="D4514" s="101"/>
      <c r="E4514" s="101"/>
      <c r="F4514" s="294"/>
      <c r="G4514" s="295"/>
      <c r="H4514" s="98"/>
      <c r="I4514" s="99"/>
      <c r="J4514" s="99"/>
      <c r="K4514" s="99"/>
      <c r="L4514" s="99"/>
      <c r="M4514" s="99"/>
      <c r="N4514" s="99"/>
      <c r="O4514" s="99"/>
      <c r="P4514" s="99"/>
      <c r="Q4514" s="99"/>
      <c r="R4514" s="99"/>
      <c r="S4514" s="99"/>
      <c r="T4514" s="99"/>
      <c r="U4514" s="99"/>
      <c r="V4514" s="99"/>
    </row>
    <row r="4515" spans="1:22">
      <c r="A4515" s="297"/>
      <c r="B4515" s="217"/>
      <c r="C4515" s="217"/>
      <c r="D4515" s="101"/>
      <c r="E4515" s="101"/>
      <c r="F4515" s="294"/>
      <c r="G4515" s="295"/>
      <c r="H4515" s="98"/>
      <c r="I4515" s="99"/>
      <c r="J4515" s="99"/>
      <c r="K4515" s="99"/>
      <c r="L4515" s="99"/>
      <c r="M4515" s="99"/>
      <c r="N4515" s="99"/>
      <c r="O4515" s="99"/>
      <c r="P4515" s="99"/>
      <c r="Q4515" s="99"/>
      <c r="R4515" s="99"/>
      <c r="S4515" s="99"/>
      <c r="T4515" s="99"/>
      <c r="U4515" s="99"/>
      <c r="V4515" s="99"/>
    </row>
    <row r="4516" spans="1:22">
      <c r="A4516" s="297"/>
      <c r="B4516" s="217"/>
      <c r="C4516" s="217"/>
      <c r="D4516" s="101"/>
      <c r="E4516" s="101"/>
      <c r="F4516" s="294"/>
      <c r="G4516" s="295"/>
      <c r="H4516" s="98"/>
      <c r="I4516" s="99"/>
      <c r="J4516" s="99"/>
      <c r="K4516" s="99"/>
      <c r="L4516" s="99"/>
      <c r="M4516" s="99"/>
      <c r="N4516" s="99"/>
      <c r="O4516" s="99"/>
      <c r="P4516" s="99"/>
      <c r="Q4516" s="99"/>
      <c r="R4516" s="99"/>
      <c r="S4516" s="99"/>
      <c r="T4516" s="99"/>
      <c r="U4516" s="99"/>
      <c r="V4516" s="99"/>
    </row>
    <row r="4517" spans="1:22">
      <c r="A4517" s="297"/>
      <c r="B4517" s="217"/>
      <c r="C4517" s="217"/>
      <c r="D4517" s="101"/>
      <c r="E4517" s="101"/>
      <c r="F4517" s="294"/>
      <c r="G4517" s="295"/>
      <c r="H4517" s="98"/>
      <c r="I4517" s="99"/>
      <c r="J4517" s="99"/>
      <c r="K4517" s="99"/>
      <c r="L4517" s="99"/>
      <c r="M4517" s="99"/>
      <c r="N4517" s="99"/>
      <c r="O4517" s="99"/>
      <c r="P4517" s="99"/>
      <c r="Q4517" s="99"/>
      <c r="R4517" s="99"/>
      <c r="S4517" s="99"/>
      <c r="T4517" s="99"/>
      <c r="U4517" s="99"/>
      <c r="V4517" s="99"/>
    </row>
    <row r="4518" spans="1:22">
      <c r="A4518" s="297"/>
      <c r="B4518" s="217"/>
      <c r="C4518" s="217"/>
      <c r="D4518" s="101"/>
      <c r="E4518" s="101"/>
      <c r="F4518" s="294"/>
      <c r="G4518" s="295"/>
      <c r="H4518" s="98"/>
      <c r="I4518" s="99"/>
      <c r="J4518" s="99"/>
      <c r="K4518" s="99"/>
      <c r="L4518" s="99"/>
      <c r="M4518" s="99"/>
      <c r="N4518" s="99"/>
      <c r="O4518" s="99"/>
      <c r="P4518" s="99"/>
      <c r="Q4518" s="99"/>
      <c r="R4518" s="99"/>
      <c r="S4518" s="99"/>
      <c r="T4518" s="99"/>
      <c r="U4518" s="99"/>
      <c r="V4518" s="99"/>
    </row>
    <row r="4519" spans="1:22">
      <c r="A4519" s="297"/>
      <c r="B4519" s="217"/>
      <c r="C4519" s="217"/>
      <c r="D4519" s="101"/>
      <c r="E4519" s="101"/>
      <c r="F4519" s="294"/>
      <c r="G4519" s="295"/>
      <c r="H4519" s="98"/>
      <c r="I4519" s="99"/>
      <c r="J4519" s="99"/>
      <c r="K4519" s="99"/>
      <c r="L4519" s="99"/>
      <c r="M4519" s="99"/>
      <c r="N4519" s="99"/>
      <c r="O4519" s="99"/>
      <c r="P4519" s="99"/>
      <c r="Q4519" s="99"/>
      <c r="R4519" s="99"/>
      <c r="S4519" s="99"/>
      <c r="T4519" s="99"/>
      <c r="U4519" s="99"/>
      <c r="V4519" s="99"/>
    </row>
    <row r="4520" spans="1:22">
      <c r="A4520" s="297"/>
      <c r="B4520" s="217"/>
      <c r="C4520" s="217"/>
      <c r="D4520" s="101"/>
      <c r="E4520" s="101"/>
      <c r="F4520" s="294"/>
      <c r="G4520" s="295"/>
      <c r="H4520" s="98"/>
      <c r="I4520" s="99"/>
      <c r="J4520" s="99"/>
      <c r="K4520" s="99"/>
      <c r="L4520" s="99"/>
      <c r="M4520" s="99"/>
      <c r="N4520" s="99"/>
      <c r="O4520" s="99"/>
      <c r="P4520" s="99"/>
      <c r="Q4520" s="99"/>
      <c r="R4520" s="99"/>
      <c r="S4520" s="99"/>
      <c r="T4520" s="99"/>
      <c r="U4520" s="99"/>
      <c r="V4520" s="99"/>
    </row>
    <row r="4521" spans="1:22">
      <c r="A4521" s="297"/>
      <c r="B4521" s="217"/>
      <c r="C4521" s="217"/>
      <c r="D4521" s="101"/>
      <c r="E4521" s="101"/>
      <c r="F4521" s="294"/>
      <c r="G4521" s="295"/>
      <c r="H4521" s="98"/>
      <c r="I4521" s="99"/>
      <c r="J4521" s="99"/>
      <c r="K4521" s="99"/>
      <c r="L4521" s="99"/>
      <c r="M4521" s="99"/>
      <c r="N4521" s="99"/>
      <c r="O4521" s="99"/>
      <c r="P4521" s="99"/>
      <c r="Q4521" s="99"/>
      <c r="R4521" s="99"/>
      <c r="S4521" s="99"/>
      <c r="T4521" s="99"/>
      <c r="U4521" s="99"/>
      <c r="V4521" s="99"/>
    </row>
    <row r="4522" spans="1:22">
      <c r="A4522" s="297"/>
      <c r="B4522" s="217"/>
      <c r="C4522" s="217"/>
      <c r="D4522" s="101"/>
      <c r="E4522" s="101"/>
      <c r="F4522" s="294"/>
      <c r="G4522" s="295"/>
      <c r="H4522" s="98"/>
      <c r="I4522" s="99"/>
      <c r="J4522" s="99"/>
      <c r="K4522" s="99"/>
      <c r="L4522" s="99"/>
      <c r="M4522" s="99"/>
      <c r="N4522" s="99"/>
      <c r="O4522" s="99"/>
      <c r="P4522" s="99"/>
      <c r="Q4522" s="99"/>
      <c r="R4522" s="99"/>
      <c r="S4522" s="99"/>
      <c r="T4522" s="99"/>
      <c r="U4522" s="99"/>
      <c r="V4522" s="99"/>
    </row>
    <row r="4523" spans="1:22">
      <c r="A4523" s="297"/>
      <c r="B4523" s="217"/>
      <c r="C4523" s="217"/>
      <c r="D4523" s="101"/>
      <c r="E4523" s="101"/>
      <c r="F4523" s="294"/>
      <c r="G4523" s="295"/>
      <c r="H4523" s="98"/>
      <c r="I4523" s="99"/>
      <c r="J4523" s="99"/>
      <c r="K4523" s="99"/>
      <c r="L4523" s="99"/>
      <c r="M4523" s="99"/>
      <c r="N4523" s="99"/>
      <c r="O4523" s="99"/>
      <c r="P4523" s="99"/>
      <c r="Q4523" s="99"/>
      <c r="R4523" s="99"/>
      <c r="S4523" s="99"/>
      <c r="T4523" s="99"/>
      <c r="U4523" s="99"/>
      <c r="V4523" s="99"/>
    </row>
    <row r="4524" spans="1:22">
      <c r="A4524" s="297"/>
      <c r="B4524" s="217"/>
      <c r="C4524" s="217"/>
      <c r="D4524" s="101"/>
      <c r="E4524" s="101"/>
      <c r="F4524" s="294"/>
      <c r="G4524" s="295"/>
      <c r="H4524" s="98"/>
      <c r="I4524" s="99"/>
      <c r="J4524" s="99"/>
      <c r="K4524" s="99"/>
      <c r="L4524" s="99"/>
      <c r="M4524" s="99"/>
      <c r="N4524" s="99"/>
      <c r="O4524" s="99"/>
      <c r="P4524" s="99"/>
      <c r="Q4524" s="99"/>
      <c r="R4524" s="99"/>
      <c r="S4524" s="99"/>
      <c r="T4524" s="99"/>
      <c r="U4524" s="99"/>
      <c r="V4524" s="99"/>
    </row>
    <row r="4525" spans="1:22">
      <c r="A4525" s="297"/>
      <c r="B4525" s="217"/>
      <c r="C4525" s="217"/>
      <c r="D4525" s="101"/>
      <c r="E4525" s="101"/>
      <c r="F4525" s="294"/>
      <c r="G4525" s="295"/>
      <c r="H4525" s="98"/>
      <c r="I4525" s="99"/>
      <c r="J4525" s="99"/>
      <c r="K4525" s="99"/>
      <c r="L4525" s="99"/>
      <c r="M4525" s="99"/>
      <c r="N4525" s="99"/>
      <c r="O4525" s="99"/>
      <c r="P4525" s="99"/>
      <c r="Q4525" s="99"/>
      <c r="R4525" s="99"/>
      <c r="S4525" s="99"/>
      <c r="T4525" s="99"/>
      <c r="U4525" s="99"/>
      <c r="V4525" s="99"/>
    </row>
    <row r="4526" spans="1:22">
      <c r="A4526" s="297"/>
      <c r="B4526" s="217"/>
      <c r="C4526" s="217"/>
      <c r="D4526" s="101"/>
      <c r="E4526" s="101"/>
      <c r="F4526" s="294"/>
      <c r="G4526" s="295"/>
      <c r="H4526" s="98"/>
      <c r="I4526" s="99"/>
      <c r="J4526" s="99"/>
      <c r="K4526" s="99"/>
      <c r="L4526" s="99"/>
      <c r="M4526" s="99"/>
      <c r="N4526" s="99"/>
      <c r="O4526" s="99"/>
      <c r="P4526" s="99"/>
      <c r="Q4526" s="99"/>
      <c r="R4526" s="99"/>
      <c r="S4526" s="99"/>
      <c r="T4526" s="99"/>
      <c r="U4526" s="99"/>
      <c r="V4526" s="99"/>
    </row>
    <row r="4527" spans="1:22">
      <c r="A4527" s="297"/>
      <c r="B4527" s="217"/>
      <c r="C4527" s="217"/>
      <c r="D4527" s="101"/>
      <c r="E4527" s="101"/>
      <c r="F4527" s="294"/>
      <c r="G4527" s="295"/>
      <c r="H4527" s="98"/>
      <c r="I4527" s="99"/>
      <c r="J4527" s="99"/>
      <c r="K4527" s="99"/>
      <c r="L4527" s="99"/>
      <c r="M4527" s="99"/>
      <c r="N4527" s="99"/>
      <c r="O4527" s="99"/>
      <c r="P4527" s="99"/>
      <c r="Q4527" s="99"/>
      <c r="R4527" s="99"/>
      <c r="S4527" s="99"/>
      <c r="T4527" s="99"/>
      <c r="U4527" s="99"/>
      <c r="V4527" s="99"/>
    </row>
    <row r="4528" spans="1:22">
      <c r="A4528" s="297"/>
      <c r="B4528" s="217"/>
      <c r="C4528" s="217"/>
      <c r="D4528" s="101"/>
      <c r="E4528" s="101"/>
      <c r="F4528" s="294"/>
      <c r="G4528" s="295"/>
      <c r="H4528" s="98"/>
      <c r="I4528" s="99"/>
      <c r="J4528" s="99"/>
      <c r="K4528" s="99"/>
      <c r="L4528" s="99"/>
      <c r="M4528" s="99"/>
      <c r="N4528" s="99"/>
      <c r="O4528" s="99"/>
      <c r="P4528" s="99"/>
      <c r="Q4528" s="99"/>
      <c r="R4528" s="99"/>
      <c r="S4528" s="99"/>
      <c r="T4528" s="99"/>
      <c r="U4528" s="99"/>
      <c r="V4528" s="99"/>
    </row>
    <row r="4529" spans="1:22">
      <c r="A4529" s="297"/>
      <c r="B4529" s="217"/>
      <c r="C4529" s="217"/>
      <c r="D4529" s="101"/>
      <c r="E4529" s="101"/>
      <c r="F4529" s="294"/>
      <c r="G4529" s="295"/>
      <c r="H4529" s="98"/>
      <c r="I4529" s="99"/>
      <c r="J4529" s="99"/>
      <c r="K4529" s="99"/>
      <c r="L4529" s="99"/>
      <c r="M4529" s="99"/>
      <c r="N4529" s="99"/>
      <c r="O4529" s="99"/>
      <c r="P4529" s="99"/>
      <c r="Q4529" s="99"/>
      <c r="R4529" s="99"/>
      <c r="S4529" s="99"/>
      <c r="T4529" s="99"/>
      <c r="U4529" s="99"/>
      <c r="V4529" s="99"/>
    </row>
    <row r="4530" spans="1:22">
      <c r="A4530" s="297"/>
      <c r="B4530" s="217"/>
      <c r="C4530" s="217"/>
      <c r="D4530" s="101"/>
      <c r="E4530" s="101"/>
      <c r="F4530" s="294"/>
      <c r="G4530" s="295"/>
      <c r="H4530" s="107"/>
      <c r="I4530" s="109"/>
      <c r="J4530" s="109"/>
      <c r="K4530" s="109"/>
      <c r="L4530" s="109"/>
      <c r="M4530" s="109"/>
      <c r="N4530" s="109"/>
      <c r="O4530" s="109"/>
      <c r="P4530" s="109"/>
      <c r="Q4530" s="109"/>
      <c r="R4530" s="109"/>
      <c r="S4530" s="109"/>
      <c r="T4530" s="109"/>
      <c r="U4530" s="202"/>
      <c r="V4530" s="202"/>
    </row>
    <row r="4531" spans="1:22">
      <c r="A4531" s="297"/>
      <c r="B4531" s="217"/>
      <c r="C4531" s="217"/>
      <c r="D4531" s="101"/>
      <c r="E4531" s="101"/>
      <c r="F4531" s="294"/>
      <c r="G4531" s="295"/>
      <c r="H4531" s="98"/>
      <c r="I4531" s="106"/>
      <c r="J4531" s="106"/>
      <c r="K4531" s="106"/>
      <c r="L4531" s="106"/>
      <c r="M4531" s="106"/>
      <c r="N4531" s="112"/>
      <c r="O4531" s="112"/>
      <c r="P4531" s="112"/>
      <c r="Q4531" s="113"/>
      <c r="R4531" s="113"/>
      <c r="S4531" s="113"/>
      <c r="T4531" s="113"/>
      <c r="U4531" s="113"/>
      <c r="V4531" s="113"/>
    </row>
    <row r="4532" spans="1:22">
      <c r="A4532" s="297"/>
      <c r="B4532" s="217"/>
      <c r="C4532" s="217"/>
      <c r="D4532" s="101"/>
      <c r="E4532" s="101"/>
      <c r="F4532" s="294"/>
      <c r="G4532" s="295"/>
      <c r="H4532" s="98"/>
      <c r="I4532" s="99"/>
      <c r="J4532" s="99"/>
      <c r="K4532" s="99"/>
      <c r="L4532" s="99"/>
      <c r="M4532" s="99"/>
      <c r="N4532" s="99"/>
      <c r="O4532" s="99"/>
      <c r="P4532" s="99"/>
      <c r="Q4532" s="99"/>
      <c r="R4532" s="99"/>
      <c r="S4532" s="99"/>
      <c r="T4532" s="99"/>
      <c r="U4532" s="99"/>
      <c r="V4532" s="99"/>
    </row>
    <row r="4533" spans="1:22">
      <c r="A4533" s="297"/>
      <c r="B4533" s="217"/>
      <c r="C4533" s="217"/>
      <c r="D4533" s="101"/>
      <c r="E4533" s="101"/>
      <c r="F4533" s="294"/>
      <c r="G4533" s="295"/>
      <c r="H4533" s="98"/>
      <c r="I4533" s="99"/>
      <c r="J4533" s="99"/>
      <c r="K4533" s="99"/>
      <c r="L4533" s="99"/>
      <c r="M4533" s="99"/>
      <c r="N4533" s="99"/>
      <c r="O4533" s="99"/>
      <c r="P4533" s="99"/>
      <c r="Q4533" s="99"/>
      <c r="R4533" s="99"/>
      <c r="S4533" s="99"/>
      <c r="T4533" s="99"/>
      <c r="U4533" s="99"/>
      <c r="V4533" s="99"/>
    </row>
    <row r="4534" spans="1:22">
      <c r="A4534" s="297"/>
      <c r="B4534" s="217"/>
      <c r="C4534" s="217"/>
      <c r="D4534" s="101"/>
      <c r="E4534" s="101"/>
      <c r="F4534" s="294"/>
      <c r="G4534" s="295"/>
      <c r="H4534" s="98"/>
      <c r="I4534" s="99"/>
      <c r="J4534" s="99"/>
      <c r="K4534" s="99"/>
      <c r="L4534" s="99"/>
      <c r="M4534" s="99"/>
      <c r="N4534" s="99"/>
      <c r="O4534" s="99"/>
      <c r="P4534" s="99"/>
      <c r="Q4534" s="99"/>
      <c r="R4534" s="99"/>
      <c r="S4534" s="99"/>
      <c r="T4534" s="99"/>
      <c r="U4534" s="99"/>
      <c r="V4534" s="99"/>
    </row>
    <row r="4535" spans="1:22">
      <c r="A4535" s="297"/>
      <c r="B4535" s="217"/>
      <c r="C4535" s="217"/>
      <c r="D4535" s="101"/>
      <c r="E4535" s="101"/>
      <c r="F4535" s="294"/>
      <c r="G4535" s="295"/>
      <c r="H4535" s="98"/>
      <c r="I4535" s="99"/>
      <c r="J4535" s="99"/>
      <c r="K4535" s="99"/>
      <c r="L4535" s="99"/>
      <c r="M4535" s="99"/>
      <c r="N4535" s="99"/>
      <c r="O4535" s="99"/>
      <c r="P4535" s="99"/>
      <c r="Q4535" s="99"/>
      <c r="R4535" s="99"/>
      <c r="S4535" s="99"/>
      <c r="T4535" s="99"/>
      <c r="U4535" s="99"/>
      <c r="V4535" s="99"/>
    </row>
    <row r="4536" spans="1:22">
      <c r="A4536" s="297"/>
      <c r="B4536" s="217"/>
      <c r="C4536" s="217"/>
      <c r="D4536" s="101"/>
      <c r="E4536" s="101"/>
      <c r="F4536" s="294"/>
      <c r="G4536" s="295"/>
      <c r="H4536" s="98"/>
      <c r="I4536" s="99"/>
      <c r="J4536" s="99"/>
      <c r="K4536" s="99"/>
      <c r="L4536" s="99"/>
      <c r="M4536" s="99"/>
      <c r="N4536" s="99"/>
      <c r="O4536" s="99"/>
      <c r="P4536" s="99"/>
      <c r="Q4536" s="99"/>
      <c r="R4536" s="99"/>
      <c r="S4536" s="99"/>
      <c r="T4536" s="99"/>
      <c r="U4536" s="99"/>
      <c r="V4536" s="99"/>
    </row>
    <row r="4537" spans="1:22">
      <c r="A4537" s="297"/>
      <c r="B4537" s="217"/>
      <c r="C4537" s="217"/>
      <c r="D4537" s="101"/>
      <c r="E4537" s="101"/>
      <c r="F4537" s="294"/>
      <c r="G4537" s="295"/>
      <c r="H4537" s="98"/>
      <c r="I4537" s="99"/>
      <c r="J4537" s="99"/>
      <c r="K4537" s="99"/>
      <c r="L4537" s="99"/>
      <c r="M4537" s="99"/>
      <c r="N4537" s="99"/>
      <c r="O4537" s="99"/>
      <c r="P4537" s="99"/>
      <c r="Q4537" s="99"/>
      <c r="R4537" s="99"/>
      <c r="S4537" s="99"/>
      <c r="T4537" s="99"/>
      <c r="U4537" s="99"/>
      <c r="V4537" s="99"/>
    </row>
    <row r="4538" spans="1:22">
      <c r="A4538" s="297"/>
      <c r="B4538" s="217"/>
      <c r="C4538" s="217"/>
      <c r="D4538" s="101"/>
      <c r="E4538" s="101"/>
      <c r="F4538" s="294"/>
      <c r="G4538" s="295"/>
      <c r="H4538" s="98"/>
      <c r="I4538" s="99"/>
      <c r="J4538" s="99"/>
      <c r="K4538" s="99"/>
      <c r="L4538" s="99"/>
      <c r="M4538" s="99"/>
      <c r="N4538" s="99"/>
      <c r="O4538" s="99"/>
      <c r="P4538" s="99"/>
      <c r="Q4538" s="99"/>
      <c r="R4538" s="99"/>
      <c r="S4538" s="99"/>
      <c r="T4538" s="99"/>
      <c r="U4538" s="99"/>
      <c r="V4538" s="99"/>
    </row>
    <row r="4539" spans="1:22">
      <c r="A4539" s="297"/>
      <c r="B4539" s="217"/>
      <c r="C4539" s="217"/>
      <c r="D4539" s="101"/>
      <c r="E4539" s="101"/>
      <c r="F4539" s="294"/>
      <c r="G4539" s="295"/>
      <c r="H4539" s="98"/>
      <c r="I4539" s="99"/>
      <c r="J4539" s="99"/>
      <c r="K4539" s="99"/>
      <c r="L4539" s="99"/>
      <c r="M4539" s="99"/>
      <c r="N4539" s="99"/>
      <c r="O4539" s="99"/>
      <c r="P4539" s="99"/>
      <c r="Q4539" s="99"/>
      <c r="R4539" s="99"/>
      <c r="S4539" s="99"/>
      <c r="T4539" s="99"/>
      <c r="U4539" s="99"/>
      <c r="V4539" s="99"/>
    </row>
    <row r="4540" spans="1:22" ht="24" customHeight="1">
      <c r="A4540" s="297"/>
      <c r="B4540" s="217"/>
      <c r="C4540" s="217"/>
      <c r="D4540" s="101"/>
      <c r="E4540" s="101"/>
      <c r="F4540" s="294"/>
      <c r="G4540" s="295"/>
      <c r="H4540" s="98"/>
      <c r="I4540" s="99"/>
      <c r="J4540" s="99"/>
      <c r="K4540" s="99"/>
      <c r="L4540" s="99"/>
      <c r="M4540" s="99"/>
      <c r="N4540" s="99"/>
      <c r="O4540" s="99"/>
      <c r="P4540" s="99"/>
      <c r="Q4540" s="99"/>
      <c r="R4540" s="99"/>
      <c r="S4540" s="99"/>
      <c r="T4540" s="99"/>
      <c r="U4540" s="99"/>
      <c r="V4540" s="99"/>
    </row>
    <row r="4541" spans="1:22">
      <c r="A4541" s="297"/>
      <c r="B4541" s="217"/>
      <c r="C4541" s="217"/>
      <c r="D4541" s="101"/>
      <c r="E4541" s="101"/>
      <c r="F4541" s="294"/>
      <c r="G4541" s="295"/>
      <c r="H4541" s="98"/>
      <c r="I4541" s="99"/>
      <c r="J4541" s="99"/>
      <c r="K4541" s="99"/>
      <c r="L4541" s="99"/>
      <c r="M4541" s="99"/>
      <c r="N4541" s="99"/>
      <c r="O4541" s="99"/>
      <c r="P4541" s="99"/>
      <c r="Q4541" s="99"/>
      <c r="R4541" s="99"/>
      <c r="S4541" s="99"/>
      <c r="T4541" s="99"/>
      <c r="U4541" s="99"/>
      <c r="V4541" s="99"/>
    </row>
    <row r="4542" spans="1:22">
      <c r="A4542" s="297"/>
      <c r="B4542" s="217"/>
      <c r="C4542" s="217"/>
      <c r="D4542" s="101"/>
      <c r="E4542" s="101"/>
      <c r="F4542" s="294"/>
      <c r="G4542" s="295"/>
      <c r="H4542" s="98"/>
      <c r="I4542" s="99"/>
      <c r="J4542" s="99"/>
      <c r="K4542" s="99"/>
      <c r="L4542" s="99"/>
      <c r="M4542" s="99"/>
      <c r="N4542" s="99"/>
      <c r="O4542" s="99"/>
      <c r="P4542" s="99"/>
      <c r="Q4542" s="99"/>
      <c r="R4542" s="99"/>
      <c r="S4542" s="99"/>
      <c r="T4542" s="99"/>
      <c r="U4542" s="99"/>
      <c r="V4542" s="99"/>
    </row>
    <row r="4543" spans="1:22">
      <c r="A4543" s="297"/>
      <c r="B4543" s="217"/>
      <c r="C4543" s="217"/>
      <c r="D4543" s="101"/>
      <c r="E4543" s="101"/>
      <c r="F4543" s="294"/>
      <c r="G4543" s="295"/>
      <c r="H4543" s="98"/>
      <c r="I4543" s="99"/>
      <c r="J4543" s="99"/>
      <c r="K4543" s="99"/>
      <c r="L4543" s="99"/>
      <c r="M4543" s="99"/>
      <c r="N4543" s="99"/>
      <c r="O4543" s="99"/>
      <c r="P4543" s="99"/>
      <c r="Q4543" s="99"/>
      <c r="R4543" s="99"/>
      <c r="S4543" s="99"/>
      <c r="T4543" s="99"/>
      <c r="U4543" s="99"/>
      <c r="V4543" s="99"/>
    </row>
    <row r="4544" spans="1:22">
      <c r="A4544" s="297"/>
      <c r="B4544" s="217"/>
      <c r="C4544" s="217"/>
      <c r="D4544" s="101"/>
      <c r="E4544" s="101"/>
      <c r="F4544" s="294"/>
      <c r="G4544" s="295"/>
      <c r="H4544" s="98"/>
      <c r="I4544" s="99"/>
      <c r="J4544" s="99"/>
      <c r="K4544" s="99"/>
      <c r="L4544" s="99"/>
      <c r="M4544" s="99"/>
      <c r="N4544" s="99"/>
      <c r="O4544" s="99"/>
      <c r="P4544" s="99"/>
      <c r="Q4544" s="99"/>
      <c r="R4544" s="99"/>
      <c r="S4544" s="99"/>
      <c r="T4544" s="99"/>
      <c r="U4544" s="99"/>
      <c r="V4544" s="99"/>
    </row>
    <row r="4545" spans="1:22">
      <c r="A4545" s="297"/>
      <c r="B4545" s="217"/>
      <c r="C4545" s="217"/>
      <c r="D4545" s="101"/>
      <c r="E4545" s="101"/>
      <c r="F4545" s="294"/>
      <c r="G4545" s="295"/>
      <c r="H4545" s="98"/>
      <c r="I4545" s="99"/>
      <c r="J4545" s="99"/>
      <c r="K4545" s="99"/>
      <c r="L4545" s="99"/>
      <c r="M4545" s="99"/>
      <c r="N4545" s="99"/>
      <c r="O4545" s="99"/>
      <c r="P4545" s="99"/>
      <c r="Q4545" s="99"/>
      <c r="R4545" s="99"/>
      <c r="S4545" s="99"/>
      <c r="T4545" s="99"/>
      <c r="U4545" s="99"/>
      <c r="V4545" s="99"/>
    </row>
    <row r="4546" spans="1:22">
      <c r="A4546" s="297"/>
      <c r="B4546" s="217"/>
      <c r="C4546" s="217"/>
      <c r="D4546" s="101"/>
      <c r="E4546" s="101"/>
      <c r="F4546" s="294"/>
      <c r="G4546" s="295"/>
      <c r="H4546" s="98"/>
      <c r="I4546" s="99"/>
      <c r="J4546" s="99"/>
      <c r="K4546" s="99"/>
      <c r="L4546" s="99"/>
      <c r="M4546" s="99"/>
      <c r="N4546" s="99"/>
      <c r="O4546" s="99"/>
      <c r="P4546" s="99"/>
      <c r="Q4546" s="99"/>
      <c r="R4546" s="99"/>
      <c r="S4546" s="99"/>
      <c r="T4546" s="99"/>
      <c r="U4546" s="99"/>
      <c r="V4546" s="99"/>
    </row>
    <row r="4547" spans="1:22">
      <c r="A4547" s="297"/>
      <c r="B4547" s="217"/>
      <c r="C4547" s="217"/>
      <c r="D4547" s="101"/>
      <c r="E4547" s="101"/>
      <c r="F4547" s="294"/>
      <c r="G4547" s="295"/>
      <c r="H4547" s="98"/>
      <c r="I4547" s="99"/>
      <c r="J4547" s="99"/>
      <c r="K4547" s="99"/>
      <c r="L4547" s="99"/>
      <c r="M4547" s="99"/>
      <c r="N4547" s="99"/>
      <c r="O4547" s="99"/>
      <c r="P4547" s="99"/>
      <c r="Q4547" s="99"/>
      <c r="R4547" s="99"/>
      <c r="S4547" s="99"/>
      <c r="T4547" s="99"/>
      <c r="U4547" s="99"/>
      <c r="V4547" s="99"/>
    </row>
    <row r="4548" spans="1:22">
      <c r="A4548" s="297"/>
      <c r="B4548" s="217"/>
      <c r="C4548" s="217"/>
      <c r="D4548" s="101"/>
      <c r="E4548" s="101"/>
      <c r="F4548" s="294"/>
      <c r="G4548" s="295"/>
      <c r="H4548" s="98"/>
      <c r="I4548" s="99"/>
      <c r="J4548" s="99"/>
      <c r="K4548" s="99"/>
      <c r="L4548" s="99"/>
      <c r="M4548" s="99"/>
      <c r="N4548" s="99"/>
      <c r="O4548" s="99"/>
      <c r="P4548" s="99"/>
      <c r="Q4548" s="99"/>
      <c r="R4548" s="99"/>
      <c r="S4548" s="99"/>
      <c r="T4548" s="99"/>
      <c r="U4548" s="99"/>
      <c r="V4548" s="99"/>
    </row>
    <row r="4549" spans="1:22">
      <c r="A4549" s="297"/>
      <c r="B4549" s="217"/>
      <c r="C4549" s="217"/>
      <c r="D4549" s="101"/>
      <c r="E4549" s="101"/>
      <c r="F4549" s="294"/>
      <c r="G4549" s="295"/>
      <c r="H4549" s="98"/>
      <c r="I4549" s="99"/>
      <c r="J4549" s="99"/>
      <c r="K4549" s="99"/>
      <c r="L4549" s="99"/>
      <c r="M4549" s="99"/>
      <c r="N4549" s="99"/>
      <c r="O4549" s="99"/>
      <c r="P4549" s="99"/>
      <c r="Q4549" s="99"/>
      <c r="R4549" s="99"/>
      <c r="S4549" s="99"/>
      <c r="T4549" s="99"/>
      <c r="U4549" s="99"/>
      <c r="V4549" s="99"/>
    </row>
    <row r="4550" spans="1:22">
      <c r="A4550" s="297"/>
      <c r="B4550" s="217"/>
      <c r="C4550" s="217"/>
      <c r="D4550" s="101"/>
      <c r="E4550" s="101"/>
      <c r="F4550" s="294"/>
      <c r="G4550" s="295"/>
      <c r="H4550" s="98"/>
      <c r="I4550" s="99"/>
      <c r="J4550" s="99"/>
      <c r="K4550" s="99"/>
      <c r="L4550" s="99"/>
      <c r="M4550" s="99"/>
      <c r="N4550" s="99"/>
      <c r="O4550" s="99"/>
      <c r="P4550" s="99"/>
      <c r="Q4550" s="99"/>
      <c r="R4550" s="99"/>
      <c r="S4550" s="99"/>
      <c r="T4550" s="99"/>
      <c r="U4550" s="99"/>
      <c r="V4550" s="99"/>
    </row>
    <row r="4551" spans="1:22">
      <c r="A4551" s="297"/>
      <c r="B4551" s="217"/>
      <c r="C4551" s="217"/>
      <c r="D4551" s="101"/>
      <c r="E4551" s="101"/>
      <c r="F4551" s="294"/>
      <c r="G4551" s="295"/>
      <c r="H4551" s="98"/>
      <c r="I4551" s="99"/>
      <c r="J4551" s="99"/>
      <c r="K4551" s="99"/>
      <c r="L4551" s="99"/>
      <c r="M4551" s="99"/>
      <c r="N4551" s="99"/>
      <c r="O4551" s="99"/>
      <c r="P4551" s="99"/>
      <c r="Q4551" s="99"/>
      <c r="R4551" s="99"/>
      <c r="S4551" s="99"/>
      <c r="T4551" s="99"/>
      <c r="U4551" s="99"/>
      <c r="V4551" s="99"/>
    </row>
    <row r="4552" spans="1:22">
      <c r="A4552" s="297"/>
      <c r="B4552" s="217"/>
      <c r="C4552" s="217"/>
      <c r="D4552" s="101"/>
      <c r="E4552" s="101"/>
      <c r="F4552" s="294"/>
      <c r="G4552" s="295"/>
      <c r="H4552" s="98"/>
      <c r="I4552" s="99"/>
      <c r="J4552" s="99"/>
      <c r="K4552" s="99"/>
      <c r="L4552" s="99"/>
      <c r="M4552" s="99"/>
      <c r="N4552" s="99"/>
      <c r="O4552" s="99"/>
      <c r="P4552" s="99"/>
      <c r="Q4552" s="99"/>
      <c r="R4552" s="99"/>
      <c r="S4552" s="99"/>
      <c r="T4552" s="99"/>
      <c r="U4552" s="99"/>
      <c r="V4552" s="99"/>
    </row>
    <row r="4553" spans="1:22">
      <c r="A4553" s="297"/>
      <c r="B4553" s="217"/>
      <c r="C4553" s="217"/>
      <c r="D4553" s="101"/>
      <c r="E4553" s="101"/>
      <c r="F4553" s="294"/>
      <c r="G4553" s="295"/>
      <c r="H4553" s="98"/>
      <c r="I4553" s="99"/>
      <c r="J4553" s="99"/>
      <c r="K4553" s="99"/>
      <c r="L4553" s="99"/>
      <c r="M4553" s="99"/>
      <c r="N4553" s="99"/>
      <c r="O4553" s="99"/>
      <c r="P4553" s="99"/>
      <c r="Q4553" s="99"/>
      <c r="R4553" s="99"/>
      <c r="S4553" s="99"/>
      <c r="T4553" s="99"/>
      <c r="U4553" s="99"/>
      <c r="V4553" s="99"/>
    </row>
    <row r="4554" spans="1:22">
      <c r="A4554" s="297"/>
      <c r="B4554" s="217"/>
      <c r="C4554" s="217"/>
      <c r="D4554" s="101"/>
      <c r="E4554" s="101"/>
      <c r="F4554" s="294"/>
      <c r="G4554" s="295"/>
      <c r="H4554" s="107"/>
      <c r="I4554" s="109"/>
      <c r="J4554" s="109"/>
      <c r="K4554" s="109"/>
      <c r="L4554" s="109"/>
      <c r="M4554" s="109"/>
      <c r="N4554" s="109"/>
      <c r="O4554" s="109"/>
      <c r="P4554" s="109"/>
      <c r="Q4554" s="109"/>
      <c r="R4554" s="109"/>
      <c r="S4554" s="109"/>
      <c r="T4554" s="109"/>
      <c r="U4554" s="202"/>
      <c r="V4554" s="202"/>
    </row>
    <row r="4555" spans="1:22">
      <c r="A4555" s="297"/>
      <c r="B4555" s="217"/>
      <c r="C4555" s="217"/>
      <c r="D4555" s="101"/>
      <c r="E4555" s="101"/>
      <c r="F4555" s="294"/>
      <c r="G4555" s="295"/>
      <c r="H4555" s="98"/>
      <c r="I4555" s="106"/>
      <c r="J4555" s="106"/>
      <c r="K4555" s="106"/>
      <c r="L4555" s="106"/>
      <c r="M4555" s="106"/>
      <c r="N4555" s="112"/>
      <c r="O4555" s="112"/>
      <c r="P4555" s="112"/>
      <c r="Q4555" s="113"/>
      <c r="R4555" s="113"/>
      <c r="S4555" s="113"/>
      <c r="T4555" s="113"/>
      <c r="U4555" s="113"/>
      <c r="V4555" s="113"/>
    </row>
    <row r="4556" spans="1:22">
      <c r="A4556" s="297"/>
      <c r="B4556" s="217"/>
      <c r="C4556" s="217"/>
      <c r="D4556" s="101"/>
      <c r="E4556" s="101"/>
      <c r="F4556" s="294"/>
      <c r="G4556" s="295"/>
      <c r="H4556" s="98"/>
      <c r="I4556" s="99"/>
      <c r="J4556" s="99"/>
      <c r="K4556" s="99"/>
      <c r="L4556" s="99"/>
      <c r="M4556" s="99"/>
      <c r="N4556" s="99"/>
      <c r="O4556" s="99"/>
      <c r="P4556" s="99"/>
      <c r="Q4556" s="99"/>
      <c r="R4556" s="99"/>
      <c r="S4556" s="99"/>
      <c r="T4556" s="99"/>
      <c r="U4556" s="99"/>
      <c r="V4556" s="99"/>
    </row>
    <row r="4557" spans="1:22">
      <c r="A4557" s="297"/>
      <c r="B4557" s="217"/>
      <c r="C4557" s="217"/>
      <c r="D4557" s="101"/>
      <c r="E4557" s="101"/>
      <c r="F4557" s="294"/>
      <c r="G4557" s="295"/>
      <c r="H4557" s="98"/>
      <c r="I4557" s="99"/>
      <c r="J4557" s="99"/>
      <c r="K4557" s="99"/>
      <c r="L4557" s="99"/>
      <c r="M4557" s="99"/>
      <c r="N4557" s="99"/>
      <c r="O4557" s="99"/>
      <c r="P4557" s="99"/>
      <c r="Q4557" s="99"/>
      <c r="R4557" s="99"/>
      <c r="S4557" s="99"/>
      <c r="T4557" s="99"/>
      <c r="U4557" s="99"/>
      <c r="V4557" s="99"/>
    </row>
    <row r="4558" spans="1:22">
      <c r="A4558" s="297"/>
      <c r="B4558" s="217"/>
      <c r="C4558" s="217"/>
      <c r="D4558" s="101"/>
      <c r="E4558" s="101"/>
      <c r="F4558" s="294"/>
      <c r="G4558" s="295"/>
      <c r="H4558" s="98"/>
      <c r="I4558" s="99"/>
      <c r="J4558" s="99"/>
      <c r="K4558" s="99"/>
      <c r="L4558" s="99"/>
      <c r="M4558" s="99"/>
      <c r="N4558" s="99"/>
      <c r="O4558" s="99"/>
      <c r="P4558" s="99"/>
      <c r="Q4558" s="99"/>
      <c r="R4558" s="99"/>
      <c r="S4558" s="99"/>
      <c r="T4558" s="99"/>
      <c r="U4558" s="99"/>
      <c r="V4558" s="99"/>
    </row>
    <row r="4559" spans="1:22">
      <c r="A4559" s="297"/>
      <c r="B4559" s="217"/>
      <c r="C4559" s="217"/>
      <c r="D4559" s="101"/>
      <c r="E4559" s="101"/>
      <c r="F4559" s="294"/>
      <c r="G4559" s="295"/>
      <c r="H4559" s="98"/>
      <c r="I4559" s="99"/>
      <c r="J4559" s="99"/>
      <c r="K4559" s="99"/>
      <c r="L4559" s="99"/>
      <c r="M4559" s="99"/>
      <c r="N4559" s="99"/>
      <c r="O4559" s="99"/>
      <c r="P4559" s="99"/>
      <c r="Q4559" s="99"/>
      <c r="R4559" s="99"/>
      <c r="S4559" s="99"/>
      <c r="T4559" s="99"/>
      <c r="U4559" s="99"/>
      <c r="V4559" s="99"/>
    </row>
    <row r="4560" spans="1:22">
      <c r="A4560" s="297"/>
      <c r="B4560" s="217"/>
      <c r="C4560" s="217"/>
      <c r="D4560" s="101"/>
      <c r="E4560" s="101"/>
      <c r="F4560" s="294"/>
      <c r="G4560" s="295"/>
      <c r="H4560" s="98"/>
      <c r="I4560" s="99"/>
      <c r="J4560" s="99"/>
      <c r="K4560" s="99"/>
      <c r="L4560" s="99"/>
      <c r="M4560" s="99"/>
      <c r="N4560" s="99"/>
      <c r="O4560" s="99"/>
      <c r="P4560" s="99"/>
      <c r="Q4560" s="99"/>
      <c r="R4560" s="99"/>
      <c r="S4560" s="99"/>
      <c r="T4560" s="99"/>
      <c r="U4560" s="99"/>
      <c r="V4560" s="99"/>
    </row>
    <row r="4561" spans="1:22">
      <c r="A4561" s="297"/>
      <c r="B4561" s="217"/>
      <c r="C4561" s="217"/>
      <c r="D4561" s="101"/>
      <c r="E4561" s="101"/>
      <c r="F4561" s="294"/>
      <c r="G4561" s="295"/>
      <c r="H4561" s="98"/>
      <c r="I4561" s="99"/>
      <c r="J4561" s="99"/>
      <c r="K4561" s="99"/>
      <c r="L4561" s="99"/>
      <c r="M4561" s="99"/>
      <c r="N4561" s="99"/>
      <c r="O4561" s="99"/>
      <c r="P4561" s="99"/>
      <c r="Q4561" s="99"/>
      <c r="R4561" s="99"/>
      <c r="S4561" s="99"/>
      <c r="T4561" s="99"/>
      <c r="U4561" s="99"/>
      <c r="V4561" s="99"/>
    </row>
    <row r="4562" spans="1:22">
      <c r="A4562" s="297"/>
      <c r="B4562" s="217"/>
      <c r="C4562" s="217"/>
      <c r="D4562" s="101"/>
      <c r="E4562" s="101"/>
      <c r="F4562" s="294"/>
      <c r="G4562" s="295"/>
      <c r="H4562" s="107"/>
      <c r="I4562" s="109"/>
      <c r="J4562" s="109"/>
      <c r="K4562" s="109"/>
      <c r="L4562" s="109"/>
      <c r="M4562" s="109"/>
      <c r="N4562" s="109"/>
      <c r="O4562" s="109"/>
      <c r="P4562" s="109"/>
      <c r="Q4562" s="109"/>
      <c r="R4562" s="109"/>
      <c r="S4562" s="109"/>
      <c r="T4562" s="109"/>
      <c r="U4562" s="202"/>
      <c r="V4562" s="202"/>
    </row>
    <row r="4563" spans="1:22">
      <c r="A4563" s="297"/>
      <c r="B4563" s="217"/>
      <c r="C4563" s="217"/>
      <c r="D4563" s="101"/>
      <c r="E4563" s="101"/>
      <c r="F4563" s="294"/>
      <c r="G4563" s="295"/>
      <c r="H4563" s="98"/>
      <c r="I4563" s="106"/>
      <c r="J4563" s="106"/>
      <c r="K4563" s="106"/>
      <c r="L4563" s="106"/>
      <c r="M4563" s="106"/>
      <c r="N4563" s="112"/>
      <c r="O4563" s="112"/>
      <c r="P4563" s="112"/>
      <c r="Q4563" s="113"/>
      <c r="R4563" s="113"/>
      <c r="S4563" s="113"/>
      <c r="T4563" s="113"/>
      <c r="U4563" s="113"/>
      <c r="V4563" s="113"/>
    </row>
    <row r="4564" spans="1:22">
      <c r="A4564" s="297"/>
      <c r="B4564" s="217"/>
      <c r="C4564" s="217"/>
      <c r="D4564" s="101"/>
      <c r="E4564" s="101"/>
      <c r="F4564" s="294"/>
      <c r="G4564" s="295"/>
      <c r="H4564" s="114"/>
      <c r="I4564" s="108"/>
      <c r="J4564" s="108"/>
      <c r="K4564" s="108"/>
      <c r="L4564" s="108"/>
      <c r="M4564" s="108"/>
      <c r="N4564" s="108"/>
      <c r="O4564" s="108"/>
      <c r="P4564" s="108"/>
      <c r="Q4564" s="108"/>
      <c r="R4564" s="108"/>
      <c r="S4564" s="108"/>
      <c r="T4564" s="108"/>
      <c r="U4564" s="233"/>
      <c r="V4564" s="233"/>
    </row>
    <row r="4565" spans="1:22" ht="14.4" thickBot="1">
      <c r="A4565" s="297"/>
      <c r="B4565" s="217"/>
      <c r="C4565" s="217"/>
      <c r="D4565" s="101"/>
      <c r="E4565" s="101"/>
      <c r="F4565" s="294"/>
      <c r="G4565" s="295"/>
      <c r="H4565" s="98"/>
      <c r="I4565" s="218"/>
      <c r="J4565" s="218"/>
      <c r="K4565" s="218"/>
      <c r="L4565" s="218"/>
      <c r="M4565" s="218"/>
      <c r="U4565" s="212"/>
      <c r="V4565" s="212"/>
    </row>
    <row r="4566" spans="1:22" ht="23.4" thickBot="1">
      <c r="A4566" s="297"/>
      <c r="B4566" s="217"/>
      <c r="C4566" s="217"/>
      <c r="D4566" s="101"/>
      <c r="E4566" s="101"/>
      <c r="F4566" s="294"/>
      <c r="G4566" s="295"/>
      <c r="H4566" s="686"/>
      <c r="I4566" s="687"/>
      <c r="J4566" s="687"/>
      <c r="K4566" s="687"/>
      <c r="L4566" s="687"/>
      <c r="M4566" s="687"/>
      <c r="N4566" s="687"/>
      <c r="O4566" s="687"/>
      <c r="P4566" s="687"/>
      <c r="Q4566" s="687"/>
      <c r="R4566" s="687"/>
      <c r="S4566" s="715"/>
      <c r="T4566" s="688"/>
      <c r="U4566" s="254"/>
      <c r="V4566" s="254"/>
    </row>
    <row r="4567" spans="1:22" ht="22.8">
      <c r="A4567" s="297"/>
      <c r="B4567" s="217"/>
      <c r="C4567" s="217"/>
      <c r="D4567" s="101"/>
      <c r="E4567" s="101"/>
      <c r="F4567" s="294"/>
      <c r="G4567" s="295"/>
      <c r="H4567" s="225"/>
      <c r="I4567" s="225"/>
      <c r="J4567" s="225"/>
      <c r="K4567" s="225"/>
      <c r="L4567" s="225"/>
      <c r="M4567" s="225"/>
      <c r="N4567" s="225"/>
      <c r="O4567" s="225"/>
      <c r="P4567" s="225"/>
      <c r="Q4567" s="225"/>
      <c r="R4567" s="225"/>
      <c r="S4567" s="225"/>
      <c r="T4567" s="225"/>
      <c r="U4567" s="225"/>
      <c r="V4567" s="225"/>
    </row>
    <row r="4568" spans="1:22">
      <c r="A4568" s="297"/>
      <c r="B4568" s="217"/>
      <c r="C4568" s="217"/>
      <c r="D4568" s="101"/>
      <c r="E4568" s="101"/>
      <c r="F4568" s="294"/>
      <c r="G4568" s="295"/>
      <c r="H4568" s="98"/>
      <c r="I4568" s="99"/>
      <c r="J4568" s="99"/>
      <c r="K4568" s="99"/>
      <c r="L4568" s="99"/>
      <c r="M4568" s="99"/>
      <c r="N4568" s="99"/>
      <c r="O4568" s="99"/>
      <c r="P4568" s="99"/>
      <c r="Q4568" s="99"/>
      <c r="R4568" s="99"/>
      <c r="S4568" s="99"/>
      <c r="T4568" s="99"/>
      <c r="U4568" s="99"/>
      <c r="V4568" s="99"/>
    </row>
    <row r="4569" spans="1:22">
      <c r="A4569" s="297"/>
      <c r="B4569" s="217"/>
      <c r="C4569" s="217"/>
      <c r="D4569" s="101"/>
      <c r="E4569" s="101"/>
      <c r="F4569" s="294"/>
      <c r="G4569" s="295"/>
      <c r="H4569" s="107"/>
      <c r="I4569" s="108"/>
      <c r="J4569" s="108"/>
      <c r="K4569" s="108"/>
      <c r="L4569" s="108"/>
      <c r="M4569" s="108"/>
      <c r="N4569" s="109"/>
      <c r="O4569" s="109"/>
      <c r="P4569" s="109"/>
      <c r="Q4569" s="109"/>
      <c r="R4569" s="109"/>
      <c r="S4569" s="109"/>
      <c r="T4569" s="109"/>
      <c r="U4569" s="202"/>
      <c r="V4569" s="202"/>
    </row>
    <row r="4570" spans="1:22">
      <c r="A4570" s="297"/>
      <c r="B4570" s="217"/>
      <c r="C4570" s="217"/>
      <c r="D4570" s="101"/>
      <c r="E4570" s="101"/>
      <c r="F4570" s="294"/>
      <c r="G4570" s="295"/>
      <c r="H4570" s="98"/>
      <c r="I4570" s="106"/>
      <c r="J4570" s="106"/>
      <c r="K4570" s="106"/>
      <c r="L4570" s="106"/>
      <c r="M4570" s="106"/>
      <c r="N4570" s="112"/>
      <c r="O4570" s="112"/>
      <c r="P4570" s="112"/>
      <c r="Q4570" s="113"/>
      <c r="R4570" s="113"/>
      <c r="S4570" s="113"/>
      <c r="T4570" s="113"/>
      <c r="U4570" s="113"/>
      <c r="V4570" s="113"/>
    </row>
    <row r="4571" spans="1:22" ht="24" customHeight="1">
      <c r="A4571" s="297"/>
      <c r="B4571" s="217"/>
      <c r="C4571" s="217"/>
      <c r="D4571" s="101"/>
      <c r="E4571" s="101"/>
      <c r="F4571" s="294"/>
      <c r="G4571" s="295"/>
      <c r="H4571" s="98"/>
      <c r="I4571" s="99"/>
      <c r="J4571" s="99"/>
      <c r="K4571" s="99"/>
      <c r="L4571" s="99"/>
      <c r="M4571" s="99"/>
      <c r="N4571" s="99"/>
      <c r="O4571" s="99"/>
      <c r="P4571" s="99"/>
      <c r="Q4571" s="99"/>
      <c r="R4571" s="99"/>
      <c r="S4571" s="99"/>
      <c r="T4571" s="99"/>
      <c r="U4571" s="99"/>
      <c r="V4571" s="99"/>
    </row>
    <row r="4572" spans="1:22">
      <c r="A4572" s="297"/>
      <c r="B4572" s="217"/>
      <c r="C4572" s="217"/>
      <c r="D4572" s="101"/>
      <c r="E4572" s="101"/>
      <c r="F4572" s="294"/>
      <c r="G4572" s="295"/>
      <c r="H4572" s="98"/>
      <c r="I4572" s="99"/>
      <c r="J4572" s="99"/>
      <c r="K4572" s="99"/>
      <c r="L4572" s="99"/>
      <c r="M4572" s="99"/>
      <c r="N4572" s="99"/>
      <c r="O4572" s="99"/>
      <c r="P4572" s="99"/>
      <c r="Q4572" s="99"/>
      <c r="R4572" s="99"/>
      <c r="S4572" s="99"/>
      <c r="T4572" s="99"/>
      <c r="U4572" s="99"/>
      <c r="V4572" s="99"/>
    </row>
    <row r="4573" spans="1:22">
      <c r="A4573" s="297"/>
      <c r="B4573" s="217"/>
      <c r="C4573" s="217"/>
      <c r="D4573" s="101"/>
      <c r="E4573" s="101"/>
      <c r="F4573" s="294"/>
      <c r="G4573" s="295"/>
      <c r="H4573" s="98"/>
      <c r="I4573" s="99"/>
      <c r="J4573" s="99"/>
      <c r="K4573" s="99"/>
      <c r="L4573" s="99"/>
      <c r="M4573" s="99"/>
      <c r="N4573" s="99"/>
      <c r="O4573" s="99"/>
      <c r="P4573" s="99"/>
      <c r="Q4573" s="99"/>
      <c r="R4573" s="99"/>
      <c r="S4573" s="99"/>
      <c r="T4573" s="99"/>
      <c r="U4573" s="99"/>
      <c r="V4573" s="99"/>
    </row>
    <row r="4574" spans="1:22">
      <c r="A4574" s="297"/>
      <c r="B4574" s="217"/>
      <c r="C4574" s="217"/>
      <c r="D4574" s="101"/>
      <c r="E4574" s="101"/>
      <c r="F4574" s="294"/>
      <c r="G4574" s="295"/>
      <c r="H4574" s="98"/>
      <c r="I4574" s="99"/>
      <c r="J4574" s="99"/>
      <c r="K4574" s="99"/>
      <c r="L4574" s="99"/>
      <c r="M4574" s="99"/>
      <c r="N4574" s="99"/>
      <c r="O4574" s="99"/>
      <c r="P4574" s="99"/>
      <c r="Q4574" s="99"/>
      <c r="R4574" s="99"/>
      <c r="S4574" s="99"/>
      <c r="T4574" s="99"/>
      <c r="U4574" s="99"/>
      <c r="V4574" s="99"/>
    </row>
    <row r="4575" spans="1:22">
      <c r="A4575" s="297"/>
      <c r="B4575" s="217"/>
      <c r="C4575" s="217"/>
      <c r="D4575" s="101"/>
      <c r="E4575" s="101"/>
      <c r="F4575" s="294"/>
      <c r="G4575" s="295"/>
      <c r="H4575" s="98"/>
      <c r="I4575" s="99"/>
      <c r="J4575" s="99"/>
      <c r="K4575" s="99"/>
      <c r="L4575" s="99"/>
      <c r="M4575" s="99"/>
      <c r="N4575" s="99"/>
      <c r="O4575" s="99"/>
      <c r="P4575" s="99"/>
      <c r="Q4575" s="99"/>
      <c r="R4575" s="99"/>
      <c r="S4575" s="99"/>
      <c r="T4575" s="99"/>
      <c r="U4575" s="99"/>
      <c r="V4575" s="99"/>
    </row>
    <row r="4576" spans="1:22">
      <c r="A4576" s="297"/>
      <c r="B4576" s="217"/>
      <c r="C4576" s="217"/>
      <c r="D4576" s="101"/>
      <c r="E4576" s="101"/>
      <c r="F4576" s="294"/>
      <c r="G4576" s="295"/>
      <c r="H4576" s="98"/>
      <c r="I4576" s="99"/>
      <c r="J4576" s="99"/>
      <c r="K4576" s="99"/>
      <c r="L4576" s="99"/>
      <c r="M4576" s="99"/>
      <c r="N4576" s="99"/>
      <c r="O4576" s="99"/>
      <c r="P4576" s="99"/>
      <c r="Q4576" s="99"/>
      <c r="R4576" s="99"/>
      <c r="S4576" s="99"/>
      <c r="T4576" s="99"/>
      <c r="U4576" s="99"/>
      <c r="V4576" s="99"/>
    </row>
    <row r="4577" spans="1:22">
      <c r="A4577" s="297"/>
      <c r="B4577" s="217"/>
      <c r="C4577" s="217"/>
      <c r="D4577" s="101"/>
      <c r="E4577" s="101"/>
      <c r="F4577" s="294"/>
      <c r="G4577" s="295"/>
      <c r="H4577" s="98"/>
      <c r="I4577" s="99"/>
      <c r="J4577" s="99"/>
      <c r="K4577" s="99"/>
      <c r="L4577" s="99"/>
      <c r="M4577" s="99"/>
      <c r="N4577" s="99"/>
      <c r="O4577" s="99"/>
      <c r="P4577" s="99"/>
      <c r="Q4577" s="99"/>
      <c r="R4577" s="99"/>
      <c r="S4577" s="99"/>
      <c r="T4577" s="99"/>
      <c r="U4577" s="99"/>
      <c r="V4577" s="99"/>
    </row>
    <row r="4578" spans="1:22">
      <c r="A4578" s="297"/>
      <c r="B4578" s="217"/>
      <c r="C4578" s="217"/>
      <c r="D4578" s="101"/>
      <c r="E4578" s="101"/>
      <c r="F4578" s="294"/>
      <c r="G4578" s="295"/>
      <c r="H4578" s="98"/>
      <c r="I4578" s="99"/>
      <c r="J4578" s="99"/>
      <c r="K4578" s="99"/>
      <c r="L4578" s="99"/>
      <c r="M4578" s="99"/>
      <c r="N4578" s="99"/>
      <c r="O4578" s="99"/>
      <c r="P4578" s="99"/>
      <c r="Q4578" s="99"/>
      <c r="R4578" s="99"/>
      <c r="S4578" s="99"/>
      <c r="T4578" s="99"/>
      <c r="U4578" s="99"/>
      <c r="V4578" s="99"/>
    </row>
    <row r="4579" spans="1:22">
      <c r="A4579" s="297"/>
      <c r="B4579" s="217"/>
      <c r="C4579" s="217"/>
      <c r="D4579" s="101"/>
      <c r="E4579" s="101"/>
      <c r="F4579" s="294"/>
      <c r="G4579" s="295"/>
      <c r="H4579" s="98"/>
      <c r="I4579" s="99"/>
      <c r="J4579" s="99"/>
      <c r="K4579" s="99"/>
      <c r="L4579" s="99"/>
      <c r="M4579" s="99"/>
      <c r="N4579" s="99"/>
      <c r="O4579" s="99"/>
      <c r="P4579" s="99"/>
      <c r="Q4579" s="99"/>
      <c r="R4579" s="99"/>
      <c r="S4579" s="99"/>
      <c r="T4579" s="99"/>
      <c r="U4579" s="99"/>
      <c r="V4579" s="99"/>
    </row>
    <row r="4580" spans="1:22">
      <c r="A4580" s="297"/>
      <c r="B4580" s="217"/>
      <c r="C4580" s="217"/>
      <c r="D4580" s="101"/>
      <c r="E4580" s="101"/>
      <c r="F4580" s="294"/>
      <c r="G4580" s="295"/>
      <c r="H4580" s="98"/>
      <c r="I4580" s="99"/>
      <c r="J4580" s="99"/>
      <c r="K4580" s="99"/>
      <c r="L4580" s="99"/>
      <c r="M4580" s="99"/>
      <c r="N4580" s="99"/>
      <c r="O4580" s="99"/>
      <c r="P4580" s="99"/>
      <c r="Q4580" s="99"/>
      <c r="R4580" s="99"/>
      <c r="S4580" s="99"/>
      <c r="T4580" s="99"/>
      <c r="U4580" s="99"/>
      <c r="V4580" s="99"/>
    </row>
    <row r="4581" spans="1:22">
      <c r="A4581" s="297"/>
      <c r="B4581" s="217"/>
      <c r="C4581" s="217"/>
      <c r="D4581" s="101"/>
      <c r="E4581" s="101"/>
      <c r="F4581" s="294"/>
      <c r="G4581" s="295"/>
      <c r="H4581" s="98"/>
      <c r="I4581" s="99"/>
      <c r="J4581" s="99"/>
      <c r="K4581" s="99"/>
      <c r="L4581" s="99"/>
      <c r="M4581" s="99"/>
      <c r="N4581" s="99"/>
      <c r="O4581" s="99"/>
      <c r="P4581" s="99"/>
      <c r="Q4581" s="99"/>
      <c r="R4581" s="99"/>
      <c r="S4581" s="99"/>
      <c r="T4581" s="99"/>
      <c r="U4581" s="99"/>
      <c r="V4581" s="99"/>
    </row>
    <row r="4582" spans="1:22">
      <c r="A4582" s="297"/>
      <c r="B4582" s="217"/>
      <c r="C4582" s="217"/>
      <c r="D4582" s="101"/>
      <c r="E4582" s="101"/>
      <c r="F4582" s="294"/>
      <c r="G4582" s="295"/>
      <c r="H4582" s="98"/>
      <c r="I4582" s="99"/>
      <c r="J4582" s="99"/>
      <c r="K4582" s="99"/>
      <c r="L4582" s="99"/>
      <c r="M4582" s="99"/>
      <c r="N4582" s="99"/>
      <c r="O4582" s="99"/>
      <c r="P4582" s="99"/>
      <c r="Q4582" s="99"/>
      <c r="R4582" s="99"/>
      <c r="S4582" s="99"/>
      <c r="T4582" s="99"/>
      <c r="U4582" s="99"/>
      <c r="V4582" s="99"/>
    </row>
    <row r="4583" spans="1:22">
      <c r="A4583" s="297"/>
      <c r="B4583" s="217"/>
      <c r="C4583" s="217"/>
      <c r="D4583" s="101"/>
      <c r="E4583" s="101"/>
      <c r="F4583" s="294"/>
      <c r="G4583" s="295"/>
      <c r="H4583" s="98"/>
      <c r="I4583" s="99"/>
      <c r="J4583" s="99"/>
      <c r="K4583" s="99"/>
      <c r="L4583" s="99"/>
      <c r="M4583" s="99"/>
      <c r="N4583" s="99"/>
      <c r="O4583" s="99"/>
      <c r="P4583" s="99"/>
      <c r="Q4583" s="99"/>
      <c r="R4583" s="99"/>
      <c r="S4583" s="99"/>
      <c r="T4583" s="99"/>
      <c r="U4583" s="99"/>
      <c r="V4583" s="99"/>
    </row>
    <row r="4584" spans="1:22">
      <c r="A4584" s="297"/>
      <c r="B4584" s="217"/>
      <c r="C4584" s="217"/>
      <c r="D4584" s="101"/>
      <c r="E4584" s="101"/>
      <c r="F4584" s="294"/>
      <c r="G4584" s="295"/>
      <c r="H4584" s="98"/>
      <c r="I4584" s="99"/>
      <c r="J4584" s="99"/>
      <c r="K4584" s="99"/>
      <c r="L4584" s="99"/>
      <c r="M4584" s="99"/>
      <c r="N4584" s="99"/>
      <c r="O4584" s="99"/>
      <c r="P4584" s="99"/>
      <c r="Q4584" s="99"/>
      <c r="R4584" s="99"/>
      <c r="S4584" s="99"/>
      <c r="T4584" s="99"/>
      <c r="U4584" s="99"/>
      <c r="V4584" s="99"/>
    </row>
    <row r="4585" spans="1:22">
      <c r="A4585" s="297"/>
      <c r="B4585" s="217"/>
      <c r="C4585" s="217"/>
      <c r="D4585" s="101"/>
      <c r="E4585" s="101"/>
      <c r="F4585" s="294"/>
      <c r="G4585" s="295"/>
      <c r="H4585" s="98"/>
      <c r="I4585" s="99"/>
      <c r="J4585" s="99"/>
      <c r="K4585" s="99"/>
      <c r="L4585" s="99"/>
      <c r="M4585" s="99"/>
      <c r="N4585" s="99"/>
      <c r="O4585" s="99"/>
      <c r="P4585" s="99"/>
      <c r="Q4585" s="99"/>
      <c r="R4585" s="99"/>
      <c r="S4585" s="99"/>
      <c r="T4585" s="99"/>
      <c r="U4585" s="99"/>
      <c r="V4585" s="99"/>
    </row>
    <row r="4586" spans="1:22">
      <c r="A4586" s="297"/>
      <c r="B4586" s="217"/>
      <c r="C4586" s="217"/>
      <c r="D4586" s="101"/>
      <c r="E4586" s="101"/>
      <c r="F4586" s="294"/>
      <c r="G4586" s="295"/>
      <c r="H4586" s="107"/>
      <c r="I4586" s="109"/>
      <c r="J4586" s="109"/>
      <c r="K4586" s="109"/>
      <c r="L4586" s="109"/>
      <c r="M4586" s="109"/>
      <c r="N4586" s="109"/>
      <c r="O4586" s="109"/>
      <c r="P4586" s="109"/>
      <c r="Q4586" s="109"/>
      <c r="R4586" s="109"/>
      <c r="S4586" s="109"/>
      <c r="T4586" s="109"/>
      <c r="U4586" s="202"/>
      <c r="V4586" s="202"/>
    </row>
    <row r="4587" spans="1:22">
      <c r="A4587" s="297"/>
      <c r="B4587" s="217"/>
      <c r="C4587" s="217"/>
      <c r="D4587" s="101"/>
      <c r="E4587" s="101"/>
      <c r="F4587" s="294"/>
      <c r="G4587" s="295"/>
      <c r="H4587" s="98"/>
      <c r="I4587" s="106"/>
      <c r="J4587" s="106"/>
      <c r="K4587" s="106"/>
      <c r="L4587" s="106"/>
      <c r="M4587" s="106"/>
      <c r="N4587" s="112"/>
      <c r="O4587" s="112"/>
      <c r="P4587" s="112"/>
      <c r="Q4587" s="113"/>
      <c r="R4587" s="113"/>
      <c r="S4587" s="113"/>
      <c r="T4587" s="113"/>
      <c r="U4587" s="113"/>
      <c r="V4587" s="113"/>
    </row>
    <row r="4588" spans="1:22">
      <c r="A4588" s="297"/>
      <c r="B4588" s="217"/>
      <c r="C4588" s="217"/>
      <c r="D4588" s="101"/>
      <c r="E4588" s="101"/>
      <c r="F4588" s="294"/>
      <c r="G4588" s="295"/>
      <c r="H4588" s="98"/>
      <c r="I4588" s="99"/>
      <c r="J4588" s="99"/>
      <c r="K4588" s="99"/>
      <c r="L4588" s="99"/>
      <c r="M4588" s="99"/>
      <c r="N4588" s="99"/>
      <c r="O4588" s="99"/>
      <c r="P4588" s="99"/>
      <c r="Q4588" s="99"/>
      <c r="R4588" s="99"/>
      <c r="S4588" s="99"/>
      <c r="T4588" s="99"/>
      <c r="U4588" s="99"/>
      <c r="V4588" s="99"/>
    </row>
    <row r="4589" spans="1:22">
      <c r="A4589" s="297"/>
      <c r="B4589" s="217"/>
      <c r="C4589" s="217"/>
      <c r="D4589" s="101"/>
      <c r="E4589" s="101"/>
      <c r="F4589" s="294"/>
      <c r="G4589" s="295"/>
      <c r="H4589" s="98"/>
      <c r="I4589" s="99"/>
      <c r="J4589" s="99"/>
      <c r="K4589" s="99"/>
      <c r="L4589" s="99"/>
      <c r="M4589" s="99"/>
      <c r="N4589" s="99"/>
      <c r="O4589" s="99"/>
      <c r="P4589" s="99"/>
      <c r="Q4589" s="99"/>
      <c r="R4589" s="99"/>
      <c r="S4589" s="99"/>
      <c r="T4589" s="99"/>
      <c r="U4589" s="99"/>
      <c r="V4589" s="99"/>
    </row>
    <row r="4590" spans="1:22">
      <c r="A4590" s="297"/>
      <c r="B4590" s="217"/>
      <c r="C4590" s="217"/>
      <c r="D4590" s="101"/>
      <c r="E4590" s="101"/>
      <c r="F4590" s="294"/>
      <c r="G4590" s="295"/>
      <c r="H4590" s="98"/>
      <c r="I4590" s="99"/>
      <c r="J4590" s="99"/>
      <c r="K4590" s="99"/>
      <c r="L4590" s="99"/>
      <c r="M4590" s="99"/>
      <c r="N4590" s="99"/>
      <c r="O4590" s="99"/>
      <c r="P4590" s="99"/>
      <c r="Q4590" s="99"/>
      <c r="R4590" s="99"/>
      <c r="S4590" s="99"/>
      <c r="T4590" s="99"/>
      <c r="U4590" s="99"/>
      <c r="V4590" s="99"/>
    </row>
    <row r="4591" spans="1:22">
      <c r="A4591" s="297"/>
      <c r="B4591" s="217"/>
      <c r="C4591" s="217"/>
      <c r="D4591" s="101"/>
      <c r="E4591" s="101"/>
      <c r="F4591" s="294"/>
      <c r="G4591" s="295"/>
      <c r="H4591" s="98"/>
      <c r="I4591" s="99"/>
      <c r="J4591" s="99"/>
      <c r="K4591" s="99"/>
      <c r="L4591" s="99"/>
      <c r="M4591" s="99"/>
      <c r="N4591" s="99"/>
      <c r="O4591" s="99"/>
      <c r="P4591" s="99"/>
      <c r="Q4591" s="99"/>
      <c r="R4591" s="99"/>
      <c r="S4591" s="99"/>
      <c r="T4591" s="99"/>
      <c r="U4591" s="99"/>
      <c r="V4591" s="99"/>
    </row>
    <row r="4592" spans="1:22">
      <c r="A4592" s="297"/>
      <c r="B4592" s="217"/>
      <c r="C4592" s="217"/>
      <c r="D4592" s="101"/>
      <c r="E4592" s="101"/>
      <c r="F4592" s="294"/>
      <c r="G4592" s="295"/>
      <c r="H4592" s="98"/>
      <c r="I4592" s="99"/>
      <c r="J4592" s="99"/>
      <c r="K4592" s="99"/>
      <c r="L4592" s="99"/>
      <c r="M4592" s="99"/>
      <c r="N4592" s="99"/>
      <c r="O4592" s="99"/>
      <c r="P4592" s="99"/>
      <c r="Q4592" s="99"/>
      <c r="R4592" s="99"/>
      <c r="S4592" s="99"/>
      <c r="T4592" s="99"/>
      <c r="U4592" s="99"/>
      <c r="V4592" s="99"/>
    </row>
    <row r="4593" spans="1:22">
      <c r="A4593" s="297"/>
      <c r="B4593" s="217"/>
      <c r="C4593" s="217"/>
      <c r="D4593" s="101"/>
      <c r="E4593" s="101"/>
      <c r="F4593" s="294"/>
      <c r="G4593" s="295"/>
      <c r="H4593" s="98"/>
      <c r="I4593" s="99"/>
      <c r="J4593" s="99"/>
      <c r="K4593" s="99"/>
      <c r="L4593" s="99"/>
      <c r="M4593" s="99"/>
      <c r="N4593" s="99"/>
      <c r="O4593" s="99"/>
      <c r="P4593" s="99"/>
      <c r="Q4593" s="99"/>
      <c r="R4593" s="99"/>
      <c r="S4593" s="99"/>
      <c r="T4593" s="99"/>
      <c r="U4593" s="99"/>
      <c r="V4593" s="99"/>
    </row>
    <row r="4594" spans="1:22">
      <c r="A4594" s="297"/>
      <c r="B4594" s="217"/>
      <c r="C4594" s="217"/>
      <c r="D4594" s="101"/>
      <c r="E4594" s="101"/>
      <c r="F4594" s="294"/>
      <c r="G4594" s="295"/>
      <c r="H4594" s="98"/>
      <c r="I4594" s="99"/>
      <c r="J4594" s="99"/>
      <c r="K4594" s="99"/>
      <c r="L4594" s="99"/>
      <c r="M4594" s="99"/>
      <c r="N4594" s="99"/>
      <c r="O4594" s="99"/>
      <c r="P4594" s="99"/>
      <c r="Q4594" s="99"/>
      <c r="R4594" s="99"/>
      <c r="S4594" s="99"/>
      <c r="T4594" s="99"/>
      <c r="U4594" s="99"/>
      <c r="V4594" s="99"/>
    </row>
    <row r="4595" spans="1:22">
      <c r="A4595" s="297"/>
      <c r="B4595" s="217"/>
      <c r="C4595" s="217"/>
      <c r="D4595" s="101"/>
      <c r="E4595" s="101"/>
      <c r="F4595" s="294"/>
      <c r="G4595" s="295"/>
      <c r="H4595" s="98"/>
      <c r="I4595" s="99"/>
      <c r="J4595" s="99"/>
      <c r="K4595" s="99"/>
      <c r="L4595" s="99"/>
      <c r="M4595" s="99"/>
      <c r="N4595" s="99"/>
      <c r="O4595" s="99"/>
      <c r="P4595" s="99"/>
      <c r="Q4595" s="99"/>
      <c r="R4595" s="99"/>
      <c r="S4595" s="99"/>
      <c r="T4595" s="99"/>
      <c r="U4595" s="99"/>
      <c r="V4595" s="99"/>
    </row>
    <row r="4596" spans="1:22">
      <c r="A4596" s="297"/>
      <c r="B4596" s="217"/>
      <c r="C4596" s="217"/>
      <c r="D4596" s="101"/>
      <c r="E4596" s="101"/>
      <c r="F4596" s="294"/>
      <c r="G4596" s="295"/>
      <c r="H4596" s="98"/>
      <c r="I4596" s="99"/>
      <c r="J4596" s="99"/>
      <c r="K4596" s="99"/>
      <c r="L4596" s="99"/>
      <c r="M4596" s="99"/>
      <c r="N4596" s="99"/>
      <c r="O4596" s="99"/>
      <c r="P4596" s="99"/>
      <c r="Q4596" s="99"/>
      <c r="R4596" s="99"/>
      <c r="S4596" s="99"/>
      <c r="T4596" s="99"/>
      <c r="U4596" s="99"/>
      <c r="V4596" s="99"/>
    </row>
    <row r="4597" spans="1:22">
      <c r="A4597" s="297"/>
      <c r="B4597" s="217"/>
      <c r="C4597" s="217"/>
      <c r="D4597" s="101"/>
      <c r="E4597" s="101"/>
      <c r="F4597" s="294"/>
      <c r="G4597" s="295"/>
      <c r="H4597" s="98"/>
      <c r="I4597" s="99"/>
      <c r="J4597" s="99"/>
      <c r="K4597" s="99"/>
      <c r="L4597" s="99"/>
      <c r="M4597" s="99"/>
      <c r="N4597" s="99"/>
      <c r="O4597" s="99"/>
      <c r="P4597" s="99"/>
      <c r="Q4597" s="99"/>
      <c r="R4597" s="99"/>
      <c r="S4597" s="99"/>
      <c r="T4597" s="99"/>
      <c r="U4597" s="99"/>
      <c r="V4597" s="99"/>
    </row>
    <row r="4598" spans="1:22">
      <c r="A4598" s="297"/>
      <c r="B4598" s="217"/>
      <c r="C4598" s="217"/>
      <c r="D4598" s="101"/>
      <c r="E4598" s="101"/>
      <c r="F4598" s="294"/>
      <c r="G4598" s="295"/>
      <c r="H4598" s="98"/>
      <c r="I4598" s="99"/>
      <c r="J4598" s="99"/>
      <c r="K4598" s="99"/>
      <c r="L4598" s="99"/>
      <c r="M4598" s="99"/>
      <c r="N4598" s="99"/>
      <c r="O4598" s="99"/>
      <c r="P4598" s="99"/>
      <c r="Q4598" s="99"/>
      <c r="R4598" s="99"/>
      <c r="S4598" s="99"/>
      <c r="T4598" s="99"/>
      <c r="U4598" s="99"/>
      <c r="V4598" s="99"/>
    </row>
    <row r="4599" spans="1:22">
      <c r="A4599" s="297"/>
      <c r="B4599" s="217"/>
      <c r="C4599" s="217"/>
      <c r="D4599" s="101"/>
      <c r="E4599" s="101"/>
      <c r="F4599" s="294"/>
      <c r="G4599" s="295"/>
      <c r="H4599" s="98"/>
      <c r="I4599" s="99"/>
      <c r="J4599" s="99"/>
      <c r="K4599" s="99"/>
      <c r="L4599" s="99"/>
      <c r="M4599" s="99"/>
      <c r="N4599" s="99"/>
      <c r="O4599" s="99"/>
      <c r="P4599" s="99"/>
      <c r="Q4599" s="99"/>
      <c r="R4599" s="99"/>
      <c r="S4599" s="99"/>
      <c r="T4599" s="99"/>
      <c r="U4599" s="99"/>
      <c r="V4599" s="99"/>
    </row>
    <row r="4600" spans="1:22">
      <c r="A4600" s="297"/>
      <c r="B4600" s="217"/>
      <c r="C4600" s="217"/>
      <c r="D4600" s="101"/>
      <c r="E4600" s="101"/>
      <c r="F4600" s="294"/>
      <c r="G4600" s="295"/>
      <c r="H4600" s="107"/>
      <c r="I4600" s="109"/>
      <c r="J4600" s="109"/>
      <c r="K4600" s="109"/>
      <c r="L4600" s="109"/>
      <c r="M4600" s="109"/>
      <c r="N4600" s="109"/>
      <c r="O4600" s="109"/>
      <c r="P4600" s="109"/>
      <c r="Q4600" s="109"/>
      <c r="R4600" s="109"/>
      <c r="S4600" s="109"/>
      <c r="T4600" s="109"/>
      <c r="U4600" s="202"/>
      <c r="V4600" s="202"/>
    </row>
    <row r="4601" spans="1:22">
      <c r="A4601" s="297"/>
      <c r="B4601" s="217"/>
      <c r="C4601" s="217"/>
      <c r="D4601" s="101"/>
      <c r="E4601" s="101"/>
      <c r="F4601" s="294"/>
      <c r="G4601" s="295"/>
      <c r="H4601" s="98"/>
      <c r="I4601" s="106"/>
      <c r="J4601" s="106"/>
      <c r="K4601" s="106"/>
      <c r="L4601" s="106"/>
      <c r="M4601" s="106"/>
      <c r="N4601" s="112"/>
      <c r="O4601" s="112"/>
      <c r="P4601" s="112"/>
      <c r="Q4601" s="113"/>
      <c r="R4601" s="113"/>
      <c r="S4601" s="113"/>
      <c r="T4601" s="113"/>
      <c r="U4601" s="113"/>
      <c r="V4601" s="113"/>
    </row>
    <row r="4602" spans="1:22">
      <c r="A4602" s="297"/>
      <c r="B4602" s="217"/>
      <c r="C4602" s="217"/>
      <c r="D4602" s="101"/>
      <c r="E4602" s="101"/>
      <c r="F4602" s="294"/>
      <c r="G4602" s="295"/>
      <c r="H4602" s="98"/>
      <c r="I4602" s="99"/>
      <c r="J4602" s="99"/>
      <c r="K4602" s="99"/>
      <c r="L4602" s="99"/>
      <c r="M4602" s="99"/>
      <c r="N4602" s="99"/>
      <c r="O4602" s="99"/>
      <c r="P4602" s="99"/>
      <c r="Q4602" s="99"/>
      <c r="R4602" s="99"/>
      <c r="S4602" s="99"/>
      <c r="T4602" s="99"/>
      <c r="U4602" s="99"/>
      <c r="V4602" s="99"/>
    </row>
    <row r="4603" spans="1:22">
      <c r="A4603" s="297"/>
      <c r="B4603" s="217"/>
      <c r="C4603" s="217"/>
      <c r="D4603" s="101"/>
      <c r="E4603" s="101"/>
      <c r="F4603" s="294"/>
      <c r="G4603" s="295"/>
      <c r="H4603" s="98"/>
      <c r="I4603" s="99"/>
      <c r="J4603" s="99"/>
      <c r="K4603" s="99"/>
      <c r="L4603" s="99"/>
      <c r="M4603" s="99"/>
      <c r="N4603" s="99"/>
      <c r="O4603" s="99"/>
      <c r="P4603" s="99"/>
      <c r="Q4603" s="99"/>
      <c r="R4603" s="99"/>
      <c r="S4603" s="99"/>
      <c r="T4603" s="99"/>
      <c r="U4603" s="99"/>
      <c r="V4603" s="99"/>
    </row>
    <row r="4604" spans="1:22">
      <c r="A4604" s="297"/>
      <c r="B4604" s="217"/>
      <c r="C4604" s="217"/>
      <c r="D4604" s="101"/>
      <c r="E4604" s="101"/>
      <c r="F4604" s="294"/>
      <c r="G4604" s="295"/>
      <c r="H4604" s="98"/>
      <c r="I4604" s="99"/>
      <c r="J4604" s="99"/>
      <c r="K4604" s="99"/>
      <c r="L4604" s="99"/>
      <c r="M4604" s="99"/>
      <c r="N4604" s="99"/>
      <c r="O4604" s="99"/>
      <c r="P4604" s="99"/>
      <c r="Q4604" s="99"/>
      <c r="R4604" s="99"/>
      <c r="S4604" s="99"/>
      <c r="T4604" s="99"/>
      <c r="U4604" s="99"/>
      <c r="V4604" s="99"/>
    </row>
    <row r="4605" spans="1:22">
      <c r="A4605" s="297"/>
      <c r="B4605" s="217"/>
      <c r="C4605" s="217"/>
      <c r="D4605" s="101"/>
      <c r="E4605" s="101"/>
      <c r="F4605" s="294"/>
      <c r="G4605" s="295"/>
      <c r="H4605" s="107"/>
      <c r="I4605" s="108"/>
      <c r="J4605" s="108"/>
      <c r="K4605" s="108"/>
      <c r="L4605" s="108"/>
      <c r="M4605" s="108"/>
      <c r="N4605" s="109"/>
      <c r="O4605" s="109"/>
      <c r="P4605" s="109"/>
      <c r="Q4605" s="109"/>
      <c r="R4605" s="109"/>
      <c r="S4605" s="109"/>
      <c r="T4605" s="109"/>
      <c r="U4605" s="202"/>
      <c r="V4605" s="202"/>
    </row>
    <row r="4606" spans="1:22">
      <c r="A4606" s="297"/>
      <c r="B4606" s="217"/>
      <c r="C4606" s="217"/>
      <c r="D4606" s="101"/>
      <c r="E4606" s="101"/>
      <c r="F4606" s="294"/>
      <c r="G4606" s="295"/>
      <c r="H4606" s="98"/>
      <c r="I4606" s="106"/>
      <c r="J4606" s="106"/>
      <c r="K4606" s="106"/>
      <c r="L4606" s="106"/>
      <c r="M4606" s="106"/>
      <c r="N4606" s="112"/>
      <c r="O4606" s="112"/>
      <c r="P4606" s="112"/>
      <c r="Q4606" s="113"/>
      <c r="R4606" s="113"/>
      <c r="S4606" s="113"/>
      <c r="T4606" s="113"/>
      <c r="U4606" s="113"/>
      <c r="V4606" s="113"/>
    </row>
    <row r="4607" spans="1:22">
      <c r="A4607" s="297"/>
      <c r="B4607" s="217"/>
      <c r="C4607" s="217"/>
      <c r="D4607" s="101"/>
      <c r="E4607" s="101"/>
      <c r="F4607" s="294"/>
      <c r="G4607" s="295"/>
      <c r="H4607" s="114"/>
      <c r="I4607" s="108"/>
      <c r="J4607" s="108"/>
      <c r="K4607" s="108"/>
      <c r="L4607" s="108"/>
      <c r="M4607" s="108"/>
      <c r="N4607" s="108"/>
      <c r="O4607" s="108"/>
      <c r="P4607" s="108"/>
      <c r="Q4607" s="108"/>
      <c r="R4607" s="108"/>
      <c r="S4607" s="108"/>
      <c r="T4607" s="108"/>
      <c r="U4607" s="233"/>
      <c r="V4607" s="233"/>
    </row>
    <row r="4608" spans="1:22" ht="14.4" thickBot="1">
      <c r="A4608" s="297"/>
      <c r="B4608" s="217"/>
      <c r="C4608" s="217"/>
      <c r="D4608" s="101"/>
      <c r="E4608" s="101"/>
      <c r="F4608" s="294"/>
      <c r="G4608" s="295"/>
      <c r="H4608" s="98"/>
      <c r="I4608" s="218"/>
      <c r="J4608" s="218"/>
      <c r="K4608" s="218"/>
      <c r="L4608" s="218"/>
      <c r="M4608" s="218"/>
      <c r="U4608" s="212"/>
      <c r="V4608" s="212"/>
    </row>
    <row r="4609" spans="1:22" ht="23.4" thickBot="1">
      <c r="A4609" s="297"/>
      <c r="B4609" s="217"/>
      <c r="C4609" s="217"/>
      <c r="D4609" s="101"/>
      <c r="E4609" s="101"/>
      <c r="F4609" s="294"/>
      <c r="G4609" s="295"/>
      <c r="H4609" s="686"/>
      <c r="I4609" s="687"/>
      <c r="J4609" s="687"/>
      <c r="K4609" s="687"/>
      <c r="L4609" s="687"/>
      <c r="M4609" s="687"/>
      <c r="N4609" s="687"/>
      <c r="O4609" s="687"/>
      <c r="P4609" s="687"/>
      <c r="Q4609" s="687"/>
      <c r="R4609" s="687"/>
      <c r="S4609" s="715"/>
      <c r="T4609" s="688"/>
      <c r="U4609" s="254"/>
      <c r="V4609" s="254"/>
    </row>
    <row r="4610" spans="1:22" ht="22.8">
      <c r="A4610" s="297"/>
      <c r="B4610" s="217"/>
      <c r="C4610" s="217"/>
      <c r="D4610" s="101"/>
      <c r="E4610" s="101"/>
      <c r="F4610" s="294"/>
      <c r="G4610" s="295"/>
      <c r="H4610" s="225"/>
      <c r="I4610" s="225"/>
      <c r="J4610" s="225"/>
      <c r="K4610" s="225"/>
      <c r="L4610" s="225"/>
      <c r="M4610" s="225"/>
      <c r="N4610" s="225"/>
      <c r="O4610" s="225"/>
      <c r="P4610" s="225"/>
      <c r="Q4610" s="225"/>
      <c r="R4610" s="225"/>
      <c r="S4610" s="225"/>
      <c r="T4610" s="225"/>
      <c r="U4610" s="225"/>
      <c r="V4610" s="225"/>
    </row>
    <row r="4611" spans="1:22">
      <c r="A4611" s="297"/>
      <c r="B4611" s="217"/>
      <c r="C4611" s="217"/>
      <c r="D4611" s="101"/>
      <c r="E4611" s="101"/>
      <c r="F4611" s="294"/>
      <c r="G4611" s="295"/>
      <c r="H4611" s="98"/>
      <c r="I4611" s="99"/>
      <c r="J4611" s="99"/>
      <c r="K4611" s="99"/>
      <c r="L4611" s="99"/>
      <c r="M4611" s="99"/>
      <c r="N4611" s="99"/>
      <c r="O4611" s="99"/>
      <c r="P4611" s="99"/>
      <c r="Q4611" s="99"/>
      <c r="R4611" s="99"/>
      <c r="S4611" s="99"/>
      <c r="T4611" s="99"/>
      <c r="U4611" s="99"/>
      <c r="V4611" s="99"/>
    </row>
    <row r="4612" spans="1:22">
      <c r="A4612" s="297"/>
      <c r="B4612" s="217"/>
      <c r="C4612" s="217"/>
      <c r="D4612" s="101"/>
      <c r="E4612" s="101"/>
      <c r="F4612" s="294"/>
      <c r="G4612" s="295"/>
      <c r="H4612" s="98"/>
      <c r="I4612" s="99"/>
      <c r="J4612" s="99"/>
      <c r="K4612" s="99"/>
      <c r="L4612" s="99"/>
      <c r="M4612" s="99"/>
      <c r="N4612" s="99"/>
      <c r="O4612" s="99"/>
      <c r="P4612" s="99"/>
      <c r="Q4612" s="99"/>
      <c r="R4612" s="99"/>
      <c r="S4612" s="99"/>
      <c r="T4612" s="99"/>
      <c r="U4612" s="99"/>
      <c r="V4612" s="99"/>
    </row>
    <row r="4613" spans="1:22">
      <c r="A4613" s="297"/>
      <c r="B4613" s="217"/>
      <c r="C4613" s="217"/>
      <c r="D4613" s="101"/>
      <c r="E4613" s="101"/>
      <c r="F4613" s="294"/>
      <c r="G4613" s="295"/>
      <c r="H4613" s="98"/>
      <c r="I4613" s="99"/>
      <c r="J4613" s="99"/>
      <c r="K4613" s="99"/>
      <c r="L4613" s="99"/>
      <c r="M4613" s="99"/>
      <c r="N4613" s="99"/>
      <c r="O4613" s="99"/>
      <c r="P4613" s="99"/>
      <c r="Q4613" s="99"/>
      <c r="R4613" s="99"/>
      <c r="S4613" s="99"/>
      <c r="T4613" s="99"/>
      <c r="U4613" s="99"/>
      <c r="V4613" s="99"/>
    </row>
    <row r="4614" spans="1:22">
      <c r="A4614" s="297"/>
      <c r="B4614" s="217"/>
      <c r="C4614" s="217"/>
      <c r="D4614" s="101"/>
      <c r="E4614" s="101"/>
      <c r="F4614" s="294"/>
      <c r="G4614" s="295"/>
      <c r="H4614" s="98"/>
      <c r="I4614" s="99"/>
      <c r="J4614" s="99"/>
      <c r="K4614" s="99"/>
      <c r="L4614" s="99"/>
      <c r="M4614" s="99"/>
      <c r="N4614" s="99"/>
      <c r="O4614" s="99"/>
      <c r="P4614" s="99"/>
      <c r="Q4614" s="99"/>
      <c r="R4614" s="99"/>
      <c r="S4614" s="99"/>
      <c r="T4614" s="99"/>
      <c r="U4614" s="99"/>
      <c r="V4614" s="99"/>
    </row>
    <row r="4615" spans="1:22">
      <c r="A4615" s="297"/>
      <c r="B4615" s="217"/>
      <c r="C4615" s="217"/>
      <c r="D4615" s="101"/>
      <c r="E4615" s="101"/>
      <c r="F4615" s="294"/>
      <c r="G4615" s="295"/>
      <c r="H4615" s="98"/>
      <c r="I4615" s="99"/>
      <c r="J4615" s="99"/>
      <c r="K4615" s="99"/>
      <c r="L4615" s="99"/>
      <c r="M4615" s="99"/>
      <c r="N4615" s="99"/>
      <c r="O4615" s="99"/>
      <c r="P4615" s="99"/>
      <c r="Q4615" s="99"/>
      <c r="R4615" s="99"/>
      <c r="S4615" s="99"/>
      <c r="T4615" s="99"/>
      <c r="U4615" s="99"/>
      <c r="V4615" s="99"/>
    </row>
    <row r="4616" spans="1:22">
      <c r="A4616" s="297"/>
      <c r="B4616" s="217"/>
      <c r="C4616" s="217"/>
      <c r="D4616" s="101"/>
      <c r="E4616" s="101"/>
      <c r="F4616" s="294"/>
      <c r="G4616" s="295"/>
      <c r="H4616" s="98"/>
      <c r="I4616" s="99"/>
      <c r="J4616" s="99"/>
      <c r="K4616" s="99"/>
      <c r="L4616" s="99"/>
      <c r="M4616" s="99"/>
      <c r="N4616" s="99"/>
      <c r="O4616" s="99"/>
      <c r="P4616" s="99"/>
      <c r="Q4616" s="99"/>
      <c r="R4616" s="99"/>
      <c r="S4616" s="99"/>
      <c r="T4616" s="99"/>
      <c r="U4616" s="99"/>
      <c r="V4616" s="99"/>
    </row>
    <row r="4617" spans="1:22">
      <c r="A4617" s="297"/>
      <c r="B4617" s="217"/>
      <c r="C4617" s="217"/>
      <c r="D4617" s="101"/>
      <c r="E4617" s="101"/>
      <c r="F4617" s="294"/>
      <c r="G4617" s="295"/>
      <c r="H4617" s="98"/>
      <c r="I4617" s="99"/>
      <c r="J4617" s="99"/>
      <c r="K4617" s="99"/>
      <c r="L4617" s="99"/>
      <c r="M4617" s="99"/>
      <c r="N4617" s="99"/>
      <c r="O4617" s="99"/>
      <c r="P4617" s="99"/>
      <c r="Q4617" s="99"/>
      <c r="R4617" s="99"/>
      <c r="S4617" s="99"/>
      <c r="T4617" s="99"/>
      <c r="U4617" s="99"/>
      <c r="V4617" s="99"/>
    </row>
    <row r="4618" spans="1:22">
      <c r="A4618" s="297"/>
      <c r="B4618" s="217"/>
      <c r="C4618" s="217"/>
      <c r="D4618" s="101"/>
      <c r="E4618" s="101"/>
      <c r="F4618" s="294"/>
      <c r="G4618" s="295"/>
      <c r="H4618" s="98"/>
      <c r="I4618" s="99"/>
      <c r="J4618" s="99"/>
      <c r="K4618" s="99"/>
      <c r="L4618" s="99"/>
      <c r="M4618" s="99"/>
      <c r="N4618" s="99"/>
      <c r="O4618" s="99"/>
      <c r="P4618" s="99"/>
      <c r="Q4618" s="99"/>
      <c r="R4618" s="99"/>
      <c r="S4618" s="99"/>
      <c r="T4618" s="99"/>
      <c r="U4618" s="99"/>
      <c r="V4618" s="99"/>
    </row>
    <row r="4619" spans="1:22">
      <c r="A4619" s="297"/>
      <c r="B4619" s="217"/>
      <c r="C4619" s="217"/>
      <c r="D4619" s="101"/>
      <c r="E4619" s="101"/>
      <c r="F4619" s="294"/>
      <c r="G4619" s="295"/>
      <c r="H4619" s="98"/>
      <c r="I4619" s="99"/>
      <c r="J4619" s="99"/>
      <c r="K4619" s="99"/>
      <c r="L4619" s="99"/>
      <c r="M4619" s="99"/>
      <c r="N4619" s="99"/>
      <c r="O4619" s="99"/>
      <c r="P4619" s="99"/>
      <c r="Q4619" s="99"/>
      <c r="R4619" s="99"/>
      <c r="S4619" s="99"/>
      <c r="T4619" s="99"/>
      <c r="U4619" s="99"/>
      <c r="V4619" s="99"/>
    </row>
    <row r="4620" spans="1:22">
      <c r="A4620" s="297"/>
      <c r="B4620" s="217"/>
      <c r="C4620" s="217"/>
      <c r="D4620" s="101"/>
      <c r="E4620" s="101"/>
      <c r="F4620" s="294"/>
      <c r="G4620" s="295"/>
      <c r="H4620" s="98"/>
      <c r="I4620" s="99"/>
      <c r="J4620" s="99"/>
      <c r="K4620" s="99"/>
      <c r="L4620" s="99"/>
      <c r="M4620" s="99"/>
      <c r="N4620" s="99"/>
      <c r="O4620" s="99"/>
      <c r="P4620" s="99"/>
      <c r="Q4620" s="99"/>
      <c r="R4620" s="99"/>
      <c r="S4620" s="99"/>
      <c r="T4620" s="99"/>
      <c r="U4620" s="99"/>
      <c r="V4620" s="99"/>
    </row>
    <row r="4621" spans="1:22">
      <c r="A4621" s="297"/>
      <c r="B4621" s="217"/>
      <c r="C4621" s="217"/>
      <c r="D4621" s="101"/>
      <c r="E4621" s="101"/>
      <c r="F4621" s="294"/>
      <c r="G4621" s="295"/>
      <c r="H4621" s="107"/>
      <c r="I4621" s="108"/>
      <c r="J4621" s="108"/>
      <c r="K4621" s="108"/>
      <c r="L4621" s="108"/>
      <c r="M4621" s="108"/>
      <c r="N4621" s="109"/>
      <c r="O4621" s="109"/>
      <c r="P4621" s="109"/>
      <c r="Q4621" s="109"/>
      <c r="R4621" s="109"/>
      <c r="S4621" s="109"/>
      <c r="T4621" s="109"/>
      <c r="U4621" s="202"/>
      <c r="V4621" s="202"/>
    </row>
    <row r="4622" spans="1:22">
      <c r="A4622" s="297"/>
      <c r="B4622" s="217"/>
      <c r="C4622" s="217"/>
      <c r="D4622" s="101"/>
      <c r="E4622" s="101"/>
      <c r="F4622" s="294"/>
      <c r="G4622" s="295"/>
      <c r="H4622" s="98"/>
      <c r="I4622" s="106"/>
      <c r="J4622" s="106"/>
      <c r="K4622" s="106"/>
      <c r="L4622" s="106"/>
      <c r="M4622" s="106"/>
      <c r="N4622" s="112"/>
      <c r="O4622" s="112"/>
      <c r="P4622" s="112"/>
      <c r="Q4622" s="113"/>
      <c r="R4622" s="113"/>
      <c r="S4622" s="113"/>
      <c r="T4622" s="113"/>
      <c r="U4622" s="113"/>
      <c r="V4622" s="113"/>
    </row>
    <row r="4623" spans="1:22">
      <c r="A4623" s="297"/>
      <c r="B4623" s="217"/>
      <c r="C4623" s="217"/>
      <c r="D4623" s="101"/>
      <c r="E4623" s="101"/>
      <c r="F4623" s="294"/>
      <c r="G4623" s="295"/>
      <c r="H4623" s="98"/>
      <c r="I4623" s="99"/>
      <c r="J4623" s="99"/>
      <c r="K4623" s="99"/>
      <c r="L4623" s="99"/>
      <c r="M4623" s="99"/>
      <c r="N4623" s="99"/>
      <c r="O4623" s="99"/>
      <c r="P4623" s="99"/>
      <c r="Q4623" s="99"/>
      <c r="R4623" s="99"/>
      <c r="S4623" s="99"/>
      <c r="T4623" s="99"/>
      <c r="U4623" s="99"/>
      <c r="V4623" s="99"/>
    </row>
    <row r="4624" spans="1:22">
      <c r="A4624" s="297"/>
      <c r="B4624" s="217"/>
      <c r="C4624" s="217"/>
      <c r="D4624" s="101"/>
      <c r="E4624" s="101"/>
      <c r="F4624" s="294"/>
      <c r="G4624" s="295"/>
      <c r="H4624" s="98"/>
      <c r="I4624" s="99"/>
      <c r="J4624" s="99"/>
      <c r="K4624" s="99"/>
      <c r="L4624" s="99"/>
      <c r="M4624" s="99"/>
      <c r="N4624" s="99"/>
      <c r="O4624" s="99"/>
      <c r="P4624" s="99"/>
      <c r="Q4624" s="99"/>
      <c r="R4624" s="99"/>
      <c r="S4624" s="99"/>
      <c r="T4624" s="99"/>
      <c r="U4624" s="99"/>
      <c r="V4624" s="99"/>
    </row>
    <row r="4625" spans="1:22">
      <c r="A4625" s="297"/>
      <c r="B4625" s="217"/>
      <c r="C4625" s="217"/>
      <c r="D4625" s="101"/>
      <c r="E4625" s="101"/>
      <c r="F4625" s="294"/>
      <c r="G4625" s="295"/>
      <c r="H4625" s="98"/>
      <c r="I4625" s="99"/>
      <c r="J4625" s="99"/>
      <c r="K4625" s="99"/>
      <c r="L4625" s="99"/>
      <c r="M4625" s="99"/>
      <c r="N4625" s="99"/>
      <c r="O4625" s="99"/>
      <c r="P4625" s="99"/>
      <c r="Q4625" s="99"/>
      <c r="R4625" s="99"/>
      <c r="S4625" s="99"/>
      <c r="T4625" s="99"/>
      <c r="U4625" s="99"/>
      <c r="V4625" s="99"/>
    </row>
    <row r="4626" spans="1:22">
      <c r="A4626" s="297"/>
      <c r="B4626" s="217"/>
      <c r="C4626" s="217"/>
      <c r="D4626" s="101"/>
      <c r="E4626" s="101"/>
      <c r="F4626" s="294"/>
      <c r="G4626" s="295"/>
      <c r="H4626" s="98"/>
      <c r="I4626" s="99"/>
      <c r="J4626" s="99"/>
      <c r="K4626" s="99"/>
      <c r="L4626" s="99"/>
      <c r="M4626" s="99"/>
      <c r="N4626" s="99"/>
      <c r="O4626" s="99"/>
      <c r="P4626" s="99"/>
      <c r="Q4626" s="99"/>
      <c r="R4626" s="99"/>
      <c r="S4626" s="99"/>
      <c r="T4626" s="99"/>
      <c r="U4626" s="99"/>
      <c r="V4626" s="99"/>
    </row>
    <row r="4627" spans="1:22">
      <c r="A4627" s="297"/>
      <c r="B4627" s="217"/>
      <c r="C4627" s="217"/>
      <c r="D4627" s="101"/>
      <c r="E4627" s="101"/>
      <c r="F4627" s="294"/>
      <c r="G4627" s="295"/>
      <c r="H4627" s="98"/>
      <c r="I4627" s="99"/>
      <c r="J4627" s="99"/>
      <c r="K4627" s="99"/>
      <c r="L4627" s="99"/>
      <c r="M4627" s="99"/>
      <c r="N4627" s="99"/>
      <c r="O4627" s="99"/>
      <c r="P4627" s="99"/>
      <c r="Q4627" s="99"/>
      <c r="R4627" s="99"/>
      <c r="S4627" s="99"/>
      <c r="T4627" s="99"/>
      <c r="U4627" s="99"/>
      <c r="V4627" s="99"/>
    </row>
    <row r="4628" spans="1:22">
      <c r="A4628" s="297"/>
      <c r="B4628" s="217"/>
      <c r="C4628" s="217"/>
      <c r="D4628" s="101"/>
      <c r="E4628" s="101"/>
      <c r="F4628" s="294"/>
      <c r="G4628" s="295"/>
      <c r="H4628" s="98"/>
      <c r="I4628" s="99"/>
      <c r="J4628" s="99"/>
      <c r="K4628" s="99"/>
      <c r="L4628" s="99"/>
      <c r="M4628" s="99"/>
      <c r="N4628" s="99"/>
      <c r="O4628" s="99"/>
      <c r="P4628" s="99"/>
      <c r="Q4628" s="99"/>
      <c r="R4628" s="99"/>
      <c r="S4628" s="99"/>
      <c r="T4628" s="99"/>
      <c r="U4628" s="99"/>
      <c r="V4628" s="99"/>
    </row>
    <row r="4629" spans="1:22">
      <c r="A4629" s="297"/>
      <c r="B4629" s="217"/>
      <c r="C4629" s="217"/>
      <c r="D4629" s="101"/>
      <c r="E4629" s="101"/>
      <c r="F4629" s="294"/>
      <c r="G4629" s="295"/>
      <c r="H4629" s="98"/>
      <c r="I4629" s="99"/>
      <c r="J4629" s="99"/>
      <c r="K4629" s="99"/>
      <c r="L4629" s="99"/>
      <c r="M4629" s="99"/>
      <c r="N4629" s="99"/>
      <c r="O4629" s="99"/>
      <c r="P4629" s="99"/>
      <c r="Q4629" s="99"/>
      <c r="R4629" s="99"/>
      <c r="S4629" s="99"/>
      <c r="T4629" s="99"/>
      <c r="U4629" s="99"/>
      <c r="V4629" s="99"/>
    </row>
    <row r="4630" spans="1:22">
      <c r="A4630" s="297"/>
      <c r="B4630" s="217"/>
      <c r="C4630" s="217"/>
      <c r="D4630" s="101"/>
      <c r="E4630" s="101"/>
      <c r="F4630" s="294"/>
      <c r="G4630" s="295"/>
      <c r="H4630" s="98"/>
      <c r="I4630" s="99"/>
      <c r="J4630" s="99"/>
      <c r="K4630" s="99"/>
      <c r="L4630" s="99"/>
      <c r="M4630" s="99"/>
      <c r="N4630" s="99"/>
      <c r="O4630" s="99"/>
      <c r="P4630" s="99"/>
      <c r="Q4630" s="99"/>
      <c r="R4630" s="99"/>
      <c r="S4630" s="99"/>
      <c r="T4630" s="99"/>
      <c r="U4630" s="99"/>
      <c r="V4630" s="99"/>
    </row>
    <row r="4631" spans="1:22">
      <c r="A4631" s="297"/>
      <c r="B4631" s="217"/>
      <c r="C4631" s="217"/>
      <c r="D4631" s="101"/>
      <c r="E4631" s="101"/>
      <c r="F4631" s="294"/>
      <c r="G4631" s="295"/>
      <c r="H4631" s="98"/>
      <c r="I4631" s="99"/>
      <c r="J4631" s="99"/>
      <c r="K4631" s="99"/>
      <c r="L4631" s="99"/>
      <c r="M4631" s="99"/>
      <c r="N4631" s="99"/>
      <c r="O4631" s="99"/>
      <c r="P4631" s="99"/>
      <c r="Q4631" s="99"/>
      <c r="R4631" s="99"/>
      <c r="S4631" s="99"/>
      <c r="T4631" s="99"/>
      <c r="U4631" s="99"/>
      <c r="V4631" s="99"/>
    </row>
    <row r="4632" spans="1:22">
      <c r="A4632" s="297"/>
      <c r="B4632" s="217"/>
      <c r="C4632" s="217"/>
      <c r="D4632" s="101"/>
      <c r="E4632" s="101"/>
      <c r="F4632" s="294"/>
      <c r="G4632" s="295"/>
      <c r="H4632" s="107"/>
      <c r="I4632" s="108"/>
      <c r="J4632" s="108"/>
      <c r="K4632" s="108"/>
      <c r="L4632" s="108"/>
      <c r="M4632" s="108"/>
      <c r="N4632" s="109"/>
      <c r="O4632" s="109"/>
      <c r="P4632" s="109"/>
      <c r="Q4632" s="109"/>
      <c r="R4632" s="109"/>
      <c r="S4632" s="109"/>
      <c r="T4632" s="109"/>
      <c r="U4632" s="202"/>
      <c r="V4632" s="202"/>
    </row>
    <row r="4633" spans="1:22">
      <c r="A4633" s="297"/>
      <c r="B4633" s="217"/>
      <c r="C4633" s="217"/>
      <c r="D4633" s="101"/>
      <c r="E4633" s="101"/>
      <c r="F4633" s="294"/>
      <c r="G4633" s="295"/>
      <c r="H4633" s="98"/>
      <c r="I4633" s="106"/>
      <c r="J4633" s="106"/>
      <c r="K4633" s="106"/>
      <c r="L4633" s="106"/>
      <c r="M4633" s="106"/>
      <c r="N4633" s="112"/>
      <c r="O4633" s="112"/>
      <c r="P4633" s="112"/>
      <c r="Q4633" s="113"/>
      <c r="R4633" s="113"/>
      <c r="S4633" s="113"/>
      <c r="T4633" s="113"/>
      <c r="U4633" s="113"/>
      <c r="V4633" s="113"/>
    </row>
    <row r="4634" spans="1:22">
      <c r="A4634" s="297"/>
      <c r="B4634" s="217"/>
      <c r="C4634" s="217"/>
      <c r="D4634" s="101"/>
      <c r="E4634" s="101"/>
      <c r="F4634" s="294"/>
      <c r="G4634" s="295"/>
      <c r="H4634" s="98"/>
      <c r="I4634" s="99"/>
      <c r="J4634" s="99"/>
      <c r="K4634" s="99"/>
      <c r="L4634" s="99"/>
      <c r="M4634" s="99"/>
      <c r="N4634" s="99"/>
      <c r="O4634" s="99"/>
      <c r="P4634" s="99"/>
      <c r="Q4634" s="99"/>
      <c r="R4634" s="99"/>
      <c r="S4634" s="99"/>
      <c r="T4634" s="99"/>
      <c r="U4634" s="99"/>
      <c r="V4634" s="99"/>
    </row>
    <row r="4635" spans="1:22">
      <c r="A4635" s="297"/>
      <c r="B4635" s="217"/>
      <c r="C4635" s="217"/>
      <c r="D4635" s="101"/>
      <c r="E4635" s="101"/>
      <c r="F4635" s="294"/>
      <c r="G4635" s="295"/>
      <c r="H4635" s="98"/>
      <c r="I4635" s="99"/>
      <c r="J4635" s="99"/>
      <c r="K4635" s="99"/>
      <c r="L4635" s="99"/>
      <c r="M4635" s="99"/>
      <c r="N4635" s="99"/>
      <c r="O4635" s="99"/>
      <c r="P4635" s="99"/>
      <c r="Q4635" s="99"/>
      <c r="R4635" s="99"/>
      <c r="S4635" s="99"/>
      <c r="T4635" s="99"/>
      <c r="U4635" s="99"/>
      <c r="V4635" s="99"/>
    </row>
    <row r="4636" spans="1:22">
      <c r="A4636" s="297"/>
      <c r="B4636" s="217"/>
      <c r="C4636" s="217"/>
      <c r="D4636" s="101"/>
      <c r="E4636" s="101"/>
      <c r="F4636" s="294"/>
      <c r="G4636" s="295"/>
      <c r="H4636" s="107"/>
      <c r="I4636" s="108"/>
      <c r="J4636" s="108"/>
      <c r="K4636" s="108"/>
      <c r="L4636" s="108"/>
      <c r="M4636" s="108"/>
      <c r="N4636" s="109"/>
      <c r="O4636" s="109"/>
      <c r="P4636" s="109"/>
      <c r="Q4636" s="109"/>
      <c r="R4636" s="109"/>
      <c r="S4636" s="109"/>
      <c r="T4636" s="109"/>
      <c r="U4636" s="202"/>
      <c r="V4636" s="202"/>
    </row>
    <row r="4637" spans="1:22">
      <c r="A4637" s="297"/>
      <c r="B4637" s="217"/>
      <c r="C4637" s="217"/>
      <c r="D4637" s="101"/>
      <c r="E4637" s="101"/>
      <c r="F4637" s="294"/>
      <c r="G4637" s="295"/>
      <c r="H4637" s="98"/>
      <c r="I4637" s="106"/>
      <c r="J4637" s="106"/>
      <c r="K4637" s="106"/>
      <c r="L4637" s="106"/>
      <c r="M4637" s="106"/>
      <c r="N4637" s="112"/>
      <c r="O4637" s="112"/>
      <c r="P4637" s="112"/>
      <c r="Q4637" s="113"/>
      <c r="R4637" s="113"/>
      <c r="S4637" s="113"/>
      <c r="T4637" s="113"/>
      <c r="U4637" s="113"/>
      <c r="V4637" s="113"/>
    </row>
    <row r="4638" spans="1:22">
      <c r="A4638" s="297"/>
      <c r="B4638" s="217"/>
      <c r="C4638" s="217"/>
      <c r="D4638" s="101"/>
      <c r="E4638" s="101"/>
      <c r="F4638" s="294"/>
      <c r="G4638" s="295"/>
      <c r="H4638" s="114"/>
      <c r="I4638" s="108"/>
      <c r="J4638" s="108"/>
      <c r="K4638" s="108"/>
      <c r="L4638" s="108"/>
      <c r="M4638" s="108"/>
      <c r="N4638" s="108"/>
      <c r="O4638" s="108"/>
      <c r="P4638" s="108"/>
      <c r="Q4638" s="108"/>
      <c r="R4638" s="108"/>
      <c r="S4638" s="108"/>
      <c r="T4638" s="108"/>
      <c r="U4638" s="233"/>
      <c r="V4638" s="233"/>
    </row>
    <row r="4639" spans="1:22" ht="14.4" thickBot="1">
      <c r="A4639" s="297"/>
      <c r="B4639" s="217"/>
      <c r="C4639" s="217"/>
      <c r="D4639" s="101"/>
      <c r="E4639" s="101"/>
      <c r="F4639" s="294"/>
      <c r="G4639" s="295"/>
      <c r="H4639" s="98"/>
      <c r="I4639" s="218"/>
      <c r="J4639" s="218"/>
      <c r="K4639" s="218"/>
      <c r="L4639" s="218"/>
      <c r="M4639" s="218"/>
      <c r="U4639" s="212"/>
      <c r="V4639" s="212"/>
    </row>
    <row r="4640" spans="1:22" ht="23.4" thickBot="1">
      <c r="A4640" s="297"/>
      <c r="B4640" s="217"/>
      <c r="C4640" s="217"/>
      <c r="D4640" s="101"/>
      <c r="E4640" s="101"/>
      <c r="F4640" s="294"/>
      <c r="G4640" s="295"/>
      <c r="H4640" s="686"/>
      <c r="I4640" s="687"/>
      <c r="J4640" s="687"/>
      <c r="K4640" s="687"/>
      <c r="L4640" s="687"/>
      <c r="M4640" s="687"/>
      <c r="N4640" s="687"/>
      <c r="O4640" s="687"/>
      <c r="P4640" s="687"/>
      <c r="Q4640" s="687"/>
      <c r="R4640" s="687"/>
      <c r="S4640" s="715"/>
      <c r="T4640" s="688"/>
      <c r="U4640" s="254"/>
      <c r="V4640" s="254"/>
    </row>
    <row r="4641" spans="1:22" ht="22.8">
      <c r="A4641" s="297"/>
      <c r="B4641" s="217"/>
      <c r="C4641" s="217"/>
      <c r="D4641" s="101"/>
      <c r="E4641" s="101"/>
      <c r="F4641" s="294"/>
      <c r="G4641" s="295"/>
      <c r="H4641" s="225"/>
      <c r="I4641" s="225"/>
      <c r="J4641" s="225"/>
      <c r="K4641" s="225"/>
      <c r="L4641" s="225"/>
      <c r="M4641" s="225"/>
      <c r="N4641" s="225"/>
      <c r="O4641" s="225"/>
      <c r="P4641" s="225"/>
      <c r="Q4641" s="225"/>
      <c r="R4641" s="225"/>
      <c r="S4641" s="225"/>
      <c r="T4641" s="225"/>
      <c r="U4641" s="225"/>
      <c r="V4641" s="225"/>
    </row>
    <row r="4642" spans="1:22">
      <c r="A4642" s="297"/>
      <c r="B4642" s="217"/>
      <c r="C4642" s="217"/>
      <c r="D4642" s="101"/>
      <c r="E4642" s="101"/>
      <c r="F4642" s="294"/>
      <c r="G4642" s="295"/>
      <c r="H4642" s="98"/>
      <c r="I4642" s="99"/>
      <c r="J4642" s="99"/>
      <c r="K4642" s="99"/>
      <c r="L4642" s="99"/>
      <c r="M4642" s="99"/>
      <c r="N4642" s="99"/>
      <c r="O4642" s="99"/>
      <c r="P4642" s="99"/>
      <c r="Q4642" s="99"/>
      <c r="R4642" s="99"/>
      <c r="S4642" s="99"/>
      <c r="T4642" s="99"/>
      <c r="U4642" s="99"/>
      <c r="V4642" s="99"/>
    </row>
    <row r="4643" spans="1:22">
      <c r="A4643" s="297"/>
      <c r="B4643" s="217"/>
      <c r="C4643" s="217"/>
      <c r="D4643" s="101"/>
      <c r="E4643" s="101"/>
      <c r="F4643" s="294"/>
      <c r="G4643" s="295"/>
      <c r="H4643" s="98"/>
      <c r="I4643" s="99"/>
      <c r="J4643" s="99"/>
      <c r="K4643" s="99"/>
      <c r="L4643" s="99"/>
      <c r="M4643" s="99"/>
      <c r="N4643" s="99"/>
      <c r="O4643" s="99"/>
      <c r="P4643" s="99"/>
      <c r="Q4643" s="99"/>
      <c r="R4643" s="99"/>
      <c r="S4643" s="99"/>
      <c r="T4643" s="99"/>
      <c r="U4643" s="99"/>
      <c r="V4643" s="99"/>
    </row>
    <row r="4644" spans="1:22">
      <c r="A4644" s="297"/>
      <c r="B4644" s="217"/>
      <c r="C4644" s="217"/>
      <c r="D4644" s="101"/>
      <c r="E4644" s="101"/>
      <c r="F4644" s="294"/>
      <c r="G4644" s="295"/>
      <c r="H4644" s="98"/>
      <c r="I4644" s="99"/>
      <c r="J4644" s="99"/>
      <c r="K4644" s="99"/>
      <c r="L4644" s="99"/>
      <c r="M4644" s="99"/>
      <c r="N4644" s="99"/>
      <c r="O4644" s="99"/>
      <c r="P4644" s="99"/>
      <c r="Q4644" s="99"/>
      <c r="R4644" s="99"/>
      <c r="S4644" s="99"/>
      <c r="T4644" s="99"/>
      <c r="U4644" s="99"/>
      <c r="V4644" s="99"/>
    </row>
    <row r="4645" spans="1:22">
      <c r="A4645" s="297"/>
      <c r="B4645" s="217"/>
      <c r="C4645" s="217"/>
      <c r="D4645" s="101"/>
      <c r="E4645" s="101"/>
      <c r="F4645" s="294"/>
      <c r="G4645" s="295"/>
      <c r="H4645" s="98"/>
      <c r="I4645" s="99"/>
      <c r="J4645" s="99"/>
      <c r="K4645" s="99"/>
      <c r="L4645" s="99"/>
      <c r="M4645" s="99"/>
      <c r="N4645" s="99"/>
      <c r="O4645" s="99"/>
      <c r="P4645" s="99"/>
      <c r="Q4645" s="99"/>
      <c r="R4645" s="99"/>
      <c r="S4645" s="99"/>
      <c r="T4645" s="99"/>
      <c r="U4645" s="99"/>
      <c r="V4645" s="99"/>
    </row>
    <row r="4646" spans="1:22">
      <c r="A4646" s="297"/>
      <c r="B4646" s="217"/>
      <c r="C4646" s="217"/>
      <c r="D4646" s="101"/>
      <c r="E4646" s="101"/>
      <c r="F4646" s="294"/>
      <c r="G4646" s="295"/>
      <c r="H4646" s="98"/>
      <c r="I4646" s="99"/>
      <c r="J4646" s="99"/>
      <c r="K4646" s="99"/>
      <c r="L4646" s="99"/>
      <c r="M4646" s="99"/>
      <c r="N4646" s="99"/>
      <c r="O4646" s="99"/>
      <c r="P4646" s="99"/>
      <c r="Q4646" s="99"/>
      <c r="R4646" s="99"/>
      <c r="S4646" s="99"/>
      <c r="T4646" s="99"/>
      <c r="U4646" s="99"/>
      <c r="V4646" s="99"/>
    </row>
    <row r="4647" spans="1:22">
      <c r="A4647" s="297"/>
      <c r="B4647" s="217"/>
      <c r="C4647" s="217"/>
      <c r="D4647" s="101"/>
      <c r="E4647" s="101"/>
      <c r="F4647" s="294"/>
      <c r="G4647" s="295"/>
      <c r="H4647" s="98"/>
      <c r="I4647" s="99"/>
      <c r="J4647" s="99"/>
      <c r="K4647" s="99"/>
      <c r="L4647" s="99"/>
      <c r="M4647" s="99"/>
      <c r="N4647" s="99"/>
      <c r="O4647" s="99"/>
      <c r="P4647" s="99"/>
      <c r="Q4647" s="99"/>
      <c r="R4647" s="99"/>
      <c r="S4647" s="99"/>
      <c r="T4647" s="99"/>
      <c r="U4647" s="99"/>
      <c r="V4647" s="99"/>
    </row>
    <row r="4648" spans="1:22">
      <c r="A4648" s="297"/>
      <c r="B4648" s="217"/>
      <c r="C4648" s="217"/>
      <c r="D4648" s="101"/>
      <c r="E4648" s="101"/>
      <c r="F4648" s="294"/>
      <c r="G4648" s="295"/>
      <c r="H4648" s="98"/>
      <c r="I4648" s="99"/>
      <c r="J4648" s="99"/>
      <c r="K4648" s="99"/>
      <c r="L4648" s="99"/>
      <c r="M4648" s="99"/>
      <c r="N4648" s="99"/>
      <c r="O4648" s="99"/>
      <c r="P4648" s="99"/>
      <c r="Q4648" s="99"/>
      <c r="R4648" s="99"/>
      <c r="S4648" s="99"/>
      <c r="T4648" s="99"/>
      <c r="U4648" s="99"/>
      <c r="V4648" s="99"/>
    </row>
    <row r="4649" spans="1:22">
      <c r="A4649" s="297"/>
      <c r="B4649" s="217"/>
      <c r="C4649" s="217"/>
      <c r="D4649" s="101"/>
      <c r="E4649" s="101"/>
      <c r="F4649" s="294"/>
      <c r="G4649" s="295"/>
      <c r="H4649" s="98"/>
      <c r="I4649" s="99"/>
      <c r="J4649" s="99"/>
      <c r="K4649" s="99"/>
      <c r="L4649" s="99"/>
      <c r="M4649" s="99"/>
      <c r="N4649" s="99"/>
      <c r="O4649" s="99"/>
      <c r="P4649" s="99"/>
      <c r="Q4649" s="99"/>
      <c r="R4649" s="99"/>
      <c r="S4649" s="99"/>
      <c r="T4649" s="99"/>
      <c r="U4649" s="99"/>
      <c r="V4649" s="99"/>
    </row>
    <row r="4650" spans="1:22">
      <c r="A4650" s="297"/>
      <c r="B4650" s="217"/>
      <c r="C4650" s="217"/>
      <c r="D4650" s="101"/>
      <c r="E4650" s="101"/>
      <c r="F4650" s="294"/>
      <c r="G4650" s="295"/>
      <c r="H4650" s="98"/>
      <c r="I4650" s="99"/>
      <c r="J4650" s="99"/>
      <c r="K4650" s="99"/>
      <c r="L4650" s="99"/>
      <c r="M4650" s="99"/>
      <c r="N4650" s="99"/>
      <c r="O4650" s="99"/>
      <c r="P4650" s="99"/>
      <c r="Q4650" s="99"/>
      <c r="R4650" s="99"/>
      <c r="S4650" s="99"/>
      <c r="T4650" s="99"/>
      <c r="U4650" s="99"/>
      <c r="V4650" s="99"/>
    </row>
    <row r="4651" spans="1:22" ht="24" customHeight="1">
      <c r="A4651" s="297"/>
      <c r="B4651" s="217"/>
      <c r="C4651" s="217"/>
      <c r="D4651" s="101"/>
      <c r="E4651" s="101"/>
      <c r="F4651" s="294"/>
      <c r="G4651" s="295"/>
      <c r="H4651" s="98"/>
      <c r="I4651" s="99"/>
      <c r="J4651" s="99"/>
      <c r="K4651" s="99"/>
      <c r="L4651" s="99"/>
      <c r="M4651" s="99"/>
      <c r="N4651" s="99"/>
      <c r="O4651" s="99"/>
      <c r="P4651" s="99"/>
      <c r="Q4651" s="99"/>
      <c r="R4651" s="99"/>
      <c r="S4651" s="99"/>
      <c r="T4651" s="99"/>
      <c r="U4651" s="99"/>
      <c r="V4651" s="99"/>
    </row>
    <row r="4652" spans="1:22">
      <c r="A4652" s="297"/>
      <c r="B4652" s="217"/>
      <c r="C4652" s="217"/>
      <c r="D4652" s="101"/>
      <c r="E4652" s="101"/>
      <c r="F4652" s="294"/>
      <c r="G4652" s="295"/>
      <c r="H4652" s="98"/>
      <c r="I4652" s="99"/>
      <c r="J4652" s="99"/>
      <c r="K4652" s="99"/>
      <c r="L4652" s="99"/>
      <c r="M4652" s="99"/>
      <c r="N4652" s="99"/>
      <c r="O4652" s="99"/>
      <c r="P4652" s="99"/>
      <c r="Q4652" s="99"/>
      <c r="R4652" s="99"/>
      <c r="S4652" s="99"/>
      <c r="T4652" s="99"/>
      <c r="U4652" s="99"/>
      <c r="V4652" s="99"/>
    </row>
    <row r="4653" spans="1:22">
      <c r="A4653" s="297"/>
      <c r="B4653" s="217"/>
      <c r="C4653" s="217"/>
      <c r="D4653" s="101"/>
      <c r="E4653" s="101"/>
      <c r="F4653" s="294"/>
      <c r="G4653" s="295"/>
      <c r="H4653" s="98"/>
      <c r="I4653" s="99"/>
      <c r="J4653" s="99"/>
      <c r="K4653" s="99"/>
      <c r="L4653" s="99"/>
      <c r="M4653" s="99"/>
      <c r="N4653" s="99"/>
      <c r="O4653" s="99"/>
      <c r="P4653" s="99"/>
      <c r="Q4653" s="99"/>
      <c r="R4653" s="99"/>
      <c r="S4653" s="99"/>
      <c r="T4653" s="99"/>
      <c r="U4653" s="99"/>
      <c r="V4653" s="99"/>
    </row>
    <row r="4654" spans="1:22">
      <c r="A4654" s="297"/>
      <c r="B4654" s="217"/>
      <c r="C4654" s="217"/>
      <c r="D4654" s="101"/>
      <c r="E4654" s="101"/>
      <c r="F4654" s="294"/>
      <c r="G4654" s="295"/>
      <c r="H4654" s="98"/>
      <c r="I4654" s="99"/>
      <c r="J4654" s="99"/>
      <c r="K4654" s="99"/>
      <c r="L4654" s="99"/>
      <c r="M4654" s="99"/>
      <c r="N4654" s="99"/>
      <c r="O4654" s="99"/>
      <c r="P4654" s="99"/>
      <c r="Q4654" s="99"/>
      <c r="R4654" s="99"/>
      <c r="S4654" s="99"/>
      <c r="T4654" s="99"/>
      <c r="U4654" s="99"/>
      <c r="V4654" s="99"/>
    </row>
    <row r="4655" spans="1:22">
      <c r="A4655" s="297"/>
      <c r="B4655" s="217"/>
      <c r="C4655" s="217"/>
      <c r="D4655" s="101"/>
      <c r="E4655" s="101"/>
      <c r="F4655" s="294"/>
      <c r="G4655" s="295"/>
      <c r="H4655" s="107"/>
      <c r="I4655" s="108"/>
      <c r="J4655" s="108"/>
      <c r="K4655" s="108"/>
      <c r="L4655" s="108"/>
      <c r="M4655" s="108"/>
      <c r="N4655" s="109"/>
      <c r="O4655" s="109"/>
      <c r="P4655" s="109"/>
      <c r="Q4655" s="109"/>
      <c r="R4655" s="109"/>
      <c r="S4655" s="109"/>
      <c r="T4655" s="109"/>
      <c r="U4655" s="202"/>
      <c r="V4655" s="202"/>
    </row>
    <row r="4656" spans="1:22">
      <c r="A4656" s="297"/>
      <c r="B4656" s="217"/>
      <c r="C4656" s="217"/>
      <c r="D4656" s="101"/>
      <c r="E4656" s="101"/>
      <c r="F4656" s="294"/>
      <c r="G4656" s="295"/>
      <c r="H4656" s="98"/>
      <c r="I4656" s="106"/>
      <c r="J4656" s="106"/>
      <c r="K4656" s="106"/>
      <c r="L4656" s="106"/>
      <c r="M4656" s="106"/>
      <c r="N4656" s="112"/>
      <c r="O4656" s="112"/>
      <c r="P4656" s="112"/>
      <c r="Q4656" s="113"/>
      <c r="R4656" s="113"/>
      <c r="S4656" s="113"/>
      <c r="T4656" s="113"/>
      <c r="U4656" s="113"/>
      <c r="V4656" s="113"/>
    </row>
    <row r="4657" spans="1:22">
      <c r="A4657" s="297"/>
      <c r="B4657" s="217"/>
      <c r="C4657" s="217"/>
      <c r="D4657" s="101"/>
      <c r="E4657" s="101"/>
      <c r="F4657" s="294"/>
      <c r="G4657" s="295"/>
      <c r="H4657" s="98"/>
      <c r="I4657" s="99"/>
      <c r="J4657" s="99"/>
      <c r="K4657" s="99"/>
      <c r="L4657" s="99"/>
      <c r="M4657" s="99"/>
      <c r="N4657" s="99"/>
      <c r="O4657" s="99"/>
      <c r="P4657" s="99"/>
      <c r="Q4657" s="99"/>
      <c r="R4657" s="99"/>
      <c r="S4657" s="99"/>
      <c r="T4657" s="99"/>
      <c r="U4657" s="99"/>
      <c r="V4657" s="99"/>
    </row>
    <row r="4658" spans="1:22">
      <c r="A4658" s="297"/>
      <c r="B4658" s="217"/>
      <c r="C4658" s="217"/>
      <c r="D4658" s="101"/>
      <c r="E4658" s="101"/>
      <c r="F4658" s="294"/>
      <c r="G4658" s="295"/>
      <c r="H4658" s="98"/>
      <c r="I4658" s="99"/>
      <c r="J4658" s="99"/>
      <c r="K4658" s="99"/>
      <c r="L4658" s="99"/>
      <c r="M4658" s="99"/>
      <c r="N4658" s="99"/>
      <c r="O4658" s="99"/>
      <c r="P4658" s="99"/>
      <c r="Q4658" s="99"/>
      <c r="R4658" s="99"/>
      <c r="S4658" s="99"/>
      <c r="T4658" s="99"/>
      <c r="U4658" s="99"/>
      <c r="V4658" s="99"/>
    </row>
    <row r="4659" spans="1:22">
      <c r="A4659" s="297"/>
      <c r="B4659" s="217"/>
      <c r="C4659" s="217"/>
      <c r="D4659" s="101"/>
      <c r="E4659" s="101"/>
      <c r="F4659" s="294"/>
      <c r="G4659" s="295"/>
      <c r="H4659" s="98"/>
      <c r="I4659" s="99"/>
      <c r="J4659" s="99"/>
      <c r="K4659" s="99"/>
      <c r="L4659" s="99"/>
      <c r="M4659" s="99"/>
      <c r="N4659" s="99"/>
      <c r="O4659" s="99"/>
      <c r="P4659" s="99"/>
      <c r="Q4659" s="99"/>
      <c r="R4659" s="99"/>
      <c r="S4659" s="99"/>
      <c r="T4659" s="99"/>
      <c r="U4659" s="99"/>
      <c r="V4659" s="99"/>
    </row>
    <row r="4660" spans="1:22">
      <c r="A4660" s="297"/>
      <c r="B4660" s="217"/>
      <c r="C4660" s="217"/>
      <c r="D4660" s="101"/>
      <c r="E4660" s="101"/>
      <c r="F4660" s="294"/>
      <c r="G4660" s="295"/>
      <c r="H4660" s="98"/>
      <c r="I4660" s="99"/>
      <c r="J4660" s="99"/>
      <c r="K4660" s="99"/>
      <c r="L4660" s="99"/>
      <c r="M4660" s="99"/>
      <c r="N4660" s="99"/>
      <c r="O4660" s="99"/>
      <c r="P4660" s="99"/>
      <c r="Q4660" s="99"/>
      <c r="R4660" s="99"/>
      <c r="S4660" s="99"/>
      <c r="T4660" s="99"/>
      <c r="U4660" s="99"/>
      <c r="V4660" s="99"/>
    </row>
    <row r="4661" spans="1:22">
      <c r="A4661" s="297"/>
      <c r="B4661" s="217"/>
      <c r="C4661" s="217"/>
      <c r="D4661" s="101"/>
      <c r="E4661" s="101"/>
      <c r="F4661" s="294"/>
      <c r="G4661" s="295"/>
      <c r="H4661" s="98"/>
      <c r="I4661" s="99"/>
      <c r="J4661" s="99"/>
      <c r="K4661" s="99"/>
      <c r="L4661" s="99"/>
      <c r="M4661" s="99"/>
      <c r="N4661" s="99"/>
      <c r="O4661" s="99"/>
      <c r="P4661" s="99"/>
      <c r="Q4661" s="99"/>
      <c r="R4661" s="99"/>
      <c r="S4661" s="99"/>
      <c r="T4661" s="99"/>
      <c r="U4661" s="99"/>
      <c r="V4661" s="99"/>
    </row>
    <row r="4662" spans="1:22">
      <c r="A4662" s="297"/>
      <c r="B4662" s="217"/>
      <c r="C4662" s="217"/>
      <c r="D4662" s="101"/>
      <c r="E4662" s="101"/>
      <c r="F4662" s="294"/>
      <c r="G4662" s="295"/>
      <c r="H4662" s="98"/>
      <c r="I4662" s="99"/>
      <c r="J4662" s="99"/>
      <c r="K4662" s="99"/>
      <c r="L4662" s="99"/>
      <c r="M4662" s="99"/>
      <c r="N4662" s="99"/>
      <c r="O4662" s="99"/>
      <c r="P4662" s="99"/>
      <c r="Q4662" s="99"/>
      <c r="R4662" s="99"/>
      <c r="S4662" s="99"/>
      <c r="T4662" s="99"/>
      <c r="U4662" s="99"/>
      <c r="V4662" s="99"/>
    </row>
    <row r="4663" spans="1:22">
      <c r="A4663" s="297"/>
      <c r="B4663" s="217"/>
      <c r="C4663" s="217"/>
      <c r="D4663" s="101"/>
      <c r="E4663" s="101"/>
      <c r="F4663" s="294"/>
      <c r="G4663" s="295"/>
      <c r="H4663" s="98"/>
      <c r="I4663" s="99"/>
      <c r="J4663" s="99"/>
      <c r="K4663" s="99"/>
      <c r="L4663" s="99"/>
      <c r="M4663" s="99"/>
      <c r="N4663" s="99"/>
      <c r="O4663" s="99"/>
      <c r="P4663" s="99"/>
      <c r="Q4663" s="99"/>
      <c r="R4663" s="99"/>
      <c r="S4663" s="99"/>
      <c r="T4663" s="99"/>
      <c r="U4663" s="99"/>
      <c r="V4663" s="99"/>
    </row>
    <row r="4664" spans="1:22">
      <c r="A4664" s="297"/>
      <c r="B4664" s="217"/>
      <c r="C4664" s="217"/>
      <c r="D4664" s="101"/>
      <c r="E4664" s="101"/>
      <c r="F4664" s="294"/>
      <c r="G4664" s="295"/>
      <c r="H4664" s="98"/>
      <c r="I4664" s="99"/>
      <c r="J4664" s="99"/>
      <c r="K4664" s="99"/>
      <c r="L4664" s="99"/>
      <c r="M4664" s="99"/>
      <c r="N4664" s="99"/>
      <c r="O4664" s="99"/>
      <c r="P4664" s="99"/>
      <c r="Q4664" s="99"/>
      <c r="R4664" s="99"/>
      <c r="S4664" s="99"/>
      <c r="T4664" s="99"/>
      <c r="U4664" s="99"/>
      <c r="V4664" s="99"/>
    </row>
    <row r="4665" spans="1:22">
      <c r="A4665" s="297"/>
      <c r="B4665" s="217"/>
      <c r="C4665" s="217"/>
      <c r="D4665" s="101"/>
      <c r="E4665" s="101"/>
      <c r="F4665" s="294"/>
      <c r="G4665" s="295"/>
      <c r="H4665" s="98"/>
      <c r="I4665" s="99"/>
      <c r="J4665" s="99"/>
      <c r="K4665" s="99"/>
      <c r="L4665" s="99"/>
      <c r="M4665" s="99"/>
      <c r="N4665" s="99"/>
      <c r="O4665" s="99"/>
      <c r="P4665" s="99"/>
      <c r="Q4665" s="99"/>
      <c r="R4665" s="99"/>
      <c r="S4665" s="99"/>
      <c r="T4665" s="99"/>
      <c r="U4665" s="99"/>
      <c r="V4665" s="99"/>
    </row>
    <row r="4666" spans="1:22">
      <c r="A4666" s="297"/>
      <c r="B4666" s="217"/>
      <c r="C4666" s="217"/>
      <c r="D4666" s="101"/>
      <c r="E4666" s="101"/>
      <c r="F4666" s="294"/>
      <c r="G4666" s="295"/>
      <c r="H4666" s="98"/>
      <c r="I4666" s="99"/>
      <c r="J4666" s="99"/>
      <c r="K4666" s="99"/>
      <c r="L4666" s="99"/>
      <c r="M4666" s="99"/>
      <c r="N4666" s="99"/>
      <c r="O4666" s="99"/>
      <c r="P4666" s="99"/>
      <c r="Q4666" s="99"/>
      <c r="R4666" s="99"/>
      <c r="S4666" s="99"/>
      <c r="T4666" s="99"/>
      <c r="U4666" s="99"/>
      <c r="V4666" s="99"/>
    </row>
    <row r="4667" spans="1:22">
      <c r="A4667" s="297"/>
      <c r="B4667" s="217"/>
      <c r="C4667" s="217"/>
      <c r="D4667" s="101"/>
      <c r="E4667" s="101"/>
      <c r="F4667" s="294"/>
      <c r="G4667" s="295"/>
      <c r="H4667" s="98"/>
      <c r="I4667" s="99"/>
      <c r="J4667" s="99"/>
      <c r="K4667" s="99"/>
      <c r="L4667" s="99"/>
      <c r="M4667" s="99"/>
      <c r="N4667" s="99"/>
      <c r="O4667" s="99"/>
      <c r="P4667" s="99"/>
      <c r="Q4667" s="99"/>
      <c r="R4667" s="99"/>
      <c r="S4667" s="99"/>
      <c r="T4667" s="99"/>
      <c r="U4667" s="99"/>
      <c r="V4667" s="99"/>
    </row>
    <row r="4668" spans="1:22">
      <c r="A4668" s="297"/>
      <c r="B4668" s="217"/>
      <c r="C4668" s="217"/>
      <c r="D4668" s="101"/>
      <c r="E4668" s="101"/>
      <c r="F4668" s="294"/>
      <c r="G4668" s="295"/>
      <c r="H4668" s="98"/>
      <c r="I4668" s="99"/>
      <c r="J4668" s="99"/>
      <c r="K4668" s="99"/>
      <c r="L4668" s="99"/>
      <c r="M4668" s="99"/>
      <c r="N4668" s="99"/>
      <c r="O4668" s="99"/>
      <c r="P4668" s="99"/>
      <c r="Q4668" s="99"/>
      <c r="R4668" s="99"/>
      <c r="S4668" s="99"/>
      <c r="T4668" s="99"/>
      <c r="U4668" s="99"/>
      <c r="V4668" s="99"/>
    </row>
    <row r="4669" spans="1:22">
      <c r="A4669" s="297"/>
      <c r="B4669" s="217"/>
      <c r="C4669" s="217"/>
      <c r="D4669" s="101"/>
      <c r="E4669" s="101"/>
      <c r="F4669" s="294"/>
      <c r="G4669" s="295"/>
      <c r="H4669" s="98"/>
      <c r="I4669" s="99"/>
      <c r="J4669" s="99"/>
      <c r="K4669" s="99"/>
      <c r="L4669" s="99"/>
      <c r="M4669" s="99"/>
      <c r="N4669" s="99"/>
      <c r="O4669" s="99"/>
      <c r="P4669" s="99"/>
      <c r="Q4669" s="99"/>
      <c r="R4669" s="99"/>
      <c r="S4669" s="99"/>
      <c r="T4669" s="99"/>
      <c r="U4669" s="99"/>
      <c r="V4669" s="99"/>
    </row>
    <row r="4670" spans="1:22">
      <c r="A4670" s="297"/>
      <c r="B4670" s="217"/>
      <c r="C4670" s="217"/>
      <c r="D4670" s="101"/>
      <c r="E4670" s="101"/>
      <c r="F4670" s="294"/>
      <c r="G4670" s="295"/>
      <c r="H4670" s="98"/>
      <c r="I4670" s="99"/>
      <c r="J4670" s="99"/>
      <c r="K4670" s="99"/>
      <c r="L4670" s="99"/>
      <c r="M4670" s="99"/>
      <c r="N4670" s="99"/>
      <c r="O4670" s="99"/>
      <c r="P4670" s="99"/>
      <c r="Q4670" s="99"/>
      <c r="R4670" s="99"/>
      <c r="S4670" s="99"/>
      <c r="T4670" s="99"/>
      <c r="U4670" s="99"/>
      <c r="V4670" s="99"/>
    </row>
    <row r="4671" spans="1:22">
      <c r="A4671" s="297"/>
      <c r="B4671" s="217"/>
      <c r="C4671" s="217"/>
      <c r="D4671" s="101"/>
      <c r="E4671" s="101"/>
      <c r="F4671" s="294"/>
      <c r="G4671" s="295"/>
      <c r="H4671" s="98"/>
      <c r="I4671" s="99"/>
      <c r="J4671" s="99"/>
      <c r="K4671" s="99"/>
      <c r="L4671" s="99"/>
      <c r="M4671" s="99"/>
      <c r="N4671" s="99"/>
      <c r="O4671" s="99"/>
      <c r="P4671" s="99"/>
      <c r="Q4671" s="99"/>
      <c r="R4671" s="99"/>
      <c r="S4671" s="99"/>
      <c r="T4671" s="99"/>
      <c r="U4671" s="99"/>
      <c r="V4671" s="99"/>
    </row>
    <row r="4672" spans="1:22">
      <c r="A4672" s="297"/>
      <c r="B4672" s="217"/>
      <c r="C4672" s="217"/>
      <c r="D4672" s="101"/>
      <c r="E4672" s="101"/>
      <c r="F4672" s="294"/>
      <c r="G4672" s="295"/>
      <c r="H4672" s="98"/>
      <c r="I4672" s="99"/>
      <c r="J4672" s="99"/>
      <c r="K4672" s="99"/>
      <c r="L4672" s="99"/>
      <c r="M4672" s="99"/>
      <c r="N4672" s="99"/>
      <c r="O4672" s="99"/>
      <c r="P4672" s="99"/>
      <c r="Q4672" s="99"/>
      <c r="R4672" s="99"/>
      <c r="S4672" s="99"/>
      <c r="T4672" s="99"/>
      <c r="U4672" s="99"/>
      <c r="V4672" s="99"/>
    </row>
    <row r="4673" spans="1:22">
      <c r="A4673" s="297"/>
      <c r="B4673" s="217"/>
      <c r="C4673" s="217"/>
      <c r="D4673" s="101"/>
      <c r="E4673" s="101"/>
      <c r="F4673" s="294"/>
      <c r="G4673" s="295"/>
      <c r="H4673" s="98"/>
      <c r="I4673" s="99"/>
      <c r="J4673" s="99"/>
      <c r="K4673" s="99"/>
      <c r="L4673" s="99"/>
      <c r="M4673" s="99"/>
      <c r="N4673" s="99"/>
      <c r="O4673" s="99"/>
      <c r="P4673" s="99"/>
      <c r="Q4673" s="99"/>
      <c r="R4673" s="99"/>
      <c r="S4673" s="99"/>
      <c r="T4673" s="99"/>
      <c r="U4673" s="99"/>
      <c r="V4673" s="99"/>
    </row>
    <row r="4674" spans="1:22">
      <c r="A4674" s="297"/>
      <c r="B4674" s="217"/>
      <c r="C4674" s="217"/>
      <c r="D4674" s="101"/>
      <c r="E4674" s="101"/>
      <c r="F4674" s="294"/>
      <c r="G4674" s="295"/>
      <c r="H4674" s="98"/>
      <c r="I4674" s="99"/>
      <c r="J4674" s="99"/>
      <c r="K4674" s="99"/>
      <c r="L4674" s="99"/>
      <c r="M4674" s="99"/>
      <c r="N4674" s="99"/>
      <c r="O4674" s="99"/>
      <c r="P4674" s="99"/>
      <c r="Q4674" s="99"/>
      <c r="R4674" s="99"/>
      <c r="S4674" s="99"/>
      <c r="T4674" s="99"/>
      <c r="U4674" s="99"/>
      <c r="V4674" s="99"/>
    </row>
    <row r="4675" spans="1:22">
      <c r="A4675" s="297"/>
      <c r="B4675" s="217"/>
      <c r="C4675" s="217"/>
      <c r="D4675" s="101"/>
      <c r="E4675" s="101"/>
      <c r="F4675" s="294"/>
      <c r="G4675" s="295"/>
      <c r="H4675" s="98"/>
      <c r="I4675" s="99"/>
      <c r="J4675" s="99"/>
      <c r="K4675" s="99"/>
      <c r="L4675" s="99"/>
      <c r="M4675" s="99"/>
      <c r="N4675" s="99"/>
      <c r="O4675" s="99"/>
      <c r="P4675" s="99"/>
      <c r="Q4675" s="99"/>
      <c r="R4675" s="99"/>
      <c r="S4675" s="99"/>
      <c r="T4675" s="99"/>
      <c r="U4675" s="99"/>
      <c r="V4675" s="99"/>
    </row>
    <row r="4676" spans="1:22">
      <c r="A4676" s="297"/>
      <c r="B4676" s="217"/>
      <c r="C4676" s="217"/>
      <c r="D4676" s="101"/>
      <c r="E4676" s="101"/>
      <c r="F4676" s="294"/>
      <c r="G4676" s="295"/>
      <c r="H4676" s="98"/>
      <c r="I4676" s="99"/>
      <c r="J4676" s="99"/>
      <c r="K4676" s="99"/>
      <c r="L4676" s="99"/>
      <c r="M4676" s="99"/>
      <c r="N4676" s="99"/>
      <c r="O4676" s="99"/>
      <c r="P4676" s="99"/>
      <c r="Q4676" s="99"/>
      <c r="R4676" s="99"/>
      <c r="S4676" s="99"/>
      <c r="T4676" s="99"/>
      <c r="U4676" s="99"/>
      <c r="V4676" s="99"/>
    </row>
    <row r="4677" spans="1:22">
      <c r="A4677" s="297"/>
      <c r="B4677" s="217"/>
      <c r="C4677" s="217"/>
      <c r="D4677" s="101"/>
      <c r="E4677" s="101"/>
      <c r="F4677" s="294"/>
      <c r="G4677" s="295"/>
      <c r="H4677" s="98"/>
      <c r="I4677" s="99"/>
      <c r="J4677" s="99"/>
      <c r="K4677" s="99"/>
      <c r="L4677" s="99"/>
      <c r="M4677" s="99"/>
      <c r="N4677" s="99"/>
      <c r="O4677" s="99"/>
      <c r="P4677" s="99"/>
      <c r="Q4677" s="99"/>
      <c r="R4677" s="99"/>
      <c r="S4677" s="99"/>
      <c r="T4677" s="99"/>
      <c r="U4677" s="99"/>
      <c r="V4677" s="99"/>
    </row>
    <row r="4678" spans="1:22">
      <c r="A4678" s="297"/>
      <c r="B4678" s="217"/>
      <c r="C4678" s="217"/>
      <c r="D4678" s="101"/>
      <c r="E4678" s="101"/>
      <c r="F4678" s="294"/>
      <c r="G4678" s="295"/>
      <c r="H4678" s="98"/>
      <c r="I4678" s="99"/>
      <c r="J4678" s="99"/>
      <c r="K4678" s="99"/>
      <c r="L4678" s="99"/>
      <c r="M4678" s="99"/>
      <c r="N4678" s="99"/>
      <c r="O4678" s="99"/>
      <c r="P4678" s="99"/>
      <c r="Q4678" s="99"/>
      <c r="R4678" s="99"/>
      <c r="S4678" s="99"/>
      <c r="T4678" s="99"/>
      <c r="U4678" s="99"/>
      <c r="V4678" s="99"/>
    </row>
    <row r="4679" spans="1:22">
      <c r="A4679" s="297"/>
      <c r="B4679" s="217"/>
      <c r="C4679" s="217"/>
      <c r="D4679" s="101"/>
      <c r="E4679" s="101"/>
      <c r="F4679" s="294"/>
      <c r="G4679" s="295"/>
      <c r="H4679" s="98"/>
      <c r="I4679" s="99"/>
      <c r="J4679" s="99"/>
      <c r="K4679" s="99"/>
      <c r="L4679" s="99"/>
      <c r="M4679" s="99"/>
      <c r="N4679" s="99"/>
      <c r="O4679" s="99"/>
      <c r="P4679" s="99"/>
      <c r="Q4679" s="99"/>
      <c r="R4679" s="99"/>
      <c r="S4679" s="99"/>
      <c r="T4679" s="99"/>
      <c r="U4679" s="99"/>
      <c r="V4679" s="99"/>
    </row>
    <row r="4680" spans="1:22">
      <c r="A4680" s="297"/>
      <c r="B4680" s="217"/>
      <c r="C4680" s="217"/>
      <c r="D4680" s="101"/>
      <c r="E4680" s="101"/>
      <c r="F4680" s="294"/>
      <c r="G4680" s="295"/>
      <c r="H4680" s="98"/>
      <c r="I4680" s="99"/>
      <c r="J4680" s="99"/>
      <c r="K4680" s="99"/>
      <c r="L4680" s="99"/>
      <c r="M4680" s="99"/>
      <c r="N4680" s="99"/>
      <c r="O4680" s="99"/>
      <c r="P4680" s="99"/>
      <c r="Q4680" s="99"/>
      <c r="R4680" s="99"/>
      <c r="S4680" s="99"/>
      <c r="T4680" s="99"/>
      <c r="U4680" s="99"/>
      <c r="V4680" s="99"/>
    </row>
    <row r="4681" spans="1:22">
      <c r="A4681" s="297"/>
      <c r="B4681" s="217"/>
      <c r="C4681" s="217"/>
      <c r="D4681" s="101"/>
      <c r="E4681" s="101"/>
      <c r="F4681" s="294"/>
      <c r="G4681" s="295"/>
      <c r="H4681" s="98"/>
      <c r="I4681" s="99"/>
      <c r="J4681" s="99"/>
      <c r="K4681" s="99"/>
      <c r="L4681" s="99"/>
      <c r="M4681" s="99"/>
      <c r="N4681" s="99"/>
      <c r="O4681" s="99"/>
      <c r="P4681" s="99"/>
      <c r="Q4681" s="99"/>
      <c r="R4681" s="99"/>
      <c r="S4681" s="99"/>
      <c r="T4681" s="99"/>
      <c r="U4681" s="99"/>
      <c r="V4681" s="99"/>
    </row>
    <row r="4682" spans="1:22">
      <c r="A4682" s="297"/>
      <c r="B4682" s="217"/>
      <c r="C4682" s="217"/>
      <c r="D4682" s="101"/>
      <c r="E4682" s="101"/>
      <c r="F4682" s="294"/>
      <c r="G4682" s="295"/>
      <c r="H4682" s="98"/>
      <c r="I4682" s="99"/>
      <c r="J4682" s="99"/>
      <c r="K4682" s="99"/>
      <c r="L4682" s="99"/>
      <c r="M4682" s="99"/>
      <c r="N4682" s="99"/>
      <c r="O4682" s="99"/>
      <c r="P4682" s="99"/>
      <c r="Q4682" s="99"/>
      <c r="R4682" s="99"/>
      <c r="S4682" s="99"/>
      <c r="T4682" s="99"/>
      <c r="U4682" s="99"/>
      <c r="V4682" s="99"/>
    </row>
    <row r="4683" spans="1:22">
      <c r="A4683" s="297"/>
      <c r="B4683" s="217"/>
      <c r="C4683" s="217"/>
      <c r="D4683" s="101"/>
      <c r="E4683" s="101"/>
      <c r="F4683" s="294"/>
      <c r="G4683" s="295"/>
      <c r="H4683" s="98"/>
      <c r="I4683" s="99"/>
      <c r="J4683" s="99"/>
      <c r="K4683" s="99"/>
      <c r="L4683" s="99"/>
      <c r="M4683" s="99"/>
      <c r="N4683" s="99"/>
      <c r="O4683" s="99"/>
      <c r="P4683" s="99"/>
      <c r="Q4683" s="99"/>
      <c r="R4683" s="99"/>
      <c r="S4683" s="99"/>
      <c r="T4683" s="99"/>
      <c r="U4683" s="99"/>
      <c r="V4683" s="99"/>
    </row>
    <row r="4684" spans="1:22">
      <c r="A4684" s="297"/>
      <c r="B4684" s="217"/>
      <c r="C4684" s="217"/>
      <c r="D4684" s="101"/>
      <c r="E4684" s="101"/>
      <c r="F4684" s="294"/>
      <c r="G4684" s="295"/>
      <c r="H4684" s="107"/>
      <c r="I4684" s="109"/>
      <c r="J4684" s="109"/>
      <c r="K4684" s="109"/>
      <c r="L4684" s="109"/>
      <c r="M4684" s="109"/>
      <c r="N4684" s="109"/>
      <c r="O4684" s="109"/>
      <c r="P4684" s="109"/>
      <c r="Q4684" s="109"/>
      <c r="R4684" s="109"/>
      <c r="S4684" s="109"/>
      <c r="T4684" s="109"/>
      <c r="U4684" s="202"/>
      <c r="V4684" s="202"/>
    </row>
    <row r="4685" spans="1:22">
      <c r="A4685" s="297"/>
      <c r="B4685" s="217"/>
      <c r="C4685" s="217"/>
      <c r="D4685" s="101"/>
      <c r="E4685" s="101"/>
      <c r="F4685" s="294"/>
      <c r="G4685" s="295"/>
      <c r="H4685" s="98"/>
      <c r="I4685" s="106"/>
      <c r="J4685" s="106"/>
      <c r="K4685" s="106"/>
      <c r="L4685" s="106"/>
      <c r="M4685" s="106"/>
      <c r="N4685" s="112"/>
      <c r="O4685" s="112"/>
      <c r="P4685" s="112"/>
      <c r="Q4685" s="113"/>
      <c r="R4685" s="113"/>
      <c r="S4685" s="113"/>
      <c r="T4685" s="113"/>
      <c r="U4685" s="113"/>
      <c r="V4685" s="113"/>
    </row>
    <row r="4686" spans="1:22">
      <c r="A4686" s="297"/>
      <c r="B4686" s="217"/>
      <c r="C4686" s="217"/>
      <c r="D4686" s="101"/>
      <c r="E4686" s="101"/>
      <c r="F4686" s="294"/>
      <c r="G4686" s="295"/>
      <c r="H4686" s="98"/>
      <c r="I4686" s="99"/>
      <c r="J4686" s="99"/>
      <c r="K4686" s="99"/>
      <c r="L4686" s="99"/>
      <c r="M4686" s="99"/>
      <c r="N4686" s="99"/>
      <c r="O4686" s="99"/>
      <c r="P4686" s="99"/>
      <c r="Q4686" s="99"/>
      <c r="R4686" s="99"/>
      <c r="S4686" s="99"/>
      <c r="T4686" s="99"/>
      <c r="U4686" s="99"/>
      <c r="V4686" s="99"/>
    </row>
    <row r="4687" spans="1:22">
      <c r="A4687" s="297"/>
      <c r="B4687" s="217"/>
      <c r="C4687" s="217"/>
      <c r="D4687" s="101"/>
      <c r="E4687" s="101"/>
      <c r="F4687" s="294"/>
      <c r="G4687" s="295"/>
      <c r="H4687" s="98"/>
      <c r="I4687" s="99"/>
      <c r="J4687" s="99"/>
      <c r="K4687" s="99"/>
      <c r="L4687" s="99"/>
      <c r="M4687" s="99"/>
      <c r="N4687" s="99"/>
      <c r="O4687" s="99"/>
      <c r="P4687" s="99"/>
      <c r="Q4687" s="99"/>
      <c r="R4687" s="99"/>
      <c r="S4687" s="99"/>
      <c r="T4687" s="99"/>
      <c r="U4687" s="99"/>
      <c r="V4687" s="99"/>
    </row>
    <row r="4688" spans="1:22">
      <c r="A4688" s="297"/>
      <c r="B4688" s="217"/>
      <c r="C4688" s="217"/>
      <c r="D4688" s="101"/>
      <c r="E4688" s="101"/>
      <c r="F4688" s="294"/>
      <c r="G4688" s="295"/>
      <c r="H4688" s="98"/>
      <c r="I4688" s="99"/>
      <c r="J4688" s="99"/>
      <c r="K4688" s="99"/>
      <c r="L4688" s="99"/>
      <c r="M4688" s="99"/>
      <c r="N4688" s="99"/>
      <c r="O4688" s="99"/>
      <c r="P4688" s="99"/>
      <c r="Q4688" s="99"/>
      <c r="R4688" s="99"/>
      <c r="S4688" s="99"/>
      <c r="T4688" s="99"/>
      <c r="U4688" s="99"/>
      <c r="V4688" s="99"/>
    </row>
    <row r="4689" spans="1:22">
      <c r="A4689" s="297"/>
      <c r="B4689" s="217"/>
      <c r="C4689" s="217"/>
      <c r="D4689" s="101"/>
      <c r="E4689" s="101"/>
      <c r="F4689" s="294"/>
      <c r="G4689" s="295"/>
      <c r="H4689" s="98"/>
      <c r="I4689" s="99"/>
      <c r="J4689" s="99"/>
      <c r="K4689" s="99"/>
      <c r="L4689" s="99"/>
      <c r="M4689" s="99"/>
      <c r="N4689" s="99"/>
      <c r="O4689" s="99"/>
      <c r="P4689" s="99"/>
      <c r="Q4689" s="99"/>
      <c r="R4689" s="99"/>
      <c r="S4689" s="99"/>
      <c r="T4689" s="99"/>
      <c r="U4689" s="99"/>
      <c r="V4689" s="99"/>
    </row>
    <row r="4690" spans="1:22">
      <c r="A4690" s="297"/>
      <c r="B4690" s="217"/>
      <c r="C4690" s="217"/>
      <c r="D4690" s="101"/>
      <c r="E4690" s="101"/>
      <c r="F4690" s="294"/>
      <c r="G4690" s="295"/>
      <c r="H4690" s="98"/>
      <c r="I4690" s="99"/>
      <c r="J4690" s="99"/>
      <c r="K4690" s="99"/>
      <c r="L4690" s="99"/>
      <c r="M4690" s="99"/>
      <c r="N4690" s="99"/>
      <c r="O4690" s="99"/>
      <c r="P4690" s="99"/>
      <c r="Q4690" s="99"/>
      <c r="R4690" s="99"/>
      <c r="S4690" s="99"/>
      <c r="T4690" s="99"/>
      <c r="U4690" s="99"/>
      <c r="V4690" s="99"/>
    </row>
    <row r="4691" spans="1:22">
      <c r="A4691" s="297"/>
      <c r="B4691" s="217"/>
      <c r="C4691" s="217"/>
      <c r="D4691" s="101"/>
      <c r="E4691" s="101"/>
      <c r="F4691" s="294"/>
      <c r="G4691" s="295"/>
      <c r="H4691" s="98"/>
      <c r="I4691" s="99"/>
      <c r="J4691" s="99"/>
      <c r="K4691" s="99"/>
      <c r="L4691" s="99"/>
      <c r="M4691" s="99"/>
      <c r="N4691" s="99"/>
      <c r="O4691" s="99"/>
      <c r="P4691" s="99"/>
      <c r="Q4691" s="99"/>
      <c r="R4691" s="99"/>
      <c r="S4691" s="99"/>
      <c r="T4691" s="99"/>
      <c r="U4691" s="99"/>
      <c r="V4691" s="99"/>
    </row>
    <row r="4692" spans="1:22">
      <c r="A4692" s="297"/>
      <c r="B4692" s="217"/>
      <c r="C4692" s="217"/>
      <c r="D4692" s="101"/>
      <c r="E4692" s="101"/>
      <c r="F4692" s="294"/>
      <c r="G4692" s="295"/>
      <c r="H4692" s="98"/>
      <c r="I4692" s="99"/>
      <c r="J4692" s="99"/>
      <c r="K4692" s="99"/>
      <c r="L4692" s="99"/>
      <c r="M4692" s="99"/>
      <c r="N4692" s="99"/>
      <c r="O4692" s="99"/>
      <c r="P4692" s="99"/>
      <c r="Q4692" s="99"/>
      <c r="R4692" s="99"/>
      <c r="S4692" s="99"/>
      <c r="T4692" s="99"/>
      <c r="U4692" s="99"/>
      <c r="V4692" s="99"/>
    </row>
    <row r="4693" spans="1:22">
      <c r="A4693" s="297"/>
      <c r="B4693" s="217"/>
      <c r="C4693" s="217"/>
      <c r="D4693" s="101"/>
      <c r="E4693" s="101"/>
      <c r="F4693" s="294"/>
      <c r="G4693" s="295"/>
      <c r="H4693" s="98"/>
      <c r="I4693" s="99"/>
      <c r="J4693" s="99"/>
      <c r="K4693" s="99"/>
      <c r="L4693" s="99"/>
      <c r="M4693" s="99"/>
      <c r="N4693" s="99"/>
      <c r="O4693" s="99"/>
      <c r="P4693" s="99"/>
      <c r="Q4693" s="99"/>
      <c r="R4693" s="99"/>
      <c r="S4693" s="99"/>
      <c r="T4693" s="99"/>
      <c r="U4693" s="99"/>
      <c r="V4693" s="99"/>
    </row>
    <row r="4694" spans="1:22">
      <c r="A4694" s="297"/>
      <c r="B4694" s="217"/>
      <c r="C4694" s="217"/>
      <c r="D4694" s="101"/>
      <c r="E4694" s="101"/>
      <c r="F4694" s="294"/>
      <c r="G4694" s="295"/>
      <c r="H4694" s="98"/>
      <c r="I4694" s="99"/>
      <c r="J4694" s="99"/>
      <c r="K4694" s="99"/>
      <c r="L4694" s="99"/>
      <c r="M4694" s="99"/>
      <c r="N4694" s="99"/>
      <c r="O4694" s="99"/>
      <c r="P4694" s="99"/>
      <c r="Q4694" s="99"/>
      <c r="R4694" s="99"/>
      <c r="S4694" s="99"/>
      <c r="T4694" s="99"/>
      <c r="U4694" s="99"/>
      <c r="V4694" s="99"/>
    </row>
    <row r="4695" spans="1:22">
      <c r="A4695" s="297"/>
      <c r="B4695" s="217"/>
      <c r="C4695" s="217"/>
      <c r="D4695" s="101"/>
      <c r="E4695" s="101"/>
      <c r="F4695" s="294"/>
      <c r="G4695" s="295"/>
      <c r="H4695" s="98"/>
      <c r="I4695" s="99"/>
      <c r="J4695" s="99"/>
      <c r="K4695" s="99"/>
      <c r="L4695" s="99"/>
      <c r="M4695" s="99"/>
      <c r="N4695" s="99"/>
      <c r="O4695" s="99"/>
      <c r="P4695" s="99"/>
      <c r="Q4695" s="99"/>
      <c r="R4695" s="99"/>
      <c r="S4695" s="99"/>
      <c r="T4695" s="99"/>
      <c r="U4695" s="99"/>
      <c r="V4695" s="99"/>
    </row>
    <row r="4696" spans="1:22">
      <c r="A4696" s="297"/>
      <c r="B4696" s="217"/>
      <c r="C4696" s="217"/>
      <c r="D4696" s="101"/>
      <c r="E4696" s="101"/>
      <c r="F4696" s="294"/>
      <c r="G4696" s="295"/>
      <c r="H4696" s="98"/>
      <c r="I4696" s="99"/>
      <c r="J4696" s="99"/>
      <c r="K4696" s="99"/>
      <c r="L4696" s="99"/>
      <c r="M4696" s="99"/>
      <c r="N4696" s="99"/>
      <c r="O4696" s="99"/>
      <c r="P4696" s="99"/>
      <c r="Q4696" s="99"/>
      <c r="R4696" s="99"/>
      <c r="S4696" s="99"/>
      <c r="T4696" s="99"/>
      <c r="U4696" s="99"/>
      <c r="V4696" s="99"/>
    </row>
    <row r="4697" spans="1:22">
      <c r="A4697" s="297"/>
      <c r="B4697" s="217"/>
      <c r="C4697" s="217"/>
      <c r="D4697" s="101"/>
      <c r="E4697" s="101"/>
      <c r="F4697" s="294"/>
      <c r="G4697" s="295"/>
      <c r="H4697" s="98"/>
      <c r="I4697" s="99"/>
      <c r="J4697" s="99"/>
      <c r="K4697" s="99"/>
      <c r="L4697" s="99"/>
      <c r="M4697" s="99"/>
      <c r="N4697" s="99"/>
      <c r="O4697" s="99"/>
      <c r="P4697" s="99"/>
      <c r="Q4697" s="99"/>
      <c r="R4697" s="99"/>
      <c r="S4697" s="99"/>
      <c r="T4697" s="99"/>
      <c r="U4697" s="99"/>
      <c r="V4697" s="99"/>
    </row>
    <row r="4698" spans="1:22">
      <c r="A4698" s="297"/>
      <c r="B4698" s="217"/>
      <c r="C4698" s="217"/>
      <c r="D4698" s="101"/>
      <c r="E4698" s="101"/>
      <c r="F4698" s="294"/>
      <c r="G4698" s="295"/>
      <c r="H4698" s="98"/>
      <c r="I4698" s="99"/>
      <c r="J4698" s="99"/>
      <c r="K4698" s="99"/>
      <c r="L4698" s="99"/>
      <c r="M4698" s="99"/>
      <c r="N4698" s="99"/>
      <c r="O4698" s="99"/>
      <c r="P4698" s="99"/>
      <c r="Q4698" s="99"/>
      <c r="R4698" s="99"/>
      <c r="S4698" s="99"/>
      <c r="T4698" s="99"/>
      <c r="U4698" s="99"/>
      <c r="V4698" s="99"/>
    </row>
    <row r="4699" spans="1:22">
      <c r="A4699" s="297"/>
      <c r="B4699" s="217"/>
      <c r="C4699" s="217"/>
      <c r="D4699" s="101"/>
      <c r="E4699" s="101"/>
      <c r="F4699" s="294"/>
      <c r="G4699" s="295"/>
      <c r="H4699" s="98"/>
      <c r="I4699" s="99"/>
      <c r="J4699" s="99"/>
      <c r="K4699" s="99"/>
      <c r="L4699" s="99"/>
      <c r="M4699" s="99"/>
      <c r="N4699" s="99"/>
      <c r="O4699" s="99"/>
      <c r="P4699" s="99"/>
      <c r="Q4699" s="99"/>
      <c r="R4699" s="99"/>
      <c r="S4699" s="99"/>
      <c r="T4699" s="99"/>
      <c r="U4699" s="99"/>
      <c r="V4699" s="99"/>
    </row>
    <row r="4700" spans="1:22">
      <c r="A4700" s="297"/>
      <c r="B4700" s="217"/>
      <c r="C4700" s="217"/>
      <c r="D4700" s="101"/>
      <c r="E4700" s="101"/>
      <c r="F4700" s="294"/>
      <c r="G4700" s="295"/>
      <c r="H4700" s="98"/>
      <c r="I4700" s="99"/>
      <c r="J4700" s="99"/>
      <c r="K4700" s="99"/>
      <c r="L4700" s="99"/>
      <c r="M4700" s="99"/>
      <c r="N4700" s="99"/>
      <c r="O4700" s="99"/>
      <c r="P4700" s="99"/>
      <c r="Q4700" s="99"/>
      <c r="R4700" s="99"/>
      <c r="S4700" s="99"/>
      <c r="T4700" s="99"/>
      <c r="U4700" s="99"/>
      <c r="V4700" s="99"/>
    </row>
    <row r="4701" spans="1:22">
      <c r="A4701" s="297"/>
      <c r="B4701" s="217"/>
      <c r="C4701" s="217"/>
      <c r="D4701" s="101"/>
      <c r="E4701" s="101"/>
      <c r="F4701" s="294"/>
      <c r="G4701" s="295"/>
      <c r="H4701" s="98"/>
      <c r="I4701" s="99"/>
      <c r="J4701" s="99"/>
      <c r="K4701" s="99"/>
      <c r="L4701" s="99"/>
      <c r="M4701" s="99"/>
      <c r="N4701" s="99"/>
      <c r="O4701" s="99"/>
      <c r="P4701" s="99"/>
      <c r="Q4701" s="99"/>
      <c r="R4701" s="99"/>
      <c r="S4701" s="99"/>
      <c r="T4701" s="99"/>
      <c r="U4701" s="99"/>
      <c r="V4701" s="99"/>
    </row>
    <row r="4702" spans="1:22">
      <c r="A4702" s="297"/>
      <c r="B4702" s="217"/>
      <c r="C4702" s="217"/>
      <c r="D4702" s="101"/>
      <c r="E4702" s="101"/>
      <c r="F4702" s="294"/>
      <c r="G4702" s="295"/>
      <c r="H4702" s="98"/>
      <c r="I4702" s="99"/>
      <c r="J4702" s="99"/>
      <c r="K4702" s="99"/>
      <c r="L4702" s="99"/>
      <c r="M4702" s="99"/>
      <c r="N4702" s="99"/>
      <c r="O4702" s="99"/>
      <c r="P4702" s="99"/>
      <c r="Q4702" s="99"/>
      <c r="R4702" s="99"/>
      <c r="S4702" s="99"/>
      <c r="T4702" s="99"/>
      <c r="U4702" s="99"/>
      <c r="V4702" s="99"/>
    </row>
    <row r="4703" spans="1:22">
      <c r="A4703" s="297"/>
      <c r="B4703" s="217"/>
      <c r="C4703" s="217"/>
      <c r="D4703" s="101"/>
      <c r="E4703" s="101"/>
      <c r="F4703" s="294"/>
      <c r="G4703" s="295"/>
      <c r="H4703" s="98"/>
      <c r="I4703" s="99"/>
      <c r="J4703" s="99"/>
      <c r="K4703" s="99"/>
      <c r="L4703" s="99"/>
      <c r="M4703" s="99"/>
      <c r="N4703" s="99"/>
      <c r="O4703" s="99"/>
      <c r="P4703" s="99"/>
      <c r="Q4703" s="99"/>
      <c r="R4703" s="99"/>
      <c r="S4703" s="99"/>
      <c r="T4703" s="99"/>
      <c r="U4703" s="99"/>
      <c r="V4703" s="99"/>
    </row>
    <row r="4704" spans="1:22">
      <c r="A4704" s="297"/>
      <c r="B4704" s="217"/>
      <c r="C4704" s="217"/>
      <c r="D4704" s="101"/>
      <c r="E4704" s="101"/>
      <c r="F4704" s="294"/>
      <c r="G4704" s="295"/>
      <c r="H4704" s="98"/>
      <c r="I4704" s="99"/>
      <c r="J4704" s="99"/>
      <c r="K4704" s="99"/>
      <c r="L4704" s="99"/>
      <c r="M4704" s="99"/>
      <c r="N4704" s="99"/>
      <c r="O4704" s="99"/>
      <c r="P4704" s="99"/>
      <c r="Q4704" s="99"/>
      <c r="R4704" s="99"/>
      <c r="S4704" s="99"/>
      <c r="T4704" s="99"/>
      <c r="U4704" s="99"/>
      <c r="V4704" s="99"/>
    </row>
    <row r="4705" spans="1:22">
      <c r="A4705" s="297"/>
      <c r="B4705" s="217"/>
      <c r="C4705" s="217"/>
      <c r="D4705" s="101"/>
      <c r="E4705" s="101"/>
      <c r="F4705" s="294"/>
      <c r="G4705" s="295"/>
      <c r="H4705" s="98"/>
      <c r="I4705" s="99"/>
      <c r="J4705" s="99"/>
      <c r="K4705" s="99"/>
      <c r="L4705" s="99"/>
      <c r="M4705" s="99"/>
      <c r="N4705" s="99"/>
      <c r="O4705" s="99"/>
      <c r="P4705" s="99"/>
      <c r="Q4705" s="99"/>
      <c r="R4705" s="99"/>
      <c r="S4705" s="99"/>
      <c r="T4705" s="99"/>
      <c r="U4705" s="99"/>
      <c r="V4705" s="99"/>
    </row>
    <row r="4706" spans="1:22">
      <c r="A4706" s="297"/>
      <c r="B4706" s="217"/>
      <c r="C4706" s="217"/>
      <c r="D4706" s="101"/>
      <c r="E4706" s="101"/>
      <c r="F4706" s="294"/>
      <c r="G4706" s="295"/>
      <c r="H4706" s="98"/>
      <c r="I4706" s="99"/>
      <c r="J4706" s="99"/>
      <c r="K4706" s="99"/>
      <c r="L4706" s="99"/>
      <c r="M4706" s="99"/>
      <c r="N4706" s="99"/>
      <c r="O4706" s="99"/>
      <c r="P4706" s="99"/>
      <c r="Q4706" s="99"/>
      <c r="R4706" s="99"/>
      <c r="S4706" s="99"/>
      <c r="T4706" s="99"/>
      <c r="U4706" s="99"/>
      <c r="V4706" s="99"/>
    </row>
    <row r="4707" spans="1:22">
      <c r="A4707" s="297"/>
      <c r="B4707" s="217"/>
      <c r="C4707" s="217"/>
      <c r="D4707" s="101"/>
      <c r="E4707" s="101"/>
      <c r="F4707" s="294"/>
      <c r="G4707" s="295"/>
      <c r="H4707" s="107"/>
      <c r="I4707" s="109"/>
      <c r="J4707" s="109"/>
      <c r="K4707" s="109"/>
      <c r="L4707" s="109"/>
      <c r="M4707" s="109"/>
      <c r="N4707" s="109"/>
      <c r="O4707" s="109"/>
      <c r="P4707" s="109"/>
      <c r="Q4707" s="109"/>
      <c r="R4707" s="109"/>
      <c r="S4707" s="109"/>
      <c r="T4707" s="109"/>
      <c r="U4707" s="202"/>
      <c r="V4707" s="202"/>
    </row>
    <row r="4708" spans="1:22">
      <c r="A4708" s="297"/>
      <c r="B4708" s="217"/>
      <c r="C4708" s="217"/>
      <c r="D4708" s="101"/>
      <c r="E4708" s="101"/>
      <c r="F4708" s="294"/>
      <c r="G4708" s="295"/>
      <c r="H4708" s="98"/>
      <c r="I4708" s="106"/>
      <c r="J4708" s="106"/>
      <c r="K4708" s="106"/>
      <c r="L4708" s="106"/>
      <c r="M4708" s="106"/>
      <c r="N4708" s="112"/>
      <c r="O4708" s="112"/>
      <c r="P4708" s="112"/>
      <c r="Q4708" s="113"/>
      <c r="R4708" s="113"/>
      <c r="S4708" s="113"/>
      <c r="T4708" s="113"/>
      <c r="U4708" s="113"/>
      <c r="V4708" s="113"/>
    </row>
    <row r="4709" spans="1:22">
      <c r="A4709" s="297"/>
      <c r="B4709" s="217"/>
      <c r="C4709" s="217"/>
      <c r="D4709" s="101"/>
      <c r="E4709" s="101"/>
      <c r="F4709" s="294"/>
      <c r="G4709" s="295"/>
      <c r="H4709" s="98"/>
      <c r="I4709" s="99"/>
      <c r="J4709" s="99"/>
      <c r="K4709" s="99"/>
      <c r="L4709" s="99"/>
      <c r="M4709" s="99"/>
      <c r="N4709" s="99"/>
      <c r="O4709" s="99"/>
      <c r="P4709" s="99"/>
      <c r="Q4709" s="99"/>
      <c r="R4709" s="99"/>
      <c r="S4709" s="99"/>
      <c r="T4709" s="99"/>
      <c r="U4709" s="99"/>
      <c r="V4709" s="99"/>
    </row>
    <row r="4710" spans="1:22">
      <c r="A4710" s="297"/>
      <c r="B4710" s="217"/>
      <c r="C4710" s="217"/>
      <c r="D4710" s="101"/>
      <c r="E4710" s="101"/>
      <c r="F4710" s="294"/>
      <c r="G4710" s="295"/>
      <c r="H4710" s="98"/>
      <c r="I4710" s="99"/>
      <c r="J4710" s="99"/>
      <c r="K4710" s="99"/>
      <c r="L4710" s="99"/>
      <c r="M4710" s="99"/>
      <c r="N4710" s="99"/>
      <c r="O4710" s="99"/>
      <c r="P4710" s="99"/>
      <c r="Q4710" s="99"/>
      <c r="R4710" s="99"/>
      <c r="S4710" s="99"/>
      <c r="T4710" s="99"/>
      <c r="U4710" s="99"/>
      <c r="V4710" s="99"/>
    </row>
    <row r="4711" spans="1:22">
      <c r="A4711" s="297"/>
      <c r="B4711" s="217"/>
      <c r="C4711" s="217"/>
      <c r="D4711" s="101"/>
      <c r="E4711" s="101"/>
      <c r="F4711" s="294"/>
      <c r="G4711" s="295"/>
      <c r="H4711" s="98"/>
      <c r="I4711" s="99"/>
      <c r="J4711" s="99"/>
      <c r="K4711" s="99"/>
      <c r="L4711" s="99"/>
      <c r="M4711" s="99"/>
      <c r="N4711" s="99"/>
      <c r="O4711" s="99"/>
      <c r="P4711" s="99"/>
      <c r="Q4711" s="99"/>
      <c r="R4711" s="99"/>
      <c r="S4711" s="99"/>
      <c r="T4711" s="99"/>
      <c r="U4711" s="99"/>
      <c r="V4711" s="99"/>
    </row>
    <row r="4712" spans="1:22">
      <c r="A4712" s="297"/>
      <c r="B4712" s="217"/>
      <c r="C4712" s="217"/>
      <c r="D4712" s="101"/>
      <c r="E4712" s="101"/>
      <c r="F4712" s="294"/>
      <c r="G4712" s="295"/>
      <c r="H4712" s="98"/>
      <c r="I4712" s="99"/>
      <c r="J4712" s="99"/>
      <c r="K4712" s="99"/>
      <c r="L4712" s="99"/>
      <c r="M4712" s="99"/>
      <c r="N4712" s="99"/>
      <c r="O4712" s="99"/>
      <c r="P4712" s="99"/>
      <c r="Q4712" s="99"/>
      <c r="R4712" s="99"/>
      <c r="S4712" s="99"/>
      <c r="T4712" s="99"/>
      <c r="U4712" s="99"/>
      <c r="V4712" s="99"/>
    </row>
    <row r="4713" spans="1:22">
      <c r="A4713" s="297"/>
      <c r="B4713" s="217"/>
      <c r="C4713" s="217"/>
      <c r="D4713" s="101"/>
      <c r="E4713" s="101"/>
      <c r="F4713" s="294"/>
      <c r="G4713" s="295"/>
      <c r="H4713" s="98"/>
      <c r="I4713" s="99"/>
      <c r="J4713" s="99"/>
      <c r="K4713" s="99"/>
      <c r="L4713" s="99"/>
      <c r="M4713" s="99"/>
      <c r="N4713" s="99"/>
      <c r="O4713" s="99"/>
      <c r="P4713" s="99"/>
      <c r="Q4713" s="99"/>
      <c r="R4713" s="99"/>
      <c r="S4713" s="99"/>
      <c r="T4713" s="99"/>
      <c r="U4713" s="99"/>
      <c r="V4713" s="99"/>
    </row>
    <row r="4714" spans="1:22">
      <c r="A4714" s="297"/>
      <c r="B4714" s="217"/>
      <c r="C4714" s="217"/>
      <c r="D4714" s="101"/>
      <c r="E4714" s="101"/>
      <c r="F4714" s="294"/>
      <c r="G4714" s="295"/>
      <c r="H4714" s="98"/>
      <c r="I4714" s="99"/>
      <c r="J4714" s="99"/>
      <c r="K4714" s="99"/>
      <c r="L4714" s="99"/>
      <c r="M4714" s="99"/>
      <c r="N4714" s="99"/>
      <c r="O4714" s="99"/>
      <c r="P4714" s="99"/>
      <c r="Q4714" s="99"/>
      <c r="R4714" s="99"/>
      <c r="S4714" s="99"/>
      <c r="T4714" s="99"/>
      <c r="U4714" s="99"/>
      <c r="V4714" s="99"/>
    </row>
    <row r="4715" spans="1:22">
      <c r="A4715" s="297"/>
      <c r="B4715" s="217"/>
      <c r="C4715" s="217"/>
      <c r="D4715" s="101"/>
      <c r="E4715" s="101"/>
      <c r="F4715" s="294"/>
      <c r="G4715" s="295"/>
      <c r="H4715" s="98"/>
      <c r="I4715" s="99"/>
      <c r="J4715" s="99"/>
      <c r="K4715" s="99"/>
      <c r="L4715" s="99"/>
      <c r="M4715" s="99"/>
      <c r="N4715" s="99"/>
      <c r="O4715" s="99"/>
      <c r="P4715" s="99"/>
      <c r="Q4715" s="99"/>
      <c r="R4715" s="99"/>
      <c r="S4715" s="99"/>
      <c r="T4715" s="99"/>
      <c r="U4715" s="99"/>
      <c r="V4715" s="99"/>
    </row>
    <row r="4716" spans="1:22">
      <c r="A4716" s="297"/>
      <c r="B4716" s="217"/>
      <c r="C4716" s="217"/>
      <c r="D4716" s="101"/>
      <c r="E4716" s="101"/>
      <c r="F4716" s="294"/>
      <c r="G4716" s="295"/>
      <c r="H4716" s="107"/>
      <c r="I4716" s="109"/>
      <c r="J4716" s="109"/>
      <c r="K4716" s="109"/>
      <c r="L4716" s="109"/>
      <c r="M4716" s="109"/>
      <c r="N4716" s="109"/>
      <c r="O4716" s="109"/>
      <c r="P4716" s="109"/>
      <c r="Q4716" s="109"/>
      <c r="R4716" s="109"/>
      <c r="S4716" s="109"/>
      <c r="T4716" s="109"/>
      <c r="U4716" s="202"/>
      <c r="V4716" s="202"/>
    </row>
    <row r="4717" spans="1:22">
      <c r="A4717" s="297"/>
      <c r="B4717" s="217"/>
      <c r="C4717" s="217"/>
      <c r="D4717" s="101"/>
      <c r="E4717" s="101"/>
      <c r="F4717" s="294"/>
      <c r="G4717" s="295"/>
      <c r="H4717" s="98"/>
      <c r="I4717" s="106"/>
      <c r="J4717" s="106"/>
      <c r="K4717" s="106"/>
      <c r="L4717" s="106"/>
      <c r="M4717" s="106"/>
      <c r="N4717" s="112"/>
      <c r="O4717" s="112"/>
      <c r="P4717" s="112"/>
      <c r="Q4717" s="113"/>
      <c r="R4717" s="113"/>
      <c r="S4717" s="113"/>
      <c r="T4717" s="113"/>
      <c r="U4717" s="113"/>
      <c r="V4717" s="113"/>
    </row>
    <row r="4718" spans="1:22">
      <c r="A4718" s="297"/>
      <c r="B4718" s="217"/>
      <c r="C4718" s="217"/>
      <c r="D4718" s="101"/>
      <c r="E4718" s="101"/>
      <c r="F4718" s="294"/>
      <c r="G4718" s="295"/>
      <c r="H4718" s="114"/>
      <c r="I4718" s="108"/>
      <c r="J4718" s="108"/>
      <c r="K4718" s="108"/>
      <c r="L4718" s="108"/>
      <c r="M4718" s="108"/>
      <c r="N4718" s="108"/>
      <c r="O4718" s="108"/>
      <c r="P4718" s="108"/>
      <c r="Q4718" s="108"/>
      <c r="R4718" s="108"/>
      <c r="S4718" s="108"/>
      <c r="T4718" s="108"/>
      <c r="U4718" s="233"/>
      <c r="V4718" s="233"/>
    </row>
    <row r="4719" spans="1:22" ht="14.4" thickBot="1">
      <c r="A4719" s="297"/>
      <c r="B4719" s="217"/>
      <c r="C4719" s="217"/>
      <c r="D4719" s="101"/>
      <c r="E4719" s="101"/>
      <c r="F4719" s="294"/>
      <c r="G4719" s="295"/>
      <c r="H4719" s="98"/>
      <c r="I4719" s="218"/>
      <c r="J4719" s="218"/>
      <c r="K4719" s="218"/>
      <c r="L4719" s="218"/>
      <c r="M4719" s="218"/>
      <c r="U4719" s="212"/>
      <c r="V4719" s="212"/>
    </row>
    <row r="4720" spans="1:22" ht="23.4" thickBot="1">
      <c r="A4720" s="297"/>
      <c r="B4720" s="217"/>
      <c r="C4720" s="217"/>
      <c r="D4720" s="101"/>
      <c r="E4720" s="101"/>
      <c r="F4720" s="294"/>
      <c r="G4720" s="295"/>
      <c r="H4720" s="686"/>
      <c r="I4720" s="687"/>
      <c r="J4720" s="687"/>
      <c r="K4720" s="687"/>
      <c r="L4720" s="687"/>
      <c r="M4720" s="687"/>
      <c r="N4720" s="687"/>
      <c r="O4720" s="687"/>
      <c r="P4720" s="687"/>
      <c r="Q4720" s="687"/>
      <c r="R4720" s="687"/>
      <c r="S4720" s="715"/>
      <c r="T4720" s="688"/>
      <c r="U4720" s="254"/>
      <c r="V4720" s="254"/>
    </row>
    <row r="4721" spans="1:22" ht="22.8">
      <c r="A4721" s="297"/>
      <c r="B4721" s="217"/>
      <c r="C4721" s="217"/>
      <c r="D4721" s="101"/>
      <c r="E4721" s="101"/>
      <c r="F4721" s="294"/>
      <c r="G4721" s="295"/>
      <c r="H4721" s="225"/>
      <c r="I4721" s="225"/>
      <c r="J4721" s="225"/>
      <c r="K4721" s="225"/>
      <c r="L4721" s="225"/>
      <c r="M4721" s="225"/>
      <c r="N4721" s="225"/>
      <c r="O4721" s="225"/>
      <c r="P4721" s="225"/>
      <c r="Q4721" s="225"/>
      <c r="R4721" s="225"/>
      <c r="S4721" s="225"/>
      <c r="T4721" s="225"/>
      <c r="U4721" s="225"/>
      <c r="V4721" s="225"/>
    </row>
    <row r="4722" spans="1:22">
      <c r="A4722" s="297"/>
      <c r="B4722" s="217"/>
      <c r="C4722" s="217"/>
      <c r="D4722" s="101"/>
      <c r="E4722" s="101"/>
      <c r="F4722" s="294"/>
      <c r="G4722" s="295"/>
      <c r="H4722" s="98"/>
      <c r="I4722" s="99"/>
      <c r="J4722" s="99"/>
      <c r="K4722" s="99"/>
      <c r="L4722" s="99"/>
      <c r="M4722" s="99"/>
      <c r="N4722" s="99"/>
      <c r="O4722" s="99"/>
      <c r="P4722" s="99"/>
      <c r="Q4722" s="99"/>
      <c r="R4722" s="99"/>
      <c r="S4722" s="99"/>
      <c r="T4722" s="99"/>
      <c r="U4722" s="99"/>
      <c r="V4722" s="99"/>
    </row>
    <row r="4723" spans="1:22">
      <c r="A4723" s="297"/>
      <c r="B4723" s="217"/>
      <c r="C4723" s="217"/>
      <c r="D4723" s="101"/>
      <c r="E4723" s="101"/>
      <c r="F4723" s="294"/>
      <c r="G4723" s="295"/>
      <c r="H4723" s="98"/>
      <c r="I4723" s="99"/>
      <c r="J4723" s="99"/>
      <c r="K4723" s="99"/>
      <c r="L4723" s="99"/>
      <c r="M4723" s="99"/>
      <c r="N4723" s="99"/>
      <c r="O4723" s="99"/>
      <c r="P4723" s="99"/>
      <c r="Q4723" s="99"/>
      <c r="R4723" s="99"/>
      <c r="S4723" s="99"/>
      <c r="T4723" s="99"/>
      <c r="U4723" s="99"/>
      <c r="V4723" s="99"/>
    </row>
    <row r="4724" spans="1:22">
      <c r="A4724" s="297"/>
      <c r="B4724" s="217"/>
      <c r="C4724" s="217"/>
      <c r="D4724" s="101"/>
      <c r="E4724" s="101"/>
      <c r="F4724" s="294"/>
      <c r="G4724" s="295"/>
      <c r="H4724" s="98"/>
      <c r="I4724" s="99"/>
      <c r="J4724" s="99"/>
      <c r="K4724" s="99"/>
      <c r="L4724" s="99"/>
      <c r="M4724" s="99"/>
      <c r="N4724" s="99"/>
      <c r="O4724" s="99"/>
      <c r="P4724" s="99"/>
      <c r="Q4724" s="99"/>
      <c r="R4724" s="99"/>
      <c r="S4724" s="99"/>
      <c r="T4724" s="99"/>
      <c r="U4724" s="99"/>
      <c r="V4724" s="99"/>
    </row>
    <row r="4725" spans="1:22">
      <c r="A4725" s="297"/>
      <c r="B4725" s="217"/>
      <c r="C4725" s="217"/>
      <c r="D4725" s="101"/>
      <c r="E4725" s="101"/>
      <c r="F4725" s="294"/>
      <c r="G4725" s="295"/>
      <c r="H4725" s="98"/>
      <c r="I4725" s="99"/>
      <c r="J4725" s="99"/>
      <c r="K4725" s="99"/>
      <c r="L4725" s="99"/>
      <c r="M4725" s="99"/>
      <c r="N4725" s="99"/>
      <c r="O4725" s="99"/>
      <c r="P4725" s="99"/>
      <c r="Q4725" s="99"/>
      <c r="R4725" s="99"/>
      <c r="S4725" s="99"/>
      <c r="T4725" s="99"/>
      <c r="U4725" s="99"/>
      <c r="V4725" s="99"/>
    </row>
    <row r="4726" spans="1:22">
      <c r="A4726" s="297"/>
      <c r="B4726" s="217"/>
      <c r="C4726" s="217"/>
      <c r="D4726" s="101"/>
      <c r="E4726" s="101"/>
      <c r="F4726" s="294"/>
      <c r="G4726" s="295"/>
      <c r="H4726" s="98"/>
      <c r="I4726" s="99"/>
      <c r="J4726" s="99"/>
      <c r="K4726" s="99"/>
      <c r="L4726" s="99"/>
      <c r="M4726" s="99"/>
      <c r="N4726" s="99"/>
      <c r="O4726" s="99"/>
      <c r="P4726" s="99"/>
      <c r="Q4726" s="99"/>
      <c r="R4726" s="99"/>
      <c r="S4726" s="99"/>
      <c r="T4726" s="99"/>
      <c r="U4726" s="99"/>
      <c r="V4726" s="99"/>
    </row>
    <row r="4727" spans="1:22">
      <c r="A4727" s="297"/>
      <c r="B4727" s="217"/>
      <c r="C4727" s="217"/>
      <c r="D4727" s="101"/>
      <c r="E4727" s="101"/>
      <c r="F4727" s="294"/>
      <c r="G4727" s="295"/>
      <c r="H4727" s="98"/>
      <c r="I4727" s="99"/>
      <c r="J4727" s="99"/>
      <c r="K4727" s="99"/>
      <c r="L4727" s="99"/>
      <c r="M4727" s="99"/>
      <c r="N4727" s="99"/>
      <c r="O4727" s="99"/>
      <c r="P4727" s="99"/>
      <c r="Q4727" s="99"/>
      <c r="R4727" s="99"/>
      <c r="S4727" s="99"/>
      <c r="T4727" s="99"/>
      <c r="U4727" s="99"/>
      <c r="V4727" s="99"/>
    </row>
    <row r="4728" spans="1:22">
      <c r="A4728" s="297"/>
      <c r="B4728" s="217"/>
      <c r="C4728" s="217"/>
      <c r="D4728" s="101"/>
      <c r="E4728" s="101"/>
      <c r="F4728" s="294"/>
      <c r="G4728" s="295"/>
      <c r="H4728" s="98"/>
      <c r="I4728" s="99"/>
      <c r="J4728" s="99"/>
      <c r="K4728" s="99"/>
      <c r="L4728" s="99"/>
      <c r="M4728" s="99"/>
      <c r="N4728" s="99"/>
      <c r="O4728" s="99"/>
      <c r="P4728" s="99"/>
      <c r="Q4728" s="99"/>
      <c r="R4728" s="99"/>
      <c r="S4728" s="99"/>
      <c r="T4728" s="99"/>
      <c r="U4728" s="99"/>
      <c r="V4728" s="99"/>
    </row>
    <row r="4729" spans="1:22">
      <c r="A4729" s="297"/>
      <c r="B4729" s="217"/>
      <c r="C4729" s="217"/>
      <c r="D4729" s="101"/>
      <c r="E4729" s="101"/>
      <c r="F4729" s="294"/>
      <c r="G4729" s="295"/>
      <c r="H4729" s="98"/>
      <c r="I4729" s="99"/>
      <c r="J4729" s="99"/>
      <c r="K4729" s="99"/>
      <c r="L4729" s="99"/>
      <c r="M4729" s="99"/>
      <c r="N4729" s="99"/>
      <c r="O4729" s="99"/>
      <c r="P4729" s="99"/>
      <c r="Q4729" s="99"/>
      <c r="R4729" s="99"/>
      <c r="S4729" s="99"/>
      <c r="T4729" s="99"/>
      <c r="U4729" s="99"/>
      <c r="V4729" s="99"/>
    </row>
    <row r="4730" spans="1:22">
      <c r="A4730" s="297"/>
      <c r="B4730" s="217"/>
      <c r="C4730" s="217"/>
      <c r="D4730" s="101"/>
      <c r="E4730" s="101"/>
      <c r="F4730" s="294"/>
      <c r="G4730" s="295"/>
      <c r="H4730" s="98"/>
      <c r="I4730" s="99"/>
      <c r="J4730" s="99"/>
      <c r="K4730" s="99"/>
      <c r="L4730" s="99"/>
      <c r="M4730" s="99"/>
      <c r="N4730" s="99"/>
      <c r="O4730" s="99"/>
      <c r="P4730" s="99"/>
      <c r="Q4730" s="99"/>
      <c r="R4730" s="99"/>
      <c r="S4730" s="99"/>
      <c r="T4730" s="99"/>
      <c r="U4730" s="99"/>
      <c r="V4730" s="99"/>
    </row>
    <row r="4731" spans="1:22">
      <c r="A4731" s="297"/>
      <c r="B4731" s="217"/>
      <c r="C4731" s="217"/>
      <c r="D4731" s="101"/>
      <c r="E4731" s="101"/>
      <c r="F4731" s="294"/>
      <c r="G4731" s="295"/>
      <c r="H4731" s="98"/>
      <c r="I4731" s="99"/>
      <c r="J4731" s="99"/>
      <c r="K4731" s="99"/>
      <c r="L4731" s="99"/>
      <c r="M4731" s="99"/>
      <c r="N4731" s="99"/>
      <c r="O4731" s="99"/>
      <c r="P4731" s="99"/>
      <c r="Q4731" s="99"/>
      <c r="R4731" s="99"/>
      <c r="S4731" s="99"/>
      <c r="T4731" s="99"/>
      <c r="U4731" s="99"/>
      <c r="V4731" s="99"/>
    </row>
    <row r="4732" spans="1:22">
      <c r="A4732" s="297"/>
      <c r="B4732" s="217"/>
      <c r="C4732" s="217"/>
      <c r="D4732" s="101"/>
      <c r="E4732" s="101"/>
      <c r="F4732" s="294"/>
      <c r="G4732" s="295"/>
      <c r="H4732" s="98"/>
      <c r="I4732" s="99"/>
      <c r="J4732" s="99"/>
      <c r="K4732" s="99"/>
      <c r="L4732" s="99"/>
      <c r="M4732" s="99"/>
      <c r="N4732" s="99"/>
      <c r="O4732" s="99"/>
      <c r="P4732" s="99"/>
      <c r="Q4732" s="99"/>
      <c r="R4732" s="99"/>
      <c r="S4732" s="99"/>
      <c r="T4732" s="99"/>
      <c r="U4732" s="99"/>
      <c r="V4732" s="99"/>
    </row>
    <row r="4733" spans="1:22">
      <c r="A4733" s="297"/>
      <c r="B4733" s="217"/>
      <c r="C4733" s="217"/>
      <c r="D4733" s="101"/>
      <c r="E4733" s="101"/>
      <c r="F4733" s="294"/>
      <c r="G4733" s="295"/>
      <c r="H4733" s="98"/>
      <c r="I4733" s="99"/>
      <c r="J4733" s="99"/>
      <c r="K4733" s="99"/>
      <c r="L4733" s="99"/>
      <c r="M4733" s="99"/>
      <c r="N4733" s="99"/>
      <c r="O4733" s="99"/>
      <c r="P4733" s="99"/>
      <c r="Q4733" s="99"/>
      <c r="R4733" s="99"/>
      <c r="S4733" s="99"/>
      <c r="T4733" s="99"/>
      <c r="U4733" s="99"/>
      <c r="V4733" s="99"/>
    </row>
    <row r="4734" spans="1:22">
      <c r="A4734" s="297"/>
      <c r="B4734" s="217"/>
      <c r="C4734" s="217"/>
      <c r="D4734" s="101"/>
      <c r="E4734" s="101"/>
      <c r="F4734" s="294"/>
      <c r="G4734" s="295"/>
      <c r="H4734" s="98"/>
      <c r="I4734" s="99"/>
      <c r="J4734" s="99"/>
      <c r="K4734" s="99"/>
      <c r="L4734" s="99"/>
      <c r="M4734" s="99"/>
      <c r="N4734" s="99"/>
      <c r="O4734" s="99"/>
      <c r="P4734" s="99"/>
      <c r="Q4734" s="99"/>
      <c r="R4734" s="99"/>
      <c r="S4734" s="99"/>
      <c r="T4734" s="99"/>
      <c r="U4734" s="99"/>
      <c r="V4734" s="99"/>
    </row>
    <row r="4735" spans="1:22">
      <c r="A4735" s="297"/>
      <c r="B4735" s="217"/>
      <c r="C4735" s="217"/>
      <c r="D4735" s="101"/>
      <c r="E4735" s="101"/>
      <c r="F4735" s="294"/>
      <c r="G4735" s="295"/>
      <c r="H4735" s="98"/>
      <c r="I4735" s="99"/>
      <c r="J4735" s="99"/>
      <c r="K4735" s="99"/>
      <c r="L4735" s="99"/>
      <c r="M4735" s="99"/>
      <c r="N4735" s="99"/>
      <c r="O4735" s="99"/>
      <c r="P4735" s="99"/>
      <c r="Q4735" s="99"/>
      <c r="R4735" s="99"/>
      <c r="S4735" s="99"/>
      <c r="T4735" s="99"/>
      <c r="U4735" s="99"/>
      <c r="V4735" s="99"/>
    </row>
    <row r="4736" spans="1:22">
      <c r="A4736" s="297"/>
      <c r="B4736" s="217"/>
      <c r="C4736" s="217"/>
      <c r="D4736" s="101"/>
      <c r="E4736" s="101"/>
      <c r="F4736" s="294"/>
      <c r="G4736" s="295"/>
      <c r="H4736" s="98"/>
      <c r="I4736" s="99"/>
      <c r="J4736" s="99"/>
      <c r="K4736" s="99"/>
      <c r="L4736" s="99"/>
      <c r="M4736" s="99"/>
      <c r="N4736" s="99"/>
      <c r="O4736" s="99"/>
      <c r="P4736" s="99"/>
      <c r="Q4736" s="99"/>
      <c r="R4736" s="99"/>
      <c r="S4736" s="99"/>
      <c r="T4736" s="99"/>
      <c r="U4736" s="99"/>
      <c r="V4736" s="99"/>
    </row>
    <row r="4737" spans="1:22">
      <c r="A4737" s="297"/>
      <c r="B4737" s="217"/>
      <c r="C4737" s="217"/>
      <c r="D4737" s="101"/>
      <c r="E4737" s="101"/>
      <c r="F4737" s="294"/>
      <c r="G4737" s="295"/>
      <c r="H4737" s="98"/>
      <c r="I4737" s="99"/>
      <c r="J4737" s="99"/>
      <c r="K4737" s="99"/>
      <c r="L4737" s="99"/>
      <c r="M4737" s="99"/>
      <c r="N4737" s="99"/>
      <c r="O4737" s="99"/>
      <c r="P4737" s="99"/>
      <c r="Q4737" s="99"/>
      <c r="R4737" s="99"/>
      <c r="S4737" s="99"/>
      <c r="T4737" s="99"/>
      <c r="U4737" s="99"/>
      <c r="V4737" s="99"/>
    </row>
    <row r="4738" spans="1:22">
      <c r="A4738" s="297"/>
      <c r="B4738" s="217"/>
      <c r="C4738" s="217"/>
      <c r="D4738" s="101"/>
      <c r="E4738" s="101"/>
      <c r="F4738" s="294"/>
      <c r="G4738" s="295"/>
      <c r="H4738" s="107"/>
      <c r="I4738" s="108"/>
      <c r="J4738" s="108"/>
      <c r="K4738" s="108"/>
      <c r="L4738" s="108"/>
      <c r="M4738" s="108"/>
      <c r="N4738" s="108"/>
      <c r="O4738" s="108"/>
      <c r="P4738" s="108"/>
      <c r="Q4738" s="108"/>
      <c r="R4738" s="108"/>
      <c r="S4738" s="108"/>
      <c r="T4738" s="108"/>
      <c r="U4738" s="233"/>
      <c r="V4738" s="233"/>
    </row>
    <row r="4739" spans="1:22">
      <c r="A4739" s="297"/>
      <c r="B4739" s="217"/>
      <c r="C4739" s="217"/>
      <c r="D4739" s="101"/>
      <c r="E4739" s="101"/>
      <c r="F4739" s="294"/>
      <c r="G4739" s="295"/>
      <c r="H4739" s="98"/>
      <c r="I4739" s="106"/>
      <c r="J4739" s="106"/>
      <c r="K4739" s="106"/>
      <c r="L4739" s="106"/>
      <c r="M4739" s="106"/>
      <c r="N4739" s="112"/>
      <c r="O4739" s="112"/>
      <c r="P4739" s="112"/>
      <c r="Q4739" s="113"/>
      <c r="R4739" s="113"/>
      <c r="S4739" s="113"/>
      <c r="T4739" s="113"/>
      <c r="U4739" s="113"/>
      <c r="V4739" s="113"/>
    </row>
    <row r="4740" spans="1:22">
      <c r="A4740" s="297"/>
      <c r="B4740" s="217"/>
      <c r="C4740" s="217"/>
      <c r="D4740" s="101"/>
      <c r="E4740" s="101"/>
      <c r="F4740" s="294"/>
      <c r="G4740" s="295"/>
      <c r="H4740" s="98"/>
      <c r="I4740" s="99"/>
      <c r="J4740" s="99"/>
      <c r="K4740" s="99"/>
      <c r="L4740" s="99"/>
      <c r="M4740" s="99"/>
      <c r="N4740" s="99"/>
      <c r="O4740" s="99"/>
      <c r="P4740" s="99"/>
      <c r="Q4740" s="99"/>
      <c r="R4740" s="99"/>
      <c r="S4740" s="99"/>
      <c r="T4740" s="99"/>
      <c r="U4740" s="99"/>
      <c r="V4740" s="99"/>
    </row>
    <row r="4741" spans="1:22">
      <c r="A4741" s="297"/>
      <c r="B4741" s="217"/>
      <c r="C4741" s="217"/>
      <c r="D4741" s="101"/>
      <c r="E4741" s="101"/>
      <c r="F4741" s="294"/>
      <c r="G4741" s="295"/>
      <c r="H4741" s="98"/>
      <c r="I4741" s="99"/>
      <c r="J4741" s="99"/>
      <c r="K4741" s="99"/>
      <c r="L4741" s="99"/>
      <c r="M4741" s="99"/>
      <c r="N4741" s="99"/>
      <c r="O4741" s="99"/>
      <c r="P4741" s="99"/>
      <c r="Q4741" s="99"/>
      <c r="R4741" s="99"/>
      <c r="S4741" s="99"/>
      <c r="T4741" s="99"/>
      <c r="U4741" s="99"/>
      <c r="V4741" s="99"/>
    </row>
    <row r="4742" spans="1:22">
      <c r="A4742" s="297"/>
      <c r="B4742" s="217"/>
      <c r="C4742" s="217"/>
      <c r="D4742" s="101"/>
      <c r="E4742" s="101"/>
      <c r="F4742" s="294"/>
      <c r="G4742" s="295"/>
      <c r="H4742" s="98"/>
      <c r="I4742" s="99"/>
      <c r="J4742" s="99"/>
      <c r="K4742" s="99"/>
      <c r="L4742" s="99"/>
      <c r="M4742" s="99"/>
      <c r="N4742" s="99"/>
      <c r="O4742" s="99"/>
      <c r="P4742" s="99"/>
      <c r="Q4742" s="99"/>
      <c r="R4742" s="99"/>
      <c r="S4742" s="99"/>
      <c r="T4742" s="99"/>
      <c r="U4742" s="99"/>
      <c r="V4742" s="99"/>
    </row>
    <row r="4743" spans="1:22">
      <c r="A4743" s="297"/>
      <c r="B4743" s="217"/>
      <c r="C4743" s="217"/>
      <c r="D4743" s="101"/>
      <c r="E4743" s="101"/>
      <c r="F4743" s="294"/>
      <c r="G4743" s="295"/>
      <c r="H4743" s="98"/>
      <c r="I4743" s="99"/>
      <c r="J4743" s="99"/>
      <c r="K4743" s="99"/>
      <c r="L4743" s="99"/>
      <c r="M4743" s="99"/>
      <c r="N4743" s="99"/>
      <c r="O4743" s="99"/>
      <c r="P4743" s="99"/>
      <c r="Q4743" s="99"/>
      <c r="R4743" s="99"/>
      <c r="S4743" s="99"/>
      <c r="T4743" s="99"/>
      <c r="U4743" s="99"/>
      <c r="V4743" s="99"/>
    </row>
    <row r="4744" spans="1:22">
      <c r="A4744" s="297"/>
      <c r="B4744" s="217"/>
      <c r="C4744" s="217"/>
      <c r="D4744" s="101"/>
      <c r="E4744" s="101"/>
      <c r="F4744" s="294"/>
      <c r="G4744" s="295"/>
      <c r="H4744" s="98"/>
      <c r="I4744" s="99"/>
      <c r="J4744" s="99"/>
      <c r="K4744" s="99"/>
      <c r="L4744" s="99"/>
      <c r="M4744" s="99"/>
      <c r="N4744" s="99"/>
      <c r="O4744" s="99"/>
      <c r="P4744" s="99"/>
      <c r="Q4744" s="99"/>
      <c r="R4744" s="99"/>
      <c r="S4744" s="99"/>
      <c r="T4744" s="99"/>
      <c r="U4744" s="99"/>
      <c r="V4744" s="99"/>
    </row>
    <row r="4745" spans="1:22">
      <c r="A4745" s="297"/>
      <c r="B4745" s="217"/>
      <c r="C4745" s="217"/>
      <c r="D4745" s="101"/>
      <c r="E4745" s="101"/>
      <c r="F4745" s="294"/>
      <c r="G4745" s="295"/>
      <c r="H4745" s="98"/>
      <c r="I4745" s="99"/>
      <c r="J4745" s="99"/>
      <c r="K4745" s="99"/>
      <c r="L4745" s="99"/>
      <c r="M4745" s="99"/>
      <c r="N4745" s="99"/>
      <c r="O4745" s="99"/>
      <c r="P4745" s="99"/>
      <c r="Q4745" s="99"/>
      <c r="R4745" s="99"/>
      <c r="S4745" s="99"/>
      <c r="T4745" s="99"/>
      <c r="U4745" s="99"/>
      <c r="V4745" s="99"/>
    </row>
    <row r="4746" spans="1:22">
      <c r="A4746" s="297"/>
      <c r="B4746" s="217"/>
      <c r="C4746" s="217"/>
      <c r="D4746" s="101"/>
      <c r="E4746" s="101"/>
      <c r="F4746" s="294"/>
      <c r="G4746" s="295"/>
      <c r="H4746" s="98"/>
      <c r="I4746" s="99"/>
      <c r="J4746" s="99"/>
      <c r="K4746" s="99"/>
      <c r="L4746" s="99"/>
      <c r="M4746" s="99"/>
      <c r="N4746" s="99"/>
      <c r="O4746" s="99"/>
      <c r="P4746" s="99"/>
      <c r="Q4746" s="99"/>
      <c r="R4746" s="99"/>
      <c r="S4746" s="99"/>
      <c r="T4746" s="99"/>
      <c r="U4746" s="99"/>
      <c r="V4746" s="99"/>
    </row>
    <row r="4747" spans="1:22">
      <c r="A4747" s="297"/>
      <c r="B4747" s="217"/>
      <c r="C4747" s="217"/>
      <c r="D4747" s="101"/>
      <c r="E4747" s="101"/>
      <c r="F4747" s="294"/>
      <c r="G4747" s="295"/>
      <c r="H4747" s="98"/>
      <c r="I4747" s="99"/>
      <c r="J4747" s="99"/>
      <c r="K4747" s="99"/>
      <c r="L4747" s="99"/>
      <c r="M4747" s="99"/>
      <c r="N4747" s="99"/>
      <c r="O4747" s="99"/>
      <c r="P4747" s="99"/>
      <c r="Q4747" s="99"/>
      <c r="R4747" s="99"/>
      <c r="S4747" s="99"/>
      <c r="T4747" s="99"/>
      <c r="U4747" s="99"/>
      <c r="V4747" s="99"/>
    </row>
    <row r="4748" spans="1:22">
      <c r="A4748" s="297"/>
      <c r="B4748" s="217"/>
      <c r="C4748" s="217"/>
      <c r="D4748" s="101"/>
      <c r="E4748" s="101"/>
      <c r="F4748" s="294"/>
      <c r="G4748" s="295"/>
      <c r="H4748" s="98"/>
      <c r="I4748" s="99"/>
      <c r="J4748" s="99"/>
      <c r="K4748" s="99"/>
      <c r="L4748" s="99"/>
      <c r="M4748" s="99"/>
      <c r="N4748" s="99"/>
      <c r="O4748" s="99"/>
      <c r="P4748" s="99"/>
      <c r="Q4748" s="99"/>
      <c r="R4748" s="99"/>
      <c r="S4748" s="99"/>
      <c r="T4748" s="99"/>
      <c r="U4748" s="99"/>
      <c r="V4748" s="99"/>
    </row>
    <row r="4749" spans="1:22">
      <c r="A4749" s="297"/>
      <c r="B4749" s="217"/>
      <c r="C4749" s="217"/>
      <c r="D4749" s="101"/>
      <c r="E4749" s="101"/>
      <c r="F4749" s="294"/>
      <c r="G4749" s="295"/>
      <c r="H4749" s="98"/>
      <c r="I4749" s="99"/>
      <c r="J4749" s="99"/>
      <c r="K4749" s="99"/>
      <c r="L4749" s="99"/>
      <c r="M4749" s="99"/>
      <c r="N4749" s="99"/>
      <c r="O4749" s="99"/>
      <c r="P4749" s="99"/>
      <c r="Q4749" s="99"/>
      <c r="R4749" s="99"/>
      <c r="S4749" s="99"/>
      <c r="T4749" s="99"/>
      <c r="U4749" s="99"/>
      <c r="V4749" s="99"/>
    </row>
    <row r="4750" spans="1:22">
      <c r="A4750" s="297"/>
      <c r="B4750" s="217"/>
      <c r="C4750" s="217"/>
      <c r="D4750" s="101"/>
      <c r="E4750" s="101"/>
      <c r="F4750" s="294"/>
      <c r="G4750" s="295"/>
      <c r="H4750" s="98"/>
      <c r="I4750" s="99"/>
      <c r="J4750" s="99"/>
      <c r="K4750" s="99"/>
      <c r="L4750" s="99"/>
      <c r="M4750" s="99"/>
      <c r="N4750" s="99"/>
      <c r="O4750" s="99"/>
      <c r="P4750" s="99"/>
      <c r="Q4750" s="99"/>
      <c r="R4750" s="99"/>
      <c r="S4750" s="99"/>
      <c r="T4750" s="99"/>
      <c r="U4750" s="99"/>
      <c r="V4750" s="99"/>
    </row>
    <row r="4751" spans="1:22">
      <c r="A4751" s="297"/>
      <c r="B4751" s="217"/>
      <c r="C4751" s="217"/>
      <c r="D4751" s="101"/>
      <c r="E4751" s="101"/>
      <c r="F4751" s="294"/>
      <c r="G4751" s="295"/>
      <c r="H4751" s="98"/>
      <c r="I4751" s="99"/>
      <c r="J4751" s="99"/>
      <c r="K4751" s="99"/>
      <c r="L4751" s="99"/>
      <c r="M4751" s="99"/>
      <c r="N4751" s="99"/>
      <c r="O4751" s="99"/>
      <c r="P4751" s="99"/>
      <c r="Q4751" s="99"/>
      <c r="R4751" s="99"/>
      <c r="S4751" s="99"/>
      <c r="T4751" s="99"/>
      <c r="U4751" s="99"/>
      <c r="V4751" s="99"/>
    </row>
    <row r="4752" spans="1:22">
      <c r="A4752" s="297"/>
      <c r="B4752" s="217"/>
      <c r="C4752" s="217"/>
      <c r="D4752" s="101"/>
      <c r="E4752" s="101"/>
      <c r="F4752" s="294"/>
      <c r="G4752" s="295"/>
      <c r="H4752" s="98"/>
      <c r="I4752" s="99"/>
      <c r="J4752" s="99"/>
      <c r="K4752" s="99"/>
      <c r="L4752" s="99"/>
      <c r="M4752" s="99"/>
      <c r="N4752" s="99"/>
      <c r="O4752" s="99"/>
      <c r="P4752" s="99"/>
      <c r="Q4752" s="99"/>
      <c r="R4752" s="99"/>
      <c r="S4752" s="99"/>
      <c r="T4752" s="99"/>
      <c r="U4752" s="99"/>
      <c r="V4752" s="99"/>
    </row>
    <row r="4753" spans="1:22">
      <c r="A4753" s="297"/>
      <c r="B4753" s="217"/>
      <c r="C4753" s="217"/>
      <c r="D4753" s="101"/>
      <c r="E4753" s="101"/>
      <c r="F4753" s="294"/>
      <c r="G4753" s="295"/>
      <c r="H4753" s="98"/>
      <c r="I4753" s="99"/>
      <c r="J4753" s="99"/>
      <c r="K4753" s="99"/>
      <c r="L4753" s="99"/>
      <c r="M4753" s="99"/>
      <c r="N4753" s="99"/>
      <c r="O4753" s="99"/>
      <c r="P4753" s="99"/>
      <c r="Q4753" s="99"/>
      <c r="R4753" s="99"/>
      <c r="S4753" s="99"/>
      <c r="T4753" s="99"/>
      <c r="U4753" s="99"/>
      <c r="V4753" s="99"/>
    </row>
    <row r="4754" spans="1:22">
      <c r="A4754" s="297"/>
      <c r="B4754" s="217"/>
      <c r="C4754" s="217"/>
      <c r="D4754" s="101"/>
      <c r="E4754" s="101"/>
      <c r="F4754" s="294"/>
      <c r="G4754" s="295"/>
      <c r="H4754" s="98"/>
      <c r="I4754" s="99"/>
      <c r="J4754" s="99"/>
      <c r="K4754" s="99"/>
      <c r="L4754" s="99"/>
      <c r="M4754" s="99"/>
      <c r="N4754" s="99"/>
      <c r="O4754" s="99"/>
      <c r="P4754" s="99"/>
      <c r="Q4754" s="99"/>
      <c r="R4754" s="99"/>
      <c r="S4754" s="99"/>
      <c r="T4754" s="99"/>
      <c r="U4754" s="99"/>
      <c r="V4754" s="99"/>
    </row>
    <row r="4755" spans="1:22">
      <c r="A4755" s="297"/>
      <c r="B4755" s="217"/>
      <c r="C4755" s="217"/>
      <c r="D4755" s="101"/>
      <c r="E4755" s="101"/>
      <c r="F4755" s="294"/>
      <c r="G4755" s="295"/>
      <c r="H4755" s="98"/>
      <c r="I4755" s="99"/>
      <c r="J4755" s="99"/>
      <c r="K4755" s="99"/>
      <c r="L4755" s="99"/>
      <c r="M4755" s="99"/>
      <c r="N4755" s="99"/>
      <c r="O4755" s="99"/>
      <c r="P4755" s="99"/>
      <c r="Q4755" s="99"/>
      <c r="R4755" s="99"/>
      <c r="S4755" s="99"/>
      <c r="T4755" s="99"/>
      <c r="U4755" s="99"/>
      <c r="V4755" s="99"/>
    </row>
    <row r="4756" spans="1:22">
      <c r="A4756" s="297"/>
      <c r="B4756" s="217"/>
      <c r="C4756" s="217"/>
      <c r="D4756" s="101"/>
      <c r="E4756" s="101"/>
      <c r="F4756" s="294"/>
      <c r="G4756" s="295"/>
      <c r="H4756" s="98"/>
      <c r="I4756" s="99"/>
      <c r="J4756" s="99"/>
      <c r="K4756" s="99"/>
      <c r="L4756" s="99"/>
      <c r="M4756" s="99"/>
      <c r="N4756" s="99"/>
      <c r="O4756" s="99"/>
      <c r="P4756" s="99"/>
      <c r="Q4756" s="99"/>
      <c r="R4756" s="99"/>
      <c r="S4756" s="99"/>
      <c r="T4756" s="99"/>
      <c r="U4756" s="99"/>
      <c r="V4756" s="99"/>
    </row>
    <row r="4757" spans="1:22">
      <c r="A4757" s="297"/>
      <c r="B4757" s="217"/>
      <c r="C4757" s="217"/>
      <c r="D4757" s="101"/>
      <c r="E4757" s="101"/>
      <c r="F4757" s="294"/>
      <c r="G4757" s="295"/>
      <c r="H4757" s="107"/>
      <c r="I4757" s="109"/>
      <c r="J4757" s="109"/>
      <c r="K4757" s="109"/>
      <c r="L4757" s="109"/>
      <c r="M4757" s="109"/>
      <c r="N4757" s="109"/>
      <c r="O4757" s="109"/>
      <c r="P4757" s="109"/>
      <c r="Q4757" s="109"/>
      <c r="R4757" s="109"/>
      <c r="S4757" s="109"/>
      <c r="T4757" s="109"/>
      <c r="U4757" s="202"/>
      <c r="V4757" s="202"/>
    </row>
    <row r="4758" spans="1:22">
      <c r="A4758" s="297"/>
      <c r="B4758" s="217"/>
      <c r="C4758" s="217"/>
      <c r="D4758" s="101"/>
      <c r="E4758" s="101"/>
      <c r="F4758" s="294"/>
      <c r="G4758" s="295"/>
      <c r="H4758" s="98"/>
      <c r="I4758" s="106"/>
      <c r="J4758" s="106"/>
      <c r="K4758" s="106"/>
      <c r="L4758" s="106"/>
      <c r="M4758" s="106"/>
      <c r="N4758" s="112"/>
      <c r="O4758" s="112"/>
      <c r="P4758" s="112"/>
      <c r="Q4758" s="113"/>
      <c r="R4758" s="113"/>
      <c r="S4758" s="113"/>
      <c r="T4758" s="113"/>
      <c r="U4758" s="113"/>
      <c r="V4758" s="113"/>
    </row>
    <row r="4759" spans="1:22">
      <c r="A4759" s="297"/>
      <c r="B4759" s="217"/>
      <c r="C4759" s="217"/>
      <c r="D4759" s="101"/>
      <c r="E4759" s="101"/>
      <c r="F4759" s="294"/>
      <c r="G4759" s="295"/>
      <c r="H4759" s="98"/>
      <c r="I4759" s="99"/>
      <c r="J4759" s="99"/>
      <c r="K4759" s="99"/>
      <c r="L4759" s="99"/>
      <c r="M4759" s="99"/>
      <c r="N4759" s="99"/>
      <c r="O4759" s="99"/>
      <c r="P4759" s="99"/>
      <c r="Q4759" s="99"/>
      <c r="R4759" s="99"/>
      <c r="S4759" s="99"/>
      <c r="T4759" s="99"/>
      <c r="U4759" s="99"/>
      <c r="V4759" s="99"/>
    </row>
    <row r="4760" spans="1:22">
      <c r="A4760" s="297"/>
      <c r="B4760" s="217"/>
      <c r="C4760" s="217"/>
      <c r="D4760" s="101"/>
      <c r="E4760" s="101"/>
      <c r="F4760" s="294"/>
      <c r="G4760" s="295"/>
      <c r="H4760" s="98"/>
      <c r="I4760" s="99"/>
      <c r="J4760" s="99"/>
      <c r="K4760" s="99"/>
      <c r="L4760" s="99"/>
      <c r="M4760" s="99"/>
      <c r="N4760" s="99"/>
      <c r="O4760" s="99"/>
      <c r="P4760" s="99"/>
      <c r="Q4760" s="99"/>
      <c r="R4760" s="99"/>
      <c r="S4760" s="99"/>
      <c r="T4760" s="99"/>
      <c r="U4760" s="99"/>
      <c r="V4760" s="99"/>
    </row>
    <row r="4761" spans="1:22">
      <c r="A4761" s="297"/>
      <c r="B4761" s="217"/>
      <c r="C4761" s="217"/>
      <c r="D4761" s="101"/>
      <c r="E4761" s="101"/>
      <c r="F4761" s="294"/>
      <c r="G4761" s="295"/>
      <c r="H4761" s="98"/>
      <c r="I4761" s="99"/>
      <c r="J4761" s="99"/>
      <c r="K4761" s="99"/>
      <c r="L4761" s="99"/>
      <c r="M4761" s="99"/>
      <c r="N4761" s="99"/>
      <c r="O4761" s="99"/>
      <c r="P4761" s="99"/>
      <c r="Q4761" s="99"/>
      <c r="R4761" s="99"/>
      <c r="S4761" s="99"/>
      <c r="T4761" s="99"/>
      <c r="U4761" s="99"/>
      <c r="V4761" s="99"/>
    </row>
    <row r="4762" spans="1:22">
      <c r="A4762" s="297"/>
      <c r="B4762" s="217"/>
      <c r="C4762" s="217"/>
      <c r="D4762" s="101"/>
      <c r="E4762" s="101"/>
      <c r="F4762" s="294"/>
      <c r="G4762" s="295"/>
      <c r="H4762" s="98"/>
      <c r="I4762" s="99"/>
      <c r="J4762" s="99"/>
      <c r="K4762" s="99"/>
      <c r="L4762" s="99"/>
      <c r="M4762" s="99"/>
      <c r="N4762" s="99"/>
      <c r="O4762" s="99"/>
      <c r="P4762" s="99"/>
      <c r="Q4762" s="99"/>
      <c r="R4762" s="99"/>
      <c r="S4762" s="99"/>
      <c r="T4762" s="99"/>
      <c r="U4762" s="99"/>
      <c r="V4762" s="99"/>
    </row>
    <row r="4763" spans="1:22">
      <c r="A4763" s="297"/>
      <c r="B4763" s="217"/>
      <c r="C4763" s="217"/>
      <c r="D4763" s="101"/>
      <c r="E4763" s="101"/>
      <c r="F4763" s="294"/>
      <c r="G4763" s="295"/>
      <c r="H4763" s="98"/>
      <c r="I4763" s="99"/>
      <c r="J4763" s="99"/>
      <c r="K4763" s="99"/>
      <c r="L4763" s="99"/>
      <c r="M4763" s="99"/>
      <c r="N4763" s="99"/>
      <c r="O4763" s="99"/>
      <c r="P4763" s="99"/>
      <c r="Q4763" s="99"/>
      <c r="R4763" s="99"/>
      <c r="S4763" s="99"/>
      <c r="T4763" s="99"/>
      <c r="U4763" s="99"/>
      <c r="V4763" s="99"/>
    </row>
    <row r="4764" spans="1:22">
      <c r="A4764" s="297"/>
      <c r="B4764" s="217"/>
      <c r="C4764" s="217"/>
      <c r="D4764" s="101"/>
      <c r="E4764" s="101"/>
      <c r="F4764" s="294"/>
      <c r="G4764" s="295"/>
      <c r="H4764" s="98"/>
      <c r="I4764" s="99"/>
      <c r="J4764" s="99"/>
      <c r="K4764" s="99"/>
      <c r="L4764" s="99"/>
      <c r="M4764" s="99"/>
      <c r="N4764" s="99"/>
      <c r="O4764" s="99"/>
      <c r="P4764" s="99"/>
      <c r="Q4764" s="99"/>
      <c r="R4764" s="99"/>
      <c r="S4764" s="99"/>
      <c r="T4764" s="99"/>
      <c r="U4764" s="99"/>
      <c r="V4764" s="99"/>
    </row>
    <row r="4765" spans="1:22">
      <c r="A4765" s="297"/>
      <c r="B4765" s="217"/>
      <c r="C4765" s="217"/>
      <c r="D4765" s="101"/>
      <c r="E4765" s="101"/>
      <c r="F4765" s="294"/>
      <c r="G4765" s="295"/>
      <c r="H4765" s="98"/>
      <c r="I4765" s="99"/>
      <c r="J4765" s="99"/>
      <c r="K4765" s="99"/>
      <c r="L4765" s="99"/>
      <c r="M4765" s="99"/>
      <c r="N4765" s="99"/>
      <c r="O4765" s="99"/>
      <c r="P4765" s="99"/>
      <c r="Q4765" s="99"/>
      <c r="R4765" s="99"/>
      <c r="S4765" s="99"/>
      <c r="T4765" s="99"/>
      <c r="U4765" s="99"/>
      <c r="V4765" s="99"/>
    </row>
    <row r="4766" spans="1:22">
      <c r="A4766" s="297"/>
      <c r="B4766" s="217"/>
      <c r="C4766" s="217"/>
      <c r="D4766" s="101"/>
      <c r="E4766" s="101"/>
      <c r="F4766" s="294"/>
      <c r="G4766" s="295"/>
      <c r="H4766" s="98"/>
      <c r="I4766" s="99"/>
      <c r="J4766" s="99"/>
      <c r="K4766" s="99"/>
      <c r="L4766" s="99"/>
      <c r="M4766" s="99"/>
      <c r="N4766" s="99"/>
      <c r="O4766" s="99"/>
      <c r="P4766" s="99"/>
      <c r="Q4766" s="99"/>
      <c r="R4766" s="99"/>
      <c r="S4766" s="99"/>
      <c r="T4766" s="99"/>
      <c r="U4766" s="99"/>
      <c r="V4766" s="99"/>
    </row>
    <row r="4767" spans="1:22">
      <c r="A4767" s="297"/>
      <c r="B4767" s="217"/>
      <c r="C4767" s="217"/>
      <c r="D4767" s="101"/>
      <c r="E4767" s="101"/>
      <c r="F4767" s="294"/>
      <c r="G4767" s="295"/>
      <c r="H4767" s="98"/>
      <c r="I4767" s="99"/>
      <c r="J4767" s="99"/>
      <c r="K4767" s="99"/>
      <c r="L4767" s="99"/>
      <c r="M4767" s="99"/>
      <c r="N4767" s="99"/>
      <c r="O4767" s="99"/>
      <c r="P4767" s="99"/>
      <c r="Q4767" s="99"/>
      <c r="R4767" s="99"/>
      <c r="S4767" s="99"/>
      <c r="T4767" s="99"/>
      <c r="U4767" s="99"/>
      <c r="V4767" s="99"/>
    </row>
    <row r="4768" spans="1:22">
      <c r="A4768" s="297"/>
      <c r="B4768" s="217"/>
      <c r="C4768" s="217"/>
      <c r="D4768" s="101"/>
      <c r="E4768" s="101"/>
      <c r="F4768" s="294"/>
      <c r="G4768" s="295"/>
      <c r="H4768" s="98"/>
      <c r="I4768" s="99"/>
      <c r="J4768" s="99"/>
      <c r="K4768" s="99"/>
      <c r="L4768" s="99"/>
      <c r="M4768" s="99"/>
      <c r="N4768" s="99"/>
      <c r="O4768" s="99"/>
      <c r="P4768" s="99"/>
      <c r="Q4768" s="99"/>
      <c r="R4768" s="99"/>
      <c r="S4768" s="99"/>
      <c r="T4768" s="99"/>
      <c r="U4768" s="99"/>
      <c r="V4768" s="99"/>
    </row>
    <row r="4769" spans="1:22">
      <c r="A4769" s="297"/>
      <c r="B4769" s="217"/>
      <c r="C4769" s="217"/>
      <c r="D4769" s="101"/>
      <c r="E4769" s="101"/>
      <c r="F4769" s="294"/>
      <c r="G4769" s="295"/>
      <c r="H4769" s="98"/>
      <c r="I4769" s="99"/>
      <c r="J4769" s="99"/>
      <c r="K4769" s="99"/>
      <c r="L4769" s="99"/>
      <c r="M4769" s="99"/>
      <c r="N4769" s="99"/>
      <c r="O4769" s="99"/>
      <c r="P4769" s="99"/>
      <c r="Q4769" s="99"/>
      <c r="R4769" s="99"/>
      <c r="S4769" s="99"/>
      <c r="T4769" s="99"/>
      <c r="U4769" s="99"/>
      <c r="V4769" s="99"/>
    </row>
    <row r="4770" spans="1:22">
      <c r="A4770" s="297"/>
      <c r="B4770" s="217"/>
      <c r="C4770" s="217"/>
      <c r="D4770" s="101"/>
      <c r="E4770" s="101"/>
      <c r="F4770" s="294"/>
      <c r="G4770" s="295"/>
      <c r="H4770" s="98"/>
      <c r="I4770" s="99"/>
      <c r="J4770" s="99"/>
      <c r="K4770" s="99"/>
      <c r="L4770" s="99"/>
      <c r="M4770" s="99"/>
      <c r="N4770" s="99"/>
      <c r="O4770" s="99"/>
      <c r="P4770" s="99"/>
      <c r="Q4770" s="99"/>
      <c r="R4770" s="99"/>
      <c r="S4770" s="99"/>
      <c r="T4770" s="99"/>
      <c r="U4770" s="99"/>
      <c r="V4770" s="99"/>
    </row>
    <row r="4771" spans="1:22">
      <c r="A4771" s="297"/>
      <c r="B4771" s="217"/>
      <c r="C4771" s="217"/>
      <c r="D4771" s="101"/>
      <c r="E4771" s="101"/>
      <c r="F4771" s="294"/>
      <c r="G4771" s="295"/>
      <c r="H4771" s="98"/>
      <c r="I4771" s="99"/>
      <c r="J4771" s="99"/>
      <c r="K4771" s="99"/>
      <c r="L4771" s="99"/>
      <c r="M4771" s="99"/>
      <c r="N4771" s="99"/>
      <c r="O4771" s="99"/>
      <c r="P4771" s="99"/>
      <c r="Q4771" s="99"/>
      <c r="R4771" s="99"/>
      <c r="S4771" s="99"/>
      <c r="T4771" s="99"/>
      <c r="U4771" s="99"/>
      <c r="V4771" s="99"/>
    </row>
    <row r="4772" spans="1:22">
      <c r="A4772" s="297"/>
      <c r="B4772" s="217"/>
      <c r="C4772" s="217"/>
      <c r="D4772" s="101"/>
      <c r="E4772" s="101"/>
      <c r="F4772" s="294"/>
      <c r="G4772" s="295"/>
      <c r="H4772" s="107"/>
      <c r="I4772" s="109"/>
      <c r="J4772" s="109"/>
      <c r="K4772" s="109"/>
      <c r="L4772" s="109"/>
      <c r="M4772" s="109"/>
      <c r="N4772" s="109"/>
      <c r="O4772" s="109"/>
      <c r="P4772" s="109"/>
      <c r="Q4772" s="109"/>
      <c r="R4772" s="109"/>
      <c r="S4772" s="109"/>
      <c r="T4772" s="109"/>
      <c r="U4772" s="202"/>
      <c r="V4772" s="202"/>
    </row>
    <row r="4773" spans="1:22">
      <c r="A4773" s="297"/>
      <c r="B4773" s="217"/>
      <c r="C4773" s="217"/>
      <c r="D4773" s="101"/>
      <c r="E4773" s="101"/>
      <c r="F4773" s="294"/>
      <c r="G4773" s="295"/>
      <c r="H4773" s="98"/>
      <c r="I4773" s="106"/>
      <c r="J4773" s="106"/>
      <c r="K4773" s="106"/>
      <c r="L4773" s="106"/>
      <c r="M4773" s="106"/>
      <c r="N4773" s="112"/>
      <c r="O4773" s="112"/>
      <c r="P4773" s="112"/>
      <c r="Q4773" s="113"/>
      <c r="R4773" s="113"/>
      <c r="S4773" s="113"/>
      <c r="T4773" s="113"/>
      <c r="U4773" s="113"/>
      <c r="V4773" s="113"/>
    </row>
    <row r="4774" spans="1:22">
      <c r="A4774" s="297"/>
      <c r="B4774" s="217"/>
      <c r="C4774" s="217"/>
      <c r="D4774" s="101"/>
      <c r="E4774" s="101"/>
      <c r="F4774" s="294"/>
      <c r="G4774" s="295"/>
      <c r="H4774" s="98"/>
      <c r="I4774" s="99"/>
      <c r="J4774" s="99"/>
      <c r="K4774" s="99"/>
      <c r="L4774" s="99"/>
      <c r="M4774" s="99"/>
      <c r="N4774" s="99"/>
      <c r="O4774" s="99"/>
      <c r="P4774" s="99"/>
      <c r="Q4774" s="99"/>
      <c r="R4774" s="99"/>
      <c r="S4774" s="99"/>
      <c r="T4774" s="99"/>
      <c r="U4774" s="99"/>
      <c r="V4774" s="99"/>
    </row>
    <row r="4775" spans="1:22">
      <c r="A4775" s="297"/>
      <c r="B4775" s="217"/>
      <c r="C4775" s="217"/>
      <c r="D4775" s="101"/>
      <c r="E4775" s="101"/>
      <c r="F4775" s="294"/>
      <c r="G4775" s="295"/>
      <c r="H4775" s="98"/>
      <c r="I4775" s="99"/>
      <c r="J4775" s="99"/>
      <c r="K4775" s="99"/>
      <c r="L4775" s="99"/>
      <c r="M4775" s="99"/>
      <c r="N4775" s="99"/>
      <c r="O4775" s="99"/>
      <c r="P4775" s="99"/>
      <c r="Q4775" s="99"/>
      <c r="R4775" s="99"/>
      <c r="S4775" s="99"/>
      <c r="T4775" s="99"/>
      <c r="U4775" s="99"/>
      <c r="V4775" s="99"/>
    </row>
    <row r="4776" spans="1:22">
      <c r="A4776" s="297"/>
      <c r="B4776" s="217"/>
      <c r="C4776" s="217"/>
      <c r="D4776" s="101"/>
      <c r="E4776" s="101"/>
      <c r="F4776" s="294"/>
      <c r="G4776" s="295"/>
      <c r="H4776" s="98"/>
      <c r="I4776" s="99"/>
      <c r="J4776" s="99"/>
      <c r="K4776" s="99"/>
      <c r="L4776" s="99"/>
      <c r="M4776" s="99"/>
      <c r="N4776" s="99"/>
      <c r="O4776" s="99"/>
      <c r="P4776" s="99"/>
      <c r="Q4776" s="99"/>
      <c r="R4776" s="99"/>
      <c r="S4776" s="99"/>
      <c r="T4776" s="99"/>
      <c r="U4776" s="99"/>
      <c r="V4776" s="99"/>
    </row>
    <row r="4777" spans="1:22">
      <c r="A4777" s="297"/>
      <c r="B4777" s="217"/>
      <c r="C4777" s="217"/>
      <c r="D4777" s="101"/>
      <c r="E4777" s="101"/>
      <c r="F4777" s="294"/>
      <c r="G4777" s="295"/>
      <c r="H4777" s="98"/>
      <c r="I4777" s="99"/>
      <c r="J4777" s="99"/>
      <c r="K4777" s="99"/>
      <c r="L4777" s="99"/>
      <c r="M4777" s="99"/>
      <c r="N4777" s="99"/>
      <c r="O4777" s="99"/>
      <c r="P4777" s="99"/>
      <c r="Q4777" s="99"/>
      <c r="R4777" s="99"/>
      <c r="S4777" s="99"/>
      <c r="T4777" s="99"/>
      <c r="U4777" s="99"/>
      <c r="V4777" s="99"/>
    </row>
    <row r="4778" spans="1:22">
      <c r="A4778" s="297"/>
      <c r="B4778" s="217"/>
      <c r="C4778" s="217"/>
      <c r="D4778" s="101"/>
      <c r="E4778" s="101"/>
      <c r="F4778" s="294"/>
      <c r="G4778" s="295"/>
      <c r="H4778" s="98"/>
      <c r="I4778" s="99"/>
      <c r="J4778" s="99"/>
      <c r="K4778" s="99"/>
      <c r="L4778" s="99"/>
      <c r="M4778" s="99"/>
      <c r="N4778" s="99"/>
      <c r="O4778" s="99"/>
      <c r="P4778" s="99"/>
      <c r="Q4778" s="99"/>
      <c r="R4778" s="99"/>
      <c r="S4778" s="99"/>
      <c r="T4778" s="99"/>
      <c r="U4778" s="99"/>
      <c r="V4778" s="99"/>
    </row>
    <row r="4779" spans="1:22">
      <c r="A4779" s="297"/>
      <c r="B4779" s="217"/>
      <c r="C4779" s="217"/>
      <c r="D4779" s="101"/>
      <c r="E4779" s="101"/>
      <c r="F4779" s="294"/>
      <c r="G4779" s="295"/>
      <c r="H4779" s="107"/>
      <c r="I4779" s="108"/>
      <c r="J4779" s="108"/>
      <c r="K4779" s="108"/>
      <c r="L4779" s="108"/>
      <c r="M4779" s="108"/>
      <c r="N4779" s="109"/>
      <c r="O4779" s="109"/>
      <c r="P4779" s="109"/>
      <c r="Q4779" s="109"/>
      <c r="R4779" s="109"/>
      <c r="S4779" s="109"/>
      <c r="T4779" s="109"/>
      <c r="U4779" s="202"/>
      <c r="V4779" s="202"/>
    </row>
    <row r="4780" spans="1:22">
      <c r="A4780" s="297"/>
      <c r="B4780" s="217"/>
      <c r="C4780" s="217"/>
      <c r="D4780" s="101"/>
      <c r="E4780" s="101"/>
      <c r="F4780" s="294"/>
      <c r="G4780" s="295"/>
      <c r="H4780" s="98"/>
      <c r="I4780" s="106"/>
      <c r="J4780" s="106"/>
      <c r="K4780" s="106"/>
      <c r="L4780" s="106"/>
      <c r="M4780" s="106"/>
      <c r="N4780" s="112"/>
      <c r="O4780" s="112"/>
      <c r="P4780" s="112"/>
      <c r="Q4780" s="113"/>
      <c r="R4780" s="113"/>
      <c r="S4780" s="113"/>
      <c r="T4780" s="113"/>
      <c r="U4780" s="113"/>
      <c r="V4780" s="113"/>
    </row>
    <row r="4781" spans="1:22">
      <c r="A4781" s="297"/>
      <c r="B4781" s="217"/>
      <c r="C4781" s="217"/>
      <c r="D4781" s="101"/>
      <c r="E4781" s="101"/>
      <c r="F4781" s="294"/>
      <c r="G4781" s="295"/>
      <c r="H4781" s="114"/>
      <c r="I4781" s="108"/>
      <c r="J4781" s="108"/>
      <c r="K4781" s="108"/>
      <c r="L4781" s="108"/>
      <c r="M4781" s="108"/>
      <c r="N4781" s="108"/>
      <c r="O4781" s="108"/>
      <c r="P4781" s="108"/>
      <c r="Q4781" s="108"/>
      <c r="R4781" s="108"/>
      <c r="S4781" s="108"/>
      <c r="T4781" s="108"/>
      <c r="U4781" s="233"/>
      <c r="V4781" s="233"/>
    </row>
    <row r="4782" spans="1:22">
      <c r="A4782" s="297"/>
      <c r="B4782" s="217"/>
      <c r="C4782" s="217"/>
      <c r="D4782" s="101"/>
      <c r="E4782" s="101"/>
      <c r="F4782" s="294"/>
      <c r="G4782" s="295"/>
    </row>
    <row r="4783" spans="1:22">
      <c r="A4783" s="297"/>
      <c r="B4783" s="217"/>
      <c r="C4783" s="217"/>
      <c r="D4783" s="101"/>
      <c r="E4783" s="101"/>
      <c r="F4783" s="294"/>
      <c r="G4783" s="295"/>
    </row>
    <row r="4784" spans="1:22">
      <c r="A4784" s="297"/>
      <c r="B4784" s="217"/>
      <c r="C4784" s="217"/>
      <c r="D4784" s="101"/>
      <c r="E4784" s="101"/>
      <c r="F4784" s="294"/>
      <c r="G4784" s="295"/>
    </row>
    <row r="4785" spans="1:22">
      <c r="A4785" s="297"/>
      <c r="B4785" s="217"/>
      <c r="C4785" s="217"/>
      <c r="D4785" s="101"/>
      <c r="E4785" s="101"/>
      <c r="F4785" s="294"/>
      <c r="G4785" s="295"/>
    </row>
    <row r="4786" spans="1:22">
      <c r="A4786" s="297"/>
      <c r="B4786" s="217"/>
      <c r="C4786" s="217"/>
      <c r="D4786" s="101"/>
      <c r="E4786" s="101"/>
      <c r="F4786" s="294"/>
      <c r="G4786" s="295"/>
    </row>
    <row r="4787" spans="1:22">
      <c r="A4787" s="297"/>
      <c r="B4787" s="217"/>
      <c r="C4787" s="217"/>
      <c r="D4787" s="101"/>
      <c r="E4787" s="101"/>
      <c r="F4787" s="294"/>
      <c r="G4787" s="295"/>
    </row>
    <row r="4788" spans="1:22">
      <c r="A4788" s="297"/>
      <c r="B4788" s="217"/>
      <c r="C4788" s="217"/>
      <c r="D4788" s="101"/>
      <c r="E4788" s="101"/>
      <c r="F4788" s="294"/>
      <c r="G4788" s="295"/>
    </row>
    <row r="4789" spans="1:22">
      <c r="A4789" s="297"/>
      <c r="B4789" s="217"/>
      <c r="C4789" s="217"/>
      <c r="D4789" s="101"/>
      <c r="E4789" s="101"/>
      <c r="F4789" s="294"/>
      <c r="G4789" s="295"/>
    </row>
    <row r="4790" spans="1:22">
      <c r="A4790" s="297"/>
      <c r="B4790" s="217"/>
      <c r="C4790" s="217"/>
      <c r="D4790" s="101"/>
      <c r="E4790" s="101"/>
      <c r="F4790" s="294"/>
      <c r="G4790" s="295"/>
    </row>
    <row r="4791" spans="1:22">
      <c r="A4791" s="297"/>
      <c r="B4791" s="217"/>
      <c r="C4791" s="217"/>
      <c r="D4791" s="101"/>
      <c r="E4791" s="101"/>
      <c r="F4791" s="294"/>
      <c r="G4791" s="295"/>
      <c r="H4791" s="98"/>
      <c r="I4791" s="99"/>
      <c r="J4791" s="99"/>
      <c r="K4791" s="99"/>
      <c r="L4791" s="99"/>
      <c r="M4791" s="99"/>
      <c r="N4791" s="99"/>
      <c r="O4791" s="99"/>
      <c r="P4791" s="99"/>
      <c r="Q4791" s="99"/>
      <c r="R4791" s="99"/>
      <c r="S4791" s="99"/>
      <c r="T4791" s="99"/>
      <c r="U4791" s="105"/>
      <c r="V4791" s="262"/>
    </row>
    <row r="4792" spans="1:22">
      <c r="A4792" s="297"/>
      <c r="B4792" s="217"/>
      <c r="C4792" s="217"/>
      <c r="D4792" s="101"/>
      <c r="E4792" s="101"/>
      <c r="F4792" s="294"/>
      <c r="G4792" s="295"/>
    </row>
    <row r="4793" spans="1:22">
      <c r="A4793" s="297"/>
      <c r="B4793" s="217"/>
      <c r="C4793" s="217"/>
      <c r="D4793" s="101"/>
      <c r="E4793" s="101"/>
      <c r="F4793" s="294"/>
      <c r="G4793" s="295"/>
    </row>
    <row r="4794" spans="1:22">
      <c r="A4794" s="297"/>
      <c r="B4794" s="217"/>
      <c r="C4794" s="217"/>
      <c r="D4794" s="101"/>
      <c r="E4794" s="101"/>
      <c r="F4794" s="294"/>
      <c r="G4794" s="295"/>
    </row>
    <row r="4795" spans="1:22">
      <c r="A4795" s="297"/>
      <c r="B4795" s="217"/>
      <c r="C4795" s="217"/>
      <c r="D4795" s="101"/>
      <c r="E4795" s="101"/>
      <c r="F4795" s="294"/>
      <c r="G4795" s="295"/>
    </row>
    <row r="4796" spans="1:22">
      <c r="A4796" s="297"/>
      <c r="B4796" s="217"/>
      <c r="C4796" s="217"/>
      <c r="D4796" s="101"/>
      <c r="E4796" s="101"/>
      <c r="F4796" s="294"/>
      <c r="G4796" s="295"/>
    </row>
    <row r="4797" spans="1:22">
      <c r="A4797" s="297"/>
      <c r="B4797" s="217"/>
      <c r="C4797" s="217"/>
      <c r="D4797" s="101"/>
      <c r="E4797" s="101"/>
      <c r="F4797" s="294"/>
      <c r="G4797" s="295"/>
    </row>
    <row r="4798" spans="1:22">
      <c r="A4798" s="297"/>
      <c r="B4798" s="217"/>
      <c r="C4798" s="217"/>
      <c r="D4798" s="101"/>
      <c r="E4798" s="101"/>
      <c r="F4798" s="294"/>
      <c r="G4798" s="295"/>
    </row>
    <row r="4799" spans="1:22">
      <c r="A4799" s="297"/>
      <c r="B4799" s="217"/>
      <c r="C4799" s="217"/>
      <c r="D4799" s="101"/>
      <c r="E4799" s="101"/>
      <c r="F4799" s="294"/>
      <c r="G4799" s="295"/>
    </row>
    <row r="4800" spans="1:22">
      <c r="A4800" s="297"/>
      <c r="B4800" s="217"/>
      <c r="C4800" s="217"/>
      <c r="D4800" s="101"/>
      <c r="E4800" s="101"/>
      <c r="F4800" s="294"/>
      <c r="G4800" s="295"/>
    </row>
    <row r="4801" spans="1:7">
      <c r="A4801" s="297"/>
      <c r="B4801" s="217"/>
      <c r="C4801" s="217"/>
      <c r="D4801" s="101"/>
      <c r="E4801" s="101"/>
      <c r="F4801" s="294"/>
      <c r="G4801" s="295"/>
    </row>
    <row r="4802" spans="1:7">
      <c r="A4802" s="297"/>
      <c r="B4802" s="217"/>
      <c r="C4802" s="217"/>
      <c r="D4802" s="101"/>
      <c r="E4802" s="101"/>
      <c r="F4802" s="294"/>
      <c r="G4802" s="295"/>
    </row>
    <row r="4803" spans="1:7">
      <c r="A4803" s="297"/>
      <c r="B4803" s="217"/>
      <c r="C4803" s="217"/>
      <c r="D4803" s="101"/>
      <c r="E4803" s="101"/>
      <c r="F4803" s="294"/>
      <c r="G4803" s="295"/>
    </row>
    <row r="4804" spans="1:7">
      <c r="A4804" s="297"/>
      <c r="B4804" s="217"/>
      <c r="C4804" s="217"/>
      <c r="D4804" s="101"/>
      <c r="E4804" s="101"/>
      <c r="F4804" s="294"/>
      <c r="G4804" s="295"/>
    </row>
    <row r="4805" spans="1:7">
      <c r="A4805" s="297"/>
      <c r="B4805" s="217"/>
      <c r="C4805" s="217"/>
      <c r="D4805" s="101"/>
      <c r="E4805" s="101"/>
      <c r="F4805" s="294"/>
      <c r="G4805" s="295"/>
    </row>
    <row r="4806" spans="1:7">
      <c r="A4806" s="297"/>
      <c r="B4806" s="217"/>
      <c r="C4806" s="217"/>
      <c r="D4806" s="101"/>
      <c r="E4806" s="101"/>
      <c r="F4806" s="294"/>
      <c r="G4806" s="295"/>
    </row>
    <row r="4807" spans="1:7">
      <c r="A4807" s="297"/>
      <c r="B4807" s="217"/>
      <c r="C4807" s="217"/>
      <c r="D4807" s="101"/>
      <c r="E4807" s="101"/>
      <c r="F4807" s="294"/>
      <c r="G4807" s="295"/>
    </row>
    <row r="4808" spans="1:7">
      <c r="A4808" s="297"/>
      <c r="B4808" s="217"/>
      <c r="C4808" s="217"/>
      <c r="D4808" s="101"/>
      <c r="E4808" s="101"/>
      <c r="F4808" s="294"/>
      <c r="G4808" s="295"/>
    </row>
    <row r="4809" spans="1:7">
      <c r="A4809" s="297"/>
      <c r="B4809" s="217"/>
      <c r="C4809" s="217"/>
      <c r="D4809" s="101"/>
      <c r="E4809" s="101"/>
      <c r="F4809" s="294"/>
      <c r="G4809" s="295"/>
    </row>
    <row r="4810" spans="1:7">
      <c r="A4810" s="297"/>
      <c r="B4810" s="217"/>
      <c r="C4810" s="217"/>
      <c r="D4810" s="101"/>
      <c r="E4810" s="101"/>
      <c r="F4810" s="294"/>
      <c r="G4810" s="295"/>
    </row>
    <row r="4811" spans="1:7">
      <c r="A4811" s="297"/>
      <c r="B4811" s="217"/>
      <c r="C4811" s="217"/>
      <c r="D4811" s="101"/>
      <c r="E4811" s="101"/>
      <c r="F4811" s="294"/>
      <c r="G4811" s="295"/>
    </row>
    <row r="4812" spans="1:7">
      <c r="A4812" s="297"/>
      <c r="B4812" s="217"/>
      <c r="C4812" s="217"/>
      <c r="D4812" s="101"/>
      <c r="E4812" s="101"/>
      <c r="F4812" s="294"/>
      <c r="G4812" s="295"/>
    </row>
    <row r="4813" spans="1:7">
      <c r="A4813" s="297"/>
      <c r="B4813" s="217"/>
      <c r="C4813" s="217"/>
      <c r="D4813" s="101"/>
      <c r="E4813" s="101"/>
      <c r="F4813" s="294"/>
      <c r="G4813" s="295"/>
    </row>
    <row r="4814" spans="1:7">
      <c r="A4814" s="297"/>
      <c r="B4814" s="217"/>
      <c r="C4814" s="217"/>
      <c r="D4814" s="101"/>
      <c r="E4814" s="101"/>
      <c r="F4814" s="294"/>
      <c r="G4814" s="295"/>
    </row>
  </sheetData>
  <autoFilter ref="A1:A4814" xr:uid="{00000000-0009-0000-0000-000013000000}"/>
  <sortState xmlns:xlrd2="http://schemas.microsoft.com/office/spreadsheetml/2017/richdata2" ref="A3843:G3908">
    <sortCondition ref="A3843:A3908"/>
  </sortState>
  <mergeCells count="106">
    <mergeCell ref="H4720:T4720"/>
    <mergeCell ref="H3318:T3318"/>
    <mergeCell ref="H4368:T4368"/>
    <mergeCell ref="H4414:T4414"/>
    <mergeCell ref="H4487:T4487"/>
    <mergeCell ref="H4566:T4566"/>
    <mergeCell ref="H4609:T4609"/>
    <mergeCell ref="H4070:T4070"/>
    <mergeCell ref="H4147:T4147"/>
    <mergeCell ref="H4224:T4224"/>
    <mergeCell ref="H4280:T4280"/>
    <mergeCell ref="H4310:T4310"/>
    <mergeCell ref="H3838:T3838"/>
    <mergeCell ref="H3893:T3893"/>
    <mergeCell ref="H3929:T3929"/>
    <mergeCell ref="H3572:T3572"/>
    <mergeCell ref="H3942:T3942"/>
    <mergeCell ref="H4001:T4001"/>
    <mergeCell ref="H3595:T3595"/>
    <mergeCell ref="H3675:T3675"/>
    <mergeCell ref="H3736:T3736"/>
    <mergeCell ref="H3767:T3767"/>
    <mergeCell ref="H3802:T3802"/>
    <mergeCell ref="H4640:T4640"/>
    <mergeCell ref="H3064:T3064"/>
    <mergeCell ref="H3082:T3082"/>
    <mergeCell ref="H3157:T3157"/>
    <mergeCell ref="H3221:T3221"/>
    <mergeCell ref="H3264:T3264"/>
    <mergeCell ref="H3404:T3404"/>
    <mergeCell ref="H3424:T3424"/>
    <mergeCell ref="H3477:T3477"/>
    <mergeCell ref="H3503:T3503"/>
    <mergeCell ref="H3035:T3035"/>
    <mergeCell ref="H2681:T2681"/>
    <mergeCell ref="H2388:T2388"/>
    <mergeCell ref="H2456:T2456"/>
    <mergeCell ref="H2517:T2517"/>
    <mergeCell ref="H1265:T1265"/>
    <mergeCell ref="H1455:T1455"/>
    <mergeCell ref="H1818:T1818"/>
    <mergeCell ref="H1518:T1518"/>
    <mergeCell ref="H1572:T1572"/>
    <mergeCell ref="H1600:T1600"/>
    <mergeCell ref="H1:T3"/>
    <mergeCell ref="W1:Z1"/>
    <mergeCell ref="W2:Z2"/>
    <mergeCell ref="W3:Z3"/>
    <mergeCell ref="H9:T9"/>
    <mergeCell ref="H1891:T1891"/>
    <mergeCell ref="H1689:T1689"/>
    <mergeCell ref="H421:T421"/>
    <mergeCell ref="H455:T455"/>
    <mergeCell ref="H490:T490"/>
    <mergeCell ref="H923:T923"/>
    <mergeCell ref="H1357:T1357"/>
    <mergeCell ref="H1162:T1162"/>
    <mergeCell ref="H963:T963"/>
    <mergeCell ref="H1241:T1241"/>
    <mergeCell ref="H1649:T1649"/>
    <mergeCell ref="H635:T635"/>
    <mergeCell ref="H879:T879"/>
    <mergeCell ref="H719:T719"/>
    <mergeCell ref="H1398:T1398"/>
    <mergeCell ref="H1329:T1329"/>
    <mergeCell ref="H276:T276"/>
    <mergeCell ref="H1447:T1447"/>
    <mergeCell ref="H617:T617"/>
    <mergeCell ref="H97:M97"/>
    <mergeCell ref="H581:T581"/>
    <mergeCell ref="H99:T99"/>
    <mergeCell ref="H136:T136"/>
    <mergeCell ref="H158:T158"/>
    <mergeCell ref="H186:T186"/>
    <mergeCell ref="H210:T210"/>
    <mergeCell ref="H317:T317"/>
    <mergeCell ref="H332:T332"/>
    <mergeCell ref="H362:T362"/>
    <mergeCell ref="H513:T513"/>
    <mergeCell ref="H230:T230"/>
    <mergeCell ref="H376:T376"/>
    <mergeCell ref="H535:T535"/>
    <mergeCell ref="H689:T689"/>
    <mergeCell ref="H1009:T1009"/>
    <mergeCell ref="H834:T834"/>
    <mergeCell ref="H644:T644"/>
    <mergeCell ref="H785:T785"/>
    <mergeCell ref="H1739:T1739"/>
    <mergeCell ref="H1782:T1782"/>
    <mergeCell ref="H2992:T2992"/>
    <mergeCell ref="H3023:T3023"/>
    <mergeCell ref="H3003:T3003"/>
    <mergeCell ref="H3011:T3011"/>
    <mergeCell ref="H2588:T2588"/>
    <mergeCell ref="H2645:T2645"/>
    <mergeCell ref="H2694:T2694"/>
    <mergeCell ref="H2774:T2774"/>
    <mergeCell ref="H2815:T2815"/>
    <mergeCell ref="H2857:T2857"/>
    <mergeCell ref="H2893:T2893"/>
    <mergeCell ref="H2935:T2935"/>
    <mergeCell ref="H2971:T2971"/>
    <mergeCell ref="H1052:T1052"/>
    <mergeCell ref="H1118:T1118"/>
    <mergeCell ref="H1215:T1215"/>
    <mergeCell ref="H754:T754"/>
  </mergeCells>
  <conditionalFormatting sqref="H423:H452">
    <cfRule type="duplicateValues" dxfId="64" priority="103"/>
  </conditionalFormatting>
  <conditionalFormatting sqref="H457:H487">
    <cfRule type="duplicateValues" dxfId="63" priority="63"/>
  </conditionalFormatting>
  <conditionalFormatting sqref="H492:H511">
    <cfRule type="duplicateValues" dxfId="62" priority="104"/>
  </conditionalFormatting>
  <conditionalFormatting sqref="H515:H533">
    <cfRule type="duplicateValues" dxfId="61" priority="61"/>
  </conditionalFormatting>
  <conditionalFormatting sqref="H583:H584 H586:H615">
    <cfRule type="duplicateValues" dxfId="60" priority="59"/>
  </conditionalFormatting>
  <conditionalFormatting sqref="H619:H633">
    <cfRule type="duplicateValues" dxfId="59" priority="58"/>
  </conditionalFormatting>
  <conditionalFormatting sqref="H637:H641">
    <cfRule type="duplicateValues" dxfId="58" priority="57"/>
  </conditionalFormatting>
  <conditionalFormatting sqref="H691:H717">
    <cfRule type="duplicateValues" dxfId="57" priority="55"/>
  </conditionalFormatting>
  <conditionalFormatting sqref="H721:H752">
    <cfRule type="duplicateValues" dxfId="56" priority="54"/>
  </conditionalFormatting>
  <conditionalFormatting sqref="H756:H783">
    <cfRule type="duplicateValues" dxfId="55" priority="53"/>
  </conditionalFormatting>
  <conditionalFormatting sqref="H836:H877">
    <cfRule type="duplicateValues" dxfId="54" priority="51"/>
  </conditionalFormatting>
  <conditionalFormatting sqref="H881:H919">
    <cfRule type="duplicateValues" dxfId="53" priority="50"/>
  </conditionalFormatting>
  <conditionalFormatting sqref="H925:H959">
    <cfRule type="duplicateValues" dxfId="52" priority="49"/>
  </conditionalFormatting>
  <conditionalFormatting sqref="H965:H1004">
    <cfRule type="duplicateValues" dxfId="51" priority="48"/>
  </conditionalFormatting>
  <conditionalFormatting sqref="H1011:H1024 H1026:H1050">
    <cfRule type="duplicateValues" dxfId="50" priority="47"/>
  </conditionalFormatting>
  <conditionalFormatting sqref="H1120:H1160">
    <cfRule type="duplicateValues" dxfId="49" priority="105"/>
  </conditionalFormatting>
  <conditionalFormatting sqref="H1164:H1194 H1196:H1213">
    <cfRule type="duplicateValues" dxfId="48" priority="44"/>
  </conditionalFormatting>
  <conditionalFormatting sqref="H1217:H1239">
    <cfRule type="duplicateValues" dxfId="47" priority="43"/>
  </conditionalFormatting>
  <conditionalFormatting sqref="H1243:H1263">
    <cfRule type="duplicateValues" dxfId="46" priority="42"/>
  </conditionalFormatting>
  <conditionalFormatting sqref="H1331:H1334 H1346:H1355 H1336:H1344">
    <cfRule type="duplicateValues" dxfId="45" priority="40"/>
  </conditionalFormatting>
  <conditionalFormatting sqref="H1359:H1363 H1365:H1396">
    <cfRule type="duplicateValues" dxfId="44" priority="39"/>
  </conditionalFormatting>
  <conditionalFormatting sqref="H1400:H1428 H1430:H1444">
    <cfRule type="duplicateValues" dxfId="43" priority="38"/>
  </conditionalFormatting>
  <conditionalFormatting sqref="H1449:H1452">
    <cfRule type="duplicateValues" dxfId="42" priority="37"/>
  </conditionalFormatting>
  <conditionalFormatting sqref="H1574:H1598">
    <cfRule type="duplicateValues" dxfId="41" priority="34"/>
  </conditionalFormatting>
  <conditionalFormatting sqref="H1602:H1646">
    <cfRule type="duplicateValues" dxfId="40" priority="107"/>
  </conditionalFormatting>
  <conditionalFormatting sqref="H1651:H1686">
    <cfRule type="duplicateValues" dxfId="39" priority="109"/>
  </conditionalFormatting>
  <conditionalFormatting sqref="H1691:H1736">
    <cfRule type="duplicateValues" dxfId="38" priority="31"/>
  </conditionalFormatting>
  <conditionalFormatting sqref="H1741:H1779">
    <cfRule type="duplicateValues" dxfId="37" priority="30"/>
  </conditionalFormatting>
  <conditionalFormatting sqref="H1784:H1815">
    <cfRule type="duplicateValues" dxfId="36" priority="29"/>
  </conditionalFormatting>
  <conditionalFormatting sqref="H1930">
    <cfRule type="duplicateValues" dxfId="35" priority="27"/>
  </conditionalFormatting>
  <conditionalFormatting sqref="H1364">
    <cfRule type="duplicateValues" dxfId="34" priority="25"/>
  </conditionalFormatting>
  <conditionalFormatting sqref="A1364">
    <cfRule type="duplicateValues" dxfId="33" priority="24"/>
  </conditionalFormatting>
  <conditionalFormatting sqref="H1195">
    <cfRule type="duplicateValues" dxfId="32" priority="23"/>
  </conditionalFormatting>
  <conditionalFormatting sqref="A147">
    <cfRule type="duplicateValues" dxfId="31" priority="22"/>
  </conditionalFormatting>
  <conditionalFormatting sqref="H585">
    <cfRule type="duplicateValues" dxfId="30" priority="21"/>
  </conditionalFormatting>
  <conditionalFormatting sqref="A585">
    <cfRule type="duplicateValues" dxfId="29" priority="20"/>
  </conditionalFormatting>
  <conditionalFormatting sqref="H649">
    <cfRule type="duplicateValues" dxfId="28" priority="19"/>
  </conditionalFormatting>
  <conditionalFormatting sqref="A649">
    <cfRule type="duplicateValues" dxfId="27" priority="18"/>
  </conditionalFormatting>
  <conditionalFormatting sqref="H792">
    <cfRule type="duplicateValues" dxfId="26" priority="17"/>
  </conditionalFormatting>
  <conditionalFormatting sqref="A792">
    <cfRule type="duplicateValues" dxfId="25" priority="16"/>
  </conditionalFormatting>
  <conditionalFormatting sqref="H1462">
    <cfRule type="duplicateValues" dxfId="24" priority="15"/>
  </conditionalFormatting>
  <conditionalFormatting sqref="A1462">
    <cfRule type="duplicateValues" dxfId="23" priority="14"/>
  </conditionalFormatting>
  <conditionalFormatting sqref="A152">
    <cfRule type="duplicateValues" dxfId="22" priority="13"/>
  </conditionalFormatting>
  <conditionalFormatting sqref="H1345">
    <cfRule type="duplicateValues" dxfId="21" priority="12"/>
  </conditionalFormatting>
  <conditionalFormatting sqref="A1345">
    <cfRule type="duplicateValues" dxfId="20" priority="11"/>
  </conditionalFormatting>
  <conditionalFormatting sqref="H1335">
    <cfRule type="duplicateValues" dxfId="19" priority="10"/>
  </conditionalFormatting>
  <conditionalFormatting sqref="H1429">
    <cfRule type="duplicateValues" dxfId="18" priority="9"/>
  </conditionalFormatting>
  <conditionalFormatting sqref="A1429">
    <cfRule type="duplicateValues" dxfId="17" priority="8"/>
  </conditionalFormatting>
  <conditionalFormatting sqref="H1494">
    <cfRule type="duplicateValues" dxfId="16" priority="7"/>
  </conditionalFormatting>
  <conditionalFormatting sqref="A1494">
    <cfRule type="duplicateValues" dxfId="15" priority="6"/>
  </conditionalFormatting>
  <conditionalFormatting sqref="A139">
    <cfRule type="duplicateValues" dxfId="14" priority="5"/>
  </conditionalFormatting>
  <conditionalFormatting sqref="H1564:H1566">
    <cfRule type="duplicateValues" dxfId="13" priority="4"/>
  </conditionalFormatting>
  <conditionalFormatting sqref="A1564:A1566">
    <cfRule type="duplicateValues" dxfId="12" priority="3"/>
  </conditionalFormatting>
  <conditionalFormatting sqref="H1567:H1570 H1520:H1563">
    <cfRule type="duplicateValues" dxfId="11" priority="134"/>
  </conditionalFormatting>
  <conditionalFormatting sqref="H1025">
    <cfRule type="duplicateValues" dxfId="10" priority="1"/>
  </conditionalFormatting>
  <conditionalFormatting sqref="A1025">
    <cfRule type="duplicateValues" dxfId="9" priority="2"/>
  </conditionalFormatting>
  <conditionalFormatting sqref="H378:H417">
    <cfRule type="duplicateValues" dxfId="8" priority="164"/>
  </conditionalFormatting>
  <conditionalFormatting sqref="H537:H578">
    <cfRule type="duplicateValues" dxfId="7" priority="165"/>
  </conditionalFormatting>
  <conditionalFormatting sqref="H646:H648 H650:H687">
    <cfRule type="duplicateValues" dxfId="6" priority="166"/>
  </conditionalFormatting>
  <conditionalFormatting sqref="H787:H791 H793:H831">
    <cfRule type="duplicateValues" dxfId="5" priority="191"/>
  </conditionalFormatting>
  <conditionalFormatting sqref="H1054:H1116">
    <cfRule type="duplicateValues" dxfId="4" priority="261"/>
  </conditionalFormatting>
  <conditionalFormatting sqref="H1267:H1327">
    <cfRule type="duplicateValues" dxfId="3" priority="372"/>
  </conditionalFormatting>
  <conditionalFormatting sqref="H1457:H1461 H1463:H1493 H1495:H1516">
    <cfRule type="duplicateValues" dxfId="2" priority="389"/>
  </conditionalFormatting>
  <conditionalFormatting sqref="H1820:H1888">
    <cfRule type="duplicateValues" dxfId="1" priority="393"/>
  </conditionalFormatting>
  <conditionalFormatting sqref="A1567:A1927 A1495:A1563 A1365:A1428 A148:A151 A586:A648 A650:A791 A793:A1024 A1463:A1493 A153:A584 A1346:A1363 A1430:A1461 A140:A146 A1026:A1344 A10:A138">
    <cfRule type="duplicateValues" dxfId="0" priority="397"/>
  </conditionalFormatting>
  <hyperlinks>
    <hyperlink ref="W1" location="'TABLE OF CONTENTS'!A1" display="GO TO SUMMARY PAGE" xr:uid="{00000000-0004-0000-1300-000000000000}"/>
    <hyperlink ref="W2" location="'TABLE OF CONTENTS'!A1" display="GO TO SUMMARY PAGE" xr:uid="{00000000-0004-0000-1300-000001000000}"/>
    <hyperlink ref="W3" location="'TABLE OF CONTENTS'!A1" display="GO TO SUMMARY PAGE" xr:uid="{00000000-0004-0000-1300-000002000000}"/>
    <hyperlink ref="W2:Z2" location="'DEPARTMENTAL SUMMARY'!A1" display="GO TO DEPT SUMMARY" xr:uid="{00000000-0004-0000-1300-000003000000}"/>
    <hyperlink ref="W3:Z3" location="ASSUMPTIONS!A1" display="GO TO ASSUMPTIONS" xr:uid="{00000000-0004-0000-1300-000004000000}"/>
    <hyperlink ref="H317:T317" location="HUMRES" display="HUMAN RESOURCES" xr:uid="{00000000-0004-0000-1300-000005000000}"/>
    <hyperlink ref="H513:T513" location="ANIMAL" display="ANIMAL CONTROL" xr:uid="{00000000-0004-0000-1300-000006000000}"/>
    <hyperlink ref="H455:T455" location="POLI" display="POLICE" xr:uid="{00000000-0004-0000-1300-000007000000}"/>
    <hyperlink ref="H490:T490" location="POLI" display="POLICE" xr:uid="{00000000-0004-0000-1300-000008000000}"/>
    <hyperlink ref="H923:T923" location="FIRESVCS" display="FIRE" xr:uid="{00000000-0004-0000-1300-000009000000}"/>
    <hyperlink ref="J513" location="ANIMAL" display="ANIMAL CONTROL" xr:uid="{00000000-0004-0000-1300-00000A000000}"/>
    <hyperlink ref="J455" location="POLI" display="POLICE" xr:uid="{00000000-0004-0000-1300-00000B000000}"/>
    <hyperlink ref="J490" location="POLI" display="POLICE" xr:uid="{00000000-0004-0000-1300-00000C000000}"/>
    <hyperlink ref="R513" location="ANIMAL" display="ANIMAL CONTROL" xr:uid="{00000000-0004-0000-1300-00000D000000}"/>
    <hyperlink ref="R455" location="POLI" display="POLICE" xr:uid="{00000000-0004-0000-1300-00000E000000}"/>
    <hyperlink ref="R490" location="POLI" display="POLICE" xr:uid="{00000000-0004-0000-1300-00000F000000}"/>
    <hyperlink ref="H535:T535" location="POLI" display="POLICE" xr:uid="{00000000-0004-0000-1300-000010000000}"/>
    <hyperlink ref="J535" location="POLI" display="POLICE" xr:uid="{00000000-0004-0000-1300-000011000000}"/>
    <hyperlink ref="R535" location="POLI" display="POLICE" xr:uid="{00000000-0004-0000-1300-000012000000}"/>
    <hyperlink ref="N317" location="HUMRES" display="HUMAN RESOURCES" xr:uid="{00000000-0004-0000-1300-000013000000}"/>
    <hyperlink ref="N513" location="ANIMAL" display="ANIMAL CONTROL" xr:uid="{00000000-0004-0000-1300-000014000000}"/>
    <hyperlink ref="N455" location="POLI" display="POLICE" xr:uid="{00000000-0004-0000-1300-000015000000}"/>
    <hyperlink ref="N490" location="POLI" display="POLICE" xr:uid="{00000000-0004-0000-1300-000016000000}"/>
    <hyperlink ref="N923" location="FIRESVCS" display="FIRE" xr:uid="{00000000-0004-0000-1300-000017000000}"/>
    <hyperlink ref="N535" location="POLI" display="POLICE" xr:uid="{00000000-0004-0000-1300-000018000000}"/>
    <hyperlink ref="I317" location="HUMRES" display="HUMAN RESOURCES" xr:uid="{00000000-0004-0000-1300-000019000000}"/>
    <hyperlink ref="I513" location="ANIMAL" display="ANIMAL CONTROL" xr:uid="{00000000-0004-0000-1300-00001A000000}"/>
    <hyperlink ref="I455" location="POLI" display="POLICE" xr:uid="{00000000-0004-0000-1300-00001B000000}"/>
    <hyperlink ref="I490" location="POLI" display="POLICE" xr:uid="{00000000-0004-0000-1300-00001C000000}"/>
    <hyperlink ref="I923" location="FIRESVCS" display="FIRE" xr:uid="{00000000-0004-0000-1300-00001D000000}"/>
    <hyperlink ref="I535" location="POLI" display="POLICE" xr:uid="{00000000-0004-0000-1300-00001E000000}"/>
    <hyperlink ref="K317" location="HUMRES" display="HUMAN RESOURCES" xr:uid="{00000000-0004-0000-1300-00001F000000}"/>
    <hyperlink ref="K513" location="ANIMAL" display="ANIMAL CONTROL" xr:uid="{00000000-0004-0000-1300-000020000000}"/>
    <hyperlink ref="K455" location="POLI" display="POLICE" xr:uid="{00000000-0004-0000-1300-000021000000}"/>
    <hyperlink ref="K490" location="POLI" display="POLICE" xr:uid="{00000000-0004-0000-1300-000022000000}"/>
    <hyperlink ref="K923" location="FIRESVCS" display="FIRE" xr:uid="{00000000-0004-0000-1300-000023000000}"/>
    <hyperlink ref="K535" location="POLI" display="POLICE" xr:uid="{00000000-0004-0000-1300-000024000000}"/>
    <hyperlink ref="L317" location="HUMRES" display="HUMAN RESOURCES" xr:uid="{00000000-0004-0000-1300-000025000000}"/>
    <hyperlink ref="L513" location="ANIMAL" display="ANIMAL CONTROL" xr:uid="{00000000-0004-0000-1300-000026000000}"/>
    <hyperlink ref="L455" location="POLI" display="POLICE" xr:uid="{00000000-0004-0000-1300-000027000000}"/>
    <hyperlink ref="L490" location="POLI" display="POLICE" xr:uid="{00000000-0004-0000-1300-000028000000}"/>
    <hyperlink ref="L923" location="FIRESVCS" display="FIRE" xr:uid="{00000000-0004-0000-1300-000029000000}"/>
    <hyperlink ref="L535" location="POLI" display="POLICE" xr:uid="{00000000-0004-0000-1300-00002A000000}"/>
  </hyperlinks>
  <printOptions horizontalCentered="1"/>
  <pageMargins left="0.7" right="0.7" top="0.5" bottom="0.5" header="0.5" footer="0.25"/>
  <pageSetup scale="50" orientation="landscape" r:id="rId1"/>
  <headerFooter>
    <oddFooter>&amp;L&amp;8filename=&amp;Z&amp;F&amp;R&amp;8&amp;D</oddFooter>
  </headerFooter>
  <rowBreaks count="53" manualBreakCount="53">
    <brk id="58" min="7" max="27" man="1"/>
    <brk id="97" min="7" max="27" man="1"/>
    <brk id="134" min="7" max="27" man="1"/>
    <brk id="156" min="7" max="27" man="1"/>
    <brk id="184" min="7" max="27" man="1"/>
    <brk id="208" min="7" max="27" man="1"/>
    <brk id="228" min="7" max="27" man="1"/>
    <brk id="274" min="7" max="27" man="1"/>
    <brk id="315" min="7" max="27" man="1"/>
    <brk id="330" min="7" max="27" man="1"/>
    <brk id="360" min="7" max="27" man="1"/>
    <brk id="374" min="7" max="27" man="1"/>
    <brk id="419" min="7" max="27" man="1"/>
    <brk id="453" min="7" max="27" man="1"/>
    <brk id="488" min="7" max="27" man="1"/>
    <brk id="511" min="7" max="27" man="1"/>
    <brk id="533" min="7" max="27" man="1"/>
    <brk id="579" min="7" max="27" man="1"/>
    <brk id="615" min="7" max="27" man="1"/>
    <brk id="633" min="7" max="27" man="1"/>
    <brk id="642" min="7" max="27" man="1"/>
    <brk id="687" min="7" max="27" man="1"/>
    <brk id="717" min="7" max="27" man="1"/>
    <brk id="753" min="7" max="27" man="1"/>
    <brk id="783" min="7" max="27" man="1"/>
    <brk id="832" min="7" max="27" man="1"/>
    <brk id="877" min="7" max="27" man="1"/>
    <brk id="921" min="7" max="27" man="1"/>
    <brk id="961" min="7" max="27" man="1"/>
    <brk id="1007" min="7" max="27" man="1"/>
    <brk id="1050" min="7" max="27" man="1"/>
    <brk id="1086" min="7" max="27" man="1"/>
    <brk id="1116" min="7" max="27" man="1"/>
    <brk id="1160" min="7" max="27" man="1"/>
    <brk id="1213" min="7" max="27" man="1"/>
    <brk id="1239" min="7" max="27" man="1"/>
    <brk id="1263" min="7" max="27" man="1"/>
    <brk id="1299" min="7" max="27" man="1"/>
    <brk id="1327" min="7" max="27" man="1"/>
    <brk id="1355" min="7" max="27" man="1"/>
    <brk id="1396" min="7" max="27" man="1"/>
    <brk id="1445" min="7" max="27" man="1"/>
    <brk id="1454" min="7" max="20" man="1"/>
    <brk id="1516" min="7" max="20" man="1"/>
    <brk id="1570" min="7" max="27" man="1"/>
    <brk id="1598" min="7" max="27" man="1"/>
    <brk id="1647" min="7" max="27" man="1"/>
    <brk id="1687" min="7" max="27" man="1"/>
    <brk id="1737" min="7" max="27" man="1"/>
    <brk id="1780" min="7" max="27" man="1"/>
    <brk id="1816" min="7" max="27" man="1"/>
    <brk id="1854" min="7" max="27" man="1"/>
    <brk id="1889" min="7" max="27"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44FEF859F5BA4B89A4DC153F9F7047" ma:contentTypeVersion="15" ma:contentTypeDescription="Create a new document." ma:contentTypeScope="" ma:versionID="b5fa590b7f45a361efbe31527972df3a">
  <xsd:schema xmlns:xsd="http://www.w3.org/2001/XMLSchema" xmlns:xs="http://www.w3.org/2001/XMLSchema" xmlns:p="http://schemas.microsoft.com/office/2006/metadata/properties" xmlns:ns2="42d80b5b-9166-41de-9abd-a7089d0244a6" xmlns:ns3="8523a9fe-24b3-4fba-b4b4-99549620bb68" targetNamespace="http://schemas.microsoft.com/office/2006/metadata/properties" ma:root="true" ma:fieldsID="b01e48d6b3b521a7505fc0082122531f" ns2:_="" ns3:_="">
    <xsd:import namespace="42d80b5b-9166-41de-9abd-a7089d0244a6"/>
    <xsd:import namespace="8523a9fe-24b3-4fba-b4b4-99549620bb6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d80b5b-9166-41de-9abd-a7089d024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edaba5d-021b-47f3-88ae-893c76e4e397"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Location" ma:index="14" nillable="true" ma:displayName="Location" ma:description="" ma:indexed="true"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23a9fe-24b3-4fba-b4b4-99549620bb6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ab375bf-7140-4311-8b8b-4d36e8f1518a}" ma:internalName="TaxCatchAll" ma:showField="CatchAllData" ma:web="8523a9fe-24b3-4fba-b4b4-99549620bb6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23a9fe-24b3-4fba-b4b4-99549620bb68" xsi:nil="true"/>
    <lcf76f155ced4ddcb4097134ff3c332f xmlns="42d80b5b-9166-41de-9abd-a7089d0244a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F6A77FC-6AA4-42CD-8C4A-2D00657F1AB0}"/>
</file>

<file path=customXml/itemProps2.xml><?xml version="1.0" encoding="utf-8"?>
<ds:datastoreItem xmlns:ds="http://schemas.openxmlformats.org/officeDocument/2006/customXml" ds:itemID="{999ED157-8A12-4AFE-9F61-2295E5767702}"/>
</file>

<file path=customXml/itemProps3.xml><?xml version="1.0" encoding="utf-8"?>
<ds:datastoreItem xmlns:ds="http://schemas.openxmlformats.org/officeDocument/2006/customXml" ds:itemID="{7DE5DD82-16D9-4334-9FA1-84DE6AE3E5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82</vt:i4>
      </vt:variant>
    </vt:vector>
  </HeadingPairs>
  <TitlesOfParts>
    <vt:vector size="91" baseType="lpstr">
      <vt:lpstr>Anticipated Needs</vt:lpstr>
      <vt:lpstr>5 Year Forecast</vt:lpstr>
      <vt:lpstr>Import</vt:lpstr>
      <vt:lpstr>Enter Fund Line-Item Details</vt:lpstr>
      <vt:lpstr>Other Fund Line-Item Details</vt:lpstr>
      <vt:lpstr>PROPERTY TAX ANALYSIS</vt:lpstr>
      <vt:lpstr>GL Category</vt:lpstr>
      <vt:lpstr>DEBT SUMMARY</vt:lpstr>
      <vt:lpstr>General Fund Line-Item Details</vt:lpstr>
      <vt:lpstr>AniCnt_div</vt:lpstr>
      <vt:lpstr>'General Fund Line-Item Details'!Animal_Control</vt:lpstr>
      <vt:lpstr>BI_Div</vt:lpstr>
      <vt:lpstr>'General Fund Line-Item Details'!Building_Insp</vt:lpstr>
      <vt:lpstr>'General Fund Line-Item Details'!City_Mgr</vt:lpstr>
      <vt:lpstr>'General Fund Line-Item Details'!City_Sec</vt:lpstr>
      <vt:lpstr>CitySec_div</vt:lpstr>
      <vt:lpstr>CM_Div</vt:lpstr>
      <vt:lpstr>'General Fund Line-Item Details'!Code</vt:lpstr>
      <vt:lpstr>Code_Div</vt:lpstr>
      <vt:lpstr>Coun_div</vt:lpstr>
      <vt:lpstr>'General Fund Line-Item Details'!Council</vt:lpstr>
      <vt:lpstr>Court_div</vt:lpstr>
      <vt:lpstr>'General Fund Line-Item Details'!Econ_Devel</vt:lpstr>
      <vt:lpstr>EconDe_Div</vt:lpstr>
      <vt:lpstr>'General Fund Line-Item Details'!Emergency_Mgmt</vt:lpstr>
      <vt:lpstr>EMMGT_Div</vt:lpstr>
      <vt:lpstr>Eng_Div</vt:lpstr>
      <vt:lpstr>'General Fund Line-Item Details'!Engineering</vt:lpstr>
      <vt:lpstr>'General Fund Line-Item Details'!Equip_Maint</vt:lpstr>
      <vt:lpstr>'5 Year Forecast'!ExternalData_2</vt:lpstr>
      <vt:lpstr>Fin_div</vt:lpstr>
      <vt:lpstr>'General Fund Line-Item Details'!Finance</vt:lpstr>
      <vt:lpstr>'General Fund Line-Item Details'!Fire</vt:lpstr>
      <vt:lpstr>FireAdm_Div</vt:lpstr>
      <vt:lpstr>FireSpp_Div</vt:lpstr>
      <vt:lpstr>Fleet_Div</vt:lpstr>
      <vt:lpstr>'General Fund Line-Item Details'!Gen_Admin</vt:lpstr>
      <vt:lpstr>GF_nondiv</vt:lpstr>
      <vt:lpstr>'General Fund Line-Item Details'!GF_Summary</vt:lpstr>
      <vt:lpstr>'General Fund Line-Item Details'!GFSUM</vt:lpstr>
      <vt:lpstr>HR_div</vt:lpstr>
      <vt:lpstr>'General Fund Line-Item Details'!Human_Resources</vt:lpstr>
      <vt:lpstr>'General Fund Line-Item Details'!Legal</vt:lpstr>
      <vt:lpstr>Legal_Div</vt:lpstr>
      <vt:lpstr>'General Fund Line-Item Details'!Legal_Services</vt:lpstr>
      <vt:lpstr>Libr_Div</vt:lpstr>
      <vt:lpstr>'General Fund Line-Item Details'!Library</vt:lpstr>
      <vt:lpstr>'Other Fund Line-Item Details'!Meter_Svcs</vt:lpstr>
      <vt:lpstr>Meter_Svcs</vt:lpstr>
      <vt:lpstr>'General Fund Line-Item Details'!Muni_Court</vt:lpstr>
      <vt:lpstr>'General Fund Line-Item Details'!Parks_Rec</vt:lpstr>
      <vt:lpstr>plann_Div</vt:lpstr>
      <vt:lpstr>'General Fund Line-Item Details'!Planning</vt:lpstr>
      <vt:lpstr>PolComm_Div</vt:lpstr>
      <vt:lpstr>'General Fund Line-Item Details'!Police</vt:lpstr>
      <vt:lpstr>PoliceAdmin_div</vt:lpstr>
      <vt:lpstr>PolOper_Div</vt:lpstr>
      <vt:lpstr>PolSprt_Div</vt:lpstr>
      <vt:lpstr>PRAdmin_Div</vt:lpstr>
      <vt:lpstr>PRAuq_Div</vt:lpstr>
      <vt:lpstr>'5 Year Forecast'!Print_Area</vt:lpstr>
      <vt:lpstr>'Enter Fund Line-Item Details'!Print_Area</vt:lpstr>
      <vt:lpstr>'General Fund Line-Item Details'!Print_Area</vt:lpstr>
      <vt:lpstr>'Other Fund Line-Item Details'!Print_Area</vt:lpstr>
      <vt:lpstr>'PROPERTY TAX ANALYSIS'!Print_Area</vt:lpstr>
      <vt:lpstr>'Anticipated Needs'!Print_Titles</vt:lpstr>
      <vt:lpstr>'Enter Fund Line-Item Details'!Print_Titles</vt:lpstr>
      <vt:lpstr>'General Fund Line-Item Details'!Print_Titles</vt:lpstr>
      <vt:lpstr>'Other Fund Line-Item Details'!Print_Titles</vt:lpstr>
      <vt:lpstr>PROPT_Div</vt:lpstr>
      <vt:lpstr>Rec_Div</vt:lpstr>
      <vt:lpstr>'Enter Fund Line-Item Details'!Revenue</vt:lpstr>
      <vt:lpstr>'General Fund Line-Item Details'!Revenue</vt:lpstr>
      <vt:lpstr>'5 Year Forecast'!RG___7131</vt:lpstr>
      <vt:lpstr>Sign_Div</vt:lpstr>
      <vt:lpstr>'General Fund Line-Item Details'!Signal_Maint</vt:lpstr>
      <vt:lpstr>'General Fund Line-Item Details'!Str_Maint</vt:lpstr>
      <vt:lpstr>StrMnt_Div</vt:lpstr>
      <vt:lpstr>'General Fund Line-Item Details'!Summary</vt:lpstr>
      <vt:lpstr>'General Fund Line-Item Details'!Tourism</vt:lpstr>
      <vt:lpstr>Tourism_Div</vt:lpstr>
      <vt:lpstr>'Other Fund Line-Item Details'!UBilling</vt:lpstr>
      <vt:lpstr>UBilling</vt:lpstr>
      <vt:lpstr>'Other Fund Line-Item Details'!UF_Summ</vt:lpstr>
      <vt:lpstr>UF_Summ</vt:lpstr>
      <vt:lpstr>'Other Fund Line-Item Details'!UT_Non</vt:lpstr>
      <vt:lpstr>UT_Non</vt:lpstr>
      <vt:lpstr>'Other Fund Line-Item Details'!W_Recl</vt:lpstr>
      <vt:lpstr>W_Recl</vt:lpstr>
      <vt:lpstr>'Other Fund Line-Item Details'!WEE_DIV</vt:lpstr>
      <vt:lpstr>WEE_DIV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Rector</dc:creator>
  <cp:lastModifiedBy>Aaron Rector</cp:lastModifiedBy>
  <cp:lastPrinted>2024-08-22T13:42:55Z</cp:lastPrinted>
  <dcterms:created xsi:type="dcterms:W3CDTF">2010-02-24T16:30:48Z</dcterms:created>
  <dcterms:modified xsi:type="dcterms:W3CDTF">2024-08-23T17:18:47Z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0x010100CE44FEF859F5BA4B89A4DC153F9F7047</vt:lpwstr>
  </property>
</Properties>
</file>